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/>
  <bookViews>
    <workbookView xWindow="-120" yWindow="-120" windowWidth="29040" windowHeight="15840" tabRatio="588" firstSheet="1" activeTab="3"/>
  </bookViews>
  <sheets>
    <sheet name="文档说明" sheetId="10" r:id="rId1"/>
    <sheet name="价值概述" sheetId="77" r:id="rId2"/>
    <sheet name="节奏总表" sheetId="85" r:id="rId3"/>
    <sheet name="章节关卡" sheetId="82" r:id="rId4"/>
    <sheet name="经验计算" sheetId="81" r:id="rId5"/>
    <sheet name="芦花古楼" sheetId="83" r:id="rId6"/>
    <sheet name="金币总表" sheetId="88" r:id="rId7"/>
    <sheet name="日常任务" sheetId="84" r:id="rId8"/>
    <sheet name="挂机升级突破" sheetId="89" r:id="rId9"/>
    <sheet name="卡牌消耗" sheetId="90" r:id="rId10"/>
    <sheet name="专属武器强化" sheetId="98" r:id="rId11"/>
    <sheet name="羁绊副本" sheetId="101" r:id="rId12"/>
    <sheet name="神器" sheetId="93" state="hidden" r:id="rId13"/>
    <sheet name="装备" sheetId="95" r:id="rId14"/>
    <sheet name="新神器" sheetId="100" r:id="rId15"/>
    <sheet name="日常副本" sheetId="102" r:id="rId16"/>
    <sheet name="恶灵入侵-专属解封" sheetId="103" r:id="rId17"/>
    <sheet name="专属武器" sheetId="97" state="hidden" r:id="rId18"/>
  </sheets>
  <definedNames>
    <definedName name="卡牌类型名" localSheetId="17">#REF!</definedName>
    <definedName name="卡牌类型名">#REF!</definedName>
    <definedName name="品质名称" localSheetId="17">#REF!</definedName>
    <definedName name="品质名称">#REF!</definedName>
  </definedName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CL94" i="82" l="1"/>
  <c r="CL93" i="82"/>
  <c r="CJ92" i="82"/>
  <c r="CL91" i="82"/>
  <c r="CL90" i="82"/>
  <c r="CJ89" i="82"/>
  <c r="CL88" i="82"/>
  <c r="CL87" i="82"/>
  <c r="CJ86" i="82"/>
  <c r="CL85" i="82"/>
  <c r="CL84" i="82"/>
  <c r="CJ83" i="82"/>
  <c r="CL82" i="82"/>
  <c r="CL81" i="82"/>
  <c r="CJ80" i="82"/>
  <c r="CL79" i="82"/>
  <c r="CL78" i="82"/>
  <c r="CJ77" i="82"/>
  <c r="CL76" i="82"/>
  <c r="CL75" i="82"/>
  <c r="CJ74" i="82"/>
  <c r="CL73" i="82"/>
  <c r="CL72" i="82"/>
  <c r="CJ71" i="82"/>
  <c r="CL70" i="82"/>
  <c r="CL69" i="82"/>
  <c r="CJ68" i="82"/>
  <c r="CL67" i="82"/>
  <c r="CL66" i="82"/>
  <c r="CJ65" i="82"/>
  <c r="CL64" i="82"/>
  <c r="CL63" i="82"/>
  <c r="CJ62" i="82"/>
  <c r="CL61" i="82"/>
  <c r="CL60" i="82"/>
  <c r="CJ59" i="82"/>
  <c r="CL58" i="82"/>
  <c r="CL57" i="82"/>
  <c r="CJ56" i="82"/>
  <c r="CL55" i="82"/>
  <c r="CL54" i="82"/>
  <c r="CJ53" i="82"/>
  <c r="CL52" i="82"/>
  <c r="CL51" i="82"/>
  <c r="CJ50" i="82"/>
  <c r="CL49" i="82"/>
  <c r="CL48" i="82"/>
  <c r="CJ47" i="82"/>
  <c r="CL46" i="82"/>
  <c r="CL45" i="82"/>
  <c r="CJ44" i="82"/>
  <c r="CL43" i="82"/>
  <c r="CL42" i="82"/>
  <c r="CJ41" i="82"/>
  <c r="CL40" i="82"/>
  <c r="CL39" i="82"/>
  <c r="CJ38" i="82"/>
  <c r="CL37" i="82"/>
  <c r="CL36" i="82"/>
  <c r="CJ35" i="82"/>
  <c r="CL34" i="82"/>
  <c r="CL33" i="82"/>
  <c r="CJ32" i="82"/>
  <c r="CL31" i="82"/>
  <c r="CL30" i="82"/>
  <c r="CJ29" i="82"/>
  <c r="CL28" i="82"/>
  <c r="CL27" i="82"/>
  <c r="CJ26" i="82"/>
  <c r="CL25" i="82"/>
  <c r="CL24" i="82"/>
  <c r="CJ23" i="82"/>
  <c r="CL22" i="82"/>
  <c r="CL21" i="82"/>
  <c r="CJ20" i="82"/>
  <c r="CL19" i="82"/>
  <c r="CL18" i="82"/>
  <c r="CJ17" i="82"/>
  <c r="CL16" i="82"/>
  <c r="CL15" i="82"/>
  <c r="CJ14" i="82"/>
  <c r="CL13" i="82"/>
  <c r="CL12" i="82"/>
  <c r="CJ11" i="82"/>
  <c r="CJ8" i="82"/>
  <c r="BQ6" i="90" l="1"/>
  <c r="BQ7" i="90"/>
  <c r="BQ8" i="90"/>
  <c r="BQ9" i="90"/>
  <c r="BQ10" i="90"/>
  <c r="BQ11" i="90"/>
  <c r="BQ12" i="90"/>
  <c r="BQ13" i="90"/>
  <c r="BQ14" i="90"/>
  <c r="BQ15" i="90"/>
  <c r="BQ16" i="90"/>
  <c r="BQ17" i="90"/>
  <c r="BQ18" i="90"/>
  <c r="BQ19" i="90"/>
  <c r="BQ20" i="90"/>
  <c r="BQ21" i="90"/>
  <c r="BQ22" i="90"/>
  <c r="BQ23" i="90"/>
  <c r="BQ24" i="90"/>
  <c r="BQ25" i="90"/>
  <c r="BQ26" i="90"/>
  <c r="BQ27" i="90"/>
  <c r="BQ28" i="90"/>
  <c r="BQ29" i="90"/>
  <c r="BQ30" i="90"/>
  <c r="BQ31" i="90"/>
  <c r="BQ32" i="90"/>
  <c r="BQ33" i="90"/>
  <c r="BQ34" i="90"/>
  <c r="BQ35" i="90"/>
  <c r="BQ36" i="90"/>
  <c r="BQ37" i="90"/>
  <c r="BQ38" i="90"/>
  <c r="BQ39" i="90"/>
  <c r="BQ40" i="90"/>
  <c r="BQ41" i="90"/>
  <c r="BQ42" i="90"/>
  <c r="BQ43" i="90"/>
  <c r="BQ44" i="90"/>
  <c r="BQ45" i="90"/>
  <c r="BQ46" i="90"/>
  <c r="BQ47" i="90"/>
  <c r="BQ48" i="90"/>
  <c r="BQ49" i="90"/>
  <c r="BQ50" i="90"/>
  <c r="BQ51" i="90"/>
  <c r="BQ52" i="90"/>
  <c r="BQ53" i="90"/>
  <c r="BQ54" i="90"/>
  <c r="BQ55" i="90"/>
  <c r="BQ56" i="90"/>
  <c r="BQ57" i="90"/>
  <c r="BQ58" i="90"/>
  <c r="BQ59" i="90"/>
  <c r="BQ60" i="90"/>
  <c r="BQ61" i="90"/>
  <c r="BQ62" i="90"/>
  <c r="BQ63" i="90"/>
  <c r="BQ64" i="90"/>
  <c r="BQ65" i="90"/>
  <c r="BQ66" i="90"/>
  <c r="BQ67" i="90"/>
  <c r="BQ68" i="90"/>
  <c r="BQ69" i="90"/>
  <c r="BQ70" i="90"/>
  <c r="BQ71" i="90"/>
  <c r="BQ72" i="90"/>
  <c r="BQ73" i="90"/>
  <c r="BQ74" i="90"/>
  <c r="BQ75" i="90"/>
  <c r="BQ76" i="90"/>
  <c r="BQ77" i="90"/>
  <c r="BQ78" i="90"/>
  <c r="BQ79" i="90"/>
  <c r="BQ80" i="90"/>
  <c r="BQ81" i="90"/>
  <c r="BQ82" i="90"/>
  <c r="BQ83" i="90"/>
  <c r="BQ84" i="90"/>
  <c r="BQ85" i="90"/>
  <c r="BQ86" i="90"/>
  <c r="BQ87" i="90"/>
  <c r="BQ88" i="90"/>
  <c r="BQ89" i="90"/>
  <c r="BQ90" i="90"/>
  <c r="BQ91" i="90"/>
  <c r="BQ92" i="90"/>
  <c r="BQ93" i="90"/>
  <c r="BQ94" i="90"/>
  <c r="BQ95" i="90"/>
  <c r="BQ96" i="90"/>
  <c r="BQ97" i="90"/>
  <c r="BQ98" i="90"/>
  <c r="BQ99" i="90"/>
  <c r="BQ100" i="90"/>
  <c r="BQ101" i="90"/>
  <c r="BQ102" i="90"/>
  <c r="BQ103" i="90"/>
  <c r="BQ104" i="90"/>
  <c r="BQ105" i="90"/>
  <c r="BQ106" i="90"/>
  <c r="BQ107" i="90"/>
  <c r="BQ108" i="90"/>
  <c r="BQ109" i="90"/>
  <c r="BQ110" i="90"/>
  <c r="BQ111" i="90"/>
  <c r="BQ112" i="90"/>
  <c r="BQ113" i="90"/>
  <c r="BQ114" i="90"/>
  <c r="BQ115" i="90"/>
  <c r="BQ116" i="90"/>
  <c r="BQ117" i="90"/>
  <c r="BQ118" i="90"/>
  <c r="BQ119" i="90"/>
  <c r="BQ120" i="90"/>
  <c r="BQ121" i="90"/>
  <c r="BQ122" i="90"/>
  <c r="BQ123" i="90"/>
  <c r="BQ124" i="90"/>
  <c r="BQ125" i="90"/>
  <c r="BQ126" i="90"/>
  <c r="BQ127" i="90"/>
  <c r="BQ128" i="90"/>
  <c r="BQ129" i="90"/>
  <c r="BQ130" i="90"/>
  <c r="BQ131" i="90"/>
  <c r="BQ132" i="90"/>
  <c r="BQ133" i="90"/>
  <c r="BQ134" i="90"/>
  <c r="BQ135" i="90"/>
  <c r="BQ136" i="90"/>
  <c r="BQ137" i="90"/>
  <c r="BQ138" i="90"/>
  <c r="BQ139" i="90"/>
  <c r="BQ140" i="90"/>
  <c r="BQ141" i="90"/>
  <c r="BQ142" i="90"/>
  <c r="BQ143" i="90"/>
  <c r="BQ144" i="90"/>
  <c r="BQ145" i="90"/>
  <c r="BQ146" i="90"/>
  <c r="BQ147" i="90"/>
  <c r="BQ148" i="90"/>
  <c r="BQ149" i="90"/>
  <c r="BQ150" i="90"/>
  <c r="BQ151" i="90"/>
  <c r="BQ152" i="90"/>
  <c r="BQ153" i="90"/>
  <c r="BQ154" i="90"/>
  <c r="BQ155" i="90"/>
  <c r="BQ156" i="90"/>
  <c r="BQ157" i="90"/>
  <c r="BQ158" i="90"/>
  <c r="BQ159" i="90"/>
  <c r="BQ160" i="90"/>
  <c r="BQ161" i="90"/>
  <c r="BQ162" i="90"/>
  <c r="BQ163" i="90"/>
  <c r="BQ164" i="90"/>
  <c r="BQ165" i="90"/>
  <c r="BQ166" i="90"/>
  <c r="BQ167" i="90"/>
  <c r="BQ168" i="90"/>
  <c r="BQ169" i="90"/>
  <c r="BQ170" i="90"/>
  <c r="BQ171" i="90"/>
  <c r="BQ172" i="90"/>
  <c r="BQ173" i="90"/>
  <c r="BQ174" i="90"/>
  <c r="BQ175" i="90"/>
  <c r="BQ176" i="90"/>
  <c r="BQ177" i="90"/>
  <c r="BQ178" i="90"/>
  <c r="BQ179" i="90"/>
  <c r="BQ180" i="90"/>
  <c r="BQ181" i="90"/>
  <c r="BQ182" i="90"/>
  <c r="BQ183" i="90"/>
  <c r="BQ184" i="90"/>
  <c r="BQ185" i="90"/>
  <c r="BQ186" i="90"/>
  <c r="BQ187" i="90"/>
  <c r="BQ188" i="90"/>
  <c r="BQ189" i="90"/>
  <c r="BQ190" i="90"/>
  <c r="BQ191" i="90"/>
  <c r="BQ192" i="90"/>
  <c r="BQ193" i="90"/>
  <c r="BQ194" i="90"/>
  <c r="BQ195" i="90"/>
  <c r="BQ196" i="90"/>
  <c r="BQ197" i="90"/>
  <c r="BQ198" i="90"/>
  <c r="BQ199" i="90"/>
  <c r="BQ200" i="90"/>
  <c r="BQ201" i="90"/>
  <c r="BQ202" i="90"/>
  <c r="BQ203" i="90"/>
  <c r="BQ204" i="90"/>
  <c r="BQ205" i="90"/>
  <c r="BQ206" i="90"/>
  <c r="BQ207" i="90"/>
  <c r="BQ208" i="90"/>
  <c r="BQ209" i="90"/>
  <c r="BQ210" i="90"/>
  <c r="BQ211" i="90"/>
  <c r="BQ212" i="90"/>
  <c r="BQ213" i="90"/>
  <c r="BQ214" i="90"/>
  <c r="BQ215" i="90"/>
  <c r="BQ216" i="90"/>
  <c r="BQ217" i="90"/>
  <c r="BQ218" i="90"/>
  <c r="BQ219" i="90"/>
  <c r="BQ220" i="90"/>
  <c r="BQ221" i="90"/>
  <c r="BQ222" i="90"/>
  <c r="BQ223" i="90"/>
  <c r="BQ224" i="90"/>
  <c r="BQ225" i="90"/>
  <c r="BQ226" i="90"/>
  <c r="BQ227" i="90"/>
  <c r="BQ228" i="90"/>
  <c r="BQ229" i="90"/>
  <c r="BQ230" i="90"/>
  <c r="BQ231" i="90"/>
  <c r="BQ232" i="90"/>
  <c r="BQ233" i="90"/>
  <c r="BQ234" i="90"/>
  <c r="BQ235" i="90"/>
  <c r="BQ236" i="90"/>
  <c r="BQ237" i="90"/>
  <c r="BQ238" i="90"/>
  <c r="BQ239" i="90"/>
  <c r="BQ240" i="90"/>
  <c r="BQ241" i="90"/>
  <c r="BQ242" i="90"/>
  <c r="BQ243" i="90"/>
  <c r="BQ244" i="90"/>
  <c r="BQ245" i="90"/>
  <c r="BQ246" i="90"/>
  <c r="BQ247" i="90"/>
  <c r="BQ248" i="90"/>
  <c r="BQ249" i="90"/>
  <c r="BQ250" i="90"/>
  <c r="BQ251" i="90"/>
  <c r="BQ252" i="90"/>
  <c r="BQ253" i="90"/>
  <c r="BQ254" i="90"/>
  <c r="BQ255" i="90"/>
  <c r="BQ256" i="90"/>
  <c r="BQ257" i="90"/>
  <c r="BQ258" i="90"/>
  <c r="BQ259" i="90"/>
  <c r="BQ260" i="90"/>
  <c r="BQ261" i="90"/>
  <c r="BQ262" i="90"/>
  <c r="BQ263" i="90"/>
  <c r="BQ264" i="90"/>
  <c r="BQ265" i="90"/>
  <c r="BQ266" i="90"/>
  <c r="BQ267" i="90"/>
  <c r="BQ268" i="90"/>
  <c r="BQ269" i="90"/>
  <c r="BQ270" i="90"/>
  <c r="BQ271" i="90"/>
  <c r="BQ272" i="90"/>
  <c r="BQ273" i="90"/>
  <c r="BQ274" i="90"/>
  <c r="BQ275" i="90"/>
  <c r="BQ276" i="90"/>
  <c r="BQ277" i="90"/>
  <c r="BQ278" i="90"/>
  <c r="BQ279" i="90"/>
  <c r="BQ280" i="90"/>
  <c r="BQ281" i="90"/>
  <c r="BQ282" i="90"/>
  <c r="BQ283" i="90"/>
  <c r="BQ284" i="90"/>
  <c r="BQ285" i="90"/>
  <c r="BQ286" i="90"/>
  <c r="BQ287" i="90"/>
  <c r="BQ288" i="90"/>
  <c r="BQ289" i="90"/>
  <c r="BQ290" i="90"/>
  <c r="BQ291" i="90"/>
  <c r="BQ292" i="90"/>
  <c r="BQ293" i="90"/>
  <c r="BQ294" i="90"/>
  <c r="BQ295" i="90"/>
  <c r="BQ296" i="90"/>
  <c r="BQ297" i="90"/>
  <c r="BQ298" i="90"/>
  <c r="BQ299" i="90"/>
  <c r="BQ300" i="90"/>
  <c r="BQ301" i="90"/>
  <c r="BQ302" i="90"/>
  <c r="BQ303" i="90"/>
  <c r="BQ304" i="90"/>
  <c r="BQ305" i="90"/>
  <c r="BQ306" i="90"/>
  <c r="BQ307" i="90"/>
  <c r="BQ308" i="90"/>
  <c r="BQ309" i="90"/>
  <c r="BQ310" i="90"/>
  <c r="BQ311" i="90"/>
  <c r="BQ312" i="90"/>
  <c r="BQ313" i="90"/>
  <c r="BQ314" i="90"/>
  <c r="BQ315" i="90"/>
  <c r="BQ316" i="90"/>
  <c r="BQ317" i="90"/>
  <c r="BQ318" i="90"/>
  <c r="BQ319" i="90"/>
  <c r="BQ320" i="90"/>
  <c r="BQ321" i="90"/>
  <c r="BQ322" i="90"/>
  <c r="BQ323" i="90"/>
  <c r="BQ324" i="90"/>
  <c r="BQ325" i="90"/>
  <c r="BQ326" i="90"/>
  <c r="BQ327" i="90"/>
  <c r="BQ328" i="90"/>
  <c r="BQ329" i="90"/>
  <c r="BQ330" i="90"/>
  <c r="BQ331" i="90"/>
  <c r="BQ332" i="90"/>
  <c r="BQ333" i="90"/>
  <c r="BQ334" i="90"/>
  <c r="BQ335" i="90"/>
  <c r="BQ336" i="90"/>
  <c r="BQ337" i="90"/>
  <c r="BQ338" i="90"/>
  <c r="BQ339" i="90"/>
  <c r="BQ340" i="90"/>
  <c r="BQ341" i="90"/>
  <c r="BQ342" i="90"/>
  <c r="BQ343" i="90"/>
  <c r="BQ344" i="90"/>
  <c r="BQ345" i="90"/>
  <c r="BQ346" i="90"/>
  <c r="BQ347" i="90"/>
  <c r="BQ348" i="90"/>
  <c r="BQ349" i="90"/>
  <c r="BQ350" i="90"/>
  <c r="BQ351" i="90"/>
  <c r="BQ352" i="90"/>
  <c r="BQ353" i="90"/>
  <c r="BQ354" i="90"/>
  <c r="BQ355" i="90"/>
  <c r="BQ356" i="90"/>
  <c r="BQ357" i="90"/>
  <c r="BQ358" i="90"/>
  <c r="BQ359" i="90"/>
  <c r="BQ360" i="90"/>
  <c r="BQ361" i="90"/>
  <c r="BQ362" i="90"/>
  <c r="BQ363" i="90"/>
  <c r="BQ364" i="90"/>
  <c r="BQ365" i="90"/>
  <c r="BQ366" i="90"/>
  <c r="BQ367" i="90"/>
  <c r="BQ368" i="90"/>
  <c r="BQ369" i="90"/>
  <c r="BQ370" i="90"/>
  <c r="BQ371" i="90"/>
  <c r="BQ372" i="90"/>
  <c r="BQ373" i="90"/>
  <c r="BQ374" i="90"/>
  <c r="BQ375" i="90"/>
  <c r="BQ376" i="90"/>
  <c r="BQ377" i="90"/>
  <c r="BQ378" i="90"/>
  <c r="BQ379" i="90"/>
  <c r="BQ380" i="90"/>
  <c r="BQ381" i="90"/>
  <c r="BQ382" i="90"/>
  <c r="BQ383" i="90"/>
  <c r="BQ384" i="90"/>
  <c r="BQ385" i="90"/>
  <c r="BQ386" i="90"/>
  <c r="BQ387" i="90"/>
  <c r="BQ388" i="90"/>
  <c r="BQ389" i="90"/>
  <c r="BQ390" i="90"/>
  <c r="BQ391" i="90"/>
  <c r="BQ392" i="90"/>
  <c r="BQ393" i="90"/>
  <c r="BQ394" i="90"/>
  <c r="BQ395" i="90"/>
  <c r="BQ396" i="90"/>
  <c r="BQ397" i="90"/>
  <c r="BQ398" i="90"/>
  <c r="BQ399" i="90"/>
  <c r="BQ400" i="90"/>
  <c r="BQ401" i="90"/>
  <c r="BQ402" i="90"/>
  <c r="BQ403" i="90"/>
  <c r="BQ404" i="90"/>
  <c r="BQ405" i="90"/>
  <c r="BQ406" i="90"/>
  <c r="BQ407" i="90"/>
  <c r="BQ408" i="90"/>
  <c r="BQ409" i="90"/>
  <c r="BQ410" i="90"/>
  <c r="BQ411" i="90"/>
  <c r="BQ412" i="90"/>
  <c r="BQ413" i="90"/>
  <c r="BQ414" i="90"/>
  <c r="BQ415" i="90"/>
  <c r="BQ416" i="90"/>
  <c r="BQ417" i="90"/>
  <c r="BQ418" i="90"/>
  <c r="BQ419" i="90"/>
  <c r="BQ420" i="90"/>
  <c r="BQ421" i="90"/>
  <c r="BQ422" i="90"/>
  <c r="BQ423" i="90"/>
  <c r="BQ424" i="90"/>
  <c r="BQ425" i="90"/>
  <c r="BQ426" i="90"/>
  <c r="BQ427" i="90"/>
  <c r="BQ428" i="90"/>
  <c r="BQ429" i="90"/>
  <c r="BQ430" i="90"/>
  <c r="BQ431" i="90"/>
  <c r="BQ432" i="90"/>
  <c r="BQ433" i="90"/>
  <c r="BQ434" i="90"/>
  <c r="BQ435" i="90"/>
  <c r="BQ436" i="90"/>
  <c r="BQ437" i="90"/>
  <c r="BQ438" i="90"/>
  <c r="BQ439" i="90"/>
  <c r="BQ440" i="90"/>
  <c r="BQ441" i="90"/>
  <c r="BQ442" i="90"/>
  <c r="BQ443" i="90"/>
  <c r="BQ444" i="90"/>
  <c r="BQ445" i="90"/>
  <c r="BQ446" i="90"/>
  <c r="BQ447" i="90"/>
  <c r="BQ448" i="90"/>
  <c r="BQ449" i="90"/>
  <c r="BQ450" i="90"/>
  <c r="BQ451" i="90"/>
  <c r="BQ452" i="90"/>
  <c r="BQ453" i="90"/>
  <c r="BQ454" i="90"/>
  <c r="BQ455" i="90"/>
  <c r="BQ456" i="90"/>
  <c r="BQ457" i="90"/>
  <c r="BQ458" i="90"/>
  <c r="BQ459" i="90"/>
  <c r="BQ460" i="90"/>
  <c r="BQ461" i="90"/>
  <c r="BQ462" i="90"/>
  <c r="BQ463" i="90"/>
  <c r="BQ464" i="90"/>
  <c r="BQ465" i="90"/>
  <c r="BQ466" i="90"/>
  <c r="BQ467" i="90"/>
  <c r="BQ468" i="90"/>
  <c r="BQ469" i="90"/>
  <c r="BQ470" i="90"/>
  <c r="BQ471" i="90"/>
  <c r="BQ472" i="90"/>
  <c r="BQ473" i="90"/>
  <c r="BQ474" i="90"/>
  <c r="BQ475" i="90"/>
  <c r="BQ476" i="90"/>
  <c r="BQ477" i="90"/>
  <c r="BQ478" i="90"/>
  <c r="BQ479" i="90"/>
  <c r="BQ480" i="90"/>
  <c r="BQ481" i="90"/>
  <c r="BQ482" i="90"/>
  <c r="BQ483" i="90"/>
  <c r="BQ484" i="90"/>
  <c r="BQ485" i="90"/>
  <c r="BQ486" i="90"/>
  <c r="BQ487" i="90"/>
  <c r="BQ488" i="90"/>
  <c r="BQ489" i="90"/>
  <c r="BQ490" i="90"/>
  <c r="BQ491" i="90"/>
  <c r="BQ492" i="90"/>
  <c r="BQ493" i="90"/>
  <c r="BQ494" i="90"/>
  <c r="BQ495" i="90"/>
  <c r="BQ496" i="90"/>
  <c r="BQ497" i="90"/>
  <c r="BQ498" i="90"/>
  <c r="BQ499" i="90"/>
  <c r="BQ500" i="90"/>
  <c r="BQ501" i="90"/>
  <c r="BQ502" i="90"/>
  <c r="BQ503" i="90"/>
  <c r="BQ504" i="90"/>
  <c r="BQ505" i="90"/>
  <c r="BQ506" i="90"/>
  <c r="BQ507" i="90"/>
  <c r="BQ508" i="90"/>
  <c r="BQ509" i="90"/>
  <c r="BQ510" i="90"/>
  <c r="BQ511" i="90"/>
  <c r="BQ512" i="90"/>
  <c r="BQ513" i="90"/>
  <c r="BQ514" i="90"/>
  <c r="BQ515" i="90"/>
  <c r="BQ516" i="90"/>
  <c r="BQ517" i="90"/>
  <c r="BQ518" i="90"/>
  <c r="BQ519" i="90"/>
  <c r="BQ520" i="90"/>
  <c r="BQ521" i="90"/>
  <c r="BQ522" i="90"/>
  <c r="BQ523" i="90"/>
  <c r="BQ524" i="90"/>
  <c r="BQ525" i="90"/>
  <c r="BQ526" i="90"/>
  <c r="BQ527" i="90"/>
  <c r="BQ528" i="90"/>
  <c r="BQ529" i="90"/>
  <c r="BQ530" i="90"/>
  <c r="BQ531" i="90"/>
  <c r="BQ532" i="90"/>
  <c r="BQ533" i="90"/>
  <c r="BQ534" i="90"/>
  <c r="BQ535" i="90"/>
  <c r="BQ536" i="90"/>
  <c r="BQ537" i="90"/>
  <c r="BQ538" i="90"/>
  <c r="BQ539" i="90"/>
  <c r="BQ540" i="90"/>
  <c r="BQ541" i="90"/>
  <c r="BQ542" i="90"/>
  <c r="BQ543" i="90"/>
  <c r="BQ544" i="90"/>
  <c r="BQ545" i="90"/>
  <c r="BQ546" i="90"/>
  <c r="BQ547" i="90"/>
  <c r="BQ548" i="90"/>
  <c r="BQ549" i="90"/>
  <c r="BQ550" i="90"/>
  <c r="BQ551" i="90"/>
  <c r="BQ552" i="90"/>
  <c r="BQ553" i="90"/>
  <c r="BQ554" i="90"/>
  <c r="BQ555" i="90"/>
  <c r="BQ556" i="90"/>
  <c r="BQ557" i="90"/>
  <c r="BQ558" i="90"/>
  <c r="BQ559" i="90"/>
  <c r="BQ560" i="90"/>
  <c r="BQ561" i="90"/>
  <c r="BQ562" i="90"/>
  <c r="BQ563" i="90"/>
  <c r="BQ564" i="90"/>
  <c r="BQ565" i="90"/>
  <c r="BQ566" i="90"/>
  <c r="BQ567" i="90"/>
  <c r="BQ568" i="90"/>
  <c r="BQ569" i="90"/>
  <c r="BQ570" i="90"/>
  <c r="BQ571" i="90"/>
  <c r="BQ572" i="90"/>
  <c r="BQ573" i="90"/>
  <c r="BQ574" i="90"/>
  <c r="BQ575" i="90"/>
  <c r="BQ576" i="90"/>
  <c r="BQ577" i="90"/>
  <c r="BQ578" i="90"/>
  <c r="BQ579" i="90"/>
  <c r="BQ580" i="90"/>
  <c r="BQ581" i="90"/>
  <c r="BQ582" i="90"/>
  <c r="BQ583" i="90"/>
  <c r="BQ584" i="90"/>
  <c r="BQ585" i="90"/>
  <c r="BQ586" i="90"/>
  <c r="BQ587" i="90"/>
  <c r="BQ588" i="90"/>
  <c r="BQ589" i="90"/>
  <c r="BQ590" i="90"/>
  <c r="BQ591" i="90"/>
  <c r="BQ592" i="90"/>
  <c r="BQ593" i="90"/>
  <c r="BQ594" i="90"/>
  <c r="BQ595" i="90"/>
  <c r="BQ596" i="90"/>
  <c r="BQ597" i="90"/>
  <c r="BQ598" i="90"/>
  <c r="BQ599" i="90"/>
  <c r="BQ600" i="90"/>
  <c r="BQ601" i="90"/>
  <c r="BQ602" i="90"/>
  <c r="BQ603" i="90"/>
  <c r="BQ604" i="90"/>
  <c r="BQ605" i="90"/>
  <c r="BQ606" i="90"/>
  <c r="BQ607" i="90"/>
  <c r="BQ608" i="90"/>
  <c r="BQ609" i="90"/>
  <c r="BQ610" i="90"/>
  <c r="BQ611" i="90"/>
  <c r="BQ612" i="90"/>
  <c r="BQ613" i="90"/>
  <c r="BQ614" i="90"/>
  <c r="BQ615" i="90"/>
  <c r="BQ616" i="90"/>
  <c r="BQ617" i="90"/>
  <c r="BQ618" i="90"/>
  <c r="BQ619" i="90"/>
  <c r="BQ620" i="90"/>
  <c r="BQ621" i="90"/>
  <c r="BQ622" i="90"/>
  <c r="BQ623" i="90"/>
  <c r="BQ624" i="90"/>
  <c r="BQ625" i="90"/>
  <c r="BQ626" i="90"/>
  <c r="BQ627" i="90"/>
  <c r="BQ628" i="90"/>
  <c r="BQ629" i="90"/>
  <c r="BQ630" i="90"/>
  <c r="BQ631" i="90"/>
  <c r="BQ632" i="90"/>
  <c r="BQ633" i="90"/>
  <c r="BQ634" i="90"/>
  <c r="BQ635" i="90"/>
  <c r="BQ636" i="90"/>
  <c r="BQ637" i="90"/>
  <c r="BQ638" i="90"/>
  <c r="BQ639" i="90"/>
  <c r="BQ640" i="90"/>
  <c r="BQ641" i="90"/>
  <c r="BQ642" i="90"/>
  <c r="BQ643" i="90"/>
  <c r="BQ644" i="90"/>
  <c r="BQ5" i="90"/>
  <c r="AP6" i="90" l="1"/>
  <c r="AP7" i="90"/>
  <c r="AP8" i="90"/>
  <c r="AP9" i="90"/>
  <c r="AP10" i="90"/>
  <c r="AP11" i="90"/>
  <c r="AP12" i="90"/>
  <c r="AP13" i="90"/>
  <c r="AP14" i="90"/>
  <c r="AP15" i="90"/>
  <c r="AP16" i="90"/>
  <c r="AP17" i="90"/>
  <c r="AP18" i="90"/>
  <c r="AP19" i="90"/>
  <c r="AP20" i="90"/>
  <c r="AP21" i="90"/>
  <c r="AP22" i="90"/>
  <c r="AP23" i="90"/>
  <c r="AP24" i="90"/>
  <c r="AP25" i="90"/>
  <c r="AP26" i="90"/>
  <c r="AP27" i="90"/>
  <c r="AP28" i="90"/>
  <c r="AP29" i="90"/>
  <c r="AP30" i="90"/>
  <c r="AP31" i="90"/>
  <c r="AP32" i="90"/>
  <c r="AP33" i="90"/>
  <c r="AP34" i="90"/>
  <c r="AP35" i="90"/>
  <c r="AP36" i="90"/>
  <c r="AP37" i="90"/>
  <c r="AP38" i="90"/>
  <c r="AP39" i="90"/>
  <c r="AP40" i="90"/>
  <c r="AP41" i="90"/>
  <c r="AP42" i="90"/>
  <c r="AP43" i="90"/>
  <c r="AP44" i="90"/>
  <c r="AP45" i="90"/>
  <c r="AP46" i="90"/>
  <c r="AP47" i="90"/>
  <c r="AP48" i="90"/>
  <c r="AP49" i="90"/>
  <c r="AP50" i="90"/>
  <c r="AP51" i="90"/>
  <c r="AP52" i="90"/>
  <c r="AP53" i="90"/>
  <c r="AP54" i="90"/>
  <c r="AP55" i="90"/>
  <c r="AP56" i="90"/>
  <c r="AP57" i="90"/>
  <c r="AP58" i="90"/>
  <c r="AP59" i="90"/>
  <c r="AP60" i="90"/>
  <c r="AP61" i="90"/>
  <c r="AP62" i="90"/>
  <c r="AP63" i="90"/>
  <c r="AP64" i="90"/>
  <c r="AP65" i="90"/>
  <c r="AP66" i="90"/>
  <c r="AP67" i="90"/>
  <c r="AP68" i="90"/>
  <c r="AP69" i="90"/>
  <c r="AP70" i="90"/>
  <c r="AP71" i="90"/>
  <c r="AP72" i="90"/>
  <c r="AP73" i="90"/>
  <c r="AP74" i="90"/>
  <c r="AP75" i="90"/>
  <c r="AP76" i="90"/>
  <c r="AP77" i="90"/>
  <c r="AP78" i="90"/>
  <c r="AP79" i="90"/>
  <c r="AP80" i="90"/>
  <c r="AP81" i="90"/>
  <c r="AP82" i="90"/>
  <c r="AP83" i="90"/>
  <c r="AP84" i="90"/>
  <c r="AP85" i="90"/>
  <c r="AP86" i="90"/>
  <c r="AP87" i="90"/>
  <c r="AP88" i="90"/>
  <c r="AP89" i="90"/>
  <c r="AP90" i="90"/>
  <c r="AP91" i="90"/>
  <c r="AP92" i="90"/>
  <c r="AP93" i="90"/>
  <c r="AP94" i="90"/>
  <c r="AP95" i="90"/>
  <c r="AP96" i="90"/>
  <c r="AP97" i="90"/>
  <c r="AP98" i="90"/>
  <c r="AP99" i="90"/>
  <c r="AP100" i="90"/>
  <c r="AP101" i="90"/>
  <c r="AP102" i="90"/>
  <c r="AP103" i="90"/>
  <c r="AP104" i="90"/>
  <c r="AP105" i="90"/>
  <c r="AP106" i="90"/>
  <c r="AP107" i="90"/>
  <c r="AP108" i="90"/>
  <c r="AP109" i="90"/>
  <c r="AP110" i="90"/>
  <c r="AP111" i="90"/>
  <c r="AP112" i="90"/>
  <c r="AP113" i="90"/>
  <c r="AP114" i="90"/>
  <c r="AP115" i="90"/>
  <c r="AP116" i="90"/>
  <c r="AP117" i="90"/>
  <c r="AP118" i="90"/>
  <c r="AP119" i="90"/>
  <c r="AP120" i="90"/>
  <c r="AP121" i="90"/>
  <c r="AP122" i="90"/>
  <c r="AP123" i="90"/>
  <c r="AP124" i="90"/>
  <c r="AP125" i="90"/>
  <c r="AP126" i="90"/>
  <c r="AP127" i="90"/>
  <c r="AP128" i="90"/>
  <c r="AP129" i="90"/>
  <c r="AP130" i="90"/>
  <c r="AP131" i="90"/>
  <c r="AP132" i="90"/>
  <c r="AP133" i="90"/>
  <c r="AP134" i="90"/>
  <c r="AP135" i="90"/>
  <c r="AP136" i="90"/>
  <c r="AP137" i="90"/>
  <c r="AP138" i="90"/>
  <c r="AP139" i="90"/>
  <c r="AP140" i="90"/>
  <c r="AP141" i="90"/>
  <c r="AP142" i="90"/>
  <c r="AP143" i="90"/>
  <c r="AP144" i="90"/>
  <c r="AP145" i="90"/>
  <c r="AP146" i="90"/>
  <c r="AP147" i="90"/>
  <c r="AP148" i="90"/>
  <c r="AP149" i="90"/>
  <c r="AP150" i="90"/>
  <c r="AP151" i="90"/>
  <c r="AP152" i="90"/>
  <c r="AP153" i="90"/>
  <c r="AP154" i="90"/>
  <c r="AP155" i="90"/>
  <c r="AP156" i="90"/>
  <c r="AP157" i="90"/>
  <c r="AP158" i="90"/>
  <c r="AP159" i="90"/>
  <c r="AP160" i="90"/>
  <c r="AP161" i="90"/>
  <c r="AP162" i="90"/>
  <c r="AP163" i="90"/>
  <c r="AP164" i="90"/>
  <c r="AP165" i="90"/>
  <c r="AP166" i="90"/>
  <c r="AP167" i="90"/>
  <c r="AP168" i="90"/>
  <c r="AP169" i="90"/>
  <c r="AP170" i="90"/>
  <c r="AP171" i="90"/>
  <c r="AP172" i="90"/>
  <c r="AP173" i="90"/>
  <c r="AP174" i="90"/>
  <c r="AP175" i="90"/>
  <c r="AP176" i="90"/>
  <c r="AP177" i="90"/>
  <c r="AP178" i="90"/>
  <c r="AP179" i="90"/>
  <c r="AP180" i="90"/>
  <c r="AP181" i="90"/>
  <c r="AP182" i="90"/>
  <c r="AP183" i="90"/>
  <c r="AP184" i="90"/>
  <c r="AP185" i="90"/>
  <c r="AP186" i="90"/>
  <c r="AP187" i="90"/>
  <c r="AP188" i="90"/>
  <c r="AP189" i="90"/>
  <c r="AP190" i="90"/>
  <c r="AP191" i="90"/>
  <c r="AP192" i="90"/>
  <c r="AP193" i="90"/>
  <c r="AP194" i="90"/>
  <c r="AP195" i="90"/>
  <c r="AP196" i="90"/>
  <c r="AP197" i="90"/>
  <c r="AP198" i="90"/>
  <c r="AP199" i="90"/>
  <c r="AP200" i="90"/>
  <c r="AP201" i="90"/>
  <c r="AP202" i="90"/>
  <c r="AP203" i="90"/>
  <c r="AP204" i="90"/>
  <c r="AP205" i="90"/>
  <c r="AP206" i="90"/>
  <c r="AP207" i="90"/>
  <c r="AP208" i="90"/>
  <c r="AP209" i="90"/>
  <c r="AP210" i="90"/>
  <c r="AP211" i="90"/>
  <c r="AP212" i="90"/>
  <c r="AP213" i="90"/>
  <c r="AP214" i="90"/>
  <c r="AP215" i="90"/>
  <c r="AP216" i="90"/>
  <c r="AP217" i="90"/>
  <c r="AP218" i="90"/>
  <c r="AP219" i="90"/>
  <c r="AP220" i="90"/>
  <c r="AP221" i="90"/>
  <c r="AP222" i="90"/>
  <c r="AP223" i="90"/>
  <c r="AP224" i="90"/>
  <c r="AP225" i="90"/>
  <c r="AP226" i="90"/>
  <c r="AP227" i="90"/>
  <c r="AP228" i="90"/>
  <c r="AP229" i="90"/>
  <c r="AP230" i="90"/>
  <c r="AP231" i="90"/>
  <c r="AP232" i="90"/>
  <c r="AP233" i="90"/>
  <c r="AP234" i="90"/>
  <c r="AP235" i="90"/>
  <c r="AP236" i="90"/>
  <c r="AP237" i="90"/>
  <c r="AP238" i="90"/>
  <c r="AP239" i="90"/>
  <c r="AP240" i="90"/>
  <c r="AP241" i="90"/>
  <c r="AP242" i="90"/>
  <c r="AP243" i="90"/>
  <c r="AP244" i="90"/>
  <c r="AP245" i="90"/>
  <c r="AP246" i="90"/>
  <c r="AP247" i="90"/>
  <c r="AP248" i="90"/>
  <c r="AP249" i="90"/>
  <c r="AP250" i="90"/>
  <c r="AP251" i="90"/>
  <c r="AP252" i="90"/>
  <c r="AP253" i="90"/>
  <c r="AP254" i="90"/>
  <c r="AP255" i="90"/>
  <c r="AP256" i="90"/>
  <c r="AP257" i="90"/>
  <c r="AP258" i="90"/>
  <c r="AP259" i="90"/>
  <c r="AP260" i="90"/>
  <c r="AP261" i="90"/>
  <c r="AP262" i="90"/>
  <c r="AP263" i="90"/>
  <c r="AP264" i="90"/>
  <c r="AP265" i="90"/>
  <c r="AP266" i="90"/>
  <c r="AP267" i="90"/>
  <c r="AP268" i="90"/>
  <c r="AP269" i="90"/>
  <c r="AP270" i="90"/>
  <c r="AP271" i="90"/>
  <c r="AP272" i="90"/>
  <c r="AP273" i="90"/>
  <c r="AP274" i="90"/>
  <c r="AP275" i="90"/>
  <c r="AP276" i="90"/>
  <c r="AP277" i="90"/>
  <c r="AP278" i="90"/>
  <c r="AP279" i="90"/>
  <c r="AP280" i="90"/>
  <c r="AP281" i="90"/>
  <c r="AP282" i="90"/>
  <c r="AP283" i="90"/>
  <c r="AP284" i="90"/>
  <c r="AP285" i="90"/>
  <c r="AP286" i="90"/>
  <c r="AP287" i="90"/>
  <c r="AP288" i="90"/>
  <c r="AP289" i="90"/>
  <c r="AP290" i="90"/>
  <c r="AP291" i="90"/>
  <c r="AP292" i="90"/>
  <c r="AP293" i="90"/>
  <c r="AP294" i="90"/>
  <c r="AP295" i="90"/>
  <c r="AP296" i="90"/>
  <c r="AP297" i="90"/>
  <c r="AP298" i="90"/>
  <c r="AP299" i="90"/>
  <c r="AP300" i="90"/>
  <c r="AP301" i="90"/>
  <c r="AP302" i="90"/>
  <c r="AP303" i="90"/>
  <c r="AP304" i="90"/>
  <c r="AP305" i="90"/>
  <c r="AP306" i="90"/>
  <c r="AP307" i="90"/>
  <c r="AP308" i="90"/>
  <c r="AP309" i="90"/>
  <c r="AP310" i="90"/>
  <c r="AP311" i="90"/>
  <c r="AP312" i="90"/>
  <c r="AP313" i="90"/>
  <c r="AP314" i="90"/>
  <c r="AP315" i="90"/>
  <c r="AP316" i="90"/>
  <c r="AP317" i="90"/>
  <c r="AP318" i="90"/>
  <c r="AP319" i="90"/>
  <c r="AP320" i="90"/>
  <c r="AP321" i="90"/>
  <c r="AP322" i="90"/>
  <c r="AP323" i="90"/>
  <c r="AP324" i="90"/>
  <c r="AP325" i="90"/>
  <c r="AP326" i="90"/>
  <c r="AP327" i="90"/>
  <c r="AP328" i="90"/>
  <c r="AP329" i="90"/>
  <c r="AP330" i="90"/>
  <c r="AP331" i="90"/>
  <c r="AP332" i="90"/>
  <c r="AP333" i="90"/>
  <c r="AP334" i="90"/>
  <c r="AP335" i="90"/>
  <c r="AP336" i="90"/>
  <c r="AP337" i="90"/>
  <c r="AP338" i="90"/>
  <c r="AP339" i="90"/>
  <c r="AP340" i="90"/>
  <c r="AP341" i="90"/>
  <c r="AP342" i="90"/>
  <c r="AP343" i="90"/>
  <c r="AP344" i="90"/>
  <c r="AP345" i="90"/>
  <c r="AP346" i="90"/>
  <c r="AP347" i="90"/>
  <c r="AP348" i="90"/>
  <c r="AP349" i="90"/>
  <c r="AP350" i="90"/>
  <c r="AP351" i="90"/>
  <c r="AP352" i="90"/>
  <c r="AP353" i="90"/>
  <c r="AP354" i="90"/>
  <c r="AP355" i="90"/>
  <c r="AP356" i="90"/>
  <c r="AP357" i="90"/>
  <c r="AP358" i="90"/>
  <c r="AP359" i="90"/>
  <c r="AP360" i="90"/>
  <c r="AP361" i="90"/>
  <c r="AP362" i="90"/>
  <c r="AP363" i="90"/>
  <c r="AP364" i="90"/>
  <c r="AP365" i="90"/>
  <c r="AP366" i="90"/>
  <c r="AP367" i="90"/>
  <c r="AP368" i="90"/>
  <c r="AP369" i="90"/>
  <c r="AP370" i="90"/>
  <c r="AP371" i="90"/>
  <c r="AP372" i="90"/>
  <c r="AP373" i="90"/>
  <c r="AP374" i="90"/>
  <c r="AP375" i="90"/>
  <c r="AP376" i="90"/>
  <c r="AP377" i="90"/>
  <c r="AP378" i="90"/>
  <c r="AP379" i="90"/>
  <c r="AP380" i="90"/>
  <c r="AP381" i="90"/>
  <c r="AP382" i="90"/>
  <c r="AP383" i="90"/>
  <c r="AP384" i="90"/>
  <c r="AP385" i="90"/>
  <c r="AP386" i="90"/>
  <c r="AP387" i="90"/>
  <c r="AP388" i="90"/>
  <c r="AP389" i="90"/>
  <c r="AP390" i="90"/>
  <c r="AP391" i="90"/>
  <c r="AP392" i="90"/>
  <c r="AP393" i="90"/>
  <c r="AP394" i="90"/>
  <c r="AP395" i="90"/>
  <c r="AP396" i="90"/>
  <c r="AP397" i="90"/>
  <c r="AP398" i="90"/>
  <c r="AP399" i="90"/>
  <c r="AP400" i="90"/>
  <c r="AP401" i="90"/>
  <c r="AP402" i="90"/>
  <c r="AP403" i="90"/>
  <c r="AP404" i="90"/>
  <c r="AP405" i="90"/>
  <c r="AP406" i="90"/>
  <c r="AP407" i="90"/>
  <c r="AP408" i="90"/>
  <c r="AP409" i="90"/>
  <c r="AP410" i="90"/>
  <c r="AP411" i="90"/>
  <c r="AP412" i="90"/>
  <c r="AP413" i="90"/>
  <c r="AP414" i="90"/>
  <c r="AP415" i="90"/>
  <c r="AP416" i="90"/>
  <c r="AP417" i="90"/>
  <c r="AP418" i="90"/>
  <c r="AP419" i="90"/>
  <c r="AP420" i="90"/>
  <c r="AP421" i="90"/>
  <c r="AP422" i="90"/>
  <c r="AP423" i="90"/>
  <c r="AP424" i="90"/>
  <c r="AP425" i="90"/>
  <c r="AP426" i="90"/>
  <c r="AP427" i="90"/>
  <c r="AP428" i="90"/>
  <c r="AP429" i="90"/>
  <c r="AP430" i="90"/>
  <c r="AP431" i="90"/>
  <c r="AP432" i="90"/>
  <c r="AP433" i="90"/>
  <c r="AP434" i="90"/>
  <c r="AP435" i="90"/>
  <c r="AP436" i="90"/>
  <c r="AP437" i="90"/>
  <c r="AP438" i="90"/>
  <c r="AP439" i="90"/>
  <c r="AP440" i="90"/>
  <c r="AP441" i="90"/>
  <c r="AP442" i="90"/>
  <c r="AP443" i="90"/>
  <c r="AP444" i="90"/>
  <c r="AP445" i="90"/>
  <c r="AP446" i="90"/>
  <c r="AP447" i="90"/>
  <c r="AP448" i="90"/>
  <c r="AP449" i="90"/>
  <c r="AP450" i="90"/>
  <c r="AP451" i="90"/>
  <c r="AP452" i="90"/>
  <c r="AP453" i="90"/>
  <c r="AP454" i="90"/>
  <c r="AP455" i="90"/>
  <c r="AP456" i="90"/>
  <c r="AP457" i="90"/>
  <c r="AP458" i="90"/>
  <c r="AP459" i="90"/>
  <c r="AP460" i="90"/>
  <c r="AP461" i="90"/>
  <c r="AP462" i="90"/>
  <c r="AP463" i="90"/>
  <c r="AP464" i="90"/>
  <c r="AP465" i="90"/>
  <c r="AP466" i="90"/>
  <c r="AP467" i="90"/>
  <c r="AP468" i="90"/>
  <c r="AP469" i="90"/>
  <c r="AP470" i="90"/>
  <c r="AP471" i="90"/>
  <c r="AP472" i="90"/>
  <c r="AP473" i="90"/>
  <c r="AP474" i="90"/>
  <c r="AP475" i="90"/>
  <c r="AP476" i="90"/>
  <c r="AP477" i="90"/>
  <c r="AP478" i="90"/>
  <c r="AP479" i="90"/>
  <c r="AP480" i="90"/>
  <c r="AP481" i="90"/>
  <c r="AP482" i="90"/>
  <c r="AP483" i="90"/>
  <c r="AP484" i="90"/>
  <c r="AP485" i="90"/>
  <c r="AP486" i="90"/>
  <c r="AP487" i="90"/>
  <c r="AP488" i="90"/>
  <c r="AP489" i="90"/>
  <c r="AP490" i="90"/>
  <c r="AP491" i="90"/>
  <c r="AP492" i="90"/>
  <c r="AP493" i="90"/>
  <c r="AP494" i="90"/>
  <c r="AP495" i="90"/>
  <c r="AP496" i="90"/>
  <c r="AP497" i="90"/>
  <c r="AP498" i="90"/>
  <c r="AP499" i="90"/>
  <c r="AP500" i="90"/>
  <c r="AP501" i="90"/>
  <c r="AP502" i="90"/>
  <c r="AP503" i="90"/>
  <c r="AP504" i="90"/>
  <c r="AP505" i="90"/>
  <c r="AP506" i="90"/>
  <c r="AP507" i="90"/>
  <c r="AP508" i="90"/>
  <c r="AP509" i="90"/>
  <c r="AP510" i="90"/>
  <c r="AP511" i="90"/>
  <c r="AP512" i="90"/>
  <c r="AP513" i="90"/>
  <c r="AP514" i="90"/>
  <c r="AP515" i="90"/>
  <c r="AP516" i="90"/>
  <c r="AP517" i="90"/>
  <c r="AP518" i="90"/>
  <c r="AP519" i="90"/>
  <c r="AP520" i="90"/>
  <c r="AP521" i="90"/>
  <c r="AP522" i="90"/>
  <c r="AP523" i="90"/>
  <c r="AP524" i="90"/>
  <c r="AP525" i="90"/>
  <c r="AP526" i="90"/>
  <c r="AP527" i="90"/>
  <c r="AP528" i="90"/>
  <c r="AP529" i="90"/>
  <c r="AP530" i="90"/>
  <c r="AP531" i="90"/>
  <c r="AP532" i="90"/>
  <c r="AP533" i="90"/>
  <c r="AP534" i="90"/>
  <c r="AP535" i="90"/>
  <c r="AP536" i="90"/>
  <c r="AP537" i="90"/>
  <c r="AP538" i="90"/>
  <c r="AP539" i="90"/>
  <c r="AP540" i="90"/>
  <c r="AP541" i="90"/>
  <c r="AP542" i="90"/>
  <c r="AP543" i="90"/>
  <c r="AP544" i="90"/>
  <c r="AP545" i="90"/>
  <c r="AP546" i="90"/>
  <c r="AP547" i="90"/>
  <c r="AP548" i="90"/>
  <c r="AP549" i="90"/>
  <c r="AP550" i="90"/>
  <c r="AP551" i="90"/>
  <c r="AP552" i="90"/>
  <c r="AP553" i="90"/>
  <c r="AP554" i="90"/>
  <c r="AP555" i="90"/>
  <c r="AP556" i="90"/>
  <c r="AP557" i="90"/>
  <c r="AP558" i="90"/>
  <c r="AP559" i="90"/>
  <c r="AP560" i="90"/>
  <c r="AP561" i="90"/>
  <c r="AP562" i="90"/>
  <c r="AP563" i="90"/>
  <c r="AP564" i="90"/>
  <c r="AP565" i="90"/>
  <c r="AP566" i="90"/>
  <c r="AP567" i="90"/>
  <c r="AP568" i="90"/>
  <c r="AP569" i="90"/>
  <c r="AP570" i="90"/>
  <c r="AP571" i="90"/>
  <c r="AP572" i="90"/>
  <c r="AP573" i="90"/>
  <c r="AP574" i="90"/>
  <c r="AP575" i="90"/>
  <c r="AP576" i="90"/>
  <c r="AP577" i="90"/>
  <c r="AP578" i="90"/>
  <c r="AP579" i="90"/>
  <c r="AP580" i="90"/>
  <c r="AP581" i="90"/>
  <c r="AP582" i="90"/>
  <c r="AP583" i="90"/>
  <c r="AP584" i="90"/>
  <c r="AP585" i="90"/>
  <c r="AP586" i="90"/>
  <c r="AP587" i="90"/>
  <c r="AP588" i="90"/>
  <c r="AP589" i="90"/>
  <c r="AP590" i="90"/>
  <c r="AP591" i="90"/>
  <c r="AP592" i="90"/>
  <c r="AP593" i="90"/>
  <c r="AP594" i="90"/>
  <c r="AP595" i="90"/>
  <c r="AP596" i="90"/>
  <c r="AP597" i="90"/>
  <c r="AP598" i="90"/>
  <c r="AP599" i="90"/>
  <c r="AP600" i="90"/>
  <c r="AP601" i="90"/>
  <c r="AP602" i="90"/>
  <c r="AP603" i="90"/>
  <c r="AP604" i="90"/>
  <c r="AP605" i="90"/>
  <c r="AP606" i="90"/>
  <c r="AP607" i="90"/>
  <c r="AP608" i="90"/>
  <c r="AP609" i="90"/>
  <c r="AP610" i="90"/>
  <c r="AP611" i="90"/>
  <c r="AP612" i="90"/>
  <c r="AP613" i="90"/>
  <c r="AP614" i="90"/>
  <c r="AP615" i="90"/>
  <c r="AP616" i="90"/>
  <c r="AP617" i="90"/>
  <c r="AP618" i="90"/>
  <c r="AP619" i="90"/>
  <c r="AP620" i="90"/>
  <c r="AP621" i="90"/>
  <c r="AP622" i="90"/>
  <c r="AP623" i="90"/>
  <c r="AP624" i="90"/>
  <c r="AP625" i="90"/>
  <c r="AP626" i="90"/>
  <c r="AP627" i="90"/>
  <c r="AP628" i="90"/>
  <c r="AP629" i="90"/>
  <c r="AP630" i="90"/>
  <c r="AP631" i="90"/>
  <c r="AP632" i="90"/>
  <c r="AP633" i="90"/>
  <c r="AP634" i="90"/>
  <c r="AP635" i="90"/>
  <c r="AP636" i="90"/>
  <c r="AP637" i="90"/>
  <c r="AP638" i="90"/>
  <c r="AP639" i="90"/>
  <c r="AP640" i="90"/>
  <c r="AP641" i="90"/>
  <c r="AP642" i="90"/>
  <c r="AP643" i="90"/>
  <c r="AP644" i="90"/>
  <c r="AP645" i="90"/>
  <c r="AP646" i="90"/>
  <c r="AP647" i="90"/>
  <c r="AP648" i="90"/>
  <c r="AP649" i="90"/>
  <c r="AP650" i="90"/>
  <c r="AP651" i="90"/>
  <c r="AP652" i="90"/>
  <c r="AP653" i="90"/>
  <c r="AP654" i="90"/>
  <c r="AP655" i="90"/>
  <c r="AP656" i="90"/>
  <c r="AP657" i="90"/>
  <c r="AP658" i="90"/>
  <c r="AP659" i="90"/>
  <c r="AP660" i="90"/>
  <c r="AP661" i="90"/>
  <c r="AP662" i="90"/>
  <c r="AP663" i="90"/>
  <c r="AP664" i="90"/>
  <c r="AP665" i="90"/>
  <c r="AP666" i="90"/>
  <c r="AP667" i="90"/>
  <c r="AP668" i="90"/>
  <c r="AP669" i="90"/>
  <c r="AP670" i="90"/>
  <c r="AP671" i="90"/>
  <c r="AP672" i="90"/>
  <c r="AP673" i="90"/>
  <c r="AP674" i="90"/>
  <c r="AP675" i="90"/>
  <c r="AP676" i="90"/>
  <c r="AP677" i="90"/>
  <c r="AP678" i="90"/>
  <c r="AP679" i="90"/>
  <c r="AP680" i="90"/>
  <c r="AP681" i="90"/>
  <c r="AP682" i="90"/>
  <c r="AP683" i="90"/>
  <c r="AP684" i="90"/>
  <c r="AP685" i="90"/>
  <c r="AP686" i="90"/>
  <c r="AP687" i="90"/>
  <c r="AP688" i="90"/>
  <c r="AP689" i="90"/>
  <c r="AP690" i="90"/>
  <c r="AP691" i="90"/>
  <c r="AP692" i="90"/>
  <c r="AP693" i="90"/>
  <c r="AP694" i="90"/>
  <c r="AP695" i="90"/>
  <c r="AP696" i="90"/>
  <c r="AP697" i="90"/>
  <c r="AP698" i="90"/>
  <c r="AP699" i="90"/>
  <c r="AP700" i="90"/>
  <c r="AP701" i="90"/>
  <c r="AP702" i="90"/>
  <c r="AP703" i="90"/>
  <c r="AP704" i="90"/>
  <c r="AP705" i="90"/>
  <c r="AP706" i="90"/>
  <c r="AP707" i="90"/>
  <c r="AP708" i="90"/>
  <c r="AP709" i="90"/>
  <c r="AP710" i="90"/>
  <c r="AP711" i="90"/>
  <c r="AP712" i="90"/>
  <c r="AP713" i="90"/>
  <c r="AP714" i="90"/>
  <c r="AP715" i="90"/>
  <c r="AP716" i="90"/>
  <c r="AP717" i="90"/>
  <c r="AP718" i="90"/>
  <c r="AP719" i="90"/>
  <c r="AP720" i="90"/>
  <c r="AP721" i="90"/>
  <c r="AP722" i="90"/>
  <c r="AP723" i="90"/>
  <c r="AP724" i="90"/>
  <c r="AP725" i="90"/>
  <c r="AP726" i="90"/>
  <c r="AP727" i="90"/>
  <c r="AP728" i="90"/>
  <c r="AP729" i="90"/>
  <c r="AP730" i="90"/>
  <c r="AP731" i="90"/>
  <c r="AP732" i="90"/>
  <c r="AP733" i="90"/>
  <c r="AP734" i="90"/>
  <c r="AP735" i="90"/>
  <c r="AP736" i="90"/>
  <c r="AP737" i="90"/>
  <c r="AP738" i="90"/>
  <c r="AP739" i="90"/>
  <c r="AP740" i="90"/>
  <c r="AP741" i="90"/>
  <c r="AP742" i="90"/>
  <c r="AP743" i="90"/>
  <c r="AP744" i="90"/>
  <c r="AP745" i="90"/>
  <c r="AP746" i="90"/>
  <c r="AP747" i="90"/>
  <c r="AP748" i="90"/>
  <c r="AP749" i="90"/>
  <c r="AP750" i="90"/>
  <c r="AP751" i="90"/>
  <c r="AP752" i="90"/>
  <c r="AP753" i="90"/>
  <c r="AP754" i="90"/>
  <c r="AP755" i="90"/>
  <c r="AP756" i="90"/>
  <c r="AP757" i="90"/>
  <c r="AP758" i="90"/>
  <c r="AP759" i="90"/>
  <c r="AP760" i="90"/>
  <c r="AP761" i="90"/>
  <c r="AP762" i="90"/>
  <c r="AP763" i="90"/>
  <c r="AP764" i="90"/>
  <c r="AP765" i="90"/>
  <c r="AP766" i="90"/>
  <c r="AP767" i="90"/>
  <c r="AP768" i="90"/>
  <c r="AP769" i="90"/>
  <c r="AP770" i="90"/>
  <c r="AP771" i="90"/>
  <c r="AP772" i="90"/>
  <c r="AP773" i="90"/>
  <c r="AP774" i="90"/>
  <c r="AP775" i="90"/>
  <c r="AP776" i="90"/>
  <c r="AP777" i="90"/>
  <c r="AP778" i="90"/>
  <c r="AP779" i="90"/>
  <c r="AP780" i="90"/>
  <c r="AP781" i="90"/>
  <c r="AP782" i="90"/>
  <c r="AP783" i="90"/>
  <c r="AP784" i="90"/>
  <c r="AP785" i="90"/>
  <c r="AP786" i="90"/>
  <c r="AP787" i="90"/>
  <c r="AP788" i="90"/>
  <c r="AP789" i="90"/>
  <c r="AP790" i="90"/>
  <c r="AP791" i="90"/>
  <c r="AP792" i="90"/>
  <c r="AP793" i="90"/>
  <c r="AP794" i="90"/>
  <c r="AP795" i="90"/>
  <c r="AP796" i="90"/>
  <c r="AP797" i="90"/>
  <c r="AP798" i="90"/>
  <c r="AP799" i="90"/>
  <c r="AP800" i="90"/>
  <c r="AP801" i="90"/>
  <c r="AP802" i="90"/>
  <c r="AP803" i="90"/>
  <c r="AP804" i="90"/>
  <c r="AP805" i="90"/>
  <c r="AP806" i="90"/>
  <c r="AP807" i="90"/>
  <c r="AP808" i="90"/>
  <c r="AP809" i="90"/>
  <c r="AP810" i="90"/>
  <c r="AP811" i="90"/>
  <c r="AP812" i="90"/>
  <c r="AP813" i="90"/>
  <c r="AP814" i="90"/>
  <c r="AP815" i="90"/>
  <c r="AP816" i="90"/>
  <c r="AP817" i="90"/>
  <c r="AP818" i="90"/>
  <c r="AP819" i="90"/>
  <c r="AP820" i="90"/>
  <c r="AP821" i="90"/>
  <c r="AP822" i="90"/>
  <c r="AP823" i="90"/>
  <c r="AP824" i="90"/>
  <c r="AP825" i="90"/>
  <c r="AP826" i="90"/>
  <c r="AP827" i="90"/>
  <c r="AP828" i="90"/>
  <c r="AP829" i="90"/>
  <c r="AP830" i="90"/>
  <c r="AP831" i="90"/>
  <c r="AP832" i="90"/>
  <c r="AP833" i="90"/>
  <c r="AP834" i="90"/>
  <c r="AP835" i="90"/>
  <c r="AP836" i="90"/>
  <c r="AP837" i="90"/>
  <c r="AP838" i="90"/>
  <c r="AP839" i="90"/>
  <c r="AP840" i="90"/>
  <c r="AP841" i="90"/>
  <c r="AP842" i="90"/>
  <c r="AP843" i="90"/>
  <c r="AP844" i="90"/>
  <c r="AP845" i="90"/>
  <c r="AP846" i="90"/>
  <c r="AP847" i="90"/>
  <c r="AP848" i="90"/>
  <c r="AP849" i="90"/>
  <c r="AP850" i="90"/>
  <c r="AP851" i="90"/>
  <c r="AP852" i="90"/>
  <c r="AP853" i="90"/>
  <c r="AP854" i="90"/>
  <c r="AP855" i="90"/>
  <c r="AP856" i="90"/>
  <c r="AP857" i="90"/>
  <c r="AP858" i="90"/>
  <c r="AP859" i="90"/>
  <c r="AP860" i="90"/>
  <c r="AP861" i="90"/>
  <c r="AP862" i="90"/>
  <c r="AP863" i="90"/>
  <c r="AP864" i="90"/>
  <c r="AP865" i="90"/>
  <c r="AP866" i="90"/>
  <c r="AP867" i="90"/>
  <c r="AP868" i="90"/>
  <c r="AP869" i="90"/>
  <c r="AP870" i="90"/>
  <c r="AP871" i="90"/>
  <c r="AP872" i="90"/>
  <c r="AP873" i="90"/>
  <c r="AP874" i="90"/>
  <c r="AP875" i="90"/>
  <c r="AP876" i="90"/>
  <c r="AP877" i="90"/>
  <c r="AP878" i="90"/>
  <c r="AP879" i="90"/>
  <c r="AP880" i="90"/>
  <c r="AP881" i="90"/>
  <c r="AP882" i="90"/>
  <c r="AP883" i="90"/>
  <c r="AP884" i="90"/>
  <c r="AP885" i="90"/>
  <c r="AP886" i="90"/>
  <c r="AP887" i="90"/>
  <c r="AP888" i="90"/>
  <c r="AP889" i="90"/>
  <c r="AP890" i="90"/>
  <c r="AP891" i="90"/>
  <c r="AP892" i="90"/>
  <c r="AP893" i="90"/>
  <c r="AP894" i="90"/>
  <c r="AP895" i="90"/>
  <c r="AP896" i="90"/>
  <c r="AP897" i="90"/>
  <c r="AP898" i="90"/>
  <c r="AP899" i="90"/>
  <c r="AP900" i="90"/>
  <c r="AP901" i="90"/>
  <c r="AP902" i="90"/>
  <c r="AP903" i="90"/>
  <c r="AP904" i="90"/>
  <c r="AP905" i="90"/>
  <c r="AP906" i="90"/>
  <c r="AP907" i="90"/>
  <c r="AP908" i="90"/>
  <c r="AP909" i="90"/>
  <c r="AP910" i="90"/>
  <c r="AP911" i="90"/>
  <c r="AP912" i="90"/>
  <c r="AP913" i="90"/>
  <c r="AP914" i="90"/>
  <c r="AP915" i="90"/>
  <c r="AP916" i="90"/>
  <c r="AP917" i="90"/>
  <c r="AP918" i="90"/>
  <c r="AP919" i="90"/>
  <c r="AP920" i="90"/>
  <c r="AP921" i="90"/>
  <c r="AP922" i="90"/>
  <c r="AP923" i="90"/>
  <c r="AP924" i="90"/>
  <c r="AP925" i="90"/>
  <c r="AP926" i="90"/>
  <c r="AP927" i="90"/>
  <c r="AP928" i="90"/>
  <c r="AP929" i="90"/>
  <c r="AP930" i="90"/>
  <c r="AP931" i="90"/>
  <c r="AP932" i="90"/>
  <c r="AP933" i="90"/>
  <c r="AP934" i="90"/>
  <c r="AP935" i="90"/>
  <c r="AP936" i="90"/>
  <c r="AP937" i="90"/>
  <c r="AP938" i="90"/>
  <c r="AP939" i="90"/>
  <c r="AP940" i="90"/>
  <c r="AP941" i="90"/>
  <c r="AP942" i="90"/>
  <c r="AP943" i="90"/>
  <c r="AP944" i="90"/>
  <c r="AP945" i="90"/>
  <c r="AP946" i="90"/>
  <c r="AP947" i="90"/>
  <c r="AP948" i="90"/>
  <c r="AP949" i="90"/>
  <c r="AP950" i="90"/>
  <c r="AP951" i="90"/>
  <c r="AP952" i="90"/>
  <c r="AP953" i="90"/>
  <c r="AP954" i="90"/>
  <c r="AP955" i="90"/>
  <c r="AP956" i="90"/>
  <c r="AP957" i="90"/>
  <c r="AP958" i="90"/>
  <c r="AP959" i="90"/>
  <c r="AP960" i="90"/>
  <c r="AP961" i="90"/>
  <c r="AP962" i="90"/>
  <c r="AP963" i="90"/>
  <c r="AP964" i="90"/>
  <c r="AP965" i="90"/>
  <c r="AP966" i="90"/>
  <c r="AP967" i="90"/>
  <c r="AP968" i="90"/>
  <c r="AP969" i="90"/>
  <c r="AP970" i="90"/>
  <c r="AP971" i="90"/>
  <c r="AP972" i="90"/>
  <c r="AP973" i="90"/>
  <c r="AP974" i="90"/>
  <c r="AP975" i="90"/>
  <c r="AP976" i="90"/>
  <c r="AP977" i="90"/>
  <c r="AP978" i="90"/>
  <c r="AP979" i="90"/>
  <c r="AP980" i="90"/>
  <c r="AP981" i="90"/>
  <c r="AP982" i="90"/>
  <c r="AP983" i="90"/>
  <c r="AP984" i="90"/>
  <c r="AP985" i="90"/>
  <c r="AP986" i="90"/>
  <c r="AP987" i="90"/>
  <c r="AP988" i="90"/>
  <c r="AP989" i="90"/>
  <c r="AP990" i="90"/>
  <c r="AP991" i="90"/>
  <c r="AP992" i="90"/>
  <c r="AP993" i="90"/>
  <c r="AP994" i="90"/>
  <c r="AP995" i="90"/>
  <c r="AP996" i="90"/>
  <c r="AP997" i="90"/>
  <c r="AP998" i="90"/>
  <c r="AP999" i="90"/>
  <c r="AP1000" i="90"/>
  <c r="AP1001" i="90"/>
  <c r="AP1002" i="90"/>
  <c r="AP1003" i="90"/>
  <c r="AP1004" i="90"/>
  <c r="AP1005" i="90"/>
  <c r="AP1006" i="90"/>
  <c r="AP1007" i="90"/>
  <c r="AP1008" i="90"/>
  <c r="AP1009" i="90"/>
  <c r="AP1010" i="90"/>
  <c r="AP1011" i="90"/>
  <c r="AP1012" i="90"/>
  <c r="AP1013" i="90"/>
  <c r="AP1014" i="90"/>
  <c r="AP1015" i="90"/>
  <c r="AP1016" i="90"/>
  <c r="AP1017" i="90"/>
  <c r="AP1018" i="90"/>
  <c r="AP1019" i="90"/>
  <c r="AP1020" i="90"/>
  <c r="AP1021" i="90"/>
  <c r="AP1022" i="90"/>
  <c r="AP1023" i="90"/>
  <c r="AP1024" i="90"/>
  <c r="AP1025" i="90"/>
  <c r="AP1026" i="90"/>
  <c r="AP1027" i="90"/>
  <c r="AP1028" i="90"/>
  <c r="AP1029" i="90"/>
  <c r="AP1030" i="90"/>
  <c r="AP1031" i="90"/>
  <c r="AP1032" i="90"/>
  <c r="AP1033" i="90"/>
  <c r="AP1034" i="90"/>
  <c r="AP1035" i="90"/>
  <c r="AP1036" i="90"/>
  <c r="AP1037" i="90"/>
  <c r="AP1038" i="90"/>
  <c r="AP1039" i="90"/>
  <c r="AP1040" i="90"/>
  <c r="AP1041" i="90"/>
  <c r="AP1042" i="90"/>
  <c r="AP1043" i="90"/>
  <c r="AP1044" i="90"/>
  <c r="AP1045" i="90"/>
  <c r="AP1046" i="90"/>
  <c r="AP1047" i="90"/>
  <c r="AP1048" i="90"/>
  <c r="AP1049" i="90"/>
  <c r="AP1050" i="90"/>
  <c r="AP1051" i="90"/>
  <c r="AP1052" i="90"/>
  <c r="AP1053" i="90"/>
  <c r="AP1054" i="90"/>
  <c r="AP1055" i="90"/>
  <c r="AP1056" i="90"/>
  <c r="AP1057" i="90"/>
  <c r="AP1058" i="90"/>
  <c r="AP1059" i="90"/>
  <c r="AP1060" i="90"/>
  <c r="AP1061" i="90"/>
  <c r="AP1062" i="90"/>
  <c r="AP1063" i="90"/>
  <c r="AP1064" i="90"/>
  <c r="AP1065" i="90"/>
  <c r="AP1066" i="90"/>
  <c r="AP1067" i="90"/>
  <c r="AP1068" i="90"/>
  <c r="AP1069" i="90"/>
  <c r="AP1070" i="90"/>
  <c r="AP1071" i="90"/>
  <c r="AP1072" i="90"/>
  <c r="AP1073" i="90"/>
  <c r="AP1074" i="90"/>
  <c r="AP1075" i="90"/>
  <c r="AP1076" i="90"/>
  <c r="AP1077" i="90"/>
  <c r="AP1078" i="90"/>
  <c r="AP1079" i="90"/>
  <c r="AP1080" i="90"/>
  <c r="AP1081" i="90"/>
  <c r="AP1082" i="90"/>
  <c r="AP1083" i="90"/>
  <c r="AP1084" i="90"/>
  <c r="AP1085" i="90"/>
  <c r="AP1086" i="90"/>
  <c r="AP1087" i="90"/>
  <c r="AP1088" i="90"/>
  <c r="AP1089" i="90"/>
  <c r="AP1090" i="90"/>
  <c r="AP1091" i="90"/>
  <c r="AP1092" i="90"/>
  <c r="AP1093" i="90"/>
  <c r="AP1094" i="90"/>
  <c r="AP1095" i="90"/>
  <c r="AP1096" i="90"/>
  <c r="AP1097" i="90"/>
  <c r="AP1098" i="90"/>
  <c r="AP1099" i="90"/>
  <c r="AP1100" i="90"/>
  <c r="AP1101" i="90"/>
  <c r="AP1102" i="90"/>
  <c r="AP1103" i="90"/>
  <c r="AP1104" i="90"/>
  <c r="AP1105" i="90"/>
  <c r="AP1106" i="90"/>
  <c r="AP1107" i="90"/>
  <c r="AP1108" i="90"/>
  <c r="AP1109" i="90"/>
  <c r="AP1110" i="90"/>
  <c r="AP1111" i="90"/>
  <c r="AP1112" i="90"/>
  <c r="AP1113" i="90"/>
  <c r="AP1114" i="90"/>
  <c r="AP1115" i="90"/>
  <c r="AP1116" i="90"/>
  <c r="AP1117" i="90"/>
  <c r="AP1118" i="90"/>
  <c r="AP1119" i="90"/>
  <c r="AP1120" i="90"/>
  <c r="AP1121" i="90"/>
  <c r="AP1122" i="90"/>
  <c r="AP1123" i="90"/>
  <c r="AP1124" i="90"/>
  <c r="AP1125" i="90"/>
  <c r="AP1126" i="90"/>
  <c r="AP1127" i="90"/>
  <c r="AP1128" i="90"/>
  <c r="AP1129" i="90"/>
  <c r="AP1130" i="90"/>
  <c r="AP1131" i="90"/>
  <c r="AP1132" i="90"/>
  <c r="AP1133" i="90"/>
  <c r="AP1134" i="90"/>
  <c r="AP1135" i="90"/>
  <c r="AP1136" i="90"/>
  <c r="AP1137" i="90"/>
  <c r="AP1138" i="90"/>
  <c r="AP1139" i="90"/>
  <c r="AP1140" i="90"/>
  <c r="AP1141" i="90"/>
  <c r="AP1142" i="90"/>
  <c r="AP1143" i="90"/>
  <c r="AP1144" i="90"/>
  <c r="AP1145" i="90"/>
  <c r="AP1146" i="90"/>
  <c r="AP1147" i="90"/>
  <c r="AP1148" i="90"/>
  <c r="AP1149" i="90"/>
  <c r="AP1150" i="90"/>
  <c r="AP1151" i="90"/>
  <c r="AP1152" i="90"/>
  <c r="AP1153" i="90"/>
  <c r="AP1154" i="90"/>
  <c r="AP1155" i="90"/>
  <c r="AP1156" i="90"/>
  <c r="AP1157" i="90"/>
  <c r="AP1158" i="90"/>
  <c r="AP1159" i="90"/>
  <c r="AP1160" i="90"/>
  <c r="AP1161" i="90"/>
  <c r="AP1162" i="90"/>
  <c r="AP1163" i="90"/>
  <c r="AP1164" i="90"/>
  <c r="AP1165" i="90"/>
  <c r="AP1166" i="90"/>
  <c r="AP1167" i="90"/>
  <c r="AP1168" i="90"/>
  <c r="AP1169" i="90"/>
  <c r="AP1170" i="90"/>
  <c r="AP1171" i="90"/>
  <c r="AP1172" i="90"/>
  <c r="AP1173" i="90"/>
  <c r="AP1174" i="90"/>
  <c r="AP1175" i="90"/>
  <c r="AP1176" i="90"/>
  <c r="AP1177" i="90"/>
  <c r="AP1178" i="90"/>
  <c r="AP1179" i="90"/>
  <c r="AP1180" i="90"/>
  <c r="AP1181" i="90"/>
  <c r="AP1182" i="90"/>
  <c r="AP1183" i="90"/>
  <c r="AP1184" i="90"/>
  <c r="AP1185" i="90"/>
  <c r="AP1186" i="90"/>
  <c r="AP1187" i="90"/>
  <c r="AP1188" i="90"/>
  <c r="AP1189" i="90"/>
  <c r="AP1190" i="90"/>
  <c r="AP1191" i="90"/>
  <c r="AP1192" i="90"/>
  <c r="AP1193" i="90"/>
  <c r="AP1194" i="90"/>
  <c r="AP1195" i="90"/>
  <c r="AP1196" i="90"/>
  <c r="AP1197" i="90"/>
  <c r="AP1198" i="90"/>
  <c r="AP1199" i="90"/>
  <c r="AP1200" i="90"/>
  <c r="AP1201" i="90"/>
  <c r="AP1202" i="90"/>
  <c r="AP1203" i="90"/>
  <c r="AP1204" i="90"/>
  <c r="AP1205" i="90"/>
  <c r="AP1206" i="90"/>
  <c r="AP1207" i="90"/>
  <c r="AP1208" i="90"/>
  <c r="AP1209" i="90"/>
  <c r="AP1210" i="90"/>
  <c r="AP1211" i="90"/>
  <c r="AP1212" i="90"/>
  <c r="AP1213" i="90"/>
  <c r="AP1214" i="90"/>
  <c r="AP1215" i="90"/>
  <c r="AP1216" i="90"/>
  <c r="AP1217" i="90"/>
  <c r="AP1218" i="90"/>
  <c r="AP1219" i="90"/>
  <c r="AP1220" i="90"/>
  <c r="AP1221" i="90"/>
  <c r="AP1222" i="90"/>
  <c r="AP1223" i="90"/>
  <c r="AP1224" i="90"/>
  <c r="AP1225" i="90"/>
  <c r="AP1226" i="90"/>
  <c r="AP1227" i="90"/>
  <c r="AP1228" i="90"/>
  <c r="AP1229" i="90"/>
  <c r="AP1230" i="90"/>
  <c r="AP1231" i="90"/>
  <c r="AP1232" i="90"/>
  <c r="AP1233" i="90"/>
  <c r="AP1234" i="90"/>
  <c r="AP1235" i="90"/>
  <c r="AP1236" i="90"/>
  <c r="AP1237" i="90"/>
  <c r="AP1238" i="90"/>
  <c r="AP1239" i="90"/>
  <c r="AP1240" i="90"/>
  <c r="AP1241" i="90"/>
  <c r="AP1242" i="90"/>
  <c r="AP1243" i="90"/>
  <c r="AP1244" i="90"/>
  <c r="AP1245" i="90"/>
  <c r="AP1246" i="90"/>
  <c r="AP1247" i="90"/>
  <c r="AP1248" i="90"/>
  <c r="AP1249" i="90"/>
  <c r="AP1250" i="90"/>
  <c r="AP1251" i="90"/>
  <c r="AP1252" i="90"/>
  <c r="AP1253" i="90"/>
  <c r="AP1254" i="90"/>
  <c r="AP1255" i="90"/>
  <c r="AP1256" i="90"/>
  <c r="AP1257" i="90"/>
  <c r="AP1258" i="90"/>
  <c r="AP1259" i="90"/>
  <c r="AP1260" i="90"/>
  <c r="AP1261" i="90"/>
  <c r="AP1262" i="90"/>
  <c r="AP1263" i="90"/>
  <c r="AP1264" i="90"/>
  <c r="AP1265" i="90"/>
  <c r="AP1266" i="90"/>
  <c r="AP1267" i="90"/>
  <c r="AP1268" i="90"/>
  <c r="AP1269" i="90"/>
  <c r="AP1270" i="90"/>
  <c r="AP1271" i="90"/>
  <c r="AP1272" i="90"/>
  <c r="AP1273" i="90"/>
  <c r="AP1274" i="90"/>
  <c r="AP1275" i="90"/>
  <c r="AP1276" i="90"/>
  <c r="AP1277" i="90"/>
  <c r="AP1278" i="90"/>
  <c r="AP1279" i="90"/>
  <c r="AP1280" i="90"/>
  <c r="AP1281" i="90"/>
  <c r="AP1282" i="90"/>
  <c r="AP1283" i="90"/>
  <c r="AP1284" i="90"/>
  <c r="AP1285" i="90"/>
  <c r="AP1286" i="90"/>
  <c r="AP1287" i="90"/>
  <c r="AP1288" i="90"/>
  <c r="AP1289" i="90"/>
  <c r="AP1290" i="90"/>
  <c r="AP1291" i="90"/>
  <c r="AP1292" i="90"/>
  <c r="AP1293" i="90"/>
  <c r="AP1294" i="90"/>
  <c r="AP1295" i="90"/>
  <c r="AP1296" i="90"/>
  <c r="AP1297" i="90"/>
  <c r="AP1298" i="90"/>
  <c r="AP1299" i="90"/>
  <c r="AP1300" i="90"/>
  <c r="AP1301" i="90"/>
  <c r="AP1302" i="90"/>
  <c r="AP1303" i="90"/>
  <c r="AP1304" i="90"/>
  <c r="AP1305" i="90"/>
  <c r="AP1306" i="90"/>
  <c r="AP1307" i="90"/>
  <c r="AP1308" i="90"/>
  <c r="AP1309" i="90"/>
  <c r="AP1310" i="90"/>
  <c r="AP1311" i="90"/>
  <c r="AP1312" i="90"/>
  <c r="AP1313" i="90"/>
  <c r="AP1314" i="90"/>
  <c r="AP1315" i="90"/>
  <c r="AP1316" i="90"/>
  <c r="AP1317" i="90"/>
  <c r="AP1318" i="90"/>
  <c r="AP1319" i="90"/>
  <c r="AP1320" i="90"/>
  <c r="AP1321" i="90"/>
  <c r="AP1322" i="90"/>
  <c r="AP1323" i="90"/>
  <c r="AP1324" i="90"/>
  <c r="AP1325" i="90"/>
  <c r="AP1326" i="90"/>
  <c r="AP1327" i="90"/>
  <c r="AP1328" i="90"/>
  <c r="AP1329" i="90"/>
  <c r="AP1330" i="90"/>
  <c r="AP1331" i="90"/>
  <c r="AP1332" i="90"/>
  <c r="AP1333" i="90"/>
  <c r="AP1334" i="90"/>
  <c r="AP1335" i="90"/>
  <c r="AP1336" i="90"/>
  <c r="AP1337" i="90"/>
  <c r="AP1338" i="90"/>
  <c r="AP1339" i="90"/>
  <c r="AP1340" i="90"/>
  <c r="AP1341" i="90"/>
  <c r="AP1342" i="90"/>
  <c r="AP1343" i="90"/>
  <c r="AP1344" i="90"/>
  <c r="AP1345" i="90"/>
  <c r="AP1346" i="90"/>
  <c r="AP1347" i="90"/>
  <c r="AP1348" i="90"/>
  <c r="AP1349" i="90"/>
  <c r="AP1350" i="90"/>
  <c r="AP1351" i="90"/>
  <c r="AP1352" i="90"/>
  <c r="AP1353" i="90"/>
  <c r="AP1354" i="90"/>
  <c r="AP1355" i="90"/>
  <c r="AP1356" i="90"/>
  <c r="AP1357" i="90"/>
  <c r="AP1358" i="90"/>
  <c r="AP1359" i="90"/>
  <c r="AP1360" i="90"/>
  <c r="AP1361" i="90"/>
  <c r="AP1362" i="90"/>
  <c r="AP1363" i="90"/>
  <c r="AP1364" i="90"/>
  <c r="AP1365" i="90"/>
  <c r="AP1366" i="90"/>
  <c r="AP1367" i="90"/>
  <c r="AP1368" i="90"/>
  <c r="AP1369" i="90"/>
  <c r="AP1370" i="90"/>
  <c r="AP1371" i="90"/>
  <c r="AP1372" i="90"/>
  <c r="AP1373" i="90"/>
  <c r="AP1374" i="90"/>
  <c r="AP1375" i="90"/>
  <c r="AP1376" i="90"/>
  <c r="AP1377" i="90"/>
  <c r="AP1378" i="90"/>
  <c r="AP1379" i="90"/>
  <c r="AP1380" i="90"/>
  <c r="AP1381" i="90"/>
  <c r="AP1382" i="90"/>
  <c r="AP1383" i="90"/>
  <c r="AP1384" i="90"/>
  <c r="AP1385" i="90"/>
  <c r="AP1386" i="90"/>
  <c r="AP1387" i="90"/>
  <c r="AP1388" i="90"/>
  <c r="AP1389" i="90"/>
  <c r="AP1390" i="90"/>
  <c r="AP1391" i="90"/>
  <c r="AP1392" i="90"/>
  <c r="AP1393" i="90"/>
  <c r="AP1394" i="90"/>
  <c r="AP1395" i="90"/>
  <c r="AP1396" i="90"/>
  <c r="AP1397" i="90"/>
  <c r="AP1398" i="90"/>
  <c r="AP1399" i="90"/>
  <c r="AP1400" i="90"/>
  <c r="AP1401" i="90"/>
  <c r="AP1402" i="90"/>
  <c r="AP1403" i="90"/>
  <c r="AP1404" i="90"/>
  <c r="AP1405" i="90"/>
  <c r="AP1406" i="90"/>
  <c r="AP1407" i="90"/>
  <c r="AP1408" i="90"/>
  <c r="AP1409" i="90"/>
  <c r="AP1410" i="90"/>
  <c r="AP1411" i="90"/>
  <c r="AP1412" i="90"/>
  <c r="AP1413" i="90"/>
  <c r="AP1414" i="90"/>
  <c r="AP1415" i="90"/>
  <c r="AP1416" i="90"/>
  <c r="AP1417" i="90"/>
  <c r="AP1418" i="90"/>
  <c r="AP1419" i="90"/>
  <c r="AP1420" i="90"/>
  <c r="AP1421" i="90"/>
  <c r="AP1422" i="90"/>
  <c r="AP1423" i="90"/>
  <c r="AP1424" i="90"/>
  <c r="AP1425" i="90"/>
  <c r="AP1426" i="90"/>
  <c r="AP1427" i="90"/>
  <c r="AP1428" i="90"/>
  <c r="AP1429" i="90"/>
  <c r="AP1430" i="90"/>
  <c r="AP1431" i="90"/>
  <c r="AP1432" i="90"/>
  <c r="AP1433" i="90"/>
  <c r="AP1434" i="90"/>
  <c r="AP1435" i="90"/>
  <c r="AP1436" i="90"/>
  <c r="AP1437" i="90"/>
  <c r="AP1438" i="90"/>
  <c r="AP1439" i="90"/>
  <c r="AP1440" i="90"/>
  <c r="AP1441" i="90"/>
  <c r="AP1442" i="90"/>
  <c r="AP1443" i="90"/>
  <c r="AP1444" i="90"/>
  <c r="AP1445" i="90"/>
  <c r="AP1446" i="90"/>
  <c r="AP1447" i="90"/>
  <c r="AP1448" i="90"/>
  <c r="AP1449" i="90"/>
  <c r="AP1450" i="90"/>
  <c r="AP1451" i="90"/>
  <c r="AP1452" i="90"/>
  <c r="AP1453" i="90"/>
  <c r="AP1454" i="90"/>
  <c r="AP1455" i="90"/>
  <c r="AP1456" i="90"/>
  <c r="AP1457" i="90"/>
  <c r="AP1458" i="90"/>
  <c r="AP1459" i="90"/>
  <c r="AP1460" i="90"/>
  <c r="AP1461" i="90"/>
  <c r="AP1462" i="90"/>
  <c r="AP1463" i="90"/>
  <c r="AP1464" i="90"/>
  <c r="AP1465" i="90"/>
  <c r="AP1466" i="90"/>
  <c r="AP1467" i="90"/>
  <c r="AP1468" i="90"/>
  <c r="AP1469" i="90"/>
  <c r="AP1470" i="90"/>
  <c r="AP1471" i="90"/>
  <c r="AP1472" i="90"/>
  <c r="AP1473" i="90"/>
  <c r="AP1474" i="90"/>
  <c r="AP1475" i="90"/>
  <c r="AP1476" i="90"/>
  <c r="AP1477" i="90"/>
  <c r="AP1478" i="90"/>
  <c r="AP1479" i="90"/>
  <c r="AP1480" i="90"/>
  <c r="AP1481" i="90"/>
  <c r="AP1482" i="90"/>
  <c r="AP1483" i="90"/>
  <c r="AP1484" i="90"/>
  <c r="AP1485" i="90"/>
  <c r="AP1486" i="90"/>
  <c r="AP1487" i="90"/>
  <c r="AP1488" i="90"/>
  <c r="AP1489" i="90"/>
  <c r="AP1490" i="90"/>
  <c r="AP1491" i="90"/>
  <c r="AP1492" i="90"/>
  <c r="AP1493" i="90"/>
  <c r="AP1494" i="90"/>
  <c r="AP1495" i="90"/>
  <c r="AP1496" i="90"/>
  <c r="AP1497" i="90"/>
  <c r="AP1498" i="90"/>
  <c r="AP1499" i="90"/>
  <c r="AP1500" i="90"/>
  <c r="AP1501" i="90"/>
  <c r="AP1502" i="90"/>
  <c r="AP1503" i="90"/>
  <c r="AP1504" i="90"/>
  <c r="AP1505" i="90"/>
  <c r="AP1506" i="90"/>
  <c r="AP1507" i="90"/>
  <c r="AP1508" i="90"/>
  <c r="AP1509" i="90"/>
  <c r="AP1510" i="90"/>
  <c r="AP1511" i="90"/>
  <c r="AP1512" i="90"/>
  <c r="AP1513" i="90"/>
  <c r="AP1514" i="90"/>
  <c r="AP1515" i="90"/>
  <c r="AP1516" i="90"/>
  <c r="AP1517" i="90"/>
  <c r="AP1518" i="90"/>
  <c r="AP1519" i="90"/>
  <c r="AP1520" i="90"/>
  <c r="AP1521" i="90"/>
  <c r="AP1522" i="90"/>
  <c r="AP1523" i="90"/>
  <c r="AP1524" i="90"/>
  <c r="AP1525" i="90"/>
  <c r="AP1526" i="90"/>
  <c r="AP1527" i="90"/>
  <c r="AP1528" i="90"/>
  <c r="AP1529" i="90"/>
  <c r="AP1530" i="90"/>
  <c r="AP1531" i="90"/>
  <c r="AP1532" i="90"/>
  <c r="AP1533" i="90"/>
  <c r="AP1534" i="90"/>
  <c r="AP1535" i="90"/>
  <c r="AP1536" i="90"/>
  <c r="AP1537" i="90"/>
  <c r="AP1538" i="90"/>
  <c r="AP1539" i="90"/>
  <c r="AP1540" i="90"/>
  <c r="AP1541" i="90"/>
  <c r="AP1542" i="90"/>
  <c r="AP1543" i="90"/>
  <c r="AP1544" i="90"/>
  <c r="AP1545" i="90"/>
  <c r="AP1546" i="90"/>
  <c r="AP1547" i="90"/>
  <c r="AP1548" i="90"/>
  <c r="AP1549" i="90"/>
  <c r="AP1550" i="90"/>
  <c r="AP1551" i="90"/>
  <c r="AP1552" i="90"/>
  <c r="AP1553" i="90"/>
  <c r="AP1554" i="90"/>
  <c r="AP1555" i="90"/>
  <c r="AP1556" i="90"/>
  <c r="AP1557" i="90"/>
  <c r="AP1558" i="90"/>
  <c r="AP1559" i="90"/>
  <c r="AP1560" i="90"/>
  <c r="AP1561" i="90"/>
  <c r="AP1562" i="90"/>
  <c r="AP1563" i="90"/>
  <c r="AP1564" i="90"/>
  <c r="AP1565" i="90"/>
  <c r="AP1566" i="90"/>
  <c r="AP1567" i="90"/>
  <c r="AP1568" i="90"/>
  <c r="AP1569" i="90"/>
  <c r="AP1570" i="90"/>
  <c r="AP1571" i="90"/>
  <c r="AP1572" i="90"/>
  <c r="AP1573" i="90"/>
  <c r="AP1574" i="90"/>
  <c r="AP1575" i="90"/>
  <c r="AP1576" i="90"/>
  <c r="AP1577" i="90"/>
  <c r="AP1578" i="90"/>
  <c r="AP1579" i="90"/>
  <c r="AP1580" i="90"/>
  <c r="AP1581" i="90"/>
  <c r="AP1582" i="90"/>
  <c r="AP1583" i="90"/>
  <c r="AP1584" i="90"/>
  <c r="AP1585" i="90"/>
  <c r="AP1586" i="90"/>
  <c r="AP1587" i="90"/>
  <c r="AP1588" i="90"/>
  <c r="AP1589" i="90"/>
  <c r="AP1590" i="90"/>
  <c r="AP1591" i="90"/>
  <c r="AP1592" i="90"/>
  <c r="AP1593" i="90"/>
  <c r="AP1594" i="90"/>
  <c r="AP1595" i="90"/>
  <c r="AP1596" i="90"/>
  <c r="AP1597" i="90"/>
  <c r="AP1598" i="90"/>
  <c r="AP1599" i="90"/>
  <c r="AP1600" i="90"/>
  <c r="AP1601" i="90"/>
  <c r="AP1602" i="90"/>
  <c r="AP1603" i="90"/>
  <c r="AP1604" i="90"/>
  <c r="AP1605" i="90"/>
  <c r="AP1606" i="90"/>
  <c r="AP1607" i="90"/>
  <c r="AP1608" i="90"/>
  <c r="AP1609" i="90"/>
  <c r="AP1610" i="90"/>
  <c r="AP1611" i="90"/>
  <c r="AP1612" i="90"/>
  <c r="AP1613" i="90"/>
  <c r="AP1614" i="90"/>
  <c r="AP1615" i="90"/>
  <c r="AP1616" i="90"/>
  <c r="AP1617" i="90"/>
  <c r="AP1618" i="90"/>
  <c r="AP1619" i="90"/>
  <c r="AP1620" i="90"/>
  <c r="AP1621" i="90"/>
  <c r="AP1622" i="90"/>
  <c r="AP1623" i="90"/>
  <c r="AP1624" i="90"/>
  <c r="AP1625" i="90"/>
  <c r="AP1626" i="90"/>
  <c r="AP1627" i="90"/>
  <c r="AP1628" i="90"/>
  <c r="AP1629" i="90"/>
  <c r="AP1630" i="90"/>
  <c r="AP1631" i="90"/>
  <c r="AP1632" i="90"/>
  <c r="AP1633" i="90"/>
  <c r="AP1634" i="90"/>
  <c r="AP1635" i="90"/>
  <c r="AP1636" i="90"/>
  <c r="AP1637" i="90"/>
  <c r="AP1638" i="90"/>
  <c r="AP1639" i="90"/>
  <c r="AP1640" i="90"/>
  <c r="AP1641" i="90"/>
  <c r="AP1642" i="90"/>
  <c r="AP1643" i="90"/>
  <c r="AP1644" i="90"/>
  <c r="AP1645" i="90"/>
  <c r="AP1646" i="90"/>
  <c r="AP1647" i="90"/>
  <c r="AP1648" i="90"/>
  <c r="AP1649" i="90"/>
  <c r="AP1650" i="90"/>
  <c r="AP1651" i="90"/>
  <c r="AP1652" i="90"/>
  <c r="AP1653" i="90"/>
  <c r="AP1654" i="90"/>
  <c r="AP1655" i="90"/>
  <c r="AP1656" i="90"/>
  <c r="AP1657" i="90"/>
  <c r="AP1658" i="90"/>
  <c r="AP1659" i="90"/>
  <c r="AP1660" i="90"/>
  <c r="AP1661" i="90"/>
  <c r="AP1662" i="90"/>
  <c r="AP1663" i="90"/>
  <c r="AP1664" i="90"/>
  <c r="AP1665" i="90"/>
  <c r="AP1666" i="90"/>
  <c r="AP1667" i="90"/>
  <c r="AP1668" i="90"/>
  <c r="AP5" i="90"/>
  <c r="EC1" i="98" l="1"/>
  <c r="DY1" i="98"/>
  <c r="DZ1" i="98"/>
  <c r="EA1" i="98"/>
  <c r="DX1" i="98"/>
  <c r="Y7" i="95" l="1"/>
  <c r="Y8" i="95"/>
  <c r="Y9" i="95"/>
  <c r="Y10" i="95"/>
  <c r="Y11" i="95"/>
  <c r="Y12" i="95"/>
  <c r="Y13" i="95"/>
  <c r="Y14" i="95"/>
  <c r="Y15" i="95"/>
  <c r="Y16" i="95"/>
  <c r="Y6" i="95"/>
  <c r="Z9" i="100" l="1"/>
  <c r="Z10" i="100"/>
  <c r="Z11" i="100"/>
  <c r="Z12" i="100"/>
  <c r="Z13" i="100"/>
  <c r="Z14" i="100"/>
  <c r="Z8" i="100"/>
  <c r="HC8" i="100"/>
  <c r="HC9" i="100"/>
  <c r="HC10" i="100"/>
  <c r="HC11" i="100"/>
  <c r="HC12" i="100"/>
  <c r="HC13" i="100"/>
  <c r="HC14" i="100"/>
  <c r="HC15" i="100"/>
  <c r="HC16" i="100"/>
  <c r="HC17" i="100"/>
  <c r="HC18" i="100"/>
  <c r="HC19" i="100"/>
  <c r="HC20" i="100"/>
  <c r="HC21" i="100"/>
  <c r="HC22" i="100"/>
  <c r="HC23" i="100"/>
  <c r="HC24" i="100"/>
  <c r="HC25" i="100"/>
  <c r="HC26" i="100"/>
  <c r="HC27" i="100"/>
  <c r="HC28" i="100"/>
  <c r="HC29" i="100"/>
  <c r="HC30" i="100"/>
  <c r="HC31" i="100"/>
  <c r="HC32" i="100"/>
  <c r="HC33" i="100"/>
  <c r="HC34" i="100"/>
  <c r="HC35" i="100"/>
  <c r="HC36" i="100"/>
  <c r="HC37" i="100"/>
  <c r="HC38" i="100"/>
  <c r="HC39" i="100"/>
  <c r="HC40" i="100"/>
  <c r="HC41" i="100"/>
  <c r="HC42" i="100"/>
  <c r="HC43" i="100"/>
  <c r="HC44" i="100"/>
  <c r="HC45" i="100"/>
  <c r="HC46" i="100"/>
  <c r="HC47" i="100"/>
  <c r="HC48" i="100"/>
  <c r="HC49" i="100"/>
  <c r="HC50" i="100"/>
  <c r="HC51" i="100"/>
  <c r="HC52" i="100"/>
  <c r="HC53" i="100"/>
  <c r="HC54" i="100"/>
  <c r="HC55" i="100"/>
  <c r="HC56" i="100"/>
  <c r="HC57" i="100"/>
  <c r="HC58" i="100"/>
  <c r="HC59" i="100"/>
  <c r="HC60" i="100"/>
  <c r="HC61" i="100"/>
  <c r="HC62" i="100"/>
  <c r="HC63" i="100"/>
  <c r="HC64" i="100"/>
  <c r="HC65" i="100"/>
  <c r="HC66" i="100"/>
  <c r="HC67" i="100"/>
  <c r="HC68" i="100"/>
  <c r="HC69" i="100"/>
  <c r="HC70" i="100"/>
  <c r="HC71" i="100"/>
  <c r="HC72" i="100"/>
  <c r="HC73" i="100"/>
  <c r="HC74" i="100"/>
  <c r="HC75" i="100"/>
  <c r="HC76" i="100"/>
  <c r="HC77" i="100"/>
  <c r="HC78" i="100"/>
  <c r="HC79" i="100"/>
  <c r="HC80" i="100"/>
  <c r="HC81" i="100"/>
  <c r="HC82" i="100"/>
  <c r="HC83" i="100"/>
  <c r="HC84" i="100"/>
  <c r="HC85" i="100"/>
  <c r="HC86" i="100"/>
  <c r="HC87" i="100"/>
  <c r="HC88" i="100"/>
  <c r="HC89" i="100"/>
  <c r="HC90" i="100"/>
  <c r="HC91" i="100"/>
  <c r="HC92" i="100"/>
  <c r="HC93" i="100"/>
  <c r="HC94" i="100"/>
  <c r="HC95" i="100"/>
  <c r="HC96" i="100"/>
  <c r="HC97" i="100"/>
  <c r="HC98" i="100"/>
  <c r="HC99" i="100"/>
  <c r="HC100" i="100"/>
  <c r="HC101" i="100"/>
  <c r="HC102" i="100"/>
  <c r="HC103" i="100"/>
  <c r="HC104" i="100"/>
  <c r="HC105" i="100"/>
  <c r="HC106" i="100"/>
  <c r="HC107" i="100"/>
  <c r="HC108" i="100"/>
  <c r="HC109" i="100"/>
  <c r="HC110" i="100"/>
  <c r="HC111" i="100"/>
  <c r="HC112" i="100"/>
  <c r="HC113" i="100"/>
  <c r="HC114" i="100"/>
  <c r="HC115" i="100"/>
  <c r="HC116" i="100"/>
  <c r="HC117" i="100"/>
  <c r="HC118" i="100"/>
  <c r="HC119" i="100"/>
  <c r="HC120" i="100"/>
  <c r="HC121" i="100"/>
  <c r="HC122" i="100"/>
  <c r="HC123" i="100"/>
  <c r="HC124" i="100"/>
  <c r="HC125" i="100"/>
  <c r="HC126" i="100"/>
  <c r="HC127" i="100"/>
  <c r="HC128" i="100"/>
  <c r="HC129" i="100"/>
  <c r="HC130" i="100"/>
  <c r="HC131" i="100"/>
  <c r="HC132" i="100"/>
  <c r="HC133" i="100"/>
  <c r="HC134" i="100"/>
  <c r="HC135" i="100"/>
  <c r="HC136" i="100"/>
  <c r="HC137" i="100"/>
  <c r="HC138" i="100"/>
  <c r="HC139" i="100"/>
  <c r="HC140" i="100"/>
  <c r="HC141" i="100"/>
  <c r="HC142" i="100"/>
  <c r="HC143" i="100"/>
  <c r="HC144" i="100"/>
  <c r="HC145" i="100"/>
  <c r="HC146" i="100"/>
  <c r="HC147" i="100"/>
  <c r="HC148" i="100"/>
  <c r="HC149" i="100"/>
  <c r="HC150" i="100"/>
  <c r="HC151" i="100"/>
  <c r="HC152" i="100"/>
  <c r="HC153" i="100"/>
  <c r="HC154" i="100"/>
  <c r="HC155" i="100"/>
  <c r="HC156" i="100"/>
  <c r="HC157" i="100"/>
  <c r="HC158" i="100"/>
  <c r="HC159" i="100"/>
  <c r="HC160" i="100"/>
  <c r="HC161" i="100"/>
  <c r="HC162" i="100"/>
  <c r="HC163" i="100"/>
  <c r="HC164" i="100"/>
  <c r="HC165" i="100"/>
  <c r="HC166" i="100"/>
  <c r="HC167" i="100"/>
  <c r="HC168" i="100"/>
  <c r="HC169" i="100"/>
  <c r="HC170" i="100"/>
  <c r="HC171" i="100"/>
  <c r="HC172" i="100"/>
  <c r="HC173" i="100"/>
  <c r="HC174" i="100"/>
  <c r="HC175" i="100"/>
  <c r="HC176" i="100"/>
  <c r="HC177" i="100"/>
  <c r="HC178" i="100"/>
  <c r="HC179" i="100"/>
  <c r="HC180" i="100"/>
  <c r="HC181" i="100"/>
  <c r="HC182" i="100"/>
  <c r="HC183" i="100"/>
  <c r="HC184" i="100"/>
  <c r="HC185" i="100"/>
  <c r="HC186" i="100"/>
  <c r="HC187" i="100"/>
  <c r="HC188" i="100"/>
  <c r="HC189" i="100"/>
  <c r="HC190" i="100"/>
  <c r="HC191" i="100"/>
  <c r="HC192" i="100"/>
  <c r="HC193" i="100"/>
  <c r="HC194" i="100"/>
  <c r="HC195" i="100"/>
  <c r="HC196" i="100"/>
  <c r="HC197" i="100"/>
  <c r="HC198" i="100"/>
  <c r="HC199" i="100"/>
  <c r="HC200" i="100"/>
  <c r="HC201" i="100"/>
  <c r="HC202" i="100"/>
  <c r="HC203" i="100"/>
  <c r="HC204" i="100"/>
  <c r="HC205" i="100"/>
  <c r="HC206" i="100"/>
  <c r="HC207" i="100"/>
  <c r="HC208" i="100"/>
  <c r="HC209" i="100"/>
  <c r="HC210" i="100"/>
  <c r="HC211" i="100"/>
  <c r="HC212" i="100"/>
  <c r="HC213" i="100"/>
  <c r="HC214" i="100"/>
  <c r="HC215" i="100"/>
  <c r="HC216" i="100"/>
  <c r="HC217" i="100"/>
  <c r="HC218" i="100"/>
  <c r="HC219" i="100"/>
  <c r="HC220" i="100"/>
  <c r="HC221" i="100"/>
  <c r="HC222" i="100"/>
  <c r="HC223" i="100"/>
  <c r="HC224" i="100"/>
  <c r="HC225" i="100"/>
  <c r="HC226" i="100"/>
  <c r="HC227" i="100"/>
  <c r="HC228" i="100"/>
  <c r="HC229" i="100"/>
  <c r="HC230" i="100"/>
  <c r="HC231" i="100"/>
  <c r="HC232" i="100"/>
  <c r="HC233" i="100"/>
  <c r="HC234" i="100"/>
  <c r="HC235" i="100"/>
  <c r="HC236" i="100"/>
  <c r="HC237" i="100"/>
  <c r="HC238" i="100"/>
  <c r="HC239" i="100"/>
  <c r="HC240" i="100"/>
  <c r="HC241" i="100"/>
  <c r="HC242" i="100"/>
  <c r="HC243" i="100"/>
  <c r="HC244" i="100"/>
  <c r="HC245" i="100"/>
  <c r="HC246" i="100"/>
  <c r="HC247" i="100"/>
  <c r="HC248" i="100"/>
  <c r="HC249" i="100"/>
  <c r="HC250" i="100"/>
  <c r="HC251" i="100"/>
  <c r="HC252" i="100"/>
  <c r="HC253" i="100"/>
  <c r="HC254" i="100"/>
  <c r="HC255" i="100"/>
  <c r="HC256" i="100"/>
  <c r="HC257" i="100"/>
  <c r="HC258" i="100"/>
  <c r="HC259" i="100"/>
  <c r="HC260" i="100"/>
  <c r="HC261" i="100"/>
  <c r="HC262" i="100"/>
  <c r="HC263" i="100"/>
  <c r="HC264" i="100"/>
  <c r="HC265" i="100"/>
  <c r="HC266" i="100"/>
  <c r="HC267" i="100"/>
  <c r="HC268" i="100"/>
  <c r="HC269" i="100"/>
  <c r="HC270" i="100"/>
  <c r="HC271" i="100"/>
  <c r="HC272" i="100"/>
  <c r="HC273" i="100"/>
  <c r="HC274" i="100"/>
  <c r="HC275" i="100"/>
  <c r="HC276" i="100"/>
  <c r="HC277" i="100"/>
  <c r="HC278" i="100"/>
  <c r="HC279" i="100"/>
  <c r="HC280" i="100"/>
  <c r="HC281" i="100"/>
  <c r="HC282" i="100"/>
  <c r="HC283" i="100"/>
  <c r="HC284" i="100"/>
  <c r="HC285" i="100"/>
  <c r="HC286" i="100"/>
  <c r="HC287" i="100"/>
  <c r="HC288" i="100"/>
  <c r="HC289" i="100"/>
  <c r="HC290" i="100"/>
  <c r="HC291" i="100"/>
  <c r="HC292" i="100"/>
  <c r="HC293" i="100"/>
  <c r="HC294" i="100"/>
  <c r="HC295" i="100"/>
  <c r="HC296" i="100"/>
  <c r="HC297" i="100"/>
  <c r="HC298" i="100"/>
  <c r="HC299" i="100"/>
  <c r="HC300" i="100"/>
  <c r="HC301" i="100"/>
  <c r="HC302" i="100"/>
  <c r="HC303" i="100"/>
  <c r="HC304" i="100"/>
  <c r="HC305" i="100"/>
  <c r="HC306" i="100"/>
  <c r="HC307" i="100"/>
  <c r="HC308" i="100"/>
  <c r="HC309" i="100"/>
  <c r="HC310" i="100"/>
  <c r="HC311" i="100"/>
  <c r="HC312" i="100"/>
  <c r="HC313" i="100"/>
  <c r="HC314" i="100"/>
  <c r="HC315" i="100"/>
  <c r="HC316" i="100"/>
  <c r="HC317" i="100"/>
  <c r="HC318" i="100"/>
  <c r="HC319" i="100"/>
  <c r="HC320" i="100"/>
  <c r="HC321" i="100"/>
  <c r="HC322" i="100"/>
  <c r="HC323" i="100"/>
  <c r="HC324" i="100"/>
  <c r="HC325" i="100"/>
  <c r="HC326" i="100"/>
  <c r="HC327" i="100"/>
  <c r="HC328" i="100"/>
  <c r="HC329" i="100"/>
  <c r="HC330" i="100"/>
  <c r="HC331" i="100"/>
  <c r="HC332" i="100"/>
  <c r="HC333" i="100"/>
  <c r="HC334" i="100"/>
  <c r="HC335" i="100"/>
  <c r="HC336" i="100"/>
  <c r="HC337" i="100"/>
  <c r="HC338" i="100"/>
  <c r="HC339" i="100"/>
  <c r="HC340" i="100"/>
  <c r="HC341" i="100"/>
  <c r="HC342" i="100"/>
  <c r="HC343" i="100"/>
  <c r="HC344" i="100"/>
  <c r="HC345" i="100"/>
  <c r="HC346" i="100"/>
  <c r="HC347" i="100"/>
  <c r="HC348" i="100"/>
  <c r="HC349" i="100"/>
  <c r="HC350" i="100"/>
  <c r="HC351" i="100"/>
  <c r="HC352" i="100"/>
  <c r="HC353" i="100"/>
  <c r="HC354" i="100"/>
  <c r="HC355" i="100"/>
  <c r="HC356" i="100"/>
  <c r="HC357" i="100"/>
  <c r="HC358" i="100"/>
  <c r="HC359" i="100"/>
  <c r="HC360" i="100"/>
  <c r="HC361" i="100"/>
  <c r="HC362" i="100"/>
  <c r="HC363" i="100"/>
  <c r="HC364" i="100"/>
  <c r="HC365" i="100"/>
  <c r="HC366" i="100"/>
  <c r="HC367" i="100"/>
  <c r="HC368" i="100"/>
  <c r="HC369" i="100"/>
  <c r="HC370" i="100"/>
  <c r="HC371" i="100"/>
  <c r="HC372" i="100"/>
  <c r="HC373" i="100"/>
  <c r="HC374" i="100"/>
  <c r="HC375" i="100"/>
  <c r="HC376" i="100"/>
  <c r="HC377" i="100"/>
  <c r="HC378" i="100"/>
  <c r="HC379" i="100"/>
  <c r="HC380" i="100"/>
  <c r="HC381" i="100"/>
  <c r="HC382" i="100"/>
  <c r="HC383" i="100"/>
  <c r="HC384" i="100"/>
  <c r="HC385" i="100"/>
  <c r="HC386" i="100"/>
  <c r="HC387" i="100"/>
  <c r="HC388" i="100"/>
  <c r="HC389" i="100"/>
  <c r="HC390" i="100"/>
  <c r="HC391" i="100"/>
  <c r="HC392" i="100"/>
  <c r="HC393" i="100"/>
  <c r="HC394" i="100"/>
  <c r="HC395" i="100"/>
  <c r="HC396" i="100"/>
  <c r="HC397" i="100"/>
  <c r="HC398" i="100"/>
  <c r="HC399" i="100"/>
  <c r="HC400" i="100"/>
  <c r="HC401" i="100"/>
  <c r="HC402" i="100"/>
  <c r="HC403" i="100"/>
  <c r="HC404" i="100"/>
  <c r="HC405" i="100"/>
  <c r="HC406" i="100"/>
  <c r="HC407" i="100"/>
  <c r="HC408" i="100"/>
  <c r="HC409" i="100"/>
  <c r="HC410" i="100"/>
  <c r="HC411" i="100"/>
  <c r="HC412" i="100"/>
  <c r="HC413" i="100"/>
  <c r="HC414" i="100"/>
  <c r="HC415" i="100"/>
  <c r="HC416" i="100"/>
  <c r="HC417" i="100"/>
  <c r="HC418" i="100"/>
  <c r="HC419" i="100"/>
  <c r="HC420" i="100"/>
  <c r="HC421" i="100"/>
  <c r="HC422" i="100"/>
  <c r="HC423" i="100"/>
  <c r="HC424" i="100"/>
  <c r="HC425" i="100"/>
  <c r="HC426" i="100"/>
  <c r="HC427" i="100"/>
  <c r="HC428" i="100"/>
  <c r="HC429" i="100"/>
  <c r="HC430" i="100"/>
  <c r="HC431" i="100"/>
  <c r="HC432" i="100"/>
  <c r="HC433" i="100"/>
  <c r="HC434" i="100"/>
  <c r="HC435" i="100"/>
  <c r="HC436" i="100"/>
  <c r="HC437" i="100"/>
  <c r="HC438" i="100"/>
  <c r="HC439" i="100"/>
  <c r="HC440" i="100"/>
  <c r="HC441" i="100"/>
  <c r="HC442" i="100"/>
  <c r="HC443" i="100"/>
  <c r="HC444" i="100"/>
  <c r="HC445" i="100"/>
  <c r="HC446" i="100"/>
  <c r="HC447" i="100"/>
  <c r="HC448" i="100"/>
  <c r="HC449" i="100"/>
  <c r="HC450" i="100"/>
  <c r="HC451" i="100"/>
  <c r="HC452" i="100"/>
  <c r="HC453" i="100"/>
  <c r="HC454" i="100"/>
  <c r="HC455" i="100"/>
  <c r="HC456" i="100"/>
  <c r="HC457" i="100"/>
  <c r="HC458" i="100"/>
  <c r="HC459" i="100"/>
  <c r="HC460" i="100"/>
  <c r="HC461" i="100"/>
  <c r="HC462" i="100"/>
  <c r="HC463" i="100"/>
  <c r="HC464" i="100"/>
  <c r="HC465" i="100"/>
  <c r="HC466" i="100"/>
  <c r="HC467" i="100"/>
  <c r="HC468" i="100"/>
  <c r="HC469" i="100"/>
  <c r="HC470" i="100"/>
  <c r="HC471" i="100"/>
  <c r="HC472" i="100"/>
  <c r="HC473" i="100"/>
  <c r="HC474" i="100"/>
  <c r="HC475" i="100"/>
  <c r="HC476" i="100"/>
  <c r="HC477" i="100"/>
  <c r="HC478" i="100"/>
  <c r="HC479" i="100"/>
  <c r="HC480" i="100"/>
  <c r="HC481" i="100"/>
  <c r="HC482" i="100"/>
  <c r="HC483" i="100"/>
  <c r="HC484" i="100"/>
  <c r="HC485" i="100"/>
  <c r="HC486" i="100"/>
  <c r="HC487" i="100"/>
  <c r="HC488" i="100"/>
  <c r="HC489" i="100"/>
  <c r="HC490" i="100"/>
  <c r="HC491" i="100"/>
  <c r="HC492" i="100"/>
  <c r="HC493" i="100"/>
  <c r="HC494" i="100"/>
  <c r="HC495" i="100"/>
  <c r="HC496" i="100"/>
  <c r="HC497" i="100"/>
  <c r="HC498" i="100"/>
  <c r="HC499" i="100"/>
  <c r="HC500" i="100"/>
  <c r="HC501" i="100"/>
  <c r="HC502" i="100"/>
  <c r="HC503" i="100"/>
  <c r="HC504" i="100"/>
  <c r="HC505" i="100"/>
  <c r="HC506" i="100"/>
  <c r="HC507" i="100"/>
  <c r="HC508" i="100"/>
  <c r="HC509" i="100"/>
  <c r="HC510" i="100"/>
  <c r="HC511" i="100"/>
  <c r="HC512" i="100"/>
  <c r="HC513" i="100"/>
  <c r="HC514" i="100"/>
  <c r="HC515" i="100"/>
  <c r="HC516" i="100"/>
  <c r="HC517" i="100"/>
  <c r="HC518" i="100"/>
  <c r="HC519" i="100"/>
  <c r="HC520" i="100"/>
  <c r="HC521" i="100"/>
  <c r="HC522" i="100"/>
  <c r="HC523" i="100"/>
  <c r="HC524" i="100"/>
  <c r="HC525" i="100"/>
  <c r="HC526" i="100"/>
  <c r="HC527" i="100"/>
  <c r="HC528" i="100"/>
  <c r="HC529" i="100"/>
  <c r="HC530" i="100"/>
  <c r="HC531" i="100"/>
  <c r="HC532" i="100"/>
  <c r="HC533" i="100"/>
  <c r="HC534" i="100"/>
  <c r="HC535" i="100"/>
  <c r="HC536" i="100"/>
  <c r="HC537" i="100"/>
  <c r="HC538" i="100"/>
  <c r="HC539" i="100"/>
  <c r="HC540" i="100"/>
  <c r="HC541" i="100"/>
  <c r="HC542" i="100"/>
  <c r="HC543" i="100"/>
  <c r="HC544" i="100"/>
  <c r="HC545" i="100"/>
  <c r="HC546" i="100"/>
  <c r="HC547" i="100"/>
  <c r="HC548" i="100"/>
  <c r="HC549" i="100"/>
  <c r="HC550" i="100"/>
  <c r="HC551" i="100"/>
  <c r="HC552" i="100"/>
  <c r="HC553" i="100"/>
  <c r="HC554" i="100"/>
  <c r="HC555" i="100"/>
  <c r="HC556" i="100"/>
  <c r="HC557" i="100"/>
  <c r="HC558" i="100"/>
  <c r="HC559" i="100"/>
  <c r="HC560" i="100"/>
  <c r="HC561" i="100"/>
  <c r="HC562" i="100"/>
  <c r="HC563" i="100"/>
  <c r="HC564" i="100"/>
  <c r="HC565" i="100"/>
  <c r="HC566" i="100"/>
  <c r="HC567" i="100"/>
  <c r="HC568" i="100"/>
  <c r="HC569" i="100"/>
  <c r="HC570" i="100"/>
  <c r="HC571" i="100"/>
  <c r="HC572" i="100"/>
  <c r="HC573" i="100"/>
  <c r="HC574" i="100"/>
  <c r="HC575" i="100"/>
  <c r="HC576" i="100"/>
  <c r="HC577" i="100"/>
  <c r="HC578" i="100"/>
  <c r="HC579" i="100"/>
  <c r="HC580" i="100"/>
  <c r="HC581" i="100"/>
  <c r="HC582" i="100"/>
  <c r="HC583" i="100"/>
  <c r="HC584" i="100"/>
  <c r="HC585" i="100"/>
  <c r="HC586" i="100"/>
  <c r="HC587" i="100"/>
  <c r="HC588" i="100"/>
  <c r="HC589" i="100"/>
  <c r="HC590" i="100"/>
  <c r="HC591" i="100"/>
  <c r="HC592" i="100"/>
  <c r="HC593" i="100"/>
  <c r="HC594" i="100"/>
  <c r="HC595" i="100"/>
  <c r="HC596" i="100"/>
  <c r="HC597" i="100"/>
  <c r="HC598" i="100"/>
  <c r="HC599" i="100"/>
  <c r="HC600" i="100"/>
  <c r="HC601" i="100"/>
  <c r="HC602" i="100"/>
  <c r="HC603" i="100"/>
  <c r="HC604" i="100"/>
  <c r="HC605" i="100"/>
  <c r="HC606" i="100"/>
  <c r="HC607" i="100"/>
  <c r="HC608" i="100"/>
  <c r="HC609" i="100"/>
  <c r="HC610" i="100"/>
  <c r="HC611" i="100"/>
  <c r="HC612" i="100"/>
  <c r="HC613" i="100"/>
  <c r="HC614" i="100"/>
  <c r="HC615" i="100"/>
  <c r="HC616" i="100"/>
  <c r="HC617" i="100"/>
  <c r="HC618" i="100"/>
  <c r="HC619" i="100"/>
  <c r="HC620" i="100"/>
  <c r="HC621" i="100"/>
  <c r="HC622" i="100"/>
  <c r="HC623" i="100"/>
  <c r="HC624" i="100"/>
  <c r="HC625" i="100"/>
  <c r="HC626" i="100"/>
  <c r="HC627" i="100"/>
  <c r="HC628" i="100"/>
  <c r="HC629" i="100"/>
  <c r="HC630" i="100"/>
  <c r="HC631" i="100"/>
  <c r="HC632" i="100"/>
  <c r="HC633" i="100"/>
  <c r="HC634" i="100"/>
  <c r="HC635" i="100"/>
  <c r="HC636" i="100"/>
  <c r="HC637" i="100"/>
  <c r="HC638" i="100"/>
  <c r="HC639" i="100"/>
  <c r="HC640" i="100"/>
  <c r="HC641" i="100"/>
  <c r="HC642" i="100"/>
  <c r="HC643" i="100"/>
  <c r="HC644" i="100"/>
  <c r="HC645" i="100"/>
  <c r="HC646" i="100"/>
  <c r="HC647" i="100"/>
  <c r="HC648" i="100"/>
  <c r="HC649" i="100"/>
  <c r="HC650" i="100"/>
  <c r="HC651" i="100"/>
  <c r="HC652" i="100"/>
  <c r="HC653" i="100"/>
  <c r="HC654" i="100"/>
  <c r="HC655" i="100"/>
  <c r="HC656" i="100"/>
  <c r="HC657" i="100"/>
  <c r="HC658" i="100"/>
  <c r="HC659" i="100"/>
  <c r="HC660" i="100"/>
  <c r="HC661" i="100"/>
  <c r="HC662" i="100"/>
  <c r="HC663" i="100"/>
  <c r="HC664" i="100"/>
  <c r="HC665" i="100"/>
  <c r="HC666" i="100"/>
  <c r="HC667" i="100"/>
  <c r="HC668" i="100"/>
  <c r="HC669" i="100"/>
  <c r="HC670" i="100"/>
  <c r="HC671" i="100"/>
  <c r="HC672" i="100"/>
  <c r="HC673" i="100"/>
  <c r="HC674" i="100"/>
  <c r="HC675" i="100"/>
  <c r="HC676" i="100"/>
  <c r="HC677" i="100"/>
  <c r="HC678" i="100"/>
  <c r="HC679" i="100"/>
  <c r="HC680" i="100"/>
  <c r="HC681" i="100"/>
  <c r="HC682" i="100"/>
  <c r="HC683" i="100"/>
  <c r="HC684" i="100"/>
  <c r="HC685" i="100"/>
  <c r="HC686" i="100"/>
  <c r="HC687" i="100"/>
  <c r="HC688" i="100"/>
  <c r="HC689" i="100"/>
  <c r="HC690" i="100"/>
  <c r="HC691" i="100"/>
  <c r="HC692" i="100"/>
  <c r="HC693" i="100"/>
  <c r="HC694" i="100"/>
  <c r="HC695" i="100"/>
  <c r="HC696" i="100"/>
  <c r="HC697" i="100"/>
  <c r="HC698" i="100"/>
  <c r="HC699" i="100"/>
  <c r="HC700" i="100"/>
  <c r="HC701" i="100"/>
  <c r="HC702" i="100"/>
  <c r="HC703" i="100"/>
  <c r="HC704" i="100"/>
  <c r="HC705" i="100"/>
  <c r="HC706" i="100"/>
  <c r="HC707" i="100"/>
  <c r="HC708" i="100"/>
  <c r="HC709" i="100"/>
  <c r="HC710" i="100"/>
  <c r="HC711" i="100"/>
  <c r="HC712" i="100"/>
  <c r="HC713" i="100"/>
  <c r="HC714" i="100"/>
  <c r="HC715" i="100"/>
  <c r="HC716" i="100"/>
  <c r="HC717" i="100"/>
  <c r="HC718" i="100"/>
  <c r="HC719" i="100"/>
  <c r="HC720" i="100"/>
  <c r="HC721" i="100"/>
  <c r="HC722" i="100"/>
  <c r="HC723" i="100"/>
  <c r="HC724" i="100"/>
  <c r="HC725" i="100"/>
  <c r="HC726" i="100"/>
  <c r="HC727" i="100"/>
  <c r="HC728" i="100"/>
  <c r="HC729" i="100"/>
  <c r="HC730" i="100"/>
  <c r="HC731" i="100"/>
  <c r="HC732" i="100"/>
  <c r="HC733" i="100"/>
  <c r="HC734" i="100"/>
  <c r="HC735" i="100"/>
  <c r="HC736" i="100"/>
  <c r="HC737" i="100"/>
  <c r="HC738" i="100"/>
  <c r="HC739" i="100"/>
  <c r="HC740" i="100"/>
  <c r="HC741" i="100"/>
  <c r="HC742" i="100"/>
  <c r="HC743" i="100"/>
  <c r="HC744" i="100"/>
  <c r="HC745" i="100"/>
  <c r="HC746" i="100"/>
  <c r="HC747" i="100"/>
  <c r="HC748" i="100"/>
  <c r="HC749" i="100"/>
  <c r="HC750" i="100"/>
  <c r="HC751" i="100"/>
  <c r="HC752" i="100"/>
  <c r="HC753" i="100"/>
  <c r="HC754" i="100"/>
  <c r="HC755" i="100"/>
  <c r="HC756" i="100"/>
  <c r="HC757" i="100"/>
  <c r="HC758" i="100"/>
  <c r="HC759" i="100"/>
  <c r="HC760" i="100"/>
  <c r="HC761" i="100"/>
  <c r="HC762" i="100"/>
  <c r="HC763" i="100"/>
  <c r="HC764" i="100"/>
  <c r="HC765" i="100"/>
  <c r="HC766" i="100"/>
  <c r="HC767" i="100"/>
  <c r="HC768" i="100"/>
  <c r="HC769" i="100"/>
  <c r="HC770" i="100"/>
  <c r="HC771" i="100"/>
  <c r="HC772" i="100"/>
  <c r="HC773" i="100"/>
  <c r="HC774" i="100"/>
  <c r="HC775" i="100"/>
  <c r="HC776" i="100"/>
  <c r="HC777" i="100"/>
  <c r="HC778" i="100"/>
  <c r="HC779" i="100"/>
  <c r="HC780" i="100"/>
  <c r="HC781" i="100"/>
  <c r="HC782" i="100"/>
  <c r="HC783" i="100"/>
  <c r="HC784" i="100"/>
  <c r="HC785" i="100"/>
  <c r="HC786" i="100"/>
  <c r="BJ8" i="100"/>
  <c r="BJ9" i="100"/>
  <c r="BJ10" i="100"/>
  <c r="BJ11" i="100"/>
  <c r="BJ12" i="100"/>
  <c r="BJ13" i="100"/>
  <c r="BJ14" i="100"/>
  <c r="BJ15" i="100"/>
  <c r="BJ16" i="100"/>
  <c r="BJ17" i="100"/>
  <c r="BJ18" i="100"/>
  <c r="BJ19" i="100"/>
  <c r="BJ20" i="100"/>
  <c r="BJ21" i="100"/>
  <c r="BJ22" i="100"/>
  <c r="BJ23" i="100"/>
  <c r="BJ24" i="100"/>
  <c r="BJ25" i="100"/>
  <c r="BJ26" i="100"/>
  <c r="BJ27" i="100"/>
  <c r="BJ7" i="100"/>
  <c r="HA8" i="100"/>
  <c r="HA9" i="100"/>
  <c r="HA10" i="100"/>
  <c r="HA11" i="100"/>
  <c r="HA12" i="100"/>
  <c r="HA13" i="100"/>
  <c r="HA14" i="100"/>
  <c r="HA15" i="100"/>
  <c r="HA16" i="100"/>
  <c r="HA17" i="100"/>
  <c r="HA18" i="100"/>
  <c r="HA19" i="100"/>
  <c r="HA20" i="100"/>
  <c r="HA21" i="100"/>
  <c r="HA22" i="100"/>
  <c r="HA23" i="100"/>
  <c r="HA24" i="100"/>
  <c r="HA25" i="100"/>
  <c r="HA26" i="100"/>
  <c r="HA27" i="100"/>
  <c r="HA28" i="100"/>
  <c r="HA29" i="100"/>
  <c r="HA30" i="100"/>
  <c r="HA31" i="100"/>
  <c r="HA32" i="100"/>
  <c r="HA33" i="100"/>
  <c r="HA34" i="100"/>
  <c r="HA35" i="100"/>
  <c r="HA36" i="100"/>
  <c r="HA37" i="100"/>
  <c r="HA38" i="100"/>
  <c r="HA39" i="100"/>
  <c r="HA40" i="100"/>
  <c r="HA41" i="100"/>
  <c r="HA42" i="100"/>
  <c r="HA43" i="100"/>
  <c r="HA44" i="100"/>
  <c r="HA45" i="100"/>
  <c r="HA46" i="100"/>
  <c r="HA47" i="100"/>
  <c r="HA48" i="100"/>
  <c r="HA49" i="100"/>
  <c r="HA50" i="100"/>
  <c r="HA51" i="100"/>
  <c r="HA52" i="100"/>
  <c r="HA53" i="100"/>
  <c r="HA54" i="100"/>
  <c r="HA55" i="100"/>
  <c r="HA56" i="100"/>
  <c r="HA57" i="100"/>
  <c r="HA58" i="100"/>
  <c r="HA59" i="100"/>
  <c r="HA60" i="100"/>
  <c r="HA61" i="100"/>
  <c r="HA62" i="100"/>
  <c r="HA63" i="100"/>
  <c r="HA64" i="100"/>
  <c r="HA65" i="100"/>
  <c r="HA66" i="100"/>
  <c r="HA67" i="100"/>
  <c r="HA68" i="100"/>
  <c r="HA69" i="100"/>
  <c r="HA70" i="100"/>
  <c r="HA71" i="100"/>
  <c r="HA72" i="100"/>
  <c r="HA73" i="100"/>
  <c r="HA74" i="100"/>
  <c r="HA75" i="100"/>
  <c r="HA76" i="100"/>
  <c r="HA77" i="100"/>
  <c r="HA78" i="100"/>
  <c r="HA79" i="100"/>
  <c r="HA80" i="100"/>
  <c r="HA81" i="100"/>
  <c r="HA82" i="100"/>
  <c r="HA83" i="100"/>
  <c r="HA84" i="100"/>
  <c r="HA85" i="100"/>
  <c r="HA86" i="100"/>
  <c r="HA87" i="100"/>
  <c r="HA88" i="100"/>
  <c r="HA89" i="100"/>
  <c r="HA90" i="100"/>
  <c r="HA91" i="100"/>
  <c r="HA92" i="100"/>
  <c r="HA93" i="100"/>
  <c r="HA94" i="100"/>
  <c r="HA95" i="100"/>
  <c r="HA96" i="100"/>
  <c r="HA97" i="100"/>
  <c r="HA98" i="100"/>
  <c r="HA99" i="100"/>
  <c r="HA100" i="100"/>
  <c r="HA101" i="100"/>
  <c r="HA102" i="100"/>
  <c r="HA103" i="100"/>
  <c r="HA104" i="100"/>
  <c r="HA105" i="100"/>
  <c r="HA106" i="100"/>
  <c r="HA107" i="100"/>
  <c r="HA108" i="100"/>
  <c r="HA109" i="100"/>
  <c r="HA110" i="100"/>
  <c r="HA111" i="100"/>
  <c r="HA112" i="100"/>
  <c r="HA113" i="100"/>
  <c r="HA114" i="100"/>
  <c r="HA115" i="100"/>
  <c r="HA116" i="100"/>
  <c r="HA117" i="100"/>
  <c r="HA118" i="100"/>
  <c r="HA119" i="100"/>
  <c r="HA120" i="100"/>
  <c r="HA121" i="100"/>
  <c r="HA122" i="100"/>
  <c r="HA123" i="100"/>
  <c r="HA124" i="100"/>
  <c r="HA125" i="100"/>
  <c r="HA126" i="100"/>
  <c r="HA127" i="100"/>
  <c r="HA128" i="100"/>
  <c r="HA129" i="100"/>
  <c r="HA130" i="100"/>
  <c r="HA131" i="100"/>
  <c r="HA132" i="100"/>
  <c r="HA133" i="100"/>
  <c r="HA134" i="100"/>
  <c r="HA135" i="100"/>
  <c r="HA136" i="100"/>
  <c r="HA137" i="100"/>
  <c r="HA138" i="100"/>
  <c r="HA139" i="100"/>
  <c r="HA140" i="100"/>
  <c r="HA141" i="100"/>
  <c r="HA142" i="100"/>
  <c r="HA143" i="100"/>
  <c r="HA144" i="100"/>
  <c r="HA145" i="100"/>
  <c r="HA146" i="100"/>
  <c r="HA147" i="100"/>
  <c r="HA148" i="100"/>
  <c r="HA149" i="100"/>
  <c r="HA150" i="100"/>
  <c r="HA151" i="100"/>
  <c r="HA152" i="100"/>
  <c r="HA153" i="100"/>
  <c r="HA154" i="100"/>
  <c r="HA155" i="100"/>
  <c r="HA156" i="100"/>
  <c r="HA157" i="100"/>
  <c r="HA158" i="100"/>
  <c r="HA159" i="100"/>
  <c r="HA160" i="100"/>
  <c r="HA161" i="100"/>
  <c r="HA162" i="100"/>
  <c r="HA163" i="100"/>
  <c r="HA164" i="100"/>
  <c r="HA165" i="100"/>
  <c r="HA166" i="100"/>
  <c r="HA167" i="100"/>
  <c r="HA168" i="100"/>
  <c r="HA169" i="100"/>
  <c r="HA170" i="100"/>
  <c r="HA171" i="100"/>
  <c r="HA172" i="100"/>
  <c r="HA173" i="100"/>
  <c r="HA174" i="100"/>
  <c r="HA175" i="100"/>
  <c r="HA176" i="100"/>
  <c r="HA177" i="100"/>
  <c r="HA178" i="100"/>
  <c r="HA179" i="100"/>
  <c r="HA180" i="100"/>
  <c r="HA181" i="100"/>
  <c r="HA182" i="100"/>
  <c r="HA183" i="100"/>
  <c r="HA184" i="100"/>
  <c r="HA185" i="100"/>
  <c r="HA186" i="100"/>
  <c r="HA187" i="100"/>
  <c r="HA188" i="100"/>
  <c r="HA189" i="100"/>
  <c r="HA190" i="100"/>
  <c r="HA191" i="100"/>
  <c r="HA192" i="100"/>
  <c r="HA193" i="100"/>
  <c r="HA194" i="100"/>
  <c r="HA195" i="100"/>
  <c r="HA196" i="100"/>
  <c r="HA197" i="100"/>
  <c r="HA198" i="100"/>
  <c r="HA199" i="100"/>
  <c r="HA200" i="100"/>
  <c r="HA201" i="100"/>
  <c r="HA202" i="100"/>
  <c r="HA203" i="100"/>
  <c r="HA204" i="100"/>
  <c r="HA205" i="100"/>
  <c r="HA206" i="100"/>
  <c r="HA207" i="100"/>
  <c r="HA208" i="100"/>
  <c r="HA209" i="100"/>
  <c r="HA210" i="100"/>
  <c r="HA211" i="100"/>
  <c r="HA212" i="100"/>
  <c r="HA213" i="100"/>
  <c r="HA214" i="100"/>
  <c r="HA215" i="100"/>
  <c r="HA216" i="100"/>
  <c r="HA217" i="100"/>
  <c r="HA218" i="100"/>
  <c r="HA219" i="100"/>
  <c r="HA220" i="100"/>
  <c r="HA221" i="100"/>
  <c r="HA222" i="100"/>
  <c r="HA223" i="100"/>
  <c r="HA224" i="100"/>
  <c r="HA225" i="100"/>
  <c r="HA226" i="100"/>
  <c r="HA227" i="100"/>
  <c r="HA228" i="100"/>
  <c r="HA229" i="100"/>
  <c r="HA230" i="100"/>
  <c r="HA231" i="100"/>
  <c r="HA232" i="100"/>
  <c r="HA233" i="100"/>
  <c r="HA234" i="100"/>
  <c r="HA235" i="100"/>
  <c r="HA236" i="100"/>
  <c r="HA237" i="100"/>
  <c r="HA238" i="100"/>
  <c r="HA239" i="100"/>
  <c r="HA240" i="100"/>
  <c r="HA241" i="100"/>
  <c r="HA242" i="100"/>
  <c r="HA243" i="100"/>
  <c r="HA244" i="100"/>
  <c r="HA245" i="100"/>
  <c r="HA246" i="100"/>
  <c r="HA247" i="100"/>
  <c r="HA248" i="100"/>
  <c r="HA249" i="100"/>
  <c r="HA250" i="100"/>
  <c r="HA251" i="100"/>
  <c r="HA252" i="100"/>
  <c r="HA253" i="100"/>
  <c r="HA254" i="100"/>
  <c r="HA255" i="100"/>
  <c r="HA256" i="100"/>
  <c r="HA257" i="100"/>
  <c r="HA258" i="100"/>
  <c r="HA259" i="100"/>
  <c r="HA260" i="100"/>
  <c r="HA261" i="100"/>
  <c r="HA262" i="100"/>
  <c r="HA263" i="100"/>
  <c r="HA264" i="100"/>
  <c r="HA265" i="100"/>
  <c r="HA266" i="100"/>
  <c r="HA267" i="100"/>
  <c r="HA268" i="100"/>
  <c r="HA269" i="100"/>
  <c r="HA270" i="100"/>
  <c r="HA271" i="100"/>
  <c r="HA272" i="100"/>
  <c r="HA273" i="100"/>
  <c r="HA274" i="100"/>
  <c r="HA275" i="100"/>
  <c r="HA276" i="100"/>
  <c r="HA277" i="100"/>
  <c r="HA278" i="100"/>
  <c r="HA279" i="100"/>
  <c r="HA280" i="100"/>
  <c r="HA281" i="100"/>
  <c r="HA282" i="100"/>
  <c r="HA283" i="100"/>
  <c r="HA284" i="100"/>
  <c r="HA285" i="100"/>
  <c r="HA286" i="100"/>
  <c r="HA287" i="100"/>
  <c r="HA288" i="100"/>
  <c r="HA289" i="100"/>
  <c r="HA290" i="100"/>
  <c r="HA291" i="100"/>
  <c r="HA292" i="100"/>
  <c r="HA293" i="100"/>
  <c r="HA294" i="100"/>
  <c r="HA295" i="100"/>
  <c r="HA296" i="100"/>
  <c r="HA297" i="100"/>
  <c r="HA298" i="100"/>
  <c r="HA299" i="100"/>
  <c r="HA300" i="100"/>
  <c r="HA301" i="100"/>
  <c r="HA302" i="100"/>
  <c r="HA303" i="100"/>
  <c r="HA304" i="100"/>
  <c r="HA305" i="100"/>
  <c r="HA306" i="100"/>
  <c r="HA307" i="100"/>
  <c r="HA308" i="100"/>
  <c r="HA309" i="100"/>
  <c r="HA310" i="100"/>
  <c r="HA311" i="100"/>
  <c r="HA312" i="100"/>
  <c r="HA313" i="100"/>
  <c r="HA314" i="100"/>
  <c r="HA315" i="100"/>
  <c r="HA316" i="100"/>
  <c r="HA317" i="100"/>
  <c r="HA318" i="100"/>
  <c r="HA319" i="100"/>
  <c r="HA320" i="100"/>
  <c r="HA321" i="100"/>
  <c r="HA322" i="100"/>
  <c r="HA323" i="100"/>
  <c r="HA324" i="100"/>
  <c r="HA325" i="100"/>
  <c r="HA326" i="100"/>
  <c r="HA327" i="100"/>
  <c r="HA328" i="100"/>
  <c r="HA329" i="100"/>
  <c r="HA330" i="100"/>
  <c r="HA331" i="100"/>
  <c r="HA332" i="100"/>
  <c r="HA333" i="100"/>
  <c r="HA334" i="100"/>
  <c r="HA335" i="100"/>
  <c r="HA336" i="100"/>
  <c r="HA337" i="100"/>
  <c r="HA338" i="100"/>
  <c r="HA339" i="100"/>
  <c r="HA340" i="100"/>
  <c r="HA341" i="100"/>
  <c r="HA342" i="100"/>
  <c r="HA343" i="100"/>
  <c r="HA344" i="100"/>
  <c r="HA345" i="100"/>
  <c r="HA346" i="100"/>
  <c r="HA347" i="100"/>
  <c r="HA348" i="100"/>
  <c r="HA349" i="100"/>
  <c r="HA350" i="100"/>
  <c r="HA351" i="100"/>
  <c r="HA352" i="100"/>
  <c r="HA353" i="100"/>
  <c r="HA354" i="100"/>
  <c r="HA355" i="100"/>
  <c r="HA356" i="100"/>
  <c r="HA357" i="100"/>
  <c r="HA358" i="100"/>
  <c r="HA359" i="100"/>
  <c r="HA360" i="100"/>
  <c r="HA361" i="100"/>
  <c r="HA362" i="100"/>
  <c r="HA363" i="100"/>
  <c r="HA364" i="100"/>
  <c r="HA365" i="100"/>
  <c r="HA366" i="100"/>
  <c r="HA367" i="100"/>
  <c r="HA368" i="100"/>
  <c r="HA369" i="100"/>
  <c r="HA370" i="100"/>
  <c r="HA371" i="100"/>
  <c r="HA372" i="100"/>
  <c r="HA373" i="100"/>
  <c r="HA374" i="100"/>
  <c r="HA375" i="100"/>
  <c r="HA376" i="100"/>
  <c r="HA377" i="100"/>
  <c r="HA378" i="100"/>
  <c r="HA379" i="100"/>
  <c r="HA380" i="100"/>
  <c r="HA381" i="100"/>
  <c r="HA382" i="100"/>
  <c r="HA383" i="100"/>
  <c r="HA384" i="100"/>
  <c r="HA385" i="100"/>
  <c r="HA386" i="100"/>
  <c r="HA387" i="100"/>
  <c r="HA388" i="100"/>
  <c r="HA389" i="100"/>
  <c r="HA390" i="100"/>
  <c r="HA391" i="100"/>
  <c r="HA392" i="100"/>
  <c r="HA393" i="100"/>
  <c r="HA394" i="100"/>
  <c r="HA395" i="100"/>
  <c r="HA396" i="100"/>
  <c r="HA397" i="100"/>
  <c r="HA398" i="100"/>
  <c r="HA399" i="100"/>
  <c r="HA400" i="100"/>
  <c r="HA401" i="100"/>
  <c r="HA402" i="100"/>
  <c r="HA403" i="100"/>
  <c r="HA404" i="100"/>
  <c r="HA405" i="100"/>
  <c r="HA406" i="100"/>
  <c r="HA407" i="100"/>
  <c r="HA408" i="100"/>
  <c r="HA409" i="100"/>
  <c r="HA410" i="100"/>
  <c r="HA411" i="100"/>
  <c r="HA412" i="100"/>
  <c r="HA413" i="100"/>
  <c r="HA414" i="100"/>
  <c r="HA415" i="100"/>
  <c r="HA416" i="100"/>
  <c r="HA417" i="100"/>
  <c r="HA418" i="100"/>
  <c r="HA419" i="100"/>
  <c r="HA420" i="100"/>
  <c r="HA421" i="100"/>
  <c r="HA422" i="100"/>
  <c r="HA423" i="100"/>
  <c r="HA424" i="100"/>
  <c r="HA425" i="100"/>
  <c r="HA426" i="100"/>
  <c r="HA427" i="100"/>
  <c r="HA428" i="100"/>
  <c r="HA429" i="100"/>
  <c r="HA430" i="100"/>
  <c r="HA431" i="100"/>
  <c r="HA432" i="100"/>
  <c r="HA433" i="100"/>
  <c r="HA434" i="100"/>
  <c r="HA435" i="100"/>
  <c r="HA436" i="100"/>
  <c r="HA437" i="100"/>
  <c r="HA438" i="100"/>
  <c r="HA439" i="100"/>
  <c r="HA440" i="100"/>
  <c r="HA441" i="100"/>
  <c r="HA442" i="100"/>
  <c r="HA443" i="100"/>
  <c r="HA444" i="100"/>
  <c r="HA445" i="100"/>
  <c r="HA446" i="100"/>
  <c r="HA447" i="100"/>
  <c r="HA448" i="100"/>
  <c r="HA449" i="100"/>
  <c r="HA450" i="100"/>
  <c r="HA451" i="100"/>
  <c r="HA452" i="100"/>
  <c r="HA453" i="100"/>
  <c r="HA454" i="100"/>
  <c r="HA455" i="100"/>
  <c r="HA456" i="100"/>
  <c r="HA457" i="100"/>
  <c r="HA458" i="100"/>
  <c r="HA459" i="100"/>
  <c r="HA460" i="100"/>
  <c r="HA461" i="100"/>
  <c r="HA462" i="100"/>
  <c r="HA463" i="100"/>
  <c r="HA464" i="100"/>
  <c r="HA465" i="100"/>
  <c r="HA466" i="100"/>
  <c r="HA467" i="100"/>
  <c r="HA468" i="100"/>
  <c r="HA469" i="100"/>
  <c r="HA470" i="100"/>
  <c r="HA471" i="100"/>
  <c r="HA472" i="100"/>
  <c r="HA473" i="100"/>
  <c r="HA474" i="100"/>
  <c r="HA475" i="100"/>
  <c r="HA476" i="100"/>
  <c r="HA477" i="100"/>
  <c r="HA478" i="100"/>
  <c r="HA479" i="100"/>
  <c r="HA480" i="100"/>
  <c r="HA481" i="100"/>
  <c r="HA482" i="100"/>
  <c r="HA483" i="100"/>
  <c r="HA484" i="100"/>
  <c r="HA485" i="100"/>
  <c r="HA486" i="100"/>
  <c r="HA487" i="100"/>
  <c r="HA488" i="100"/>
  <c r="HA489" i="100"/>
  <c r="HA490" i="100"/>
  <c r="HA491" i="100"/>
  <c r="HA492" i="100"/>
  <c r="HA493" i="100"/>
  <c r="HA494" i="100"/>
  <c r="HA495" i="100"/>
  <c r="HA496" i="100"/>
  <c r="HA497" i="100"/>
  <c r="HA498" i="100"/>
  <c r="HA499" i="100"/>
  <c r="HA500" i="100"/>
  <c r="HA501" i="100"/>
  <c r="HA502" i="100"/>
  <c r="HA503" i="100"/>
  <c r="HA504" i="100"/>
  <c r="HA505" i="100"/>
  <c r="HA506" i="100"/>
  <c r="HA507" i="100"/>
  <c r="HA508" i="100"/>
  <c r="HA509" i="100"/>
  <c r="HA510" i="100"/>
  <c r="HA511" i="100"/>
  <c r="HA512" i="100"/>
  <c r="HA513" i="100"/>
  <c r="HA514" i="100"/>
  <c r="HA515" i="100"/>
  <c r="HA516" i="100"/>
  <c r="HA517" i="100"/>
  <c r="HA518" i="100"/>
  <c r="HA519" i="100"/>
  <c r="HA520" i="100"/>
  <c r="HA521" i="100"/>
  <c r="HA522" i="100"/>
  <c r="HA523" i="100"/>
  <c r="HA524" i="100"/>
  <c r="HA525" i="100"/>
  <c r="HA526" i="100"/>
  <c r="HA527" i="100"/>
  <c r="HA528" i="100"/>
  <c r="HA529" i="100"/>
  <c r="HA530" i="100"/>
  <c r="HA531" i="100"/>
  <c r="HA532" i="100"/>
  <c r="HA533" i="100"/>
  <c r="HA534" i="100"/>
  <c r="HA535" i="100"/>
  <c r="HA536" i="100"/>
  <c r="HA537" i="100"/>
  <c r="HA538" i="100"/>
  <c r="HA539" i="100"/>
  <c r="HA540" i="100"/>
  <c r="HA541" i="100"/>
  <c r="HA542" i="100"/>
  <c r="HA543" i="100"/>
  <c r="HA544" i="100"/>
  <c r="HA545" i="100"/>
  <c r="HA546" i="100"/>
  <c r="HA547" i="100"/>
  <c r="HA548" i="100"/>
  <c r="HA549" i="100"/>
  <c r="HA550" i="100"/>
  <c r="HA551" i="100"/>
  <c r="HA552" i="100"/>
  <c r="HA553" i="100"/>
  <c r="HA554" i="100"/>
  <c r="HA555" i="100"/>
  <c r="HA556" i="100"/>
  <c r="HA557" i="100"/>
  <c r="HA558" i="100"/>
  <c r="HA559" i="100"/>
  <c r="HA560" i="100"/>
  <c r="HA561" i="100"/>
  <c r="HA562" i="100"/>
  <c r="HA563" i="100"/>
  <c r="HA564" i="100"/>
  <c r="HA565" i="100"/>
  <c r="HA566" i="100"/>
  <c r="HA567" i="100"/>
  <c r="HA568" i="100"/>
  <c r="HA569" i="100"/>
  <c r="HA570" i="100"/>
  <c r="HA571" i="100"/>
  <c r="HA572" i="100"/>
  <c r="HA573" i="100"/>
  <c r="HA574" i="100"/>
  <c r="HA575" i="100"/>
  <c r="HA576" i="100"/>
  <c r="HA577" i="100"/>
  <c r="HA578" i="100"/>
  <c r="HA579" i="100"/>
  <c r="HA580" i="100"/>
  <c r="HA581" i="100"/>
  <c r="HA582" i="100"/>
  <c r="HA583" i="100"/>
  <c r="HA584" i="100"/>
  <c r="HA585" i="100"/>
  <c r="HA586" i="100"/>
  <c r="HA587" i="100"/>
  <c r="HA588" i="100"/>
  <c r="HA589" i="100"/>
  <c r="HA590" i="100"/>
  <c r="HA591" i="100"/>
  <c r="HA592" i="100"/>
  <c r="HA593" i="100"/>
  <c r="HA594" i="100"/>
  <c r="HA595" i="100"/>
  <c r="HA596" i="100"/>
  <c r="HA597" i="100"/>
  <c r="HA598" i="100"/>
  <c r="HA599" i="100"/>
  <c r="HA600" i="100"/>
  <c r="HA601" i="100"/>
  <c r="HA602" i="100"/>
  <c r="HA603" i="100"/>
  <c r="HA604" i="100"/>
  <c r="HA605" i="100"/>
  <c r="HA606" i="100"/>
  <c r="HA607" i="100"/>
  <c r="HA608" i="100"/>
  <c r="HA609" i="100"/>
  <c r="HA610" i="100"/>
  <c r="HA611" i="100"/>
  <c r="HA612" i="100"/>
  <c r="HA613" i="100"/>
  <c r="HA614" i="100"/>
  <c r="HA615" i="100"/>
  <c r="HA616" i="100"/>
  <c r="HA617" i="100"/>
  <c r="HA618" i="100"/>
  <c r="HA619" i="100"/>
  <c r="HA620" i="100"/>
  <c r="HA621" i="100"/>
  <c r="HA622" i="100"/>
  <c r="HA623" i="100"/>
  <c r="HA624" i="100"/>
  <c r="HA625" i="100"/>
  <c r="HA626" i="100"/>
  <c r="HA627" i="100"/>
  <c r="HA628" i="100"/>
  <c r="HA629" i="100"/>
  <c r="HA630" i="100"/>
  <c r="HA631" i="100"/>
  <c r="HA632" i="100"/>
  <c r="HA633" i="100"/>
  <c r="HA634" i="100"/>
  <c r="HA635" i="100"/>
  <c r="HA636" i="100"/>
  <c r="HA637" i="100"/>
  <c r="HA638" i="100"/>
  <c r="HA639" i="100"/>
  <c r="HA640" i="100"/>
  <c r="HA641" i="100"/>
  <c r="HA642" i="100"/>
  <c r="HA643" i="100"/>
  <c r="HA644" i="100"/>
  <c r="HA645" i="100"/>
  <c r="HA646" i="100"/>
  <c r="HA647" i="100"/>
  <c r="HA648" i="100"/>
  <c r="HA649" i="100"/>
  <c r="HA650" i="100"/>
  <c r="HA651" i="100"/>
  <c r="HA652" i="100"/>
  <c r="HA653" i="100"/>
  <c r="HA654" i="100"/>
  <c r="HA655" i="100"/>
  <c r="HA656" i="100"/>
  <c r="HA657" i="100"/>
  <c r="HA658" i="100"/>
  <c r="HA659" i="100"/>
  <c r="HA660" i="100"/>
  <c r="HA661" i="100"/>
  <c r="HA662" i="100"/>
  <c r="HA663" i="100"/>
  <c r="HA664" i="100"/>
  <c r="HA665" i="100"/>
  <c r="HA666" i="100"/>
  <c r="HA667" i="100"/>
  <c r="HA668" i="100"/>
  <c r="HA669" i="100"/>
  <c r="HA670" i="100"/>
  <c r="HA671" i="100"/>
  <c r="HA672" i="100"/>
  <c r="HA673" i="100"/>
  <c r="HA674" i="100"/>
  <c r="HA675" i="100"/>
  <c r="HA676" i="100"/>
  <c r="HA677" i="100"/>
  <c r="HA678" i="100"/>
  <c r="HA679" i="100"/>
  <c r="HA680" i="100"/>
  <c r="HA681" i="100"/>
  <c r="HA682" i="100"/>
  <c r="HA683" i="100"/>
  <c r="HA684" i="100"/>
  <c r="HA685" i="100"/>
  <c r="HA686" i="100"/>
  <c r="HA687" i="100"/>
  <c r="HA688" i="100"/>
  <c r="HA689" i="100"/>
  <c r="HA690" i="100"/>
  <c r="HA691" i="100"/>
  <c r="HA692" i="100"/>
  <c r="HA693" i="100"/>
  <c r="HA694" i="100"/>
  <c r="HA695" i="100"/>
  <c r="HA696" i="100"/>
  <c r="HA697" i="100"/>
  <c r="HA698" i="100"/>
  <c r="HA699" i="100"/>
  <c r="HA700" i="100"/>
  <c r="HA701" i="100"/>
  <c r="HA702" i="100"/>
  <c r="HA703" i="100"/>
  <c r="HA704" i="100"/>
  <c r="HA705" i="100"/>
  <c r="HA706" i="100"/>
  <c r="HA707" i="100"/>
  <c r="HA708" i="100"/>
  <c r="HA709" i="100"/>
  <c r="HA710" i="100"/>
  <c r="HA711" i="100"/>
  <c r="HA712" i="100"/>
  <c r="HA713" i="100"/>
  <c r="HA714" i="100"/>
  <c r="HA715" i="100"/>
  <c r="HA716" i="100"/>
  <c r="HA717" i="100"/>
  <c r="HA718" i="100"/>
  <c r="HA719" i="100"/>
  <c r="HA720" i="100"/>
  <c r="HA721" i="100"/>
  <c r="HA722" i="100"/>
  <c r="HA723" i="100"/>
  <c r="HA724" i="100"/>
  <c r="HA725" i="100"/>
  <c r="HA726" i="100"/>
  <c r="HA727" i="100"/>
  <c r="HA728" i="100"/>
  <c r="HA729" i="100"/>
  <c r="HA730" i="100"/>
  <c r="HA731" i="100"/>
  <c r="HA732" i="100"/>
  <c r="HA733" i="100"/>
  <c r="HA734" i="100"/>
  <c r="HA735" i="100"/>
  <c r="HA736" i="100"/>
  <c r="HA737" i="100"/>
  <c r="HA738" i="100"/>
  <c r="HA739" i="100"/>
  <c r="HA740" i="100"/>
  <c r="HA741" i="100"/>
  <c r="HA742" i="100"/>
  <c r="HA743" i="100"/>
  <c r="HA744" i="100"/>
  <c r="HA745" i="100"/>
  <c r="HA746" i="100"/>
  <c r="HA747" i="100"/>
  <c r="HA748" i="100"/>
  <c r="HA749" i="100"/>
  <c r="HA750" i="100"/>
  <c r="HA751" i="100"/>
  <c r="HA752" i="100"/>
  <c r="HA753" i="100"/>
  <c r="HA754" i="100"/>
  <c r="HA755" i="100"/>
  <c r="HA756" i="100"/>
  <c r="HA757" i="100"/>
  <c r="HA758" i="100"/>
  <c r="HA759" i="100"/>
  <c r="HA760" i="100"/>
  <c r="HA761" i="100"/>
  <c r="HA762" i="100"/>
  <c r="HA763" i="100"/>
  <c r="HA764" i="100"/>
  <c r="HA765" i="100"/>
  <c r="HA766" i="100"/>
  <c r="HA767" i="100"/>
  <c r="HA768" i="100"/>
  <c r="HA769" i="100"/>
  <c r="HA770" i="100"/>
  <c r="HA771" i="100"/>
  <c r="HA772" i="100"/>
  <c r="HA773" i="100"/>
  <c r="HA774" i="100"/>
  <c r="HA775" i="100"/>
  <c r="HA776" i="100"/>
  <c r="HA777" i="100"/>
  <c r="HA778" i="100"/>
  <c r="HA779" i="100"/>
  <c r="HA780" i="100"/>
  <c r="HA781" i="100"/>
  <c r="HA782" i="100"/>
  <c r="HA783" i="100"/>
  <c r="HA784" i="100"/>
  <c r="HA785" i="100"/>
  <c r="HA786" i="100"/>
  <c r="HA7" i="100"/>
  <c r="HB8" i="100" l="1"/>
  <c r="HB9" i="100"/>
  <c r="HB10" i="100"/>
  <c r="HB11" i="100"/>
  <c r="HB12" i="100"/>
  <c r="HB13" i="100"/>
  <c r="HB14" i="100"/>
  <c r="HB15" i="100"/>
  <c r="HB16" i="100"/>
  <c r="HB17" i="100"/>
  <c r="HB18" i="100"/>
  <c r="HB19" i="100"/>
  <c r="HB20" i="100"/>
  <c r="HB21" i="100"/>
  <c r="HB22" i="100"/>
  <c r="HB23" i="100"/>
  <c r="HB24" i="100"/>
  <c r="HB25" i="100"/>
  <c r="HB26" i="100"/>
  <c r="HB27" i="100"/>
  <c r="HB28" i="100"/>
  <c r="HB29" i="100"/>
  <c r="HB30" i="100"/>
  <c r="HB31" i="100"/>
  <c r="HB32" i="100"/>
  <c r="HB33" i="100"/>
  <c r="HB34" i="100"/>
  <c r="HB35" i="100"/>
  <c r="HB36" i="100"/>
  <c r="HB37" i="100"/>
  <c r="HB38" i="100"/>
  <c r="HB39" i="100"/>
  <c r="HB40" i="100"/>
  <c r="HB41" i="100"/>
  <c r="HB42" i="100"/>
  <c r="HB43" i="100"/>
  <c r="HB44" i="100"/>
  <c r="HB45" i="100"/>
  <c r="HB46" i="100"/>
  <c r="HB47" i="100"/>
  <c r="HB48" i="100"/>
  <c r="HB49" i="100"/>
  <c r="HB50" i="100"/>
  <c r="HB51" i="100"/>
  <c r="HB52" i="100"/>
  <c r="HB53" i="100"/>
  <c r="HB54" i="100"/>
  <c r="HB55" i="100"/>
  <c r="HB56" i="100"/>
  <c r="HB57" i="100"/>
  <c r="HB58" i="100"/>
  <c r="HB59" i="100"/>
  <c r="HB60" i="100"/>
  <c r="HB61" i="100"/>
  <c r="HB62" i="100"/>
  <c r="HB63" i="100"/>
  <c r="HB64" i="100"/>
  <c r="HB65" i="100"/>
  <c r="HB66" i="100"/>
  <c r="HB67" i="100"/>
  <c r="HB68" i="100"/>
  <c r="HB69" i="100"/>
  <c r="HB70" i="100"/>
  <c r="HB71" i="100"/>
  <c r="HB72" i="100"/>
  <c r="HB73" i="100"/>
  <c r="HB74" i="100"/>
  <c r="HB75" i="100"/>
  <c r="HB76" i="100"/>
  <c r="HB77" i="100"/>
  <c r="HB78" i="100"/>
  <c r="HB79" i="100"/>
  <c r="HB80" i="100"/>
  <c r="HB81" i="100"/>
  <c r="HB82" i="100"/>
  <c r="HB83" i="100"/>
  <c r="HB84" i="100"/>
  <c r="HB85" i="100"/>
  <c r="HB86" i="100"/>
  <c r="HB87" i="100"/>
  <c r="HB88" i="100"/>
  <c r="HB89" i="100"/>
  <c r="HB90" i="100"/>
  <c r="HB91" i="100"/>
  <c r="HB92" i="100"/>
  <c r="HB93" i="100"/>
  <c r="HB94" i="100"/>
  <c r="HB95" i="100"/>
  <c r="HB96" i="100"/>
  <c r="HB97" i="100"/>
  <c r="HB98" i="100"/>
  <c r="HB99" i="100"/>
  <c r="HB100" i="100"/>
  <c r="HB101" i="100"/>
  <c r="HB102" i="100"/>
  <c r="HB103" i="100"/>
  <c r="HB104" i="100"/>
  <c r="HB105" i="100"/>
  <c r="HB106" i="100"/>
  <c r="HB107" i="100"/>
  <c r="HB108" i="100"/>
  <c r="HB109" i="100"/>
  <c r="HB110" i="100"/>
  <c r="HB111" i="100"/>
  <c r="HB112" i="100"/>
  <c r="HB113" i="100"/>
  <c r="HB114" i="100"/>
  <c r="HB115" i="100"/>
  <c r="HB116" i="100"/>
  <c r="HB117" i="100"/>
  <c r="HB118" i="100"/>
  <c r="HB119" i="100"/>
  <c r="HB120" i="100"/>
  <c r="HB121" i="100"/>
  <c r="HB122" i="100"/>
  <c r="HB123" i="100"/>
  <c r="HB124" i="100"/>
  <c r="HB125" i="100"/>
  <c r="HB126" i="100"/>
  <c r="HB127" i="100"/>
  <c r="HB128" i="100"/>
  <c r="HB129" i="100"/>
  <c r="HB130" i="100"/>
  <c r="HB131" i="100"/>
  <c r="HB132" i="100"/>
  <c r="HB133" i="100"/>
  <c r="HB134" i="100"/>
  <c r="HB135" i="100"/>
  <c r="HB136" i="100"/>
  <c r="HB137" i="100"/>
  <c r="HB138" i="100"/>
  <c r="HB139" i="100"/>
  <c r="HB140" i="100"/>
  <c r="HB141" i="100"/>
  <c r="HB142" i="100"/>
  <c r="HB143" i="100"/>
  <c r="HB144" i="100"/>
  <c r="HB145" i="100"/>
  <c r="HB146" i="100"/>
  <c r="HB147" i="100"/>
  <c r="HB148" i="100"/>
  <c r="HB149" i="100"/>
  <c r="HB150" i="100"/>
  <c r="HB151" i="100"/>
  <c r="HB152" i="100"/>
  <c r="HB153" i="100"/>
  <c r="HB154" i="100"/>
  <c r="HB155" i="100"/>
  <c r="HB156" i="100"/>
  <c r="HB157" i="100"/>
  <c r="HB158" i="100"/>
  <c r="HB159" i="100"/>
  <c r="HB160" i="100"/>
  <c r="HB161" i="100"/>
  <c r="HB162" i="100"/>
  <c r="HB163" i="100"/>
  <c r="HB164" i="100"/>
  <c r="HB165" i="100"/>
  <c r="HB166" i="100"/>
  <c r="HB167" i="100"/>
  <c r="HB168" i="100"/>
  <c r="HB169" i="100"/>
  <c r="HB170" i="100"/>
  <c r="HB171" i="100"/>
  <c r="HB172" i="100"/>
  <c r="HB173" i="100"/>
  <c r="HB174" i="100"/>
  <c r="HB175" i="100"/>
  <c r="HB176" i="100"/>
  <c r="HB177" i="100"/>
  <c r="HB178" i="100"/>
  <c r="HB179" i="100"/>
  <c r="HB180" i="100"/>
  <c r="HB181" i="100"/>
  <c r="HB182" i="100"/>
  <c r="HB183" i="100"/>
  <c r="HB184" i="100"/>
  <c r="HB185" i="100"/>
  <c r="HB186" i="100"/>
  <c r="HB187" i="100"/>
  <c r="HB188" i="100"/>
  <c r="HB189" i="100"/>
  <c r="HB190" i="100"/>
  <c r="HB191" i="100"/>
  <c r="HB192" i="100"/>
  <c r="HB193" i="100"/>
  <c r="HB194" i="100"/>
  <c r="HB195" i="100"/>
  <c r="HB196" i="100"/>
  <c r="HB197" i="100"/>
  <c r="HB198" i="100"/>
  <c r="HB199" i="100"/>
  <c r="HB200" i="100"/>
  <c r="HB201" i="100"/>
  <c r="HB202" i="100"/>
  <c r="HB203" i="100"/>
  <c r="HB204" i="100"/>
  <c r="HB205" i="100"/>
  <c r="HB206" i="100"/>
  <c r="HB207" i="100"/>
  <c r="HB208" i="100"/>
  <c r="HB209" i="100"/>
  <c r="HB210" i="100"/>
  <c r="HB211" i="100"/>
  <c r="HB212" i="100"/>
  <c r="HB213" i="100"/>
  <c r="HB214" i="100"/>
  <c r="HB215" i="100"/>
  <c r="HB216" i="100"/>
  <c r="HB217" i="100"/>
  <c r="HB218" i="100"/>
  <c r="HB219" i="100"/>
  <c r="HB220" i="100"/>
  <c r="HB221" i="100"/>
  <c r="HB222" i="100"/>
  <c r="HB223" i="100"/>
  <c r="HB224" i="100"/>
  <c r="HB225" i="100"/>
  <c r="HB226" i="100"/>
  <c r="HB227" i="100"/>
  <c r="HB228" i="100"/>
  <c r="HB229" i="100"/>
  <c r="HB230" i="100"/>
  <c r="HB231" i="100"/>
  <c r="HB232" i="100"/>
  <c r="HB233" i="100"/>
  <c r="HB234" i="100"/>
  <c r="HB235" i="100"/>
  <c r="HB236" i="100"/>
  <c r="HB237" i="100"/>
  <c r="HB238" i="100"/>
  <c r="HB239" i="100"/>
  <c r="HB240" i="100"/>
  <c r="HB241" i="100"/>
  <c r="HB242" i="100"/>
  <c r="HB243" i="100"/>
  <c r="HB244" i="100"/>
  <c r="HB245" i="100"/>
  <c r="HB246" i="100"/>
  <c r="HB247" i="100"/>
  <c r="HB248" i="100"/>
  <c r="HB249" i="100"/>
  <c r="HB250" i="100"/>
  <c r="HB251" i="100"/>
  <c r="HB252" i="100"/>
  <c r="HB253" i="100"/>
  <c r="HB254" i="100"/>
  <c r="HB255" i="100"/>
  <c r="HB256" i="100"/>
  <c r="HB257" i="100"/>
  <c r="HB258" i="100"/>
  <c r="HB259" i="100"/>
  <c r="HB260" i="100"/>
  <c r="HB261" i="100"/>
  <c r="HB262" i="100"/>
  <c r="HB263" i="100"/>
  <c r="HB264" i="100"/>
  <c r="HB265" i="100"/>
  <c r="HB266" i="100"/>
  <c r="HB267" i="100"/>
  <c r="HB268" i="100"/>
  <c r="HB269" i="100"/>
  <c r="HB270" i="100"/>
  <c r="HB271" i="100"/>
  <c r="HB272" i="100"/>
  <c r="HB273" i="100"/>
  <c r="HB274" i="100"/>
  <c r="HB275" i="100"/>
  <c r="HB276" i="100"/>
  <c r="HB277" i="100"/>
  <c r="HB278" i="100"/>
  <c r="HB279" i="100"/>
  <c r="HB280" i="100"/>
  <c r="HB281" i="100"/>
  <c r="HB282" i="100"/>
  <c r="HB283" i="100"/>
  <c r="HB284" i="100"/>
  <c r="HB285" i="100"/>
  <c r="HB286" i="100"/>
  <c r="HB287" i="100"/>
  <c r="HB288" i="100"/>
  <c r="HB289" i="100"/>
  <c r="HB290" i="100"/>
  <c r="HB291" i="100"/>
  <c r="HB292" i="100"/>
  <c r="HB293" i="100"/>
  <c r="HB294" i="100"/>
  <c r="HB295" i="100"/>
  <c r="HB296" i="100"/>
  <c r="HB297" i="100"/>
  <c r="HB298" i="100"/>
  <c r="HB299" i="100"/>
  <c r="HB300" i="100"/>
  <c r="HB301" i="100"/>
  <c r="HB302" i="100"/>
  <c r="HB303" i="100"/>
  <c r="HB304" i="100"/>
  <c r="HB305" i="100"/>
  <c r="HB306" i="100"/>
  <c r="HB307" i="100"/>
  <c r="HB308" i="100"/>
  <c r="HB309" i="100"/>
  <c r="HB310" i="100"/>
  <c r="HB311" i="100"/>
  <c r="HB312" i="100"/>
  <c r="HB313" i="100"/>
  <c r="HB314" i="100"/>
  <c r="HB315" i="100"/>
  <c r="HB316" i="100"/>
  <c r="HB317" i="100"/>
  <c r="HB318" i="100"/>
  <c r="HB319" i="100"/>
  <c r="HB320" i="100"/>
  <c r="HB321" i="100"/>
  <c r="HB322" i="100"/>
  <c r="HB323" i="100"/>
  <c r="HB324" i="100"/>
  <c r="HB325" i="100"/>
  <c r="HB326" i="100"/>
  <c r="HB327" i="100"/>
  <c r="HB328" i="100"/>
  <c r="HB329" i="100"/>
  <c r="HB330" i="100"/>
  <c r="HB331" i="100"/>
  <c r="HB332" i="100"/>
  <c r="HB333" i="100"/>
  <c r="HB334" i="100"/>
  <c r="HB335" i="100"/>
  <c r="HB336" i="100"/>
  <c r="HB337" i="100"/>
  <c r="HB338" i="100"/>
  <c r="HB339" i="100"/>
  <c r="HB340" i="100"/>
  <c r="HB341" i="100"/>
  <c r="HB342" i="100"/>
  <c r="HB343" i="100"/>
  <c r="HB344" i="100"/>
  <c r="HB345" i="100"/>
  <c r="HB346" i="100"/>
  <c r="HB347" i="100"/>
  <c r="HB348" i="100"/>
  <c r="HB349" i="100"/>
  <c r="HB350" i="100"/>
  <c r="HB351" i="100"/>
  <c r="HB352" i="100"/>
  <c r="HB353" i="100"/>
  <c r="HB354" i="100"/>
  <c r="HB355" i="100"/>
  <c r="HB356" i="100"/>
  <c r="HB357" i="100"/>
  <c r="HB358" i="100"/>
  <c r="HB359" i="100"/>
  <c r="HB360" i="100"/>
  <c r="HB361" i="100"/>
  <c r="HB362" i="100"/>
  <c r="HB363" i="100"/>
  <c r="HB364" i="100"/>
  <c r="HB365" i="100"/>
  <c r="HB366" i="100"/>
  <c r="HB367" i="100"/>
  <c r="HB368" i="100"/>
  <c r="HB369" i="100"/>
  <c r="HB370" i="100"/>
  <c r="HB371" i="100"/>
  <c r="HB372" i="100"/>
  <c r="HB373" i="100"/>
  <c r="HB374" i="100"/>
  <c r="HB375" i="100"/>
  <c r="HB376" i="100"/>
  <c r="HB377" i="100"/>
  <c r="HB378" i="100"/>
  <c r="HB379" i="100"/>
  <c r="HB380" i="100"/>
  <c r="HB381" i="100"/>
  <c r="HB382" i="100"/>
  <c r="HB383" i="100"/>
  <c r="HB384" i="100"/>
  <c r="HB385" i="100"/>
  <c r="HB386" i="100"/>
  <c r="HB387" i="100"/>
  <c r="HB388" i="100"/>
  <c r="HB389" i="100"/>
  <c r="HB390" i="100"/>
  <c r="HB391" i="100"/>
  <c r="HB392" i="100"/>
  <c r="HB393" i="100"/>
  <c r="HB394" i="100"/>
  <c r="HB395" i="100"/>
  <c r="HB396" i="100"/>
  <c r="HB397" i="100"/>
  <c r="HB398" i="100"/>
  <c r="HB399" i="100"/>
  <c r="HB400" i="100"/>
  <c r="HB401" i="100"/>
  <c r="HB402" i="100"/>
  <c r="HB403" i="100"/>
  <c r="HB404" i="100"/>
  <c r="HB405" i="100"/>
  <c r="HB406" i="100"/>
  <c r="HB407" i="100"/>
  <c r="HB408" i="100"/>
  <c r="HB409" i="100"/>
  <c r="HB410" i="100"/>
  <c r="HB411" i="100"/>
  <c r="HB412" i="100"/>
  <c r="HB413" i="100"/>
  <c r="HB414" i="100"/>
  <c r="HB415" i="100"/>
  <c r="HB416" i="100"/>
  <c r="HB417" i="100"/>
  <c r="HB418" i="100"/>
  <c r="HB419" i="100"/>
  <c r="HB420" i="100"/>
  <c r="HB421" i="100"/>
  <c r="HB422" i="100"/>
  <c r="HB423" i="100"/>
  <c r="HB424" i="100"/>
  <c r="HB425" i="100"/>
  <c r="HB426" i="100"/>
  <c r="HB427" i="100"/>
  <c r="HB428" i="100"/>
  <c r="HB429" i="100"/>
  <c r="HB430" i="100"/>
  <c r="HB431" i="100"/>
  <c r="HB432" i="100"/>
  <c r="HB433" i="100"/>
  <c r="HB434" i="100"/>
  <c r="HB435" i="100"/>
  <c r="HB436" i="100"/>
  <c r="HB437" i="100"/>
  <c r="HB438" i="100"/>
  <c r="HB439" i="100"/>
  <c r="HB440" i="100"/>
  <c r="HB441" i="100"/>
  <c r="HB442" i="100"/>
  <c r="HB443" i="100"/>
  <c r="HB444" i="100"/>
  <c r="HB445" i="100"/>
  <c r="HB446" i="100"/>
  <c r="HB447" i="100"/>
  <c r="HB448" i="100"/>
  <c r="HB449" i="100"/>
  <c r="HB450" i="100"/>
  <c r="HB451" i="100"/>
  <c r="HB452" i="100"/>
  <c r="HB453" i="100"/>
  <c r="HB454" i="100"/>
  <c r="HB455" i="100"/>
  <c r="HB456" i="100"/>
  <c r="HB457" i="100"/>
  <c r="HB458" i="100"/>
  <c r="HB459" i="100"/>
  <c r="HB460" i="100"/>
  <c r="HB461" i="100"/>
  <c r="HB462" i="100"/>
  <c r="HB463" i="100"/>
  <c r="HB464" i="100"/>
  <c r="HB465" i="100"/>
  <c r="HB466" i="100"/>
  <c r="HB467" i="100"/>
  <c r="HB468" i="100"/>
  <c r="HB469" i="100"/>
  <c r="HB470" i="100"/>
  <c r="HB471" i="100"/>
  <c r="HB472" i="100"/>
  <c r="HB473" i="100"/>
  <c r="HB474" i="100"/>
  <c r="HB475" i="100"/>
  <c r="HB476" i="100"/>
  <c r="HB477" i="100"/>
  <c r="HB478" i="100"/>
  <c r="HB479" i="100"/>
  <c r="HB480" i="100"/>
  <c r="HB481" i="100"/>
  <c r="HB482" i="100"/>
  <c r="HB483" i="100"/>
  <c r="HB484" i="100"/>
  <c r="HB485" i="100"/>
  <c r="HB486" i="100"/>
  <c r="HB487" i="100"/>
  <c r="HB488" i="100"/>
  <c r="HB489" i="100"/>
  <c r="HB490" i="100"/>
  <c r="HB491" i="100"/>
  <c r="HB492" i="100"/>
  <c r="HB493" i="100"/>
  <c r="HB494" i="100"/>
  <c r="HB495" i="100"/>
  <c r="HB496" i="100"/>
  <c r="HB497" i="100"/>
  <c r="HB498" i="100"/>
  <c r="HB499" i="100"/>
  <c r="HB500" i="100"/>
  <c r="HB501" i="100"/>
  <c r="HB502" i="100"/>
  <c r="HB503" i="100"/>
  <c r="HB504" i="100"/>
  <c r="HB505" i="100"/>
  <c r="HB506" i="100"/>
  <c r="HB507" i="100"/>
  <c r="HB508" i="100"/>
  <c r="HB509" i="100"/>
  <c r="HB510" i="100"/>
  <c r="HB511" i="100"/>
  <c r="HB512" i="100"/>
  <c r="HB513" i="100"/>
  <c r="HB514" i="100"/>
  <c r="HB515" i="100"/>
  <c r="HB516" i="100"/>
  <c r="HB517" i="100"/>
  <c r="HB518" i="100"/>
  <c r="HB519" i="100"/>
  <c r="HB520" i="100"/>
  <c r="HB521" i="100"/>
  <c r="HB522" i="100"/>
  <c r="HB523" i="100"/>
  <c r="HB524" i="100"/>
  <c r="HB525" i="100"/>
  <c r="HB526" i="100"/>
  <c r="HB527" i="100"/>
  <c r="HB528" i="100"/>
  <c r="HB529" i="100"/>
  <c r="HB530" i="100"/>
  <c r="HB531" i="100"/>
  <c r="HB532" i="100"/>
  <c r="HB533" i="100"/>
  <c r="HB534" i="100"/>
  <c r="HB535" i="100"/>
  <c r="HB536" i="100"/>
  <c r="HB537" i="100"/>
  <c r="HB538" i="100"/>
  <c r="HB539" i="100"/>
  <c r="HB540" i="100"/>
  <c r="HB541" i="100"/>
  <c r="HB542" i="100"/>
  <c r="HB543" i="100"/>
  <c r="HB544" i="100"/>
  <c r="HB545" i="100"/>
  <c r="HB546" i="100"/>
  <c r="HB547" i="100"/>
  <c r="HB548" i="100"/>
  <c r="HB549" i="100"/>
  <c r="HB550" i="100"/>
  <c r="HB551" i="100"/>
  <c r="HB552" i="100"/>
  <c r="HB553" i="100"/>
  <c r="HB554" i="100"/>
  <c r="HB555" i="100"/>
  <c r="HB556" i="100"/>
  <c r="HB557" i="100"/>
  <c r="HB558" i="100"/>
  <c r="HB559" i="100"/>
  <c r="HB560" i="100"/>
  <c r="HB561" i="100"/>
  <c r="HB562" i="100"/>
  <c r="HB563" i="100"/>
  <c r="HB564" i="100"/>
  <c r="HB565" i="100"/>
  <c r="HB566" i="100"/>
  <c r="HB567" i="100"/>
  <c r="HB568" i="100"/>
  <c r="HB569" i="100"/>
  <c r="HB570" i="100"/>
  <c r="HB571" i="100"/>
  <c r="HB572" i="100"/>
  <c r="HB573" i="100"/>
  <c r="HB574" i="100"/>
  <c r="HB575" i="100"/>
  <c r="HB576" i="100"/>
  <c r="HB577" i="100"/>
  <c r="HB578" i="100"/>
  <c r="HB579" i="100"/>
  <c r="HB580" i="100"/>
  <c r="HB581" i="100"/>
  <c r="HB582" i="100"/>
  <c r="HB583" i="100"/>
  <c r="HB584" i="100"/>
  <c r="HB585" i="100"/>
  <c r="HB586" i="100"/>
  <c r="HB587" i="100"/>
  <c r="HB588" i="100"/>
  <c r="HB589" i="100"/>
  <c r="HB590" i="100"/>
  <c r="HB591" i="100"/>
  <c r="HB592" i="100"/>
  <c r="HB593" i="100"/>
  <c r="HB594" i="100"/>
  <c r="HB595" i="100"/>
  <c r="HB596" i="100"/>
  <c r="HB597" i="100"/>
  <c r="HB598" i="100"/>
  <c r="HB599" i="100"/>
  <c r="HB600" i="100"/>
  <c r="HB601" i="100"/>
  <c r="HB602" i="100"/>
  <c r="HB603" i="100"/>
  <c r="HB604" i="100"/>
  <c r="HB605" i="100"/>
  <c r="HB606" i="100"/>
  <c r="HB607" i="100"/>
  <c r="HB608" i="100"/>
  <c r="HB609" i="100"/>
  <c r="HB610" i="100"/>
  <c r="HB611" i="100"/>
  <c r="HB612" i="100"/>
  <c r="HB613" i="100"/>
  <c r="HB614" i="100"/>
  <c r="HB615" i="100"/>
  <c r="HB616" i="100"/>
  <c r="HB617" i="100"/>
  <c r="HB618" i="100"/>
  <c r="HB619" i="100"/>
  <c r="HB620" i="100"/>
  <c r="HB621" i="100"/>
  <c r="HB622" i="100"/>
  <c r="HB623" i="100"/>
  <c r="HB624" i="100"/>
  <c r="HB625" i="100"/>
  <c r="HB626" i="100"/>
  <c r="HB627" i="100"/>
  <c r="HB628" i="100"/>
  <c r="HB629" i="100"/>
  <c r="HB630" i="100"/>
  <c r="HB631" i="100"/>
  <c r="HB632" i="100"/>
  <c r="HB633" i="100"/>
  <c r="HB634" i="100"/>
  <c r="HB635" i="100"/>
  <c r="HB636" i="100"/>
  <c r="HB637" i="100"/>
  <c r="HB638" i="100"/>
  <c r="HB639" i="100"/>
  <c r="HB640" i="100"/>
  <c r="HB641" i="100"/>
  <c r="HB642" i="100"/>
  <c r="HB643" i="100"/>
  <c r="HB644" i="100"/>
  <c r="HB645" i="100"/>
  <c r="HB646" i="100"/>
  <c r="HB647" i="100"/>
  <c r="HB648" i="100"/>
  <c r="HB649" i="100"/>
  <c r="HB650" i="100"/>
  <c r="HB651" i="100"/>
  <c r="HB652" i="100"/>
  <c r="HB653" i="100"/>
  <c r="HB654" i="100"/>
  <c r="HB655" i="100"/>
  <c r="HB656" i="100"/>
  <c r="HB657" i="100"/>
  <c r="HB658" i="100"/>
  <c r="HB659" i="100"/>
  <c r="HB660" i="100"/>
  <c r="HB661" i="100"/>
  <c r="HB662" i="100"/>
  <c r="HB663" i="100"/>
  <c r="HB664" i="100"/>
  <c r="HB665" i="100"/>
  <c r="HB666" i="100"/>
  <c r="HB667" i="100"/>
  <c r="HB668" i="100"/>
  <c r="HB669" i="100"/>
  <c r="HB670" i="100"/>
  <c r="HB671" i="100"/>
  <c r="HB672" i="100"/>
  <c r="HB673" i="100"/>
  <c r="HB674" i="100"/>
  <c r="HB675" i="100"/>
  <c r="HB676" i="100"/>
  <c r="HB677" i="100"/>
  <c r="HB678" i="100"/>
  <c r="HB679" i="100"/>
  <c r="HB680" i="100"/>
  <c r="HB681" i="100"/>
  <c r="HB682" i="100"/>
  <c r="HB683" i="100"/>
  <c r="HB684" i="100"/>
  <c r="HB685" i="100"/>
  <c r="HB686" i="100"/>
  <c r="HB687" i="100"/>
  <c r="HB688" i="100"/>
  <c r="HB689" i="100"/>
  <c r="HB690" i="100"/>
  <c r="HB691" i="100"/>
  <c r="HB692" i="100"/>
  <c r="HB693" i="100"/>
  <c r="HB694" i="100"/>
  <c r="HB695" i="100"/>
  <c r="HB696" i="100"/>
  <c r="HB697" i="100"/>
  <c r="HB698" i="100"/>
  <c r="HB699" i="100"/>
  <c r="HB700" i="100"/>
  <c r="HB701" i="100"/>
  <c r="HB702" i="100"/>
  <c r="HB703" i="100"/>
  <c r="HB704" i="100"/>
  <c r="HB705" i="100"/>
  <c r="HB706" i="100"/>
  <c r="HB707" i="100"/>
  <c r="HB708" i="100"/>
  <c r="HB709" i="100"/>
  <c r="HB710" i="100"/>
  <c r="HB711" i="100"/>
  <c r="HB712" i="100"/>
  <c r="HB713" i="100"/>
  <c r="HB714" i="100"/>
  <c r="HB715" i="100"/>
  <c r="HB716" i="100"/>
  <c r="HB717" i="100"/>
  <c r="HB718" i="100"/>
  <c r="HB719" i="100"/>
  <c r="HB720" i="100"/>
  <c r="HB721" i="100"/>
  <c r="HB722" i="100"/>
  <c r="HB723" i="100"/>
  <c r="HB724" i="100"/>
  <c r="HB725" i="100"/>
  <c r="HB726" i="100"/>
  <c r="HB727" i="100"/>
  <c r="HB728" i="100"/>
  <c r="HB729" i="100"/>
  <c r="HB730" i="100"/>
  <c r="HB731" i="100"/>
  <c r="HB732" i="100"/>
  <c r="HB733" i="100"/>
  <c r="HB734" i="100"/>
  <c r="HB735" i="100"/>
  <c r="HB736" i="100"/>
  <c r="HB737" i="100"/>
  <c r="HB738" i="100"/>
  <c r="HB739" i="100"/>
  <c r="HB740" i="100"/>
  <c r="HB741" i="100"/>
  <c r="HB742" i="100"/>
  <c r="HB743" i="100"/>
  <c r="HB744" i="100"/>
  <c r="HB745" i="100"/>
  <c r="HB746" i="100"/>
  <c r="HB747" i="100"/>
  <c r="HB748" i="100"/>
  <c r="HB749" i="100"/>
  <c r="HB750" i="100"/>
  <c r="HB751" i="100"/>
  <c r="HB752" i="100"/>
  <c r="HB753" i="100"/>
  <c r="HB754" i="100"/>
  <c r="HB755" i="100"/>
  <c r="HB756" i="100"/>
  <c r="HB757" i="100"/>
  <c r="HB758" i="100"/>
  <c r="HB759" i="100"/>
  <c r="HB760" i="100"/>
  <c r="HB761" i="100"/>
  <c r="HB762" i="100"/>
  <c r="HB763" i="100"/>
  <c r="HB764" i="100"/>
  <c r="HB765" i="100"/>
  <c r="HB766" i="100"/>
  <c r="HB767" i="100"/>
  <c r="HB768" i="100"/>
  <c r="HB769" i="100"/>
  <c r="HB770" i="100"/>
  <c r="HB771" i="100"/>
  <c r="HB772" i="100"/>
  <c r="HB773" i="100"/>
  <c r="HB774" i="100"/>
  <c r="HB775" i="100"/>
  <c r="HB776" i="100"/>
  <c r="HB777" i="100"/>
  <c r="HB778" i="100"/>
  <c r="HB779" i="100"/>
  <c r="HB780" i="100"/>
  <c r="HB781" i="100"/>
  <c r="HB782" i="100"/>
  <c r="HB783" i="100"/>
  <c r="HB784" i="100"/>
  <c r="HB785" i="100"/>
  <c r="HB786" i="100"/>
  <c r="HB7" i="100"/>
  <c r="BM6" i="90" l="1"/>
  <c r="BR6" i="90"/>
  <c r="BM7" i="90"/>
  <c r="BS7" i="90" s="1"/>
  <c r="BM8" i="90"/>
  <c r="BM9" i="90"/>
  <c r="BS9" i="90" s="1"/>
  <c r="BP9" i="90"/>
  <c r="BR9" i="90"/>
  <c r="BT9" i="90" s="1"/>
  <c r="BM10" i="90"/>
  <c r="BR10" i="90" s="1"/>
  <c r="BM11" i="90"/>
  <c r="BS11" i="90" s="1"/>
  <c r="BM12" i="90"/>
  <c r="BN12" i="90"/>
  <c r="BU12" i="90" s="1"/>
  <c r="BP12" i="90"/>
  <c r="BR12" i="90"/>
  <c r="BS12" i="90"/>
  <c r="BM13" i="90"/>
  <c r="BR13" i="90" s="1"/>
  <c r="BM14" i="90"/>
  <c r="BP14" i="90" s="1"/>
  <c r="BS14" i="90"/>
  <c r="BM15" i="90"/>
  <c r="BS15" i="90" s="1"/>
  <c r="BM16" i="90"/>
  <c r="BP16" i="90" s="1"/>
  <c r="BM17" i="90"/>
  <c r="BS17" i="90" s="1"/>
  <c r="BP17" i="90"/>
  <c r="BR17" i="90"/>
  <c r="BM18" i="90"/>
  <c r="BR18" i="90" s="1"/>
  <c r="BM19" i="90"/>
  <c r="BM20" i="90"/>
  <c r="BM21" i="90"/>
  <c r="BR21" i="90" s="1"/>
  <c r="BM22" i="90"/>
  <c r="BP22" i="90" s="1"/>
  <c r="BM23" i="90"/>
  <c r="BS23" i="90" s="1"/>
  <c r="BM24" i="90"/>
  <c r="BP24" i="90" s="1"/>
  <c r="BM25" i="90"/>
  <c r="BS25" i="90" s="1"/>
  <c r="BP25" i="90"/>
  <c r="BR25" i="90"/>
  <c r="BM26" i="90"/>
  <c r="BM27" i="90"/>
  <c r="BS27" i="90" s="1"/>
  <c r="BP27" i="90"/>
  <c r="BM28" i="90"/>
  <c r="BP28" i="90" s="1"/>
  <c r="BR28" i="90"/>
  <c r="BS28" i="90"/>
  <c r="BN28" i="90" s="1"/>
  <c r="BU28" i="90" s="1"/>
  <c r="BM29" i="90"/>
  <c r="BP29" i="90" s="1"/>
  <c r="BS29" i="90"/>
  <c r="BM30" i="90"/>
  <c r="BP30" i="90" s="1"/>
  <c r="BR30" i="90"/>
  <c r="BT30" i="90" s="1"/>
  <c r="BS30" i="90"/>
  <c r="BN30" i="90" s="1"/>
  <c r="BU30" i="90" s="1"/>
  <c r="BM31" i="90"/>
  <c r="BS31" i="90" s="1"/>
  <c r="BR31" i="90"/>
  <c r="BT31" i="90" s="1"/>
  <c r="BM32" i="90"/>
  <c r="BM33" i="90"/>
  <c r="BR33" i="90" s="1"/>
  <c r="BM34" i="90"/>
  <c r="BP34" i="90" s="1"/>
  <c r="BM35" i="90"/>
  <c r="BS35" i="90" s="1"/>
  <c r="BP35" i="90"/>
  <c r="BR35" i="90"/>
  <c r="BT35" i="90" s="1"/>
  <c r="BM36" i="90"/>
  <c r="BP36" i="90" s="1"/>
  <c r="BR36" i="90"/>
  <c r="BS36" i="90"/>
  <c r="BN36" i="90" s="1"/>
  <c r="BU36" i="90" s="1"/>
  <c r="BM37" i="90"/>
  <c r="BP37" i="90"/>
  <c r="BR37" i="90"/>
  <c r="BT37" i="90" s="1"/>
  <c r="BS37" i="90"/>
  <c r="BN37" i="90" s="1"/>
  <c r="BM38" i="90"/>
  <c r="BS38" i="90" s="1"/>
  <c r="BM39" i="90"/>
  <c r="BS39" i="90" s="1"/>
  <c r="BM40" i="90"/>
  <c r="BS40" i="90" s="1"/>
  <c r="BN40" i="90" s="1"/>
  <c r="BU40" i="90" s="1"/>
  <c r="BM41" i="90"/>
  <c r="BR41" i="90" s="1"/>
  <c r="BT41" i="90" s="1"/>
  <c r="BS41" i="90"/>
  <c r="BN41" i="90" s="1"/>
  <c r="BM42" i="90"/>
  <c r="BR42" i="90" s="1"/>
  <c r="BM43" i="90"/>
  <c r="BS43" i="90" s="1"/>
  <c r="BM44" i="90"/>
  <c r="BS44" i="90" s="1"/>
  <c r="BR44" i="90"/>
  <c r="BM45" i="90"/>
  <c r="BR45" i="90" s="1"/>
  <c r="BS45" i="90"/>
  <c r="BN45" i="90" s="1"/>
  <c r="BM46" i="90"/>
  <c r="BP46" i="90" s="1"/>
  <c r="BM47" i="90"/>
  <c r="BM48" i="90"/>
  <c r="BP48" i="90" s="1"/>
  <c r="BM49" i="90"/>
  <c r="BM50" i="90"/>
  <c r="BM51" i="90"/>
  <c r="BM52" i="90"/>
  <c r="BR52" i="90" s="1"/>
  <c r="BP52" i="90"/>
  <c r="BS52" i="90"/>
  <c r="BN52" i="90" s="1"/>
  <c r="BM53" i="90"/>
  <c r="BM54" i="90"/>
  <c r="BR54" i="90"/>
  <c r="BM55" i="90"/>
  <c r="BM56" i="90"/>
  <c r="BS56" i="90" s="1"/>
  <c r="BM57" i="90"/>
  <c r="BS57" i="90" s="1"/>
  <c r="BM58" i="90"/>
  <c r="BM59" i="90"/>
  <c r="BP59" i="90" s="1"/>
  <c r="BM60" i="90"/>
  <c r="BR60" i="90" s="1"/>
  <c r="BP60" i="90"/>
  <c r="BS60" i="90"/>
  <c r="BN60" i="90" s="1"/>
  <c r="BM61" i="90"/>
  <c r="BM62" i="90"/>
  <c r="BP62" i="90" s="1"/>
  <c r="BS62" i="90"/>
  <c r="BM63" i="90"/>
  <c r="BP63" i="90" s="1"/>
  <c r="BM64" i="90"/>
  <c r="BS64" i="90" s="1"/>
  <c r="BN64" i="90" s="1"/>
  <c r="BU64" i="90" s="1"/>
  <c r="BM65" i="90"/>
  <c r="BS65" i="90" s="1"/>
  <c r="BM66" i="90"/>
  <c r="BR66" i="90" s="1"/>
  <c r="BM67" i="90"/>
  <c r="BP67" i="90" s="1"/>
  <c r="BM68" i="90"/>
  <c r="BP68" i="90" s="1"/>
  <c r="BM69" i="90"/>
  <c r="BM70" i="90"/>
  <c r="BP70" i="90" s="1"/>
  <c r="BM71" i="90"/>
  <c r="BP71" i="90" s="1"/>
  <c r="BM72" i="90"/>
  <c r="BP72" i="90" s="1"/>
  <c r="BM73" i="90"/>
  <c r="BS73" i="90" s="1"/>
  <c r="BM74" i="90"/>
  <c r="BM75" i="90"/>
  <c r="BM76" i="90"/>
  <c r="BS76" i="90"/>
  <c r="BM77" i="90"/>
  <c r="BR77" i="90" s="1"/>
  <c r="BM78" i="90"/>
  <c r="BM79" i="90"/>
  <c r="BP79" i="90" s="1"/>
  <c r="BN79" i="90"/>
  <c r="BO79" i="90"/>
  <c r="BR79" i="90"/>
  <c r="BS79" i="90"/>
  <c r="BT79" i="90"/>
  <c r="BM80" i="90"/>
  <c r="BP80" i="90"/>
  <c r="BR80" i="90"/>
  <c r="BT80" i="90" s="1"/>
  <c r="BS80" i="90"/>
  <c r="BN80" i="90" s="1"/>
  <c r="BU80" i="90" s="1"/>
  <c r="BM81" i="90"/>
  <c r="BM82" i="90"/>
  <c r="BR82" i="90" s="1"/>
  <c r="BM83" i="90"/>
  <c r="BP83" i="90" s="1"/>
  <c r="BR83" i="90"/>
  <c r="BS83" i="90"/>
  <c r="BO83" i="90" s="1"/>
  <c r="BM84" i="90"/>
  <c r="BP84" i="90" s="1"/>
  <c r="BR84" i="90"/>
  <c r="BT84" i="90" s="1"/>
  <c r="BS84" i="90"/>
  <c r="BN84" i="90" s="1"/>
  <c r="BM85" i="90"/>
  <c r="BP85" i="90" s="1"/>
  <c r="BM86" i="90"/>
  <c r="BM87" i="90"/>
  <c r="BS87" i="90" s="1"/>
  <c r="BM88" i="90"/>
  <c r="BR88" i="90" s="1"/>
  <c r="BS88" i="90"/>
  <c r="BM89" i="90"/>
  <c r="BS89" i="90" s="1"/>
  <c r="BN89" i="90" s="1"/>
  <c r="BR89" i="90"/>
  <c r="BT89" i="90" s="1"/>
  <c r="BM90" i="90"/>
  <c r="BP90" i="90" s="1"/>
  <c r="BR90" i="90"/>
  <c r="BT90" i="90" s="1"/>
  <c r="BS90" i="90"/>
  <c r="BO90" i="90" s="1"/>
  <c r="BM91" i="90"/>
  <c r="BP91" i="90" s="1"/>
  <c r="BS91" i="90"/>
  <c r="BO91" i="90" s="1"/>
  <c r="BM92" i="90"/>
  <c r="BR92" i="90" s="1"/>
  <c r="BS92" i="90"/>
  <c r="BN92" i="90" s="1"/>
  <c r="BM93" i="90"/>
  <c r="BM94" i="90"/>
  <c r="BP94" i="90" s="1"/>
  <c r="BM95" i="90"/>
  <c r="BM96" i="90"/>
  <c r="BP96" i="90" s="1"/>
  <c r="BM97" i="90"/>
  <c r="BM98" i="90"/>
  <c r="BP98" i="90" s="1"/>
  <c r="BM99" i="90"/>
  <c r="BM100" i="90"/>
  <c r="BS100" i="90" s="1"/>
  <c r="BN100" i="90" s="1"/>
  <c r="BU100" i="90" s="1"/>
  <c r="BM101" i="90"/>
  <c r="BN101" i="90"/>
  <c r="BU101" i="90" s="1"/>
  <c r="BP101" i="90"/>
  <c r="BR101" i="90"/>
  <c r="BT101" i="90" s="1"/>
  <c r="BS101" i="90"/>
  <c r="BO101" i="90" s="1"/>
  <c r="BM102" i="90"/>
  <c r="BS102" i="90" s="1"/>
  <c r="BM103" i="90"/>
  <c r="BS103" i="90" s="1"/>
  <c r="BN103" i="90" s="1"/>
  <c r="BP103" i="90"/>
  <c r="BR103" i="90"/>
  <c r="BM104" i="90"/>
  <c r="BS104" i="90" s="1"/>
  <c r="BN104" i="90" s="1"/>
  <c r="BU104" i="90" s="1"/>
  <c r="BP104" i="90"/>
  <c r="BR104" i="90"/>
  <c r="BT104" i="90" s="1"/>
  <c r="BM105" i="90"/>
  <c r="BP105" i="90" s="1"/>
  <c r="BR105" i="90"/>
  <c r="BS105" i="90"/>
  <c r="BO105" i="90" s="1"/>
  <c r="BX105" i="90" s="1"/>
  <c r="BM106" i="90"/>
  <c r="BP106" i="90" s="1"/>
  <c r="BS106" i="90"/>
  <c r="BN106" i="90" s="1"/>
  <c r="BM107" i="90"/>
  <c r="BR107" i="90" s="1"/>
  <c r="BS107" i="90"/>
  <c r="BN107" i="90" s="1"/>
  <c r="BM108" i="90"/>
  <c r="BS108" i="90" s="1"/>
  <c r="BN108" i="90" s="1"/>
  <c r="BU108" i="90" s="1"/>
  <c r="BM109" i="90"/>
  <c r="BM110" i="90"/>
  <c r="BP110" i="90" s="1"/>
  <c r="BM111" i="90"/>
  <c r="BR111" i="90" s="1"/>
  <c r="BP111" i="90"/>
  <c r="BS111" i="90"/>
  <c r="BN111" i="90" s="1"/>
  <c r="BM112" i="90"/>
  <c r="BM113" i="90"/>
  <c r="BS113" i="90"/>
  <c r="BM114" i="90"/>
  <c r="BS114" i="90" s="1"/>
  <c r="BM115" i="90"/>
  <c r="BS115" i="90" s="1"/>
  <c r="BN115" i="90" s="1"/>
  <c r="BU115" i="90" s="1"/>
  <c r="BP115" i="90"/>
  <c r="BR115" i="90"/>
  <c r="BM116" i="90"/>
  <c r="BS116" i="90" s="1"/>
  <c r="BN116" i="90" s="1"/>
  <c r="BP116" i="90"/>
  <c r="BR116" i="90"/>
  <c r="BT116" i="90" s="1"/>
  <c r="BM117" i="90"/>
  <c r="BP117" i="90"/>
  <c r="BR117" i="90"/>
  <c r="BT117" i="90" s="1"/>
  <c r="BS117" i="90"/>
  <c r="BO117" i="90" s="1"/>
  <c r="BM118" i="90"/>
  <c r="BP118" i="90" s="1"/>
  <c r="BN118" i="90"/>
  <c r="BO118" i="90"/>
  <c r="BR118" i="90"/>
  <c r="BT118" i="90" s="1"/>
  <c r="BS118" i="90"/>
  <c r="BM119" i="90"/>
  <c r="BM120" i="90"/>
  <c r="BM121" i="90"/>
  <c r="BR121" i="90" s="1"/>
  <c r="BP121" i="90"/>
  <c r="BM122" i="90"/>
  <c r="BP122" i="90" s="1"/>
  <c r="BM123" i="90"/>
  <c r="BR123" i="90" s="1"/>
  <c r="BM124" i="90"/>
  <c r="BS124" i="90" s="1"/>
  <c r="BN124" i="90" s="1"/>
  <c r="BU124" i="90" s="1"/>
  <c r="BR124" i="90"/>
  <c r="BT124" i="90" s="1"/>
  <c r="BM125" i="90"/>
  <c r="BP125" i="90" s="1"/>
  <c r="BM126" i="90"/>
  <c r="BM127" i="90"/>
  <c r="BP127" i="90" s="1"/>
  <c r="BM128" i="90"/>
  <c r="BM129" i="90"/>
  <c r="BS129" i="90" s="1"/>
  <c r="BM130" i="90"/>
  <c r="BS130" i="90"/>
  <c r="BM131" i="90"/>
  <c r="BM132" i="90"/>
  <c r="BR132" i="90"/>
  <c r="BM133" i="90"/>
  <c r="BM134" i="90"/>
  <c r="BP134" i="90" s="1"/>
  <c r="BS134" i="90"/>
  <c r="BO134" i="90" s="1"/>
  <c r="BM135" i="90"/>
  <c r="BM136" i="90"/>
  <c r="BS136" i="90" s="1"/>
  <c r="BN136" i="90" s="1"/>
  <c r="BU136" i="90" s="1"/>
  <c r="BR136" i="90"/>
  <c r="BT136" i="90" s="1"/>
  <c r="BM137" i="90"/>
  <c r="BS137" i="90" s="1"/>
  <c r="BO137" i="90" s="1"/>
  <c r="BM138" i="90"/>
  <c r="BS138" i="90"/>
  <c r="BM139" i="90"/>
  <c r="BR139" i="90" s="1"/>
  <c r="BM140" i="90"/>
  <c r="BR140" i="90" s="1"/>
  <c r="BM141" i="90"/>
  <c r="BP141" i="90" s="1"/>
  <c r="BM142" i="90"/>
  <c r="BP142" i="90" s="1"/>
  <c r="BR142" i="90"/>
  <c r="BM143" i="90"/>
  <c r="BS143" i="90" s="1"/>
  <c r="BM144" i="90"/>
  <c r="BM145" i="90"/>
  <c r="BS145" i="90" s="1"/>
  <c r="BO145" i="90" s="1"/>
  <c r="BX145" i="90" s="1"/>
  <c r="BM146" i="90"/>
  <c r="BS146" i="90"/>
  <c r="BO146" i="90" s="1"/>
  <c r="BM147" i="90"/>
  <c r="BP147" i="90" s="1"/>
  <c r="BM148" i="90"/>
  <c r="BS148" i="90" s="1"/>
  <c r="BM149" i="90"/>
  <c r="BP149" i="90" s="1"/>
  <c r="BM150" i="90"/>
  <c r="BS150" i="90" s="1"/>
  <c r="BN150" i="90" s="1"/>
  <c r="BO150" i="90"/>
  <c r="BP150" i="90"/>
  <c r="BR150" i="90"/>
  <c r="BT150" i="90" s="1"/>
  <c r="BM151" i="90"/>
  <c r="BS151" i="90" s="1"/>
  <c r="BP151" i="90"/>
  <c r="BR151" i="90"/>
  <c r="BT151" i="90" s="1"/>
  <c r="BM152" i="90"/>
  <c r="BM153" i="90"/>
  <c r="BR153" i="90" s="1"/>
  <c r="BP153" i="90"/>
  <c r="BS153" i="90"/>
  <c r="BN153" i="90" s="1"/>
  <c r="BM154" i="90"/>
  <c r="BM155" i="90"/>
  <c r="BS155" i="90" s="1"/>
  <c r="BR155" i="90"/>
  <c r="BT155" i="90" s="1"/>
  <c r="BM156" i="90"/>
  <c r="BP156" i="90" s="1"/>
  <c r="BM157" i="90"/>
  <c r="BR157" i="90" s="1"/>
  <c r="BM158" i="90"/>
  <c r="BS158" i="90" s="1"/>
  <c r="BN158" i="90" s="1"/>
  <c r="BU158" i="90" s="1"/>
  <c r="BM159" i="90"/>
  <c r="BM160" i="90"/>
  <c r="BM161" i="90"/>
  <c r="BP161" i="90" s="1"/>
  <c r="BM162" i="90"/>
  <c r="BM163" i="90"/>
  <c r="BP163" i="90" s="1"/>
  <c r="BM164" i="90"/>
  <c r="BM165" i="90"/>
  <c r="BP165" i="90" s="1"/>
  <c r="BS165" i="90"/>
  <c r="BN165" i="90" s="1"/>
  <c r="BM166" i="90"/>
  <c r="BM167" i="90"/>
  <c r="BS167" i="90" s="1"/>
  <c r="BM168" i="90"/>
  <c r="BM169" i="90"/>
  <c r="BP169" i="90" s="1"/>
  <c r="BM170" i="90"/>
  <c r="BS170" i="90" s="1"/>
  <c r="BN170" i="90" s="1"/>
  <c r="BU170" i="90" s="1"/>
  <c r="BM171" i="90"/>
  <c r="BS171" i="90" s="1"/>
  <c r="BM172" i="90"/>
  <c r="BM173" i="90"/>
  <c r="BM174" i="90"/>
  <c r="BM175" i="90"/>
  <c r="BM176" i="90"/>
  <c r="BP176" i="90" s="1"/>
  <c r="BR176" i="90"/>
  <c r="BS176" i="90"/>
  <c r="BM177" i="90"/>
  <c r="BM178" i="90"/>
  <c r="BM179" i="90"/>
  <c r="BM180" i="90"/>
  <c r="BS180" i="90" s="1"/>
  <c r="BM181" i="90"/>
  <c r="BR181" i="90" s="1"/>
  <c r="BP181" i="90"/>
  <c r="BS181" i="90"/>
  <c r="BN181" i="90" s="1"/>
  <c r="BM182" i="90"/>
  <c r="BM183" i="90"/>
  <c r="BS183" i="90" s="1"/>
  <c r="BR183" i="90"/>
  <c r="BT183" i="90" s="1"/>
  <c r="BM184" i="90"/>
  <c r="BM185" i="90"/>
  <c r="BP185" i="90"/>
  <c r="BR185" i="90"/>
  <c r="BT185" i="90" s="1"/>
  <c r="BS185" i="90"/>
  <c r="BN185" i="90" s="1"/>
  <c r="BM186" i="90"/>
  <c r="BM187" i="90"/>
  <c r="BS187" i="90" s="1"/>
  <c r="BM188" i="90"/>
  <c r="BS188" i="90" s="1"/>
  <c r="BM189" i="90"/>
  <c r="BP189" i="90" s="1"/>
  <c r="BS189" i="90"/>
  <c r="BN189" i="90" s="1"/>
  <c r="BM190" i="90"/>
  <c r="BM191" i="90"/>
  <c r="BM192" i="90"/>
  <c r="BS192" i="90"/>
  <c r="BM193" i="90"/>
  <c r="BS193" i="90" s="1"/>
  <c r="BM194" i="90"/>
  <c r="BS194" i="90" s="1"/>
  <c r="BM195" i="90"/>
  <c r="BR195" i="90" s="1"/>
  <c r="BM196" i="90"/>
  <c r="BS196" i="90" s="1"/>
  <c r="BM197" i="90"/>
  <c r="BS197" i="90" s="1"/>
  <c r="BN197" i="90" s="1"/>
  <c r="BM198" i="90"/>
  <c r="BR198" i="90" s="1"/>
  <c r="BM199" i="90"/>
  <c r="BM200" i="90"/>
  <c r="BR200" i="90" s="1"/>
  <c r="BM201" i="90"/>
  <c r="BS201" i="90" s="1"/>
  <c r="BM202" i="90"/>
  <c r="BS202" i="90" s="1"/>
  <c r="BM203" i="90"/>
  <c r="BR203" i="90" s="1"/>
  <c r="BM204" i="90"/>
  <c r="BS204" i="90" s="1"/>
  <c r="BM205" i="90"/>
  <c r="BS205" i="90" s="1"/>
  <c r="BN205" i="90" s="1"/>
  <c r="BV205" i="90" s="1"/>
  <c r="BO205" i="90"/>
  <c r="BX205" i="90" s="1"/>
  <c r="BP205" i="90"/>
  <c r="BM206" i="90"/>
  <c r="BR206" i="90"/>
  <c r="BM207" i="90"/>
  <c r="BP207" i="90" s="1"/>
  <c r="BM208" i="90"/>
  <c r="BP208" i="90" s="1"/>
  <c r="BN208" i="90"/>
  <c r="BS208" i="90"/>
  <c r="BM209" i="90"/>
  <c r="BS209" i="90" s="1"/>
  <c r="BM210" i="90"/>
  <c r="BS210" i="90" s="1"/>
  <c r="BP210" i="90"/>
  <c r="BM211" i="90"/>
  <c r="BR211" i="90" s="1"/>
  <c r="BM212" i="90"/>
  <c r="BO212" i="90"/>
  <c r="BP212" i="90"/>
  <c r="BR212" i="90"/>
  <c r="BT212" i="90" s="1"/>
  <c r="BS212" i="90"/>
  <c r="BN212" i="90" s="1"/>
  <c r="BM213" i="90"/>
  <c r="BS213" i="90" s="1"/>
  <c r="BN213" i="90" s="1"/>
  <c r="BO213" i="90"/>
  <c r="BM214" i="90"/>
  <c r="BR214" i="90" s="1"/>
  <c r="BM215" i="90"/>
  <c r="BP215" i="90" s="1"/>
  <c r="BS215" i="90"/>
  <c r="BO215" i="90" s="1"/>
  <c r="BM216" i="90"/>
  <c r="BM217" i="90"/>
  <c r="BM218" i="90"/>
  <c r="BM219" i="90"/>
  <c r="BR219" i="90"/>
  <c r="BM220" i="90"/>
  <c r="BP220" i="90"/>
  <c r="BR220" i="90"/>
  <c r="BT220" i="90" s="1"/>
  <c r="BS220" i="90"/>
  <c r="BN220" i="90" s="1"/>
  <c r="BM221" i="90"/>
  <c r="BS221" i="90" s="1"/>
  <c r="BN221" i="90" s="1"/>
  <c r="BU221" i="90" s="1"/>
  <c r="BO221" i="90"/>
  <c r="BM222" i="90"/>
  <c r="BR222" i="90" s="1"/>
  <c r="BM223" i="90"/>
  <c r="BP223" i="90" s="1"/>
  <c r="BR223" i="90"/>
  <c r="BM224" i="90"/>
  <c r="BR224" i="90" s="1"/>
  <c r="BN224" i="90"/>
  <c r="BS224" i="90"/>
  <c r="BM225" i="90"/>
  <c r="BS225" i="90" s="1"/>
  <c r="BP225" i="90"/>
  <c r="BM226" i="90"/>
  <c r="BS226" i="90" s="1"/>
  <c r="BP226" i="90"/>
  <c r="BM227" i="90"/>
  <c r="BR227" i="90" s="1"/>
  <c r="BM228" i="90"/>
  <c r="BR228" i="90" s="1"/>
  <c r="BT228" i="90" s="1"/>
  <c r="BS228" i="90"/>
  <c r="BN228" i="90" s="1"/>
  <c r="BM229" i="90"/>
  <c r="BM230" i="90"/>
  <c r="BR230" i="90" s="1"/>
  <c r="BM231" i="90"/>
  <c r="BP231" i="90" s="1"/>
  <c r="BM232" i="90"/>
  <c r="BP232" i="90" s="1"/>
  <c r="BR232" i="90"/>
  <c r="BM233" i="90"/>
  <c r="BS233" i="90" s="1"/>
  <c r="BR233" i="90"/>
  <c r="BT233" i="90"/>
  <c r="BM234" i="90"/>
  <c r="BS234" i="90" s="1"/>
  <c r="BR234" i="90"/>
  <c r="BT234" i="90" s="1"/>
  <c r="BM235" i="90"/>
  <c r="BR235" i="90" s="1"/>
  <c r="BM236" i="90"/>
  <c r="BR236" i="90" s="1"/>
  <c r="BT236" i="90" s="1"/>
  <c r="BS236" i="90"/>
  <c r="BN236" i="90" s="1"/>
  <c r="BM237" i="90"/>
  <c r="BR237" i="90" s="1"/>
  <c r="BM238" i="90"/>
  <c r="BR238" i="90" s="1"/>
  <c r="BM239" i="90"/>
  <c r="BM240" i="90"/>
  <c r="BP240" i="90" s="1"/>
  <c r="BM241" i="90"/>
  <c r="BP241" i="90" s="1"/>
  <c r="BM242" i="90"/>
  <c r="BM243" i="90"/>
  <c r="BM244" i="90"/>
  <c r="BS244" i="90" s="1"/>
  <c r="BN244" i="90" s="1"/>
  <c r="BM245" i="90"/>
  <c r="BM246" i="90"/>
  <c r="BM247" i="90"/>
  <c r="BS247" i="90" s="1"/>
  <c r="BM248" i="90"/>
  <c r="BS248" i="90" s="1"/>
  <c r="BN248" i="90" s="1"/>
  <c r="BP248" i="90"/>
  <c r="BR248" i="90"/>
  <c r="BM249" i="90"/>
  <c r="BS249" i="90" s="1"/>
  <c r="BN249" i="90" s="1"/>
  <c r="BU249" i="90" s="1"/>
  <c r="BO249" i="90"/>
  <c r="BP249" i="90"/>
  <c r="BM250" i="90"/>
  <c r="BP250" i="90" s="1"/>
  <c r="BM251" i="90"/>
  <c r="BR251" i="90" s="1"/>
  <c r="BM252" i="90"/>
  <c r="BP252" i="90" s="1"/>
  <c r="BM253" i="90"/>
  <c r="BS253" i="90" s="1"/>
  <c r="BN253" i="90" s="1"/>
  <c r="BU253" i="90" s="1"/>
  <c r="BM254" i="90"/>
  <c r="BR254" i="90" s="1"/>
  <c r="BM255" i="90"/>
  <c r="BP255" i="90" s="1"/>
  <c r="BM256" i="90"/>
  <c r="BP256" i="90" s="1"/>
  <c r="BM257" i="90"/>
  <c r="BS257" i="90" s="1"/>
  <c r="BM258" i="90"/>
  <c r="BP258" i="90"/>
  <c r="BM259" i="90"/>
  <c r="BR259" i="90" s="1"/>
  <c r="BM260" i="90"/>
  <c r="BR260" i="90" s="1"/>
  <c r="BP260" i="90"/>
  <c r="BS260" i="90"/>
  <c r="BN260" i="90" s="1"/>
  <c r="BM261" i="90"/>
  <c r="BM262" i="90"/>
  <c r="BS262" i="90" s="1"/>
  <c r="BM263" i="90"/>
  <c r="BS263" i="90" s="1"/>
  <c r="BM264" i="90"/>
  <c r="BP264" i="90"/>
  <c r="BR264" i="90"/>
  <c r="BT264" i="90" s="1"/>
  <c r="BS264" i="90"/>
  <c r="BN264" i="90" s="1"/>
  <c r="BM265" i="90"/>
  <c r="BR265" i="90"/>
  <c r="BM266" i="90"/>
  <c r="BS266" i="90" s="1"/>
  <c r="BM267" i="90"/>
  <c r="BR267" i="90" s="1"/>
  <c r="BM268" i="90"/>
  <c r="BS268" i="90" s="1"/>
  <c r="BN268" i="90" s="1"/>
  <c r="BM269" i="90"/>
  <c r="BM270" i="90"/>
  <c r="BR270" i="90" s="1"/>
  <c r="BM271" i="90"/>
  <c r="BS271" i="90" s="1"/>
  <c r="BM272" i="90"/>
  <c r="BP272" i="90" s="1"/>
  <c r="BN272" i="90"/>
  <c r="BR272" i="90"/>
  <c r="BS272" i="90"/>
  <c r="BM273" i="90"/>
  <c r="BS273" i="90" s="1"/>
  <c r="BM274" i="90"/>
  <c r="BP274" i="90" s="1"/>
  <c r="BM275" i="90"/>
  <c r="BP275" i="90" s="1"/>
  <c r="BM276" i="90"/>
  <c r="BP276" i="90" s="1"/>
  <c r="BM277" i="90"/>
  <c r="BS277" i="90" s="1"/>
  <c r="BN277" i="90" s="1"/>
  <c r="BO277" i="90"/>
  <c r="BP277" i="90"/>
  <c r="BR277" i="90"/>
  <c r="BT277" i="90" s="1"/>
  <c r="BM278" i="90"/>
  <c r="BM279" i="90"/>
  <c r="BM280" i="90"/>
  <c r="BP280" i="90"/>
  <c r="BR280" i="90"/>
  <c r="BS280" i="90"/>
  <c r="BN280" i="90" s="1"/>
  <c r="BM281" i="90"/>
  <c r="BS281" i="90" s="1"/>
  <c r="BN281" i="90" s="1"/>
  <c r="BU281" i="90" s="1"/>
  <c r="BM282" i="90"/>
  <c r="BS282" i="90" s="1"/>
  <c r="BM283" i="90"/>
  <c r="BM284" i="90"/>
  <c r="BP284" i="90" s="1"/>
  <c r="BM285" i="90"/>
  <c r="BS285" i="90" s="1"/>
  <c r="BN285" i="90" s="1"/>
  <c r="BR285" i="90"/>
  <c r="BT285" i="90" s="1"/>
  <c r="BM286" i="90"/>
  <c r="BM287" i="90"/>
  <c r="BP287" i="90" s="1"/>
  <c r="BM288" i="90"/>
  <c r="BP288" i="90"/>
  <c r="BR288" i="90"/>
  <c r="BS288" i="90"/>
  <c r="BN288" i="90" s="1"/>
  <c r="BM289" i="90"/>
  <c r="BS289" i="90" s="1"/>
  <c r="BP289" i="90"/>
  <c r="BR289" i="90"/>
  <c r="BM290" i="90"/>
  <c r="BP290" i="90" s="1"/>
  <c r="BM291" i="90"/>
  <c r="BP291" i="90" s="1"/>
  <c r="BS291" i="90"/>
  <c r="BM292" i="90"/>
  <c r="BP292" i="90" s="1"/>
  <c r="BR292" i="90"/>
  <c r="BT292" i="90" s="1"/>
  <c r="BS292" i="90"/>
  <c r="BN292" i="90" s="1"/>
  <c r="BM293" i="90"/>
  <c r="BS293" i="90" s="1"/>
  <c r="BN293" i="90" s="1"/>
  <c r="BM294" i="90"/>
  <c r="BS294" i="90" s="1"/>
  <c r="BP294" i="90"/>
  <c r="BM295" i="90"/>
  <c r="BM296" i="90"/>
  <c r="BP296" i="90" s="1"/>
  <c r="BS296" i="90"/>
  <c r="BN296" i="90" s="1"/>
  <c r="BM297" i="90"/>
  <c r="BS297" i="90" s="1"/>
  <c r="BR297" i="90"/>
  <c r="BM298" i="90"/>
  <c r="BS298" i="90" s="1"/>
  <c r="BM299" i="90"/>
  <c r="BM300" i="90"/>
  <c r="BP300" i="90" s="1"/>
  <c r="BM301" i="90"/>
  <c r="BS301" i="90" s="1"/>
  <c r="BN301" i="90" s="1"/>
  <c r="BU301" i="90" s="1"/>
  <c r="BM302" i="90"/>
  <c r="BR302" i="90" s="1"/>
  <c r="BM303" i="90"/>
  <c r="BP303" i="90" s="1"/>
  <c r="BM304" i="90"/>
  <c r="BS304" i="90" s="1"/>
  <c r="BM305" i="90"/>
  <c r="BR305" i="90" s="1"/>
  <c r="BT305" i="90" s="1"/>
  <c r="BS305" i="90"/>
  <c r="BN305" i="90" s="1"/>
  <c r="BV305" i="90" s="1"/>
  <c r="BM306" i="90"/>
  <c r="BR306" i="90" s="1"/>
  <c r="BM307" i="90"/>
  <c r="BP307" i="90" s="1"/>
  <c r="BM308" i="90"/>
  <c r="BP308" i="90" s="1"/>
  <c r="BM309" i="90"/>
  <c r="BR309" i="90" s="1"/>
  <c r="BS309" i="90"/>
  <c r="BN309" i="90" s="1"/>
  <c r="BM310" i="90"/>
  <c r="BS310" i="90" s="1"/>
  <c r="BM311" i="90"/>
  <c r="BM312" i="90"/>
  <c r="BP312" i="90" s="1"/>
  <c r="BM313" i="90"/>
  <c r="BP313" i="90" s="1"/>
  <c r="BM314" i="90"/>
  <c r="BR314" i="90" s="1"/>
  <c r="BS314" i="90"/>
  <c r="BO314" i="90" s="1"/>
  <c r="BM315" i="90"/>
  <c r="BS315" i="90"/>
  <c r="BM316" i="90"/>
  <c r="BS316" i="90" s="1"/>
  <c r="BR316" i="90"/>
  <c r="BM317" i="90"/>
  <c r="BR317" i="90"/>
  <c r="BM318" i="90"/>
  <c r="BP318" i="90" s="1"/>
  <c r="BM319" i="90"/>
  <c r="BP319" i="90" s="1"/>
  <c r="BR319" i="90"/>
  <c r="BM320" i="90"/>
  <c r="BS320" i="90" s="1"/>
  <c r="BP320" i="90"/>
  <c r="BM321" i="90"/>
  <c r="BR321" i="90" s="1"/>
  <c r="BM322" i="90"/>
  <c r="BP322" i="90" s="1"/>
  <c r="BS322" i="90"/>
  <c r="BM323" i="90"/>
  <c r="BO323" i="90"/>
  <c r="BP323" i="90"/>
  <c r="BR323" i="90"/>
  <c r="BT323" i="90" s="1"/>
  <c r="BS323" i="90"/>
  <c r="BN323" i="90" s="1"/>
  <c r="BM324" i="90"/>
  <c r="BS324" i="90" s="1"/>
  <c r="BM325" i="90"/>
  <c r="BR325" i="90" s="1"/>
  <c r="BM326" i="90"/>
  <c r="BM327" i="90"/>
  <c r="BP327" i="90" s="1"/>
  <c r="BR327" i="90"/>
  <c r="BM328" i="90"/>
  <c r="BS328" i="90" s="1"/>
  <c r="BP328" i="90"/>
  <c r="BR328" i="90"/>
  <c r="BM329" i="90"/>
  <c r="BM330" i="90"/>
  <c r="BP330" i="90" s="1"/>
  <c r="BR330" i="90"/>
  <c r="BS330" i="90"/>
  <c r="BM331" i="90"/>
  <c r="BR331" i="90" s="1"/>
  <c r="BT331" i="90" s="1"/>
  <c r="BP331" i="90"/>
  <c r="BS331" i="90"/>
  <c r="BN331" i="90" s="1"/>
  <c r="BM332" i="90"/>
  <c r="BS332" i="90" s="1"/>
  <c r="BP332" i="90"/>
  <c r="BM333" i="90"/>
  <c r="BR333" i="90" s="1"/>
  <c r="BM334" i="90"/>
  <c r="BM335" i="90"/>
  <c r="BS335" i="90"/>
  <c r="BM336" i="90"/>
  <c r="BS336" i="90" s="1"/>
  <c r="BM337" i="90"/>
  <c r="BR337" i="90"/>
  <c r="BM338" i="90"/>
  <c r="BP338" i="90" s="1"/>
  <c r="BM339" i="90"/>
  <c r="BR339" i="90" s="1"/>
  <c r="BT339" i="90" s="1"/>
  <c r="BP339" i="90"/>
  <c r="BS339" i="90"/>
  <c r="BN339" i="90" s="1"/>
  <c r="BM340" i="90"/>
  <c r="BM341" i="90"/>
  <c r="BR341" i="90" s="1"/>
  <c r="BM342" i="90"/>
  <c r="BP342" i="90" s="1"/>
  <c r="BS342" i="90"/>
  <c r="BO342" i="90" s="1"/>
  <c r="BM343" i="90"/>
  <c r="BM344" i="90"/>
  <c r="BS344" i="90" s="1"/>
  <c r="BR344" i="90"/>
  <c r="BM345" i="90"/>
  <c r="BM346" i="90"/>
  <c r="BP346" i="90" s="1"/>
  <c r="BM347" i="90"/>
  <c r="BR347" i="90" s="1"/>
  <c r="BP347" i="90"/>
  <c r="BM348" i="90"/>
  <c r="BM349" i="90"/>
  <c r="BR349" i="90"/>
  <c r="BM350" i="90"/>
  <c r="BP350" i="90" s="1"/>
  <c r="BS350" i="90"/>
  <c r="BM351" i="90"/>
  <c r="BR351" i="90" s="1"/>
  <c r="BT351" i="90" s="1"/>
  <c r="BS351" i="90"/>
  <c r="BN351" i="90" s="1"/>
  <c r="BM352" i="90"/>
  <c r="BS352" i="90" s="1"/>
  <c r="BM353" i="90"/>
  <c r="BR353" i="90" s="1"/>
  <c r="BM354" i="90"/>
  <c r="BM355" i="90"/>
  <c r="BP355" i="90" s="1"/>
  <c r="BR355" i="90"/>
  <c r="BT355" i="90" s="1"/>
  <c r="BS355" i="90"/>
  <c r="BN355" i="90" s="1"/>
  <c r="BM356" i="90"/>
  <c r="BS356" i="90" s="1"/>
  <c r="BP356" i="90"/>
  <c r="BR356" i="90"/>
  <c r="BM357" i="90"/>
  <c r="BR357" i="90" s="1"/>
  <c r="BM358" i="90"/>
  <c r="BP358" i="90" s="1"/>
  <c r="BS358" i="90"/>
  <c r="BO358" i="90" s="1"/>
  <c r="BM359" i="90"/>
  <c r="BR359" i="90" s="1"/>
  <c r="BT359" i="90" s="1"/>
  <c r="BS359" i="90"/>
  <c r="BN359" i="90" s="1"/>
  <c r="BM360" i="90"/>
  <c r="BS360" i="90" s="1"/>
  <c r="BM361" i="90"/>
  <c r="BM362" i="90"/>
  <c r="BP362" i="90" s="1"/>
  <c r="BM363" i="90"/>
  <c r="BP363" i="90" s="1"/>
  <c r="BM364" i="90"/>
  <c r="BS364" i="90" s="1"/>
  <c r="BM365" i="90"/>
  <c r="BR365" i="90" s="1"/>
  <c r="BM366" i="90"/>
  <c r="BP366" i="90" s="1"/>
  <c r="BM367" i="90"/>
  <c r="BR367" i="90" s="1"/>
  <c r="BP367" i="90"/>
  <c r="BS367" i="90"/>
  <c r="BN367" i="90" s="1"/>
  <c r="BM368" i="90"/>
  <c r="BM369" i="90"/>
  <c r="BR369" i="90"/>
  <c r="BM370" i="90"/>
  <c r="BP370" i="90" s="1"/>
  <c r="BM371" i="90"/>
  <c r="BS371" i="90" s="1"/>
  <c r="BM372" i="90"/>
  <c r="BS372" i="90" s="1"/>
  <c r="BM373" i="90"/>
  <c r="BR373" i="90"/>
  <c r="BM374" i="90"/>
  <c r="BP374" i="90" s="1"/>
  <c r="BM375" i="90"/>
  <c r="BR375" i="90" s="1"/>
  <c r="BP375" i="90"/>
  <c r="BM376" i="90"/>
  <c r="BM377" i="90"/>
  <c r="BM378" i="90"/>
  <c r="BM379" i="90"/>
  <c r="BS379" i="90" s="1"/>
  <c r="BM380" i="90"/>
  <c r="BS380" i="90" s="1"/>
  <c r="BR380" i="90"/>
  <c r="BM381" i="90"/>
  <c r="BR381" i="90" s="1"/>
  <c r="BM382" i="90"/>
  <c r="BP382" i="90" s="1"/>
  <c r="BN382" i="90"/>
  <c r="BR382" i="90"/>
  <c r="BS382" i="90"/>
  <c r="BO382" i="90" s="1"/>
  <c r="BM383" i="90"/>
  <c r="BO383" i="90"/>
  <c r="BP383" i="90"/>
  <c r="BR383" i="90"/>
  <c r="BS383" i="90"/>
  <c r="BN383" i="90" s="1"/>
  <c r="BT383" i="90"/>
  <c r="BM384" i="90"/>
  <c r="BS384" i="90" s="1"/>
  <c r="BM385" i="90"/>
  <c r="BR385" i="90" s="1"/>
  <c r="BM386" i="90"/>
  <c r="BP386" i="90" s="1"/>
  <c r="BS386" i="90"/>
  <c r="BM387" i="90"/>
  <c r="BP387" i="90" s="1"/>
  <c r="BR387" i="90"/>
  <c r="BS387" i="90"/>
  <c r="BN387" i="90" s="1"/>
  <c r="BM388" i="90"/>
  <c r="BS388" i="90" s="1"/>
  <c r="BR388" i="90"/>
  <c r="BM389" i="90"/>
  <c r="BR389" i="90" s="1"/>
  <c r="BM390" i="90"/>
  <c r="BM391" i="90"/>
  <c r="BO391" i="90"/>
  <c r="BP391" i="90"/>
  <c r="BR391" i="90"/>
  <c r="BS391" i="90"/>
  <c r="BN391" i="90" s="1"/>
  <c r="BT391" i="90"/>
  <c r="BM392" i="90"/>
  <c r="BS392" i="90" s="1"/>
  <c r="BM393" i="90"/>
  <c r="BM394" i="90"/>
  <c r="BP394" i="90" s="1"/>
  <c r="BS394" i="90"/>
  <c r="BM395" i="90"/>
  <c r="BP395" i="90" s="1"/>
  <c r="BR395" i="90"/>
  <c r="BS395" i="90"/>
  <c r="BN395" i="90" s="1"/>
  <c r="BM396" i="90"/>
  <c r="BS396" i="90" s="1"/>
  <c r="BR396" i="90"/>
  <c r="BM397" i="90"/>
  <c r="BR397" i="90" s="1"/>
  <c r="BM398" i="90"/>
  <c r="BM399" i="90"/>
  <c r="BM400" i="90"/>
  <c r="BS400" i="90" s="1"/>
  <c r="BR400" i="90"/>
  <c r="BM401" i="90"/>
  <c r="BR401" i="90" s="1"/>
  <c r="BM402" i="90"/>
  <c r="BP402" i="90" s="1"/>
  <c r="BR402" i="90"/>
  <c r="BM403" i="90"/>
  <c r="BR403" i="90" s="1"/>
  <c r="BP403" i="90"/>
  <c r="BS403" i="90"/>
  <c r="BN403" i="90" s="1"/>
  <c r="BM404" i="90"/>
  <c r="BM405" i="90"/>
  <c r="BR405" i="90"/>
  <c r="BM406" i="90"/>
  <c r="BP406" i="90" s="1"/>
  <c r="BM407" i="90"/>
  <c r="BR407" i="90" s="1"/>
  <c r="BM408" i="90"/>
  <c r="BR408" i="90" s="1"/>
  <c r="BM409" i="90"/>
  <c r="BM410" i="90"/>
  <c r="BM411" i="90"/>
  <c r="BR411" i="90" s="1"/>
  <c r="BM412" i="90"/>
  <c r="BS412" i="90" s="1"/>
  <c r="BR412" i="90"/>
  <c r="BM413" i="90"/>
  <c r="BR413" i="90" s="1"/>
  <c r="BM414" i="90"/>
  <c r="BP414" i="90" s="1"/>
  <c r="BR414" i="90"/>
  <c r="BS414" i="90"/>
  <c r="BO414" i="90" s="1"/>
  <c r="BM415" i="90"/>
  <c r="BP415" i="90"/>
  <c r="BR415" i="90"/>
  <c r="BT415" i="90" s="1"/>
  <c r="BS415" i="90"/>
  <c r="BN415" i="90" s="1"/>
  <c r="BM416" i="90"/>
  <c r="BS416" i="90" s="1"/>
  <c r="BP416" i="90"/>
  <c r="BM417" i="90"/>
  <c r="BR417" i="90" s="1"/>
  <c r="BM418" i="90"/>
  <c r="BP418" i="90" s="1"/>
  <c r="BS418" i="90"/>
  <c r="BM419" i="90"/>
  <c r="BP419" i="90" s="1"/>
  <c r="BM420" i="90"/>
  <c r="BS420" i="90" s="1"/>
  <c r="BM421" i="90"/>
  <c r="BR421" i="90" s="1"/>
  <c r="BM422" i="90"/>
  <c r="BP422" i="90" s="1"/>
  <c r="BM423" i="90"/>
  <c r="BP423" i="90"/>
  <c r="BR423" i="90"/>
  <c r="BT423" i="90" s="1"/>
  <c r="BS423" i="90"/>
  <c r="BN423" i="90" s="1"/>
  <c r="BM424" i="90"/>
  <c r="BS424" i="90" s="1"/>
  <c r="BP424" i="90"/>
  <c r="BM425" i="90"/>
  <c r="BS425" i="90" s="1"/>
  <c r="BM426" i="90"/>
  <c r="BM427" i="90"/>
  <c r="BR427" i="90" s="1"/>
  <c r="BM428" i="90"/>
  <c r="BM429" i="90"/>
  <c r="BP429" i="90" s="1"/>
  <c r="BM430" i="90"/>
  <c r="BR430" i="90" s="1"/>
  <c r="BS430" i="90"/>
  <c r="BN430" i="90" s="1"/>
  <c r="BM431" i="90"/>
  <c r="BM432" i="90"/>
  <c r="BP432" i="90" s="1"/>
  <c r="BN432" i="90"/>
  <c r="BR432" i="90"/>
  <c r="BS432" i="90"/>
  <c r="BO432" i="90" s="1"/>
  <c r="BM433" i="90"/>
  <c r="BP433" i="90" s="1"/>
  <c r="BR433" i="90"/>
  <c r="BT433" i="90" s="1"/>
  <c r="BS433" i="90"/>
  <c r="BN433" i="90" s="1"/>
  <c r="BM434" i="90"/>
  <c r="BR434" i="90" s="1"/>
  <c r="BS434" i="90"/>
  <c r="BN434" i="90" s="1"/>
  <c r="BU434" i="90" s="1"/>
  <c r="BM435" i="90"/>
  <c r="BR435" i="90" s="1"/>
  <c r="BM436" i="90"/>
  <c r="BP436" i="90" s="1"/>
  <c r="BR436" i="90"/>
  <c r="BS436" i="90"/>
  <c r="BO436" i="90" s="1"/>
  <c r="BM437" i="90"/>
  <c r="BP437" i="90" s="1"/>
  <c r="BR437" i="90"/>
  <c r="BS437" i="90"/>
  <c r="BN437" i="90" s="1"/>
  <c r="BM438" i="90"/>
  <c r="BR438" i="90" s="1"/>
  <c r="BM439" i="90"/>
  <c r="BR439" i="90" s="1"/>
  <c r="BM440" i="90"/>
  <c r="BP440" i="90" s="1"/>
  <c r="BM441" i="90"/>
  <c r="BP441" i="90" s="1"/>
  <c r="BR441" i="90"/>
  <c r="BM442" i="90"/>
  <c r="BP442" i="90"/>
  <c r="BR442" i="90"/>
  <c r="BT442" i="90" s="1"/>
  <c r="BS442" i="90"/>
  <c r="BN442" i="90" s="1"/>
  <c r="BM443" i="90"/>
  <c r="BR443" i="90"/>
  <c r="BM444" i="90"/>
  <c r="BP444" i="90" s="1"/>
  <c r="BS444" i="90"/>
  <c r="BO444" i="90" s="1"/>
  <c r="BM445" i="90"/>
  <c r="BP445" i="90" s="1"/>
  <c r="BM446" i="90"/>
  <c r="BO446" i="90"/>
  <c r="BP446" i="90"/>
  <c r="BR446" i="90"/>
  <c r="BS446" i="90"/>
  <c r="BN446" i="90" s="1"/>
  <c r="BT446" i="90"/>
  <c r="BM447" i="90"/>
  <c r="BM448" i="90"/>
  <c r="BP448" i="90" s="1"/>
  <c r="BM449" i="90"/>
  <c r="BP449" i="90" s="1"/>
  <c r="BR449" i="90"/>
  <c r="BM450" i="90"/>
  <c r="BP450" i="90"/>
  <c r="BR450" i="90"/>
  <c r="BT450" i="90" s="1"/>
  <c r="BS450" i="90"/>
  <c r="BN450" i="90" s="1"/>
  <c r="BU450" i="90" s="1"/>
  <c r="BM451" i="90"/>
  <c r="BR451" i="90" s="1"/>
  <c r="BM452" i="90"/>
  <c r="BP452" i="90" s="1"/>
  <c r="BM453" i="90"/>
  <c r="BP453" i="90" s="1"/>
  <c r="BR453" i="90"/>
  <c r="BM454" i="90"/>
  <c r="BR454" i="90" s="1"/>
  <c r="BT454" i="90" s="1"/>
  <c r="BS454" i="90"/>
  <c r="BN454" i="90" s="1"/>
  <c r="BU454" i="90" s="1"/>
  <c r="BM455" i="90"/>
  <c r="BR455" i="90" s="1"/>
  <c r="BM456" i="90"/>
  <c r="BP456" i="90" s="1"/>
  <c r="BS456" i="90"/>
  <c r="BO456" i="90" s="1"/>
  <c r="BM457" i="90"/>
  <c r="BP457" i="90" s="1"/>
  <c r="BM458" i="90"/>
  <c r="BR458" i="90" s="1"/>
  <c r="BP458" i="90"/>
  <c r="BM459" i="90"/>
  <c r="BR459" i="90" s="1"/>
  <c r="BM460" i="90"/>
  <c r="BP460" i="90" s="1"/>
  <c r="BS460" i="90"/>
  <c r="BO460" i="90" s="1"/>
  <c r="BM461" i="90"/>
  <c r="BP461" i="90" s="1"/>
  <c r="BM462" i="90"/>
  <c r="BP462" i="90" s="1"/>
  <c r="BO462" i="90"/>
  <c r="BS462" i="90"/>
  <c r="BN462" i="90" s="1"/>
  <c r="BM463" i="90"/>
  <c r="BM464" i="90"/>
  <c r="BP464" i="90" s="1"/>
  <c r="BR464" i="90"/>
  <c r="BM465" i="90"/>
  <c r="BP465" i="90" s="1"/>
  <c r="BM466" i="90"/>
  <c r="BP466" i="90" s="1"/>
  <c r="BO466" i="90"/>
  <c r="BR466" i="90"/>
  <c r="BT466" i="90" s="1"/>
  <c r="BS466" i="90"/>
  <c r="BN466" i="90" s="1"/>
  <c r="BU466" i="90" s="1"/>
  <c r="BM467" i="90"/>
  <c r="BR467" i="90" s="1"/>
  <c r="BM468" i="90"/>
  <c r="BP468" i="90" s="1"/>
  <c r="BM469" i="90"/>
  <c r="BP469" i="90" s="1"/>
  <c r="BR469" i="90"/>
  <c r="BM470" i="90"/>
  <c r="BP470" i="90" s="1"/>
  <c r="BM471" i="90"/>
  <c r="BR471" i="90" s="1"/>
  <c r="BM472" i="90"/>
  <c r="BP472" i="90" s="1"/>
  <c r="BS472" i="90"/>
  <c r="BO472" i="90" s="1"/>
  <c r="BM473" i="90"/>
  <c r="BP473" i="90" s="1"/>
  <c r="BM474" i="90"/>
  <c r="BR474" i="90" s="1"/>
  <c r="BP474" i="90"/>
  <c r="BM475" i="90"/>
  <c r="BR475" i="90" s="1"/>
  <c r="BM476" i="90"/>
  <c r="BP476" i="90" s="1"/>
  <c r="BS476" i="90"/>
  <c r="BO476" i="90" s="1"/>
  <c r="BM477" i="90"/>
  <c r="BP477" i="90" s="1"/>
  <c r="BR477" i="90"/>
  <c r="BS477" i="90"/>
  <c r="BN477" i="90" s="1"/>
  <c r="BM478" i="90"/>
  <c r="BP478" i="90" s="1"/>
  <c r="BM479" i="90"/>
  <c r="BM480" i="90"/>
  <c r="BP480" i="90" s="1"/>
  <c r="BR480" i="90"/>
  <c r="BM481" i="90"/>
  <c r="BP481" i="90" s="1"/>
  <c r="BM482" i="90"/>
  <c r="BP482" i="90" s="1"/>
  <c r="BR482" i="90"/>
  <c r="BM483" i="90"/>
  <c r="BR483" i="90" s="1"/>
  <c r="BM484" i="90"/>
  <c r="BP484" i="90" s="1"/>
  <c r="BM485" i="90"/>
  <c r="BP485" i="90" s="1"/>
  <c r="BR485" i="90"/>
  <c r="BM486" i="90"/>
  <c r="BP486" i="90" s="1"/>
  <c r="BM487" i="90"/>
  <c r="BR487" i="90" s="1"/>
  <c r="BM488" i="90"/>
  <c r="BP488" i="90" s="1"/>
  <c r="BS488" i="90"/>
  <c r="BO488" i="90" s="1"/>
  <c r="BM489" i="90"/>
  <c r="BP489" i="90" s="1"/>
  <c r="BM490" i="90"/>
  <c r="BR490" i="90" s="1"/>
  <c r="BP490" i="90"/>
  <c r="BM491" i="90"/>
  <c r="BR491" i="90" s="1"/>
  <c r="BM492" i="90"/>
  <c r="BP492" i="90" s="1"/>
  <c r="BS492" i="90"/>
  <c r="BO492" i="90" s="1"/>
  <c r="BM493" i="90"/>
  <c r="BP493" i="90" s="1"/>
  <c r="BR493" i="90"/>
  <c r="BS493" i="90"/>
  <c r="BN493" i="90" s="1"/>
  <c r="BM494" i="90"/>
  <c r="BR494" i="90" s="1"/>
  <c r="BM495" i="90"/>
  <c r="BS495" i="90" s="1"/>
  <c r="BM496" i="90"/>
  <c r="BP496" i="90" s="1"/>
  <c r="BM497" i="90"/>
  <c r="BP497" i="90" s="1"/>
  <c r="BM498" i="90"/>
  <c r="BP498" i="90" s="1"/>
  <c r="BM499" i="90"/>
  <c r="BS499" i="90" s="1"/>
  <c r="BM500" i="90"/>
  <c r="BP500" i="90" s="1"/>
  <c r="BM501" i="90"/>
  <c r="BP501" i="90" s="1"/>
  <c r="BS501" i="90"/>
  <c r="BN501" i="90" s="1"/>
  <c r="BM502" i="90"/>
  <c r="BR502" i="90" s="1"/>
  <c r="BS502" i="90"/>
  <c r="BN502" i="90" s="1"/>
  <c r="BU502" i="90" s="1"/>
  <c r="BM503" i="90"/>
  <c r="BS503" i="90" s="1"/>
  <c r="BM504" i="90"/>
  <c r="BP504" i="90" s="1"/>
  <c r="BM505" i="90"/>
  <c r="BP505" i="90" s="1"/>
  <c r="BM506" i="90"/>
  <c r="BR506" i="90" s="1"/>
  <c r="BS506" i="90"/>
  <c r="BN506" i="90" s="1"/>
  <c r="BU506" i="90" s="1"/>
  <c r="BM507" i="90"/>
  <c r="BS507" i="90" s="1"/>
  <c r="BM508" i="90"/>
  <c r="BP508" i="90" s="1"/>
  <c r="BM509" i="90"/>
  <c r="BP509" i="90" s="1"/>
  <c r="BM510" i="90"/>
  <c r="BP510" i="90" s="1"/>
  <c r="BM511" i="90"/>
  <c r="BS511" i="90" s="1"/>
  <c r="BM512" i="90"/>
  <c r="BP512" i="90" s="1"/>
  <c r="BS512" i="90"/>
  <c r="BO512" i="90" s="1"/>
  <c r="BM513" i="90"/>
  <c r="BP513" i="90" s="1"/>
  <c r="BM514" i="90"/>
  <c r="BR514" i="90" s="1"/>
  <c r="BS514" i="90"/>
  <c r="BN514" i="90" s="1"/>
  <c r="BM515" i="90"/>
  <c r="BS515" i="90" s="1"/>
  <c r="BM516" i="90"/>
  <c r="BP516" i="90" s="1"/>
  <c r="BS516" i="90"/>
  <c r="BO516" i="90" s="1"/>
  <c r="BM517" i="90"/>
  <c r="BP517" i="90" s="1"/>
  <c r="BS517" i="90"/>
  <c r="BN517" i="90" s="1"/>
  <c r="BM518" i="90"/>
  <c r="BR518" i="90" s="1"/>
  <c r="BM519" i="90"/>
  <c r="BS519" i="90" s="1"/>
  <c r="BR519" i="90"/>
  <c r="BT519" i="90" s="1"/>
  <c r="BM520" i="90"/>
  <c r="BP520" i="90" s="1"/>
  <c r="BM521" i="90"/>
  <c r="BP521" i="90" s="1"/>
  <c r="BR521" i="90"/>
  <c r="BM522" i="90"/>
  <c r="BR522" i="90" s="1"/>
  <c r="BM523" i="90"/>
  <c r="BS523" i="90" s="1"/>
  <c r="BM524" i="90"/>
  <c r="BP524" i="90" s="1"/>
  <c r="BM525" i="90"/>
  <c r="BP525" i="90" s="1"/>
  <c r="BS525" i="90"/>
  <c r="BN525" i="90" s="1"/>
  <c r="BM526" i="90"/>
  <c r="BR526" i="90" s="1"/>
  <c r="BT526" i="90" s="1"/>
  <c r="BS526" i="90"/>
  <c r="BN526" i="90" s="1"/>
  <c r="BM527" i="90"/>
  <c r="BS527" i="90" s="1"/>
  <c r="BM528" i="90"/>
  <c r="BP528" i="90" s="1"/>
  <c r="BM529" i="90"/>
  <c r="BP529" i="90" s="1"/>
  <c r="BR529" i="90"/>
  <c r="BM530" i="90"/>
  <c r="BR530" i="90" s="1"/>
  <c r="BS530" i="90"/>
  <c r="BN530" i="90" s="1"/>
  <c r="BM531" i="90"/>
  <c r="BS531" i="90" s="1"/>
  <c r="BM532" i="90"/>
  <c r="BP532" i="90" s="1"/>
  <c r="BM533" i="90"/>
  <c r="BP533" i="90" s="1"/>
  <c r="BM534" i="90"/>
  <c r="BS534" i="90" s="1"/>
  <c r="BN534" i="90" s="1"/>
  <c r="BM535" i="90"/>
  <c r="BS535" i="90" s="1"/>
  <c r="BN535" i="90" s="1"/>
  <c r="BU535" i="90" s="1"/>
  <c r="BM536" i="90"/>
  <c r="BS536" i="90" s="1"/>
  <c r="BO536" i="90" s="1"/>
  <c r="BM537" i="90"/>
  <c r="BP537" i="90" s="1"/>
  <c r="BM538" i="90"/>
  <c r="BS538" i="90" s="1"/>
  <c r="BO538" i="90" s="1"/>
  <c r="BM539" i="90"/>
  <c r="BS539" i="90" s="1"/>
  <c r="BN539" i="90" s="1"/>
  <c r="BU539" i="90" s="1"/>
  <c r="BM540" i="90"/>
  <c r="BP540" i="90" s="1"/>
  <c r="BS540" i="90"/>
  <c r="BO540" i="90" s="1"/>
  <c r="BM541" i="90"/>
  <c r="BP541" i="90" s="1"/>
  <c r="BR541" i="90"/>
  <c r="BM542" i="90"/>
  <c r="BS542" i="90" s="1"/>
  <c r="BM543" i="90"/>
  <c r="BS543" i="90" s="1"/>
  <c r="BM544" i="90"/>
  <c r="BS544" i="90" s="1"/>
  <c r="BM545" i="90"/>
  <c r="BS545" i="90" s="1"/>
  <c r="BO545" i="90" s="1"/>
  <c r="BX545" i="90" s="1"/>
  <c r="BM546" i="90"/>
  <c r="BS546" i="90" s="1"/>
  <c r="BM547" i="90"/>
  <c r="BS547" i="90" s="1"/>
  <c r="BP547" i="90"/>
  <c r="BM548" i="90"/>
  <c r="BS548" i="90" s="1"/>
  <c r="BM549" i="90"/>
  <c r="BS549" i="90" s="1"/>
  <c r="BO549" i="90" s="1"/>
  <c r="BM550" i="90"/>
  <c r="BS550" i="90" s="1"/>
  <c r="BM551" i="90"/>
  <c r="BS551" i="90" s="1"/>
  <c r="BP551" i="90"/>
  <c r="BM552" i="90"/>
  <c r="BS552" i="90" s="1"/>
  <c r="BM553" i="90"/>
  <c r="BS553" i="90" s="1"/>
  <c r="BO553" i="90" s="1"/>
  <c r="BM554" i="90"/>
  <c r="BS554" i="90" s="1"/>
  <c r="BM555" i="90"/>
  <c r="BS555" i="90" s="1"/>
  <c r="BM556" i="90"/>
  <c r="BS556" i="90" s="1"/>
  <c r="BM557" i="90"/>
  <c r="BS557" i="90" s="1"/>
  <c r="BO557" i="90" s="1"/>
  <c r="BM558" i="90"/>
  <c r="BS558" i="90" s="1"/>
  <c r="BM559" i="90"/>
  <c r="BS559" i="90" s="1"/>
  <c r="BM560" i="90"/>
  <c r="BS560" i="90" s="1"/>
  <c r="BM561" i="90"/>
  <c r="BS561" i="90" s="1"/>
  <c r="BO561" i="90" s="1"/>
  <c r="BM562" i="90"/>
  <c r="BS562" i="90" s="1"/>
  <c r="BM563" i="90"/>
  <c r="BS563" i="90" s="1"/>
  <c r="BP563" i="90"/>
  <c r="BM564" i="90"/>
  <c r="BS564" i="90" s="1"/>
  <c r="BM565" i="90"/>
  <c r="BP565" i="90" s="1"/>
  <c r="BM566" i="90"/>
  <c r="BS566" i="90" s="1"/>
  <c r="BR566" i="90"/>
  <c r="BM567" i="90"/>
  <c r="BS567" i="90" s="1"/>
  <c r="BM568" i="90"/>
  <c r="BS568" i="90" s="1"/>
  <c r="BM569" i="90"/>
  <c r="BP569" i="90" s="1"/>
  <c r="BM570" i="90"/>
  <c r="BS570" i="90" s="1"/>
  <c r="BR570" i="90"/>
  <c r="BM571" i="90"/>
  <c r="BS571" i="90" s="1"/>
  <c r="BM572" i="90"/>
  <c r="BS572" i="90" s="1"/>
  <c r="BM573" i="90"/>
  <c r="BP573" i="90" s="1"/>
  <c r="BM574" i="90"/>
  <c r="BS574" i="90" s="1"/>
  <c r="BM575" i="90"/>
  <c r="BS575" i="90" s="1"/>
  <c r="BM576" i="90"/>
  <c r="BS576" i="90" s="1"/>
  <c r="BM577" i="90"/>
  <c r="BP577" i="90" s="1"/>
  <c r="BM578" i="90"/>
  <c r="BS578" i="90" s="1"/>
  <c r="BM579" i="90"/>
  <c r="BS579" i="90" s="1"/>
  <c r="BM580" i="90"/>
  <c r="BS580" i="90" s="1"/>
  <c r="BM581" i="90"/>
  <c r="BP581" i="90" s="1"/>
  <c r="BM582" i="90"/>
  <c r="BS582" i="90" s="1"/>
  <c r="BM583" i="90"/>
  <c r="BS583" i="90" s="1"/>
  <c r="BM584" i="90"/>
  <c r="BS584" i="90" s="1"/>
  <c r="BM585" i="90"/>
  <c r="BP585" i="90" s="1"/>
  <c r="BM586" i="90"/>
  <c r="BS586" i="90" s="1"/>
  <c r="BM587" i="90"/>
  <c r="BS587" i="90" s="1"/>
  <c r="BM588" i="90"/>
  <c r="BS588" i="90" s="1"/>
  <c r="BM589" i="90"/>
  <c r="BP589" i="90" s="1"/>
  <c r="BM590" i="90"/>
  <c r="BS590" i="90" s="1"/>
  <c r="BM591" i="90"/>
  <c r="BS591" i="90" s="1"/>
  <c r="BM592" i="90"/>
  <c r="BS592" i="90" s="1"/>
  <c r="BM593" i="90"/>
  <c r="BP593" i="90" s="1"/>
  <c r="BM594" i="90"/>
  <c r="BS594" i="90" s="1"/>
  <c r="BM595" i="90"/>
  <c r="BS595" i="90" s="1"/>
  <c r="BM596" i="90"/>
  <c r="BS596" i="90" s="1"/>
  <c r="BM597" i="90"/>
  <c r="BP597" i="90" s="1"/>
  <c r="BM598" i="90"/>
  <c r="BS598" i="90" s="1"/>
  <c r="BM599" i="90"/>
  <c r="BS599" i="90" s="1"/>
  <c r="BM600" i="90"/>
  <c r="BS600" i="90" s="1"/>
  <c r="BM601" i="90"/>
  <c r="BP601" i="90" s="1"/>
  <c r="BM602" i="90"/>
  <c r="BS602" i="90" s="1"/>
  <c r="BM603" i="90"/>
  <c r="BS603" i="90" s="1"/>
  <c r="BM604" i="90"/>
  <c r="BS604" i="90" s="1"/>
  <c r="BM605" i="90"/>
  <c r="BP605" i="90" s="1"/>
  <c r="BM606" i="90"/>
  <c r="BS606" i="90" s="1"/>
  <c r="BM607" i="90"/>
  <c r="BM608" i="90"/>
  <c r="BS608" i="90" s="1"/>
  <c r="BM609" i="90"/>
  <c r="BP609" i="90" s="1"/>
  <c r="BM610" i="90"/>
  <c r="BS610" i="90" s="1"/>
  <c r="BM611" i="90"/>
  <c r="BS611" i="90" s="1"/>
  <c r="BM612" i="90"/>
  <c r="BM613" i="90"/>
  <c r="BP613" i="90" s="1"/>
  <c r="BM614" i="90"/>
  <c r="BS614" i="90" s="1"/>
  <c r="BM615" i="90"/>
  <c r="BM616" i="90"/>
  <c r="BS616" i="90" s="1"/>
  <c r="BM617" i="90"/>
  <c r="BM618" i="90"/>
  <c r="BS618" i="90" s="1"/>
  <c r="BM619" i="90"/>
  <c r="BS619" i="90" s="1"/>
  <c r="BM620" i="90"/>
  <c r="BS620" i="90" s="1"/>
  <c r="BM621" i="90"/>
  <c r="BP621" i="90" s="1"/>
  <c r="BM622" i="90"/>
  <c r="BS622" i="90" s="1"/>
  <c r="BM623" i="90"/>
  <c r="BS623" i="90" s="1"/>
  <c r="BM624" i="90"/>
  <c r="BS624" i="90" s="1"/>
  <c r="BM625" i="90"/>
  <c r="BP625" i="90" s="1"/>
  <c r="BM626" i="90"/>
  <c r="BS626" i="90" s="1"/>
  <c r="BM627" i="90"/>
  <c r="BS627" i="90" s="1"/>
  <c r="BM628" i="90"/>
  <c r="BS628" i="90" s="1"/>
  <c r="BM629" i="90"/>
  <c r="BP629" i="90" s="1"/>
  <c r="BM630" i="90"/>
  <c r="BS630" i="90" s="1"/>
  <c r="BM631" i="90"/>
  <c r="BM632" i="90"/>
  <c r="BS632" i="90" s="1"/>
  <c r="BM633" i="90"/>
  <c r="BR633" i="90" s="1"/>
  <c r="BM634" i="90"/>
  <c r="BS634" i="90" s="1"/>
  <c r="BM635" i="90"/>
  <c r="BS635" i="90" s="1"/>
  <c r="BM636" i="90"/>
  <c r="BS636" i="90" s="1"/>
  <c r="BM637" i="90"/>
  <c r="BS637" i="90" s="1"/>
  <c r="BO637" i="90" s="1"/>
  <c r="BM638" i="90"/>
  <c r="BS638" i="90" s="1"/>
  <c r="BM639" i="90"/>
  <c r="BS639" i="90" s="1"/>
  <c r="BM640" i="90"/>
  <c r="BS640" i="90" s="1"/>
  <c r="BM641" i="90"/>
  <c r="BP641" i="90" s="1"/>
  <c r="BM642" i="90"/>
  <c r="BM643" i="90"/>
  <c r="BS643" i="90" s="1"/>
  <c r="BM644" i="90"/>
  <c r="BS644" i="90" s="1"/>
  <c r="AL1496" i="90"/>
  <c r="AT1496" i="90" s="1"/>
  <c r="AL1497" i="90"/>
  <c r="AT1497" i="90" s="1"/>
  <c r="AM1497" i="90" s="1"/>
  <c r="AU1497" i="90" s="1"/>
  <c r="AL1498" i="90"/>
  <c r="AR1498" i="90" s="1"/>
  <c r="AQ1498" i="90"/>
  <c r="AL1499" i="90"/>
  <c r="AT1499" i="90" s="1"/>
  <c r="AM1499" i="90" s="1"/>
  <c r="AU1499" i="90" s="1"/>
  <c r="AL1500" i="90"/>
  <c r="AL1501" i="90"/>
  <c r="AL1502" i="90"/>
  <c r="AL1503" i="90"/>
  <c r="AL1504" i="90"/>
  <c r="AL1505" i="90"/>
  <c r="AL1506" i="90"/>
  <c r="AR1506" i="90" s="1"/>
  <c r="AQ1506" i="90"/>
  <c r="AT1506" i="90"/>
  <c r="AL1507" i="90"/>
  <c r="AT1507" i="90" s="1"/>
  <c r="AM1507" i="90" s="1"/>
  <c r="AU1507" i="90" s="1"/>
  <c r="AL1508" i="90"/>
  <c r="AQ1508" i="90" s="1"/>
  <c r="AS1508" i="90" s="1"/>
  <c r="AR1508" i="90"/>
  <c r="AT1508" i="90"/>
  <c r="AN1508" i="90" s="1"/>
  <c r="AL1509" i="90"/>
  <c r="AL1510" i="90"/>
  <c r="AL1511" i="90"/>
  <c r="AL1512" i="90"/>
  <c r="AL1513" i="90"/>
  <c r="AL1514" i="90"/>
  <c r="AQ1514" i="90" s="1"/>
  <c r="AO1514" i="90"/>
  <c r="AT1514" i="90"/>
  <c r="AL1515" i="90"/>
  <c r="AT1515" i="90" s="1"/>
  <c r="AM1515" i="90" s="1"/>
  <c r="AU1515" i="90" s="1"/>
  <c r="AL1516" i="90"/>
  <c r="AQ1516" i="90"/>
  <c r="AS1516" i="90" s="1"/>
  <c r="AR1516" i="90"/>
  <c r="AT1516" i="90"/>
  <c r="AN1516" i="90" s="1"/>
  <c r="AL1517" i="90"/>
  <c r="AL1518" i="90"/>
  <c r="AL1519" i="90"/>
  <c r="AT1519" i="90" s="1"/>
  <c r="AM1519" i="90" s="1"/>
  <c r="AU1519" i="90" s="1"/>
  <c r="AR1519" i="90"/>
  <c r="AL1520" i="90"/>
  <c r="AR1520" i="90" s="1"/>
  <c r="AT1520" i="90"/>
  <c r="AL1521" i="90"/>
  <c r="AT1521" i="90" s="1"/>
  <c r="AM1521" i="90" s="1"/>
  <c r="AU1521" i="90" s="1"/>
  <c r="AL1522" i="90"/>
  <c r="AT1522" i="90" s="1"/>
  <c r="AO1522" i="90" s="1"/>
  <c r="AL1523" i="90"/>
  <c r="AT1523" i="90" s="1"/>
  <c r="AM1523" i="90" s="1"/>
  <c r="AU1523" i="90" s="1"/>
  <c r="AL1524" i="90"/>
  <c r="AQ1524" i="90" s="1"/>
  <c r="AM1524" i="90"/>
  <c r="AU1524" i="90" s="1"/>
  <c r="AT1524" i="90"/>
  <c r="AN1524" i="90" s="1"/>
  <c r="AW1524" i="90" s="1"/>
  <c r="AL1525" i="90"/>
  <c r="AL1526" i="90"/>
  <c r="AT1526" i="90" s="1"/>
  <c r="AM1526" i="90" s="1"/>
  <c r="AU1526" i="90" s="1"/>
  <c r="AR1526" i="90"/>
  <c r="AL1527" i="90"/>
  <c r="AQ1527" i="90" s="1"/>
  <c r="AR1527" i="90"/>
  <c r="AL1528" i="90"/>
  <c r="AR1528" i="90" s="1"/>
  <c r="AT1528" i="90"/>
  <c r="AO1528" i="90" s="1"/>
  <c r="AL1529" i="90"/>
  <c r="AT1529" i="90" s="1"/>
  <c r="AL1530" i="90"/>
  <c r="AL1531" i="90"/>
  <c r="AT1531" i="90" s="1"/>
  <c r="AQ1531" i="90"/>
  <c r="AL1532" i="90"/>
  <c r="AQ1532" i="90" s="1"/>
  <c r="AL1533" i="90"/>
  <c r="AL1534" i="90"/>
  <c r="AL1535" i="90"/>
  <c r="AL1536" i="90"/>
  <c r="AQ1536" i="90"/>
  <c r="AL1537" i="90"/>
  <c r="AL1538" i="90"/>
  <c r="AL1539" i="90"/>
  <c r="AL1540" i="90"/>
  <c r="AQ1540" i="90" s="1"/>
  <c r="AL1541" i="90"/>
  <c r="AL1542" i="90"/>
  <c r="AL1543" i="90"/>
  <c r="AR1543" i="90"/>
  <c r="AL1544" i="90"/>
  <c r="AR1544" i="90" s="1"/>
  <c r="AL1545" i="90"/>
  <c r="AT1545" i="90" s="1"/>
  <c r="AM1545" i="90" s="1"/>
  <c r="AU1545" i="90" s="1"/>
  <c r="AR1545" i="90"/>
  <c r="AL1546" i="90"/>
  <c r="AR1546" i="90" s="1"/>
  <c r="AT1546" i="90"/>
  <c r="AO1546" i="90" s="1"/>
  <c r="AL1547" i="90"/>
  <c r="AR1547" i="90" s="1"/>
  <c r="AL1548" i="90"/>
  <c r="AR1548" i="90" s="1"/>
  <c r="AL1549" i="90"/>
  <c r="AR1549" i="90" s="1"/>
  <c r="AL1550" i="90"/>
  <c r="AL1551" i="90"/>
  <c r="AL1552" i="90"/>
  <c r="AR1552" i="90" s="1"/>
  <c r="AL1553" i="90"/>
  <c r="AL1554" i="90"/>
  <c r="AL1555" i="90"/>
  <c r="AL1556" i="90"/>
  <c r="AT1556" i="90" s="1"/>
  <c r="AL1557" i="90"/>
  <c r="AT1557" i="90" s="1"/>
  <c r="AN1557" i="90" s="1"/>
  <c r="AW1557" i="90" s="1"/>
  <c r="AM1557" i="90"/>
  <c r="AU1557" i="90" s="1"/>
  <c r="AL1558" i="90"/>
  <c r="AQ1558" i="90" s="1"/>
  <c r="AL1559" i="90"/>
  <c r="AT1559" i="90" s="1"/>
  <c r="AN1559" i="90" s="1"/>
  <c r="AW1559" i="90" s="1"/>
  <c r="AM1559" i="90"/>
  <c r="AU1559" i="90" s="1"/>
  <c r="AR1559" i="90"/>
  <c r="AL1560" i="90"/>
  <c r="AR1560" i="90" s="1"/>
  <c r="AT1560" i="90"/>
  <c r="AO1560" i="90" s="1"/>
  <c r="AL1561" i="90"/>
  <c r="AR1561" i="90" s="1"/>
  <c r="AL1562" i="90"/>
  <c r="AL1563" i="90"/>
  <c r="AQ1563" i="90" s="1"/>
  <c r="AR1563" i="90"/>
  <c r="AL1564" i="90"/>
  <c r="AT1564" i="90" s="1"/>
  <c r="AM1564" i="90" s="1"/>
  <c r="AU1564" i="90" s="1"/>
  <c r="AR1564" i="90"/>
  <c r="AL1565" i="90"/>
  <c r="AL1566" i="90"/>
  <c r="AL1567" i="90"/>
  <c r="AR1567" i="90" s="1"/>
  <c r="AQ1567" i="90"/>
  <c r="AL1568" i="90"/>
  <c r="AT1568" i="90" s="1"/>
  <c r="AM1568" i="90"/>
  <c r="AU1568" i="90" s="1"/>
  <c r="AL1569" i="90"/>
  <c r="AL1570" i="90"/>
  <c r="AL1571" i="90"/>
  <c r="AQ1571" i="90" s="1"/>
  <c r="AT1571" i="90"/>
  <c r="AN1571" i="90" s="1"/>
  <c r="AL1572" i="90"/>
  <c r="AT1572" i="90" s="1"/>
  <c r="AM1572" i="90" s="1"/>
  <c r="AU1572" i="90" s="1"/>
  <c r="AR1572" i="90"/>
  <c r="AL1573" i="90"/>
  <c r="AQ1573" i="90" s="1"/>
  <c r="AL1574" i="90"/>
  <c r="AR1574" i="90" s="1"/>
  <c r="AL1575" i="90"/>
  <c r="AR1575" i="90" s="1"/>
  <c r="AL1576" i="90"/>
  <c r="AQ1576" i="90" s="1"/>
  <c r="AR1576" i="90"/>
  <c r="AT1576" i="90"/>
  <c r="AN1576" i="90" s="1"/>
  <c r="AL1577" i="90"/>
  <c r="AR1577" i="90" s="1"/>
  <c r="AQ1577" i="90"/>
  <c r="AT1577" i="90"/>
  <c r="AL1578" i="90"/>
  <c r="AR1578" i="90" s="1"/>
  <c r="AL1579" i="90"/>
  <c r="AL1580" i="90"/>
  <c r="AR1580" i="90" s="1"/>
  <c r="AL1581" i="90"/>
  <c r="AL1582" i="90"/>
  <c r="AL1583" i="90"/>
  <c r="AR1583" i="90" s="1"/>
  <c r="AL1584" i="90"/>
  <c r="AQ1584" i="90" s="1"/>
  <c r="AR1584" i="90"/>
  <c r="AL1585" i="90"/>
  <c r="AR1585" i="90" s="1"/>
  <c r="AQ1585" i="90"/>
  <c r="AT1585" i="90"/>
  <c r="AL1586" i="90"/>
  <c r="AR1586" i="90" s="1"/>
  <c r="AL1587" i="90"/>
  <c r="AL1588" i="90"/>
  <c r="AR1588" i="90"/>
  <c r="AL1589" i="90"/>
  <c r="AL1590" i="90"/>
  <c r="AQ1590" i="90" s="1"/>
  <c r="AR1590" i="90"/>
  <c r="AS1590" i="90"/>
  <c r="AT1590" i="90"/>
  <c r="AM1590" i="90" s="1"/>
  <c r="AU1590" i="90" s="1"/>
  <c r="AL1591" i="90"/>
  <c r="AR1591" i="90" s="1"/>
  <c r="AQ1591" i="90"/>
  <c r="AT1591" i="90"/>
  <c r="AL1592" i="90"/>
  <c r="AQ1592" i="90" s="1"/>
  <c r="AS1592" i="90" s="1"/>
  <c r="AR1592" i="90"/>
  <c r="AT1592" i="90"/>
  <c r="AO1592" i="90" s="1"/>
  <c r="AY1592" i="90" s="1"/>
  <c r="AL1593" i="90"/>
  <c r="AR1593" i="90" s="1"/>
  <c r="AL1594" i="90"/>
  <c r="AT1594" i="90" s="1"/>
  <c r="AR1594" i="90"/>
  <c r="AL1595" i="90"/>
  <c r="AR1595" i="90" s="1"/>
  <c r="AL1596" i="90"/>
  <c r="AT1596" i="90" s="1"/>
  <c r="AL1597" i="90"/>
  <c r="AR1597" i="90" s="1"/>
  <c r="AL1598" i="90"/>
  <c r="AT1598" i="90" s="1"/>
  <c r="AL1599" i="90"/>
  <c r="AR1599" i="90" s="1"/>
  <c r="AQ1599" i="90"/>
  <c r="AT1599" i="90"/>
  <c r="AO1599" i="90" s="1"/>
  <c r="AZ1599" i="90" s="1"/>
  <c r="AL1600" i="90"/>
  <c r="AQ1600" i="90" s="1"/>
  <c r="AS1600" i="90" s="1"/>
  <c r="AR1600" i="90"/>
  <c r="AT1600" i="90"/>
  <c r="AO1600" i="90" s="1"/>
  <c r="AY1600" i="90" s="1"/>
  <c r="AL1601" i="90"/>
  <c r="AR1601" i="90" s="1"/>
  <c r="AL1602" i="90"/>
  <c r="AT1602" i="90" s="1"/>
  <c r="AR1602" i="90"/>
  <c r="AL1603" i="90"/>
  <c r="AL1604" i="90"/>
  <c r="AT1604" i="90" s="1"/>
  <c r="AR1604" i="90"/>
  <c r="AL1605" i="90"/>
  <c r="AR1605" i="90" s="1"/>
  <c r="AL1606" i="90"/>
  <c r="AR1606" i="90" s="1"/>
  <c r="AL1607" i="90"/>
  <c r="AR1607" i="90" s="1"/>
  <c r="AL1608" i="90"/>
  <c r="AT1608" i="90" s="1"/>
  <c r="AL1609" i="90"/>
  <c r="AR1609" i="90" s="1"/>
  <c r="AL1610" i="90"/>
  <c r="AL1611" i="90"/>
  <c r="AL1612" i="90"/>
  <c r="AT1612" i="90" s="1"/>
  <c r="AL1613" i="90"/>
  <c r="AR1613" i="90" s="1"/>
  <c r="AL1614" i="90"/>
  <c r="AQ1614" i="90" s="1"/>
  <c r="AL1615" i="90"/>
  <c r="AR1615" i="90" s="1"/>
  <c r="AL1616" i="90"/>
  <c r="AT1616" i="90" s="1"/>
  <c r="AM1616" i="90" s="1"/>
  <c r="AU1616" i="90" s="1"/>
  <c r="AL1617" i="90"/>
  <c r="AR1617" i="90" s="1"/>
  <c r="AL1618" i="90"/>
  <c r="AL1619" i="90"/>
  <c r="AR1619" i="90" s="1"/>
  <c r="AL1620" i="90"/>
  <c r="AL1621" i="90"/>
  <c r="AR1621" i="90" s="1"/>
  <c r="AL1622" i="90"/>
  <c r="AT1622" i="90" s="1"/>
  <c r="AL1623" i="90"/>
  <c r="AR1623" i="90" s="1"/>
  <c r="AL1624" i="90"/>
  <c r="AT1624" i="90" s="1"/>
  <c r="AM1624" i="90" s="1"/>
  <c r="AU1624" i="90" s="1"/>
  <c r="AL1625" i="90"/>
  <c r="AR1625" i="90" s="1"/>
  <c r="AL1626" i="90"/>
  <c r="AT1626" i="90" s="1"/>
  <c r="AM1626" i="90" s="1"/>
  <c r="AU1626" i="90" s="1"/>
  <c r="AL1627" i="90"/>
  <c r="AR1627" i="90" s="1"/>
  <c r="AL1628" i="90"/>
  <c r="AL1629" i="90"/>
  <c r="AT1629" i="90" s="1"/>
  <c r="AO1629" i="90" s="1"/>
  <c r="AL1630" i="90"/>
  <c r="AT1630" i="90" s="1"/>
  <c r="AL1631" i="90"/>
  <c r="AR1631" i="90" s="1"/>
  <c r="AL1632" i="90"/>
  <c r="AT1632" i="90" s="1"/>
  <c r="AM1632" i="90" s="1"/>
  <c r="AU1632" i="90" s="1"/>
  <c r="AL1633" i="90"/>
  <c r="AR1633" i="90" s="1"/>
  <c r="AL1634" i="90"/>
  <c r="AT1634" i="90" s="1"/>
  <c r="AM1634" i="90" s="1"/>
  <c r="AU1634" i="90" s="1"/>
  <c r="AL1635" i="90"/>
  <c r="AR1635" i="90" s="1"/>
  <c r="AL1636" i="90"/>
  <c r="AT1636" i="90" s="1"/>
  <c r="AM1636" i="90" s="1"/>
  <c r="AU1636" i="90" s="1"/>
  <c r="AL1637" i="90"/>
  <c r="AR1637" i="90" s="1"/>
  <c r="AL1638" i="90"/>
  <c r="AT1638" i="90" s="1"/>
  <c r="AL1639" i="90"/>
  <c r="AR1639" i="90" s="1"/>
  <c r="AL1640" i="90"/>
  <c r="AT1640" i="90" s="1"/>
  <c r="AM1640" i="90" s="1"/>
  <c r="AU1640" i="90" s="1"/>
  <c r="AL1641" i="90"/>
  <c r="AR1641" i="90" s="1"/>
  <c r="AL1642" i="90"/>
  <c r="AT1642" i="90" s="1"/>
  <c r="AM1642" i="90" s="1"/>
  <c r="AU1642" i="90" s="1"/>
  <c r="AL1643" i="90"/>
  <c r="AR1643" i="90" s="1"/>
  <c r="AL1644" i="90"/>
  <c r="AT1644" i="90" s="1"/>
  <c r="AM1644" i="90" s="1"/>
  <c r="AU1644" i="90" s="1"/>
  <c r="AL1645" i="90"/>
  <c r="AR1645" i="90" s="1"/>
  <c r="AL1646" i="90"/>
  <c r="AT1646" i="90" s="1"/>
  <c r="AM1646" i="90" s="1"/>
  <c r="AU1646" i="90" s="1"/>
  <c r="AL1647" i="90"/>
  <c r="AR1647" i="90" s="1"/>
  <c r="AL1648" i="90"/>
  <c r="AT1648" i="90" s="1"/>
  <c r="AM1648" i="90" s="1"/>
  <c r="AU1648" i="90" s="1"/>
  <c r="AL1649" i="90"/>
  <c r="AR1649" i="90" s="1"/>
  <c r="AL1650" i="90"/>
  <c r="AT1650" i="90" s="1"/>
  <c r="AM1650" i="90" s="1"/>
  <c r="AU1650" i="90" s="1"/>
  <c r="AL1651" i="90"/>
  <c r="AR1651" i="90" s="1"/>
  <c r="AL1652" i="90"/>
  <c r="AT1652" i="90" s="1"/>
  <c r="AM1652" i="90" s="1"/>
  <c r="AU1652" i="90" s="1"/>
  <c r="AL1653" i="90"/>
  <c r="AR1653" i="90" s="1"/>
  <c r="AL1654" i="90"/>
  <c r="AT1654" i="90" s="1"/>
  <c r="AM1654" i="90" s="1"/>
  <c r="AU1654" i="90" s="1"/>
  <c r="AL1655" i="90"/>
  <c r="AR1655" i="90" s="1"/>
  <c r="AL1656" i="90"/>
  <c r="AT1656" i="90" s="1"/>
  <c r="AM1656" i="90" s="1"/>
  <c r="AU1656" i="90" s="1"/>
  <c r="AL1657" i="90"/>
  <c r="AR1657" i="90" s="1"/>
  <c r="AL1658" i="90"/>
  <c r="AT1658" i="90" s="1"/>
  <c r="AM1658" i="90" s="1"/>
  <c r="AU1658" i="90" s="1"/>
  <c r="AL1659" i="90"/>
  <c r="AR1659" i="90" s="1"/>
  <c r="AL1660" i="90"/>
  <c r="AT1660" i="90" s="1"/>
  <c r="AM1660" i="90" s="1"/>
  <c r="AU1660" i="90" s="1"/>
  <c r="AL1661" i="90"/>
  <c r="AR1661" i="90" s="1"/>
  <c r="AL1662" i="90"/>
  <c r="AT1662" i="90" s="1"/>
  <c r="AM1662" i="90" s="1"/>
  <c r="AU1662" i="90" s="1"/>
  <c r="AL1663" i="90"/>
  <c r="AR1663" i="90" s="1"/>
  <c r="AL1664" i="90"/>
  <c r="AT1664" i="90" s="1"/>
  <c r="AM1664" i="90" s="1"/>
  <c r="AU1664" i="90" s="1"/>
  <c r="AL1665" i="90"/>
  <c r="AR1665" i="90" s="1"/>
  <c r="AL1666" i="90"/>
  <c r="AT1666" i="90" s="1"/>
  <c r="AM1666" i="90" s="1"/>
  <c r="AU1666" i="90" s="1"/>
  <c r="AL1667" i="90"/>
  <c r="AL1668" i="90"/>
  <c r="AT1668" i="90" s="1"/>
  <c r="AM1668" i="90" s="1"/>
  <c r="AU1668" i="90" s="1"/>
  <c r="AL1461" i="90"/>
  <c r="AR1461" i="90" s="1"/>
  <c r="AL1462" i="90"/>
  <c r="AT1462" i="90" s="1"/>
  <c r="AL1463" i="90"/>
  <c r="AR1463" i="90" s="1"/>
  <c r="AL1464" i="90"/>
  <c r="AT1464" i="90" s="1"/>
  <c r="AL1465" i="90"/>
  <c r="AR1465" i="90" s="1"/>
  <c r="AL1466" i="90"/>
  <c r="AT1466" i="90" s="1"/>
  <c r="AL1467" i="90"/>
  <c r="AR1467" i="90" s="1"/>
  <c r="AT1467" i="90"/>
  <c r="AO1467" i="90" s="1"/>
  <c r="AL1468" i="90"/>
  <c r="AT1468" i="90" s="1"/>
  <c r="AL1469" i="90"/>
  <c r="AR1469" i="90" s="1"/>
  <c r="AL1470" i="90"/>
  <c r="AT1470" i="90" s="1"/>
  <c r="AL1471" i="90"/>
  <c r="AR1471" i="90" s="1"/>
  <c r="AL1472" i="90"/>
  <c r="AT1472" i="90" s="1"/>
  <c r="AN1472" i="90" s="1"/>
  <c r="AW1472" i="90" s="1"/>
  <c r="AL1473" i="90"/>
  <c r="AR1473" i="90" s="1"/>
  <c r="AL1474" i="90"/>
  <c r="AT1474" i="90" s="1"/>
  <c r="AR1474" i="90"/>
  <c r="AL1475" i="90"/>
  <c r="AR1475" i="90" s="1"/>
  <c r="AL1476" i="90"/>
  <c r="AT1476" i="90" s="1"/>
  <c r="AN1476" i="90" s="1"/>
  <c r="AW1476" i="90" s="1"/>
  <c r="AQ1476" i="90"/>
  <c r="AR1476" i="90"/>
  <c r="AL1477" i="90"/>
  <c r="AR1477" i="90" s="1"/>
  <c r="AL1478" i="90"/>
  <c r="AT1478" i="90" s="1"/>
  <c r="AM1478" i="90" s="1"/>
  <c r="AU1478" i="90" s="1"/>
  <c r="AL1479" i="90"/>
  <c r="AR1479" i="90" s="1"/>
  <c r="AL1480" i="90"/>
  <c r="AT1480" i="90" s="1"/>
  <c r="AM1480" i="90" s="1"/>
  <c r="AU1480" i="90" s="1"/>
  <c r="AL1481" i="90"/>
  <c r="AR1481" i="90" s="1"/>
  <c r="AL1482" i="90"/>
  <c r="AT1482" i="90" s="1"/>
  <c r="AN1482" i="90" s="1"/>
  <c r="AW1482" i="90" s="1"/>
  <c r="AL1483" i="90"/>
  <c r="AR1483" i="90" s="1"/>
  <c r="AQ1483" i="90"/>
  <c r="AL1484" i="90"/>
  <c r="AR1484" i="90" s="1"/>
  <c r="AL1485" i="90"/>
  <c r="AT1485" i="90" s="1"/>
  <c r="AL1486" i="90"/>
  <c r="AQ1486" i="90" s="1"/>
  <c r="AL1487" i="90"/>
  <c r="AR1487" i="90" s="1"/>
  <c r="AL1488" i="90"/>
  <c r="AQ1488" i="90" s="1"/>
  <c r="AL1489" i="90"/>
  <c r="AR1489" i="90" s="1"/>
  <c r="AL1490" i="90"/>
  <c r="AQ1490" i="90" s="1"/>
  <c r="AL1491" i="90"/>
  <c r="AT1491" i="90" s="1"/>
  <c r="AL1492" i="90"/>
  <c r="AQ1492" i="90" s="1"/>
  <c r="AL1493" i="90"/>
  <c r="AR1493" i="90" s="1"/>
  <c r="AL1494" i="90"/>
  <c r="AQ1494" i="90" s="1"/>
  <c r="AL1495" i="90"/>
  <c r="AR1495" i="90" s="1"/>
  <c r="AL6" i="90"/>
  <c r="AR6" i="90" s="1"/>
  <c r="AQ6" i="90"/>
  <c r="AT6" i="90"/>
  <c r="AL7" i="90"/>
  <c r="AT7" i="90" s="1"/>
  <c r="AL8" i="90"/>
  <c r="AR8" i="90" s="1"/>
  <c r="AL9" i="90"/>
  <c r="AL10" i="90"/>
  <c r="AL11" i="90"/>
  <c r="AT11" i="90" s="1"/>
  <c r="AN11" i="90" s="1"/>
  <c r="AW11" i="90" s="1"/>
  <c r="AM11" i="90"/>
  <c r="AU11" i="90" s="1"/>
  <c r="AQ11" i="90"/>
  <c r="AS11" i="90" s="1"/>
  <c r="AR11" i="90"/>
  <c r="AL12" i="90"/>
  <c r="AR12" i="90" s="1"/>
  <c r="AL13" i="90"/>
  <c r="AT13" i="90" s="1"/>
  <c r="AN13" i="90" s="1"/>
  <c r="AW13" i="90" s="1"/>
  <c r="AR13" i="90"/>
  <c r="AL14" i="90"/>
  <c r="AR14" i="90" s="1"/>
  <c r="AL15" i="90"/>
  <c r="AR15" i="90" s="1"/>
  <c r="AL16" i="90"/>
  <c r="AR16" i="90" s="1"/>
  <c r="AL17" i="90"/>
  <c r="AT17" i="90" s="1"/>
  <c r="AM17" i="90" s="1"/>
  <c r="AU17" i="90" s="1"/>
  <c r="AL18" i="90"/>
  <c r="AT18" i="90" s="1"/>
  <c r="AL19" i="90"/>
  <c r="AT19" i="90" s="1"/>
  <c r="AM19" i="90" s="1"/>
  <c r="AU19" i="90" s="1"/>
  <c r="AL20" i="90"/>
  <c r="AQ20" i="90" s="1"/>
  <c r="AL21" i="90"/>
  <c r="AT21" i="90" s="1"/>
  <c r="AM21" i="90" s="1"/>
  <c r="AU21" i="90" s="1"/>
  <c r="AL22" i="90"/>
  <c r="AR22" i="90" s="1"/>
  <c r="AQ22" i="90"/>
  <c r="AL23" i="90"/>
  <c r="AL24" i="90"/>
  <c r="AR24" i="90" s="1"/>
  <c r="AL25" i="90"/>
  <c r="AL26" i="90"/>
  <c r="AT26" i="90" s="1"/>
  <c r="AL27" i="90"/>
  <c r="AR27" i="90" s="1"/>
  <c r="AL28" i="90"/>
  <c r="AQ28" i="90" s="1"/>
  <c r="AL29" i="90"/>
  <c r="AL30" i="90"/>
  <c r="AR30" i="90" s="1"/>
  <c r="AL31" i="90"/>
  <c r="AR31" i="90"/>
  <c r="AL32" i="90"/>
  <c r="AR32" i="90" s="1"/>
  <c r="AL33" i="90"/>
  <c r="AR33" i="90"/>
  <c r="AL34" i="90"/>
  <c r="AR34" i="90" s="1"/>
  <c r="AL35" i="90"/>
  <c r="AR35" i="90" s="1"/>
  <c r="AL36" i="90"/>
  <c r="AR36" i="90" s="1"/>
  <c r="AL37" i="90"/>
  <c r="AR37" i="90" s="1"/>
  <c r="AL38" i="90"/>
  <c r="AR38" i="90" s="1"/>
  <c r="AT38" i="90"/>
  <c r="AL39" i="90"/>
  <c r="AR39" i="90" s="1"/>
  <c r="AL40" i="90"/>
  <c r="AR40" i="90" s="1"/>
  <c r="AL41" i="90"/>
  <c r="AR41" i="90" s="1"/>
  <c r="AL42" i="90"/>
  <c r="AR42" i="90" s="1"/>
  <c r="AL43" i="90"/>
  <c r="AR43" i="90" s="1"/>
  <c r="AL44" i="90"/>
  <c r="AR44" i="90" s="1"/>
  <c r="AT44" i="90"/>
  <c r="AO44" i="90" s="1"/>
  <c r="AL45" i="90"/>
  <c r="AT45" i="90" s="1"/>
  <c r="AN45" i="90" s="1"/>
  <c r="AW45" i="90" s="1"/>
  <c r="AR45" i="90"/>
  <c r="AL46" i="90"/>
  <c r="AR46" i="90" s="1"/>
  <c r="AL47" i="90"/>
  <c r="AR47" i="90" s="1"/>
  <c r="AL48" i="90"/>
  <c r="AR48" i="90" s="1"/>
  <c r="AL49" i="90"/>
  <c r="AT49" i="90" s="1"/>
  <c r="AQ49" i="90"/>
  <c r="AS49" i="90" s="1"/>
  <c r="AL50" i="90"/>
  <c r="AL51" i="90"/>
  <c r="AQ51" i="90" s="1"/>
  <c r="AL52" i="90"/>
  <c r="AR52" i="90" s="1"/>
  <c r="AN52" i="90"/>
  <c r="AT52" i="90"/>
  <c r="AL53" i="90"/>
  <c r="AL54" i="90"/>
  <c r="AN54" i="90"/>
  <c r="AW54" i="90" s="1"/>
  <c r="AQ54" i="90"/>
  <c r="AS54" i="90" s="1"/>
  <c r="AR54" i="90"/>
  <c r="AT54" i="90"/>
  <c r="AL55" i="90"/>
  <c r="AQ55" i="90" s="1"/>
  <c r="AL56" i="90"/>
  <c r="AQ56" i="90" s="1"/>
  <c r="AL57" i="90"/>
  <c r="AR57" i="90" s="1"/>
  <c r="AQ57" i="90"/>
  <c r="AL58" i="90"/>
  <c r="AT58" i="90" s="1"/>
  <c r="AM58" i="90" s="1"/>
  <c r="AU58" i="90" s="1"/>
  <c r="AL59" i="90"/>
  <c r="AR59" i="90" s="1"/>
  <c r="AL60" i="90"/>
  <c r="AQ60" i="90" s="1"/>
  <c r="AR60" i="90"/>
  <c r="AL61" i="90"/>
  <c r="AQ61" i="90" s="1"/>
  <c r="AL62" i="90"/>
  <c r="AT62" i="90" s="1"/>
  <c r="AN62" i="90" s="1"/>
  <c r="AW62" i="90" s="1"/>
  <c r="AQ62" i="90"/>
  <c r="AS62" i="90" s="1"/>
  <c r="AR62" i="90"/>
  <c r="AL63" i="90"/>
  <c r="AL64" i="90"/>
  <c r="AT64" i="90" s="1"/>
  <c r="AQ64" i="90"/>
  <c r="AS64" i="90" s="1"/>
  <c r="AL65" i="90"/>
  <c r="AL66" i="90"/>
  <c r="AT66" i="90" s="1"/>
  <c r="AN66" i="90" s="1"/>
  <c r="AW66" i="90" s="1"/>
  <c r="AL67" i="90"/>
  <c r="AL68" i="90"/>
  <c r="AT68" i="90" s="1"/>
  <c r="AN68" i="90" s="1"/>
  <c r="AW68" i="90" s="1"/>
  <c r="AL69" i="90"/>
  <c r="AL70" i="90"/>
  <c r="AT70" i="90" s="1"/>
  <c r="AN70" i="90" s="1"/>
  <c r="AW70" i="90" s="1"/>
  <c r="AR70" i="90"/>
  <c r="AL71" i="90"/>
  <c r="AL72" i="90"/>
  <c r="AT72" i="90" s="1"/>
  <c r="AN72" i="90" s="1"/>
  <c r="AW72" i="90" s="1"/>
  <c r="AR72" i="90"/>
  <c r="AL73" i="90"/>
  <c r="AR73" i="90" s="1"/>
  <c r="AL74" i="90"/>
  <c r="AL75" i="90"/>
  <c r="AR75" i="90" s="1"/>
  <c r="AQ75" i="90"/>
  <c r="AT75" i="90"/>
  <c r="AN75" i="90" s="1"/>
  <c r="AW75" i="90" s="1"/>
  <c r="AL76" i="90"/>
  <c r="AT76" i="90" s="1"/>
  <c r="AN76" i="90" s="1"/>
  <c r="AW76" i="90" s="1"/>
  <c r="AQ76" i="90"/>
  <c r="AS76" i="90" s="1"/>
  <c r="AR76" i="90"/>
  <c r="AL77" i="90"/>
  <c r="AL78" i="90"/>
  <c r="AT78" i="90" s="1"/>
  <c r="AM78" i="90" s="1"/>
  <c r="AU78" i="90" s="1"/>
  <c r="AN78" i="90"/>
  <c r="AW78" i="90" s="1"/>
  <c r="AL79" i="90"/>
  <c r="AR79" i="90" s="1"/>
  <c r="AT79" i="90"/>
  <c r="AO79" i="90" s="1"/>
  <c r="AL80" i="90"/>
  <c r="AR80" i="90" s="1"/>
  <c r="AL81" i="90"/>
  <c r="AR81" i="90" s="1"/>
  <c r="AO81" i="90"/>
  <c r="AT81" i="90"/>
  <c r="AL82" i="90"/>
  <c r="AR82" i="90" s="1"/>
  <c r="AL83" i="90"/>
  <c r="AR83" i="90" s="1"/>
  <c r="AL84" i="90"/>
  <c r="AQ84" i="90" s="1"/>
  <c r="AT84" i="90"/>
  <c r="AN84" i="90" s="1"/>
  <c r="AL85" i="90"/>
  <c r="AQ85" i="90" s="1"/>
  <c r="AR85" i="90"/>
  <c r="AT85" i="90"/>
  <c r="AL86" i="90"/>
  <c r="AQ86" i="90"/>
  <c r="AR86" i="90"/>
  <c r="AT86" i="90"/>
  <c r="AN86" i="90" s="1"/>
  <c r="AL87" i="90"/>
  <c r="AR87" i="90" s="1"/>
  <c r="AT87" i="90"/>
  <c r="AO87" i="90" s="1"/>
  <c r="AL88" i="90"/>
  <c r="AQ88" i="90" s="1"/>
  <c r="AL89" i="90"/>
  <c r="AR89" i="90" s="1"/>
  <c r="AL90" i="90"/>
  <c r="AR90" i="90" s="1"/>
  <c r="AL91" i="90"/>
  <c r="AQ91" i="90" s="1"/>
  <c r="AT91" i="90"/>
  <c r="AO91" i="90" s="1"/>
  <c r="AL92" i="90"/>
  <c r="AQ92" i="90" s="1"/>
  <c r="AT92" i="90"/>
  <c r="AN92" i="90" s="1"/>
  <c r="AL93" i="90"/>
  <c r="AT93" i="90" s="1"/>
  <c r="AR93" i="90"/>
  <c r="AL94" i="90"/>
  <c r="AR94" i="90" s="1"/>
  <c r="AL95" i="90"/>
  <c r="AQ95" i="90" s="1"/>
  <c r="AL96" i="90"/>
  <c r="AM96" i="90"/>
  <c r="AU96" i="90" s="1"/>
  <c r="AQ96" i="90"/>
  <c r="AR96" i="90"/>
  <c r="AT96" i="90"/>
  <c r="AN96" i="90" s="1"/>
  <c r="AL97" i="90"/>
  <c r="AR97" i="90" s="1"/>
  <c r="AL98" i="90"/>
  <c r="AQ98" i="90" s="1"/>
  <c r="AT98" i="90"/>
  <c r="AN98" i="90" s="1"/>
  <c r="AL99" i="90"/>
  <c r="AQ99" i="90" s="1"/>
  <c r="AT99" i="90"/>
  <c r="AO99" i="90" s="1"/>
  <c r="AL100" i="90"/>
  <c r="AR100" i="90" s="1"/>
  <c r="AQ100" i="90"/>
  <c r="AT100" i="90"/>
  <c r="AN100" i="90" s="1"/>
  <c r="AL101" i="90"/>
  <c r="AT101" i="90" s="1"/>
  <c r="AL102" i="90"/>
  <c r="AR102" i="90" s="1"/>
  <c r="AL103" i="90"/>
  <c r="AO103" i="90"/>
  <c r="AQ103" i="90"/>
  <c r="AS103" i="90" s="1"/>
  <c r="AR103" i="90"/>
  <c r="AT103" i="90"/>
  <c r="AL104" i="90"/>
  <c r="AR104" i="90" s="1"/>
  <c r="AL105" i="90"/>
  <c r="AQ105" i="90" s="1"/>
  <c r="AT105" i="90"/>
  <c r="AO105" i="90" s="1"/>
  <c r="AL106" i="90"/>
  <c r="AQ106" i="90"/>
  <c r="AR106" i="90"/>
  <c r="AT106" i="90"/>
  <c r="AN106" i="90" s="1"/>
  <c r="AL107" i="90"/>
  <c r="AT107" i="90" s="1"/>
  <c r="AQ107" i="90"/>
  <c r="AR107" i="90"/>
  <c r="AL108" i="90"/>
  <c r="AR108" i="90" s="1"/>
  <c r="AQ108" i="90"/>
  <c r="AT108" i="90"/>
  <c r="AN108" i="90" s="1"/>
  <c r="AL109" i="90"/>
  <c r="AT109" i="90" s="1"/>
  <c r="AL110" i="90"/>
  <c r="AR110" i="90" s="1"/>
  <c r="AL111" i="90"/>
  <c r="AO111" i="90"/>
  <c r="AQ111" i="90"/>
  <c r="AS111" i="90" s="1"/>
  <c r="AR111" i="90"/>
  <c r="AT111" i="90"/>
  <c r="AN111" i="90" s="1"/>
  <c r="AW111" i="90" s="1"/>
  <c r="AL112" i="90"/>
  <c r="AQ112" i="90" s="1"/>
  <c r="AR112" i="90"/>
  <c r="AL113" i="90"/>
  <c r="AQ113" i="90" s="1"/>
  <c r="AT113" i="90"/>
  <c r="AL114" i="90"/>
  <c r="AR114" i="90" s="1"/>
  <c r="AL115" i="90"/>
  <c r="AQ115" i="90" s="1"/>
  <c r="AS115" i="90" s="1"/>
  <c r="AT115" i="90"/>
  <c r="AN115" i="90" s="1"/>
  <c r="AW115" i="90" s="1"/>
  <c r="AL116" i="90"/>
  <c r="AR116" i="90" s="1"/>
  <c r="AT116" i="90"/>
  <c r="AO116" i="90" s="1"/>
  <c r="AY116" i="90" s="1"/>
  <c r="AL117" i="90"/>
  <c r="AL118" i="90"/>
  <c r="AR118" i="90" s="1"/>
  <c r="AQ118" i="90"/>
  <c r="AT118" i="90"/>
  <c r="AN118" i="90" s="1"/>
  <c r="AW118" i="90" s="1"/>
  <c r="AL119" i="90"/>
  <c r="AT119" i="90" s="1"/>
  <c r="AL120" i="90"/>
  <c r="AT120" i="90" s="1"/>
  <c r="AO120" i="90" s="1"/>
  <c r="AQ120" i="90"/>
  <c r="AL121" i="90"/>
  <c r="AQ121" i="90" s="1"/>
  <c r="AL122" i="90"/>
  <c r="AR122" i="90" s="1"/>
  <c r="AL123" i="90"/>
  <c r="AO123" i="90"/>
  <c r="AY123" i="90" s="1"/>
  <c r="AQ123" i="90"/>
  <c r="AS123" i="90" s="1"/>
  <c r="AR123" i="90"/>
  <c r="AT123" i="90"/>
  <c r="AN123" i="90" s="1"/>
  <c r="AW123" i="90" s="1"/>
  <c r="AL124" i="90"/>
  <c r="AT124" i="90" s="1"/>
  <c r="AQ124" i="90"/>
  <c r="AL125" i="90"/>
  <c r="AQ125" i="90" s="1"/>
  <c r="AL126" i="90"/>
  <c r="AQ126" i="90" s="1"/>
  <c r="AT126" i="90"/>
  <c r="AN126" i="90" s="1"/>
  <c r="AW126" i="90" s="1"/>
  <c r="AL127" i="90"/>
  <c r="AL128" i="90"/>
  <c r="AQ128" i="90" s="1"/>
  <c r="AT128" i="90"/>
  <c r="AO128" i="90" s="1"/>
  <c r="AL129" i="90"/>
  <c r="AQ129" i="90" s="1"/>
  <c r="AT129" i="90"/>
  <c r="AO129" i="90" s="1"/>
  <c r="AZ129" i="90" s="1"/>
  <c r="AL130" i="90"/>
  <c r="AQ130" i="90" s="1"/>
  <c r="AL131" i="90"/>
  <c r="AR131" i="90" s="1"/>
  <c r="AO131" i="90"/>
  <c r="AT131" i="90"/>
  <c r="AN131" i="90" s="1"/>
  <c r="AW131" i="90" s="1"/>
  <c r="AL132" i="90"/>
  <c r="AT132" i="90" s="1"/>
  <c r="AL133" i="90"/>
  <c r="AT133" i="90" s="1"/>
  <c r="AQ133" i="90"/>
  <c r="AS133" i="90" s="1"/>
  <c r="AL134" i="90"/>
  <c r="AL135" i="90"/>
  <c r="AR135" i="90" s="1"/>
  <c r="AL136" i="90"/>
  <c r="AL137" i="90"/>
  <c r="AT137" i="90" s="1"/>
  <c r="AL138" i="90"/>
  <c r="AT138" i="90" s="1"/>
  <c r="AM138" i="90"/>
  <c r="AU138" i="90" s="1"/>
  <c r="AL139" i="90"/>
  <c r="AT139" i="90" s="1"/>
  <c r="AQ139" i="90"/>
  <c r="AR139" i="90"/>
  <c r="AL140" i="90"/>
  <c r="AT140" i="90" s="1"/>
  <c r="AM140" i="90" s="1"/>
  <c r="AU140" i="90" s="1"/>
  <c r="AQ140" i="90"/>
  <c r="AS140" i="90" s="1"/>
  <c r="AL141" i="90"/>
  <c r="AR141" i="90" s="1"/>
  <c r="AL142" i="90"/>
  <c r="AL143" i="90"/>
  <c r="AQ143" i="90" s="1"/>
  <c r="AL144" i="90"/>
  <c r="AR144" i="90"/>
  <c r="AL145" i="90"/>
  <c r="AR145" i="90" s="1"/>
  <c r="AL146" i="90"/>
  <c r="AL147" i="90"/>
  <c r="AQ147" i="90"/>
  <c r="AS147" i="90" s="1"/>
  <c r="AR147" i="90"/>
  <c r="AT147" i="90"/>
  <c r="AO147" i="90" s="1"/>
  <c r="AL148" i="90"/>
  <c r="AQ148" i="90" s="1"/>
  <c r="AT148" i="90"/>
  <c r="AO148" i="90" s="1"/>
  <c r="AZ148" i="90" s="1"/>
  <c r="AL149" i="90"/>
  <c r="AT149" i="90" s="1"/>
  <c r="AO149" i="90" s="1"/>
  <c r="AL150" i="90"/>
  <c r="AT150" i="90"/>
  <c r="AL151" i="90"/>
  <c r="AL152" i="90"/>
  <c r="AT152" i="90" s="1"/>
  <c r="AQ152" i="90"/>
  <c r="AS152" i="90" s="1"/>
  <c r="AR152" i="90"/>
  <c r="AL153" i="90"/>
  <c r="AQ153" i="90"/>
  <c r="AR153" i="90"/>
  <c r="AT153" i="90"/>
  <c r="AN153" i="90" s="1"/>
  <c r="AW153" i="90" s="1"/>
  <c r="AL154" i="90"/>
  <c r="AQ154" i="90" s="1"/>
  <c r="AR154" i="90"/>
  <c r="AL155" i="90"/>
  <c r="AT155" i="90" s="1"/>
  <c r="AO155" i="90" s="1"/>
  <c r="AL156" i="90"/>
  <c r="AL157" i="90"/>
  <c r="AT157" i="90" s="1"/>
  <c r="AQ157" i="90"/>
  <c r="AL158" i="90"/>
  <c r="AL159" i="90"/>
  <c r="AQ159" i="90"/>
  <c r="AL160" i="90"/>
  <c r="AT160" i="90" s="1"/>
  <c r="AL161" i="90"/>
  <c r="AQ161" i="90"/>
  <c r="AR161" i="90"/>
  <c r="AT161" i="90"/>
  <c r="AN161" i="90" s="1"/>
  <c r="AW161" i="90" s="1"/>
  <c r="AL162" i="90"/>
  <c r="AQ162" i="90" s="1"/>
  <c r="AL163" i="90"/>
  <c r="AL164" i="90"/>
  <c r="AQ164" i="90" s="1"/>
  <c r="AR164" i="90"/>
  <c r="AT164" i="90"/>
  <c r="AL165" i="90"/>
  <c r="AQ165" i="90"/>
  <c r="AR165" i="90"/>
  <c r="AT165" i="90"/>
  <c r="AL166" i="90"/>
  <c r="AO166" i="90"/>
  <c r="AY166" i="90" s="1"/>
  <c r="AQ166" i="90"/>
  <c r="AS166" i="90" s="1"/>
  <c r="AR166" i="90"/>
  <c r="AT166" i="90"/>
  <c r="AN166" i="90" s="1"/>
  <c r="AW166" i="90" s="1"/>
  <c r="AL167" i="90"/>
  <c r="AR167" i="90" s="1"/>
  <c r="AT167" i="90"/>
  <c r="AO167" i="90" s="1"/>
  <c r="AY167" i="90" s="1"/>
  <c r="AL168" i="90"/>
  <c r="AL169" i="90"/>
  <c r="AR169" i="90" s="1"/>
  <c r="AQ169" i="90"/>
  <c r="AT169" i="90"/>
  <c r="AL170" i="90"/>
  <c r="AT170" i="90" s="1"/>
  <c r="AL171" i="90"/>
  <c r="AQ171" i="90"/>
  <c r="AS171" i="90" s="1"/>
  <c r="AR171" i="90"/>
  <c r="AT171" i="90"/>
  <c r="AO171" i="90" s="1"/>
  <c r="AL172" i="90"/>
  <c r="AQ172" i="90" s="1"/>
  <c r="AL173" i="90"/>
  <c r="AT173" i="90" s="1"/>
  <c r="AM173" i="90" s="1"/>
  <c r="AU173" i="90" s="1"/>
  <c r="AL174" i="90"/>
  <c r="AL175" i="90"/>
  <c r="AT175" i="90" s="1"/>
  <c r="AM175" i="90" s="1"/>
  <c r="AU175" i="90" s="1"/>
  <c r="AQ175" i="90"/>
  <c r="AS175" i="90" s="1"/>
  <c r="AR175" i="90"/>
  <c r="AL176" i="90"/>
  <c r="AT176" i="90" s="1"/>
  <c r="AL177" i="90"/>
  <c r="AT177" i="90" s="1"/>
  <c r="AL178" i="90"/>
  <c r="AT178" i="90"/>
  <c r="AL179" i="90"/>
  <c r="AT179" i="90" s="1"/>
  <c r="AM179" i="90" s="1"/>
  <c r="AU179" i="90" s="1"/>
  <c r="AL180" i="90"/>
  <c r="AT180" i="90" s="1"/>
  <c r="AL181" i="90"/>
  <c r="AL182" i="90"/>
  <c r="AL183" i="90"/>
  <c r="AT183" i="90" s="1"/>
  <c r="AM183" i="90" s="1"/>
  <c r="AU183" i="90" s="1"/>
  <c r="AL184" i="90"/>
  <c r="AT184" i="90" s="1"/>
  <c r="AL185" i="90"/>
  <c r="AT185" i="90" s="1"/>
  <c r="AQ185" i="90"/>
  <c r="AR185" i="90"/>
  <c r="AL186" i="90"/>
  <c r="AT186" i="90" s="1"/>
  <c r="AL187" i="90"/>
  <c r="AT187" i="90" s="1"/>
  <c r="AM187" i="90" s="1"/>
  <c r="AU187" i="90" s="1"/>
  <c r="AL188" i="90"/>
  <c r="AT188" i="90" s="1"/>
  <c r="AL189" i="90"/>
  <c r="AT189" i="90" s="1"/>
  <c r="AM189" i="90" s="1"/>
  <c r="AU189" i="90" s="1"/>
  <c r="AR189" i="90"/>
  <c r="AL190" i="90"/>
  <c r="AL191" i="90"/>
  <c r="AT191" i="90" s="1"/>
  <c r="AM191" i="90" s="1"/>
  <c r="AU191" i="90" s="1"/>
  <c r="AL192" i="90"/>
  <c r="AT192" i="90" s="1"/>
  <c r="AL193" i="90"/>
  <c r="AT193" i="90" s="1"/>
  <c r="AL194" i="90"/>
  <c r="AT194" i="90" s="1"/>
  <c r="AL195" i="90"/>
  <c r="AT195" i="90" s="1"/>
  <c r="AM195" i="90" s="1"/>
  <c r="AU195" i="90" s="1"/>
  <c r="AQ195" i="90"/>
  <c r="AS195" i="90" s="1"/>
  <c r="AR195" i="90"/>
  <c r="AL196" i="90"/>
  <c r="AT196" i="90" s="1"/>
  <c r="AL197" i="90"/>
  <c r="AT197" i="90" s="1"/>
  <c r="AM197" i="90" s="1"/>
  <c r="AU197" i="90" s="1"/>
  <c r="AR197" i="90"/>
  <c r="AL198" i="90"/>
  <c r="AL199" i="90"/>
  <c r="AT199" i="90" s="1"/>
  <c r="AM199" i="90"/>
  <c r="AU199" i="90" s="1"/>
  <c r="AQ199" i="90"/>
  <c r="AS199" i="90" s="1"/>
  <c r="AL200" i="90"/>
  <c r="AT200" i="90" s="1"/>
  <c r="AL201" i="90"/>
  <c r="AL202" i="90"/>
  <c r="AL203" i="90"/>
  <c r="AL204" i="90"/>
  <c r="AT204" i="90" s="1"/>
  <c r="AL205" i="90"/>
  <c r="AT205" i="90" s="1"/>
  <c r="AN205" i="90" s="1"/>
  <c r="AW205" i="90" s="1"/>
  <c r="AR205" i="90"/>
  <c r="AL206" i="90"/>
  <c r="AQ206" i="90" s="1"/>
  <c r="AL207" i="90"/>
  <c r="AT207" i="90" s="1"/>
  <c r="AM207" i="90" s="1"/>
  <c r="AU207" i="90" s="1"/>
  <c r="AR207" i="90"/>
  <c r="AL208" i="90"/>
  <c r="AL209" i="90"/>
  <c r="AR209" i="90" s="1"/>
  <c r="AL210" i="90"/>
  <c r="AR210" i="90" s="1"/>
  <c r="AL211" i="90"/>
  <c r="AL212" i="90"/>
  <c r="AL213" i="90"/>
  <c r="AL214" i="90"/>
  <c r="AQ214" i="90" s="1"/>
  <c r="AL215" i="90"/>
  <c r="AT215" i="90" s="1"/>
  <c r="AM215" i="90" s="1"/>
  <c r="AU215" i="90" s="1"/>
  <c r="AN215" i="90"/>
  <c r="AW215" i="90" s="1"/>
  <c r="AL216" i="90"/>
  <c r="AR216" i="90" s="1"/>
  <c r="AL217" i="90"/>
  <c r="AL218" i="90"/>
  <c r="AR218" i="90" s="1"/>
  <c r="AL219" i="90"/>
  <c r="AL220" i="90"/>
  <c r="AT220" i="90" s="1"/>
  <c r="AL221" i="90"/>
  <c r="AT221" i="90" s="1"/>
  <c r="AM221" i="90" s="1"/>
  <c r="AU221" i="90" s="1"/>
  <c r="AQ221" i="90"/>
  <c r="AS221" i="90" s="1"/>
  <c r="AR221" i="90"/>
  <c r="AL222" i="90"/>
  <c r="AQ222" i="90" s="1"/>
  <c r="AL223" i="90"/>
  <c r="AT223" i="90" s="1"/>
  <c r="AM223" i="90" s="1"/>
  <c r="AU223" i="90" s="1"/>
  <c r="AN223" i="90"/>
  <c r="AW223" i="90" s="1"/>
  <c r="AL224" i="90"/>
  <c r="AR224" i="90" s="1"/>
  <c r="AQ224" i="90"/>
  <c r="AL225" i="90"/>
  <c r="AR225" i="90"/>
  <c r="AL226" i="90"/>
  <c r="AR226" i="90" s="1"/>
  <c r="AL227" i="90"/>
  <c r="AT227" i="90" s="1"/>
  <c r="AR227" i="90"/>
  <c r="AL228" i="90"/>
  <c r="AL229" i="90"/>
  <c r="AT229" i="90" s="1"/>
  <c r="AM229" i="90" s="1"/>
  <c r="AU229" i="90" s="1"/>
  <c r="AN229" i="90"/>
  <c r="AW229" i="90" s="1"/>
  <c r="AL230" i="90"/>
  <c r="AQ230" i="90" s="1"/>
  <c r="AL231" i="90"/>
  <c r="AT231" i="90" s="1"/>
  <c r="AM231" i="90" s="1"/>
  <c r="AU231" i="90" s="1"/>
  <c r="AL232" i="90"/>
  <c r="AR232" i="90" s="1"/>
  <c r="AL233" i="90"/>
  <c r="AL234" i="90"/>
  <c r="AR234" i="90" s="1"/>
  <c r="AL235" i="90"/>
  <c r="AL236" i="90"/>
  <c r="AT236" i="90" s="1"/>
  <c r="AL237" i="90"/>
  <c r="AT237" i="90" s="1"/>
  <c r="AN237" i="90" s="1"/>
  <c r="AW237" i="90" s="1"/>
  <c r="AM237" i="90"/>
  <c r="AQ237" i="90"/>
  <c r="AS237" i="90" s="1"/>
  <c r="AR237" i="90"/>
  <c r="AU237" i="90"/>
  <c r="AL238" i="90"/>
  <c r="AQ238" i="90" s="1"/>
  <c r="AL239" i="90"/>
  <c r="AR239" i="90" s="1"/>
  <c r="AQ239" i="90"/>
  <c r="AL240" i="90"/>
  <c r="AL241" i="90"/>
  <c r="AR241" i="90" s="1"/>
  <c r="AQ241" i="90"/>
  <c r="AS241" i="90" s="1"/>
  <c r="AT241" i="90"/>
  <c r="AN241" i="90" s="1"/>
  <c r="AW241" i="90" s="1"/>
  <c r="AL242" i="90"/>
  <c r="AR242" i="90" s="1"/>
  <c r="AL243" i="90"/>
  <c r="AQ243" i="90" s="1"/>
  <c r="AT243" i="90"/>
  <c r="AO243" i="90" s="1"/>
  <c r="AY243" i="90" s="1"/>
  <c r="AL244" i="90"/>
  <c r="AL245" i="90"/>
  <c r="AT245" i="90" s="1"/>
  <c r="AR245" i="90"/>
  <c r="AL246" i="90"/>
  <c r="AQ246" i="90" s="1"/>
  <c r="AL247" i="90"/>
  <c r="AQ247" i="90" s="1"/>
  <c r="AR247" i="90"/>
  <c r="AL248" i="90"/>
  <c r="AQ248" i="90" s="1"/>
  <c r="AT248" i="90"/>
  <c r="AO248" i="90" s="1"/>
  <c r="AZ248" i="90" s="1"/>
  <c r="AL249" i="90"/>
  <c r="AR249" i="90" s="1"/>
  <c r="AT249" i="90"/>
  <c r="AO249" i="90" s="1"/>
  <c r="AL250" i="90"/>
  <c r="AT250" i="90" s="1"/>
  <c r="AO250" i="90" s="1"/>
  <c r="AR250" i="90"/>
  <c r="AL251" i="90"/>
  <c r="AQ251" i="90" s="1"/>
  <c r="AO251" i="90"/>
  <c r="AY251" i="90" s="1"/>
  <c r="AR251" i="90"/>
  <c r="AT251" i="90"/>
  <c r="AL252" i="90"/>
  <c r="AT252" i="90" s="1"/>
  <c r="AL253" i="90"/>
  <c r="AQ253" i="90" s="1"/>
  <c r="AR253" i="90"/>
  <c r="AL254" i="90"/>
  <c r="AQ254" i="90" s="1"/>
  <c r="AL255" i="90"/>
  <c r="AQ255" i="90" s="1"/>
  <c r="AL256" i="90"/>
  <c r="AR256" i="90" s="1"/>
  <c r="AL257" i="90"/>
  <c r="AR257" i="90" s="1"/>
  <c r="AL258" i="90"/>
  <c r="AT258" i="90" s="1"/>
  <c r="AQ258" i="90"/>
  <c r="AL259" i="90"/>
  <c r="AQ259" i="90" s="1"/>
  <c r="AL260" i="90"/>
  <c r="AT260" i="90" s="1"/>
  <c r="AQ260" i="90"/>
  <c r="AS260" i="90" s="1"/>
  <c r="AR260" i="90"/>
  <c r="AL261" i="90"/>
  <c r="AQ261" i="90" s="1"/>
  <c r="AR261" i="90"/>
  <c r="AL262" i="90"/>
  <c r="AL263" i="90"/>
  <c r="AQ263" i="90"/>
  <c r="AS263" i="90" s="1"/>
  <c r="AR263" i="90"/>
  <c r="AT263" i="90"/>
  <c r="AO263" i="90" s="1"/>
  <c r="AL264" i="90"/>
  <c r="AR264" i="90" s="1"/>
  <c r="AT264" i="90"/>
  <c r="AM264" i="90" s="1"/>
  <c r="AU264" i="90" s="1"/>
  <c r="AL265" i="90"/>
  <c r="AR265" i="90" s="1"/>
  <c r="AT265" i="90"/>
  <c r="AL266" i="90"/>
  <c r="AT266" i="90" s="1"/>
  <c r="AO266" i="90" s="1"/>
  <c r="AR266" i="90"/>
  <c r="AL267" i="90"/>
  <c r="AT267" i="90" s="1"/>
  <c r="AQ267" i="90"/>
  <c r="AR267" i="90"/>
  <c r="AL268" i="90"/>
  <c r="AT268" i="90" s="1"/>
  <c r="AL269" i="90"/>
  <c r="AT269" i="90" s="1"/>
  <c r="AR269" i="90"/>
  <c r="AL270" i="90"/>
  <c r="AQ270" i="90" s="1"/>
  <c r="AL271" i="90"/>
  <c r="AQ271" i="90" s="1"/>
  <c r="AR271" i="90"/>
  <c r="AL272" i="90"/>
  <c r="AR272" i="90" s="1"/>
  <c r="AQ272" i="90"/>
  <c r="AT272" i="90"/>
  <c r="AO272" i="90" s="1"/>
  <c r="AZ272" i="90" s="1"/>
  <c r="AL273" i="90"/>
  <c r="AT273" i="90" s="1"/>
  <c r="AL274" i="90"/>
  <c r="AT274" i="90" s="1"/>
  <c r="AO274" i="90" s="1"/>
  <c r="AY274" i="90" s="1"/>
  <c r="AL275" i="90"/>
  <c r="AQ275" i="90" s="1"/>
  <c r="AR275" i="90"/>
  <c r="AT275" i="90"/>
  <c r="AO275" i="90" s="1"/>
  <c r="AY275" i="90" s="1"/>
  <c r="AL276" i="90"/>
  <c r="AL277" i="90"/>
  <c r="AQ277" i="90" s="1"/>
  <c r="AR277" i="90"/>
  <c r="AL278" i="90"/>
  <c r="AR278" i="90" s="1"/>
  <c r="AL279" i="90"/>
  <c r="AR279" i="90" s="1"/>
  <c r="AL280" i="90"/>
  <c r="AT280" i="90" s="1"/>
  <c r="AQ280" i="90"/>
  <c r="AL281" i="90"/>
  <c r="AL282" i="90"/>
  <c r="AR282" i="90" s="1"/>
  <c r="AQ282" i="90"/>
  <c r="AT282" i="90"/>
  <c r="AN282" i="90" s="1"/>
  <c r="AL283" i="90"/>
  <c r="AR283" i="90" s="1"/>
  <c r="AL284" i="90"/>
  <c r="AQ284" i="90" s="1"/>
  <c r="AL285" i="90"/>
  <c r="AL286" i="90"/>
  <c r="AQ286" i="90" s="1"/>
  <c r="AS286" i="90" s="1"/>
  <c r="AR286" i="90"/>
  <c r="AT286" i="90"/>
  <c r="AO286" i="90" s="1"/>
  <c r="AY286" i="90" s="1"/>
  <c r="AL287" i="90"/>
  <c r="AR287" i="90" s="1"/>
  <c r="AT287" i="90"/>
  <c r="AL288" i="90"/>
  <c r="AT288" i="90" s="1"/>
  <c r="AQ288" i="90"/>
  <c r="AS288" i="90" s="1"/>
  <c r="AL289" i="90"/>
  <c r="AL290" i="90"/>
  <c r="AQ290" i="90" s="1"/>
  <c r="AS290" i="90" s="1"/>
  <c r="AN290" i="90"/>
  <c r="AR290" i="90"/>
  <c r="AT290" i="90"/>
  <c r="AL291" i="90"/>
  <c r="AR291" i="90" s="1"/>
  <c r="AL292" i="90"/>
  <c r="AQ292" i="90"/>
  <c r="AS292" i="90" s="1"/>
  <c r="AR292" i="90"/>
  <c r="AT292" i="90"/>
  <c r="AO292" i="90" s="1"/>
  <c r="AL293" i="90"/>
  <c r="AL294" i="90"/>
  <c r="AQ294" i="90" s="1"/>
  <c r="AL295" i="90"/>
  <c r="AR295" i="90" s="1"/>
  <c r="AL296" i="90"/>
  <c r="AT296" i="90" s="1"/>
  <c r="AL297" i="90"/>
  <c r="AL298" i="90"/>
  <c r="AQ298" i="90" s="1"/>
  <c r="AT298" i="90"/>
  <c r="AN298" i="90" s="1"/>
  <c r="AL299" i="90"/>
  <c r="AR299" i="90" s="1"/>
  <c r="AL300" i="90"/>
  <c r="AT300" i="90" s="1"/>
  <c r="AQ300" i="90"/>
  <c r="AS300" i="90" s="1"/>
  <c r="AL301" i="90"/>
  <c r="AL302" i="90"/>
  <c r="AQ302" i="90" s="1"/>
  <c r="AS302" i="90" s="1"/>
  <c r="AR302" i="90"/>
  <c r="AT302" i="90"/>
  <c r="AO302" i="90" s="1"/>
  <c r="AY302" i="90" s="1"/>
  <c r="AL303" i="90"/>
  <c r="AR303" i="90" s="1"/>
  <c r="AT303" i="90"/>
  <c r="AL304" i="90"/>
  <c r="AT304" i="90" s="1"/>
  <c r="AQ304" i="90"/>
  <c r="AR304" i="90"/>
  <c r="AL305" i="90"/>
  <c r="AL306" i="90"/>
  <c r="AR306" i="90" s="1"/>
  <c r="AQ306" i="90"/>
  <c r="AT306" i="90"/>
  <c r="AN306" i="90" s="1"/>
  <c r="AL307" i="90"/>
  <c r="AR307" i="90" s="1"/>
  <c r="AL308" i="90"/>
  <c r="AT308" i="90" s="1"/>
  <c r="AQ308" i="90"/>
  <c r="AS308" i="90" s="1"/>
  <c r="AL309" i="90"/>
  <c r="AL310" i="90"/>
  <c r="AR310" i="90" s="1"/>
  <c r="AQ310" i="90"/>
  <c r="AT310" i="90"/>
  <c r="AO310" i="90" s="1"/>
  <c r="AY310" i="90" s="1"/>
  <c r="AL311" i="90"/>
  <c r="AR311" i="90" s="1"/>
  <c r="AT311" i="90"/>
  <c r="AL312" i="90"/>
  <c r="AT312" i="90" s="1"/>
  <c r="AQ312" i="90"/>
  <c r="AS312" i="90" s="1"/>
  <c r="AR312" i="90"/>
  <c r="AL313" i="90"/>
  <c r="AR313" i="90" s="1"/>
  <c r="AL314" i="90"/>
  <c r="AN314" i="90"/>
  <c r="AQ314" i="90"/>
  <c r="AR314" i="90"/>
  <c r="AT314" i="90"/>
  <c r="AL315" i="90"/>
  <c r="AR315" i="90" s="1"/>
  <c r="AL316" i="90"/>
  <c r="AQ316" i="90" s="1"/>
  <c r="AR316" i="90"/>
  <c r="AT316" i="90"/>
  <c r="AO316" i="90" s="1"/>
  <c r="AL317" i="90"/>
  <c r="AL318" i="90"/>
  <c r="AQ318" i="90"/>
  <c r="AR318" i="90"/>
  <c r="AT318" i="90"/>
  <c r="AO318" i="90" s="1"/>
  <c r="AY318" i="90" s="1"/>
  <c r="AL319" i="90"/>
  <c r="AR319" i="90" s="1"/>
  <c r="AT319" i="90"/>
  <c r="AL320" i="90"/>
  <c r="AT320" i="90" s="1"/>
  <c r="AO320" i="90" s="1"/>
  <c r="AY320" i="90" s="1"/>
  <c r="AL321" i="90"/>
  <c r="AL322" i="90"/>
  <c r="AR322" i="90" s="1"/>
  <c r="AL323" i="90"/>
  <c r="AQ323" i="90" s="1"/>
  <c r="AR323" i="90"/>
  <c r="AT323" i="90"/>
  <c r="AN323" i="90" s="1"/>
  <c r="AW323" i="90" s="1"/>
  <c r="AL324" i="90"/>
  <c r="AQ324" i="90" s="1"/>
  <c r="AR324" i="90"/>
  <c r="AT324" i="90"/>
  <c r="AO324" i="90" s="1"/>
  <c r="AL325" i="90"/>
  <c r="AQ325" i="90"/>
  <c r="AS325" i="90" s="1"/>
  <c r="AR325" i="90"/>
  <c r="AT325" i="90"/>
  <c r="AN325" i="90" s="1"/>
  <c r="AW325" i="90" s="1"/>
  <c r="AL326" i="90"/>
  <c r="AT326" i="90" s="1"/>
  <c r="AL327" i="90"/>
  <c r="AR327" i="90" s="1"/>
  <c r="AL328" i="90"/>
  <c r="AQ328" i="90" s="1"/>
  <c r="AL329" i="90"/>
  <c r="AQ329" i="90" s="1"/>
  <c r="AL330" i="90"/>
  <c r="AQ330" i="90"/>
  <c r="AS330" i="90" s="1"/>
  <c r="AR330" i="90"/>
  <c r="AT330" i="90"/>
  <c r="AO330" i="90" s="1"/>
  <c r="AL331" i="90"/>
  <c r="AQ331" i="90" s="1"/>
  <c r="AL332" i="90"/>
  <c r="AQ332" i="90" s="1"/>
  <c r="AL333" i="90"/>
  <c r="AR333" i="90" s="1"/>
  <c r="AQ333" i="90"/>
  <c r="AS333" i="90" s="1"/>
  <c r="AT333" i="90"/>
  <c r="AN333" i="90" s="1"/>
  <c r="AW333" i="90" s="1"/>
  <c r="AL334" i="90"/>
  <c r="AQ334" i="90" s="1"/>
  <c r="AL335" i="90"/>
  <c r="AR335" i="90" s="1"/>
  <c r="AL336" i="90"/>
  <c r="AR336" i="90" s="1"/>
  <c r="AQ336" i="90"/>
  <c r="AT336" i="90"/>
  <c r="AN336" i="90" s="1"/>
  <c r="AW336" i="90" s="1"/>
  <c r="AL337" i="90"/>
  <c r="AQ337" i="90" s="1"/>
  <c r="AR337" i="90"/>
  <c r="AL338" i="90"/>
  <c r="AR338" i="90" s="1"/>
  <c r="AQ338" i="90"/>
  <c r="AT338" i="90"/>
  <c r="AO338" i="90" s="1"/>
  <c r="AL339" i="90"/>
  <c r="AQ339" i="90" s="1"/>
  <c r="AR339" i="90"/>
  <c r="AL340" i="90"/>
  <c r="AQ340" i="90" s="1"/>
  <c r="AL341" i="90"/>
  <c r="AQ341" i="90"/>
  <c r="AS341" i="90" s="1"/>
  <c r="AR341" i="90"/>
  <c r="AT341" i="90"/>
  <c r="AN341" i="90" s="1"/>
  <c r="AW341" i="90" s="1"/>
  <c r="AL342" i="90"/>
  <c r="AR342" i="90" s="1"/>
  <c r="AQ342" i="90"/>
  <c r="AL343" i="90"/>
  <c r="AR343" i="90" s="1"/>
  <c r="AL344" i="90"/>
  <c r="AR344" i="90" s="1"/>
  <c r="AQ344" i="90"/>
  <c r="AT344" i="90"/>
  <c r="AN344" i="90" s="1"/>
  <c r="AW344" i="90" s="1"/>
  <c r="AL345" i="90"/>
  <c r="AQ345" i="90" s="1"/>
  <c r="AL346" i="90"/>
  <c r="AT346" i="90" s="1"/>
  <c r="AL347" i="90"/>
  <c r="AQ347" i="90" s="1"/>
  <c r="AR347" i="90"/>
  <c r="AL348" i="90"/>
  <c r="AR348" i="90" s="1"/>
  <c r="AQ348" i="90"/>
  <c r="AT348" i="90"/>
  <c r="AO348" i="90" s="1"/>
  <c r="AY348" i="90" s="1"/>
  <c r="AL349" i="90"/>
  <c r="AQ349" i="90" s="1"/>
  <c r="AL350" i="90"/>
  <c r="AQ350" i="90" s="1"/>
  <c r="AT350" i="90"/>
  <c r="AM350" i="90" s="1"/>
  <c r="AU350" i="90" s="1"/>
  <c r="AL351" i="90"/>
  <c r="AR351" i="90" s="1"/>
  <c r="AL352" i="90"/>
  <c r="AR352" i="90" s="1"/>
  <c r="AL353" i="90"/>
  <c r="AT353" i="90" s="1"/>
  <c r="AM353" i="90" s="1"/>
  <c r="AU353" i="90" s="1"/>
  <c r="AL354" i="90"/>
  <c r="AQ354" i="90" s="1"/>
  <c r="AL355" i="90"/>
  <c r="AT355" i="90" s="1"/>
  <c r="AM355" i="90" s="1"/>
  <c r="AU355" i="90" s="1"/>
  <c r="AL356" i="90"/>
  <c r="AQ356" i="90" s="1"/>
  <c r="AL357" i="90"/>
  <c r="AT357" i="90" s="1"/>
  <c r="AM357" i="90" s="1"/>
  <c r="AU357" i="90" s="1"/>
  <c r="AQ357" i="90"/>
  <c r="AS357" i="90" s="1"/>
  <c r="AL358" i="90"/>
  <c r="AT358" i="90" s="1"/>
  <c r="AO358" i="90" s="1"/>
  <c r="AQ358" i="90"/>
  <c r="AR358" i="90"/>
  <c r="AL359" i="90"/>
  <c r="AT359" i="90" s="1"/>
  <c r="AM359" i="90"/>
  <c r="AU359" i="90" s="1"/>
  <c r="AQ359" i="90"/>
  <c r="AS359" i="90" s="1"/>
  <c r="AL360" i="90"/>
  <c r="AR360" i="90" s="1"/>
  <c r="AQ360" i="90"/>
  <c r="AL361" i="90"/>
  <c r="AT361" i="90" s="1"/>
  <c r="AM361" i="90" s="1"/>
  <c r="AU361" i="90" s="1"/>
  <c r="AL362" i="90"/>
  <c r="AQ362" i="90" s="1"/>
  <c r="AL363" i="90"/>
  <c r="AT363" i="90" s="1"/>
  <c r="AM363" i="90" s="1"/>
  <c r="AU363" i="90" s="1"/>
  <c r="AL364" i="90"/>
  <c r="AQ364" i="90" s="1"/>
  <c r="AL365" i="90"/>
  <c r="AT365" i="90" s="1"/>
  <c r="AM365" i="90" s="1"/>
  <c r="AU365" i="90" s="1"/>
  <c r="AQ365" i="90"/>
  <c r="AS365" i="90" s="1"/>
  <c r="AL366" i="90"/>
  <c r="AT366" i="90" s="1"/>
  <c r="AO366" i="90" s="1"/>
  <c r="AQ366" i="90"/>
  <c r="AR366" i="90"/>
  <c r="AL367" i="90"/>
  <c r="AT367" i="90" s="1"/>
  <c r="AM367" i="90"/>
  <c r="AU367" i="90" s="1"/>
  <c r="AQ367" i="90"/>
  <c r="AS367" i="90" s="1"/>
  <c r="AL368" i="90"/>
  <c r="AR368" i="90" s="1"/>
  <c r="AQ368" i="90"/>
  <c r="AL369" i="90"/>
  <c r="AT369" i="90" s="1"/>
  <c r="AM369" i="90" s="1"/>
  <c r="AU369" i="90" s="1"/>
  <c r="AL370" i="90"/>
  <c r="AQ370" i="90" s="1"/>
  <c r="AL371" i="90"/>
  <c r="AT371" i="90" s="1"/>
  <c r="AM371" i="90" s="1"/>
  <c r="AU371" i="90" s="1"/>
  <c r="AL372" i="90"/>
  <c r="AQ372" i="90" s="1"/>
  <c r="AL373" i="90"/>
  <c r="AT373" i="90" s="1"/>
  <c r="AM373" i="90" s="1"/>
  <c r="AU373" i="90" s="1"/>
  <c r="AQ373" i="90"/>
  <c r="AS373" i="90" s="1"/>
  <c r="AL374" i="90"/>
  <c r="AT374" i="90" s="1"/>
  <c r="AO374" i="90" s="1"/>
  <c r="AQ374" i="90"/>
  <c r="AR374" i="90"/>
  <c r="AL375" i="90"/>
  <c r="AT375" i="90" s="1"/>
  <c r="AM375" i="90"/>
  <c r="AU375" i="90" s="1"/>
  <c r="AQ375" i="90"/>
  <c r="AS375" i="90" s="1"/>
  <c r="AL376" i="90"/>
  <c r="AR376" i="90" s="1"/>
  <c r="AQ376" i="90"/>
  <c r="AL377" i="90"/>
  <c r="AT377" i="90" s="1"/>
  <c r="AM377" i="90" s="1"/>
  <c r="AU377" i="90" s="1"/>
  <c r="AL378" i="90"/>
  <c r="AQ378" i="90" s="1"/>
  <c r="AL379" i="90"/>
  <c r="AT379" i="90" s="1"/>
  <c r="AM379" i="90" s="1"/>
  <c r="AU379" i="90" s="1"/>
  <c r="AL380" i="90"/>
  <c r="AQ380" i="90" s="1"/>
  <c r="AL381" i="90"/>
  <c r="AT381" i="90" s="1"/>
  <c r="AM381" i="90" s="1"/>
  <c r="AU381" i="90" s="1"/>
  <c r="AQ381" i="90"/>
  <c r="AS381" i="90" s="1"/>
  <c r="AL382" i="90"/>
  <c r="AT382" i="90" s="1"/>
  <c r="AO382" i="90" s="1"/>
  <c r="AQ382" i="90"/>
  <c r="AR382" i="90"/>
  <c r="AL383" i="90"/>
  <c r="AT383" i="90" s="1"/>
  <c r="AM383" i="90"/>
  <c r="AU383" i="90" s="1"/>
  <c r="AQ383" i="90"/>
  <c r="AS383" i="90" s="1"/>
  <c r="AL384" i="90"/>
  <c r="AR384" i="90" s="1"/>
  <c r="AQ384" i="90"/>
  <c r="AL385" i="90"/>
  <c r="AT385" i="90" s="1"/>
  <c r="AM385" i="90" s="1"/>
  <c r="AU385" i="90" s="1"/>
  <c r="AL386" i="90"/>
  <c r="AQ386" i="90" s="1"/>
  <c r="AL387" i="90"/>
  <c r="AT387" i="90" s="1"/>
  <c r="AM387" i="90" s="1"/>
  <c r="AU387" i="90" s="1"/>
  <c r="AL388" i="90"/>
  <c r="AQ388" i="90" s="1"/>
  <c r="AL389" i="90"/>
  <c r="AT389" i="90" s="1"/>
  <c r="AM389" i="90" s="1"/>
  <c r="AU389" i="90" s="1"/>
  <c r="AQ389" i="90"/>
  <c r="AS389" i="90" s="1"/>
  <c r="AL390" i="90"/>
  <c r="AT390" i="90" s="1"/>
  <c r="AO390" i="90" s="1"/>
  <c r="AQ390" i="90"/>
  <c r="AR390" i="90"/>
  <c r="AL391" i="90"/>
  <c r="AT391" i="90" s="1"/>
  <c r="AM391" i="90"/>
  <c r="AU391" i="90" s="1"/>
  <c r="AQ391" i="90"/>
  <c r="AS391" i="90" s="1"/>
  <c r="AL392" i="90"/>
  <c r="AR392" i="90" s="1"/>
  <c r="AQ392" i="90"/>
  <c r="AL393" i="90"/>
  <c r="AT393" i="90" s="1"/>
  <c r="AM393" i="90" s="1"/>
  <c r="AU393" i="90" s="1"/>
  <c r="AL394" i="90"/>
  <c r="AQ394" i="90" s="1"/>
  <c r="AL395" i="90"/>
  <c r="AT395" i="90" s="1"/>
  <c r="AM395" i="90" s="1"/>
  <c r="AU395" i="90" s="1"/>
  <c r="AL396" i="90"/>
  <c r="AQ396" i="90" s="1"/>
  <c r="AL397" i="90"/>
  <c r="AT397" i="90" s="1"/>
  <c r="AM397" i="90" s="1"/>
  <c r="AU397" i="90" s="1"/>
  <c r="AQ397" i="90"/>
  <c r="AS397" i="90" s="1"/>
  <c r="AL398" i="90"/>
  <c r="AT398" i="90" s="1"/>
  <c r="AO398" i="90" s="1"/>
  <c r="AQ398" i="90"/>
  <c r="AR398" i="90"/>
  <c r="AL399" i="90"/>
  <c r="AT399" i="90" s="1"/>
  <c r="AM399" i="90"/>
  <c r="AU399" i="90" s="1"/>
  <c r="AQ399" i="90"/>
  <c r="AS399" i="90" s="1"/>
  <c r="AL400" i="90"/>
  <c r="AR400" i="90" s="1"/>
  <c r="AQ400" i="90"/>
  <c r="AL401" i="90"/>
  <c r="AT401" i="90" s="1"/>
  <c r="AM401" i="90" s="1"/>
  <c r="AU401" i="90" s="1"/>
  <c r="AL402" i="90"/>
  <c r="AQ402" i="90" s="1"/>
  <c r="AL403" i="90"/>
  <c r="AL404" i="90"/>
  <c r="AT404" i="90" s="1"/>
  <c r="AN404" i="90" s="1"/>
  <c r="AW404" i="90" s="1"/>
  <c r="AL405" i="90"/>
  <c r="AT405" i="90" s="1"/>
  <c r="AM405" i="90" s="1"/>
  <c r="AU405" i="90" s="1"/>
  <c r="AR405" i="90"/>
  <c r="AL406" i="90"/>
  <c r="AQ406" i="90" s="1"/>
  <c r="AR406" i="90"/>
  <c r="AT406" i="90"/>
  <c r="AL407" i="90"/>
  <c r="AT407" i="90" s="1"/>
  <c r="AM407" i="90" s="1"/>
  <c r="AU407" i="90" s="1"/>
  <c r="AL408" i="90"/>
  <c r="AQ408" i="90" s="1"/>
  <c r="AR408" i="90"/>
  <c r="AL409" i="90"/>
  <c r="AT409" i="90" s="1"/>
  <c r="AM409" i="90" s="1"/>
  <c r="AU409" i="90" s="1"/>
  <c r="AQ409" i="90"/>
  <c r="AS409" i="90" s="1"/>
  <c r="AL410" i="90"/>
  <c r="AT410" i="90" s="1"/>
  <c r="AN410" i="90" s="1"/>
  <c r="AW410" i="90" s="1"/>
  <c r="AL411" i="90"/>
  <c r="AL412" i="90"/>
  <c r="AQ412" i="90" s="1"/>
  <c r="AT412" i="90"/>
  <c r="AN412" i="90" s="1"/>
  <c r="AW412" i="90" s="1"/>
  <c r="AL413" i="90"/>
  <c r="AT413" i="90" s="1"/>
  <c r="AM413" i="90" s="1"/>
  <c r="AU413" i="90" s="1"/>
  <c r="AL414" i="90"/>
  <c r="AR414" i="90" s="1"/>
  <c r="AQ414" i="90"/>
  <c r="AL415" i="90"/>
  <c r="AT415" i="90" s="1"/>
  <c r="AM415" i="90"/>
  <c r="AU415" i="90" s="1"/>
  <c r="AL416" i="90"/>
  <c r="AR416" i="90" s="1"/>
  <c r="AQ416" i="90"/>
  <c r="AL417" i="90"/>
  <c r="AT417" i="90" s="1"/>
  <c r="AM417" i="90"/>
  <c r="AU417" i="90" s="1"/>
  <c r="AL418" i="90"/>
  <c r="AQ418" i="90"/>
  <c r="AR418" i="90"/>
  <c r="AT418" i="90"/>
  <c r="AL419" i="90"/>
  <c r="AL420" i="90"/>
  <c r="AT420" i="90" s="1"/>
  <c r="AN420" i="90" s="1"/>
  <c r="AW420" i="90" s="1"/>
  <c r="AQ420" i="90"/>
  <c r="AS420" i="90" s="1"/>
  <c r="AR420" i="90"/>
  <c r="AL421" i="90"/>
  <c r="AT421" i="90" s="1"/>
  <c r="AM421" i="90" s="1"/>
  <c r="AU421" i="90" s="1"/>
  <c r="AR421" i="90"/>
  <c r="AL422" i="90"/>
  <c r="AQ422" i="90" s="1"/>
  <c r="AR422" i="90"/>
  <c r="AL423" i="90"/>
  <c r="AT423" i="90" s="1"/>
  <c r="AM423" i="90" s="1"/>
  <c r="AU423" i="90" s="1"/>
  <c r="AQ423" i="90"/>
  <c r="AS423" i="90" s="1"/>
  <c r="AR423" i="90"/>
  <c r="AL424" i="90"/>
  <c r="AQ424" i="90"/>
  <c r="AR424" i="90"/>
  <c r="AT424" i="90"/>
  <c r="AO424" i="90" s="1"/>
  <c r="AL425" i="90"/>
  <c r="AT425" i="90" s="1"/>
  <c r="AM425" i="90"/>
  <c r="AU425" i="90" s="1"/>
  <c r="AQ425" i="90"/>
  <c r="AS425" i="90" s="1"/>
  <c r="AL426" i="90"/>
  <c r="AT426" i="90" s="1"/>
  <c r="AN426" i="90" s="1"/>
  <c r="AW426" i="90" s="1"/>
  <c r="AL427" i="90"/>
  <c r="AL428" i="90"/>
  <c r="AT428" i="90" s="1"/>
  <c r="AN428" i="90" s="1"/>
  <c r="AW428" i="90" s="1"/>
  <c r="AL429" i="90"/>
  <c r="AT429" i="90" s="1"/>
  <c r="AM429" i="90" s="1"/>
  <c r="AU429" i="90" s="1"/>
  <c r="AR429" i="90"/>
  <c r="AL430" i="90"/>
  <c r="AQ430" i="90" s="1"/>
  <c r="AL431" i="90"/>
  <c r="AT431" i="90" s="1"/>
  <c r="AM431" i="90" s="1"/>
  <c r="AU431" i="90" s="1"/>
  <c r="AL432" i="90"/>
  <c r="AQ432" i="90" s="1"/>
  <c r="AT432" i="90"/>
  <c r="AO432" i="90" s="1"/>
  <c r="AL433" i="90"/>
  <c r="AT433" i="90" s="1"/>
  <c r="AM433" i="90" s="1"/>
  <c r="AU433" i="90" s="1"/>
  <c r="AQ433" i="90"/>
  <c r="AS433" i="90" s="1"/>
  <c r="AL434" i="90"/>
  <c r="AT434" i="90" s="1"/>
  <c r="AN434" i="90" s="1"/>
  <c r="AW434" i="90" s="1"/>
  <c r="AL435" i="90"/>
  <c r="AL436" i="90"/>
  <c r="AQ436" i="90" s="1"/>
  <c r="AT436" i="90"/>
  <c r="AN436" i="90" s="1"/>
  <c r="AW436" i="90" s="1"/>
  <c r="AL437" i="90"/>
  <c r="AT437" i="90" s="1"/>
  <c r="AM437" i="90" s="1"/>
  <c r="AU437" i="90" s="1"/>
  <c r="AL438" i="90"/>
  <c r="AR438" i="90" s="1"/>
  <c r="AQ438" i="90"/>
  <c r="AL439" i="90"/>
  <c r="AT439" i="90" s="1"/>
  <c r="AM439" i="90" s="1"/>
  <c r="AU439" i="90" s="1"/>
  <c r="AL440" i="90"/>
  <c r="AR440" i="90" s="1"/>
  <c r="AQ440" i="90"/>
  <c r="AL441" i="90"/>
  <c r="AT441" i="90" s="1"/>
  <c r="AM441" i="90" s="1"/>
  <c r="AU441" i="90" s="1"/>
  <c r="AL442" i="90"/>
  <c r="AT442" i="90" s="1"/>
  <c r="AN442" i="90" s="1"/>
  <c r="AW442" i="90" s="1"/>
  <c r="AQ442" i="90"/>
  <c r="AR442" i="90"/>
  <c r="AL443" i="90"/>
  <c r="AL444" i="90"/>
  <c r="AT444" i="90" s="1"/>
  <c r="AN444" i="90" s="1"/>
  <c r="AW444" i="90" s="1"/>
  <c r="AQ444" i="90"/>
  <c r="AL445" i="90"/>
  <c r="AT445" i="90" s="1"/>
  <c r="AM445" i="90" s="1"/>
  <c r="AU445" i="90" s="1"/>
  <c r="AR445" i="90"/>
  <c r="AL446" i="90"/>
  <c r="AQ446" i="90" s="1"/>
  <c r="AL447" i="90"/>
  <c r="AT447" i="90" s="1"/>
  <c r="AM447" i="90" s="1"/>
  <c r="AU447" i="90" s="1"/>
  <c r="AQ447" i="90"/>
  <c r="AS447" i="90" s="1"/>
  <c r="AL448" i="90"/>
  <c r="AQ448" i="90" s="1"/>
  <c r="AR448" i="90"/>
  <c r="AT448" i="90"/>
  <c r="AO448" i="90" s="1"/>
  <c r="AL449" i="90"/>
  <c r="AT449" i="90" s="1"/>
  <c r="AM449" i="90" s="1"/>
  <c r="AU449" i="90" s="1"/>
  <c r="AQ449" i="90"/>
  <c r="AS449" i="90" s="1"/>
  <c r="AL450" i="90"/>
  <c r="AT450" i="90" s="1"/>
  <c r="AN450" i="90" s="1"/>
  <c r="AW450" i="90" s="1"/>
  <c r="AL451" i="90"/>
  <c r="AL452" i="90"/>
  <c r="AQ452" i="90" s="1"/>
  <c r="AT452" i="90"/>
  <c r="AN452" i="90" s="1"/>
  <c r="AW452" i="90" s="1"/>
  <c r="AL453" i="90"/>
  <c r="AT453" i="90" s="1"/>
  <c r="AM453" i="90" s="1"/>
  <c r="AU453" i="90" s="1"/>
  <c r="AL454" i="90"/>
  <c r="AR454" i="90" s="1"/>
  <c r="AL455" i="90"/>
  <c r="AT455" i="90" s="1"/>
  <c r="AM455" i="90"/>
  <c r="AU455" i="90" s="1"/>
  <c r="AL456" i="90"/>
  <c r="AQ456" i="90" s="1"/>
  <c r="AL457" i="90"/>
  <c r="AL458" i="90"/>
  <c r="AQ458" i="90" s="1"/>
  <c r="AL459" i="90"/>
  <c r="AL460" i="90"/>
  <c r="AT460" i="90" s="1"/>
  <c r="AN460" i="90" s="1"/>
  <c r="AW460" i="90" s="1"/>
  <c r="AQ460" i="90"/>
  <c r="AL461" i="90"/>
  <c r="AL462" i="90"/>
  <c r="AR462" i="90" s="1"/>
  <c r="AL463" i="90"/>
  <c r="AT463" i="90" s="1"/>
  <c r="AM463" i="90" s="1"/>
  <c r="AU463" i="90" s="1"/>
  <c r="AL464" i="90"/>
  <c r="AQ464" i="90" s="1"/>
  <c r="AT464" i="90"/>
  <c r="AO464" i="90" s="1"/>
  <c r="AL465" i="90"/>
  <c r="AT465" i="90" s="1"/>
  <c r="AM465" i="90"/>
  <c r="AU465" i="90" s="1"/>
  <c r="AL466" i="90"/>
  <c r="AT466" i="90" s="1"/>
  <c r="AQ466" i="90"/>
  <c r="AL467" i="90"/>
  <c r="AL468" i="90"/>
  <c r="AT468" i="90" s="1"/>
  <c r="AN468" i="90" s="1"/>
  <c r="AW468" i="90" s="1"/>
  <c r="AL469" i="90"/>
  <c r="AT469" i="90" s="1"/>
  <c r="AM469" i="90" s="1"/>
  <c r="AU469" i="90" s="1"/>
  <c r="AR469" i="90"/>
  <c r="AL470" i="90"/>
  <c r="AQ470" i="90" s="1"/>
  <c r="AR470" i="90"/>
  <c r="AT470" i="90"/>
  <c r="AL471" i="90"/>
  <c r="AT471" i="90" s="1"/>
  <c r="AM471" i="90" s="1"/>
  <c r="AU471" i="90" s="1"/>
  <c r="AL472" i="90"/>
  <c r="AQ472" i="90" s="1"/>
  <c r="AR472" i="90"/>
  <c r="AL473" i="90"/>
  <c r="AT473" i="90" s="1"/>
  <c r="AM473" i="90" s="1"/>
  <c r="AU473" i="90" s="1"/>
  <c r="AQ473" i="90"/>
  <c r="AS473" i="90" s="1"/>
  <c r="AL474" i="90"/>
  <c r="AL475" i="90"/>
  <c r="AL476" i="90"/>
  <c r="AQ476" i="90" s="1"/>
  <c r="AT476" i="90"/>
  <c r="AN476" i="90" s="1"/>
  <c r="AW476" i="90" s="1"/>
  <c r="AL477" i="90"/>
  <c r="AT477" i="90" s="1"/>
  <c r="AM477" i="90" s="1"/>
  <c r="AU477" i="90" s="1"/>
  <c r="AL478" i="90"/>
  <c r="AR478" i="90" s="1"/>
  <c r="AQ478" i="90"/>
  <c r="AL479" i="90"/>
  <c r="AT479" i="90" s="1"/>
  <c r="AM479" i="90"/>
  <c r="AU479" i="90" s="1"/>
  <c r="AL480" i="90"/>
  <c r="AR480" i="90" s="1"/>
  <c r="AQ480" i="90"/>
  <c r="AL481" i="90"/>
  <c r="AT481" i="90" s="1"/>
  <c r="AM481" i="90"/>
  <c r="AU481" i="90" s="1"/>
  <c r="AL482" i="90"/>
  <c r="AQ482" i="90"/>
  <c r="AR482" i="90"/>
  <c r="AT482" i="90"/>
  <c r="AL483" i="90"/>
  <c r="AL484" i="90"/>
  <c r="AT484" i="90" s="1"/>
  <c r="AN484" i="90" s="1"/>
  <c r="AW484" i="90" s="1"/>
  <c r="AQ484" i="90"/>
  <c r="AS484" i="90" s="1"/>
  <c r="AR484" i="90"/>
  <c r="AL485" i="90"/>
  <c r="AT485" i="90" s="1"/>
  <c r="AM485" i="90" s="1"/>
  <c r="AU485" i="90" s="1"/>
  <c r="AR485" i="90"/>
  <c r="AL486" i="90"/>
  <c r="AQ486" i="90" s="1"/>
  <c r="AR486" i="90"/>
  <c r="AL487" i="90"/>
  <c r="AT487" i="90" s="1"/>
  <c r="AM487" i="90" s="1"/>
  <c r="AU487" i="90" s="1"/>
  <c r="AQ487" i="90"/>
  <c r="AS487" i="90" s="1"/>
  <c r="AR487" i="90"/>
  <c r="AL488" i="90"/>
  <c r="AQ488" i="90"/>
  <c r="AR488" i="90"/>
  <c r="AT488" i="90"/>
  <c r="AO488" i="90" s="1"/>
  <c r="AL489" i="90"/>
  <c r="AT489" i="90" s="1"/>
  <c r="AM489" i="90"/>
  <c r="AU489" i="90" s="1"/>
  <c r="AQ489" i="90"/>
  <c r="AS489" i="90" s="1"/>
  <c r="AL490" i="90"/>
  <c r="AT490" i="90" s="1"/>
  <c r="AN490" i="90" s="1"/>
  <c r="AW490" i="90" s="1"/>
  <c r="AL491" i="90"/>
  <c r="AL492" i="90"/>
  <c r="AL493" i="90"/>
  <c r="AT493" i="90" s="1"/>
  <c r="AM493" i="90" s="1"/>
  <c r="AU493" i="90" s="1"/>
  <c r="AR493" i="90"/>
  <c r="AL494" i="90"/>
  <c r="AL495" i="90"/>
  <c r="AL496" i="90"/>
  <c r="AT496" i="90"/>
  <c r="AO496" i="90" s="1"/>
  <c r="AL497" i="90"/>
  <c r="AT497" i="90" s="1"/>
  <c r="AM497" i="90" s="1"/>
  <c r="AU497" i="90" s="1"/>
  <c r="AQ497" i="90"/>
  <c r="AS497" i="90" s="1"/>
  <c r="AL498" i="90"/>
  <c r="AL499" i="90"/>
  <c r="AL500" i="90"/>
  <c r="AQ500" i="90" s="1"/>
  <c r="AT500" i="90"/>
  <c r="AN500" i="90" s="1"/>
  <c r="AW500" i="90" s="1"/>
  <c r="AL501" i="90"/>
  <c r="AT501" i="90" s="1"/>
  <c r="AM501" i="90" s="1"/>
  <c r="AU501" i="90" s="1"/>
  <c r="AL502" i="90"/>
  <c r="AR502" i="90" s="1"/>
  <c r="AQ502" i="90"/>
  <c r="AL503" i="90"/>
  <c r="AT503" i="90" s="1"/>
  <c r="AM503" i="90" s="1"/>
  <c r="AU503" i="90" s="1"/>
  <c r="AL504" i="90"/>
  <c r="AR504" i="90" s="1"/>
  <c r="AQ504" i="90"/>
  <c r="AL505" i="90"/>
  <c r="AT505" i="90" s="1"/>
  <c r="AM505" i="90" s="1"/>
  <c r="AU505" i="90" s="1"/>
  <c r="AL506" i="90"/>
  <c r="AT506" i="90" s="1"/>
  <c r="AQ506" i="90"/>
  <c r="AR506" i="90"/>
  <c r="AL507" i="90"/>
  <c r="AL508" i="90"/>
  <c r="AT508" i="90" s="1"/>
  <c r="AN508" i="90" s="1"/>
  <c r="AW508" i="90" s="1"/>
  <c r="AQ508" i="90"/>
  <c r="AS508" i="90" s="1"/>
  <c r="AL509" i="90"/>
  <c r="AT509" i="90" s="1"/>
  <c r="AM509" i="90" s="1"/>
  <c r="AU509" i="90" s="1"/>
  <c r="AR509" i="90"/>
  <c r="AL510" i="90"/>
  <c r="AQ510" i="90" s="1"/>
  <c r="AL511" i="90"/>
  <c r="AT511" i="90" s="1"/>
  <c r="AM511" i="90" s="1"/>
  <c r="AU511" i="90" s="1"/>
  <c r="AQ511" i="90"/>
  <c r="AS511" i="90" s="1"/>
  <c r="AL512" i="90"/>
  <c r="AQ512" i="90" s="1"/>
  <c r="AR512" i="90"/>
  <c r="AT512" i="90"/>
  <c r="AO512" i="90" s="1"/>
  <c r="AL513" i="90"/>
  <c r="AT513" i="90" s="1"/>
  <c r="AM513" i="90" s="1"/>
  <c r="AU513" i="90" s="1"/>
  <c r="AQ513" i="90"/>
  <c r="AS513" i="90" s="1"/>
  <c r="AL514" i="90"/>
  <c r="AL515" i="90"/>
  <c r="AL516" i="90"/>
  <c r="AQ516" i="90" s="1"/>
  <c r="AT516" i="90"/>
  <c r="AN516" i="90" s="1"/>
  <c r="AW516" i="90" s="1"/>
  <c r="AL517" i="90"/>
  <c r="AT517" i="90" s="1"/>
  <c r="AM517" i="90" s="1"/>
  <c r="AU517" i="90" s="1"/>
  <c r="AL518" i="90"/>
  <c r="AR518" i="90" s="1"/>
  <c r="AL519" i="90"/>
  <c r="AL520" i="90"/>
  <c r="AR520" i="90" s="1"/>
  <c r="AL521" i="90"/>
  <c r="AT521" i="90" s="1"/>
  <c r="AM521" i="90" s="1"/>
  <c r="AU521" i="90" s="1"/>
  <c r="AL522" i="90"/>
  <c r="AR522" i="90" s="1"/>
  <c r="AQ522" i="90"/>
  <c r="AL523" i="90"/>
  <c r="AR523" i="90" s="1"/>
  <c r="AQ523" i="90"/>
  <c r="AT523" i="90"/>
  <c r="AL524" i="90"/>
  <c r="AT524" i="90" s="1"/>
  <c r="AM524" i="90" s="1"/>
  <c r="AU524" i="90" s="1"/>
  <c r="AR524" i="90"/>
  <c r="AL525" i="90"/>
  <c r="AL526" i="90"/>
  <c r="AL527" i="90"/>
  <c r="AL528" i="90"/>
  <c r="AL529" i="90"/>
  <c r="AR529" i="90" s="1"/>
  <c r="AT529" i="90"/>
  <c r="AL530" i="90"/>
  <c r="AL531" i="90"/>
  <c r="AL532" i="90"/>
  <c r="AT532" i="90" s="1"/>
  <c r="AM532" i="90" s="1"/>
  <c r="AU532" i="90" s="1"/>
  <c r="AQ532" i="90"/>
  <c r="AL533" i="90"/>
  <c r="AR533" i="90" s="1"/>
  <c r="AQ533" i="90"/>
  <c r="AT533" i="90"/>
  <c r="AO533" i="90" s="1"/>
  <c r="AL534" i="90"/>
  <c r="AT534" i="90" s="1"/>
  <c r="AQ534" i="90"/>
  <c r="AR534" i="90"/>
  <c r="AL535" i="90"/>
  <c r="AR535" i="90" s="1"/>
  <c r="AL536" i="90"/>
  <c r="AT536" i="90" s="1"/>
  <c r="AM536" i="90" s="1"/>
  <c r="AU536" i="90" s="1"/>
  <c r="AL537" i="90"/>
  <c r="AR537" i="90" s="1"/>
  <c r="AL538" i="90"/>
  <c r="AT538" i="90" s="1"/>
  <c r="AM538" i="90"/>
  <c r="AU538" i="90" s="1"/>
  <c r="AQ538" i="90"/>
  <c r="AL539" i="90"/>
  <c r="AR539" i="90" s="1"/>
  <c r="AQ539" i="90"/>
  <c r="AT539" i="90"/>
  <c r="AL540" i="90"/>
  <c r="AT540" i="90" s="1"/>
  <c r="AM540" i="90" s="1"/>
  <c r="AU540" i="90" s="1"/>
  <c r="AR540" i="90"/>
  <c r="AL541" i="90"/>
  <c r="AT541" i="90"/>
  <c r="AO541" i="90" s="1"/>
  <c r="AL542" i="90"/>
  <c r="AL543" i="90"/>
  <c r="AT543" i="90"/>
  <c r="AO543" i="90" s="1"/>
  <c r="AL544" i="90"/>
  <c r="AR544" i="90" s="1"/>
  <c r="AL545" i="90"/>
  <c r="AR545" i="90" s="1"/>
  <c r="AT545" i="90"/>
  <c r="AL546" i="90"/>
  <c r="AR546" i="90" s="1"/>
  <c r="AL547" i="90"/>
  <c r="AL548" i="90"/>
  <c r="AT548" i="90" s="1"/>
  <c r="AM548" i="90"/>
  <c r="AU548" i="90" s="1"/>
  <c r="AQ548" i="90"/>
  <c r="AS548" i="90" s="1"/>
  <c r="AR548" i="90"/>
  <c r="AL549" i="90"/>
  <c r="AL550" i="90"/>
  <c r="AR550" i="90"/>
  <c r="AL551" i="90"/>
  <c r="AL552" i="90"/>
  <c r="AT552" i="90" s="1"/>
  <c r="AM552" i="90"/>
  <c r="AU552" i="90" s="1"/>
  <c r="AQ552" i="90"/>
  <c r="AS552" i="90" s="1"/>
  <c r="AR552" i="90"/>
  <c r="AL553" i="90"/>
  <c r="AL554" i="90"/>
  <c r="AR554" i="90"/>
  <c r="AL555" i="90"/>
  <c r="AL556" i="90"/>
  <c r="AT556" i="90" s="1"/>
  <c r="AM556" i="90"/>
  <c r="AU556" i="90" s="1"/>
  <c r="AQ556" i="90"/>
  <c r="AS556" i="90" s="1"/>
  <c r="AL557" i="90"/>
  <c r="AL558" i="90"/>
  <c r="AR558" i="90"/>
  <c r="AL559" i="90"/>
  <c r="AL560" i="90"/>
  <c r="AT560" i="90" s="1"/>
  <c r="AM560" i="90"/>
  <c r="AU560" i="90" s="1"/>
  <c r="AQ560" i="90"/>
  <c r="AS560" i="90" s="1"/>
  <c r="AL561" i="90"/>
  <c r="AL562" i="90"/>
  <c r="AR562" i="90" s="1"/>
  <c r="AL563" i="90"/>
  <c r="AL564" i="90"/>
  <c r="AT564" i="90" s="1"/>
  <c r="AM564" i="90"/>
  <c r="AU564" i="90" s="1"/>
  <c r="AQ564" i="90"/>
  <c r="AS564" i="90" s="1"/>
  <c r="AR564" i="90"/>
  <c r="AL565" i="90"/>
  <c r="AL566" i="90"/>
  <c r="AR566" i="90"/>
  <c r="AL567" i="90"/>
  <c r="AL568" i="90"/>
  <c r="AT568" i="90" s="1"/>
  <c r="AM568" i="90"/>
  <c r="AU568" i="90" s="1"/>
  <c r="AQ568" i="90"/>
  <c r="AS568" i="90" s="1"/>
  <c r="AR568" i="90"/>
  <c r="AL569" i="90"/>
  <c r="AL570" i="90"/>
  <c r="AR570" i="90"/>
  <c r="AL571" i="90"/>
  <c r="AL572" i="90"/>
  <c r="AT572" i="90" s="1"/>
  <c r="AM572" i="90"/>
  <c r="AU572" i="90" s="1"/>
  <c r="AQ572" i="90"/>
  <c r="AS572" i="90" s="1"/>
  <c r="AR572" i="90"/>
  <c r="AL573" i="90"/>
  <c r="AL574" i="90"/>
  <c r="AR574" i="90"/>
  <c r="AL575" i="90"/>
  <c r="AL576" i="90"/>
  <c r="AT576" i="90" s="1"/>
  <c r="AM576" i="90"/>
  <c r="AU576" i="90" s="1"/>
  <c r="AN576" i="90"/>
  <c r="AW576" i="90" s="1"/>
  <c r="AQ576" i="90"/>
  <c r="AS576" i="90" s="1"/>
  <c r="AR576" i="90"/>
  <c r="AL577" i="90"/>
  <c r="AR577" i="90" s="1"/>
  <c r="AL578" i="90"/>
  <c r="AL579" i="90"/>
  <c r="AR579" i="90" s="1"/>
  <c r="AQ579" i="90"/>
  <c r="AL580" i="90"/>
  <c r="AR580" i="90"/>
  <c r="AL581" i="90"/>
  <c r="AL582" i="90"/>
  <c r="AT582" i="90" s="1"/>
  <c r="AM582" i="90" s="1"/>
  <c r="AU582" i="90" s="1"/>
  <c r="AN582" i="90"/>
  <c r="AW582" i="90" s="1"/>
  <c r="AQ582" i="90"/>
  <c r="AS582" i="90" s="1"/>
  <c r="AR582" i="90"/>
  <c r="AL583" i="90"/>
  <c r="AL584" i="90"/>
  <c r="AT584" i="90" s="1"/>
  <c r="AQ584" i="90"/>
  <c r="AS584" i="90" s="1"/>
  <c r="AL585" i="90"/>
  <c r="AR585" i="90" s="1"/>
  <c r="AQ585" i="90"/>
  <c r="AL586" i="90"/>
  <c r="AT586" i="90" s="1"/>
  <c r="AM586" i="90" s="1"/>
  <c r="AU586" i="90" s="1"/>
  <c r="AL587" i="90"/>
  <c r="AT587" i="90"/>
  <c r="AO587" i="90" s="1"/>
  <c r="AL588" i="90"/>
  <c r="AR588" i="90" s="1"/>
  <c r="AL589" i="90"/>
  <c r="AR589" i="90" s="1"/>
  <c r="AT589" i="90"/>
  <c r="AN589" i="90" s="1"/>
  <c r="AW589" i="90" s="1"/>
  <c r="AL590" i="90"/>
  <c r="AR590" i="90" s="1"/>
  <c r="AL591" i="90"/>
  <c r="AL592" i="90"/>
  <c r="AT592" i="90" s="1"/>
  <c r="AN592" i="90" s="1"/>
  <c r="AW592" i="90" s="1"/>
  <c r="AM592" i="90"/>
  <c r="AU592" i="90" s="1"/>
  <c r="AL593" i="90"/>
  <c r="AR593" i="90" s="1"/>
  <c r="AL594" i="90"/>
  <c r="AL595" i="90"/>
  <c r="AR595" i="90" s="1"/>
  <c r="AQ595" i="90"/>
  <c r="AL596" i="90"/>
  <c r="AR596" i="90" s="1"/>
  <c r="AL597" i="90"/>
  <c r="AL598" i="90"/>
  <c r="AT598" i="90" s="1"/>
  <c r="AM598" i="90" s="1"/>
  <c r="AU598" i="90" s="1"/>
  <c r="AL599" i="90"/>
  <c r="AL600" i="90"/>
  <c r="AT600" i="90" s="1"/>
  <c r="AL601" i="90"/>
  <c r="AR601" i="90" s="1"/>
  <c r="AQ601" i="90"/>
  <c r="AL602" i="90"/>
  <c r="AT602" i="90" s="1"/>
  <c r="AM602" i="90" s="1"/>
  <c r="AU602" i="90" s="1"/>
  <c r="AL603" i="90"/>
  <c r="AT603" i="90"/>
  <c r="AO603" i="90" s="1"/>
  <c r="AL604" i="90"/>
  <c r="AL605" i="90"/>
  <c r="AR605" i="90" s="1"/>
  <c r="AT605" i="90"/>
  <c r="AN605" i="90" s="1"/>
  <c r="AW605" i="90" s="1"/>
  <c r="AL606" i="90"/>
  <c r="AR606" i="90" s="1"/>
  <c r="AL607" i="90"/>
  <c r="AL608" i="90"/>
  <c r="AT608" i="90" s="1"/>
  <c r="AM608" i="90"/>
  <c r="AU608" i="90" s="1"/>
  <c r="AN608" i="90"/>
  <c r="AW608" i="90" s="1"/>
  <c r="AR608" i="90"/>
  <c r="AL609" i="90"/>
  <c r="AR609" i="90" s="1"/>
  <c r="AQ609" i="90"/>
  <c r="AL610" i="90"/>
  <c r="AL611" i="90"/>
  <c r="AR611" i="90" s="1"/>
  <c r="AQ611" i="90"/>
  <c r="AL612" i="90"/>
  <c r="AR612" i="90" s="1"/>
  <c r="AL613" i="90"/>
  <c r="AL614" i="90"/>
  <c r="AT614" i="90" s="1"/>
  <c r="AM614" i="90" s="1"/>
  <c r="AU614" i="90" s="1"/>
  <c r="AN614" i="90"/>
  <c r="AW614" i="90" s="1"/>
  <c r="AL615" i="90"/>
  <c r="AL616" i="90"/>
  <c r="AT616" i="90" s="1"/>
  <c r="AL617" i="90"/>
  <c r="AR617" i="90" s="1"/>
  <c r="AL618" i="90"/>
  <c r="AT618" i="90" s="1"/>
  <c r="AM618" i="90"/>
  <c r="AU618" i="90" s="1"/>
  <c r="AR618" i="90"/>
  <c r="AL619" i="90"/>
  <c r="AT619" i="90" s="1"/>
  <c r="AO619" i="90" s="1"/>
  <c r="AL620" i="90"/>
  <c r="AR620" i="90" s="1"/>
  <c r="AL621" i="90"/>
  <c r="AR621" i="90" s="1"/>
  <c r="AT621" i="90"/>
  <c r="AL622" i="90"/>
  <c r="AL623" i="90"/>
  <c r="AL624" i="90"/>
  <c r="AT624" i="90" s="1"/>
  <c r="AN624" i="90" s="1"/>
  <c r="AW624" i="90" s="1"/>
  <c r="AM624" i="90"/>
  <c r="AU624" i="90" s="1"/>
  <c r="AR624" i="90"/>
  <c r="AL625" i="90"/>
  <c r="AL626" i="90"/>
  <c r="AT626" i="90" s="1"/>
  <c r="AM626" i="90"/>
  <c r="AU626" i="90" s="1"/>
  <c r="AR626" i="90"/>
  <c r="AL627" i="90"/>
  <c r="AR627" i="90" s="1"/>
  <c r="AQ627" i="90"/>
  <c r="AT627" i="90"/>
  <c r="AO627" i="90" s="1"/>
  <c r="AL628" i="90"/>
  <c r="AR628" i="90" s="1"/>
  <c r="AL629" i="90"/>
  <c r="AR629" i="90" s="1"/>
  <c r="AL630" i="90"/>
  <c r="AT630" i="90" s="1"/>
  <c r="AM630" i="90" s="1"/>
  <c r="AU630" i="90" s="1"/>
  <c r="AN630" i="90"/>
  <c r="AW630" i="90" s="1"/>
  <c r="AL631" i="90"/>
  <c r="AL632" i="90"/>
  <c r="AT632" i="90" s="1"/>
  <c r="AM632" i="90" s="1"/>
  <c r="AU632" i="90" s="1"/>
  <c r="AL633" i="90"/>
  <c r="AR633" i="90" s="1"/>
  <c r="AL634" i="90"/>
  <c r="AT634" i="90" s="1"/>
  <c r="AM634" i="90" s="1"/>
  <c r="AU634" i="90" s="1"/>
  <c r="AR634" i="90"/>
  <c r="AL635" i="90"/>
  <c r="AT635" i="90" s="1"/>
  <c r="AO635" i="90" s="1"/>
  <c r="AL636" i="90"/>
  <c r="AL637" i="90"/>
  <c r="AR637" i="90" s="1"/>
  <c r="AL638" i="90"/>
  <c r="AT638" i="90" s="1"/>
  <c r="AM638" i="90" s="1"/>
  <c r="AU638" i="90" s="1"/>
  <c r="AL639" i="90"/>
  <c r="AL640" i="90"/>
  <c r="AT640" i="90" s="1"/>
  <c r="AN640" i="90" s="1"/>
  <c r="AW640" i="90" s="1"/>
  <c r="AM640" i="90"/>
  <c r="AU640" i="90" s="1"/>
  <c r="AR640" i="90"/>
  <c r="AL641" i="90"/>
  <c r="AR641" i="90" s="1"/>
  <c r="AL642" i="90"/>
  <c r="AT642" i="90" s="1"/>
  <c r="AM642" i="90"/>
  <c r="AU642" i="90" s="1"/>
  <c r="AR642" i="90"/>
  <c r="AL643" i="90"/>
  <c r="AR643" i="90" s="1"/>
  <c r="AT643" i="90"/>
  <c r="AO643" i="90" s="1"/>
  <c r="AL644" i="90"/>
  <c r="AR644" i="90" s="1"/>
  <c r="AL645" i="90"/>
  <c r="AR645" i="90" s="1"/>
  <c r="AT645" i="90"/>
  <c r="AL646" i="90"/>
  <c r="AT646" i="90" s="1"/>
  <c r="AM646" i="90" s="1"/>
  <c r="AU646" i="90" s="1"/>
  <c r="AL647" i="90"/>
  <c r="AL648" i="90"/>
  <c r="AT648" i="90" s="1"/>
  <c r="AN648" i="90" s="1"/>
  <c r="AW648" i="90" s="1"/>
  <c r="AR648" i="90"/>
  <c r="AL649" i="90"/>
  <c r="AR649" i="90" s="1"/>
  <c r="AL650" i="90"/>
  <c r="AT650" i="90" s="1"/>
  <c r="AM650" i="90" s="1"/>
  <c r="AU650" i="90" s="1"/>
  <c r="AL651" i="90"/>
  <c r="AR651" i="90" s="1"/>
  <c r="AL652" i="90"/>
  <c r="AR652" i="90" s="1"/>
  <c r="AL653" i="90"/>
  <c r="AT653" i="90" s="1"/>
  <c r="AL654" i="90"/>
  <c r="AR654" i="90" s="1"/>
  <c r="AQ654" i="90"/>
  <c r="AL655" i="90"/>
  <c r="AT655" i="90" s="1"/>
  <c r="AM655" i="90" s="1"/>
  <c r="AU655" i="90" s="1"/>
  <c r="AQ655" i="90"/>
  <c r="AL656" i="90"/>
  <c r="AR656" i="90" s="1"/>
  <c r="AL657" i="90"/>
  <c r="AT657" i="90" s="1"/>
  <c r="AM657" i="90"/>
  <c r="AU657" i="90" s="1"/>
  <c r="AQ657" i="90"/>
  <c r="AS657" i="90" s="1"/>
  <c r="AL658" i="90"/>
  <c r="AR658" i="90" s="1"/>
  <c r="AL659" i="90"/>
  <c r="AT659" i="90" s="1"/>
  <c r="AM659" i="90"/>
  <c r="AU659" i="90" s="1"/>
  <c r="AL660" i="90"/>
  <c r="AR660" i="90" s="1"/>
  <c r="AQ660" i="90"/>
  <c r="AL661" i="90"/>
  <c r="AT661" i="90" s="1"/>
  <c r="AL662" i="90"/>
  <c r="AR662" i="90" s="1"/>
  <c r="AQ662" i="90"/>
  <c r="AL663" i="90"/>
  <c r="AT663" i="90" s="1"/>
  <c r="AM663" i="90"/>
  <c r="AU663" i="90" s="1"/>
  <c r="AQ663" i="90"/>
  <c r="AR663" i="90"/>
  <c r="AL664" i="90"/>
  <c r="AR664" i="90" s="1"/>
  <c r="AQ664" i="90"/>
  <c r="AT664" i="90"/>
  <c r="AL665" i="90"/>
  <c r="AT665" i="90" s="1"/>
  <c r="AM665" i="90" s="1"/>
  <c r="AU665" i="90" s="1"/>
  <c r="AQ665" i="90"/>
  <c r="AS665" i="90" s="1"/>
  <c r="AR665" i="90"/>
  <c r="AL666" i="90"/>
  <c r="AR666" i="90" s="1"/>
  <c r="AT666" i="90"/>
  <c r="AL667" i="90"/>
  <c r="AT667" i="90" s="1"/>
  <c r="AM667" i="90" s="1"/>
  <c r="AU667" i="90" s="1"/>
  <c r="AL668" i="90"/>
  <c r="AR668" i="90" s="1"/>
  <c r="AL669" i="90"/>
  <c r="AT669" i="90" s="1"/>
  <c r="AQ669" i="90"/>
  <c r="AL670" i="90"/>
  <c r="AR670" i="90" s="1"/>
  <c r="AQ670" i="90"/>
  <c r="AL671" i="90"/>
  <c r="AT671" i="90" s="1"/>
  <c r="AM671" i="90"/>
  <c r="AU671" i="90" s="1"/>
  <c r="AQ671" i="90"/>
  <c r="AR671" i="90"/>
  <c r="AL672" i="90"/>
  <c r="AR672" i="90" s="1"/>
  <c r="AQ672" i="90"/>
  <c r="AT672" i="90"/>
  <c r="AL673" i="90"/>
  <c r="AT673" i="90" s="1"/>
  <c r="AM673" i="90" s="1"/>
  <c r="AU673" i="90" s="1"/>
  <c r="AQ673" i="90"/>
  <c r="AS673" i="90" s="1"/>
  <c r="AR673" i="90"/>
  <c r="AL674" i="90"/>
  <c r="AR674" i="90" s="1"/>
  <c r="AT674" i="90"/>
  <c r="AL675" i="90"/>
  <c r="AL676" i="90"/>
  <c r="AL677" i="90"/>
  <c r="AT677" i="90" s="1"/>
  <c r="AQ677" i="90"/>
  <c r="AL678" i="90"/>
  <c r="AR678" i="90" s="1"/>
  <c r="AL679" i="90"/>
  <c r="AT679" i="90" s="1"/>
  <c r="AM679" i="90" s="1"/>
  <c r="AU679" i="90" s="1"/>
  <c r="AL680" i="90"/>
  <c r="AL681" i="90"/>
  <c r="AT681" i="90" s="1"/>
  <c r="AM681" i="90" s="1"/>
  <c r="AU681" i="90" s="1"/>
  <c r="AL682" i="90"/>
  <c r="AL683" i="90"/>
  <c r="AT683" i="90" s="1"/>
  <c r="AM683" i="90" s="1"/>
  <c r="AU683" i="90" s="1"/>
  <c r="AL684" i="90"/>
  <c r="AR684" i="90" s="1"/>
  <c r="AL685" i="90"/>
  <c r="AT685" i="90" s="1"/>
  <c r="AL686" i="90"/>
  <c r="AR686" i="90" s="1"/>
  <c r="AL687" i="90"/>
  <c r="AT687" i="90" s="1"/>
  <c r="AM687" i="90" s="1"/>
  <c r="AU687" i="90" s="1"/>
  <c r="AL688" i="90"/>
  <c r="AL689" i="90"/>
  <c r="AT689" i="90" s="1"/>
  <c r="AM689" i="90" s="1"/>
  <c r="AU689" i="90" s="1"/>
  <c r="AL690" i="90"/>
  <c r="AL691" i="90"/>
  <c r="AT691" i="90" s="1"/>
  <c r="AM691" i="90" s="1"/>
  <c r="AU691" i="90" s="1"/>
  <c r="AL692" i="90"/>
  <c r="AR692" i="90" s="1"/>
  <c r="AL693" i="90"/>
  <c r="AT693" i="90" s="1"/>
  <c r="AL694" i="90"/>
  <c r="AR694" i="90" s="1"/>
  <c r="AL695" i="90"/>
  <c r="AT695" i="90" s="1"/>
  <c r="AM695" i="90" s="1"/>
  <c r="AU695" i="90" s="1"/>
  <c r="AL696" i="90"/>
  <c r="AR696" i="90" s="1"/>
  <c r="AL697" i="90"/>
  <c r="AT697" i="90" s="1"/>
  <c r="AM697" i="90"/>
  <c r="AU697" i="90" s="1"/>
  <c r="AL698" i="90"/>
  <c r="AR698" i="90" s="1"/>
  <c r="AL699" i="90"/>
  <c r="AT699" i="90" s="1"/>
  <c r="AM699" i="90" s="1"/>
  <c r="AU699" i="90" s="1"/>
  <c r="AL700" i="90"/>
  <c r="AR700" i="90" s="1"/>
  <c r="AQ700" i="90"/>
  <c r="AL701" i="90"/>
  <c r="AT701" i="90" s="1"/>
  <c r="AM701" i="90" s="1"/>
  <c r="AU701" i="90" s="1"/>
  <c r="AL702" i="90"/>
  <c r="AR702" i="90" s="1"/>
  <c r="AL703" i="90"/>
  <c r="AT703" i="90" s="1"/>
  <c r="AM703" i="90" s="1"/>
  <c r="AU703" i="90" s="1"/>
  <c r="AL704" i="90"/>
  <c r="AR704" i="90" s="1"/>
  <c r="AQ704" i="90"/>
  <c r="AT704" i="90"/>
  <c r="AN704" i="90" s="1"/>
  <c r="AW704" i="90" s="1"/>
  <c r="AL705" i="90"/>
  <c r="AT705" i="90" s="1"/>
  <c r="AM705" i="90" s="1"/>
  <c r="AU705" i="90" s="1"/>
  <c r="AL706" i="90"/>
  <c r="AR706" i="90" s="1"/>
  <c r="AL707" i="90"/>
  <c r="AT707" i="90" s="1"/>
  <c r="AM707" i="90" s="1"/>
  <c r="AU707" i="90" s="1"/>
  <c r="AL708" i="90"/>
  <c r="AR708" i="90" s="1"/>
  <c r="AQ708" i="90"/>
  <c r="AT708" i="90"/>
  <c r="AN708" i="90" s="1"/>
  <c r="AW708" i="90" s="1"/>
  <c r="AL709" i="90"/>
  <c r="AT709" i="90" s="1"/>
  <c r="AM709" i="90" s="1"/>
  <c r="AU709" i="90" s="1"/>
  <c r="AL710" i="90"/>
  <c r="AR710" i="90" s="1"/>
  <c r="AQ710" i="90"/>
  <c r="AT710" i="90"/>
  <c r="AL711" i="90"/>
  <c r="AT711" i="90" s="1"/>
  <c r="AM711" i="90" s="1"/>
  <c r="AU711" i="90" s="1"/>
  <c r="AL712" i="90"/>
  <c r="AR712" i="90" s="1"/>
  <c r="AL713" i="90"/>
  <c r="AT713" i="90" s="1"/>
  <c r="AM713" i="90" s="1"/>
  <c r="AU713" i="90" s="1"/>
  <c r="AL714" i="90"/>
  <c r="AR714" i="90" s="1"/>
  <c r="AQ714" i="90"/>
  <c r="AT714" i="90"/>
  <c r="AN714" i="90" s="1"/>
  <c r="AW714" i="90" s="1"/>
  <c r="AL715" i="90"/>
  <c r="AT715" i="90" s="1"/>
  <c r="AM715" i="90" s="1"/>
  <c r="AU715" i="90" s="1"/>
  <c r="AL716" i="90"/>
  <c r="AR716" i="90" s="1"/>
  <c r="AL717" i="90"/>
  <c r="AT717" i="90" s="1"/>
  <c r="AM717" i="90" s="1"/>
  <c r="AU717" i="90" s="1"/>
  <c r="AL718" i="90"/>
  <c r="AR718" i="90" s="1"/>
  <c r="AL719" i="90"/>
  <c r="AT719" i="90" s="1"/>
  <c r="AM719" i="90" s="1"/>
  <c r="AU719" i="90" s="1"/>
  <c r="AL720" i="90"/>
  <c r="AR720" i="90" s="1"/>
  <c r="AQ720" i="90"/>
  <c r="AT720" i="90"/>
  <c r="AN720" i="90" s="1"/>
  <c r="AW720" i="90" s="1"/>
  <c r="AL721" i="90"/>
  <c r="AT721" i="90" s="1"/>
  <c r="AM721" i="90" s="1"/>
  <c r="AU721" i="90" s="1"/>
  <c r="AL722" i="90"/>
  <c r="AR722" i="90" s="1"/>
  <c r="AL723" i="90"/>
  <c r="AT723" i="90" s="1"/>
  <c r="AM723" i="90" s="1"/>
  <c r="AU723" i="90" s="1"/>
  <c r="AL724" i="90"/>
  <c r="AR724" i="90" s="1"/>
  <c r="AQ724" i="90"/>
  <c r="AT724" i="90"/>
  <c r="AN724" i="90" s="1"/>
  <c r="AW724" i="90" s="1"/>
  <c r="AL725" i="90"/>
  <c r="AT725" i="90" s="1"/>
  <c r="AM725" i="90" s="1"/>
  <c r="AU725" i="90" s="1"/>
  <c r="AL726" i="90"/>
  <c r="AR726" i="90" s="1"/>
  <c r="AQ726" i="90"/>
  <c r="AT726" i="90"/>
  <c r="AL727" i="90"/>
  <c r="AT727" i="90" s="1"/>
  <c r="AM727" i="90" s="1"/>
  <c r="AU727" i="90" s="1"/>
  <c r="AL728" i="90"/>
  <c r="AR728" i="90" s="1"/>
  <c r="AL729" i="90"/>
  <c r="AT729" i="90" s="1"/>
  <c r="AM729" i="90" s="1"/>
  <c r="AU729" i="90" s="1"/>
  <c r="AL730" i="90"/>
  <c r="AR730" i="90" s="1"/>
  <c r="AQ730" i="90"/>
  <c r="AT730" i="90"/>
  <c r="AN730" i="90" s="1"/>
  <c r="AW730" i="90" s="1"/>
  <c r="AL731" i="90"/>
  <c r="AT731" i="90" s="1"/>
  <c r="AM731" i="90" s="1"/>
  <c r="AU731" i="90" s="1"/>
  <c r="AL732" i="90"/>
  <c r="AR732" i="90" s="1"/>
  <c r="AL733" i="90"/>
  <c r="AT733" i="90" s="1"/>
  <c r="AM733" i="90" s="1"/>
  <c r="AU733" i="90" s="1"/>
  <c r="AL734" i="90"/>
  <c r="AR734" i="90" s="1"/>
  <c r="AL735" i="90"/>
  <c r="AT735" i="90" s="1"/>
  <c r="AM735" i="90" s="1"/>
  <c r="AU735" i="90" s="1"/>
  <c r="AL736" i="90"/>
  <c r="AR736" i="90" s="1"/>
  <c r="AQ736" i="90"/>
  <c r="AT736" i="90"/>
  <c r="AN736" i="90" s="1"/>
  <c r="AW736" i="90" s="1"/>
  <c r="AL737" i="90"/>
  <c r="AT737" i="90" s="1"/>
  <c r="AM737" i="90" s="1"/>
  <c r="AU737" i="90" s="1"/>
  <c r="AL738" i="90"/>
  <c r="AR738" i="90" s="1"/>
  <c r="AL739" i="90"/>
  <c r="AT739" i="90" s="1"/>
  <c r="AM739" i="90" s="1"/>
  <c r="AU739" i="90" s="1"/>
  <c r="AL740" i="90"/>
  <c r="AR740" i="90" s="1"/>
  <c r="AQ740" i="90"/>
  <c r="AT740" i="90"/>
  <c r="AN740" i="90" s="1"/>
  <c r="AW740" i="90" s="1"/>
  <c r="AL741" i="90"/>
  <c r="AT741" i="90" s="1"/>
  <c r="AM741" i="90" s="1"/>
  <c r="AU741" i="90" s="1"/>
  <c r="AL742" i="90"/>
  <c r="AR742" i="90" s="1"/>
  <c r="AQ742" i="90"/>
  <c r="AT742" i="90"/>
  <c r="AL743" i="90"/>
  <c r="AT743" i="90" s="1"/>
  <c r="AM743" i="90" s="1"/>
  <c r="AU743" i="90" s="1"/>
  <c r="AL744" i="90"/>
  <c r="AR744" i="90" s="1"/>
  <c r="AL745" i="90"/>
  <c r="AT745" i="90" s="1"/>
  <c r="AM745" i="90" s="1"/>
  <c r="AU745" i="90" s="1"/>
  <c r="AL746" i="90"/>
  <c r="AR746" i="90" s="1"/>
  <c r="AQ746" i="90"/>
  <c r="AT746" i="90"/>
  <c r="AN746" i="90" s="1"/>
  <c r="AW746" i="90" s="1"/>
  <c r="AL747" i="90"/>
  <c r="AT747" i="90" s="1"/>
  <c r="AM747" i="90" s="1"/>
  <c r="AU747" i="90" s="1"/>
  <c r="AL748" i="90"/>
  <c r="AR748" i="90" s="1"/>
  <c r="AQ748" i="90"/>
  <c r="AL749" i="90"/>
  <c r="AT749" i="90" s="1"/>
  <c r="AM749" i="90" s="1"/>
  <c r="AU749" i="90" s="1"/>
  <c r="AL750" i="90"/>
  <c r="AR750" i="90" s="1"/>
  <c r="AL751" i="90"/>
  <c r="AT751" i="90" s="1"/>
  <c r="AM751" i="90" s="1"/>
  <c r="AU751" i="90" s="1"/>
  <c r="AL752" i="90"/>
  <c r="AR752" i="90" s="1"/>
  <c r="AQ752" i="90"/>
  <c r="AT752" i="90"/>
  <c r="AN752" i="90" s="1"/>
  <c r="AW752" i="90" s="1"/>
  <c r="AL753" i="90"/>
  <c r="AT753" i="90" s="1"/>
  <c r="AM753" i="90" s="1"/>
  <c r="AU753" i="90" s="1"/>
  <c r="AL754" i="90"/>
  <c r="AR754" i="90" s="1"/>
  <c r="AL755" i="90"/>
  <c r="AT755" i="90" s="1"/>
  <c r="AM755" i="90" s="1"/>
  <c r="AU755" i="90" s="1"/>
  <c r="AL756" i="90"/>
  <c r="AR756" i="90" s="1"/>
  <c r="AQ756" i="90"/>
  <c r="AT756" i="90"/>
  <c r="AN756" i="90" s="1"/>
  <c r="AW756" i="90" s="1"/>
  <c r="AL757" i="90"/>
  <c r="AT757" i="90" s="1"/>
  <c r="AM757" i="90" s="1"/>
  <c r="AU757" i="90" s="1"/>
  <c r="AL758" i="90"/>
  <c r="AR758" i="90" s="1"/>
  <c r="AQ758" i="90"/>
  <c r="AT758" i="90"/>
  <c r="AL759" i="90"/>
  <c r="AT759" i="90" s="1"/>
  <c r="AM759" i="90" s="1"/>
  <c r="AU759" i="90" s="1"/>
  <c r="AL760" i="90"/>
  <c r="AR760" i="90" s="1"/>
  <c r="AL761" i="90"/>
  <c r="AT761" i="90" s="1"/>
  <c r="AM761" i="90" s="1"/>
  <c r="AU761" i="90" s="1"/>
  <c r="AL762" i="90"/>
  <c r="AR762" i="90" s="1"/>
  <c r="AQ762" i="90"/>
  <c r="AT762" i="90"/>
  <c r="AN762" i="90" s="1"/>
  <c r="AW762" i="90" s="1"/>
  <c r="AL763" i="90"/>
  <c r="AT763" i="90" s="1"/>
  <c r="AM763" i="90" s="1"/>
  <c r="AU763" i="90" s="1"/>
  <c r="AL764" i="90"/>
  <c r="AR764" i="90" s="1"/>
  <c r="AQ764" i="90"/>
  <c r="AL765" i="90"/>
  <c r="AT765" i="90" s="1"/>
  <c r="AM765" i="90" s="1"/>
  <c r="AU765" i="90" s="1"/>
  <c r="AL766" i="90"/>
  <c r="AR766" i="90" s="1"/>
  <c r="AL767" i="90"/>
  <c r="AT767" i="90" s="1"/>
  <c r="AM767" i="90"/>
  <c r="AU767" i="90" s="1"/>
  <c r="AL768" i="90"/>
  <c r="AR768" i="90" s="1"/>
  <c r="AT768" i="90"/>
  <c r="AN768" i="90" s="1"/>
  <c r="AW768" i="90" s="1"/>
  <c r="AL769" i="90"/>
  <c r="AT769" i="90" s="1"/>
  <c r="AM769" i="90" s="1"/>
  <c r="AU769" i="90" s="1"/>
  <c r="AL770" i="90"/>
  <c r="AR770" i="90" s="1"/>
  <c r="AL771" i="90"/>
  <c r="AT771" i="90" s="1"/>
  <c r="AM771" i="90"/>
  <c r="AU771" i="90" s="1"/>
  <c r="AL772" i="90"/>
  <c r="AR772" i="90" s="1"/>
  <c r="AT772" i="90"/>
  <c r="AN772" i="90" s="1"/>
  <c r="AW772" i="90" s="1"/>
  <c r="AL773" i="90"/>
  <c r="AT773" i="90" s="1"/>
  <c r="AM773" i="90" s="1"/>
  <c r="AU773" i="90" s="1"/>
  <c r="AL774" i="90"/>
  <c r="AR774" i="90" s="1"/>
  <c r="AT774" i="90"/>
  <c r="AL775" i="90"/>
  <c r="AT775" i="90" s="1"/>
  <c r="AM775" i="90" s="1"/>
  <c r="AU775" i="90" s="1"/>
  <c r="AL776" i="90"/>
  <c r="AR776" i="90" s="1"/>
  <c r="AL777" i="90"/>
  <c r="AT777" i="90" s="1"/>
  <c r="AM777" i="90"/>
  <c r="AU777" i="90" s="1"/>
  <c r="AL778" i="90"/>
  <c r="AR778" i="90" s="1"/>
  <c r="AT778" i="90"/>
  <c r="AN778" i="90" s="1"/>
  <c r="AW778" i="90" s="1"/>
  <c r="AL779" i="90"/>
  <c r="AT779" i="90" s="1"/>
  <c r="AM779" i="90" s="1"/>
  <c r="AU779" i="90" s="1"/>
  <c r="AL780" i="90"/>
  <c r="AR780" i="90" s="1"/>
  <c r="AQ780" i="90"/>
  <c r="AL781" i="90"/>
  <c r="AT781" i="90" s="1"/>
  <c r="AM781" i="90" s="1"/>
  <c r="AU781" i="90" s="1"/>
  <c r="AL782" i="90"/>
  <c r="AR782" i="90" s="1"/>
  <c r="AL783" i="90"/>
  <c r="AT783" i="90" s="1"/>
  <c r="AM783" i="90"/>
  <c r="AU783" i="90" s="1"/>
  <c r="AL784" i="90"/>
  <c r="AR784" i="90" s="1"/>
  <c r="AT784" i="90"/>
  <c r="AN784" i="90" s="1"/>
  <c r="AW784" i="90" s="1"/>
  <c r="AL785" i="90"/>
  <c r="AT785" i="90" s="1"/>
  <c r="AM785" i="90" s="1"/>
  <c r="AU785" i="90" s="1"/>
  <c r="AL786" i="90"/>
  <c r="AR786" i="90" s="1"/>
  <c r="AL787" i="90"/>
  <c r="AT787" i="90" s="1"/>
  <c r="AM787" i="90"/>
  <c r="AU787" i="90" s="1"/>
  <c r="AL788" i="90"/>
  <c r="AR788" i="90" s="1"/>
  <c r="AT788" i="90"/>
  <c r="AN788" i="90" s="1"/>
  <c r="AW788" i="90" s="1"/>
  <c r="AL789" i="90"/>
  <c r="AT789" i="90" s="1"/>
  <c r="AM789" i="90" s="1"/>
  <c r="AU789" i="90" s="1"/>
  <c r="AL790" i="90"/>
  <c r="AR790" i="90" s="1"/>
  <c r="AT790" i="90"/>
  <c r="AL791" i="90"/>
  <c r="AT791" i="90" s="1"/>
  <c r="AM791" i="90" s="1"/>
  <c r="AU791" i="90" s="1"/>
  <c r="AL792" i="90"/>
  <c r="AR792" i="90" s="1"/>
  <c r="AL793" i="90"/>
  <c r="AT793" i="90" s="1"/>
  <c r="AM793" i="90"/>
  <c r="AU793" i="90" s="1"/>
  <c r="AL794" i="90"/>
  <c r="AR794" i="90" s="1"/>
  <c r="AT794" i="90"/>
  <c r="AN794" i="90" s="1"/>
  <c r="AW794" i="90" s="1"/>
  <c r="AL795" i="90"/>
  <c r="AT795" i="90" s="1"/>
  <c r="AM795" i="90" s="1"/>
  <c r="AU795" i="90" s="1"/>
  <c r="AL796" i="90"/>
  <c r="AR796" i="90" s="1"/>
  <c r="AQ796" i="90"/>
  <c r="AL797" i="90"/>
  <c r="AT797" i="90" s="1"/>
  <c r="AM797" i="90" s="1"/>
  <c r="AU797" i="90" s="1"/>
  <c r="AL798" i="90"/>
  <c r="AR798" i="90" s="1"/>
  <c r="AL799" i="90"/>
  <c r="AT799" i="90" s="1"/>
  <c r="AM799" i="90"/>
  <c r="AU799" i="90" s="1"/>
  <c r="AL800" i="90"/>
  <c r="AR800" i="90" s="1"/>
  <c r="AT800" i="90"/>
  <c r="AN800" i="90" s="1"/>
  <c r="AW800" i="90" s="1"/>
  <c r="AL801" i="90"/>
  <c r="AT801" i="90" s="1"/>
  <c r="AM801" i="90" s="1"/>
  <c r="AU801" i="90" s="1"/>
  <c r="AL802" i="90"/>
  <c r="AR802" i="90" s="1"/>
  <c r="AL803" i="90"/>
  <c r="AT803" i="90" s="1"/>
  <c r="AM803" i="90"/>
  <c r="AU803" i="90" s="1"/>
  <c r="AL804" i="90"/>
  <c r="AR804" i="90" s="1"/>
  <c r="AT804" i="90"/>
  <c r="AN804" i="90" s="1"/>
  <c r="AW804" i="90" s="1"/>
  <c r="AL805" i="90"/>
  <c r="AT805" i="90" s="1"/>
  <c r="AM805" i="90" s="1"/>
  <c r="AU805" i="90" s="1"/>
  <c r="AL806" i="90"/>
  <c r="AR806" i="90" s="1"/>
  <c r="AT806" i="90"/>
  <c r="AL807" i="90"/>
  <c r="AT807" i="90" s="1"/>
  <c r="AM807" i="90" s="1"/>
  <c r="AU807" i="90" s="1"/>
  <c r="AL808" i="90"/>
  <c r="AR808" i="90" s="1"/>
  <c r="AL809" i="90"/>
  <c r="AT809" i="90" s="1"/>
  <c r="AM809" i="90"/>
  <c r="AU809" i="90" s="1"/>
  <c r="AL810" i="90"/>
  <c r="AR810" i="90" s="1"/>
  <c r="AT810" i="90"/>
  <c r="AN810" i="90" s="1"/>
  <c r="AW810" i="90" s="1"/>
  <c r="AL811" i="90"/>
  <c r="AT811" i="90" s="1"/>
  <c r="AM811" i="90" s="1"/>
  <c r="AU811" i="90" s="1"/>
  <c r="AL812" i="90"/>
  <c r="AR812" i="90" s="1"/>
  <c r="AQ812" i="90"/>
  <c r="AL813" i="90"/>
  <c r="AT813" i="90" s="1"/>
  <c r="AM813" i="90" s="1"/>
  <c r="AU813" i="90" s="1"/>
  <c r="AL814" i="90"/>
  <c r="AR814" i="90" s="1"/>
  <c r="AL815" i="90"/>
  <c r="AT815" i="90" s="1"/>
  <c r="AM815" i="90"/>
  <c r="AU815" i="90" s="1"/>
  <c r="AL816" i="90"/>
  <c r="AR816" i="90" s="1"/>
  <c r="AT816" i="90"/>
  <c r="AN816" i="90" s="1"/>
  <c r="AW816" i="90" s="1"/>
  <c r="AL817" i="90"/>
  <c r="AT817" i="90" s="1"/>
  <c r="AM817" i="90" s="1"/>
  <c r="AU817" i="90" s="1"/>
  <c r="AL818" i="90"/>
  <c r="AR818" i="90" s="1"/>
  <c r="AL819" i="90"/>
  <c r="AR819" i="90" s="1"/>
  <c r="AL820" i="90"/>
  <c r="AR820" i="90" s="1"/>
  <c r="AL821" i="90"/>
  <c r="AT821" i="90" s="1"/>
  <c r="AN821" i="90" s="1"/>
  <c r="AW821" i="90" s="1"/>
  <c r="AM821" i="90"/>
  <c r="AU821" i="90" s="1"/>
  <c r="AR821" i="90"/>
  <c r="AL822" i="90"/>
  <c r="AL823" i="90"/>
  <c r="AT823" i="90" s="1"/>
  <c r="AN823" i="90" s="1"/>
  <c r="AW823" i="90" s="1"/>
  <c r="AM823" i="90"/>
  <c r="AU823" i="90" s="1"/>
  <c r="AL824" i="90"/>
  <c r="AR824" i="90" s="1"/>
  <c r="AL825" i="90"/>
  <c r="AT825" i="90" s="1"/>
  <c r="AM825" i="90"/>
  <c r="AU825" i="90" s="1"/>
  <c r="AL826" i="90"/>
  <c r="AR826" i="90" s="1"/>
  <c r="AT826" i="90"/>
  <c r="AO826" i="90" s="1"/>
  <c r="AL827" i="90"/>
  <c r="AR827" i="90"/>
  <c r="AL828" i="90"/>
  <c r="AR828" i="90" s="1"/>
  <c r="AT828" i="90"/>
  <c r="AL829" i="90"/>
  <c r="AT829" i="90" s="1"/>
  <c r="AM829" i="90"/>
  <c r="AU829" i="90" s="1"/>
  <c r="AN829" i="90"/>
  <c r="AW829" i="90" s="1"/>
  <c r="AQ829" i="90"/>
  <c r="AS829" i="90" s="1"/>
  <c r="AR829" i="90"/>
  <c r="AL830" i="90"/>
  <c r="AL831" i="90"/>
  <c r="AT831" i="90" s="1"/>
  <c r="AM831" i="90" s="1"/>
  <c r="AU831" i="90" s="1"/>
  <c r="AL832" i="90"/>
  <c r="AR832" i="90" s="1"/>
  <c r="AL833" i="90"/>
  <c r="AT833" i="90" s="1"/>
  <c r="AM833" i="90" s="1"/>
  <c r="AU833" i="90" s="1"/>
  <c r="AL834" i="90"/>
  <c r="AR834" i="90" s="1"/>
  <c r="AL835" i="90"/>
  <c r="AR835" i="90" s="1"/>
  <c r="AL836" i="90"/>
  <c r="AR836" i="90" s="1"/>
  <c r="AL837" i="90"/>
  <c r="AT837" i="90" s="1"/>
  <c r="AN837" i="90" s="1"/>
  <c r="AW837" i="90" s="1"/>
  <c r="AM837" i="90"/>
  <c r="AU837" i="90" s="1"/>
  <c r="AL838" i="90"/>
  <c r="AL839" i="90"/>
  <c r="AT839" i="90" s="1"/>
  <c r="AM839" i="90"/>
  <c r="AU839" i="90" s="1"/>
  <c r="AN839" i="90"/>
  <c r="AW839" i="90" s="1"/>
  <c r="AR839" i="90"/>
  <c r="AL840" i="90"/>
  <c r="AR840" i="90" s="1"/>
  <c r="AQ840" i="90"/>
  <c r="AT840" i="90"/>
  <c r="AO840" i="90" s="1"/>
  <c r="AZ840" i="90" s="1"/>
  <c r="AL841" i="90"/>
  <c r="AT841" i="90" s="1"/>
  <c r="AM841" i="90" s="1"/>
  <c r="AU841" i="90" s="1"/>
  <c r="AL842" i="90"/>
  <c r="AR842" i="90" s="1"/>
  <c r="AL843" i="90"/>
  <c r="AL844" i="90"/>
  <c r="AR844" i="90" s="1"/>
  <c r="AL845" i="90"/>
  <c r="AT845" i="90" s="1"/>
  <c r="AN845" i="90" s="1"/>
  <c r="AW845" i="90" s="1"/>
  <c r="AM845" i="90"/>
  <c r="AU845" i="90" s="1"/>
  <c r="AR845" i="90"/>
  <c r="AL846" i="90"/>
  <c r="AL847" i="90"/>
  <c r="AT847" i="90" s="1"/>
  <c r="AN847" i="90" s="1"/>
  <c r="AW847" i="90" s="1"/>
  <c r="AM847" i="90"/>
  <c r="AU847" i="90" s="1"/>
  <c r="AL848" i="90"/>
  <c r="AR848" i="90" s="1"/>
  <c r="AL849" i="90"/>
  <c r="AT849" i="90" s="1"/>
  <c r="AM849" i="90"/>
  <c r="AU849" i="90" s="1"/>
  <c r="AL850" i="90"/>
  <c r="AR850" i="90" s="1"/>
  <c r="AT850" i="90"/>
  <c r="AO850" i="90" s="1"/>
  <c r="AL851" i="90"/>
  <c r="AR851" i="90" s="1"/>
  <c r="AL852" i="90"/>
  <c r="AR852" i="90" s="1"/>
  <c r="AT852" i="90"/>
  <c r="AN852" i="90" s="1"/>
  <c r="AW852" i="90" s="1"/>
  <c r="AL853" i="90"/>
  <c r="AT853" i="90" s="1"/>
  <c r="AN853" i="90" s="1"/>
  <c r="AW853" i="90" s="1"/>
  <c r="AR853" i="90"/>
  <c r="AL854" i="90"/>
  <c r="AL855" i="90"/>
  <c r="AT855" i="90" s="1"/>
  <c r="AN855" i="90" s="1"/>
  <c r="AW855" i="90" s="1"/>
  <c r="AM855" i="90"/>
  <c r="AU855" i="90" s="1"/>
  <c r="AL856" i="90"/>
  <c r="AR856" i="90" s="1"/>
  <c r="AQ856" i="90"/>
  <c r="AL857" i="90"/>
  <c r="AT857" i="90" s="1"/>
  <c r="AM857" i="90"/>
  <c r="AU857" i="90" s="1"/>
  <c r="AR857" i="90"/>
  <c r="AL858" i="90"/>
  <c r="AT858" i="90" s="1"/>
  <c r="AN858" i="90" s="1"/>
  <c r="AW858" i="90" s="1"/>
  <c r="AL859" i="90"/>
  <c r="AL860" i="90"/>
  <c r="AT860" i="90" s="1"/>
  <c r="AQ860" i="90"/>
  <c r="AL861" i="90"/>
  <c r="AQ861" i="90"/>
  <c r="AL862" i="90"/>
  <c r="AT862" i="90" s="1"/>
  <c r="AN862" i="90" s="1"/>
  <c r="AW862" i="90" s="1"/>
  <c r="AL863" i="90"/>
  <c r="AL864" i="90"/>
  <c r="AT864" i="90" s="1"/>
  <c r="AQ864" i="90"/>
  <c r="AL865" i="90"/>
  <c r="AQ865" i="90"/>
  <c r="AL866" i="90"/>
  <c r="AT866" i="90" s="1"/>
  <c r="AN866" i="90" s="1"/>
  <c r="AW866" i="90" s="1"/>
  <c r="AL867" i="90"/>
  <c r="AL868" i="90"/>
  <c r="AT868" i="90" s="1"/>
  <c r="AQ868" i="90"/>
  <c r="AL869" i="90"/>
  <c r="AQ869" i="90"/>
  <c r="AL870" i="90"/>
  <c r="AT870" i="90" s="1"/>
  <c r="AN870" i="90" s="1"/>
  <c r="AW870" i="90" s="1"/>
  <c r="AL871" i="90"/>
  <c r="AL872" i="90"/>
  <c r="AT872" i="90" s="1"/>
  <c r="AQ872" i="90"/>
  <c r="AL873" i="90"/>
  <c r="AQ873" i="90"/>
  <c r="AL874" i="90"/>
  <c r="AT874" i="90" s="1"/>
  <c r="AN874" i="90" s="1"/>
  <c r="AW874" i="90" s="1"/>
  <c r="AL875" i="90"/>
  <c r="AL876" i="90"/>
  <c r="AT876" i="90" s="1"/>
  <c r="AQ876" i="90"/>
  <c r="AL877" i="90"/>
  <c r="AQ877" i="90"/>
  <c r="AL878" i="90"/>
  <c r="AT878" i="90" s="1"/>
  <c r="AN878" i="90" s="1"/>
  <c r="AW878" i="90" s="1"/>
  <c r="AL879" i="90"/>
  <c r="AL880" i="90"/>
  <c r="AT880" i="90" s="1"/>
  <c r="AQ880" i="90"/>
  <c r="AL881" i="90"/>
  <c r="AQ881" i="90"/>
  <c r="AL882" i="90"/>
  <c r="AT882" i="90" s="1"/>
  <c r="AN882" i="90" s="1"/>
  <c r="AW882" i="90" s="1"/>
  <c r="AL883" i="90"/>
  <c r="AL884" i="90"/>
  <c r="AT884" i="90" s="1"/>
  <c r="AQ884" i="90"/>
  <c r="AL885" i="90"/>
  <c r="AQ885" i="90"/>
  <c r="AL886" i="90"/>
  <c r="AT886" i="90" s="1"/>
  <c r="AN886" i="90" s="1"/>
  <c r="AW886" i="90" s="1"/>
  <c r="AL887" i="90"/>
  <c r="AL888" i="90"/>
  <c r="AT888" i="90" s="1"/>
  <c r="AQ888" i="90"/>
  <c r="AL889" i="90"/>
  <c r="AQ889" i="90"/>
  <c r="AL890" i="90"/>
  <c r="AT890" i="90" s="1"/>
  <c r="AN890" i="90" s="1"/>
  <c r="AW890" i="90" s="1"/>
  <c r="AL891" i="90"/>
  <c r="AL892" i="90"/>
  <c r="AT892" i="90" s="1"/>
  <c r="AQ892" i="90"/>
  <c r="AL893" i="90"/>
  <c r="AQ893" i="90"/>
  <c r="AL894" i="90"/>
  <c r="AT894" i="90" s="1"/>
  <c r="AN894" i="90" s="1"/>
  <c r="AW894" i="90" s="1"/>
  <c r="AL895" i="90"/>
  <c r="AL896" i="90"/>
  <c r="AT896" i="90" s="1"/>
  <c r="AQ896" i="90"/>
  <c r="AL897" i="90"/>
  <c r="AQ897" i="90"/>
  <c r="AL898" i="90"/>
  <c r="AT898" i="90" s="1"/>
  <c r="AN898" i="90" s="1"/>
  <c r="AW898" i="90" s="1"/>
  <c r="AL899" i="90"/>
  <c r="AL900" i="90"/>
  <c r="AT900" i="90" s="1"/>
  <c r="AQ900" i="90"/>
  <c r="AL901" i="90"/>
  <c r="AQ901" i="90" s="1"/>
  <c r="AL902" i="90"/>
  <c r="AT902" i="90" s="1"/>
  <c r="AN902" i="90"/>
  <c r="AW902" i="90" s="1"/>
  <c r="AL903" i="90"/>
  <c r="AL904" i="90"/>
  <c r="AT904" i="90" s="1"/>
  <c r="AL905" i="90"/>
  <c r="AQ905" i="90" s="1"/>
  <c r="AL906" i="90"/>
  <c r="AT906" i="90" s="1"/>
  <c r="AN906" i="90"/>
  <c r="AW906" i="90" s="1"/>
  <c r="AQ906" i="90"/>
  <c r="AS906" i="90" s="1"/>
  <c r="AL907" i="90"/>
  <c r="AL908" i="90"/>
  <c r="AT908" i="90" s="1"/>
  <c r="AQ908" i="90"/>
  <c r="AL909" i="90"/>
  <c r="AQ909" i="90"/>
  <c r="AL910" i="90"/>
  <c r="AT910" i="90" s="1"/>
  <c r="AN910" i="90" s="1"/>
  <c r="AW910" i="90" s="1"/>
  <c r="AL911" i="90"/>
  <c r="AL912" i="90"/>
  <c r="AT912" i="90" s="1"/>
  <c r="AQ912" i="90"/>
  <c r="AR912" i="90"/>
  <c r="AL913" i="90"/>
  <c r="AQ913" i="90" s="1"/>
  <c r="AL914" i="90"/>
  <c r="AT914" i="90" s="1"/>
  <c r="AN914" i="90"/>
  <c r="AW914" i="90" s="1"/>
  <c r="AL915" i="90"/>
  <c r="AL916" i="90"/>
  <c r="AT916" i="90" s="1"/>
  <c r="AQ916" i="90"/>
  <c r="AR916" i="90"/>
  <c r="AS916" i="90"/>
  <c r="AL917" i="90"/>
  <c r="AQ917" i="90" s="1"/>
  <c r="AL918" i="90"/>
  <c r="AT918" i="90" s="1"/>
  <c r="AN918" i="90"/>
  <c r="AW918" i="90" s="1"/>
  <c r="AL919" i="90"/>
  <c r="AL920" i="90"/>
  <c r="AT920" i="90" s="1"/>
  <c r="AQ920" i="90"/>
  <c r="AR920" i="90"/>
  <c r="AL921" i="90"/>
  <c r="AQ921" i="90" s="1"/>
  <c r="AL922" i="90"/>
  <c r="AT922" i="90" s="1"/>
  <c r="AN922" i="90"/>
  <c r="AW922" i="90" s="1"/>
  <c r="AQ922" i="90"/>
  <c r="AS922" i="90" s="1"/>
  <c r="AL923" i="90"/>
  <c r="AL924" i="90"/>
  <c r="AT924" i="90" s="1"/>
  <c r="AL925" i="90"/>
  <c r="AQ925" i="90" s="1"/>
  <c r="AL926" i="90"/>
  <c r="AT926" i="90" s="1"/>
  <c r="AN926" i="90" s="1"/>
  <c r="AW926" i="90" s="1"/>
  <c r="AL927" i="90"/>
  <c r="AL928" i="90"/>
  <c r="AT928" i="90" s="1"/>
  <c r="AL929" i="90"/>
  <c r="AQ929" i="90" s="1"/>
  <c r="AL930" i="90"/>
  <c r="AT930" i="90" s="1"/>
  <c r="AN930" i="90"/>
  <c r="AW930" i="90" s="1"/>
  <c r="AL931" i="90"/>
  <c r="AL932" i="90"/>
  <c r="AT932" i="90" s="1"/>
  <c r="AL933" i="90"/>
  <c r="AQ933" i="90"/>
  <c r="AL934" i="90"/>
  <c r="AT934" i="90" s="1"/>
  <c r="AN934" i="90" s="1"/>
  <c r="AW934" i="90" s="1"/>
  <c r="AL935" i="90"/>
  <c r="AL936" i="90"/>
  <c r="AT936" i="90" s="1"/>
  <c r="AL937" i="90"/>
  <c r="AQ937" i="90"/>
  <c r="AL938" i="90"/>
  <c r="AT938" i="90" s="1"/>
  <c r="AN938" i="90" s="1"/>
  <c r="AW938" i="90" s="1"/>
  <c r="AL939" i="90"/>
  <c r="AL940" i="90"/>
  <c r="AT940" i="90" s="1"/>
  <c r="AL941" i="90"/>
  <c r="AQ941" i="90"/>
  <c r="AL942" i="90"/>
  <c r="AT942" i="90" s="1"/>
  <c r="AN942" i="90" s="1"/>
  <c r="AW942" i="90" s="1"/>
  <c r="AQ942" i="90"/>
  <c r="AS942" i="90" s="1"/>
  <c r="AR942" i="90"/>
  <c r="AL943" i="90"/>
  <c r="AL944" i="90"/>
  <c r="AT944" i="90" s="1"/>
  <c r="AQ944" i="90"/>
  <c r="AL945" i="90"/>
  <c r="AQ945" i="90" s="1"/>
  <c r="AL946" i="90"/>
  <c r="AL947" i="90"/>
  <c r="AL948" i="90"/>
  <c r="AT948" i="90" s="1"/>
  <c r="AL949" i="90"/>
  <c r="AQ949" i="90"/>
  <c r="AL950" i="90"/>
  <c r="AL951" i="90"/>
  <c r="AL952" i="90"/>
  <c r="AT952" i="90" s="1"/>
  <c r="AQ952" i="90"/>
  <c r="AL953" i="90"/>
  <c r="AQ953" i="90" s="1"/>
  <c r="AL954" i="90"/>
  <c r="AL955" i="90"/>
  <c r="AL956" i="90"/>
  <c r="AT956" i="90" s="1"/>
  <c r="AL957" i="90"/>
  <c r="AQ957" i="90"/>
  <c r="AL958" i="90"/>
  <c r="AT958" i="90" s="1"/>
  <c r="AN958" i="90" s="1"/>
  <c r="AW958" i="90" s="1"/>
  <c r="AQ958" i="90"/>
  <c r="AS958" i="90" s="1"/>
  <c r="AR958" i="90"/>
  <c r="AL959" i="90"/>
  <c r="AL960" i="90"/>
  <c r="AT960" i="90" s="1"/>
  <c r="AQ960" i="90"/>
  <c r="AL961" i="90"/>
  <c r="AQ961" i="90" s="1"/>
  <c r="AL962" i="90"/>
  <c r="AL963" i="90"/>
  <c r="AL964" i="90"/>
  <c r="AT964" i="90" s="1"/>
  <c r="AL965" i="90"/>
  <c r="AQ965" i="90"/>
  <c r="AL966" i="90"/>
  <c r="AL967" i="90"/>
  <c r="AL968" i="90"/>
  <c r="AT968" i="90" s="1"/>
  <c r="AQ968" i="90"/>
  <c r="AL969" i="90"/>
  <c r="AQ969" i="90" s="1"/>
  <c r="AL970" i="90"/>
  <c r="AL971" i="90"/>
  <c r="AL972" i="90"/>
  <c r="AT972" i="90" s="1"/>
  <c r="AL973" i="90"/>
  <c r="AQ973" i="90"/>
  <c r="AL974" i="90"/>
  <c r="AT974" i="90" s="1"/>
  <c r="AN974" i="90" s="1"/>
  <c r="AW974" i="90" s="1"/>
  <c r="AQ974" i="90"/>
  <c r="AS974" i="90" s="1"/>
  <c r="AR974" i="90"/>
  <c r="AL975" i="90"/>
  <c r="AL976" i="90"/>
  <c r="AL977" i="90"/>
  <c r="AQ977" i="90"/>
  <c r="AL978" i="90"/>
  <c r="AT978" i="90" s="1"/>
  <c r="AN978" i="90" s="1"/>
  <c r="AW978" i="90" s="1"/>
  <c r="AQ978" i="90"/>
  <c r="AS978" i="90" s="1"/>
  <c r="AR978" i="90"/>
  <c r="AL979" i="90"/>
  <c r="AL980" i="90"/>
  <c r="AL981" i="90"/>
  <c r="AQ981" i="90" s="1"/>
  <c r="AL982" i="90"/>
  <c r="AT982" i="90" s="1"/>
  <c r="AN982" i="90" s="1"/>
  <c r="AW982" i="90" s="1"/>
  <c r="AL983" i="90"/>
  <c r="AL984" i="90"/>
  <c r="AL985" i="90"/>
  <c r="AR985" i="90" s="1"/>
  <c r="AL986" i="90"/>
  <c r="AT986" i="90" s="1"/>
  <c r="AQ986" i="90"/>
  <c r="AL987" i="90"/>
  <c r="AR987" i="90" s="1"/>
  <c r="AQ987" i="90"/>
  <c r="AT987" i="90"/>
  <c r="AL988" i="90"/>
  <c r="AL989" i="90"/>
  <c r="AR989" i="90" s="1"/>
  <c r="AQ989" i="90"/>
  <c r="AL990" i="90"/>
  <c r="AT990" i="90" s="1"/>
  <c r="AL991" i="90"/>
  <c r="AR991" i="90" s="1"/>
  <c r="AQ991" i="90"/>
  <c r="AL992" i="90"/>
  <c r="AL993" i="90"/>
  <c r="AR993" i="90" s="1"/>
  <c r="AQ993" i="90"/>
  <c r="AL994" i="90"/>
  <c r="AT994" i="90" s="1"/>
  <c r="AR994" i="90"/>
  <c r="AL995" i="90"/>
  <c r="AR995" i="90" s="1"/>
  <c r="AL996" i="90"/>
  <c r="AL997" i="90"/>
  <c r="AR997" i="90" s="1"/>
  <c r="AL998" i="90"/>
  <c r="AT998" i="90" s="1"/>
  <c r="AQ998" i="90"/>
  <c r="AR998" i="90"/>
  <c r="AL999" i="90"/>
  <c r="AR999" i="90" s="1"/>
  <c r="AT999" i="90"/>
  <c r="AL1000" i="90"/>
  <c r="AL1001" i="90"/>
  <c r="AR1001" i="90" s="1"/>
  <c r="AL1002" i="90"/>
  <c r="AT1002" i="90" s="1"/>
  <c r="AQ1002" i="90"/>
  <c r="AL1003" i="90"/>
  <c r="AR1003" i="90" s="1"/>
  <c r="AQ1003" i="90"/>
  <c r="AT1003" i="90"/>
  <c r="AL1004" i="90"/>
  <c r="AL1005" i="90"/>
  <c r="AR1005" i="90" s="1"/>
  <c r="AQ1005" i="90"/>
  <c r="AL1006" i="90"/>
  <c r="AT1006" i="90" s="1"/>
  <c r="AL1007" i="90"/>
  <c r="AR1007" i="90" s="1"/>
  <c r="AQ1007" i="90"/>
  <c r="AL1008" i="90"/>
  <c r="AL1009" i="90"/>
  <c r="AR1009" i="90" s="1"/>
  <c r="AQ1009" i="90"/>
  <c r="AL1010" i="90"/>
  <c r="AT1010" i="90" s="1"/>
  <c r="AR1010" i="90"/>
  <c r="AL1011" i="90"/>
  <c r="AR1011" i="90" s="1"/>
  <c r="AL1012" i="90"/>
  <c r="AL1013" i="90"/>
  <c r="AR1013" i="90" s="1"/>
  <c r="AL1014" i="90"/>
  <c r="AT1014" i="90" s="1"/>
  <c r="AQ1014" i="90"/>
  <c r="AR1014" i="90"/>
  <c r="AL1015" i="90"/>
  <c r="AR1015" i="90" s="1"/>
  <c r="AT1015" i="90"/>
  <c r="AL1016" i="90"/>
  <c r="AL1017" i="90"/>
  <c r="AR1017" i="90" s="1"/>
  <c r="AL1018" i="90"/>
  <c r="AT1018" i="90" s="1"/>
  <c r="AQ1018" i="90"/>
  <c r="AL1019" i="90"/>
  <c r="AR1019" i="90" s="1"/>
  <c r="AT1019" i="90"/>
  <c r="AL1020" i="90"/>
  <c r="AL1021" i="90"/>
  <c r="AR1021" i="90" s="1"/>
  <c r="AL1022" i="90"/>
  <c r="AT1022" i="90" s="1"/>
  <c r="AQ1022" i="90"/>
  <c r="AL1023" i="90"/>
  <c r="AR1023" i="90" s="1"/>
  <c r="AQ1023" i="90"/>
  <c r="AT1023" i="90"/>
  <c r="AL1024" i="90"/>
  <c r="AL1025" i="90"/>
  <c r="AR1025" i="90" s="1"/>
  <c r="AQ1025" i="90"/>
  <c r="AL1026" i="90"/>
  <c r="AT1026" i="90" s="1"/>
  <c r="AL1027" i="90"/>
  <c r="AR1027" i="90" s="1"/>
  <c r="AQ1027" i="90"/>
  <c r="AL1028" i="90"/>
  <c r="AL1029" i="90"/>
  <c r="AR1029" i="90" s="1"/>
  <c r="AQ1029" i="90"/>
  <c r="AL1030" i="90"/>
  <c r="AT1030" i="90" s="1"/>
  <c r="AR1030" i="90"/>
  <c r="AL1031" i="90"/>
  <c r="AR1031" i="90" s="1"/>
  <c r="AL1032" i="90"/>
  <c r="AL1033" i="90"/>
  <c r="AR1033" i="90" s="1"/>
  <c r="AL1034" i="90"/>
  <c r="AT1034" i="90" s="1"/>
  <c r="AQ1034" i="90"/>
  <c r="AR1034" i="90"/>
  <c r="AL1035" i="90"/>
  <c r="AR1035" i="90" s="1"/>
  <c r="AT1035" i="90"/>
  <c r="AL1036" i="90"/>
  <c r="AL1037" i="90"/>
  <c r="AQ1037" i="90" s="1"/>
  <c r="AL1038" i="90"/>
  <c r="AT1038" i="90" s="1"/>
  <c r="AQ1038" i="90"/>
  <c r="AR1038" i="90"/>
  <c r="AL1039" i="90"/>
  <c r="AR1039" i="90" s="1"/>
  <c r="AL1040" i="90"/>
  <c r="AL1041" i="90"/>
  <c r="AQ1041" i="90" s="1"/>
  <c r="AL1042" i="90"/>
  <c r="AT1042" i="90" s="1"/>
  <c r="AR1042" i="90"/>
  <c r="AL1043" i="90"/>
  <c r="AR1043" i="90" s="1"/>
  <c r="AL1044" i="90"/>
  <c r="AL1045" i="90"/>
  <c r="AQ1045" i="90" s="1"/>
  <c r="AL1046" i="90"/>
  <c r="AT1046" i="90" s="1"/>
  <c r="AQ1046" i="90"/>
  <c r="AR1046" i="90"/>
  <c r="AL1047" i="90"/>
  <c r="AR1047" i="90" s="1"/>
  <c r="AT1047" i="90"/>
  <c r="AO1047" i="90" s="1"/>
  <c r="AL1048" i="90"/>
  <c r="AT1048" i="90" s="1"/>
  <c r="AM1048" i="90" s="1"/>
  <c r="AU1048" i="90" s="1"/>
  <c r="AQ1048" i="90"/>
  <c r="AS1048" i="90" s="1"/>
  <c r="AR1048" i="90"/>
  <c r="AL1049" i="90"/>
  <c r="AL1050" i="90"/>
  <c r="AT1050" i="90" s="1"/>
  <c r="AM1050" i="90"/>
  <c r="AU1050" i="90" s="1"/>
  <c r="AL1051" i="90"/>
  <c r="AR1051" i="90" s="1"/>
  <c r="AQ1051" i="90"/>
  <c r="AT1051" i="90"/>
  <c r="AO1051" i="90" s="1"/>
  <c r="AL1052" i="90"/>
  <c r="AL1053" i="90"/>
  <c r="AR1053" i="90" s="1"/>
  <c r="AT1053" i="90"/>
  <c r="AN1053" i="90" s="1"/>
  <c r="AW1053" i="90" s="1"/>
  <c r="AL1054" i="90"/>
  <c r="AT1054" i="90" s="1"/>
  <c r="AM1054" i="90" s="1"/>
  <c r="AU1054" i="90" s="1"/>
  <c r="AR1054" i="90"/>
  <c r="AL1055" i="90"/>
  <c r="AL1056" i="90"/>
  <c r="AR1056" i="90" s="1"/>
  <c r="AL1057" i="90"/>
  <c r="AR1057" i="90" s="1"/>
  <c r="AQ1057" i="90"/>
  <c r="AL1058" i="90"/>
  <c r="AL1059" i="90"/>
  <c r="AL1060" i="90"/>
  <c r="AR1060" i="90" s="1"/>
  <c r="AL1061" i="90"/>
  <c r="AL1062" i="90"/>
  <c r="AL1063" i="90"/>
  <c r="AL1064" i="90"/>
  <c r="AT1064" i="90" s="1"/>
  <c r="AM1064" i="90" s="1"/>
  <c r="AU1064" i="90" s="1"/>
  <c r="AN1064" i="90"/>
  <c r="AW1064" i="90" s="1"/>
  <c r="AL1065" i="90"/>
  <c r="AL1066" i="90"/>
  <c r="AT1066" i="90" s="1"/>
  <c r="AM1066" i="90" s="1"/>
  <c r="AU1066" i="90" s="1"/>
  <c r="AR1066" i="90"/>
  <c r="AL1067" i="90"/>
  <c r="AR1067" i="90" s="1"/>
  <c r="AL1068" i="90"/>
  <c r="AR1068" i="90" s="1"/>
  <c r="AL1069" i="90"/>
  <c r="AR1069" i="90" s="1"/>
  <c r="AL1070" i="90"/>
  <c r="AT1070" i="90" s="1"/>
  <c r="AM1070" i="90" s="1"/>
  <c r="AU1070" i="90" s="1"/>
  <c r="AQ1070" i="90"/>
  <c r="AS1070" i="90" s="1"/>
  <c r="AR1070" i="90"/>
  <c r="AL1071" i="90"/>
  <c r="AL1072" i="90"/>
  <c r="AR1072" i="90"/>
  <c r="AL1073" i="90"/>
  <c r="AR1073" i="90" s="1"/>
  <c r="AL1074" i="90"/>
  <c r="AL1075" i="90"/>
  <c r="AL1076" i="90"/>
  <c r="AR1076" i="90" s="1"/>
  <c r="AL1077" i="90"/>
  <c r="AR1077" i="90" s="1"/>
  <c r="AL1078" i="90"/>
  <c r="AL1079" i="90"/>
  <c r="AL1080" i="90"/>
  <c r="AT1080" i="90" s="1"/>
  <c r="AM1080" i="90" s="1"/>
  <c r="AU1080" i="90" s="1"/>
  <c r="AQ1080" i="90"/>
  <c r="AS1080" i="90" s="1"/>
  <c r="AR1080" i="90"/>
  <c r="AL1081" i="90"/>
  <c r="AR1081" i="90" s="1"/>
  <c r="AL1082" i="90"/>
  <c r="AT1082" i="90" s="1"/>
  <c r="AM1082" i="90"/>
  <c r="AU1082" i="90" s="1"/>
  <c r="AL1083" i="90"/>
  <c r="AR1083" i="90" s="1"/>
  <c r="AQ1083" i="90"/>
  <c r="AT1083" i="90"/>
  <c r="AO1083" i="90" s="1"/>
  <c r="AL1084" i="90"/>
  <c r="AL1085" i="90"/>
  <c r="AR1085" i="90" s="1"/>
  <c r="AT1085" i="90"/>
  <c r="AN1085" i="90" s="1"/>
  <c r="AW1085" i="90" s="1"/>
  <c r="AL1086" i="90"/>
  <c r="AT1086" i="90" s="1"/>
  <c r="AM1086" i="90" s="1"/>
  <c r="AU1086" i="90" s="1"/>
  <c r="AL1087" i="90"/>
  <c r="AL1088" i="90"/>
  <c r="AT1088" i="90" s="1"/>
  <c r="AN1088" i="90" s="1"/>
  <c r="AW1088" i="90" s="1"/>
  <c r="AR1088" i="90"/>
  <c r="AL1089" i="90"/>
  <c r="AR1089" i="90" s="1"/>
  <c r="AL1090" i="90"/>
  <c r="AT1090" i="90" s="1"/>
  <c r="AM1090" i="90" s="1"/>
  <c r="AU1090" i="90" s="1"/>
  <c r="AL1091" i="90"/>
  <c r="AR1091" i="90" s="1"/>
  <c r="AL1092" i="90"/>
  <c r="AR1092" i="90" s="1"/>
  <c r="AL1093" i="90"/>
  <c r="AR1093" i="90" s="1"/>
  <c r="AL1094" i="90"/>
  <c r="AT1094" i="90" s="1"/>
  <c r="AM1094" i="90" s="1"/>
  <c r="AU1094" i="90" s="1"/>
  <c r="AN1094" i="90"/>
  <c r="AW1094" i="90" s="1"/>
  <c r="AL1095" i="90"/>
  <c r="AL1096" i="90"/>
  <c r="AT1096" i="90" s="1"/>
  <c r="AM1096" i="90"/>
  <c r="AU1096" i="90" s="1"/>
  <c r="AN1096" i="90"/>
  <c r="AW1096" i="90" s="1"/>
  <c r="AQ1096" i="90"/>
  <c r="AS1096" i="90" s="1"/>
  <c r="AR1096" i="90"/>
  <c r="AL1097" i="90"/>
  <c r="AR1097" i="90" s="1"/>
  <c r="AL1098" i="90"/>
  <c r="AT1098" i="90" s="1"/>
  <c r="AM1098" i="90" s="1"/>
  <c r="AU1098" i="90" s="1"/>
  <c r="AL1099" i="90"/>
  <c r="AR1099" i="90" s="1"/>
  <c r="AQ1099" i="90"/>
  <c r="AL1100" i="90"/>
  <c r="AR1100" i="90" s="1"/>
  <c r="AL1101" i="90"/>
  <c r="AR1101" i="90" s="1"/>
  <c r="AT1101" i="90"/>
  <c r="AN1101" i="90" s="1"/>
  <c r="AW1101" i="90" s="1"/>
  <c r="AL1102" i="90"/>
  <c r="AT1102" i="90" s="1"/>
  <c r="AM1102" i="90" s="1"/>
  <c r="AU1102" i="90" s="1"/>
  <c r="AN1102" i="90"/>
  <c r="AW1102" i="90" s="1"/>
  <c r="AQ1102" i="90"/>
  <c r="AS1102" i="90" s="1"/>
  <c r="AR1102" i="90"/>
  <c r="AL1103" i="90"/>
  <c r="AL1104" i="90"/>
  <c r="AT1104" i="90" s="1"/>
  <c r="AN1104" i="90" s="1"/>
  <c r="AW1104" i="90" s="1"/>
  <c r="AM1104" i="90"/>
  <c r="AU1104" i="90" s="1"/>
  <c r="AR1104" i="90"/>
  <c r="AL1105" i="90"/>
  <c r="AR1105" i="90" s="1"/>
  <c r="AQ1105" i="90"/>
  <c r="AL1106" i="90"/>
  <c r="AT1106" i="90" s="1"/>
  <c r="AM1106" i="90" s="1"/>
  <c r="AU1106" i="90" s="1"/>
  <c r="AL1107" i="90"/>
  <c r="AR1107" i="90" s="1"/>
  <c r="AL1108" i="90"/>
  <c r="AR1108" i="90"/>
  <c r="AL1109" i="90"/>
  <c r="AR1109" i="90" s="1"/>
  <c r="AT1109" i="90"/>
  <c r="AL1110" i="90"/>
  <c r="AT1110" i="90" s="1"/>
  <c r="AM1110" i="90" s="1"/>
  <c r="AU1110" i="90" s="1"/>
  <c r="AN1110" i="90"/>
  <c r="AW1110" i="90" s="1"/>
  <c r="AL1111" i="90"/>
  <c r="AL1112" i="90"/>
  <c r="AT1112" i="90" s="1"/>
  <c r="AN1112" i="90" s="1"/>
  <c r="AW1112" i="90" s="1"/>
  <c r="AR1112" i="90"/>
  <c r="AL1113" i="90"/>
  <c r="AR1113" i="90" s="1"/>
  <c r="AL1114" i="90"/>
  <c r="AT1114" i="90" s="1"/>
  <c r="AM1114" i="90"/>
  <c r="AU1114" i="90" s="1"/>
  <c r="AL1115" i="90"/>
  <c r="AR1115" i="90" s="1"/>
  <c r="AQ1115" i="90"/>
  <c r="AT1115" i="90"/>
  <c r="AO1115" i="90" s="1"/>
  <c r="AL1116" i="90"/>
  <c r="AL1117" i="90"/>
  <c r="AR1117" i="90" s="1"/>
  <c r="AL1118" i="90"/>
  <c r="AT1118" i="90" s="1"/>
  <c r="AM1118" i="90" s="1"/>
  <c r="AU1118" i="90" s="1"/>
  <c r="AL1119" i="90"/>
  <c r="AL1120" i="90"/>
  <c r="AT1120" i="90" s="1"/>
  <c r="AN1120" i="90" s="1"/>
  <c r="AW1120" i="90" s="1"/>
  <c r="AM1120" i="90"/>
  <c r="AU1120" i="90" s="1"/>
  <c r="AR1120" i="90"/>
  <c r="AL1121" i="90"/>
  <c r="AR1121" i="90" s="1"/>
  <c r="AL1122" i="90"/>
  <c r="AT1122" i="90" s="1"/>
  <c r="AM1122" i="90" s="1"/>
  <c r="AU1122" i="90" s="1"/>
  <c r="AL1123" i="90"/>
  <c r="AR1123" i="90" s="1"/>
  <c r="AL1124" i="90"/>
  <c r="AR1124" i="90" s="1"/>
  <c r="AL1125" i="90"/>
  <c r="AR1125" i="90" s="1"/>
  <c r="AL1126" i="90"/>
  <c r="AT1126" i="90" s="1"/>
  <c r="AM1126" i="90" s="1"/>
  <c r="AU1126" i="90" s="1"/>
  <c r="AL1127" i="90"/>
  <c r="AL1128" i="90"/>
  <c r="AT1128" i="90" s="1"/>
  <c r="AN1128" i="90" s="1"/>
  <c r="AW1128" i="90" s="1"/>
  <c r="AM1128" i="90"/>
  <c r="AU1128" i="90" s="1"/>
  <c r="AQ1128" i="90"/>
  <c r="AS1128" i="90" s="1"/>
  <c r="AR1128" i="90"/>
  <c r="AL1129" i="90"/>
  <c r="AR1129" i="90" s="1"/>
  <c r="AL1130" i="90"/>
  <c r="AT1130" i="90" s="1"/>
  <c r="AO1130" i="90" s="1"/>
  <c r="AY1130" i="90" s="1"/>
  <c r="AL1131" i="90"/>
  <c r="AT1131" i="90" s="1"/>
  <c r="AM1131" i="90" s="1"/>
  <c r="AU1131" i="90" s="1"/>
  <c r="AQ1131" i="90"/>
  <c r="AR1131" i="90"/>
  <c r="AL1132" i="90"/>
  <c r="AR1132" i="90" s="1"/>
  <c r="AL1133" i="90"/>
  <c r="AT1133" i="90" s="1"/>
  <c r="AL1134" i="90"/>
  <c r="AR1134" i="90" s="1"/>
  <c r="AL1135" i="90"/>
  <c r="AT1135" i="90" s="1"/>
  <c r="AM1135" i="90"/>
  <c r="AU1135" i="90" s="1"/>
  <c r="AL1136" i="90"/>
  <c r="AR1136" i="90" s="1"/>
  <c r="AQ1136" i="90"/>
  <c r="AL1137" i="90"/>
  <c r="AT1137" i="90" s="1"/>
  <c r="AM1137" i="90" s="1"/>
  <c r="AU1137" i="90" s="1"/>
  <c r="AQ1137" i="90"/>
  <c r="AS1137" i="90" s="1"/>
  <c r="AR1137" i="90"/>
  <c r="AL1138" i="90"/>
  <c r="AR1138" i="90" s="1"/>
  <c r="AL1139" i="90"/>
  <c r="AT1139" i="90" s="1"/>
  <c r="AM1139" i="90" s="1"/>
  <c r="AU1139" i="90" s="1"/>
  <c r="AQ1139" i="90"/>
  <c r="AR1139" i="90"/>
  <c r="AL1140" i="90"/>
  <c r="AR1140" i="90" s="1"/>
  <c r="AL1141" i="90"/>
  <c r="AT1141" i="90" s="1"/>
  <c r="AL1142" i="90"/>
  <c r="AR1142" i="90" s="1"/>
  <c r="AL1143" i="90"/>
  <c r="AT1143" i="90" s="1"/>
  <c r="AM1143" i="90" s="1"/>
  <c r="AU1143" i="90" s="1"/>
  <c r="AQ1143" i="90"/>
  <c r="AS1143" i="90" s="1"/>
  <c r="AL1144" i="90"/>
  <c r="AR1144" i="90" s="1"/>
  <c r="AQ1144" i="90"/>
  <c r="AT1144" i="90"/>
  <c r="AL1145" i="90"/>
  <c r="AT1145" i="90" s="1"/>
  <c r="AM1145" i="90" s="1"/>
  <c r="AU1145" i="90" s="1"/>
  <c r="AL1146" i="90"/>
  <c r="AR1146" i="90" s="1"/>
  <c r="AL1147" i="90"/>
  <c r="AT1147" i="90" s="1"/>
  <c r="AM1147" i="90" s="1"/>
  <c r="AU1147" i="90" s="1"/>
  <c r="AL1148" i="90"/>
  <c r="AR1148" i="90" s="1"/>
  <c r="AL1149" i="90"/>
  <c r="AT1149" i="90" s="1"/>
  <c r="AL1150" i="90"/>
  <c r="AR1150" i="90" s="1"/>
  <c r="AL1151" i="90"/>
  <c r="AT1151" i="90" s="1"/>
  <c r="AM1151" i="90" s="1"/>
  <c r="AU1151" i="90" s="1"/>
  <c r="AL1152" i="90"/>
  <c r="AR1152" i="90" s="1"/>
  <c r="AL1153" i="90"/>
  <c r="AT1153" i="90" s="1"/>
  <c r="AM1153" i="90" s="1"/>
  <c r="AU1153" i="90" s="1"/>
  <c r="AR1153" i="90"/>
  <c r="AL1154" i="90"/>
  <c r="AR1154" i="90" s="1"/>
  <c r="AQ1154" i="90"/>
  <c r="AL1155" i="90"/>
  <c r="AT1155" i="90" s="1"/>
  <c r="AM1155" i="90" s="1"/>
  <c r="AU1155" i="90" s="1"/>
  <c r="AR1155" i="90"/>
  <c r="AL1156" i="90"/>
  <c r="AR1156" i="90" s="1"/>
  <c r="AT1156" i="90"/>
  <c r="AO1156" i="90" s="1"/>
  <c r="AL1157" i="90"/>
  <c r="AT1157" i="90" s="1"/>
  <c r="AM1157" i="90" s="1"/>
  <c r="AU1157" i="90" s="1"/>
  <c r="AL1158" i="90"/>
  <c r="AR1158" i="90" s="1"/>
  <c r="AL1159" i="90"/>
  <c r="AT1159" i="90" s="1"/>
  <c r="AM1159" i="90" s="1"/>
  <c r="AU1159" i="90" s="1"/>
  <c r="AR1159" i="90"/>
  <c r="AL1160" i="90"/>
  <c r="AR1160" i="90" s="1"/>
  <c r="AL1161" i="90"/>
  <c r="AT1161" i="90" s="1"/>
  <c r="AM1161" i="90" s="1"/>
  <c r="AU1161" i="90" s="1"/>
  <c r="AL1162" i="90"/>
  <c r="AR1162" i="90" s="1"/>
  <c r="AQ1162" i="90"/>
  <c r="AL1163" i="90"/>
  <c r="AT1163" i="90" s="1"/>
  <c r="AM1163" i="90" s="1"/>
  <c r="AU1163" i="90" s="1"/>
  <c r="AR1163" i="90"/>
  <c r="AL1164" i="90"/>
  <c r="AR1164" i="90" s="1"/>
  <c r="AT1164" i="90"/>
  <c r="AO1164" i="90" s="1"/>
  <c r="AL1165" i="90"/>
  <c r="AT1165" i="90" s="1"/>
  <c r="AM1165" i="90" s="1"/>
  <c r="AU1165" i="90" s="1"/>
  <c r="AL1166" i="90"/>
  <c r="AR1166" i="90" s="1"/>
  <c r="AL1167" i="90"/>
  <c r="AT1167" i="90" s="1"/>
  <c r="AM1167" i="90" s="1"/>
  <c r="AU1167" i="90" s="1"/>
  <c r="AL1168" i="90"/>
  <c r="AR1168" i="90" s="1"/>
  <c r="AL1169" i="90"/>
  <c r="AT1169" i="90" s="1"/>
  <c r="AM1169" i="90" s="1"/>
  <c r="AU1169" i="90" s="1"/>
  <c r="AL1170" i="90"/>
  <c r="AR1170" i="90" s="1"/>
  <c r="AL1171" i="90"/>
  <c r="AT1171" i="90" s="1"/>
  <c r="AM1171" i="90" s="1"/>
  <c r="AU1171" i="90" s="1"/>
  <c r="AR1171" i="90"/>
  <c r="AL1172" i="90"/>
  <c r="AR1172" i="90" s="1"/>
  <c r="AL1173" i="90"/>
  <c r="AT1173" i="90" s="1"/>
  <c r="AM1173" i="90" s="1"/>
  <c r="AU1173" i="90" s="1"/>
  <c r="AL1174" i="90"/>
  <c r="AR1174" i="90" s="1"/>
  <c r="AL1175" i="90"/>
  <c r="AT1175" i="90" s="1"/>
  <c r="AM1175" i="90" s="1"/>
  <c r="AU1175" i="90" s="1"/>
  <c r="AR1175" i="90"/>
  <c r="AL1176" i="90"/>
  <c r="AR1176" i="90" s="1"/>
  <c r="AL1177" i="90"/>
  <c r="AT1177" i="90" s="1"/>
  <c r="AM1177" i="90" s="1"/>
  <c r="AU1177" i="90" s="1"/>
  <c r="AL1178" i="90"/>
  <c r="AR1178" i="90" s="1"/>
  <c r="AQ1178" i="90"/>
  <c r="AL1179" i="90"/>
  <c r="AT1179" i="90" s="1"/>
  <c r="AM1179" i="90" s="1"/>
  <c r="AU1179" i="90" s="1"/>
  <c r="AR1179" i="90"/>
  <c r="AL1180" i="90"/>
  <c r="AR1180" i="90" s="1"/>
  <c r="AT1180" i="90"/>
  <c r="AO1180" i="90" s="1"/>
  <c r="AL1181" i="90"/>
  <c r="AT1181" i="90" s="1"/>
  <c r="AM1181" i="90" s="1"/>
  <c r="AU1181" i="90" s="1"/>
  <c r="AL1182" i="90"/>
  <c r="AR1182" i="90" s="1"/>
  <c r="AL1183" i="90"/>
  <c r="AT1183" i="90" s="1"/>
  <c r="AM1183" i="90" s="1"/>
  <c r="AU1183" i="90" s="1"/>
  <c r="AL1184" i="90"/>
  <c r="AR1184" i="90" s="1"/>
  <c r="AL1185" i="90"/>
  <c r="AT1185" i="90" s="1"/>
  <c r="AM1185" i="90" s="1"/>
  <c r="AU1185" i="90" s="1"/>
  <c r="AL1186" i="90"/>
  <c r="AR1186" i="90" s="1"/>
  <c r="AL1187" i="90"/>
  <c r="AT1187" i="90" s="1"/>
  <c r="AM1187" i="90" s="1"/>
  <c r="AU1187" i="90" s="1"/>
  <c r="AR1187" i="90"/>
  <c r="AL1188" i="90"/>
  <c r="AR1188" i="90" s="1"/>
  <c r="AL1189" i="90"/>
  <c r="AT1189" i="90" s="1"/>
  <c r="AM1189" i="90" s="1"/>
  <c r="AU1189" i="90" s="1"/>
  <c r="AL1190" i="90"/>
  <c r="AR1190" i="90" s="1"/>
  <c r="AL1191" i="90"/>
  <c r="AT1191" i="90" s="1"/>
  <c r="AM1191" i="90" s="1"/>
  <c r="AU1191" i="90" s="1"/>
  <c r="AR1191" i="90"/>
  <c r="AL1192" i="90"/>
  <c r="AR1192" i="90" s="1"/>
  <c r="AL1193" i="90"/>
  <c r="AT1193" i="90" s="1"/>
  <c r="AM1193" i="90" s="1"/>
  <c r="AU1193" i="90" s="1"/>
  <c r="AL1194" i="90"/>
  <c r="AR1194" i="90" s="1"/>
  <c r="AL1195" i="90"/>
  <c r="AT1195" i="90" s="1"/>
  <c r="AM1195" i="90" s="1"/>
  <c r="AU1195" i="90" s="1"/>
  <c r="AL1196" i="90"/>
  <c r="AR1196" i="90" s="1"/>
  <c r="AT1196" i="90"/>
  <c r="AO1196" i="90" s="1"/>
  <c r="AL1197" i="90"/>
  <c r="AT1197" i="90" s="1"/>
  <c r="AM1197" i="90" s="1"/>
  <c r="AU1197" i="90" s="1"/>
  <c r="AL1198" i="90"/>
  <c r="AR1198" i="90" s="1"/>
  <c r="AL1199" i="90"/>
  <c r="AT1199" i="90" s="1"/>
  <c r="AM1199" i="90" s="1"/>
  <c r="AU1199" i="90" s="1"/>
  <c r="AL1200" i="90"/>
  <c r="AR1200" i="90" s="1"/>
  <c r="AT1200" i="90"/>
  <c r="AO1200" i="90" s="1"/>
  <c r="AL1201" i="90"/>
  <c r="AT1201" i="90" s="1"/>
  <c r="AM1201" i="90" s="1"/>
  <c r="AU1201" i="90" s="1"/>
  <c r="AL1202" i="90"/>
  <c r="AR1202" i="90" s="1"/>
  <c r="AL1203" i="90"/>
  <c r="AT1203" i="90" s="1"/>
  <c r="AM1203" i="90" s="1"/>
  <c r="AU1203" i="90" s="1"/>
  <c r="AL1204" i="90"/>
  <c r="AR1204" i="90" s="1"/>
  <c r="AT1204" i="90"/>
  <c r="AO1204" i="90" s="1"/>
  <c r="AL1205" i="90"/>
  <c r="AT1205" i="90" s="1"/>
  <c r="AM1205" i="90" s="1"/>
  <c r="AU1205" i="90" s="1"/>
  <c r="AL1206" i="90"/>
  <c r="AR1206" i="90" s="1"/>
  <c r="AL1207" i="90"/>
  <c r="AT1207" i="90" s="1"/>
  <c r="AM1207" i="90" s="1"/>
  <c r="AU1207" i="90" s="1"/>
  <c r="AL1208" i="90"/>
  <c r="AR1208" i="90" s="1"/>
  <c r="AL1209" i="90"/>
  <c r="AT1209" i="90" s="1"/>
  <c r="AM1209" i="90" s="1"/>
  <c r="AU1209" i="90" s="1"/>
  <c r="AL1210" i="90"/>
  <c r="AR1210" i="90" s="1"/>
  <c r="AL1211" i="90"/>
  <c r="AT1211" i="90" s="1"/>
  <c r="AM1211" i="90" s="1"/>
  <c r="AU1211" i="90" s="1"/>
  <c r="AL1212" i="90"/>
  <c r="AR1212" i="90" s="1"/>
  <c r="AT1212" i="90"/>
  <c r="AO1212" i="90" s="1"/>
  <c r="AL1213" i="90"/>
  <c r="AT1213" i="90" s="1"/>
  <c r="AM1213" i="90" s="1"/>
  <c r="AU1213" i="90" s="1"/>
  <c r="AL1214" i="90"/>
  <c r="AR1214" i="90" s="1"/>
  <c r="AL1215" i="90"/>
  <c r="AT1215" i="90" s="1"/>
  <c r="AM1215" i="90" s="1"/>
  <c r="AU1215" i="90" s="1"/>
  <c r="AL1216" i="90"/>
  <c r="AR1216" i="90" s="1"/>
  <c r="AT1216" i="90"/>
  <c r="AO1216" i="90" s="1"/>
  <c r="AL1217" i="90"/>
  <c r="AT1217" i="90" s="1"/>
  <c r="AM1217" i="90" s="1"/>
  <c r="AU1217" i="90" s="1"/>
  <c r="AL1218" i="90"/>
  <c r="AR1218" i="90" s="1"/>
  <c r="AL1219" i="90"/>
  <c r="AT1219" i="90" s="1"/>
  <c r="AM1219" i="90" s="1"/>
  <c r="AU1219" i="90" s="1"/>
  <c r="AL1220" i="90"/>
  <c r="AR1220" i="90" s="1"/>
  <c r="AT1220" i="90"/>
  <c r="AO1220" i="90" s="1"/>
  <c r="AL1221" i="90"/>
  <c r="AT1221" i="90" s="1"/>
  <c r="AM1221" i="90" s="1"/>
  <c r="AU1221" i="90" s="1"/>
  <c r="AL1222" i="90"/>
  <c r="AR1222" i="90" s="1"/>
  <c r="AL1223" i="90"/>
  <c r="AT1223" i="90" s="1"/>
  <c r="AM1223" i="90" s="1"/>
  <c r="AU1223" i="90" s="1"/>
  <c r="AL1224" i="90"/>
  <c r="AR1224" i="90" s="1"/>
  <c r="AL1225" i="90"/>
  <c r="AT1225" i="90" s="1"/>
  <c r="AM1225" i="90" s="1"/>
  <c r="AU1225" i="90" s="1"/>
  <c r="AL1226" i="90"/>
  <c r="AR1226" i="90" s="1"/>
  <c r="AL1227" i="90"/>
  <c r="AT1227" i="90" s="1"/>
  <c r="AM1227" i="90" s="1"/>
  <c r="AU1227" i="90" s="1"/>
  <c r="AL1228" i="90"/>
  <c r="AR1228" i="90" s="1"/>
  <c r="AT1228" i="90"/>
  <c r="AO1228" i="90" s="1"/>
  <c r="AL1229" i="90"/>
  <c r="AT1229" i="90" s="1"/>
  <c r="AM1229" i="90" s="1"/>
  <c r="AU1229" i="90" s="1"/>
  <c r="AL1230" i="90"/>
  <c r="AR1230" i="90" s="1"/>
  <c r="AL1231" i="90"/>
  <c r="AT1231" i="90" s="1"/>
  <c r="AM1231" i="90" s="1"/>
  <c r="AU1231" i="90" s="1"/>
  <c r="AL1232" i="90"/>
  <c r="AR1232" i="90" s="1"/>
  <c r="AT1232" i="90"/>
  <c r="AO1232" i="90" s="1"/>
  <c r="AL1233" i="90"/>
  <c r="AT1233" i="90" s="1"/>
  <c r="AM1233" i="90" s="1"/>
  <c r="AU1233" i="90" s="1"/>
  <c r="AL1234" i="90"/>
  <c r="AR1234" i="90" s="1"/>
  <c r="AL1235" i="90"/>
  <c r="AT1235" i="90" s="1"/>
  <c r="AM1235" i="90" s="1"/>
  <c r="AU1235" i="90" s="1"/>
  <c r="AL1236" i="90"/>
  <c r="AR1236" i="90" s="1"/>
  <c r="AT1236" i="90"/>
  <c r="AO1236" i="90" s="1"/>
  <c r="AL1237" i="90"/>
  <c r="AT1237" i="90" s="1"/>
  <c r="AM1237" i="90" s="1"/>
  <c r="AU1237" i="90" s="1"/>
  <c r="AL1238" i="90"/>
  <c r="AR1238" i="90" s="1"/>
  <c r="AL1239" i="90"/>
  <c r="AT1239" i="90" s="1"/>
  <c r="AM1239" i="90" s="1"/>
  <c r="AU1239" i="90" s="1"/>
  <c r="AL1240" i="90"/>
  <c r="AR1240" i="90" s="1"/>
  <c r="AL1241" i="90"/>
  <c r="AT1241" i="90" s="1"/>
  <c r="AM1241" i="90" s="1"/>
  <c r="AU1241" i="90" s="1"/>
  <c r="AL1242" i="90"/>
  <c r="AR1242" i="90" s="1"/>
  <c r="AL1243" i="90"/>
  <c r="AT1243" i="90" s="1"/>
  <c r="AM1243" i="90" s="1"/>
  <c r="AU1243" i="90" s="1"/>
  <c r="AL1244" i="90"/>
  <c r="AR1244" i="90" s="1"/>
  <c r="AT1244" i="90"/>
  <c r="AO1244" i="90" s="1"/>
  <c r="AL1245" i="90"/>
  <c r="AT1245" i="90" s="1"/>
  <c r="AM1245" i="90" s="1"/>
  <c r="AU1245" i="90" s="1"/>
  <c r="AL1246" i="90"/>
  <c r="AR1246" i="90" s="1"/>
  <c r="AL1247" i="90"/>
  <c r="AT1247" i="90" s="1"/>
  <c r="AM1247" i="90" s="1"/>
  <c r="AU1247" i="90" s="1"/>
  <c r="AL1248" i="90"/>
  <c r="AR1248" i="90" s="1"/>
  <c r="AT1248" i="90"/>
  <c r="AO1248" i="90" s="1"/>
  <c r="AL1249" i="90"/>
  <c r="AT1249" i="90" s="1"/>
  <c r="AM1249" i="90" s="1"/>
  <c r="AU1249" i="90" s="1"/>
  <c r="AL1250" i="90"/>
  <c r="AR1250" i="90" s="1"/>
  <c r="AL1251" i="90"/>
  <c r="AT1251" i="90" s="1"/>
  <c r="AM1251" i="90" s="1"/>
  <c r="AU1251" i="90" s="1"/>
  <c r="AL1252" i="90"/>
  <c r="AR1252" i="90" s="1"/>
  <c r="AT1252" i="90"/>
  <c r="AO1252" i="90" s="1"/>
  <c r="AL1253" i="90"/>
  <c r="AT1253" i="90" s="1"/>
  <c r="AM1253" i="90" s="1"/>
  <c r="AU1253" i="90" s="1"/>
  <c r="AL1254" i="90"/>
  <c r="AR1254" i="90" s="1"/>
  <c r="AL1255" i="90"/>
  <c r="AT1255" i="90" s="1"/>
  <c r="AM1255" i="90" s="1"/>
  <c r="AU1255" i="90" s="1"/>
  <c r="AL1256" i="90"/>
  <c r="AR1256" i="90" s="1"/>
  <c r="AL1257" i="90"/>
  <c r="AT1257" i="90" s="1"/>
  <c r="AM1257" i="90" s="1"/>
  <c r="AU1257" i="90" s="1"/>
  <c r="AL1258" i="90"/>
  <c r="AR1258" i="90" s="1"/>
  <c r="AL1259" i="90"/>
  <c r="AT1259" i="90" s="1"/>
  <c r="AM1259" i="90" s="1"/>
  <c r="AU1259" i="90" s="1"/>
  <c r="AL1260" i="90"/>
  <c r="AR1260" i="90" s="1"/>
  <c r="AT1260" i="90"/>
  <c r="AO1260" i="90" s="1"/>
  <c r="AL1261" i="90"/>
  <c r="AT1261" i="90" s="1"/>
  <c r="AM1261" i="90" s="1"/>
  <c r="AU1261" i="90" s="1"/>
  <c r="AL1262" i="90"/>
  <c r="AR1262" i="90" s="1"/>
  <c r="AL1263" i="90"/>
  <c r="AT1263" i="90" s="1"/>
  <c r="AM1263" i="90" s="1"/>
  <c r="AU1263" i="90" s="1"/>
  <c r="AL1264" i="90"/>
  <c r="AR1264" i="90" s="1"/>
  <c r="AT1264" i="90"/>
  <c r="AO1264" i="90" s="1"/>
  <c r="AL1265" i="90"/>
  <c r="AT1265" i="90" s="1"/>
  <c r="AM1265" i="90" s="1"/>
  <c r="AU1265" i="90" s="1"/>
  <c r="AL1266" i="90"/>
  <c r="AR1266" i="90" s="1"/>
  <c r="AL1267" i="90"/>
  <c r="AT1267" i="90" s="1"/>
  <c r="AM1267" i="90" s="1"/>
  <c r="AU1267" i="90" s="1"/>
  <c r="AL1268" i="90"/>
  <c r="AR1268" i="90" s="1"/>
  <c r="AT1268" i="90"/>
  <c r="AO1268" i="90" s="1"/>
  <c r="AL1269" i="90"/>
  <c r="AT1269" i="90" s="1"/>
  <c r="AM1269" i="90" s="1"/>
  <c r="AU1269" i="90" s="1"/>
  <c r="AL1270" i="90"/>
  <c r="AR1270" i="90" s="1"/>
  <c r="AL1271" i="90"/>
  <c r="AT1271" i="90" s="1"/>
  <c r="AM1271" i="90" s="1"/>
  <c r="AU1271" i="90" s="1"/>
  <c r="AL1272" i="90"/>
  <c r="AR1272" i="90" s="1"/>
  <c r="AL1273" i="90"/>
  <c r="AT1273" i="90" s="1"/>
  <c r="AM1273" i="90" s="1"/>
  <c r="AU1273" i="90" s="1"/>
  <c r="AL1274" i="90"/>
  <c r="AR1274" i="90" s="1"/>
  <c r="AL1275" i="90"/>
  <c r="AT1275" i="90" s="1"/>
  <c r="AM1275" i="90" s="1"/>
  <c r="AU1275" i="90" s="1"/>
  <c r="AL1276" i="90"/>
  <c r="AR1276" i="90" s="1"/>
  <c r="AT1276" i="90"/>
  <c r="AO1276" i="90" s="1"/>
  <c r="AL1277" i="90"/>
  <c r="AT1277" i="90" s="1"/>
  <c r="AM1277" i="90" s="1"/>
  <c r="AU1277" i="90" s="1"/>
  <c r="AL1278" i="90"/>
  <c r="AR1278" i="90" s="1"/>
  <c r="AL1279" i="90"/>
  <c r="AT1279" i="90" s="1"/>
  <c r="AM1279" i="90" s="1"/>
  <c r="AU1279" i="90" s="1"/>
  <c r="AR1279" i="90"/>
  <c r="AL1280" i="90"/>
  <c r="AR1280" i="90" s="1"/>
  <c r="AQ1280" i="90"/>
  <c r="AL1281" i="90"/>
  <c r="AR1281" i="90" s="1"/>
  <c r="AL1282" i="90"/>
  <c r="AR1282" i="90" s="1"/>
  <c r="AN1282" i="90"/>
  <c r="AW1282" i="90" s="1"/>
  <c r="AQ1282" i="90"/>
  <c r="AS1282" i="90" s="1"/>
  <c r="AT1282" i="90"/>
  <c r="AL1283" i="90"/>
  <c r="AT1283" i="90" s="1"/>
  <c r="AM1283" i="90" s="1"/>
  <c r="AU1283" i="90" s="1"/>
  <c r="AQ1283" i="90"/>
  <c r="AS1283" i="90" s="1"/>
  <c r="AR1283" i="90"/>
  <c r="AL1284" i="90"/>
  <c r="AL1285" i="90"/>
  <c r="AT1285" i="90" s="1"/>
  <c r="AM1285" i="90" s="1"/>
  <c r="AU1285" i="90" s="1"/>
  <c r="AL1286" i="90"/>
  <c r="AR1286" i="90" s="1"/>
  <c r="AL1287" i="90"/>
  <c r="AT1287" i="90" s="1"/>
  <c r="AM1287" i="90" s="1"/>
  <c r="AU1287" i="90" s="1"/>
  <c r="AL1288" i="90"/>
  <c r="AR1288" i="90" s="1"/>
  <c r="AL1289" i="90"/>
  <c r="AL1290" i="90"/>
  <c r="AR1290" i="90" s="1"/>
  <c r="AQ1290" i="90"/>
  <c r="AS1290" i="90" s="1"/>
  <c r="AT1290" i="90"/>
  <c r="AN1290" i="90" s="1"/>
  <c r="AW1290" i="90" s="1"/>
  <c r="AL1291" i="90"/>
  <c r="AT1291" i="90" s="1"/>
  <c r="AM1291" i="90" s="1"/>
  <c r="AU1291" i="90" s="1"/>
  <c r="AL1292" i="90"/>
  <c r="AL1293" i="90"/>
  <c r="AT1293" i="90" s="1"/>
  <c r="AM1293" i="90" s="1"/>
  <c r="AU1293" i="90" s="1"/>
  <c r="AN1293" i="90"/>
  <c r="AW1293" i="90" s="1"/>
  <c r="AR1293" i="90"/>
  <c r="AL1294" i="90"/>
  <c r="AR1294" i="90" s="1"/>
  <c r="AL1295" i="90"/>
  <c r="AT1295" i="90" s="1"/>
  <c r="AM1295" i="90"/>
  <c r="AU1295" i="90" s="1"/>
  <c r="AN1295" i="90"/>
  <c r="AW1295" i="90" s="1"/>
  <c r="AQ1295" i="90"/>
  <c r="AS1295" i="90" s="1"/>
  <c r="AR1295" i="90"/>
  <c r="AL1296" i="90"/>
  <c r="AR1296" i="90" s="1"/>
  <c r="AL1297" i="90"/>
  <c r="AR1297" i="90" s="1"/>
  <c r="AL1298" i="90"/>
  <c r="AR1298" i="90" s="1"/>
  <c r="AL1299" i="90"/>
  <c r="AT1299" i="90" s="1"/>
  <c r="AM1299" i="90" s="1"/>
  <c r="AU1299" i="90" s="1"/>
  <c r="AL1300" i="90"/>
  <c r="AL1301" i="90"/>
  <c r="AT1301" i="90" s="1"/>
  <c r="AM1301" i="90" s="1"/>
  <c r="AU1301" i="90" s="1"/>
  <c r="AR1301" i="90"/>
  <c r="AL1302" i="90"/>
  <c r="AQ1302" i="90"/>
  <c r="AL1303" i="90"/>
  <c r="AT1303" i="90" s="1"/>
  <c r="AM1303" i="90" s="1"/>
  <c r="AU1303" i="90" s="1"/>
  <c r="AQ1303" i="90"/>
  <c r="AS1303" i="90" s="1"/>
  <c r="AR1303" i="90"/>
  <c r="AL1304" i="90"/>
  <c r="AR1304" i="90" s="1"/>
  <c r="AL1305" i="90"/>
  <c r="AL1306" i="90"/>
  <c r="AR1306" i="90" s="1"/>
  <c r="AQ1306" i="90"/>
  <c r="AL1307" i="90"/>
  <c r="AT1307" i="90" s="1"/>
  <c r="AL1308" i="90"/>
  <c r="AT1308" i="90" s="1"/>
  <c r="AN1308" i="90" s="1"/>
  <c r="AW1308" i="90" s="1"/>
  <c r="AL1309" i="90"/>
  <c r="AT1309" i="90" s="1"/>
  <c r="AM1309" i="90" s="1"/>
  <c r="AU1309" i="90" s="1"/>
  <c r="AL1310" i="90"/>
  <c r="AQ1310" i="90" s="1"/>
  <c r="AL1311" i="90"/>
  <c r="AT1311" i="90" s="1"/>
  <c r="AM1311" i="90" s="1"/>
  <c r="AU1311" i="90" s="1"/>
  <c r="AL1312" i="90"/>
  <c r="AR1312" i="90" s="1"/>
  <c r="AL1313" i="90"/>
  <c r="AR1313" i="90"/>
  <c r="AL1314" i="90"/>
  <c r="AR1314" i="90" s="1"/>
  <c r="AL1315" i="90"/>
  <c r="AT1315" i="90" s="1"/>
  <c r="AL1316" i="90"/>
  <c r="AT1316" i="90" s="1"/>
  <c r="AL1317" i="90"/>
  <c r="AT1317" i="90" s="1"/>
  <c r="AM1317" i="90" s="1"/>
  <c r="AU1317" i="90" s="1"/>
  <c r="AN1317" i="90"/>
  <c r="AW1317" i="90" s="1"/>
  <c r="AL1318" i="90"/>
  <c r="AQ1318" i="90" s="1"/>
  <c r="AL1319" i="90"/>
  <c r="AT1319" i="90" s="1"/>
  <c r="AM1319" i="90" s="1"/>
  <c r="AU1319" i="90" s="1"/>
  <c r="AL1320" i="90"/>
  <c r="AR1320" i="90" s="1"/>
  <c r="AL1321" i="90"/>
  <c r="AR1321" i="90" s="1"/>
  <c r="AL1322" i="90"/>
  <c r="AR1322" i="90" s="1"/>
  <c r="AL1323" i="90"/>
  <c r="AT1323" i="90" s="1"/>
  <c r="AL1324" i="90"/>
  <c r="AL1325" i="90"/>
  <c r="AT1325" i="90" s="1"/>
  <c r="AM1325" i="90" s="1"/>
  <c r="AU1325" i="90" s="1"/>
  <c r="AL1326" i="90"/>
  <c r="AL1327" i="90"/>
  <c r="AT1327" i="90" s="1"/>
  <c r="AM1327" i="90" s="1"/>
  <c r="AU1327" i="90" s="1"/>
  <c r="AN1327" i="90"/>
  <c r="AW1327" i="90" s="1"/>
  <c r="AQ1327" i="90"/>
  <c r="AS1327" i="90" s="1"/>
  <c r="AR1327" i="90"/>
  <c r="AL1328" i="90"/>
  <c r="AR1328" i="90" s="1"/>
  <c r="AL1329" i="90"/>
  <c r="AR1329" i="90" s="1"/>
  <c r="AL1330" i="90"/>
  <c r="AR1330" i="90" s="1"/>
  <c r="AL1331" i="90"/>
  <c r="AT1331" i="90" s="1"/>
  <c r="AL1332" i="90"/>
  <c r="AT1332" i="90" s="1"/>
  <c r="AN1332" i="90" s="1"/>
  <c r="AW1332" i="90" s="1"/>
  <c r="AL1333" i="90"/>
  <c r="AT1333" i="90" s="1"/>
  <c r="AM1333" i="90" s="1"/>
  <c r="AU1333" i="90" s="1"/>
  <c r="AL1334" i="90"/>
  <c r="AQ1334" i="90" s="1"/>
  <c r="AL1335" i="90"/>
  <c r="AT1335" i="90" s="1"/>
  <c r="AM1335" i="90" s="1"/>
  <c r="AU1335" i="90" s="1"/>
  <c r="AN1335" i="90"/>
  <c r="AW1335" i="90" s="1"/>
  <c r="AQ1335" i="90"/>
  <c r="AS1335" i="90" s="1"/>
  <c r="AR1335" i="90"/>
  <c r="AL1336" i="90"/>
  <c r="AR1336" i="90" s="1"/>
  <c r="AL1337" i="90"/>
  <c r="AL1338" i="90"/>
  <c r="AR1338" i="90" s="1"/>
  <c r="AL1339" i="90"/>
  <c r="AT1339" i="90" s="1"/>
  <c r="AL1340" i="90"/>
  <c r="AT1340" i="90" s="1"/>
  <c r="AN1340" i="90" s="1"/>
  <c r="AW1340" i="90" s="1"/>
  <c r="AL1341" i="90"/>
  <c r="AT1341" i="90" s="1"/>
  <c r="AM1341" i="90" s="1"/>
  <c r="AU1341" i="90" s="1"/>
  <c r="AN1341" i="90"/>
  <c r="AW1341" i="90" s="1"/>
  <c r="AL1342" i="90"/>
  <c r="AQ1342" i="90" s="1"/>
  <c r="AL1343" i="90"/>
  <c r="AT1343" i="90" s="1"/>
  <c r="AM1343" i="90" s="1"/>
  <c r="AU1343" i="90" s="1"/>
  <c r="AL1344" i="90"/>
  <c r="AR1344" i="90" s="1"/>
  <c r="AL1345" i="90"/>
  <c r="AR1345" i="90"/>
  <c r="AL1346" i="90"/>
  <c r="AR1346" i="90" s="1"/>
  <c r="AL1347" i="90"/>
  <c r="AT1347" i="90" s="1"/>
  <c r="AL1348" i="90"/>
  <c r="AT1348" i="90" s="1"/>
  <c r="AL1349" i="90"/>
  <c r="AT1349" i="90" s="1"/>
  <c r="AM1349" i="90" s="1"/>
  <c r="AU1349" i="90" s="1"/>
  <c r="AN1349" i="90"/>
  <c r="AW1349" i="90" s="1"/>
  <c r="AL1350" i="90"/>
  <c r="AQ1350" i="90" s="1"/>
  <c r="AL1351" i="90"/>
  <c r="AT1351" i="90" s="1"/>
  <c r="AM1351" i="90" s="1"/>
  <c r="AU1351" i="90" s="1"/>
  <c r="AL1352" i="90"/>
  <c r="AR1352" i="90" s="1"/>
  <c r="AL1353" i="90"/>
  <c r="AR1353" i="90" s="1"/>
  <c r="AL1354" i="90"/>
  <c r="AR1354" i="90" s="1"/>
  <c r="AL1355" i="90"/>
  <c r="AT1355" i="90" s="1"/>
  <c r="AM1355" i="90" s="1"/>
  <c r="AU1355" i="90" s="1"/>
  <c r="AL1356" i="90"/>
  <c r="AT1356" i="90"/>
  <c r="AN1356" i="90" s="1"/>
  <c r="AW1356" i="90" s="1"/>
  <c r="AL1357" i="90"/>
  <c r="AT1357" i="90" s="1"/>
  <c r="AN1357" i="90" s="1"/>
  <c r="AW1357" i="90" s="1"/>
  <c r="AR1357" i="90"/>
  <c r="AL1358" i="90"/>
  <c r="AR1358" i="90" s="1"/>
  <c r="AL1359" i="90"/>
  <c r="AT1359" i="90" s="1"/>
  <c r="AN1359" i="90" s="1"/>
  <c r="AW1359" i="90" s="1"/>
  <c r="AM1359" i="90"/>
  <c r="AU1359" i="90" s="1"/>
  <c r="AR1359" i="90"/>
  <c r="AL1360" i="90"/>
  <c r="AL1361" i="90"/>
  <c r="AL1362" i="90"/>
  <c r="AR1362" i="90" s="1"/>
  <c r="AL1363" i="90"/>
  <c r="AT1363" i="90" s="1"/>
  <c r="AL1364" i="90"/>
  <c r="AT1364" i="90" s="1"/>
  <c r="AO1364" i="90" s="1"/>
  <c r="AL1365" i="90"/>
  <c r="AT1365" i="90" s="1"/>
  <c r="AL1366" i="90"/>
  <c r="AR1366" i="90" s="1"/>
  <c r="AL1367" i="90"/>
  <c r="AT1367" i="90" s="1"/>
  <c r="AM1367" i="90" s="1"/>
  <c r="AU1367" i="90" s="1"/>
  <c r="AQ1367" i="90"/>
  <c r="AS1367" i="90" s="1"/>
  <c r="AR1367" i="90"/>
  <c r="AL1368" i="90"/>
  <c r="AQ1368" i="90"/>
  <c r="AL1369" i="90"/>
  <c r="AR1369" i="90" s="1"/>
  <c r="AL1370" i="90"/>
  <c r="AR1370" i="90" s="1"/>
  <c r="AT1370" i="90"/>
  <c r="AO1370" i="90" s="1"/>
  <c r="AZ1370" i="90" s="1"/>
  <c r="AL1371" i="90"/>
  <c r="AT1371" i="90" s="1"/>
  <c r="AM1371" i="90" s="1"/>
  <c r="AU1371" i="90" s="1"/>
  <c r="AL1372" i="90"/>
  <c r="AT1372" i="90"/>
  <c r="AN1372" i="90" s="1"/>
  <c r="AW1372" i="90" s="1"/>
  <c r="AL1373" i="90"/>
  <c r="AT1373" i="90" s="1"/>
  <c r="AN1373" i="90" s="1"/>
  <c r="AW1373" i="90" s="1"/>
  <c r="AL1374" i="90"/>
  <c r="AR1374" i="90" s="1"/>
  <c r="AQ1374" i="90"/>
  <c r="AT1374" i="90"/>
  <c r="AN1374" i="90" s="1"/>
  <c r="AW1374" i="90" s="1"/>
  <c r="AL1375" i="90"/>
  <c r="AT1375" i="90" s="1"/>
  <c r="AM1375" i="90" s="1"/>
  <c r="AU1375" i="90" s="1"/>
  <c r="AQ1375" i="90"/>
  <c r="AS1375" i="90" s="1"/>
  <c r="AR1375" i="90"/>
  <c r="AL1376" i="90"/>
  <c r="AQ1376" i="90" s="1"/>
  <c r="AL1377" i="90"/>
  <c r="AL1378" i="90"/>
  <c r="AR1378" i="90" s="1"/>
  <c r="AL1379" i="90"/>
  <c r="AT1379" i="90" s="1"/>
  <c r="AL1380" i="90"/>
  <c r="AL1381" i="90"/>
  <c r="AT1381" i="90" s="1"/>
  <c r="AL1382" i="90"/>
  <c r="AR1382" i="90" s="1"/>
  <c r="AL1383" i="90"/>
  <c r="AT1383" i="90" s="1"/>
  <c r="AM1383" i="90" s="1"/>
  <c r="AU1383" i="90" s="1"/>
  <c r="AN1383" i="90"/>
  <c r="AW1383" i="90" s="1"/>
  <c r="AL1384" i="90"/>
  <c r="AQ1384" i="90" s="1"/>
  <c r="AL1385" i="90"/>
  <c r="AR1385" i="90" s="1"/>
  <c r="AL1386" i="90"/>
  <c r="AR1386" i="90" s="1"/>
  <c r="AL1387" i="90"/>
  <c r="AT1387" i="90" s="1"/>
  <c r="AM1387" i="90" s="1"/>
  <c r="AU1387" i="90" s="1"/>
  <c r="AQ1387" i="90"/>
  <c r="AS1387" i="90" s="1"/>
  <c r="AL1388" i="90"/>
  <c r="AN1388" i="90"/>
  <c r="AW1388" i="90" s="1"/>
  <c r="AO1388" i="90"/>
  <c r="AZ1388" i="90" s="1"/>
  <c r="AT1388" i="90"/>
  <c r="AL1389" i="90"/>
  <c r="AT1389" i="90" s="1"/>
  <c r="AN1389" i="90"/>
  <c r="AW1389" i="90" s="1"/>
  <c r="AQ1389" i="90"/>
  <c r="AS1389" i="90" s="1"/>
  <c r="AR1389" i="90"/>
  <c r="AL1390" i="90"/>
  <c r="AR1390" i="90" s="1"/>
  <c r="AL1391" i="90"/>
  <c r="AT1391" i="90" s="1"/>
  <c r="AM1391" i="90" s="1"/>
  <c r="AU1391" i="90" s="1"/>
  <c r="AL1392" i="90"/>
  <c r="AL1393" i="90"/>
  <c r="AL1394" i="90"/>
  <c r="AR1394" i="90" s="1"/>
  <c r="AL1395" i="90"/>
  <c r="AT1395" i="90" s="1"/>
  <c r="AL1396" i="90"/>
  <c r="AL1397" i="90"/>
  <c r="AR1397" i="90" s="1"/>
  <c r="AL1398" i="90"/>
  <c r="AT1398" i="90" s="1"/>
  <c r="AM1398" i="90"/>
  <c r="AU1398" i="90" s="1"/>
  <c r="AN1398" i="90"/>
  <c r="AW1398" i="90" s="1"/>
  <c r="AQ1398" i="90"/>
  <c r="AR1398" i="90"/>
  <c r="AS1398" i="90"/>
  <c r="AL1399" i="90"/>
  <c r="AR1399" i="90" s="1"/>
  <c r="AL1400" i="90"/>
  <c r="AT1400" i="90" s="1"/>
  <c r="AM1400" i="90" s="1"/>
  <c r="AU1400" i="90" s="1"/>
  <c r="AL1401" i="90"/>
  <c r="AR1401" i="90" s="1"/>
  <c r="AQ1401" i="90"/>
  <c r="AL1402" i="90"/>
  <c r="AT1402" i="90" s="1"/>
  <c r="AL1403" i="90"/>
  <c r="AR1403" i="90" s="1"/>
  <c r="AL1404" i="90"/>
  <c r="AT1404" i="90" s="1"/>
  <c r="AM1404" i="90" s="1"/>
  <c r="AU1404" i="90" s="1"/>
  <c r="AL1405" i="90"/>
  <c r="AR1405" i="90" s="1"/>
  <c r="AL1406" i="90"/>
  <c r="AT1406" i="90" s="1"/>
  <c r="AM1406" i="90" s="1"/>
  <c r="AU1406" i="90" s="1"/>
  <c r="AL1407" i="90"/>
  <c r="AR1407" i="90" s="1"/>
  <c r="AQ1407" i="90"/>
  <c r="AL1408" i="90"/>
  <c r="AT1408" i="90" s="1"/>
  <c r="AM1408" i="90" s="1"/>
  <c r="AU1408" i="90" s="1"/>
  <c r="AL1409" i="90"/>
  <c r="AR1409" i="90" s="1"/>
  <c r="AQ1409" i="90"/>
  <c r="AT1409" i="90"/>
  <c r="AN1409" i="90" s="1"/>
  <c r="AW1409" i="90" s="1"/>
  <c r="AL1410" i="90"/>
  <c r="AT1410" i="90" s="1"/>
  <c r="AL1411" i="90"/>
  <c r="AR1411" i="90" s="1"/>
  <c r="AL1412" i="90"/>
  <c r="AT1412" i="90" s="1"/>
  <c r="AM1412" i="90" s="1"/>
  <c r="AU1412" i="90" s="1"/>
  <c r="AQ1412" i="90"/>
  <c r="AS1412" i="90" s="1"/>
  <c r="AL1413" i="90"/>
  <c r="AR1413" i="90" s="1"/>
  <c r="AL1414" i="90"/>
  <c r="AT1414" i="90" s="1"/>
  <c r="AL1415" i="90"/>
  <c r="AR1415" i="90" s="1"/>
  <c r="AL1416" i="90"/>
  <c r="AT1416" i="90" s="1"/>
  <c r="AL1417" i="90"/>
  <c r="AR1417" i="90" s="1"/>
  <c r="AQ1417" i="90"/>
  <c r="AL1418" i="90"/>
  <c r="AT1418" i="90" s="1"/>
  <c r="AL1419" i="90"/>
  <c r="AR1419" i="90" s="1"/>
  <c r="AL1420" i="90"/>
  <c r="AT1420" i="90" s="1"/>
  <c r="AL1421" i="90"/>
  <c r="AR1421" i="90" s="1"/>
  <c r="AL1422" i="90"/>
  <c r="AT1422" i="90" s="1"/>
  <c r="AL1423" i="90"/>
  <c r="AR1423" i="90" s="1"/>
  <c r="AL1424" i="90"/>
  <c r="AT1424" i="90" s="1"/>
  <c r="AL1425" i="90"/>
  <c r="AR1425" i="90" s="1"/>
  <c r="AQ1425" i="90"/>
  <c r="AL1426" i="90"/>
  <c r="AT1426" i="90" s="1"/>
  <c r="AL1427" i="90"/>
  <c r="AR1427" i="90" s="1"/>
  <c r="AL1428" i="90"/>
  <c r="AT1428" i="90" s="1"/>
  <c r="AL1429" i="90"/>
  <c r="AR1429" i="90" s="1"/>
  <c r="AL1430" i="90"/>
  <c r="AT1430" i="90" s="1"/>
  <c r="AL1431" i="90"/>
  <c r="AR1431" i="90" s="1"/>
  <c r="AL1432" i="90"/>
  <c r="AT1432" i="90" s="1"/>
  <c r="AL1433" i="90"/>
  <c r="AR1433" i="90" s="1"/>
  <c r="AQ1433" i="90"/>
  <c r="AL1434" i="90"/>
  <c r="AT1434" i="90" s="1"/>
  <c r="AL1435" i="90"/>
  <c r="AR1435" i="90" s="1"/>
  <c r="AL1436" i="90"/>
  <c r="AT1436" i="90" s="1"/>
  <c r="AL1437" i="90"/>
  <c r="AR1437" i="90" s="1"/>
  <c r="AL1438" i="90"/>
  <c r="AT1438" i="90" s="1"/>
  <c r="AL1439" i="90"/>
  <c r="AR1439" i="90" s="1"/>
  <c r="AL1440" i="90"/>
  <c r="AQ1440" i="90" s="1"/>
  <c r="AL1441" i="90"/>
  <c r="AR1441" i="90" s="1"/>
  <c r="AQ1441" i="90"/>
  <c r="AL1442" i="90"/>
  <c r="AT1442" i="90" s="1"/>
  <c r="AL1443" i="90"/>
  <c r="AR1443" i="90" s="1"/>
  <c r="AL1444" i="90"/>
  <c r="AT1444" i="90" s="1"/>
  <c r="AL1445" i="90"/>
  <c r="AR1445" i="90" s="1"/>
  <c r="AL1446" i="90"/>
  <c r="AT1446" i="90" s="1"/>
  <c r="AL1447" i="90"/>
  <c r="AR1447" i="90" s="1"/>
  <c r="AL1448" i="90"/>
  <c r="AT1448" i="90" s="1"/>
  <c r="AL1449" i="90"/>
  <c r="AR1449" i="90" s="1"/>
  <c r="AQ1449" i="90"/>
  <c r="AL1450" i="90"/>
  <c r="AT1450" i="90" s="1"/>
  <c r="AL1451" i="90"/>
  <c r="AR1451" i="90" s="1"/>
  <c r="AL1452" i="90"/>
  <c r="AT1452" i="90" s="1"/>
  <c r="AL1453" i="90"/>
  <c r="AR1453" i="90" s="1"/>
  <c r="AL1454" i="90"/>
  <c r="AT1454" i="90" s="1"/>
  <c r="AL1455" i="90"/>
  <c r="AR1455" i="90" s="1"/>
  <c r="AL1456" i="90"/>
  <c r="AQ1456" i="90" s="1"/>
  <c r="AL1457" i="90"/>
  <c r="AR1457" i="90" s="1"/>
  <c r="AQ1457" i="90"/>
  <c r="AL1458" i="90"/>
  <c r="AT1458" i="90" s="1"/>
  <c r="AL1459" i="90"/>
  <c r="AR1459" i="90" s="1"/>
  <c r="AL1460" i="90"/>
  <c r="AT1460" i="90" s="1"/>
  <c r="BW79" i="90" l="1"/>
  <c r="BW540" i="90"/>
  <c r="BW466" i="90"/>
  <c r="BW436" i="90"/>
  <c r="BW414" i="90"/>
  <c r="BW358" i="90"/>
  <c r="BW101" i="90"/>
  <c r="BW462" i="90"/>
  <c r="BW391" i="90"/>
  <c r="BW212" i="90"/>
  <c r="BW536" i="90"/>
  <c r="BW446" i="90"/>
  <c r="BW323" i="90"/>
  <c r="BW314" i="90"/>
  <c r="BW117" i="90"/>
  <c r="BW90" i="90"/>
  <c r="BW137" i="90"/>
  <c r="BW382" i="90"/>
  <c r="BW342" i="90"/>
  <c r="BW118" i="90"/>
  <c r="AR1460" i="90"/>
  <c r="AT1457" i="90"/>
  <c r="AT1455" i="90"/>
  <c r="AN1455" i="90" s="1"/>
  <c r="AW1455" i="90" s="1"/>
  <c r="AR1452" i="90"/>
  <c r="AT1449" i="90"/>
  <c r="AN1449" i="90" s="1"/>
  <c r="AW1449" i="90" s="1"/>
  <c r="AT1447" i="90"/>
  <c r="AO1447" i="90" s="1"/>
  <c r="AR1444" i="90"/>
  <c r="AT1441" i="90"/>
  <c r="AT1439" i="90"/>
  <c r="AR1436" i="90"/>
  <c r="AT1433" i="90"/>
  <c r="AO1433" i="90" s="1"/>
  <c r="AT1431" i="90"/>
  <c r="AO1431" i="90" s="1"/>
  <c r="AR1428" i="90"/>
  <c r="AT1425" i="90"/>
  <c r="AT1423" i="90"/>
  <c r="AO1423" i="90" s="1"/>
  <c r="AR1420" i="90"/>
  <c r="AT1417" i="90"/>
  <c r="AO1417" i="90" s="1"/>
  <c r="AZ1417" i="90" s="1"/>
  <c r="AT1415" i="90"/>
  <c r="AM1415" i="90" s="1"/>
  <c r="AU1415" i="90" s="1"/>
  <c r="AR1412" i="90"/>
  <c r="AR1406" i="90"/>
  <c r="AQ1404" i="90"/>
  <c r="AS1404" i="90" s="1"/>
  <c r="AT1401" i="90"/>
  <c r="AO1401" i="90" s="1"/>
  <c r="AR1387" i="90"/>
  <c r="AQ1383" i="90"/>
  <c r="AS1383" i="90" s="1"/>
  <c r="AQ1378" i="90"/>
  <c r="AR1373" i="90"/>
  <c r="AN1370" i="90"/>
  <c r="AW1370" i="90" s="1"/>
  <c r="AT1366" i="90"/>
  <c r="AQ1358" i="90"/>
  <c r="AQ1351" i="90"/>
  <c r="AS1351" i="90" s="1"/>
  <c r="AQ1349" i="90"/>
  <c r="AS1349" i="90" s="1"/>
  <c r="AN1343" i="90"/>
  <c r="AW1343" i="90" s="1"/>
  <c r="AQ1341" i="90"/>
  <c r="AS1341" i="90" s="1"/>
  <c r="AN1333" i="90"/>
  <c r="AW1333" i="90" s="1"/>
  <c r="AQ1319" i="90"/>
  <c r="AS1319" i="90" s="1"/>
  <c r="AQ1317" i="90"/>
  <c r="AS1317" i="90" s="1"/>
  <c r="AN1311" i="90"/>
  <c r="AW1311" i="90" s="1"/>
  <c r="AQ1309" i="90"/>
  <c r="AS1309" i="90" s="1"/>
  <c r="AT1306" i="90"/>
  <c r="AQ1293" i="90"/>
  <c r="AS1293" i="90" s="1"/>
  <c r="AR1291" i="90"/>
  <c r="AR1287" i="90"/>
  <c r="AT1272" i="90"/>
  <c r="AO1272" i="90" s="1"/>
  <c r="AT1256" i="90"/>
  <c r="AO1256" i="90" s="1"/>
  <c r="AZ1256" i="90" s="1"/>
  <c r="AT1240" i="90"/>
  <c r="AO1240" i="90" s="1"/>
  <c r="AY1240" i="90" s="1"/>
  <c r="AT1224" i="90"/>
  <c r="AO1224" i="90" s="1"/>
  <c r="AT1208" i="90"/>
  <c r="AO1208" i="90" s="1"/>
  <c r="AT1192" i="90"/>
  <c r="AO1192" i="90" s="1"/>
  <c r="AQ1190" i="90"/>
  <c r="AR1183" i="90"/>
  <c r="AT1176" i="90"/>
  <c r="AO1176" i="90" s="1"/>
  <c r="AQ1174" i="90"/>
  <c r="AR1167" i="90"/>
  <c r="AT1160" i="90"/>
  <c r="AO1160" i="90" s="1"/>
  <c r="AQ1158" i="90"/>
  <c r="AQ1152" i="90"/>
  <c r="AQ1150" i="90"/>
  <c r="AQ1145" i="90"/>
  <c r="AS1145" i="90" s="1"/>
  <c r="AQ1142" i="90"/>
  <c r="AQ1138" i="90"/>
  <c r="AM1130" i="90"/>
  <c r="AU1130" i="90" s="1"/>
  <c r="AQ1121" i="90"/>
  <c r="AN1118" i="90"/>
  <c r="AW1118" i="90" s="1"/>
  <c r="AR1114" i="90"/>
  <c r="AM1112" i="90"/>
  <c r="AU1112" i="90" s="1"/>
  <c r="AT1099" i="90"/>
  <c r="AO1099" i="90" s="1"/>
  <c r="AQ1089" i="90"/>
  <c r="AN1086" i="90"/>
  <c r="AW1086" i="90" s="1"/>
  <c r="AR1082" i="90"/>
  <c r="AQ1073" i="90"/>
  <c r="AT1069" i="90"/>
  <c r="AN1069" i="90" s="1"/>
  <c r="AW1069" i="90" s="1"/>
  <c r="AQ1067" i="90"/>
  <c r="AQ1064" i="90"/>
  <c r="AS1064" i="90" s="1"/>
  <c r="AR1050" i="90"/>
  <c r="AQ1043" i="90"/>
  <c r="AQ1033" i="90"/>
  <c r="AQ1031" i="90"/>
  <c r="AT1027" i="90"/>
  <c r="AQ1026" i="90"/>
  <c r="AR1022" i="90"/>
  <c r="AR1018" i="90"/>
  <c r="AQ1013" i="90"/>
  <c r="AQ1011" i="90"/>
  <c r="AT1007" i="90"/>
  <c r="AQ1006" i="90"/>
  <c r="AR1002" i="90"/>
  <c r="AQ997" i="90"/>
  <c r="AQ995" i="90"/>
  <c r="AT991" i="90"/>
  <c r="AQ990" i="90"/>
  <c r="AR986" i="90"/>
  <c r="AQ964" i="90"/>
  <c r="AS964" i="90" s="1"/>
  <c r="AQ948" i="90"/>
  <c r="AS948" i="90" s="1"/>
  <c r="AQ932" i="90"/>
  <c r="AS932" i="90" s="1"/>
  <c r="AQ930" i="90"/>
  <c r="AS930" i="90" s="1"/>
  <c r="AR906" i="90"/>
  <c r="AQ902" i="90"/>
  <c r="AS902" i="90" s="1"/>
  <c r="AR900" i="90"/>
  <c r="AR896" i="90"/>
  <c r="AR892" i="90"/>
  <c r="AR888" i="90"/>
  <c r="AR884" i="90"/>
  <c r="AR880" i="90"/>
  <c r="AR876" i="90"/>
  <c r="AR872" i="90"/>
  <c r="AR868" i="90"/>
  <c r="AR864" i="90"/>
  <c r="AR860" i="90"/>
  <c r="AT856" i="90"/>
  <c r="AO856" i="90" s="1"/>
  <c r="AZ856" i="90" s="1"/>
  <c r="AM853" i="90"/>
  <c r="AU853" i="90" s="1"/>
  <c r="AQ716" i="90"/>
  <c r="AR688" i="90"/>
  <c r="AT688" i="90"/>
  <c r="AQ688" i="90"/>
  <c r="AR680" i="90"/>
  <c r="AT680" i="90"/>
  <c r="AQ680" i="90"/>
  <c r="AS1306" i="90"/>
  <c r="AR676" i="90"/>
  <c r="AT676" i="90"/>
  <c r="AO676" i="90" s="1"/>
  <c r="AQ676" i="90"/>
  <c r="AS1409" i="90"/>
  <c r="AS1374" i="90"/>
  <c r="AQ1370" i="90"/>
  <c r="AS1370" i="90" s="1"/>
  <c r="AR1343" i="90"/>
  <c r="AR1333" i="90"/>
  <c r="AR1311" i="90"/>
  <c r="AQ1288" i="90"/>
  <c r="AT1184" i="90"/>
  <c r="AO1184" i="90" s="1"/>
  <c r="AY1184" i="90" s="1"/>
  <c r="AQ1182" i="90"/>
  <c r="AT1168" i="90"/>
  <c r="AO1168" i="90" s="1"/>
  <c r="AQ1166" i="90"/>
  <c r="AR1151" i="90"/>
  <c r="AQ1149" i="90"/>
  <c r="AN1126" i="90"/>
  <c r="AW1126" i="90" s="1"/>
  <c r="AR1118" i="90"/>
  <c r="AT1117" i="90"/>
  <c r="AN1117" i="90" s="1"/>
  <c r="AW1117" i="90" s="1"/>
  <c r="AQ1112" i="90"/>
  <c r="AS1112" i="90" s="1"/>
  <c r="AR1086" i="90"/>
  <c r="AS1051" i="90"/>
  <c r="AR938" i="90"/>
  <c r="AR934" i="90"/>
  <c r="AQ853" i="90"/>
  <c r="AS853" i="90" s="1"/>
  <c r="AR690" i="90"/>
  <c r="AT690" i="90"/>
  <c r="AQ690" i="90"/>
  <c r="AR682" i="90"/>
  <c r="AT682" i="90"/>
  <c r="AQ682" i="90"/>
  <c r="AT675" i="90"/>
  <c r="AM675" i="90" s="1"/>
  <c r="AU675" i="90" s="1"/>
  <c r="AQ675" i="90"/>
  <c r="AR675" i="90"/>
  <c r="AO1409" i="90"/>
  <c r="AZ1409" i="90" s="1"/>
  <c r="AR1404" i="90"/>
  <c r="AT1386" i="90"/>
  <c r="AN1386" i="90" s="1"/>
  <c r="AW1386" i="90" s="1"/>
  <c r="AR1383" i="90"/>
  <c r="AT1378" i="90"/>
  <c r="AN1375" i="90"/>
  <c r="AW1375" i="90" s="1"/>
  <c r="AQ1359" i="90"/>
  <c r="AS1359" i="90" s="1"/>
  <c r="AT1358" i="90"/>
  <c r="AN1358" i="90" s="1"/>
  <c r="AW1358" i="90" s="1"/>
  <c r="AR1351" i="90"/>
  <c r="AR1349" i="90"/>
  <c r="AQ1343" i="90"/>
  <c r="AS1343" i="90" s="1"/>
  <c r="AR1341" i="90"/>
  <c r="AQ1333" i="90"/>
  <c r="AS1333" i="90" s="1"/>
  <c r="AR1319" i="90"/>
  <c r="AR1317" i="90"/>
  <c r="AQ1311" i="90"/>
  <c r="AS1311" i="90" s="1"/>
  <c r="AR1309" i="90"/>
  <c r="AT1188" i="90"/>
  <c r="AO1188" i="90" s="1"/>
  <c r="AZ1188" i="90" s="1"/>
  <c r="AQ1186" i="90"/>
  <c r="AT1172" i="90"/>
  <c r="AO1172" i="90" s="1"/>
  <c r="AQ1170" i="90"/>
  <c r="AT1152" i="90"/>
  <c r="AO1152" i="90" s="1"/>
  <c r="AY1152" i="90" s="1"/>
  <c r="AR1145" i="90"/>
  <c r="AT1138" i="90"/>
  <c r="AO1138" i="90" s="1"/>
  <c r="AR1130" i="90"/>
  <c r="AQ1118" i="90"/>
  <c r="AS1118" i="90" s="1"/>
  <c r="AR1098" i="90"/>
  <c r="AM1088" i="90"/>
  <c r="AU1088" i="90" s="1"/>
  <c r="AQ1086" i="90"/>
  <c r="AS1086" i="90" s="1"/>
  <c r="AN1080" i="90"/>
  <c r="AW1080" i="90" s="1"/>
  <c r="AT1067" i="90"/>
  <c r="AO1067" i="90" s="1"/>
  <c r="AR1064" i="90"/>
  <c r="AQ1054" i="90"/>
  <c r="AS1054" i="90" s="1"/>
  <c r="AN1048" i="90"/>
  <c r="AW1048" i="90" s="1"/>
  <c r="AQ1047" i="90"/>
  <c r="AS1047" i="90" s="1"/>
  <c r="AT1043" i="90"/>
  <c r="AQ1042" i="90"/>
  <c r="AT1039" i="90"/>
  <c r="AQ1035" i="90"/>
  <c r="AT1031" i="90"/>
  <c r="AQ1030" i="90"/>
  <c r="AR1026" i="90"/>
  <c r="AQ1021" i="90"/>
  <c r="AQ1017" i="90"/>
  <c r="AQ1015" i="90"/>
  <c r="AT1011" i="90"/>
  <c r="AQ1010" i="90"/>
  <c r="AR1006" i="90"/>
  <c r="AQ1001" i="90"/>
  <c r="AQ999" i="90"/>
  <c r="AT995" i="90"/>
  <c r="AQ994" i="90"/>
  <c r="AR990" i="90"/>
  <c r="AQ985" i="90"/>
  <c r="AQ982" i="90"/>
  <c r="AS982" i="90" s="1"/>
  <c r="AQ972" i="90"/>
  <c r="AS972" i="90" s="1"/>
  <c r="AR964" i="90"/>
  <c r="AQ956" i="90"/>
  <c r="AS956" i="90" s="1"/>
  <c r="AR948" i="90"/>
  <c r="AQ940" i="90"/>
  <c r="AS940" i="90" s="1"/>
  <c r="AQ938" i="90"/>
  <c r="AS938" i="90" s="1"/>
  <c r="AQ934" i="90"/>
  <c r="AS934" i="90" s="1"/>
  <c r="AR930" i="90"/>
  <c r="AQ926" i="90"/>
  <c r="AS926" i="90" s="1"/>
  <c r="AR855" i="90"/>
  <c r="AR841" i="90"/>
  <c r="AR837" i="90"/>
  <c r="AR817" i="90"/>
  <c r="AQ816" i="90"/>
  <c r="AQ810" i="90"/>
  <c r="AQ806" i="90"/>
  <c r="AQ804" i="90"/>
  <c r="AQ800" i="90"/>
  <c r="AQ794" i="90"/>
  <c r="AQ790" i="90"/>
  <c r="AQ788" i="90"/>
  <c r="AQ784" i="90"/>
  <c r="AQ778" i="90"/>
  <c r="AQ774" i="90"/>
  <c r="AQ772" i="90"/>
  <c r="AQ768" i="90"/>
  <c r="AQ732" i="90"/>
  <c r="AO308" i="90"/>
  <c r="AM308" i="90"/>
  <c r="AU308" i="90" s="1"/>
  <c r="AO300" i="90"/>
  <c r="AY300" i="90" s="1"/>
  <c r="AM300" i="90"/>
  <c r="AU300" i="90" s="1"/>
  <c r="AR677" i="90"/>
  <c r="AT670" i="90"/>
  <c r="AO670" i="90" s="1"/>
  <c r="AR669" i="90"/>
  <c r="AQ668" i="90"/>
  <c r="AT662" i="90"/>
  <c r="AO662" i="90" s="1"/>
  <c r="AQ661" i="90"/>
  <c r="AQ659" i="90"/>
  <c r="AS659" i="90" s="1"/>
  <c r="AQ656" i="90"/>
  <c r="AQ649" i="90"/>
  <c r="AN646" i="90"/>
  <c r="AW646" i="90" s="1"/>
  <c r="AN638" i="90"/>
  <c r="AW638" i="90" s="1"/>
  <c r="AQ630" i="90"/>
  <c r="AS630" i="90" s="1"/>
  <c r="AQ617" i="90"/>
  <c r="AQ614" i="90"/>
  <c r="AS614" i="90" s="1"/>
  <c r="AQ600" i="90"/>
  <c r="AS600" i="90" s="1"/>
  <c r="AN598" i="90"/>
  <c r="AW598" i="90" s="1"/>
  <c r="AQ593" i="90"/>
  <c r="AR584" i="90"/>
  <c r="AT579" i="90"/>
  <c r="AO579" i="90" s="1"/>
  <c r="AY579" i="90" s="1"/>
  <c r="AR560" i="90"/>
  <c r="AR556" i="90"/>
  <c r="AR538" i="90"/>
  <c r="AQ537" i="90"/>
  <c r="AT522" i="90"/>
  <c r="AR521" i="90"/>
  <c r="AR511" i="90"/>
  <c r="AR510" i="90"/>
  <c r="AR508" i="90"/>
  <c r="AQ490" i="90"/>
  <c r="AT486" i="90"/>
  <c r="AT472" i="90"/>
  <c r="AQ471" i="90"/>
  <c r="AS471" i="90" s="1"/>
  <c r="AQ468" i="90"/>
  <c r="AS468" i="90" s="1"/>
  <c r="AR466" i="90"/>
  <c r="AQ462" i="90"/>
  <c r="AR460" i="90"/>
  <c r="AT458" i="90"/>
  <c r="AN458" i="90" s="1"/>
  <c r="AW458" i="90" s="1"/>
  <c r="AQ454" i="90"/>
  <c r="AS452" i="90"/>
  <c r="AR447" i="90"/>
  <c r="AR446" i="90"/>
  <c r="AR444" i="90"/>
  <c r="AQ426" i="90"/>
  <c r="AS426" i="90" s="1"/>
  <c r="AT422" i="90"/>
  <c r="AT408" i="90"/>
  <c r="AQ407" i="90"/>
  <c r="AS407" i="90" s="1"/>
  <c r="AQ404" i="90"/>
  <c r="AS404" i="90" s="1"/>
  <c r="AR399" i="90"/>
  <c r="AR397" i="90"/>
  <c r="AR396" i="90"/>
  <c r="AR391" i="90"/>
  <c r="AR389" i="90"/>
  <c r="AR388" i="90"/>
  <c r="AR383" i="90"/>
  <c r="AR381" i="90"/>
  <c r="AR380" i="90"/>
  <c r="AR375" i="90"/>
  <c r="AR373" i="90"/>
  <c r="AR372" i="90"/>
  <c r="AR367" i="90"/>
  <c r="AR365" i="90"/>
  <c r="AR364" i="90"/>
  <c r="AR359" i="90"/>
  <c r="AR357" i="90"/>
  <c r="AR356" i="90"/>
  <c r="AT349" i="90"/>
  <c r="AT347" i="90"/>
  <c r="AR346" i="90"/>
  <c r="AR340" i="90"/>
  <c r="AT332" i="90"/>
  <c r="AO332" i="90" s="1"/>
  <c r="AR329" i="90"/>
  <c r="AR308" i="90"/>
  <c r="AR300" i="90"/>
  <c r="AQ296" i="90"/>
  <c r="AS296" i="90" s="1"/>
  <c r="AT294" i="90"/>
  <c r="AS294" i="90" s="1"/>
  <c r="AR288" i="90"/>
  <c r="AT284" i="90"/>
  <c r="AR280" i="90"/>
  <c r="AQ279" i="90"/>
  <c r="AT271" i="90"/>
  <c r="AQ268" i="90"/>
  <c r="AS268" i="90" s="1"/>
  <c r="AT261" i="90"/>
  <c r="AO261" i="90" s="1"/>
  <c r="AR259" i="90"/>
  <c r="AQ245" i="90"/>
  <c r="AR243" i="90"/>
  <c r="AR231" i="90"/>
  <c r="AQ227" i="90"/>
  <c r="AS227" i="90" s="1"/>
  <c r="AQ216" i="90"/>
  <c r="AR202" i="90"/>
  <c r="AT202" i="90"/>
  <c r="AR183" i="90"/>
  <c r="AT181" i="90"/>
  <c r="AM181" i="90" s="1"/>
  <c r="AU181" i="90" s="1"/>
  <c r="AQ181" i="90"/>
  <c r="AS181" i="90" s="1"/>
  <c r="AQ163" i="90"/>
  <c r="AR163" i="90"/>
  <c r="AS579" i="90"/>
  <c r="AS466" i="90"/>
  <c r="AS460" i="90"/>
  <c r="AM286" i="90"/>
  <c r="AU286" i="90" s="1"/>
  <c r="AS247" i="90"/>
  <c r="AT232" i="90"/>
  <c r="AO232" i="90" s="1"/>
  <c r="AN231" i="90"/>
  <c r="AW231" i="90" s="1"/>
  <c r="AT213" i="90"/>
  <c r="AQ213" i="90"/>
  <c r="AS213" i="90" s="1"/>
  <c r="AT159" i="90"/>
  <c r="AO159" i="90" s="1"/>
  <c r="AY159" i="90" s="1"/>
  <c r="AR159" i="90"/>
  <c r="AQ156" i="90"/>
  <c r="AT156" i="90"/>
  <c r="AO156" i="90" s="1"/>
  <c r="AQ151" i="90"/>
  <c r="AT151" i="90"/>
  <c r="AO151" i="90" s="1"/>
  <c r="AR149" i="90"/>
  <c r="AQ149" i="90"/>
  <c r="AR667" i="90"/>
  <c r="AR646" i="90"/>
  <c r="AR536" i="90"/>
  <c r="AT535" i="90"/>
  <c r="AO535" i="90" s="1"/>
  <c r="AS533" i="90"/>
  <c r="AT520" i="90"/>
  <c r="AO520" i="90" s="1"/>
  <c r="AS506" i="90"/>
  <c r="AR464" i="90"/>
  <c r="AR463" i="90"/>
  <c r="AT462" i="90"/>
  <c r="AS442" i="90"/>
  <c r="AS436" i="90"/>
  <c r="AQ352" i="90"/>
  <c r="AR350" i="90"/>
  <c r="AS349" i="90"/>
  <c r="AM344" i="90"/>
  <c r="AU344" i="90" s="1"/>
  <c r="AT339" i="90"/>
  <c r="AN339" i="90" s="1"/>
  <c r="AW339" i="90" s="1"/>
  <c r="AM336" i="90"/>
  <c r="AU336" i="90" s="1"/>
  <c r="AO333" i="90"/>
  <c r="AY333" i="90" s="1"/>
  <c r="AT328" i="90"/>
  <c r="AN328" i="90" s="1"/>
  <c r="AW328" i="90" s="1"/>
  <c r="AO325" i="90"/>
  <c r="AY325" i="90" s="1"/>
  <c r="AO323" i="90"/>
  <c r="AY323" i="90" s="1"/>
  <c r="AR298" i="90"/>
  <c r="AT295" i="90"/>
  <c r="AR294" i="90"/>
  <c r="AR284" i="90"/>
  <c r="AQ269" i="90"/>
  <c r="AS269" i="90" s="1"/>
  <c r="AR258" i="90"/>
  <c r="AT256" i="90"/>
  <c r="AO256" i="90" s="1"/>
  <c r="AY256" i="90" s="1"/>
  <c r="AR255" i="90"/>
  <c r="AR248" i="90"/>
  <c r="AT247" i="90"/>
  <c r="AT239" i="90"/>
  <c r="AN239" i="90" s="1"/>
  <c r="AW239" i="90" s="1"/>
  <c r="AQ232" i="90"/>
  <c r="AS232" i="90" s="1"/>
  <c r="AR229" i="90"/>
  <c r="AN221" i="90"/>
  <c r="AW221" i="90" s="1"/>
  <c r="AT218" i="90"/>
  <c r="AR215" i="90"/>
  <c r="AR208" i="90"/>
  <c r="AT208" i="90"/>
  <c r="AO208" i="90" s="1"/>
  <c r="AQ208" i="90"/>
  <c r="AS208" i="90" s="1"/>
  <c r="AR193" i="90"/>
  <c r="AN169" i="90"/>
  <c r="AW169" i="90" s="1"/>
  <c r="AM169" i="90"/>
  <c r="AU169" i="90" s="1"/>
  <c r="AQ160" i="90"/>
  <c r="AS160" i="90" s="1"/>
  <c r="AR158" i="90"/>
  <c r="AT158" i="90"/>
  <c r="AN150" i="90"/>
  <c r="AW150" i="90" s="1"/>
  <c r="AO150" i="90"/>
  <c r="AQ674" i="90"/>
  <c r="AT668" i="90"/>
  <c r="AO668" i="90" s="1"/>
  <c r="AY668" i="90" s="1"/>
  <c r="AQ667" i="90"/>
  <c r="AS667" i="90" s="1"/>
  <c r="AQ666" i="90"/>
  <c r="AR661" i="90"/>
  <c r="AQ658" i="90"/>
  <c r="AQ653" i="90"/>
  <c r="AM648" i="90"/>
  <c r="AU648" i="90" s="1"/>
  <c r="AQ646" i="90"/>
  <c r="AS646" i="90" s="1"/>
  <c r="AQ643" i="90"/>
  <c r="AQ640" i="90"/>
  <c r="AS640" i="90" s="1"/>
  <c r="AR630" i="90"/>
  <c r="AS627" i="90"/>
  <c r="AQ624" i="90"/>
  <c r="AS624" i="90" s="1"/>
  <c r="AR602" i="90"/>
  <c r="AQ598" i="90"/>
  <c r="AS598" i="90" s="1"/>
  <c r="AR592" i="90"/>
  <c r="AR586" i="90"/>
  <c r="AQ536" i="90"/>
  <c r="AQ535" i="90"/>
  <c r="AS535" i="90" s="1"/>
  <c r="AQ520" i="90"/>
  <c r="AS520" i="90" s="1"/>
  <c r="AT518" i="90"/>
  <c r="AO518" i="90" s="1"/>
  <c r="AY518" i="90" s="1"/>
  <c r="AT510" i="90"/>
  <c r="AR490" i="90"/>
  <c r="AS482" i="90"/>
  <c r="AR471" i="90"/>
  <c r="AR468" i="90"/>
  <c r="AQ463" i="90"/>
  <c r="AS463" i="90" s="1"/>
  <c r="AT456" i="90"/>
  <c r="AO456" i="90" s="1"/>
  <c r="AT446" i="90"/>
  <c r="AR426" i="90"/>
  <c r="AS418" i="90"/>
  <c r="AS412" i="90"/>
  <c r="AR407" i="90"/>
  <c r="AR404" i="90"/>
  <c r="AT396" i="90"/>
  <c r="AO396" i="90" s="1"/>
  <c r="AT388" i="90"/>
  <c r="AO388" i="90" s="1"/>
  <c r="AT380" i="90"/>
  <c r="AO380" i="90" s="1"/>
  <c r="AY380" i="90" s="1"/>
  <c r="AT372" i="90"/>
  <c r="AO372" i="90" s="1"/>
  <c r="AY372" i="90" s="1"/>
  <c r="AT364" i="90"/>
  <c r="AO364" i="90" s="1"/>
  <c r="AT356" i="90"/>
  <c r="AO356" i="90" s="1"/>
  <c r="AT340" i="90"/>
  <c r="AO340" i="90" s="1"/>
  <c r="AY340" i="90" s="1"/>
  <c r="AT329" i="90"/>
  <c r="AM329" i="90" s="1"/>
  <c r="AU329" i="90" s="1"/>
  <c r="AM302" i="90"/>
  <c r="AU302" i="90" s="1"/>
  <c r="AR296" i="90"/>
  <c r="AM292" i="90"/>
  <c r="AU292" i="90" s="1"/>
  <c r="AT279" i="90"/>
  <c r="AS271" i="90"/>
  <c r="AT259" i="90"/>
  <c r="AO259" i="90" s="1"/>
  <c r="AQ256" i="90"/>
  <c r="AS239" i="90"/>
  <c r="AT216" i="90"/>
  <c r="AO216" i="90" s="1"/>
  <c r="AR213" i="90"/>
  <c r="AT211" i="90"/>
  <c r="AR211" i="90"/>
  <c r="AR155" i="90"/>
  <c r="AQ155" i="90"/>
  <c r="AS155" i="90" s="1"/>
  <c r="AR150" i="90"/>
  <c r="AQ150" i="90"/>
  <c r="AS150" i="90" s="1"/>
  <c r="AQ141" i="90"/>
  <c r="AQ138" i="90"/>
  <c r="AS138" i="90" s="1"/>
  <c r="AQ137" i="90"/>
  <c r="AQ132" i="90"/>
  <c r="AQ131" i="90"/>
  <c r="AS131" i="90" s="1"/>
  <c r="AM129" i="90"/>
  <c r="AU129" i="90" s="1"/>
  <c r="AS128" i="90"/>
  <c r="AT122" i="90"/>
  <c r="AN122" i="90" s="1"/>
  <c r="AR120" i="90"/>
  <c r="AO115" i="90"/>
  <c r="AY115" i="90" s="1"/>
  <c r="AQ114" i="90"/>
  <c r="AT110" i="90"/>
  <c r="AO110" i="90" s="1"/>
  <c r="AY110" i="90" s="1"/>
  <c r="AQ104" i="90"/>
  <c r="AT102" i="90"/>
  <c r="AT97" i="90"/>
  <c r="AO97" i="90" s="1"/>
  <c r="AY97" i="90" s="1"/>
  <c r="AT95" i="90"/>
  <c r="AO95" i="90" s="1"/>
  <c r="AM92" i="90"/>
  <c r="AU92" i="90" s="1"/>
  <c r="AT90" i="90"/>
  <c r="AQ89" i="90"/>
  <c r="AQ81" i="90"/>
  <c r="AS81" i="90" s="1"/>
  <c r="AR68" i="90"/>
  <c r="AR61" i="90"/>
  <c r="AT48" i="90"/>
  <c r="AQ46" i="90"/>
  <c r="AM45" i="90"/>
  <c r="AU45" i="90" s="1"/>
  <c r="AQ42" i="90"/>
  <c r="AQ34" i="90"/>
  <c r="AQ32" i="90"/>
  <c r="AN21" i="90"/>
  <c r="AW21" i="90" s="1"/>
  <c r="AN19" i="90"/>
  <c r="AW19" i="90" s="1"/>
  <c r="AT14" i="90"/>
  <c r="AO14" i="90" s="1"/>
  <c r="AY14" i="90" s="1"/>
  <c r="AT1495" i="90"/>
  <c r="AO1495" i="90" s="1"/>
  <c r="AT1493" i="90"/>
  <c r="AO1493" i="90" s="1"/>
  <c r="AQ1487" i="90"/>
  <c r="AR1482" i="90"/>
  <c r="AN1480" i="90"/>
  <c r="AW1480" i="90" s="1"/>
  <c r="AT1475" i="90"/>
  <c r="AQ1468" i="90"/>
  <c r="AR1466" i="90"/>
  <c r="AQ1461" i="90"/>
  <c r="AR1598" i="90"/>
  <c r="AT1584" i="90"/>
  <c r="AQ1575" i="90"/>
  <c r="AT1565" i="90"/>
  <c r="AN1565" i="90" s="1"/>
  <c r="AQ1565" i="90"/>
  <c r="AS1565" i="90" s="1"/>
  <c r="AR1565" i="90"/>
  <c r="AT1539" i="90"/>
  <c r="AQ1539" i="90"/>
  <c r="AR1539" i="90"/>
  <c r="AS120" i="90"/>
  <c r="AS95" i="90"/>
  <c r="AQ48" i="90"/>
  <c r="AT16" i="90"/>
  <c r="AN16" i="90" s="1"/>
  <c r="AW16" i="90" s="1"/>
  <c r="AQ12" i="90"/>
  <c r="AQ1495" i="90"/>
  <c r="AS1495" i="90" s="1"/>
  <c r="AQ1493" i="90"/>
  <c r="AS1493" i="90" s="1"/>
  <c r="AQ1472" i="90"/>
  <c r="AT1463" i="90"/>
  <c r="AT1551" i="90"/>
  <c r="AR1551" i="90"/>
  <c r="AT1535" i="90"/>
  <c r="AR1535" i="90"/>
  <c r="AT1500" i="90"/>
  <c r="AN1500" i="90" s="1"/>
  <c r="AW1500" i="90" s="1"/>
  <c r="AQ1500" i="90"/>
  <c r="AR1500" i="90"/>
  <c r="AT141" i="90"/>
  <c r="AN141" i="90" s="1"/>
  <c r="AW141" i="90" s="1"/>
  <c r="AR129" i="90"/>
  <c r="AR115" i="90"/>
  <c r="AT114" i="90"/>
  <c r="AS105" i="90"/>
  <c r="AR99" i="90"/>
  <c r="AT94" i="90"/>
  <c r="AR92" i="90"/>
  <c r="AT82" i="90"/>
  <c r="AS1599" i="90"/>
  <c r="AS1591" i="90"/>
  <c r="AT1541" i="90"/>
  <c r="AN1541" i="90" s="1"/>
  <c r="AW1541" i="90" s="1"/>
  <c r="AQ1541" i="90"/>
  <c r="AS1541" i="90" s="1"/>
  <c r="AT1537" i="90"/>
  <c r="AN1537" i="90" s="1"/>
  <c r="AW1537" i="90" s="1"/>
  <c r="AR1537" i="90"/>
  <c r="AQ1518" i="90"/>
  <c r="AR1518" i="90"/>
  <c r="AT1518" i="90"/>
  <c r="AN207" i="90"/>
  <c r="AW207" i="90" s="1"/>
  <c r="AQ205" i="90"/>
  <c r="AS205" i="90" s="1"/>
  <c r="AQ189" i="90"/>
  <c r="AS189" i="90" s="1"/>
  <c r="AM161" i="90"/>
  <c r="AU161" i="90" s="1"/>
  <c r="AM153" i="90"/>
  <c r="AU153" i="90" s="1"/>
  <c r="AR137" i="90"/>
  <c r="AT135" i="90"/>
  <c r="AN135" i="90" s="1"/>
  <c r="AW135" i="90" s="1"/>
  <c r="AT130" i="90"/>
  <c r="AO130" i="90" s="1"/>
  <c r="AY130" i="90" s="1"/>
  <c r="AR128" i="90"/>
  <c r="AM118" i="90"/>
  <c r="AU118" i="90" s="1"/>
  <c r="AR113" i="90"/>
  <c r="AQ109" i="90"/>
  <c r="AM108" i="90"/>
  <c r="AU108" i="90" s="1"/>
  <c r="AM106" i="90"/>
  <c r="AU106" i="90" s="1"/>
  <c r="AT104" i="90"/>
  <c r="AQ101" i="90"/>
  <c r="AM100" i="90"/>
  <c r="AU100" i="90" s="1"/>
  <c r="AQ94" i="90"/>
  <c r="AQ93" i="90"/>
  <c r="AT89" i="90"/>
  <c r="AO89" i="90" s="1"/>
  <c r="AY89" i="90" s="1"/>
  <c r="AT88" i="90"/>
  <c r="AN88" i="90" s="1"/>
  <c r="AM86" i="90"/>
  <c r="AU86" i="90" s="1"/>
  <c r="AT83" i="90"/>
  <c r="AO83" i="90" s="1"/>
  <c r="AQ82" i="90"/>
  <c r="AT80" i="90"/>
  <c r="AQ79" i="90"/>
  <c r="AS79" i="90" s="1"/>
  <c r="AM76" i="90"/>
  <c r="AU76" i="90" s="1"/>
  <c r="AR66" i="90"/>
  <c r="AQ45" i="90"/>
  <c r="AS45" i="90" s="1"/>
  <c r="AQ44" i="90"/>
  <c r="AS44" i="90" s="1"/>
  <c r="AT42" i="90"/>
  <c r="AQ40" i="90"/>
  <c r="AQ38" i="90"/>
  <c r="AQ36" i="90"/>
  <c r="AT34" i="90"/>
  <c r="AT24" i="90"/>
  <c r="AO24" i="90" s="1"/>
  <c r="AZ24" i="90" s="1"/>
  <c r="AR19" i="90"/>
  <c r="AQ17" i="90"/>
  <c r="AS17" i="90" s="1"/>
  <c r="AM13" i="90"/>
  <c r="AU13" i="90" s="1"/>
  <c r="AR7" i="90"/>
  <c r="AT1489" i="90"/>
  <c r="AT1487" i="90"/>
  <c r="AO1487" i="90" s="1"/>
  <c r="AQ1485" i="90"/>
  <c r="AS1485" i="90" s="1"/>
  <c r="AR1480" i="90"/>
  <c r="AT1471" i="90"/>
  <c r="AR1468" i="90"/>
  <c r="AQ1464" i="90"/>
  <c r="AQ1604" i="90"/>
  <c r="AS1604" i="90" s="1"/>
  <c r="AR1596" i="90"/>
  <c r="AQ1583" i="90"/>
  <c r="AT1566" i="90"/>
  <c r="AM1566" i="90" s="1"/>
  <c r="AU1566" i="90" s="1"/>
  <c r="AQ1566" i="90"/>
  <c r="AS1571" i="90"/>
  <c r="AR1557" i="90"/>
  <c r="AQ1544" i="90"/>
  <c r="AQ1528" i="90"/>
  <c r="AR1524" i="90"/>
  <c r="BR578" i="90"/>
  <c r="BP559" i="90"/>
  <c r="BR543" i="90"/>
  <c r="BR535" i="90"/>
  <c r="BT535" i="90" s="1"/>
  <c r="BR534" i="90"/>
  <c r="BS533" i="90"/>
  <c r="BS532" i="90"/>
  <c r="BO532" i="90" s="1"/>
  <c r="BP530" i="90"/>
  <c r="BP526" i="90"/>
  <c r="BS522" i="90"/>
  <c r="BN522" i="90" s="1"/>
  <c r="BU522" i="90" s="1"/>
  <c r="BS518" i="90"/>
  <c r="BN518" i="90" s="1"/>
  <c r="BU518" i="90" s="1"/>
  <c r="BO517" i="90"/>
  <c r="BS513" i="90"/>
  <c r="BN513" i="90" s="1"/>
  <c r="BR510" i="90"/>
  <c r="BP502" i="90"/>
  <c r="BR498" i="90"/>
  <c r="BS496" i="90"/>
  <c r="BO496" i="90" s="1"/>
  <c r="BS494" i="90"/>
  <c r="BN494" i="90" s="1"/>
  <c r="BT493" i="90"/>
  <c r="BS489" i="90"/>
  <c r="BN489" i="90" s="1"/>
  <c r="BR486" i="90"/>
  <c r="BR478" i="90"/>
  <c r="BT477" i="90"/>
  <c r="BS473" i="90"/>
  <c r="BN473" i="90" s="1"/>
  <c r="BR470" i="90"/>
  <c r="BT470" i="90" s="1"/>
  <c r="BR462" i="90"/>
  <c r="BT462" i="90" s="1"/>
  <c r="BS461" i="90"/>
  <c r="BN461" i="90" s="1"/>
  <c r="BU461" i="90" s="1"/>
  <c r="BS457" i="90"/>
  <c r="BN457" i="90" s="1"/>
  <c r="BP454" i="90"/>
  <c r="BO450" i="90"/>
  <c r="BR448" i="90"/>
  <c r="BR444" i="90"/>
  <c r="BT444" i="90" s="1"/>
  <c r="BO442" i="90"/>
  <c r="BS440" i="90"/>
  <c r="BO440" i="90" s="1"/>
  <c r="BS438" i="90"/>
  <c r="BN438" i="90" s="1"/>
  <c r="BU438" i="90" s="1"/>
  <c r="BO437" i="90"/>
  <c r="BN436" i="90"/>
  <c r="BT434" i="90"/>
  <c r="BS429" i="90"/>
  <c r="BP425" i="90"/>
  <c r="BO423" i="90"/>
  <c r="BR420" i="90"/>
  <c r="BR419" i="90"/>
  <c r="BO415" i="90"/>
  <c r="BN414" i="90"/>
  <c r="BS406" i="90"/>
  <c r="BO406" i="90" s="1"/>
  <c r="BT403" i="90"/>
  <c r="BP396" i="90"/>
  <c r="BO395" i="90"/>
  <c r="BP388" i="90"/>
  <c r="BO387" i="90"/>
  <c r="BS374" i="90"/>
  <c r="BO374" i="90" s="1"/>
  <c r="BS370" i="90"/>
  <c r="BT367" i="90"/>
  <c r="BR364" i="90"/>
  <c r="BS363" i="90"/>
  <c r="BS362" i="90"/>
  <c r="BP360" i="90"/>
  <c r="BP359" i="90"/>
  <c r="BO355" i="90"/>
  <c r="BP352" i="90"/>
  <c r="BP351" i="90"/>
  <c r="BR350" i="90"/>
  <c r="BR346" i="90"/>
  <c r="BO129" i="90"/>
  <c r="BN129" i="90"/>
  <c r="BU129" i="90" s="1"/>
  <c r="AS1576" i="90"/>
  <c r="AT1573" i="90"/>
  <c r="AO1573" i="90" s="1"/>
  <c r="AT1567" i="90"/>
  <c r="AO1567" i="90" s="1"/>
  <c r="AT1563" i="90"/>
  <c r="AQ1557" i="90"/>
  <c r="AS1557" i="90" s="1"/>
  <c r="AT1552" i="90"/>
  <c r="AO1552" i="90" s="1"/>
  <c r="AZ1552" i="90" s="1"/>
  <c r="AT1498" i="90"/>
  <c r="AO1498" i="90" s="1"/>
  <c r="BR574" i="90"/>
  <c r="BP555" i="90"/>
  <c r="BP543" i="90"/>
  <c r="BP535" i="90"/>
  <c r="BP534" i="90"/>
  <c r="BR533" i="90"/>
  <c r="BT533" i="90" s="1"/>
  <c r="BT530" i="90"/>
  <c r="BO526" i="90"/>
  <c r="BR524" i="90"/>
  <c r="BP522" i="90"/>
  <c r="BT518" i="90"/>
  <c r="BR513" i="90"/>
  <c r="BT502" i="90"/>
  <c r="BR496" i="90"/>
  <c r="BT496" i="90" s="1"/>
  <c r="BP494" i="90"/>
  <c r="BS490" i="90"/>
  <c r="BN490" i="90" s="1"/>
  <c r="BR489" i="90"/>
  <c r="BR484" i="90"/>
  <c r="BS482" i="90"/>
  <c r="BR481" i="90"/>
  <c r="BS474" i="90"/>
  <c r="BN474" i="90" s="1"/>
  <c r="BU474" i="90" s="1"/>
  <c r="BR473" i="90"/>
  <c r="BR468" i="90"/>
  <c r="BR465" i="90"/>
  <c r="BS458" i="90"/>
  <c r="BN458" i="90" s="1"/>
  <c r="BU458" i="90" s="1"/>
  <c r="BO454" i="90"/>
  <c r="BR452" i="90"/>
  <c r="BR445" i="90"/>
  <c r="BR440" i="90"/>
  <c r="BT438" i="90"/>
  <c r="BR429" i="90"/>
  <c r="BT429" i="90" s="1"/>
  <c r="BS427" i="90"/>
  <c r="BN427" i="90" s="1"/>
  <c r="BP420" i="90"/>
  <c r="BS411" i="90"/>
  <c r="BN411" i="90" s="1"/>
  <c r="BU411" i="90" s="1"/>
  <c r="BR406" i="90"/>
  <c r="BS402" i="90"/>
  <c r="BP392" i="90"/>
  <c r="BP384" i="90"/>
  <c r="BS375" i="90"/>
  <c r="BN375" i="90" s="1"/>
  <c r="BR374" i="90"/>
  <c r="BR372" i="90"/>
  <c r="BR370" i="90"/>
  <c r="BR366" i="90"/>
  <c r="BP364" i="90"/>
  <c r="BR363" i="90"/>
  <c r="BO359" i="90"/>
  <c r="BO351" i="90"/>
  <c r="BS347" i="90"/>
  <c r="BN347" i="90" s="1"/>
  <c r="BT522" i="90"/>
  <c r="BT494" i="90"/>
  <c r="BT427" i="90"/>
  <c r="AS1563" i="90"/>
  <c r="BR517" i="90"/>
  <c r="BT517" i="90" s="1"/>
  <c r="BT514" i="90"/>
  <c r="BS510" i="90"/>
  <c r="BT506" i="90"/>
  <c r="BS498" i="90"/>
  <c r="BS486" i="90"/>
  <c r="BS478" i="90"/>
  <c r="BT474" i="90"/>
  <c r="BS470" i="90"/>
  <c r="BT458" i="90"/>
  <c r="BT437" i="90"/>
  <c r="BO433" i="90"/>
  <c r="BT430" i="90"/>
  <c r="BS419" i="90"/>
  <c r="BT414" i="90"/>
  <c r="BT395" i="90"/>
  <c r="BT387" i="90"/>
  <c r="BT347" i="90"/>
  <c r="BR342" i="90"/>
  <c r="BR338" i="90"/>
  <c r="BR336" i="90"/>
  <c r="BT314" i="90"/>
  <c r="BT309" i="90"/>
  <c r="BP305" i="90"/>
  <c r="BR304" i="90"/>
  <c r="BR303" i="90"/>
  <c r="BP301" i="90"/>
  <c r="BR300" i="90"/>
  <c r="BR293" i="90"/>
  <c r="BT293" i="90" s="1"/>
  <c r="BS276" i="90"/>
  <c r="BN276" i="90" s="1"/>
  <c r="BU276" i="90" s="1"/>
  <c r="BR268" i="90"/>
  <c r="BT268" i="90" s="1"/>
  <c r="BR266" i="90"/>
  <c r="BT266" i="90" s="1"/>
  <c r="BO264" i="90"/>
  <c r="BR257" i="90"/>
  <c r="BT257" i="90" s="1"/>
  <c r="BS255" i="90"/>
  <c r="BO255" i="90" s="1"/>
  <c r="BP253" i="90"/>
  <c r="BP236" i="90"/>
  <c r="BS231" i="90"/>
  <c r="BP228" i="90"/>
  <c r="BO220" i="90"/>
  <c r="BR209" i="90"/>
  <c r="BT209" i="90" s="1"/>
  <c r="BR208" i="90"/>
  <c r="BS207" i="90"/>
  <c r="BO197" i="90"/>
  <c r="BP194" i="90"/>
  <c r="BP193" i="90"/>
  <c r="BO181" i="90"/>
  <c r="BP170" i="90"/>
  <c r="BS161" i="90"/>
  <c r="BN161" i="90" s="1"/>
  <c r="BU161" i="90" s="1"/>
  <c r="BT153" i="90"/>
  <c r="BS141" i="90"/>
  <c r="BS139" i="90"/>
  <c r="BN139" i="90" s="1"/>
  <c r="BN134" i="90"/>
  <c r="BU134" i="90" s="1"/>
  <c r="BS127" i="90"/>
  <c r="BS125" i="90"/>
  <c r="BO125" i="90" s="1"/>
  <c r="BX125" i="90" s="1"/>
  <c r="BP123" i="90"/>
  <c r="BT111" i="90"/>
  <c r="BR108" i="90"/>
  <c r="BT108" i="90" s="1"/>
  <c r="BP107" i="90"/>
  <c r="BO106" i="90"/>
  <c r="BR100" i="90"/>
  <c r="BT100" i="90" s="1"/>
  <c r="BS98" i="90"/>
  <c r="BO98" i="90" s="1"/>
  <c r="BP92" i="90"/>
  <c r="BN90" i="90"/>
  <c r="BO89" i="90"/>
  <c r="BP88" i="90"/>
  <c r="BS72" i="90"/>
  <c r="BR71" i="90"/>
  <c r="BR70" i="90"/>
  <c r="BS68" i="90"/>
  <c r="BR64" i="90"/>
  <c r="BT64" i="90" s="1"/>
  <c r="BT60" i="90"/>
  <c r="BR57" i="90"/>
  <c r="BT52" i="90"/>
  <c r="BS48" i="90"/>
  <c r="BP41" i="90"/>
  <c r="BR40" i="90"/>
  <c r="BR38" i="90"/>
  <c r="BS34" i="90"/>
  <c r="BO34" i="90" s="1"/>
  <c r="BO30" i="90"/>
  <c r="BS24" i="90"/>
  <c r="BN24" i="90" s="1"/>
  <c r="BU24" i="90" s="1"/>
  <c r="BS22" i="90"/>
  <c r="BO22" i="90" s="1"/>
  <c r="BS16" i="90"/>
  <c r="BP15" i="90"/>
  <c r="BR11" i="90"/>
  <c r="BT11" i="90" s="1"/>
  <c r="BS327" i="90"/>
  <c r="BR320" i="90"/>
  <c r="BS319" i="90"/>
  <c r="BS318" i="90"/>
  <c r="BS313" i="90"/>
  <c r="BN313" i="90" s="1"/>
  <c r="BU313" i="90" s="1"/>
  <c r="BS308" i="90"/>
  <c r="BO308" i="90" s="1"/>
  <c r="BO305" i="90"/>
  <c r="BX305" i="90" s="1"/>
  <c r="BP304" i="90"/>
  <c r="BO301" i="90"/>
  <c r="BP293" i="90"/>
  <c r="BS284" i="90"/>
  <c r="BN284" i="90" s="1"/>
  <c r="BR276" i="90"/>
  <c r="BP268" i="90"/>
  <c r="BP257" i="90"/>
  <c r="BR255" i="90"/>
  <c r="BO253" i="90"/>
  <c r="BR249" i="90"/>
  <c r="BT249" i="90" s="1"/>
  <c r="BO236" i="90"/>
  <c r="BS232" i="90"/>
  <c r="BO228" i="90"/>
  <c r="BP224" i="90"/>
  <c r="BP209" i="90"/>
  <c r="BR207" i="90"/>
  <c r="BP201" i="90"/>
  <c r="BT181" i="90"/>
  <c r="BR171" i="90"/>
  <c r="BT171" i="90" s="1"/>
  <c r="BO170" i="90"/>
  <c r="BP158" i="90"/>
  <c r="BS149" i="90"/>
  <c r="BS142" i="90"/>
  <c r="BR141" i="90"/>
  <c r="BP139" i="90"/>
  <c r="BR110" i="90"/>
  <c r="BP100" i="90"/>
  <c r="BP65" i="90"/>
  <c r="BP64" i="90"/>
  <c r="BR59" i="90"/>
  <c r="BP57" i="90"/>
  <c r="BP43" i="90"/>
  <c r="BO41" i="90"/>
  <c r="BP40" i="90"/>
  <c r="BP38" i="90"/>
  <c r="BR34" i="90"/>
  <c r="BR22" i="90"/>
  <c r="BR16" i="90"/>
  <c r="BP11" i="90"/>
  <c r="BO331" i="90"/>
  <c r="BP324" i="90"/>
  <c r="BP314" i="90"/>
  <c r="BP309" i="90"/>
  <c r="BR307" i="90"/>
  <c r="BS303" i="90"/>
  <c r="BS300" i="90"/>
  <c r="BN300" i="90" s="1"/>
  <c r="BU300" i="90" s="1"/>
  <c r="BR296" i="90"/>
  <c r="BP285" i="90"/>
  <c r="BT280" i="90"/>
  <c r="BS275" i="90"/>
  <c r="BS252" i="90"/>
  <c r="BP202" i="90"/>
  <c r="BP200" i="90"/>
  <c r="BP197" i="90"/>
  <c r="BR193" i="90"/>
  <c r="BT193" i="90" s="1"/>
  <c r="BO189" i="90"/>
  <c r="BO185" i="90"/>
  <c r="BX185" i="90" s="1"/>
  <c r="BP183" i="90"/>
  <c r="BR170" i="90"/>
  <c r="BT170" i="90" s="1"/>
  <c r="BS169" i="90"/>
  <c r="BP167" i="90"/>
  <c r="BP157" i="90"/>
  <c r="BO153" i="90"/>
  <c r="BO111" i="90"/>
  <c r="BR106" i="90"/>
  <c r="BT106" i="90" s="1"/>
  <c r="BS96" i="90"/>
  <c r="BN96" i="90" s="1"/>
  <c r="BU96" i="90" s="1"/>
  <c r="BR94" i="90"/>
  <c r="BN91" i="90"/>
  <c r="BP89" i="90"/>
  <c r="BO80" i="90"/>
  <c r="BS71" i="90"/>
  <c r="BS70" i="90"/>
  <c r="BS63" i="90"/>
  <c r="BO60" i="90"/>
  <c r="BO52" i="90"/>
  <c r="BS46" i="90"/>
  <c r="BP45" i="90"/>
  <c r="BP44" i="90"/>
  <c r="BO37" i="90"/>
  <c r="BR29" i="90"/>
  <c r="BR15" i="90"/>
  <c r="BT15" i="90" s="1"/>
  <c r="BR14" i="90"/>
  <c r="AY129" i="90"/>
  <c r="AY248" i="90"/>
  <c r="AY272" i="90"/>
  <c r="BW517" i="90"/>
  <c r="AR1458" i="90"/>
  <c r="AQ1455" i="90"/>
  <c r="AT1453" i="90"/>
  <c r="AN1453" i="90" s="1"/>
  <c r="AW1453" i="90" s="1"/>
  <c r="AR1450" i="90"/>
  <c r="AQ1447" i="90"/>
  <c r="AT1445" i="90"/>
  <c r="AN1445" i="90" s="1"/>
  <c r="AW1445" i="90" s="1"/>
  <c r="AR1442" i="90"/>
  <c r="AQ1439" i="90"/>
  <c r="AT1437" i="90"/>
  <c r="AO1437" i="90" s="1"/>
  <c r="AY1437" i="90" s="1"/>
  <c r="AR1434" i="90"/>
  <c r="AQ1431" i="90"/>
  <c r="AT1429" i="90"/>
  <c r="AM1429" i="90" s="1"/>
  <c r="AU1429" i="90" s="1"/>
  <c r="AR1426" i="90"/>
  <c r="AQ1423" i="90"/>
  <c r="AT1421" i="90"/>
  <c r="AR1418" i="90"/>
  <c r="AQ1415" i="90"/>
  <c r="AN1412" i="90"/>
  <c r="AW1412" i="90" s="1"/>
  <c r="AQ1406" i="90"/>
  <c r="AS1406" i="90" s="1"/>
  <c r="AN1404" i="90"/>
  <c r="AW1404" i="90" s="1"/>
  <c r="AR1402" i="90"/>
  <c r="AQ1399" i="90"/>
  <c r="AT1394" i="90"/>
  <c r="AQ1391" i="90"/>
  <c r="AS1391" i="90" s="1"/>
  <c r="AT1390" i="90"/>
  <c r="AN1390" i="90" s="1"/>
  <c r="AW1390" i="90" s="1"/>
  <c r="AQ1386" i="90"/>
  <c r="AS1386" i="90" s="1"/>
  <c r="AQ1373" i="90"/>
  <c r="AS1373" i="90" s="1"/>
  <c r="AO1372" i="90"/>
  <c r="AZ1372" i="90" s="1"/>
  <c r="AR1371" i="90"/>
  <c r="AN1367" i="90"/>
  <c r="AW1367" i="90" s="1"/>
  <c r="AQ1357" i="90"/>
  <c r="AS1357" i="90" s="1"/>
  <c r="AO1356" i="90"/>
  <c r="AY1356" i="90" s="1"/>
  <c r="AR1355" i="90"/>
  <c r="AT1354" i="90"/>
  <c r="AN1354" i="90" s="1"/>
  <c r="AW1354" i="90" s="1"/>
  <c r="AN1351" i="90"/>
  <c r="AW1351" i="90" s="1"/>
  <c r="AT1346" i="90"/>
  <c r="AO1346" i="90" s="1"/>
  <c r="AT1338" i="90"/>
  <c r="AQ1330" i="90"/>
  <c r="AR1325" i="90"/>
  <c r="AT1322" i="90"/>
  <c r="AN1322" i="90" s="1"/>
  <c r="AW1322" i="90" s="1"/>
  <c r="AN1319" i="90"/>
  <c r="AW1319" i="90" s="1"/>
  <c r="AT1314" i="90"/>
  <c r="AN1309" i="90"/>
  <c r="AW1309" i="90" s="1"/>
  <c r="AN1303" i="90"/>
  <c r="AW1303" i="90" s="1"/>
  <c r="AQ1301" i="90"/>
  <c r="AS1301" i="90" s="1"/>
  <c r="AT1298" i="90"/>
  <c r="AQ1296" i="90"/>
  <c r="AQ1291" i="90"/>
  <c r="AS1291" i="90" s="1"/>
  <c r="AQ1287" i="90"/>
  <c r="AS1287" i="90" s="1"/>
  <c r="AQ1286" i="90"/>
  <c r="AR1285" i="90"/>
  <c r="AQ1279" i="90"/>
  <c r="AS1279" i="90" s="1"/>
  <c r="AT1278" i="90"/>
  <c r="AO1278" i="90" s="1"/>
  <c r="AZ1278" i="90" s="1"/>
  <c r="AR1277" i="90"/>
  <c r="AQ1276" i="90"/>
  <c r="AS1276" i="90" s="1"/>
  <c r="AT1274" i="90"/>
  <c r="AO1274" i="90" s="1"/>
  <c r="AY1274" i="90" s="1"/>
  <c r="AR1273" i="90"/>
  <c r="AQ1272" i="90"/>
  <c r="AS1272" i="90" s="1"/>
  <c r="AT1270" i="90"/>
  <c r="AO1270" i="90" s="1"/>
  <c r="AZ1270" i="90" s="1"/>
  <c r="AR1269" i="90"/>
  <c r="AQ1268" i="90"/>
  <c r="AS1268" i="90" s="1"/>
  <c r="AT1266" i="90"/>
  <c r="AO1266" i="90" s="1"/>
  <c r="AR1265" i="90"/>
  <c r="AQ1264" i="90"/>
  <c r="AS1264" i="90" s="1"/>
  <c r="AT1262" i="90"/>
  <c r="AO1262" i="90" s="1"/>
  <c r="AY1262" i="90" s="1"/>
  <c r="AR1261" i="90"/>
  <c r="AQ1260" i="90"/>
  <c r="AS1260" i="90" s="1"/>
  <c r="AT1258" i="90"/>
  <c r="AO1258" i="90" s="1"/>
  <c r="AY1258" i="90" s="1"/>
  <c r="AR1257" i="90"/>
  <c r="AQ1256" i="90"/>
  <c r="AS1256" i="90" s="1"/>
  <c r="AT1254" i="90"/>
  <c r="AO1254" i="90" s="1"/>
  <c r="AY1254" i="90" s="1"/>
  <c r="AR1253" i="90"/>
  <c r="AQ1252" i="90"/>
  <c r="AS1252" i="90" s="1"/>
  <c r="AT1250" i="90"/>
  <c r="AO1250" i="90" s="1"/>
  <c r="AR1249" i="90"/>
  <c r="AQ1248" i="90"/>
  <c r="AS1248" i="90" s="1"/>
  <c r="AT1246" i="90"/>
  <c r="AO1246" i="90" s="1"/>
  <c r="AY1246" i="90" s="1"/>
  <c r="AR1245" i="90"/>
  <c r="AQ1244" i="90"/>
  <c r="AS1244" i="90" s="1"/>
  <c r="AT1242" i="90"/>
  <c r="AO1242" i="90" s="1"/>
  <c r="AY1242" i="90" s="1"/>
  <c r="AR1241" i="90"/>
  <c r="AQ1240" i="90"/>
  <c r="AS1240" i="90" s="1"/>
  <c r="AT1238" i="90"/>
  <c r="AO1238" i="90" s="1"/>
  <c r="AZ1238" i="90" s="1"/>
  <c r="AR1237" i="90"/>
  <c r="AQ1236" i="90"/>
  <c r="AS1236" i="90" s="1"/>
  <c r="AT1234" i="90"/>
  <c r="AO1234" i="90" s="1"/>
  <c r="AR1233" i="90"/>
  <c r="AQ1232" i="90"/>
  <c r="AS1232" i="90" s="1"/>
  <c r="AT1230" i="90"/>
  <c r="AO1230" i="90" s="1"/>
  <c r="AY1230" i="90" s="1"/>
  <c r="AR1229" i="90"/>
  <c r="AQ1228" i="90"/>
  <c r="AS1228" i="90" s="1"/>
  <c r="AT1226" i="90"/>
  <c r="AO1226" i="90" s="1"/>
  <c r="AY1226" i="90" s="1"/>
  <c r="AR1225" i="90"/>
  <c r="AQ1224" i="90"/>
  <c r="AS1224" i="90" s="1"/>
  <c r="AT1222" i="90"/>
  <c r="AO1222" i="90" s="1"/>
  <c r="AY1222" i="90" s="1"/>
  <c r="AR1221" i="90"/>
  <c r="AQ1220" i="90"/>
  <c r="AS1220" i="90" s="1"/>
  <c r="AT1218" i="90"/>
  <c r="AO1218" i="90" s="1"/>
  <c r="AR1217" i="90"/>
  <c r="AQ1216" i="90"/>
  <c r="AS1216" i="90" s="1"/>
  <c r="AT1214" i="90"/>
  <c r="AO1214" i="90" s="1"/>
  <c r="AY1214" i="90" s="1"/>
  <c r="AR1213" i="90"/>
  <c r="AQ1212" i="90"/>
  <c r="AS1212" i="90" s="1"/>
  <c r="AT1210" i="90"/>
  <c r="AO1210" i="90" s="1"/>
  <c r="AY1210" i="90" s="1"/>
  <c r="AR1209" i="90"/>
  <c r="AQ1208" i="90"/>
  <c r="AS1208" i="90" s="1"/>
  <c r="AT1206" i="90"/>
  <c r="AO1206" i="90" s="1"/>
  <c r="AZ1206" i="90" s="1"/>
  <c r="AR1205" i="90"/>
  <c r="AQ1204" i="90"/>
  <c r="AS1204" i="90" s="1"/>
  <c r="AT1202" i="90"/>
  <c r="AO1202" i="90" s="1"/>
  <c r="AR1201" i="90"/>
  <c r="AQ1200" i="90"/>
  <c r="AS1200" i="90" s="1"/>
  <c r="AT1198" i="90"/>
  <c r="AO1198" i="90" s="1"/>
  <c r="AY1198" i="90" s="1"/>
  <c r="AR1197" i="90"/>
  <c r="AQ1196" i="90"/>
  <c r="AS1196" i="90" s="1"/>
  <c r="AT1194" i="90"/>
  <c r="AO1194" i="90" s="1"/>
  <c r="AY1194" i="90" s="1"/>
  <c r="AR1193" i="90"/>
  <c r="AQ1192" i="90"/>
  <c r="AS1192" i="90" s="1"/>
  <c r="AT1190" i="90"/>
  <c r="AO1190" i="90" s="1"/>
  <c r="AY1190" i="90" s="1"/>
  <c r="AR1189" i="90"/>
  <c r="AQ1188" i="90"/>
  <c r="AS1188" i="90" s="1"/>
  <c r="AT1186" i="90"/>
  <c r="AO1186" i="90" s="1"/>
  <c r="AR1185" i="90"/>
  <c r="AQ1184" i="90"/>
  <c r="AS1184" i="90" s="1"/>
  <c r="AT1182" i="90"/>
  <c r="AO1182" i="90" s="1"/>
  <c r="AY1182" i="90" s="1"/>
  <c r="AR1181" i="90"/>
  <c r="AQ1180" i="90"/>
  <c r="AS1180" i="90" s="1"/>
  <c r="AT1178" i="90"/>
  <c r="AO1178" i="90" s="1"/>
  <c r="AY1178" i="90" s="1"/>
  <c r="AR1177" i="90"/>
  <c r="AQ1176" i="90"/>
  <c r="AS1176" i="90" s="1"/>
  <c r="AT1174" i="90"/>
  <c r="AO1174" i="90" s="1"/>
  <c r="AZ1174" i="90" s="1"/>
  <c r="AR1173" i="90"/>
  <c r="AQ1172" i="90"/>
  <c r="AS1172" i="90" s="1"/>
  <c r="AT1170" i="90"/>
  <c r="AO1170" i="90" s="1"/>
  <c r="AR1169" i="90"/>
  <c r="AQ1168" i="90"/>
  <c r="AS1168" i="90" s="1"/>
  <c r="AT1166" i="90"/>
  <c r="AO1166" i="90" s="1"/>
  <c r="AY1166" i="90" s="1"/>
  <c r="AR1165" i="90"/>
  <c r="AQ1164" i="90"/>
  <c r="AS1164" i="90" s="1"/>
  <c r="AT1162" i="90"/>
  <c r="AO1162" i="90" s="1"/>
  <c r="AY1162" i="90" s="1"/>
  <c r="AR1161" i="90"/>
  <c r="AQ1160" i="90"/>
  <c r="AS1160" i="90" s="1"/>
  <c r="AT1158" i="90"/>
  <c r="AO1158" i="90" s="1"/>
  <c r="AY1158" i="90" s="1"/>
  <c r="AR1157" i="90"/>
  <c r="AQ1156" i="90"/>
  <c r="AS1156" i="90" s="1"/>
  <c r="AT1154" i="90"/>
  <c r="AO1154" i="90" s="1"/>
  <c r="AT1150" i="90"/>
  <c r="AO1150" i="90" s="1"/>
  <c r="AZ1150" i="90" s="1"/>
  <c r="AT1148" i="90"/>
  <c r="AO1148" i="90" s="1"/>
  <c r="AY1148" i="90" s="1"/>
  <c r="AR1147" i="90"/>
  <c r="AQ1146" i="90"/>
  <c r="AR1141" i="90"/>
  <c r="AQ1140" i="90"/>
  <c r="AR1135" i="90"/>
  <c r="AT1134" i="90"/>
  <c r="AR1133" i="90"/>
  <c r="AQ1132" i="90"/>
  <c r="AR1126" i="90"/>
  <c r="AT1125" i="90"/>
  <c r="AN1125" i="90" s="1"/>
  <c r="AT1123" i="90"/>
  <c r="AO1123" i="90" s="1"/>
  <c r="AZ1123" i="90" s="1"/>
  <c r="AR1122" i="90"/>
  <c r="AQ1120" i="90"/>
  <c r="AS1120" i="90" s="1"/>
  <c r="AR1110" i="90"/>
  <c r="AT1107" i="90"/>
  <c r="AO1107" i="90" s="1"/>
  <c r="AZ1107" i="90" s="1"/>
  <c r="AR1106" i="90"/>
  <c r="AQ1104" i="90"/>
  <c r="AS1104" i="90" s="1"/>
  <c r="AR1094" i="90"/>
  <c r="AT1093" i="90"/>
  <c r="AN1093" i="90" s="1"/>
  <c r="AW1093" i="90" s="1"/>
  <c r="AT1091" i="90"/>
  <c r="AO1091" i="90" s="1"/>
  <c r="AR1090" i="90"/>
  <c r="AQ1088" i="90"/>
  <c r="AS1088" i="90" s="1"/>
  <c r="AR1065" i="90"/>
  <c r="AQ1065" i="90"/>
  <c r="AT1056" i="90"/>
  <c r="AQ1056" i="90"/>
  <c r="AT1032" i="90"/>
  <c r="AQ1032" i="90"/>
  <c r="AR1032" i="90"/>
  <c r="AT1012" i="90"/>
  <c r="AQ1012" i="90"/>
  <c r="AR1012" i="90"/>
  <c r="AT996" i="90"/>
  <c r="AQ996" i="90"/>
  <c r="AR996" i="90"/>
  <c r="AT1459" i="90"/>
  <c r="AN1459" i="90" s="1"/>
  <c r="AW1459" i="90" s="1"/>
  <c r="AR1456" i="90"/>
  <c r="AQ1453" i="90"/>
  <c r="AT1451" i="90"/>
  <c r="AN1451" i="90" s="1"/>
  <c r="AW1451" i="90" s="1"/>
  <c r="AR1448" i="90"/>
  <c r="AQ1445" i="90"/>
  <c r="AT1443" i="90"/>
  <c r="AR1440" i="90"/>
  <c r="AQ1437" i="90"/>
  <c r="AT1435" i="90"/>
  <c r="AR1432" i="90"/>
  <c r="AQ1429" i="90"/>
  <c r="AT1427" i="90"/>
  <c r="AM1427" i="90" s="1"/>
  <c r="AU1427" i="90" s="1"/>
  <c r="AR1424" i="90"/>
  <c r="AQ1421" i="90"/>
  <c r="AT1419" i="90"/>
  <c r="AM1419" i="90" s="1"/>
  <c r="AU1419" i="90" s="1"/>
  <c r="AR1416" i="90"/>
  <c r="AN1406" i="90"/>
  <c r="AW1406" i="90" s="1"/>
  <c r="AQ1394" i="90"/>
  <c r="AN1391" i="90"/>
  <c r="AW1391" i="90" s="1"/>
  <c r="AQ1390" i="90"/>
  <c r="AS1390" i="90" s="1"/>
  <c r="AO1386" i="90"/>
  <c r="AZ1386" i="90" s="1"/>
  <c r="AQ1371" i="90"/>
  <c r="AS1371" i="90" s="1"/>
  <c r="AT1362" i="90"/>
  <c r="AQ1355" i="90"/>
  <c r="AS1355" i="90" s="1"/>
  <c r="AQ1354" i="90"/>
  <c r="AQ1346" i="90"/>
  <c r="AQ1344" i="90"/>
  <c r="AQ1338" i="90"/>
  <c r="AS1338" i="90" s="1"/>
  <c r="AQ1336" i="90"/>
  <c r="AR1331" i="90"/>
  <c r="AQ1328" i="90"/>
  <c r="AQ1325" i="90"/>
  <c r="AS1325" i="90" s="1"/>
  <c r="AR1323" i="90"/>
  <c r="AQ1322" i="90"/>
  <c r="AQ1314" i="90"/>
  <c r="AQ1312" i="90"/>
  <c r="AN1301" i="90"/>
  <c r="AW1301" i="90" s="1"/>
  <c r="AR1299" i="90"/>
  <c r="AQ1298" i="90"/>
  <c r="AQ1294" i="90"/>
  <c r="AN1287" i="90"/>
  <c r="AW1287" i="90" s="1"/>
  <c r="AQ1285" i="90"/>
  <c r="AS1285" i="90" s="1"/>
  <c r="AN1279" i="90"/>
  <c r="AW1279" i="90" s="1"/>
  <c r="AR1149" i="90"/>
  <c r="AQ1148" i="90"/>
  <c r="AQ1147" i="90"/>
  <c r="AR1143" i="90"/>
  <c r="AT1142" i="90"/>
  <c r="AQ1141" i="90"/>
  <c r="AT1136" i="90"/>
  <c r="AQ1135" i="90"/>
  <c r="AS1135" i="90" s="1"/>
  <c r="AQ1134" i="90"/>
  <c r="AQ1133" i="90"/>
  <c r="AQ1129" i="90"/>
  <c r="AQ1126" i="90"/>
  <c r="AS1126" i="90" s="1"/>
  <c r="AQ1123" i="90"/>
  <c r="AS1123" i="90" s="1"/>
  <c r="AQ1113" i="90"/>
  <c r="AQ1110" i="90"/>
  <c r="AS1110" i="90" s="1"/>
  <c r="AQ1107" i="90"/>
  <c r="AS1107" i="90" s="1"/>
  <c r="AQ1097" i="90"/>
  <c r="AQ1094" i="90"/>
  <c r="AS1094" i="90" s="1"/>
  <c r="AQ1091" i="90"/>
  <c r="AQ1081" i="90"/>
  <c r="AT1078" i="90"/>
  <c r="AQ1078" i="90"/>
  <c r="AR1078" i="90"/>
  <c r="AT1072" i="90"/>
  <c r="AQ1072" i="90"/>
  <c r="AT1062" i="90"/>
  <c r="AQ1062" i="90"/>
  <c r="AR1062" i="90"/>
  <c r="AR1059" i="90"/>
  <c r="AQ1059" i="90"/>
  <c r="AT1059" i="90"/>
  <c r="AO1059" i="90" s="1"/>
  <c r="AZ1059" i="90" s="1"/>
  <c r="AR1045" i="90"/>
  <c r="AT1045" i="90"/>
  <c r="AT1028" i="90"/>
  <c r="AQ1028" i="90"/>
  <c r="AR1028" i="90"/>
  <c r="AT1008" i="90"/>
  <c r="AQ1008" i="90"/>
  <c r="AR1008" i="90"/>
  <c r="AT992" i="90"/>
  <c r="AQ992" i="90"/>
  <c r="AR992" i="90"/>
  <c r="AT980" i="90"/>
  <c r="AQ980" i="90"/>
  <c r="AR980" i="90"/>
  <c r="AT950" i="90"/>
  <c r="AN950" i="90" s="1"/>
  <c r="AW950" i="90" s="1"/>
  <c r="AR950" i="90"/>
  <c r="AQ950" i="90"/>
  <c r="AT946" i="90"/>
  <c r="AN946" i="90" s="1"/>
  <c r="AW946" i="90" s="1"/>
  <c r="AR946" i="90"/>
  <c r="AQ946" i="90"/>
  <c r="AS1439" i="90"/>
  <c r="AQ1459" i="90"/>
  <c r="AS1457" i="90"/>
  <c r="AR1454" i="90"/>
  <c r="AQ1451" i="90"/>
  <c r="AR1446" i="90"/>
  <c r="AQ1443" i="90"/>
  <c r="AS1441" i="90"/>
  <c r="AR1438" i="90"/>
  <c r="AQ1435" i="90"/>
  <c r="AR1430" i="90"/>
  <c r="AQ1427" i="90"/>
  <c r="AR1422" i="90"/>
  <c r="AQ1419" i="90"/>
  <c r="AR1414" i="90"/>
  <c r="AT1411" i="90"/>
  <c r="AT1403" i="90"/>
  <c r="AQ1362" i="90"/>
  <c r="AQ1352" i="90"/>
  <c r="AQ1347" i="90"/>
  <c r="AS1347" i="90" s="1"/>
  <c r="AN1325" i="90"/>
  <c r="AW1325" i="90" s="1"/>
  <c r="AQ1323" i="90"/>
  <c r="AS1323" i="90" s="1"/>
  <c r="AQ1320" i="90"/>
  <c r="AQ1315" i="90"/>
  <c r="AS1315" i="90" s="1"/>
  <c r="AQ1304" i="90"/>
  <c r="AQ1299" i="90"/>
  <c r="AS1299" i="90" s="1"/>
  <c r="AN1285" i="90"/>
  <c r="AW1285" i="90" s="1"/>
  <c r="AQ1278" i="90"/>
  <c r="AS1278" i="90" s="1"/>
  <c r="AR1275" i="90"/>
  <c r="AQ1274" i="90"/>
  <c r="AR1271" i="90"/>
  <c r="AQ1270" i="90"/>
  <c r="AS1270" i="90" s="1"/>
  <c r="AR1267" i="90"/>
  <c r="AQ1266" i="90"/>
  <c r="AS1266" i="90" s="1"/>
  <c r="AR1263" i="90"/>
  <c r="AQ1262" i="90"/>
  <c r="AS1262" i="90" s="1"/>
  <c r="AR1259" i="90"/>
  <c r="AQ1258" i="90"/>
  <c r="AR1255" i="90"/>
  <c r="AQ1254" i="90"/>
  <c r="AS1254" i="90" s="1"/>
  <c r="AR1251" i="90"/>
  <c r="AQ1250" i="90"/>
  <c r="AS1250" i="90" s="1"/>
  <c r="AR1247" i="90"/>
  <c r="AQ1246" i="90"/>
  <c r="AS1246" i="90" s="1"/>
  <c r="AR1243" i="90"/>
  <c r="AQ1242" i="90"/>
  <c r="AR1239" i="90"/>
  <c r="AQ1238" i="90"/>
  <c r="AS1238" i="90" s="1"/>
  <c r="AR1235" i="90"/>
  <c r="AQ1234" i="90"/>
  <c r="AS1234" i="90" s="1"/>
  <c r="AR1231" i="90"/>
  <c r="AQ1230" i="90"/>
  <c r="AS1230" i="90" s="1"/>
  <c r="AR1227" i="90"/>
  <c r="AQ1226" i="90"/>
  <c r="AR1223" i="90"/>
  <c r="AQ1222" i="90"/>
  <c r="AS1222" i="90" s="1"/>
  <c r="AR1219" i="90"/>
  <c r="AQ1218" i="90"/>
  <c r="AS1218" i="90" s="1"/>
  <c r="AR1215" i="90"/>
  <c r="AQ1214" i="90"/>
  <c r="AS1214" i="90" s="1"/>
  <c r="AR1211" i="90"/>
  <c r="AQ1210" i="90"/>
  <c r="AR1207" i="90"/>
  <c r="AQ1206" i="90"/>
  <c r="AS1206" i="90" s="1"/>
  <c r="AR1203" i="90"/>
  <c r="AQ1202" i="90"/>
  <c r="AS1202" i="90" s="1"/>
  <c r="AR1199" i="90"/>
  <c r="AQ1198" i="90"/>
  <c r="AS1198" i="90" s="1"/>
  <c r="AR1195" i="90"/>
  <c r="AQ1194" i="90"/>
  <c r="AR1075" i="90"/>
  <c r="AQ1075" i="90"/>
  <c r="AT1075" i="90"/>
  <c r="AO1075" i="90" s="1"/>
  <c r="AZ1075" i="90" s="1"/>
  <c r="AR1061" i="90"/>
  <c r="AT1061" i="90"/>
  <c r="AN1061" i="90" s="1"/>
  <c r="AW1061" i="90" s="1"/>
  <c r="AT1058" i="90"/>
  <c r="AM1058" i="90" s="1"/>
  <c r="AU1058" i="90" s="1"/>
  <c r="AR1058" i="90"/>
  <c r="AT1044" i="90"/>
  <c r="AQ1044" i="90"/>
  <c r="AR1044" i="90"/>
  <c r="AR1041" i="90"/>
  <c r="AT1041" i="90"/>
  <c r="AR1037" i="90"/>
  <c r="AT1037" i="90"/>
  <c r="AT1024" i="90"/>
  <c r="AQ1024" i="90"/>
  <c r="AR1024" i="90"/>
  <c r="AT1004" i="90"/>
  <c r="AQ1004" i="90"/>
  <c r="AR1004" i="90"/>
  <c r="AT988" i="90"/>
  <c r="AQ988" i="90"/>
  <c r="AR988" i="90"/>
  <c r="AT976" i="90"/>
  <c r="AQ976" i="90"/>
  <c r="AR976" i="90"/>
  <c r="AT966" i="90"/>
  <c r="AN966" i="90" s="1"/>
  <c r="AW966" i="90" s="1"/>
  <c r="AR966" i="90"/>
  <c r="AQ966" i="90"/>
  <c r="AT962" i="90"/>
  <c r="AN962" i="90" s="1"/>
  <c r="AW962" i="90" s="1"/>
  <c r="AR962" i="90"/>
  <c r="AQ962" i="90"/>
  <c r="AT954" i="90"/>
  <c r="AN954" i="90" s="1"/>
  <c r="AW954" i="90" s="1"/>
  <c r="AR954" i="90"/>
  <c r="AQ954" i="90"/>
  <c r="AS954" i="90" s="1"/>
  <c r="AR1391" i="90"/>
  <c r="AT1330" i="90"/>
  <c r="AS1152" i="90"/>
  <c r="AT1146" i="90"/>
  <c r="AO1146" i="90" s="1"/>
  <c r="AY1146" i="90" s="1"/>
  <c r="AT1140" i="90"/>
  <c r="AO1140" i="90" s="1"/>
  <c r="AY1140" i="90" s="1"/>
  <c r="AT1132" i="90"/>
  <c r="AO1132" i="90" s="1"/>
  <c r="AZ1132" i="90" s="1"/>
  <c r="AS1115" i="90"/>
  <c r="AS1099" i="90"/>
  <c r="AS1083" i="90"/>
  <c r="AT1074" i="90"/>
  <c r="AM1074" i="90" s="1"/>
  <c r="AU1074" i="90" s="1"/>
  <c r="AR1074" i="90"/>
  <c r="AS1067" i="90"/>
  <c r="AR1049" i="90"/>
  <c r="AQ1049" i="90"/>
  <c r="AT1040" i="90"/>
  <c r="AQ1040" i="90"/>
  <c r="AR1040" i="90"/>
  <c r="AT1036" i="90"/>
  <c r="AQ1036" i="90"/>
  <c r="AR1036" i="90"/>
  <c r="AT1020" i="90"/>
  <c r="AQ1020" i="90"/>
  <c r="AR1020" i="90"/>
  <c r="AT1016" i="90"/>
  <c r="AQ1016" i="90"/>
  <c r="AR1016" i="90"/>
  <c r="AT1000" i="90"/>
  <c r="AQ1000" i="90"/>
  <c r="AR1000" i="90"/>
  <c r="AT984" i="90"/>
  <c r="AQ984" i="90"/>
  <c r="AR984" i="90"/>
  <c r="AT970" i="90"/>
  <c r="AN970" i="90" s="1"/>
  <c r="AR970" i="90"/>
  <c r="AQ970" i="90"/>
  <c r="AT1077" i="90"/>
  <c r="AN1070" i="90"/>
  <c r="AN1054" i="90"/>
  <c r="AW1054" i="90" s="1"/>
  <c r="AQ1039" i="90"/>
  <c r="AQ1019" i="90"/>
  <c r="AR936" i="90"/>
  <c r="AR928" i="90"/>
  <c r="AR924" i="90"/>
  <c r="AR918" i="90"/>
  <c r="AR914" i="90"/>
  <c r="AQ910" i="90"/>
  <c r="AS910" i="90" s="1"/>
  <c r="AR904" i="90"/>
  <c r="AR898" i="90"/>
  <c r="AR894" i="90"/>
  <c r="AR890" i="90"/>
  <c r="AR886" i="90"/>
  <c r="AR882" i="90"/>
  <c r="AR878" i="90"/>
  <c r="AR874" i="90"/>
  <c r="AR870" i="90"/>
  <c r="AR866" i="90"/>
  <c r="AR862" i="90"/>
  <c r="AQ858" i="90"/>
  <c r="AS858" i="90" s="1"/>
  <c r="AT848" i="90"/>
  <c r="AO848" i="90" s="1"/>
  <c r="AZ848" i="90" s="1"/>
  <c r="AR847" i="90"/>
  <c r="AQ845" i="90"/>
  <c r="AS845" i="90" s="1"/>
  <c r="AT844" i="90"/>
  <c r="AN844" i="90" s="1"/>
  <c r="AW844" i="90" s="1"/>
  <c r="AT842" i="90"/>
  <c r="AO842" i="90" s="1"/>
  <c r="AY842" i="90" s="1"/>
  <c r="AR833" i="90"/>
  <c r="AQ832" i="90"/>
  <c r="AN831" i="90"/>
  <c r="AW831" i="90" s="1"/>
  <c r="AT824" i="90"/>
  <c r="AO824" i="90" s="1"/>
  <c r="AZ824" i="90" s="1"/>
  <c r="AR823" i="90"/>
  <c r="AQ821" i="90"/>
  <c r="AS821" i="90" s="1"/>
  <c r="AT820" i="90"/>
  <c r="AN820" i="90" s="1"/>
  <c r="AW820" i="90" s="1"/>
  <c r="AT818" i="90"/>
  <c r="AO818" i="90" s="1"/>
  <c r="AZ818" i="90" s="1"/>
  <c r="AT814" i="90"/>
  <c r="AT808" i="90"/>
  <c r="AN808" i="90" s="1"/>
  <c r="AT802" i="90"/>
  <c r="AN802" i="90" s="1"/>
  <c r="AW802" i="90" s="1"/>
  <c r="AT798" i="90"/>
  <c r="AT792" i="90"/>
  <c r="AN792" i="90" s="1"/>
  <c r="AW792" i="90" s="1"/>
  <c r="AT786" i="90"/>
  <c r="AN786" i="90" s="1"/>
  <c r="AW786" i="90" s="1"/>
  <c r="AT782" i="90"/>
  <c r="AT776" i="90"/>
  <c r="AN776" i="90" s="1"/>
  <c r="AW776" i="90" s="1"/>
  <c r="AT770" i="90"/>
  <c r="AN770" i="90" s="1"/>
  <c r="AW770" i="90" s="1"/>
  <c r="AT766" i="90"/>
  <c r="AT760" i="90"/>
  <c r="AN760" i="90" s="1"/>
  <c r="AW760" i="90" s="1"/>
  <c r="AT754" i="90"/>
  <c r="AN754" i="90" s="1"/>
  <c r="AW754" i="90" s="1"/>
  <c r="AT750" i="90"/>
  <c r="AT744" i="90"/>
  <c r="AN744" i="90" s="1"/>
  <c r="AT738" i="90"/>
  <c r="AN738" i="90" s="1"/>
  <c r="AW738" i="90" s="1"/>
  <c r="AT734" i="90"/>
  <c r="AT728" i="90"/>
  <c r="AN728" i="90" s="1"/>
  <c r="AW728" i="90" s="1"/>
  <c r="AT722" i="90"/>
  <c r="AN722" i="90" s="1"/>
  <c r="AW722" i="90" s="1"/>
  <c r="AT718" i="90"/>
  <c r="AT712" i="90"/>
  <c r="AN712" i="90" s="1"/>
  <c r="AW712" i="90" s="1"/>
  <c r="AT706" i="90"/>
  <c r="AN706" i="90" s="1"/>
  <c r="AW706" i="90" s="1"/>
  <c r="AT702" i="90"/>
  <c r="AR699" i="90"/>
  <c r="AT698" i="90"/>
  <c r="AR697" i="90"/>
  <c r="AT696" i="90"/>
  <c r="AR695" i="90"/>
  <c r="AT694" i="90"/>
  <c r="AO694" i="90" s="1"/>
  <c r="AY694" i="90" s="1"/>
  <c r="AR693" i="90"/>
  <c r="AQ692" i="90"/>
  <c r="AQ691" i="90"/>
  <c r="AS691" i="90" s="1"/>
  <c r="AQ689" i="90"/>
  <c r="AS689" i="90" s="1"/>
  <c r="AQ687" i="90"/>
  <c r="AQ686" i="90"/>
  <c r="AR685" i="90"/>
  <c r="AQ684" i="90"/>
  <c r="AQ683" i="90"/>
  <c r="AS683" i="90" s="1"/>
  <c r="AQ681" i="90"/>
  <c r="AS681" i="90" s="1"/>
  <c r="AQ679" i="90"/>
  <c r="AQ678" i="90"/>
  <c r="AT652" i="90"/>
  <c r="AO652" i="90" s="1"/>
  <c r="AY652" i="90" s="1"/>
  <c r="AT651" i="90"/>
  <c r="AO651" i="90" s="1"/>
  <c r="AY651" i="90" s="1"/>
  <c r="AR650" i="90"/>
  <c r="AQ648" i="90"/>
  <c r="AS648" i="90" s="1"/>
  <c r="AR638" i="90"/>
  <c r="AT637" i="90"/>
  <c r="AN637" i="90" s="1"/>
  <c r="AW637" i="90" s="1"/>
  <c r="AR632" i="90"/>
  <c r="AR616" i="90"/>
  <c r="AR597" i="90"/>
  <c r="AT597" i="90"/>
  <c r="AR587" i="90"/>
  <c r="AQ587" i="90"/>
  <c r="AS587" i="90" s="1"/>
  <c r="AM584" i="90"/>
  <c r="AU584" i="90" s="1"/>
  <c r="AN584" i="90"/>
  <c r="AW584" i="90" s="1"/>
  <c r="AT570" i="90"/>
  <c r="AM570" i="90" s="1"/>
  <c r="AU570" i="90" s="1"/>
  <c r="AQ570" i="90"/>
  <c r="AT554" i="90"/>
  <c r="AM554" i="90" s="1"/>
  <c r="AU554" i="90" s="1"/>
  <c r="AQ554" i="90"/>
  <c r="AS554" i="90" s="1"/>
  <c r="AR527" i="90"/>
  <c r="AQ527" i="90"/>
  <c r="AS527" i="90" s="1"/>
  <c r="AT527" i="90"/>
  <c r="AO527" i="90" s="1"/>
  <c r="AT514" i="90"/>
  <c r="AN514" i="90" s="1"/>
  <c r="AW514" i="90" s="1"/>
  <c r="AQ514" i="90"/>
  <c r="AR514" i="90"/>
  <c r="AT498" i="90"/>
  <c r="AQ498" i="90"/>
  <c r="AS498" i="90" s="1"/>
  <c r="AR498" i="90"/>
  <c r="AQ496" i="90"/>
  <c r="AR496" i="90"/>
  <c r="AT474" i="90"/>
  <c r="AN474" i="90" s="1"/>
  <c r="AW474" i="90" s="1"/>
  <c r="AQ474" i="90"/>
  <c r="AR474" i="90"/>
  <c r="AY332" i="90"/>
  <c r="AZ332" i="90"/>
  <c r="AT1033" i="90"/>
  <c r="AT1029" i="90"/>
  <c r="AT1025" i="90"/>
  <c r="AT1021" i="90"/>
  <c r="AT1017" i="90"/>
  <c r="AT1013" i="90"/>
  <c r="AT1009" i="90"/>
  <c r="AT1005" i="90"/>
  <c r="AT1001" i="90"/>
  <c r="AT997" i="90"/>
  <c r="AT993" i="90"/>
  <c r="AT989" i="90"/>
  <c r="AT985" i="90"/>
  <c r="AR982" i="90"/>
  <c r="AR972" i="90"/>
  <c r="AR968" i="90"/>
  <c r="AR960" i="90"/>
  <c r="AR956" i="90"/>
  <c r="AR952" i="90"/>
  <c r="AR944" i="90"/>
  <c r="AR940" i="90"/>
  <c r="AQ936" i="90"/>
  <c r="AR932" i="90"/>
  <c r="AQ928" i="90"/>
  <c r="AR926" i="90"/>
  <c r="AQ924" i="90"/>
  <c r="AS924" i="90" s="1"/>
  <c r="AR922" i="90"/>
  <c r="AQ918" i="90"/>
  <c r="AS918" i="90" s="1"/>
  <c r="AQ914" i="90"/>
  <c r="AS914" i="90" s="1"/>
  <c r="AR908" i="90"/>
  <c r="AQ904" i="90"/>
  <c r="AR902" i="90"/>
  <c r="AQ898" i="90"/>
  <c r="AS898" i="90" s="1"/>
  <c r="AQ894" i="90"/>
  <c r="AS894" i="90" s="1"/>
  <c r="AQ890" i="90"/>
  <c r="AS890" i="90" s="1"/>
  <c r="AQ886" i="90"/>
  <c r="AS886" i="90" s="1"/>
  <c r="AQ882" i="90"/>
  <c r="AS882" i="90" s="1"/>
  <c r="AQ878" i="90"/>
  <c r="AS878" i="90" s="1"/>
  <c r="AQ874" i="90"/>
  <c r="AS874" i="90" s="1"/>
  <c r="AQ870" i="90"/>
  <c r="AS870" i="90" s="1"/>
  <c r="AQ866" i="90"/>
  <c r="AS866" i="90" s="1"/>
  <c r="AQ862" i="90"/>
  <c r="AS862" i="90" s="1"/>
  <c r="AR849" i="90"/>
  <c r="AQ848" i="90"/>
  <c r="AQ837" i="90"/>
  <c r="AS837" i="90" s="1"/>
  <c r="AT836" i="90"/>
  <c r="AT834" i="90"/>
  <c r="AO834" i="90" s="1"/>
  <c r="AR825" i="90"/>
  <c r="AQ824" i="90"/>
  <c r="AQ814" i="90"/>
  <c r="AT812" i="90"/>
  <c r="AN812" i="90" s="1"/>
  <c r="AW812" i="90" s="1"/>
  <c r="AQ808" i="90"/>
  <c r="AQ802" i="90"/>
  <c r="AQ798" i="90"/>
  <c r="AT796" i="90"/>
  <c r="AN796" i="90" s="1"/>
  <c r="AW796" i="90" s="1"/>
  <c r="AQ792" i="90"/>
  <c r="AQ786" i="90"/>
  <c r="AQ782" i="90"/>
  <c r="AT780" i="90"/>
  <c r="AN780" i="90" s="1"/>
  <c r="AW780" i="90" s="1"/>
  <c r="AQ776" i="90"/>
  <c r="AQ770" i="90"/>
  <c r="AQ766" i="90"/>
  <c r="AT764" i="90"/>
  <c r="AN764" i="90" s="1"/>
  <c r="AW764" i="90" s="1"/>
  <c r="AQ760" i="90"/>
  <c r="AQ754" i="90"/>
  <c r="AQ750" i="90"/>
  <c r="AT748" i="90"/>
  <c r="AN748" i="90" s="1"/>
  <c r="AW748" i="90" s="1"/>
  <c r="AQ744" i="90"/>
  <c r="AQ738" i="90"/>
  <c r="AQ734" i="90"/>
  <c r="AT732" i="90"/>
  <c r="AN732" i="90" s="1"/>
  <c r="AW732" i="90" s="1"/>
  <c r="AQ728" i="90"/>
  <c r="AQ722" i="90"/>
  <c r="AQ718" i="90"/>
  <c r="AT716" i="90"/>
  <c r="AN716" i="90" s="1"/>
  <c r="AW716" i="90" s="1"/>
  <c r="AQ712" i="90"/>
  <c r="AQ706" i="90"/>
  <c r="AQ702" i="90"/>
  <c r="AT700" i="90"/>
  <c r="AN700" i="90" s="1"/>
  <c r="AW700" i="90" s="1"/>
  <c r="AQ699" i="90"/>
  <c r="AS699" i="90" s="1"/>
  <c r="AQ698" i="90"/>
  <c r="AQ697" i="90"/>
  <c r="AS697" i="90" s="1"/>
  <c r="AQ696" i="90"/>
  <c r="AQ695" i="90"/>
  <c r="AQ694" i="90"/>
  <c r="AQ693" i="90"/>
  <c r="AQ685" i="90"/>
  <c r="AT660" i="90"/>
  <c r="AO660" i="90" s="1"/>
  <c r="AZ660" i="90" s="1"/>
  <c r="AR659" i="90"/>
  <c r="AT658" i="90"/>
  <c r="AR657" i="90"/>
  <c r="AT656" i="90"/>
  <c r="AR655" i="90"/>
  <c r="AT654" i="90"/>
  <c r="AO654" i="90" s="1"/>
  <c r="AY654" i="90" s="1"/>
  <c r="AR653" i="90"/>
  <c r="AQ652" i="90"/>
  <c r="AQ651" i="90"/>
  <c r="AS651" i="90" s="1"/>
  <c r="AQ641" i="90"/>
  <c r="AQ638" i="90"/>
  <c r="AS638" i="90" s="1"/>
  <c r="AQ633" i="90"/>
  <c r="AQ632" i="90"/>
  <c r="AS632" i="90" s="1"/>
  <c r="AT629" i="90"/>
  <c r="AT622" i="90"/>
  <c r="AQ622" i="90"/>
  <c r="AR622" i="90"/>
  <c r="AQ616" i="90"/>
  <c r="AS616" i="90" s="1"/>
  <c r="AR600" i="90"/>
  <c r="AT566" i="90"/>
  <c r="AM566" i="90" s="1"/>
  <c r="AU566" i="90" s="1"/>
  <c r="AQ566" i="90"/>
  <c r="AS566" i="90" s="1"/>
  <c r="AT550" i="90"/>
  <c r="AM550" i="90" s="1"/>
  <c r="AU550" i="90" s="1"/>
  <c r="AQ550" i="90"/>
  <c r="AR543" i="90"/>
  <c r="AQ543" i="90"/>
  <c r="AS543" i="90" s="1"/>
  <c r="AR541" i="90"/>
  <c r="AQ541" i="90"/>
  <c r="AS541" i="90" s="1"/>
  <c r="AT526" i="90"/>
  <c r="AQ526" i="90"/>
  <c r="AR526" i="90"/>
  <c r="AS516" i="90"/>
  <c r="AS500" i="90"/>
  <c r="AT495" i="90"/>
  <c r="AM495" i="90" s="1"/>
  <c r="AU495" i="90" s="1"/>
  <c r="AQ495" i="90"/>
  <c r="AR495" i="90"/>
  <c r="AS490" i="90"/>
  <c r="AS476" i="90"/>
  <c r="AT461" i="90"/>
  <c r="AM461" i="90" s="1"/>
  <c r="AU461" i="90" s="1"/>
  <c r="AR461" i="90"/>
  <c r="AS458" i="90"/>
  <c r="AS444" i="90"/>
  <c r="AO346" i="90"/>
  <c r="AY346" i="90" s="1"/>
  <c r="AM346" i="90"/>
  <c r="AU346" i="90" s="1"/>
  <c r="AN346" i="90"/>
  <c r="AM326" i="90"/>
  <c r="AU326" i="90" s="1"/>
  <c r="AR635" i="90"/>
  <c r="AQ635" i="90"/>
  <c r="AS635" i="90" s="1"/>
  <c r="AR619" i="90"/>
  <c r="AQ619" i="90"/>
  <c r="AS619" i="90" s="1"/>
  <c r="AM616" i="90"/>
  <c r="AU616" i="90" s="1"/>
  <c r="AN616" i="90"/>
  <c r="AW616" i="90" s="1"/>
  <c r="AT610" i="90"/>
  <c r="AM610" i="90" s="1"/>
  <c r="AU610" i="90" s="1"/>
  <c r="AR610" i="90"/>
  <c r="AT606" i="90"/>
  <c r="AQ606" i="90"/>
  <c r="AT562" i="90"/>
  <c r="AM562" i="90" s="1"/>
  <c r="AU562" i="90" s="1"/>
  <c r="AQ562" i="90"/>
  <c r="AT546" i="90"/>
  <c r="AM546" i="90" s="1"/>
  <c r="AU546" i="90" s="1"/>
  <c r="AQ546" i="90"/>
  <c r="AR531" i="90"/>
  <c r="AQ531" i="90"/>
  <c r="AT531" i="90"/>
  <c r="AR525" i="90"/>
  <c r="AQ525" i="90"/>
  <c r="AT525" i="90"/>
  <c r="AO525" i="90" s="1"/>
  <c r="AY525" i="90" s="1"/>
  <c r="AT519" i="90"/>
  <c r="AM519" i="90" s="1"/>
  <c r="AU519" i="90" s="1"/>
  <c r="AR519" i="90"/>
  <c r="AQ494" i="90"/>
  <c r="AR494" i="90"/>
  <c r="AT494" i="90"/>
  <c r="AT492" i="90"/>
  <c r="AN492" i="90" s="1"/>
  <c r="AQ492" i="90"/>
  <c r="AS492" i="90" s="1"/>
  <c r="AR492" i="90"/>
  <c r="AT457" i="90"/>
  <c r="AM457" i="90" s="1"/>
  <c r="AU457" i="90" s="1"/>
  <c r="AQ457" i="90"/>
  <c r="AR910" i="90"/>
  <c r="AR858" i="90"/>
  <c r="AS856" i="90"/>
  <c r="AS840" i="90"/>
  <c r="AT832" i="90"/>
  <c r="AO832" i="90" s="1"/>
  <c r="AR831" i="90"/>
  <c r="AT692" i="90"/>
  <c r="AO692" i="90" s="1"/>
  <c r="AZ692" i="90" s="1"/>
  <c r="AR691" i="90"/>
  <c r="AR689" i="90"/>
  <c r="AR687" i="90"/>
  <c r="AT686" i="90"/>
  <c r="AO686" i="90" s="1"/>
  <c r="AZ686" i="90" s="1"/>
  <c r="AT684" i="90"/>
  <c r="AO684" i="90" s="1"/>
  <c r="AR683" i="90"/>
  <c r="AR681" i="90"/>
  <c r="AR679" i="90"/>
  <c r="AT678" i="90"/>
  <c r="AO678" i="90" s="1"/>
  <c r="AS643" i="90"/>
  <c r="AN632" i="90"/>
  <c r="AW632" i="90" s="1"/>
  <c r="AR625" i="90"/>
  <c r="AQ625" i="90"/>
  <c r="AR613" i="90"/>
  <c r="AT613" i="90"/>
  <c r="AR603" i="90"/>
  <c r="AQ603" i="90"/>
  <c r="AS603" i="90" s="1"/>
  <c r="AM600" i="90"/>
  <c r="AU600" i="90" s="1"/>
  <c r="AN600" i="90"/>
  <c r="AW600" i="90" s="1"/>
  <c r="AT594" i="90"/>
  <c r="AM594" i="90" s="1"/>
  <c r="AU594" i="90" s="1"/>
  <c r="AR594" i="90"/>
  <c r="AT590" i="90"/>
  <c r="AQ590" i="90"/>
  <c r="AR581" i="90"/>
  <c r="AT581" i="90"/>
  <c r="AT578" i="90"/>
  <c r="AM578" i="90" s="1"/>
  <c r="AU578" i="90" s="1"/>
  <c r="AR578" i="90"/>
  <c r="AT574" i="90"/>
  <c r="AQ574" i="90"/>
  <c r="AS574" i="90" s="1"/>
  <c r="AT558" i="90"/>
  <c r="AM558" i="90" s="1"/>
  <c r="AU558" i="90" s="1"/>
  <c r="AQ558" i="90"/>
  <c r="AT544" i="90"/>
  <c r="AQ544" i="90"/>
  <c r="AT542" i="90"/>
  <c r="AQ542" i="90"/>
  <c r="AR542" i="90"/>
  <c r="AT530" i="90"/>
  <c r="AM530" i="90" s="1"/>
  <c r="AU530" i="90" s="1"/>
  <c r="AQ530" i="90"/>
  <c r="AR530" i="90"/>
  <c r="AT528" i="90"/>
  <c r="AQ528" i="90"/>
  <c r="AR528" i="90"/>
  <c r="AN506" i="90"/>
  <c r="AW506" i="90" s="1"/>
  <c r="AN482" i="90"/>
  <c r="AW482" i="90" s="1"/>
  <c r="AN466" i="90"/>
  <c r="AW466" i="90" s="1"/>
  <c r="AR450" i="90"/>
  <c r="AR434" i="90"/>
  <c r="AR432" i="90"/>
  <c r="AR431" i="90"/>
  <c r="AT430" i="90"/>
  <c r="AR428" i="90"/>
  <c r="AN418" i="90"/>
  <c r="AW418" i="90" s="1"/>
  <c r="AR410" i="90"/>
  <c r="AT402" i="90"/>
  <c r="AO402" i="90" s="1"/>
  <c r="AY402" i="90" s="1"/>
  <c r="AR395" i="90"/>
  <c r="AT394" i="90"/>
  <c r="AO394" i="90" s="1"/>
  <c r="AY394" i="90" s="1"/>
  <c r="AR387" i="90"/>
  <c r="AT386" i="90"/>
  <c r="AO386" i="90" s="1"/>
  <c r="AY386" i="90" s="1"/>
  <c r="AR379" i="90"/>
  <c r="AT378" i="90"/>
  <c r="AO378" i="90" s="1"/>
  <c r="AY378" i="90" s="1"/>
  <c r="AR371" i="90"/>
  <c r="AT370" i="90"/>
  <c r="AO370" i="90" s="1"/>
  <c r="AY370" i="90" s="1"/>
  <c r="AR363" i="90"/>
  <c r="AT362" i="90"/>
  <c r="AO362" i="90" s="1"/>
  <c r="AY362" i="90" s="1"/>
  <c r="AR355" i="90"/>
  <c r="AT354" i="90"/>
  <c r="AO354" i="90" s="1"/>
  <c r="AY354" i="90" s="1"/>
  <c r="AS338" i="90"/>
  <c r="AM338" i="90"/>
  <c r="AU338" i="90" s="1"/>
  <c r="AT334" i="90"/>
  <c r="AR332" i="90"/>
  <c r="AT331" i="90"/>
  <c r="AN330" i="90"/>
  <c r="AW330" i="90" s="1"/>
  <c r="AR328" i="90"/>
  <c r="AR320" i="90"/>
  <c r="AQ320" i="90"/>
  <c r="AS318" i="90"/>
  <c r="AM318" i="90"/>
  <c r="AU318" i="90" s="1"/>
  <c r="AS316" i="90"/>
  <c r="AM316" i="90"/>
  <c r="AU316" i="90" s="1"/>
  <c r="AO314" i="90"/>
  <c r="AY314" i="90" s="1"/>
  <c r="AM314" i="90"/>
  <c r="AU314" i="90" s="1"/>
  <c r="AN310" i="90"/>
  <c r="AW310" i="90" s="1"/>
  <c r="AR305" i="90"/>
  <c r="AQ305" i="90"/>
  <c r="AO298" i="90"/>
  <c r="AY298" i="90" s="1"/>
  <c r="AM298" i="90"/>
  <c r="AU298" i="90" s="1"/>
  <c r="AO296" i="90"/>
  <c r="AY296" i="90" s="1"/>
  <c r="AN296" i="90"/>
  <c r="AW296" i="90" s="1"/>
  <c r="AM296" i="90"/>
  <c r="AU296" i="90" s="1"/>
  <c r="AS282" i="90"/>
  <c r="AO269" i="90"/>
  <c r="AZ269" i="90" s="1"/>
  <c r="AN269" i="90"/>
  <c r="AW269" i="90" s="1"/>
  <c r="AM269" i="90"/>
  <c r="AU269" i="90" s="1"/>
  <c r="AQ577" i="90"/>
  <c r="AQ545" i="90"/>
  <c r="AQ540" i="90"/>
  <c r="AQ529" i="90"/>
  <c r="AQ524" i="90"/>
  <c r="AR517" i="90"/>
  <c r="AR516" i="90"/>
  <c r="AT504" i="90"/>
  <c r="AR503" i="90"/>
  <c r="AT502" i="90"/>
  <c r="AR501" i="90"/>
  <c r="AR500" i="90"/>
  <c r="AT480" i="90"/>
  <c r="AO480" i="90" s="1"/>
  <c r="AZ480" i="90" s="1"/>
  <c r="AR479" i="90"/>
  <c r="AT478" i="90"/>
  <c r="AR477" i="90"/>
  <c r="AR476" i="90"/>
  <c r="AR458" i="90"/>
  <c r="AR456" i="90"/>
  <c r="AR455" i="90"/>
  <c r="AT454" i="90"/>
  <c r="AR453" i="90"/>
  <c r="AR452" i="90"/>
  <c r="AQ450" i="90"/>
  <c r="AS450" i="90" s="1"/>
  <c r="AT440" i="90"/>
  <c r="AR439" i="90"/>
  <c r="AT438" i="90"/>
  <c r="AR437" i="90"/>
  <c r="AR436" i="90"/>
  <c r="AQ434" i="90"/>
  <c r="AS434" i="90" s="1"/>
  <c r="AQ431" i="90"/>
  <c r="AS431" i="90" s="1"/>
  <c r="AR430" i="90"/>
  <c r="AQ428" i="90"/>
  <c r="AS428" i="90" s="1"/>
  <c r="AT416" i="90"/>
  <c r="AO416" i="90" s="1"/>
  <c r="AR415" i="90"/>
  <c r="AT414" i="90"/>
  <c r="AR413" i="90"/>
  <c r="AR412" i="90"/>
  <c r="AQ410" i="90"/>
  <c r="AS410" i="90" s="1"/>
  <c r="AR402" i="90"/>
  <c r="AR401" i="90"/>
  <c r="AT400" i="90"/>
  <c r="AO400" i="90" s="1"/>
  <c r="AZ400" i="90" s="1"/>
  <c r="AQ395" i="90"/>
  <c r="AS395" i="90" s="1"/>
  <c r="AR394" i="90"/>
  <c r="AR393" i="90"/>
  <c r="AT392" i="90"/>
  <c r="AO392" i="90" s="1"/>
  <c r="AZ392" i="90" s="1"/>
  <c r="AQ387" i="90"/>
  <c r="AS387" i="90" s="1"/>
  <c r="AR386" i="90"/>
  <c r="AR385" i="90"/>
  <c r="AT384" i="90"/>
  <c r="AO384" i="90" s="1"/>
  <c r="AZ384" i="90" s="1"/>
  <c r="AQ379" i="90"/>
  <c r="AS379" i="90" s="1"/>
  <c r="AR378" i="90"/>
  <c r="AR377" i="90"/>
  <c r="AT376" i="90"/>
  <c r="AO376" i="90" s="1"/>
  <c r="AZ376" i="90" s="1"/>
  <c r="AQ371" i="90"/>
  <c r="AS371" i="90" s="1"/>
  <c r="AR370" i="90"/>
  <c r="AR369" i="90"/>
  <c r="AT368" i="90"/>
  <c r="AO368" i="90" s="1"/>
  <c r="AQ363" i="90"/>
  <c r="AS363" i="90" s="1"/>
  <c r="AR362" i="90"/>
  <c r="AR361" i="90"/>
  <c r="AT360" i="90"/>
  <c r="AO360" i="90" s="1"/>
  <c r="AQ355" i="90"/>
  <c r="AS355" i="90" s="1"/>
  <c r="AR354" i="90"/>
  <c r="AR353" i="90"/>
  <c r="AT352" i="90"/>
  <c r="AO352" i="90" s="1"/>
  <c r="AZ352" i="90" s="1"/>
  <c r="AR349" i="90"/>
  <c r="AS347" i="90"/>
  <c r="AQ346" i="90"/>
  <c r="AS346" i="90" s="1"/>
  <c r="AT345" i="90"/>
  <c r="AM345" i="90" s="1"/>
  <c r="AU345" i="90" s="1"/>
  <c r="AT342" i="90"/>
  <c r="AO341" i="90"/>
  <c r="AY341" i="90" s="1"/>
  <c r="AO339" i="90"/>
  <c r="AY339" i="90" s="1"/>
  <c r="AR334" i="90"/>
  <c r="AR331" i="90"/>
  <c r="AM330" i="90"/>
  <c r="AU330" i="90" s="1"/>
  <c r="AQ322" i="90"/>
  <c r="AT322" i="90"/>
  <c r="AQ313" i="90"/>
  <c r="AO312" i="90"/>
  <c r="AY312" i="90" s="1"/>
  <c r="AN312" i="90"/>
  <c r="AW312" i="90" s="1"/>
  <c r="AM312" i="90"/>
  <c r="AU312" i="90" s="1"/>
  <c r="AS310" i="90"/>
  <c r="AM310" i="90"/>
  <c r="AU310" i="90" s="1"/>
  <c r="AS306" i="90"/>
  <c r="AR297" i="90"/>
  <c r="AQ297" i="90"/>
  <c r="AO290" i="90"/>
  <c r="AY290" i="90" s="1"/>
  <c r="AM290" i="90"/>
  <c r="AU290" i="90" s="1"/>
  <c r="AO288" i="90"/>
  <c r="AY288" i="90" s="1"/>
  <c r="AN288" i="90"/>
  <c r="AW288" i="90" s="1"/>
  <c r="AM288" i="90"/>
  <c r="AU288" i="90" s="1"/>
  <c r="AS280" i="90"/>
  <c r="AR614" i="90"/>
  <c r="AT611" i="90"/>
  <c r="AO611" i="90" s="1"/>
  <c r="AZ611" i="90" s="1"/>
  <c r="AQ608" i="90"/>
  <c r="AS608" i="90" s="1"/>
  <c r="AR598" i="90"/>
  <c r="AT595" i="90"/>
  <c r="AO595" i="90" s="1"/>
  <c r="AY595" i="90" s="1"/>
  <c r="AQ592" i="90"/>
  <c r="AS592" i="90" s="1"/>
  <c r="AT537" i="90"/>
  <c r="AR532" i="90"/>
  <c r="AQ518" i="90"/>
  <c r="AS518" i="90" s="1"/>
  <c r="AQ505" i="90"/>
  <c r="AS505" i="90" s="1"/>
  <c r="AQ503" i="90"/>
  <c r="AS503" i="90" s="1"/>
  <c r="AQ481" i="90"/>
  <c r="AS481" i="90" s="1"/>
  <c r="AQ479" i="90"/>
  <c r="AS479" i="90" s="1"/>
  <c r="AQ465" i="90"/>
  <c r="AS465" i="90" s="1"/>
  <c r="AQ455" i="90"/>
  <c r="AS455" i="90" s="1"/>
  <c r="AQ441" i="90"/>
  <c r="AS441" i="90" s="1"/>
  <c r="AQ439" i="90"/>
  <c r="AS439" i="90" s="1"/>
  <c r="AQ417" i="90"/>
  <c r="AS417" i="90" s="1"/>
  <c r="AQ415" i="90"/>
  <c r="AS415" i="90" s="1"/>
  <c r="AQ401" i="90"/>
  <c r="AS401" i="90" s="1"/>
  <c r="AQ393" i="90"/>
  <c r="AS393" i="90" s="1"/>
  <c r="AQ385" i="90"/>
  <c r="AS385" i="90" s="1"/>
  <c r="AQ377" i="90"/>
  <c r="AS377" i="90" s="1"/>
  <c r="AQ369" i="90"/>
  <c r="AS369" i="90" s="1"/>
  <c r="AQ361" i="90"/>
  <c r="AS361" i="90" s="1"/>
  <c r="AQ353" i="90"/>
  <c r="AS353" i="90" s="1"/>
  <c r="AR345" i="90"/>
  <c r="AS339" i="90"/>
  <c r="AT337" i="90"/>
  <c r="AM337" i="90" s="1"/>
  <c r="AU337" i="90" s="1"/>
  <c r="AS329" i="90"/>
  <c r="AM328" i="90"/>
  <c r="AU328" i="90" s="1"/>
  <c r="AQ321" i="90"/>
  <c r="AT321" i="90"/>
  <c r="AM321" i="90" s="1"/>
  <c r="AU321" i="90" s="1"/>
  <c r="AR321" i="90"/>
  <c r="AS314" i="90"/>
  <c r="AS304" i="90"/>
  <c r="AS298" i="90"/>
  <c r="AR289" i="90"/>
  <c r="AQ289" i="90"/>
  <c r="AO282" i="90"/>
  <c r="AY282" i="90" s="1"/>
  <c r="AM282" i="90"/>
  <c r="AU282" i="90" s="1"/>
  <c r="AO280" i="90"/>
  <c r="AY280" i="90" s="1"/>
  <c r="AN280" i="90"/>
  <c r="AW280" i="90" s="1"/>
  <c r="AM280" i="90"/>
  <c r="AU280" i="90" s="1"/>
  <c r="AS245" i="90"/>
  <c r="AN338" i="90"/>
  <c r="AW338" i="90" s="1"/>
  <c r="AS331" i="90"/>
  <c r="AR326" i="90"/>
  <c r="AQ326" i="90"/>
  <c r="AN318" i="90"/>
  <c r="AW318" i="90" s="1"/>
  <c r="AN316" i="90"/>
  <c r="AO306" i="90"/>
  <c r="AM306" i="90"/>
  <c r="AU306" i="90" s="1"/>
  <c r="AO304" i="90"/>
  <c r="AY304" i="90" s="1"/>
  <c r="AN304" i="90"/>
  <c r="AM304" i="90"/>
  <c r="AU304" i="90" s="1"/>
  <c r="AR281" i="90"/>
  <c r="AQ281" i="90"/>
  <c r="AY266" i="90"/>
  <c r="AZ266" i="90"/>
  <c r="AO245" i="90"/>
  <c r="AY245" i="90" s="1"/>
  <c r="AN245" i="90"/>
  <c r="AW245" i="90" s="1"/>
  <c r="AM245" i="90"/>
  <c r="AU245" i="90" s="1"/>
  <c r="AY156" i="90"/>
  <c r="AS143" i="90"/>
  <c r="AT277" i="90"/>
  <c r="AS277" i="90" s="1"/>
  <c r="AQ274" i="90"/>
  <c r="AS274" i="90" s="1"/>
  <c r="AR273" i="90"/>
  <c r="AT270" i="90"/>
  <c r="AQ265" i="90"/>
  <c r="AQ264" i="90"/>
  <c r="AQ257" i="90"/>
  <c r="AT255" i="90"/>
  <c r="AT253" i="90"/>
  <c r="AR252" i="90"/>
  <c r="AQ249" i="90"/>
  <c r="AR246" i="90"/>
  <c r="AT234" i="90"/>
  <c r="AQ229" i="90"/>
  <c r="AS229" i="90" s="1"/>
  <c r="AT226" i="90"/>
  <c r="AT224" i="90"/>
  <c r="AO224" i="90" s="1"/>
  <c r="AZ224" i="90" s="1"/>
  <c r="AR223" i="90"/>
  <c r="AM205" i="90"/>
  <c r="AU205" i="90" s="1"/>
  <c r="AR199" i="90"/>
  <c r="AQ191" i="90"/>
  <c r="AS191" i="90" s="1"/>
  <c r="AR187" i="90"/>
  <c r="AR181" i="90"/>
  <c r="AQ179" i="90"/>
  <c r="AS179" i="90" s="1"/>
  <c r="AR177" i="90"/>
  <c r="AQ173" i="90"/>
  <c r="AS173" i="90" s="1"/>
  <c r="AR172" i="90"/>
  <c r="AQ167" i="90"/>
  <c r="AT163" i="90"/>
  <c r="AR162" i="90"/>
  <c r="AR160" i="90"/>
  <c r="AQ158" i="90"/>
  <c r="AS158" i="90" s="1"/>
  <c r="AR157" i="90"/>
  <c r="AM156" i="90"/>
  <c r="AU156" i="90" s="1"/>
  <c r="AM148" i="90"/>
  <c r="AU148" i="90" s="1"/>
  <c r="AQ145" i="90"/>
  <c r="AT143" i="90"/>
  <c r="AN143" i="90" s="1"/>
  <c r="AW143" i="90" s="1"/>
  <c r="AR138" i="90"/>
  <c r="AQ135" i="90"/>
  <c r="AS135" i="90" s="1"/>
  <c r="AR133" i="90"/>
  <c r="AR132" i="90"/>
  <c r="AM126" i="90"/>
  <c r="AU126" i="90" s="1"/>
  <c r="AR124" i="90"/>
  <c r="AQ122" i="90"/>
  <c r="AS122" i="90" s="1"/>
  <c r="AR121" i="90"/>
  <c r="AQ116" i="90"/>
  <c r="AT112" i="90"/>
  <c r="AQ110" i="90"/>
  <c r="AR109" i="90"/>
  <c r="AQ102" i="90"/>
  <c r="AR101" i="90"/>
  <c r="AM98" i="90"/>
  <c r="AU98" i="90" s="1"/>
  <c r="AQ97" i="90"/>
  <c r="AS97" i="90" s="1"/>
  <c r="AQ90" i="90"/>
  <c r="AM88" i="90"/>
  <c r="AU88" i="90" s="1"/>
  <c r="AQ87" i="90"/>
  <c r="AS87" i="90" s="1"/>
  <c r="AM84" i="90"/>
  <c r="AU84" i="90" s="1"/>
  <c r="AQ83" i="90"/>
  <c r="AQ80" i="90"/>
  <c r="AR78" i="90"/>
  <c r="AM72" i="90"/>
  <c r="AU72" i="90" s="1"/>
  <c r="AM70" i="90"/>
  <c r="AU70" i="90" s="1"/>
  <c r="AM68" i="90"/>
  <c r="AU68" i="90" s="1"/>
  <c r="AM66" i="90"/>
  <c r="AU66" i="90" s="1"/>
  <c r="AR64" i="90"/>
  <c r="AT61" i="90"/>
  <c r="AT60" i="90"/>
  <c r="AT56" i="90"/>
  <c r="AO54" i="90"/>
  <c r="AY54" i="90" s="1"/>
  <c r="AM54" i="90"/>
  <c r="AU54" i="90" s="1"/>
  <c r="AQ52" i="90"/>
  <c r="AS52" i="90" s="1"/>
  <c r="AR51" i="90"/>
  <c r="AT43" i="90"/>
  <c r="AQ43" i="90"/>
  <c r="AN308" i="90"/>
  <c r="AN302" i="90"/>
  <c r="AW302" i="90" s="1"/>
  <c r="AN300" i="90"/>
  <c r="AN294" i="90"/>
  <c r="AN292" i="90"/>
  <c r="AN286" i="90"/>
  <c r="AW286" i="90" s="1"/>
  <c r="AN284" i="90"/>
  <c r="AW284" i="90" s="1"/>
  <c r="AQ273" i="90"/>
  <c r="AN271" i="90"/>
  <c r="AW271" i="90" s="1"/>
  <c r="AR270" i="90"/>
  <c r="AT257" i="90"/>
  <c r="AN257" i="90" s="1"/>
  <c r="AW257" i="90" s="1"/>
  <c r="AQ252" i="90"/>
  <c r="AS252" i="90" s="1"/>
  <c r="AN247" i="90"/>
  <c r="AS224" i="90"/>
  <c r="AT210" i="90"/>
  <c r="AQ187" i="90"/>
  <c r="AS187" i="90" s="1"/>
  <c r="AQ177" i="90"/>
  <c r="AN128" i="90"/>
  <c r="AO58" i="90"/>
  <c r="AY58" i="90" s="1"/>
  <c r="AN58" i="90"/>
  <c r="AW58" i="90" s="1"/>
  <c r="AT41" i="90"/>
  <c r="AQ41" i="90"/>
  <c r="AT39" i="90"/>
  <c r="AQ39" i="90"/>
  <c r="AQ30" i="90"/>
  <c r="AT30" i="90"/>
  <c r="AO1491" i="90"/>
  <c r="AY1491" i="90" s="1"/>
  <c r="AN1491" i="90"/>
  <c r="AW1491" i="90" s="1"/>
  <c r="AO1602" i="90"/>
  <c r="AY1602" i="90" s="1"/>
  <c r="AN1602" i="90"/>
  <c r="AW1602" i="90" s="1"/>
  <c r="AM1602" i="90"/>
  <c r="AU1602" i="90" s="1"/>
  <c r="AO1594" i="90"/>
  <c r="AZ1594" i="90" s="1"/>
  <c r="AN1594" i="90"/>
  <c r="AM1594" i="90"/>
  <c r="AU1594" i="90" s="1"/>
  <c r="AN263" i="90"/>
  <c r="AN261" i="90"/>
  <c r="AN171" i="90"/>
  <c r="AW171" i="90" s="1"/>
  <c r="AR156" i="90"/>
  <c r="AN155" i="90"/>
  <c r="AR151" i="90"/>
  <c r="AR148" i="90"/>
  <c r="AN147" i="90"/>
  <c r="AT145" i="90"/>
  <c r="AM145" i="90" s="1"/>
  <c r="AU145" i="90" s="1"/>
  <c r="AR143" i="90"/>
  <c r="AR130" i="90"/>
  <c r="AM128" i="90"/>
  <c r="AU128" i="90" s="1"/>
  <c r="AR126" i="90"/>
  <c r="AN120" i="90"/>
  <c r="AR105" i="90"/>
  <c r="AR98" i="90"/>
  <c r="AR95" i="90"/>
  <c r="AR91" i="90"/>
  <c r="AR88" i="90"/>
  <c r="AR84" i="90"/>
  <c r="AQ72" i="90"/>
  <c r="AS72" i="90" s="1"/>
  <c r="AQ70" i="90"/>
  <c r="AS70" i="90" s="1"/>
  <c r="AQ68" i="90"/>
  <c r="AS68" i="90" s="1"/>
  <c r="AQ66" i="90"/>
  <c r="AS66" i="90" s="1"/>
  <c r="AR58" i="90"/>
  <c r="AR56" i="90"/>
  <c r="AO52" i="90"/>
  <c r="AM52" i="90"/>
  <c r="AU52" i="90" s="1"/>
  <c r="AT37" i="90"/>
  <c r="AQ37" i="90"/>
  <c r="AT35" i="90"/>
  <c r="AQ35" i="90"/>
  <c r="AT9" i="90"/>
  <c r="AR9" i="90"/>
  <c r="AQ9" i="90"/>
  <c r="AR1491" i="90"/>
  <c r="AQ1491" i="90"/>
  <c r="AS1491" i="90" s="1"/>
  <c r="AM1485" i="90"/>
  <c r="AU1485" i="90" s="1"/>
  <c r="AN1485" i="90"/>
  <c r="AO1604" i="90"/>
  <c r="AY1604" i="90" s="1"/>
  <c r="AM1604" i="90"/>
  <c r="AU1604" i="90" s="1"/>
  <c r="AN1604" i="90"/>
  <c r="AO1596" i="90"/>
  <c r="AY1596" i="90" s="1"/>
  <c r="AN1596" i="90"/>
  <c r="AW1596" i="90" s="1"/>
  <c r="AM1596" i="90"/>
  <c r="AU1596" i="90" s="1"/>
  <c r="AS323" i="90"/>
  <c r="AQ319" i="90"/>
  <c r="AQ311" i="90"/>
  <c r="AQ303" i="90"/>
  <c r="AQ295" i="90"/>
  <c r="AQ287" i="90"/>
  <c r="AR274" i="90"/>
  <c r="AQ266" i="90"/>
  <c r="AS266" i="90" s="1"/>
  <c r="AM263" i="90"/>
  <c r="AU263" i="90" s="1"/>
  <c r="AM261" i="90"/>
  <c r="AU261" i="90" s="1"/>
  <c r="AQ250" i="90"/>
  <c r="AQ211" i="90"/>
  <c r="AS211" i="90" s="1"/>
  <c r="AQ197" i="90"/>
  <c r="AS197" i="90" s="1"/>
  <c r="AQ193" i="90"/>
  <c r="AR191" i="90"/>
  <c r="AQ183" i="90"/>
  <c r="AS183" i="90" s="1"/>
  <c r="AR179" i="90"/>
  <c r="AR173" i="90"/>
  <c r="AT172" i="90"/>
  <c r="AM171" i="90"/>
  <c r="AU171" i="90" s="1"/>
  <c r="AT162" i="90"/>
  <c r="AM155" i="90"/>
  <c r="AU155" i="90" s="1"/>
  <c r="AM147" i="90"/>
  <c r="AU147" i="90" s="1"/>
  <c r="AT121" i="90"/>
  <c r="AS121" i="90" s="1"/>
  <c r="AM120" i="90"/>
  <c r="AU120" i="90" s="1"/>
  <c r="AS61" i="90"/>
  <c r="AQ58" i="90"/>
  <c r="AS58" i="90" s="1"/>
  <c r="AR55" i="90"/>
  <c r="AT55" i="90"/>
  <c r="AT51" i="90"/>
  <c r="AN51" i="90" s="1"/>
  <c r="AW51" i="90" s="1"/>
  <c r="AT33" i="90"/>
  <c r="AQ33" i="90"/>
  <c r="AT31" i="90"/>
  <c r="AQ31" i="90"/>
  <c r="AT29" i="90"/>
  <c r="AR29" i="90"/>
  <c r="AT27" i="90"/>
  <c r="AQ27" i="90"/>
  <c r="AN24" i="90"/>
  <c r="AW24" i="90" s="1"/>
  <c r="AO1598" i="90"/>
  <c r="AN1598" i="90"/>
  <c r="AW1598" i="90" s="1"/>
  <c r="AM1598" i="90"/>
  <c r="AU1598" i="90" s="1"/>
  <c r="AT22" i="90"/>
  <c r="AO22" i="90" s="1"/>
  <c r="AY22" i="90" s="1"/>
  <c r="AR21" i="90"/>
  <c r="AQ19" i="90"/>
  <c r="AS19" i="90" s="1"/>
  <c r="AR1485" i="90"/>
  <c r="AM1482" i="90"/>
  <c r="AU1482" i="90" s="1"/>
  <c r="AQ1478" i="90"/>
  <c r="AS1478" i="90" s="1"/>
  <c r="AT1473" i="90"/>
  <c r="AQ1470" i="90"/>
  <c r="AT1465" i="90"/>
  <c r="AQ1462" i="90"/>
  <c r="AT1605" i="90"/>
  <c r="AR1589" i="90"/>
  <c r="AT1589" i="90"/>
  <c r="AO1589" i="90" s="1"/>
  <c r="AY1589" i="90" s="1"/>
  <c r="AQ1589" i="90"/>
  <c r="AS1584" i="90"/>
  <c r="AQ1582" i="90"/>
  <c r="AT1582" i="90"/>
  <c r="AR1579" i="90"/>
  <c r="AT1579" i="90"/>
  <c r="AO1579" i="90" s="1"/>
  <c r="AY1579" i="90" s="1"/>
  <c r="AQ1579" i="90"/>
  <c r="AR1569" i="90"/>
  <c r="AT1569" i="90"/>
  <c r="AN1569" i="90" s="1"/>
  <c r="AW1569" i="90" s="1"/>
  <c r="AQ1569" i="90"/>
  <c r="AT1533" i="90"/>
  <c r="AN1533" i="90" s="1"/>
  <c r="AW1533" i="90" s="1"/>
  <c r="AR1533" i="90"/>
  <c r="AQ1533" i="90"/>
  <c r="AQ1525" i="90"/>
  <c r="AS1525" i="90" s="1"/>
  <c r="AR1525" i="90"/>
  <c r="AT1525" i="90"/>
  <c r="AR1522" i="90"/>
  <c r="AQ1522" i="90"/>
  <c r="AT1511" i="90"/>
  <c r="AM1511" i="90" s="1"/>
  <c r="AU1511" i="90" s="1"/>
  <c r="AR1511" i="90"/>
  <c r="AQ1511" i="90"/>
  <c r="AT1505" i="90"/>
  <c r="AM1505" i="90" s="1"/>
  <c r="AU1505" i="90" s="1"/>
  <c r="AQ1505" i="90"/>
  <c r="BN379" i="90"/>
  <c r="BO379" i="90"/>
  <c r="AN1600" i="90"/>
  <c r="AW1600" i="90" s="1"/>
  <c r="AN1592" i="90"/>
  <c r="AQ1586" i="90"/>
  <c r="AS1586" i="90" s="1"/>
  <c r="AT1586" i="90"/>
  <c r="AO1584" i="90"/>
  <c r="AM1584" i="90"/>
  <c r="AU1584" i="90" s="1"/>
  <c r="AR1581" i="90"/>
  <c r="AT1581" i="90"/>
  <c r="AO1581" i="90" s="1"/>
  <c r="AY1581" i="90" s="1"/>
  <c r="AQ1581" i="90"/>
  <c r="AQ1574" i="90"/>
  <c r="AT1574" i="90"/>
  <c r="AR1554" i="90"/>
  <c r="AT1554" i="90"/>
  <c r="AN1529" i="90"/>
  <c r="AW1529" i="90" s="1"/>
  <c r="AO1529" i="90"/>
  <c r="AY1529" i="90" s="1"/>
  <c r="AT1510" i="90"/>
  <c r="AQ1510" i="90"/>
  <c r="AR1510" i="90"/>
  <c r="AT1504" i="90"/>
  <c r="AQ1504" i="90"/>
  <c r="AR1504" i="90"/>
  <c r="AT40" i="90"/>
  <c r="AT36" i="90"/>
  <c r="AT32" i="90"/>
  <c r="AR17" i="90"/>
  <c r="AQ14" i="90"/>
  <c r="AS14" i="90" s="1"/>
  <c r="AT8" i="90"/>
  <c r="AN8" i="90" s="1"/>
  <c r="AW8" i="90" s="1"/>
  <c r="AQ7" i="90"/>
  <c r="AN1495" i="90"/>
  <c r="AN1493" i="90"/>
  <c r="AW1493" i="90" s="1"/>
  <c r="AQ1489" i="90"/>
  <c r="AS1489" i="90" s="1"/>
  <c r="AN1487" i="90"/>
  <c r="AQ1482" i="90"/>
  <c r="AS1482" i="90" s="1"/>
  <c r="AQ1481" i="90"/>
  <c r="AQ1480" i="90"/>
  <c r="AS1480" i="90" s="1"/>
  <c r="AT1477" i="90"/>
  <c r="AO1477" i="90" s="1"/>
  <c r="AZ1477" i="90" s="1"/>
  <c r="AQ1474" i="90"/>
  <c r="AR1472" i="90"/>
  <c r="AT1469" i="90"/>
  <c r="AO1469" i="90" s="1"/>
  <c r="AQ1466" i="90"/>
  <c r="AR1464" i="90"/>
  <c r="AT1461" i="90"/>
  <c r="AQ1602" i="90"/>
  <c r="AS1602" i="90" s="1"/>
  <c r="AQ1601" i="90"/>
  <c r="AM1600" i="90"/>
  <c r="AU1600" i="90" s="1"/>
  <c r="AQ1598" i="90"/>
  <c r="AS1598" i="90" s="1"/>
  <c r="AT1597" i="90"/>
  <c r="AO1597" i="90" s="1"/>
  <c r="AY1597" i="90" s="1"/>
  <c r="AQ1596" i="90"/>
  <c r="AS1596" i="90" s="1"/>
  <c r="AT1595" i="90"/>
  <c r="AO1595" i="90" s="1"/>
  <c r="AY1595" i="90" s="1"/>
  <c r="AQ1594" i="90"/>
  <c r="AS1594" i="90" s="1"/>
  <c r="AT1593" i="90"/>
  <c r="AM1592" i="90"/>
  <c r="AU1592" i="90" s="1"/>
  <c r="AQ1588" i="90"/>
  <c r="AT1588" i="90"/>
  <c r="AQ1578" i="90"/>
  <c r="AT1578" i="90"/>
  <c r="AO1576" i="90"/>
  <c r="AY1576" i="90" s="1"/>
  <c r="AM1576" i="90"/>
  <c r="AU1576" i="90" s="1"/>
  <c r="AT1543" i="90"/>
  <c r="AQ1543" i="90"/>
  <c r="AR1529" i="90"/>
  <c r="AQ1529" i="90"/>
  <c r="AS1529" i="90" s="1"/>
  <c r="AT1513" i="90"/>
  <c r="AM1513" i="90" s="1"/>
  <c r="AU1513" i="90" s="1"/>
  <c r="AQ1513" i="90"/>
  <c r="AT1503" i="90"/>
  <c r="AM1503" i="90" s="1"/>
  <c r="AU1503" i="90" s="1"/>
  <c r="AR1503" i="90"/>
  <c r="AQ1503" i="90"/>
  <c r="BN371" i="90"/>
  <c r="BO371" i="90"/>
  <c r="AR1478" i="90"/>
  <c r="AR1470" i="90"/>
  <c r="AR1462" i="90"/>
  <c r="AQ1597" i="90"/>
  <c r="AS1597" i="90" s="1"/>
  <c r="AQ1595" i="90"/>
  <c r="AQ1593" i="90"/>
  <c r="AO1590" i="90"/>
  <c r="AY1590" i="90" s="1"/>
  <c r="AN1590" i="90"/>
  <c r="AR1587" i="90"/>
  <c r="AT1587" i="90"/>
  <c r="AO1587" i="90" s="1"/>
  <c r="AY1587" i="90" s="1"/>
  <c r="AQ1587" i="90"/>
  <c r="AN1584" i="90"/>
  <c r="AR1582" i="90"/>
  <c r="AQ1580" i="90"/>
  <c r="AT1580" i="90"/>
  <c r="AT1549" i="90"/>
  <c r="AQ1549" i="90"/>
  <c r="AY1528" i="90"/>
  <c r="AZ1528" i="90"/>
  <c r="AO1526" i="90"/>
  <c r="AY1526" i="90" s="1"/>
  <c r="AN1526" i="90"/>
  <c r="AW1526" i="90" s="1"/>
  <c r="AT1512" i="90"/>
  <c r="AQ1512" i="90"/>
  <c r="AR1512" i="90"/>
  <c r="AT1502" i="90"/>
  <c r="AQ1502" i="90"/>
  <c r="AR1502" i="90"/>
  <c r="AR1573" i="90"/>
  <c r="AR1571" i="90"/>
  <c r="AR1568" i="90"/>
  <c r="AQ1526" i="90"/>
  <c r="AS1526" i="90" s="1"/>
  <c r="AQ1520" i="90"/>
  <c r="AR1514" i="90"/>
  <c r="AR1496" i="90"/>
  <c r="BS581" i="90"/>
  <c r="BO581" i="90" s="1"/>
  <c r="BS577" i="90"/>
  <c r="BO577" i="90" s="1"/>
  <c r="BS573" i="90"/>
  <c r="BO573" i="90" s="1"/>
  <c r="BS569" i="90"/>
  <c r="BO569" i="90" s="1"/>
  <c r="BS565" i="90"/>
  <c r="BO565" i="90" s="1"/>
  <c r="BX565" i="90" s="1"/>
  <c r="BR562" i="90"/>
  <c r="BT562" i="90" s="1"/>
  <c r="BR561" i="90"/>
  <c r="BR558" i="90"/>
  <c r="BR557" i="90"/>
  <c r="BR554" i="90"/>
  <c r="BR553" i="90"/>
  <c r="BR550" i="90"/>
  <c r="BR549" i="90"/>
  <c r="BR546" i="90"/>
  <c r="BT546" i="90" s="1"/>
  <c r="BR545" i="90"/>
  <c r="BR542" i="90"/>
  <c r="BR538" i="90"/>
  <c r="BR537" i="90"/>
  <c r="BR536" i="90"/>
  <c r="BT536" i="90" s="1"/>
  <c r="BS528" i="90"/>
  <c r="BO528" i="90" s="1"/>
  <c r="BP518" i="90"/>
  <c r="BP514" i="90"/>
  <c r="BS509" i="90"/>
  <c r="BN509" i="90" s="1"/>
  <c r="BU509" i="90" s="1"/>
  <c r="BR508" i="90"/>
  <c r="BP506" i="90"/>
  <c r="BR505" i="90"/>
  <c r="BR503" i="90"/>
  <c r="BT503" i="90" s="1"/>
  <c r="BO501" i="90"/>
  <c r="BS497" i="90"/>
  <c r="BN497" i="90" s="1"/>
  <c r="BO493" i="90"/>
  <c r="BO489" i="90"/>
  <c r="BO477" i="90"/>
  <c r="BO473" i="90"/>
  <c r="BO461" i="90"/>
  <c r="BO457" i="90"/>
  <c r="BP438" i="90"/>
  <c r="BP434" i="90"/>
  <c r="BP430" i="90"/>
  <c r="BP427" i="90"/>
  <c r="BS422" i="90"/>
  <c r="BO422" i="90" s="1"/>
  <c r="BP411" i="90"/>
  <c r="BP410" i="90"/>
  <c r="BS410" i="90"/>
  <c r="BS407" i="90"/>
  <c r="BS404" i="90"/>
  <c r="BP404" i="90"/>
  <c r="BR404" i="90"/>
  <c r="BP399" i="90"/>
  <c r="BR399" i="90"/>
  <c r="BP354" i="90"/>
  <c r="BR354" i="90"/>
  <c r="BS354" i="90"/>
  <c r="BP343" i="90"/>
  <c r="BR343" i="90"/>
  <c r="BN335" i="90"/>
  <c r="BO335" i="90"/>
  <c r="BN196" i="90"/>
  <c r="BU196" i="90" s="1"/>
  <c r="BO196" i="90"/>
  <c r="AT1583" i="90"/>
  <c r="AS1583" i="90" s="1"/>
  <c r="AT1575" i="90"/>
  <c r="AS1575" i="90" s="1"/>
  <c r="AQ1568" i="90"/>
  <c r="AS1568" i="90" s="1"/>
  <c r="AR1566" i="90"/>
  <c r="AQ1560" i="90"/>
  <c r="AS1560" i="90" s="1"/>
  <c r="AQ1552" i="90"/>
  <c r="AS1552" i="90" s="1"/>
  <c r="AT1544" i="90"/>
  <c r="AO1544" i="90" s="1"/>
  <c r="AZ1544" i="90" s="1"/>
  <c r="AR1541" i="90"/>
  <c r="AQ1537" i="90"/>
  <c r="AS1537" i="90" s="1"/>
  <c r="AR1531" i="90"/>
  <c r="AT1527" i="90"/>
  <c r="AQ1497" i="90"/>
  <c r="AS1497" i="90" s="1"/>
  <c r="AQ1496" i="90"/>
  <c r="BR581" i="90"/>
  <c r="BR577" i="90"/>
  <c r="BR573" i="90"/>
  <c r="BR569" i="90"/>
  <c r="BR565" i="90"/>
  <c r="BR563" i="90"/>
  <c r="BP562" i="90"/>
  <c r="BP561" i="90"/>
  <c r="BR559" i="90"/>
  <c r="BP558" i="90"/>
  <c r="BP557" i="90"/>
  <c r="BR555" i="90"/>
  <c r="BP554" i="90"/>
  <c r="BP553" i="90"/>
  <c r="BR551" i="90"/>
  <c r="BP550" i="90"/>
  <c r="BP549" i="90"/>
  <c r="BR547" i="90"/>
  <c r="BP546" i="90"/>
  <c r="BP545" i="90"/>
  <c r="BP542" i="90"/>
  <c r="BR539" i="90"/>
  <c r="BT539" i="90" s="1"/>
  <c r="BP538" i="90"/>
  <c r="BP536" i="90"/>
  <c r="BS529" i="90"/>
  <c r="BN529" i="90" s="1"/>
  <c r="BU529" i="90" s="1"/>
  <c r="BR528" i="90"/>
  <c r="BT528" i="90" s="1"/>
  <c r="BS524" i="90"/>
  <c r="BR523" i="90"/>
  <c r="BT523" i="90" s="1"/>
  <c r="BS521" i="90"/>
  <c r="BO518" i="90"/>
  <c r="BO514" i="90"/>
  <c r="BR509" i="90"/>
  <c r="BO506" i="90"/>
  <c r="BP503" i="90"/>
  <c r="BR497" i="90"/>
  <c r="BS485" i="90"/>
  <c r="BT485" i="90" s="1"/>
  <c r="BS484" i="90"/>
  <c r="BT484" i="90" s="1"/>
  <c r="BS481" i="90"/>
  <c r="BS480" i="90"/>
  <c r="BT480" i="90" s="1"/>
  <c r="BS469" i="90"/>
  <c r="BT469" i="90" s="1"/>
  <c r="BS468" i="90"/>
  <c r="BS465" i="90"/>
  <c r="BS464" i="90"/>
  <c r="BS453" i="90"/>
  <c r="BS452" i="90"/>
  <c r="BT452" i="90" s="1"/>
  <c r="BS449" i="90"/>
  <c r="BS448" i="90"/>
  <c r="BT448" i="90" s="1"/>
  <c r="BS445" i="90"/>
  <c r="BT445" i="90" s="1"/>
  <c r="BS441" i="90"/>
  <c r="BT441" i="90" s="1"/>
  <c r="BO438" i="90"/>
  <c r="BT436" i="90"/>
  <c r="BO434" i="90"/>
  <c r="BT432" i="90"/>
  <c r="BO430" i="90"/>
  <c r="BO427" i="90"/>
  <c r="BR422" i="90"/>
  <c r="BO411" i="90"/>
  <c r="BP407" i="90"/>
  <c r="BP398" i="90"/>
  <c r="BR398" i="90"/>
  <c r="BS398" i="90"/>
  <c r="BP390" i="90"/>
  <c r="BR390" i="90"/>
  <c r="BS390" i="90"/>
  <c r="BO390" i="90" s="1"/>
  <c r="BS376" i="90"/>
  <c r="BO376" i="90" s="1"/>
  <c r="BP376" i="90"/>
  <c r="BR376" i="90"/>
  <c r="BP371" i="90"/>
  <c r="BR371" i="90"/>
  <c r="BT371" i="90" s="1"/>
  <c r="BO350" i="90"/>
  <c r="BN350" i="90"/>
  <c r="BU350" i="90" s="1"/>
  <c r="BP335" i="90"/>
  <c r="BR335" i="90"/>
  <c r="BT335" i="90" s="1"/>
  <c r="BT524" i="90"/>
  <c r="BT468" i="90"/>
  <c r="BT464" i="90"/>
  <c r="BT407" i="90"/>
  <c r="BO394" i="90"/>
  <c r="BN394" i="90"/>
  <c r="BP379" i="90"/>
  <c r="BR379" i="90"/>
  <c r="BT379" i="90" s="1"/>
  <c r="BS348" i="90"/>
  <c r="BP348" i="90"/>
  <c r="BR348" i="90"/>
  <c r="BS340" i="90"/>
  <c r="BP340" i="90"/>
  <c r="BR340" i="90"/>
  <c r="BP334" i="90"/>
  <c r="BR334" i="90"/>
  <c r="BT334" i="90" s="1"/>
  <c r="BS334" i="90"/>
  <c r="BN315" i="90"/>
  <c r="BO315" i="90"/>
  <c r="BN204" i="90"/>
  <c r="BO204" i="90"/>
  <c r="BN143" i="90"/>
  <c r="BO143" i="90"/>
  <c r="AT1548" i="90"/>
  <c r="AQ1535" i="90"/>
  <c r="AQ1521" i="90"/>
  <c r="AS1521" i="90" s="1"/>
  <c r="AQ1519" i="90"/>
  <c r="AS1519" i="90" s="1"/>
  <c r="BR580" i="90"/>
  <c r="BR576" i="90"/>
  <c r="BR572" i="90"/>
  <c r="BR568" i="90"/>
  <c r="BT568" i="90" s="1"/>
  <c r="BR564" i="90"/>
  <c r="BR560" i="90"/>
  <c r="BR556" i="90"/>
  <c r="BR552" i="90"/>
  <c r="BR548" i="90"/>
  <c r="BR544" i="90"/>
  <c r="BS541" i="90"/>
  <c r="BN541" i="90" s="1"/>
  <c r="BU541" i="90" s="1"/>
  <c r="BR540" i="90"/>
  <c r="BT540" i="90" s="1"/>
  <c r="BS537" i="90"/>
  <c r="BO530" i="90"/>
  <c r="BR525" i="90"/>
  <c r="BO522" i="90"/>
  <c r="BP519" i="90"/>
  <c r="BR512" i="90"/>
  <c r="BT512" i="90" s="1"/>
  <c r="BS508" i="90"/>
  <c r="BR507" i="90"/>
  <c r="BT507" i="90" s="1"/>
  <c r="BS505" i="90"/>
  <c r="BO502" i="90"/>
  <c r="BR501" i="90"/>
  <c r="BT501" i="90" s="1"/>
  <c r="BS500" i="90"/>
  <c r="BO500" i="90" s="1"/>
  <c r="BO494" i="90"/>
  <c r="BR492" i="90"/>
  <c r="BT492" i="90" s="1"/>
  <c r="BO490" i="90"/>
  <c r="BR488" i="90"/>
  <c r="BR476" i="90"/>
  <c r="BT476" i="90" s="1"/>
  <c r="BO474" i="90"/>
  <c r="BR472" i="90"/>
  <c r="BR461" i="90"/>
  <c r="BT461" i="90" s="1"/>
  <c r="BR460" i="90"/>
  <c r="BT460" i="90" s="1"/>
  <c r="BO458" i="90"/>
  <c r="BR457" i="90"/>
  <c r="BT457" i="90" s="1"/>
  <c r="BR456" i="90"/>
  <c r="BT456" i="90" s="1"/>
  <c r="BR424" i="90"/>
  <c r="BT424" i="90" s="1"/>
  <c r="BR418" i="90"/>
  <c r="BR416" i="90"/>
  <c r="BP412" i="90"/>
  <c r="BR410" i="90"/>
  <c r="BS408" i="90"/>
  <c r="BN408" i="90" s="1"/>
  <c r="BP408" i="90"/>
  <c r="BS399" i="90"/>
  <c r="BP378" i="90"/>
  <c r="BR378" i="90"/>
  <c r="BS378" i="90"/>
  <c r="BS368" i="90"/>
  <c r="BP368" i="90"/>
  <c r="BR368" i="90"/>
  <c r="BS343" i="90"/>
  <c r="BO330" i="90"/>
  <c r="BN330" i="90"/>
  <c r="BU330" i="90" s="1"/>
  <c r="BP326" i="90"/>
  <c r="BR326" i="90"/>
  <c r="BS326" i="90"/>
  <c r="BO326" i="90" s="1"/>
  <c r="BP315" i="90"/>
  <c r="BR315" i="90"/>
  <c r="BT315" i="90" s="1"/>
  <c r="BO403" i="90"/>
  <c r="BP400" i="90"/>
  <c r="BR394" i="90"/>
  <c r="BR392" i="90"/>
  <c r="BT392" i="90" s="1"/>
  <c r="BR386" i="90"/>
  <c r="BR384" i="90"/>
  <c r="BP380" i="90"/>
  <c r="BO375" i="90"/>
  <c r="BP372" i="90"/>
  <c r="BO367" i="90"/>
  <c r="BR358" i="90"/>
  <c r="BT350" i="90"/>
  <c r="BO347" i="90"/>
  <c r="BP344" i="90"/>
  <c r="BO339" i="90"/>
  <c r="BP336" i="90"/>
  <c r="BR322" i="90"/>
  <c r="BP316" i="90"/>
  <c r="BN314" i="90"/>
  <c r="BR313" i="90"/>
  <c r="BT313" i="90" s="1"/>
  <c r="BS312" i="90"/>
  <c r="BO309" i="90"/>
  <c r="BR308" i="90"/>
  <c r="BT308" i="90" s="1"/>
  <c r="BR298" i="90"/>
  <c r="BT298" i="90" s="1"/>
  <c r="BP297" i="90"/>
  <c r="BO285" i="90"/>
  <c r="BR284" i="90"/>
  <c r="BT284" i="90" s="1"/>
  <c r="BO280" i="90"/>
  <c r="BR275" i="90"/>
  <c r="BS265" i="90"/>
  <c r="BP265" i="90"/>
  <c r="BS256" i="90"/>
  <c r="BN256" i="90" s="1"/>
  <c r="BR252" i="90"/>
  <c r="BT252" i="90" s="1"/>
  <c r="BP216" i="90"/>
  <c r="BR216" i="90"/>
  <c r="BS216" i="90"/>
  <c r="BP199" i="90"/>
  <c r="BS199" i="90"/>
  <c r="BS174" i="90"/>
  <c r="BN174" i="90" s="1"/>
  <c r="BU174" i="90" s="1"/>
  <c r="BP174" i="90"/>
  <c r="BR174" i="90"/>
  <c r="BS166" i="90"/>
  <c r="BP166" i="90"/>
  <c r="BR166" i="90"/>
  <c r="BP135" i="90"/>
  <c r="BR135" i="90"/>
  <c r="BS135" i="90"/>
  <c r="BN135" i="90" s="1"/>
  <c r="BP131" i="90"/>
  <c r="BR131" i="90"/>
  <c r="BS131" i="90"/>
  <c r="BN131" i="90" s="1"/>
  <c r="BU131" i="90" s="1"/>
  <c r="BP55" i="90"/>
  <c r="BR55" i="90"/>
  <c r="BS55" i="90"/>
  <c r="BN55" i="90" s="1"/>
  <c r="BU55" i="90" s="1"/>
  <c r="BR312" i="90"/>
  <c r="BT312" i="90" s="1"/>
  <c r="BR310" i="90"/>
  <c r="BT310" i="90" s="1"/>
  <c r="BR301" i="90"/>
  <c r="BT301" i="90" s="1"/>
  <c r="BO300" i="90"/>
  <c r="BP298" i="90"/>
  <c r="BO292" i="90"/>
  <c r="BS287" i="90"/>
  <c r="BO287" i="90" s="1"/>
  <c r="BR282" i="90"/>
  <c r="BT282" i="90" s="1"/>
  <c r="BR281" i="90"/>
  <c r="BT281" i="90" s="1"/>
  <c r="BO276" i="90"/>
  <c r="BR273" i="90"/>
  <c r="BT273" i="90" s="1"/>
  <c r="BP259" i="90"/>
  <c r="BS259" i="90"/>
  <c r="BT259" i="90" s="1"/>
  <c r="BR256" i="90"/>
  <c r="BS250" i="90"/>
  <c r="BR250" i="90"/>
  <c r="BS246" i="90"/>
  <c r="BP246" i="90"/>
  <c r="BR246" i="90"/>
  <c r="BP244" i="90"/>
  <c r="BR244" i="90"/>
  <c r="BS241" i="90"/>
  <c r="BR241" i="90"/>
  <c r="BP239" i="90"/>
  <c r="BR239" i="90"/>
  <c r="BT239" i="90" s="1"/>
  <c r="BS239" i="90"/>
  <c r="BS237" i="90"/>
  <c r="BP237" i="90"/>
  <c r="BP173" i="90"/>
  <c r="BR173" i="90"/>
  <c r="BS173" i="90"/>
  <c r="BN173" i="90" s="1"/>
  <c r="BU173" i="90" s="1"/>
  <c r="BS154" i="90"/>
  <c r="BP154" i="90"/>
  <c r="BR154" i="90"/>
  <c r="BT154" i="90" s="1"/>
  <c r="BP133" i="90"/>
  <c r="BR133" i="90"/>
  <c r="BS133" i="90"/>
  <c r="BO29" i="90"/>
  <c r="BN29" i="90"/>
  <c r="BT382" i="90"/>
  <c r="BS366" i="90"/>
  <c r="BT366" i="90" s="1"/>
  <c r="BR362" i="90"/>
  <c r="BR360" i="90"/>
  <c r="BR352" i="90"/>
  <c r="BS346" i="90"/>
  <c r="BS338" i="90"/>
  <c r="BR332" i="90"/>
  <c r="BR324" i="90"/>
  <c r="BR318" i="90"/>
  <c r="BT318" i="90" s="1"/>
  <c r="BO313" i="90"/>
  <c r="BP310" i="90"/>
  <c r="BS307" i="90"/>
  <c r="BT307" i="90" s="1"/>
  <c r="BR287" i="90"/>
  <c r="BO284" i="90"/>
  <c r="BP282" i="90"/>
  <c r="BP281" i="90"/>
  <c r="BP273" i="90"/>
  <c r="BP271" i="90"/>
  <c r="BR271" i="90"/>
  <c r="BS269" i="90"/>
  <c r="BP269" i="90"/>
  <c r="BR269" i="90"/>
  <c r="BS229" i="90"/>
  <c r="BP229" i="90"/>
  <c r="BR229" i="90"/>
  <c r="BT229" i="90" s="1"/>
  <c r="BS218" i="90"/>
  <c r="BP218" i="90"/>
  <c r="BR218" i="90"/>
  <c r="BO207" i="90"/>
  <c r="BN207" i="90"/>
  <c r="BU207" i="90" s="1"/>
  <c r="BP196" i="90"/>
  <c r="BR196" i="90"/>
  <c r="BT196" i="90" s="1"/>
  <c r="BS178" i="90"/>
  <c r="BP178" i="90"/>
  <c r="BR178" i="90"/>
  <c r="BP172" i="90"/>
  <c r="BR172" i="90"/>
  <c r="BT172" i="90" s="1"/>
  <c r="BS172" i="90"/>
  <c r="BS162" i="90"/>
  <c r="BP162" i="90"/>
  <c r="BR162" i="90"/>
  <c r="BT162" i="90" s="1"/>
  <c r="BP160" i="90"/>
  <c r="BR160" i="90"/>
  <c r="BS160" i="90"/>
  <c r="BN138" i="90"/>
  <c r="BU138" i="90" s="1"/>
  <c r="BO138" i="90"/>
  <c r="BP109" i="90"/>
  <c r="BR109" i="90"/>
  <c r="BS109" i="90"/>
  <c r="BO109" i="90" s="1"/>
  <c r="BP75" i="90"/>
  <c r="BR75" i="90"/>
  <c r="BS75" i="90"/>
  <c r="BO75" i="90" s="1"/>
  <c r="BO14" i="90"/>
  <c r="BN14" i="90"/>
  <c r="BU14" i="90" s="1"/>
  <c r="BS261" i="90"/>
  <c r="BP261" i="90"/>
  <c r="BR261" i="90"/>
  <c r="BN252" i="90"/>
  <c r="BO252" i="90"/>
  <c r="BS245" i="90"/>
  <c r="BP245" i="90"/>
  <c r="BR245" i="90"/>
  <c r="BR240" i="90"/>
  <c r="BS240" i="90"/>
  <c r="BO240" i="90" s="1"/>
  <c r="BS217" i="90"/>
  <c r="BP217" i="90"/>
  <c r="BR217" i="90"/>
  <c r="BP204" i="90"/>
  <c r="BR204" i="90"/>
  <c r="BT204" i="90" s="1"/>
  <c r="BS182" i="90"/>
  <c r="BP182" i="90"/>
  <c r="BR182" i="90"/>
  <c r="BP177" i="90"/>
  <c r="BR177" i="90"/>
  <c r="BS177" i="90"/>
  <c r="BP143" i="90"/>
  <c r="BR143" i="90"/>
  <c r="BT143" i="90" s="1"/>
  <c r="BP53" i="90"/>
  <c r="BR53" i="90"/>
  <c r="BS53" i="90"/>
  <c r="BS26" i="90"/>
  <c r="BP26" i="90"/>
  <c r="BR26" i="90"/>
  <c r="BP8" i="90"/>
  <c r="BR8" i="90"/>
  <c r="BT141" i="90"/>
  <c r="BP138" i="90"/>
  <c r="BR138" i="90"/>
  <c r="BT138" i="90" s="1"/>
  <c r="BO130" i="90"/>
  <c r="BN130" i="90"/>
  <c r="BU130" i="90" s="1"/>
  <c r="BT121" i="90"/>
  <c r="BN102" i="90"/>
  <c r="BU102" i="90" s="1"/>
  <c r="BO102" i="90"/>
  <c r="BS81" i="90"/>
  <c r="BP81" i="90"/>
  <c r="BR81" i="90"/>
  <c r="BS51" i="90"/>
  <c r="BN51" i="90" s="1"/>
  <c r="BR51" i="90"/>
  <c r="BT51" i="90" s="1"/>
  <c r="BS42" i="90"/>
  <c r="BP42" i="90"/>
  <c r="BT29" i="90"/>
  <c r="BT21" i="90"/>
  <c r="BN17" i="90"/>
  <c r="BU17" i="90" s="1"/>
  <c r="BO17" i="90"/>
  <c r="BT17" i="90"/>
  <c r="BT14" i="90"/>
  <c r="BS13" i="90"/>
  <c r="BP13" i="90"/>
  <c r="BO268" i="90"/>
  <c r="BP266" i="90"/>
  <c r="BT255" i="90"/>
  <c r="BP234" i="90"/>
  <c r="BP233" i="90"/>
  <c r="BR221" i="90"/>
  <c r="BT221" i="90" s="1"/>
  <c r="BN215" i="90"/>
  <c r="BU215" i="90" s="1"/>
  <c r="BR213" i="90"/>
  <c r="BT213" i="90" s="1"/>
  <c r="BS200" i="90"/>
  <c r="BR189" i="90"/>
  <c r="BT189" i="90" s="1"/>
  <c r="BT176" i="90"/>
  <c r="BR169" i="90"/>
  <c r="BT169" i="90" s="1"/>
  <c r="BR165" i="90"/>
  <c r="BR161" i="90"/>
  <c r="BS157" i="90"/>
  <c r="BN157" i="90" s="1"/>
  <c r="BU157" i="90" s="1"/>
  <c r="BS156" i="90"/>
  <c r="BR149" i="90"/>
  <c r="BT149" i="90" s="1"/>
  <c r="BN146" i="90"/>
  <c r="BU146" i="90" s="1"/>
  <c r="BS132" i="90"/>
  <c r="BP132" i="90"/>
  <c r="BS120" i="90"/>
  <c r="BN120" i="90" s="1"/>
  <c r="BU120" i="90" s="1"/>
  <c r="BP120" i="90"/>
  <c r="BR120" i="90"/>
  <c r="BT120" i="90" s="1"/>
  <c r="BP102" i="90"/>
  <c r="BR102" i="90"/>
  <c r="BT102" i="90" s="1"/>
  <c r="BR86" i="90"/>
  <c r="BP86" i="90"/>
  <c r="BS86" i="90"/>
  <c r="BN76" i="90"/>
  <c r="BO76" i="90"/>
  <c r="BN56" i="90"/>
  <c r="BU56" i="90" s="1"/>
  <c r="BO56" i="90"/>
  <c r="BP50" i="90"/>
  <c r="BR50" i="90"/>
  <c r="BS50" i="90"/>
  <c r="BT34" i="90"/>
  <c r="BS33" i="90"/>
  <c r="BP33" i="90"/>
  <c r="BT22" i="90"/>
  <c r="BS21" i="90"/>
  <c r="BP21" i="90"/>
  <c r="BS18" i="90"/>
  <c r="BP18" i="90"/>
  <c r="BN9" i="90"/>
  <c r="BO9" i="90"/>
  <c r="BT6" i="90"/>
  <c r="BR253" i="90"/>
  <c r="BT253" i="90" s="1"/>
  <c r="BR225" i="90"/>
  <c r="BT225" i="90" s="1"/>
  <c r="BS223" i="90"/>
  <c r="BP221" i="90"/>
  <c r="BP213" i="90"/>
  <c r="BR205" i="90"/>
  <c r="BT205" i="90" s="1"/>
  <c r="BR202" i="90"/>
  <c r="BT202" i="90" s="1"/>
  <c r="BR201" i="90"/>
  <c r="BT201" i="90" s="1"/>
  <c r="BR197" i="90"/>
  <c r="BT197" i="90" s="1"/>
  <c r="BR167" i="90"/>
  <c r="BT167" i="90" s="1"/>
  <c r="BR158" i="90"/>
  <c r="BT158" i="90" s="1"/>
  <c r="BR156" i="90"/>
  <c r="BT156" i="90" s="1"/>
  <c r="BP137" i="90"/>
  <c r="BR137" i="90"/>
  <c r="BT137" i="90" s="1"/>
  <c r="BP126" i="90"/>
  <c r="BR126" i="90"/>
  <c r="BT126" i="90" s="1"/>
  <c r="BS126" i="90"/>
  <c r="BN126" i="90" s="1"/>
  <c r="BU126" i="90" s="1"/>
  <c r="BP119" i="90"/>
  <c r="BR119" i="90"/>
  <c r="BS119" i="90"/>
  <c r="BN119" i="90" s="1"/>
  <c r="BW105" i="90"/>
  <c r="BP78" i="90"/>
  <c r="BS78" i="90"/>
  <c r="BP76" i="90"/>
  <c r="BR76" i="90"/>
  <c r="BT76" i="90" s="1"/>
  <c r="BP56" i="90"/>
  <c r="BR56" i="90"/>
  <c r="BT56" i="90" s="1"/>
  <c r="BP49" i="90"/>
  <c r="BR49" i="90"/>
  <c r="BS49" i="90"/>
  <c r="BN49" i="90" s="1"/>
  <c r="BU49" i="90" s="1"/>
  <c r="BN38" i="90"/>
  <c r="BU38" i="90" s="1"/>
  <c r="BO38" i="90"/>
  <c r="BT38" i="90"/>
  <c r="BN34" i="90"/>
  <c r="BU34" i="90" s="1"/>
  <c r="BP32" i="90"/>
  <c r="BR32" i="90"/>
  <c r="BS32" i="90"/>
  <c r="BN25" i="90"/>
  <c r="BU25" i="90" s="1"/>
  <c r="BO25" i="90"/>
  <c r="BW25" i="90" s="1"/>
  <c r="BT25" i="90"/>
  <c r="BN22" i="90"/>
  <c r="BP20" i="90"/>
  <c r="BR20" i="90"/>
  <c r="BS20" i="90"/>
  <c r="BN20" i="90" s="1"/>
  <c r="BS10" i="90"/>
  <c r="BP10" i="90"/>
  <c r="BS8" i="90"/>
  <c r="BN8" i="90" s="1"/>
  <c r="BU8" i="90" s="1"/>
  <c r="BS6" i="90"/>
  <c r="BP6" i="90"/>
  <c r="BT105" i="90"/>
  <c r="BP136" i="90"/>
  <c r="BR127" i="90"/>
  <c r="BT127" i="90" s="1"/>
  <c r="BR125" i="90"/>
  <c r="BT125" i="90" s="1"/>
  <c r="BS123" i="90"/>
  <c r="BS122" i="90"/>
  <c r="BS121" i="90"/>
  <c r="BO121" i="90" s="1"/>
  <c r="BN117" i="90"/>
  <c r="BO116" i="90"/>
  <c r="BO100" i="90"/>
  <c r="BR98" i="90"/>
  <c r="BT98" i="90" s="1"/>
  <c r="BR96" i="90"/>
  <c r="BR91" i="90"/>
  <c r="BT91" i="90" s="1"/>
  <c r="BO84" i="90"/>
  <c r="BP73" i="90"/>
  <c r="BR72" i="90"/>
  <c r="BT72" i="90" s="1"/>
  <c r="BR68" i="90"/>
  <c r="BT68" i="90" s="1"/>
  <c r="BS67" i="90"/>
  <c r="BO67" i="90" s="1"/>
  <c r="BO64" i="90"/>
  <c r="BR63" i="90"/>
  <c r="BT63" i="90" s="1"/>
  <c r="BR46" i="90"/>
  <c r="BT46" i="90" s="1"/>
  <c r="BP31" i="90"/>
  <c r="BR24" i="90"/>
  <c r="BR134" i="90"/>
  <c r="BT134" i="90" s="1"/>
  <c r="BR122" i="90"/>
  <c r="BT122" i="90" s="1"/>
  <c r="BS110" i="90"/>
  <c r="BN110" i="90" s="1"/>
  <c r="BS94" i="90"/>
  <c r="BT94" i="90" s="1"/>
  <c r="BR67" i="90"/>
  <c r="BR65" i="90"/>
  <c r="BT65" i="90" s="1"/>
  <c r="BS59" i="90"/>
  <c r="BN59" i="90" s="1"/>
  <c r="BU59" i="90" s="1"/>
  <c r="BR43" i="90"/>
  <c r="BT43" i="90" s="1"/>
  <c r="BR27" i="90"/>
  <c r="BT27" i="90" s="1"/>
  <c r="AY148" i="90"/>
  <c r="AW1576" i="90"/>
  <c r="AR1662" i="90"/>
  <c r="AT1627" i="90"/>
  <c r="AN1627" i="90" s="1"/>
  <c r="AQ1621" i="90"/>
  <c r="AR1656" i="90"/>
  <c r="AR1622" i="90"/>
  <c r="BU213" i="90"/>
  <c r="AY1599" i="90"/>
  <c r="AR1650" i="90"/>
  <c r="AT1607" i="90"/>
  <c r="AO1607" i="90" s="1"/>
  <c r="BS601" i="90"/>
  <c r="BO601" i="90" s="1"/>
  <c r="AZ167" i="90"/>
  <c r="AR1664" i="90"/>
  <c r="AR1658" i="90"/>
  <c r="AQ1633" i="90"/>
  <c r="BR585" i="90"/>
  <c r="AZ348" i="90"/>
  <c r="AR1642" i="90"/>
  <c r="AQ1626" i="90"/>
  <c r="AS1626" i="90" s="1"/>
  <c r="AQ1622" i="90"/>
  <c r="AS1622" i="90" s="1"/>
  <c r="BP635" i="90"/>
  <c r="BS597" i="90"/>
  <c r="BO597" i="90" s="1"/>
  <c r="BU89" i="90"/>
  <c r="AZ286" i="90"/>
  <c r="AZ275" i="90"/>
  <c r="AR1654" i="90"/>
  <c r="AR1648" i="90"/>
  <c r="AQ1634" i="90"/>
  <c r="AS1634" i="90" s="1"/>
  <c r="AQ1615" i="90"/>
  <c r="AQ1612" i="90"/>
  <c r="AS1612" i="90" s="1"/>
  <c r="BS641" i="90"/>
  <c r="BO641" i="90" s="1"/>
  <c r="BS585" i="90"/>
  <c r="BO585" i="90" s="1"/>
  <c r="BU197" i="90"/>
  <c r="AQ1666" i="90"/>
  <c r="AS1666" i="90" s="1"/>
  <c r="AQ1638" i="90"/>
  <c r="AS1638" i="90" s="1"/>
  <c r="AT1635" i="90"/>
  <c r="AM1635" i="90" s="1"/>
  <c r="AU1635" i="90" s="1"/>
  <c r="AQ1627" i="90"/>
  <c r="AR1616" i="90"/>
  <c r="AR1608" i="90"/>
  <c r="BS593" i="90"/>
  <c r="BO593" i="90" s="1"/>
  <c r="BU90" i="90"/>
  <c r="AZ251" i="90"/>
  <c r="AN1666" i="90"/>
  <c r="AW1666" i="90" s="1"/>
  <c r="AR1646" i="90"/>
  <c r="AR1640" i="90"/>
  <c r="AQ1635" i="90"/>
  <c r="AQ1625" i="90"/>
  <c r="AT1621" i="90"/>
  <c r="AO1621" i="90" s="1"/>
  <c r="AZ1621" i="90" s="1"/>
  <c r="AQ1616" i="90"/>
  <c r="AS1616" i="90" s="1"/>
  <c r="AQ1608" i="90"/>
  <c r="AS1608" i="90" s="1"/>
  <c r="AQ1606" i="90"/>
  <c r="BP639" i="90"/>
  <c r="BS625" i="90"/>
  <c r="BO625" i="90" s="1"/>
  <c r="BX625" i="90" s="1"/>
  <c r="BR593" i="90"/>
  <c r="BP637" i="90"/>
  <c r="BR625" i="90"/>
  <c r="BR598" i="90"/>
  <c r="BT598" i="90" s="1"/>
  <c r="BR597" i="90"/>
  <c r="BS589" i="90"/>
  <c r="BO589" i="90" s="1"/>
  <c r="AZ274" i="90"/>
  <c r="AZ320" i="90"/>
  <c r="AZ318" i="90"/>
  <c r="AZ243" i="90"/>
  <c r="AZ115" i="90"/>
  <c r="AR1668" i="90"/>
  <c r="AR1632" i="90"/>
  <c r="AT1631" i="90"/>
  <c r="AO1631" i="90" s="1"/>
  <c r="AY1631" i="90" s="1"/>
  <c r="AR1630" i="90"/>
  <c r="AR1624" i="90"/>
  <c r="AT1623" i="90"/>
  <c r="AM1623" i="90" s="1"/>
  <c r="AU1623" i="90" s="1"/>
  <c r="AT1614" i="90"/>
  <c r="AS1614" i="90" s="1"/>
  <c r="AT1606" i="90"/>
  <c r="AO1606" i="90" s="1"/>
  <c r="BR638" i="90"/>
  <c r="BT638" i="90" s="1"/>
  <c r="BS621" i="90"/>
  <c r="BO621" i="90" s="1"/>
  <c r="BR600" i="90"/>
  <c r="BT600" i="90" s="1"/>
  <c r="BP598" i="90"/>
  <c r="BR589" i="90"/>
  <c r="BU116" i="90"/>
  <c r="AZ123" i="90"/>
  <c r="AZ116" i="90"/>
  <c r="AR1660" i="90"/>
  <c r="AR1652" i="90"/>
  <c r="AR1644" i="90"/>
  <c r="AR1634" i="90"/>
  <c r="AT1633" i="90"/>
  <c r="AO1633" i="90" s="1"/>
  <c r="AQ1632" i="90"/>
  <c r="AS1632" i="90" s="1"/>
  <c r="AQ1631" i="90"/>
  <c r="AQ1630" i="90"/>
  <c r="AS1630" i="90" s="1"/>
  <c r="AR1626" i="90"/>
  <c r="AT1625" i="90"/>
  <c r="AN1625" i="90" s="1"/>
  <c r="AW1625" i="90" s="1"/>
  <c r="AQ1624" i="90"/>
  <c r="AS1624" i="90" s="1"/>
  <c r="AQ1623" i="90"/>
  <c r="AT1615" i="90"/>
  <c r="AO1615" i="90" s="1"/>
  <c r="AR1614" i="90"/>
  <c r="AR1612" i="90"/>
  <c r="AZ1592" i="90"/>
  <c r="BR639" i="90"/>
  <c r="BT639" i="90" s="1"/>
  <c r="BP638" i="90"/>
  <c r="BP633" i="90"/>
  <c r="BR621" i="90"/>
  <c r="AT1628" i="90"/>
  <c r="AM1628" i="90" s="1"/>
  <c r="AU1628" i="90" s="1"/>
  <c r="AQ1628" i="90"/>
  <c r="AT1618" i="90"/>
  <c r="AN1618" i="90" s="1"/>
  <c r="AW1618" i="90" s="1"/>
  <c r="AQ1618" i="90"/>
  <c r="AR1618" i="90"/>
  <c r="AT1610" i="90"/>
  <c r="AQ1610" i="90"/>
  <c r="AW1571" i="90"/>
  <c r="BS612" i="90"/>
  <c r="BR612" i="90"/>
  <c r="AQ1668" i="90"/>
  <c r="AS1668" i="90" s="1"/>
  <c r="AQ1664" i="90"/>
  <c r="AS1664" i="90" s="1"/>
  <c r="AQ1662" i="90"/>
  <c r="AS1662" i="90" s="1"/>
  <c r="AQ1658" i="90"/>
  <c r="AS1658" i="90" s="1"/>
  <c r="AQ1654" i="90"/>
  <c r="AS1654" i="90" s="1"/>
  <c r="AQ1650" i="90"/>
  <c r="AS1650" i="90" s="1"/>
  <c r="AQ1648" i="90"/>
  <c r="AS1648" i="90" s="1"/>
  <c r="AQ1642" i="90"/>
  <c r="AS1642" i="90" s="1"/>
  <c r="AQ1640" i="90"/>
  <c r="AS1640" i="90" s="1"/>
  <c r="AO1612" i="90"/>
  <c r="AM1612" i="90"/>
  <c r="AU1612" i="90" s="1"/>
  <c r="AN1612" i="90"/>
  <c r="BS615" i="90"/>
  <c r="BP615" i="90"/>
  <c r="BV285" i="90"/>
  <c r="BU285" i="90"/>
  <c r="BW153" i="90"/>
  <c r="BW34" i="90"/>
  <c r="AZ323" i="90"/>
  <c r="AN1668" i="90"/>
  <c r="AW1668" i="90" s="1"/>
  <c r="AN1664" i="90"/>
  <c r="AW1664" i="90" s="1"/>
  <c r="AN1662" i="90"/>
  <c r="AW1662" i="90" s="1"/>
  <c r="AN1660" i="90"/>
  <c r="AN1658" i="90"/>
  <c r="AW1658" i="90" s="1"/>
  <c r="AN1656" i="90"/>
  <c r="AW1656" i="90" s="1"/>
  <c r="AN1654" i="90"/>
  <c r="AW1654" i="90" s="1"/>
  <c r="AN1652" i="90"/>
  <c r="AN1650" i="90"/>
  <c r="AW1650" i="90" s="1"/>
  <c r="AN1648" i="90"/>
  <c r="AW1648" i="90" s="1"/>
  <c r="AN1646" i="90"/>
  <c r="AW1646" i="90" s="1"/>
  <c r="AN1644" i="90"/>
  <c r="AN1642" i="90"/>
  <c r="AW1642" i="90" s="1"/>
  <c r="AN1640" i="90"/>
  <c r="AW1640" i="90" s="1"/>
  <c r="AT1637" i="90"/>
  <c r="AO1637" i="90" s="1"/>
  <c r="AY1637" i="90" s="1"/>
  <c r="AR1636" i="90"/>
  <c r="AR1629" i="90"/>
  <c r="AQ1629" i="90"/>
  <c r="AS1629" i="90" s="1"/>
  <c r="AW1565" i="90"/>
  <c r="BS642" i="90"/>
  <c r="BR642" i="90"/>
  <c r="BW305" i="90"/>
  <c r="BW215" i="90"/>
  <c r="AQ1660" i="90"/>
  <c r="AS1660" i="90" s="1"/>
  <c r="AQ1656" i="90"/>
  <c r="AS1656" i="90" s="1"/>
  <c r="AQ1652" i="90"/>
  <c r="AS1652" i="90" s="1"/>
  <c r="AQ1646" i="90"/>
  <c r="AS1646" i="90" s="1"/>
  <c r="AQ1644" i="90"/>
  <c r="AS1644" i="90" s="1"/>
  <c r="AT1620" i="90"/>
  <c r="AM1620" i="90" s="1"/>
  <c r="AU1620" i="90" s="1"/>
  <c r="AQ1620" i="90"/>
  <c r="AR1620" i="90"/>
  <c r="AO1608" i="90"/>
  <c r="AY1608" i="90" s="1"/>
  <c r="AM1608" i="90"/>
  <c r="AU1608" i="90" s="1"/>
  <c r="AN1608" i="90"/>
  <c r="AW1608" i="90" s="1"/>
  <c r="BS631" i="90"/>
  <c r="BP631" i="90"/>
  <c r="BS607" i="90"/>
  <c r="BN607" i="90" s="1"/>
  <c r="BP607" i="90"/>
  <c r="AZ325" i="90"/>
  <c r="AZ302" i="90"/>
  <c r="AZ166" i="90"/>
  <c r="AR1666" i="90"/>
  <c r="AT1665" i="90"/>
  <c r="AM1665" i="90" s="1"/>
  <c r="AU1665" i="90" s="1"/>
  <c r="AR1638" i="90"/>
  <c r="AQ1637" i="90"/>
  <c r="AQ1636" i="90"/>
  <c r="AS1636" i="90" s="1"/>
  <c r="AR1628" i="90"/>
  <c r="AR1610" i="90"/>
  <c r="BP617" i="90"/>
  <c r="BS617" i="90"/>
  <c r="BO617" i="90" s="1"/>
  <c r="BW220" i="90"/>
  <c r="AT1619" i="90"/>
  <c r="AT1617" i="90"/>
  <c r="AO1617" i="90" s="1"/>
  <c r="AZ1617" i="90" s="1"/>
  <c r="AQ1609" i="90"/>
  <c r="AQ1607" i="90"/>
  <c r="BR626" i="90"/>
  <c r="BT626" i="90" s="1"/>
  <c r="BR622" i="90"/>
  <c r="BT622" i="90" s="1"/>
  <c r="BR618" i="90"/>
  <c r="BT618" i="90" s="1"/>
  <c r="BR616" i="90"/>
  <c r="BT616" i="90" s="1"/>
  <c r="BP611" i="90"/>
  <c r="BR608" i="90"/>
  <c r="BT608" i="90" s="1"/>
  <c r="BR602" i="90"/>
  <c r="BT602" i="90" s="1"/>
  <c r="BR601" i="90"/>
  <c r="BR594" i="90"/>
  <c r="BT594" i="90" s="1"/>
  <c r="BR590" i="90"/>
  <c r="BT590" i="90" s="1"/>
  <c r="BR586" i="90"/>
  <c r="BT586" i="90" s="1"/>
  <c r="BR582" i="90"/>
  <c r="BT582" i="90" s="1"/>
  <c r="BW125" i="90"/>
  <c r="AQ1619" i="90"/>
  <c r="AQ1617" i="90"/>
  <c r="AT1613" i="90"/>
  <c r="BR641" i="90"/>
  <c r="BP634" i="90"/>
  <c r="BR624" i="90"/>
  <c r="BT624" i="90" s="1"/>
  <c r="BR620" i="90"/>
  <c r="BT620" i="90" s="1"/>
  <c r="BP602" i="90"/>
  <c r="BR596" i="90"/>
  <c r="BT596" i="90" s="1"/>
  <c r="BR592" i="90"/>
  <c r="BT592" i="90" s="1"/>
  <c r="BR588" i="90"/>
  <c r="BT588" i="90" s="1"/>
  <c r="BR584" i="90"/>
  <c r="BT584" i="90" s="1"/>
  <c r="BU277" i="90"/>
  <c r="BU205" i="90"/>
  <c r="BU150" i="90"/>
  <c r="BR637" i="90"/>
  <c r="BT637" i="90" s="1"/>
  <c r="BR635" i="90"/>
  <c r="BT635" i="90" s="1"/>
  <c r="BS629" i="90"/>
  <c r="BR617" i="90"/>
  <c r="BS613" i="90"/>
  <c r="BO613" i="90" s="1"/>
  <c r="BS609" i="90"/>
  <c r="BO609" i="90" s="1"/>
  <c r="BS605" i="90"/>
  <c r="BR643" i="90"/>
  <c r="BT643" i="90" s="1"/>
  <c r="BP642" i="90"/>
  <c r="BS633" i="90"/>
  <c r="BO633" i="90" s="1"/>
  <c r="BR630" i="90"/>
  <c r="BT630" i="90" s="1"/>
  <c r="BR629" i="90"/>
  <c r="BR627" i="90"/>
  <c r="BT627" i="90" s="1"/>
  <c r="BP626" i="90"/>
  <c r="BR623" i="90"/>
  <c r="BT623" i="90" s="1"/>
  <c r="BP622" i="90"/>
  <c r="BR619" i="90"/>
  <c r="BT619" i="90" s="1"/>
  <c r="BP618" i="90"/>
  <c r="BR614" i="90"/>
  <c r="BT614" i="90" s="1"/>
  <c r="BR613" i="90"/>
  <c r="BR610" i="90"/>
  <c r="BT610" i="90" s="1"/>
  <c r="BR609" i="90"/>
  <c r="BT609" i="90" s="1"/>
  <c r="BR606" i="90"/>
  <c r="BT606" i="90" s="1"/>
  <c r="BR605" i="90"/>
  <c r="BR603" i="90"/>
  <c r="BT603" i="90" s="1"/>
  <c r="BR599" i="90"/>
  <c r="BT599" i="90" s="1"/>
  <c r="BR595" i="90"/>
  <c r="BT595" i="90" s="1"/>
  <c r="BP594" i="90"/>
  <c r="BR591" i="90"/>
  <c r="BT591" i="90" s="1"/>
  <c r="BP590" i="90"/>
  <c r="BR587" i="90"/>
  <c r="BT587" i="90" s="1"/>
  <c r="BP586" i="90"/>
  <c r="BR583" i="90"/>
  <c r="BT583" i="90" s="1"/>
  <c r="BP582" i="90"/>
  <c r="BR579" i="90"/>
  <c r="BP578" i="90"/>
  <c r="BR575" i="90"/>
  <c r="BT575" i="90" s="1"/>
  <c r="BP574" i="90"/>
  <c r="BR571" i="90"/>
  <c r="BT571" i="90" s="1"/>
  <c r="BP570" i="90"/>
  <c r="BR567" i="90"/>
  <c r="BT567" i="90" s="1"/>
  <c r="BP566" i="90"/>
  <c r="BP643" i="90"/>
  <c r="BR634" i="90"/>
  <c r="BT634" i="90" s="1"/>
  <c r="BR631" i="90"/>
  <c r="BP630" i="90"/>
  <c r="BP627" i="90"/>
  <c r="BP623" i="90"/>
  <c r="BP619" i="90"/>
  <c r="BR615" i="90"/>
  <c r="BP614" i="90"/>
  <c r="BR611" i="90"/>
  <c r="BT611" i="90" s="1"/>
  <c r="BP610" i="90"/>
  <c r="BR607" i="90"/>
  <c r="BP606" i="90"/>
  <c r="BP603" i="90"/>
  <c r="BP599" i="90"/>
  <c r="BP595" i="90"/>
  <c r="BP591" i="90"/>
  <c r="BP587" i="90"/>
  <c r="BP583" i="90"/>
  <c r="BP579" i="90"/>
  <c r="BP575" i="90"/>
  <c r="BP571" i="90"/>
  <c r="BP567" i="90"/>
  <c r="BN604" i="90"/>
  <c r="BO604" i="90"/>
  <c r="BN596" i="90"/>
  <c r="BO596" i="90"/>
  <c r="BN576" i="90"/>
  <c r="BO576" i="90"/>
  <c r="BN564" i="90"/>
  <c r="BO564" i="90"/>
  <c r="BN556" i="90"/>
  <c r="BO556" i="90"/>
  <c r="BN548" i="90"/>
  <c r="BO548" i="90"/>
  <c r="BN544" i="90"/>
  <c r="BO544" i="90"/>
  <c r="BO638" i="90"/>
  <c r="BN638" i="90"/>
  <c r="BN635" i="90"/>
  <c r="BO635" i="90"/>
  <c r="BN632" i="90"/>
  <c r="BO632" i="90"/>
  <c r="BN616" i="90"/>
  <c r="BO616" i="90"/>
  <c r="BN608" i="90"/>
  <c r="BO608" i="90"/>
  <c r="BT579" i="90"/>
  <c r="BT563" i="90"/>
  <c r="BT559" i="90"/>
  <c r="BT555" i="90"/>
  <c r="BT551" i="90"/>
  <c r="BT547" i="90"/>
  <c r="BT543" i="90"/>
  <c r="BU534" i="90"/>
  <c r="BN620" i="90"/>
  <c r="BO620" i="90"/>
  <c r="BN592" i="90"/>
  <c r="BO592" i="90"/>
  <c r="BN584" i="90"/>
  <c r="BO584" i="90"/>
  <c r="BN572" i="90"/>
  <c r="BO572" i="90"/>
  <c r="BN560" i="90"/>
  <c r="BO560" i="90"/>
  <c r="BN552" i="90"/>
  <c r="BO552" i="90"/>
  <c r="BW538" i="90"/>
  <c r="BN639" i="90"/>
  <c r="BO639" i="90"/>
  <c r="BW637" i="90"/>
  <c r="BN636" i="90"/>
  <c r="BO636" i="90"/>
  <c r="BO626" i="90"/>
  <c r="BN626" i="90"/>
  <c r="BO622" i="90"/>
  <c r="BN622" i="90"/>
  <c r="BO618" i="90"/>
  <c r="BN618" i="90"/>
  <c r="BO602" i="90"/>
  <c r="BN602" i="90"/>
  <c r="BO598" i="90"/>
  <c r="BN598" i="90"/>
  <c r="BO594" i="90"/>
  <c r="BN594" i="90"/>
  <c r="BO590" i="90"/>
  <c r="BN590" i="90"/>
  <c r="BO586" i="90"/>
  <c r="BN586" i="90"/>
  <c r="BO582" i="90"/>
  <c r="BN582" i="90"/>
  <c r="BO578" i="90"/>
  <c r="BT578" i="90"/>
  <c r="BN578" i="90"/>
  <c r="BO574" i="90"/>
  <c r="BT574" i="90"/>
  <c r="BN574" i="90"/>
  <c r="BO570" i="90"/>
  <c r="BT570" i="90"/>
  <c r="BN570" i="90"/>
  <c r="BO566" i="90"/>
  <c r="BT566" i="90"/>
  <c r="BN566" i="90"/>
  <c r="BO562" i="90"/>
  <c r="BN562" i="90"/>
  <c r="BO558" i="90"/>
  <c r="BT558" i="90"/>
  <c r="BN558" i="90"/>
  <c r="BO554" i="90"/>
  <c r="BT554" i="90"/>
  <c r="BN554" i="90"/>
  <c r="BO550" i="90"/>
  <c r="BT550" i="90"/>
  <c r="BN550" i="90"/>
  <c r="BO546" i="90"/>
  <c r="BN546" i="90"/>
  <c r="BO542" i="90"/>
  <c r="BT542" i="90"/>
  <c r="BN542" i="90"/>
  <c r="BU525" i="90"/>
  <c r="BV525" i="90"/>
  <c r="BN644" i="90"/>
  <c r="BO644" i="90"/>
  <c r="BO634" i="90"/>
  <c r="BN634" i="90"/>
  <c r="BN628" i="90"/>
  <c r="BO628" i="90"/>
  <c r="BN624" i="90"/>
  <c r="BO624" i="90"/>
  <c r="BN611" i="90"/>
  <c r="BO611" i="90"/>
  <c r="BN600" i="90"/>
  <c r="BO600" i="90"/>
  <c r="BN588" i="90"/>
  <c r="BO588" i="90"/>
  <c r="BN580" i="90"/>
  <c r="BO580" i="90"/>
  <c r="BN568" i="90"/>
  <c r="BO568" i="90"/>
  <c r="BN643" i="90"/>
  <c r="BO643" i="90"/>
  <c r="BN640" i="90"/>
  <c r="BO640" i="90"/>
  <c r="BO630" i="90"/>
  <c r="BN630" i="90"/>
  <c r="BN627" i="90"/>
  <c r="BO627" i="90"/>
  <c r="BN623" i="90"/>
  <c r="BO623" i="90"/>
  <c r="BN619" i="90"/>
  <c r="BO619" i="90"/>
  <c r="BO614" i="90"/>
  <c r="BN614" i="90"/>
  <c r="BO610" i="90"/>
  <c r="BN610" i="90"/>
  <c r="BO606" i="90"/>
  <c r="BN606" i="90"/>
  <c r="BN603" i="90"/>
  <c r="BO603" i="90"/>
  <c r="BN599" i="90"/>
  <c r="BO599" i="90"/>
  <c r="BN595" i="90"/>
  <c r="BO595" i="90"/>
  <c r="BN591" i="90"/>
  <c r="BO591" i="90"/>
  <c r="BN587" i="90"/>
  <c r="BO587" i="90"/>
  <c r="BN583" i="90"/>
  <c r="BO583" i="90"/>
  <c r="BT580" i="90"/>
  <c r="BN579" i="90"/>
  <c r="BO579" i="90"/>
  <c r="BT576" i="90"/>
  <c r="BN575" i="90"/>
  <c r="BO575" i="90"/>
  <c r="BT572" i="90"/>
  <c r="BN571" i="90"/>
  <c r="BO571" i="90"/>
  <c r="BN567" i="90"/>
  <c r="BO567" i="90"/>
  <c r="BT564" i="90"/>
  <c r="BN563" i="90"/>
  <c r="BO563" i="90"/>
  <c r="BW561" i="90"/>
  <c r="BT560" i="90"/>
  <c r="BN559" i="90"/>
  <c r="BO559" i="90"/>
  <c r="BW557" i="90"/>
  <c r="BT556" i="90"/>
  <c r="BN555" i="90"/>
  <c r="BO555" i="90"/>
  <c r="BW553" i="90"/>
  <c r="BT552" i="90"/>
  <c r="BN551" i="90"/>
  <c r="BO551" i="90"/>
  <c r="BW549" i="90"/>
  <c r="BT548" i="90"/>
  <c r="BN547" i="90"/>
  <c r="BO547" i="90"/>
  <c r="BW545" i="90"/>
  <c r="BT544" i="90"/>
  <c r="BN543" i="90"/>
  <c r="BO543" i="90"/>
  <c r="BU513" i="90"/>
  <c r="BN328" i="90"/>
  <c r="BO328" i="90"/>
  <c r="BT328" i="90"/>
  <c r="BP644" i="90"/>
  <c r="BP640" i="90"/>
  <c r="BP636" i="90"/>
  <c r="BP632" i="90"/>
  <c r="BP628" i="90"/>
  <c r="BP624" i="90"/>
  <c r="BP620" i="90"/>
  <c r="BP616" i="90"/>
  <c r="BP612" i="90"/>
  <c r="BP608" i="90"/>
  <c r="BP604" i="90"/>
  <c r="BP600" i="90"/>
  <c r="BP596" i="90"/>
  <c r="BP592" i="90"/>
  <c r="BP588" i="90"/>
  <c r="BP584" i="90"/>
  <c r="BP580" i="90"/>
  <c r="BP576" i="90"/>
  <c r="BP572" i="90"/>
  <c r="BP568" i="90"/>
  <c r="BP564" i="90"/>
  <c r="BP560" i="90"/>
  <c r="BP556" i="90"/>
  <c r="BP552" i="90"/>
  <c r="BP548" i="90"/>
  <c r="BP544" i="90"/>
  <c r="BO541" i="90"/>
  <c r="BP539" i="90"/>
  <c r="BN536" i="90"/>
  <c r="BO535" i="90"/>
  <c r="BR532" i="90"/>
  <c r="BT532" i="90" s="1"/>
  <c r="BN528" i="90"/>
  <c r="BR527" i="90"/>
  <c r="BT527" i="90" s="1"/>
  <c r="BU526" i="90"/>
  <c r="BO525" i="90"/>
  <c r="BX525" i="90" s="1"/>
  <c r="BP523" i="90"/>
  <c r="BT521" i="90"/>
  <c r="BS520" i="90"/>
  <c r="BN519" i="90"/>
  <c r="BO519" i="90"/>
  <c r="BR516" i="90"/>
  <c r="BT516" i="90" s="1"/>
  <c r="BW512" i="90"/>
  <c r="BN512" i="90"/>
  <c r="BR511" i="90"/>
  <c r="BT511" i="90" s="1"/>
  <c r="BO509" i="90"/>
  <c r="BP507" i="90"/>
  <c r="BT505" i="90"/>
  <c r="BS504" i="90"/>
  <c r="BN503" i="90"/>
  <c r="BO503" i="90"/>
  <c r="BR500" i="90"/>
  <c r="BT500" i="90" s="1"/>
  <c r="BW496" i="90"/>
  <c r="BN496" i="90"/>
  <c r="BR495" i="90"/>
  <c r="BT495" i="90" s="1"/>
  <c r="BN492" i="90"/>
  <c r="BS491" i="90"/>
  <c r="BT491" i="90" s="1"/>
  <c r="BP491" i="90"/>
  <c r="BT488" i="90"/>
  <c r="BN476" i="90"/>
  <c r="BS475" i="90"/>
  <c r="BP475" i="90"/>
  <c r="BT472" i="90"/>
  <c r="BU462" i="90"/>
  <c r="BN460" i="90"/>
  <c r="BS459" i="90"/>
  <c r="BT459" i="90" s="1"/>
  <c r="BP459" i="90"/>
  <c r="BU446" i="90"/>
  <c r="BN444" i="90"/>
  <c r="BS443" i="90"/>
  <c r="BP443" i="90"/>
  <c r="BT440" i="90"/>
  <c r="BU433" i="90"/>
  <c r="BW432" i="90"/>
  <c r="BU430" i="90"/>
  <c r="BS393" i="90"/>
  <c r="BP393" i="90"/>
  <c r="BR393" i="90"/>
  <c r="BO386" i="90"/>
  <c r="BN386" i="90"/>
  <c r="BN376" i="90"/>
  <c r="BS329" i="90"/>
  <c r="BP329" i="90"/>
  <c r="BR329" i="90"/>
  <c r="BO322" i="90"/>
  <c r="BN322" i="90"/>
  <c r="BO275" i="90"/>
  <c r="BN275" i="90"/>
  <c r="BR644" i="90"/>
  <c r="BT644" i="90" s="1"/>
  <c r="BN641" i="90"/>
  <c r="BN637" i="90"/>
  <c r="BR632" i="90"/>
  <c r="BT632" i="90" s="1"/>
  <c r="BN581" i="90"/>
  <c r="BN577" i="90"/>
  <c r="BN573" i="90"/>
  <c r="BN569" i="90"/>
  <c r="BN565" i="90"/>
  <c r="BN561" i="90"/>
  <c r="BN557" i="90"/>
  <c r="BN553" i="90"/>
  <c r="BU517" i="90"/>
  <c r="BU501" i="90"/>
  <c r="BS447" i="90"/>
  <c r="BP447" i="90"/>
  <c r="BU437" i="90"/>
  <c r="BU432" i="90"/>
  <c r="BS431" i="90"/>
  <c r="BP431" i="90"/>
  <c r="BP426" i="90"/>
  <c r="BR426" i="90"/>
  <c r="BS426" i="90"/>
  <c r="BW415" i="90"/>
  <c r="BS409" i="90"/>
  <c r="BP409" i="90"/>
  <c r="BR409" i="90"/>
  <c r="BO402" i="90"/>
  <c r="BN402" i="90"/>
  <c r="BW351" i="90"/>
  <c r="BO338" i="90"/>
  <c r="BN338" i="90"/>
  <c r="BO263" i="90"/>
  <c r="BN263" i="90"/>
  <c r="BP191" i="90"/>
  <c r="BR191" i="90"/>
  <c r="BT191" i="90" s="1"/>
  <c r="BS191" i="90"/>
  <c r="BN188" i="90"/>
  <c r="BO188" i="90"/>
  <c r="BW185" i="90"/>
  <c r="BN540" i="90"/>
  <c r="BO539" i="90"/>
  <c r="BT534" i="90"/>
  <c r="BO534" i="90"/>
  <c r="BN532" i="90"/>
  <c r="BR531" i="90"/>
  <c r="BT531" i="90" s="1"/>
  <c r="BU530" i="90"/>
  <c r="BO529" i="90"/>
  <c r="BP527" i="90"/>
  <c r="BT525" i="90"/>
  <c r="BN523" i="90"/>
  <c r="BO523" i="90"/>
  <c r="BR520" i="90"/>
  <c r="BW516" i="90"/>
  <c r="BN516" i="90"/>
  <c r="BR515" i="90"/>
  <c r="BT515" i="90" s="1"/>
  <c r="BU514" i="90"/>
  <c r="BO513" i="90"/>
  <c r="BP511" i="90"/>
  <c r="BT509" i="90"/>
  <c r="BN507" i="90"/>
  <c r="BO507" i="90"/>
  <c r="BR504" i="90"/>
  <c r="BT504" i="90" s="1"/>
  <c r="BN500" i="90"/>
  <c r="BR499" i="90"/>
  <c r="BT499" i="90" s="1"/>
  <c r="BO497" i="90"/>
  <c r="BP495" i="90"/>
  <c r="BU493" i="90"/>
  <c r="BW492" i="90"/>
  <c r="BU490" i="90"/>
  <c r="BN488" i="90"/>
  <c r="BS487" i="90"/>
  <c r="BT487" i="90" s="1"/>
  <c r="BP487" i="90"/>
  <c r="BU477" i="90"/>
  <c r="BW476" i="90"/>
  <c r="BN472" i="90"/>
  <c r="BS471" i="90"/>
  <c r="BP471" i="90"/>
  <c r="BW460" i="90"/>
  <c r="BN456" i="90"/>
  <c r="BS455" i="90"/>
  <c r="BT455" i="90" s="1"/>
  <c r="BP455" i="90"/>
  <c r="BW444" i="90"/>
  <c r="BU442" i="90"/>
  <c r="BN440" i="90"/>
  <c r="BS439" i="90"/>
  <c r="BT439" i="90" s="1"/>
  <c r="BP439" i="90"/>
  <c r="BU427" i="90"/>
  <c r="BN424" i="90"/>
  <c r="BO424" i="90"/>
  <c r="BW383" i="90"/>
  <c r="BS377" i="90"/>
  <c r="BP377" i="90"/>
  <c r="BR377" i="90"/>
  <c r="BO370" i="90"/>
  <c r="BN370" i="90"/>
  <c r="BN360" i="90"/>
  <c r="BO360" i="90"/>
  <c r="BT360" i="90"/>
  <c r="BU347" i="90"/>
  <c r="BN297" i="90"/>
  <c r="BO297" i="90"/>
  <c r="BT297" i="90"/>
  <c r="BU280" i="90"/>
  <c r="BW249" i="90"/>
  <c r="BU244" i="90"/>
  <c r="BP243" i="90"/>
  <c r="BR243" i="90"/>
  <c r="BS243" i="90"/>
  <c r="BO200" i="90"/>
  <c r="BT200" i="90"/>
  <c r="BN200" i="90"/>
  <c r="BR640" i="90"/>
  <c r="BT640" i="90" s="1"/>
  <c r="BR636" i="90"/>
  <c r="BT636" i="90" s="1"/>
  <c r="BR628" i="90"/>
  <c r="BT628" i="90" s="1"/>
  <c r="BR604" i="90"/>
  <c r="BT604" i="90" s="1"/>
  <c r="BN549" i="90"/>
  <c r="BN545" i="90"/>
  <c r="BN538" i="90"/>
  <c r="BN531" i="90"/>
  <c r="BO531" i="90"/>
  <c r="BN515" i="90"/>
  <c r="BO515" i="90"/>
  <c r="BN499" i="90"/>
  <c r="BO499" i="90"/>
  <c r="BS479" i="90"/>
  <c r="BP479" i="90"/>
  <c r="BT475" i="90"/>
  <c r="BS463" i="90"/>
  <c r="BP463" i="90"/>
  <c r="BP428" i="90"/>
  <c r="BR428" i="90"/>
  <c r="BN392" i="90"/>
  <c r="BO392" i="90"/>
  <c r="BS345" i="90"/>
  <c r="BP345" i="90"/>
  <c r="BR345" i="90"/>
  <c r="BT345" i="90" s="1"/>
  <c r="BT581" i="90"/>
  <c r="BT577" i="90"/>
  <c r="BT573" i="90"/>
  <c r="BT569" i="90"/>
  <c r="BT565" i="90"/>
  <c r="BT561" i="90"/>
  <c r="BT557" i="90"/>
  <c r="BT553" i="90"/>
  <c r="BT549" i="90"/>
  <c r="BT545" i="90"/>
  <c r="BT538" i="90"/>
  <c r="BP531" i="90"/>
  <c r="BT529" i="90"/>
  <c r="BN527" i="90"/>
  <c r="BO527" i="90"/>
  <c r="BP515" i="90"/>
  <c r="BT513" i="90"/>
  <c r="BN511" i="90"/>
  <c r="BO511" i="90"/>
  <c r="BP499" i="90"/>
  <c r="BT497" i="90"/>
  <c r="BN495" i="90"/>
  <c r="BO495" i="90"/>
  <c r="BU489" i="90"/>
  <c r="BW488" i="90"/>
  <c r="BS483" i="90"/>
  <c r="BT483" i="90" s="1"/>
  <c r="BP483" i="90"/>
  <c r="BR479" i="90"/>
  <c r="BT479" i="90" s="1"/>
  <c r="BU473" i="90"/>
  <c r="BW472" i="90"/>
  <c r="BS467" i="90"/>
  <c r="BP467" i="90"/>
  <c r="BR463" i="90"/>
  <c r="BU457" i="90"/>
  <c r="BW456" i="90"/>
  <c r="BS451" i="90"/>
  <c r="BP451" i="90"/>
  <c r="BR447" i="90"/>
  <c r="BT447" i="90" s="1"/>
  <c r="BU436" i="90"/>
  <c r="BS435" i="90"/>
  <c r="BP435" i="90"/>
  <c r="BR431" i="90"/>
  <c r="BT431" i="90" s="1"/>
  <c r="BS428" i="90"/>
  <c r="BO418" i="90"/>
  <c r="BN418" i="90"/>
  <c r="BT408" i="90"/>
  <c r="BU395" i="90"/>
  <c r="BS361" i="90"/>
  <c r="BP361" i="90"/>
  <c r="BR361" i="90"/>
  <c r="BO354" i="90"/>
  <c r="BN354" i="90"/>
  <c r="BN344" i="90"/>
  <c r="BO344" i="90"/>
  <c r="BT344" i="90"/>
  <c r="BU331" i="90"/>
  <c r="BO304" i="90"/>
  <c r="BT304" i="90"/>
  <c r="BN304" i="90"/>
  <c r="BN289" i="90"/>
  <c r="BO289" i="90"/>
  <c r="BT289" i="90"/>
  <c r="BO271" i="90"/>
  <c r="BN271" i="90"/>
  <c r="BU260" i="90"/>
  <c r="BN425" i="90"/>
  <c r="BO425" i="90"/>
  <c r="BX425" i="90" s="1"/>
  <c r="BT418" i="90"/>
  <c r="BU415" i="90"/>
  <c r="BU414" i="90"/>
  <c r="BS413" i="90"/>
  <c r="BT413" i="90" s="1"/>
  <c r="BP413" i="90"/>
  <c r="BN412" i="90"/>
  <c r="BO412" i="90"/>
  <c r="BT412" i="90"/>
  <c r="BT402" i="90"/>
  <c r="BS397" i="90"/>
  <c r="BP397" i="90"/>
  <c r="BN396" i="90"/>
  <c r="BO396" i="90"/>
  <c r="BT396" i="90"/>
  <c r="BT386" i="90"/>
  <c r="BU383" i="90"/>
  <c r="BU382" i="90"/>
  <c r="BS381" i="90"/>
  <c r="BT381" i="90" s="1"/>
  <c r="BP381" i="90"/>
  <c r="BN380" i="90"/>
  <c r="BO380" i="90"/>
  <c r="BT380" i="90"/>
  <c r="BT370" i="90"/>
  <c r="BU367" i="90"/>
  <c r="BS365" i="90"/>
  <c r="BP365" i="90"/>
  <c r="BN364" i="90"/>
  <c r="BO364" i="90"/>
  <c r="BT364" i="90"/>
  <c r="BT354" i="90"/>
  <c r="BU351" i="90"/>
  <c r="BS349" i="90"/>
  <c r="BP349" i="90"/>
  <c r="BN348" i="90"/>
  <c r="BO348" i="90"/>
  <c r="BT348" i="90"/>
  <c r="BT338" i="90"/>
  <c r="BS333" i="90"/>
  <c r="BT333" i="90" s="1"/>
  <c r="BP333" i="90"/>
  <c r="BN332" i="90"/>
  <c r="BO332" i="90"/>
  <c r="BT332" i="90"/>
  <c r="BT322" i="90"/>
  <c r="BS317" i="90"/>
  <c r="BP317" i="90"/>
  <c r="BN316" i="90"/>
  <c r="BO316" i="90"/>
  <c r="BT316" i="90"/>
  <c r="BU296" i="90"/>
  <c r="BU288" i="90"/>
  <c r="BS286" i="90"/>
  <c r="BP286" i="90"/>
  <c r="BR286" i="90"/>
  <c r="BW264" i="90"/>
  <c r="BO260" i="90"/>
  <c r="BT260" i="90"/>
  <c r="BU248" i="90"/>
  <c r="BS242" i="90"/>
  <c r="BR242" i="90"/>
  <c r="BP242" i="90"/>
  <c r="BT240" i="90"/>
  <c r="BN240" i="90"/>
  <c r="BO216" i="90"/>
  <c r="BT216" i="90"/>
  <c r="BN216" i="90"/>
  <c r="BU212" i="90"/>
  <c r="BW197" i="90"/>
  <c r="BO187" i="90"/>
  <c r="BN187" i="90"/>
  <c r="BP164" i="90"/>
  <c r="BR164" i="90"/>
  <c r="BS164" i="90"/>
  <c r="BU153" i="90"/>
  <c r="BT422" i="90"/>
  <c r="BS417" i="90"/>
  <c r="BP417" i="90"/>
  <c r="BN416" i="90"/>
  <c r="BO416" i="90"/>
  <c r="BT416" i="90"/>
  <c r="BT406" i="90"/>
  <c r="BU403" i="90"/>
  <c r="BS401" i="90"/>
  <c r="BT401" i="90" s="1"/>
  <c r="BP401" i="90"/>
  <c r="BN400" i="90"/>
  <c r="BO400" i="90"/>
  <c r="BT400" i="90"/>
  <c r="BT390" i="90"/>
  <c r="BU387" i="90"/>
  <c r="BS385" i="90"/>
  <c r="BP385" i="90"/>
  <c r="BN384" i="90"/>
  <c r="BO384" i="90"/>
  <c r="BT384" i="90"/>
  <c r="BT374" i="90"/>
  <c r="BU371" i="90"/>
  <c r="BS369" i="90"/>
  <c r="BT369" i="90" s="1"/>
  <c r="BP369" i="90"/>
  <c r="BN368" i="90"/>
  <c r="BO368" i="90"/>
  <c r="BT368" i="90"/>
  <c r="BT358" i="90"/>
  <c r="BU355" i="90"/>
  <c r="BS353" i="90"/>
  <c r="BP353" i="90"/>
  <c r="BN352" i="90"/>
  <c r="BO352" i="90"/>
  <c r="BT352" i="90"/>
  <c r="BT342" i="90"/>
  <c r="BU339" i="90"/>
  <c r="BS337" i="90"/>
  <c r="BT337" i="90" s="1"/>
  <c r="BP337" i="90"/>
  <c r="BN336" i="90"/>
  <c r="BO336" i="90"/>
  <c r="BT336" i="90"/>
  <c r="BT326" i="90"/>
  <c r="BU323" i="90"/>
  <c r="BS321" i="90"/>
  <c r="BP321" i="90"/>
  <c r="BN320" i="90"/>
  <c r="BO320" i="90"/>
  <c r="BT320" i="90"/>
  <c r="BP283" i="90"/>
  <c r="BS283" i="90"/>
  <c r="BR283" i="90"/>
  <c r="BP279" i="90"/>
  <c r="BR279" i="90"/>
  <c r="BS279" i="90"/>
  <c r="BU264" i="90"/>
  <c r="BO248" i="90"/>
  <c r="BT248" i="90"/>
  <c r="BO232" i="90"/>
  <c r="BT232" i="90"/>
  <c r="BN232" i="90"/>
  <c r="BU228" i="90"/>
  <c r="BW213" i="90"/>
  <c r="BU208" i="90"/>
  <c r="BR425" i="90"/>
  <c r="BT425" i="90" s="1"/>
  <c r="BU423" i="90"/>
  <c r="BN422" i="90"/>
  <c r="BS421" i="90"/>
  <c r="BP421" i="90"/>
  <c r="BN420" i="90"/>
  <c r="BO420" i="90"/>
  <c r="BT420" i="90"/>
  <c r="BT410" i="90"/>
  <c r="BN406" i="90"/>
  <c r="BS405" i="90"/>
  <c r="BP405" i="90"/>
  <c r="BN404" i="90"/>
  <c r="BO404" i="90"/>
  <c r="BT404" i="90"/>
  <c r="BT394" i="90"/>
  <c r="BU391" i="90"/>
  <c r="BN390" i="90"/>
  <c r="BS389" i="90"/>
  <c r="BP389" i="90"/>
  <c r="BN388" i="90"/>
  <c r="BO388" i="90"/>
  <c r="BT388" i="90"/>
  <c r="BT378" i="90"/>
  <c r="BU375" i="90"/>
  <c r="BN374" i="90"/>
  <c r="BS373" i="90"/>
  <c r="BP373" i="90"/>
  <c r="BN372" i="90"/>
  <c r="BO372" i="90"/>
  <c r="BT372" i="90"/>
  <c r="BT362" i="90"/>
  <c r="BU359" i="90"/>
  <c r="BN358" i="90"/>
  <c r="BS357" i="90"/>
  <c r="BP357" i="90"/>
  <c r="BN356" i="90"/>
  <c r="BO356" i="90"/>
  <c r="BT356" i="90"/>
  <c r="BT346" i="90"/>
  <c r="BN342" i="90"/>
  <c r="BS341" i="90"/>
  <c r="BP341" i="90"/>
  <c r="BN340" i="90"/>
  <c r="BO340" i="90"/>
  <c r="BT340" i="90"/>
  <c r="BT330" i="90"/>
  <c r="BN326" i="90"/>
  <c r="BS325" i="90"/>
  <c r="BP325" i="90"/>
  <c r="BN324" i="90"/>
  <c r="BO324" i="90"/>
  <c r="BT324" i="90"/>
  <c r="BP311" i="90"/>
  <c r="BR311" i="90"/>
  <c r="BT311" i="90" s="1"/>
  <c r="BS311" i="90"/>
  <c r="BU292" i="90"/>
  <c r="BS278" i="90"/>
  <c r="BP278" i="90"/>
  <c r="BR278" i="90"/>
  <c r="BU256" i="90"/>
  <c r="BO247" i="90"/>
  <c r="BN247" i="90"/>
  <c r="BN245" i="90"/>
  <c r="BO245" i="90"/>
  <c r="BX245" i="90" s="1"/>
  <c r="BU236" i="90"/>
  <c r="BU224" i="90"/>
  <c r="BS306" i="90"/>
  <c r="BT306" i="90" s="1"/>
  <c r="BP306" i="90"/>
  <c r="BS302" i="90"/>
  <c r="BP302" i="90"/>
  <c r="BP299" i="90"/>
  <c r="BS299" i="90"/>
  <c r="BP295" i="90"/>
  <c r="BR295" i="90"/>
  <c r="BN294" i="90"/>
  <c r="BO294" i="90"/>
  <c r="BO291" i="90"/>
  <c r="BN291" i="90"/>
  <c r="BW277" i="90"/>
  <c r="BT275" i="90"/>
  <c r="BU272" i="90"/>
  <c r="BT271" i="90"/>
  <c r="BR262" i="90"/>
  <c r="BT262" i="90" s="1"/>
  <c r="BS258" i="90"/>
  <c r="BR258" i="90"/>
  <c r="BO256" i="90"/>
  <c r="BT256" i="90"/>
  <c r="BN255" i="90"/>
  <c r="BN241" i="90"/>
  <c r="BO241" i="90"/>
  <c r="BS238" i="90"/>
  <c r="BT238" i="90" s="1"/>
  <c r="BP238" i="90"/>
  <c r="BP235" i="90"/>
  <c r="BS235" i="90"/>
  <c r="BO224" i="90"/>
  <c r="BT224" i="90"/>
  <c r="BS222" i="90"/>
  <c r="BT222" i="90" s="1"/>
  <c r="BP222" i="90"/>
  <c r="BP219" i="90"/>
  <c r="BS219" i="90"/>
  <c r="BO208" i="90"/>
  <c r="BT208" i="90"/>
  <c r="BS206" i="90"/>
  <c r="BT206" i="90" s="1"/>
  <c r="BP206" i="90"/>
  <c r="BP203" i="90"/>
  <c r="BS203" i="90"/>
  <c r="BT203" i="90" s="1"/>
  <c r="BO192" i="90"/>
  <c r="BN192" i="90"/>
  <c r="BP187" i="90"/>
  <c r="BR187" i="90"/>
  <c r="BT187" i="90" s="1"/>
  <c r="BV185" i="90"/>
  <c r="BU185" i="90"/>
  <c r="BW181" i="90"/>
  <c r="BN178" i="90"/>
  <c r="BO178" i="90"/>
  <c r="BT178" i="90"/>
  <c r="BN166" i="90"/>
  <c r="BO166" i="90"/>
  <c r="BU165" i="90"/>
  <c r="BV165" i="90"/>
  <c r="BO160" i="90"/>
  <c r="BN160" i="90"/>
  <c r="BP152" i="90"/>
  <c r="BR152" i="90"/>
  <c r="BT152" i="90" s="1"/>
  <c r="BS152" i="90"/>
  <c r="BW150" i="90"/>
  <c r="BU139" i="90"/>
  <c r="BW111" i="90"/>
  <c r="BS93" i="90"/>
  <c r="BP93" i="90"/>
  <c r="BR93" i="90"/>
  <c r="BU92" i="90"/>
  <c r="BN310" i="90"/>
  <c r="BO310" i="90"/>
  <c r="BU309" i="90"/>
  <c r="BT296" i="90"/>
  <c r="BO296" i="90"/>
  <c r="BU293" i="90"/>
  <c r="BO293" i="90"/>
  <c r="BR291" i="90"/>
  <c r="BT291" i="90" s="1"/>
  <c r="BT287" i="90"/>
  <c r="BO281" i="90"/>
  <c r="BS274" i="90"/>
  <c r="BR274" i="90"/>
  <c r="BO272" i="90"/>
  <c r="BT272" i="90"/>
  <c r="BU268" i="90"/>
  <c r="BP262" i="90"/>
  <c r="BN257" i="90"/>
  <c r="BO257" i="90"/>
  <c r="BW255" i="90"/>
  <c r="BS254" i="90"/>
  <c r="BT254" i="90" s="1"/>
  <c r="BP254" i="90"/>
  <c r="BP251" i="90"/>
  <c r="BS251" i="90"/>
  <c r="BT251" i="90" s="1"/>
  <c r="BP247" i="90"/>
  <c r="BR247" i="90"/>
  <c r="BT247" i="90" s="1"/>
  <c r="BN246" i="90"/>
  <c r="BO246" i="90"/>
  <c r="BT244" i="90"/>
  <c r="BO244" i="90"/>
  <c r="BT241" i="90"/>
  <c r="BN233" i="90"/>
  <c r="BO233" i="90"/>
  <c r="BW221" i="90"/>
  <c r="BU220" i="90"/>
  <c r="BN217" i="90"/>
  <c r="BO217" i="90"/>
  <c r="BW205" i="90"/>
  <c r="BN201" i="90"/>
  <c r="BO201" i="90"/>
  <c r="BP192" i="90"/>
  <c r="BR192" i="90"/>
  <c r="BT192" i="90" s="1"/>
  <c r="BS190" i="90"/>
  <c r="BP190" i="90"/>
  <c r="BR190" i="90"/>
  <c r="BU181" i="90"/>
  <c r="BS179" i="90"/>
  <c r="BR179" i="90"/>
  <c r="BP179" i="90"/>
  <c r="BO177" i="90"/>
  <c r="BT177" i="90"/>
  <c r="BN177" i="90"/>
  <c r="BS175" i="90"/>
  <c r="BP175" i="90"/>
  <c r="BR175" i="90"/>
  <c r="BT166" i="90"/>
  <c r="BO165" i="90"/>
  <c r="BX165" i="90" s="1"/>
  <c r="BT165" i="90"/>
  <c r="BN308" i="90"/>
  <c r="BU305" i="90"/>
  <c r="BR299" i="90"/>
  <c r="BT299" i="90" s="1"/>
  <c r="BS295" i="90"/>
  <c r="BR294" i="90"/>
  <c r="BT294" i="90" s="1"/>
  <c r="BS290" i="90"/>
  <c r="BR290" i="90"/>
  <c r="BO288" i="90"/>
  <c r="BT288" i="90"/>
  <c r="BN287" i="90"/>
  <c r="BU284" i="90"/>
  <c r="BN273" i="90"/>
  <c r="BO273" i="90"/>
  <c r="BS270" i="90"/>
  <c r="BT270" i="90" s="1"/>
  <c r="BP270" i="90"/>
  <c r="BP267" i="90"/>
  <c r="BS267" i="90"/>
  <c r="BP263" i="90"/>
  <c r="BR263" i="90"/>
  <c r="BT263" i="90" s="1"/>
  <c r="BN262" i="90"/>
  <c r="BO262" i="90"/>
  <c r="BO259" i="90"/>
  <c r="BN259" i="90"/>
  <c r="BT235" i="90"/>
  <c r="BS230" i="90"/>
  <c r="BT230" i="90" s="1"/>
  <c r="BP230" i="90"/>
  <c r="BP227" i="90"/>
  <c r="BS227" i="90"/>
  <c r="BN225" i="90"/>
  <c r="BO225" i="90"/>
  <c r="BX225" i="90" s="1"/>
  <c r="BS214" i="90"/>
  <c r="BT214" i="90" s="1"/>
  <c r="BP214" i="90"/>
  <c r="BP211" i="90"/>
  <c r="BS211" i="90"/>
  <c r="BN209" i="90"/>
  <c r="BO209" i="90"/>
  <c r="BS198" i="90"/>
  <c r="BT198" i="90" s="1"/>
  <c r="BP198" i="90"/>
  <c r="BP195" i="90"/>
  <c r="BS195" i="90"/>
  <c r="BT195" i="90" s="1"/>
  <c r="BN193" i="90"/>
  <c r="BO193" i="90"/>
  <c r="BW189" i="90"/>
  <c r="BP188" i="90"/>
  <c r="BR188" i="90"/>
  <c r="BT188" i="90" s="1"/>
  <c r="BS186" i="90"/>
  <c r="BP186" i="90"/>
  <c r="BR186" i="90"/>
  <c r="BP184" i="90"/>
  <c r="BR184" i="90"/>
  <c r="BS184" i="90"/>
  <c r="BO180" i="90"/>
  <c r="BN180" i="90"/>
  <c r="BN226" i="90"/>
  <c r="BO226" i="90"/>
  <c r="BT223" i="90"/>
  <c r="BN210" i="90"/>
  <c r="BO210" i="90"/>
  <c r="BT207" i="90"/>
  <c r="BN194" i="90"/>
  <c r="BO194" i="90"/>
  <c r="BP180" i="90"/>
  <c r="BR180" i="90"/>
  <c r="BT180" i="90" s="1"/>
  <c r="BP168" i="90"/>
  <c r="BR168" i="90"/>
  <c r="BT168" i="90" s="1"/>
  <c r="BS168" i="90"/>
  <c r="BO161" i="90"/>
  <c r="BT161" i="90"/>
  <c r="BO123" i="90"/>
  <c r="BT123" i="90"/>
  <c r="BN123" i="90"/>
  <c r="BO113" i="90"/>
  <c r="BN113" i="90"/>
  <c r="BO148" i="90"/>
  <c r="BN148" i="90"/>
  <c r="BS147" i="90"/>
  <c r="BR147" i="90"/>
  <c r="BW145" i="90"/>
  <c r="BN142" i="90"/>
  <c r="BO142" i="90"/>
  <c r="BO139" i="90"/>
  <c r="BT139" i="90"/>
  <c r="BS97" i="90"/>
  <c r="BP97" i="90"/>
  <c r="BR97" i="90"/>
  <c r="BW83" i="90"/>
  <c r="BN298" i="90"/>
  <c r="BO298" i="90"/>
  <c r="BN282" i="90"/>
  <c r="BO282" i="90"/>
  <c r="BN266" i="90"/>
  <c r="BO266" i="90"/>
  <c r="BN250" i="90"/>
  <c r="BO250" i="90"/>
  <c r="BN234" i="90"/>
  <c r="BO234" i="90"/>
  <c r="BR231" i="90"/>
  <c r="BT231" i="90" s="1"/>
  <c r="BR226" i="90"/>
  <c r="BT226" i="90" s="1"/>
  <c r="BN218" i="90"/>
  <c r="BO218" i="90"/>
  <c r="BR215" i="90"/>
  <c r="BT215" i="90" s="1"/>
  <c r="BR210" i="90"/>
  <c r="BT210" i="90" s="1"/>
  <c r="BN202" i="90"/>
  <c r="BO202" i="90"/>
  <c r="BR199" i="90"/>
  <c r="BT199" i="90" s="1"/>
  <c r="BR194" i="90"/>
  <c r="BT194" i="90" s="1"/>
  <c r="BU189" i="90"/>
  <c r="BO176" i="90"/>
  <c r="BN176" i="90"/>
  <c r="BS163" i="90"/>
  <c r="BR163" i="90"/>
  <c r="BN162" i="90"/>
  <c r="BO162" i="90"/>
  <c r="BT160" i="90"/>
  <c r="BS159" i="90"/>
  <c r="BP159" i="90"/>
  <c r="BR159" i="90"/>
  <c r="BP148" i="90"/>
  <c r="BR148" i="90"/>
  <c r="BT148" i="90" s="1"/>
  <c r="BW146" i="90"/>
  <c r="BN145" i="90"/>
  <c r="BT142" i="90"/>
  <c r="BU107" i="90"/>
  <c r="BU106" i="90"/>
  <c r="BN183" i="90"/>
  <c r="BO183" i="90"/>
  <c r="BO174" i="90"/>
  <c r="BT173" i="90"/>
  <c r="BO173" i="90"/>
  <c r="BP171" i="90"/>
  <c r="BN167" i="90"/>
  <c r="BO167" i="90"/>
  <c r="BO158" i="90"/>
  <c r="BT157" i="90"/>
  <c r="BO157" i="90"/>
  <c r="BP155" i="90"/>
  <c r="BN151" i="90"/>
  <c r="BO151" i="90"/>
  <c r="BP146" i="90"/>
  <c r="BR146" i="90"/>
  <c r="BT146" i="90" s="1"/>
  <c r="BP145" i="90"/>
  <c r="BR145" i="90"/>
  <c r="BT145" i="90" s="1"/>
  <c r="BS144" i="90"/>
  <c r="BP144" i="90"/>
  <c r="BR144" i="90"/>
  <c r="BS140" i="90"/>
  <c r="BP140" i="90"/>
  <c r="BO135" i="90"/>
  <c r="BT135" i="90"/>
  <c r="BP130" i="90"/>
  <c r="BR130" i="90"/>
  <c r="BT130" i="90" s="1"/>
  <c r="BP129" i="90"/>
  <c r="BR129" i="90"/>
  <c r="BT129" i="90" s="1"/>
  <c r="BS128" i="90"/>
  <c r="BP128" i="90"/>
  <c r="BR128" i="90"/>
  <c r="BU118" i="90"/>
  <c r="BP113" i="90"/>
  <c r="BR113" i="90"/>
  <c r="BT113" i="90" s="1"/>
  <c r="BU111" i="90"/>
  <c r="BO96" i="90"/>
  <c r="BT96" i="90"/>
  <c r="BO92" i="90"/>
  <c r="BT92" i="90"/>
  <c r="BO88" i="90"/>
  <c r="BT88" i="90"/>
  <c r="BN88" i="90"/>
  <c r="BN87" i="90"/>
  <c r="BO87" i="90"/>
  <c r="BP74" i="90"/>
  <c r="BS74" i="90"/>
  <c r="BR74" i="90"/>
  <c r="BS69" i="90"/>
  <c r="BP69" i="90"/>
  <c r="BR69" i="90"/>
  <c r="BN171" i="90"/>
  <c r="BO171" i="90"/>
  <c r="BN155" i="90"/>
  <c r="BO155" i="90"/>
  <c r="BW134" i="90"/>
  <c r="BN114" i="90"/>
  <c r="BO114" i="90"/>
  <c r="BO107" i="90"/>
  <c r="BT107" i="90"/>
  <c r="BW106" i="90"/>
  <c r="BU91" i="90"/>
  <c r="BO62" i="90"/>
  <c r="BN62" i="90"/>
  <c r="BO141" i="90"/>
  <c r="BN141" i="90"/>
  <c r="BW129" i="90"/>
  <c r="BP114" i="90"/>
  <c r="BR114" i="90"/>
  <c r="BT114" i="90" s="1"/>
  <c r="BS112" i="90"/>
  <c r="BP112" i="90"/>
  <c r="BR112" i="90"/>
  <c r="BU103" i="90"/>
  <c r="BP99" i="90"/>
  <c r="BR99" i="90"/>
  <c r="BS99" i="90"/>
  <c r="BP95" i="90"/>
  <c r="BR95" i="90"/>
  <c r="BS95" i="90"/>
  <c r="BO78" i="90"/>
  <c r="BN78" i="90"/>
  <c r="BN137" i="90"/>
  <c r="BO136" i="90"/>
  <c r="BT131" i="90"/>
  <c r="BO131" i="90"/>
  <c r="BO126" i="90"/>
  <c r="BP124" i="90"/>
  <c r="BN121" i="90"/>
  <c r="BO120" i="90"/>
  <c r="BT115" i="90"/>
  <c r="BO115" i="90"/>
  <c r="BO110" i="90"/>
  <c r="BP108" i="90"/>
  <c r="BN105" i="90"/>
  <c r="BO104" i="90"/>
  <c r="BN98" i="90"/>
  <c r="BT86" i="90"/>
  <c r="BU84" i="90"/>
  <c r="BU79" i="90"/>
  <c r="BS77" i="90"/>
  <c r="BT77" i="90" s="1"/>
  <c r="BP77" i="90"/>
  <c r="BN67" i="90"/>
  <c r="BT67" i="90"/>
  <c r="BU60" i="90"/>
  <c r="BN57" i="90"/>
  <c r="BO57" i="90"/>
  <c r="BW37" i="90"/>
  <c r="BN125" i="90"/>
  <c r="BO124" i="90"/>
  <c r="BT119" i="90"/>
  <c r="BO119" i="90"/>
  <c r="BN109" i="90"/>
  <c r="BO108" i="90"/>
  <c r="BT103" i="90"/>
  <c r="BO103" i="90"/>
  <c r="BW91" i="90"/>
  <c r="BN83" i="90"/>
  <c r="BT83" i="90"/>
  <c r="BP82" i="90"/>
  <c r="BS82" i="90"/>
  <c r="BN75" i="90"/>
  <c r="BT75" i="90"/>
  <c r="BS58" i="90"/>
  <c r="BP58" i="90"/>
  <c r="BR58" i="90"/>
  <c r="BW52" i="90"/>
  <c r="BU45" i="90"/>
  <c r="BV45" i="90"/>
  <c r="BU41" i="90"/>
  <c r="BO16" i="90"/>
  <c r="BT16" i="90"/>
  <c r="BN16" i="90"/>
  <c r="BO94" i="90"/>
  <c r="BN94" i="90"/>
  <c r="BP87" i="90"/>
  <c r="BR87" i="90"/>
  <c r="BT87" i="90" s="1"/>
  <c r="BS85" i="90"/>
  <c r="BR85" i="90"/>
  <c r="BP66" i="90"/>
  <c r="BS66" i="90"/>
  <c r="BS61" i="90"/>
  <c r="BP61" i="90"/>
  <c r="BR61" i="90"/>
  <c r="BN81" i="90"/>
  <c r="BO81" i="90"/>
  <c r="BR78" i="90"/>
  <c r="BT78" i="90" s="1"/>
  <c r="BR73" i="90"/>
  <c r="BT73" i="90" s="1"/>
  <c r="BN65" i="90"/>
  <c r="BO65" i="90"/>
  <c r="BX65" i="90" s="1"/>
  <c r="BR62" i="90"/>
  <c r="BT62" i="90" s="1"/>
  <c r="BO55" i="90"/>
  <c r="BT55" i="90"/>
  <c r="BU52" i="90"/>
  <c r="BO45" i="90"/>
  <c r="BX45" i="90" s="1"/>
  <c r="BT45" i="90"/>
  <c r="BO32" i="90"/>
  <c r="BT32" i="90"/>
  <c r="BN32" i="90"/>
  <c r="BO59" i="90"/>
  <c r="BT59" i="90"/>
  <c r="BT57" i="90"/>
  <c r="BN50" i="90"/>
  <c r="BO50" i="90"/>
  <c r="BT50" i="90"/>
  <c r="BO49" i="90"/>
  <c r="BT49" i="90"/>
  <c r="BS47" i="90"/>
  <c r="BP47" i="90"/>
  <c r="BR47" i="90"/>
  <c r="BO44" i="90"/>
  <c r="BT44" i="90"/>
  <c r="BN44" i="90"/>
  <c r="BN73" i="90"/>
  <c r="BO73" i="90"/>
  <c r="BT70" i="90"/>
  <c r="BS54" i="90"/>
  <c r="BP54" i="90"/>
  <c r="BO48" i="90"/>
  <c r="BN48" i="90"/>
  <c r="BS19" i="90"/>
  <c r="BP19" i="90"/>
  <c r="BR19" i="90"/>
  <c r="BP51" i="90"/>
  <c r="BR48" i="90"/>
  <c r="BT48" i="90" s="1"/>
  <c r="BN43" i="90"/>
  <c r="BO43" i="90"/>
  <c r="BR39" i="90"/>
  <c r="BT39" i="90" s="1"/>
  <c r="BU37" i="90"/>
  <c r="BO36" i="90"/>
  <c r="BT36" i="90"/>
  <c r="BN31" i="90"/>
  <c r="BO31" i="90"/>
  <c r="BO28" i="90"/>
  <c r="BT28" i="90"/>
  <c r="BR23" i="90"/>
  <c r="BT23" i="90" s="1"/>
  <c r="BN15" i="90"/>
  <c r="BO15" i="90"/>
  <c r="BO12" i="90"/>
  <c r="BT12" i="90"/>
  <c r="BR7" i="90"/>
  <c r="BT7" i="90" s="1"/>
  <c r="BO51" i="90"/>
  <c r="BO40" i="90"/>
  <c r="BT40" i="90"/>
  <c r="BP39" i="90"/>
  <c r="BN35" i="90"/>
  <c r="BO35" i="90"/>
  <c r="BN27" i="90"/>
  <c r="BO27" i="90"/>
  <c r="BO24" i="90"/>
  <c r="BT24" i="90"/>
  <c r="BP23" i="90"/>
  <c r="BN11" i="90"/>
  <c r="BO11" i="90"/>
  <c r="BO8" i="90"/>
  <c r="BT8" i="90"/>
  <c r="BP7" i="90"/>
  <c r="BN39" i="90"/>
  <c r="BO39" i="90"/>
  <c r="BN23" i="90"/>
  <c r="BO23" i="90"/>
  <c r="BO20" i="90"/>
  <c r="BT20" i="90"/>
  <c r="BN7" i="90"/>
  <c r="BO7" i="90"/>
  <c r="AR1667" i="90"/>
  <c r="AT1667" i="90"/>
  <c r="AQ1667" i="90"/>
  <c r="AM1593" i="90"/>
  <c r="AU1593" i="90" s="1"/>
  <c r="AN1593" i="90"/>
  <c r="AW1593" i="90" s="1"/>
  <c r="AO1593" i="90"/>
  <c r="AY1629" i="90"/>
  <c r="AZ1629" i="90"/>
  <c r="AN1622" i="90"/>
  <c r="AW1622" i="90" s="1"/>
  <c r="AO1622" i="90"/>
  <c r="AM1622" i="90"/>
  <c r="AU1622" i="90" s="1"/>
  <c r="AN1638" i="90"/>
  <c r="AO1638" i="90"/>
  <c r="AM1638" i="90"/>
  <c r="AU1638" i="90" s="1"/>
  <c r="AN1630" i="90"/>
  <c r="AW1630" i="90" s="1"/>
  <c r="AO1630" i="90"/>
  <c r="AM1630" i="90"/>
  <c r="AU1630" i="90" s="1"/>
  <c r="AN1632" i="90"/>
  <c r="AO1632" i="90"/>
  <c r="AM1627" i="90"/>
  <c r="AU1627" i="90" s="1"/>
  <c r="AN1624" i="90"/>
  <c r="AW1624" i="90" s="1"/>
  <c r="AO1624" i="90"/>
  <c r="AO1623" i="90"/>
  <c r="AR1611" i="90"/>
  <c r="AQ1611" i="90"/>
  <c r="AT1611" i="90"/>
  <c r="AZ1546" i="90"/>
  <c r="AY1546" i="90"/>
  <c r="AO1668" i="90"/>
  <c r="AQ1665" i="90"/>
  <c r="AO1664" i="90"/>
  <c r="AT1663" i="90"/>
  <c r="AO1662" i="90"/>
  <c r="AT1661" i="90"/>
  <c r="AO1660" i="90"/>
  <c r="AT1659" i="90"/>
  <c r="AO1658" i="90"/>
  <c r="AT1657" i="90"/>
  <c r="AO1656" i="90"/>
  <c r="AT1655" i="90"/>
  <c r="AO1654" i="90"/>
  <c r="AT1653" i="90"/>
  <c r="AO1652" i="90"/>
  <c r="AT1651" i="90"/>
  <c r="AO1650" i="90"/>
  <c r="AT1649" i="90"/>
  <c r="AO1648" i="90"/>
  <c r="AT1647" i="90"/>
  <c r="AO1646" i="90"/>
  <c r="AT1645" i="90"/>
  <c r="AO1644" i="90"/>
  <c r="AT1643" i="90"/>
  <c r="AO1642" i="90"/>
  <c r="AT1641" i="90"/>
  <c r="AO1640" i="90"/>
  <c r="AT1639" i="90"/>
  <c r="AN1634" i="90"/>
  <c r="AW1634" i="90" s="1"/>
  <c r="AO1634" i="90"/>
  <c r="AM1629" i="90"/>
  <c r="AU1629" i="90" s="1"/>
  <c r="AN1629" i="90"/>
  <c r="AN1626" i="90"/>
  <c r="AW1626" i="90" s="1"/>
  <c r="AO1626" i="90"/>
  <c r="AN1621" i="90"/>
  <c r="AR1603" i="90"/>
  <c r="AQ1603" i="90"/>
  <c r="AT1603" i="90"/>
  <c r="AM1577" i="90"/>
  <c r="AU1577" i="90" s="1"/>
  <c r="AN1577" i="90"/>
  <c r="AW1577" i="90" s="1"/>
  <c r="AO1577" i="90"/>
  <c r="AM1556" i="90"/>
  <c r="AU1556" i="90" s="1"/>
  <c r="AO1556" i="90"/>
  <c r="AN1556" i="90"/>
  <c r="AW1556" i="90" s="1"/>
  <c r="AO1666" i="90"/>
  <c r="AQ1663" i="90"/>
  <c r="AQ1661" i="90"/>
  <c r="AQ1659" i="90"/>
  <c r="AQ1657" i="90"/>
  <c r="AQ1655" i="90"/>
  <c r="AQ1653" i="90"/>
  <c r="AQ1651" i="90"/>
  <c r="AQ1649" i="90"/>
  <c r="AQ1647" i="90"/>
  <c r="AQ1645" i="90"/>
  <c r="AQ1643" i="90"/>
  <c r="AQ1641" i="90"/>
  <c r="AQ1639" i="90"/>
  <c r="AN1636" i="90"/>
  <c r="AO1636" i="90"/>
  <c r="AO1627" i="90"/>
  <c r="AN1623" i="90"/>
  <c r="AW1623" i="90" s="1"/>
  <c r="AM1605" i="90"/>
  <c r="AU1605" i="90" s="1"/>
  <c r="AN1605" i="90"/>
  <c r="AW1605" i="90" s="1"/>
  <c r="AO1605" i="90"/>
  <c r="AM1585" i="90"/>
  <c r="AU1585" i="90" s="1"/>
  <c r="AN1585" i="90"/>
  <c r="AW1585" i="90" s="1"/>
  <c r="AO1585" i="90"/>
  <c r="AN1616" i="90"/>
  <c r="AW1616" i="90" s="1"/>
  <c r="AQ1613" i="90"/>
  <c r="AQ1605" i="90"/>
  <c r="AS1605" i="90" s="1"/>
  <c r="AM1595" i="90"/>
  <c r="AU1595" i="90" s="1"/>
  <c r="AN1595" i="90"/>
  <c r="AS1593" i="90"/>
  <c r="AO1591" i="90"/>
  <c r="AM1587" i="90"/>
  <c r="AU1587" i="90" s="1"/>
  <c r="AN1587" i="90"/>
  <c r="AS1585" i="90"/>
  <c r="AO1583" i="90"/>
  <c r="AM1579" i="90"/>
  <c r="AU1579" i="90" s="1"/>
  <c r="AN1579" i="90"/>
  <c r="AS1577" i="90"/>
  <c r="AO1575" i="90"/>
  <c r="AY1573" i="90"/>
  <c r="AZ1573" i="90"/>
  <c r="AY1567" i="90"/>
  <c r="AZ1567" i="90"/>
  <c r="AT1562" i="90"/>
  <c r="AQ1562" i="90"/>
  <c r="AR1562" i="90"/>
  <c r="AT1553" i="90"/>
  <c r="AQ1553" i="90"/>
  <c r="AR1553" i="90"/>
  <c r="AT1609" i="90"/>
  <c r="AT1601" i="90"/>
  <c r="AZ1600" i="90"/>
  <c r="AM1597" i="90"/>
  <c r="AU1597" i="90" s="1"/>
  <c r="AN1597" i="90"/>
  <c r="AS1595" i="90"/>
  <c r="AM1589" i="90"/>
  <c r="AU1589" i="90" s="1"/>
  <c r="AN1589" i="90"/>
  <c r="AS1587" i="90"/>
  <c r="AM1581" i="90"/>
  <c r="AU1581" i="90" s="1"/>
  <c r="AN1581" i="90"/>
  <c r="AS1579" i="90"/>
  <c r="AM1573" i="90"/>
  <c r="AU1573" i="90" s="1"/>
  <c r="AN1573" i="90"/>
  <c r="AS1573" i="90"/>
  <c r="AT1570" i="90"/>
  <c r="AQ1570" i="90"/>
  <c r="AR1570" i="90"/>
  <c r="AM1567" i="90"/>
  <c r="AU1567" i="90" s="1"/>
  <c r="AN1567" i="90"/>
  <c r="AW1567" i="90" s="1"/>
  <c r="AS1567" i="90"/>
  <c r="AO1535" i="90"/>
  <c r="AM1535" i="90"/>
  <c r="AU1535" i="90" s="1"/>
  <c r="AN1535" i="90"/>
  <c r="AW1535" i="90" s="1"/>
  <c r="AS1535" i="90"/>
  <c r="AO1616" i="90"/>
  <c r="AS1601" i="90"/>
  <c r="AM1599" i="90"/>
  <c r="AU1599" i="90" s="1"/>
  <c r="AN1599" i="90"/>
  <c r="AW1599" i="90" s="1"/>
  <c r="AM1591" i="90"/>
  <c r="AU1591" i="90" s="1"/>
  <c r="AN1591" i="90"/>
  <c r="AW1591" i="90" s="1"/>
  <c r="AM1583" i="90"/>
  <c r="AU1583" i="90" s="1"/>
  <c r="AN1583" i="90"/>
  <c r="AW1583" i="90" s="1"/>
  <c r="AM1575" i="90"/>
  <c r="AU1575" i="90" s="1"/>
  <c r="AN1575" i="90"/>
  <c r="AW1575" i="90" s="1"/>
  <c r="AT1555" i="90"/>
  <c r="AQ1555" i="90"/>
  <c r="AR1555" i="90"/>
  <c r="AM1548" i="90"/>
  <c r="AU1548" i="90" s="1"/>
  <c r="AO1548" i="90"/>
  <c r="AN1548" i="90"/>
  <c r="AW1548" i="90" s="1"/>
  <c r="AW1516" i="90"/>
  <c r="AQ1572" i="90"/>
  <c r="AS1572" i="90" s="1"/>
  <c r="AN1568" i="90"/>
  <c r="AW1568" i="90" s="1"/>
  <c r="AO1568" i="90"/>
  <c r="AM1565" i="90"/>
  <c r="AU1565" i="90" s="1"/>
  <c r="AO1565" i="90"/>
  <c r="AQ1564" i="90"/>
  <c r="AS1564" i="90" s="1"/>
  <c r="AR1558" i="90"/>
  <c r="AT1558" i="90"/>
  <c r="AS1558" i="90" s="1"/>
  <c r="AT1547" i="90"/>
  <c r="AQ1547" i="90"/>
  <c r="AR1542" i="90"/>
  <c r="AQ1542" i="90"/>
  <c r="AS1542" i="90" s="1"/>
  <c r="AT1542" i="90"/>
  <c r="AR1534" i="90"/>
  <c r="AT1534" i="90"/>
  <c r="AQ1534" i="90"/>
  <c r="AS1534" i="90" s="1"/>
  <c r="AM1571" i="90"/>
  <c r="AU1571" i="90" s="1"/>
  <c r="AO1571" i="90"/>
  <c r="AN1566" i="90"/>
  <c r="AW1566" i="90" s="1"/>
  <c r="AO1566" i="90"/>
  <c r="AM1563" i="90"/>
  <c r="AU1563" i="90" s="1"/>
  <c r="AO1563" i="90"/>
  <c r="AT1561" i="90"/>
  <c r="AQ1561" i="90"/>
  <c r="AO1539" i="90"/>
  <c r="AM1539" i="90"/>
  <c r="AU1539" i="90" s="1"/>
  <c r="AN1539" i="90"/>
  <c r="AW1539" i="90" s="1"/>
  <c r="AO1531" i="90"/>
  <c r="AM1531" i="90"/>
  <c r="AU1531" i="90" s="1"/>
  <c r="AN1531" i="90"/>
  <c r="AM1506" i="90"/>
  <c r="AU1506" i="90" s="1"/>
  <c r="AN1506" i="90"/>
  <c r="AS1506" i="90"/>
  <c r="AO1506" i="90"/>
  <c r="AN1572" i="90"/>
  <c r="AW1572" i="90" s="1"/>
  <c r="AO1572" i="90"/>
  <c r="AM1569" i="90"/>
  <c r="AU1569" i="90" s="1"/>
  <c r="AO1569" i="90"/>
  <c r="AN1564" i="90"/>
  <c r="AW1564" i="90" s="1"/>
  <c r="AO1564" i="90"/>
  <c r="AN1563" i="90"/>
  <c r="AY1560" i="90"/>
  <c r="AR1556" i="90"/>
  <c r="AQ1556" i="90"/>
  <c r="AS1556" i="90" s="1"/>
  <c r="AM1554" i="90"/>
  <c r="AU1554" i="90" s="1"/>
  <c r="AR1550" i="90"/>
  <c r="AT1550" i="90"/>
  <c r="AQ1550" i="90"/>
  <c r="AS1539" i="90"/>
  <c r="AR1538" i="90"/>
  <c r="AT1538" i="90"/>
  <c r="AQ1538" i="90"/>
  <c r="AS1531" i="90"/>
  <c r="AR1530" i="90"/>
  <c r="AT1530" i="90"/>
  <c r="AQ1530" i="90"/>
  <c r="AY1514" i="90"/>
  <c r="AZ1514" i="90"/>
  <c r="AM1546" i="90"/>
  <c r="AU1546" i="90" s="1"/>
  <c r="AN1546" i="90"/>
  <c r="AW1546" i="90" s="1"/>
  <c r="AO1545" i="90"/>
  <c r="AM1528" i="90"/>
  <c r="AU1528" i="90" s="1"/>
  <c r="AN1528" i="90"/>
  <c r="AW1528" i="90" s="1"/>
  <c r="AS1528" i="90"/>
  <c r="AN1525" i="90"/>
  <c r="AO1525" i="90"/>
  <c r="AY1522" i="90"/>
  <c r="AZ1522" i="90"/>
  <c r="AM1514" i="90"/>
  <c r="AU1514" i="90" s="1"/>
  <c r="AN1514" i="90"/>
  <c r="AW1514" i="90" s="1"/>
  <c r="AS1514" i="90"/>
  <c r="AT1501" i="90"/>
  <c r="AQ1501" i="90"/>
  <c r="AR1501" i="90"/>
  <c r="AM1560" i="90"/>
  <c r="AU1560" i="90" s="1"/>
  <c r="AN1560" i="90"/>
  <c r="AW1560" i="90" s="1"/>
  <c r="AO1559" i="90"/>
  <c r="AY1552" i="90"/>
  <c r="AM1552" i="90"/>
  <c r="AU1552" i="90" s="1"/>
  <c r="AN1552" i="90"/>
  <c r="AW1552" i="90" s="1"/>
  <c r="AO1551" i="90"/>
  <c r="AQ1548" i="90"/>
  <c r="AS1548" i="90" s="1"/>
  <c r="AQ1545" i="90"/>
  <c r="AS1545" i="90" s="1"/>
  <c r="AM1544" i="90"/>
  <c r="AU1544" i="90" s="1"/>
  <c r="AN1544" i="90"/>
  <c r="AW1544" i="90" s="1"/>
  <c r="AO1543" i="90"/>
  <c r="AO1541" i="90"/>
  <c r="AM1541" i="90"/>
  <c r="AU1541" i="90" s="1"/>
  <c r="AR1540" i="90"/>
  <c r="AT1540" i="90"/>
  <c r="AO1537" i="90"/>
  <c r="AM1537" i="90"/>
  <c r="AU1537" i="90" s="1"/>
  <c r="AR1536" i="90"/>
  <c r="AT1536" i="90"/>
  <c r="AS1536" i="90" s="1"/>
  <c r="AO1533" i="90"/>
  <c r="AM1533" i="90"/>
  <c r="AU1533" i="90" s="1"/>
  <c r="AR1532" i="90"/>
  <c r="AT1532" i="90"/>
  <c r="AM1522" i="90"/>
  <c r="AU1522" i="90" s="1"/>
  <c r="AN1522" i="90"/>
  <c r="AW1522" i="90" s="1"/>
  <c r="AS1522" i="90"/>
  <c r="AT1509" i="90"/>
  <c r="AQ1509" i="90"/>
  <c r="AR1509" i="90"/>
  <c r="AY1498" i="90"/>
  <c r="AZ1498" i="90"/>
  <c r="AQ1559" i="90"/>
  <c r="AS1559" i="90" s="1"/>
  <c r="AO1557" i="90"/>
  <c r="AQ1554" i="90"/>
  <c r="AS1554" i="90" s="1"/>
  <c r="AQ1551" i="90"/>
  <c r="AS1551" i="90" s="1"/>
  <c r="AO1549" i="90"/>
  <c r="AQ1546" i="90"/>
  <c r="AS1546" i="90" s="1"/>
  <c r="AN1545" i="90"/>
  <c r="AW1545" i="90" s="1"/>
  <c r="AM1525" i="90"/>
  <c r="AU1525" i="90" s="1"/>
  <c r="AT1517" i="90"/>
  <c r="AQ1517" i="90"/>
  <c r="AR1517" i="90"/>
  <c r="AW1508" i="90"/>
  <c r="AM1498" i="90"/>
  <c r="AU1498" i="90" s="1"/>
  <c r="AN1498" i="90"/>
  <c r="AW1498" i="90" s="1"/>
  <c r="AS1498" i="90"/>
  <c r="AM1527" i="90"/>
  <c r="AU1527" i="90" s="1"/>
  <c r="AN1523" i="90"/>
  <c r="AW1523" i="90" s="1"/>
  <c r="AO1523" i="90"/>
  <c r="AM1520" i="90"/>
  <c r="AU1520" i="90" s="1"/>
  <c r="AO1520" i="90"/>
  <c r="AN1515" i="90"/>
  <c r="AW1515" i="90" s="1"/>
  <c r="AO1515" i="90"/>
  <c r="AM1512" i="90"/>
  <c r="AU1512" i="90" s="1"/>
  <c r="AO1512" i="90"/>
  <c r="AN1507" i="90"/>
  <c r="AW1507" i="90" s="1"/>
  <c r="AO1507" i="90"/>
  <c r="AM1504" i="90"/>
  <c r="AU1504" i="90" s="1"/>
  <c r="AO1504" i="90"/>
  <c r="AN1499" i="90"/>
  <c r="AW1499" i="90" s="1"/>
  <c r="AO1499" i="90"/>
  <c r="AM1496" i="90"/>
  <c r="AU1496" i="90" s="1"/>
  <c r="AO1496" i="90"/>
  <c r="AM1529" i="90"/>
  <c r="AU1529" i="90" s="1"/>
  <c r="AO1524" i="90"/>
  <c r="AR1523" i="90"/>
  <c r="AN1521" i="90"/>
  <c r="AW1521" i="90" s="1"/>
  <c r="AO1521" i="90"/>
  <c r="AS1520" i="90"/>
  <c r="AN1520" i="90"/>
  <c r="AW1520" i="90" s="1"/>
  <c r="AM1518" i="90"/>
  <c r="AU1518" i="90" s="1"/>
  <c r="AO1518" i="90"/>
  <c r="AR1515" i="90"/>
  <c r="AN1513" i="90"/>
  <c r="AW1513" i="90" s="1"/>
  <c r="AO1513" i="90"/>
  <c r="AS1512" i="90"/>
  <c r="AN1512" i="90"/>
  <c r="AM1510" i="90"/>
  <c r="AU1510" i="90" s="1"/>
  <c r="AO1510" i="90"/>
  <c r="AR1507" i="90"/>
  <c r="AN1505" i="90"/>
  <c r="AO1505" i="90"/>
  <c r="AS1504" i="90"/>
  <c r="AN1504" i="90"/>
  <c r="AW1504" i="90" s="1"/>
  <c r="AM1502" i="90"/>
  <c r="AU1502" i="90" s="1"/>
  <c r="AO1502" i="90"/>
  <c r="AR1499" i="90"/>
  <c r="AN1497" i="90"/>
  <c r="AW1497" i="90" s="1"/>
  <c r="AO1497" i="90"/>
  <c r="AS1496" i="90"/>
  <c r="AN1496" i="90"/>
  <c r="AS1524" i="90"/>
  <c r="AQ1523" i="90"/>
  <c r="AS1523" i="90" s="1"/>
  <c r="AR1521" i="90"/>
  <c r="AN1519" i="90"/>
  <c r="AO1519" i="90"/>
  <c r="AS1518" i="90"/>
  <c r="AN1518" i="90"/>
  <c r="AM1516" i="90"/>
  <c r="AU1516" i="90" s="1"/>
  <c r="AO1516" i="90"/>
  <c r="AQ1515" i="90"/>
  <c r="AS1515" i="90" s="1"/>
  <c r="AR1513" i="90"/>
  <c r="AN1511" i="90"/>
  <c r="AO1511" i="90"/>
  <c r="AS1510" i="90"/>
  <c r="AN1510" i="90"/>
  <c r="AM1508" i="90"/>
  <c r="AU1508" i="90" s="1"/>
  <c r="AO1508" i="90"/>
  <c r="AQ1507" i="90"/>
  <c r="AS1507" i="90" s="1"/>
  <c r="AR1505" i="90"/>
  <c r="AN1503" i="90"/>
  <c r="AW1503" i="90" s="1"/>
  <c r="AO1503" i="90"/>
  <c r="AS1502" i="90"/>
  <c r="AN1502" i="90"/>
  <c r="AM1500" i="90"/>
  <c r="AU1500" i="90" s="1"/>
  <c r="AO1500" i="90"/>
  <c r="AQ1499" i="90"/>
  <c r="AS1499" i="90" s="1"/>
  <c r="AR1497" i="90"/>
  <c r="AY1495" i="90"/>
  <c r="AZ1495" i="90"/>
  <c r="AR1494" i="90"/>
  <c r="AT1494" i="90"/>
  <c r="AS1494" i="90" s="1"/>
  <c r="AR1490" i="90"/>
  <c r="AT1490" i="90"/>
  <c r="AY1487" i="90"/>
  <c r="AZ1487" i="90"/>
  <c r="AR1486" i="90"/>
  <c r="AT1486" i="90"/>
  <c r="AZ1467" i="90"/>
  <c r="AY1467" i="90"/>
  <c r="AY1493" i="90"/>
  <c r="AZ1493" i="90"/>
  <c r="AR1492" i="90"/>
  <c r="AT1492" i="90"/>
  <c r="AR1488" i="90"/>
  <c r="AT1488" i="90"/>
  <c r="AS1488" i="90" s="1"/>
  <c r="AT1484" i="90"/>
  <c r="AQ1484" i="90"/>
  <c r="AM1473" i="90"/>
  <c r="AU1473" i="90" s="1"/>
  <c r="AN1473" i="90"/>
  <c r="AW1473" i="90" s="1"/>
  <c r="AM1461" i="90"/>
  <c r="AU1461" i="90" s="1"/>
  <c r="AN1461" i="90"/>
  <c r="AW1461" i="90" s="1"/>
  <c r="AM1495" i="90"/>
  <c r="AU1495" i="90" s="1"/>
  <c r="AM1493" i="90"/>
  <c r="AU1493" i="90" s="1"/>
  <c r="AM1491" i="90"/>
  <c r="AU1491" i="90" s="1"/>
  <c r="AM1489" i="90"/>
  <c r="AU1489" i="90" s="1"/>
  <c r="AM1487" i="90"/>
  <c r="AU1487" i="90" s="1"/>
  <c r="AT1483" i="90"/>
  <c r="AS1483" i="90" s="1"/>
  <c r="AO1482" i="90"/>
  <c r="AQ1479" i="90"/>
  <c r="AN1478" i="90"/>
  <c r="AQ1477" i="90"/>
  <c r="AS1477" i="90" s="1"/>
  <c r="AQ1475" i="90"/>
  <c r="AS1475" i="90" s="1"/>
  <c r="AQ1473" i="90"/>
  <c r="AS1473" i="90" s="1"/>
  <c r="AQ1471" i="90"/>
  <c r="AS1471" i="90" s="1"/>
  <c r="AQ1469" i="90"/>
  <c r="AS1469" i="90" s="1"/>
  <c r="AQ1467" i="90"/>
  <c r="AS1467" i="90" s="1"/>
  <c r="AQ1465" i="90"/>
  <c r="AS1465" i="90" s="1"/>
  <c r="AQ1463" i="90"/>
  <c r="AS1463" i="90" s="1"/>
  <c r="AS1461" i="90"/>
  <c r="AM1475" i="90"/>
  <c r="AU1475" i="90" s="1"/>
  <c r="AN1475" i="90"/>
  <c r="AW1475" i="90" s="1"/>
  <c r="AO1474" i="90"/>
  <c r="AM1471" i="90"/>
  <c r="AU1471" i="90" s="1"/>
  <c r="AN1471" i="90"/>
  <c r="AO1470" i="90"/>
  <c r="AO1468" i="90"/>
  <c r="AO1466" i="90"/>
  <c r="AM1465" i="90"/>
  <c r="AU1465" i="90" s="1"/>
  <c r="AN1465" i="90"/>
  <c r="AW1465" i="90" s="1"/>
  <c r="AO1464" i="90"/>
  <c r="AM1463" i="90"/>
  <c r="AU1463" i="90" s="1"/>
  <c r="AN1463" i="90"/>
  <c r="AW1463" i="90" s="1"/>
  <c r="AO1462" i="90"/>
  <c r="AT1481" i="90"/>
  <c r="AO1480" i="90"/>
  <c r="AO1475" i="90"/>
  <c r="AN1474" i="90"/>
  <c r="AW1474" i="90" s="1"/>
  <c r="AO1473" i="90"/>
  <c r="AO1471" i="90"/>
  <c r="AN1470" i="90"/>
  <c r="AW1470" i="90" s="1"/>
  <c r="AN1468" i="90"/>
  <c r="AW1468" i="90" s="1"/>
  <c r="AN1466" i="90"/>
  <c r="AW1466" i="90" s="1"/>
  <c r="AO1465" i="90"/>
  <c r="AN1464" i="90"/>
  <c r="AW1464" i="90" s="1"/>
  <c r="AO1463" i="90"/>
  <c r="AN1462" i="90"/>
  <c r="AW1462" i="90" s="1"/>
  <c r="AO1461" i="90"/>
  <c r="AM1477" i="90"/>
  <c r="AU1477" i="90" s="1"/>
  <c r="AN1477" i="90"/>
  <c r="AW1477" i="90" s="1"/>
  <c r="AO1476" i="90"/>
  <c r="AO1472" i="90"/>
  <c r="AM1469" i="90"/>
  <c r="AU1469" i="90" s="1"/>
  <c r="AN1469" i="90"/>
  <c r="AW1469" i="90" s="1"/>
  <c r="AM1467" i="90"/>
  <c r="AU1467" i="90" s="1"/>
  <c r="AN1467" i="90"/>
  <c r="AW1467" i="90" s="1"/>
  <c r="AO1485" i="90"/>
  <c r="AT1479" i="90"/>
  <c r="AO1478" i="90"/>
  <c r="AS1476" i="90"/>
  <c r="AM1476" i="90"/>
  <c r="AU1476" i="90" s="1"/>
  <c r="AS1474" i="90"/>
  <c r="AM1474" i="90"/>
  <c r="AU1474" i="90" s="1"/>
  <c r="AS1472" i="90"/>
  <c r="AM1472" i="90"/>
  <c r="AU1472" i="90" s="1"/>
  <c r="AS1470" i="90"/>
  <c r="AM1470" i="90"/>
  <c r="AU1470" i="90" s="1"/>
  <c r="AS1468" i="90"/>
  <c r="AM1468" i="90"/>
  <c r="AU1468" i="90" s="1"/>
  <c r="AS1466" i="90"/>
  <c r="AM1466" i="90"/>
  <c r="AU1466" i="90" s="1"/>
  <c r="AS1464" i="90"/>
  <c r="AM1464" i="90"/>
  <c r="AU1464" i="90" s="1"/>
  <c r="AS1462" i="90"/>
  <c r="AM1462" i="90"/>
  <c r="AU1462" i="90" s="1"/>
  <c r="AN1460" i="90"/>
  <c r="AW1460" i="90" s="1"/>
  <c r="AO1460" i="90"/>
  <c r="AM1460" i="90"/>
  <c r="AU1460" i="90" s="1"/>
  <c r="AN1452" i="90"/>
  <c r="AW1452" i="90" s="1"/>
  <c r="AO1452" i="90"/>
  <c r="AM1452" i="90"/>
  <c r="AU1452" i="90" s="1"/>
  <c r="AN1444" i="90"/>
  <c r="AO1444" i="90"/>
  <c r="AM1444" i="90"/>
  <c r="AU1444" i="90" s="1"/>
  <c r="AN1436" i="90"/>
  <c r="AW1436" i="90" s="1"/>
  <c r="AM1436" i="90"/>
  <c r="AU1436" i="90" s="1"/>
  <c r="AO1436" i="90"/>
  <c r="AN1428" i="90"/>
  <c r="AW1428" i="90" s="1"/>
  <c r="AO1428" i="90"/>
  <c r="AM1428" i="90"/>
  <c r="AU1428" i="90" s="1"/>
  <c r="AN1420" i="90"/>
  <c r="AW1420" i="90" s="1"/>
  <c r="AO1420" i="90"/>
  <c r="AM1420" i="90"/>
  <c r="AU1420" i="90" s="1"/>
  <c r="AN1458" i="90"/>
  <c r="AO1458" i="90"/>
  <c r="AM1458" i="90"/>
  <c r="AU1458" i="90" s="1"/>
  <c r="AN1450" i="90"/>
  <c r="AW1450" i="90" s="1"/>
  <c r="AO1450" i="90"/>
  <c r="AM1450" i="90"/>
  <c r="AU1450" i="90" s="1"/>
  <c r="AN1442" i="90"/>
  <c r="AW1442" i="90" s="1"/>
  <c r="AO1442" i="90"/>
  <c r="AM1442" i="90"/>
  <c r="AU1442" i="90" s="1"/>
  <c r="AN1434" i="90"/>
  <c r="AW1434" i="90" s="1"/>
  <c r="AM1434" i="90"/>
  <c r="AU1434" i="90" s="1"/>
  <c r="AO1434" i="90"/>
  <c r="AN1426" i="90"/>
  <c r="AW1426" i="90" s="1"/>
  <c r="AO1426" i="90"/>
  <c r="AM1426" i="90"/>
  <c r="AU1426" i="90" s="1"/>
  <c r="AN1418" i="90"/>
  <c r="AW1418" i="90" s="1"/>
  <c r="AM1418" i="90"/>
  <c r="AU1418" i="90" s="1"/>
  <c r="AO1418" i="90"/>
  <c r="AN1448" i="90"/>
  <c r="AW1448" i="90" s="1"/>
  <c r="AM1448" i="90"/>
  <c r="AU1448" i="90" s="1"/>
  <c r="AO1448" i="90"/>
  <c r="AY1433" i="90"/>
  <c r="AZ1433" i="90"/>
  <c r="AN1432" i="90"/>
  <c r="AW1432" i="90" s="1"/>
  <c r="AM1432" i="90"/>
  <c r="AU1432" i="90" s="1"/>
  <c r="AO1432" i="90"/>
  <c r="AN1424" i="90"/>
  <c r="AW1424" i="90" s="1"/>
  <c r="AM1424" i="90"/>
  <c r="AU1424" i="90" s="1"/>
  <c r="AO1424" i="90"/>
  <c r="AN1416" i="90"/>
  <c r="AW1416" i="90" s="1"/>
  <c r="AM1416" i="90"/>
  <c r="AU1416" i="90" s="1"/>
  <c r="AO1416" i="90"/>
  <c r="AN1454" i="90"/>
  <c r="AW1454" i="90" s="1"/>
  <c r="AO1454" i="90"/>
  <c r="AM1454" i="90"/>
  <c r="AU1454" i="90" s="1"/>
  <c r="AY1447" i="90"/>
  <c r="AZ1447" i="90"/>
  <c r="AN1446" i="90"/>
  <c r="AO1446" i="90"/>
  <c r="AM1446" i="90"/>
  <c r="AU1446" i="90" s="1"/>
  <c r="AN1438" i="90"/>
  <c r="AW1438" i="90" s="1"/>
  <c r="AM1438" i="90"/>
  <c r="AU1438" i="90" s="1"/>
  <c r="AO1438" i="90"/>
  <c r="AY1431" i="90"/>
  <c r="AZ1431" i="90"/>
  <c r="AN1430" i="90"/>
  <c r="AO1430" i="90"/>
  <c r="AM1430" i="90"/>
  <c r="AU1430" i="90" s="1"/>
  <c r="AY1423" i="90"/>
  <c r="AZ1423" i="90"/>
  <c r="AN1422" i="90"/>
  <c r="AW1422" i="90" s="1"/>
  <c r="AO1422" i="90"/>
  <c r="AM1422" i="90"/>
  <c r="AU1422" i="90" s="1"/>
  <c r="AN1414" i="90"/>
  <c r="AO1414" i="90"/>
  <c r="AM1414" i="90"/>
  <c r="AU1414" i="90" s="1"/>
  <c r="AM1316" i="90"/>
  <c r="AU1316" i="90" s="1"/>
  <c r="AO1316" i="90"/>
  <c r="AN1316" i="90"/>
  <c r="AW1316" i="90" s="1"/>
  <c r="AZ1364" i="90"/>
  <c r="AY1364" i="90"/>
  <c r="AM1348" i="90"/>
  <c r="AU1348" i="90" s="1"/>
  <c r="AO1348" i="90"/>
  <c r="AN1348" i="90"/>
  <c r="AW1348" i="90" s="1"/>
  <c r="AO1457" i="90"/>
  <c r="AO1455" i="90"/>
  <c r="AO1453" i="90"/>
  <c r="AO1449" i="90"/>
  <c r="AO1445" i="90"/>
  <c r="AO1441" i="90"/>
  <c r="AO1425" i="90"/>
  <c r="AO1415" i="90"/>
  <c r="AM1411" i="90"/>
  <c r="AU1411" i="90" s="1"/>
  <c r="AN1403" i="90"/>
  <c r="AW1403" i="90" s="1"/>
  <c r="AO1402" i="90"/>
  <c r="AO1395" i="90"/>
  <c r="AN1395" i="90"/>
  <c r="AW1395" i="90" s="1"/>
  <c r="AT1382" i="90"/>
  <c r="AR1380" i="90"/>
  <c r="AQ1380" i="90"/>
  <c r="AM1378" i="90"/>
  <c r="AU1378" i="90" s="1"/>
  <c r="AM1366" i="90"/>
  <c r="AU1366" i="90" s="1"/>
  <c r="AO1366" i="90"/>
  <c r="AO1363" i="90"/>
  <c r="AN1363" i="90"/>
  <c r="AW1363" i="90" s="1"/>
  <c r="AR1326" i="90"/>
  <c r="AT1326" i="90"/>
  <c r="AM1314" i="90"/>
  <c r="AU1314" i="90" s="1"/>
  <c r="AR1292" i="90"/>
  <c r="AT1292" i="90"/>
  <c r="AQ1292" i="90"/>
  <c r="AT1289" i="90"/>
  <c r="AQ1289" i="90"/>
  <c r="AM1077" i="90"/>
  <c r="AU1077" i="90" s="1"/>
  <c r="AO1077" i="90"/>
  <c r="AN1077" i="90"/>
  <c r="AW1077" i="90" s="1"/>
  <c r="AO1032" i="90"/>
  <c r="AM1032" i="90"/>
  <c r="AU1032" i="90" s="1"/>
  <c r="AS1032" i="90"/>
  <c r="AN1032" i="90"/>
  <c r="AM997" i="90"/>
  <c r="AU997" i="90" s="1"/>
  <c r="AN997" i="90"/>
  <c r="AW997" i="90" s="1"/>
  <c r="AO997" i="90"/>
  <c r="AO944" i="90"/>
  <c r="AM944" i="90"/>
  <c r="AU944" i="90" s="1"/>
  <c r="AN944" i="90"/>
  <c r="AW944" i="90" s="1"/>
  <c r="AS944" i="90"/>
  <c r="AO33" i="90"/>
  <c r="AM33" i="90"/>
  <c r="AU33" i="90" s="1"/>
  <c r="AS33" i="90"/>
  <c r="AN33" i="90"/>
  <c r="AW33" i="90" s="1"/>
  <c r="AM30" i="90"/>
  <c r="AU30" i="90" s="1"/>
  <c r="AN30" i="90"/>
  <c r="AW30" i="90" s="1"/>
  <c r="AO30" i="90"/>
  <c r="AM18" i="90"/>
  <c r="AU18" i="90" s="1"/>
  <c r="AO18" i="90"/>
  <c r="AN18" i="90"/>
  <c r="AW18" i="90" s="1"/>
  <c r="AQ1458" i="90"/>
  <c r="AS1458" i="90" s="1"/>
  <c r="AQ1450" i="90"/>
  <c r="AS1450" i="90" s="1"/>
  <c r="AS1449" i="90"/>
  <c r="AN1447" i="90"/>
  <c r="AW1447" i="90" s="1"/>
  <c r="AQ1446" i="90"/>
  <c r="AS1446" i="90" s="1"/>
  <c r="AS1445" i="90"/>
  <c r="AN1443" i="90"/>
  <c r="AW1443" i="90" s="1"/>
  <c r="AN1441" i="90"/>
  <c r="AN1439" i="90"/>
  <c r="AW1439" i="90" s="1"/>
  <c r="AQ1438" i="90"/>
  <c r="AS1438" i="90" s="1"/>
  <c r="AN1437" i="90"/>
  <c r="AW1437" i="90" s="1"/>
  <c r="AQ1436" i="90"/>
  <c r="AS1436" i="90" s="1"/>
  <c r="AN1435" i="90"/>
  <c r="AW1435" i="90" s="1"/>
  <c r="AS1433" i="90"/>
  <c r="AQ1432" i="90"/>
  <c r="AS1432" i="90" s="1"/>
  <c r="AN1431" i="90"/>
  <c r="AW1431" i="90" s="1"/>
  <c r="AS1429" i="90"/>
  <c r="AS1427" i="90"/>
  <c r="AQ1426" i="90"/>
  <c r="AS1426" i="90" s="1"/>
  <c r="AN1425" i="90"/>
  <c r="AQ1424" i="90"/>
  <c r="AS1424" i="90" s="1"/>
  <c r="AN1423" i="90"/>
  <c r="AW1423" i="90" s="1"/>
  <c r="AN1421" i="90"/>
  <c r="AW1421" i="90" s="1"/>
  <c r="AN1419" i="90"/>
  <c r="AW1419" i="90" s="1"/>
  <c r="AQ1418" i="90"/>
  <c r="AS1418" i="90" s="1"/>
  <c r="AN1417" i="90"/>
  <c r="AS1415" i="90"/>
  <c r="AQ1414" i="90"/>
  <c r="AS1414" i="90" s="1"/>
  <c r="AR1408" i="90"/>
  <c r="AY1401" i="90"/>
  <c r="AO1400" i="90"/>
  <c r="AS1394" i="90"/>
  <c r="AT1393" i="90"/>
  <c r="AQ1393" i="90"/>
  <c r="AR1381" i="90"/>
  <c r="AR1379" i="90"/>
  <c r="AS1378" i="90"/>
  <c r="AT1377" i="90"/>
  <c r="AQ1377" i="90"/>
  <c r="AR1365" i="90"/>
  <c r="AR1363" i="90"/>
  <c r="AS1362" i="90"/>
  <c r="AT1361" i="90"/>
  <c r="AQ1361" i="90"/>
  <c r="AS1361" i="90" s="1"/>
  <c r="AM1354" i="90"/>
  <c r="AU1354" i="90" s="1"/>
  <c r="AO1347" i="90"/>
  <c r="AM1347" i="90"/>
  <c r="AU1347" i="90" s="1"/>
  <c r="AN1347" i="90"/>
  <c r="AW1347" i="90" s="1"/>
  <c r="AS1346" i="90"/>
  <c r="AT1337" i="90"/>
  <c r="AQ1337" i="90"/>
  <c r="AR1334" i="90"/>
  <c r="AT1334" i="90"/>
  <c r="AS1334" i="90" s="1"/>
  <c r="AR1324" i="90"/>
  <c r="AQ1324" i="90"/>
  <c r="AM1322" i="90"/>
  <c r="AU1322" i="90" s="1"/>
  <c r="AO1315" i="90"/>
  <c r="AM1315" i="90"/>
  <c r="AU1315" i="90" s="1"/>
  <c r="AN1315" i="90"/>
  <c r="AW1315" i="90" s="1"/>
  <c r="AS1314" i="90"/>
  <c r="AT1305" i="90"/>
  <c r="AQ1305" i="90"/>
  <c r="AR1302" i="90"/>
  <c r="AT1302" i="90"/>
  <c r="AM1298" i="90"/>
  <c r="AU1298" i="90" s="1"/>
  <c r="AO1298" i="90"/>
  <c r="AR1284" i="90"/>
  <c r="AT1284" i="90"/>
  <c r="AQ1284" i="90"/>
  <c r="AT1281" i="90"/>
  <c r="AQ1281" i="90"/>
  <c r="AY1132" i="90"/>
  <c r="AR1119" i="90"/>
  <c r="AT1119" i="90"/>
  <c r="AQ1119" i="90"/>
  <c r="AZ1115" i="90"/>
  <c r="AY1115" i="90"/>
  <c r="AO1024" i="90"/>
  <c r="AM1024" i="90"/>
  <c r="AU1024" i="90" s="1"/>
  <c r="AS1024" i="90"/>
  <c r="AN1024" i="90"/>
  <c r="AW1024" i="90" s="1"/>
  <c r="AM1021" i="90"/>
  <c r="AU1021" i="90" s="1"/>
  <c r="AN1021" i="90"/>
  <c r="AW1021" i="90" s="1"/>
  <c r="AO1021" i="90"/>
  <c r="AO992" i="90"/>
  <c r="AM992" i="90"/>
  <c r="AU992" i="90" s="1"/>
  <c r="AS992" i="90"/>
  <c r="AN992" i="90"/>
  <c r="AM989" i="90"/>
  <c r="AU989" i="90" s="1"/>
  <c r="AN989" i="90"/>
  <c r="AW989" i="90" s="1"/>
  <c r="AO989" i="90"/>
  <c r="AO904" i="90"/>
  <c r="AM904" i="90"/>
  <c r="AU904" i="90" s="1"/>
  <c r="AN904" i="90"/>
  <c r="AW904" i="90" s="1"/>
  <c r="AS904" i="90"/>
  <c r="AO872" i="90"/>
  <c r="AM872" i="90"/>
  <c r="AU872" i="90" s="1"/>
  <c r="AN872" i="90"/>
  <c r="AW872" i="90" s="1"/>
  <c r="AS872" i="90"/>
  <c r="AM814" i="90"/>
  <c r="AU814" i="90" s="1"/>
  <c r="AO814" i="90"/>
  <c r="AS814" i="90"/>
  <c r="AN814" i="90"/>
  <c r="AW814" i="90" s="1"/>
  <c r="AN677" i="90"/>
  <c r="AW677" i="90" s="1"/>
  <c r="AO677" i="90"/>
  <c r="AM677" i="90"/>
  <c r="AU677" i="90" s="1"/>
  <c r="AO1451" i="90"/>
  <c r="AO1443" i="90"/>
  <c r="AO1429" i="90"/>
  <c r="AO1427" i="90"/>
  <c r="AO1421" i="90"/>
  <c r="AO1419" i="90"/>
  <c r="AO1410" i="90"/>
  <c r="AR1396" i="90"/>
  <c r="AQ1396" i="90"/>
  <c r="AM1394" i="90"/>
  <c r="AU1394" i="90" s="1"/>
  <c r="AR1392" i="90"/>
  <c r="AT1392" i="90"/>
  <c r="AO1381" i="90"/>
  <c r="AM1381" i="90"/>
  <c r="AU1381" i="90" s="1"/>
  <c r="AT1380" i="90"/>
  <c r="AO1365" i="90"/>
  <c r="AM1365" i="90"/>
  <c r="AU1365" i="90" s="1"/>
  <c r="AR1364" i="90"/>
  <c r="AQ1364" i="90"/>
  <c r="AS1364" i="90" s="1"/>
  <c r="AM1362" i="90"/>
  <c r="AU1362" i="90" s="1"/>
  <c r="AR1360" i="90"/>
  <c r="AT1360" i="90"/>
  <c r="AR1348" i="90"/>
  <c r="AQ1348" i="90"/>
  <c r="AS1348" i="90" s="1"/>
  <c r="AO1339" i="90"/>
  <c r="AM1339" i="90"/>
  <c r="AU1339" i="90" s="1"/>
  <c r="AN1339" i="90"/>
  <c r="AW1339" i="90" s="1"/>
  <c r="AO1307" i="90"/>
  <c r="AM1307" i="90"/>
  <c r="AU1307" i="90" s="1"/>
  <c r="AN1307" i="90"/>
  <c r="AW1307" i="90" s="1"/>
  <c r="AN1141" i="90"/>
  <c r="AO1141" i="90"/>
  <c r="AM1141" i="90"/>
  <c r="AU1141" i="90" s="1"/>
  <c r="AT1052" i="90"/>
  <c r="AQ1052" i="90"/>
  <c r="AR1052" i="90"/>
  <c r="AO1000" i="90"/>
  <c r="AM1000" i="90"/>
  <c r="AU1000" i="90" s="1"/>
  <c r="AS1000" i="90"/>
  <c r="AN1000" i="90"/>
  <c r="AO976" i="90"/>
  <c r="AM976" i="90"/>
  <c r="AU976" i="90" s="1"/>
  <c r="AN976" i="90"/>
  <c r="AW976" i="90" s="1"/>
  <c r="AS976" i="90"/>
  <c r="AO960" i="90"/>
  <c r="AM960" i="90"/>
  <c r="AU960" i="90" s="1"/>
  <c r="AN960" i="90"/>
  <c r="AW960" i="90" s="1"/>
  <c r="AS960" i="90"/>
  <c r="AO880" i="90"/>
  <c r="AM880" i="90"/>
  <c r="AU880" i="90" s="1"/>
  <c r="AN880" i="90"/>
  <c r="AW880" i="90" s="1"/>
  <c r="AS880" i="90"/>
  <c r="AM718" i="90"/>
  <c r="AU718" i="90" s="1"/>
  <c r="AO718" i="90"/>
  <c r="AS718" i="90"/>
  <c r="AN718" i="90"/>
  <c r="AW718" i="90" s="1"/>
  <c r="AQ1460" i="90"/>
  <c r="AS1460" i="90" s="1"/>
  <c r="AS1459" i="90"/>
  <c r="AN1457" i="90"/>
  <c r="AW1457" i="90" s="1"/>
  <c r="AS1455" i="90"/>
  <c r="AQ1454" i="90"/>
  <c r="AS1454" i="90" s="1"/>
  <c r="AS1453" i="90"/>
  <c r="AQ1452" i="90"/>
  <c r="AS1452" i="90" s="1"/>
  <c r="AS1451" i="90"/>
  <c r="AQ1448" i="90"/>
  <c r="AS1448" i="90" s="1"/>
  <c r="AS1447" i="90"/>
  <c r="AQ1444" i="90"/>
  <c r="AS1444" i="90" s="1"/>
  <c r="AQ1442" i="90"/>
  <c r="AS1442" i="90" s="1"/>
  <c r="AS1437" i="90"/>
  <c r="AQ1434" i="90"/>
  <c r="AS1434" i="90" s="1"/>
  <c r="AN1433" i="90"/>
  <c r="AW1433" i="90" s="1"/>
  <c r="AS1431" i="90"/>
  <c r="AQ1430" i="90"/>
  <c r="AS1430" i="90" s="1"/>
  <c r="AN1429" i="90"/>
  <c r="AQ1428" i="90"/>
  <c r="AS1428" i="90" s="1"/>
  <c r="AN1427" i="90"/>
  <c r="AS1425" i="90"/>
  <c r="AS1423" i="90"/>
  <c r="AQ1422" i="90"/>
  <c r="AS1422" i="90" s="1"/>
  <c r="AS1421" i="90"/>
  <c r="AQ1420" i="90"/>
  <c r="AS1420" i="90" s="1"/>
  <c r="AS1419" i="90"/>
  <c r="AS1417" i="90"/>
  <c r="AQ1416" i="90"/>
  <c r="AS1416" i="90" s="1"/>
  <c r="AN1415" i="90"/>
  <c r="AW1415" i="90" s="1"/>
  <c r="AQ1413" i="90"/>
  <c r="AQ1410" i="90"/>
  <c r="AS1410" i="90" s="1"/>
  <c r="AM1409" i="90"/>
  <c r="AU1409" i="90" s="1"/>
  <c r="AO1408" i="90"/>
  <c r="AQ1405" i="90"/>
  <c r="AQ1402" i="90"/>
  <c r="AS1402" i="90" s="1"/>
  <c r="AM1401" i="90"/>
  <c r="AU1401" i="90" s="1"/>
  <c r="AN1401" i="90"/>
  <c r="AW1401" i="90" s="1"/>
  <c r="AR1400" i="90"/>
  <c r="AQ1397" i="90"/>
  <c r="AR1395" i="90"/>
  <c r="AM1459" i="90"/>
  <c r="AU1459" i="90" s="1"/>
  <c r="AM1457" i="90"/>
  <c r="AU1457" i="90" s="1"/>
  <c r="AT1456" i="90"/>
  <c r="AS1456" i="90" s="1"/>
  <c r="AM1455" i="90"/>
  <c r="AU1455" i="90" s="1"/>
  <c r="AM1453" i="90"/>
  <c r="AU1453" i="90" s="1"/>
  <c r="AM1451" i="90"/>
  <c r="AU1451" i="90" s="1"/>
  <c r="AM1449" i="90"/>
  <c r="AU1449" i="90" s="1"/>
  <c r="AM1447" i="90"/>
  <c r="AU1447" i="90" s="1"/>
  <c r="AM1445" i="90"/>
  <c r="AU1445" i="90" s="1"/>
  <c r="AM1443" i="90"/>
  <c r="AU1443" i="90" s="1"/>
  <c r="AM1441" i="90"/>
  <c r="AU1441" i="90" s="1"/>
  <c r="AT1440" i="90"/>
  <c r="AS1440" i="90" s="1"/>
  <c r="AM1439" i="90"/>
  <c r="AU1439" i="90" s="1"/>
  <c r="AM1437" i="90"/>
  <c r="AU1437" i="90" s="1"/>
  <c r="AM1435" i="90"/>
  <c r="AU1435" i="90" s="1"/>
  <c r="AM1433" i="90"/>
  <c r="AU1433" i="90" s="1"/>
  <c r="AM1431" i="90"/>
  <c r="AU1431" i="90" s="1"/>
  <c r="AM1425" i="90"/>
  <c r="AU1425" i="90" s="1"/>
  <c r="AM1423" i="90"/>
  <c r="AU1423" i="90" s="1"/>
  <c r="AM1421" i="90"/>
  <c r="AU1421" i="90" s="1"/>
  <c r="AM1417" i="90"/>
  <c r="AU1417" i="90" s="1"/>
  <c r="AQ1411" i="90"/>
  <c r="AS1411" i="90" s="1"/>
  <c r="AN1410" i="90"/>
  <c r="AW1410" i="90" s="1"/>
  <c r="AQ1408" i="90"/>
  <c r="AS1408" i="90" s="1"/>
  <c r="AT1407" i="90"/>
  <c r="AS1407" i="90" s="1"/>
  <c r="AO1406" i="90"/>
  <c r="AQ1403" i="90"/>
  <c r="AS1403" i="90" s="1"/>
  <c r="AN1402" i="90"/>
  <c r="AW1402" i="90" s="1"/>
  <c r="AQ1400" i="90"/>
  <c r="AS1400" i="90" s="1"/>
  <c r="AT1399" i="90"/>
  <c r="AS1399" i="90" s="1"/>
  <c r="AO1398" i="90"/>
  <c r="AQ1395" i="90"/>
  <c r="AS1395" i="90" s="1"/>
  <c r="AO1394" i="90"/>
  <c r="AR1393" i="90"/>
  <c r="AQ1392" i="90"/>
  <c r="AS1392" i="90" s="1"/>
  <c r="AM1390" i="90"/>
  <c r="AU1390" i="90" s="1"/>
  <c r="AO1390" i="90"/>
  <c r="AO1389" i="90"/>
  <c r="AM1389" i="90"/>
  <c r="AU1389" i="90" s="1"/>
  <c r="AM1388" i="90"/>
  <c r="AU1388" i="90" s="1"/>
  <c r="AR1388" i="90"/>
  <c r="AQ1388" i="90"/>
  <c r="AS1388" i="90" s="1"/>
  <c r="AO1387" i="90"/>
  <c r="AN1387" i="90"/>
  <c r="AW1387" i="90" s="1"/>
  <c r="AM1386" i="90"/>
  <c r="AU1386" i="90" s="1"/>
  <c r="AR1384" i="90"/>
  <c r="AT1384" i="90"/>
  <c r="AS1384" i="90" s="1"/>
  <c r="AQ1382" i="90"/>
  <c r="AS1382" i="90" s="1"/>
  <c r="AQ1381" i="90"/>
  <c r="AS1381" i="90" s="1"/>
  <c r="AQ1379" i="90"/>
  <c r="AS1379" i="90" s="1"/>
  <c r="AO1378" i="90"/>
  <c r="AR1377" i="90"/>
  <c r="AM1374" i="90"/>
  <c r="AU1374" i="90" s="1"/>
  <c r="AO1374" i="90"/>
  <c r="AO1373" i="90"/>
  <c r="AM1373" i="90"/>
  <c r="AU1373" i="90" s="1"/>
  <c r="AM1372" i="90"/>
  <c r="AU1372" i="90" s="1"/>
  <c r="AR1372" i="90"/>
  <c r="AQ1372" i="90"/>
  <c r="AS1372" i="90" s="1"/>
  <c r="AO1371" i="90"/>
  <c r="AN1371" i="90"/>
  <c r="AW1371" i="90" s="1"/>
  <c r="AM1370" i="90"/>
  <c r="AU1370" i="90" s="1"/>
  <c r="AR1368" i="90"/>
  <c r="AT1368" i="90"/>
  <c r="AS1368" i="90" s="1"/>
  <c r="AQ1366" i="90"/>
  <c r="AS1366" i="90" s="1"/>
  <c r="AQ1365" i="90"/>
  <c r="AS1365" i="90" s="1"/>
  <c r="AQ1363" i="90"/>
  <c r="AS1363" i="90" s="1"/>
  <c r="AO1362" i="90"/>
  <c r="AR1361" i="90"/>
  <c r="AQ1360" i="90"/>
  <c r="AS1360" i="90" s="1"/>
  <c r="AM1358" i="90"/>
  <c r="AU1358" i="90" s="1"/>
  <c r="AO1358" i="90"/>
  <c r="AO1357" i="90"/>
  <c r="AM1357" i="90"/>
  <c r="AU1357" i="90" s="1"/>
  <c r="AM1356" i="90"/>
  <c r="AU1356" i="90" s="1"/>
  <c r="AR1356" i="90"/>
  <c r="AQ1356" i="90"/>
  <c r="AS1356" i="90" s="1"/>
  <c r="AO1355" i="90"/>
  <c r="AN1355" i="90"/>
  <c r="AS1354" i="90"/>
  <c r="AT1345" i="90"/>
  <c r="AQ1345" i="90"/>
  <c r="AR1342" i="90"/>
  <c r="AT1342" i="90"/>
  <c r="AR1339" i="90"/>
  <c r="AR1332" i="90"/>
  <c r="AQ1332" i="90"/>
  <c r="AS1332" i="90" s="1"/>
  <c r="AQ1331" i="90"/>
  <c r="AS1331" i="90" s="1"/>
  <c r="AM1330" i="90"/>
  <c r="AU1330" i="90" s="1"/>
  <c r="AT1324" i="90"/>
  <c r="AO1323" i="90"/>
  <c r="AM1323" i="90"/>
  <c r="AU1323" i="90" s="1"/>
  <c r="AN1323" i="90"/>
  <c r="AW1323" i="90" s="1"/>
  <c r="AS1322" i="90"/>
  <c r="AO1314" i="90"/>
  <c r="AT1313" i="90"/>
  <c r="AQ1313" i="90"/>
  <c r="AR1310" i="90"/>
  <c r="AT1310" i="90"/>
  <c r="AR1307" i="90"/>
  <c r="AS1298" i="90"/>
  <c r="AM1290" i="90"/>
  <c r="AU1290" i="90" s="1"/>
  <c r="AO1290" i="90"/>
  <c r="AN1149" i="90"/>
  <c r="AW1149" i="90" s="1"/>
  <c r="AO1149" i="90"/>
  <c r="AM1149" i="90"/>
  <c r="AU1149" i="90" s="1"/>
  <c r="AM1144" i="90"/>
  <c r="AU1144" i="90" s="1"/>
  <c r="AN1144" i="90"/>
  <c r="AW1144" i="90" s="1"/>
  <c r="AS1144" i="90"/>
  <c r="AO1144" i="90"/>
  <c r="AN1133" i="90"/>
  <c r="AW1133" i="90" s="1"/>
  <c r="AO1133" i="90"/>
  <c r="AM1133" i="90"/>
  <c r="AU1133" i="90" s="1"/>
  <c r="AT1116" i="90"/>
  <c r="AQ1116" i="90"/>
  <c r="AR1116" i="90"/>
  <c r="AR1087" i="90"/>
  <c r="AT1087" i="90"/>
  <c r="AQ1087" i="90"/>
  <c r="AS1087" i="90" s="1"/>
  <c r="AZ1083" i="90"/>
  <c r="AY1083" i="90"/>
  <c r="AZ1047" i="90"/>
  <c r="AY1047" i="90"/>
  <c r="AM1045" i="90"/>
  <c r="AU1045" i="90" s="1"/>
  <c r="AN1045" i="90"/>
  <c r="AW1045" i="90" s="1"/>
  <c r="AO1045" i="90"/>
  <c r="AO1016" i="90"/>
  <c r="AM1016" i="90"/>
  <c r="AU1016" i="90" s="1"/>
  <c r="AS1016" i="90"/>
  <c r="AN1016" i="90"/>
  <c r="AW1016" i="90" s="1"/>
  <c r="AM1013" i="90"/>
  <c r="AU1013" i="90" s="1"/>
  <c r="AN1013" i="90"/>
  <c r="AW1013" i="90" s="1"/>
  <c r="AO1013" i="90"/>
  <c r="AO984" i="90"/>
  <c r="AM984" i="90"/>
  <c r="AU984" i="90" s="1"/>
  <c r="AS984" i="90"/>
  <c r="AN984" i="90"/>
  <c r="AW984" i="90" s="1"/>
  <c r="AO968" i="90"/>
  <c r="AM968" i="90"/>
  <c r="AU968" i="90" s="1"/>
  <c r="AN968" i="90"/>
  <c r="AS968" i="90"/>
  <c r="AO952" i="90"/>
  <c r="AM952" i="90"/>
  <c r="AU952" i="90" s="1"/>
  <c r="AN952" i="90"/>
  <c r="AW952" i="90" s="1"/>
  <c r="AS952" i="90"/>
  <c r="AO936" i="90"/>
  <c r="AM936" i="90"/>
  <c r="AU936" i="90" s="1"/>
  <c r="AN936" i="90"/>
  <c r="AS936" i="90"/>
  <c r="AO920" i="90"/>
  <c r="AM920" i="90"/>
  <c r="AU920" i="90" s="1"/>
  <c r="AN920" i="90"/>
  <c r="AW920" i="90" s="1"/>
  <c r="AS920" i="90"/>
  <c r="AO896" i="90"/>
  <c r="AM896" i="90"/>
  <c r="AU896" i="90" s="1"/>
  <c r="AN896" i="90"/>
  <c r="AS896" i="90"/>
  <c r="AO864" i="90"/>
  <c r="AM864" i="90"/>
  <c r="AU864" i="90" s="1"/>
  <c r="AN864" i="90"/>
  <c r="AW864" i="90" s="1"/>
  <c r="AS864" i="90"/>
  <c r="AM782" i="90"/>
  <c r="AU782" i="90" s="1"/>
  <c r="AO782" i="90"/>
  <c r="AS782" i="90"/>
  <c r="AN782" i="90"/>
  <c r="AW782" i="90" s="1"/>
  <c r="AO1459" i="90"/>
  <c r="AO1439" i="90"/>
  <c r="AO1435" i="90"/>
  <c r="AN1411" i="90"/>
  <c r="AW1411" i="90" s="1"/>
  <c r="AR1410" i="90"/>
  <c r="AM1403" i="90"/>
  <c r="AU1403" i="90" s="1"/>
  <c r="AT1396" i="90"/>
  <c r="AO1379" i="90"/>
  <c r="AN1379" i="90"/>
  <c r="AW1379" i="90" s="1"/>
  <c r="AR1376" i="90"/>
  <c r="AT1376" i="90"/>
  <c r="AS1376" i="90" s="1"/>
  <c r="AM1364" i="90"/>
  <c r="AU1364" i="90" s="1"/>
  <c r="AM1346" i="90"/>
  <c r="AU1346" i="90" s="1"/>
  <c r="AM1340" i="90"/>
  <c r="AU1340" i="90" s="1"/>
  <c r="AO1340" i="90"/>
  <c r="AT1329" i="90"/>
  <c r="AQ1329" i="90"/>
  <c r="AR1316" i="90"/>
  <c r="AQ1316" i="90"/>
  <c r="AS1316" i="90" s="1"/>
  <c r="AM1308" i="90"/>
  <c r="AU1308" i="90" s="1"/>
  <c r="AO1308" i="90"/>
  <c r="AM1136" i="90"/>
  <c r="AU1136" i="90" s="1"/>
  <c r="AN1136" i="90"/>
  <c r="AW1136" i="90" s="1"/>
  <c r="AS1136" i="90"/>
  <c r="AO1136" i="90"/>
  <c r="AM1029" i="90"/>
  <c r="AU1029" i="90" s="1"/>
  <c r="AN1029" i="90"/>
  <c r="AO1029" i="90"/>
  <c r="AO928" i="90"/>
  <c r="AM928" i="90"/>
  <c r="AU928" i="90" s="1"/>
  <c r="AN928" i="90"/>
  <c r="AW928" i="90" s="1"/>
  <c r="AS928" i="90"/>
  <c r="AO912" i="90"/>
  <c r="AM912" i="90"/>
  <c r="AU912" i="90" s="1"/>
  <c r="AN912" i="90"/>
  <c r="AW912" i="90" s="1"/>
  <c r="AS912" i="90"/>
  <c r="AT1413" i="90"/>
  <c r="AO1412" i="90"/>
  <c r="AO1411" i="90"/>
  <c r="AM1410" i="90"/>
  <c r="AU1410" i="90" s="1"/>
  <c r="AN1408" i="90"/>
  <c r="AW1408" i="90" s="1"/>
  <c r="AT1405" i="90"/>
  <c r="AO1404" i="90"/>
  <c r="AO1403" i="90"/>
  <c r="AM1402" i="90"/>
  <c r="AU1402" i="90" s="1"/>
  <c r="AN1400" i="90"/>
  <c r="AW1400" i="90" s="1"/>
  <c r="AT1397" i="90"/>
  <c r="AM1395" i="90"/>
  <c r="AU1395" i="90" s="1"/>
  <c r="AN1394" i="90"/>
  <c r="AW1394" i="90" s="1"/>
  <c r="AY1388" i="90"/>
  <c r="AT1385" i="90"/>
  <c r="AQ1385" i="90"/>
  <c r="AS1385" i="90" s="1"/>
  <c r="AN1381" i="90"/>
  <c r="AW1381" i="90" s="1"/>
  <c r="AM1379" i="90"/>
  <c r="AU1379" i="90" s="1"/>
  <c r="AN1378" i="90"/>
  <c r="AW1378" i="90" s="1"/>
  <c r="AY1370" i="90"/>
  <c r="AT1369" i="90"/>
  <c r="AQ1369" i="90"/>
  <c r="AN1366" i="90"/>
  <c r="AW1366" i="90" s="1"/>
  <c r="AN1365" i="90"/>
  <c r="AW1365" i="90" s="1"/>
  <c r="AN1364" i="90"/>
  <c r="AW1364" i="90" s="1"/>
  <c r="AM1363" i="90"/>
  <c r="AU1363" i="90" s="1"/>
  <c r="AN1362" i="90"/>
  <c r="AW1362" i="90" s="1"/>
  <c r="AO1354" i="90"/>
  <c r="AT1353" i="90"/>
  <c r="AQ1353" i="90"/>
  <c r="AR1350" i="90"/>
  <c r="AT1350" i="90"/>
  <c r="AR1347" i="90"/>
  <c r="AN1346" i="90"/>
  <c r="AW1346" i="90" s="1"/>
  <c r="AR1340" i="90"/>
  <c r="AQ1340" i="90"/>
  <c r="AS1340" i="90" s="1"/>
  <c r="AQ1339" i="90"/>
  <c r="AS1339" i="90" s="1"/>
  <c r="AM1338" i="90"/>
  <c r="AU1338" i="90" s="1"/>
  <c r="AR1337" i="90"/>
  <c r="AM1332" i="90"/>
  <c r="AU1332" i="90" s="1"/>
  <c r="AO1332" i="90"/>
  <c r="AO1331" i="90"/>
  <c r="AM1331" i="90"/>
  <c r="AU1331" i="90" s="1"/>
  <c r="AN1331" i="90"/>
  <c r="AQ1326" i="90"/>
  <c r="AS1326" i="90" s="1"/>
  <c r="AO1322" i="90"/>
  <c r="AT1321" i="90"/>
  <c r="AQ1321" i="90"/>
  <c r="AR1318" i="90"/>
  <c r="AT1318" i="90"/>
  <c r="AS1318" i="90" s="1"/>
  <c r="AR1315" i="90"/>
  <c r="AN1314" i="90"/>
  <c r="AW1314" i="90" s="1"/>
  <c r="AR1308" i="90"/>
  <c r="AQ1308" i="90"/>
  <c r="AS1308" i="90" s="1"/>
  <c r="AQ1307" i="90"/>
  <c r="AS1307" i="90" s="1"/>
  <c r="AM1306" i="90"/>
  <c r="AU1306" i="90" s="1"/>
  <c r="AR1305" i="90"/>
  <c r="AR1300" i="90"/>
  <c r="AT1300" i="90"/>
  <c r="AQ1300" i="90"/>
  <c r="AS1300" i="90" s="1"/>
  <c r="AN1298" i="90"/>
  <c r="AW1298" i="90" s="1"/>
  <c r="AT1297" i="90"/>
  <c r="AQ1297" i="90"/>
  <c r="AR1289" i="90"/>
  <c r="AM1282" i="90"/>
  <c r="AU1282" i="90" s="1"/>
  <c r="AO1282" i="90"/>
  <c r="AY1276" i="90"/>
  <c r="AZ1276" i="90"/>
  <c r="AY1272" i="90"/>
  <c r="AZ1272" i="90"/>
  <c r="AY1270" i="90"/>
  <c r="AY1268" i="90"/>
  <c r="AZ1268" i="90"/>
  <c r="AY1264" i="90"/>
  <c r="AZ1264" i="90"/>
  <c r="AY1260" i="90"/>
  <c r="AZ1260" i="90"/>
  <c r="AY1256" i="90"/>
  <c r="AY1252" i="90"/>
  <c r="AY1248" i="90"/>
  <c r="AY1244" i="90"/>
  <c r="AY1238" i="90"/>
  <c r="AY1236" i="90"/>
  <c r="AZ1236" i="90"/>
  <c r="AY1232" i="90"/>
  <c r="AZ1232" i="90"/>
  <c r="AY1228" i="90"/>
  <c r="AZ1228" i="90"/>
  <c r="AY1224" i="90"/>
  <c r="AZ1224" i="90"/>
  <c r="AY1220" i="90"/>
  <c r="AZ1220" i="90"/>
  <c r="AY1216" i="90"/>
  <c r="AZ1216" i="90"/>
  <c r="AY1212" i="90"/>
  <c r="AZ1212" i="90"/>
  <c r="AY1208" i="90"/>
  <c r="AZ1208" i="90"/>
  <c r="AY1206" i="90"/>
  <c r="AY1204" i="90"/>
  <c r="AZ1204" i="90"/>
  <c r="AY1200" i="90"/>
  <c r="AY1196" i="90"/>
  <c r="AY1192" i="90"/>
  <c r="AY1188" i="90"/>
  <c r="AY1180" i="90"/>
  <c r="AZ1180" i="90"/>
  <c r="AY1176" i="90"/>
  <c r="AZ1176" i="90"/>
  <c r="AY1174" i="90"/>
  <c r="AY1172" i="90"/>
  <c r="AZ1172" i="90"/>
  <c r="AY1168" i="90"/>
  <c r="AZ1168" i="90"/>
  <c r="AY1164" i="90"/>
  <c r="AZ1164" i="90"/>
  <c r="AY1160" i="90"/>
  <c r="AZ1160" i="90"/>
  <c r="AY1156" i="90"/>
  <c r="AZ1156" i="90"/>
  <c r="AY1150" i="90"/>
  <c r="AM1109" i="90"/>
  <c r="AU1109" i="90" s="1"/>
  <c r="AO1109" i="90"/>
  <c r="AN1109" i="90"/>
  <c r="AW1109" i="90" s="1"/>
  <c r="AT1084" i="90"/>
  <c r="AQ1084" i="90"/>
  <c r="AR1084" i="90"/>
  <c r="AR1055" i="90"/>
  <c r="AT1055" i="90"/>
  <c r="AQ1055" i="90"/>
  <c r="AZ1051" i="90"/>
  <c r="AY1051" i="90"/>
  <c r="AO1040" i="90"/>
  <c r="AM1040" i="90"/>
  <c r="AU1040" i="90" s="1"/>
  <c r="AS1040" i="90"/>
  <c r="AN1040" i="90"/>
  <c r="AW1040" i="90" s="1"/>
  <c r="AM1037" i="90"/>
  <c r="AU1037" i="90" s="1"/>
  <c r="AN1037" i="90"/>
  <c r="AW1037" i="90" s="1"/>
  <c r="AO1037" i="90"/>
  <c r="AO1008" i="90"/>
  <c r="AM1008" i="90"/>
  <c r="AU1008" i="90" s="1"/>
  <c r="AS1008" i="90"/>
  <c r="AN1008" i="90"/>
  <c r="AM1005" i="90"/>
  <c r="AU1005" i="90" s="1"/>
  <c r="AN1005" i="90"/>
  <c r="AW1005" i="90" s="1"/>
  <c r="AO1005" i="90"/>
  <c r="AO888" i="90"/>
  <c r="AM888" i="90"/>
  <c r="AU888" i="90" s="1"/>
  <c r="AN888" i="90"/>
  <c r="AS888" i="90"/>
  <c r="AM750" i="90"/>
  <c r="AU750" i="90" s="1"/>
  <c r="AO750" i="90"/>
  <c r="AS750" i="90"/>
  <c r="AN750" i="90"/>
  <c r="AW750" i="90" s="1"/>
  <c r="AO1391" i="90"/>
  <c r="AO1383" i="90"/>
  <c r="AO1375" i="90"/>
  <c r="AO1367" i="90"/>
  <c r="AO1359" i="90"/>
  <c r="AT1352" i="90"/>
  <c r="AS1352" i="90" s="1"/>
  <c r="AO1351" i="90"/>
  <c r="AT1344" i="90"/>
  <c r="AO1343" i="90"/>
  <c r="AT1336" i="90"/>
  <c r="AO1335" i="90"/>
  <c r="AT1328" i="90"/>
  <c r="AS1328" i="90" s="1"/>
  <c r="AO1327" i="90"/>
  <c r="AT1320" i="90"/>
  <c r="AO1319" i="90"/>
  <c r="AT1312" i="90"/>
  <c r="AO1311" i="90"/>
  <c r="AT1304" i="90"/>
  <c r="AS1304" i="90" s="1"/>
  <c r="AO1303" i="90"/>
  <c r="AN1299" i="90"/>
  <c r="AW1299" i="90" s="1"/>
  <c r="AT1296" i="90"/>
  <c r="AS1296" i="90" s="1"/>
  <c r="AO1295" i="90"/>
  <c r="AN1291" i="90"/>
  <c r="AW1291" i="90" s="1"/>
  <c r="AT1288" i="90"/>
  <c r="AS1288" i="90" s="1"/>
  <c r="AO1287" i="90"/>
  <c r="AN1283" i="90"/>
  <c r="AW1283" i="90" s="1"/>
  <c r="AT1280" i="90"/>
  <c r="AS1280" i="90" s="1"/>
  <c r="AO1279" i="90"/>
  <c r="AQ1277" i="90"/>
  <c r="AS1277" i="90" s="1"/>
  <c r="AQ1275" i="90"/>
  <c r="AS1275" i="90" s="1"/>
  <c r="AQ1273" i="90"/>
  <c r="AS1273" i="90" s="1"/>
  <c r="AQ1271" i="90"/>
  <c r="AS1271" i="90" s="1"/>
  <c r="AQ1269" i="90"/>
  <c r="AS1269" i="90" s="1"/>
  <c r="AQ1267" i="90"/>
  <c r="AS1267" i="90" s="1"/>
  <c r="AQ1265" i="90"/>
  <c r="AS1265" i="90" s="1"/>
  <c r="AQ1263" i="90"/>
  <c r="AS1263" i="90" s="1"/>
  <c r="AQ1261" i="90"/>
  <c r="AS1261" i="90" s="1"/>
  <c r="AQ1259" i="90"/>
  <c r="AS1259" i="90" s="1"/>
  <c r="AQ1257" i="90"/>
  <c r="AS1257" i="90" s="1"/>
  <c r="AQ1255" i="90"/>
  <c r="AS1255" i="90" s="1"/>
  <c r="AQ1253" i="90"/>
  <c r="AS1253" i="90" s="1"/>
  <c r="AQ1251" i="90"/>
  <c r="AS1251" i="90" s="1"/>
  <c r="AQ1249" i="90"/>
  <c r="AS1249" i="90" s="1"/>
  <c r="AQ1247" i="90"/>
  <c r="AS1247" i="90" s="1"/>
  <c r="AQ1245" i="90"/>
  <c r="AS1245" i="90" s="1"/>
  <c r="AQ1243" i="90"/>
  <c r="AS1243" i="90" s="1"/>
  <c r="AQ1241" i="90"/>
  <c r="AS1241" i="90" s="1"/>
  <c r="AQ1239" i="90"/>
  <c r="AS1239" i="90" s="1"/>
  <c r="AQ1237" i="90"/>
  <c r="AS1237" i="90" s="1"/>
  <c r="AQ1235" i="90"/>
  <c r="AS1235" i="90" s="1"/>
  <c r="AQ1233" i="90"/>
  <c r="AS1233" i="90" s="1"/>
  <c r="AQ1231" i="90"/>
  <c r="AS1231" i="90" s="1"/>
  <c r="AQ1229" i="90"/>
  <c r="AS1229" i="90" s="1"/>
  <c r="AQ1227" i="90"/>
  <c r="AS1227" i="90" s="1"/>
  <c r="AQ1225" i="90"/>
  <c r="AS1225" i="90" s="1"/>
  <c r="AQ1223" i="90"/>
  <c r="AS1223" i="90" s="1"/>
  <c r="AQ1221" i="90"/>
  <c r="AS1221" i="90" s="1"/>
  <c r="AQ1219" i="90"/>
  <c r="AS1219" i="90" s="1"/>
  <c r="AQ1217" i="90"/>
  <c r="AS1217" i="90" s="1"/>
  <c r="AQ1215" i="90"/>
  <c r="AS1215" i="90" s="1"/>
  <c r="AQ1213" i="90"/>
  <c r="AS1213" i="90" s="1"/>
  <c r="AQ1211" i="90"/>
  <c r="AS1211" i="90" s="1"/>
  <c r="AQ1209" i="90"/>
  <c r="AS1209" i="90" s="1"/>
  <c r="AQ1207" i="90"/>
  <c r="AS1207" i="90" s="1"/>
  <c r="AQ1205" i="90"/>
  <c r="AS1205" i="90" s="1"/>
  <c r="AQ1203" i="90"/>
  <c r="AS1203" i="90" s="1"/>
  <c r="AQ1201" i="90"/>
  <c r="AS1201" i="90" s="1"/>
  <c r="AQ1199" i="90"/>
  <c r="AS1199" i="90" s="1"/>
  <c r="AQ1197" i="90"/>
  <c r="AS1197" i="90" s="1"/>
  <c r="AQ1195" i="90"/>
  <c r="AS1195" i="90" s="1"/>
  <c r="AQ1193" i="90"/>
  <c r="AS1193" i="90" s="1"/>
  <c r="AQ1191" i="90"/>
  <c r="AS1191" i="90" s="1"/>
  <c r="AQ1189" i="90"/>
  <c r="AS1189" i="90" s="1"/>
  <c r="AQ1187" i="90"/>
  <c r="AS1187" i="90" s="1"/>
  <c r="AQ1185" i="90"/>
  <c r="AS1185" i="90" s="1"/>
  <c r="AQ1183" i="90"/>
  <c r="AS1183" i="90" s="1"/>
  <c r="AQ1181" i="90"/>
  <c r="AS1181" i="90" s="1"/>
  <c r="AQ1179" i="90"/>
  <c r="AS1179" i="90" s="1"/>
  <c r="AQ1177" i="90"/>
  <c r="AS1177" i="90" s="1"/>
  <c r="AQ1175" i="90"/>
  <c r="AS1175" i="90" s="1"/>
  <c r="AQ1173" i="90"/>
  <c r="AS1173" i="90" s="1"/>
  <c r="AQ1171" i="90"/>
  <c r="AS1171" i="90" s="1"/>
  <c r="AQ1169" i="90"/>
  <c r="AS1169" i="90" s="1"/>
  <c r="AQ1167" i="90"/>
  <c r="AS1167" i="90" s="1"/>
  <c r="AQ1165" i="90"/>
  <c r="AS1165" i="90" s="1"/>
  <c r="AQ1163" i="90"/>
  <c r="AS1163" i="90" s="1"/>
  <c r="AQ1161" i="90"/>
  <c r="AS1161" i="90" s="1"/>
  <c r="AQ1159" i="90"/>
  <c r="AS1159" i="90" s="1"/>
  <c r="AQ1157" i="90"/>
  <c r="AS1157" i="90" s="1"/>
  <c r="AQ1155" i="90"/>
  <c r="AS1155" i="90" s="1"/>
  <c r="AQ1153" i="90"/>
  <c r="AS1153" i="90" s="1"/>
  <c r="AQ1151" i="90"/>
  <c r="AS1151" i="90" s="1"/>
  <c r="AS1147" i="90"/>
  <c r="AM1146" i="90"/>
  <c r="AU1146" i="90" s="1"/>
  <c r="AN1146" i="90"/>
  <c r="AS1146" i="90"/>
  <c r="AN1143" i="90"/>
  <c r="AO1143" i="90"/>
  <c r="AO1142" i="90"/>
  <c r="AS1139" i="90"/>
  <c r="AM1138" i="90"/>
  <c r="AU1138" i="90" s="1"/>
  <c r="AN1138" i="90"/>
  <c r="AS1138" i="90"/>
  <c r="AN1135" i="90"/>
  <c r="AW1135" i="90" s="1"/>
  <c r="AO1135" i="90"/>
  <c r="AO1134" i="90"/>
  <c r="AS1131" i="90"/>
  <c r="AR1111" i="90"/>
  <c r="AT1111" i="90"/>
  <c r="AQ1111" i="90"/>
  <c r="AT1108" i="90"/>
  <c r="AQ1108" i="90"/>
  <c r="AM1101" i="90"/>
  <c r="AU1101" i="90" s="1"/>
  <c r="AO1101" i="90"/>
  <c r="AR1079" i="90"/>
  <c r="AT1079" i="90"/>
  <c r="AQ1079" i="90"/>
  <c r="AT1076" i="90"/>
  <c r="AQ1076" i="90"/>
  <c r="AS1076" i="90" s="1"/>
  <c r="AM1069" i="90"/>
  <c r="AU1069" i="90" s="1"/>
  <c r="AO1069" i="90"/>
  <c r="AO1042" i="90"/>
  <c r="AM1042" i="90"/>
  <c r="AU1042" i="90" s="1"/>
  <c r="AS1042" i="90"/>
  <c r="AN1042" i="90"/>
  <c r="AW1042" i="90" s="1"/>
  <c r="AM1039" i="90"/>
  <c r="AU1039" i="90" s="1"/>
  <c r="AN1039" i="90"/>
  <c r="AW1039" i="90" s="1"/>
  <c r="AO1039" i="90"/>
  <c r="AO1034" i="90"/>
  <c r="AM1034" i="90"/>
  <c r="AU1034" i="90" s="1"/>
  <c r="AS1034" i="90"/>
  <c r="AN1034" i="90"/>
  <c r="AM1031" i="90"/>
  <c r="AU1031" i="90" s="1"/>
  <c r="AN1031" i="90"/>
  <c r="AW1031" i="90" s="1"/>
  <c r="AO1031" i="90"/>
  <c r="AO1026" i="90"/>
  <c r="AM1026" i="90"/>
  <c r="AU1026" i="90" s="1"/>
  <c r="AS1026" i="90"/>
  <c r="AN1026" i="90"/>
  <c r="AM1023" i="90"/>
  <c r="AU1023" i="90" s="1"/>
  <c r="AN1023" i="90"/>
  <c r="AO1023" i="90"/>
  <c r="AO1018" i="90"/>
  <c r="AM1018" i="90"/>
  <c r="AU1018" i="90" s="1"/>
  <c r="AS1018" i="90"/>
  <c r="AN1018" i="90"/>
  <c r="AW1018" i="90" s="1"/>
  <c r="AM1015" i="90"/>
  <c r="AU1015" i="90" s="1"/>
  <c r="AN1015" i="90"/>
  <c r="AO1015" i="90"/>
  <c r="AO1010" i="90"/>
  <c r="AM1010" i="90"/>
  <c r="AU1010" i="90" s="1"/>
  <c r="AS1010" i="90"/>
  <c r="AN1010" i="90"/>
  <c r="AW1010" i="90" s="1"/>
  <c r="AM1007" i="90"/>
  <c r="AU1007" i="90" s="1"/>
  <c r="AN1007" i="90"/>
  <c r="AW1007" i="90" s="1"/>
  <c r="AO1007" i="90"/>
  <c r="AO1002" i="90"/>
  <c r="AM1002" i="90"/>
  <c r="AU1002" i="90" s="1"/>
  <c r="AS1002" i="90"/>
  <c r="AN1002" i="90"/>
  <c r="AW1002" i="90" s="1"/>
  <c r="AM999" i="90"/>
  <c r="AU999" i="90" s="1"/>
  <c r="AN999" i="90"/>
  <c r="AW999" i="90" s="1"/>
  <c r="AO999" i="90"/>
  <c r="AO994" i="90"/>
  <c r="AM994" i="90"/>
  <c r="AU994" i="90" s="1"/>
  <c r="AS994" i="90"/>
  <c r="AN994" i="90"/>
  <c r="AW994" i="90" s="1"/>
  <c r="AM991" i="90"/>
  <c r="AU991" i="90" s="1"/>
  <c r="AN991" i="90"/>
  <c r="AW991" i="90" s="1"/>
  <c r="AO991" i="90"/>
  <c r="AO986" i="90"/>
  <c r="AM986" i="90"/>
  <c r="AU986" i="90" s="1"/>
  <c r="AS986" i="90"/>
  <c r="AN986" i="90"/>
  <c r="AW986" i="90" s="1"/>
  <c r="AR983" i="90"/>
  <c r="AT983" i="90"/>
  <c r="AQ983" i="90"/>
  <c r="AR975" i="90"/>
  <c r="AT975" i="90"/>
  <c r="AQ975" i="90"/>
  <c r="AS975" i="90" s="1"/>
  <c r="AR967" i="90"/>
  <c r="AT967" i="90"/>
  <c r="AQ967" i="90"/>
  <c r="AR959" i="90"/>
  <c r="AT959" i="90"/>
  <c r="AQ959" i="90"/>
  <c r="AR951" i="90"/>
  <c r="AT951" i="90"/>
  <c r="AQ951" i="90"/>
  <c r="AR943" i="90"/>
  <c r="AT943" i="90"/>
  <c r="AQ943" i="90"/>
  <c r="AR935" i="90"/>
  <c r="AT935" i="90"/>
  <c r="AQ935" i="90"/>
  <c r="AR927" i="90"/>
  <c r="AT927" i="90"/>
  <c r="AQ927" i="90"/>
  <c r="AR919" i="90"/>
  <c r="AT919" i="90"/>
  <c r="AQ919" i="90"/>
  <c r="AR911" i="90"/>
  <c r="AT911" i="90"/>
  <c r="AQ911" i="90"/>
  <c r="AR903" i="90"/>
  <c r="AT903" i="90"/>
  <c r="AQ903" i="90"/>
  <c r="AR895" i="90"/>
  <c r="AT895" i="90"/>
  <c r="AQ895" i="90"/>
  <c r="AR887" i="90"/>
  <c r="AT887" i="90"/>
  <c r="AQ887" i="90"/>
  <c r="AR879" i="90"/>
  <c r="AT879" i="90"/>
  <c r="AQ879" i="90"/>
  <c r="AR871" i="90"/>
  <c r="AT871" i="90"/>
  <c r="AQ871" i="90"/>
  <c r="AR863" i="90"/>
  <c r="AT863" i="90"/>
  <c r="AQ863" i="90"/>
  <c r="AS863" i="90" s="1"/>
  <c r="AM790" i="90"/>
  <c r="AU790" i="90" s="1"/>
  <c r="AO790" i="90"/>
  <c r="AS790" i="90"/>
  <c r="AN790" i="90"/>
  <c r="AW790" i="90" s="1"/>
  <c r="AM758" i="90"/>
  <c r="AU758" i="90" s="1"/>
  <c r="AO758" i="90"/>
  <c r="AS758" i="90"/>
  <c r="AN758" i="90"/>
  <c r="AM726" i="90"/>
  <c r="AU726" i="90" s="1"/>
  <c r="AO726" i="90"/>
  <c r="AS726" i="90"/>
  <c r="AN726" i="90"/>
  <c r="AW726" i="90" s="1"/>
  <c r="AN693" i="90"/>
  <c r="AO693" i="90"/>
  <c r="AM693" i="90"/>
  <c r="AU693" i="90" s="1"/>
  <c r="AM664" i="90"/>
  <c r="AU664" i="90" s="1"/>
  <c r="AN664" i="90"/>
  <c r="AW664" i="90" s="1"/>
  <c r="AS664" i="90"/>
  <c r="AO664" i="90"/>
  <c r="AY541" i="90"/>
  <c r="AZ541" i="90"/>
  <c r="AO1349" i="90"/>
  <c r="AO1341" i="90"/>
  <c r="AO1333" i="90"/>
  <c r="AO1325" i="90"/>
  <c r="AO1317" i="90"/>
  <c r="AO1309" i="90"/>
  <c r="AO1301" i="90"/>
  <c r="AT1294" i="90"/>
  <c r="AS1294" i="90" s="1"/>
  <c r="AO1293" i="90"/>
  <c r="AT1286" i="90"/>
  <c r="AS1286" i="90" s="1"/>
  <c r="AO1285" i="90"/>
  <c r="AM1278" i="90"/>
  <c r="AU1278" i="90" s="1"/>
  <c r="AN1278" i="90"/>
  <c r="AM1276" i="90"/>
  <c r="AU1276" i="90" s="1"/>
  <c r="AN1276" i="90"/>
  <c r="AM1274" i="90"/>
  <c r="AU1274" i="90" s="1"/>
  <c r="AN1274" i="90"/>
  <c r="AM1272" i="90"/>
  <c r="AU1272" i="90" s="1"/>
  <c r="AN1272" i="90"/>
  <c r="AM1270" i="90"/>
  <c r="AU1270" i="90" s="1"/>
  <c r="AN1270" i="90"/>
  <c r="AM1268" i="90"/>
  <c r="AU1268" i="90" s="1"/>
  <c r="AN1268" i="90"/>
  <c r="AM1266" i="90"/>
  <c r="AU1266" i="90" s="1"/>
  <c r="AN1266" i="90"/>
  <c r="AM1264" i="90"/>
  <c r="AU1264" i="90" s="1"/>
  <c r="AN1264" i="90"/>
  <c r="AM1262" i="90"/>
  <c r="AU1262" i="90" s="1"/>
  <c r="AN1262" i="90"/>
  <c r="AM1260" i="90"/>
  <c r="AU1260" i="90" s="1"/>
  <c r="AN1260" i="90"/>
  <c r="AM1258" i="90"/>
  <c r="AU1258" i="90" s="1"/>
  <c r="AN1258" i="90"/>
  <c r="AM1256" i="90"/>
  <c r="AU1256" i="90" s="1"/>
  <c r="AN1256" i="90"/>
  <c r="AM1254" i="90"/>
  <c r="AU1254" i="90" s="1"/>
  <c r="AN1254" i="90"/>
  <c r="AM1252" i="90"/>
  <c r="AU1252" i="90" s="1"/>
  <c r="AN1252" i="90"/>
  <c r="AM1250" i="90"/>
  <c r="AU1250" i="90" s="1"/>
  <c r="AN1250" i="90"/>
  <c r="AM1248" i="90"/>
  <c r="AU1248" i="90" s="1"/>
  <c r="AN1248" i="90"/>
  <c r="AM1246" i="90"/>
  <c r="AU1246" i="90" s="1"/>
  <c r="AN1246" i="90"/>
  <c r="AM1244" i="90"/>
  <c r="AU1244" i="90" s="1"/>
  <c r="AN1244" i="90"/>
  <c r="AM1242" i="90"/>
  <c r="AU1242" i="90" s="1"/>
  <c r="AN1242" i="90"/>
  <c r="AM1240" i="90"/>
  <c r="AU1240" i="90" s="1"/>
  <c r="AN1240" i="90"/>
  <c r="AM1238" i="90"/>
  <c r="AU1238" i="90" s="1"/>
  <c r="AN1238" i="90"/>
  <c r="AM1236" i="90"/>
  <c r="AU1236" i="90" s="1"/>
  <c r="AN1236" i="90"/>
  <c r="AM1234" i="90"/>
  <c r="AU1234" i="90" s="1"/>
  <c r="AN1234" i="90"/>
  <c r="AM1232" i="90"/>
  <c r="AU1232" i="90" s="1"/>
  <c r="AN1232" i="90"/>
  <c r="AM1230" i="90"/>
  <c r="AU1230" i="90" s="1"/>
  <c r="AN1230" i="90"/>
  <c r="AM1228" i="90"/>
  <c r="AU1228" i="90" s="1"/>
  <c r="AN1228" i="90"/>
  <c r="AM1226" i="90"/>
  <c r="AU1226" i="90" s="1"/>
  <c r="AN1226" i="90"/>
  <c r="AM1224" i="90"/>
  <c r="AU1224" i="90" s="1"/>
  <c r="AN1224" i="90"/>
  <c r="AM1222" i="90"/>
  <c r="AU1222" i="90" s="1"/>
  <c r="AN1222" i="90"/>
  <c r="AM1220" i="90"/>
  <c r="AU1220" i="90" s="1"/>
  <c r="AN1220" i="90"/>
  <c r="AM1218" i="90"/>
  <c r="AU1218" i="90" s="1"/>
  <c r="AN1218" i="90"/>
  <c r="AM1216" i="90"/>
  <c r="AU1216" i="90" s="1"/>
  <c r="AN1216" i="90"/>
  <c r="AM1214" i="90"/>
  <c r="AU1214" i="90" s="1"/>
  <c r="AN1214" i="90"/>
  <c r="AM1212" i="90"/>
  <c r="AU1212" i="90" s="1"/>
  <c r="AN1212" i="90"/>
  <c r="AM1210" i="90"/>
  <c r="AU1210" i="90" s="1"/>
  <c r="AN1210" i="90"/>
  <c r="AM1208" i="90"/>
  <c r="AU1208" i="90" s="1"/>
  <c r="AN1208" i="90"/>
  <c r="AM1206" i="90"/>
  <c r="AU1206" i="90" s="1"/>
  <c r="AN1206" i="90"/>
  <c r="AM1204" i="90"/>
  <c r="AU1204" i="90" s="1"/>
  <c r="AN1204" i="90"/>
  <c r="AM1202" i="90"/>
  <c r="AU1202" i="90" s="1"/>
  <c r="AN1202" i="90"/>
  <c r="AM1200" i="90"/>
  <c r="AU1200" i="90" s="1"/>
  <c r="AN1200" i="90"/>
  <c r="AM1198" i="90"/>
  <c r="AU1198" i="90" s="1"/>
  <c r="AN1198" i="90"/>
  <c r="AM1196" i="90"/>
  <c r="AU1196" i="90" s="1"/>
  <c r="AN1196" i="90"/>
  <c r="AM1194" i="90"/>
  <c r="AU1194" i="90" s="1"/>
  <c r="AN1194" i="90"/>
  <c r="AM1192" i="90"/>
  <c r="AU1192" i="90" s="1"/>
  <c r="AN1192" i="90"/>
  <c r="AM1190" i="90"/>
  <c r="AU1190" i="90" s="1"/>
  <c r="AN1190" i="90"/>
  <c r="AM1188" i="90"/>
  <c r="AU1188" i="90" s="1"/>
  <c r="AN1188" i="90"/>
  <c r="AM1186" i="90"/>
  <c r="AU1186" i="90" s="1"/>
  <c r="AN1186" i="90"/>
  <c r="AM1184" i="90"/>
  <c r="AU1184" i="90" s="1"/>
  <c r="AN1184" i="90"/>
  <c r="AM1182" i="90"/>
  <c r="AU1182" i="90" s="1"/>
  <c r="AN1182" i="90"/>
  <c r="AM1180" i="90"/>
  <c r="AU1180" i="90" s="1"/>
  <c r="AN1180" i="90"/>
  <c r="AM1178" i="90"/>
  <c r="AU1178" i="90" s="1"/>
  <c r="AN1178" i="90"/>
  <c r="AM1176" i="90"/>
  <c r="AU1176" i="90" s="1"/>
  <c r="AN1176" i="90"/>
  <c r="AM1174" i="90"/>
  <c r="AU1174" i="90" s="1"/>
  <c r="AN1174" i="90"/>
  <c r="AM1172" i="90"/>
  <c r="AU1172" i="90" s="1"/>
  <c r="AN1172" i="90"/>
  <c r="AM1170" i="90"/>
  <c r="AU1170" i="90" s="1"/>
  <c r="AN1170" i="90"/>
  <c r="AM1168" i="90"/>
  <c r="AU1168" i="90" s="1"/>
  <c r="AN1168" i="90"/>
  <c r="AM1166" i="90"/>
  <c r="AU1166" i="90" s="1"/>
  <c r="AN1166" i="90"/>
  <c r="AM1164" i="90"/>
  <c r="AU1164" i="90" s="1"/>
  <c r="AN1164" i="90"/>
  <c r="AM1162" i="90"/>
  <c r="AU1162" i="90" s="1"/>
  <c r="AN1162" i="90"/>
  <c r="AM1160" i="90"/>
  <c r="AU1160" i="90" s="1"/>
  <c r="AN1160" i="90"/>
  <c r="AM1158" i="90"/>
  <c r="AU1158" i="90" s="1"/>
  <c r="AN1158" i="90"/>
  <c r="AM1156" i="90"/>
  <c r="AU1156" i="90" s="1"/>
  <c r="AN1156" i="90"/>
  <c r="AM1154" i="90"/>
  <c r="AU1154" i="90" s="1"/>
  <c r="AN1154" i="90"/>
  <c r="AM1152" i="90"/>
  <c r="AU1152" i="90" s="1"/>
  <c r="AN1152" i="90"/>
  <c r="AM1150" i="90"/>
  <c r="AU1150" i="90" s="1"/>
  <c r="AN1150" i="90"/>
  <c r="AS1149" i="90"/>
  <c r="AM1148" i="90"/>
  <c r="AU1148" i="90" s="1"/>
  <c r="AN1148" i="90"/>
  <c r="AW1148" i="90" s="1"/>
  <c r="AS1148" i="90"/>
  <c r="AN1145" i="90"/>
  <c r="AO1145" i="90"/>
  <c r="AS1141" i="90"/>
  <c r="AM1140" i="90"/>
  <c r="AU1140" i="90" s="1"/>
  <c r="AN1140" i="90"/>
  <c r="AW1140" i="90" s="1"/>
  <c r="AS1140" i="90"/>
  <c r="AN1137" i="90"/>
  <c r="AO1137" i="90"/>
  <c r="AS1133" i="90"/>
  <c r="AM1132" i="90"/>
  <c r="AU1132" i="90" s="1"/>
  <c r="AN1132" i="90"/>
  <c r="AW1132" i="90" s="1"/>
  <c r="AS1132" i="90"/>
  <c r="AM1125" i="90"/>
  <c r="AU1125" i="90" s="1"/>
  <c r="AO1125" i="90"/>
  <c r="AR1103" i="90"/>
  <c r="AT1103" i="90"/>
  <c r="AQ1103" i="90"/>
  <c r="AT1100" i="90"/>
  <c r="AQ1100" i="90"/>
  <c r="AZ1099" i="90"/>
  <c r="AY1099" i="90"/>
  <c r="AM1093" i="90"/>
  <c r="AU1093" i="90" s="1"/>
  <c r="AO1093" i="90"/>
  <c r="AR1071" i="90"/>
  <c r="AT1071" i="90"/>
  <c r="AQ1071" i="90"/>
  <c r="AT1068" i="90"/>
  <c r="AQ1068" i="90"/>
  <c r="AS1068" i="90" s="1"/>
  <c r="AZ1067" i="90"/>
  <c r="AY1067" i="90"/>
  <c r="AM1061" i="90"/>
  <c r="AU1061" i="90" s="1"/>
  <c r="AO1061" i="90"/>
  <c r="AO1044" i="90"/>
  <c r="AM1044" i="90"/>
  <c r="AU1044" i="90" s="1"/>
  <c r="AS1044" i="90"/>
  <c r="AN1044" i="90"/>
  <c r="AM1041" i="90"/>
  <c r="AU1041" i="90" s="1"/>
  <c r="AN1041" i="90"/>
  <c r="AW1041" i="90" s="1"/>
  <c r="AO1041" i="90"/>
  <c r="AO1036" i="90"/>
  <c r="AM1036" i="90"/>
  <c r="AU1036" i="90" s="1"/>
  <c r="AS1036" i="90"/>
  <c r="AN1036" i="90"/>
  <c r="AM1033" i="90"/>
  <c r="AU1033" i="90" s="1"/>
  <c r="AN1033" i="90"/>
  <c r="AO1033" i="90"/>
  <c r="AO1028" i="90"/>
  <c r="AM1028" i="90"/>
  <c r="AU1028" i="90" s="1"/>
  <c r="AS1028" i="90"/>
  <c r="AN1028" i="90"/>
  <c r="AW1028" i="90" s="1"/>
  <c r="AM1025" i="90"/>
  <c r="AU1025" i="90" s="1"/>
  <c r="AN1025" i="90"/>
  <c r="AW1025" i="90" s="1"/>
  <c r="AO1025" i="90"/>
  <c r="AO1020" i="90"/>
  <c r="AM1020" i="90"/>
  <c r="AU1020" i="90" s="1"/>
  <c r="AS1020" i="90"/>
  <c r="AN1020" i="90"/>
  <c r="AW1020" i="90" s="1"/>
  <c r="AM1017" i="90"/>
  <c r="AU1017" i="90" s="1"/>
  <c r="AN1017" i="90"/>
  <c r="AW1017" i="90" s="1"/>
  <c r="AO1017" i="90"/>
  <c r="AO1012" i="90"/>
  <c r="AM1012" i="90"/>
  <c r="AU1012" i="90" s="1"/>
  <c r="AS1012" i="90"/>
  <c r="AN1012" i="90"/>
  <c r="AW1012" i="90" s="1"/>
  <c r="AM1009" i="90"/>
  <c r="AU1009" i="90" s="1"/>
  <c r="AN1009" i="90"/>
  <c r="AW1009" i="90" s="1"/>
  <c r="AO1009" i="90"/>
  <c r="AO1004" i="90"/>
  <c r="AM1004" i="90"/>
  <c r="AU1004" i="90" s="1"/>
  <c r="AS1004" i="90"/>
  <c r="AN1004" i="90"/>
  <c r="AW1004" i="90" s="1"/>
  <c r="AM1001" i="90"/>
  <c r="AU1001" i="90" s="1"/>
  <c r="AN1001" i="90"/>
  <c r="AO1001" i="90"/>
  <c r="AO996" i="90"/>
  <c r="AM996" i="90"/>
  <c r="AU996" i="90" s="1"/>
  <c r="AS996" i="90"/>
  <c r="AN996" i="90"/>
  <c r="AM993" i="90"/>
  <c r="AU993" i="90" s="1"/>
  <c r="AN993" i="90"/>
  <c r="AO993" i="90"/>
  <c r="AO988" i="90"/>
  <c r="AM988" i="90"/>
  <c r="AU988" i="90" s="1"/>
  <c r="AS988" i="90"/>
  <c r="AN988" i="90"/>
  <c r="AW988" i="90" s="1"/>
  <c r="AM985" i="90"/>
  <c r="AU985" i="90" s="1"/>
  <c r="AN985" i="90"/>
  <c r="AW985" i="90" s="1"/>
  <c r="AO985" i="90"/>
  <c r="AO980" i="90"/>
  <c r="AM980" i="90"/>
  <c r="AU980" i="90" s="1"/>
  <c r="AN980" i="90"/>
  <c r="AO972" i="90"/>
  <c r="AM972" i="90"/>
  <c r="AU972" i="90" s="1"/>
  <c r="AN972" i="90"/>
  <c r="AW972" i="90" s="1"/>
  <c r="AO964" i="90"/>
  <c r="AM964" i="90"/>
  <c r="AU964" i="90" s="1"/>
  <c r="AN964" i="90"/>
  <c r="AW964" i="90" s="1"/>
  <c r="AO956" i="90"/>
  <c r="AM956" i="90"/>
  <c r="AU956" i="90" s="1"/>
  <c r="AN956" i="90"/>
  <c r="AO948" i="90"/>
  <c r="AM948" i="90"/>
  <c r="AU948" i="90" s="1"/>
  <c r="AN948" i="90"/>
  <c r="AW948" i="90" s="1"/>
  <c r="AO940" i="90"/>
  <c r="AM940" i="90"/>
  <c r="AU940" i="90" s="1"/>
  <c r="AN940" i="90"/>
  <c r="AW940" i="90" s="1"/>
  <c r="AO932" i="90"/>
  <c r="AM932" i="90"/>
  <c r="AU932" i="90" s="1"/>
  <c r="AN932" i="90"/>
  <c r="AO924" i="90"/>
  <c r="AM924" i="90"/>
  <c r="AU924" i="90" s="1"/>
  <c r="AN924" i="90"/>
  <c r="AW924" i="90" s="1"/>
  <c r="AO916" i="90"/>
  <c r="AM916" i="90"/>
  <c r="AU916" i="90" s="1"/>
  <c r="AN916" i="90"/>
  <c r="AW916" i="90" s="1"/>
  <c r="AO908" i="90"/>
  <c r="AM908" i="90"/>
  <c r="AU908" i="90" s="1"/>
  <c r="AN908" i="90"/>
  <c r="AW908" i="90" s="1"/>
  <c r="AO900" i="90"/>
  <c r="AM900" i="90"/>
  <c r="AU900" i="90" s="1"/>
  <c r="AN900" i="90"/>
  <c r="AW900" i="90" s="1"/>
  <c r="AO892" i="90"/>
  <c r="AM892" i="90"/>
  <c r="AU892" i="90" s="1"/>
  <c r="AN892" i="90"/>
  <c r="AO884" i="90"/>
  <c r="AM884" i="90"/>
  <c r="AU884" i="90" s="1"/>
  <c r="AN884" i="90"/>
  <c r="AW884" i="90" s="1"/>
  <c r="AO876" i="90"/>
  <c r="AM876" i="90"/>
  <c r="AU876" i="90" s="1"/>
  <c r="AN876" i="90"/>
  <c r="AW876" i="90" s="1"/>
  <c r="AO868" i="90"/>
  <c r="AM868" i="90"/>
  <c r="AU868" i="90" s="1"/>
  <c r="AN868" i="90"/>
  <c r="AO860" i="90"/>
  <c r="AM860" i="90"/>
  <c r="AU860" i="90" s="1"/>
  <c r="AN860" i="90"/>
  <c r="AW860" i="90" s="1"/>
  <c r="AT843" i="90"/>
  <c r="AQ843" i="90"/>
  <c r="AS843" i="90" s="1"/>
  <c r="AR843" i="90"/>
  <c r="AM836" i="90"/>
  <c r="AU836" i="90" s="1"/>
  <c r="AO836" i="90"/>
  <c r="AN836" i="90"/>
  <c r="AW836" i="90" s="1"/>
  <c r="AR830" i="90"/>
  <c r="AT830" i="90"/>
  <c r="AQ830" i="90"/>
  <c r="AM798" i="90"/>
  <c r="AU798" i="90" s="1"/>
  <c r="AO798" i="90"/>
  <c r="AS798" i="90"/>
  <c r="AN798" i="90"/>
  <c r="AW798" i="90" s="1"/>
  <c r="AM766" i="90"/>
  <c r="AU766" i="90" s="1"/>
  <c r="AO766" i="90"/>
  <c r="AS766" i="90"/>
  <c r="AN766" i="90"/>
  <c r="AM734" i="90"/>
  <c r="AU734" i="90" s="1"/>
  <c r="AO734" i="90"/>
  <c r="AS734" i="90"/>
  <c r="AN734" i="90"/>
  <c r="AW734" i="90" s="1"/>
  <c r="AM702" i="90"/>
  <c r="AU702" i="90" s="1"/>
  <c r="AO702" i="90"/>
  <c r="AS702" i="90"/>
  <c r="AN702" i="90"/>
  <c r="AW702" i="90" s="1"/>
  <c r="AM680" i="90"/>
  <c r="AU680" i="90" s="1"/>
  <c r="AN680" i="90"/>
  <c r="AW680" i="90" s="1"/>
  <c r="AS680" i="90"/>
  <c r="AO680" i="90"/>
  <c r="AT636" i="90"/>
  <c r="AQ636" i="90"/>
  <c r="AR636" i="90"/>
  <c r="AR557" i="90"/>
  <c r="AQ557" i="90"/>
  <c r="AT557" i="90"/>
  <c r="AO1299" i="90"/>
  <c r="AO1291" i="90"/>
  <c r="AO1283" i="90"/>
  <c r="AN1277" i="90"/>
  <c r="AO1277" i="90"/>
  <c r="AN1275" i="90"/>
  <c r="AW1275" i="90" s="1"/>
  <c r="AO1275" i="90"/>
  <c r="AN1273" i="90"/>
  <c r="AW1273" i="90" s="1"/>
  <c r="AO1273" i="90"/>
  <c r="AN1271" i="90"/>
  <c r="AO1271" i="90"/>
  <c r="AN1269" i="90"/>
  <c r="AW1269" i="90" s="1"/>
  <c r="AO1269" i="90"/>
  <c r="AN1267" i="90"/>
  <c r="AW1267" i="90" s="1"/>
  <c r="AO1267" i="90"/>
  <c r="AN1265" i="90"/>
  <c r="AW1265" i="90" s="1"/>
  <c r="AO1265" i="90"/>
  <c r="AN1263" i="90"/>
  <c r="AO1263" i="90"/>
  <c r="AN1261" i="90"/>
  <c r="AW1261" i="90" s="1"/>
  <c r="AO1261" i="90"/>
  <c r="AN1259" i="90"/>
  <c r="AW1259" i="90" s="1"/>
  <c r="AO1259" i="90"/>
  <c r="AN1257" i="90"/>
  <c r="AW1257" i="90" s="1"/>
  <c r="AO1257" i="90"/>
  <c r="AN1255" i="90"/>
  <c r="AO1255" i="90"/>
  <c r="AN1253" i="90"/>
  <c r="AW1253" i="90" s="1"/>
  <c r="AO1253" i="90"/>
  <c r="AN1251" i="90"/>
  <c r="AW1251" i="90" s="1"/>
  <c r="AO1251" i="90"/>
  <c r="AN1249" i="90"/>
  <c r="AW1249" i="90" s="1"/>
  <c r="AO1249" i="90"/>
  <c r="AN1247" i="90"/>
  <c r="AW1247" i="90" s="1"/>
  <c r="AO1247" i="90"/>
  <c r="AN1245" i="90"/>
  <c r="AO1245" i="90"/>
  <c r="AN1243" i="90"/>
  <c r="AW1243" i="90" s="1"/>
  <c r="AO1243" i="90"/>
  <c r="AN1241" i="90"/>
  <c r="AW1241" i="90" s="1"/>
  <c r="AO1241" i="90"/>
  <c r="AN1239" i="90"/>
  <c r="AO1239" i="90"/>
  <c r="AN1237" i="90"/>
  <c r="AW1237" i="90" s="1"/>
  <c r="AO1237" i="90"/>
  <c r="AN1235" i="90"/>
  <c r="AW1235" i="90" s="1"/>
  <c r="AO1235" i="90"/>
  <c r="AN1233" i="90"/>
  <c r="AW1233" i="90" s="1"/>
  <c r="AO1233" i="90"/>
  <c r="AN1231" i="90"/>
  <c r="AO1231" i="90"/>
  <c r="AN1229" i="90"/>
  <c r="AW1229" i="90" s="1"/>
  <c r="AO1229" i="90"/>
  <c r="AN1227" i="90"/>
  <c r="AW1227" i="90" s="1"/>
  <c r="AO1227" i="90"/>
  <c r="AN1225" i="90"/>
  <c r="AW1225" i="90" s="1"/>
  <c r="AO1225" i="90"/>
  <c r="AN1223" i="90"/>
  <c r="AO1223" i="90"/>
  <c r="AN1221" i="90"/>
  <c r="AW1221" i="90" s="1"/>
  <c r="AO1221" i="90"/>
  <c r="AN1219" i="90"/>
  <c r="AW1219" i="90" s="1"/>
  <c r="AO1219" i="90"/>
  <c r="AN1217" i="90"/>
  <c r="AW1217" i="90" s="1"/>
  <c r="AO1217" i="90"/>
  <c r="AN1215" i="90"/>
  <c r="AW1215" i="90" s="1"/>
  <c r="AO1215" i="90"/>
  <c r="AN1213" i="90"/>
  <c r="AO1213" i="90"/>
  <c r="AN1211" i="90"/>
  <c r="AW1211" i="90" s="1"/>
  <c r="AO1211" i="90"/>
  <c r="AN1209" i="90"/>
  <c r="AW1209" i="90" s="1"/>
  <c r="AO1209" i="90"/>
  <c r="AN1207" i="90"/>
  <c r="AO1207" i="90"/>
  <c r="AN1205" i="90"/>
  <c r="AW1205" i="90" s="1"/>
  <c r="AO1205" i="90"/>
  <c r="AN1203" i="90"/>
  <c r="AW1203" i="90" s="1"/>
  <c r="AO1203" i="90"/>
  <c r="AN1201" i="90"/>
  <c r="AW1201" i="90" s="1"/>
  <c r="AO1201" i="90"/>
  <c r="AN1199" i="90"/>
  <c r="AO1199" i="90"/>
  <c r="AN1197" i="90"/>
  <c r="AW1197" i="90" s="1"/>
  <c r="AO1197" i="90"/>
  <c r="AN1195" i="90"/>
  <c r="AW1195" i="90" s="1"/>
  <c r="AO1195" i="90"/>
  <c r="AN1193" i="90"/>
  <c r="AW1193" i="90" s="1"/>
  <c r="AO1193" i="90"/>
  <c r="AN1191" i="90"/>
  <c r="AO1191" i="90"/>
  <c r="AN1189" i="90"/>
  <c r="AW1189" i="90" s="1"/>
  <c r="AO1189" i="90"/>
  <c r="AN1187" i="90"/>
  <c r="AW1187" i="90" s="1"/>
  <c r="AO1187" i="90"/>
  <c r="AN1185" i="90"/>
  <c r="AW1185" i="90" s="1"/>
  <c r="AO1185" i="90"/>
  <c r="AN1183" i="90"/>
  <c r="AW1183" i="90" s="1"/>
  <c r="AO1183" i="90"/>
  <c r="AN1181" i="90"/>
  <c r="AO1181" i="90"/>
  <c r="AN1179" i="90"/>
  <c r="AW1179" i="90" s="1"/>
  <c r="AO1179" i="90"/>
  <c r="AN1177" i="90"/>
  <c r="AW1177" i="90" s="1"/>
  <c r="AO1177" i="90"/>
  <c r="AN1175" i="90"/>
  <c r="AO1175" i="90"/>
  <c r="AN1173" i="90"/>
  <c r="AW1173" i="90" s="1"/>
  <c r="AO1173" i="90"/>
  <c r="AN1171" i="90"/>
  <c r="AW1171" i="90" s="1"/>
  <c r="AO1171" i="90"/>
  <c r="AN1169" i="90"/>
  <c r="AW1169" i="90" s="1"/>
  <c r="AO1169" i="90"/>
  <c r="AN1167" i="90"/>
  <c r="AO1167" i="90"/>
  <c r="AN1165" i="90"/>
  <c r="AW1165" i="90" s="1"/>
  <c r="AO1165" i="90"/>
  <c r="AN1163" i="90"/>
  <c r="AW1163" i="90" s="1"/>
  <c r="AO1163" i="90"/>
  <c r="AN1161" i="90"/>
  <c r="AW1161" i="90" s="1"/>
  <c r="AO1161" i="90"/>
  <c r="AN1159" i="90"/>
  <c r="AO1159" i="90"/>
  <c r="AN1157" i="90"/>
  <c r="AW1157" i="90" s="1"/>
  <c r="AO1157" i="90"/>
  <c r="AN1155" i="90"/>
  <c r="AW1155" i="90" s="1"/>
  <c r="AO1155" i="90"/>
  <c r="AN1153" i="90"/>
  <c r="AW1153" i="90" s="1"/>
  <c r="AO1153" i="90"/>
  <c r="AN1151" i="90"/>
  <c r="AW1151" i="90" s="1"/>
  <c r="AO1151" i="90"/>
  <c r="AN1147" i="90"/>
  <c r="AO1147" i="90"/>
  <c r="AM1142" i="90"/>
  <c r="AU1142" i="90" s="1"/>
  <c r="AN1142" i="90"/>
  <c r="AW1142" i="90" s="1"/>
  <c r="AS1142" i="90"/>
  <c r="AN1139" i="90"/>
  <c r="AW1139" i="90" s="1"/>
  <c r="AO1139" i="90"/>
  <c r="AY1138" i="90"/>
  <c r="AM1134" i="90"/>
  <c r="AU1134" i="90" s="1"/>
  <c r="AN1134" i="90"/>
  <c r="AW1134" i="90" s="1"/>
  <c r="AS1134" i="90"/>
  <c r="AN1131" i="90"/>
  <c r="AW1131" i="90" s="1"/>
  <c r="AO1131" i="90"/>
  <c r="AR1127" i="90"/>
  <c r="AT1127" i="90"/>
  <c r="AQ1127" i="90"/>
  <c r="AT1124" i="90"/>
  <c r="AQ1124" i="90"/>
  <c r="AY1123" i="90"/>
  <c r="AM1117" i="90"/>
  <c r="AU1117" i="90" s="1"/>
  <c r="AO1117" i="90"/>
  <c r="AR1095" i="90"/>
  <c r="AT1095" i="90"/>
  <c r="AQ1095" i="90"/>
  <c r="AS1095" i="90" s="1"/>
  <c r="AT1092" i="90"/>
  <c r="AQ1092" i="90"/>
  <c r="AM1085" i="90"/>
  <c r="AU1085" i="90" s="1"/>
  <c r="AO1085" i="90"/>
  <c r="AR1063" i="90"/>
  <c r="AT1063" i="90"/>
  <c r="AQ1063" i="90"/>
  <c r="AT1060" i="90"/>
  <c r="AQ1060" i="90"/>
  <c r="AS1060" i="90" s="1"/>
  <c r="AM1053" i="90"/>
  <c r="AU1053" i="90" s="1"/>
  <c r="AO1053" i="90"/>
  <c r="AO1046" i="90"/>
  <c r="AM1046" i="90"/>
  <c r="AU1046" i="90" s="1"/>
  <c r="AS1046" i="90"/>
  <c r="AN1046" i="90"/>
  <c r="AW1046" i="90" s="1"/>
  <c r="AM1043" i="90"/>
  <c r="AU1043" i="90" s="1"/>
  <c r="AN1043" i="90"/>
  <c r="AW1043" i="90" s="1"/>
  <c r="AO1043" i="90"/>
  <c r="AO1038" i="90"/>
  <c r="AM1038" i="90"/>
  <c r="AU1038" i="90" s="1"/>
  <c r="AS1038" i="90"/>
  <c r="AN1038" i="90"/>
  <c r="AW1038" i="90" s="1"/>
  <c r="AM1035" i="90"/>
  <c r="AU1035" i="90" s="1"/>
  <c r="AN1035" i="90"/>
  <c r="AO1035" i="90"/>
  <c r="AO1030" i="90"/>
  <c r="AM1030" i="90"/>
  <c r="AU1030" i="90" s="1"/>
  <c r="AS1030" i="90"/>
  <c r="AN1030" i="90"/>
  <c r="AW1030" i="90" s="1"/>
  <c r="AM1027" i="90"/>
  <c r="AU1027" i="90" s="1"/>
  <c r="AN1027" i="90"/>
  <c r="AW1027" i="90" s="1"/>
  <c r="AO1027" i="90"/>
  <c r="AO1022" i="90"/>
  <c r="AM1022" i="90"/>
  <c r="AU1022" i="90" s="1"/>
  <c r="AS1022" i="90"/>
  <c r="AN1022" i="90"/>
  <c r="AW1022" i="90" s="1"/>
  <c r="AM1019" i="90"/>
  <c r="AU1019" i="90" s="1"/>
  <c r="AN1019" i="90"/>
  <c r="AW1019" i="90" s="1"/>
  <c r="AO1019" i="90"/>
  <c r="AO1014" i="90"/>
  <c r="AM1014" i="90"/>
  <c r="AU1014" i="90" s="1"/>
  <c r="AS1014" i="90"/>
  <c r="AN1014" i="90"/>
  <c r="AM1011" i="90"/>
  <c r="AU1011" i="90" s="1"/>
  <c r="AN1011" i="90"/>
  <c r="AW1011" i="90" s="1"/>
  <c r="AO1011" i="90"/>
  <c r="AO1006" i="90"/>
  <c r="AM1006" i="90"/>
  <c r="AU1006" i="90" s="1"/>
  <c r="AS1006" i="90"/>
  <c r="AN1006" i="90"/>
  <c r="AW1006" i="90" s="1"/>
  <c r="AM1003" i="90"/>
  <c r="AU1003" i="90" s="1"/>
  <c r="AN1003" i="90"/>
  <c r="AW1003" i="90" s="1"/>
  <c r="AO1003" i="90"/>
  <c r="AO998" i="90"/>
  <c r="AM998" i="90"/>
  <c r="AU998" i="90" s="1"/>
  <c r="AS998" i="90"/>
  <c r="AN998" i="90"/>
  <c r="AW998" i="90" s="1"/>
  <c r="AM995" i="90"/>
  <c r="AU995" i="90" s="1"/>
  <c r="AN995" i="90"/>
  <c r="AW995" i="90" s="1"/>
  <c r="AO995" i="90"/>
  <c r="AO990" i="90"/>
  <c r="AM990" i="90"/>
  <c r="AU990" i="90" s="1"/>
  <c r="AS990" i="90"/>
  <c r="AN990" i="90"/>
  <c r="AW990" i="90" s="1"/>
  <c r="AM987" i="90"/>
  <c r="AU987" i="90" s="1"/>
  <c r="AN987" i="90"/>
  <c r="AW987" i="90" s="1"/>
  <c r="AO987" i="90"/>
  <c r="AR979" i="90"/>
  <c r="AT979" i="90"/>
  <c r="AQ979" i="90"/>
  <c r="AR971" i="90"/>
  <c r="AT971" i="90"/>
  <c r="AQ971" i="90"/>
  <c r="AR963" i="90"/>
  <c r="AT963" i="90"/>
  <c r="AQ963" i="90"/>
  <c r="AS963" i="90" s="1"/>
  <c r="AR955" i="90"/>
  <c r="AT955" i="90"/>
  <c r="AQ955" i="90"/>
  <c r="AR947" i="90"/>
  <c r="AT947" i="90"/>
  <c r="AQ947" i="90"/>
  <c r="AR939" i="90"/>
  <c r="AT939" i="90"/>
  <c r="AQ939" i="90"/>
  <c r="AR931" i="90"/>
  <c r="AT931" i="90"/>
  <c r="AQ931" i="90"/>
  <c r="AS931" i="90" s="1"/>
  <c r="AR923" i="90"/>
  <c r="AT923" i="90"/>
  <c r="AQ923" i="90"/>
  <c r="AR915" i="90"/>
  <c r="AT915" i="90"/>
  <c r="AQ915" i="90"/>
  <c r="AS908" i="90"/>
  <c r="AR907" i="90"/>
  <c r="AT907" i="90"/>
  <c r="AQ907" i="90"/>
  <c r="AS900" i="90"/>
  <c r="AR899" i="90"/>
  <c r="AT899" i="90"/>
  <c r="AQ899" i="90"/>
  <c r="AS892" i="90"/>
  <c r="AR891" i="90"/>
  <c r="AT891" i="90"/>
  <c r="AQ891" i="90"/>
  <c r="AS884" i="90"/>
  <c r="AR883" i="90"/>
  <c r="AT883" i="90"/>
  <c r="AQ883" i="90"/>
  <c r="AS876" i="90"/>
  <c r="AR875" i="90"/>
  <c r="AT875" i="90"/>
  <c r="AQ875" i="90"/>
  <c r="AS868" i="90"/>
  <c r="AR867" i="90"/>
  <c r="AT867" i="90"/>
  <c r="AQ867" i="90"/>
  <c r="AS860" i="90"/>
  <c r="AR859" i="90"/>
  <c r="AT859" i="90"/>
  <c r="AQ859" i="90"/>
  <c r="AM806" i="90"/>
  <c r="AU806" i="90" s="1"/>
  <c r="AO806" i="90"/>
  <c r="AS806" i="90"/>
  <c r="AN806" i="90"/>
  <c r="AW806" i="90" s="1"/>
  <c r="AM774" i="90"/>
  <c r="AU774" i="90" s="1"/>
  <c r="AO774" i="90"/>
  <c r="AS774" i="90"/>
  <c r="AN774" i="90"/>
  <c r="AW774" i="90" s="1"/>
  <c r="AM742" i="90"/>
  <c r="AU742" i="90" s="1"/>
  <c r="AO742" i="90"/>
  <c r="AS742" i="90"/>
  <c r="AN742" i="90"/>
  <c r="AW742" i="90" s="1"/>
  <c r="AM710" i="90"/>
  <c r="AU710" i="90" s="1"/>
  <c r="AO710" i="90"/>
  <c r="AS710" i="90"/>
  <c r="AN710" i="90"/>
  <c r="AW710" i="90" s="1"/>
  <c r="AM696" i="90"/>
  <c r="AU696" i="90" s="1"/>
  <c r="AN696" i="90"/>
  <c r="AS696" i="90"/>
  <c r="AO696" i="90"/>
  <c r="AN661" i="90"/>
  <c r="AO661" i="90"/>
  <c r="AM661" i="90"/>
  <c r="AU661" i="90" s="1"/>
  <c r="AT604" i="90"/>
  <c r="AQ604" i="90"/>
  <c r="AR604" i="90"/>
  <c r="AR575" i="90"/>
  <c r="AT575" i="90"/>
  <c r="AQ575" i="90"/>
  <c r="AY512" i="90"/>
  <c r="AZ512" i="90"/>
  <c r="AM1123" i="90"/>
  <c r="AU1123" i="90" s="1"/>
  <c r="AN1123" i="90"/>
  <c r="AO1122" i="90"/>
  <c r="AM1115" i="90"/>
  <c r="AU1115" i="90" s="1"/>
  <c r="AN1115" i="90"/>
  <c r="AO1114" i="90"/>
  <c r="AM1107" i="90"/>
  <c r="AU1107" i="90" s="1"/>
  <c r="AN1107" i="90"/>
  <c r="AW1107" i="90" s="1"/>
  <c r="AO1106" i="90"/>
  <c r="AM1099" i="90"/>
  <c r="AU1099" i="90" s="1"/>
  <c r="AN1099" i="90"/>
  <c r="AW1099" i="90" s="1"/>
  <c r="AO1098" i="90"/>
  <c r="AM1091" i="90"/>
  <c r="AU1091" i="90" s="1"/>
  <c r="AN1091" i="90"/>
  <c r="AW1091" i="90" s="1"/>
  <c r="AO1090" i="90"/>
  <c r="AM1083" i="90"/>
  <c r="AU1083" i="90" s="1"/>
  <c r="AN1083" i="90"/>
  <c r="AW1083" i="90" s="1"/>
  <c r="AO1082" i="90"/>
  <c r="AM1075" i="90"/>
  <c r="AU1075" i="90" s="1"/>
  <c r="AN1075" i="90"/>
  <c r="AO1074" i="90"/>
  <c r="AM1067" i="90"/>
  <c r="AU1067" i="90" s="1"/>
  <c r="AN1067" i="90"/>
  <c r="AW1067" i="90" s="1"/>
  <c r="AO1066" i="90"/>
  <c r="AM1059" i="90"/>
  <c r="AU1059" i="90" s="1"/>
  <c r="AN1059" i="90"/>
  <c r="AW1059" i="90" s="1"/>
  <c r="AO1058" i="90"/>
  <c r="AM1051" i="90"/>
  <c r="AU1051" i="90" s="1"/>
  <c r="AN1051" i="90"/>
  <c r="AO1050" i="90"/>
  <c r="AS1045" i="90"/>
  <c r="AS1043" i="90"/>
  <c r="AS1041" i="90"/>
  <c r="AS1039" i="90"/>
  <c r="AS1037" i="90"/>
  <c r="AS1035" i="90"/>
  <c r="AS1033" i="90"/>
  <c r="AS1031" i="90"/>
  <c r="AS1029" i="90"/>
  <c r="AS1027" i="90"/>
  <c r="AS1025" i="90"/>
  <c r="AS1023" i="90"/>
  <c r="AS1021" i="90"/>
  <c r="AS1019" i="90"/>
  <c r="AS1017" i="90"/>
  <c r="AS1015" i="90"/>
  <c r="AS1013" i="90"/>
  <c r="AS1011" i="90"/>
  <c r="AS1009" i="90"/>
  <c r="AS1007" i="90"/>
  <c r="AS1005" i="90"/>
  <c r="AS1003" i="90"/>
  <c r="AS1001" i="90"/>
  <c r="AS999" i="90"/>
  <c r="AS997" i="90"/>
  <c r="AS995" i="90"/>
  <c r="AS993" i="90"/>
  <c r="AS991" i="90"/>
  <c r="AS989" i="90"/>
  <c r="AS987" i="90"/>
  <c r="AS985" i="90"/>
  <c r="AR854" i="90"/>
  <c r="AT854" i="90"/>
  <c r="AQ854" i="90"/>
  <c r="AT835" i="90"/>
  <c r="AQ835" i="90"/>
  <c r="AM828" i="90"/>
  <c r="AU828" i="90" s="1"/>
  <c r="AO828" i="90"/>
  <c r="AY826" i="90"/>
  <c r="AR822" i="90"/>
  <c r="AT822" i="90"/>
  <c r="AQ822" i="90"/>
  <c r="AM816" i="90"/>
  <c r="AU816" i="90" s="1"/>
  <c r="AO816" i="90"/>
  <c r="AS816" i="90"/>
  <c r="AM808" i="90"/>
  <c r="AU808" i="90" s="1"/>
  <c r="AO808" i="90"/>
  <c r="AS808" i="90"/>
  <c r="AM800" i="90"/>
  <c r="AU800" i="90" s="1"/>
  <c r="AO800" i="90"/>
  <c r="AS800" i="90"/>
  <c r="AM792" i="90"/>
  <c r="AU792" i="90" s="1"/>
  <c r="AO792" i="90"/>
  <c r="AS792" i="90"/>
  <c r="AM784" i="90"/>
  <c r="AU784" i="90" s="1"/>
  <c r="AO784" i="90"/>
  <c r="AS784" i="90"/>
  <c r="AM776" i="90"/>
  <c r="AU776" i="90" s="1"/>
  <c r="AO776" i="90"/>
  <c r="AS776" i="90"/>
  <c r="AM768" i="90"/>
  <c r="AU768" i="90" s="1"/>
  <c r="AO768" i="90"/>
  <c r="AS768" i="90"/>
  <c r="AM760" i="90"/>
  <c r="AU760" i="90" s="1"/>
  <c r="AO760" i="90"/>
  <c r="AS760" i="90"/>
  <c r="AM752" i="90"/>
  <c r="AU752" i="90" s="1"/>
  <c r="AO752" i="90"/>
  <c r="AS752" i="90"/>
  <c r="AM744" i="90"/>
  <c r="AU744" i="90" s="1"/>
  <c r="AO744" i="90"/>
  <c r="AS744" i="90"/>
  <c r="AM736" i="90"/>
  <c r="AU736" i="90" s="1"/>
  <c r="AO736" i="90"/>
  <c r="AS736" i="90"/>
  <c r="AM728" i="90"/>
  <c r="AU728" i="90" s="1"/>
  <c r="AO728" i="90"/>
  <c r="AS728" i="90"/>
  <c r="AM720" i="90"/>
  <c r="AU720" i="90" s="1"/>
  <c r="AO720" i="90"/>
  <c r="AS720" i="90"/>
  <c r="AM712" i="90"/>
  <c r="AU712" i="90" s="1"/>
  <c r="AO712" i="90"/>
  <c r="AS712" i="90"/>
  <c r="AM704" i="90"/>
  <c r="AU704" i="90" s="1"/>
  <c r="AO704" i="90"/>
  <c r="AS704" i="90"/>
  <c r="AZ668" i="90"/>
  <c r="AM629" i="90"/>
  <c r="AU629" i="90" s="1"/>
  <c r="AO629" i="90"/>
  <c r="AN629" i="90"/>
  <c r="AW629" i="90" s="1"/>
  <c r="AM597" i="90"/>
  <c r="AU597" i="90" s="1"/>
  <c r="AO597" i="90"/>
  <c r="AN597" i="90"/>
  <c r="AW597" i="90" s="1"/>
  <c r="AR549" i="90"/>
  <c r="AQ549" i="90"/>
  <c r="AT549" i="90"/>
  <c r="AZ1130" i="90"/>
  <c r="AQ1130" i="90"/>
  <c r="AS1130" i="90" s="1"/>
  <c r="AT1129" i="90"/>
  <c r="AO1128" i="90"/>
  <c r="AQ1125" i="90"/>
  <c r="AS1125" i="90" s="1"/>
  <c r="AQ1122" i="90"/>
  <c r="AS1122" i="90" s="1"/>
  <c r="AT1121" i="90"/>
  <c r="AO1120" i="90"/>
  <c r="AQ1117" i="90"/>
  <c r="AS1117" i="90" s="1"/>
  <c r="AQ1114" i="90"/>
  <c r="AS1114" i="90" s="1"/>
  <c r="AT1113" i="90"/>
  <c r="AO1112" i="90"/>
  <c r="AQ1109" i="90"/>
  <c r="AS1109" i="90" s="1"/>
  <c r="AQ1106" i="90"/>
  <c r="AS1106" i="90" s="1"/>
  <c r="AT1105" i="90"/>
  <c r="AO1104" i="90"/>
  <c r="AQ1101" i="90"/>
  <c r="AS1101" i="90" s="1"/>
  <c r="AQ1098" i="90"/>
  <c r="AS1098" i="90" s="1"/>
  <c r="AT1097" i="90"/>
  <c r="AO1096" i="90"/>
  <c r="AQ1093" i="90"/>
  <c r="AS1093" i="90" s="1"/>
  <c r="AQ1090" i="90"/>
  <c r="AS1090" i="90" s="1"/>
  <c r="AT1089" i="90"/>
  <c r="AO1088" i="90"/>
  <c r="AQ1085" i="90"/>
  <c r="AS1085" i="90" s="1"/>
  <c r="AQ1082" i="90"/>
  <c r="AS1082" i="90" s="1"/>
  <c r="AT1081" i="90"/>
  <c r="AO1080" i="90"/>
  <c r="AQ1077" i="90"/>
  <c r="AS1077" i="90" s="1"/>
  <c r="AQ1074" i="90"/>
  <c r="AS1074" i="90" s="1"/>
  <c r="AT1073" i="90"/>
  <c r="AO1072" i="90"/>
  <c r="AQ1069" i="90"/>
  <c r="AS1069" i="90" s="1"/>
  <c r="AQ1066" i="90"/>
  <c r="AS1066" i="90" s="1"/>
  <c r="AT1065" i="90"/>
  <c r="AO1064" i="90"/>
  <c r="AQ1061" i="90"/>
  <c r="AS1061" i="90" s="1"/>
  <c r="AQ1058" i="90"/>
  <c r="AS1058" i="90" s="1"/>
  <c r="AT1057" i="90"/>
  <c r="AO1056" i="90"/>
  <c r="AQ1053" i="90"/>
  <c r="AS1053" i="90" s="1"/>
  <c r="AQ1050" i="90"/>
  <c r="AS1050" i="90" s="1"/>
  <c r="AT1049" i="90"/>
  <c r="AO1048" i="90"/>
  <c r="AO982" i="90"/>
  <c r="AM982" i="90"/>
  <c r="AU982" i="90" s="1"/>
  <c r="AR981" i="90"/>
  <c r="AT981" i="90"/>
  <c r="AO978" i="90"/>
  <c r="AM978" i="90"/>
  <c r="AU978" i="90" s="1"/>
  <c r="AR977" i="90"/>
  <c r="AT977" i="90"/>
  <c r="AO974" i="90"/>
  <c r="AM974" i="90"/>
  <c r="AU974" i="90" s="1"/>
  <c r="AR973" i="90"/>
  <c r="AT973" i="90"/>
  <c r="AO970" i="90"/>
  <c r="AM970" i="90"/>
  <c r="AU970" i="90" s="1"/>
  <c r="AR969" i="90"/>
  <c r="AT969" i="90"/>
  <c r="AS969" i="90" s="1"/>
  <c r="AO966" i="90"/>
  <c r="AM966" i="90"/>
  <c r="AU966" i="90" s="1"/>
  <c r="AR965" i="90"/>
  <c r="AT965" i="90"/>
  <c r="AS965" i="90" s="1"/>
  <c r="AO962" i="90"/>
  <c r="AM962" i="90"/>
  <c r="AU962" i="90" s="1"/>
  <c r="AR961" i="90"/>
  <c r="AT961" i="90"/>
  <c r="AO958" i="90"/>
  <c r="AM958" i="90"/>
  <c r="AU958" i="90" s="1"/>
  <c r="AR957" i="90"/>
  <c r="AT957" i="90"/>
  <c r="AO954" i="90"/>
  <c r="AM954" i="90"/>
  <c r="AU954" i="90" s="1"/>
  <c r="AR953" i="90"/>
  <c r="AT953" i="90"/>
  <c r="AS953" i="90" s="1"/>
  <c r="AO950" i="90"/>
  <c r="AM950" i="90"/>
  <c r="AU950" i="90" s="1"/>
  <c r="AR949" i="90"/>
  <c r="AT949" i="90"/>
  <c r="AS949" i="90" s="1"/>
  <c r="AO946" i="90"/>
  <c r="AM946" i="90"/>
  <c r="AU946" i="90" s="1"/>
  <c r="AR945" i="90"/>
  <c r="AT945" i="90"/>
  <c r="AO942" i="90"/>
  <c r="AM942" i="90"/>
  <c r="AU942" i="90" s="1"/>
  <c r="AR941" i="90"/>
  <c r="AT941" i="90"/>
  <c r="AO938" i="90"/>
  <c r="AM938" i="90"/>
  <c r="AU938" i="90" s="1"/>
  <c r="AR937" i="90"/>
  <c r="AT937" i="90"/>
  <c r="AS937" i="90" s="1"/>
  <c r="AO934" i="90"/>
  <c r="AM934" i="90"/>
  <c r="AU934" i="90" s="1"/>
  <c r="AR933" i="90"/>
  <c r="AT933" i="90"/>
  <c r="AO930" i="90"/>
  <c r="AM930" i="90"/>
  <c r="AU930" i="90" s="1"/>
  <c r="AR929" i="90"/>
  <c r="AT929" i="90"/>
  <c r="AO926" i="90"/>
  <c r="AM926" i="90"/>
  <c r="AU926" i="90" s="1"/>
  <c r="AR925" i="90"/>
  <c r="AT925" i="90"/>
  <c r="AS925" i="90" s="1"/>
  <c r="AO922" i="90"/>
  <c r="AM922" i="90"/>
  <c r="AU922" i="90" s="1"/>
  <c r="AR921" i="90"/>
  <c r="AT921" i="90"/>
  <c r="AS921" i="90" s="1"/>
  <c r="AO918" i="90"/>
  <c r="AM918" i="90"/>
  <c r="AU918" i="90" s="1"/>
  <c r="AR917" i="90"/>
  <c r="AT917" i="90"/>
  <c r="AO914" i="90"/>
  <c r="AM914" i="90"/>
  <c r="AU914" i="90" s="1"/>
  <c r="AR913" i="90"/>
  <c r="AT913" i="90"/>
  <c r="AO910" i="90"/>
  <c r="AM910" i="90"/>
  <c r="AU910" i="90" s="1"/>
  <c r="AR909" i="90"/>
  <c r="AT909" i="90"/>
  <c r="AO906" i="90"/>
  <c r="AM906" i="90"/>
  <c r="AU906" i="90" s="1"/>
  <c r="AR905" i="90"/>
  <c r="AT905" i="90"/>
  <c r="AS905" i="90" s="1"/>
  <c r="AO902" i="90"/>
  <c r="AM902" i="90"/>
  <c r="AU902" i="90" s="1"/>
  <c r="AR901" i="90"/>
  <c r="AT901" i="90"/>
  <c r="AO898" i="90"/>
  <c r="AM898" i="90"/>
  <c r="AU898" i="90" s="1"/>
  <c r="AR897" i="90"/>
  <c r="AT897" i="90"/>
  <c r="AO894" i="90"/>
  <c r="AM894" i="90"/>
  <c r="AU894" i="90" s="1"/>
  <c r="AR893" i="90"/>
  <c r="AT893" i="90"/>
  <c r="AO890" i="90"/>
  <c r="AM890" i="90"/>
  <c r="AU890" i="90" s="1"/>
  <c r="AR889" i="90"/>
  <c r="AT889" i="90"/>
  <c r="AS889" i="90" s="1"/>
  <c r="AO886" i="90"/>
  <c r="AM886" i="90"/>
  <c r="AU886" i="90" s="1"/>
  <c r="AR885" i="90"/>
  <c r="AT885" i="90"/>
  <c r="AS885" i="90" s="1"/>
  <c r="AO882" i="90"/>
  <c r="AM882" i="90"/>
  <c r="AU882" i="90" s="1"/>
  <c r="AR881" i="90"/>
  <c r="AT881" i="90"/>
  <c r="AO878" i="90"/>
  <c r="AM878" i="90"/>
  <c r="AU878" i="90" s="1"/>
  <c r="AR877" i="90"/>
  <c r="AT877" i="90"/>
  <c r="AS877" i="90" s="1"/>
  <c r="AO874" i="90"/>
  <c r="AM874" i="90"/>
  <c r="AU874" i="90" s="1"/>
  <c r="AR873" i="90"/>
  <c r="AT873" i="90"/>
  <c r="AS873" i="90" s="1"/>
  <c r="AO870" i="90"/>
  <c r="AM870" i="90"/>
  <c r="AU870" i="90" s="1"/>
  <c r="AR869" i="90"/>
  <c r="AT869" i="90"/>
  <c r="AO866" i="90"/>
  <c r="AM866" i="90"/>
  <c r="AU866" i="90" s="1"/>
  <c r="AR865" i="90"/>
  <c r="AT865" i="90"/>
  <c r="AO862" i="90"/>
  <c r="AM862" i="90"/>
  <c r="AU862" i="90" s="1"/>
  <c r="AR861" i="90"/>
  <c r="AT861" i="90"/>
  <c r="AO858" i="90"/>
  <c r="AM858" i="90"/>
  <c r="AU858" i="90" s="1"/>
  <c r="AM852" i="90"/>
  <c r="AU852" i="90" s="1"/>
  <c r="AO852" i="90"/>
  <c r="AZ850" i="90"/>
  <c r="AY850" i="90"/>
  <c r="AR846" i="90"/>
  <c r="AT846" i="90"/>
  <c r="AQ846" i="90"/>
  <c r="AN828" i="90"/>
  <c r="AW828" i="90" s="1"/>
  <c r="AT827" i="90"/>
  <c r="AQ827" i="90"/>
  <c r="AS827" i="90" s="1"/>
  <c r="AM820" i="90"/>
  <c r="AU820" i="90" s="1"/>
  <c r="AO820" i="90"/>
  <c r="AM810" i="90"/>
  <c r="AU810" i="90" s="1"/>
  <c r="AO810" i="90"/>
  <c r="AS810" i="90"/>
  <c r="AM802" i="90"/>
  <c r="AU802" i="90" s="1"/>
  <c r="AO802" i="90"/>
  <c r="AS802" i="90"/>
  <c r="AM794" i="90"/>
  <c r="AU794" i="90" s="1"/>
  <c r="AO794" i="90"/>
  <c r="AS794" i="90"/>
  <c r="AM786" i="90"/>
  <c r="AU786" i="90" s="1"/>
  <c r="AO786" i="90"/>
  <c r="AS786" i="90"/>
  <c r="AM778" i="90"/>
  <c r="AU778" i="90" s="1"/>
  <c r="AO778" i="90"/>
  <c r="AS778" i="90"/>
  <c r="AM770" i="90"/>
  <c r="AU770" i="90" s="1"/>
  <c r="AO770" i="90"/>
  <c r="AS770" i="90"/>
  <c r="AM762" i="90"/>
  <c r="AU762" i="90" s="1"/>
  <c r="AO762" i="90"/>
  <c r="AS762" i="90"/>
  <c r="AM754" i="90"/>
  <c r="AU754" i="90" s="1"/>
  <c r="AO754" i="90"/>
  <c r="AS754" i="90"/>
  <c r="AM746" i="90"/>
  <c r="AU746" i="90" s="1"/>
  <c r="AO746" i="90"/>
  <c r="AS746" i="90"/>
  <c r="AM738" i="90"/>
  <c r="AU738" i="90" s="1"/>
  <c r="AO738" i="90"/>
  <c r="AS738" i="90"/>
  <c r="AM730" i="90"/>
  <c r="AU730" i="90" s="1"/>
  <c r="AO730" i="90"/>
  <c r="AS730" i="90"/>
  <c r="AM722" i="90"/>
  <c r="AU722" i="90" s="1"/>
  <c r="AO722" i="90"/>
  <c r="AS722" i="90"/>
  <c r="AM714" i="90"/>
  <c r="AU714" i="90" s="1"/>
  <c r="AO714" i="90"/>
  <c r="AS714" i="90"/>
  <c r="AM706" i="90"/>
  <c r="AU706" i="90" s="1"/>
  <c r="AO706" i="90"/>
  <c r="AS706" i="90"/>
  <c r="AM688" i="90"/>
  <c r="AU688" i="90" s="1"/>
  <c r="AN688" i="90"/>
  <c r="AW688" i="90" s="1"/>
  <c r="AS688" i="90"/>
  <c r="AO688" i="90"/>
  <c r="AN685" i="90"/>
  <c r="AW685" i="90" s="1"/>
  <c r="AO685" i="90"/>
  <c r="AM685" i="90"/>
  <c r="AU685" i="90" s="1"/>
  <c r="AM672" i="90"/>
  <c r="AU672" i="90" s="1"/>
  <c r="AN672" i="90"/>
  <c r="AW672" i="90" s="1"/>
  <c r="AS672" i="90"/>
  <c r="AO672" i="90"/>
  <c r="AN669" i="90"/>
  <c r="AW669" i="90" s="1"/>
  <c r="AO669" i="90"/>
  <c r="AM669" i="90"/>
  <c r="AU669" i="90" s="1"/>
  <c r="AM656" i="90"/>
  <c r="AU656" i="90" s="1"/>
  <c r="AN656" i="90"/>
  <c r="AW656" i="90" s="1"/>
  <c r="AS656" i="90"/>
  <c r="AO656" i="90"/>
  <c r="AN653" i="90"/>
  <c r="AW653" i="90" s="1"/>
  <c r="AO653" i="90"/>
  <c r="AM653" i="90"/>
  <c r="AU653" i="90" s="1"/>
  <c r="AR573" i="90"/>
  <c r="AQ573" i="90"/>
  <c r="AT573" i="90"/>
  <c r="AY496" i="90"/>
  <c r="AZ496" i="90"/>
  <c r="AM440" i="90"/>
  <c r="AU440" i="90" s="1"/>
  <c r="AN440" i="90"/>
  <c r="AW440" i="90" s="1"/>
  <c r="AS440" i="90"/>
  <c r="AO440" i="90"/>
  <c r="AN1130" i="90"/>
  <c r="AO1126" i="90"/>
  <c r="AN1122" i="90"/>
  <c r="AW1122" i="90" s="1"/>
  <c r="AO1118" i="90"/>
  <c r="AN1114" i="90"/>
  <c r="AW1114" i="90" s="1"/>
  <c r="AO1110" i="90"/>
  <c r="AN1106" i="90"/>
  <c r="AW1106" i="90" s="1"/>
  <c r="AO1102" i="90"/>
  <c r="AN1098" i="90"/>
  <c r="AW1098" i="90" s="1"/>
  <c r="AO1094" i="90"/>
  <c r="AN1090" i="90"/>
  <c r="AW1090" i="90" s="1"/>
  <c r="AO1086" i="90"/>
  <c r="AN1082" i="90"/>
  <c r="AW1082" i="90" s="1"/>
  <c r="AO1078" i="90"/>
  <c r="AN1074" i="90"/>
  <c r="AW1074" i="90" s="1"/>
  <c r="AO1070" i="90"/>
  <c r="AN1066" i="90"/>
  <c r="AW1066" i="90" s="1"/>
  <c r="AO1062" i="90"/>
  <c r="AN1058" i="90"/>
  <c r="AW1058" i="90" s="1"/>
  <c r="AO1054" i="90"/>
  <c r="AN1050" i="90"/>
  <c r="AW1050" i="90" s="1"/>
  <c r="AM1047" i="90"/>
  <c r="AU1047" i="90" s="1"/>
  <c r="AN1047" i="90"/>
  <c r="AT851" i="90"/>
  <c r="AQ851" i="90"/>
  <c r="AS851" i="90" s="1"/>
  <c r="AM844" i="90"/>
  <c r="AU844" i="90" s="1"/>
  <c r="AO844" i="90"/>
  <c r="AR838" i="90"/>
  <c r="AT838" i="90"/>
  <c r="AQ838" i="90"/>
  <c r="AT819" i="90"/>
  <c r="AQ819" i="90"/>
  <c r="AM812" i="90"/>
  <c r="AU812" i="90" s="1"/>
  <c r="AO812" i="90"/>
  <c r="AS812" i="90"/>
  <c r="AM804" i="90"/>
  <c r="AU804" i="90" s="1"/>
  <c r="AO804" i="90"/>
  <c r="AS804" i="90"/>
  <c r="AM796" i="90"/>
  <c r="AU796" i="90" s="1"/>
  <c r="AO796" i="90"/>
  <c r="AS796" i="90"/>
  <c r="AM788" i="90"/>
  <c r="AU788" i="90" s="1"/>
  <c r="AO788" i="90"/>
  <c r="AS788" i="90"/>
  <c r="AM780" i="90"/>
  <c r="AU780" i="90" s="1"/>
  <c r="AO780" i="90"/>
  <c r="AS780" i="90"/>
  <c r="AM772" i="90"/>
  <c r="AU772" i="90" s="1"/>
  <c r="AO772" i="90"/>
  <c r="AS772" i="90"/>
  <c r="AM764" i="90"/>
  <c r="AU764" i="90" s="1"/>
  <c r="AO764" i="90"/>
  <c r="AS764" i="90"/>
  <c r="AM756" i="90"/>
  <c r="AU756" i="90" s="1"/>
  <c r="AO756" i="90"/>
  <c r="AS756" i="90"/>
  <c r="AM748" i="90"/>
  <c r="AU748" i="90" s="1"/>
  <c r="AO748" i="90"/>
  <c r="AS748" i="90"/>
  <c r="AM740" i="90"/>
  <c r="AU740" i="90" s="1"/>
  <c r="AO740" i="90"/>
  <c r="AS740" i="90"/>
  <c r="AM732" i="90"/>
  <c r="AU732" i="90" s="1"/>
  <c r="AO732" i="90"/>
  <c r="AS732" i="90"/>
  <c r="AM724" i="90"/>
  <c r="AU724" i="90" s="1"/>
  <c r="AO724" i="90"/>
  <c r="AS724" i="90"/>
  <c r="AM716" i="90"/>
  <c r="AU716" i="90" s="1"/>
  <c r="AO716" i="90"/>
  <c r="AS716" i="90"/>
  <c r="AM708" i="90"/>
  <c r="AU708" i="90" s="1"/>
  <c r="AO708" i="90"/>
  <c r="AS708" i="90"/>
  <c r="AM700" i="90"/>
  <c r="AU700" i="90" s="1"/>
  <c r="AO700" i="90"/>
  <c r="AS700" i="90"/>
  <c r="AY676" i="90"/>
  <c r="AR639" i="90"/>
  <c r="AT639" i="90"/>
  <c r="AQ639" i="90"/>
  <c r="AZ635" i="90"/>
  <c r="AY635" i="90"/>
  <c r="AR607" i="90"/>
  <c r="AT607" i="90"/>
  <c r="AQ607" i="90"/>
  <c r="AZ603" i="90"/>
  <c r="AY603" i="90"/>
  <c r="AR565" i="90"/>
  <c r="AQ565" i="90"/>
  <c r="AT565" i="90"/>
  <c r="AY533" i="90"/>
  <c r="AZ533" i="90"/>
  <c r="AT451" i="90"/>
  <c r="AQ451" i="90"/>
  <c r="AR451" i="90"/>
  <c r="AO857" i="90"/>
  <c r="AM850" i="90"/>
  <c r="AU850" i="90" s="1"/>
  <c r="AN850" i="90"/>
  <c r="AW850" i="90" s="1"/>
  <c r="AO849" i="90"/>
  <c r="AM842" i="90"/>
  <c r="AU842" i="90" s="1"/>
  <c r="AN842" i="90"/>
  <c r="AW842" i="90" s="1"/>
  <c r="AO841" i="90"/>
  <c r="AM834" i="90"/>
  <c r="AU834" i="90" s="1"/>
  <c r="AN834" i="90"/>
  <c r="AW834" i="90" s="1"/>
  <c r="AO833" i="90"/>
  <c r="AM826" i="90"/>
  <c r="AU826" i="90" s="1"/>
  <c r="AN826" i="90"/>
  <c r="AW826" i="90" s="1"/>
  <c r="AO825" i="90"/>
  <c r="AM818" i="90"/>
  <c r="AU818" i="90" s="1"/>
  <c r="AN818" i="90"/>
  <c r="AO817" i="90"/>
  <c r="AN815" i="90"/>
  <c r="AO815" i="90"/>
  <c r="AN813" i="90"/>
  <c r="AW813" i="90" s="1"/>
  <c r="AO813" i="90"/>
  <c r="AN811" i="90"/>
  <c r="AW811" i="90" s="1"/>
  <c r="AO811" i="90"/>
  <c r="AN809" i="90"/>
  <c r="AW809" i="90" s="1"/>
  <c r="AO809" i="90"/>
  <c r="AN807" i="90"/>
  <c r="AW807" i="90" s="1"/>
  <c r="AO807" i="90"/>
  <c r="AN805" i="90"/>
  <c r="AW805" i="90" s="1"/>
  <c r="AO805" i="90"/>
  <c r="AN803" i="90"/>
  <c r="AW803" i="90" s="1"/>
  <c r="AO803" i="90"/>
  <c r="AN801" i="90"/>
  <c r="AW801" i="90" s="1"/>
  <c r="AO801" i="90"/>
  <c r="AN799" i="90"/>
  <c r="AO799" i="90"/>
  <c r="AN797" i="90"/>
  <c r="AW797" i="90" s="1"/>
  <c r="AO797" i="90"/>
  <c r="AN795" i="90"/>
  <c r="AW795" i="90" s="1"/>
  <c r="AO795" i="90"/>
  <c r="AN793" i="90"/>
  <c r="AW793" i="90" s="1"/>
  <c r="AO793" i="90"/>
  <c r="AN791" i="90"/>
  <c r="AO791" i="90"/>
  <c r="AN789" i="90"/>
  <c r="AW789" i="90" s="1"/>
  <c r="AO789" i="90"/>
  <c r="AN787" i="90"/>
  <c r="AW787" i="90" s="1"/>
  <c r="AO787" i="90"/>
  <c r="AN785" i="90"/>
  <c r="AW785" i="90" s="1"/>
  <c r="AO785" i="90"/>
  <c r="AN783" i="90"/>
  <c r="AW783" i="90" s="1"/>
  <c r="AO783" i="90"/>
  <c r="AN781" i="90"/>
  <c r="AW781" i="90" s="1"/>
  <c r="AO781" i="90"/>
  <c r="AN779" i="90"/>
  <c r="AW779" i="90" s="1"/>
  <c r="AO779" i="90"/>
  <c r="AN777" i="90"/>
  <c r="AW777" i="90" s="1"/>
  <c r="AO777" i="90"/>
  <c r="AN775" i="90"/>
  <c r="AW775" i="90" s="1"/>
  <c r="AO775" i="90"/>
  <c r="AN773" i="90"/>
  <c r="AW773" i="90" s="1"/>
  <c r="AO773" i="90"/>
  <c r="AN771" i="90"/>
  <c r="AW771" i="90" s="1"/>
  <c r="AO771" i="90"/>
  <c r="AN769" i="90"/>
  <c r="AW769" i="90" s="1"/>
  <c r="AO769" i="90"/>
  <c r="AN767" i="90"/>
  <c r="AO767" i="90"/>
  <c r="AN765" i="90"/>
  <c r="AW765" i="90" s="1"/>
  <c r="AO765" i="90"/>
  <c r="AN763" i="90"/>
  <c r="AW763" i="90" s="1"/>
  <c r="AO763" i="90"/>
  <c r="AN761" i="90"/>
  <c r="AW761" i="90" s="1"/>
  <c r="AO761" i="90"/>
  <c r="AN759" i="90"/>
  <c r="AW759" i="90" s="1"/>
  <c r="AO759" i="90"/>
  <c r="AN757" i="90"/>
  <c r="AW757" i="90" s="1"/>
  <c r="AO757" i="90"/>
  <c r="AN755" i="90"/>
  <c r="AW755" i="90" s="1"/>
  <c r="AO755" i="90"/>
  <c r="AN753" i="90"/>
  <c r="AW753" i="90" s="1"/>
  <c r="AO753" i="90"/>
  <c r="AN751" i="90"/>
  <c r="AO751" i="90"/>
  <c r="AN749" i="90"/>
  <c r="AW749" i="90" s="1"/>
  <c r="AO749" i="90"/>
  <c r="AN747" i="90"/>
  <c r="AW747" i="90" s="1"/>
  <c r="AO747" i="90"/>
  <c r="AN745" i="90"/>
  <c r="AW745" i="90" s="1"/>
  <c r="AO745" i="90"/>
  <c r="AN743" i="90"/>
  <c r="AW743" i="90" s="1"/>
  <c r="AO743" i="90"/>
  <c r="AN741" i="90"/>
  <c r="AW741" i="90" s="1"/>
  <c r="AO741" i="90"/>
  <c r="AN739" i="90"/>
  <c r="AW739" i="90" s="1"/>
  <c r="AO739" i="90"/>
  <c r="AN737" i="90"/>
  <c r="AW737" i="90" s="1"/>
  <c r="AO737" i="90"/>
  <c r="AN735" i="90"/>
  <c r="AO735" i="90"/>
  <c r="AN733" i="90"/>
  <c r="AW733" i="90" s="1"/>
  <c r="AO733" i="90"/>
  <c r="AN731" i="90"/>
  <c r="AW731" i="90" s="1"/>
  <c r="AO731" i="90"/>
  <c r="AN729" i="90"/>
  <c r="AW729" i="90" s="1"/>
  <c r="AO729" i="90"/>
  <c r="AN727" i="90"/>
  <c r="AO727" i="90"/>
  <c r="AN725" i="90"/>
  <c r="AW725" i="90" s="1"/>
  <c r="AO725" i="90"/>
  <c r="AN723" i="90"/>
  <c r="AW723" i="90" s="1"/>
  <c r="AO723" i="90"/>
  <c r="AN721" i="90"/>
  <c r="AW721" i="90" s="1"/>
  <c r="AO721" i="90"/>
  <c r="AN719" i="90"/>
  <c r="AW719" i="90" s="1"/>
  <c r="AO719" i="90"/>
  <c r="AN717" i="90"/>
  <c r="AW717" i="90" s="1"/>
  <c r="AO717" i="90"/>
  <c r="AN715" i="90"/>
  <c r="AW715" i="90" s="1"/>
  <c r="AO715" i="90"/>
  <c r="AN713" i="90"/>
  <c r="AW713" i="90" s="1"/>
  <c r="AO713" i="90"/>
  <c r="AN711" i="90"/>
  <c r="AW711" i="90" s="1"/>
  <c r="AO711" i="90"/>
  <c r="AN709" i="90"/>
  <c r="AW709" i="90" s="1"/>
  <c r="AO709" i="90"/>
  <c r="AN707" i="90"/>
  <c r="AW707" i="90" s="1"/>
  <c r="AO707" i="90"/>
  <c r="AN705" i="90"/>
  <c r="AW705" i="90" s="1"/>
  <c r="AO705" i="90"/>
  <c r="AN703" i="90"/>
  <c r="AO703" i="90"/>
  <c r="AN701" i="90"/>
  <c r="AW701" i="90" s="1"/>
  <c r="AO701" i="90"/>
  <c r="AM698" i="90"/>
  <c r="AU698" i="90" s="1"/>
  <c r="AN698" i="90"/>
  <c r="AS698" i="90"/>
  <c r="AN695" i="90"/>
  <c r="AW695" i="90" s="1"/>
  <c r="AO695" i="90"/>
  <c r="AM690" i="90"/>
  <c r="AU690" i="90" s="1"/>
  <c r="AN690" i="90"/>
  <c r="AS690" i="90"/>
  <c r="AN687" i="90"/>
  <c r="AW687" i="90" s="1"/>
  <c r="AO687" i="90"/>
  <c r="AM682" i="90"/>
  <c r="AU682" i="90" s="1"/>
  <c r="AN682" i="90"/>
  <c r="AS682" i="90"/>
  <c r="AN679" i="90"/>
  <c r="AO679" i="90"/>
  <c r="AM674" i="90"/>
  <c r="AU674" i="90" s="1"/>
  <c r="AN674" i="90"/>
  <c r="AS674" i="90"/>
  <c r="AN671" i="90"/>
  <c r="AW671" i="90" s="1"/>
  <c r="AO671" i="90"/>
  <c r="AY670" i="90"/>
  <c r="AM666" i="90"/>
  <c r="AU666" i="90" s="1"/>
  <c r="AN666" i="90"/>
  <c r="AS666" i="90"/>
  <c r="AN663" i="90"/>
  <c r="AW663" i="90" s="1"/>
  <c r="AO663" i="90"/>
  <c r="AY662" i="90"/>
  <c r="AZ662" i="90"/>
  <c r="AM658" i="90"/>
  <c r="AU658" i="90" s="1"/>
  <c r="AN658" i="90"/>
  <c r="AS658" i="90"/>
  <c r="AN655" i="90"/>
  <c r="AW655" i="90" s="1"/>
  <c r="AO655" i="90"/>
  <c r="AR631" i="90"/>
  <c r="AT631" i="90"/>
  <c r="AQ631" i="90"/>
  <c r="AS631" i="90" s="1"/>
  <c r="AT628" i="90"/>
  <c r="AQ628" i="90"/>
  <c r="AY627" i="90"/>
  <c r="AM621" i="90"/>
  <c r="AU621" i="90" s="1"/>
  <c r="AO621" i="90"/>
  <c r="AR599" i="90"/>
  <c r="AT599" i="90"/>
  <c r="AQ599" i="90"/>
  <c r="AT596" i="90"/>
  <c r="AQ596" i="90"/>
  <c r="AS596" i="90" s="1"/>
  <c r="AM589" i="90"/>
  <c r="AU589" i="90" s="1"/>
  <c r="AO589" i="90"/>
  <c r="AR567" i="90"/>
  <c r="AQ567" i="90"/>
  <c r="AT567" i="90"/>
  <c r="AR559" i="90"/>
  <c r="AQ559" i="90"/>
  <c r="AT559" i="90"/>
  <c r="AR551" i="90"/>
  <c r="AQ551" i="90"/>
  <c r="AT551" i="90"/>
  <c r="AM545" i="90"/>
  <c r="AU545" i="90" s="1"/>
  <c r="AN545" i="90"/>
  <c r="AO545" i="90"/>
  <c r="AN542" i="90"/>
  <c r="AW542" i="90" s="1"/>
  <c r="AS542" i="90"/>
  <c r="AO542" i="90"/>
  <c r="AM542" i="90"/>
  <c r="AU542" i="90" s="1"/>
  <c r="AM537" i="90"/>
  <c r="AU537" i="90" s="1"/>
  <c r="AN537" i="90"/>
  <c r="AO537" i="90"/>
  <c r="AN534" i="90"/>
  <c r="AW534" i="90" s="1"/>
  <c r="AS534" i="90"/>
  <c r="AO534" i="90"/>
  <c r="AM534" i="90"/>
  <c r="AU534" i="90" s="1"/>
  <c r="AM529" i="90"/>
  <c r="AU529" i="90" s="1"/>
  <c r="AN529" i="90"/>
  <c r="AW529" i="90" s="1"/>
  <c r="AO529" i="90"/>
  <c r="AN526" i="90"/>
  <c r="AW526" i="90" s="1"/>
  <c r="AS526" i="90"/>
  <c r="AO526" i="90"/>
  <c r="AM526" i="90"/>
  <c r="AU526" i="90" s="1"/>
  <c r="AT483" i="90"/>
  <c r="AQ483" i="90"/>
  <c r="AR483" i="90"/>
  <c r="AM472" i="90"/>
  <c r="AU472" i="90" s="1"/>
  <c r="AN472" i="90"/>
  <c r="AW472" i="90" s="1"/>
  <c r="AS472" i="90"/>
  <c r="AO472" i="90"/>
  <c r="AY324" i="90"/>
  <c r="AZ324" i="90"/>
  <c r="AM311" i="90"/>
  <c r="AU311" i="90" s="1"/>
  <c r="AN311" i="90"/>
  <c r="AW311" i="90" s="1"/>
  <c r="AO311" i="90"/>
  <c r="AQ857" i="90"/>
  <c r="AS857" i="90" s="1"/>
  <c r="AM856" i="90"/>
  <c r="AU856" i="90" s="1"/>
  <c r="AN856" i="90"/>
  <c r="AW856" i="90" s="1"/>
  <c r="AO855" i="90"/>
  <c r="AQ852" i="90"/>
  <c r="AS852" i="90" s="1"/>
  <c r="AQ849" i="90"/>
  <c r="AS849" i="90" s="1"/>
  <c r="AM848" i="90"/>
  <c r="AU848" i="90" s="1"/>
  <c r="AN848" i="90"/>
  <c r="AO847" i="90"/>
  <c r="AQ844" i="90"/>
  <c r="AS844" i="90" s="1"/>
  <c r="AQ841" i="90"/>
  <c r="AS841" i="90" s="1"/>
  <c r="AY840" i="90"/>
  <c r="AM840" i="90"/>
  <c r="AU840" i="90" s="1"/>
  <c r="AN840" i="90"/>
  <c r="AW840" i="90" s="1"/>
  <c r="AO839" i="90"/>
  <c r="AQ836" i="90"/>
  <c r="AS836" i="90" s="1"/>
  <c r="AQ833" i="90"/>
  <c r="AS833" i="90" s="1"/>
  <c r="AM832" i="90"/>
  <c r="AU832" i="90" s="1"/>
  <c r="AN832" i="90"/>
  <c r="AW832" i="90" s="1"/>
  <c r="AO831" i="90"/>
  <c r="AQ828" i="90"/>
  <c r="AS828" i="90" s="1"/>
  <c r="AQ825" i="90"/>
  <c r="AS825" i="90" s="1"/>
  <c r="AM824" i="90"/>
  <c r="AU824" i="90" s="1"/>
  <c r="AN824" i="90"/>
  <c r="AW824" i="90" s="1"/>
  <c r="AO823" i="90"/>
  <c r="AQ820" i="90"/>
  <c r="AS820" i="90" s="1"/>
  <c r="AQ817" i="90"/>
  <c r="AS817" i="90" s="1"/>
  <c r="AR815" i="90"/>
  <c r="AR813" i="90"/>
  <c r="AR811" i="90"/>
  <c r="AR809" i="90"/>
  <c r="AR807" i="90"/>
  <c r="AR805" i="90"/>
  <c r="AR803" i="90"/>
  <c r="AR801" i="90"/>
  <c r="AR799" i="90"/>
  <c r="AR797" i="90"/>
  <c r="AR795" i="90"/>
  <c r="AR793" i="90"/>
  <c r="AR791" i="90"/>
  <c r="AR789" i="90"/>
  <c r="AR787" i="90"/>
  <c r="AR785" i="90"/>
  <c r="AR783" i="90"/>
  <c r="AR781" i="90"/>
  <c r="AR779" i="90"/>
  <c r="AR777" i="90"/>
  <c r="AR775" i="90"/>
  <c r="AR773" i="90"/>
  <c r="AR771" i="90"/>
  <c r="AR769" i="90"/>
  <c r="AR767" i="90"/>
  <c r="AR765" i="90"/>
  <c r="AR763" i="90"/>
  <c r="AR761" i="90"/>
  <c r="AR759" i="90"/>
  <c r="AR757" i="90"/>
  <c r="AR755" i="90"/>
  <c r="AR753" i="90"/>
  <c r="AR751" i="90"/>
  <c r="AR749" i="90"/>
  <c r="AR747" i="90"/>
  <c r="AR745" i="90"/>
  <c r="AR743" i="90"/>
  <c r="AR741" i="90"/>
  <c r="AR739" i="90"/>
  <c r="AR737" i="90"/>
  <c r="AR735" i="90"/>
  <c r="AR733" i="90"/>
  <c r="AR731" i="90"/>
  <c r="AR729" i="90"/>
  <c r="AR727" i="90"/>
  <c r="AR725" i="90"/>
  <c r="AR723" i="90"/>
  <c r="AR721" i="90"/>
  <c r="AR719" i="90"/>
  <c r="AR717" i="90"/>
  <c r="AR715" i="90"/>
  <c r="AR713" i="90"/>
  <c r="AR711" i="90"/>
  <c r="AR709" i="90"/>
  <c r="AR707" i="90"/>
  <c r="AR705" i="90"/>
  <c r="AR703" i="90"/>
  <c r="AR701" i="90"/>
  <c r="AN697" i="90"/>
  <c r="AW697" i="90" s="1"/>
  <c r="AO697" i="90"/>
  <c r="AS693" i="90"/>
  <c r="AM692" i="90"/>
  <c r="AU692" i="90" s="1"/>
  <c r="AN692" i="90"/>
  <c r="AS692" i="90"/>
  <c r="AN689" i="90"/>
  <c r="AW689" i="90" s="1"/>
  <c r="AO689" i="90"/>
  <c r="AS685" i="90"/>
  <c r="AM684" i="90"/>
  <c r="AU684" i="90" s="1"/>
  <c r="AN684" i="90"/>
  <c r="AS684" i="90"/>
  <c r="AN681" i="90"/>
  <c r="AW681" i="90" s="1"/>
  <c r="AO681" i="90"/>
  <c r="AS677" i="90"/>
  <c r="AM676" i="90"/>
  <c r="AU676" i="90" s="1"/>
  <c r="AN676" i="90"/>
  <c r="AS676" i="90"/>
  <c r="AN673" i="90"/>
  <c r="AW673" i="90" s="1"/>
  <c r="AO673" i="90"/>
  <c r="AS669" i="90"/>
  <c r="AM668" i="90"/>
  <c r="AU668" i="90" s="1"/>
  <c r="AN668" i="90"/>
  <c r="AS668" i="90"/>
  <c r="AN665" i="90"/>
  <c r="AW665" i="90" s="1"/>
  <c r="AO665" i="90"/>
  <c r="AS661" i="90"/>
  <c r="AM660" i="90"/>
  <c r="AU660" i="90" s="1"/>
  <c r="AN660" i="90"/>
  <c r="AS660" i="90"/>
  <c r="AN657" i="90"/>
  <c r="AW657" i="90" s="1"/>
  <c r="AO657" i="90"/>
  <c r="AS653" i="90"/>
  <c r="AM652" i="90"/>
  <c r="AU652" i="90" s="1"/>
  <c r="AN652" i="90"/>
  <c r="AS652" i="90"/>
  <c r="AM645" i="90"/>
  <c r="AU645" i="90" s="1"/>
  <c r="AO645" i="90"/>
  <c r="AR623" i="90"/>
  <c r="AT623" i="90"/>
  <c r="AQ623" i="90"/>
  <c r="AN621" i="90"/>
  <c r="AW621" i="90" s="1"/>
  <c r="AT620" i="90"/>
  <c r="AQ620" i="90"/>
  <c r="AS620" i="90" s="1"/>
  <c r="AY619" i="90"/>
  <c r="AM613" i="90"/>
  <c r="AU613" i="90" s="1"/>
  <c r="AO613" i="90"/>
  <c r="AR591" i="90"/>
  <c r="AT591" i="90"/>
  <c r="AQ591" i="90"/>
  <c r="AT588" i="90"/>
  <c r="AQ588" i="90"/>
  <c r="AZ587" i="90"/>
  <c r="AY587" i="90"/>
  <c r="AM581" i="90"/>
  <c r="AU581" i="90" s="1"/>
  <c r="AO581" i="90"/>
  <c r="AR569" i="90"/>
  <c r="AQ569" i="90"/>
  <c r="AT569" i="90"/>
  <c r="AR561" i="90"/>
  <c r="AQ561" i="90"/>
  <c r="AT561" i="90"/>
  <c r="AR553" i="90"/>
  <c r="AQ553" i="90"/>
  <c r="AT553" i="90"/>
  <c r="AT515" i="90"/>
  <c r="AQ515" i="90"/>
  <c r="AR515" i="90"/>
  <c r="AM504" i="90"/>
  <c r="AU504" i="90" s="1"/>
  <c r="AN504" i="90"/>
  <c r="AW504" i="90" s="1"/>
  <c r="AS504" i="90"/>
  <c r="AO504" i="90"/>
  <c r="AY448" i="90"/>
  <c r="AZ448" i="90"/>
  <c r="AY432" i="90"/>
  <c r="AZ432" i="90"/>
  <c r="AM279" i="90"/>
  <c r="AU279" i="90" s="1"/>
  <c r="AN279" i="90"/>
  <c r="AW279" i="90" s="1"/>
  <c r="AO279" i="90"/>
  <c r="AM200" i="90"/>
  <c r="AU200" i="90" s="1"/>
  <c r="AN200" i="90"/>
  <c r="AW200" i="90" s="1"/>
  <c r="AO200" i="90"/>
  <c r="AN857" i="90"/>
  <c r="AW857" i="90" s="1"/>
  <c r="AQ855" i="90"/>
  <c r="AS855" i="90" s="1"/>
  <c r="AO853" i="90"/>
  <c r="AQ850" i="90"/>
  <c r="AS850" i="90" s="1"/>
  <c r="AN849" i="90"/>
  <c r="AW849" i="90" s="1"/>
  <c r="AQ847" i="90"/>
  <c r="AS847" i="90" s="1"/>
  <c r="AO845" i="90"/>
  <c r="AQ842" i="90"/>
  <c r="AS842" i="90" s="1"/>
  <c r="AN841" i="90"/>
  <c r="AW841" i="90" s="1"/>
  <c r="AQ839" i="90"/>
  <c r="AS839" i="90" s="1"/>
  <c r="AO837" i="90"/>
  <c r="AQ834" i="90"/>
  <c r="AS834" i="90" s="1"/>
  <c r="AN833" i="90"/>
  <c r="AW833" i="90" s="1"/>
  <c r="AQ831" i="90"/>
  <c r="AS831" i="90" s="1"/>
  <c r="AO829" i="90"/>
  <c r="AQ826" i="90"/>
  <c r="AS826" i="90" s="1"/>
  <c r="AN825" i="90"/>
  <c r="AW825" i="90" s="1"/>
  <c r="AQ823" i="90"/>
  <c r="AS823" i="90" s="1"/>
  <c r="AO821" i="90"/>
  <c r="AQ818" i="90"/>
  <c r="AS818" i="90" s="1"/>
  <c r="AN817" i="90"/>
  <c r="AW817" i="90" s="1"/>
  <c r="AQ815" i="90"/>
  <c r="AS815" i="90" s="1"/>
  <c r="AQ813" i="90"/>
  <c r="AS813" i="90" s="1"/>
  <c r="AQ811" i="90"/>
  <c r="AS811" i="90" s="1"/>
  <c r="AQ809" i="90"/>
  <c r="AS809" i="90" s="1"/>
  <c r="AQ807" i="90"/>
  <c r="AS807" i="90" s="1"/>
  <c r="AQ805" i="90"/>
  <c r="AS805" i="90" s="1"/>
  <c r="AQ803" i="90"/>
  <c r="AS803" i="90" s="1"/>
  <c r="AQ801" i="90"/>
  <c r="AS801" i="90" s="1"/>
  <c r="AQ799" i="90"/>
  <c r="AS799" i="90" s="1"/>
  <c r="AQ797" i="90"/>
  <c r="AS797" i="90" s="1"/>
  <c r="AQ795" i="90"/>
  <c r="AS795" i="90" s="1"/>
  <c r="AQ793" i="90"/>
  <c r="AS793" i="90" s="1"/>
  <c r="AQ791" i="90"/>
  <c r="AS791" i="90" s="1"/>
  <c r="AQ789" i="90"/>
  <c r="AS789" i="90" s="1"/>
  <c r="AQ787" i="90"/>
  <c r="AS787" i="90" s="1"/>
  <c r="AQ785" i="90"/>
  <c r="AS785" i="90" s="1"/>
  <c r="AQ783" i="90"/>
  <c r="AS783" i="90" s="1"/>
  <c r="AQ781" i="90"/>
  <c r="AS781" i="90" s="1"/>
  <c r="AQ779" i="90"/>
  <c r="AS779" i="90" s="1"/>
  <c r="AQ777" i="90"/>
  <c r="AS777" i="90" s="1"/>
  <c r="AQ775" i="90"/>
  <c r="AS775" i="90" s="1"/>
  <c r="AQ773" i="90"/>
  <c r="AS773" i="90" s="1"/>
  <c r="AQ771" i="90"/>
  <c r="AS771" i="90" s="1"/>
  <c r="AQ769" i="90"/>
  <c r="AS769" i="90" s="1"/>
  <c r="AQ767" i="90"/>
  <c r="AS767" i="90" s="1"/>
  <c r="AQ765" i="90"/>
  <c r="AS765" i="90" s="1"/>
  <c r="AQ763" i="90"/>
  <c r="AS763" i="90" s="1"/>
  <c r="AQ761" i="90"/>
  <c r="AS761" i="90" s="1"/>
  <c r="AQ759" i="90"/>
  <c r="AS759" i="90" s="1"/>
  <c r="AQ757" i="90"/>
  <c r="AS757" i="90" s="1"/>
  <c r="AQ755" i="90"/>
  <c r="AS755" i="90" s="1"/>
  <c r="AQ753" i="90"/>
  <c r="AS753" i="90" s="1"/>
  <c r="AQ751" i="90"/>
  <c r="AS751" i="90" s="1"/>
  <c r="AQ749" i="90"/>
  <c r="AS749" i="90" s="1"/>
  <c r="AQ747" i="90"/>
  <c r="AS747" i="90" s="1"/>
  <c r="AQ745" i="90"/>
  <c r="AS745" i="90" s="1"/>
  <c r="AQ743" i="90"/>
  <c r="AS743" i="90" s="1"/>
  <c r="AQ741" i="90"/>
  <c r="AS741" i="90" s="1"/>
  <c r="AQ739" i="90"/>
  <c r="AS739" i="90" s="1"/>
  <c r="AQ737" i="90"/>
  <c r="AS737" i="90" s="1"/>
  <c r="AQ735" i="90"/>
  <c r="AS735" i="90" s="1"/>
  <c r="AQ733" i="90"/>
  <c r="AS733" i="90" s="1"/>
  <c r="AQ731" i="90"/>
  <c r="AS731" i="90" s="1"/>
  <c r="AQ729" i="90"/>
  <c r="AS729" i="90" s="1"/>
  <c r="AQ727" i="90"/>
  <c r="AS727" i="90" s="1"/>
  <c r="AQ725" i="90"/>
  <c r="AS725" i="90" s="1"/>
  <c r="AQ723" i="90"/>
  <c r="AS723" i="90" s="1"/>
  <c r="AQ721" i="90"/>
  <c r="AS721" i="90" s="1"/>
  <c r="AQ719" i="90"/>
  <c r="AS719" i="90" s="1"/>
  <c r="AQ717" i="90"/>
  <c r="AS717" i="90" s="1"/>
  <c r="AQ715" i="90"/>
  <c r="AS715" i="90" s="1"/>
  <c r="AQ713" i="90"/>
  <c r="AS713" i="90" s="1"/>
  <c r="AQ711" i="90"/>
  <c r="AS711" i="90" s="1"/>
  <c r="AQ709" i="90"/>
  <c r="AS709" i="90" s="1"/>
  <c r="AQ707" i="90"/>
  <c r="AS707" i="90" s="1"/>
  <c r="AQ705" i="90"/>
  <c r="AS705" i="90" s="1"/>
  <c r="AQ703" i="90"/>
  <c r="AS703" i="90" s="1"/>
  <c r="AQ701" i="90"/>
  <c r="AS701" i="90" s="1"/>
  <c r="AN699" i="90"/>
  <c r="AW699" i="90" s="1"/>
  <c r="AO699" i="90"/>
  <c r="AO698" i="90"/>
  <c r="AS695" i="90"/>
  <c r="AM694" i="90"/>
  <c r="AU694" i="90" s="1"/>
  <c r="AN694" i="90"/>
  <c r="AS694" i="90"/>
  <c r="AN691" i="90"/>
  <c r="AW691" i="90" s="1"/>
  <c r="AO691" i="90"/>
  <c r="AO690" i="90"/>
  <c r="AS687" i="90"/>
  <c r="AM686" i="90"/>
  <c r="AU686" i="90" s="1"/>
  <c r="AN686" i="90"/>
  <c r="AS686" i="90"/>
  <c r="AN683" i="90"/>
  <c r="AO683" i="90"/>
  <c r="AO682" i="90"/>
  <c r="AS679" i="90"/>
  <c r="AM678" i="90"/>
  <c r="AU678" i="90" s="1"/>
  <c r="AN678" i="90"/>
  <c r="AS678" i="90"/>
  <c r="AN675" i="90"/>
  <c r="AW675" i="90" s="1"/>
  <c r="AO675" i="90"/>
  <c r="AO674" i="90"/>
  <c r="AS671" i="90"/>
  <c r="AM670" i="90"/>
  <c r="AU670" i="90" s="1"/>
  <c r="AN670" i="90"/>
  <c r="AS670" i="90"/>
  <c r="AN667" i="90"/>
  <c r="AW667" i="90" s="1"/>
  <c r="AO667" i="90"/>
  <c r="AO666" i="90"/>
  <c r="AS663" i="90"/>
  <c r="AM662" i="90"/>
  <c r="AU662" i="90" s="1"/>
  <c r="AN662" i="90"/>
  <c r="AS662" i="90"/>
  <c r="AN659" i="90"/>
  <c r="AW659" i="90" s="1"/>
  <c r="AO659" i="90"/>
  <c r="AO658" i="90"/>
  <c r="AS655" i="90"/>
  <c r="AM654" i="90"/>
  <c r="AU654" i="90" s="1"/>
  <c r="AN654" i="90"/>
  <c r="AS654" i="90"/>
  <c r="AR647" i="90"/>
  <c r="AT647" i="90"/>
  <c r="AQ647" i="90"/>
  <c r="AN645" i="90"/>
  <c r="AW645" i="90" s="1"/>
  <c r="AT644" i="90"/>
  <c r="AQ644" i="90"/>
  <c r="AZ643" i="90"/>
  <c r="AY643" i="90"/>
  <c r="AM637" i="90"/>
  <c r="AU637" i="90" s="1"/>
  <c r="AO637" i="90"/>
  <c r="AR615" i="90"/>
  <c r="AT615" i="90"/>
  <c r="AQ615" i="90"/>
  <c r="AN613" i="90"/>
  <c r="AW613" i="90" s="1"/>
  <c r="AT612" i="90"/>
  <c r="AQ612" i="90"/>
  <c r="AM605" i="90"/>
  <c r="AU605" i="90" s="1"/>
  <c r="AO605" i="90"/>
  <c r="AR583" i="90"/>
  <c r="AT583" i="90"/>
  <c r="AQ583" i="90"/>
  <c r="AN581" i="90"/>
  <c r="AW581" i="90" s="1"/>
  <c r="AT580" i="90"/>
  <c r="AQ580" i="90"/>
  <c r="AZ579" i="90"/>
  <c r="AR571" i="90"/>
  <c r="AQ571" i="90"/>
  <c r="AT571" i="90"/>
  <c r="AR563" i="90"/>
  <c r="AQ563" i="90"/>
  <c r="AT563" i="90"/>
  <c r="AR555" i="90"/>
  <c r="AQ555" i="90"/>
  <c r="AS555" i="90" s="1"/>
  <c r="AT555" i="90"/>
  <c r="AR547" i="90"/>
  <c r="AQ547" i="90"/>
  <c r="AT547" i="90"/>
  <c r="AY464" i="90"/>
  <c r="AT419" i="90"/>
  <c r="AQ419" i="90"/>
  <c r="AR419" i="90"/>
  <c r="AM408" i="90"/>
  <c r="AU408" i="90" s="1"/>
  <c r="AN408" i="90"/>
  <c r="AW408" i="90" s="1"/>
  <c r="AS408" i="90"/>
  <c r="AO408" i="90"/>
  <c r="AM651" i="90"/>
  <c r="AU651" i="90" s="1"/>
  <c r="AN651" i="90"/>
  <c r="AW651" i="90" s="1"/>
  <c r="AO650" i="90"/>
  <c r="AM643" i="90"/>
  <c r="AU643" i="90" s="1"/>
  <c r="AN643" i="90"/>
  <c r="AO642" i="90"/>
  <c r="AM635" i="90"/>
  <c r="AU635" i="90" s="1"/>
  <c r="AN635" i="90"/>
  <c r="AO634" i="90"/>
  <c r="AM627" i="90"/>
  <c r="AU627" i="90" s="1"/>
  <c r="AN627" i="90"/>
  <c r="AW627" i="90" s="1"/>
  <c r="AO626" i="90"/>
  <c r="AM619" i="90"/>
  <c r="AU619" i="90" s="1"/>
  <c r="AN619" i="90"/>
  <c r="AO618" i="90"/>
  <c r="AM611" i="90"/>
  <c r="AU611" i="90" s="1"/>
  <c r="AN611" i="90"/>
  <c r="AO610" i="90"/>
  <c r="AM603" i="90"/>
  <c r="AU603" i="90" s="1"/>
  <c r="AN603" i="90"/>
  <c r="AW603" i="90" s="1"/>
  <c r="AO602" i="90"/>
  <c r="AM595" i="90"/>
  <c r="AU595" i="90" s="1"/>
  <c r="AN595" i="90"/>
  <c r="AW595" i="90" s="1"/>
  <c r="AO594" i="90"/>
  <c r="AM587" i="90"/>
  <c r="AU587" i="90" s="1"/>
  <c r="AN587" i="90"/>
  <c r="AW587" i="90" s="1"/>
  <c r="AO586" i="90"/>
  <c r="AM579" i="90"/>
  <c r="AU579" i="90" s="1"/>
  <c r="AN579" i="90"/>
  <c r="AO578" i="90"/>
  <c r="AO572" i="90"/>
  <c r="AO570" i="90"/>
  <c r="AO568" i="90"/>
  <c r="AO566" i="90"/>
  <c r="AO564" i="90"/>
  <c r="AO562" i="90"/>
  <c r="AO560" i="90"/>
  <c r="AO558" i="90"/>
  <c r="AO556" i="90"/>
  <c r="AO554" i="90"/>
  <c r="AO552" i="90"/>
  <c r="AO550" i="90"/>
  <c r="AO548" i="90"/>
  <c r="AO546" i="90"/>
  <c r="AS545" i="90"/>
  <c r="AN544" i="90"/>
  <c r="AW544" i="90" s="1"/>
  <c r="AS544" i="90"/>
  <c r="AO544" i="90"/>
  <c r="AY543" i="90"/>
  <c r="AZ543" i="90"/>
  <c r="AM539" i="90"/>
  <c r="AU539" i="90" s="1"/>
  <c r="AN539" i="90"/>
  <c r="AS537" i="90"/>
  <c r="AN536" i="90"/>
  <c r="AW536" i="90" s="1"/>
  <c r="AS536" i="90"/>
  <c r="AO536" i="90"/>
  <c r="AY535" i="90"/>
  <c r="AZ535" i="90"/>
  <c r="AM531" i="90"/>
  <c r="AU531" i="90" s="1"/>
  <c r="AN531" i="90"/>
  <c r="AS529" i="90"/>
  <c r="AN528" i="90"/>
  <c r="AW528" i="90" s="1"/>
  <c r="AS528" i="90"/>
  <c r="AO528" i="90"/>
  <c r="AM523" i="90"/>
  <c r="AU523" i="90" s="1"/>
  <c r="AN523" i="90"/>
  <c r="AT507" i="90"/>
  <c r="AQ507" i="90"/>
  <c r="AR507" i="90"/>
  <c r="AM496" i="90"/>
  <c r="AU496" i="90" s="1"/>
  <c r="AN496" i="90"/>
  <c r="AW496" i="90" s="1"/>
  <c r="AS496" i="90"/>
  <c r="AY488" i="90"/>
  <c r="AZ488" i="90"/>
  <c r="AT475" i="90"/>
  <c r="AQ475" i="90"/>
  <c r="AR475" i="90"/>
  <c r="AM464" i="90"/>
  <c r="AU464" i="90" s="1"/>
  <c r="AN464" i="90"/>
  <c r="AW464" i="90" s="1"/>
  <c r="AS464" i="90"/>
  <c r="AY456" i="90"/>
  <c r="AZ456" i="90"/>
  <c r="AT443" i="90"/>
  <c r="AQ443" i="90"/>
  <c r="AR443" i="90"/>
  <c r="AM432" i="90"/>
  <c r="AU432" i="90" s="1"/>
  <c r="AN432" i="90"/>
  <c r="AW432" i="90" s="1"/>
  <c r="AS432" i="90"/>
  <c r="AY424" i="90"/>
  <c r="AZ424" i="90"/>
  <c r="AT411" i="90"/>
  <c r="AQ411" i="90"/>
  <c r="AR411" i="90"/>
  <c r="AY396" i="90"/>
  <c r="AZ396" i="90"/>
  <c r="AY388" i="90"/>
  <c r="AZ388" i="90"/>
  <c r="AZ372" i="90"/>
  <c r="AY364" i="90"/>
  <c r="AY356" i="90"/>
  <c r="AZ356" i="90"/>
  <c r="AR301" i="90"/>
  <c r="AQ301" i="90"/>
  <c r="AT301" i="90"/>
  <c r="AM267" i="90"/>
  <c r="AU267" i="90" s="1"/>
  <c r="AN267" i="90"/>
  <c r="AS267" i="90"/>
  <c r="AO267" i="90"/>
  <c r="AQ650" i="90"/>
  <c r="AS650" i="90" s="1"/>
  <c r="AT649" i="90"/>
  <c r="AO648" i="90"/>
  <c r="AQ645" i="90"/>
  <c r="AS645" i="90" s="1"/>
  <c r="AQ642" i="90"/>
  <c r="AS642" i="90" s="1"/>
  <c r="AT641" i="90"/>
  <c r="AO640" i="90"/>
  <c r="AQ637" i="90"/>
  <c r="AS637" i="90" s="1"/>
  <c r="AQ634" i="90"/>
  <c r="AS634" i="90" s="1"/>
  <c r="AT633" i="90"/>
  <c r="AS633" i="90" s="1"/>
  <c r="AO632" i="90"/>
  <c r="AQ629" i="90"/>
  <c r="AS629" i="90" s="1"/>
  <c r="AQ626" i="90"/>
  <c r="AS626" i="90" s="1"/>
  <c r="AT625" i="90"/>
  <c r="AO624" i="90"/>
  <c r="AQ621" i="90"/>
  <c r="AS621" i="90" s="1"/>
  <c r="AQ618" i="90"/>
  <c r="AS618" i="90" s="1"/>
  <c r="AT617" i="90"/>
  <c r="AO616" i="90"/>
  <c r="AQ613" i="90"/>
  <c r="AS613" i="90" s="1"/>
  <c r="AQ610" i="90"/>
  <c r="AS610" i="90" s="1"/>
  <c r="AT609" i="90"/>
  <c r="AS609" i="90" s="1"/>
  <c r="AO608" i="90"/>
  <c r="AQ605" i="90"/>
  <c r="AS605" i="90" s="1"/>
  <c r="AQ602" i="90"/>
  <c r="AS602" i="90" s="1"/>
  <c r="AT601" i="90"/>
  <c r="AO600" i="90"/>
  <c r="AQ597" i="90"/>
  <c r="AS597" i="90" s="1"/>
  <c r="AQ594" i="90"/>
  <c r="AS594" i="90" s="1"/>
  <c r="AT593" i="90"/>
  <c r="AO592" i="90"/>
  <c r="AQ589" i="90"/>
  <c r="AS589" i="90" s="1"/>
  <c r="AQ586" i="90"/>
  <c r="AS586" i="90" s="1"/>
  <c r="AT585" i="90"/>
  <c r="AO584" i="90"/>
  <c r="AQ581" i="90"/>
  <c r="AS581" i="90" s="1"/>
  <c r="AQ578" i="90"/>
  <c r="AS578" i="90" s="1"/>
  <c r="AT577" i="90"/>
  <c r="AS577" i="90" s="1"/>
  <c r="AO576" i="90"/>
  <c r="AM541" i="90"/>
  <c r="AU541" i="90" s="1"/>
  <c r="AN541" i="90"/>
  <c r="AS539" i="90"/>
  <c r="AN538" i="90"/>
  <c r="AW538" i="90" s="1"/>
  <c r="AS538" i="90"/>
  <c r="AO538" i="90"/>
  <c r="AM533" i="90"/>
  <c r="AU533" i="90" s="1"/>
  <c r="AN533" i="90"/>
  <c r="AS531" i="90"/>
  <c r="AN530" i="90"/>
  <c r="AW530" i="90" s="1"/>
  <c r="AS530" i="90"/>
  <c r="AO530" i="90"/>
  <c r="AM525" i="90"/>
  <c r="AU525" i="90" s="1"/>
  <c r="AN525" i="90"/>
  <c r="AS523" i="90"/>
  <c r="AT499" i="90"/>
  <c r="AQ499" i="90"/>
  <c r="AR499" i="90"/>
  <c r="AM488" i="90"/>
  <c r="AU488" i="90" s="1"/>
  <c r="AN488" i="90"/>
  <c r="AW488" i="90" s="1"/>
  <c r="AS488" i="90"/>
  <c r="AT467" i="90"/>
  <c r="AQ467" i="90"/>
  <c r="AR467" i="90"/>
  <c r="AM456" i="90"/>
  <c r="AU456" i="90" s="1"/>
  <c r="AN456" i="90"/>
  <c r="AW456" i="90" s="1"/>
  <c r="AS456" i="90"/>
  <c r="AT435" i="90"/>
  <c r="AQ435" i="90"/>
  <c r="AR435" i="90"/>
  <c r="AM424" i="90"/>
  <c r="AU424" i="90" s="1"/>
  <c r="AN424" i="90"/>
  <c r="AW424" i="90" s="1"/>
  <c r="AS424" i="90"/>
  <c r="AT403" i="90"/>
  <c r="AQ403" i="90"/>
  <c r="AR403" i="90"/>
  <c r="AY292" i="90"/>
  <c r="AZ292" i="90"/>
  <c r="AW292" i="90"/>
  <c r="AT276" i="90"/>
  <c r="AQ276" i="90"/>
  <c r="AR276" i="90"/>
  <c r="AQ262" i="90"/>
  <c r="AR262" i="90"/>
  <c r="AT262" i="90"/>
  <c r="AY259" i="90"/>
  <c r="AN650" i="90"/>
  <c r="AW650" i="90" s="1"/>
  <c r="AO646" i="90"/>
  <c r="AN642" i="90"/>
  <c r="AW642" i="90" s="1"/>
  <c r="AO638" i="90"/>
  <c r="AN634" i="90"/>
  <c r="AO630" i="90"/>
  <c r="AN626" i="90"/>
  <c r="AW626" i="90" s="1"/>
  <c r="AO622" i="90"/>
  <c r="AN618" i="90"/>
  <c r="AW618" i="90" s="1"/>
  <c r="AO614" i="90"/>
  <c r="AN610" i="90"/>
  <c r="AW610" i="90" s="1"/>
  <c r="AO606" i="90"/>
  <c r="AN602" i="90"/>
  <c r="AW602" i="90" s="1"/>
  <c r="AO598" i="90"/>
  <c r="AN594" i="90"/>
  <c r="AW594" i="90" s="1"/>
  <c r="AO590" i="90"/>
  <c r="AN586" i="90"/>
  <c r="AW586" i="90" s="1"/>
  <c r="AO582" i="90"/>
  <c r="AN578" i="90"/>
  <c r="AW578" i="90" s="1"/>
  <c r="AO574" i="90"/>
  <c r="AN572" i="90"/>
  <c r="AW572" i="90" s="1"/>
  <c r="AN570" i="90"/>
  <c r="AW570" i="90" s="1"/>
  <c r="AN568" i="90"/>
  <c r="AW568" i="90" s="1"/>
  <c r="AN566" i="90"/>
  <c r="AW566" i="90" s="1"/>
  <c r="AN564" i="90"/>
  <c r="AW564" i="90" s="1"/>
  <c r="AN562" i="90"/>
  <c r="AW562" i="90" s="1"/>
  <c r="AN560" i="90"/>
  <c r="AW560" i="90" s="1"/>
  <c r="AN558" i="90"/>
  <c r="AW558" i="90" s="1"/>
  <c r="AN556" i="90"/>
  <c r="AW556" i="90" s="1"/>
  <c r="AN554" i="90"/>
  <c r="AW554" i="90" s="1"/>
  <c r="AN552" i="90"/>
  <c r="AW552" i="90" s="1"/>
  <c r="AN550" i="90"/>
  <c r="AW550" i="90" s="1"/>
  <c r="AN548" i="90"/>
  <c r="AW548" i="90" s="1"/>
  <c r="AN546" i="90"/>
  <c r="AW546" i="90" s="1"/>
  <c r="AM543" i="90"/>
  <c r="AU543" i="90" s="1"/>
  <c r="AN543" i="90"/>
  <c r="AW543" i="90" s="1"/>
  <c r="AN540" i="90"/>
  <c r="AW540" i="90" s="1"/>
  <c r="AS540" i="90"/>
  <c r="AO540" i="90"/>
  <c r="AO539" i="90"/>
  <c r="AM535" i="90"/>
  <c r="AU535" i="90" s="1"/>
  <c r="AN535" i="90"/>
  <c r="AW535" i="90" s="1"/>
  <c r="AN532" i="90"/>
  <c r="AW532" i="90" s="1"/>
  <c r="AS532" i="90"/>
  <c r="AO532" i="90"/>
  <c r="AO531" i="90"/>
  <c r="AM527" i="90"/>
  <c r="AU527" i="90" s="1"/>
  <c r="AN527" i="90"/>
  <c r="AW527" i="90" s="1"/>
  <c r="AN524" i="90"/>
  <c r="AW524" i="90" s="1"/>
  <c r="AS524" i="90"/>
  <c r="AO524" i="90"/>
  <c r="AO523" i="90"/>
  <c r="AM512" i="90"/>
  <c r="AU512" i="90" s="1"/>
  <c r="AN512" i="90"/>
  <c r="AW512" i="90" s="1"/>
  <c r="AS512" i="90"/>
  <c r="AT491" i="90"/>
  <c r="AQ491" i="90"/>
  <c r="AR491" i="90"/>
  <c r="AM480" i="90"/>
  <c r="AU480" i="90" s="1"/>
  <c r="AN480" i="90"/>
  <c r="AW480" i="90" s="1"/>
  <c r="AS480" i="90"/>
  <c r="AT459" i="90"/>
  <c r="AQ459" i="90"/>
  <c r="AR459" i="90"/>
  <c r="AM448" i="90"/>
  <c r="AU448" i="90" s="1"/>
  <c r="AN448" i="90"/>
  <c r="AW448" i="90" s="1"/>
  <c r="AS448" i="90"/>
  <c r="AT427" i="90"/>
  <c r="AQ427" i="90"/>
  <c r="AR427" i="90"/>
  <c r="AM416" i="90"/>
  <c r="AU416" i="90" s="1"/>
  <c r="AN416" i="90"/>
  <c r="AW416" i="90" s="1"/>
  <c r="AS416" i="90"/>
  <c r="AY398" i="90"/>
  <c r="AZ398" i="90"/>
  <c r="AY390" i="90"/>
  <c r="AZ390" i="90"/>
  <c r="AY382" i="90"/>
  <c r="AZ382" i="90"/>
  <c r="AY374" i="90"/>
  <c r="AZ374" i="90"/>
  <c r="AY366" i="90"/>
  <c r="AY358" i="90"/>
  <c r="AZ340" i="90"/>
  <c r="AY263" i="90"/>
  <c r="AY249" i="90"/>
  <c r="AZ249" i="90"/>
  <c r="AQ521" i="90"/>
  <c r="AS521" i="90" s="1"/>
  <c r="AY520" i="90"/>
  <c r="AQ519" i="90"/>
  <c r="AS519" i="90" s="1"/>
  <c r="AQ517" i="90"/>
  <c r="AS517" i="90" s="1"/>
  <c r="AN513" i="90"/>
  <c r="AW513" i="90" s="1"/>
  <c r="AO513" i="90"/>
  <c r="AM510" i="90"/>
  <c r="AU510" i="90" s="1"/>
  <c r="AO510" i="90"/>
  <c r="AQ509" i="90"/>
  <c r="AS509" i="90" s="1"/>
  <c r="AN505" i="90"/>
  <c r="AW505" i="90" s="1"/>
  <c r="AO505" i="90"/>
  <c r="AM502" i="90"/>
  <c r="AU502" i="90" s="1"/>
  <c r="AO502" i="90"/>
  <c r="AQ501" i="90"/>
  <c r="AS501" i="90" s="1"/>
  <c r="AN497" i="90"/>
  <c r="AO497" i="90"/>
  <c r="AM494" i="90"/>
  <c r="AU494" i="90" s="1"/>
  <c r="AO494" i="90"/>
  <c r="AQ493" i="90"/>
  <c r="AS493" i="90" s="1"/>
  <c r="AN489" i="90"/>
  <c r="AW489" i="90" s="1"/>
  <c r="AO489" i="90"/>
  <c r="AM486" i="90"/>
  <c r="AU486" i="90" s="1"/>
  <c r="AO486" i="90"/>
  <c r="AQ485" i="90"/>
  <c r="AS485" i="90" s="1"/>
  <c r="AN481" i="90"/>
  <c r="AW481" i="90" s="1"/>
  <c r="AO481" i="90"/>
  <c r="AM478" i="90"/>
  <c r="AU478" i="90" s="1"/>
  <c r="AO478" i="90"/>
  <c r="AQ477" i="90"/>
  <c r="AS477" i="90" s="1"/>
  <c r="AN473" i="90"/>
  <c r="AW473" i="90" s="1"/>
  <c r="AO473" i="90"/>
  <c r="AM470" i="90"/>
  <c r="AU470" i="90" s="1"/>
  <c r="AO470" i="90"/>
  <c r="AQ469" i="90"/>
  <c r="AS469" i="90" s="1"/>
  <c r="AN465" i="90"/>
  <c r="AW465" i="90" s="1"/>
  <c r="AO465" i="90"/>
  <c r="AM462" i="90"/>
  <c r="AU462" i="90" s="1"/>
  <c r="AO462" i="90"/>
  <c r="AQ461" i="90"/>
  <c r="AS461" i="90" s="1"/>
  <c r="AN457" i="90"/>
  <c r="AW457" i="90" s="1"/>
  <c r="AO457" i="90"/>
  <c r="AM454" i="90"/>
  <c r="AU454" i="90" s="1"/>
  <c r="AO454" i="90"/>
  <c r="AQ453" i="90"/>
  <c r="AS453" i="90" s="1"/>
  <c r="AN449" i="90"/>
  <c r="AW449" i="90" s="1"/>
  <c r="AO449" i="90"/>
  <c r="AM446" i="90"/>
  <c r="AU446" i="90" s="1"/>
  <c r="AO446" i="90"/>
  <c r="AQ445" i="90"/>
  <c r="AS445" i="90" s="1"/>
  <c r="AN441" i="90"/>
  <c r="AW441" i="90" s="1"/>
  <c r="AO441" i="90"/>
  <c r="AM438" i="90"/>
  <c r="AU438" i="90" s="1"/>
  <c r="AO438" i="90"/>
  <c r="AQ437" i="90"/>
  <c r="AS437" i="90" s="1"/>
  <c r="AN433" i="90"/>
  <c r="AW433" i="90" s="1"/>
  <c r="AO433" i="90"/>
  <c r="AM430" i="90"/>
  <c r="AU430" i="90" s="1"/>
  <c r="AO430" i="90"/>
  <c r="AQ429" i="90"/>
  <c r="AS429" i="90" s="1"/>
  <c r="AN425" i="90"/>
  <c r="AW425" i="90" s="1"/>
  <c r="AO425" i="90"/>
  <c r="AM422" i="90"/>
  <c r="AU422" i="90" s="1"/>
  <c r="AO422" i="90"/>
  <c r="AQ421" i="90"/>
  <c r="AS421" i="90" s="1"/>
  <c r="AN417" i="90"/>
  <c r="AW417" i="90" s="1"/>
  <c r="AO417" i="90"/>
  <c r="AM414" i="90"/>
  <c r="AU414" i="90" s="1"/>
  <c r="AO414" i="90"/>
  <c r="AQ413" i="90"/>
  <c r="AS413" i="90" s="1"/>
  <c r="AN409" i="90"/>
  <c r="AW409" i="90" s="1"/>
  <c r="AO409" i="90"/>
  <c r="AM406" i="90"/>
  <c r="AU406" i="90" s="1"/>
  <c r="AO406" i="90"/>
  <c r="AQ405" i="90"/>
  <c r="AS405" i="90" s="1"/>
  <c r="AN401" i="90"/>
  <c r="AW401" i="90" s="1"/>
  <c r="AO401" i="90"/>
  <c r="AN399" i="90"/>
  <c r="AW399" i="90" s="1"/>
  <c r="AO399" i="90"/>
  <c r="AN397" i="90"/>
  <c r="AO397" i="90"/>
  <c r="AN395" i="90"/>
  <c r="AW395" i="90" s="1"/>
  <c r="AO395" i="90"/>
  <c r="AN393" i="90"/>
  <c r="AW393" i="90" s="1"/>
  <c r="AO393" i="90"/>
  <c r="AN391" i="90"/>
  <c r="AO391" i="90"/>
  <c r="AN389" i="90"/>
  <c r="AO389" i="90"/>
  <c r="AN387" i="90"/>
  <c r="AW387" i="90" s="1"/>
  <c r="AO387" i="90"/>
  <c r="AN385" i="90"/>
  <c r="AW385" i="90" s="1"/>
  <c r="AO385" i="90"/>
  <c r="AN383" i="90"/>
  <c r="AO383" i="90"/>
  <c r="AN381" i="90"/>
  <c r="AO381" i="90"/>
  <c r="AN379" i="90"/>
  <c r="AW379" i="90" s="1"/>
  <c r="AO379" i="90"/>
  <c r="AN377" i="90"/>
  <c r="AW377" i="90" s="1"/>
  <c r="AO377" i="90"/>
  <c r="AN375" i="90"/>
  <c r="AO375" i="90"/>
  <c r="AN373" i="90"/>
  <c r="AW373" i="90" s="1"/>
  <c r="AO373" i="90"/>
  <c r="AN371" i="90"/>
  <c r="AW371" i="90" s="1"/>
  <c r="AO371" i="90"/>
  <c r="AN369" i="90"/>
  <c r="AW369" i="90" s="1"/>
  <c r="AO369" i="90"/>
  <c r="AN367" i="90"/>
  <c r="AW367" i="90" s="1"/>
  <c r="AO367" i="90"/>
  <c r="AN365" i="90"/>
  <c r="AO365" i="90"/>
  <c r="AN363" i="90"/>
  <c r="AW363" i="90" s="1"/>
  <c r="AO363" i="90"/>
  <c r="AN361" i="90"/>
  <c r="AW361" i="90" s="1"/>
  <c r="AO361" i="90"/>
  <c r="AN359" i="90"/>
  <c r="AO359" i="90"/>
  <c r="AN357" i="90"/>
  <c r="AO357" i="90"/>
  <c r="AN355" i="90"/>
  <c r="AW355" i="90" s="1"/>
  <c r="AO355" i="90"/>
  <c r="AN353" i="90"/>
  <c r="AW353" i="90" s="1"/>
  <c r="AO353" i="90"/>
  <c r="AM348" i="90"/>
  <c r="AU348" i="90" s="1"/>
  <c r="AN348" i="90"/>
  <c r="AW348" i="90" s="1"/>
  <c r="AS348" i="90"/>
  <c r="AN345" i="90"/>
  <c r="AO345" i="90"/>
  <c r="AT343" i="90"/>
  <c r="AQ343" i="90"/>
  <c r="AM332" i="90"/>
  <c r="AU332" i="90" s="1"/>
  <c r="AN332" i="90"/>
  <c r="AS332" i="90"/>
  <c r="AY330" i="90"/>
  <c r="AZ330" i="90"/>
  <c r="AN329" i="90"/>
  <c r="AW329" i="90" s="1"/>
  <c r="AO329" i="90"/>
  <c r="AT327" i="90"/>
  <c r="AQ327" i="90"/>
  <c r="AM319" i="90"/>
  <c r="AU319" i="90" s="1"/>
  <c r="AN319" i="90"/>
  <c r="AO319" i="90"/>
  <c r="AR309" i="90"/>
  <c r="AQ309" i="90"/>
  <c r="AT309" i="90"/>
  <c r="AM287" i="90"/>
  <c r="AU287" i="90" s="1"/>
  <c r="AN287" i="90"/>
  <c r="AW287" i="90" s="1"/>
  <c r="AO287" i="90"/>
  <c r="AN258" i="90"/>
  <c r="AW258" i="90" s="1"/>
  <c r="AM258" i="90"/>
  <c r="AU258" i="90" s="1"/>
  <c r="AO258" i="90"/>
  <c r="AM249" i="90"/>
  <c r="AU249" i="90" s="1"/>
  <c r="AN249" i="90"/>
  <c r="AW249" i="90" s="1"/>
  <c r="AS249" i="90"/>
  <c r="AT244" i="90"/>
  <c r="AQ244" i="90"/>
  <c r="AR244" i="90"/>
  <c r="AM192" i="90"/>
  <c r="AU192" i="90" s="1"/>
  <c r="AN192" i="90"/>
  <c r="AW192" i="90" s="1"/>
  <c r="AO192" i="90"/>
  <c r="AY149" i="90"/>
  <c r="AR63" i="90"/>
  <c r="AT63" i="90"/>
  <c r="AQ63" i="90"/>
  <c r="AM522" i="90"/>
  <c r="AU522" i="90" s="1"/>
  <c r="AN522" i="90"/>
  <c r="AM520" i="90"/>
  <c r="AU520" i="90" s="1"/>
  <c r="AN520" i="90"/>
  <c r="AM518" i="90"/>
  <c r="AU518" i="90" s="1"/>
  <c r="AN518" i="90"/>
  <c r="AM516" i="90"/>
  <c r="AU516" i="90" s="1"/>
  <c r="AO516" i="90"/>
  <c r="AR513" i="90"/>
  <c r="AN511" i="90"/>
  <c r="AW511" i="90" s="1"/>
  <c r="AO511" i="90"/>
  <c r="AS510" i="90"/>
  <c r="AN510" i="90"/>
  <c r="AM508" i="90"/>
  <c r="AU508" i="90" s="1"/>
  <c r="AO508" i="90"/>
  <c r="AR505" i="90"/>
  <c r="AN503" i="90"/>
  <c r="AO503" i="90"/>
  <c r="AS502" i="90"/>
  <c r="AN502" i="90"/>
  <c r="AM500" i="90"/>
  <c r="AU500" i="90" s="1"/>
  <c r="AO500" i="90"/>
  <c r="AR497" i="90"/>
  <c r="AN495" i="90"/>
  <c r="AW495" i="90" s="1"/>
  <c r="AO495" i="90"/>
  <c r="AS494" i="90"/>
  <c r="AN494" i="90"/>
  <c r="AM492" i="90"/>
  <c r="AU492" i="90" s="1"/>
  <c r="AO492" i="90"/>
  <c r="AR489" i="90"/>
  <c r="AN487" i="90"/>
  <c r="AO487" i="90"/>
  <c r="AS486" i="90"/>
  <c r="AN486" i="90"/>
  <c r="AM484" i="90"/>
  <c r="AU484" i="90" s="1"/>
  <c r="AO484" i="90"/>
  <c r="AR481" i="90"/>
  <c r="AN479" i="90"/>
  <c r="AW479" i="90" s="1"/>
  <c r="AO479" i="90"/>
  <c r="AS478" i="90"/>
  <c r="AN478" i="90"/>
  <c r="AM476" i="90"/>
  <c r="AU476" i="90" s="1"/>
  <c r="AO476" i="90"/>
  <c r="AR473" i="90"/>
  <c r="AN471" i="90"/>
  <c r="AO471" i="90"/>
  <c r="AS470" i="90"/>
  <c r="AN470" i="90"/>
  <c r="AM468" i="90"/>
  <c r="AU468" i="90" s="1"/>
  <c r="AO468" i="90"/>
  <c r="AR465" i="90"/>
  <c r="AN463" i="90"/>
  <c r="AW463" i="90" s="1"/>
  <c r="AO463" i="90"/>
  <c r="AS462" i="90"/>
  <c r="AN462" i="90"/>
  <c r="AM460" i="90"/>
  <c r="AU460" i="90" s="1"/>
  <c r="AO460" i="90"/>
  <c r="AR457" i="90"/>
  <c r="AN455" i="90"/>
  <c r="AO455" i="90"/>
  <c r="AS454" i="90"/>
  <c r="AN454" i="90"/>
  <c r="AM452" i="90"/>
  <c r="AU452" i="90" s="1"/>
  <c r="AO452" i="90"/>
  <c r="AR449" i="90"/>
  <c r="AN447" i="90"/>
  <c r="AW447" i="90" s="1"/>
  <c r="AO447" i="90"/>
  <c r="AS446" i="90"/>
  <c r="AN446" i="90"/>
  <c r="AM444" i="90"/>
  <c r="AU444" i="90" s="1"/>
  <c r="AO444" i="90"/>
  <c r="AR441" i="90"/>
  <c r="AN439" i="90"/>
  <c r="AO439" i="90"/>
  <c r="AS438" i="90"/>
  <c r="AN438" i="90"/>
  <c r="AM436" i="90"/>
  <c r="AU436" i="90" s="1"/>
  <c r="AO436" i="90"/>
  <c r="AR433" i="90"/>
  <c r="AN431" i="90"/>
  <c r="AW431" i="90" s="1"/>
  <c r="AO431" i="90"/>
  <c r="AS430" i="90"/>
  <c r="AN430" i="90"/>
  <c r="AM428" i="90"/>
  <c r="AU428" i="90" s="1"/>
  <c r="AO428" i="90"/>
  <c r="AR425" i="90"/>
  <c r="AN423" i="90"/>
  <c r="AW423" i="90" s="1"/>
  <c r="AO423" i="90"/>
  <c r="AS422" i="90"/>
  <c r="AN422" i="90"/>
  <c r="AM420" i="90"/>
  <c r="AU420" i="90" s="1"/>
  <c r="AO420" i="90"/>
  <c r="AR417" i="90"/>
  <c r="AN415" i="90"/>
  <c r="AW415" i="90" s="1"/>
  <c r="AO415" i="90"/>
  <c r="AS414" i="90"/>
  <c r="AN414" i="90"/>
  <c r="AM412" i="90"/>
  <c r="AU412" i="90" s="1"/>
  <c r="AO412" i="90"/>
  <c r="AR409" i="90"/>
  <c r="AN407" i="90"/>
  <c r="AW407" i="90" s="1"/>
  <c r="AO407" i="90"/>
  <c r="AS406" i="90"/>
  <c r="AN406" i="90"/>
  <c r="AM404" i="90"/>
  <c r="AU404" i="90" s="1"/>
  <c r="AO404" i="90"/>
  <c r="AS337" i="90"/>
  <c r="AS321" i="90"/>
  <c r="AR317" i="90"/>
  <c r="AQ317" i="90"/>
  <c r="AS317" i="90" s="1"/>
  <c r="AT317" i="90"/>
  <c r="AY308" i="90"/>
  <c r="AM295" i="90"/>
  <c r="AU295" i="90" s="1"/>
  <c r="AN295" i="90"/>
  <c r="AW295" i="90" s="1"/>
  <c r="AO295" i="90"/>
  <c r="AR285" i="90"/>
  <c r="AQ285" i="90"/>
  <c r="AT285" i="90"/>
  <c r="AR212" i="90"/>
  <c r="AQ212" i="90"/>
  <c r="AT212" i="90"/>
  <c r="AM184" i="90"/>
  <c r="AU184" i="90" s="1"/>
  <c r="AN184" i="90"/>
  <c r="AW184" i="90" s="1"/>
  <c r="AO184" i="90"/>
  <c r="AN170" i="90"/>
  <c r="AW170" i="90" s="1"/>
  <c r="AO170" i="90"/>
  <c r="AM170" i="90"/>
  <c r="AU170" i="90" s="1"/>
  <c r="AN521" i="90"/>
  <c r="AW521" i="90" s="1"/>
  <c r="AO521" i="90"/>
  <c r="AN519" i="90"/>
  <c r="AO519" i="90"/>
  <c r="AN517" i="90"/>
  <c r="AW517" i="90" s="1"/>
  <c r="AO517" i="90"/>
  <c r="AM514" i="90"/>
  <c r="AU514" i="90" s="1"/>
  <c r="AO514" i="90"/>
  <c r="AN509" i="90"/>
  <c r="AW509" i="90" s="1"/>
  <c r="AO509" i="90"/>
  <c r="AM506" i="90"/>
  <c r="AU506" i="90" s="1"/>
  <c r="AO506" i="90"/>
  <c r="AN501" i="90"/>
  <c r="AW501" i="90" s="1"/>
  <c r="AO501" i="90"/>
  <c r="AM498" i="90"/>
  <c r="AU498" i="90" s="1"/>
  <c r="AO498" i="90"/>
  <c r="AN493" i="90"/>
  <c r="AW493" i="90" s="1"/>
  <c r="AO493" i="90"/>
  <c r="AM490" i="90"/>
  <c r="AU490" i="90" s="1"/>
  <c r="AO490" i="90"/>
  <c r="AN485" i="90"/>
  <c r="AW485" i="90" s="1"/>
  <c r="AO485" i="90"/>
  <c r="AM482" i="90"/>
  <c r="AU482" i="90" s="1"/>
  <c r="AO482" i="90"/>
  <c r="AN477" i="90"/>
  <c r="AW477" i="90" s="1"/>
  <c r="AO477" i="90"/>
  <c r="AM474" i="90"/>
  <c r="AU474" i="90" s="1"/>
  <c r="AO474" i="90"/>
  <c r="AN469" i="90"/>
  <c r="AW469" i="90" s="1"/>
  <c r="AO469" i="90"/>
  <c r="AM466" i="90"/>
  <c r="AU466" i="90" s="1"/>
  <c r="AO466" i="90"/>
  <c r="AN461" i="90"/>
  <c r="AW461" i="90" s="1"/>
  <c r="AO461" i="90"/>
  <c r="AM458" i="90"/>
  <c r="AU458" i="90" s="1"/>
  <c r="AO458" i="90"/>
  <c r="AN453" i="90"/>
  <c r="AO453" i="90"/>
  <c r="AM450" i="90"/>
  <c r="AU450" i="90" s="1"/>
  <c r="AO450" i="90"/>
  <c r="AN445" i="90"/>
  <c r="AW445" i="90" s="1"/>
  <c r="AO445" i="90"/>
  <c r="AM442" i="90"/>
  <c r="AU442" i="90" s="1"/>
  <c r="AO442" i="90"/>
  <c r="AN437" i="90"/>
  <c r="AW437" i="90" s="1"/>
  <c r="AO437" i="90"/>
  <c r="AM434" i="90"/>
  <c r="AU434" i="90" s="1"/>
  <c r="AO434" i="90"/>
  <c r="AN429" i="90"/>
  <c r="AW429" i="90" s="1"/>
  <c r="AO429" i="90"/>
  <c r="AM426" i="90"/>
  <c r="AU426" i="90" s="1"/>
  <c r="AO426" i="90"/>
  <c r="AN421" i="90"/>
  <c r="AW421" i="90" s="1"/>
  <c r="AO421" i="90"/>
  <c r="AM418" i="90"/>
  <c r="AU418" i="90" s="1"/>
  <c r="AO418" i="90"/>
  <c r="AN413" i="90"/>
  <c r="AW413" i="90" s="1"/>
  <c r="AO413" i="90"/>
  <c r="AM410" i="90"/>
  <c r="AU410" i="90" s="1"/>
  <c r="AO410" i="90"/>
  <c r="AN405" i="90"/>
  <c r="AO405" i="90"/>
  <c r="AM402" i="90"/>
  <c r="AU402" i="90" s="1"/>
  <c r="AN402" i="90"/>
  <c r="AW402" i="90" s="1"/>
  <c r="AS402" i="90"/>
  <c r="AM400" i="90"/>
  <c r="AU400" i="90" s="1"/>
  <c r="AN400" i="90"/>
  <c r="AW400" i="90" s="1"/>
  <c r="AS400" i="90"/>
  <c r="AM398" i="90"/>
  <c r="AU398" i="90" s="1"/>
  <c r="AN398" i="90"/>
  <c r="AS398" i="90"/>
  <c r="AM396" i="90"/>
  <c r="AU396" i="90" s="1"/>
  <c r="AN396" i="90"/>
  <c r="AW396" i="90" s="1"/>
  <c r="AS396" i="90"/>
  <c r="AM394" i="90"/>
  <c r="AU394" i="90" s="1"/>
  <c r="AN394" i="90"/>
  <c r="AW394" i="90" s="1"/>
  <c r="AS394" i="90"/>
  <c r="AM392" i="90"/>
  <c r="AU392" i="90" s="1"/>
  <c r="AN392" i="90"/>
  <c r="AW392" i="90" s="1"/>
  <c r="AS392" i="90"/>
  <c r="AM390" i="90"/>
  <c r="AU390" i="90" s="1"/>
  <c r="AN390" i="90"/>
  <c r="AS390" i="90"/>
  <c r="AM388" i="90"/>
  <c r="AU388" i="90" s="1"/>
  <c r="AN388" i="90"/>
  <c r="AS388" i="90"/>
  <c r="AM386" i="90"/>
  <c r="AU386" i="90" s="1"/>
  <c r="AN386" i="90"/>
  <c r="AW386" i="90" s="1"/>
  <c r="AS386" i="90"/>
  <c r="AM384" i="90"/>
  <c r="AU384" i="90" s="1"/>
  <c r="AN384" i="90"/>
  <c r="AW384" i="90" s="1"/>
  <c r="AS384" i="90"/>
  <c r="AM382" i="90"/>
  <c r="AU382" i="90" s="1"/>
  <c r="AN382" i="90"/>
  <c r="AS382" i="90"/>
  <c r="AM380" i="90"/>
  <c r="AU380" i="90" s="1"/>
  <c r="AN380" i="90"/>
  <c r="AW380" i="90" s="1"/>
  <c r="AS380" i="90"/>
  <c r="AM378" i="90"/>
  <c r="AU378" i="90" s="1"/>
  <c r="AN378" i="90"/>
  <c r="AW378" i="90" s="1"/>
  <c r="AS378" i="90"/>
  <c r="AM376" i="90"/>
  <c r="AU376" i="90" s="1"/>
  <c r="AN376" i="90"/>
  <c r="AW376" i="90" s="1"/>
  <c r="AS376" i="90"/>
  <c r="AM374" i="90"/>
  <c r="AU374" i="90" s="1"/>
  <c r="AN374" i="90"/>
  <c r="AW374" i="90" s="1"/>
  <c r="AS374" i="90"/>
  <c r="AM372" i="90"/>
  <c r="AU372" i="90" s="1"/>
  <c r="AN372" i="90"/>
  <c r="AS372" i="90"/>
  <c r="AM370" i="90"/>
  <c r="AU370" i="90" s="1"/>
  <c r="AN370" i="90"/>
  <c r="AW370" i="90" s="1"/>
  <c r="AS370" i="90"/>
  <c r="AM368" i="90"/>
  <c r="AU368" i="90" s="1"/>
  <c r="AN368" i="90"/>
  <c r="AW368" i="90" s="1"/>
  <c r="AS368" i="90"/>
  <c r="AM366" i="90"/>
  <c r="AU366" i="90" s="1"/>
  <c r="AN366" i="90"/>
  <c r="AS366" i="90"/>
  <c r="AM364" i="90"/>
  <c r="AU364" i="90" s="1"/>
  <c r="AN364" i="90"/>
  <c r="AW364" i="90" s="1"/>
  <c r="AS364" i="90"/>
  <c r="AM362" i="90"/>
  <c r="AU362" i="90" s="1"/>
  <c r="AN362" i="90"/>
  <c r="AW362" i="90" s="1"/>
  <c r="AS362" i="90"/>
  <c r="AM360" i="90"/>
  <c r="AU360" i="90" s="1"/>
  <c r="AN360" i="90"/>
  <c r="AW360" i="90" s="1"/>
  <c r="AS360" i="90"/>
  <c r="AM358" i="90"/>
  <c r="AU358" i="90" s="1"/>
  <c r="AN358" i="90"/>
  <c r="AW358" i="90" s="1"/>
  <c r="AS358" i="90"/>
  <c r="AM356" i="90"/>
  <c r="AU356" i="90" s="1"/>
  <c r="AN356" i="90"/>
  <c r="AW356" i="90" s="1"/>
  <c r="AS356" i="90"/>
  <c r="AM354" i="90"/>
  <c r="AU354" i="90" s="1"/>
  <c r="AN354" i="90"/>
  <c r="AW354" i="90" s="1"/>
  <c r="AS354" i="90"/>
  <c r="AM352" i="90"/>
  <c r="AU352" i="90" s="1"/>
  <c r="AN352" i="90"/>
  <c r="AW352" i="90" s="1"/>
  <c r="AS352" i="90"/>
  <c r="AT351" i="90"/>
  <c r="AQ351" i="90"/>
  <c r="AM340" i="90"/>
  <c r="AU340" i="90" s="1"/>
  <c r="AN340" i="90"/>
  <c r="AW340" i="90" s="1"/>
  <c r="AS340" i="90"/>
  <c r="AY338" i="90"/>
  <c r="AZ338" i="90"/>
  <c r="AN337" i="90"/>
  <c r="AW337" i="90" s="1"/>
  <c r="AO337" i="90"/>
  <c r="AT335" i="90"/>
  <c r="AQ335" i="90"/>
  <c r="AM324" i="90"/>
  <c r="AU324" i="90" s="1"/>
  <c r="AN324" i="90"/>
  <c r="AW324" i="90" s="1"/>
  <c r="AS324" i="90"/>
  <c r="AN321" i="90"/>
  <c r="AO321" i="90"/>
  <c r="AY316" i="90"/>
  <c r="AM303" i="90"/>
  <c r="AU303" i="90" s="1"/>
  <c r="AN303" i="90"/>
  <c r="AW303" i="90" s="1"/>
  <c r="AO303" i="90"/>
  <c r="AR293" i="90"/>
  <c r="AQ293" i="90"/>
  <c r="AT293" i="90"/>
  <c r="AN270" i="90"/>
  <c r="AW270" i="90" s="1"/>
  <c r="AO270" i="90"/>
  <c r="AM270" i="90"/>
  <c r="AU270" i="90" s="1"/>
  <c r="AN264" i="90"/>
  <c r="AW264" i="90" s="1"/>
  <c r="AO264" i="90"/>
  <c r="AY250" i="90"/>
  <c r="AZ250" i="90"/>
  <c r="AR228" i="90"/>
  <c r="AQ228" i="90"/>
  <c r="AT228" i="90"/>
  <c r="AM176" i="90"/>
  <c r="AU176" i="90" s="1"/>
  <c r="AN176" i="90"/>
  <c r="AW176" i="90" s="1"/>
  <c r="AO176" i="90"/>
  <c r="AM157" i="90"/>
  <c r="AU157" i="90" s="1"/>
  <c r="AN157" i="90"/>
  <c r="AW157" i="90" s="1"/>
  <c r="AS157" i="90"/>
  <c r="AO157" i="90"/>
  <c r="AO350" i="90"/>
  <c r="AM347" i="90"/>
  <c r="AU347" i="90" s="1"/>
  <c r="AO342" i="90"/>
  <c r="AM339" i="90"/>
  <c r="AU339" i="90" s="1"/>
  <c r="AO334" i="90"/>
  <c r="AM331" i="90"/>
  <c r="AU331" i="90" s="1"/>
  <c r="AO326" i="90"/>
  <c r="AM323" i="90"/>
  <c r="AU323" i="90" s="1"/>
  <c r="AS319" i="90"/>
  <c r="AS311" i="90"/>
  <c r="AS303" i="90"/>
  <c r="AS295" i="90"/>
  <c r="AS287" i="90"/>
  <c r="AS279" i="90"/>
  <c r="AM273" i="90"/>
  <c r="AU273" i="90" s="1"/>
  <c r="AO273" i="90"/>
  <c r="AN268" i="90"/>
  <c r="AM268" i="90"/>
  <c r="AU268" i="90" s="1"/>
  <c r="AO268" i="90"/>
  <c r="AM259" i="90"/>
  <c r="AU259" i="90" s="1"/>
  <c r="AN259" i="90"/>
  <c r="AW259" i="90" s="1"/>
  <c r="AS259" i="90"/>
  <c r="AN256" i="90"/>
  <c r="AW256" i="90" s="1"/>
  <c r="AM256" i="90"/>
  <c r="AU256" i="90" s="1"/>
  <c r="AN250" i="90"/>
  <c r="AW250" i="90" s="1"/>
  <c r="AM250" i="90"/>
  <c r="AU250" i="90" s="1"/>
  <c r="AT238" i="90"/>
  <c r="AR238" i="90"/>
  <c r="AM236" i="90"/>
  <c r="AU236" i="90" s="1"/>
  <c r="AO236" i="90"/>
  <c r="AN236" i="90"/>
  <c r="AW236" i="90" s="1"/>
  <c r="AM226" i="90"/>
  <c r="AU226" i="90" s="1"/>
  <c r="AN226" i="90"/>
  <c r="AW226" i="90" s="1"/>
  <c r="AO226" i="90"/>
  <c r="AR222" i="90"/>
  <c r="AT222" i="90"/>
  <c r="AS222" i="90" s="1"/>
  <c r="AM220" i="90"/>
  <c r="AU220" i="90" s="1"/>
  <c r="AO220" i="90"/>
  <c r="AN220" i="90"/>
  <c r="AW220" i="90" s="1"/>
  <c r="AM210" i="90"/>
  <c r="AU210" i="90" s="1"/>
  <c r="AN210" i="90"/>
  <c r="AW210" i="90" s="1"/>
  <c r="AO210" i="90"/>
  <c r="AR206" i="90"/>
  <c r="AT206" i="90"/>
  <c r="AM204" i="90"/>
  <c r="AU204" i="90" s="1"/>
  <c r="AO204" i="90"/>
  <c r="AN204" i="90"/>
  <c r="AW204" i="90" s="1"/>
  <c r="AM194" i="90"/>
  <c r="AU194" i="90" s="1"/>
  <c r="AN194" i="90"/>
  <c r="AW194" i="90" s="1"/>
  <c r="AO194" i="90"/>
  <c r="AM186" i="90"/>
  <c r="AU186" i="90" s="1"/>
  <c r="AN186" i="90"/>
  <c r="AW186" i="90" s="1"/>
  <c r="AO186" i="90"/>
  <c r="AM178" i="90"/>
  <c r="AU178" i="90" s="1"/>
  <c r="AN178" i="90"/>
  <c r="AW178" i="90" s="1"/>
  <c r="AO178" i="90"/>
  <c r="AY171" i="90"/>
  <c r="AZ171" i="90"/>
  <c r="AQ170" i="90"/>
  <c r="AS170" i="90" s="1"/>
  <c r="AR170" i="90"/>
  <c r="AY151" i="90"/>
  <c r="AM149" i="90"/>
  <c r="AU149" i="90" s="1"/>
  <c r="AN149" i="90"/>
  <c r="AW149" i="90" s="1"/>
  <c r="AS149" i="90"/>
  <c r="AY147" i="90"/>
  <c r="AZ147" i="90"/>
  <c r="AZ130" i="90"/>
  <c r="AY91" i="90"/>
  <c r="AZ91" i="90"/>
  <c r="AM55" i="90"/>
  <c r="AU55" i="90" s="1"/>
  <c r="AN55" i="90"/>
  <c r="AW55" i="90" s="1"/>
  <c r="AO55" i="90"/>
  <c r="AS350" i="90"/>
  <c r="AN350" i="90"/>
  <c r="AW350" i="90" s="1"/>
  <c r="AM349" i="90"/>
  <c r="AU349" i="90" s="1"/>
  <c r="AO344" i="90"/>
  <c r="AS342" i="90"/>
  <c r="AN342" i="90"/>
  <c r="AW342" i="90" s="1"/>
  <c r="AM341" i="90"/>
  <c r="AU341" i="90" s="1"/>
  <c r="AO336" i="90"/>
  <c r="AS334" i="90"/>
  <c r="AN334" i="90"/>
  <c r="AW334" i="90" s="1"/>
  <c r="AM333" i="90"/>
  <c r="AU333" i="90" s="1"/>
  <c r="AO328" i="90"/>
  <c r="AS326" i="90"/>
  <c r="AN326" i="90"/>
  <c r="AW326" i="90" s="1"/>
  <c r="AM325" i="90"/>
  <c r="AU325" i="90" s="1"/>
  <c r="AN320" i="90"/>
  <c r="AT315" i="90"/>
  <c r="AT307" i="90"/>
  <c r="AT299" i="90"/>
  <c r="AT291" i="90"/>
  <c r="AT283" i="90"/>
  <c r="AT278" i="90"/>
  <c r="AQ278" i="90"/>
  <c r="AN274" i="90"/>
  <c r="AW274" i="90" s="1"/>
  <c r="AM274" i="90"/>
  <c r="AU274" i="90" s="1"/>
  <c r="AS273" i="90"/>
  <c r="AN273" i="90"/>
  <c r="AM265" i="90"/>
  <c r="AU265" i="90" s="1"/>
  <c r="AO265" i="90"/>
  <c r="AN260" i="90"/>
  <c r="AM260" i="90"/>
  <c r="AU260" i="90" s="1"/>
  <c r="AO260" i="90"/>
  <c r="AS258" i="90"/>
  <c r="AT254" i="90"/>
  <c r="AM251" i="90"/>
  <c r="AU251" i="90" s="1"/>
  <c r="AN251" i="90"/>
  <c r="AW251" i="90" s="1"/>
  <c r="AS251" i="90"/>
  <c r="AN248" i="90"/>
  <c r="AW248" i="90" s="1"/>
  <c r="AM248" i="90"/>
  <c r="AU248" i="90" s="1"/>
  <c r="AT240" i="90"/>
  <c r="AQ240" i="90"/>
  <c r="AR240" i="90"/>
  <c r="AT235" i="90"/>
  <c r="AQ235" i="90"/>
  <c r="AS235" i="90" s="1"/>
  <c r="AR235" i="90"/>
  <c r="AT233" i="90"/>
  <c r="AQ233" i="90"/>
  <c r="AR233" i="90"/>
  <c r="AZ232" i="90"/>
  <c r="AY232" i="90"/>
  <c r="AT219" i="90"/>
  <c r="AQ219" i="90"/>
  <c r="AS219" i="90" s="1"/>
  <c r="AR219" i="90"/>
  <c r="AT217" i="90"/>
  <c r="AQ217" i="90"/>
  <c r="AR217" i="90"/>
  <c r="AZ216" i="90"/>
  <c r="AY216" i="90"/>
  <c r="AT203" i="90"/>
  <c r="AQ203" i="90"/>
  <c r="AS203" i="90" s="1"/>
  <c r="AR203" i="90"/>
  <c r="AT201" i="90"/>
  <c r="AQ201" i="90"/>
  <c r="AR201" i="90"/>
  <c r="AO199" i="90"/>
  <c r="AN199" i="90"/>
  <c r="AW199" i="90" s="1"/>
  <c r="AM196" i="90"/>
  <c r="AU196" i="90" s="1"/>
  <c r="AN196" i="90"/>
  <c r="AW196" i="90" s="1"/>
  <c r="AO196" i="90"/>
  <c r="AO193" i="90"/>
  <c r="AN193" i="90"/>
  <c r="AW193" i="90" s="1"/>
  <c r="AM193" i="90"/>
  <c r="AU193" i="90" s="1"/>
  <c r="AO191" i="90"/>
  <c r="AN191" i="90"/>
  <c r="AW191" i="90" s="1"/>
  <c r="AM188" i="90"/>
  <c r="AU188" i="90" s="1"/>
  <c r="AN188" i="90"/>
  <c r="AW188" i="90" s="1"/>
  <c r="AO188" i="90"/>
  <c r="AO185" i="90"/>
  <c r="AN185" i="90"/>
  <c r="AW185" i="90" s="1"/>
  <c r="AM185" i="90"/>
  <c r="AU185" i="90" s="1"/>
  <c r="AO183" i="90"/>
  <c r="AN183" i="90"/>
  <c r="AM180" i="90"/>
  <c r="AU180" i="90" s="1"/>
  <c r="AN180" i="90"/>
  <c r="AW180" i="90" s="1"/>
  <c r="AO180" i="90"/>
  <c r="AO177" i="90"/>
  <c r="AN177" i="90"/>
  <c r="AW177" i="90" s="1"/>
  <c r="AM177" i="90"/>
  <c r="AU177" i="90" s="1"/>
  <c r="AO175" i="90"/>
  <c r="AN175" i="90"/>
  <c r="AW175" i="90" s="1"/>
  <c r="AN172" i="90"/>
  <c r="AO172" i="90"/>
  <c r="AM172" i="90"/>
  <c r="AU172" i="90" s="1"/>
  <c r="AN164" i="90"/>
  <c r="AW164" i="90" s="1"/>
  <c r="AM164" i="90"/>
  <c r="AU164" i="90" s="1"/>
  <c r="AO164" i="90"/>
  <c r="AN162" i="90"/>
  <c r="AW162" i="90" s="1"/>
  <c r="AO162" i="90"/>
  <c r="AM162" i="90"/>
  <c r="AU162" i="90" s="1"/>
  <c r="AM151" i="90"/>
  <c r="AU151" i="90" s="1"/>
  <c r="AN151" i="90"/>
  <c r="AW151" i="90" s="1"/>
  <c r="AS151" i="90"/>
  <c r="AM130" i="90"/>
  <c r="AU130" i="90" s="1"/>
  <c r="AN130" i="90"/>
  <c r="AW130" i="90" s="1"/>
  <c r="AS130" i="90"/>
  <c r="AQ127" i="90"/>
  <c r="AR127" i="90"/>
  <c r="AT127" i="90"/>
  <c r="AM107" i="90"/>
  <c r="AU107" i="90" s="1"/>
  <c r="AN107" i="90"/>
  <c r="AW107" i="90" s="1"/>
  <c r="AO107" i="90"/>
  <c r="AW106" i="90"/>
  <c r="AY99" i="90"/>
  <c r="AS344" i="90"/>
  <c r="AS336" i="90"/>
  <c r="AS328" i="90"/>
  <c r="AS320" i="90"/>
  <c r="AM320" i="90"/>
  <c r="AU320" i="90" s="1"/>
  <c r="AQ315" i="90"/>
  <c r="AS315" i="90" s="1"/>
  <c r="AW314" i="90"/>
  <c r="AT313" i="90"/>
  <c r="AQ307" i="90"/>
  <c r="AS307" i="90" s="1"/>
  <c r="AW306" i="90"/>
  <c r="AT305" i="90"/>
  <c r="AS305" i="90" s="1"/>
  <c r="AQ299" i="90"/>
  <c r="AS299" i="90" s="1"/>
  <c r="AW298" i="90"/>
  <c r="AT297" i="90"/>
  <c r="AS297" i="90" s="1"/>
  <c r="AQ291" i="90"/>
  <c r="AW290" i="90"/>
  <c r="AT289" i="90"/>
  <c r="AS289" i="90" s="1"/>
  <c r="AQ283" i="90"/>
  <c r="AS283" i="90" s="1"/>
  <c r="AW282" i="90"/>
  <c r="AT281" i="90"/>
  <c r="AS281" i="90" s="1"/>
  <c r="AZ280" i="90"/>
  <c r="AM275" i="90"/>
  <c r="AU275" i="90" s="1"/>
  <c r="AN275" i="90"/>
  <c r="AW275" i="90" s="1"/>
  <c r="AS275" i="90"/>
  <c r="AN272" i="90"/>
  <c r="AW272" i="90" s="1"/>
  <c r="AM272" i="90"/>
  <c r="AU272" i="90" s="1"/>
  <c r="AS270" i="90"/>
  <c r="AR268" i="90"/>
  <c r="AN266" i="90"/>
  <c r="AM266" i="90"/>
  <c r="AU266" i="90" s="1"/>
  <c r="AS265" i="90"/>
  <c r="AN265" i="90"/>
  <c r="AY261" i="90"/>
  <c r="AM257" i="90"/>
  <c r="AU257" i="90" s="1"/>
  <c r="AO257" i="90"/>
  <c r="AR254" i="90"/>
  <c r="AN252" i="90"/>
  <c r="AM252" i="90"/>
  <c r="AU252" i="90" s="1"/>
  <c r="AO252" i="90"/>
  <c r="AS250" i="90"/>
  <c r="AT246" i="90"/>
  <c r="AM243" i="90"/>
  <c r="AU243" i="90" s="1"/>
  <c r="AN243" i="90"/>
  <c r="AS243" i="90"/>
  <c r="AT242" i="90"/>
  <c r="AQ242" i="90"/>
  <c r="AM239" i="90"/>
  <c r="AU239" i="90" s="1"/>
  <c r="AO239" i="90"/>
  <c r="AR198" i="90"/>
  <c r="AQ198" i="90"/>
  <c r="AT198" i="90"/>
  <c r="AR196" i="90"/>
  <c r="AQ196" i="90"/>
  <c r="AS196" i="90" s="1"/>
  <c r="AS193" i="90"/>
  <c r="AR190" i="90"/>
  <c r="AQ190" i="90"/>
  <c r="AT190" i="90"/>
  <c r="AR188" i="90"/>
  <c r="AQ188" i="90"/>
  <c r="AS188" i="90" s="1"/>
  <c r="AS185" i="90"/>
  <c r="AR182" i="90"/>
  <c r="AQ182" i="90"/>
  <c r="AT182" i="90"/>
  <c r="AR180" i="90"/>
  <c r="AQ180" i="90"/>
  <c r="AS180" i="90" s="1"/>
  <c r="AS177" i="90"/>
  <c r="AR174" i="90"/>
  <c r="AQ174" i="90"/>
  <c r="AT174" i="90"/>
  <c r="AT136" i="90"/>
  <c r="AQ136" i="90"/>
  <c r="AS136" i="90" s="1"/>
  <c r="AR136" i="90"/>
  <c r="AO227" i="90"/>
  <c r="AM227" i="90"/>
  <c r="AU227" i="90" s="1"/>
  <c r="AN227" i="90"/>
  <c r="AW227" i="90" s="1"/>
  <c r="AT225" i="90"/>
  <c r="AQ225" i="90"/>
  <c r="AO211" i="90"/>
  <c r="AM211" i="90"/>
  <c r="AU211" i="90" s="1"/>
  <c r="AN211" i="90"/>
  <c r="AT209" i="90"/>
  <c r="AQ209" i="90"/>
  <c r="AO197" i="90"/>
  <c r="AN197" i="90"/>
  <c r="AW197" i="90" s="1"/>
  <c r="AR194" i="90"/>
  <c r="AQ194" i="90"/>
  <c r="AS194" i="90" s="1"/>
  <c r="AO189" i="90"/>
  <c r="AN189" i="90"/>
  <c r="AW189" i="90" s="1"/>
  <c r="AR186" i="90"/>
  <c r="AQ186" i="90"/>
  <c r="AS186" i="90" s="1"/>
  <c r="AO181" i="90"/>
  <c r="AN181" i="90"/>
  <c r="AW181" i="90" s="1"/>
  <c r="AR178" i="90"/>
  <c r="AQ178" i="90"/>
  <c r="AS178" i="90" s="1"/>
  <c r="AO173" i="90"/>
  <c r="AN173" i="90"/>
  <c r="AW173" i="90" s="1"/>
  <c r="AT168" i="90"/>
  <c r="AQ168" i="90"/>
  <c r="AR168" i="90"/>
  <c r="AS164" i="90"/>
  <c r="AQ146" i="90"/>
  <c r="AR146" i="90"/>
  <c r="AT146" i="90"/>
  <c r="AM139" i="90"/>
  <c r="AU139" i="90" s="1"/>
  <c r="AN139" i="90"/>
  <c r="AW139" i="90" s="1"/>
  <c r="AS139" i="90"/>
  <c r="AO139" i="90"/>
  <c r="AY120" i="90"/>
  <c r="AZ120" i="90"/>
  <c r="AW120" i="90"/>
  <c r="AN119" i="90"/>
  <c r="AO119" i="90"/>
  <c r="AM119" i="90"/>
  <c r="AU119" i="90" s="1"/>
  <c r="AS272" i="90"/>
  <c r="AS264" i="90"/>
  <c r="AS256" i="90"/>
  <c r="AS248" i="90"/>
  <c r="AM241" i="90"/>
  <c r="AU241" i="90" s="1"/>
  <c r="AO241" i="90"/>
  <c r="AR236" i="90"/>
  <c r="AQ236" i="90"/>
  <c r="AS236" i="90" s="1"/>
  <c r="AM234" i="90"/>
  <c r="AU234" i="90" s="1"/>
  <c r="AR230" i="90"/>
  <c r="AT230" i="90"/>
  <c r="AS230" i="90" s="1"/>
  <c r="AR220" i="90"/>
  <c r="AQ220" i="90"/>
  <c r="AS220" i="90" s="1"/>
  <c r="AM218" i="90"/>
  <c r="AU218" i="90" s="1"/>
  <c r="AR214" i="90"/>
  <c r="AT214" i="90"/>
  <c r="AR204" i="90"/>
  <c r="AQ204" i="90"/>
  <c r="AS204" i="90" s="1"/>
  <c r="AM202" i="90"/>
  <c r="AU202" i="90" s="1"/>
  <c r="AR200" i="90"/>
  <c r="AQ200" i="90"/>
  <c r="AS200" i="90" s="1"/>
  <c r="AO195" i="90"/>
  <c r="AN195" i="90"/>
  <c r="AW195" i="90" s="1"/>
  <c r="AR192" i="90"/>
  <c r="AQ192" i="90"/>
  <c r="AS192" i="90" s="1"/>
  <c r="AO187" i="90"/>
  <c r="AN187" i="90"/>
  <c r="AW187" i="90" s="1"/>
  <c r="AR184" i="90"/>
  <c r="AQ184" i="90"/>
  <c r="AS184" i="90" s="1"/>
  <c r="AO179" i="90"/>
  <c r="AN179" i="90"/>
  <c r="AW179" i="90" s="1"/>
  <c r="AR176" i="90"/>
  <c r="AQ176" i="90"/>
  <c r="AS176" i="90" s="1"/>
  <c r="AS172" i="90"/>
  <c r="AY150" i="90"/>
  <c r="AM132" i="90"/>
  <c r="AU132" i="90" s="1"/>
  <c r="AN132" i="90"/>
  <c r="AW132" i="90" s="1"/>
  <c r="AS132" i="90"/>
  <c r="AO132" i="90"/>
  <c r="AT125" i="90"/>
  <c r="AR125" i="90"/>
  <c r="AN121" i="90"/>
  <c r="AW121" i="90" s="1"/>
  <c r="AO121" i="90"/>
  <c r="AM121" i="90"/>
  <c r="AU121" i="90" s="1"/>
  <c r="AN113" i="90"/>
  <c r="AW113" i="90" s="1"/>
  <c r="AM113" i="90"/>
  <c r="AU113" i="90" s="1"/>
  <c r="AO113" i="90"/>
  <c r="AM232" i="90"/>
  <c r="AU232" i="90" s="1"/>
  <c r="AN232" i="90"/>
  <c r="AW232" i="90" s="1"/>
  <c r="AO231" i="90"/>
  <c r="AM224" i="90"/>
  <c r="AU224" i="90" s="1"/>
  <c r="AN224" i="90"/>
  <c r="AW224" i="90" s="1"/>
  <c r="AO223" i="90"/>
  <c r="AM216" i="90"/>
  <c r="AU216" i="90" s="1"/>
  <c r="AN216" i="90"/>
  <c r="AO215" i="90"/>
  <c r="AM208" i="90"/>
  <c r="AU208" i="90" s="1"/>
  <c r="AN208" i="90"/>
  <c r="AW208" i="90" s="1"/>
  <c r="AO207" i="90"/>
  <c r="AM165" i="90"/>
  <c r="AU165" i="90" s="1"/>
  <c r="AO165" i="90"/>
  <c r="AM159" i="90"/>
  <c r="AU159" i="90" s="1"/>
  <c r="AN159" i="90"/>
  <c r="AW159" i="90" s="1"/>
  <c r="AS159" i="90"/>
  <c r="AY155" i="90"/>
  <c r="AN152" i="90"/>
  <c r="AM152" i="90"/>
  <c r="AU152" i="90" s="1"/>
  <c r="AO152" i="90"/>
  <c r="AN148" i="90"/>
  <c r="AW148" i="90" s="1"/>
  <c r="AS148" i="90"/>
  <c r="AT142" i="90"/>
  <c r="AQ142" i="90"/>
  <c r="AS142" i="90" s="1"/>
  <c r="AR142" i="90"/>
  <c r="AY131" i="90"/>
  <c r="AZ131" i="90"/>
  <c r="AM124" i="90"/>
  <c r="AU124" i="90" s="1"/>
  <c r="AN124" i="90"/>
  <c r="AS124" i="90"/>
  <c r="AO124" i="90"/>
  <c r="AW122" i="90"/>
  <c r="AQ119" i="90"/>
  <c r="AS119" i="90" s="1"/>
  <c r="AR119" i="90"/>
  <c r="AM99" i="90"/>
  <c r="AU99" i="90" s="1"/>
  <c r="AN99" i="90"/>
  <c r="AO237" i="90"/>
  <c r="AQ234" i="90"/>
  <c r="AS234" i="90" s="1"/>
  <c r="AQ231" i="90"/>
  <c r="AS231" i="90" s="1"/>
  <c r="AO229" i="90"/>
  <c r="AQ226" i="90"/>
  <c r="AS226" i="90" s="1"/>
  <c r="AQ223" i="90"/>
  <c r="AS223" i="90" s="1"/>
  <c r="AO221" i="90"/>
  <c r="AQ218" i="90"/>
  <c r="AS218" i="90" s="1"/>
  <c r="AQ215" i="90"/>
  <c r="AS215" i="90" s="1"/>
  <c r="AO213" i="90"/>
  <c r="AQ210" i="90"/>
  <c r="AS210" i="90" s="1"/>
  <c r="AQ207" i="90"/>
  <c r="AS207" i="90" s="1"/>
  <c r="AO205" i="90"/>
  <c r="AQ202" i="90"/>
  <c r="AS202" i="90" s="1"/>
  <c r="AM167" i="90"/>
  <c r="AU167" i="90" s="1"/>
  <c r="AN167" i="90"/>
  <c r="AW167" i="90" s="1"/>
  <c r="AS167" i="90"/>
  <c r="AS165" i="90"/>
  <c r="AN165" i="90"/>
  <c r="AS162" i="90"/>
  <c r="AN160" i="90"/>
  <c r="AM160" i="90"/>
  <c r="AU160" i="90" s="1"/>
  <c r="AO160" i="90"/>
  <c r="AN156" i="90"/>
  <c r="AW156" i="90" s="1"/>
  <c r="AS156" i="90"/>
  <c r="AT154" i="90"/>
  <c r="AS154" i="90" s="1"/>
  <c r="AT144" i="90"/>
  <c r="AQ144" i="90"/>
  <c r="AM141" i="90"/>
  <c r="AU141" i="90" s="1"/>
  <c r="AO141" i="90"/>
  <c r="AT134" i="90"/>
  <c r="AQ134" i="90"/>
  <c r="AR134" i="90"/>
  <c r="AY128" i="90"/>
  <c r="AZ128" i="90"/>
  <c r="AT117" i="90"/>
  <c r="AQ117" i="90"/>
  <c r="AS117" i="90" s="1"/>
  <c r="AR117" i="90"/>
  <c r="AS113" i="90"/>
  <c r="AM109" i="90"/>
  <c r="AU109" i="90" s="1"/>
  <c r="AN109" i="90"/>
  <c r="AW109" i="90" s="1"/>
  <c r="AO109" i="90"/>
  <c r="AM85" i="90"/>
  <c r="AU85" i="90" s="1"/>
  <c r="AN85" i="90"/>
  <c r="AW85" i="90" s="1"/>
  <c r="AO85" i="90"/>
  <c r="AY81" i="90"/>
  <c r="AZ81" i="90"/>
  <c r="AO169" i="90"/>
  <c r="AM166" i="90"/>
  <c r="AU166" i="90" s="1"/>
  <c r="AO161" i="90"/>
  <c r="AM158" i="90"/>
  <c r="AU158" i="90" s="1"/>
  <c r="AO153" i="90"/>
  <c r="AM150" i="90"/>
  <c r="AU150" i="90" s="1"/>
  <c r="AO145" i="90"/>
  <c r="AN140" i="90"/>
  <c r="AW140" i="90" s="1"/>
  <c r="AO140" i="90"/>
  <c r="AM137" i="90"/>
  <c r="AU137" i="90" s="1"/>
  <c r="AO137" i="90"/>
  <c r="AN133" i="90"/>
  <c r="AM133" i="90"/>
  <c r="AU133" i="90" s="1"/>
  <c r="AO133" i="90"/>
  <c r="AN129" i="90"/>
  <c r="AW129" i="90" s="1"/>
  <c r="AS129" i="90"/>
  <c r="AM114" i="90"/>
  <c r="AU114" i="90" s="1"/>
  <c r="AO114" i="90"/>
  <c r="AY105" i="90"/>
  <c r="AM101" i="90"/>
  <c r="AU101" i="90" s="1"/>
  <c r="AN101" i="90"/>
  <c r="AW101" i="90" s="1"/>
  <c r="AO101" i="90"/>
  <c r="AW98" i="90"/>
  <c r="AW96" i="90"/>
  <c r="AM91" i="90"/>
  <c r="AU91" i="90" s="1"/>
  <c r="AN91" i="90"/>
  <c r="AY83" i="90"/>
  <c r="AZ83" i="90"/>
  <c r="AR67" i="90"/>
  <c r="AQ67" i="90"/>
  <c r="AT67" i="90"/>
  <c r="AS169" i="90"/>
  <c r="AS161" i="90"/>
  <c r="AS153" i="90"/>
  <c r="AS145" i="90"/>
  <c r="AN145" i="90"/>
  <c r="AW145" i="90" s="1"/>
  <c r="AM143" i="90"/>
  <c r="AU143" i="90" s="1"/>
  <c r="AO143" i="90"/>
  <c r="AR140" i="90"/>
  <c r="AN138" i="90"/>
  <c r="AW138" i="90" s="1"/>
  <c r="AO138" i="90"/>
  <c r="AS137" i="90"/>
  <c r="AN137" i="90"/>
  <c r="AM135" i="90"/>
  <c r="AU135" i="90" s="1"/>
  <c r="AO135" i="90"/>
  <c r="AM122" i="90"/>
  <c r="AU122" i="90" s="1"/>
  <c r="AO122" i="90"/>
  <c r="AM116" i="90"/>
  <c r="AU116" i="90" s="1"/>
  <c r="AN116" i="90"/>
  <c r="AS116" i="90"/>
  <c r="AS114" i="90"/>
  <c r="AN114" i="90"/>
  <c r="AY111" i="90"/>
  <c r="AZ111" i="90"/>
  <c r="AM93" i="90"/>
  <c r="AU93" i="90" s="1"/>
  <c r="AN93" i="90"/>
  <c r="AW93" i="90" s="1"/>
  <c r="AO93" i="90"/>
  <c r="AW88" i="90"/>
  <c r="AM83" i="90"/>
  <c r="AU83" i="90" s="1"/>
  <c r="AN83" i="90"/>
  <c r="AT74" i="90"/>
  <c r="AQ74" i="90"/>
  <c r="AR74" i="90"/>
  <c r="AR71" i="90"/>
  <c r="AQ71" i="90"/>
  <c r="AT71" i="90"/>
  <c r="AM131" i="90"/>
  <c r="AU131" i="90" s="1"/>
  <c r="AO126" i="90"/>
  <c r="AM123" i="90"/>
  <c r="AU123" i="90" s="1"/>
  <c r="AO118" i="90"/>
  <c r="AM115" i="90"/>
  <c r="AU115" i="90" s="1"/>
  <c r="AM111" i="90"/>
  <c r="AU111" i="90" s="1"/>
  <c r="AS109" i="90"/>
  <c r="AM105" i="90"/>
  <c r="AU105" i="90" s="1"/>
  <c r="AN105" i="90"/>
  <c r="AY103" i="90"/>
  <c r="AS101" i="90"/>
  <c r="AM97" i="90"/>
  <c r="AU97" i="90" s="1"/>
  <c r="AN97" i="90"/>
  <c r="AY95" i="90"/>
  <c r="AZ95" i="90"/>
  <c r="AS93" i="90"/>
  <c r="AM89" i="90"/>
  <c r="AU89" i="90" s="1"/>
  <c r="AN89" i="90"/>
  <c r="AY87" i="90"/>
  <c r="AZ87" i="90"/>
  <c r="AW86" i="90"/>
  <c r="AS85" i="90"/>
  <c r="AM81" i="90"/>
  <c r="AU81" i="90" s="1"/>
  <c r="AN81" i="90"/>
  <c r="AY79" i="90"/>
  <c r="AZ79" i="90"/>
  <c r="AM75" i="90"/>
  <c r="AU75" i="90" s="1"/>
  <c r="AO75" i="90"/>
  <c r="AS126" i="90"/>
  <c r="AS118" i="90"/>
  <c r="AN110" i="90"/>
  <c r="AS110" i="90"/>
  <c r="AM110" i="90"/>
  <c r="AU110" i="90" s="1"/>
  <c r="AW108" i="90"/>
  <c r="AS107" i="90"/>
  <c r="AM103" i="90"/>
  <c r="AU103" i="90" s="1"/>
  <c r="AN103" i="90"/>
  <c r="AW100" i="90"/>
  <c r="AS99" i="90"/>
  <c r="AM95" i="90"/>
  <c r="AU95" i="90" s="1"/>
  <c r="AN95" i="90"/>
  <c r="AW92" i="90"/>
  <c r="AS91" i="90"/>
  <c r="AM87" i="90"/>
  <c r="AU87" i="90" s="1"/>
  <c r="AN87" i="90"/>
  <c r="AW84" i="90"/>
  <c r="AS83" i="90"/>
  <c r="AM79" i="90"/>
  <c r="AU79" i="90" s="1"/>
  <c r="AN79" i="90"/>
  <c r="AR77" i="90"/>
  <c r="AT77" i="90"/>
  <c r="AQ77" i="90"/>
  <c r="AS77" i="90" s="1"/>
  <c r="AS75" i="90"/>
  <c r="AR69" i="90"/>
  <c r="AQ69" i="90"/>
  <c r="AT69" i="90"/>
  <c r="AR65" i="90"/>
  <c r="AQ65" i="90"/>
  <c r="AT65" i="90"/>
  <c r="AO64" i="90"/>
  <c r="AM64" i="90"/>
  <c r="AU64" i="90" s="1"/>
  <c r="AN64" i="90"/>
  <c r="AW64" i="90" s="1"/>
  <c r="AT73" i="90"/>
  <c r="AO72" i="90"/>
  <c r="AO70" i="90"/>
  <c r="AO68" i="90"/>
  <c r="AO66" i="90"/>
  <c r="AR53" i="90"/>
  <c r="AQ53" i="90"/>
  <c r="AT53" i="90"/>
  <c r="AT23" i="90"/>
  <c r="AQ23" i="90"/>
  <c r="AR23" i="90"/>
  <c r="AO108" i="90"/>
  <c r="AO106" i="90"/>
  <c r="AO104" i="90"/>
  <c r="AO102" i="90"/>
  <c r="AO100" i="90"/>
  <c r="AO98" i="90"/>
  <c r="AO96" i="90"/>
  <c r="AO94" i="90"/>
  <c r="AO92" i="90"/>
  <c r="AO90" i="90"/>
  <c r="AO88" i="90"/>
  <c r="AO86" i="90"/>
  <c r="AO84" i="90"/>
  <c r="AO82" i="90"/>
  <c r="AO80" i="90"/>
  <c r="AO78" i="90"/>
  <c r="AO62" i="90"/>
  <c r="AM62" i="90"/>
  <c r="AU62" i="90" s="1"/>
  <c r="AW52" i="90"/>
  <c r="AM48" i="90"/>
  <c r="AU48" i="90" s="1"/>
  <c r="AN48" i="90"/>
  <c r="AW48" i="90" s="1"/>
  <c r="AO48" i="90"/>
  <c r="AS108" i="90"/>
  <c r="AS106" i="90"/>
  <c r="AS104" i="90"/>
  <c r="AS102" i="90"/>
  <c r="AS100" i="90"/>
  <c r="AS98" i="90"/>
  <c r="AS96" i="90"/>
  <c r="AS94" i="90"/>
  <c r="AS92" i="90"/>
  <c r="AS90" i="90"/>
  <c r="AS88" i="90"/>
  <c r="AS86" i="90"/>
  <c r="AS84" i="90"/>
  <c r="AS82" i="90"/>
  <c r="AS80" i="90"/>
  <c r="AQ78" i="90"/>
  <c r="AS78" i="90" s="1"/>
  <c r="AO76" i="90"/>
  <c r="AQ73" i="90"/>
  <c r="AR50" i="90"/>
  <c r="AQ50" i="90"/>
  <c r="AT50" i="90"/>
  <c r="AO41" i="90"/>
  <c r="AM41" i="90"/>
  <c r="AU41" i="90" s="1"/>
  <c r="AS41" i="90"/>
  <c r="AN41" i="90"/>
  <c r="AW41" i="90" s="1"/>
  <c r="AM38" i="90"/>
  <c r="AU38" i="90" s="1"/>
  <c r="AN38" i="90"/>
  <c r="AW38" i="90" s="1"/>
  <c r="AO38" i="90"/>
  <c r="AM61" i="90"/>
  <c r="AU61" i="90" s="1"/>
  <c r="AS55" i="90"/>
  <c r="AO49" i="90"/>
  <c r="AM49" i="90"/>
  <c r="AU49" i="90" s="1"/>
  <c r="AN49" i="90"/>
  <c r="AW49" i="90" s="1"/>
  <c r="AS48" i="90"/>
  <c r="AO43" i="90"/>
  <c r="AM43" i="90"/>
  <c r="AU43" i="90" s="1"/>
  <c r="AS43" i="90"/>
  <c r="AN43" i="90"/>
  <c r="AW43" i="90" s="1"/>
  <c r="AM40" i="90"/>
  <c r="AU40" i="90" s="1"/>
  <c r="AN40" i="90"/>
  <c r="AO40" i="90"/>
  <c r="AO35" i="90"/>
  <c r="AM35" i="90"/>
  <c r="AU35" i="90" s="1"/>
  <c r="AS35" i="90"/>
  <c r="AN35" i="90"/>
  <c r="AW35" i="90" s="1"/>
  <c r="AM32" i="90"/>
  <c r="AU32" i="90" s="1"/>
  <c r="AN32" i="90"/>
  <c r="AW32" i="90" s="1"/>
  <c r="AO32" i="90"/>
  <c r="AT59" i="90"/>
  <c r="AO51" i="90"/>
  <c r="AM51" i="90"/>
  <c r="AU51" i="90" s="1"/>
  <c r="AT47" i="90"/>
  <c r="AQ47" i="90"/>
  <c r="AZ44" i="90"/>
  <c r="AY44" i="90"/>
  <c r="AM42" i="90"/>
  <c r="AU42" i="90" s="1"/>
  <c r="AN42" i="90"/>
  <c r="AW42" i="90" s="1"/>
  <c r="AO42" i="90"/>
  <c r="AO37" i="90"/>
  <c r="AM37" i="90"/>
  <c r="AU37" i="90" s="1"/>
  <c r="AS37" i="90"/>
  <c r="AN37" i="90"/>
  <c r="AW37" i="90" s="1"/>
  <c r="AM34" i="90"/>
  <c r="AU34" i="90" s="1"/>
  <c r="AN34" i="90"/>
  <c r="AW34" i="90" s="1"/>
  <c r="AO34" i="90"/>
  <c r="AT25" i="90"/>
  <c r="AQ25" i="90"/>
  <c r="AR25" i="90"/>
  <c r="AQ59" i="90"/>
  <c r="AS59" i="90" s="1"/>
  <c r="AT57" i="90"/>
  <c r="AR49" i="90"/>
  <c r="AO39" i="90"/>
  <c r="AM39" i="90"/>
  <c r="AU39" i="90" s="1"/>
  <c r="AS39" i="90"/>
  <c r="AN39" i="90"/>
  <c r="AW39" i="90" s="1"/>
  <c r="AM36" i="90"/>
  <c r="AU36" i="90" s="1"/>
  <c r="AN36" i="90"/>
  <c r="AW36" i="90" s="1"/>
  <c r="AO36" i="90"/>
  <c r="AO31" i="90"/>
  <c r="AM31" i="90"/>
  <c r="AU31" i="90" s="1"/>
  <c r="AS31" i="90"/>
  <c r="AN31" i="90"/>
  <c r="AW31" i="90" s="1"/>
  <c r="AM26" i="90"/>
  <c r="AU26" i="90" s="1"/>
  <c r="AO26" i="90"/>
  <c r="AN26" i="90"/>
  <c r="AW26" i="90" s="1"/>
  <c r="AT46" i="90"/>
  <c r="AS46" i="90" s="1"/>
  <c r="AO45" i="90"/>
  <c r="AS30" i="90"/>
  <c r="AR10" i="90"/>
  <c r="AT10" i="90"/>
  <c r="AQ10" i="90"/>
  <c r="AO7" i="90"/>
  <c r="AM7" i="90"/>
  <c r="AU7" i="90" s="1"/>
  <c r="AS7" i="90"/>
  <c r="AN7" i="90"/>
  <c r="AW7" i="90" s="1"/>
  <c r="AM44" i="90"/>
  <c r="AU44" i="90" s="1"/>
  <c r="AN44" i="90"/>
  <c r="AR26" i="90"/>
  <c r="AQ26" i="90"/>
  <c r="AS26" i="90" s="1"/>
  <c r="AM24" i="90"/>
  <c r="AU24" i="90" s="1"/>
  <c r="AR20" i="90"/>
  <c r="AT20" i="90"/>
  <c r="AM6" i="90"/>
  <c r="AU6" i="90" s="1"/>
  <c r="AN6" i="90"/>
  <c r="AW6" i="90" s="1"/>
  <c r="AO6" i="90"/>
  <c r="AM16" i="90"/>
  <c r="AU16" i="90" s="1"/>
  <c r="AO16" i="90"/>
  <c r="AM8" i="90"/>
  <c r="AU8" i="90" s="1"/>
  <c r="AO8" i="90"/>
  <c r="AS42" i="90"/>
  <c r="AS40" i="90"/>
  <c r="AS38" i="90"/>
  <c r="AS36" i="90"/>
  <c r="AS34" i="90"/>
  <c r="AS32" i="90"/>
  <c r="AR28" i="90"/>
  <c r="AT28" i="90"/>
  <c r="AR18" i="90"/>
  <c r="AQ18" i="90"/>
  <c r="AS18" i="90" s="1"/>
  <c r="AT15" i="90"/>
  <c r="AQ15" i="90"/>
  <c r="AZ14" i="90"/>
  <c r="AO29" i="90"/>
  <c r="AM22" i="90"/>
  <c r="AU22" i="90" s="1"/>
  <c r="AN22" i="90"/>
  <c r="AO21" i="90"/>
  <c r="AN17" i="90"/>
  <c r="AW17" i="90" s="1"/>
  <c r="AM14" i="90"/>
  <c r="AU14" i="90" s="1"/>
  <c r="AN14" i="90"/>
  <c r="AW14" i="90" s="1"/>
  <c r="AO13" i="90"/>
  <c r="AN9" i="90"/>
  <c r="AW9" i="90" s="1"/>
  <c r="AS6" i="90"/>
  <c r="AQ29" i="90"/>
  <c r="AS29" i="90" s="1"/>
  <c r="AO27" i="90"/>
  <c r="AQ24" i="90"/>
  <c r="AS24" i="90" s="1"/>
  <c r="AQ21" i="90"/>
  <c r="AS21" i="90" s="1"/>
  <c r="AO19" i="90"/>
  <c r="AQ16" i="90"/>
  <c r="AS16" i="90" s="1"/>
  <c r="AQ13" i="90"/>
  <c r="AS13" i="90" s="1"/>
  <c r="AT12" i="90"/>
  <c r="AS12" i="90" s="1"/>
  <c r="AO11" i="90"/>
  <c r="AQ8" i="90"/>
  <c r="AS8" i="90" s="1"/>
  <c r="AO17" i="90"/>
  <c r="AO9" i="90"/>
  <c r="AZ300" i="90" l="1"/>
  <c r="AY832" i="90"/>
  <c r="AZ1184" i="90"/>
  <c r="AZ1240" i="90"/>
  <c r="AZ1604" i="90"/>
  <c r="AY24" i="90"/>
  <c r="AZ380" i="90"/>
  <c r="AY480" i="90"/>
  <c r="AY856" i="90"/>
  <c r="AY1409" i="90"/>
  <c r="BW532" i="90"/>
  <c r="AY1417" i="90"/>
  <c r="BW98" i="90"/>
  <c r="AZ333" i="90"/>
  <c r="BW617" i="90"/>
  <c r="BW601" i="90"/>
  <c r="BW56" i="90"/>
  <c r="BW268" i="90"/>
  <c r="BW41" i="90"/>
  <c r="BW228" i="90"/>
  <c r="BW89" i="90"/>
  <c r="AZ89" i="90"/>
  <c r="AY208" i="90"/>
  <c r="AZ654" i="90"/>
  <c r="AY834" i="90"/>
  <c r="AZ1152" i="90"/>
  <c r="AZ1158" i="90"/>
  <c r="AZ1222" i="90"/>
  <c r="AZ1254" i="90"/>
  <c r="AZ1596" i="90"/>
  <c r="BW427" i="90"/>
  <c r="BU494" i="90"/>
  <c r="BW613" i="90"/>
  <c r="BW593" i="90"/>
  <c r="BW17" i="90"/>
  <c r="BW14" i="90"/>
  <c r="BW109" i="90"/>
  <c r="BW375" i="90"/>
  <c r="BW494" i="90"/>
  <c r="BW204" i="90"/>
  <c r="BW394" i="90"/>
  <c r="BW350" i="90"/>
  <c r="BW430" i="90"/>
  <c r="BW438" i="90"/>
  <c r="BW518" i="90"/>
  <c r="BW196" i="90"/>
  <c r="AZ110" i="90"/>
  <c r="BW331" i="90"/>
  <c r="BW170" i="90"/>
  <c r="BW30" i="90"/>
  <c r="BW433" i="90"/>
  <c r="BW526" i="90"/>
  <c r="BW395" i="90"/>
  <c r="BW423" i="90"/>
  <c r="BW442" i="90"/>
  <c r="BW633" i="90"/>
  <c r="BW313" i="90"/>
  <c r="BW403" i="90"/>
  <c r="BW474" i="90"/>
  <c r="BW406" i="90"/>
  <c r="AY1107" i="90"/>
  <c r="BW585" i="90"/>
  <c r="BX585" i="90"/>
  <c r="BW64" i="90"/>
  <c r="BW76" i="90"/>
  <c r="BW300" i="90"/>
  <c r="BW285" i="90"/>
  <c r="BX285" i="90"/>
  <c r="BW339" i="90"/>
  <c r="BW522" i="90"/>
  <c r="BW506" i="90"/>
  <c r="BW489" i="90"/>
  <c r="BW371" i="90"/>
  <c r="BW379" i="90"/>
  <c r="BW236" i="90"/>
  <c r="BW308" i="90"/>
  <c r="BW355" i="90"/>
  <c r="BW374" i="90"/>
  <c r="BW437" i="90"/>
  <c r="BW609" i="90"/>
  <c r="BW100" i="90"/>
  <c r="BW102" i="90"/>
  <c r="BW130" i="90"/>
  <c r="BW284" i="90"/>
  <c r="BW29" i="90"/>
  <c r="BW292" i="90"/>
  <c r="BW347" i="90"/>
  <c r="BW502" i="90"/>
  <c r="BW450" i="90"/>
  <c r="BU252" i="90"/>
  <c r="BW253" i="90"/>
  <c r="BW440" i="90"/>
  <c r="BW597" i="90"/>
  <c r="BW67" i="90"/>
  <c r="BW9" i="90"/>
  <c r="BW252" i="90"/>
  <c r="BW330" i="90"/>
  <c r="BW458" i="90"/>
  <c r="BW490" i="90"/>
  <c r="BW143" i="90"/>
  <c r="BW315" i="90"/>
  <c r="BW390" i="90"/>
  <c r="BW434" i="90"/>
  <c r="BW422" i="90"/>
  <c r="BW473" i="90"/>
  <c r="BW581" i="90"/>
  <c r="BW60" i="90"/>
  <c r="BW80" i="90"/>
  <c r="BW301" i="90"/>
  <c r="BW22" i="90"/>
  <c r="BW359" i="90"/>
  <c r="BW454" i="90"/>
  <c r="BW387" i="90"/>
  <c r="AS144" i="90"/>
  <c r="AS168" i="90"/>
  <c r="AS209" i="90"/>
  <c r="AS285" i="90"/>
  <c r="AS612" i="90"/>
  <c r="AS599" i="90"/>
  <c r="AS628" i="90"/>
  <c r="AS822" i="90"/>
  <c r="AS835" i="90"/>
  <c r="AS939" i="90"/>
  <c r="AS971" i="90"/>
  <c r="AS1127" i="90"/>
  <c r="AS871" i="90"/>
  <c r="AS903" i="90"/>
  <c r="AS935" i="90"/>
  <c r="AS967" i="90"/>
  <c r="AS1353" i="90"/>
  <c r="AS1509" i="90"/>
  <c r="BT163" i="90"/>
  <c r="AS1569" i="90"/>
  <c r="AS550" i="90"/>
  <c r="AS824" i="90"/>
  <c r="AS570" i="90"/>
  <c r="AS1194" i="90"/>
  <c r="AS1210" i="90"/>
  <c r="AS1226" i="90"/>
  <c r="AS1242" i="90"/>
  <c r="AS1258" i="90"/>
  <c r="AS1274" i="90"/>
  <c r="AS1078" i="90"/>
  <c r="AS1091" i="90"/>
  <c r="BO71" i="90"/>
  <c r="BN71" i="90"/>
  <c r="BN72" i="90"/>
  <c r="BO72" i="90"/>
  <c r="BN498" i="90"/>
  <c r="BO498" i="90"/>
  <c r="BO362" i="90"/>
  <c r="BN362" i="90"/>
  <c r="BT486" i="90"/>
  <c r="AS1500" i="90"/>
  <c r="AS89" i="90"/>
  <c r="AO218" i="90"/>
  <c r="AN218" i="90"/>
  <c r="AO284" i="90"/>
  <c r="AM284" i="90"/>
  <c r="AU284" i="90" s="1"/>
  <c r="BN149" i="90"/>
  <c r="BO149" i="90"/>
  <c r="BN327" i="90"/>
  <c r="BO327" i="90"/>
  <c r="BN68" i="90"/>
  <c r="BO68" i="90"/>
  <c r="BN127" i="90"/>
  <c r="BO127" i="90"/>
  <c r="BO231" i="90"/>
  <c r="BN231" i="90"/>
  <c r="BT303" i="90"/>
  <c r="BN478" i="90"/>
  <c r="BO478" i="90"/>
  <c r="BN482" i="90"/>
  <c r="BO482" i="90"/>
  <c r="BN363" i="90"/>
  <c r="BO363" i="90"/>
  <c r="BT498" i="90"/>
  <c r="AN104" i="90"/>
  <c r="AM104" i="90"/>
  <c r="AU104" i="90" s="1"/>
  <c r="AN94" i="90"/>
  <c r="AM94" i="90"/>
  <c r="AU94" i="90" s="1"/>
  <c r="AN1551" i="90"/>
  <c r="AM1551" i="90"/>
  <c r="AU1551" i="90" s="1"/>
  <c r="AS1487" i="90"/>
  <c r="AN90" i="90"/>
  <c r="AM90" i="90"/>
  <c r="AU90" i="90" s="1"/>
  <c r="AM213" i="90"/>
  <c r="AU213" i="90" s="1"/>
  <c r="AN213" i="90"/>
  <c r="AS216" i="90"/>
  <c r="AO271" i="90"/>
  <c r="AM271" i="90"/>
  <c r="AU271" i="90" s="1"/>
  <c r="AO522" i="90"/>
  <c r="AS522" i="90"/>
  <c r="AS1358" i="90"/>
  <c r="AS47" i="90"/>
  <c r="AS50" i="90"/>
  <c r="AS174" i="90"/>
  <c r="AS190" i="90"/>
  <c r="AS240" i="90"/>
  <c r="AS63" i="90"/>
  <c r="AS427" i="90"/>
  <c r="AS565" i="90"/>
  <c r="AS573" i="90"/>
  <c r="AS1111" i="90"/>
  <c r="BT47" i="90"/>
  <c r="BT279" i="90"/>
  <c r="BO408" i="90"/>
  <c r="BN589" i="90"/>
  <c r="BT376" i="90"/>
  <c r="BT26" i="90"/>
  <c r="BT53" i="90"/>
  <c r="BT217" i="90"/>
  <c r="BT109" i="90"/>
  <c r="BT218" i="90"/>
  <c r="BT398" i="90"/>
  <c r="AS1574" i="90"/>
  <c r="AS525" i="90"/>
  <c r="AS848" i="90"/>
  <c r="BO63" i="90"/>
  <c r="BN63" i="90"/>
  <c r="BO303" i="90"/>
  <c r="BN303" i="90"/>
  <c r="BT276" i="90"/>
  <c r="BO318" i="90"/>
  <c r="BN318" i="90"/>
  <c r="BT375" i="90"/>
  <c r="BN419" i="90"/>
  <c r="BO419" i="90"/>
  <c r="BN486" i="90"/>
  <c r="BO486" i="90"/>
  <c r="BN510" i="90"/>
  <c r="BO510" i="90"/>
  <c r="BT327" i="90"/>
  <c r="BT473" i="90"/>
  <c r="BT419" i="90"/>
  <c r="BN429" i="90"/>
  <c r="BO429" i="90"/>
  <c r="BT482" i="90"/>
  <c r="AO1489" i="90"/>
  <c r="AN1489" i="90"/>
  <c r="AN82" i="90"/>
  <c r="AM82" i="90"/>
  <c r="AU82" i="90" s="1"/>
  <c r="AN102" i="90"/>
  <c r="AM102" i="90"/>
  <c r="AU102" i="90" s="1"/>
  <c r="AS141" i="90"/>
  <c r="AN158" i="90"/>
  <c r="AO158" i="90"/>
  <c r="AO247" i="90"/>
  <c r="AM247" i="90"/>
  <c r="AU247" i="90" s="1"/>
  <c r="AO294" i="90"/>
  <c r="AM294" i="90"/>
  <c r="AU294" i="90" s="1"/>
  <c r="AN347" i="90"/>
  <c r="AO347" i="90"/>
  <c r="AS261" i="90"/>
  <c r="AS515" i="90"/>
  <c r="AS588" i="90"/>
  <c r="AS639" i="90"/>
  <c r="AS879" i="90"/>
  <c r="AS911" i="90"/>
  <c r="AS943" i="90"/>
  <c r="AS1547" i="90"/>
  <c r="BT520" i="90"/>
  <c r="BT245" i="90"/>
  <c r="AS1578" i="90"/>
  <c r="AS1582" i="90"/>
  <c r="AS9" i="90"/>
  <c r="AS558" i="90"/>
  <c r="AS590" i="90"/>
  <c r="AS962" i="90"/>
  <c r="AS946" i="90"/>
  <c r="AS1062" i="90"/>
  <c r="BN46" i="90"/>
  <c r="BO46" i="90"/>
  <c r="BO70" i="90"/>
  <c r="BN70" i="90"/>
  <c r="BN169" i="90"/>
  <c r="BO169" i="90"/>
  <c r="BN319" i="90"/>
  <c r="BO319" i="90"/>
  <c r="BT71" i="90"/>
  <c r="BT300" i="90"/>
  <c r="BN470" i="90"/>
  <c r="BO470" i="90"/>
  <c r="BT490" i="90"/>
  <c r="BT411" i="90"/>
  <c r="BT319" i="90"/>
  <c r="BT363" i="90"/>
  <c r="BT489" i="90"/>
  <c r="BT478" i="90"/>
  <c r="BT510" i="90"/>
  <c r="BO533" i="90"/>
  <c r="BN533" i="90"/>
  <c r="AS1566" i="90"/>
  <c r="AN80" i="90"/>
  <c r="AM80" i="90"/>
  <c r="AU80" i="90" s="1"/>
  <c r="AN202" i="90"/>
  <c r="AO202" i="90"/>
  <c r="AN349" i="90"/>
  <c r="AO349" i="90"/>
  <c r="AS284" i="90"/>
  <c r="AS675" i="90"/>
  <c r="AN1306" i="90"/>
  <c r="AO1306" i="90"/>
  <c r="AS1401" i="90"/>
  <c r="AZ346" i="90"/>
  <c r="AY818" i="90"/>
  <c r="BW411" i="90"/>
  <c r="AW1495" i="90"/>
  <c r="AY352" i="90"/>
  <c r="AZ842" i="90"/>
  <c r="AY1091" i="90"/>
  <c r="AZ296" i="90"/>
  <c r="AZ245" i="90"/>
  <c r="AY400" i="90"/>
  <c r="BU204" i="90"/>
  <c r="AZ282" i="90"/>
  <c r="AY376" i="90"/>
  <c r="AZ22" i="90"/>
  <c r="AZ1437" i="90"/>
  <c r="BW276" i="90"/>
  <c r="AW308" i="90"/>
  <c r="BU135" i="90"/>
  <c r="AY269" i="90"/>
  <c r="AY368" i="90"/>
  <c r="AZ394" i="90"/>
  <c r="AZ595" i="90"/>
  <c r="AZ694" i="90"/>
  <c r="AZ525" i="90"/>
  <c r="AZ1162" i="90"/>
  <c r="AZ1178" i="90"/>
  <c r="AZ1210" i="90"/>
  <c r="AZ1226" i="90"/>
  <c r="AZ1258" i="90"/>
  <c r="AZ1274" i="90"/>
  <c r="BU76" i="90"/>
  <c r="BW335" i="90"/>
  <c r="BU497" i="90"/>
  <c r="AY384" i="90"/>
  <c r="AY824" i="90"/>
  <c r="AY848" i="90"/>
  <c r="AY1372" i="90"/>
  <c r="BW116" i="90"/>
  <c r="BW207" i="90"/>
  <c r="BW577" i="90"/>
  <c r="AW263" i="90"/>
  <c r="AY360" i="90"/>
  <c r="AY392" i="90"/>
  <c r="AY611" i="90"/>
  <c r="AZ1529" i="90"/>
  <c r="AZ1590" i="90"/>
  <c r="BV25" i="90"/>
  <c r="AW147" i="90"/>
  <c r="AY416" i="90"/>
  <c r="AY692" i="90"/>
  <c r="AY1544" i="90"/>
  <c r="AZ1587" i="90"/>
  <c r="AW1604" i="90"/>
  <c r="AZ298" i="90"/>
  <c r="AZ1579" i="90"/>
  <c r="AZ1581" i="90"/>
  <c r="BW573" i="90"/>
  <c r="AW247" i="90"/>
  <c r="AW300" i="90"/>
  <c r="AY660" i="90"/>
  <c r="AZ1595" i="90"/>
  <c r="AY1594" i="90"/>
  <c r="BU119" i="90"/>
  <c r="BW138" i="90"/>
  <c r="AZ304" i="90"/>
  <c r="AZ1602" i="90"/>
  <c r="AZ290" i="90"/>
  <c r="AZ339" i="90"/>
  <c r="BW500" i="90"/>
  <c r="AZ1576" i="90"/>
  <c r="AY224" i="90"/>
  <c r="BW75" i="90"/>
  <c r="AZ1589" i="90"/>
  <c r="AZ378" i="90"/>
  <c r="AY686" i="90"/>
  <c r="AY1477" i="90"/>
  <c r="AZ1491" i="90"/>
  <c r="AZ1597" i="90"/>
  <c r="BU110" i="90"/>
  <c r="BU335" i="90"/>
  <c r="BU379" i="90"/>
  <c r="BW528" i="90"/>
  <c r="BW565" i="90"/>
  <c r="AZ651" i="90"/>
  <c r="AZ341" i="90"/>
  <c r="AW1592" i="90"/>
  <c r="AZ58" i="90"/>
  <c r="AZ288" i="90"/>
  <c r="BU22" i="90"/>
  <c r="AY52" i="90"/>
  <c r="AZ1526" i="90"/>
  <c r="BW501" i="90"/>
  <c r="AW744" i="90"/>
  <c r="AW808" i="90"/>
  <c r="AW970" i="90"/>
  <c r="AY1154" i="90"/>
  <c r="AZ1154" i="90"/>
  <c r="AY1186" i="90"/>
  <c r="AZ1186" i="90"/>
  <c r="AY1234" i="90"/>
  <c r="AZ1234" i="90"/>
  <c r="AY1266" i="90"/>
  <c r="AZ1266" i="90"/>
  <c r="BW589" i="90"/>
  <c r="BW84" i="90"/>
  <c r="BW121" i="90"/>
  <c r="BU20" i="90"/>
  <c r="BW38" i="90"/>
  <c r="BU9" i="90"/>
  <c r="BU51" i="90"/>
  <c r="BU29" i="90"/>
  <c r="BW367" i="90"/>
  <c r="BW326" i="90"/>
  <c r="BW530" i="90"/>
  <c r="BU143" i="90"/>
  <c r="BU315" i="90"/>
  <c r="BW514" i="90"/>
  <c r="BW457" i="90"/>
  <c r="BW493" i="90"/>
  <c r="AW1584" i="90"/>
  <c r="AW1590" i="90"/>
  <c r="AZ1469" i="90"/>
  <c r="AY1469" i="90"/>
  <c r="AY1584" i="90"/>
  <c r="AZ1584" i="90"/>
  <c r="AY1598" i="90"/>
  <c r="AZ1598" i="90"/>
  <c r="AW1485" i="90"/>
  <c r="AW155" i="90"/>
  <c r="AW261" i="90"/>
  <c r="AW1594" i="90"/>
  <c r="AW128" i="90"/>
  <c r="AW294" i="90"/>
  <c r="AW304" i="90"/>
  <c r="AY306" i="90"/>
  <c r="AY684" i="90"/>
  <c r="AZ684" i="90"/>
  <c r="AW492" i="90"/>
  <c r="AW346" i="90"/>
  <c r="AY527" i="90"/>
  <c r="AZ527" i="90"/>
  <c r="AW1070" i="90"/>
  <c r="AW1125" i="90"/>
  <c r="AY1170" i="90"/>
  <c r="AZ1170" i="90"/>
  <c r="AY1202" i="90"/>
  <c r="AZ1202" i="90"/>
  <c r="AY1218" i="90"/>
  <c r="AZ1218" i="90"/>
  <c r="AY1250" i="90"/>
  <c r="BW287" i="90"/>
  <c r="BW309" i="90"/>
  <c r="AW22" i="90"/>
  <c r="AY678" i="90"/>
  <c r="AY1059" i="90"/>
  <c r="AY1386" i="90"/>
  <c r="BU394" i="90"/>
  <c r="BW569" i="90"/>
  <c r="AW316" i="90"/>
  <c r="AZ354" i="90"/>
  <c r="AZ370" i="90"/>
  <c r="AZ386" i="90"/>
  <c r="AZ402" i="90"/>
  <c r="AZ652" i="90"/>
  <c r="AY1075" i="90"/>
  <c r="AZ1166" i="90"/>
  <c r="AZ1182" i="90"/>
  <c r="AZ1214" i="90"/>
  <c r="AZ1230" i="90"/>
  <c r="AZ1262" i="90"/>
  <c r="AY1278" i="90"/>
  <c r="AY1346" i="90"/>
  <c r="AY1621" i="90"/>
  <c r="BX25" i="90"/>
  <c r="BW280" i="90"/>
  <c r="AS459" i="90"/>
  <c r="AS262" i="90"/>
  <c r="AS644" i="90"/>
  <c r="AS607" i="90"/>
  <c r="AS838" i="90"/>
  <c r="AS859" i="90"/>
  <c r="AS867" i="90"/>
  <c r="AS875" i="90"/>
  <c r="AS883" i="90"/>
  <c r="AS891" i="90"/>
  <c r="AS899" i="90"/>
  <c r="AS907" i="90"/>
  <c r="AS915" i="90"/>
  <c r="AS947" i="90"/>
  <c r="AS979" i="90"/>
  <c r="AS1092" i="90"/>
  <c r="AS895" i="90"/>
  <c r="AS927" i="90"/>
  <c r="AS959" i="90"/>
  <c r="AS1079" i="90"/>
  <c r="AS1084" i="90"/>
  <c r="AS1313" i="90"/>
  <c r="AS1052" i="90"/>
  <c r="AS1396" i="90"/>
  <c r="AS1479" i="90"/>
  <c r="BN10" i="90"/>
  <c r="BO10" i="90"/>
  <c r="BO223" i="90"/>
  <c r="BN223" i="90"/>
  <c r="BN18" i="90"/>
  <c r="BO18" i="90"/>
  <c r="BN132" i="90"/>
  <c r="BO132" i="90"/>
  <c r="BN182" i="90"/>
  <c r="BO182" i="90"/>
  <c r="BN269" i="90"/>
  <c r="BO269" i="90"/>
  <c r="BO307" i="90"/>
  <c r="BN307" i="90"/>
  <c r="BO133" i="90"/>
  <c r="BN133" i="90"/>
  <c r="BO199" i="90"/>
  <c r="BN199" i="90"/>
  <c r="BN265" i="90"/>
  <c r="BO265" i="90"/>
  <c r="BX265" i="90" s="1"/>
  <c r="BN343" i="90"/>
  <c r="BO343" i="90"/>
  <c r="BN399" i="90"/>
  <c r="BO399" i="90"/>
  <c r="BN505" i="90"/>
  <c r="BO505" i="90"/>
  <c r="BX505" i="90" s="1"/>
  <c r="BN449" i="90"/>
  <c r="BO449" i="90"/>
  <c r="BN465" i="90"/>
  <c r="BO465" i="90"/>
  <c r="BX465" i="90" s="1"/>
  <c r="BN481" i="90"/>
  <c r="BO481" i="90"/>
  <c r="BO410" i="90"/>
  <c r="BN410" i="90"/>
  <c r="BT541" i="90"/>
  <c r="AO1580" i="90"/>
  <c r="AM1580" i="90"/>
  <c r="AU1580" i="90" s="1"/>
  <c r="AN1580" i="90"/>
  <c r="AO1588" i="90"/>
  <c r="AM1588" i="90"/>
  <c r="AU1588" i="90" s="1"/>
  <c r="AN1588" i="90"/>
  <c r="AM29" i="90"/>
  <c r="AU29" i="90" s="1"/>
  <c r="AN29" i="90"/>
  <c r="AO163" i="90"/>
  <c r="AM163" i="90"/>
  <c r="AU163" i="90" s="1"/>
  <c r="AN163" i="90"/>
  <c r="AN234" i="90"/>
  <c r="AO234" i="90"/>
  <c r="AO253" i="90"/>
  <c r="AM253" i="90"/>
  <c r="AU253" i="90" s="1"/>
  <c r="AN253" i="90"/>
  <c r="AM334" i="90"/>
  <c r="AU334" i="90" s="1"/>
  <c r="AS595" i="90"/>
  <c r="AM622" i="90"/>
  <c r="AU622" i="90" s="1"/>
  <c r="AN622" i="90"/>
  <c r="AS1059" i="90"/>
  <c r="AM1062" i="90"/>
  <c r="AU1062" i="90" s="1"/>
  <c r="AN1062" i="90"/>
  <c r="AS1443" i="90"/>
  <c r="AS1170" i="90"/>
  <c r="AS1150" i="90"/>
  <c r="AS10" i="90"/>
  <c r="AS74" i="90"/>
  <c r="AS127" i="90"/>
  <c r="AS507" i="90"/>
  <c r="AS569" i="90"/>
  <c r="AS623" i="90"/>
  <c r="AS483" i="90"/>
  <c r="AS1108" i="90"/>
  <c r="AS1321" i="90"/>
  <c r="AS1345" i="90"/>
  <c r="AS1284" i="90"/>
  <c r="AS1305" i="90"/>
  <c r="AS1393" i="90"/>
  <c r="AS1292" i="90"/>
  <c r="AS1484" i="90"/>
  <c r="BT95" i="90"/>
  <c r="BT186" i="90"/>
  <c r="BT175" i="90"/>
  <c r="BT243" i="90"/>
  <c r="BT426" i="90"/>
  <c r="BU117" i="90"/>
  <c r="BN6" i="90"/>
  <c r="BO6" i="90"/>
  <c r="BN33" i="90"/>
  <c r="BO33" i="90"/>
  <c r="BN13" i="90"/>
  <c r="BO13" i="90"/>
  <c r="BT33" i="90"/>
  <c r="BN26" i="90"/>
  <c r="BO26" i="90"/>
  <c r="BT261" i="90"/>
  <c r="BN229" i="90"/>
  <c r="BO229" i="90"/>
  <c r="BT13" i="90"/>
  <c r="BT133" i="90"/>
  <c r="BN154" i="90"/>
  <c r="BO154" i="90"/>
  <c r="BT250" i="90"/>
  <c r="BT174" i="90"/>
  <c r="BU314" i="90"/>
  <c r="BO378" i="90"/>
  <c r="BN378" i="90"/>
  <c r="BN537" i="90"/>
  <c r="BO537" i="90"/>
  <c r="BO398" i="90"/>
  <c r="BN398" i="90"/>
  <c r="BN441" i="90"/>
  <c r="BO441" i="90"/>
  <c r="BO452" i="90"/>
  <c r="BN452" i="90"/>
  <c r="BO468" i="90"/>
  <c r="BN468" i="90"/>
  <c r="BO484" i="90"/>
  <c r="BN484" i="90"/>
  <c r="BN521" i="90"/>
  <c r="BO521" i="90"/>
  <c r="AN1527" i="90"/>
  <c r="AO1527" i="90"/>
  <c r="BT343" i="90"/>
  <c r="BW477" i="90"/>
  <c r="AS1527" i="90"/>
  <c r="AS1544" i="90"/>
  <c r="AS1580" i="90"/>
  <c r="AS1513" i="90"/>
  <c r="AS1543" i="90"/>
  <c r="AS1588" i="90"/>
  <c r="BT449" i="90"/>
  <c r="AO1574" i="90"/>
  <c r="AM1574" i="90"/>
  <c r="AU1574" i="90" s="1"/>
  <c r="AN1574" i="90"/>
  <c r="AO1586" i="90"/>
  <c r="AM1586" i="90"/>
  <c r="AU1586" i="90" s="1"/>
  <c r="AN1586" i="90"/>
  <c r="BT465" i="90"/>
  <c r="AS1511" i="90"/>
  <c r="AS1533" i="90"/>
  <c r="AS1589" i="90"/>
  <c r="AS27" i="90"/>
  <c r="AO60" i="90"/>
  <c r="AM60" i="90"/>
  <c r="AU60" i="90" s="1"/>
  <c r="AN60" i="90"/>
  <c r="AO255" i="90"/>
  <c r="AM255" i="90"/>
  <c r="AU255" i="90" s="1"/>
  <c r="AN255" i="90"/>
  <c r="AS60" i="90"/>
  <c r="AS255" i="90"/>
  <c r="AM590" i="90"/>
  <c r="AU590" i="90" s="1"/>
  <c r="AN590" i="90"/>
  <c r="AS457" i="90"/>
  <c r="AS546" i="90"/>
  <c r="AS606" i="90"/>
  <c r="AS611" i="90"/>
  <c r="AS495" i="90"/>
  <c r="AS474" i="90"/>
  <c r="AS514" i="90"/>
  <c r="AS970" i="90"/>
  <c r="AS1075" i="90"/>
  <c r="AS1072" i="90"/>
  <c r="AM1078" i="90"/>
  <c r="AU1078" i="90" s="1"/>
  <c r="AN1078" i="90"/>
  <c r="AS1435" i="90"/>
  <c r="AS1056" i="90"/>
  <c r="AS1330" i="90"/>
  <c r="AS1162" i="90"/>
  <c r="AS1186" i="90"/>
  <c r="AS1158" i="90"/>
  <c r="AS25" i="90"/>
  <c r="AS73" i="90"/>
  <c r="AS23" i="90"/>
  <c r="AS228" i="90"/>
  <c r="AS293" i="90"/>
  <c r="AS819" i="90"/>
  <c r="AS1369" i="90"/>
  <c r="BT93" i="90"/>
  <c r="BN122" i="90"/>
  <c r="BO122" i="90"/>
  <c r="BT10" i="90"/>
  <c r="BN21" i="90"/>
  <c r="BO21" i="90"/>
  <c r="BO86" i="90"/>
  <c r="BN86" i="90"/>
  <c r="BT18" i="90"/>
  <c r="BT81" i="90"/>
  <c r="BN53" i="90"/>
  <c r="BO53" i="90"/>
  <c r="BT182" i="90"/>
  <c r="BO172" i="90"/>
  <c r="BN172" i="90"/>
  <c r="BT269" i="90"/>
  <c r="BN237" i="90"/>
  <c r="BO237" i="90"/>
  <c r="BT246" i="90"/>
  <c r="BO508" i="90"/>
  <c r="BN508" i="90"/>
  <c r="BO334" i="90"/>
  <c r="BN334" i="90"/>
  <c r="BN445" i="90"/>
  <c r="BO445" i="90"/>
  <c r="BX445" i="90" s="1"/>
  <c r="BN453" i="90"/>
  <c r="BO453" i="90"/>
  <c r="BN469" i="90"/>
  <c r="BO469" i="90"/>
  <c r="BN485" i="90"/>
  <c r="BO485" i="90"/>
  <c r="BX485" i="90" s="1"/>
  <c r="BT265" i="90"/>
  <c r="BT399" i="90"/>
  <c r="BW461" i="90"/>
  <c r="BT537" i="90"/>
  <c r="AS1549" i="90"/>
  <c r="AS1503" i="90"/>
  <c r="AM1543" i="90"/>
  <c r="AU1543" i="90" s="1"/>
  <c r="AN1543" i="90"/>
  <c r="AO1578" i="90"/>
  <c r="AM1578" i="90"/>
  <c r="AU1578" i="90" s="1"/>
  <c r="AN1578" i="90"/>
  <c r="BT481" i="90"/>
  <c r="AO1582" i="90"/>
  <c r="AM1582" i="90"/>
  <c r="AU1582" i="90" s="1"/>
  <c r="AN1582" i="90"/>
  <c r="AM27" i="90"/>
  <c r="AU27" i="90" s="1"/>
  <c r="AN27" i="90"/>
  <c r="AM9" i="90"/>
  <c r="AU9" i="90" s="1"/>
  <c r="AN61" i="90"/>
  <c r="AO61" i="90"/>
  <c r="AO112" i="90"/>
  <c r="AM112" i="90"/>
  <c r="AU112" i="90" s="1"/>
  <c r="AN112" i="90"/>
  <c r="AS257" i="90"/>
  <c r="AO277" i="90"/>
  <c r="AM277" i="90"/>
  <c r="AU277" i="90" s="1"/>
  <c r="AN277" i="90"/>
  <c r="AO322" i="90"/>
  <c r="AN322" i="90"/>
  <c r="AM322" i="90"/>
  <c r="AU322" i="90" s="1"/>
  <c r="AN331" i="90"/>
  <c r="AO331" i="90"/>
  <c r="AM606" i="90"/>
  <c r="AU606" i="90" s="1"/>
  <c r="AN606" i="90"/>
  <c r="AN1330" i="90"/>
  <c r="AO1330" i="90"/>
  <c r="AS966" i="90"/>
  <c r="AS950" i="90"/>
  <c r="AS980" i="90"/>
  <c r="AN1072" i="90"/>
  <c r="AM1072" i="90"/>
  <c r="AU1072" i="90" s="1"/>
  <c r="AN1056" i="90"/>
  <c r="AM1056" i="90"/>
  <c r="AU1056" i="90" s="1"/>
  <c r="AN1338" i="90"/>
  <c r="AO1338" i="90"/>
  <c r="AS1178" i="90"/>
  <c r="AS1174" i="90"/>
  <c r="AS244" i="90"/>
  <c r="AS327" i="90"/>
  <c r="AS491" i="90"/>
  <c r="AS443" i="90"/>
  <c r="AS563" i="90"/>
  <c r="AS647" i="90"/>
  <c r="AS575" i="90"/>
  <c r="AS604" i="90"/>
  <c r="AS1063" i="90"/>
  <c r="AS1124" i="90"/>
  <c r="AS1100" i="90"/>
  <c r="AS1553" i="90"/>
  <c r="BT428" i="90"/>
  <c r="BT110" i="90"/>
  <c r="BO156" i="90"/>
  <c r="BN156" i="90"/>
  <c r="BN42" i="90"/>
  <c r="BO42" i="90"/>
  <c r="BT132" i="90"/>
  <c r="BN261" i="90"/>
  <c r="BO261" i="90"/>
  <c r="BT42" i="90"/>
  <c r="BO346" i="90"/>
  <c r="BN346" i="90"/>
  <c r="BO366" i="90"/>
  <c r="BN366" i="90"/>
  <c r="BO239" i="90"/>
  <c r="BN239" i="90"/>
  <c r="BN312" i="90"/>
  <c r="BO312" i="90"/>
  <c r="BT237" i="90"/>
  <c r="BO448" i="90"/>
  <c r="BN448" i="90"/>
  <c r="BO464" i="90"/>
  <c r="BN464" i="90"/>
  <c r="BO480" i="90"/>
  <c r="BN480" i="90"/>
  <c r="BO524" i="90"/>
  <c r="BN524" i="90"/>
  <c r="BN407" i="90"/>
  <c r="BO407" i="90"/>
  <c r="BT508" i="90"/>
  <c r="AM1549" i="90"/>
  <c r="AU1549" i="90" s="1"/>
  <c r="AN1549" i="90"/>
  <c r="BT453" i="90"/>
  <c r="AW1487" i="90"/>
  <c r="AN1554" i="90"/>
  <c r="AO1554" i="90"/>
  <c r="AS1581" i="90"/>
  <c r="AS1505" i="90"/>
  <c r="AS22" i="90"/>
  <c r="AS51" i="90"/>
  <c r="AO56" i="90"/>
  <c r="AN56" i="90"/>
  <c r="AS56" i="90"/>
  <c r="AM56" i="90"/>
  <c r="AU56" i="90" s="1"/>
  <c r="AS112" i="90"/>
  <c r="AS253" i="90"/>
  <c r="AS322" i="90"/>
  <c r="AM342" i="90"/>
  <c r="AU342" i="90" s="1"/>
  <c r="AS163" i="90"/>
  <c r="AS345" i="90"/>
  <c r="AM528" i="90"/>
  <c r="AU528" i="90" s="1"/>
  <c r="AM544" i="90"/>
  <c r="AU544" i="90" s="1"/>
  <c r="AM574" i="90"/>
  <c r="AU574" i="90" s="1"/>
  <c r="AN574" i="90"/>
  <c r="AS562" i="90"/>
  <c r="AS622" i="90"/>
  <c r="AN498" i="90"/>
  <c r="AW498" i="90" s="1"/>
  <c r="AS832" i="90"/>
  <c r="AS1182" i="90"/>
  <c r="AS1154" i="90"/>
  <c r="AS1166" i="90"/>
  <c r="AS1190" i="90"/>
  <c r="AM1607" i="90"/>
  <c r="AU1607" i="90" s="1"/>
  <c r="BN601" i="90"/>
  <c r="BU601" i="90" s="1"/>
  <c r="BT621" i="90"/>
  <c r="BW621" i="90"/>
  <c r="BT601" i="90"/>
  <c r="AS1627" i="90"/>
  <c r="AM1625" i="90"/>
  <c r="AU1625" i="90" s="1"/>
  <c r="AM1615" i="90"/>
  <c r="AU1615" i="90" s="1"/>
  <c r="BT607" i="90"/>
  <c r="BN613" i="90"/>
  <c r="BU613" i="90" s="1"/>
  <c r="AS1623" i="90"/>
  <c r="AM1617" i="90"/>
  <c r="AU1617" i="90" s="1"/>
  <c r="BN617" i="90"/>
  <c r="BU617" i="90" s="1"/>
  <c r="AY1607" i="90"/>
  <c r="AS1631" i="90"/>
  <c r="BT585" i="90"/>
  <c r="BT633" i="90"/>
  <c r="BT641" i="90"/>
  <c r="AS1609" i="90"/>
  <c r="AN1607" i="90"/>
  <c r="AW1607" i="90" s="1"/>
  <c r="AZ1631" i="90"/>
  <c r="BN597" i="90"/>
  <c r="BU597" i="90" s="1"/>
  <c r="BT589" i="90"/>
  <c r="AS1661" i="90"/>
  <c r="AN1617" i="90"/>
  <c r="AW1617" i="90" s="1"/>
  <c r="AO1635" i="90"/>
  <c r="AY1635" i="90" s="1"/>
  <c r="BN585" i="90"/>
  <c r="BT613" i="90"/>
  <c r="AN1614" i="90"/>
  <c r="AW1614" i="90" s="1"/>
  <c r="AS1617" i="90"/>
  <c r="AS1607" i="90"/>
  <c r="AS1620" i="90"/>
  <c r="AS1621" i="90"/>
  <c r="AS1645" i="90"/>
  <c r="BW625" i="90"/>
  <c r="BT625" i="90"/>
  <c r="AM1631" i="90"/>
  <c r="AU1631" i="90" s="1"/>
  <c r="BN625" i="90"/>
  <c r="BV625" i="90" s="1"/>
  <c r="AS1628" i="90"/>
  <c r="BT597" i="90"/>
  <c r="AS1615" i="90"/>
  <c r="AO1628" i="90"/>
  <c r="AY1628" i="90" s="1"/>
  <c r="AS1653" i="90"/>
  <c r="AS1635" i="90"/>
  <c r="AS1625" i="90"/>
  <c r="AO1625" i="90"/>
  <c r="AZ1625" i="90" s="1"/>
  <c r="BW641" i="90"/>
  <c r="AN1635" i="90"/>
  <c r="AW1635" i="90" s="1"/>
  <c r="BN593" i="90"/>
  <c r="BT593" i="90"/>
  <c r="AN1620" i="90"/>
  <c r="AW1620" i="90" s="1"/>
  <c r="AS1647" i="90"/>
  <c r="AS1663" i="90"/>
  <c r="AY1615" i="90"/>
  <c r="AS1610" i="90"/>
  <c r="AS1639" i="90"/>
  <c r="AZ1637" i="90"/>
  <c r="AS1637" i="90"/>
  <c r="AO1620" i="90"/>
  <c r="AY1620" i="90" s="1"/>
  <c r="AM1621" i="90"/>
  <c r="AU1621" i="90" s="1"/>
  <c r="BN633" i="90"/>
  <c r="BO607" i="90"/>
  <c r="AN1637" i="90"/>
  <c r="AW1637" i="90" s="1"/>
  <c r="AN1615" i="90"/>
  <c r="AW1615" i="90" s="1"/>
  <c r="AN1628" i="90"/>
  <c r="AW1628" i="90" s="1"/>
  <c r="AY1617" i="90"/>
  <c r="AM1637" i="90"/>
  <c r="AU1637" i="90" s="1"/>
  <c r="BN621" i="90"/>
  <c r="BU621" i="90" s="1"/>
  <c r="BT617" i="90"/>
  <c r="AW1008" i="90"/>
  <c r="AW1331" i="90"/>
  <c r="AW896" i="90"/>
  <c r="AW1458" i="90"/>
  <c r="AW1496" i="90"/>
  <c r="AW1512" i="90"/>
  <c r="BO642" i="90"/>
  <c r="BN642" i="90"/>
  <c r="BU642" i="90" s="1"/>
  <c r="AW266" i="90"/>
  <c r="AW320" i="90"/>
  <c r="AW1023" i="90"/>
  <c r="AW1026" i="90"/>
  <c r="AW1519" i="90"/>
  <c r="AS1655" i="90"/>
  <c r="BT642" i="90"/>
  <c r="AM1613" i="90"/>
  <c r="AU1613" i="90" s="1"/>
  <c r="AM1619" i="90"/>
  <c r="AU1619" i="90" s="1"/>
  <c r="AO1619" i="90"/>
  <c r="AZ1619" i="90" s="1"/>
  <c r="AN1619" i="90"/>
  <c r="AS1619" i="90"/>
  <c r="AY1606" i="90"/>
  <c r="AM1633" i="90"/>
  <c r="AU1633" i="90" s="1"/>
  <c r="AS1633" i="90"/>
  <c r="AN1633" i="90"/>
  <c r="AW1633" i="90" s="1"/>
  <c r="AM1606" i="90"/>
  <c r="AU1606" i="90" s="1"/>
  <c r="AS1606" i="90"/>
  <c r="AN1606" i="90"/>
  <c r="AW1606" i="90" s="1"/>
  <c r="AW216" i="90"/>
  <c r="AW172" i="90"/>
  <c r="AW183" i="90"/>
  <c r="AW357" i="90"/>
  <c r="AW383" i="90"/>
  <c r="AW956" i="90"/>
  <c r="AW211" i="90"/>
  <c r="AW321" i="90"/>
  <c r="AW519" i="90"/>
  <c r="AW487" i="90"/>
  <c r="AW727" i="90"/>
  <c r="AW751" i="90"/>
  <c r="AW1181" i="90"/>
  <c r="AW1199" i="90"/>
  <c r="AW389" i="90"/>
  <c r="AW267" i="90"/>
  <c r="AW611" i="90"/>
  <c r="AW619" i="90"/>
  <c r="AW635" i="90"/>
  <c r="AW643" i="90"/>
  <c r="AW1051" i="90"/>
  <c r="AW1075" i="90"/>
  <c r="AW1123" i="90"/>
  <c r="AW1035" i="90"/>
  <c r="AW868" i="90"/>
  <c r="AW1044" i="90"/>
  <c r="AW758" i="90"/>
  <c r="AW1029" i="90"/>
  <c r="AW968" i="90"/>
  <c r="AW1425" i="90"/>
  <c r="AW1441" i="90"/>
  <c r="AW1414" i="90"/>
  <c r="AO1613" i="90"/>
  <c r="BO615" i="90"/>
  <c r="BN615" i="90"/>
  <c r="BN612" i="90"/>
  <c r="BO612" i="90"/>
  <c r="AW40" i="90"/>
  <c r="AW124" i="90"/>
  <c r="AW634" i="90"/>
  <c r="AW661" i="90"/>
  <c r="AW1430" i="90"/>
  <c r="AW453" i="90"/>
  <c r="AW1245" i="90"/>
  <c r="AW1263" i="90"/>
  <c r="AW116" i="90"/>
  <c r="AW243" i="90"/>
  <c r="AW390" i="90"/>
  <c r="AW405" i="90"/>
  <c r="AW471" i="90"/>
  <c r="AW537" i="90"/>
  <c r="AW679" i="90"/>
  <c r="AW791" i="90"/>
  <c r="AW815" i="90"/>
  <c r="AW696" i="90"/>
  <c r="AW1014" i="90"/>
  <c r="AW1147" i="90"/>
  <c r="AW1167" i="90"/>
  <c r="AW1213" i="90"/>
  <c r="AW1231" i="90"/>
  <c r="AW1277" i="90"/>
  <c r="AW1001" i="90"/>
  <c r="AW1015" i="90"/>
  <c r="AW936" i="90"/>
  <c r="AW1141" i="90"/>
  <c r="AW1446" i="90"/>
  <c r="AW1478" i="90"/>
  <c r="AW1505" i="90"/>
  <c r="AN1613" i="90"/>
  <c r="AW1613" i="90" s="1"/>
  <c r="AW1644" i="90"/>
  <c r="AW1652" i="90"/>
  <c r="AW1660" i="90"/>
  <c r="BT615" i="90"/>
  <c r="AO1614" i="90"/>
  <c r="AM1614" i="90"/>
  <c r="AU1614" i="90" s="1"/>
  <c r="AS1613" i="90"/>
  <c r="AN1631" i="90"/>
  <c r="AW1631" i="90" s="1"/>
  <c r="AS1667" i="90"/>
  <c r="BT612" i="90"/>
  <c r="AW579" i="90"/>
  <c r="AW766" i="90"/>
  <c r="AW1036" i="90"/>
  <c r="AW693" i="90"/>
  <c r="AW366" i="90"/>
  <c r="AW372" i="90"/>
  <c r="AW382" i="90"/>
  <c r="AW388" i="90"/>
  <c r="AW398" i="90"/>
  <c r="AW455" i="90"/>
  <c r="AW503" i="90"/>
  <c r="AW359" i="90"/>
  <c r="AW381" i="90"/>
  <c r="AW391" i="90"/>
  <c r="AW1145" i="90"/>
  <c r="AW1143" i="90"/>
  <c r="AW992" i="90"/>
  <c r="AW1444" i="90"/>
  <c r="AW1511" i="90"/>
  <c r="AW1506" i="90"/>
  <c r="AW1636" i="90"/>
  <c r="AW1632" i="90"/>
  <c r="BO605" i="90"/>
  <c r="BX605" i="90" s="1"/>
  <c r="BN605" i="90"/>
  <c r="BU605" i="90" s="1"/>
  <c r="BT605" i="90"/>
  <c r="BO629" i="90"/>
  <c r="BT629" i="90"/>
  <c r="AN1665" i="90"/>
  <c r="AW1665" i="90" s="1"/>
  <c r="AO1665" i="90"/>
  <c r="BO631" i="90"/>
  <c r="BT631" i="90"/>
  <c r="AW1612" i="90"/>
  <c r="AO1618" i="90"/>
  <c r="AM1618" i="90"/>
  <c r="AU1618" i="90" s="1"/>
  <c r="AW545" i="90"/>
  <c r="AW735" i="90"/>
  <c r="AW1159" i="90"/>
  <c r="AW1223" i="90"/>
  <c r="AW996" i="90"/>
  <c r="AW345" i="90"/>
  <c r="AW497" i="90"/>
  <c r="AW683" i="90"/>
  <c r="AW848" i="90"/>
  <c r="AW703" i="90"/>
  <c r="AW767" i="90"/>
  <c r="AW1115" i="90"/>
  <c r="AW1175" i="90"/>
  <c r="AW1207" i="90"/>
  <c r="AW1239" i="90"/>
  <c r="AW1271" i="90"/>
  <c r="AW892" i="90"/>
  <c r="AW980" i="90"/>
  <c r="AW1137" i="90"/>
  <c r="BN629" i="90"/>
  <c r="BU629" i="90" s="1"/>
  <c r="AW799" i="90"/>
  <c r="AW1191" i="90"/>
  <c r="AW1255" i="90"/>
  <c r="AW932" i="90"/>
  <c r="AW993" i="90"/>
  <c r="AW1033" i="90"/>
  <c r="AW888" i="90"/>
  <c r="AW1355" i="90"/>
  <c r="AW1032" i="90"/>
  <c r="AW1531" i="90"/>
  <c r="AW1638" i="90"/>
  <c r="AW439" i="90"/>
  <c r="AW319" i="90"/>
  <c r="AW332" i="90"/>
  <c r="AW365" i="90"/>
  <c r="AW375" i="90"/>
  <c r="AW397" i="90"/>
  <c r="AW818" i="90"/>
  <c r="AW1034" i="90"/>
  <c r="AW1429" i="90"/>
  <c r="AW1000" i="90"/>
  <c r="AW1471" i="90"/>
  <c r="AW1525" i="90"/>
  <c r="BN631" i="90"/>
  <c r="AS1665" i="90"/>
  <c r="AO1610" i="90"/>
  <c r="AM1610" i="90"/>
  <c r="AU1610" i="90" s="1"/>
  <c r="AN1610" i="90"/>
  <c r="AS1641" i="90"/>
  <c r="AS1649" i="90"/>
  <c r="AS1657" i="90"/>
  <c r="AY1612" i="90"/>
  <c r="AS1643" i="90"/>
  <c r="AS1651" i="90"/>
  <c r="AS1659" i="90"/>
  <c r="AS1611" i="90"/>
  <c r="BN609" i="90"/>
  <c r="BU609" i="90" s="1"/>
  <c r="AS1618" i="90"/>
  <c r="BW7" i="90"/>
  <c r="BW35" i="90"/>
  <c r="BW12" i="90"/>
  <c r="BU31" i="90"/>
  <c r="BU73" i="90"/>
  <c r="BW65" i="90"/>
  <c r="BN61" i="90"/>
  <c r="BO61" i="90"/>
  <c r="BU105" i="90"/>
  <c r="BV105" i="90"/>
  <c r="BW126" i="90"/>
  <c r="BW136" i="90"/>
  <c r="BO99" i="90"/>
  <c r="BN99" i="90"/>
  <c r="BU62" i="90"/>
  <c r="BW107" i="90"/>
  <c r="BN128" i="90"/>
  <c r="BO128" i="90"/>
  <c r="BN140" i="90"/>
  <c r="BO140" i="90"/>
  <c r="BW157" i="90"/>
  <c r="BW266" i="90"/>
  <c r="BU282" i="90"/>
  <c r="BN97" i="90"/>
  <c r="BO97" i="90"/>
  <c r="BN147" i="90"/>
  <c r="BO147" i="90"/>
  <c r="BW210" i="90"/>
  <c r="BU180" i="90"/>
  <c r="BU160" i="90"/>
  <c r="BW192" i="90"/>
  <c r="BU255" i="90"/>
  <c r="BU291" i="90"/>
  <c r="BN357" i="90"/>
  <c r="BO357" i="90"/>
  <c r="BN365" i="90"/>
  <c r="BO365" i="90"/>
  <c r="BX365" i="90" s="1"/>
  <c r="BN397" i="90"/>
  <c r="BO397" i="90"/>
  <c r="BU271" i="90"/>
  <c r="BN361" i="90"/>
  <c r="BO361" i="90"/>
  <c r="BW408" i="90"/>
  <c r="BN435" i="90"/>
  <c r="BO435" i="90"/>
  <c r="BN451" i="90"/>
  <c r="BO451" i="90"/>
  <c r="BW515" i="90"/>
  <c r="BN377" i="90"/>
  <c r="BO377" i="90"/>
  <c r="BU424" i="90"/>
  <c r="BU440" i="90"/>
  <c r="BU456" i="90"/>
  <c r="BU472" i="90"/>
  <c r="BU540" i="90"/>
  <c r="BU263" i="90"/>
  <c r="BW386" i="90"/>
  <c r="BU503" i="90"/>
  <c r="BU512" i="90"/>
  <c r="BW547" i="90"/>
  <c r="BU559" i="90"/>
  <c r="BW563" i="90"/>
  <c r="BU606" i="90"/>
  <c r="BW614" i="90"/>
  <c r="BW623" i="90"/>
  <c r="BU600" i="90"/>
  <c r="BU628" i="90"/>
  <c r="BW542" i="90"/>
  <c r="BW558" i="90"/>
  <c r="BW574" i="90"/>
  <c r="BW590" i="90"/>
  <c r="BU622" i="90"/>
  <c r="BU564" i="90"/>
  <c r="BU596" i="90"/>
  <c r="BU7" i="90"/>
  <c r="BU23" i="90"/>
  <c r="BU11" i="90"/>
  <c r="BW24" i="90"/>
  <c r="BU35" i="90"/>
  <c r="BW51" i="90"/>
  <c r="BW15" i="90"/>
  <c r="BT19" i="90"/>
  <c r="BN54" i="90"/>
  <c r="BO54" i="90"/>
  <c r="BU44" i="90"/>
  <c r="BT54" i="90"/>
  <c r="BW32" i="90"/>
  <c r="BV65" i="90"/>
  <c r="BU65" i="90"/>
  <c r="BO66" i="90"/>
  <c r="BN66" i="90"/>
  <c r="BU16" i="90"/>
  <c r="BO82" i="90"/>
  <c r="BN82" i="90"/>
  <c r="BW103" i="90"/>
  <c r="BW119" i="90"/>
  <c r="BU125" i="90"/>
  <c r="BV125" i="90"/>
  <c r="BW57" i="90"/>
  <c r="BU121" i="90"/>
  <c r="BW131" i="90"/>
  <c r="BU137" i="90"/>
  <c r="BN95" i="90"/>
  <c r="BO95" i="90"/>
  <c r="BT99" i="90"/>
  <c r="BT112" i="90"/>
  <c r="BW62" i="90"/>
  <c r="BW114" i="90"/>
  <c r="BW155" i="90"/>
  <c r="BU171" i="90"/>
  <c r="BT66" i="90"/>
  <c r="BT74" i="90"/>
  <c r="BW87" i="90"/>
  <c r="BW88" i="90"/>
  <c r="BW96" i="90"/>
  <c r="BT144" i="90"/>
  <c r="BU151" i="90"/>
  <c r="BW174" i="90"/>
  <c r="BN163" i="90"/>
  <c r="BO163" i="90"/>
  <c r="BW176" i="90"/>
  <c r="BW202" i="90"/>
  <c r="BW218" i="90"/>
  <c r="BW250" i="90"/>
  <c r="BU266" i="90"/>
  <c r="BW298" i="90"/>
  <c r="BU148" i="90"/>
  <c r="BU113" i="90"/>
  <c r="BW123" i="90"/>
  <c r="BW161" i="90"/>
  <c r="BW194" i="90"/>
  <c r="BU210" i="90"/>
  <c r="BT140" i="90"/>
  <c r="BW180" i="90"/>
  <c r="BT184" i="90"/>
  <c r="BN186" i="90"/>
  <c r="BO186" i="90"/>
  <c r="BW262" i="90"/>
  <c r="BO267" i="90"/>
  <c r="BN267" i="90"/>
  <c r="BW273" i="90"/>
  <c r="BT290" i="90"/>
  <c r="BN175" i="90"/>
  <c r="BO175" i="90"/>
  <c r="BU201" i="90"/>
  <c r="BU217" i="90"/>
  <c r="BU233" i="90"/>
  <c r="BN254" i="90"/>
  <c r="BO254" i="90"/>
  <c r="BW272" i="90"/>
  <c r="BW296" i="90"/>
  <c r="BO152" i="90"/>
  <c r="BN152" i="90"/>
  <c r="BW160" i="90"/>
  <c r="BU166" i="90"/>
  <c r="BO203" i="90"/>
  <c r="BN203" i="90"/>
  <c r="BO219" i="90"/>
  <c r="BN219" i="90"/>
  <c r="BO235" i="90"/>
  <c r="BN235" i="90"/>
  <c r="BN238" i="90"/>
  <c r="BO238" i="90"/>
  <c r="BW291" i="90"/>
  <c r="BN302" i="90"/>
  <c r="BO302" i="90"/>
  <c r="BV245" i="90"/>
  <c r="BU245" i="90"/>
  <c r="BT278" i="90"/>
  <c r="BW324" i="90"/>
  <c r="BU326" i="90"/>
  <c r="BW356" i="90"/>
  <c r="BU358" i="90"/>
  <c r="BW388" i="90"/>
  <c r="BU390" i="90"/>
  <c r="BW420" i="90"/>
  <c r="BU422" i="90"/>
  <c r="BU232" i="90"/>
  <c r="BN321" i="90"/>
  <c r="BO321" i="90"/>
  <c r="BU336" i="90"/>
  <c r="BN353" i="90"/>
  <c r="BO353" i="90"/>
  <c r="BU368" i="90"/>
  <c r="BN385" i="90"/>
  <c r="BO385" i="90"/>
  <c r="BX385" i="90" s="1"/>
  <c r="BU400" i="90"/>
  <c r="BN417" i="90"/>
  <c r="BO417" i="90"/>
  <c r="BT164" i="90"/>
  <c r="BW216" i="90"/>
  <c r="BW240" i="90"/>
  <c r="BT267" i="90"/>
  <c r="BT302" i="90"/>
  <c r="BW316" i="90"/>
  <c r="BT321" i="90"/>
  <c r="BW332" i="90"/>
  <c r="BW348" i="90"/>
  <c r="BT353" i="90"/>
  <c r="BW364" i="90"/>
  <c r="BW380" i="90"/>
  <c r="BT385" i="90"/>
  <c r="BW396" i="90"/>
  <c r="BW412" i="90"/>
  <c r="BT417" i="90"/>
  <c r="BU425" i="90"/>
  <c r="BV425" i="90"/>
  <c r="BW271" i="90"/>
  <c r="BU304" i="90"/>
  <c r="BW344" i="90"/>
  <c r="BW354" i="90"/>
  <c r="BU408" i="90"/>
  <c r="BN428" i="90"/>
  <c r="BO428" i="90"/>
  <c r="BN345" i="90"/>
  <c r="BO345" i="90"/>
  <c r="BX345" i="90" s="1"/>
  <c r="BW392" i="90"/>
  <c r="BU515" i="90"/>
  <c r="BU545" i="90"/>
  <c r="BV545" i="90"/>
  <c r="BW200" i="90"/>
  <c r="BO243" i="90"/>
  <c r="BN243" i="90"/>
  <c r="BU297" i="90"/>
  <c r="BW360" i="90"/>
  <c r="BW370" i="90"/>
  <c r="BU500" i="90"/>
  <c r="BU516" i="90"/>
  <c r="BU532" i="90"/>
  <c r="BO191" i="90"/>
  <c r="BN191" i="90"/>
  <c r="BW263" i="90"/>
  <c r="BW402" i="90"/>
  <c r="BU561" i="90"/>
  <c r="BU577" i="90"/>
  <c r="BU275" i="90"/>
  <c r="BW322" i="90"/>
  <c r="BU376" i="90"/>
  <c r="BT393" i="90"/>
  <c r="BU444" i="90"/>
  <c r="BU476" i="90"/>
  <c r="BO504" i="90"/>
  <c r="BN504" i="90"/>
  <c r="BW509" i="90"/>
  <c r="BW519" i="90"/>
  <c r="BU547" i="90"/>
  <c r="BW551" i="90"/>
  <c r="BU563" i="90"/>
  <c r="BW567" i="90"/>
  <c r="BU579" i="90"/>
  <c r="BW583" i="90"/>
  <c r="BU595" i="90"/>
  <c r="BW599" i="90"/>
  <c r="BW610" i="90"/>
  <c r="BU623" i="90"/>
  <c r="BW627" i="90"/>
  <c r="BW630" i="90"/>
  <c r="BW568" i="90"/>
  <c r="BW588" i="90"/>
  <c r="BW624" i="90"/>
  <c r="BU634" i="90"/>
  <c r="BU644" i="90"/>
  <c r="BU546" i="90"/>
  <c r="BW554" i="90"/>
  <c r="BU562" i="90"/>
  <c r="BW570" i="90"/>
  <c r="BU578" i="90"/>
  <c r="BW586" i="90"/>
  <c r="BU594" i="90"/>
  <c r="BW602" i="90"/>
  <c r="BU618" i="90"/>
  <c r="BW626" i="90"/>
  <c r="BW552" i="90"/>
  <c r="BW572" i="90"/>
  <c r="BW592" i="90"/>
  <c r="BT435" i="90"/>
  <c r="BW608" i="90"/>
  <c r="BW616" i="90"/>
  <c r="BW638" i="90"/>
  <c r="BW544" i="90"/>
  <c r="BW556" i="90"/>
  <c r="BW576" i="90"/>
  <c r="BW604" i="90"/>
  <c r="BW23" i="90"/>
  <c r="BW11" i="90"/>
  <c r="BU83" i="90"/>
  <c r="BW120" i="90"/>
  <c r="BW171" i="90"/>
  <c r="BW151" i="90"/>
  <c r="BN159" i="90"/>
  <c r="BO159" i="90"/>
  <c r="BO195" i="90"/>
  <c r="BN195" i="90"/>
  <c r="BO211" i="90"/>
  <c r="BN211" i="90"/>
  <c r="BO227" i="90"/>
  <c r="BN227" i="90"/>
  <c r="BW259" i="90"/>
  <c r="BW201" i="90"/>
  <c r="BW217" i="90"/>
  <c r="BW233" i="90"/>
  <c r="BU257" i="90"/>
  <c r="BW208" i="90"/>
  <c r="BW224" i="90"/>
  <c r="BN325" i="90"/>
  <c r="BO325" i="90"/>
  <c r="BX325" i="90" s="1"/>
  <c r="BU340" i="90"/>
  <c r="BN389" i="90"/>
  <c r="BO389" i="90"/>
  <c r="BU404" i="90"/>
  <c r="BN421" i="90"/>
  <c r="BO421" i="90"/>
  <c r="BT325" i="90"/>
  <c r="BW336" i="90"/>
  <c r="BT389" i="90"/>
  <c r="BT421" i="90"/>
  <c r="BW187" i="90"/>
  <c r="BN242" i="90"/>
  <c r="BO242" i="90"/>
  <c r="BN317" i="90"/>
  <c r="BO317" i="90"/>
  <c r="BN333" i="90"/>
  <c r="BO333" i="90"/>
  <c r="BW425" i="90"/>
  <c r="BU289" i="90"/>
  <c r="BU354" i="90"/>
  <c r="BU402" i="90"/>
  <c r="BN409" i="90"/>
  <c r="BO409" i="90"/>
  <c r="BU573" i="90"/>
  <c r="BU641" i="90"/>
  <c r="BN329" i="90"/>
  <c r="BO329" i="90"/>
  <c r="BW376" i="90"/>
  <c r="BN443" i="90"/>
  <c r="BO443" i="90"/>
  <c r="BU536" i="90"/>
  <c r="BU328" i="90"/>
  <c r="BU591" i="90"/>
  <c r="BU619" i="90"/>
  <c r="BU580" i="90"/>
  <c r="BU550" i="90"/>
  <c r="BU566" i="90"/>
  <c r="BU598" i="90"/>
  <c r="BU636" i="90"/>
  <c r="BU639" i="90"/>
  <c r="BU560" i="90"/>
  <c r="BU584" i="90"/>
  <c r="BU620" i="90"/>
  <c r="BU638" i="90"/>
  <c r="BU548" i="90"/>
  <c r="BW39" i="90"/>
  <c r="BW27" i="90"/>
  <c r="BU15" i="90"/>
  <c r="BW28" i="90"/>
  <c r="BU48" i="90"/>
  <c r="BN47" i="90"/>
  <c r="BO47" i="90"/>
  <c r="BW50" i="90"/>
  <c r="BT61" i="90"/>
  <c r="BT85" i="90"/>
  <c r="BU94" i="90"/>
  <c r="BT58" i="90"/>
  <c r="BU57" i="90"/>
  <c r="BU67" i="90"/>
  <c r="BN77" i="90"/>
  <c r="BO77" i="90"/>
  <c r="BU78" i="90"/>
  <c r="BU141" i="90"/>
  <c r="BT82" i="90"/>
  <c r="BU114" i="90"/>
  <c r="BU155" i="90"/>
  <c r="BT69" i="90"/>
  <c r="BO74" i="90"/>
  <c r="BN74" i="90"/>
  <c r="BU87" i="90"/>
  <c r="BT128" i="90"/>
  <c r="BW135" i="90"/>
  <c r="BW158" i="90"/>
  <c r="BW183" i="90"/>
  <c r="BT159" i="90"/>
  <c r="BW162" i="90"/>
  <c r="BU202" i="90"/>
  <c r="BU218" i="90"/>
  <c r="BW234" i="90"/>
  <c r="BU250" i="90"/>
  <c r="BU298" i="90"/>
  <c r="BT97" i="90"/>
  <c r="BW139" i="90"/>
  <c r="BW148" i="90"/>
  <c r="BW113" i="90"/>
  <c r="BO168" i="90"/>
  <c r="BN168" i="90"/>
  <c r="BU194" i="90"/>
  <c r="BW193" i="90"/>
  <c r="BW209" i="90"/>
  <c r="BW225" i="90"/>
  <c r="BU262" i="90"/>
  <c r="BU273" i="90"/>
  <c r="BU287" i="90"/>
  <c r="BN290" i="90"/>
  <c r="BO290" i="90"/>
  <c r="BU177" i="90"/>
  <c r="BT179" i="90"/>
  <c r="BT190" i="90"/>
  <c r="BW246" i="90"/>
  <c r="BO251" i="90"/>
  <c r="BN251" i="90"/>
  <c r="BT274" i="90"/>
  <c r="BW310" i="90"/>
  <c r="BN93" i="90"/>
  <c r="BO93" i="90"/>
  <c r="BW241" i="90"/>
  <c r="BW256" i="90"/>
  <c r="BW294" i="90"/>
  <c r="BO299" i="90"/>
  <c r="BN299" i="90"/>
  <c r="BU247" i="90"/>
  <c r="BU324" i="90"/>
  <c r="BN341" i="90"/>
  <c r="BO341" i="90"/>
  <c r="BU356" i="90"/>
  <c r="BN373" i="90"/>
  <c r="BO373" i="90"/>
  <c r="BU388" i="90"/>
  <c r="BN405" i="90"/>
  <c r="BO405" i="90"/>
  <c r="BX405" i="90" s="1"/>
  <c r="BU420" i="90"/>
  <c r="BW248" i="90"/>
  <c r="BT283" i="90"/>
  <c r="BW320" i="90"/>
  <c r="BT341" i="90"/>
  <c r="BW352" i="90"/>
  <c r="BT373" i="90"/>
  <c r="BW384" i="90"/>
  <c r="BT405" i="90"/>
  <c r="BW416" i="90"/>
  <c r="BW260" i="90"/>
  <c r="BT286" i="90"/>
  <c r="BU316" i="90"/>
  <c r="BU332" i="90"/>
  <c r="BU348" i="90"/>
  <c r="BU364" i="90"/>
  <c r="BU380" i="90"/>
  <c r="BU396" i="90"/>
  <c r="BU412" i="90"/>
  <c r="BU344" i="90"/>
  <c r="BT361" i="90"/>
  <c r="BT463" i="90"/>
  <c r="BW495" i="90"/>
  <c r="BW511" i="90"/>
  <c r="BW527" i="90"/>
  <c r="BT219" i="90"/>
  <c r="BU392" i="90"/>
  <c r="BT443" i="90"/>
  <c r="BN479" i="90"/>
  <c r="BO479" i="90"/>
  <c r="BW499" i="90"/>
  <c r="BW531" i="90"/>
  <c r="BU549" i="90"/>
  <c r="BU360" i="90"/>
  <c r="BT377" i="90"/>
  <c r="BW497" i="90"/>
  <c r="BW507" i="90"/>
  <c r="BW513" i="90"/>
  <c r="BW523" i="90"/>
  <c r="BW529" i="90"/>
  <c r="BU338" i="90"/>
  <c r="BT409" i="90"/>
  <c r="BN447" i="90"/>
  <c r="BO447" i="90"/>
  <c r="BU565" i="90"/>
  <c r="BV565" i="90"/>
  <c r="BU581" i="90"/>
  <c r="BW275" i="90"/>
  <c r="BT329" i="90"/>
  <c r="BN459" i="90"/>
  <c r="BO459" i="90"/>
  <c r="BN491" i="90"/>
  <c r="BO491" i="90"/>
  <c r="BU496" i="90"/>
  <c r="BU519" i="90"/>
  <c r="BU528" i="90"/>
  <c r="BU551" i="90"/>
  <c r="BW555" i="90"/>
  <c r="BU567" i="90"/>
  <c r="BW571" i="90"/>
  <c r="BU583" i="90"/>
  <c r="BW587" i="90"/>
  <c r="BU599" i="90"/>
  <c r="BW603" i="90"/>
  <c r="BW606" i="90"/>
  <c r="BU614" i="90"/>
  <c r="BU627" i="90"/>
  <c r="BW640" i="90"/>
  <c r="BW643" i="90"/>
  <c r="BU568" i="90"/>
  <c r="BU588" i="90"/>
  <c r="BU607" i="90"/>
  <c r="BU624" i="90"/>
  <c r="BU542" i="90"/>
  <c r="BW550" i="90"/>
  <c r="BU558" i="90"/>
  <c r="BW566" i="90"/>
  <c r="BU574" i="90"/>
  <c r="BW582" i="90"/>
  <c r="BU590" i="90"/>
  <c r="BW598" i="90"/>
  <c r="BW622" i="90"/>
  <c r="BU552" i="90"/>
  <c r="BU572" i="90"/>
  <c r="BU592" i="90"/>
  <c r="BU608" i="90"/>
  <c r="BU616" i="90"/>
  <c r="BW632" i="90"/>
  <c r="BW635" i="90"/>
  <c r="BU544" i="90"/>
  <c r="BU556" i="90"/>
  <c r="BU576" i="90"/>
  <c r="BU604" i="90"/>
  <c r="BW40" i="90"/>
  <c r="BU43" i="90"/>
  <c r="BW49" i="90"/>
  <c r="BW59" i="90"/>
  <c r="BU81" i="90"/>
  <c r="BN58" i="90"/>
  <c r="BO58" i="90"/>
  <c r="BU75" i="90"/>
  <c r="BU109" i="90"/>
  <c r="BW124" i="90"/>
  <c r="BW115" i="90"/>
  <c r="BN69" i="90"/>
  <c r="BO69" i="90"/>
  <c r="BU167" i="90"/>
  <c r="BU176" i="90"/>
  <c r="BU142" i="90"/>
  <c r="BU226" i="90"/>
  <c r="BO184" i="90"/>
  <c r="BN184" i="90"/>
  <c r="BN270" i="90"/>
  <c r="BO270" i="90"/>
  <c r="BW288" i="90"/>
  <c r="BO295" i="90"/>
  <c r="BN295" i="90"/>
  <c r="BW177" i="90"/>
  <c r="BN190" i="90"/>
  <c r="BO190" i="90"/>
  <c r="BW244" i="90"/>
  <c r="BW281" i="90"/>
  <c r="BW166" i="90"/>
  <c r="BU178" i="90"/>
  <c r="BN206" i="90"/>
  <c r="BO206" i="90"/>
  <c r="BN222" i="90"/>
  <c r="BO222" i="90"/>
  <c r="BN258" i="90"/>
  <c r="BO258" i="90"/>
  <c r="BT295" i="90"/>
  <c r="BW245" i="90"/>
  <c r="BU372" i="90"/>
  <c r="BT357" i="90"/>
  <c r="BW368" i="90"/>
  <c r="BW400" i="90"/>
  <c r="BO164" i="90"/>
  <c r="BN164" i="90"/>
  <c r="BN286" i="90"/>
  <c r="BO286" i="90"/>
  <c r="BN349" i="90"/>
  <c r="BO349" i="90"/>
  <c r="BN381" i="90"/>
  <c r="BO381" i="90"/>
  <c r="BN413" i="90"/>
  <c r="BO413" i="90"/>
  <c r="BW418" i="90"/>
  <c r="BN467" i="90"/>
  <c r="BO467" i="90"/>
  <c r="BN483" i="90"/>
  <c r="BO483" i="90"/>
  <c r="BU538" i="90"/>
  <c r="BW297" i="90"/>
  <c r="BU370" i="90"/>
  <c r="BU488" i="90"/>
  <c r="BU188" i="90"/>
  <c r="BU557" i="90"/>
  <c r="BU589" i="90"/>
  <c r="BU322" i="90"/>
  <c r="BN475" i="90"/>
  <c r="BO475" i="90"/>
  <c r="BT467" i="90"/>
  <c r="BU543" i="90"/>
  <c r="BU575" i="90"/>
  <c r="BW579" i="90"/>
  <c r="BW595" i="90"/>
  <c r="BU611" i="90"/>
  <c r="BW644" i="90"/>
  <c r="BU582" i="90"/>
  <c r="BW20" i="90"/>
  <c r="BU39" i="90"/>
  <c r="BW8" i="90"/>
  <c r="BU27" i="90"/>
  <c r="BW31" i="90"/>
  <c r="BW36" i="90"/>
  <c r="BW43" i="90"/>
  <c r="BN19" i="90"/>
  <c r="BO19" i="90"/>
  <c r="BW48" i="90"/>
  <c r="BW73" i="90"/>
  <c r="BW44" i="90"/>
  <c r="BU50" i="90"/>
  <c r="BU32" i="90"/>
  <c r="BW45" i="90"/>
  <c r="BW55" i="90"/>
  <c r="BW81" i="90"/>
  <c r="BN85" i="90"/>
  <c r="BO85" i="90"/>
  <c r="BX85" i="90" s="1"/>
  <c r="BW94" i="90"/>
  <c r="BW16" i="90"/>
  <c r="BW108" i="90"/>
  <c r="BU98" i="90"/>
  <c r="BW104" i="90"/>
  <c r="BW110" i="90"/>
  <c r="BW78" i="90"/>
  <c r="BN112" i="90"/>
  <c r="BO112" i="90"/>
  <c r="BW141" i="90"/>
  <c r="BU88" i="90"/>
  <c r="BW92" i="90"/>
  <c r="BN144" i="90"/>
  <c r="BO144" i="90"/>
  <c r="BW167" i="90"/>
  <c r="BW173" i="90"/>
  <c r="BU183" i="90"/>
  <c r="BV145" i="90"/>
  <c r="BU145" i="90"/>
  <c r="BU162" i="90"/>
  <c r="BU234" i="90"/>
  <c r="BW282" i="90"/>
  <c r="BW142" i="90"/>
  <c r="BT147" i="90"/>
  <c r="BU123" i="90"/>
  <c r="BW226" i="90"/>
  <c r="BU193" i="90"/>
  <c r="BN198" i="90"/>
  <c r="BO198" i="90"/>
  <c r="BU209" i="90"/>
  <c r="BN214" i="90"/>
  <c r="BO214" i="90"/>
  <c r="BV225" i="90"/>
  <c r="BU225" i="90"/>
  <c r="BN230" i="90"/>
  <c r="BO230" i="90"/>
  <c r="BU259" i="90"/>
  <c r="BU308" i="90"/>
  <c r="BW165" i="90"/>
  <c r="BN179" i="90"/>
  <c r="BO179" i="90"/>
  <c r="BU246" i="90"/>
  <c r="BW257" i="90"/>
  <c r="BN274" i="90"/>
  <c r="BO274" i="90"/>
  <c r="BW293" i="90"/>
  <c r="BU310" i="90"/>
  <c r="BW178" i="90"/>
  <c r="BU192" i="90"/>
  <c r="BU241" i="90"/>
  <c r="BT258" i="90"/>
  <c r="BU294" i="90"/>
  <c r="BN306" i="90"/>
  <c r="BO306" i="90"/>
  <c r="BT227" i="90"/>
  <c r="BW247" i="90"/>
  <c r="BN278" i="90"/>
  <c r="BO278" i="90"/>
  <c r="BO311" i="90"/>
  <c r="BN311" i="90"/>
  <c r="BW340" i="90"/>
  <c r="BU342" i="90"/>
  <c r="BW372" i="90"/>
  <c r="BU374" i="90"/>
  <c r="BW404" i="90"/>
  <c r="BU406" i="90"/>
  <c r="BT211" i="90"/>
  <c r="BW232" i="90"/>
  <c r="BO279" i="90"/>
  <c r="BN279" i="90"/>
  <c r="BO283" i="90"/>
  <c r="BN283" i="90"/>
  <c r="BU320" i="90"/>
  <c r="BN337" i="90"/>
  <c r="BO337" i="90"/>
  <c r="BU352" i="90"/>
  <c r="BN369" i="90"/>
  <c r="BO369" i="90"/>
  <c r="BU384" i="90"/>
  <c r="BN401" i="90"/>
  <c r="BO401" i="90"/>
  <c r="BU416" i="90"/>
  <c r="BU187" i="90"/>
  <c r="BU216" i="90"/>
  <c r="BU240" i="90"/>
  <c r="BT242" i="90"/>
  <c r="BW289" i="90"/>
  <c r="BW304" i="90"/>
  <c r="BT349" i="90"/>
  <c r="BU418" i="90"/>
  <c r="BU495" i="90"/>
  <c r="BU511" i="90"/>
  <c r="BU527" i="90"/>
  <c r="BT397" i="90"/>
  <c r="BN463" i="90"/>
  <c r="BO463" i="90"/>
  <c r="BU499" i="90"/>
  <c r="BU531" i="90"/>
  <c r="BU200" i="90"/>
  <c r="BT365" i="90"/>
  <c r="BW424" i="90"/>
  <c r="BN439" i="90"/>
  <c r="BO439" i="90"/>
  <c r="BN455" i="90"/>
  <c r="BO455" i="90"/>
  <c r="BN471" i="90"/>
  <c r="BO471" i="90"/>
  <c r="BN487" i="90"/>
  <c r="BO487" i="90"/>
  <c r="BU507" i="90"/>
  <c r="BU523" i="90"/>
  <c r="BW534" i="90"/>
  <c r="BW539" i="90"/>
  <c r="BW188" i="90"/>
  <c r="BW338" i="90"/>
  <c r="BO426" i="90"/>
  <c r="BN426" i="90"/>
  <c r="BN431" i="90"/>
  <c r="BO431" i="90"/>
  <c r="BU553" i="90"/>
  <c r="BU569" i="90"/>
  <c r="BU585" i="90"/>
  <c r="BV585" i="90"/>
  <c r="BU637" i="90"/>
  <c r="BT317" i="90"/>
  <c r="BU386" i="90"/>
  <c r="BN393" i="90"/>
  <c r="BO393" i="90"/>
  <c r="BU460" i="90"/>
  <c r="BU492" i="90"/>
  <c r="BW503" i="90"/>
  <c r="BO520" i="90"/>
  <c r="BN520" i="90"/>
  <c r="BW525" i="90"/>
  <c r="BW535" i="90"/>
  <c r="BW541" i="90"/>
  <c r="BW328" i="90"/>
  <c r="BT451" i="90"/>
  <c r="BW543" i="90"/>
  <c r="BU555" i="90"/>
  <c r="BW559" i="90"/>
  <c r="BU571" i="90"/>
  <c r="BW575" i="90"/>
  <c r="BU587" i="90"/>
  <c r="BW591" i="90"/>
  <c r="BU603" i="90"/>
  <c r="BU610" i="90"/>
  <c r="BW619" i="90"/>
  <c r="BU630" i="90"/>
  <c r="BU640" i="90"/>
  <c r="BU643" i="90"/>
  <c r="BW580" i="90"/>
  <c r="BW600" i="90"/>
  <c r="BW611" i="90"/>
  <c r="BW628" i="90"/>
  <c r="BW634" i="90"/>
  <c r="BW546" i="90"/>
  <c r="BU554" i="90"/>
  <c r="BW562" i="90"/>
  <c r="BU570" i="90"/>
  <c r="BW578" i="90"/>
  <c r="BU586" i="90"/>
  <c r="BW594" i="90"/>
  <c r="BU602" i="90"/>
  <c r="BW618" i="90"/>
  <c r="BU626" i="90"/>
  <c r="BW636" i="90"/>
  <c r="BW639" i="90"/>
  <c r="BW560" i="90"/>
  <c r="BW584" i="90"/>
  <c r="BW620" i="90"/>
  <c r="BT471" i="90"/>
  <c r="BU632" i="90"/>
  <c r="BU635" i="90"/>
  <c r="BW548" i="90"/>
  <c r="BW564" i="90"/>
  <c r="BW596" i="90"/>
  <c r="AY1519" i="90"/>
  <c r="AZ1519" i="90"/>
  <c r="AY1537" i="90"/>
  <c r="AZ1537" i="90"/>
  <c r="AO1561" i="90"/>
  <c r="AN1561" i="90"/>
  <c r="AW1561" i="90" s="1"/>
  <c r="AM1561" i="90"/>
  <c r="AU1561" i="90" s="1"/>
  <c r="AY1571" i="90"/>
  <c r="AZ1571" i="90"/>
  <c r="AM1643" i="90"/>
  <c r="AU1643" i="90" s="1"/>
  <c r="AN1643" i="90"/>
  <c r="AW1643" i="90" s="1"/>
  <c r="AO1643" i="90"/>
  <c r="AM1659" i="90"/>
  <c r="AU1659" i="90" s="1"/>
  <c r="AN1659" i="90"/>
  <c r="AW1659" i="90" s="1"/>
  <c r="AO1659" i="90"/>
  <c r="AY1664" i="90"/>
  <c r="AY1511" i="90"/>
  <c r="AW1518" i="90"/>
  <c r="AY1505" i="90"/>
  <c r="AY1518" i="90"/>
  <c r="AZ1518" i="90"/>
  <c r="AY1496" i="90"/>
  <c r="AZ1496" i="90"/>
  <c r="AY1557" i="90"/>
  <c r="AM1532" i="90"/>
  <c r="AU1532" i="90" s="1"/>
  <c r="AN1532" i="90"/>
  <c r="AW1532" i="90" s="1"/>
  <c r="AO1532" i="90"/>
  <c r="AM1540" i="90"/>
  <c r="AU1540" i="90" s="1"/>
  <c r="AN1540" i="90"/>
  <c r="AW1540" i="90" s="1"/>
  <c r="AO1540" i="90"/>
  <c r="AS1501" i="90"/>
  <c r="AS1532" i="90"/>
  <c r="AZ1545" i="90"/>
  <c r="AY1545" i="90"/>
  <c r="AW1563" i="90"/>
  <c r="AY1569" i="90"/>
  <c r="AZ1569" i="90"/>
  <c r="AY1572" i="90"/>
  <c r="AZ1572" i="90"/>
  <c r="AY1531" i="90"/>
  <c r="AZ1531" i="90"/>
  <c r="AY1563" i="90"/>
  <c r="AM1534" i="90"/>
  <c r="AU1534" i="90" s="1"/>
  <c r="AN1534" i="90"/>
  <c r="AW1534" i="90" s="1"/>
  <c r="AO1534" i="90"/>
  <c r="AY1616" i="90"/>
  <c r="AS1570" i="90"/>
  <c r="AO1553" i="90"/>
  <c r="AN1553" i="90"/>
  <c r="AW1553" i="90" s="1"/>
  <c r="AM1553" i="90"/>
  <c r="AU1553" i="90" s="1"/>
  <c r="AS1562" i="90"/>
  <c r="AW1579" i="90"/>
  <c r="AY1583" i="90"/>
  <c r="AZ1583" i="90"/>
  <c r="AW1595" i="90"/>
  <c r="AY1585" i="90"/>
  <c r="AZ1585" i="90"/>
  <c r="AY1605" i="90"/>
  <c r="AY1619" i="90"/>
  <c r="AY1627" i="90"/>
  <c r="AZ1627" i="90"/>
  <c r="AM1641" i="90"/>
  <c r="AU1641" i="90" s="1"/>
  <c r="AN1641" i="90"/>
  <c r="AW1641" i="90" s="1"/>
  <c r="AO1641" i="90"/>
  <c r="AY1646" i="90"/>
  <c r="AZ1646" i="90"/>
  <c r="AM1649" i="90"/>
  <c r="AU1649" i="90" s="1"/>
  <c r="AN1649" i="90"/>
  <c r="AW1649" i="90" s="1"/>
  <c r="AO1649" i="90"/>
  <c r="AY1654" i="90"/>
  <c r="AZ1654" i="90"/>
  <c r="AM1657" i="90"/>
  <c r="AU1657" i="90" s="1"/>
  <c r="AN1657" i="90"/>
  <c r="AW1657" i="90" s="1"/>
  <c r="AO1657" i="90"/>
  <c r="AY1662" i="90"/>
  <c r="AY1624" i="90"/>
  <c r="AZ1624" i="90"/>
  <c r="AW1627" i="90"/>
  <c r="AY1638" i="90"/>
  <c r="AZ1638" i="90"/>
  <c r="AY1500" i="90"/>
  <c r="AZ1500" i="90"/>
  <c r="AY1510" i="90"/>
  <c r="AY1507" i="90"/>
  <c r="AY1523" i="90"/>
  <c r="AZ1523" i="90"/>
  <c r="AY1543" i="90"/>
  <c r="AZ1543" i="90"/>
  <c r="AY1559" i="90"/>
  <c r="AM1530" i="90"/>
  <c r="AU1530" i="90" s="1"/>
  <c r="AN1530" i="90"/>
  <c r="AW1530" i="90" s="1"/>
  <c r="AO1530" i="90"/>
  <c r="AM1558" i="90"/>
  <c r="AU1558" i="90" s="1"/>
  <c r="AN1558" i="90"/>
  <c r="AW1558" i="90" s="1"/>
  <c r="AO1558" i="90"/>
  <c r="AY1568" i="90"/>
  <c r="AZ1568" i="90"/>
  <c r="AO1555" i="90"/>
  <c r="AM1555" i="90"/>
  <c r="AU1555" i="90" s="1"/>
  <c r="AN1555" i="90"/>
  <c r="AW1555" i="90" s="1"/>
  <c r="AW1573" i="90"/>
  <c r="AY1666" i="90"/>
  <c r="AY1640" i="90"/>
  <c r="AZ1640" i="90"/>
  <c r="AY1648" i="90"/>
  <c r="AZ1648" i="90"/>
  <c r="AY1656" i="90"/>
  <c r="AZ1656" i="90"/>
  <c r="AY1503" i="90"/>
  <c r="AW1510" i="90"/>
  <c r="AY1516" i="90"/>
  <c r="AZ1516" i="90"/>
  <c r="AZ1513" i="90"/>
  <c r="AY1513" i="90"/>
  <c r="AY1524" i="90"/>
  <c r="AZ1524" i="90"/>
  <c r="AY1499" i="90"/>
  <c r="AZ1499" i="90"/>
  <c r="AY1512" i="90"/>
  <c r="AY1515" i="90"/>
  <c r="AZ1515" i="90"/>
  <c r="AY1533" i="90"/>
  <c r="AZ1533" i="90"/>
  <c r="AY1541" i="90"/>
  <c r="AZ1541" i="90"/>
  <c r="AY1551" i="90"/>
  <c r="AZ1551" i="90"/>
  <c r="AN1501" i="90"/>
  <c r="AW1501" i="90" s="1"/>
  <c r="AO1501" i="90"/>
  <c r="AM1501" i="90"/>
  <c r="AU1501" i="90" s="1"/>
  <c r="AY1539" i="90"/>
  <c r="AZ1539" i="90"/>
  <c r="AZ1566" i="90"/>
  <c r="AY1566" i="90"/>
  <c r="AY1535" i="90"/>
  <c r="AZ1535" i="90"/>
  <c r="AN1570" i="90"/>
  <c r="AW1570" i="90" s="1"/>
  <c r="AO1570" i="90"/>
  <c r="AM1570" i="90"/>
  <c r="AU1570" i="90" s="1"/>
  <c r="AW1581" i="90"/>
  <c r="AW1597" i="90"/>
  <c r="AM1609" i="90"/>
  <c r="AU1609" i="90" s="1"/>
  <c r="AN1609" i="90"/>
  <c r="AW1609" i="90" s="1"/>
  <c r="AO1609" i="90"/>
  <c r="AN1562" i="90"/>
  <c r="AW1562" i="90" s="1"/>
  <c r="AO1562" i="90"/>
  <c r="AM1562" i="90"/>
  <c r="AU1562" i="90" s="1"/>
  <c r="AM1603" i="90"/>
  <c r="AU1603" i="90" s="1"/>
  <c r="AN1603" i="90"/>
  <c r="AW1603" i="90" s="1"/>
  <c r="AO1603" i="90"/>
  <c r="AM1639" i="90"/>
  <c r="AU1639" i="90" s="1"/>
  <c r="AN1639" i="90"/>
  <c r="AW1639" i="90" s="1"/>
  <c r="AO1639" i="90"/>
  <c r="AY1644" i="90"/>
  <c r="AZ1644" i="90"/>
  <c r="AM1647" i="90"/>
  <c r="AU1647" i="90" s="1"/>
  <c r="AN1647" i="90"/>
  <c r="AW1647" i="90" s="1"/>
  <c r="AO1647" i="90"/>
  <c r="AY1652" i="90"/>
  <c r="AZ1652" i="90"/>
  <c r="AM1655" i="90"/>
  <c r="AU1655" i="90" s="1"/>
  <c r="AN1655" i="90"/>
  <c r="AW1655" i="90" s="1"/>
  <c r="AO1655" i="90"/>
  <c r="AY1660" i="90"/>
  <c r="AM1663" i="90"/>
  <c r="AU1663" i="90" s="1"/>
  <c r="AN1663" i="90"/>
  <c r="AW1663" i="90" s="1"/>
  <c r="AO1663" i="90"/>
  <c r="AY1633" i="90"/>
  <c r="AZ1633" i="90"/>
  <c r="AZ1497" i="90"/>
  <c r="AY1497" i="90"/>
  <c r="AY1504" i="90"/>
  <c r="AY1520" i="90"/>
  <c r="AZ1520" i="90"/>
  <c r="AN1517" i="90"/>
  <c r="AW1517" i="90" s="1"/>
  <c r="AO1517" i="90"/>
  <c r="AM1517" i="90"/>
  <c r="AU1517" i="90" s="1"/>
  <c r="AZ1525" i="90"/>
  <c r="AY1525" i="90"/>
  <c r="AM1538" i="90"/>
  <c r="AU1538" i="90" s="1"/>
  <c r="AN1538" i="90"/>
  <c r="AW1538" i="90" s="1"/>
  <c r="AO1538" i="90"/>
  <c r="AM1550" i="90"/>
  <c r="AU1550" i="90" s="1"/>
  <c r="AN1550" i="90"/>
  <c r="AW1550" i="90" s="1"/>
  <c r="AO1550" i="90"/>
  <c r="AW1589" i="90"/>
  <c r="AM1651" i="90"/>
  <c r="AU1651" i="90" s="1"/>
  <c r="AN1651" i="90"/>
  <c r="AW1651" i="90" s="1"/>
  <c r="AO1651" i="90"/>
  <c r="AW1502" i="90"/>
  <c r="AY1508" i="90"/>
  <c r="AY1502" i="90"/>
  <c r="AZ1521" i="90"/>
  <c r="AY1521" i="90"/>
  <c r="AS1517" i="90"/>
  <c r="AY1549" i="90"/>
  <c r="AZ1549" i="90"/>
  <c r="AN1509" i="90"/>
  <c r="AW1509" i="90" s="1"/>
  <c r="AO1509" i="90"/>
  <c r="AM1509" i="90"/>
  <c r="AU1509" i="90" s="1"/>
  <c r="AM1536" i="90"/>
  <c r="AU1536" i="90" s="1"/>
  <c r="AN1536" i="90"/>
  <c r="AW1536" i="90" s="1"/>
  <c r="AO1536" i="90"/>
  <c r="AS1540" i="90"/>
  <c r="AS1530" i="90"/>
  <c r="AS1538" i="90"/>
  <c r="AS1550" i="90"/>
  <c r="AY1564" i="90"/>
  <c r="AY1506" i="90"/>
  <c r="AS1561" i="90"/>
  <c r="AM1542" i="90"/>
  <c r="AU1542" i="90" s="1"/>
  <c r="AN1542" i="90"/>
  <c r="AW1542" i="90" s="1"/>
  <c r="AO1542" i="90"/>
  <c r="AO1547" i="90"/>
  <c r="AM1547" i="90"/>
  <c r="AU1547" i="90" s="1"/>
  <c r="AN1547" i="90"/>
  <c r="AW1547" i="90" s="1"/>
  <c r="AY1565" i="90"/>
  <c r="AZ1565" i="90"/>
  <c r="AZ1548" i="90"/>
  <c r="AY1548" i="90"/>
  <c r="AS1555" i="90"/>
  <c r="AM1601" i="90"/>
  <c r="AU1601" i="90" s="1"/>
  <c r="AN1601" i="90"/>
  <c r="AW1601" i="90" s="1"/>
  <c r="AO1601" i="90"/>
  <c r="AY1575" i="90"/>
  <c r="AZ1575" i="90"/>
  <c r="AW1587" i="90"/>
  <c r="AY1591" i="90"/>
  <c r="AZ1591" i="90"/>
  <c r="AY1636" i="90"/>
  <c r="AZ1636" i="90"/>
  <c r="AY1556" i="90"/>
  <c r="AY1577" i="90"/>
  <c r="AZ1577" i="90"/>
  <c r="AS1603" i="90"/>
  <c r="AW1621" i="90"/>
  <c r="AY1626" i="90"/>
  <c r="AZ1626" i="90"/>
  <c r="AW1629" i="90"/>
  <c r="AY1634" i="90"/>
  <c r="AZ1634" i="90"/>
  <c r="AY1642" i="90"/>
  <c r="AZ1642" i="90"/>
  <c r="AM1645" i="90"/>
  <c r="AU1645" i="90" s="1"/>
  <c r="AN1645" i="90"/>
  <c r="AW1645" i="90" s="1"/>
  <c r="AO1645" i="90"/>
  <c r="AY1650" i="90"/>
  <c r="AZ1650" i="90"/>
  <c r="AM1653" i="90"/>
  <c r="AU1653" i="90" s="1"/>
  <c r="AN1653" i="90"/>
  <c r="AW1653" i="90" s="1"/>
  <c r="AO1653" i="90"/>
  <c r="AY1658" i="90"/>
  <c r="AM1661" i="90"/>
  <c r="AU1661" i="90" s="1"/>
  <c r="AN1661" i="90"/>
  <c r="AW1661" i="90" s="1"/>
  <c r="AO1661" i="90"/>
  <c r="AY1668" i="90"/>
  <c r="AM1611" i="90"/>
  <c r="AU1611" i="90" s="1"/>
  <c r="AN1611" i="90"/>
  <c r="AW1611" i="90" s="1"/>
  <c r="AO1611" i="90"/>
  <c r="AY1623" i="90"/>
  <c r="AZ1623" i="90"/>
  <c r="AY1632" i="90"/>
  <c r="AZ1632" i="90"/>
  <c r="AY1630" i="90"/>
  <c r="AZ1630" i="90"/>
  <c r="AY1622" i="90"/>
  <c r="AZ1622" i="90"/>
  <c r="AY1593" i="90"/>
  <c r="AZ1593" i="90"/>
  <c r="AM1667" i="90"/>
  <c r="AU1667" i="90" s="1"/>
  <c r="AN1667" i="90"/>
  <c r="AW1667" i="90" s="1"/>
  <c r="AO1667" i="90"/>
  <c r="AY1485" i="90"/>
  <c r="AZ1485" i="90"/>
  <c r="AY1470" i="90"/>
  <c r="AZ1470" i="90"/>
  <c r="AY1474" i="90"/>
  <c r="AZ1474" i="90"/>
  <c r="AY1472" i="90"/>
  <c r="AZ1472" i="90"/>
  <c r="AY1466" i="90"/>
  <c r="AZ1466" i="90"/>
  <c r="AY1478" i="90"/>
  <c r="AZ1478" i="90"/>
  <c r="AY1476" i="90"/>
  <c r="AZ1476" i="90"/>
  <c r="AZ1461" i="90"/>
  <c r="AY1461" i="90"/>
  <c r="AZ1463" i="90"/>
  <c r="AY1463" i="90"/>
  <c r="AZ1465" i="90"/>
  <c r="AY1465" i="90"/>
  <c r="AY1462" i="90"/>
  <c r="AZ1462" i="90"/>
  <c r="AY1468" i="90"/>
  <c r="AZ1468" i="90"/>
  <c r="AZ1482" i="90"/>
  <c r="AY1482" i="90"/>
  <c r="AO1484" i="90"/>
  <c r="AM1484" i="90"/>
  <c r="AU1484" i="90" s="1"/>
  <c r="AN1484" i="90"/>
  <c r="AW1484" i="90" s="1"/>
  <c r="AM1486" i="90"/>
  <c r="AU1486" i="90" s="1"/>
  <c r="AN1486" i="90"/>
  <c r="AW1486" i="90" s="1"/>
  <c r="AO1486" i="90"/>
  <c r="AM1490" i="90"/>
  <c r="AU1490" i="90" s="1"/>
  <c r="AN1490" i="90"/>
  <c r="AW1490" i="90" s="1"/>
  <c r="AO1490" i="90"/>
  <c r="AM1494" i="90"/>
  <c r="AU1494" i="90" s="1"/>
  <c r="AN1494" i="90"/>
  <c r="AW1494" i="90" s="1"/>
  <c r="AO1494" i="90"/>
  <c r="AS1486" i="90"/>
  <c r="AZ1471" i="90"/>
  <c r="AY1471" i="90"/>
  <c r="AM1481" i="90"/>
  <c r="AU1481" i="90" s="1"/>
  <c r="AN1481" i="90"/>
  <c r="AW1481" i="90" s="1"/>
  <c r="AO1481" i="90"/>
  <c r="AS1481" i="90"/>
  <c r="AM1479" i="90"/>
  <c r="AU1479" i="90" s="1"/>
  <c r="AN1479" i="90"/>
  <c r="AW1479" i="90" s="1"/>
  <c r="AO1479" i="90"/>
  <c r="AZ1473" i="90"/>
  <c r="AY1473" i="90"/>
  <c r="AZ1475" i="90"/>
  <c r="AY1475" i="90"/>
  <c r="AY1480" i="90"/>
  <c r="AZ1480" i="90"/>
  <c r="AY1464" i="90"/>
  <c r="AZ1464" i="90"/>
  <c r="AM1483" i="90"/>
  <c r="AU1483" i="90" s="1"/>
  <c r="AN1483" i="90"/>
  <c r="AW1483" i="90" s="1"/>
  <c r="AO1483" i="90"/>
  <c r="AM1488" i="90"/>
  <c r="AU1488" i="90" s="1"/>
  <c r="AN1488" i="90"/>
  <c r="AW1488" i="90" s="1"/>
  <c r="AO1488" i="90"/>
  <c r="AM1492" i="90"/>
  <c r="AU1492" i="90" s="1"/>
  <c r="AN1492" i="90"/>
  <c r="AW1492" i="90" s="1"/>
  <c r="AO1492" i="90"/>
  <c r="AS1490" i="90"/>
  <c r="AS1492" i="90"/>
  <c r="AZ29" i="90"/>
  <c r="AY29" i="90"/>
  <c r="AZ34" i="90"/>
  <c r="AY34" i="90"/>
  <c r="AY35" i="90"/>
  <c r="AZ35" i="90"/>
  <c r="AY84" i="90"/>
  <c r="AZ84" i="90"/>
  <c r="AY108" i="90"/>
  <c r="AW79" i="90"/>
  <c r="AW81" i="90"/>
  <c r="AY126" i="90"/>
  <c r="AZ126" i="90"/>
  <c r="AY207" i="90"/>
  <c r="AZ119" i="90"/>
  <c r="AY119" i="90"/>
  <c r="AN146" i="90"/>
  <c r="AW146" i="90" s="1"/>
  <c r="AO146" i="90"/>
  <c r="AM146" i="90"/>
  <c r="AU146" i="90" s="1"/>
  <c r="AY183" i="90"/>
  <c r="AZ183" i="90"/>
  <c r="AM299" i="90"/>
  <c r="AU299" i="90" s="1"/>
  <c r="AN299" i="90"/>
  <c r="AW299" i="90" s="1"/>
  <c r="AO299" i="90"/>
  <c r="AY55" i="90"/>
  <c r="AZ236" i="90"/>
  <c r="AY236" i="90"/>
  <c r="AY273" i="90"/>
  <c r="AZ273" i="90"/>
  <c r="AY326" i="90"/>
  <c r="AZ326" i="90"/>
  <c r="AZ270" i="90"/>
  <c r="AY270" i="90"/>
  <c r="AY410" i="90"/>
  <c r="AY445" i="90"/>
  <c r="AZ445" i="90"/>
  <c r="AY458" i="90"/>
  <c r="AZ458" i="90"/>
  <c r="AY474" i="90"/>
  <c r="AZ474" i="90"/>
  <c r="AY509" i="90"/>
  <c r="AZ509" i="90"/>
  <c r="AZ287" i="90"/>
  <c r="AY287" i="90"/>
  <c r="AY361" i="90"/>
  <c r="AY377" i="90"/>
  <c r="AZ377" i="90"/>
  <c r="AY505" i="90"/>
  <c r="AZ505" i="90"/>
  <c r="AY574" i="90"/>
  <c r="AY638" i="90"/>
  <c r="AZ638" i="90"/>
  <c r="AN276" i="90"/>
  <c r="AW276" i="90" s="1"/>
  <c r="AM276" i="90"/>
  <c r="AU276" i="90" s="1"/>
  <c r="AO276" i="90"/>
  <c r="AY267" i="90"/>
  <c r="AZ267" i="90"/>
  <c r="AN475" i="90"/>
  <c r="AW475" i="90" s="1"/>
  <c r="AO475" i="90"/>
  <c r="AM475" i="90"/>
  <c r="AU475" i="90" s="1"/>
  <c r="AY548" i="90"/>
  <c r="AZ548" i="90"/>
  <c r="AY560" i="90"/>
  <c r="AZ560" i="90"/>
  <c r="AZ594" i="90"/>
  <c r="AY594" i="90"/>
  <c r="AY626" i="90"/>
  <c r="AO580" i="90"/>
  <c r="AM580" i="90"/>
  <c r="AU580" i="90" s="1"/>
  <c r="AN580" i="90"/>
  <c r="AW580" i="90" s="1"/>
  <c r="AW654" i="90"/>
  <c r="AY690" i="90"/>
  <c r="AZ690" i="90"/>
  <c r="AM561" i="90"/>
  <c r="AU561" i="90" s="1"/>
  <c r="AN561" i="90"/>
  <c r="AW561" i="90" s="1"/>
  <c r="AO561" i="90"/>
  <c r="AZ645" i="90"/>
  <c r="AY645" i="90"/>
  <c r="AY621" i="90"/>
  <c r="AY671" i="90"/>
  <c r="AY737" i="90"/>
  <c r="AZ737" i="90"/>
  <c r="AY753" i="90"/>
  <c r="AZ753" i="90"/>
  <c r="AY777" i="90"/>
  <c r="AY801" i="90"/>
  <c r="AZ801" i="90"/>
  <c r="AY809" i="90"/>
  <c r="AZ809" i="90"/>
  <c r="AY1054" i="90"/>
  <c r="AZ1054" i="90"/>
  <c r="AY653" i="90"/>
  <c r="AZ653" i="90"/>
  <c r="AY722" i="90"/>
  <c r="AM846" i="90"/>
  <c r="AU846" i="90" s="1"/>
  <c r="AN846" i="90"/>
  <c r="AW846" i="90" s="1"/>
  <c r="AO846" i="90"/>
  <c r="AM861" i="90"/>
  <c r="AU861" i="90" s="1"/>
  <c r="AN861" i="90"/>
  <c r="AW861" i="90" s="1"/>
  <c r="AO861" i="90"/>
  <c r="AM901" i="90"/>
  <c r="AU901" i="90" s="1"/>
  <c r="AN901" i="90"/>
  <c r="AW901" i="90" s="1"/>
  <c r="AO901" i="90"/>
  <c r="AM909" i="90"/>
  <c r="AU909" i="90" s="1"/>
  <c r="AN909" i="90"/>
  <c r="AW909" i="90" s="1"/>
  <c r="AO909" i="90"/>
  <c r="AM933" i="90"/>
  <c r="AU933" i="90" s="1"/>
  <c r="AN933" i="90"/>
  <c r="AW933" i="90" s="1"/>
  <c r="AO933" i="90"/>
  <c r="AM957" i="90"/>
  <c r="AU957" i="90" s="1"/>
  <c r="AN957" i="90"/>
  <c r="AW957" i="90" s="1"/>
  <c r="AO957" i="90"/>
  <c r="AM981" i="90"/>
  <c r="AU981" i="90" s="1"/>
  <c r="AN981" i="90"/>
  <c r="AW981" i="90" s="1"/>
  <c r="AO981" i="90"/>
  <c r="AM1049" i="90"/>
  <c r="AU1049" i="90" s="1"/>
  <c r="AN1049" i="90"/>
  <c r="AW1049" i="90" s="1"/>
  <c r="AO1049" i="90"/>
  <c r="AY1072" i="90"/>
  <c r="AZ1072" i="90"/>
  <c r="AM1081" i="90"/>
  <c r="AU1081" i="90" s="1"/>
  <c r="AN1081" i="90"/>
  <c r="AW1081" i="90" s="1"/>
  <c r="AO1081" i="90"/>
  <c r="AY1104" i="90"/>
  <c r="AZ1104" i="90"/>
  <c r="AM1113" i="90"/>
  <c r="AU1113" i="90" s="1"/>
  <c r="AN1113" i="90"/>
  <c r="AW1113" i="90" s="1"/>
  <c r="AO1113" i="90"/>
  <c r="AS933" i="90"/>
  <c r="AZ1106" i="90"/>
  <c r="AY1106" i="90"/>
  <c r="AY696" i="90"/>
  <c r="AZ696" i="90"/>
  <c r="AZ1019" i="90"/>
  <c r="AY1019" i="90"/>
  <c r="AY1161" i="90"/>
  <c r="AZ1161" i="90"/>
  <c r="AY1177" i="90"/>
  <c r="AZ1177" i="90"/>
  <c r="AY1201" i="90"/>
  <c r="AZ1201" i="90"/>
  <c r="AY1209" i="90"/>
  <c r="AZ1209" i="90"/>
  <c r="AY1233" i="90"/>
  <c r="AZ1233" i="90"/>
  <c r="AY1257" i="90"/>
  <c r="AZ1257" i="90"/>
  <c r="AM830" i="90"/>
  <c r="AU830" i="90" s="1"/>
  <c r="AN830" i="90"/>
  <c r="AW830" i="90" s="1"/>
  <c r="AO830" i="90"/>
  <c r="AY836" i="90"/>
  <c r="AY1041" i="90"/>
  <c r="AM1071" i="90"/>
  <c r="AU1071" i="90" s="1"/>
  <c r="AN1071" i="90"/>
  <c r="AW1071" i="90" s="1"/>
  <c r="AO1071" i="90"/>
  <c r="AW1150" i="90"/>
  <c r="AW1152" i="90"/>
  <c r="AW1158" i="90"/>
  <c r="AW1164" i="90"/>
  <c r="AW1172" i="90"/>
  <c r="AW1178" i="90"/>
  <c r="AW1182" i="90"/>
  <c r="AW1186" i="90"/>
  <c r="AW1192" i="90"/>
  <c r="AW1198" i="90"/>
  <c r="AW1204" i="90"/>
  <c r="AW1210" i="90"/>
  <c r="AW1216" i="90"/>
  <c r="AW1222" i="90"/>
  <c r="AW1228" i="90"/>
  <c r="AW1238" i="90"/>
  <c r="AW1244" i="90"/>
  <c r="AW1252" i="90"/>
  <c r="AW1260" i="90"/>
  <c r="AW1266" i="90"/>
  <c r="AW1272" i="90"/>
  <c r="AW1278" i="90"/>
  <c r="AY1309" i="90"/>
  <c r="AZ1309" i="90"/>
  <c r="AM919" i="90"/>
  <c r="AU919" i="90" s="1"/>
  <c r="AN919" i="90"/>
  <c r="AW919" i="90" s="1"/>
  <c r="AO919" i="90"/>
  <c r="AY1010" i="90"/>
  <c r="AZ1010" i="90"/>
  <c r="AZ1031" i="90"/>
  <c r="AY1031" i="90"/>
  <c r="AY1042" i="90"/>
  <c r="AW1146" i="90"/>
  <c r="AZ1367" i="90"/>
  <c r="AY1367" i="90"/>
  <c r="AO1297" i="90"/>
  <c r="AM1297" i="90"/>
  <c r="AU1297" i="90" s="1"/>
  <c r="AN1297" i="90"/>
  <c r="AW1297" i="90" s="1"/>
  <c r="AO1329" i="90"/>
  <c r="AN1329" i="90"/>
  <c r="AW1329" i="90" s="1"/>
  <c r="AM1329" i="90"/>
  <c r="AU1329" i="90" s="1"/>
  <c r="AY1439" i="90"/>
  <c r="AZ1439" i="90"/>
  <c r="AZ1314" i="90"/>
  <c r="AY1314" i="90"/>
  <c r="AM1324" i="90"/>
  <c r="AU1324" i="90" s="1"/>
  <c r="AO1324" i="90"/>
  <c r="AN1324" i="90"/>
  <c r="AW1324" i="90" s="1"/>
  <c r="AY1357" i="90"/>
  <c r="AZ1357" i="90"/>
  <c r="AY976" i="90"/>
  <c r="AZ976" i="90"/>
  <c r="AY1443" i="90"/>
  <c r="AZ1443" i="90"/>
  <c r="AO1337" i="90"/>
  <c r="AN1337" i="90"/>
  <c r="AW1337" i="90" s="1"/>
  <c r="AM1337" i="90"/>
  <c r="AU1337" i="90" s="1"/>
  <c r="AY1400" i="90"/>
  <c r="AO1289" i="90"/>
  <c r="AM1289" i="90"/>
  <c r="AU1289" i="90" s="1"/>
  <c r="AN1289" i="90"/>
  <c r="AW1289" i="90" s="1"/>
  <c r="AY1453" i="90"/>
  <c r="AZ1316" i="90"/>
  <c r="AY1316" i="90"/>
  <c r="AY19" i="90"/>
  <c r="AZ19" i="90"/>
  <c r="AZ13" i="90"/>
  <c r="AY13" i="90"/>
  <c r="AM46" i="90"/>
  <c r="AU46" i="90" s="1"/>
  <c r="AN46" i="90"/>
  <c r="AW46" i="90" s="1"/>
  <c r="AO46" i="90"/>
  <c r="AO25" i="90"/>
  <c r="AM25" i="90"/>
  <c r="AU25" i="90" s="1"/>
  <c r="AN25" i="90"/>
  <c r="AW25" i="90" s="1"/>
  <c r="AY49" i="90"/>
  <c r="AZ38" i="90"/>
  <c r="AY38" i="90"/>
  <c r="AY94" i="90"/>
  <c r="AZ94" i="90"/>
  <c r="AY153" i="90"/>
  <c r="AY85" i="90"/>
  <c r="AZ85" i="90"/>
  <c r="AY213" i="90"/>
  <c r="AZ213" i="90"/>
  <c r="AZ215" i="90"/>
  <c r="AY215" i="90"/>
  <c r="AN168" i="90"/>
  <c r="AW168" i="90" s="1"/>
  <c r="AM168" i="90"/>
  <c r="AU168" i="90" s="1"/>
  <c r="AO168" i="90"/>
  <c r="AY173" i="90"/>
  <c r="AZ173" i="90"/>
  <c r="AO209" i="90"/>
  <c r="AN209" i="90"/>
  <c r="AW209" i="90" s="1"/>
  <c r="AM209" i="90"/>
  <c r="AU209" i="90" s="1"/>
  <c r="AM182" i="90"/>
  <c r="AU182" i="90" s="1"/>
  <c r="AN182" i="90"/>
  <c r="AW182" i="90" s="1"/>
  <c r="AO182" i="90"/>
  <c r="AN240" i="90"/>
  <c r="AW240" i="90" s="1"/>
  <c r="AO240" i="90"/>
  <c r="AM240" i="90"/>
  <c r="AU240" i="90" s="1"/>
  <c r="AM291" i="90"/>
  <c r="AU291" i="90" s="1"/>
  <c r="AN291" i="90"/>
  <c r="AW291" i="90" s="1"/>
  <c r="AO291" i="90"/>
  <c r="AY328" i="90"/>
  <c r="AZ328" i="90"/>
  <c r="AY344" i="90"/>
  <c r="AZ344" i="90"/>
  <c r="AY210" i="90"/>
  <c r="AZ226" i="90"/>
  <c r="AY226" i="90"/>
  <c r="AY268" i="90"/>
  <c r="AZ268" i="90"/>
  <c r="AY264" i="90"/>
  <c r="AZ321" i="90"/>
  <c r="AY321" i="90"/>
  <c r="AY519" i="90"/>
  <c r="AZ170" i="90"/>
  <c r="AY170" i="90"/>
  <c r="AS212" i="90"/>
  <c r="AY412" i="90"/>
  <c r="AW414" i="90"/>
  <c r="AY428" i="90"/>
  <c r="AZ428" i="90"/>
  <c r="AW430" i="90"/>
  <c r="AY444" i="90"/>
  <c r="AZ444" i="90"/>
  <c r="AW446" i="90"/>
  <c r="AY460" i="90"/>
  <c r="AZ460" i="90"/>
  <c r="AW462" i="90"/>
  <c r="AY476" i="90"/>
  <c r="AZ476" i="90"/>
  <c r="AW478" i="90"/>
  <c r="AY492" i="90"/>
  <c r="AZ492" i="90"/>
  <c r="AW494" i="90"/>
  <c r="AY508" i="90"/>
  <c r="AZ508" i="90"/>
  <c r="AW510" i="90"/>
  <c r="AM63" i="90"/>
  <c r="AU63" i="90" s="1"/>
  <c r="AN63" i="90"/>
  <c r="AW63" i="90" s="1"/>
  <c r="AO63" i="90"/>
  <c r="AY258" i="90"/>
  <c r="AM309" i="90"/>
  <c r="AU309" i="90" s="1"/>
  <c r="AN309" i="90"/>
  <c r="AW309" i="90" s="1"/>
  <c r="AO309" i="90"/>
  <c r="AZ319" i="90"/>
  <c r="AY319" i="90"/>
  <c r="AZ329" i="90"/>
  <c r="AY329" i="90"/>
  <c r="AY359" i="90"/>
  <c r="AY367" i="90"/>
  <c r="AY375" i="90"/>
  <c r="AZ375" i="90"/>
  <c r="AY383" i="90"/>
  <c r="AZ383" i="90"/>
  <c r="AY391" i="90"/>
  <c r="AZ391" i="90"/>
  <c r="AY399" i="90"/>
  <c r="AZ399" i="90"/>
  <c r="AY430" i="90"/>
  <c r="AZ430" i="90"/>
  <c r="AY433" i="90"/>
  <c r="AZ433" i="90"/>
  <c r="AY462" i="90"/>
  <c r="AY465" i="90"/>
  <c r="AY494" i="90"/>
  <c r="AZ494" i="90"/>
  <c r="AY497" i="90"/>
  <c r="AZ497" i="90"/>
  <c r="AN427" i="90"/>
  <c r="AW427" i="90" s="1"/>
  <c r="AO427" i="90"/>
  <c r="AM427" i="90"/>
  <c r="AU427" i="90" s="1"/>
  <c r="AN459" i="90"/>
  <c r="AW459" i="90" s="1"/>
  <c r="AO459" i="90"/>
  <c r="AM459" i="90"/>
  <c r="AU459" i="90" s="1"/>
  <c r="AN491" i="90"/>
  <c r="AW491" i="90" s="1"/>
  <c r="AO491" i="90"/>
  <c r="AM491" i="90"/>
  <c r="AU491" i="90" s="1"/>
  <c r="AY524" i="90"/>
  <c r="AY532" i="90"/>
  <c r="AZ532" i="90"/>
  <c r="AY540" i="90"/>
  <c r="AZ540" i="90"/>
  <c r="AY598" i="90"/>
  <c r="AZ598" i="90"/>
  <c r="AY630" i="90"/>
  <c r="AZ630" i="90"/>
  <c r="AW525" i="90"/>
  <c r="AY530" i="90"/>
  <c r="AZ530" i="90"/>
  <c r="AW533" i="90"/>
  <c r="AY538" i="90"/>
  <c r="AZ538" i="90"/>
  <c r="AW541" i="90"/>
  <c r="AY576" i="90"/>
  <c r="AM585" i="90"/>
  <c r="AU585" i="90" s="1"/>
  <c r="AN585" i="90"/>
  <c r="AW585" i="90" s="1"/>
  <c r="AO585" i="90"/>
  <c r="AY608" i="90"/>
  <c r="AZ608" i="90"/>
  <c r="AM617" i="90"/>
  <c r="AU617" i="90" s="1"/>
  <c r="AN617" i="90"/>
  <c r="AW617" i="90" s="1"/>
  <c r="AO617" i="90"/>
  <c r="AY640" i="90"/>
  <c r="AZ640" i="90"/>
  <c r="AM649" i="90"/>
  <c r="AU649" i="90" s="1"/>
  <c r="AN649" i="90"/>
  <c r="AW649" i="90" s="1"/>
  <c r="AO649" i="90"/>
  <c r="AM301" i="90"/>
  <c r="AU301" i="90" s="1"/>
  <c r="AN301" i="90"/>
  <c r="AW301" i="90" s="1"/>
  <c r="AO301" i="90"/>
  <c r="AY528" i="90"/>
  <c r="AZ528" i="90"/>
  <c r="AW531" i="90"/>
  <c r="AY544" i="90"/>
  <c r="AZ544" i="90"/>
  <c r="AZ602" i="90"/>
  <c r="AY602" i="90"/>
  <c r="AZ634" i="90"/>
  <c r="AY634" i="90"/>
  <c r="AS547" i="90"/>
  <c r="AM571" i="90"/>
  <c r="AU571" i="90" s="1"/>
  <c r="AN571" i="90"/>
  <c r="AW571" i="90" s="1"/>
  <c r="AO571" i="90"/>
  <c r="AO612" i="90"/>
  <c r="AM612" i="90"/>
  <c r="AU612" i="90" s="1"/>
  <c r="AN612" i="90"/>
  <c r="AW612" i="90" s="1"/>
  <c r="AM647" i="90"/>
  <c r="AU647" i="90" s="1"/>
  <c r="AN647" i="90"/>
  <c r="AW647" i="90" s="1"/>
  <c r="AO647" i="90"/>
  <c r="AW662" i="90"/>
  <c r="AY666" i="90"/>
  <c r="AZ666" i="90"/>
  <c r="AY683" i="90"/>
  <c r="AZ683" i="90"/>
  <c r="AW694" i="90"/>
  <c r="AY698" i="90"/>
  <c r="AZ698" i="90"/>
  <c r="AY829" i="90"/>
  <c r="AZ279" i="90"/>
  <c r="AY279" i="90"/>
  <c r="AY504" i="90"/>
  <c r="AZ504" i="90"/>
  <c r="AN515" i="90"/>
  <c r="AW515" i="90" s="1"/>
  <c r="AO515" i="90"/>
  <c r="AM515" i="90"/>
  <c r="AU515" i="90" s="1"/>
  <c r="AM553" i="90"/>
  <c r="AU553" i="90" s="1"/>
  <c r="AN553" i="90"/>
  <c r="AW553" i="90" s="1"/>
  <c r="AO553" i="90"/>
  <c r="AS561" i="90"/>
  <c r="AM623" i="90"/>
  <c r="AU623" i="90" s="1"/>
  <c r="AN623" i="90"/>
  <c r="AW623" i="90" s="1"/>
  <c r="AO623" i="90"/>
  <c r="AW652" i="90"/>
  <c r="AW660" i="90"/>
  <c r="AW668" i="90"/>
  <c r="AW676" i="90"/>
  <c r="AW684" i="90"/>
  <c r="AW692" i="90"/>
  <c r="AY831" i="90"/>
  <c r="AY847" i="90"/>
  <c r="AZ847" i="90"/>
  <c r="AY529" i="90"/>
  <c r="AZ529" i="90"/>
  <c r="AZ545" i="90"/>
  <c r="AY545" i="90"/>
  <c r="AM559" i="90"/>
  <c r="AU559" i="90" s="1"/>
  <c r="AN559" i="90"/>
  <c r="AW559" i="90" s="1"/>
  <c r="AO559" i="90"/>
  <c r="AS567" i="90"/>
  <c r="AM599" i="90"/>
  <c r="AU599" i="90" s="1"/>
  <c r="AN599" i="90"/>
  <c r="AW599" i="90" s="1"/>
  <c r="AO599" i="90"/>
  <c r="AM631" i="90"/>
  <c r="AU631" i="90" s="1"/>
  <c r="AN631" i="90"/>
  <c r="AW631" i="90" s="1"/>
  <c r="AO631" i="90"/>
  <c r="AW658" i="90"/>
  <c r="AY679" i="90"/>
  <c r="AW690" i="90"/>
  <c r="AY703" i="90"/>
  <c r="AZ703" i="90"/>
  <c r="AY711" i="90"/>
  <c r="AZ711" i="90"/>
  <c r="AY719" i="90"/>
  <c r="AZ719" i="90"/>
  <c r="AY727" i="90"/>
  <c r="AY735" i="90"/>
  <c r="AZ735" i="90"/>
  <c r="AY743" i="90"/>
  <c r="AZ743" i="90"/>
  <c r="AY751" i="90"/>
  <c r="AZ751" i="90"/>
  <c r="AY759" i="90"/>
  <c r="AZ759" i="90"/>
  <c r="AY767" i="90"/>
  <c r="AZ767" i="90"/>
  <c r="AY775" i="90"/>
  <c r="AY783" i="90"/>
  <c r="AY791" i="90"/>
  <c r="AZ791" i="90"/>
  <c r="AY799" i="90"/>
  <c r="AZ799" i="90"/>
  <c r="AY807" i="90"/>
  <c r="AZ807" i="90"/>
  <c r="AY815" i="90"/>
  <c r="AZ815" i="90"/>
  <c r="AY825" i="90"/>
  <c r="AZ857" i="90"/>
  <c r="AY857" i="90"/>
  <c r="AM607" i="90"/>
  <c r="AU607" i="90" s="1"/>
  <c r="AN607" i="90"/>
  <c r="AW607" i="90" s="1"/>
  <c r="AO607" i="90"/>
  <c r="AY700" i="90"/>
  <c r="AZ700" i="90"/>
  <c r="AY732" i="90"/>
  <c r="AY764" i="90"/>
  <c r="AZ764" i="90"/>
  <c r="AY796" i="90"/>
  <c r="AZ796" i="90"/>
  <c r="AM838" i="90"/>
  <c r="AU838" i="90" s="1"/>
  <c r="AN838" i="90"/>
  <c r="AW838" i="90" s="1"/>
  <c r="AO838" i="90"/>
  <c r="AY1078" i="90"/>
  <c r="AZ1078" i="90"/>
  <c r="AY1110" i="90"/>
  <c r="AZ1110" i="90"/>
  <c r="AY440" i="90"/>
  <c r="AZ440" i="90"/>
  <c r="AY730" i="90"/>
  <c r="AY762" i="90"/>
  <c r="AZ762" i="90"/>
  <c r="AY794" i="90"/>
  <c r="AZ794" i="90"/>
  <c r="AZ820" i="90"/>
  <c r="AY820" i="90"/>
  <c r="AO827" i="90"/>
  <c r="AM827" i="90"/>
  <c r="AU827" i="90" s="1"/>
  <c r="AN827" i="90"/>
  <c r="AW827" i="90" s="1"/>
  <c r="AZ852" i="90"/>
  <c r="AY852" i="90"/>
  <c r="AY862" i="90"/>
  <c r="AZ862" i="90"/>
  <c r="AY870" i="90"/>
  <c r="AZ870" i="90"/>
  <c r="AY878" i="90"/>
  <c r="AY886" i="90"/>
  <c r="AY894" i="90"/>
  <c r="AZ894" i="90"/>
  <c r="AY902" i="90"/>
  <c r="AZ902" i="90"/>
  <c r="AY910" i="90"/>
  <c r="AZ910" i="90"/>
  <c r="AY918" i="90"/>
  <c r="AZ918" i="90"/>
  <c r="AY926" i="90"/>
  <c r="AZ926" i="90"/>
  <c r="AY934" i="90"/>
  <c r="AY942" i="90"/>
  <c r="AZ942" i="90"/>
  <c r="AY950" i="90"/>
  <c r="AZ950" i="90"/>
  <c r="AY958" i="90"/>
  <c r="AZ958" i="90"/>
  <c r="AY966" i="90"/>
  <c r="AZ966" i="90"/>
  <c r="AY974" i="90"/>
  <c r="AZ974" i="90"/>
  <c r="AY982" i="90"/>
  <c r="AY1064" i="90"/>
  <c r="AZ1064" i="90"/>
  <c r="AM1073" i="90"/>
  <c r="AU1073" i="90" s="1"/>
  <c r="AN1073" i="90"/>
  <c r="AW1073" i="90" s="1"/>
  <c r="AO1073" i="90"/>
  <c r="AY1096" i="90"/>
  <c r="AM1105" i="90"/>
  <c r="AU1105" i="90" s="1"/>
  <c r="AN1105" i="90"/>
  <c r="AW1105" i="90" s="1"/>
  <c r="AO1105" i="90"/>
  <c r="AY1128" i="90"/>
  <c r="AZ1128" i="90"/>
  <c r="AY720" i="90"/>
  <c r="AZ720" i="90"/>
  <c r="AY752" i="90"/>
  <c r="AZ752" i="90"/>
  <c r="AY784" i="90"/>
  <c r="AY816" i="90"/>
  <c r="AZ816" i="90"/>
  <c r="AM822" i="90"/>
  <c r="AU822" i="90" s="1"/>
  <c r="AN822" i="90"/>
  <c r="AW822" i="90" s="1"/>
  <c r="AO822" i="90"/>
  <c r="AZ1050" i="90"/>
  <c r="AY1050" i="90"/>
  <c r="AZ1082" i="90"/>
  <c r="AY1082" i="90"/>
  <c r="AZ1114" i="90"/>
  <c r="AY1114" i="90"/>
  <c r="AM575" i="90"/>
  <c r="AU575" i="90" s="1"/>
  <c r="AN575" i="90"/>
  <c r="AW575" i="90" s="1"/>
  <c r="AO575" i="90"/>
  <c r="AY710" i="90"/>
  <c r="AZ710" i="90"/>
  <c r="AY774" i="90"/>
  <c r="AM859" i="90"/>
  <c r="AU859" i="90" s="1"/>
  <c r="AN859" i="90"/>
  <c r="AW859" i="90" s="1"/>
  <c r="AO859" i="90"/>
  <c r="AM867" i="90"/>
  <c r="AU867" i="90" s="1"/>
  <c r="AN867" i="90"/>
  <c r="AW867" i="90" s="1"/>
  <c r="AO867" i="90"/>
  <c r="AM875" i="90"/>
  <c r="AU875" i="90" s="1"/>
  <c r="AN875" i="90"/>
  <c r="AW875" i="90" s="1"/>
  <c r="AO875" i="90"/>
  <c r="AM883" i="90"/>
  <c r="AU883" i="90" s="1"/>
  <c r="AN883" i="90"/>
  <c r="AW883" i="90" s="1"/>
  <c r="AO883" i="90"/>
  <c r="AM891" i="90"/>
  <c r="AU891" i="90" s="1"/>
  <c r="AN891" i="90"/>
  <c r="AW891" i="90" s="1"/>
  <c r="AO891" i="90"/>
  <c r="AM899" i="90"/>
  <c r="AU899" i="90" s="1"/>
  <c r="AN899" i="90"/>
  <c r="AW899" i="90" s="1"/>
  <c r="AO899" i="90"/>
  <c r="AM907" i="90"/>
  <c r="AU907" i="90" s="1"/>
  <c r="AN907" i="90"/>
  <c r="AW907" i="90" s="1"/>
  <c r="AO907" i="90"/>
  <c r="AM915" i="90"/>
  <c r="AU915" i="90" s="1"/>
  <c r="AN915" i="90"/>
  <c r="AW915" i="90" s="1"/>
  <c r="AO915" i="90"/>
  <c r="AM947" i="90"/>
  <c r="AU947" i="90" s="1"/>
  <c r="AN947" i="90"/>
  <c r="AW947" i="90" s="1"/>
  <c r="AO947" i="90"/>
  <c r="AM979" i="90"/>
  <c r="AU979" i="90" s="1"/>
  <c r="AN979" i="90"/>
  <c r="AW979" i="90" s="1"/>
  <c r="AO979" i="90"/>
  <c r="AY990" i="90"/>
  <c r="AZ1011" i="90"/>
  <c r="AY1011" i="90"/>
  <c r="AY1022" i="90"/>
  <c r="AZ1022" i="90"/>
  <c r="AY1043" i="90"/>
  <c r="AM1063" i="90"/>
  <c r="AU1063" i="90" s="1"/>
  <c r="AN1063" i="90"/>
  <c r="AW1063" i="90" s="1"/>
  <c r="AO1063" i="90"/>
  <c r="AM1095" i="90"/>
  <c r="AU1095" i="90" s="1"/>
  <c r="AN1095" i="90"/>
  <c r="AW1095" i="90" s="1"/>
  <c r="AO1095" i="90"/>
  <c r="AM1127" i="90"/>
  <c r="AU1127" i="90" s="1"/>
  <c r="AN1127" i="90"/>
  <c r="AW1127" i="90" s="1"/>
  <c r="AO1127" i="90"/>
  <c r="AY1139" i="90"/>
  <c r="AY1151" i="90"/>
  <c r="AZ1151" i="90"/>
  <c r="AY1159" i="90"/>
  <c r="AZ1159" i="90"/>
  <c r="AY1167" i="90"/>
  <c r="AZ1167" i="90"/>
  <c r="AY1175" i="90"/>
  <c r="AZ1175" i="90"/>
  <c r="AY1183" i="90"/>
  <c r="AZ1183" i="90"/>
  <c r="AY1191" i="90"/>
  <c r="AY1199" i="90"/>
  <c r="AY1207" i="90"/>
  <c r="AZ1207" i="90"/>
  <c r="AY1215" i="90"/>
  <c r="AZ1215" i="90"/>
  <c r="AY1223" i="90"/>
  <c r="AZ1223" i="90"/>
  <c r="AY1231" i="90"/>
  <c r="AZ1231" i="90"/>
  <c r="AY1239" i="90"/>
  <c r="AZ1239" i="90"/>
  <c r="AY1247" i="90"/>
  <c r="AY1255" i="90"/>
  <c r="AZ1255" i="90"/>
  <c r="AY1263" i="90"/>
  <c r="AZ1263" i="90"/>
  <c r="AY1271" i="90"/>
  <c r="AZ1271" i="90"/>
  <c r="AY1283" i="90"/>
  <c r="AZ1283" i="90"/>
  <c r="AY1299" i="90"/>
  <c r="AY680" i="90"/>
  <c r="AO843" i="90"/>
  <c r="AM843" i="90"/>
  <c r="AU843" i="90" s="1"/>
  <c r="AN843" i="90"/>
  <c r="AW843" i="90" s="1"/>
  <c r="AY884" i="90"/>
  <c r="AY916" i="90"/>
  <c r="AZ916" i="90"/>
  <c r="AY948" i="90"/>
  <c r="AZ948" i="90"/>
  <c r="AY980" i="90"/>
  <c r="AZ980" i="90"/>
  <c r="AZ1001" i="90"/>
  <c r="AY1001" i="90"/>
  <c r="AY1012" i="90"/>
  <c r="AZ1012" i="90"/>
  <c r="AY1033" i="90"/>
  <c r="AY1044" i="90"/>
  <c r="AY1137" i="90"/>
  <c r="AY1145" i="90"/>
  <c r="AM1286" i="90"/>
  <c r="AU1286" i="90" s="1"/>
  <c r="AN1286" i="90"/>
  <c r="AW1286" i="90" s="1"/>
  <c r="AO1286" i="90"/>
  <c r="AY664" i="90"/>
  <c r="AZ664" i="90"/>
  <c r="AY758" i="90"/>
  <c r="AZ758" i="90"/>
  <c r="AM879" i="90"/>
  <c r="AU879" i="90" s="1"/>
  <c r="AN879" i="90"/>
  <c r="AW879" i="90" s="1"/>
  <c r="AO879" i="90"/>
  <c r="AM911" i="90"/>
  <c r="AU911" i="90" s="1"/>
  <c r="AN911" i="90"/>
  <c r="AW911" i="90" s="1"/>
  <c r="AO911" i="90"/>
  <c r="AM943" i="90"/>
  <c r="AU943" i="90" s="1"/>
  <c r="AN943" i="90"/>
  <c r="AW943" i="90" s="1"/>
  <c r="AO943" i="90"/>
  <c r="AM975" i="90"/>
  <c r="AU975" i="90" s="1"/>
  <c r="AN975" i="90"/>
  <c r="AW975" i="90" s="1"/>
  <c r="AO975" i="90"/>
  <c r="AY991" i="90"/>
  <c r="AY1002" i="90"/>
  <c r="AZ1002" i="90"/>
  <c r="AZ1023" i="90"/>
  <c r="AY1023" i="90"/>
  <c r="AY1034" i="90"/>
  <c r="AS1073" i="90"/>
  <c r="AO1076" i="90"/>
  <c r="AM1076" i="90"/>
  <c r="AU1076" i="90" s="1"/>
  <c r="AN1076" i="90"/>
  <c r="AW1076" i="90" s="1"/>
  <c r="AS1105" i="90"/>
  <c r="AO1108" i="90"/>
  <c r="AM1108" i="90"/>
  <c r="AU1108" i="90" s="1"/>
  <c r="AN1108" i="90"/>
  <c r="AW1108" i="90" s="1"/>
  <c r="AY1143" i="90"/>
  <c r="AZ1279" i="90"/>
  <c r="AY1279" i="90"/>
  <c r="AZ1287" i="90"/>
  <c r="AY1287" i="90"/>
  <c r="AY1295" i="90"/>
  <c r="AY1303" i="90"/>
  <c r="AM1312" i="90"/>
  <c r="AU1312" i="90" s="1"/>
  <c r="AN1312" i="90"/>
  <c r="AW1312" i="90" s="1"/>
  <c r="AO1312" i="90"/>
  <c r="AZ1335" i="90"/>
  <c r="AY1335" i="90"/>
  <c r="AM1344" i="90"/>
  <c r="AU1344" i="90" s="1"/>
  <c r="AN1344" i="90"/>
  <c r="AW1344" i="90" s="1"/>
  <c r="AO1344" i="90"/>
  <c r="AY1008" i="90"/>
  <c r="AZ1008" i="90"/>
  <c r="AO1084" i="90"/>
  <c r="AM1084" i="90"/>
  <c r="AU1084" i="90" s="1"/>
  <c r="AN1084" i="90"/>
  <c r="AW1084" i="90" s="1"/>
  <c r="AY1331" i="90"/>
  <c r="AZ1331" i="90"/>
  <c r="AO1369" i="90"/>
  <c r="AM1369" i="90"/>
  <c r="AU1369" i="90" s="1"/>
  <c r="AN1369" i="90"/>
  <c r="AW1369" i="90" s="1"/>
  <c r="AY1404" i="90"/>
  <c r="AZ1411" i="90"/>
  <c r="AY1411" i="90"/>
  <c r="AZ1340" i="90"/>
  <c r="AY1340" i="90"/>
  <c r="AM1376" i="90"/>
  <c r="AU1376" i="90" s="1"/>
  <c r="AN1376" i="90"/>
  <c r="AW1376" i="90" s="1"/>
  <c r="AO1376" i="90"/>
  <c r="AZ1379" i="90"/>
  <c r="AY1379" i="90"/>
  <c r="AY782" i="90"/>
  <c r="AY864" i="90"/>
  <c r="AZ864" i="90"/>
  <c r="AY920" i="90"/>
  <c r="AZ920" i="90"/>
  <c r="AY952" i="90"/>
  <c r="AZ952" i="90"/>
  <c r="AY984" i="90"/>
  <c r="AS1113" i="90"/>
  <c r="AY1355" i="90"/>
  <c r="AZ1358" i="90"/>
  <c r="AY1358" i="90"/>
  <c r="AY1389" i="90"/>
  <c r="AZ1389" i="90"/>
  <c r="AS1405" i="90"/>
  <c r="AW1427" i="90"/>
  <c r="AO1052" i="90"/>
  <c r="AM1052" i="90"/>
  <c r="AU1052" i="90" s="1"/>
  <c r="AN1052" i="90"/>
  <c r="AW1052" i="90" s="1"/>
  <c r="AY1141" i="90"/>
  <c r="AM1360" i="90"/>
  <c r="AU1360" i="90" s="1"/>
  <c r="AN1360" i="90"/>
  <c r="AW1360" i="90" s="1"/>
  <c r="AO1360" i="90"/>
  <c r="AY1421" i="90"/>
  <c r="AZ1421" i="90"/>
  <c r="AY992" i="90"/>
  <c r="AO1305" i="90"/>
  <c r="AN1305" i="90"/>
  <c r="AW1305" i="90" s="1"/>
  <c r="AM1305" i="90"/>
  <c r="AU1305" i="90" s="1"/>
  <c r="AM1334" i="90"/>
  <c r="AU1334" i="90" s="1"/>
  <c r="AN1334" i="90"/>
  <c r="AW1334" i="90" s="1"/>
  <c r="AO1334" i="90"/>
  <c r="AS1344" i="90"/>
  <c r="AO1393" i="90"/>
  <c r="AN1393" i="90"/>
  <c r="AW1393" i="90" s="1"/>
  <c r="AM1393" i="90"/>
  <c r="AU1393" i="90" s="1"/>
  <c r="AY1032" i="90"/>
  <c r="AZ1032" i="90"/>
  <c r="AS1380" i="90"/>
  <c r="AY1445" i="90"/>
  <c r="AZ1445" i="90"/>
  <c r="AY1455" i="90"/>
  <c r="AZ1414" i="90"/>
  <c r="AY1414" i="90"/>
  <c r="AY1422" i="90"/>
  <c r="AZ1422" i="90"/>
  <c r="AY1430" i="90"/>
  <c r="AZ1430" i="90"/>
  <c r="AY1446" i="90"/>
  <c r="AZ1446" i="90"/>
  <c r="AY1416" i="90"/>
  <c r="AZ1416" i="90"/>
  <c r="AZ1424" i="90"/>
  <c r="AY1424" i="90"/>
  <c r="AY1450" i="90"/>
  <c r="AO15" i="90"/>
  <c r="AM15" i="90"/>
  <c r="AU15" i="90" s="1"/>
  <c r="AN15" i="90"/>
  <c r="AW15" i="90" s="1"/>
  <c r="AY45" i="90"/>
  <c r="AY100" i="90"/>
  <c r="AM73" i="90"/>
  <c r="AU73" i="90" s="1"/>
  <c r="AN73" i="90"/>
  <c r="AW73" i="90" s="1"/>
  <c r="AO73" i="90"/>
  <c r="AW89" i="90"/>
  <c r="AW97" i="90"/>
  <c r="AW105" i="90"/>
  <c r="AW83" i="90"/>
  <c r="AY93" i="90"/>
  <c r="AZ93" i="90"/>
  <c r="AY122" i="90"/>
  <c r="AZ122" i="90"/>
  <c r="AY135" i="90"/>
  <c r="AZ135" i="90"/>
  <c r="AM67" i="90"/>
  <c r="AU67" i="90" s="1"/>
  <c r="AN67" i="90"/>
  <c r="AW67" i="90" s="1"/>
  <c r="AO67" i="90"/>
  <c r="AW152" i="90"/>
  <c r="AY165" i="90"/>
  <c r="AZ165" i="90"/>
  <c r="AY132" i="90"/>
  <c r="AZ132" i="90"/>
  <c r="AN242" i="90"/>
  <c r="AW242" i="90" s="1"/>
  <c r="AO242" i="90"/>
  <c r="AM242" i="90"/>
  <c r="AU242" i="90" s="1"/>
  <c r="AM313" i="90"/>
  <c r="AU313" i="90" s="1"/>
  <c r="AN313" i="90"/>
  <c r="AW313" i="90" s="1"/>
  <c r="AO313" i="90"/>
  <c r="AY199" i="90"/>
  <c r="AZ199" i="90"/>
  <c r="AY204" i="90"/>
  <c r="AM238" i="90"/>
  <c r="AU238" i="90" s="1"/>
  <c r="AN238" i="90"/>
  <c r="AW238" i="90" s="1"/>
  <c r="AO238" i="90"/>
  <c r="AY429" i="90"/>
  <c r="AZ429" i="90"/>
  <c r="AY442" i="90"/>
  <c r="AZ442" i="90"/>
  <c r="AY477" i="90"/>
  <c r="AZ477" i="90"/>
  <c r="AY490" i="90"/>
  <c r="AZ490" i="90"/>
  <c r="AY506" i="90"/>
  <c r="AZ506" i="90"/>
  <c r="AZ184" i="90"/>
  <c r="AY184" i="90"/>
  <c r="AM212" i="90"/>
  <c r="AU212" i="90" s="1"/>
  <c r="AO212" i="90"/>
  <c r="AN212" i="90"/>
  <c r="AW212" i="90" s="1"/>
  <c r="AY415" i="90"/>
  <c r="AZ447" i="90"/>
  <c r="AY447" i="90"/>
  <c r="AY353" i="90"/>
  <c r="AZ353" i="90"/>
  <c r="AY369" i="90"/>
  <c r="AZ369" i="90"/>
  <c r="AY385" i="90"/>
  <c r="AZ385" i="90"/>
  <c r="AY406" i="90"/>
  <c r="AZ406" i="90"/>
  <c r="AY409" i="90"/>
  <c r="AY438" i="90"/>
  <c r="AZ438" i="90"/>
  <c r="AY441" i="90"/>
  <c r="AZ441" i="90"/>
  <c r="AY470" i="90"/>
  <c r="AY473" i="90"/>
  <c r="AZ473" i="90"/>
  <c r="AY502" i="90"/>
  <c r="AZ502" i="90"/>
  <c r="AY616" i="90"/>
  <c r="AZ616" i="90"/>
  <c r="AN411" i="90"/>
  <c r="AW411" i="90" s="1"/>
  <c r="AO411" i="90"/>
  <c r="AM411" i="90"/>
  <c r="AU411" i="90" s="1"/>
  <c r="AY552" i="90"/>
  <c r="AZ552" i="90"/>
  <c r="AY564" i="90"/>
  <c r="AZ564" i="90"/>
  <c r="AY572" i="90"/>
  <c r="AM547" i="90"/>
  <c r="AU547" i="90" s="1"/>
  <c r="AN547" i="90"/>
  <c r="AW547" i="90" s="1"/>
  <c r="AO547" i="90"/>
  <c r="AM615" i="90"/>
  <c r="AU615" i="90" s="1"/>
  <c r="AN615" i="90"/>
  <c r="AW615" i="90" s="1"/>
  <c r="AO615" i="90"/>
  <c r="AY658" i="90"/>
  <c r="AZ658" i="90"/>
  <c r="AY675" i="90"/>
  <c r="AW686" i="90"/>
  <c r="AY837" i="90"/>
  <c r="AZ837" i="90"/>
  <c r="AZ200" i="90"/>
  <c r="AY200" i="90"/>
  <c r="AY534" i="90"/>
  <c r="AZ534" i="90"/>
  <c r="AM567" i="90"/>
  <c r="AU567" i="90" s="1"/>
  <c r="AN567" i="90"/>
  <c r="AW567" i="90" s="1"/>
  <c r="AO567" i="90"/>
  <c r="AW682" i="90"/>
  <c r="AY705" i="90"/>
  <c r="AZ705" i="90"/>
  <c r="AY713" i="90"/>
  <c r="AZ713" i="90"/>
  <c r="AY729" i="90"/>
  <c r="AY761" i="90"/>
  <c r="AZ761" i="90"/>
  <c r="AY769" i="90"/>
  <c r="AZ769" i="90"/>
  <c r="AY785" i="90"/>
  <c r="AZ785" i="90"/>
  <c r="AZ849" i="90"/>
  <c r="AY849" i="90"/>
  <c r="AY1086" i="90"/>
  <c r="AY1118" i="90"/>
  <c r="AZ1118" i="90"/>
  <c r="AY672" i="90"/>
  <c r="AY685" i="90"/>
  <c r="AZ685" i="90"/>
  <c r="AM869" i="90"/>
  <c r="AU869" i="90" s="1"/>
  <c r="AN869" i="90"/>
  <c r="AW869" i="90" s="1"/>
  <c r="AO869" i="90"/>
  <c r="AM893" i="90"/>
  <c r="AU893" i="90" s="1"/>
  <c r="AN893" i="90"/>
  <c r="AW893" i="90" s="1"/>
  <c r="AO893" i="90"/>
  <c r="AM917" i="90"/>
  <c r="AU917" i="90" s="1"/>
  <c r="AN917" i="90"/>
  <c r="AW917" i="90" s="1"/>
  <c r="AO917" i="90"/>
  <c r="AM941" i="90"/>
  <c r="AU941" i="90" s="1"/>
  <c r="AN941" i="90"/>
  <c r="AW941" i="90" s="1"/>
  <c r="AO941" i="90"/>
  <c r="AM965" i="90"/>
  <c r="AU965" i="90" s="1"/>
  <c r="AN965" i="90"/>
  <c r="AW965" i="90" s="1"/>
  <c r="AO965" i="90"/>
  <c r="AM973" i="90"/>
  <c r="AU973" i="90" s="1"/>
  <c r="AN973" i="90"/>
  <c r="AW973" i="90" s="1"/>
  <c r="AO973" i="90"/>
  <c r="AM854" i="90"/>
  <c r="AU854" i="90" s="1"/>
  <c r="AN854" i="90"/>
  <c r="AW854" i="90" s="1"/>
  <c r="AO854" i="90"/>
  <c r="AS901" i="90"/>
  <c r="AS981" i="90"/>
  <c r="AZ1053" i="90"/>
  <c r="AY1053" i="90"/>
  <c r="AZ1117" i="90"/>
  <c r="AY1117" i="90"/>
  <c r="AY1131" i="90"/>
  <c r="AZ1131" i="90"/>
  <c r="AY1153" i="90"/>
  <c r="AZ1153" i="90"/>
  <c r="AY1193" i="90"/>
  <c r="AY1217" i="90"/>
  <c r="AZ1217" i="90"/>
  <c r="AY1241" i="90"/>
  <c r="AY1249" i="90"/>
  <c r="AY908" i="90"/>
  <c r="AZ908" i="90"/>
  <c r="AY940" i="90"/>
  <c r="AZ1009" i="90"/>
  <c r="AY1009" i="90"/>
  <c r="AY1020" i="90"/>
  <c r="AZ1020" i="90"/>
  <c r="AW1156" i="90"/>
  <c r="AW1162" i="90"/>
  <c r="AW1168" i="90"/>
  <c r="AW1174" i="90"/>
  <c r="AW1180" i="90"/>
  <c r="AW1188" i="90"/>
  <c r="AW1196" i="90"/>
  <c r="AW1202" i="90"/>
  <c r="AW1208" i="90"/>
  <c r="AW1214" i="90"/>
  <c r="AW1220" i="90"/>
  <c r="AW1226" i="90"/>
  <c r="AW1230" i="90"/>
  <c r="AW1234" i="90"/>
  <c r="AW1236" i="90"/>
  <c r="AW1242" i="90"/>
  <c r="AW1248" i="90"/>
  <c r="AW1256" i="90"/>
  <c r="AW1262" i="90"/>
  <c r="AW1268" i="90"/>
  <c r="AW1274" i="90"/>
  <c r="AY1285" i="90"/>
  <c r="AZ1285" i="90"/>
  <c r="AY1341" i="90"/>
  <c r="AZ1341" i="90"/>
  <c r="AM983" i="90"/>
  <c r="AU983" i="90" s="1"/>
  <c r="AN983" i="90"/>
  <c r="AW983" i="90" s="1"/>
  <c r="AO983" i="90"/>
  <c r="AZ999" i="90"/>
  <c r="AY999" i="90"/>
  <c r="AY1135" i="90"/>
  <c r="AZ1135" i="90"/>
  <c r="AM1320" i="90"/>
  <c r="AU1320" i="90" s="1"/>
  <c r="AN1320" i="90"/>
  <c r="AW1320" i="90" s="1"/>
  <c r="AO1320" i="90"/>
  <c r="AM1352" i="90"/>
  <c r="AU1352" i="90" s="1"/>
  <c r="AN1352" i="90"/>
  <c r="AW1352" i="90" s="1"/>
  <c r="AO1352" i="90"/>
  <c r="AZ1005" i="90"/>
  <c r="AY1005" i="90"/>
  <c r="AY1040" i="90"/>
  <c r="AM1397" i="90"/>
  <c r="AU1397" i="90" s="1"/>
  <c r="AN1397" i="90"/>
  <c r="AW1397" i="90" s="1"/>
  <c r="AO1397" i="90"/>
  <c r="AY928" i="90"/>
  <c r="AZ928" i="90"/>
  <c r="AY1459" i="90"/>
  <c r="AO1116" i="90"/>
  <c r="AM1116" i="90"/>
  <c r="AU1116" i="90" s="1"/>
  <c r="AN1116" i="90"/>
  <c r="AW1116" i="90" s="1"/>
  <c r="AM1310" i="90"/>
  <c r="AU1310" i="90" s="1"/>
  <c r="AN1310" i="90"/>
  <c r="AW1310" i="90" s="1"/>
  <c r="AO1310" i="90"/>
  <c r="AS1310" i="90"/>
  <c r="AM1342" i="90"/>
  <c r="AU1342" i="90" s="1"/>
  <c r="AN1342" i="90"/>
  <c r="AW1342" i="90" s="1"/>
  <c r="AO1342" i="90"/>
  <c r="AS1342" i="90"/>
  <c r="AY880" i="90"/>
  <c r="AY1419" i="90"/>
  <c r="AZ1419" i="90"/>
  <c r="AY814" i="90"/>
  <c r="AZ814" i="90"/>
  <c r="AY872" i="90"/>
  <c r="AZ872" i="90"/>
  <c r="AY989" i="90"/>
  <c r="AM1119" i="90"/>
  <c r="AU1119" i="90" s="1"/>
  <c r="AN1119" i="90"/>
  <c r="AW1119" i="90" s="1"/>
  <c r="AO1119" i="90"/>
  <c r="AO1377" i="90"/>
  <c r="AN1377" i="90"/>
  <c r="AW1377" i="90" s="1"/>
  <c r="AM1377" i="90"/>
  <c r="AU1377" i="90" s="1"/>
  <c r="AZ997" i="90"/>
  <c r="AY997" i="90"/>
  <c r="AZ1077" i="90"/>
  <c r="AY1077" i="90"/>
  <c r="AZ1420" i="90"/>
  <c r="AY1420" i="90"/>
  <c r="AY9" i="90"/>
  <c r="AZ9" i="90"/>
  <c r="AM28" i="90"/>
  <c r="AU28" i="90" s="1"/>
  <c r="AN28" i="90"/>
  <c r="AW28" i="90" s="1"/>
  <c r="AO28" i="90"/>
  <c r="AY37" i="90"/>
  <c r="AZ37" i="90"/>
  <c r="AY86" i="90"/>
  <c r="AZ86" i="90"/>
  <c r="AY66" i="90"/>
  <c r="AZ66" i="90"/>
  <c r="AY143" i="90"/>
  <c r="AZ143" i="90"/>
  <c r="AW91" i="90"/>
  <c r="AY101" i="90"/>
  <c r="AY137" i="90"/>
  <c r="AZ137" i="90"/>
  <c r="AY169" i="90"/>
  <c r="AZ169" i="90"/>
  <c r="AY109" i="90"/>
  <c r="AZ109" i="90"/>
  <c r="AY141" i="90"/>
  <c r="AZ141" i="90"/>
  <c r="AY160" i="90"/>
  <c r="AY229" i="90"/>
  <c r="AZ229" i="90"/>
  <c r="AY121" i="90"/>
  <c r="AZ121" i="90"/>
  <c r="AY179" i="90"/>
  <c r="AZ179" i="90"/>
  <c r="AM198" i="90"/>
  <c r="AU198" i="90" s="1"/>
  <c r="AN198" i="90"/>
  <c r="AW198" i="90" s="1"/>
  <c r="AO198" i="90"/>
  <c r="AN246" i="90"/>
  <c r="AW246" i="90" s="1"/>
  <c r="AO246" i="90"/>
  <c r="AM246" i="90"/>
  <c r="AU246" i="90" s="1"/>
  <c r="AY185" i="90"/>
  <c r="AZ185" i="90"/>
  <c r="AZ196" i="90"/>
  <c r="AY196" i="90"/>
  <c r="AN254" i="90"/>
  <c r="AW254" i="90" s="1"/>
  <c r="AO254" i="90"/>
  <c r="AM254" i="90"/>
  <c r="AU254" i="90" s="1"/>
  <c r="AW260" i="90"/>
  <c r="AW273" i="90"/>
  <c r="AZ186" i="90"/>
  <c r="AY186" i="90"/>
  <c r="AY11" i="90"/>
  <c r="AZ11" i="90"/>
  <c r="AZ8" i="90"/>
  <c r="AY8" i="90"/>
  <c r="AZ16" i="90"/>
  <c r="AY16" i="90"/>
  <c r="AZ6" i="90"/>
  <c r="AY6" i="90"/>
  <c r="AM20" i="90"/>
  <c r="AU20" i="90" s="1"/>
  <c r="AN20" i="90"/>
  <c r="AW20" i="90" s="1"/>
  <c r="AO20" i="90"/>
  <c r="AS20" i="90"/>
  <c r="AZ36" i="90"/>
  <c r="AY36" i="90"/>
  <c r="AS28" i="90"/>
  <c r="AO47" i="90"/>
  <c r="AN47" i="90"/>
  <c r="AW47" i="90" s="1"/>
  <c r="AM47" i="90"/>
  <c r="AU47" i="90" s="1"/>
  <c r="AY51" i="90"/>
  <c r="AZ40" i="90"/>
  <c r="AY40" i="90"/>
  <c r="AY41" i="90"/>
  <c r="AZ41" i="90"/>
  <c r="AY76" i="90"/>
  <c r="AZ76" i="90"/>
  <c r="AY48" i="90"/>
  <c r="AY80" i="90"/>
  <c r="AZ80" i="90"/>
  <c r="AY88" i="90"/>
  <c r="AZ88" i="90"/>
  <c r="AY96" i="90"/>
  <c r="AZ96" i="90"/>
  <c r="AY104" i="90"/>
  <c r="AS53" i="90"/>
  <c r="AM65" i="90"/>
  <c r="AU65" i="90" s="1"/>
  <c r="AN65" i="90"/>
  <c r="AW65" i="90" s="1"/>
  <c r="AO65" i="90"/>
  <c r="AS69" i="90"/>
  <c r="AM77" i="90"/>
  <c r="AU77" i="90" s="1"/>
  <c r="AN77" i="90"/>
  <c r="AW77" i="90" s="1"/>
  <c r="AO77" i="90"/>
  <c r="AW87" i="90"/>
  <c r="AW103" i="90"/>
  <c r="AW110" i="90"/>
  <c r="AY118" i="90"/>
  <c r="AZ118" i="90"/>
  <c r="AM71" i="90"/>
  <c r="AU71" i="90" s="1"/>
  <c r="AN71" i="90"/>
  <c r="AW71" i="90" s="1"/>
  <c r="AO71" i="90"/>
  <c r="AW114" i="90"/>
  <c r="AY138" i="90"/>
  <c r="AZ138" i="90"/>
  <c r="AY133" i="90"/>
  <c r="AZ133" i="90"/>
  <c r="AN144" i="90"/>
  <c r="AW144" i="90" s="1"/>
  <c r="AO144" i="90"/>
  <c r="AM144" i="90"/>
  <c r="AU144" i="90" s="1"/>
  <c r="AY152" i="90"/>
  <c r="AY223" i="90"/>
  <c r="AZ223" i="90"/>
  <c r="AN125" i="90"/>
  <c r="AW125" i="90" s="1"/>
  <c r="AM125" i="90"/>
  <c r="AU125" i="90" s="1"/>
  <c r="AO125" i="90"/>
  <c r="AY139" i="90"/>
  <c r="AZ139" i="90"/>
  <c r="AS146" i="90"/>
  <c r="AS225" i="90"/>
  <c r="AN136" i="90"/>
  <c r="AW136" i="90" s="1"/>
  <c r="AO136" i="90"/>
  <c r="AM136" i="90"/>
  <c r="AU136" i="90" s="1"/>
  <c r="AS182" i="90"/>
  <c r="AS198" i="90"/>
  <c r="AW265" i="90"/>
  <c r="AM297" i="90"/>
  <c r="AU297" i="90" s="1"/>
  <c r="AN297" i="90"/>
  <c r="AW297" i="90" s="1"/>
  <c r="AO297" i="90"/>
  <c r="AY107" i="90"/>
  <c r="AN127" i="90"/>
  <c r="AW127" i="90" s="1"/>
  <c r="AO127" i="90"/>
  <c r="AM127" i="90"/>
  <c r="AU127" i="90" s="1"/>
  <c r="AY175" i="90"/>
  <c r="AZ175" i="90"/>
  <c r="AY191" i="90"/>
  <c r="AZ191" i="90"/>
  <c r="AS201" i="90"/>
  <c r="AO203" i="90"/>
  <c r="AM203" i="90"/>
  <c r="AU203" i="90" s="1"/>
  <c r="AN203" i="90"/>
  <c r="AW203" i="90" s="1"/>
  <c r="AS217" i="90"/>
  <c r="AO219" i="90"/>
  <c r="AM219" i="90"/>
  <c r="AU219" i="90" s="1"/>
  <c r="AN219" i="90"/>
  <c r="AW219" i="90" s="1"/>
  <c r="AS233" i="90"/>
  <c r="AO235" i="90"/>
  <c r="AM235" i="90"/>
  <c r="AU235" i="90" s="1"/>
  <c r="AN235" i="90"/>
  <c r="AW235" i="90" s="1"/>
  <c r="AS246" i="90"/>
  <c r="AS278" i="90"/>
  <c r="AM283" i="90"/>
  <c r="AU283" i="90" s="1"/>
  <c r="AN283" i="90"/>
  <c r="AW283" i="90" s="1"/>
  <c r="AO283" i="90"/>
  <c r="AM315" i="90"/>
  <c r="AU315" i="90" s="1"/>
  <c r="AN315" i="90"/>
  <c r="AW315" i="90" s="1"/>
  <c r="AO315" i="90"/>
  <c r="AZ194" i="90"/>
  <c r="AY194" i="90"/>
  <c r="AS254" i="90"/>
  <c r="AY334" i="90"/>
  <c r="AZ334" i="90"/>
  <c r="AY350" i="90"/>
  <c r="AZ350" i="90"/>
  <c r="AZ176" i="90"/>
  <c r="AY176" i="90"/>
  <c r="AM228" i="90"/>
  <c r="AU228" i="90" s="1"/>
  <c r="AO228" i="90"/>
  <c r="AN228" i="90"/>
  <c r="AW228" i="90" s="1"/>
  <c r="AS238" i="90"/>
  <c r="AS335" i="90"/>
  <c r="AZ337" i="90"/>
  <c r="AY337" i="90"/>
  <c r="AY405" i="90"/>
  <c r="AZ405" i="90"/>
  <c r="AY418" i="90"/>
  <c r="AY421" i="90"/>
  <c r="AZ421" i="90"/>
  <c r="AY434" i="90"/>
  <c r="AZ434" i="90"/>
  <c r="AY437" i="90"/>
  <c r="AZ437" i="90"/>
  <c r="AY450" i="90"/>
  <c r="AZ450" i="90"/>
  <c r="AY453" i="90"/>
  <c r="AZ453" i="90"/>
  <c r="AY466" i="90"/>
  <c r="AY469" i="90"/>
  <c r="AY482" i="90"/>
  <c r="AZ482" i="90"/>
  <c r="AY485" i="90"/>
  <c r="AZ485" i="90"/>
  <c r="AY498" i="90"/>
  <c r="AZ498" i="90"/>
  <c r="AY501" i="90"/>
  <c r="AZ501" i="90"/>
  <c r="AY514" i="90"/>
  <c r="AY517" i="90"/>
  <c r="AM285" i="90"/>
  <c r="AU285" i="90" s="1"/>
  <c r="AN285" i="90"/>
  <c r="AW285" i="90" s="1"/>
  <c r="AO285" i="90"/>
  <c r="AZ295" i="90"/>
  <c r="AY295" i="90"/>
  <c r="AS313" i="90"/>
  <c r="AZ407" i="90"/>
  <c r="AY407" i="90"/>
  <c r="AZ423" i="90"/>
  <c r="AY423" i="90"/>
  <c r="AZ439" i="90"/>
  <c r="AY439" i="90"/>
  <c r="AZ455" i="90"/>
  <c r="AY455" i="90"/>
  <c r="AY471" i="90"/>
  <c r="AZ487" i="90"/>
  <c r="AY487" i="90"/>
  <c r="AZ503" i="90"/>
  <c r="AY503" i="90"/>
  <c r="AN244" i="90"/>
  <c r="AW244" i="90" s="1"/>
  <c r="AM244" i="90"/>
  <c r="AU244" i="90" s="1"/>
  <c r="AO244" i="90"/>
  <c r="AS309" i="90"/>
  <c r="AN327" i="90"/>
  <c r="AW327" i="90" s="1"/>
  <c r="AM327" i="90"/>
  <c r="AU327" i="90" s="1"/>
  <c r="AO327" i="90"/>
  <c r="AS343" i="90"/>
  <c r="AZ345" i="90"/>
  <c r="AY345" i="90"/>
  <c r="AY357" i="90"/>
  <c r="AY365" i="90"/>
  <c r="AY373" i="90"/>
  <c r="AZ373" i="90"/>
  <c r="AY381" i="90"/>
  <c r="AZ381" i="90"/>
  <c r="AY389" i="90"/>
  <c r="AZ389" i="90"/>
  <c r="AY397" i="90"/>
  <c r="AZ397" i="90"/>
  <c r="AY422" i="90"/>
  <c r="AZ422" i="90"/>
  <c r="AY425" i="90"/>
  <c r="AZ425" i="90"/>
  <c r="AY454" i="90"/>
  <c r="AZ454" i="90"/>
  <c r="AY457" i="90"/>
  <c r="AZ457" i="90"/>
  <c r="AY486" i="90"/>
  <c r="AZ486" i="90"/>
  <c r="AY489" i="90"/>
  <c r="AZ489" i="90"/>
  <c r="AY590" i="90"/>
  <c r="AZ590" i="90"/>
  <c r="AY622" i="90"/>
  <c r="AS403" i="90"/>
  <c r="AS435" i="90"/>
  <c r="AS467" i="90"/>
  <c r="AS499" i="90"/>
  <c r="AM577" i="90"/>
  <c r="AU577" i="90" s="1"/>
  <c r="AN577" i="90"/>
  <c r="AW577" i="90" s="1"/>
  <c r="AO577" i="90"/>
  <c r="AY600" i="90"/>
  <c r="AZ600" i="90"/>
  <c r="AM609" i="90"/>
  <c r="AU609" i="90" s="1"/>
  <c r="AN609" i="90"/>
  <c r="AW609" i="90" s="1"/>
  <c r="AO609" i="90"/>
  <c r="AY632" i="90"/>
  <c r="AZ632" i="90"/>
  <c r="AM641" i="90"/>
  <c r="AU641" i="90" s="1"/>
  <c r="AN641" i="90"/>
  <c r="AW641" i="90" s="1"/>
  <c r="AO641" i="90"/>
  <c r="AS301" i="90"/>
  <c r="AN443" i="90"/>
  <c r="AW443" i="90" s="1"/>
  <c r="AO443" i="90"/>
  <c r="AM443" i="90"/>
  <c r="AU443" i="90" s="1"/>
  <c r="AN507" i="90"/>
  <c r="AW507" i="90" s="1"/>
  <c r="AO507" i="90"/>
  <c r="AM507" i="90"/>
  <c r="AU507" i="90" s="1"/>
  <c r="AY546" i="90"/>
  <c r="AZ546" i="90"/>
  <c r="AY550" i="90"/>
  <c r="AZ550" i="90"/>
  <c r="AY554" i="90"/>
  <c r="AZ554" i="90"/>
  <c r="AY558" i="90"/>
  <c r="AZ558" i="90"/>
  <c r="AY562" i="90"/>
  <c r="AZ562" i="90"/>
  <c r="AY566" i="90"/>
  <c r="AY570" i="90"/>
  <c r="AZ578" i="90"/>
  <c r="AY578" i="90"/>
  <c r="AZ610" i="90"/>
  <c r="AY610" i="90"/>
  <c r="AZ642" i="90"/>
  <c r="AY642" i="90"/>
  <c r="AS419" i="90"/>
  <c r="AM563" i="90"/>
  <c r="AU563" i="90" s="1"/>
  <c r="AN563" i="90"/>
  <c r="AW563" i="90" s="1"/>
  <c r="AO563" i="90"/>
  <c r="AS571" i="90"/>
  <c r="AS583" i="90"/>
  <c r="AZ605" i="90"/>
  <c r="AY605" i="90"/>
  <c r="AS641" i="90"/>
  <c r="AO644" i="90"/>
  <c r="AM644" i="90"/>
  <c r="AU644" i="90" s="1"/>
  <c r="AN644" i="90"/>
  <c r="AW644" i="90" s="1"/>
  <c r="AY659" i="90"/>
  <c r="AZ659" i="90"/>
  <c r="AW670" i="90"/>
  <c r="AY674" i="90"/>
  <c r="AY691" i="90"/>
  <c r="AZ691" i="90"/>
  <c r="AY821" i="90"/>
  <c r="AZ821" i="90"/>
  <c r="AY853" i="90"/>
  <c r="AZ853" i="90"/>
  <c r="AS553" i="90"/>
  <c r="AS585" i="90"/>
  <c r="AO588" i="90"/>
  <c r="AM588" i="90"/>
  <c r="AU588" i="90" s="1"/>
  <c r="AN588" i="90"/>
  <c r="AW588" i="90" s="1"/>
  <c r="AS617" i="90"/>
  <c r="AO620" i="90"/>
  <c r="AM620" i="90"/>
  <c r="AU620" i="90" s="1"/>
  <c r="AN620" i="90"/>
  <c r="AW620" i="90" s="1"/>
  <c r="AY657" i="90"/>
  <c r="AZ657" i="90"/>
  <c r="AY665" i="90"/>
  <c r="AZ665" i="90"/>
  <c r="AY673" i="90"/>
  <c r="AY681" i="90"/>
  <c r="AZ681" i="90"/>
  <c r="AY689" i="90"/>
  <c r="AZ689" i="90"/>
  <c r="AY697" i="90"/>
  <c r="AZ697" i="90"/>
  <c r="AY526" i="90"/>
  <c r="AZ526" i="90"/>
  <c r="AY542" i="90"/>
  <c r="AZ542" i="90"/>
  <c r="AM551" i="90"/>
  <c r="AU551" i="90" s="1"/>
  <c r="AN551" i="90"/>
  <c r="AW551" i="90" s="1"/>
  <c r="AO551" i="90"/>
  <c r="AS559" i="90"/>
  <c r="AY655" i="90"/>
  <c r="AZ655" i="90"/>
  <c r="AW666" i="90"/>
  <c r="AY687" i="90"/>
  <c r="AZ687" i="90"/>
  <c r="AW698" i="90"/>
  <c r="AY701" i="90"/>
  <c r="AZ701" i="90"/>
  <c r="AY709" i="90"/>
  <c r="AZ709" i="90"/>
  <c r="AY717" i="90"/>
  <c r="AZ717" i="90"/>
  <c r="AY725" i="90"/>
  <c r="AY733" i="90"/>
  <c r="AZ733" i="90"/>
  <c r="AY741" i="90"/>
  <c r="AZ741" i="90"/>
  <c r="AY749" i="90"/>
  <c r="AZ749" i="90"/>
  <c r="AY757" i="90"/>
  <c r="AZ757" i="90"/>
  <c r="AY765" i="90"/>
  <c r="AZ765" i="90"/>
  <c r="AY773" i="90"/>
  <c r="AY781" i="90"/>
  <c r="AY789" i="90"/>
  <c r="AZ789" i="90"/>
  <c r="AY797" i="90"/>
  <c r="AZ797" i="90"/>
  <c r="AY805" i="90"/>
  <c r="AZ805" i="90"/>
  <c r="AY813" i="90"/>
  <c r="AZ813" i="90"/>
  <c r="AY833" i="90"/>
  <c r="AM639" i="90"/>
  <c r="AU639" i="90" s="1"/>
  <c r="AN639" i="90"/>
  <c r="AW639" i="90" s="1"/>
  <c r="AO639" i="90"/>
  <c r="AY708" i="90"/>
  <c r="AZ708" i="90"/>
  <c r="AY740" i="90"/>
  <c r="AZ740" i="90"/>
  <c r="AY772" i="90"/>
  <c r="AZ772" i="90"/>
  <c r="AY804" i="90"/>
  <c r="AZ804" i="90"/>
  <c r="AZ844" i="90"/>
  <c r="AY844" i="90"/>
  <c r="AO851" i="90"/>
  <c r="AM851" i="90"/>
  <c r="AU851" i="90" s="1"/>
  <c r="AN851" i="90"/>
  <c r="AW851" i="90" s="1"/>
  <c r="AY1070" i="90"/>
  <c r="AZ1070" i="90"/>
  <c r="AY1102" i="90"/>
  <c r="AZ1102" i="90"/>
  <c r="AY656" i="90"/>
  <c r="AZ656" i="90"/>
  <c r="AY669" i="90"/>
  <c r="AY688" i="90"/>
  <c r="AZ688" i="90"/>
  <c r="AY706" i="90"/>
  <c r="AZ706" i="90"/>
  <c r="AY738" i="90"/>
  <c r="AZ738" i="90"/>
  <c r="AY770" i="90"/>
  <c r="AZ770" i="90"/>
  <c r="AY802" i="90"/>
  <c r="AZ802" i="90"/>
  <c r="AM865" i="90"/>
  <c r="AU865" i="90" s="1"/>
  <c r="AN865" i="90"/>
  <c r="AW865" i="90" s="1"/>
  <c r="AO865" i="90"/>
  <c r="AM873" i="90"/>
  <c r="AU873" i="90" s="1"/>
  <c r="AN873" i="90"/>
  <c r="AW873" i="90" s="1"/>
  <c r="AO873" i="90"/>
  <c r="AM881" i="90"/>
  <c r="AU881" i="90" s="1"/>
  <c r="AN881" i="90"/>
  <c r="AW881" i="90" s="1"/>
  <c r="AO881" i="90"/>
  <c r="AM889" i="90"/>
  <c r="AU889" i="90" s="1"/>
  <c r="AN889" i="90"/>
  <c r="AW889" i="90" s="1"/>
  <c r="AO889" i="90"/>
  <c r="AM897" i="90"/>
  <c r="AU897" i="90" s="1"/>
  <c r="AN897" i="90"/>
  <c r="AW897" i="90" s="1"/>
  <c r="AO897" i="90"/>
  <c r="AM905" i="90"/>
  <c r="AU905" i="90" s="1"/>
  <c r="AN905" i="90"/>
  <c r="AW905" i="90" s="1"/>
  <c r="AO905" i="90"/>
  <c r="AM913" i="90"/>
  <c r="AU913" i="90" s="1"/>
  <c r="AN913" i="90"/>
  <c r="AW913" i="90" s="1"/>
  <c r="AO913" i="90"/>
  <c r="AM921" i="90"/>
  <c r="AU921" i="90" s="1"/>
  <c r="AN921" i="90"/>
  <c r="AW921" i="90" s="1"/>
  <c r="AO921" i="90"/>
  <c r="AM929" i="90"/>
  <c r="AU929" i="90" s="1"/>
  <c r="AN929" i="90"/>
  <c r="AW929" i="90" s="1"/>
  <c r="AO929" i="90"/>
  <c r="AM937" i="90"/>
  <c r="AU937" i="90" s="1"/>
  <c r="AN937" i="90"/>
  <c r="AW937" i="90" s="1"/>
  <c r="AO937" i="90"/>
  <c r="AM945" i="90"/>
  <c r="AU945" i="90" s="1"/>
  <c r="AN945" i="90"/>
  <c r="AW945" i="90" s="1"/>
  <c r="AO945" i="90"/>
  <c r="AM953" i="90"/>
  <c r="AU953" i="90" s="1"/>
  <c r="AN953" i="90"/>
  <c r="AW953" i="90" s="1"/>
  <c r="AO953" i="90"/>
  <c r="AM961" i="90"/>
  <c r="AU961" i="90" s="1"/>
  <c r="AN961" i="90"/>
  <c r="AW961" i="90" s="1"/>
  <c r="AO961" i="90"/>
  <c r="AM969" i="90"/>
  <c r="AU969" i="90" s="1"/>
  <c r="AN969" i="90"/>
  <c r="AW969" i="90" s="1"/>
  <c r="AO969" i="90"/>
  <c r="AM977" i="90"/>
  <c r="AU977" i="90" s="1"/>
  <c r="AN977" i="90"/>
  <c r="AW977" i="90" s="1"/>
  <c r="AO977" i="90"/>
  <c r="AY1056" i="90"/>
  <c r="AZ1056" i="90"/>
  <c r="AM1065" i="90"/>
  <c r="AU1065" i="90" s="1"/>
  <c r="AN1065" i="90"/>
  <c r="AW1065" i="90" s="1"/>
  <c r="AO1065" i="90"/>
  <c r="AY1088" i="90"/>
  <c r="AM1097" i="90"/>
  <c r="AU1097" i="90" s="1"/>
  <c r="AN1097" i="90"/>
  <c r="AW1097" i="90" s="1"/>
  <c r="AO1097" i="90"/>
  <c r="AY1120" i="90"/>
  <c r="AZ1120" i="90"/>
  <c r="AM1129" i="90"/>
  <c r="AU1129" i="90" s="1"/>
  <c r="AN1129" i="90"/>
  <c r="AW1129" i="90" s="1"/>
  <c r="AO1129" i="90"/>
  <c r="AM549" i="90"/>
  <c r="AU549" i="90" s="1"/>
  <c r="AN549" i="90"/>
  <c r="AW549" i="90" s="1"/>
  <c r="AO549" i="90"/>
  <c r="AY728" i="90"/>
  <c r="AY760" i="90"/>
  <c r="AZ760" i="90"/>
  <c r="AY792" i="90"/>
  <c r="AZ792" i="90"/>
  <c r="AY828" i="90"/>
  <c r="AO835" i="90"/>
  <c r="AM835" i="90"/>
  <c r="AU835" i="90" s="1"/>
  <c r="AN835" i="90"/>
  <c r="AW835" i="90" s="1"/>
  <c r="AS861" i="90"/>
  <c r="AS893" i="90"/>
  <c r="AS909" i="90"/>
  <c r="AS941" i="90"/>
  <c r="AS957" i="90"/>
  <c r="AS973" i="90"/>
  <c r="AZ1058" i="90"/>
  <c r="AY1058" i="90"/>
  <c r="AY1090" i="90"/>
  <c r="AZ1122" i="90"/>
  <c r="AY1122" i="90"/>
  <c r="AO604" i="90"/>
  <c r="AM604" i="90"/>
  <c r="AU604" i="90" s="1"/>
  <c r="AN604" i="90"/>
  <c r="AW604" i="90" s="1"/>
  <c r="AY661" i="90"/>
  <c r="AZ661" i="90"/>
  <c r="AM939" i="90"/>
  <c r="AU939" i="90" s="1"/>
  <c r="AN939" i="90"/>
  <c r="AW939" i="90" s="1"/>
  <c r="AO939" i="90"/>
  <c r="AM971" i="90"/>
  <c r="AU971" i="90" s="1"/>
  <c r="AN971" i="90"/>
  <c r="AW971" i="90" s="1"/>
  <c r="AO971" i="90"/>
  <c r="AZ1003" i="90"/>
  <c r="AY1003" i="90"/>
  <c r="AY1014" i="90"/>
  <c r="AZ1014" i="90"/>
  <c r="AY1035" i="90"/>
  <c r="AY1046" i="90"/>
  <c r="AZ1046" i="90"/>
  <c r="AY1147" i="90"/>
  <c r="AY1157" i="90"/>
  <c r="AZ1157" i="90"/>
  <c r="AY1165" i="90"/>
  <c r="AZ1165" i="90"/>
  <c r="AY1173" i="90"/>
  <c r="AZ1173" i="90"/>
  <c r="AY1181" i="90"/>
  <c r="AZ1181" i="90"/>
  <c r="AY1189" i="90"/>
  <c r="AY1197" i="90"/>
  <c r="AY1205" i="90"/>
  <c r="AZ1205" i="90"/>
  <c r="AY1213" i="90"/>
  <c r="AZ1213" i="90"/>
  <c r="AY1221" i="90"/>
  <c r="AZ1221" i="90"/>
  <c r="AY1229" i="90"/>
  <c r="AZ1229" i="90"/>
  <c r="AY1237" i="90"/>
  <c r="AZ1237" i="90"/>
  <c r="AY1245" i="90"/>
  <c r="AY1253" i="90"/>
  <c r="AZ1253" i="90"/>
  <c r="AY1261" i="90"/>
  <c r="AZ1261" i="90"/>
  <c r="AY1269" i="90"/>
  <c r="AZ1269" i="90"/>
  <c r="AY1277" i="90"/>
  <c r="AZ1277" i="90"/>
  <c r="AM557" i="90"/>
  <c r="AU557" i="90" s="1"/>
  <c r="AN557" i="90"/>
  <c r="AW557" i="90" s="1"/>
  <c r="AO557" i="90"/>
  <c r="AY702" i="90"/>
  <c r="AZ702" i="90"/>
  <c r="AY766" i="90"/>
  <c r="AZ766" i="90"/>
  <c r="AY860" i="90"/>
  <c r="AZ860" i="90"/>
  <c r="AY892" i="90"/>
  <c r="AZ892" i="90"/>
  <c r="AY924" i="90"/>
  <c r="AZ924" i="90"/>
  <c r="AY956" i="90"/>
  <c r="AZ956" i="90"/>
  <c r="AZ993" i="90"/>
  <c r="AY993" i="90"/>
  <c r="AY1004" i="90"/>
  <c r="AZ1004" i="90"/>
  <c r="AZ1025" i="90"/>
  <c r="AY1025" i="90"/>
  <c r="AY1036" i="90"/>
  <c r="AS1065" i="90"/>
  <c r="AO1068" i="90"/>
  <c r="AM1068" i="90"/>
  <c r="AU1068" i="90" s="1"/>
  <c r="AN1068" i="90"/>
  <c r="AW1068" i="90" s="1"/>
  <c r="AS1097" i="90"/>
  <c r="AO1100" i="90"/>
  <c r="AM1100" i="90"/>
  <c r="AU1100" i="90" s="1"/>
  <c r="AN1100" i="90"/>
  <c r="AW1100" i="90" s="1"/>
  <c r="AS1129" i="90"/>
  <c r="AY1301" i="90"/>
  <c r="AY1317" i="90"/>
  <c r="AZ1317" i="90"/>
  <c r="AY1333" i="90"/>
  <c r="AZ1333" i="90"/>
  <c r="AY1349" i="90"/>
  <c r="AY693" i="90"/>
  <c r="AZ693" i="90"/>
  <c r="AM871" i="90"/>
  <c r="AU871" i="90" s="1"/>
  <c r="AN871" i="90"/>
  <c r="AW871" i="90" s="1"/>
  <c r="AO871" i="90"/>
  <c r="AM903" i="90"/>
  <c r="AU903" i="90" s="1"/>
  <c r="AN903" i="90"/>
  <c r="AW903" i="90" s="1"/>
  <c r="AO903" i="90"/>
  <c r="AM935" i="90"/>
  <c r="AU935" i="90" s="1"/>
  <c r="AN935" i="90"/>
  <c r="AW935" i="90" s="1"/>
  <c r="AO935" i="90"/>
  <c r="AM967" i="90"/>
  <c r="AU967" i="90" s="1"/>
  <c r="AN967" i="90"/>
  <c r="AW967" i="90" s="1"/>
  <c r="AO967" i="90"/>
  <c r="AY994" i="90"/>
  <c r="AZ994" i="90"/>
  <c r="AZ1015" i="90"/>
  <c r="AY1015" i="90"/>
  <c r="AY1026" i="90"/>
  <c r="AZ1026" i="90"/>
  <c r="AZ1069" i="90"/>
  <c r="AY1069" i="90"/>
  <c r="AZ1101" i="90"/>
  <c r="AY1101" i="90"/>
  <c r="AY1134" i="90"/>
  <c r="AZ1134" i="90"/>
  <c r="AM1280" i="90"/>
  <c r="AU1280" i="90" s="1"/>
  <c r="AN1280" i="90"/>
  <c r="AW1280" i="90" s="1"/>
  <c r="AO1280" i="90"/>
  <c r="AM1288" i="90"/>
  <c r="AU1288" i="90" s="1"/>
  <c r="AN1288" i="90"/>
  <c r="AW1288" i="90" s="1"/>
  <c r="AO1288" i="90"/>
  <c r="AM1296" i="90"/>
  <c r="AU1296" i="90" s="1"/>
  <c r="AN1296" i="90"/>
  <c r="AW1296" i="90" s="1"/>
  <c r="AO1296" i="90"/>
  <c r="AM1304" i="90"/>
  <c r="AU1304" i="90" s="1"/>
  <c r="AN1304" i="90"/>
  <c r="AW1304" i="90" s="1"/>
  <c r="AO1304" i="90"/>
  <c r="AY1327" i="90"/>
  <c r="AZ1327" i="90"/>
  <c r="AM1336" i="90"/>
  <c r="AU1336" i="90" s="1"/>
  <c r="AN1336" i="90"/>
  <c r="AW1336" i="90" s="1"/>
  <c r="AO1336" i="90"/>
  <c r="AY1359" i="90"/>
  <c r="AZ1359" i="90"/>
  <c r="AY1375" i="90"/>
  <c r="AZ1375" i="90"/>
  <c r="AY1391" i="90"/>
  <c r="AZ1391" i="90"/>
  <c r="AY750" i="90"/>
  <c r="AZ750" i="90"/>
  <c r="AY888" i="90"/>
  <c r="AS1081" i="90"/>
  <c r="AO1321" i="90"/>
  <c r="AN1321" i="90"/>
  <c r="AW1321" i="90" s="1"/>
  <c r="AM1321" i="90"/>
  <c r="AU1321" i="90" s="1"/>
  <c r="AZ1332" i="90"/>
  <c r="AY1332" i="90"/>
  <c r="AO1353" i="90"/>
  <c r="AN1353" i="90"/>
  <c r="AW1353" i="90" s="1"/>
  <c r="AM1353" i="90"/>
  <c r="AU1353" i="90" s="1"/>
  <c r="AO1385" i="90"/>
  <c r="AM1385" i="90"/>
  <c r="AU1385" i="90" s="1"/>
  <c r="AN1385" i="90"/>
  <c r="AW1385" i="90" s="1"/>
  <c r="AM1405" i="90"/>
  <c r="AU1405" i="90" s="1"/>
  <c r="AN1405" i="90"/>
  <c r="AW1405" i="90" s="1"/>
  <c r="AO1405" i="90"/>
  <c r="AY912" i="90"/>
  <c r="AZ912" i="90"/>
  <c r="AZ1029" i="90"/>
  <c r="AY1029" i="90"/>
  <c r="AS1049" i="90"/>
  <c r="AZ1308" i="90"/>
  <c r="AY1308" i="90"/>
  <c r="AM1396" i="90"/>
  <c r="AU1396" i="90" s="1"/>
  <c r="AN1396" i="90"/>
  <c r="AW1396" i="90" s="1"/>
  <c r="AO1396" i="90"/>
  <c r="AZ1045" i="90"/>
  <c r="AY1045" i="90"/>
  <c r="AY1144" i="90"/>
  <c r="AY1149" i="90"/>
  <c r="AZ1149" i="90"/>
  <c r="AS1320" i="90"/>
  <c r="AZ1362" i="90"/>
  <c r="AY1362" i="90"/>
  <c r="AY1373" i="90"/>
  <c r="AZ1373" i="90"/>
  <c r="AZ1387" i="90"/>
  <c r="AY1387" i="90"/>
  <c r="AZ1390" i="90"/>
  <c r="AY1390" i="90"/>
  <c r="AY1398" i="90"/>
  <c r="AY1406" i="90"/>
  <c r="AS1397" i="90"/>
  <c r="AY960" i="90"/>
  <c r="AZ960" i="90"/>
  <c r="AY1000" i="90"/>
  <c r="AZ1000" i="90"/>
  <c r="AY1307" i="90"/>
  <c r="AZ1307" i="90"/>
  <c r="AY1339" i="90"/>
  <c r="AZ1339" i="90"/>
  <c r="AY1365" i="90"/>
  <c r="AZ1365" i="90"/>
  <c r="AY1381" i="90"/>
  <c r="AZ1381" i="90"/>
  <c r="AY1451" i="90"/>
  <c r="AY904" i="90"/>
  <c r="AZ904" i="90"/>
  <c r="AM1284" i="90"/>
  <c r="AU1284" i="90" s="1"/>
  <c r="AN1284" i="90"/>
  <c r="AW1284" i="90" s="1"/>
  <c r="AO1284" i="90"/>
  <c r="AM1302" i="90"/>
  <c r="AU1302" i="90" s="1"/>
  <c r="AN1302" i="90"/>
  <c r="AW1302" i="90" s="1"/>
  <c r="AO1302" i="90"/>
  <c r="AS1312" i="90"/>
  <c r="AY1347" i="90"/>
  <c r="AY944" i="90"/>
  <c r="AZ944" i="90"/>
  <c r="AM1292" i="90"/>
  <c r="AU1292" i="90" s="1"/>
  <c r="AN1292" i="90"/>
  <c r="AW1292" i="90" s="1"/>
  <c r="AO1292" i="90"/>
  <c r="AS1336" i="90"/>
  <c r="AZ1363" i="90"/>
  <c r="AY1363" i="90"/>
  <c r="AZ1395" i="90"/>
  <c r="AY1395" i="90"/>
  <c r="AY1449" i="90"/>
  <c r="AY1438" i="90"/>
  <c r="AZ1438" i="90"/>
  <c r="AS1302" i="90"/>
  <c r="AY1426" i="90"/>
  <c r="AZ1426" i="90"/>
  <c r="AY1434" i="90"/>
  <c r="AZ1434" i="90"/>
  <c r="AY1458" i="90"/>
  <c r="AY1428" i="90"/>
  <c r="AZ1428" i="90"/>
  <c r="AZ1436" i="90"/>
  <c r="AY1436" i="90"/>
  <c r="AZ1444" i="90"/>
  <c r="AY1444" i="90"/>
  <c r="AY1460" i="90"/>
  <c r="AZ26" i="90"/>
  <c r="AY26" i="90"/>
  <c r="AY31" i="90"/>
  <c r="AZ31" i="90"/>
  <c r="AY92" i="90"/>
  <c r="AZ92" i="90"/>
  <c r="AW95" i="90"/>
  <c r="AW133" i="90"/>
  <c r="AN134" i="90"/>
  <c r="AW134" i="90" s="1"/>
  <c r="AO134" i="90"/>
  <c r="AM134" i="90"/>
  <c r="AU134" i="90" s="1"/>
  <c r="AN154" i="90"/>
  <c r="AW154" i="90" s="1"/>
  <c r="AO154" i="90"/>
  <c r="AM154" i="90"/>
  <c r="AU154" i="90" s="1"/>
  <c r="AW99" i="90"/>
  <c r="AY124" i="90"/>
  <c r="AZ124" i="90"/>
  <c r="AM230" i="90"/>
  <c r="AU230" i="90" s="1"/>
  <c r="AN230" i="90"/>
  <c r="AW230" i="90" s="1"/>
  <c r="AO230" i="90"/>
  <c r="AY257" i="90"/>
  <c r="AM281" i="90"/>
  <c r="AU281" i="90" s="1"/>
  <c r="AN281" i="90"/>
  <c r="AW281" i="90" s="1"/>
  <c r="AO281" i="90"/>
  <c r="AZ172" i="90"/>
  <c r="AY172" i="90"/>
  <c r="AZ178" i="90"/>
  <c r="AY178" i="90"/>
  <c r="AZ220" i="90"/>
  <c r="AY220" i="90"/>
  <c r="AY342" i="90"/>
  <c r="AZ342" i="90"/>
  <c r="AY157" i="90"/>
  <c r="AN351" i="90"/>
  <c r="AW351" i="90" s="1"/>
  <c r="AM351" i="90"/>
  <c r="AU351" i="90" s="1"/>
  <c r="AO351" i="90"/>
  <c r="AY413" i="90"/>
  <c r="AY426" i="90"/>
  <c r="AZ426" i="90"/>
  <c r="AY461" i="90"/>
  <c r="AY493" i="90"/>
  <c r="AZ493" i="90"/>
  <c r="AY521" i="90"/>
  <c r="AZ431" i="90"/>
  <c r="AY431" i="90"/>
  <c r="AY463" i="90"/>
  <c r="AZ479" i="90"/>
  <c r="AY479" i="90"/>
  <c r="AZ495" i="90"/>
  <c r="AY495" i="90"/>
  <c r="AZ511" i="90"/>
  <c r="AY511" i="90"/>
  <c r="AY393" i="90"/>
  <c r="AZ393" i="90"/>
  <c r="AY401" i="90"/>
  <c r="AZ401" i="90"/>
  <c r="AY606" i="90"/>
  <c r="AZ606" i="90"/>
  <c r="AY584" i="90"/>
  <c r="AZ584" i="90"/>
  <c r="AM593" i="90"/>
  <c r="AU593" i="90" s="1"/>
  <c r="AN593" i="90"/>
  <c r="AW593" i="90" s="1"/>
  <c r="AO593" i="90"/>
  <c r="AM625" i="90"/>
  <c r="AU625" i="90" s="1"/>
  <c r="AN625" i="90"/>
  <c r="AW625" i="90" s="1"/>
  <c r="AO625" i="90"/>
  <c r="AY648" i="90"/>
  <c r="AZ648" i="90"/>
  <c r="AY556" i="90"/>
  <c r="AZ556" i="90"/>
  <c r="AY568" i="90"/>
  <c r="AM591" i="90"/>
  <c r="AU591" i="90" s="1"/>
  <c r="AN591" i="90"/>
  <c r="AW591" i="90" s="1"/>
  <c r="AO591" i="90"/>
  <c r="AZ589" i="90"/>
  <c r="AY589" i="90"/>
  <c r="AY721" i="90"/>
  <c r="AY745" i="90"/>
  <c r="AZ745" i="90"/>
  <c r="AY793" i="90"/>
  <c r="AZ793" i="90"/>
  <c r="AZ817" i="90"/>
  <c r="AY817" i="90"/>
  <c r="AN451" i="90"/>
  <c r="AW451" i="90" s="1"/>
  <c r="AO451" i="90"/>
  <c r="AM451" i="90"/>
  <c r="AU451" i="90" s="1"/>
  <c r="AY724" i="90"/>
  <c r="AY756" i="90"/>
  <c r="AZ756" i="90"/>
  <c r="AY788" i="90"/>
  <c r="AZ788" i="90"/>
  <c r="AW1130" i="90"/>
  <c r="AY754" i="90"/>
  <c r="AZ754" i="90"/>
  <c r="AY786" i="90"/>
  <c r="AZ786" i="90"/>
  <c r="AM877" i="90"/>
  <c r="AU877" i="90" s="1"/>
  <c r="AN877" i="90"/>
  <c r="AW877" i="90" s="1"/>
  <c r="AO877" i="90"/>
  <c r="AM885" i="90"/>
  <c r="AU885" i="90" s="1"/>
  <c r="AN885" i="90"/>
  <c r="AW885" i="90" s="1"/>
  <c r="AO885" i="90"/>
  <c r="AM925" i="90"/>
  <c r="AU925" i="90" s="1"/>
  <c r="AN925" i="90"/>
  <c r="AW925" i="90" s="1"/>
  <c r="AO925" i="90"/>
  <c r="AM949" i="90"/>
  <c r="AU949" i="90" s="1"/>
  <c r="AN949" i="90"/>
  <c r="AW949" i="90" s="1"/>
  <c r="AO949" i="90"/>
  <c r="AZ629" i="90"/>
  <c r="AY629" i="90"/>
  <c r="AY712" i="90"/>
  <c r="AZ712" i="90"/>
  <c r="AY744" i="90"/>
  <c r="AZ744" i="90"/>
  <c r="AY776" i="90"/>
  <c r="AY808" i="90"/>
  <c r="AZ808" i="90"/>
  <c r="AS869" i="90"/>
  <c r="AS917" i="90"/>
  <c r="AZ1074" i="90"/>
  <c r="AY1074" i="90"/>
  <c r="AM923" i="90"/>
  <c r="AU923" i="90" s="1"/>
  <c r="AN923" i="90"/>
  <c r="AW923" i="90" s="1"/>
  <c r="AO923" i="90"/>
  <c r="AM955" i="90"/>
  <c r="AU955" i="90" s="1"/>
  <c r="AN955" i="90"/>
  <c r="AW955" i="90" s="1"/>
  <c r="AO955" i="90"/>
  <c r="AY987" i="90"/>
  <c r="AY998" i="90"/>
  <c r="AZ998" i="90"/>
  <c r="AY1030" i="90"/>
  <c r="AZ1030" i="90"/>
  <c r="AY1085" i="90"/>
  <c r="AY1169" i="90"/>
  <c r="AZ1169" i="90"/>
  <c r="AY1185" i="90"/>
  <c r="AZ1185" i="90"/>
  <c r="AY1225" i="90"/>
  <c r="AZ1225" i="90"/>
  <c r="AY1265" i="90"/>
  <c r="AZ1265" i="90"/>
  <c r="AY1273" i="90"/>
  <c r="AZ1273" i="90"/>
  <c r="AO636" i="90"/>
  <c r="AM636" i="90"/>
  <c r="AU636" i="90" s="1"/>
  <c r="AN636" i="90"/>
  <c r="AW636" i="90" s="1"/>
  <c r="AY734" i="90"/>
  <c r="AZ734" i="90"/>
  <c r="AY798" i="90"/>
  <c r="AZ798" i="90"/>
  <c r="AY876" i="90"/>
  <c r="AZ876" i="90"/>
  <c r="AY972" i="90"/>
  <c r="AZ972" i="90"/>
  <c r="AY988" i="90"/>
  <c r="AM1103" i="90"/>
  <c r="AU1103" i="90" s="1"/>
  <c r="AN1103" i="90"/>
  <c r="AW1103" i="90" s="1"/>
  <c r="AO1103" i="90"/>
  <c r="AW1154" i="90"/>
  <c r="AW1160" i="90"/>
  <c r="AW1166" i="90"/>
  <c r="AW1170" i="90"/>
  <c r="AW1176" i="90"/>
  <c r="AW1184" i="90"/>
  <c r="AW1190" i="90"/>
  <c r="AW1194" i="90"/>
  <c r="AW1200" i="90"/>
  <c r="AW1206" i="90"/>
  <c r="AW1212" i="90"/>
  <c r="AW1218" i="90"/>
  <c r="AW1224" i="90"/>
  <c r="AW1232" i="90"/>
  <c r="AW1240" i="90"/>
  <c r="AW1246" i="90"/>
  <c r="AW1250" i="90"/>
  <c r="AW1254" i="90"/>
  <c r="AW1258" i="90"/>
  <c r="AW1264" i="90"/>
  <c r="AW1270" i="90"/>
  <c r="AW1276" i="90"/>
  <c r="AM1294" i="90"/>
  <c r="AU1294" i="90" s="1"/>
  <c r="AN1294" i="90"/>
  <c r="AW1294" i="90" s="1"/>
  <c r="AO1294" i="90"/>
  <c r="AY1325" i="90"/>
  <c r="AZ1325" i="90"/>
  <c r="AM887" i="90"/>
  <c r="AU887" i="90" s="1"/>
  <c r="AN887" i="90"/>
  <c r="AW887" i="90" s="1"/>
  <c r="AO887" i="90"/>
  <c r="AM951" i="90"/>
  <c r="AU951" i="90" s="1"/>
  <c r="AN951" i="90"/>
  <c r="AW951" i="90" s="1"/>
  <c r="AO951" i="90"/>
  <c r="AZ1311" i="90"/>
  <c r="AY1311" i="90"/>
  <c r="AY1343" i="90"/>
  <c r="AZ1343" i="90"/>
  <c r="AZ1383" i="90"/>
  <c r="AY1383" i="90"/>
  <c r="AM1055" i="90"/>
  <c r="AU1055" i="90" s="1"/>
  <c r="AN1055" i="90"/>
  <c r="AW1055" i="90" s="1"/>
  <c r="AO1055" i="90"/>
  <c r="AZ1109" i="90"/>
  <c r="AY1109" i="90"/>
  <c r="AM1413" i="90"/>
  <c r="AU1413" i="90" s="1"/>
  <c r="AN1413" i="90"/>
  <c r="AW1413" i="90" s="1"/>
  <c r="AO1413" i="90"/>
  <c r="AY1016" i="90"/>
  <c r="AZ1016" i="90"/>
  <c r="AM1368" i="90"/>
  <c r="AU1368" i="90" s="1"/>
  <c r="AN1368" i="90"/>
  <c r="AW1368" i="90" s="1"/>
  <c r="AO1368" i="90"/>
  <c r="AN1456" i="90"/>
  <c r="AW1456" i="90" s="1"/>
  <c r="AO1456" i="90"/>
  <c r="AM1456" i="90"/>
  <c r="AU1456" i="90" s="1"/>
  <c r="AY718" i="90"/>
  <c r="AZ718" i="90"/>
  <c r="AY1429" i="90"/>
  <c r="AZ1429" i="90"/>
  <c r="AY1024" i="90"/>
  <c r="AZ1024" i="90"/>
  <c r="AO1281" i="90"/>
  <c r="AM1281" i="90"/>
  <c r="AU1281" i="90" s="1"/>
  <c r="AN1281" i="90"/>
  <c r="AW1281" i="90" s="1"/>
  <c r="AY33" i="90"/>
  <c r="AZ33" i="90"/>
  <c r="AY1402" i="90"/>
  <c r="AY1415" i="90"/>
  <c r="AZ1415" i="90"/>
  <c r="AY1454" i="90"/>
  <c r="AY1442" i="90"/>
  <c r="AZ1442" i="90"/>
  <c r="AW44" i="90"/>
  <c r="AY7" i="90"/>
  <c r="AZ7" i="90"/>
  <c r="AM59" i="90"/>
  <c r="AU59" i="90" s="1"/>
  <c r="AN59" i="90"/>
  <c r="AW59" i="90" s="1"/>
  <c r="AO59" i="90"/>
  <c r="AY78" i="90"/>
  <c r="AZ78" i="90"/>
  <c r="AY102" i="90"/>
  <c r="AM53" i="90"/>
  <c r="AU53" i="90" s="1"/>
  <c r="AN53" i="90"/>
  <c r="AW53" i="90" s="1"/>
  <c r="AO53" i="90"/>
  <c r="AY70" i="90"/>
  <c r="AZ70" i="90"/>
  <c r="AY64" i="90"/>
  <c r="AZ64" i="90"/>
  <c r="AM69" i="90"/>
  <c r="AU69" i="90" s="1"/>
  <c r="AN69" i="90"/>
  <c r="AW69" i="90" s="1"/>
  <c r="AO69" i="90"/>
  <c r="AS67" i="90"/>
  <c r="AZ140" i="90"/>
  <c r="AY140" i="90"/>
  <c r="AN142" i="90"/>
  <c r="AW142" i="90" s="1"/>
  <c r="AO142" i="90"/>
  <c r="AM142" i="90"/>
  <c r="AU142" i="90" s="1"/>
  <c r="AY195" i="90"/>
  <c r="AZ195" i="90"/>
  <c r="AW119" i="90"/>
  <c r="AY189" i="90"/>
  <c r="AZ189" i="90"/>
  <c r="AY211" i="90"/>
  <c r="AW252" i="90"/>
  <c r="AM289" i="90"/>
  <c r="AU289" i="90" s="1"/>
  <c r="AN289" i="90"/>
  <c r="AW289" i="90" s="1"/>
  <c r="AO289" i="90"/>
  <c r="AY164" i="90"/>
  <c r="AZ164" i="90"/>
  <c r="AZ180" i="90"/>
  <c r="AY180" i="90"/>
  <c r="AY17" i="90"/>
  <c r="AZ17" i="90"/>
  <c r="AM12" i="90"/>
  <c r="AU12" i="90" s="1"/>
  <c r="AN12" i="90"/>
  <c r="AW12" i="90" s="1"/>
  <c r="AO12" i="90"/>
  <c r="AY27" i="90"/>
  <c r="AZ27" i="90"/>
  <c r="AZ21" i="90"/>
  <c r="AY21" i="90"/>
  <c r="AS15" i="90"/>
  <c r="AM10" i="90"/>
  <c r="AU10" i="90" s="1"/>
  <c r="AN10" i="90"/>
  <c r="AW10" i="90" s="1"/>
  <c r="AO10" i="90"/>
  <c r="AY39" i="90"/>
  <c r="AZ39" i="90"/>
  <c r="AM57" i="90"/>
  <c r="AU57" i="90" s="1"/>
  <c r="AN57" i="90"/>
  <c r="AW57" i="90" s="1"/>
  <c r="AO57" i="90"/>
  <c r="AZ42" i="90"/>
  <c r="AY42" i="90"/>
  <c r="AZ32" i="90"/>
  <c r="AY32" i="90"/>
  <c r="AY43" i="90"/>
  <c r="AZ43" i="90"/>
  <c r="AM50" i="90"/>
  <c r="AU50" i="90" s="1"/>
  <c r="AO50" i="90"/>
  <c r="AN50" i="90"/>
  <c r="AW50" i="90" s="1"/>
  <c r="AS57" i="90"/>
  <c r="AY62" i="90"/>
  <c r="AZ62" i="90"/>
  <c r="AY82" i="90"/>
  <c r="AZ82" i="90"/>
  <c r="AY90" i="90"/>
  <c r="AZ90" i="90"/>
  <c r="AY98" i="90"/>
  <c r="AY106" i="90"/>
  <c r="AO23" i="90"/>
  <c r="AN23" i="90"/>
  <c r="AW23" i="90" s="1"/>
  <c r="AM23" i="90"/>
  <c r="AU23" i="90" s="1"/>
  <c r="AY68" i="90"/>
  <c r="AZ68" i="90"/>
  <c r="AZ72" i="90"/>
  <c r="AY72" i="90"/>
  <c r="AS65" i="90"/>
  <c r="AZ75" i="90"/>
  <c r="AY75" i="90"/>
  <c r="AS71" i="90"/>
  <c r="AO74" i="90"/>
  <c r="AM74" i="90"/>
  <c r="AU74" i="90" s="1"/>
  <c r="AN74" i="90"/>
  <c r="AW74" i="90" s="1"/>
  <c r="AW137" i="90"/>
  <c r="AY114" i="90"/>
  <c r="AZ114" i="90"/>
  <c r="AY145" i="90"/>
  <c r="AZ145" i="90"/>
  <c r="AY161" i="90"/>
  <c r="AZ161" i="90"/>
  <c r="AN117" i="90"/>
  <c r="AW117" i="90" s="1"/>
  <c r="AM117" i="90"/>
  <c r="AU117" i="90" s="1"/>
  <c r="AO117" i="90"/>
  <c r="AS134" i="90"/>
  <c r="AW160" i="90"/>
  <c r="AW165" i="90"/>
  <c r="AY205" i="90"/>
  <c r="AY221" i="90"/>
  <c r="AZ221" i="90"/>
  <c r="AY237" i="90"/>
  <c r="AZ237" i="90"/>
  <c r="AZ231" i="90"/>
  <c r="AY231" i="90"/>
  <c r="AY113" i="90"/>
  <c r="AZ113" i="90"/>
  <c r="AY187" i="90"/>
  <c r="AZ187" i="90"/>
  <c r="AM214" i="90"/>
  <c r="AU214" i="90" s="1"/>
  <c r="AN214" i="90"/>
  <c r="AW214" i="90" s="1"/>
  <c r="AO214" i="90"/>
  <c r="AY241" i="90"/>
  <c r="AZ241" i="90"/>
  <c r="AY181" i="90"/>
  <c r="AZ181" i="90"/>
  <c r="AY197" i="90"/>
  <c r="AZ197" i="90"/>
  <c r="AO225" i="90"/>
  <c r="AN225" i="90"/>
  <c r="AW225" i="90" s="1"/>
  <c r="AM225" i="90"/>
  <c r="AU225" i="90" s="1"/>
  <c r="AY227" i="90"/>
  <c r="AZ227" i="90"/>
  <c r="AM174" i="90"/>
  <c r="AU174" i="90" s="1"/>
  <c r="AN174" i="90"/>
  <c r="AW174" i="90" s="1"/>
  <c r="AO174" i="90"/>
  <c r="AM190" i="90"/>
  <c r="AU190" i="90" s="1"/>
  <c r="AN190" i="90"/>
  <c r="AW190" i="90" s="1"/>
  <c r="AO190" i="90"/>
  <c r="AY239" i="90"/>
  <c r="AZ239" i="90"/>
  <c r="AS242" i="90"/>
  <c r="AY252" i="90"/>
  <c r="AZ252" i="90"/>
  <c r="AS291" i="90"/>
  <c r="AM305" i="90"/>
  <c r="AU305" i="90" s="1"/>
  <c r="AN305" i="90"/>
  <c r="AW305" i="90" s="1"/>
  <c r="AO305" i="90"/>
  <c r="AZ162" i="90"/>
  <c r="AY162" i="90"/>
  <c r="AY177" i="90"/>
  <c r="AZ177" i="90"/>
  <c r="AZ188" i="90"/>
  <c r="AY188" i="90"/>
  <c r="AY193" i="90"/>
  <c r="AZ193" i="90"/>
  <c r="AO201" i="90"/>
  <c r="AN201" i="90"/>
  <c r="AW201" i="90" s="1"/>
  <c r="AM201" i="90"/>
  <c r="AU201" i="90" s="1"/>
  <c r="AO217" i="90"/>
  <c r="AN217" i="90"/>
  <c r="AW217" i="90" s="1"/>
  <c r="AM217" i="90"/>
  <c r="AU217" i="90" s="1"/>
  <c r="AO233" i="90"/>
  <c r="AN233" i="90"/>
  <c r="AW233" i="90" s="1"/>
  <c r="AM233" i="90"/>
  <c r="AU233" i="90" s="1"/>
  <c r="AY260" i="90"/>
  <c r="AY265" i="90"/>
  <c r="AZ265" i="90"/>
  <c r="AN278" i="90"/>
  <c r="AW278" i="90" s="1"/>
  <c r="AO278" i="90"/>
  <c r="AM278" i="90"/>
  <c r="AU278" i="90" s="1"/>
  <c r="AM307" i="90"/>
  <c r="AU307" i="90" s="1"/>
  <c r="AN307" i="90"/>
  <c r="AW307" i="90" s="1"/>
  <c r="AO307" i="90"/>
  <c r="AY336" i="90"/>
  <c r="AZ336" i="90"/>
  <c r="AM206" i="90"/>
  <c r="AU206" i="90" s="1"/>
  <c r="AN206" i="90"/>
  <c r="AW206" i="90" s="1"/>
  <c r="AO206" i="90"/>
  <c r="AM222" i="90"/>
  <c r="AU222" i="90" s="1"/>
  <c r="AN222" i="90"/>
  <c r="AW222" i="90" s="1"/>
  <c r="AO222" i="90"/>
  <c r="AW268" i="90"/>
  <c r="AM293" i="90"/>
  <c r="AU293" i="90" s="1"/>
  <c r="AN293" i="90"/>
  <c r="AW293" i="90" s="1"/>
  <c r="AO293" i="90"/>
  <c r="AZ303" i="90"/>
  <c r="AY303" i="90"/>
  <c r="AN335" i="90"/>
  <c r="AW335" i="90" s="1"/>
  <c r="AM335" i="90"/>
  <c r="AU335" i="90" s="1"/>
  <c r="AO335" i="90"/>
  <c r="AS351" i="90"/>
  <c r="AS214" i="90"/>
  <c r="AM317" i="90"/>
  <c r="AU317" i="90" s="1"/>
  <c r="AN317" i="90"/>
  <c r="AW317" i="90" s="1"/>
  <c r="AO317" i="90"/>
  <c r="AY404" i="90"/>
  <c r="AZ404" i="90"/>
  <c r="AW406" i="90"/>
  <c r="AY420" i="90"/>
  <c r="AW422" i="90"/>
  <c r="AY436" i="90"/>
  <c r="AZ436" i="90"/>
  <c r="AW438" i="90"/>
  <c r="AY452" i="90"/>
  <c r="AZ452" i="90"/>
  <c r="AW454" i="90"/>
  <c r="AY468" i="90"/>
  <c r="AW470" i="90"/>
  <c r="AY484" i="90"/>
  <c r="AZ484" i="90"/>
  <c r="AW486" i="90"/>
  <c r="AY500" i="90"/>
  <c r="AZ500" i="90"/>
  <c r="AW502" i="90"/>
  <c r="AY516" i="90"/>
  <c r="AW518" i="90"/>
  <c r="AW520" i="90"/>
  <c r="AW522" i="90"/>
  <c r="AS125" i="90"/>
  <c r="AZ192" i="90"/>
  <c r="AY192" i="90"/>
  <c r="AS206" i="90"/>
  <c r="AN343" i="90"/>
  <c r="AW343" i="90" s="1"/>
  <c r="AM343" i="90"/>
  <c r="AU343" i="90" s="1"/>
  <c r="AO343" i="90"/>
  <c r="AY355" i="90"/>
  <c r="AZ355" i="90"/>
  <c r="AY363" i="90"/>
  <c r="AY371" i="90"/>
  <c r="AZ371" i="90"/>
  <c r="AY379" i="90"/>
  <c r="AZ379" i="90"/>
  <c r="AY387" i="90"/>
  <c r="AZ387" i="90"/>
  <c r="AY395" i="90"/>
  <c r="AZ395" i="90"/>
  <c r="AY414" i="90"/>
  <c r="AY417" i="90"/>
  <c r="AY446" i="90"/>
  <c r="AZ446" i="90"/>
  <c r="AY449" i="90"/>
  <c r="AZ449" i="90"/>
  <c r="AY478" i="90"/>
  <c r="AZ478" i="90"/>
  <c r="AY481" i="90"/>
  <c r="AZ481" i="90"/>
  <c r="AY510" i="90"/>
  <c r="AZ510" i="90"/>
  <c r="AY513" i="90"/>
  <c r="AY523" i="90"/>
  <c r="AY531" i="90"/>
  <c r="AZ531" i="90"/>
  <c r="AY539" i="90"/>
  <c r="AZ539" i="90"/>
  <c r="AY582" i="90"/>
  <c r="AZ582" i="90"/>
  <c r="AY614" i="90"/>
  <c r="AZ614" i="90"/>
  <c r="AY646" i="90"/>
  <c r="AZ646" i="90"/>
  <c r="AN262" i="90"/>
  <c r="AW262" i="90" s="1"/>
  <c r="AO262" i="90"/>
  <c r="AM262" i="90"/>
  <c r="AU262" i="90" s="1"/>
  <c r="AS276" i="90"/>
  <c r="AN403" i="90"/>
  <c r="AW403" i="90" s="1"/>
  <c r="AO403" i="90"/>
  <c r="AM403" i="90"/>
  <c r="AU403" i="90" s="1"/>
  <c r="AN435" i="90"/>
  <c r="AW435" i="90" s="1"/>
  <c r="AO435" i="90"/>
  <c r="AM435" i="90"/>
  <c r="AU435" i="90" s="1"/>
  <c r="AN467" i="90"/>
  <c r="AW467" i="90" s="1"/>
  <c r="AO467" i="90"/>
  <c r="AM467" i="90"/>
  <c r="AU467" i="90" s="1"/>
  <c r="AN499" i="90"/>
  <c r="AW499" i="90" s="1"/>
  <c r="AO499" i="90"/>
  <c r="AM499" i="90"/>
  <c r="AU499" i="90" s="1"/>
  <c r="AY592" i="90"/>
  <c r="AZ592" i="90"/>
  <c r="AM601" i="90"/>
  <c r="AU601" i="90" s="1"/>
  <c r="AN601" i="90"/>
  <c r="AW601" i="90" s="1"/>
  <c r="AO601" i="90"/>
  <c r="AY624" i="90"/>
  <c r="AM633" i="90"/>
  <c r="AU633" i="90" s="1"/>
  <c r="AN633" i="90"/>
  <c r="AW633" i="90" s="1"/>
  <c r="AO633" i="90"/>
  <c r="AS411" i="90"/>
  <c r="AS475" i="90"/>
  <c r="AW523" i="90"/>
  <c r="AY536" i="90"/>
  <c r="AZ536" i="90"/>
  <c r="AW539" i="90"/>
  <c r="AZ586" i="90"/>
  <c r="AY586" i="90"/>
  <c r="AY618" i="90"/>
  <c r="AZ650" i="90"/>
  <c r="AY650" i="90"/>
  <c r="AY408" i="90"/>
  <c r="AZ408" i="90"/>
  <c r="AN419" i="90"/>
  <c r="AW419" i="90" s="1"/>
  <c r="AO419" i="90"/>
  <c r="AM419" i="90"/>
  <c r="AU419" i="90" s="1"/>
  <c r="AM555" i="90"/>
  <c r="AU555" i="90" s="1"/>
  <c r="AN555" i="90"/>
  <c r="AW555" i="90" s="1"/>
  <c r="AO555" i="90"/>
  <c r="AS580" i="90"/>
  <c r="AM583" i="90"/>
  <c r="AU583" i="90" s="1"/>
  <c r="AN583" i="90"/>
  <c r="AW583" i="90" s="1"/>
  <c r="AO583" i="90"/>
  <c r="AS615" i="90"/>
  <c r="AZ637" i="90"/>
  <c r="AY637" i="90"/>
  <c r="AY667" i="90"/>
  <c r="AZ667" i="90"/>
  <c r="AW678" i="90"/>
  <c r="AY682" i="90"/>
  <c r="AZ682" i="90"/>
  <c r="AY699" i="90"/>
  <c r="AZ699" i="90"/>
  <c r="AY845" i="90"/>
  <c r="AZ845" i="90"/>
  <c r="AM569" i="90"/>
  <c r="AU569" i="90" s="1"/>
  <c r="AN569" i="90"/>
  <c r="AW569" i="90" s="1"/>
  <c r="AO569" i="90"/>
  <c r="AZ581" i="90"/>
  <c r="AY581" i="90"/>
  <c r="AS591" i="90"/>
  <c r="AZ613" i="90"/>
  <c r="AY613" i="90"/>
  <c r="AS649" i="90"/>
  <c r="AY823" i="90"/>
  <c r="AZ823" i="90"/>
  <c r="AY839" i="90"/>
  <c r="AZ839" i="90"/>
  <c r="AY855" i="90"/>
  <c r="AZ855" i="90"/>
  <c r="AY311" i="90"/>
  <c r="AY472" i="90"/>
  <c r="AN483" i="90"/>
  <c r="AW483" i="90" s="1"/>
  <c r="AO483" i="90"/>
  <c r="AM483" i="90"/>
  <c r="AU483" i="90" s="1"/>
  <c r="AY537" i="90"/>
  <c r="AZ537" i="90"/>
  <c r="AS551" i="90"/>
  <c r="AS593" i="90"/>
  <c r="AO596" i="90"/>
  <c r="AM596" i="90"/>
  <c r="AU596" i="90" s="1"/>
  <c r="AN596" i="90"/>
  <c r="AW596" i="90" s="1"/>
  <c r="AS625" i="90"/>
  <c r="AO628" i="90"/>
  <c r="AM628" i="90"/>
  <c r="AU628" i="90" s="1"/>
  <c r="AN628" i="90"/>
  <c r="AW628" i="90" s="1"/>
  <c r="AY663" i="90"/>
  <c r="AZ663" i="90"/>
  <c r="AW674" i="90"/>
  <c r="AY695" i="90"/>
  <c r="AZ695" i="90"/>
  <c r="AY707" i="90"/>
  <c r="AZ707" i="90"/>
  <c r="AY715" i="90"/>
  <c r="AZ715" i="90"/>
  <c r="AY723" i="90"/>
  <c r="AY731" i="90"/>
  <c r="AY739" i="90"/>
  <c r="AZ739" i="90"/>
  <c r="AY747" i="90"/>
  <c r="AZ747" i="90"/>
  <c r="AY755" i="90"/>
  <c r="AZ755" i="90"/>
  <c r="AY763" i="90"/>
  <c r="AZ763" i="90"/>
  <c r="AY771" i="90"/>
  <c r="AZ771" i="90"/>
  <c r="AY779" i="90"/>
  <c r="AY787" i="90"/>
  <c r="AZ787" i="90"/>
  <c r="AY795" i="90"/>
  <c r="AZ795" i="90"/>
  <c r="AY803" i="90"/>
  <c r="AZ803" i="90"/>
  <c r="AY811" i="90"/>
  <c r="AZ811" i="90"/>
  <c r="AZ841" i="90"/>
  <c r="AY841" i="90"/>
  <c r="AS451" i="90"/>
  <c r="AM565" i="90"/>
  <c r="AU565" i="90" s="1"/>
  <c r="AN565" i="90"/>
  <c r="AW565" i="90" s="1"/>
  <c r="AO565" i="90"/>
  <c r="AY716" i="90"/>
  <c r="AZ716" i="90"/>
  <c r="AY748" i="90"/>
  <c r="AZ748" i="90"/>
  <c r="AY780" i="90"/>
  <c r="AY812" i="90"/>
  <c r="AZ812" i="90"/>
  <c r="AO819" i="90"/>
  <c r="AM819" i="90"/>
  <c r="AU819" i="90" s="1"/>
  <c r="AN819" i="90"/>
  <c r="AW819" i="90" s="1"/>
  <c r="AW1047" i="90"/>
  <c r="AY1062" i="90"/>
  <c r="AZ1062" i="90"/>
  <c r="AY1094" i="90"/>
  <c r="AY1126" i="90"/>
  <c r="AZ1126" i="90"/>
  <c r="AM573" i="90"/>
  <c r="AU573" i="90" s="1"/>
  <c r="AN573" i="90"/>
  <c r="AW573" i="90" s="1"/>
  <c r="AO573" i="90"/>
  <c r="AY714" i="90"/>
  <c r="AZ714" i="90"/>
  <c r="AY746" i="90"/>
  <c r="AZ746" i="90"/>
  <c r="AY778" i="90"/>
  <c r="AY810" i="90"/>
  <c r="AZ810" i="90"/>
  <c r="AS846" i="90"/>
  <c r="AY858" i="90"/>
  <c r="AZ858" i="90"/>
  <c r="AY866" i="90"/>
  <c r="AZ866" i="90"/>
  <c r="AY874" i="90"/>
  <c r="AZ874" i="90"/>
  <c r="AY882" i="90"/>
  <c r="AY890" i="90"/>
  <c r="AZ890" i="90"/>
  <c r="AY898" i="90"/>
  <c r="AZ898" i="90"/>
  <c r="AY906" i="90"/>
  <c r="AZ906" i="90"/>
  <c r="AY914" i="90"/>
  <c r="AZ914" i="90"/>
  <c r="AY922" i="90"/>
  <c r="AZ922" i="90"/>
  <c r="AY930" i="90"/>
  <c r="AY938" i="90"/>
  <c r="AY946" i="90"/>
  <c r="AZ946" i="90"/>
  <c r="AY954" i="90"/>
  <c r="AZ954" i="90"/>
  <c r="AY962" i="90"/>
  <c r="AZ962" i="90"/>
  <c r="AY970" i="90"/>
  <c r="AZ970" i="90"/>
  <c r="AY978" i="90"/>
  <c r="AZ978" i="90"/>
  <c r="AY1048" i="90"/>
  <c r="AZ1048" i="90"/>
  <c r="AM1057" i="90"/>
  <c r="AU1057" i="90" s="1"/>
  <c r="AN1057" i="90"/>
  <c r="AW1057" i="90" s="1"/>
  <c r="AO1057" i="90"/>
  <c r="AY1080" i="90"/>
  <c r="AZ1080" i="90"/>
  <c r="AM1089" i="90"/>
  <c r="AU1089" i="90" s="1"/>
  <c r="AN1089" i="90"/>
  <c r="AW1089" i="90" s="1"/>
  <c r="AO1089" i="90"/>
  <c r="AY1112" i="90"/>
  <c r="AZ1112" i="90"/>
  <c r="AM1121" i="90"/>
  <c r="AU1121" i="90" s="1"/>
  <c r="AN1121" i="90"/>
  <c r="AW1121" i="90" s="1"/>
  <c r="AO1121" i="90"/>
  <c r="AS549" i="90"/>
  <c r="AZ597" i="90"/>
  <c r="AY597" i="90"/>
  <c r="AY704" i="90"/>
  <c r="AZ704" i="90"/>
  <c r="AY736" i="90"/>
  <c r="AZ736" i="90"/>
  <c r="AY768" i="90"/>
  <c r="AZ768" i="90"/>
  <c r="AY800" i="90"/>
  <c r="AZ800" i="90"/>
  <c r="AS854" i="90"/>
  <c r="AS865" i="90"/>
  <c r="AS881" i="90"/>
  <c r="AS897" i="90"/>
  <c r="AS913" i="90"/>
  <c r="AS929" i="90"/>
  <c r="AS945" i="90"/>
  <c r="AS961" i="90"/>
  <c r="AS977" i="90"/>
  <c r="AZ1066" i="90"/>
  <c r="AY1066" i="90"/>
  <c r="AZ1098" i="90"/>
  <c r="AY1098" i="90"/>
  <c r="AS601" i="90"/>
  <c r="AY742" i="90"/>
  <c r="AZ742" i="90"/>
  <c r="AY806" i="90"/>
  <c r="AZ806" i="90"/>
  <c r="AS923" i="90"/>
  <c r="AM931" i="90"/>
  <c r="AU931" i="90" s="1"/>
  <c r="AN931" i="90"/>
  <c r="AW931" i="90" s="1"/>
  <c r="AO931" i="90"/>
  <c r="AS955" i="90"/>
  <c r="AM963" i="90"/>
  <c r="AU963" i="90" s="1"/>
  <c r="AN963" i="90"/>
  <c r="AW963" i="90" s="1"/>
  <c r="AO963" i="90"/>
  <c r="AZ995" i="90"/>
  <c r="AY995" i="90"/>
  <c r="AY1006" i="90"/>
  <c r="AZ1006" i="90"/>
  <c r="AZ1027" i="90"/>
  <c r="AY1027" i="90"/>
  <c r="AY1038" i="90"/>
  <c r="AS1057" i="90"/>
  <c r="AO1060" i="90"/>
  <c r="AM1060" i="90"/>
  <c r="AU1060" i="90" s="1"/>
  <c r="AN1060" i="90"/>
  <c r="AW1060" i="90" s="1"/>
  <c r="AS1089" i="90"/>
  <c r="AO1092" i="90"/>
  <c r="AM1092" i="90"/>
  <c r="AU1092" i="90" s="1"/>
  <c r="AN1092" i="90"/>
  <c r="AW1092" i="90" s="1"/>
  <c r="AS1121" i="90"/>
  <c r="AO1124" i="90"/>
  <c r="AM1124" i="90"/>
  <c r="AU1124" i="90" s="1"/>
  <c r="AN1124" i="90"/>
  <c r="AW1124" i="90" s="1"/>
  <c r="AY1155" i="90"/>
  <c r="AZ1155" i="90"/>
  <c r="AY1163" i="90"/>
  <c r="AZ1163" i="90"/>
  <c r="AY1171" i="90"/>
  <c r="AZ1171" i="90"/>
  <c r="AY1179" i="90"/>
  <c r="AZ1179" i="90"/>
  <c r="AY1187" i="90"/>
  <c r="AZ1187" i="90"/>
  <c r="AY1195" i="90"/>
  <c r="AY1203" i="90"/>
  <c r="AZ1203" i="90"/>
  <c r="AY1211" i="90"/>
  <c r="AZ1211" i="90"/>
  <c r="AY1219" i="90"/>
  <c r="AZ1219" i="90"/>
  <c r="AY1227" i="90"/>
  <c r="AZ1227" i="90"/>
  <c r="AY1235" i="90"/>
  <c r="AZ1235" i="90"/>
  <c r="AY1243" i="90"/>
  <c r="AY1251" i="90"/>
  <c r="AY1259" i="90"/>
  <c r="AZ1259" i="90"/>
  <c r="AY1267" i="90"/>
  <c r="AZ1267" i="90"/>
  <c r="AY1275" i="90"/>
  <c r="AZ1275" i="90"/>
  <c r="AY1291" i="90"/>
  <c r="AZ1291" i="90"/>
  <c r="AS557" i="90"/>
  <c r="AS636" i="90"/>
  <c r="AS830" i="90"/>
  <c r="AY868" i="90"/>
  <c r="AZ868" i="90"/>
  <c r="AY900" i="90"/>
  <c r="AZ900" i="90"/>
  <c r="AY932" i="90"/>
  <c r="AY964" i="90"/>
  <c r="AZ964" i="90"/>
  <c r="AY985" i="90"/>
  <c r="AY996" i="90"/>
  <c r="AZ996" i="90"/>
  <c r="AZ1017" i="90"/>
  <c r="AY1017" i="90"/>
  <c r="AY1028" i="90"/>
  <c r="AZ1028" i="90"/>
  <c r="AZ1061" i="90"/>
  <c r="AY1061" i="90"/>
  <c r="AS1071" i="90"/>
  <c r="AY1093" i="90"/>
  <c r="AS1103" i="90"/>
  <c r="AZ1125" i="90"/>
  <c r="AY1125" i="90"/>
  <c r="AY1293" i="90"/>
  <c r="AY726" i="90"/>
  <c r="AY790" i="90"/>
  <c r="AZ790" i="90"/>
  <c r="AM863" i="90"/>
  <c r="AU863" i="90" s="1"/>
  <c r="AN863" i="90"/>
  <c r="AW863" i="90" s="1"/>
  <c r="AO863" i="90"/>
  <c r="AS887" i="90"/>
  <c r="AM895" i="90"/>
  <c r="AU895" i="90" s="1"/>
  <c r="AN895" i="90"/>
  <c r="AW895" i="90" s="1"/>
  <c r="AO895" i="90"/>
  <c r="AS919" i="90"/>
  <c r="AM927" i="90"/>
  <c r="AU927" i="90" s="1"/>
  <c r="AN927" i="90"/>
  <c r="AW927" i="90" s="1"/>
  <c r="AO927" i="90"/>
  <c r="AS951" i="90"/>
  <c r="AM959" i="90"/>
  <c r="AU959" i="90" s="1"/>
  <c r="AN959" i="90"/>
  <c r="AW959" i="90" s="1"/>
  <c r="AO959" i="90"/>
  <c r="AS983" i="90"/>
  <c r="AY986" i="90"/>
  <c r="AZ1007" i="90"/>
  <c r="AY1007" i="90"/>
  <c r="AY1018" i="90"/>
  <c r="AZ1018" i="90"/>
  <c r="AY1039" i="90"/>
  <c r="AM1079" i="90"/>
  <c r="AU1079" i="90" s="1"/>
  <c r="AN1079" i="90"/>
  <c r="AW1079" i="90" s="1"/>
  <c r="AO1079" i="90"/>
  <c r="AM1111" i="90"/>
  <c r="AU1111" i="90" s="1"/>
  <c r="AN1111" i="90"/>
  <c r="AW1111" i="90" s="1"/>
  <c r="AO1111" i="90"/>
  <c r="AW1138" i="90"/>
  <c r="AY1142" i="90"/>
  <c r="AY1319" i="90"/>
  <c r="AZ1319" i="90"/>
  <c r="AM1328" i="90"/>
  <c r="AU1328" i="90" s="1"/>
  <c r="AN1328" i="90"/>
  <c r="AW1328" i="90" s="1"/>
  <c r="AO1328" i="90"/>
  <c r="AY1351" i="90"/>
  <c r="AY1037" i="90"/>
  <c r="AS1055" i="90"/>
  <c r="AZ1282" i="90"/>
  <c r="AY1282" i="90"/>
  <c r="AS1297" i="90"/>
  <c r="AM1300" i="90"/>
  <c r="AU1300" i="90" s="1"/>
  <c r="AN1300" i="90"/>
  <c r="AW1300" i="90" s="1"/>
  <c r="AO1300" i="90"/>
  <c r="AM1318" i="90"/>
  <c r="AU1318" i="90" s="1"/>
  <c r="AN1318" i="90"/>
  <c r="AW1318" i="90" s="1"/>
  <c r="AO1318" i="90"/>
  <c r="AZ1322" i="90"/>
  <c r="AY1322" i="90"/>
  <c r="AM1350" i="90"/>
  <c r="AU1350" i="90" s="1"/>
  <c r="AN1350" i="90"/>
  <c r="AW1350" i="90" s="1"/>
  <c r="AO1350" i="90"/>
  <c r="AY1354" i="90"/>
  <c r="AY1403" i="90"/>
  <c r="AY1412" i="90"/>
  <c r="AZ1412" i="90"/>
  <c r="AY1136" i="90"/>
  <c r="AZ1136" i="90"/>
  <c r="AS1329" i="90"/>
  <c r="AY1435" i="90"/>
  <c r="AZ1435" i="90"/>
  <c r="AY896" i="90"/>
  <c r="AZ896" i="90"/>
  <c r="AY936" i="90"/>
  <c r="AY968" i="90"/>
  <c r="AZ968" i="90"/>
  <c r="AZ1013" i="90"/>
  <c r="AY1013" i="90"/>
  <c r="AM1087" i="90"/>
  <c r="AU1087" i="90" s="1"/>
  <c r="AN1087" i="90"/>
  <c r="AW1087" i="90" s="1"/>
  <c r="AO1087" i="90"/>
  <c r="AS1116" i="90"/>
  <c r="AY1133" i="90"/>
  <c r="AZ1133" i="90"/>
  <c r="AZ1290" i="90"/>
  <c r="AY1290" i="90"/>
  <c r="AO1313" i="90"/>
  <c r="AN1313" i="90"/>
  <c r="AW1313" i="90" s="1"/>
  <c r="AM1313" i="90"/>
  <c r="AU1313" i="90" s="1"/>
  <c r="AY1323" i="90"/>
  <c r="AZ1323" i="90"/>
  <c r="AO1345" i="90"/>
  <c r="AN1345" i="90"/>
  <c r="AW1345" i="90" s="1"/>
  <c r="AM1345" i="90"/>
  <c r="AU1345" i="90" s="1"/>
  <c r="AZ1371" i="90"/>
  <c r="AY1371" i="90"/>
  <c r="AZ1374" i="90"/>
  <c r="AY1374" i="90"/>
  <c r="AZ1378" i="90"/>
  <c r="AY1378" i="90"/>
  <c r="AM1384" i="90"/>
  <c r="AU1384" i="90" s="1"/>
  <c r="AN1384" i="90"/>
  <c r="AW1384" i="90" s="1"/>
  <c r="AO1384" i="90"/>
  <c r="AZ1394" i="90"/>
  <c r="AY1394" i="90"/>
  <c r="AM1399" i="90"/>
  <c r="AU1399" i="90" s="1"/>
  <c r="AN1399" i="90"/>
  <c r="AW1399" i="90" s="1"/>
  <c r="AO1399" i="90"/>
  <c r="AM1407" i="90"/>
  <c r="AU1407" i="90" s="1"/>
  <c r="AN1407" i="90"/>
  <c r="AW1407" i="90" s="1"/>
  <c r="AO1407" i="90"/>
  <c r="AN1440" i="90"/>
  <c r="AW1440" i="90" s="1"/>
  <c r="AM1440" i="90"/>
  <c r="AU1440" i="90" s="1"/>
  <c r="AO1440" i="90"/>
  <c r="AY1408" i="90"/>
  <c r="AS1413" i="90"/>
  <c r="AM1380" i="90"/>
  <c r="AU1380" i="90" s="1"/>
  <c r="AN1380" i="90"/>
  <c r="AW1380" i="90" s="1"/>
  <c r="AO1380" i="90"/>
  <c r="AM1392" i="90"/>
  <c r="AU1392" i="90" s="1"/>
  <c r="AN1392" i="90"/>
  <c r="AW1392" i="90" s="1"/>
  <c r="AO1392" i="90"/>
  <c r="AY1410" i="90"/>
  <c r="AZ1410" i="90"/>
  <c r="AY1427" i="90"/>
  <c r="AZ1427" i="90"/>
  <c r="AY677" i="90"/>
  <c r="AZ1021" i="90"/>
  <c r="AY1021" i="90"/>
  <c r="AS1119" i="90"/>
  <c r="AS1281" i="90"/>
  <c r="AY1298" i="90"/>
  <c r="AY1315" i="90"/>
  <c r="AZ1315" i="90"/>
  <c r="AS1324" i="90"/>
  <c r="AS1337" i="90"/>
  <c r="AO1361" i="90"/>
  <c r="AN1361" i="90"/>
  <c r="AW1361" i="90" s="1"/>
  <c r="AM1361" i="90"/>
  <c r="AU1361" i="90" s="1"/>
  <c r="AS1377" i="90"/>
  <c r="AW1417" i="90"/>
  <c r="AZ18" i="90"/>
  <c r="AY18" i="90"/>
  <c r="AZ30" i="90"/>
  <c r="AY30" i="90"/>
  <c r="AS1289" i="90"/>
  <c r="AM1326" i="90"/>
  <c r="AU1326" i="90" s="1"/>
  <c r="AN1326" i="90"/>
  <c r="AW1326" i="90" s="1"/>
  <c r="AO1326" i="90"/>
  <c r="AZ1366" i="90"/>
  <c r="AY1366" i="90"/>
  <c r="AM1382" i="90"/>
  <c r="AU1382" i="90" s="1"/>
  <c r="AO1382" i="90"/>
  <c r="AN1382" i="90"/>
  <c r="AW1382" i="90" s="1"/>
  <c r="AY1425" i="90"/>
  <c r="AZ1425" i="90"/>
  <c r="AY1441" i="90"/>
  <c r="AZ1441" i="90"/>
  <c r="AY1457" i="90"/>
  <c r="AY1348" i="90"/>
  <c r="AZ1432" i="90"/>
  <c r="AY1432" i="90"/>
  <c r="AZ1448" i="90"/>
  <c r="AY1448" i="90"/>
  <c r="AS1350" i="90"/>
  <c r="AY1418" i="90"/>
  <c r="AZ1418" i="90"/>
  <c r="AY1452" i="90"/>
  <c r="BW607" i="90" l="1"/>
  <c r="BW615" i="90"/>
  <c r="BW612" i="90"/>
  <c r="AW202" i="90"/>
  <c r="BW533" i="90"/>
  <c r="BW470" i="90"/>
  <c r="BW319" i="90"/>
  <c r="BU70" i="90"/>
  <c r="AW347" i="90"/>
  <c r="AY247" i="90"/>
  <c r="AZ247" i="90"/>
  <c r="BW486" i="90"/>
  <c r="BU303" i="90"/>
  <c r="AY271" i="90"/>
  <c r="AZ271" i="90"/>
  <c r="BU363" i="90"/>
  <c r="BU478" i="90"/>
  <c r="BW127" i="90"/>
  <c r="BW327" i="90"/>
  <c r="AZ218" i="90"/>
  <c r="AY218" i="90"/>
  <c r="BU362" i="90"/>
  <c r="BW72" i="90"/>
  <c r="AZ1306" i="90"/>
  <c r="AY1306" i="90"/>
  <c r="AY349" i="90"/>
  <c r="AZ349" i="90"/>
  <c r="AW80" i="90"/>
  <c r="BU470" i="90"/>
  <c r="BU319" i="90"/>
  <c r="BW70" i="90"/>
  <c r="AY158" i="90"/>
  <c r="AW102" i="90"/>
  <c r="AW82" i="90"/>
  <c r="BW429" i="90"/>
  <c r="BU486" i="90"/>
  <c r="BU318" i="90"/>
  <c r="BW303" i="90"/>
  <c r="AW1551" i="90"/>
  <c r="AW104" i="90"/>
  <c r="BW482" i="90"/>
  <c r="BU127" i="90"/>
  <c r="BU327" i="90"/>
  <c r="BW362" i="90"/>
  <c r="BU72" i="90"/>
  <c r="AW1306" i="90"/>
  <c r="AW349" i="90"/>
  <c r="BW169" i="90"/>
  <c r="BW46" i="90"/>
  <c r="AY294" i="90"/>
  <c r="AZ294" i="90"/>
  <c r="AW158" i="90"/>
  <c r="AW1489" i="90"/>
  <c r="BU429" i="90"/>
  <c r="BW510" i="90"/>
  <c r="BW419" i="90"/>
  <c r="BW318" i="90"/>
  <c r="BU63" i="90"/>
  <c r="AY522" i="90"/>
  <c r="AW213" i="90"/>
  <c r="AW90" i="90"/>
  <c r="BU482" i="90"/>
  <c r="BU231" i="90"/>
  <c r="BW68" i="90"/>
  <c r="BW149" i="90"/>
  <c r="AY284" i="90"/>
  <c r="AZ284" i="90"/>
  <c r="BW498" i="90"/>
  <c r="BU71" i="90"/>
  <c r="AY202" i="90"/>
  <c r="BU533" i="90"/>
  <c r="BU169" i="90"/>
  <c r="BU46" i="90"/>
  <c r="AY347" i="90"/>
  <c r="AZ347" i="90"/>
  <c r="AZ1489" i="90"/>
  <c r="AY1489" i="90"/>
  <c r="BU510" i="90"/>
  <c r="BU419" i="90"/>
  <c r="BW63" i="90"/>
  <c r="AW94" i="90"/>
  <c r="BW363" i="90"/>
  <c r="BW478" i="90"/>
  <c r="BW231" i="90"/>
  <c r="BU68" i="90"/>
  <c r="BU149" i="90"/>
  <c r="AW218" i="90"/>
  <c r="BU498" i="90"/>
  <c r="BW71" i="90"/>
  <c r="BU633" i="90"/>
  <c r="BW642" i="90"/>
  <c r="AZ1635" i="90"/>
  <c r="AZ1620" i="90"/>
  <c r="AW574" i="90"/>
  <c r="AY56" i="90"/>
  <c r="AW1549" i="90"/>
  <c r="BW407" i="90"/>
  <c r="BU480" i="90"/>
  <c r="BU448" i="90"/>
  <c r="BU312" i="90"/>
  <c r="BW366" i="90"/>
  <c r="BW261" i="90"/>
  <c r="BU42" i="90"/>
  <c r="AW1338" i="90"/>
  <c r="AW331" i="90"/>
  <c r="AZ322" i="90"/>
  <c r="AY322" i="90"/>
  <c r="AY277" i="90"/>
  <c r="AZ277" i="90"/>
  <c r="AZ112" i="90"/>
  <c r="AY112" i="90"/>
  <c r="AW1582" i="90"/>
  <c r="AY1578" i="90"/>
  <c r="AZ1578" i="90"/>
  <c r="BW469" i="90"/>
  <c r="BW445" i="90"/>
  <c r="BU508" i="90"/>
  <c r="BU237" i="90"/>
  <c r="BU21" i="90"/>
  <c r="AY255" i="90"/>
  <c r="AZ1586" i="90"/>
  <c r="AY1586" i="90"/>
  <c r="BW521" i="90"/>
  <c r="BU468" i="90"/>
  <c r="BW441" i="90"/>
  <c r="BW537" i="90"/>
  <c r="BW154" i="90"/>
  <c r="BW229" i="90"/>
  <c r="BU26" i="90"/>
  <c r="BW33" i="90"/>
  <c r="AW1062" i="90"/>
  <c r="AW622" i="90"/>
  <c r="AW253" i="90"/>
  <c r="AW234" i="90"/>
  <c r="BU410" i="90"/>
  <c r="BW465" i="90"/>
  <c r="BW505" i="90"/>
  <c r="BW343" i="90"/>
  <c r="BU199" i="90"/>
  <c r="BU307" i="90"/>
  <c r="BW182" i="90"/>
  <c r="BW18" i="90"/>
  <c r="BW10" i="90"/>
  <c r="BU407" i="90"/>
  <c r="BW480" i="90"/>
  <c r="BW448" i="90"/>
  <c r="BU239" i="90"/>
  <c r="BU346" i="90"/>
  <c r="BU261" i="90"/>
  <c r="BU156" i="90"/>
  <c r="AW606" i="90"/>
  <c r="AW277" i="90"/>
  <c r="AZ61" i="90"/>
  <c r="AY61" i="90"/>
  <c r="AW27" i="90"/>
  <c r="AW1578" i="90"/>
  <c r="AW1543" i="90"/>
  <c r="BU469" i="90"/>
  <c r="BU445" i="90"/>
  <c r="BV445" i="90"/>
  <c r="BW508" i="90"/>
  <c r="BW53" i="90"/>
  <c r="BU86" i="90"/>
  <c r="AW590" i="90"/>
  <c r="AW60" i="90"/>
  <c r="AW1586" i="90"/>
  <c r="AW1574" i="90"/>
  <c r="BU521" i="90"/>
  <c r="BW468" i="90"/>
  <c r="BU441" i="90"/>
  <c r="BU537" i="90"/>
  <c r="BU154" i="90"/>
  <c r="BU229" i="90"/>
  <c r="BU33" i="90"/>
  <c r="AW163" i="90"/>
  <c r="AW29" i="90"/>
  <c r="BW410" i="90"/>
  <c r="BU465" i="90"/>
  <c r="BV465" i="90"/>
  <c r="BV505" i="90"/>
  <c r="BU505" i="90"/>
  <c r="BU343" i="90"/>
  <c r="BW199" i="90"/>
  <c r="BW307" i="90"/>
  <c r="BU182" i="90"/>
  <c r="BU18" i="90"/>
  <c r="BU10" i="90"/>
  <c r="AY1554" i="90"/>
  <c r="BU524" i="90"/>
  <c r="BU464" i="90"/>
  <c r="BW239" i="90"/>
  <c r="BW346" i="90"/>
  <c r="BW156" i="90"/>
  <c r="AW1072" i="90"/>
  <c r="AZ1330" i="90"/>
  <c r="AY1330" i="90"/>
  <c r="AW112" i="90"/>
  <c r="AW61" i="90"/>
  <c r="AY1582" i="90"/>
  <c r="AZ1582" i="90"/>
  <c r="BW485" i="90"/>
  <c r="BW453" i="90"/>
  <c r="BU334" i="90"/>
  <c r="BU172" i="90"/>
  <c r="BU53" i="90"/>
  <c r="BW86" i="90"/>
  <c r="BW122" i="90"/>
  <c r="AW255" i="90"/>
  <c r="AY1527" i="90"/>
  <c r="AZ1527" i="90"/>
  <c r="BU484" i="90"/>
  <c r="BU452" i="90"/>
  <c r="BU398" i="90"/>
  <c r="BU378" i="90"/>
  <c r="BW13" i="90"/>
  <c r="BW6" i="90"/>
  <c r="AY253" i="90"/>
  <c r="AY1588" i="90"/>
  <c r="AZ1588" i="90"/>
  <c r="AY1580" i="90"/>
  <c r="AZ1580" i="90"/>
  <c r="BW481" i="90"/>
  <c r="BW449" i="90"/>
  <c r="BW399" i="90"/>
  <c r="BW265" i="90"/>
  <c r="BU133" i="90"/>
  <c r="BW269" i="90"/>
  <c r="BW132" i="90"/>
  <c r="BU223" i="90"/>
  <c r="AW56" i="90"/>
  <c r="AW1554" i="90"/>
  <c r="BW524" i="90"/>
  <c r="BW464" i="90"/>
  <c r="BW312" i="90"/>
  <c r="BU366" i="90"/>
  <c r="BW42" i="90"/>
  <c r="AZ1338" i="90"/>
  <c r="AY1338" i="90"/>
  <c r="AW1056" i="90"/>
  <c r="AW1330" i="90"/>
  <c r="AY331" i="90"/>
  <c r="AZ331" i="90"/>
  <c r="AW322" i="90"/>
  <c r="BU485" i="90"/>
  <c r="BV485" i="90"/>
  <c r="BU453" i="90"/>
  <c r="BW334" i="90"/>
  <c r="BW237" i="90"/>
  <c r="BW172" i="90"/>
  <c r="BW21" i="90"/>
  <c r="BU122" i="90"/>
  <c r="AW1078" i="90"/>
  <c r="AZ60" i="90"/>
  <c r="AY60" i="90"/>
  <c r="AY1574" i="90"/>
  <c r="AZ1574" i="90"/>
  <c r="AW1527" i="90"/>
  <c r="BW484" i="90"/>
  <c r="BW452" i="90"/>
  <c r="BW398" i="90"/>
  <c r="BW378" i="90"/>
  <c r="BW26" i="90"/>
  <c r="BU13" i="90"/>
  <c r="BU6" i="90"/>
  <c r="AZ234" i="90"/>
  <c r="AY234" i="90"/>
  <c r="AZ163" i="90"/>
  <c r="AY163" i="90"/>
  <c r="AW1588" i="90"/>
  <c r="AW1580" i="90"/>
  <c r="BU481" i="90"/>
  <c r="BU449" i="90"/>
  <c r="BU399" i="90"/>
  <c r="BV265" i="90"/>
  <c r="BU265" i="90"/>
  <c r="BW133" i="90"/>
  <c r="BU269" i="90"/>
  <c r="BU132" i="90"/>
  <c r="BW223" i="90"/>
  <c r="AW1619" i="90"/>
  <c r="BU625" i="90"/>
  <c r="BU615" i="90"/>
  <c r="BW631" i="90"/>
  <c r="AY1613" i="90"/>
  <c r="AZ1628" i="90"/>
  <c r="AY1625" i="90"/>
  <c r="BU593" i="90"/>
  <c r="BU612" i="90"/>
  <c r="BU631" i="90"/>
  <c r="AY1614" i="90"/>
  <c r="AY1665" i="90"/>
  <c r="BW605" i="90"/>
  <c r="BV605" i="90"/>
  <c r="AY1610" i="90"/>
  <c r="AY1618" i="90"/>
  <c r="AZ1618" i="90"/>
  <c r="BW629" i="90"/>
  <c r="AW1610" i="90"/>
  <c r="BU455" i="90"/>
  <c r="BU337" i="90"/>
  <c r="BW274" i="90"/>
  <c r="BW467" i="90"/>
  <c r="BW349" i="90"/>
  <c r="BU164" i="90"/>
  <c r="BW58" i="90"/>
  <c r="BU373" i="90"/>
  <c r="BW443" i="90"/>
  <c r="BU389" i="90"/>
  <c r="BW195" i="90"/>
  <c r="BU504" i="90"/>
  <c r="BW417" i="90"/>
  <c r="BW152" i="90"/>
  <c r="BW163" i="90"/>
  <c r="BW377" i="90"/>
  <c r="BW451" i="90"/>
  <c r="BW365" i="90"/>
  <c r="BW147" i="90"/>
  <c r="BW128" i="90"/>
  <c r="BU426" i="90"/>
  <c r="BW471" i="90"/>
  <c r="BW439" i="90"/>
  <c r="BU279" i="90"/>
  <c r="BU278" i="90"/>
  <c r="BW306" i="90"/>
  <c r="BU274" i="90"/>
  <c r="BW19" i="90"/>
  <c r="BU467" i="90"/>
  <c r="BU413" i="90"/>
  <c r="BU349" i="90"/>
  <c r="BW164" i="90"/>
  <c r="BU258" i="90"/>
  <c r="BU206" i="90"/>
  <c r="BW184" i="90"/>
  <c r="BU58" i="90"/>
  <c r="BW459" i="90"/>
  <c r="BU447" i="90"/>
  <c r="BU299" i="90"/>
  <c r="BW93" i="90"/>
  <c r="BU74" i="90"/>
  <c r="BW77" i="90"/>
  <c r="BU443" i="90"/>
  <c r="BU329" i="90"/>
  <c r="BU317" i="90"/>
  <c r="BU211" i="90"/>
  <c r="BW159" i="90"/>
  <c r="BW504" i="90"/>
  <c r="BU243" i="90"/>
  <c r="BW428" i="90"/>
  <c r="BU417" i="90"/>
  <c r="BU385" i="90"/>
  <c r="BV385" i="90"/>
  <c r="BU353" i="90"/>
  <c r="BU321" i="90"/>
  <c r="BU235" i="90"/>
  <c r="BU203" i="90"/>
  <c r="BW254" i="90"/>
  <c r="BW175" i="90"/>
  <c r="BU163" i="90"/>
  <c r="BU377" i="90"/>
  <c r="BU451" i="90"/>
  <c r="BU365" i="90"/>
  <c r="BV365" i="90"/>
  <c r="BU147" i="90"/>
  <c r="BU128" i="90"/>
  <c r="BU487" i="90"/>
  <c r="BU401" i="90"/>
  <c r="BU85" i="90"/>
  <c r="BV85" i="90"/>
  <c r="BW413" i="90"/>
  <c r="BW206" i="90"/>
  <c r="BU184" i="90"/>
  <c r="BW447" i="90"/>
  <c r="BU341" i="90"/>
  <c r="BW329" i="90"/>
  <c r="BW227" i="90"/>
  <c r="BW385" i="90"/>
  <c r="BU302" i="90"/>
  <c r="BW219" i="90"/>
  <c r="BU520" i="90"/>
  <c r="BW393" i="90"/>
  <c r="BW426" i="90"/>
  <c r="BU471" i="90"/>
  <c r="BU439" i="90"/>
  <c r="BW463" i="90"/>
  <c r="BW279" i="90"/>
  <c r="BU311" i="90"/>
  <c r="BU306" i="90"/>
  <c r="BW179" i="90"/>
  <c r="BW230" i="90"/>
  <c r="BW214" i="90"/>
  <c r="BW198" i="90"/>
  <c r="BU19" i="90"/>
  <c r="BW475" i="90"/>
  <c r="BW483" i="90"/>
  <c r="BW381" i="90"/>
  <c r="BW286" i="90"/>
  <c r="BW222" i="90"/>
  <c r="BW190" i="90"/>
  <c r="BU295" i="90"/>
  <c r="BW270" i="90"/>
  <c r="BW69" i="90"/>
  <c r="BU459" i="90"/>
  <c r="BW479" i="90"/>
  <c r="BW299" i="90"/>
  <c r="BU93" i="90"/>
  <c r="BU251" i="90"/>
  <c r="BW290" i="90"/>
  <c r="BU168" i="90"/>
  <c r="BW74" i="90"/>
  <c r="BU77" i="90"/>
  <c r="BW47" i="90"/>
  <c r="BW409" i="90"/>
  <c r="BW333" i="90"/>
  <c r="BW242" i="90"/>
  <c r="BW211" i="90"/>
  <c r="BU159" i="90"/>
  <c r="BW243" i="90"/>
  <c r="BU428" i="90"/>
  <c r="BW235" i="90"/>
  <c r="BW203" i="90"/>
  <c r="BU254" i="90"/>
  <c r="BU175" i="90"/>
  <c r="BU267" i="90"/>
  <c r="BW186" i="90"/>
  <c r="BW95" i="90"/>
  <c r="BU82" i="90"/>
  <c r="BU66" i="90"/>
  <c r="BW435" i="90"/>
  <c r="BW361" i="90"/>
  <c r="BW397" i="90"/>
  <c r="BW357" i="90"/>
  <c r="BW97" i="90"/>
  <c r="BW140" i="90"/>
  <c r="BU99" i="90"/>
  <c r="BW61" i="90"/>
  <c r="BU431" i="90"/>
  <c r="BU369" i="90"/>
  <c r="BW283" i="90"/>
  <c r="BW278" i="90"/>
  <c r="BU144" i="90"/>
  <c r="BU112" i="90"/>
  <c r="BW258" i="90"/>
  <c r="BU491" i="90"/>
  <c r="BU405" i="90"/>
  <c r="BV405" i="90"/>
  <c r="BW317" i="90"/>
  <c r="BU421" i="90"/>
  <c r="BU325" i="90"/>
  <c r="BV325" i="90"/>
  <c r="BW191" i="90"/>
  <c r="BU345" i="90"/>
  <c r="BV345" i="90"/>
  <c r="BW353" i="90"/>
  <c r="BW321" i="90"/>
  <c r="BU238" i="90"/>
  <c r="BU54" i="90"/>
  <c r="BW520" i="90"/>
  <c r="BU393" i="90"/>
  <c r="BW431" i="90"/>
  <c r="BW487" i="90"/>
  <c r="BW455" i="90"/>
  <c r="BU463" i="90"/>
  <c r="BW401" i="90"/>
  <c r="BW369" i="90"/>
  <c r="BW337" i="90"/>
  <c r="BU283" i="90"/>
  <c r="BW311" i="90"/>
  <c r="BU179" i="90"/>
  <c r="BU230" i="90"/>
  <c r="BU214" i="90"/>
  <c r="BU198" i="90"/>
  <c r="BW144" i="90"/>
  <c r="BW112" i="90"/>
  <c r="BW85" i="90"/>
  <c r="BU475" i="90"/>
  <c r="BU483" i="90"/>
  <c r="BU381" i="90"/>
  <c r="BU286" i="90"/>
  <c r="BU222" i="90"/>
  <c r="BU190" i="90"/>
  <c r="BW295" i="90"/>
  <c r="BU270" i="90"/>
  <c r="BU69" i="90"/>
  <c r="BW491" i="90"/>
  <c r="BU479" i="90"/>
  <c r="BW405" i="90"/>
  <c r="BW373" i="90"/>
  <c r="BW341" i="90"/>
  <c r="BW251" i="90"/>
  <c r="BU290" i="90"/>
  <c r="BW168" i="90"/>
  <c r="BU47" i="90"/>
  <c r="BU409" i="90"/>
  <c r="BU333" i="90"/>
  <c r="BU242" i="90"/>
  <c r="BW421" i="90"/>
  <c r="BW389" i="90"/>
  <c r="BW325" i="90"/>
  <c r="BU227" i="90"/>
  <c r="BU195" i="90"/>
  <c r="BU191" i="90"/>
  <c r="BW345" i="90"/>
  <c r="BW302" i="90"/>
  <c r="BW238" i="90"/>
  <c r="BU219" i="90"/>
  <c r="BU152" i="90"/>
  <c r="BW267" i="90"/>
  <c r="BU186" i="90"/>
  <c r="BU95" i="90"/>
  <c r="BW82" i="90"/>
  <c r="BW66" i="90"/>
  <c r="BW54" i="90"/>
  <c r="BU435" i="90"/>
  <c r="BU361" i="90"/>
  <c r="BU397" i="90"/>
  <c r="BU357" i="90"/>
  <c r="BU97" i="90"/>
  <c r="BU140" i="90"/>
  <c r="BW99" i="90"/>
  <c r="BU61" i="90"/>
  <c r="AZ1601" i="90"/>
  <c r="AY1601" i="90"/>
  <c r="AZ1536" i="90"/>
  <c r="AY1536" i="90"/>
  <c r="AZ1538" i="90"/>
  <c r="AY1538" i="90"/>
  <c r="AZ1532" i="90"/>
  <c r="AY1532" i="90"/>
  <c r="AZ1643" i="90"/>
  <c r="AY1643" i="90"/>
  <c r="AY1611" i="90"/>
  <c r="AZ1645" i="90"/>
  <c r="AY1645" i="90"/>
  <c r="AZ1542" i="90"/>
  <c r="AY1542" i="90"/>
  <c r="AY1517" i="90"/>
  <c r="AZ1517" i="90"/>
  <c r="AY1663" i="90"/>
  <c r="AY1609" i="90"/>
  <c r="AY1570" i="90"/>
  <c r="AZ1570" i="90"/>
  <c r="AY1501" i="90"/>
  <c r="AY1555" i="90"/>
  <c r="AY1558" i="90"/>
  <c r="AZ1653" i="90"/>
  <c r="AY1653" i="90"/>
  <c r="AZ1651" i="90"/>
  <c r="AY1651" i="90"/>
  <c r="AZ1639" i="90"/>
  <c r="AY1639" i="90"/>
  <c r="AZ1530" i="90"/>
  <c r="AY1530" i="90"/>
  <c r="AZ1641" i="90"/>
  <c r="AY1641" i="90"/>
  <c r="AZ1534" i="90"/>
  <c r="AY1534" i="90"/>
  <c r="AY1561" i="90"/>
  <c r="AZ1655" i="90"/>
  <c r="AY1655" i="90"/>
  <c r="AY1657" i="90"/>
  <c r="AY1667" i="90"/>
  <c r="AY1661" i="90"/>
  <c r="AY1547" i="90"/>
  <c r="AZ1547" i="90"/>
  <c r="AY1509" i="90"/>
  <c r="AZ1550" i="90"/>
  <c r="AY1550" i="90"/>
  <c r="AZ1647" i="90"/>
  <c r="AY1647" i="90"/>
  <c r="AZ1603" i="90"/>
  <c r="AY1603" i="90"/>
  <c r="AY1562" i="90"/>
  <c r="AZ1649" i="90"/>
  <c r="AY1649" i="90"/>
  <c r="AY1553" i="90"/>
  <c r="AZ1540" i="90"/>
  <c r="AY1540" i="90"/>
  <c r="AY1659" i="90"/>
  <c r="AZ1492" i="90"/>
  <c r="AY1492" i="90"/>
  <c r="AZ1494" i="90"/>
  <c r="AY1494" i="90"/>
  <c r="AZ1481" i="90"/>
  <c r="AY1481" i="90"/>
  <c r="AZ1488" i="90"/>
  <c r="AY1488" i="90"/>
  <c r="AZ1483" i="90"/>
  <c r="AY1483" i="90"/>
  <c r="AZ1490" i="90"/>
  <c r="AY1490" i="90"/>
  <c r="AZ1479" i="90"/>
  <c r="AY1479" i="90"/>
  <c r="AZ1486" i="90"/>
  <c r="AY1486" i="90"/>
  <c r="AY1484" i="90"/>
  <c r="AZ1484" i="90"/>
  <c r="AY1361" i="90"/>
  <c r="AZ1361" i="90"/>
  <c r="AZ1392" i="90"/>
  <c r="AY1392" i="90"/>
  <c r="AZ927" i="90"/>
  <c r="AY927" i="90"/>
  <c r="AY931" i="90"/>
  <c r="AY819" i="90"/>
  <c r="AZ819" i="90"/>
  <c r="AY569" i="90"/>
  <c r="AY499" i="90"/>
  <c r="AZ499" i="90"/>
  <c r="AZ225" i="90"/>
  <c r="AY225" i="90"/>
  <c r="AZ925" i="90"/>
  <c r="AY925" i="90"/>
  <c r="AY351" i="90"/>
  <c r="AZ351" i="90"/>
  <c r="AY1405" i="90"/>
  <c r="AZ1385" i="90"/>
  <c r="AY1385" i="90"/>
  <c r="AZ1280" i="90"/>
  <c r="AY1280" i="90"/>
  <c r="AZ1097" i="90"/>
  <c r="AY1097" i="90"/>
  <c r="AY937" i="90"/>
  <c r="AY588" i="90"/>
  <c r="AZ588" i="90"/>
  <c r="AZ641" i="90"/>
  <c r="AY641" i="90"/>
  <c r="AY219" i="90"/>
  <c r="AZ219" i="90"/>
  <c r="AY47" i="90"/>
  <c r="AZ1320" i="90"/>
  <c r="AY1320" i="90"/>
  <c r="AZ973" i="90"/>
  <c r="AY973" i="90"/>
  <c r="AZ547" i="90"/>
  <c r="AY547" i="90"/>
  <c r="AY313" i="90"/>
  <c r="AZ1334" i="90"/>
  <c r="AY1334" i="90"/>
  <c r="AZ1305" i="90"/>
  <c r="AY1305" i="90"/>
  <c r="AZ1312" i="90"/>
  <c r="AY1312" i="90"/>
  <c r="AZ975" i="90"/>
  <c r="AY975" i="90"/>
  <c r="AZ631" i="90"/>
  <c r="AY631" i="90"/>
  <c r="AY1092" i="90"/>
  <c r="AZ1121" i="90"/>
  <c r="AY1121" i="90"/>
  <c r="AZ583" i="90"/>
  <c r="AY583" i="90"/>
  <c r="AZ633" i="90"/>
  <c r="AY633" i="90"/>
  <c r="AZ601" i="90"/>
  <c r="AY601" i="90"/>
  <c r="AY467" i="90"/>
  <c r="AY262" i="90"/>
  <c r="AZ222" i="90"/>
  <c r="AY222" i="90"/>
  <c r="AZ217" i="90"/>
  <c r="AY217" i="90"/>
  <c r="AY305" i="90"/>
  <c r="AZ190" i="90"/>
  <c r="AY190" i="90"/>
  <c r="AY74" i="90"/>
  <c r="AZ74" i="90"/>
  <c r="AZ10" i="90"/>
  <c r="AY10" i="90"/>
  <c r="AZ1055" i="90"/>
  <c r="AY1055" i="90"/>
  <c r="AY887" i="90"/>
  <c r="AZ1103" i="90"/>
  <c r="AY1103" i="90"/>
  <c r="AY885" i="90"/>
  <c r="AY451" i="90"/>
  <c r="AZ451" i="90"/>
  <c r="AZ593" i="90"/>
  <c r="AY593" i="90"/>
  <c r="AZ230" i="90"/>
  <c r="AY230" i="90"/>
  <c r="AY134" i="90"/>
  <c r="AZ134" i="90"/>
  <c r="AZ1292" i="90"/>
  <c r="AY1292" i="90"/>
  <c r="AY1353" i="90"/>
  <c r="AY1304" i="90"/>
  <c r="AY935" i="90"/>
  <c r="AY1100" i="90"/>
  <c r="AZ1100" i="90"/>
  <c r="AZ557" i="90"/>
  <c r="AY557" i="90"/>
  <c r="AZ549" i="90"/>
  <c r="AY549" i="90"/>
  <c r="AZ1129" i="90"/>
  <c r="AY1129" i="90"/>
  <c r="AZ961" i="90"/>
  <c r="AY961" i="90"/>
  <c r="AY929" i="90"/>
  <c r="AZ897" i="90"/>
  <c r="AY897" i="90"/>
  <c r="AZ865" i="90"/>
  <c r="AY865" i="90"/>
  <c r="AY620" i="90"/>
  <c r="AY443" i="90"/>
  <c r="AZ443" i="90"/>
  <c r="AY244" i="90"/>
  <c r="AZ244" i="90"/>
  <c r="AZ71" i="90"/>
  <c r="AY71" i="90"/>
  <c r="AY254" i="90"/>
  <c r="AZ1310" i="90"/>
  <c r="AY1310" i="90"/>
  <c r="AY1116" i="90"/>
  <c r="AZ1116" i="90"/>
  <c r="AZ965" i="90"/>
  <c r="AY965" i="90"/>
  <c r="AZ869" i="90"/>
  <c r="AY869" i="90"/>
  <c r="AY411" i="90"/>
  <c r="AY1393" i="90"/>
  <c r="AZ1393" i="90"/>
  <c r="AZ1376" i="90"/>
  <c r="AY1376" i="90"/>
  <c r="AZ1344" i="90"/>
  <c r="AY1344" i="90"/>
  <c r="AY1076" i="90"/>
  <c r="AZ1076" i="90"/>
  <c r="AZ943" i="90"/>
  <c r="AY943" i="90"/>
  <c r="AZ979" i="90"/>
  <c r="AY979" i="90"/>
  <c r="AZ899" i="90"/>
  <c r="AY899" i="90"/>
  <c r="AZ867" i="90"/>
  <c r="AY867" i="90"/>
  <c r="AZ599" i="90"/>
  <c r="AY599" i="90"/>
  <c r="AY617" i="90"/>
  <c r="AY25" i="90"/>
  <c r="AZ25" i="90"/>
  <c r="AY1289" i="90"/>
  <c r="AZ1289" i="90"/>
  <c r="AZ1329" i="90"/>
  <c r="AY1329" i="90"/>
  <c r="AZ1071" i="90"/>
  <c r="AY1071" i="90"/>
  <c r="AZ1113" i="90"/>
  <c r="AY1113" i="90"/>
  <c r="AY981" i="90"/>
  <c r="AZ901" i="90"/>
  <c r="AY901" i="90"/>
  <c r="AY276" i="90"/>
  <c r="AZ276" i="90"/>
  <c r="AZ299" i="90"/>
  <c r="AY299" i="90"/>
  <c r="AZ1313" i="90"/>
  <c r="AY1313" i="90"/>
  <c r="AY1087" i="90"/>
  <c r="AY573" i="90"/>
  <c r="AY628" i="90"/>
  <c r="AY343" i="90"/>
  <c r="AZ343" i="90"/>
  <c r="AZ233" i="90"/>
  <c r="AY233" i="90"/>
  <c r="AY50" i="90"/>
  <c r="AZ57" i="90"/>
  <c r="AY57" i="90"/>
  <c r="AY142" i="90"/>
  <c r="AZ142" i="90"/>
  <c r="AY1456" i="90"/>
  <c r="AZ923" i="90"/>
  <c r="AY923" i="90"/>
  <c r="AY625" i="90"/>
  <c r="AY154" i="90"/>
  <c r="AZ1396" i="90"/>
  <c r="AY1396" i="90"/>
  <c r="AZ1321" i="90"/>
  <c r="AY1321" i="90"/>
  <c r="AZ967" i="90"/>
  <c r="AY967" i="90"/>
  <c r="AZ905" i="90"/>
  <c r="AY905" i="90"/>
  <c r="AY644" i="90"/>
  <c r="AZ644" i="90"/>
  <c r="AY507" i="90"/>
  <c r="AZ507" i="90"/>
  <c r="AZ246" i="90"/>
  <c r="AY246" i="90"/>
  <c r="AZ28" i="90"/>
  <c r="AY28" i="90"/>
  <c r="AZ893" i="90"/>
  <c r="AY893" i="90"/>
  <c r="AZ238" i="90"/>
  <c r="AY238" i="90"/>
  <c r="AY843" i="90"/>
  <c r="AZ843" i="90"/>
  <c r="AZ1063" i="90"/>
  <c r="AY1063" i="90"/>
  <c r="AZ907" i="90"/>
  <c r="AY907" i="90"/>
  <c r="AZ875" i="90"/>
  <c r="AY875" i="90"/>
  <c r="AZ1105" i="90"/>
  <c r="AY1105" i="90"/>
  <c r="AZ1073" i="90"/>
  <c r="AY1073" i="90"/>
  <c r="AZ553" i="90"/>
  <c r="AY553" i="90"/>
  <c r="AZ647" i="90"/>
  <c r="AY647" i="90"/>
  <c r="AY612" i="90"/>
  <c r="AZ612" i="90"/>
  <c r="AZ585" i="90"/>
  <c r="AY585" i="90"/>
  <c r="AY427" i="90"/>
  <c r="AZ427" i="90"/>
  <c r="AY168" i="90"/>
  <c r="AZ168" i="90"/>
  <c r="AZ1337" i="90"/>
  <c r="AY1337" i="90"/>
  <c r="AZ1081" i="90"/>
  <c r="AY1081" i="90"/>
  <c r="AZ909" i="90"/>
  <c r="AY909" i="90"/>
  <c r="AZ146" i="90"/>
  <c r="AY146" i="90"/>
  <c r="AZ1382" i="90"/>
  <c r="AY1382" i="90"/>
  <c r="AZ1380" i="90"/>
  <c r="AY1380" i="90"/>
  <c r="AY1407" i="90"/>
  <c r="AZ1384" i="90"/>
  <c r="AY1384" i="90"/>
  <c r="AY1345" i="90"/>
  <c r="AZ1318" i="90"/>
  <c r="AY1318" i="90"/>
  <c r="AY1440" i="90"/>
  <c r="AZ1440" i="90"/>
  <c r="AY1399" i="90"/>
  <c r="AY1350" i="90"/>
  <c r="AY1300" i="90"/>
  <c r="AZ1328" i="90"/>
  <c r="AY1328" i="90"/>
  <c r="AZ959" i="90"/>
  <c r="AY959" i="90"/>
  <c r="AZ895" i="90"/>
  <c r="AY895" i="90"/>
  <c r="AZ963" i="90"/>
  <c r="AY963" i="90"/>
  <c r="AY565" i="90"/>
  <c r="AY419" i="90"/>
  <c r="AY435" i="90"/>
  <c r="AZ435" i="90"/>
  <c r="AZ293" i="90"/>
  <c r="AY293" i="90"/>
  <c r="AY206" i="90"/>
  <c r="AY278" i="90"/>
  <c r="AZ278" i="90"/>
  <c r="AY201" i="90"/>
  <c r="AZ174" i="90"/>
  <c r="AY174" i="90"/>
  <c r="AZ23" i="90"/>
  <c r="AY23" i="90"/>
  <c r="AZ12" i="90"/>
  <c r="AY12" i="90"/>
  <c r="AZ289" i="90"/>
  <c r="AY289" i="90"/>
  <c r="AZ69" i="90"/>
  <c r="AY69" i="90"/>
  <c r="AY1281" i="90"/>
  <c r="AZ1281" i="90"/>
  <c r="AZ1368" i="90"/>
  <c r="AY1368" i="90"/>
  <c r="AY1413" i="90"/>
  <c r="AZ1413" i="90"/>
  <c r="AY877" i="90"/>
  <c r="AZ591" i="90"/>
  <c r="AY591" i="90"/>
  <c r="AZ281" i="90"/>
  <c r="AY281" i="90"/>
  <c r="AY1302" i="90"/>
  <c r="AZ1336" i="90"/>
  <c r="AY1336" i="90"/>
  <c r="AY1296" i="90"/>
  <c r="AZ903" i="90"/>
  <c r="AY903" i="90"/>
  <c r="AZ971" i="90"/>
  <c r="AY971" i="90"/>
  <c r="AY835" i="90"/>
  <c r="AZ953" i="90"/>
  <c r="AY953" i="90"/>
  <c r="AZ921" i="90"/>
  <c r="AY921" i="90"/>
  <c r="AZ889" i="90"/>
  <c r="AY889" i="90"/>
  <c r="AZ551" i="90"/>
  <c r="AY551" i="90"/>
  <c r="AZ577" i="90"/>
  <c r="AY577" i="90"/>
  <c r="AZ285" i="90"/>
  <c r="AY285" i="90"/>
  <c r="AZ228" i="90"/>
  <c r="AY228" i="90"/>
  <c r="AY315" i="90"/>
  <c r="AY235" i="90"/>
  <c r="AZ235" i="90"/>
  <c r="AY203" i="90"/>
  <c r="AZ127" i="90"/>
  <c r="AY127" i="90"/>
  <c r="AY136" i="90"/>
  <c r="AZ136" i="90"/>
  <c r="AY125" i="90"/>
  <c r="AZ125" i="90"/>
  <c r="AZ77" i="90"/>
  <c r="AY77" i="90"/>
  <c r="AZ1119" i="90"/>
  <c r="AY1119" i="90"/>
  <c r="AY983" i="90"/>
  <c r="AZ941" i="90"/>
  <c r="AY941" i="90"/>
  <c r="AY567" i="90"/>
  <c r="AZ73" i="90"/>
  <c r="AY73" i="90"/>
  <c r="AZ1360" i="90"/>
  <c r="AY1360" i="90"/>
  <c r="AY1052" i="90"/>
  <c r="AZ1052" i="90"/>
  <c r="AY1084" i="90"/>
  <c r="AZ1084" i="90"/>
  <c r="AZ911" i="90"/>
  <c r="AY911" i="90"/>
  <c r="AZ1127" i="90"/>
  <c r="AY1127" i="90"/>
  <c r="AZ947" i="90"/>
  <c r="AY947" i="90"/>
  <c r="AZ891" i="90"/>
  <c r="AY891" i="90"/>
  <c r="AZ859" i="90"/>
  <c r="AY859" i="90"/>
  <c r="AZ822" i="90"/>
  <c r="AY822" i="90"/>
  <c r="AY827" i="90"/>
  <c r="AZ838" i="90"/>
  <c r="AY838" i="90"/>
  <c r="AY623" i="90"/>
  <c r="AY571" i="90"/>
  <c r="AZ301" i="90"/>
  <c r="AY301" i="90"/>
  <c r="AZ649" i="90"/>
  <c r="AY649" i="90"/>
  <c r="AY491" i="90"/>
  <c r="AZ491" i="90"/>
  <c r="AY309" i="90"/>
  <c r="AZ63" i="90"/>
  <c r="AY63" i="90"/>
  <c r="AY46" i="90"/>
  <c r="AZ1324" i="90"/>
  <c r="AY1324" i="90"/>
  <c r="AY1297" i="90"/>
  <c r="AZ919" i="90"/>
  <c r="AY919" i="90"/>
  <c r="AY830" i="90"/>
  <c r="AZ957" i="90"/>
  <c r="AY957" i="90"/>
  <c r="AZ861" i="90"/>
  <c r="AY861" i="90"/>
  <c r="AZ561" i="90"/>
  <c r="AY561" i="90"/>
  <c r="AZ1326" i="90"/>
  <c r="AY1326" i="90"/>
  <c r="AZ1079" i="90"/>
  <c r="AY1079" i="90"/>
  <c r="AZ863" i="90"/>
  <c r="AY863" i="90"/>
  <c r="AY1089" i="90"/>
  <c r="AY483" i="90"/>
  <c r="AZ483" i="90"/>
  <c r="AY335" i="90"/>
  <c r="AZ335" i="90"/>
  <c r="AZ214" i="90"/>
  <c r="AY214" i="90"/>
  <c r="AY117" i="90"/>
  <c r="AZ117" i="90"/>
  <c r="AZ59" i="90"/>
  <c r="AY59" i="90"/>
  <c r="AZ951" i="90"/>
  <c r="AY951" i="90"/>
  <c r="AZ1284" i="90"/>
  <c r="AY1284" i="90"/>
  <c r="AZ969" i="90"/>
  <c r="AY969" i="90"/>
  <c r="AZ873" i="90"/>
  <c r="AY873" i="90"/>
  <c r="AZ65" i="90"/>
  <c r="AY65" i="90"/>
  <c r="AY1377" i="90"/>
  <c r="AZ1377" i="90"/>
  <c r="AZ67" i="90"/>
  <c r="AY67" i="90"/>
  <c r="AZ1111" i="90"/>
  <c r="AY1111" i="90"/>
  <c r="AY1124" i="90"/>
  <c r="AZ1124" i="90"/>
  <c r="AY1060" i="90"/>
  <c r="AZ1060" i="90"/>
  <c r="AZ1057" i="90"/>
  <c r="AY1057" i="90"/>
  <c r="AY596" i="90"/>
  <c r="AZ596" i="90"/>
  <c r="AZ555" i="90"/>
  <c r="AY555" i="90"/>
  <c r="AY403" i="90"/>
  <c r="AZ403" i="90"/>
  <c r="AZ317" i="90"/>
  <c r="AY317" i="90"/>
  <c r="AY307" i="90"/>
  <c r="AY53" i="90"/>
  <c r="AY1294" i="90"/>
  <c r="AY636" i="90"/>
  <c r="AZ636" i="90"/>
  <c r="AZ955" i="90"/>
  <c r="AY955" i="90"/>
  <c r="AZ949" i="90"/>
  <c r="AY949" i="90"/>
  <c r="AZ1288" i="90"/>
  <c r="AY1288" i="90"/>
  <c r="AZ871" i="90"/>
  <c r="AY871" i="90"/>
  <c r="AY1068" i="90"/>
  <c r="AZ1068" i="90"/>
  <c r="AY939" i="90"/>
  <c r="AY604" i="90"/>
  <c r="AZ604" i="90"/>
  <c r="AZ1065" i="90"/>
  <c r="AY1065" i="90"/>
  <c r="AZ977" i="90"/>
  <c r="AY977" i="90"/>
  <c r="AZ945" i="90"/>
  <c r="AY945" i="90"/>
  <c r="AZ913" i="90"/>
  <c r="AY913" i="90"/>
  <c r="AY881" i="90"/>
  <c r="AY851" i="90"/>
  <c r="AZ851" i="90"/>
  <c r="AZ639" i="90"/>
  <c r="AY639" i="90"/>
  <c r="AZ563" i="90"/>
  <c r="AY563" i="90"/>
  <c r="AZ609" i="90"/>
  <c r="AY609" i="90"/>
  <c r="AY327" i="90"/>
  <c r="AZ327" i="90"/>
  <c r="AZ283" i="90"/>
  <c r="AY283" i="90"/>
  <c r="AZ297" i="90"/>
  <c r="AY297" i="90"/>
  <c r="AY144" i="90"/>
  <c r="AZ144" i="90"/>
  <c r="AZ20" i="90"/>
  <c r="AY20" i="90"/>
  <c r="AZ198" i="90"/>
  <c r="AY198" i="90"/>
  <c r="AZ1342" i="90"/>
  <c r="AY1342" i="90"/>
  <c r="AY1397" i="90"/>
  <c r="AY1352" i="90"/>
  <c r="AZ854" i="90"/>
  <c r="AY854" i="90"/>
  <c r="AZ917" i="90"/>
  <c r="AY917" i="90"/>
  <c r="AZ615" i="90"/>
  <c r="AY615" i="90"/>
  <c r="AY212" i="90"/>
  <c r="AY242" i="90"/>
  <c r="AZ242" i="90"/>
  <c r="AY15" i="90"/>
  <c r="AZ15" i="90"/>
  <c r="AZ1369" i="90"/>
  <c r="AY1369" i="90"/>
  <c r="AY1108" i="90"/>
  <c r="AZ1108" i="90"/>
  <c r="AY879" i="90"/>
  <c r="AZ1286" i="90"/>
  <c r="AY1286" i="90"/>
  <c r="AY1095" i="90"/>
  <c r="AZ915" i="90"/>
  <c r="AY915" i="90"/>
  <c r="AY883" i="90"/>
  <c r="AY575" i="90"/>
  <c r="AZ607" i="90"/>
  <c r="AY607" i="90"/>
  <c r="AZ559" i="90"/>
  <c r="AY559" i="90"/>
  <c r="AY515" i="90"/>
  <c r="AY459" i="90"/>
  <c r="AZ459" i="90"/>
  <c r="AZ291" i="90"/>
  <c r="AY291" i="90"/>
  <c r="AY240" i="90"/>
  <c r="AZ240" i="90"/>
  <c r="AZ182" i="90"/>
  <c r="AY182" i="90"/>
  <c r="AY209" i="90"/>
  <c r="AZ1049" i="90"/>
  <c r="AY1049" i="90"/>
  <c r="AY933" i="90"/>
  <c r="AZ846" i="90"/>
  <c r="AY846" i="90"/>
  <c r="AY580" i="90"/>
  <c r="AZ580" i="90"/>
  <c r="AY475" i="90"/>
  <c r="AZ475" i="90"/>
  <c r="FA18" i="82" l="1"/>
  <c r="FA19" i="82"/>
  <c r="FA20" i="82"/>
  <c r="FA21" i="82"/>
  <c r="FA22" i="82"/>
  <c r="FA23" i="82"/>
  <c r="FA24" i="82"/>
  <c r="FA25" i="82"/>
  <c r="FA17" i="82"/>
  <c r="EZ6" i="82"/>
  <c r="EZ5" i="82"/>
  <c r="FA9" i="82"/>
  <c r="FA10" i="82"/>
  <c r="FA11" i="82"/>
  <c r="FA12" i="82"/>
  <c r="FA13" i="82"/>
  <c r="FA14" i="82"/>
  <c r="FA15" i="82"/>
  <c r="FA16" i="82"/>
  <c r="FA8" i="82"/>
  <c r="EZ7" i="82"/>
  <c r="I52" i="90" l="1"/>
  <c r="I53" i="90"/>
  <c r="I54" i="90"/>
  <c r="I55" i="90"/>
  <c r="I56" i="90"/>
  <c r="I57" i="90"/>
  <c r="I58" i="90"/>
  <c r="I59" i="90"/>
  <c r="I60" i="90"/>
  <c r="I61" i="90"/>
  <c r="I62" i="90"/>
  <c r="I63" i="90"/>
  <c r="I64" i="90"/>
  <c r="I65" i="90"/>
  <c r="I66" i="90"/>
  <c r="I67" i="90"/>
  <c r="I68" i="90"/>
  <c r="I51" i="90"/>
  <c r="I50" i="90" l="1"/>
  <c r="J52" i="90" l="1"/>
  <c r="J56" i="90"/>
  <c r="J60" i="90"/>
  <c r="J64" i="90"/>
  <c r="J68" i="90"/>
  <c r="J53" i="90"/>
  <c r="J57" i="90"/>
  <c r="J61" i="90"/>
  <c r="J65" i="90"/>
  <c r="J54" i="90"/>
  <c r="J58" i="90"/>
  <c r="J62" i="90"/>
  <c r="J66" i="90"/>
  <c r="J55" i="90"/>
  <c r="J59" i="90"/>
  <c r="J63" i="90"/>
  <c r="J67" i="90"/>
  <c r="J51" i="90"/>
  <c r="DJ260" i="90" l="1"/>
  <c r="DL260" i="90" s="1"/>
  <c r="DJ261" i="90"/>
  <c r="DL261" i="90" s="1"/>
  <c r="DJ262" i="90"/>
  <c r="DR262" i="90" s="1"/>
  <c r="DJ263" i="90"/>
  <c r="DR263" i="90" s="1"/>
  <c r="DJ264" i="90"/>
  <c r="DL264" i="90" s="1"/>
  <c r="DJ265" i="90"/>
  <c r="DL265" i="90" s="1"/>
  <c r="DJ266" i="90"/>
  <c r="DR266" i="90" s="1"/>
  <c r="DJ267" i="90"/>
  <c r="DR267" i="90" s="1"/>
  <c r="DJ268" i="90"/>
  <c r="DL268" i="90" s="1"/>
  <c r="DJ269" i="90"/>
  <c r="DL269" i="90" s="1"/>
  <c r="DJ270" i="90"/>
  <c r="DR270" i="90" s="1"/>
  <c r="DJ271" i="90"/>
  <c r="DR271" i="90" s="1"/>
  <c r="DJ272" i="90"/>
  <c r="DL272" i="90" s="1"/>
  <c r="DJ273" i="90"/>
  <c r="DL273" i="90" s="1"/>
  <c r="DJ274" i="90"/>
  <c r="DR274" i="90" s="1"/>
  <c r="DJ275" i="90"/>
  <c r="DR275" i="90" s="1"/>
  <c r="DJ276" i="90"/>
  <c r="DL276" i="90" s="1"/>
  <c r="DJ277" i="90"/>
  <c r="DL277" i="90" s="1"/>
  <c r="DJ278" i="90"/>
  <c r="DR278" i="90" s="1"/>
  <c r="DJ279" i="90"/>
  <c r="DR279" i="90" s="1"/>
  <c r="DJ280" i="90"/>
  <c r="DL280" i="90" s="1"/>
  <c r="DJ281" i="90"/>
  <c r="DL281" i="90" s="1"/>
  <c r="DJ282" i="90"/>
  <c r="DR282" i="90" s="1"/>
  <c r="DJ283" i="90"/>
  <c r="DR283" i="90" s="1"/>
  <c r="DJ284" i="90"/>
  <c r="DL284" i="90" s="1"/>
  <c r="DJ285" i="90"/>
  <c r="DL285" i="90" s="1"/>
  <c r="DJ286" i="90"/>
  <c r="DR286" i="90" s="1"/>
  <c r="DJ287" i="90"/>
  <c r="DR287" i="90" s="1"/>
  <c r="DJ288" i="90"/>
  <c r="DL288" i="90" s="1"/>
  <c r="DJ289" i="90"/>
  <c r="DL289" i="90" s="1"/>
  <c r="DJ290" i="90"/>
  <c r="DR290" i="90" s="1"/>
  <c r="DJ291" i="90"/>
  <c r="DR291" i="90" s="1"/>
  <c r="DJ292" i="90"/>
  <c r="DL292" i="90" s="1"/>
  <c r="DJ293" i="90"/>
  <c r="DL293" i="90" s="1"/>
  <c r="DJ294" i="90"/>
  <c r="DR294" i="90" s="1"/>
  <c r="DJ295" i="90"/>
  <c r="DR295" i="90" s="1"/>
  <c r="DJ296" i="90"/>
  <c r="DL296" i="90" s="1"/>
  <c r="DJ297" i="90"/>
  <c r="DL297" i="90" s="1"/>
  <c r="DJ298" i="90"/>
  <c r="DR298" i="90" s="1"/>
  <c r="DJ299" i="90"/>
  <c r="DR299" i="90" s="1"/>
  <c r="DK297" i="90" l="1"/>
  <c r="DK293" i="90"/>
  <c r="DK289" i="90"/>
  <c r="DK285" i="90"/>
  <c r="DK281" i="90"/>
  <c r="DK277" i="90"/>
  <c r="DK273" i="90"/>
  <c r="DK269" i="90"/>
  <c r="DK265" i="90"/>
  <c r="DK261" i="90"/>
  <c r="DL299" i="90"/>
  <c r="DL295" i="90"/>
  <c r="DL291" i="90"/>
  <c r="DL287" i="90"/>
  <c r="DL283" i="90"/>
  <c r="DL279" i="90"/>
  <c r="DL275" i="90"/>
  <c r="DL271" i="90"/>
  <c r="DL267" i="90"/>
  <c r="DL263" i="90"/>
  <c r="DR297" i="90"/>
  <c r="DR293" i="90"/>
  <c r="DR289" i="90"/>
  <c r="DR285" i="90"/>
  <c r="DR281" i="90"/>
  <c r="DR277" i="90"/>
  <c r="DR273" i="90"/>
  <c r="DR269" i="90"/>
  <c r="DR265" i="90"/>
  <c r="DR261" i="90"/>
  <c r="DK296" i="90"/>
  <c r="DK292" i="90"/>
  <c r="DK288" i="90"/>
  <c r="DK284" i="90"/>
  <c r="DK280" i="90"/>
  <c r="DK276" i="90"/>
  <c r="DK272" i="90"/>
  <c r="DK268" i="90"/>
  <c r="DK264" i="90"/>
  <c r="DK260" i="90"/>
  <c r="DL298" i="90"/>
  <c r="DL294" i="90"/>
  <c r="DL290" i="90"/>
  <c r="DL286" i="90"/>
  <c r="DL282" i="90"/>
  <c r="DL278" i="90"/>
  <c r="DL274" i="90"/>
  <c r="DL270" i="90"/>
  <c r="DL266" i="90"/>
  <c r="DL262" i="90"/>
  <c r="DR296" i="90"/>
  <c r="DR292" i="90"/>
  <c r="DR288" i="90"/>
  <c r="DR284" i="90"/>
  <c r="DR280" i="90"/>
  <c r="DR276" i="90"/>
  <c r="DR272" i="90"/>
  <c r="DR268" i="90"/>
  <c r="DR264" i="90"/>
  <c r="DR260" i="90"/>
  <c r="DK299" i="90"/>
  <c r="DK295" i="90"/>
  <c r="DK291" i="90"/>
  <c r="DK287" i="90"/>
  <c r="DK283" i="90"/>
  <c r="DK279" i="90"/>
  <c r="DK275" i="90"/>
  <c r="DK271" i="90"/>
  <c r="DK267" i="90"/>
  <c r="DK263" i="90"/>
  <c r="DK298" i="90"/>
  <c r="DK294" i="90"/>
  <c r="DK290" i="90"/>
  <c r="DK286" i="90"/>
  <c r="DK282" i="90"/>
  <c r="DK278" i="90"/>
  <c r="DK274" i="90"/>
  <c r="DK270" i="90"/>
  <c r="DK266" i="90"/>
  <c r="DK262" i="90"/>
  <c r="E107" i="90"/>
  <c r="E108" i="90"/>
  <c r="E109" i="90"/>
  <c r="E110" i="90"/>
  <c r="E84" i="90"/>
  <c r="E85" i="90"/>
  <c r="E86" i="90"/>
  <c r="E87" i="90"/>
  <c r="E88" i="90"/>
  <c r="E89" i="90"/>
  <c r="E90" i="90"/>
  <c r="E91" i="90"/>
  <c r="E92" i="90"/>
  <c r="E93" i="90"/>
  <c r="E94" i="90"/>
  <c r="E95" i="90"/>
  <c r="E96" i="90"/>
  <c r="E97" i="90"/>
  <c r="E98" i="90"/>
  <c r="E99" i="90"/>
  <c r="E100" i="90"/>
  <c r="E101" i="90"/>
  <c r="E102" i="90"/>
  <c r="E103" i="90"/>
  <c r="E104" i="90"/>
  <c r="E105" i="90"/>
  <c r="E106" i="90"/>
  <c r="E74" i="90"/>
  <c r="E75" i="90"/>
  <c r="E76" i="90"/>
  <c r="E77" i="90"/>
  <c r="E78" i="90"/>
  <c r="E79" i="90"/>
  <c r="E80" i="90"/>
  <c r="E81" i="90"/>
  <c r="E82" i="90"/>
  <c r="E83" i="90"/>
  <c r="DN268" i="90" l="1"/>
  <c r="DN265" i="90"/>
  <c r="DN269" i="90"/>
  <c r="DN266" i="90"/>
  <c r="DN267" i="90"/>
  <c r="DN280" i="90"/>
  <c r="DN284" i="90"/>
  <c r="DN281" i="90"/>
  <c r="DN282" i="90"/>
  <c r="DN283" i="90"/>
  <c r="DN296" i="90"/>
  <c r="DN297" i="90"/>
  <c r="DN298" i="90"/>
  <c r="DN295" i="90"/>
  <c r="DN299" i="90"/>
  <c r="DN292" i="90"/>
  <c r="DN293" i="90"/>
  <c r="DN290" i="90"/>
  <c r="DN294" i="90"/>
  <c r="DN291" i="90"/>
  <c r="DN260" i="90"/>
  <c r="DN264" i="90"/>
  <c r="DN261" i="90"/>
  <c r="DN262" i="90"/>
  <c r="DN263" i="90"/>
  <c r="DN276" i="90"/>
  <c r="DN277" i="90"/>
  <c r="DN278" i="90"/>
  <c r="DN275" i="90"/>
  <c r="DN279" i="90"/>
  <c r="DN272" i="90"/>
  <c r="DN273" i="90"/>
  <c r="DN270" i="90"/>
  <c r="DN274" i="90"/>
  <c r="DN271" i="90"/>
  <c r="DN288" i="90"/>
  <c r="DN285" i="90"/>
  <c r="DN289" i="90"/>
  <c r="DN286" i="90"/>
  <c r="DN287" i="90"/>
  <c r="CD3" i="98"/>
  <c r="CC3" i="98"/>
  <c r="CB3" i="98"/>
  <c r="CA3" i="98"/>
  <c r="DO287" i="90" l="1"/>
  <c r="DS287" i="90"/>
  <c r="DQ287" i="90"/>
  <c r="DO270" i="90"/>
  <c r="DQ270" i="90"/>
  <c r="DS270" i="90"/>
  <c r="DO263" i="90"/>
  <c r="DS263" i="90"/>
  <c r="DQ263" i="90"/>
  <c r="DO260" i="90"/>
  <c r="DQ260" i="90"/>
  <c r="DS260" i="90"/>
  <c r="DO295" i="90"/>
  <c r="DQ295" i="90"/>
  <c r="DS295" i="90"/>
  <c r="DO283" i="90"/>
  <c r="DQ283" i="90"/>
  <c r="DS283" i="90"/>
  <c r="DO269" i="90"/>
  <c r="DS269" i="90"/>
  <c r="DQ269" i="90"/>
  <c r="DO273" i="90"/>
  <c r="DQ273" i="90"/>
  <c r="DS273" i="90"/>
  <c r="DS262" i="90"/>
  <c r="DO262" i="90"/>
  <c r="DQ262" i="90"/>
  <c r="DO282" i="90"/>
  <c r="DQ282" i="90"/>
  <c r="DS282" i="90"/>
  <c r="DO265" i="90"/>
  <c r="DQ265" i="90"/>
  <c r="DS265" i="90"/>
  <c r="DO271" i="90"/>
  <c r="DS271" i="90"/>
  <c r="DQ271" i="90"/>
  <c r="DO272" i="90"/>
  <c r="DS272" i="90"/>
  <c r="DQ272" i="90"/>
  <c r="DO279" i="90"/>
  <c r="DQ279" i="90"/>
  <c r="DS279" i="90"/>
  <c r="DO276" i="90"/>
  <c r="DS276" i="90"/>
  <c r="DQ276" i="90"/>
  <c r="DO261" i="90"/>
  <c r="DQ261" i="90"/>
  <c r="DS261" i="90"/>
  <c r="DO294" i="90"/>
  <c r="DQ294" i="90"/>
  <c r="DS294" i="90"/>
  <c r="DO297" i="90"/>
  <c r="DQ297" i="90"/>
  <c r="DS297" i="90"/>
  <c r="DO281" i="90"/>
  <c r="DQ281" i="90"/>
  <c r="DS281" i="90"/>
  <c r="DO267" i="90"/>
  <c r="DS267" i="90"/>
  <c r="DQ267" i="90"/>
  <c r="DO268" i="90"/>
  <c r="DS268" i="90"/>
  <c r="DQ268" i="90"/>
  <c r="DO288" i="90"/>
  <c r="DQ288" i="90"/>
  <c r="DS288" i="90"/>
  <c r="DO278" i="90"/>
  <c r="DQ278" i="90"/>
  <c r="DS278" i="90"/>
  <c r="DO293" i="90"/>
  <c r="DQ293" i="90"/>
  <c r="DS293" i="90"/>
  <c r="DO280" i="90"/>
  <c r="DQ280" i="90"/>
  <c r="DS280" i="90"/>
  <c r="DO286" i="90"/>
  <c r="DQ286" i="90"/>
  <c r="DS286" i="90"/>
  <c r="DO277" i="90"/>
  <c r="DQ277" i="90"/>
  <c r="DS277" i="90"/>
  <c r="DO291" i="90"/>
  <c r="DQ291" i="90"/>
  <c r="DS291" i="90"/>
  <c r="DO292" i="90"/>
  <c r="DS292" i="90"/>
  <c r="DQ292" i="90"/>
  <c r="DO298" i="90"/>
  <c r="DQ298" i="90"/>
  <c r="DS298" i="90"/>
  <c r="DO289" i="90"/>
  <c r="DS289" i="90"/>
  <c r="DQ289" i="90"/>
  <c r="DO285" i="90"/>
  <c r="DQ285" i="90"/>
  <c r="DS285" i="90"/>
  <c r="DO274" i="90"/>
  <c r="DQ274" i="90"/>
  <c r="DS274" i="90"/>
  <c r="DO275" i="90"/>
  <c r="DQ275" i="90"/>
  <c r="DS275" i="90"/>
  <c r="DO264" i="90"/>
  <c r="DS264" i="90"/>
  <c r="DQ264" i="90"/>
  <c r="DO290" i="90"/>
  <c r="DQ290" i="90"/>
  <c r="DS290" i="90"/>
  <c r="DO299" i="90"/>
  <c r="DS299" i="90"/>
  <c r="DQ299" i="90"/>
  <c r="DO296" i="90"/>
  <c r="DQ296" i="90"/>
  <c r="DS296" i="90"/>
  <c r="DO284" i="90"/>
  <c r="DQ284" i="90"/>
  <c r="DS284" i="90"/>
  <c r="DO266" i="90"/>
  <c r="DQ266" i="90"/>
  <c r="DS266" i="90"/>
  <c r="BH211" i="82" l="1"/>
  <c r="BH255" i="82"/>
  <c r="BH287" i="82"/>
  <c r="BH291" i="82"/>
  <c r="BH295" i="82"/>
  <c r="BH299" i="82"/>
  <c r="BH303" i="82"/>
  <c r="BG41" i="82"/>
  <c r="BH41" i="82" s="1"/>
  <c r="BG81" i="82"/>
  <c r="BH81" i="82" s="1"/>
  <c r="BG115" i="82"/>
  <c r="BH115" i="82" s="1"/>
  <c r="BG123" i="82"/>
  <c r="BH123" i="82" s="1"/>
  <c r="BG157" i="82"/>
  <c r="BH157" i="82" s="1"/>
  <c r="BG169" i="82"/>
  <c r="BH169" i="82" s="1"/>
  <c r="BG198" i="82"/>
  <c r="BH198" i="82" s="1"/>
  <c r="BG203" i="82"/>
  <c r="BH203" i="82" s="1"/>
  <c r="BG215" i="82"/>
  <c r="BH215" i="82" s="1"/>
  <c r="BG238" i="82"/>
  <c r="BH238" i="82" s="1"/>
  <c r="BG243" i="82"/>
  <c r="BH243" i="82" s="1"/>
  <c r="BG275" i="82"/>
  <c r="BH275" i="82" s="1"/>
  <c r="BG281" i="82"/>
  <c r="BH281" i="82" s="1"/>
  <c r="BG285" i="82"/>
  <c r="BH285" i="82" s="1"/>
  <c r="BG286" i="82"/>
  <c r="BH286" i="82" s="1"/>
  <c r="BG287" i="82"/>
  <c r="BG288" i="82"/>
  <c r="BH288" i="82" s="1"/>
  <c r="BG289" i="82"/>
  <c r="BH289" i="82" s="1"/>
  <c r="BG290" i="82"/>
  <c r="BH290" i="82" s="1"/>
  <c r="BG291" i="82"/>
  <c r="BG292" i="82"/>
  <c r="BH292" i="82" s="1"/>
  <c r="BG293" i="82"/>
  <c r="BH293" i="82" s="1"/>
  <c r="BG294" i="82"/>
  <c r="BH294" i="82" s="1"/>
  <c r="BG295" i="82"/>
  <c r="BG296" i="82"/>
  <c r="BH296" i="82" s="1"/>
  <c r="BG297" i="82"/>
  <c r="BH297" i="82" s="1"/>
  <c r="BG298" i="82"/>
  <c r="BH298" i="82" s="1"/>
  <c r="BG299" i="82"/>
  <c r="BG300" i="82"/>
  <c r="BH300" i="82" s="1"/>
  <c r="BG301" i="82"/>
  <c r="BH301" i="82" s="1"/>
  <c r="BG302" i="82"/>
  <c r="BH302" i="82" s="1"/>
  <c r="BG303" i="82"/>
  <c r="BG304" i="82"/>
  <c r="BH304" i="82" s="1"/>
  <c r="AA7" i="82"/>
  <c r="AA8" i="82"/>
  <c r="AA9" i="82"/>
  <c r="BG38" i="82" s="1"/>
  <c r="BH38" i="82" s="1"/>
  <c r="AA10" i="82"/>
  <c r="AA11" i="82"/>
  <c r="AA12" i="82"/>
  <c r="AA13" i="82"/>
  <c r="BG78" i="82" s="1"/>
  <c r="BH78" i="82" s="1"/>
  <c r="AA14" i="82"/>
  <c r="BG93" i="82" s="1"/>
  <c r="BH93" i="82" s="1"/>
  <c r="AA15" i="82"/>
  <c r="BG97" i="82" s="1"/>
  <c r="BH97" i="82" s="1"/>
  <c r="AA16" i="82"/>
  <c r="AA17" i="82"/>
  <c r="BG118" i="82" s="1"/>
  <c r="BH118" i="82" s="1"/>
  <c r="AA18" i="82"/>
  <c r="BG129" i="82" s="1"/>
  <c r="BH129" i="82" s="1"/>
  <c r="AA19" i="82"/>
  <c r="BG137" i="82" s="1"/>
  <c r="BH137" i="82" s="1"/>
  <c r="AA20" i="82"/>
  <c r="BG145" i="82" s="1"/>
  <c r="BH145" i="82" s="1"/>
  <c r="AA21" i="82"/>
  <c r="BG158" i="82" s="1"/>
  <c r="BH158" i="82" s="1"/>
  <c r="AA22" i="82"/>
  <c r="BG173" i="82" s="1"/>
  <c r="BH173" i="82" s="1"/>
  <c r="AA23" i="82"/>
  <c r="BG181" i="82" s="1"/>
  <c r="BH181" i="82" s="1"/>
  <c r="AA24" i="82"/>
  <c r="AA25" i="82"/>
  <c r="BG196" i="82" s="1"/>
  <c r="BH196" i="82" s="1"/>
  <c r="AA26" i="82"/>
  <c r="BG211" i="82" s="1"/>
  <c r="AA27" i="82"/>
  <c r="BG223" i="82" s="1"/>
  <c r="BH223" i="82" s="1"/>
  <c r="AA28" i="82"/>
  <c r="BG227" i="82" s="1"/>
  <c r="BH227" i="82" s="1"/>
  <c r="AA29" i="82"/>
  <c r="BG236" i="82" s="1"/>
  <c r="BH236" i="82" s="1"/>
  <c r="AA30" i="82"/>
  <c r="BG249" i="82" s="1"/>
  <c r="BH249" i="82" s="1"/>
  <c r="AA31" i="82"/>
  <c r="BG255" i="82" s="1"/>
  <c r="AA32" i="82"/>
  <c r="AA33" i="82"/>
  <c r="BG276" i="82" s="1"/>
  <c r="BH276" i="82" s="1"/>
  <c r="AA6" i="82"/>
  <c r="BG5" i="82" s="1"/>
  <c r="BH5" i="82" s="1"/>
  <c r="BG279" i="82" l="1"/>
  <c r="BH279" i="82" s="1"/>
  <c r="BG259" i="82"/>
  <c r="BH259" i="82" s="1"/>
  <c r="BG242" i="82"/>
  <c r="BH242" i="82" s="1"/>
  <c r="BG237" i="82"/>
  <c r="BH237" i="82" s="1"/>
  <c r="BG213" i="82"/>
  <c r="BH213" i="82" s="1"/>
  <c r="BG202" i="82"/>
  <c r="BH202" i="82" s="1"/>
  <c r="BG197" i="82"/>
  <c r="BH197" i="82" s="1"/>
  <c r="BG163" i="82"/>
  <c r="BH163" i="82" s="1"/>
  <c r="BG155" i="82"/>
  <c r="BH155" i="82" s="1"/>
  <c r="BG121" i="82"/>
  <c r="BH121" i="82" s="1"/>
  <c r="BG101" i="82"/>
  <c r="BH101" i="82" s="1"/>
  <c r="BG79" i="82"/>
  <c r="BH79" i="82" s="1"/>
  <c r="BG37" i="82"/>
  <c r="BH37" i="82" s="1"/>
  <c r="BG283" i="82"/>
  <c r="BH283" i="82" s="1"/>
  <c r="BG278" i="82"/>
  <c r="BH278" i="82" s="1"/>
  <c r="BG251" i="82"/>
  <c r="BH251" i="82" s="1"/>
  <c r="BG241" i="82"/>
  <c r="BH241" i="82" s="1"/>
  <c r="BG235" i="82"/>
  <c r="BH235" i="82" s="1"/>
  <c r="BG207" i="82"/>
  <c r="BH207" i="82" s="1"/>
  <c r="BG201" i="82"/>
  <c r="BH201" i="82" s="1"/>
  <c r="BG195" i="82"/>
  <c r="BH195" i="82" s="1"/>
  <c r="BG161" i="82"/>
  <c r="BH161" i="82" s="1"/>
  <c r="BG119" i="82"/>
  <c r="BH119" i="82" s="1"/>
  <c r="BG85" i="82"/>
  <c r="BH85" i="82" s="1"/>
  <c r="BG77" i="82"/>
  <c r="BH77" i="82" s="1"/>
  <c r="BG282" i="82"/>
  <c r="BH282" i="82" s="1"/>
  <c r="BG277" i="82"/>
  <c r="BH277" i="82" s="1"/>
  <c r="BG239" i="82"/>
  <c r="BH239" i="82" s="1"/>
  <c r="BG205" i="82"/>
  <c r="BH205" i="82" s="1"/>
  <c r="BG199" i="82"/>
  <c r="BH199" i="82" s="1"/>
  <c r="BG159" i="82"/>
  <c r="BH159" i="82" s="1"/>
  <c r="BG133" i="82"/>
  <c r="BH133" i="82" s="1"/>
  <c r="BG117" i="82"/>
  <c r="BH117" i="82" s="1"/>
  <c r="BG83" i="82"/>
  <c r="BH83" i="82" s="1"/>
  <c r="BG75" i="82"/>
  <c r="BH75" i="82" s="1"/>
  <c r="BG268" i="82"/>
  <c r="BH268" i="82" s="1"/>
  <c r="BG272" i="82"/>
  <c r="BH272" i="82" s="1"/>
  <c r="BG186" i="82"/>
  <c r="BH186" i="82" s="1"/>
  <c r="BG190" i="82"/>
  <c r="BH190" i="82" s="1"/>
  <c r="BG194" i="82"/>
  <c r="BH194" i="82" s="1"/>
  <c r="BG188" i="82"/>
  <c r="BH188" i="82" s="1"/>
  <c r="BG192" i="82"/>
  <c r="BH192" i="82" s="1"/>
  <c r="BG106" i="82"/>
  <c r="BH106" i="82" s="1"/>
  <c r="BG110" i="82"/>
  <c r="BH110" i="82" s="1"/>
  <c r="BG114" i="82"/>
  <c r="BH114" i="82" s="1"/>
  <c r="BG107" i="82"/>
  <c r="BH107" i="82" s="1"/>
  <c r="BG111" i="82"/>
  <c r="BH111" i="82" s="1"/>
  <c r="BG108" i="82"/>
  <c r="BH108" i="82" s="1"/>
  <c r="BG112" i="82"/>
  <c r="BH112" i="82" s="1"/>
  <c r="BG26" i="82"/>
  <c r="BH26" i="82" s="1"/>
  <c r="BG30" i="82"/>
  <c r="BH30" i="82" s="1"/>
  <c r="BG34" i="82"/>
  <c r="BH34" i="82" s="1"/>
  <c r="BG27" i="82"/>
  <c r="BH27" i="82" s="1"/>
  <c r="BG31" i="82"/>
  <c r="BH31" i="82" s="1"/>
  <c r="BG28" i="82"/>
  <c r="BH28" i="82" s="1"/>
  <c r="BG32" i="82"/>
  <c r="BH32" i="82" s="1"/>
  <c r="BG25" i="82"/>
  <c r="BH25" i="82" s="1"/>
  <c r="BG29" i="82"/>
  <c r="BH29" i="82" s="1"/>
  <c r="BG33" i="82"/>
  <c r="BH33" i="82" s="1"/>
  <c r="BG271" i="82"/>
  <c r="BH271" i="82" s="1"/>
  <c r="BG153" i="82"/>
  <c r="BH153" i="82" s="1"/>
  <c r="BG218" i="82"/>
  <c r="BH218" i="82" s="1"/>
  <c r="BG222" i="82"/>
  <c r="BH222" i="82" s="1"/>
  <c r="BG216" i="82"/>
  <c r="BH216" i="82" s="1"/>
  <c r="BG220" i="82"/>
  <c r="BH220" i="82" s="1"/>
  <c r="BG224" i="82"/>
  <c r="BH224" i="82" s="1"/>
  <c r="BG138" i="82"/>
  <c r="BH138" i="82" s="1"/>
  <c r="BG142" i="82"/>
  <c r="BH142" i="82" s="1"/>
  <c r="BG135" i="82"/>
  <c r="BH135" i="82" s="1"/>
  <c r="BG139" i="82"/>
  <c r="BH139" i="82" s="1"/>
  <c r="BG143" i="82"/>
  <c r="BH143" i="82" s="1"/>
  <c r="BG136" i="82"/>
  <c r="BH136" i="82" s="1"/>
  <c r="BG140" i="82"/>
  <c r="BH140" i="82" s="1"/>
  <c r="BG144" i="82"/>
  <c r="BH144" i="82" s="1"/>
  <c r="BG58" i="82"/>
  <c r="BH58" i="82" s="1"/>
  <c r="BG62" i="82"/>
  <c r="BH62" i="82" s="1"/>
  <c r="BG55" i="82"/>
  <c r="BH55" i="82" s="1"/>
  <c r="BG59" i="82"/>
  <c r="BH59" i="82" s="1"/>
  <c r="BG63" i="82"/>
  <c r="BH63" i="82" s="1"/>
  <c r="BG56" i="82"/>
  <c r="BH56" i="82" s="1"/>
  <c r="BG60" i="82"/>
  <c r="BH60" i="82" s="1"/>
  <c r="BG64" i="82"/>
  <c r="BH64" i="82" s="1"/>
  <c r="BG57" i="82"/>
  <c r="BH57" i="82" s="1"/>
  <c r="BG61" i="82"/>
  <c r="BH61" i="82" s="1"/>
  <c r="BG265" i="82"/>
  <c r="BH265" i="82" s="1"/>
  <c r="BG229" i="82"/>
  <c r="BH229" i="82" s="1"/>
  <c r="BG185" i="82"/>
  <c r="BH185" i="82" s="1"/>
  <c r="BG149" i="82"/>
  <c r="BH149" i="82" s="1"/>
  <c r="BG246" i="82"/>
  <c r="BH246" i="82" s="1"/>
  <c r="BG250" i="82"/>
  <c r="BH250" i="82" s="1"/>
  <c r="BG254" i="82"/>
  <c r="BH254" i="82" s="1"/>
  <c r="BG248" i="82"/>
  <c r="BH248" i="82" s="1"/>
  <c r="BG252" i="82"/>
  <c r="BH252" i="82" s="1"/>
  <c r="BG166" i="82"/>
  <c r="BH166" i="82" s="1"/>
  <c r="BG170" i="82"/>
  <c r="BH170" i="82" s="1"/>
  <c r="BG174" i="82"/>
  <c r="BH174" i="82" s="1"/>
  <c r="BG167" i="82"/>
  <c r="BH167" i="82" s="1"/>
  <c r="BG171" i="82"/>
  <c r="BH171" i="82" s="1"/>
  <c r="BG168" i="82"/>
  <c r="BH168" i="82" s="1"/>
  <c r="BG172" i="82"/>
  <c r="BH172" i="82" s="1"/>
  <c r="BG46" i="82"/>
  <c r="BH46" i="82" s="1"/>
  <c r="BG50" i="82"/>
  <c r="BH50" i="82" s="1"/>
  <c r="BG54" i="82"/>
  <c r="BH54" i="82" s="1"/>
  <c r="BG47" i="82"/>
  <c r="BH47" i="82" s="1"/>
  <c r="BG51" i="82"/>
  <c r="BH51" i="82" s="1"/>
  <c r="BG48" i="82"/>
  <c r="BH48" i="82" s="1"/>
  <c r="BG52" i="82"/>
  <c r="BH52" i="82" s="1"/>
  <c r="BG45" i="82"/>
  <c r="BH45" i="82" s="1"/>
  <c r="BG49" i="82"/>
  <c r="BH49" i="82" s="1"/>
  <c r="BG53" i="82"/>
  <c r="BH53" i="82" s="1"/>
  <c r="BG274" i="82"/>
  <c r="BH274" i="82" s="1"/>
  <c r="BG269" i="82"/>
  <c r="BH269" i="82" s="1"/>
  <c r="BG263" i="82"/>
  <c r="BH263" i="82" s="1"/>
  <c r="BG247" i="82"/>
  <c r="BH247" i="82" s="1"/>
  <c r="BG219" i="82"/>
  <c r="BH219" i="82" s="1"/>
  <c r="BG191" i="82"/>
  <c r="BH191" i="82" s="1"/>
  <c r="BG165" i="82"/>
  <c r="BH165" i="82" s="1"/>
  <c r="BG109" i="82"/>
  <c r="BH109" i="82" s="1"/>
  <c r="BG226" i="82"/>
  <c r="BH226" i="82" s="1"/>
  <c r="BG230" i="82"/>
  <c r="BH230" i="82" s="1"/>
  <c r="BG234" i="82"/>
  <c r="BH234" i="82" s="1"/>
  <c r="BG228" i="82"/>
  <c r="BH228" i="82" s="1"/>
  <c r="BG232" i="82"/>
  <c r="BH232" i="82" s="1"/>
  <c r="BG146" i="82"/>
  <c r="BH146" i="82" s="1"/>
  <c r="BG150" i="82"/>
  <c r="BH150" i="82" s="1"/>
  <c r="BG154" i="82"/>
  <c r="BH154" i="82" s="1"/>
  <c r="BG147" i="82"/>
  <c r="BH147" i="82" s="1"/>
  <c r="BG151" i="82"/>
  <c r="BH151" i="82" s="1"/>
  <c r="BG148" i="82"/>
  <c r="BH148" i="82" s="1"/>
  <c r="BG152" i="82"/>
  <c r="BH152" i="82" s="1"/>
  <c r="BG66" i="82"/>
  <c r="BH66" i="82" s="1"/>
  <c r="BG70" i="82"/>
  <c r="BH70" i="82" s="1"/>
  <c r="BG74" i="82"/>
  <c r="BH74" i="82" s="1"/>
  <c r="BG67" i="82"/>
  <c r="BH67" i="82" s="1"/>
  <c r="BG71" i="82"/>
  <c r="BH71" i="82" s="1"/>
  <c r="BG68" i="82"/>
  <c r="BH68" i="82" s="1"/>
  <c r="BG72" i="82"/>
  <c r="BH72" i="82" s="1"/>
  <c r="BG65" i="82"/>
  <c r="BH65" i="82" s="1"/>
  <c r="BG69" i="82"/>
  <c r="BH69" i="82" s="1"/>
  <c r="BG73" i="82"/>
  <c r="BH73" i="82" s="1"/>
  <c r="BG266" i="82"/>
  <c r="BH266" i="82" s="1"/>
  <c r="BG231" i="82"/>
  <c r="BH231" i="82" s="1"/>
  <c r="BG187" i="82"/>
  <c r="BH187" i="82" s="1"/>
  <c r="BG258" i="82"/>
  <c r="BH258" i="82" s="1"/>
  <c r="BG262" i="82"/>
  <c r="BH262" i="82" s="1"/>
  <c r="BG256" i="82"/>
  <c r="BH256" i="82" s="1"/>
  <c r="BG260" i="82"/>
  <c r="BH260" i="82" s="1"/>
  <c r="BG264" i="82"/>
  <c r="BH264" i="82" s="1"/>
  <c r="BG178" i="82"/>
  <c r="BH178" i="82" s="1"/>
  <c r="BG182" i="82"/>
  <c r="BH182" i="82" s="1"/>
  <c r="BG175" i="82"/>
  <c r="BH175" i="82" s="1"/>
  <c r="BG179" i="82"/>
  <c r="BH179" i="82" s="1"/>
  <c r="BG183" i="82"/>
  <c r="BH183" i="82" s="1"/>
  <c r="BG176" i="82"/>
  <c r="BH176" i="82" s="1"/>
  <c r="BG180" i="82"/>
  <c r="BH180" i="82" s="1"/>
  <c r="BG184" i="82"/>
  <c r="BH184" i="82" s="1"/>
  <c r="BG98" i="82"/>
  <c r="BH98" i="82" s="1"/>
  <c r="BG102" i="82"/>
  <c r="BH102" i="82" s="1"/>
  <c r="BG95" i="82"/>
  <c r="BH95" i="82" s="1"/>
  <c r="BG99" i="82"/>
  <c r="BH99" i="82" s="1"/>
  <c r="BG103" i="82"/>
  <c r="BH103" i="82" s="1"/>
  <c r="BG96" i="82"/>
  <c r="BH96" i="82" s="1"/>
  <c r="BG100" i="82"/>
  <c r="BH100" i="82" s="1"/>
  <c r="BG104" i="82"/>
  <c r="BH104" i="82" s="1"/>
  <c r="BG18" i="82"/>
  <c r="BH18" i="82" s="1"/>
  <c r="BG22" i="82"/>
  <c r="BH22" i="82" s="1"/>
  <c r="BG15" i="82"/>
  <c r="BH15" i="82" s="1"/>
  <c r="BG19" i="82"/>
  <c r="BH19" i="82" s="1"/>
  <c r="BG23" i="82"/>
  <c r="BH23" i="82" s="1"/>
  <c r="BG16" i="82"/>
  <c r="BH16" i="82" s="1"/>
  <c r="BG20" i="82"/>
  <c r="BH20" i="82" s="1"/>
  <c r="BG24" i="82"/>
  <c r="BH24" i="82" s="1"/>
  <c r="BG17" i="82"/>
  <c r="BH17" i="82" s="1"/>
  <c r="BG21" i="82"/>
  <c r="BH21" i="82" s="1"/>
  <c r="BG270" i="82"/>
  <c r="BH270" i="82" s="1"/>
  <c r="BG257" i="82"/>
  <c r="BH257" i="82" s="1"/>
  <c r="BG221" i="82"/>
  <c r="BH221" i="82" s="1"/>
  <c r="BG193" i="82"/>
  <c r="BH193" i="82" s="1"/>
  <c r="BG113" i="82"/>
  <c r="BH113" i="82" s="1"/>
  <c r="BG6" i="82"/>
  <c r="BH6" i="82" s="1"/>
  <c r="BG10" i="82"/>
  <c r="BH10" i="82" s="1"/>
  <c r="BG14" i="82"/>
  <c r="BH14" i="82" s="1"/>
  <c r="BG7" i="82"/>
  <c r="BH7" i="82" s="1"/>
  <c r="BG11" i="82"/>
  <c r="BH11" i="82" s="1"/>
  <c r="BG8" i="82"/>
  <c r="BH8" i="82" s="1"/>
  <c r="BG12" i="82"/>
  <c r="BH12" i="82" s="1"/>
  <c r="BG9" i="82"/>
  <c r="BH9" i="82" s="1"/>
  <c r="BG13" i="82"/>
  <c r="BH13" i="82" s="1"/>
  <c r="BG206" i="82"/>
  <c r="BH206" i="82" s="1"/>
  <c r="BG210" i="82"/>
  <c r="BH210" i="82" s="1"/>
  <c r="BG214" i="82"/>
  <c r="BH214" i="82" s="1"/>
  <c r="BG208" i="82"/>
  <c r="BH208" i="82" s="1"/>
  <c r="BG212" i="82"/>
  <c r="BH212" i="82" s="1"/>
  <c r="BG126" i="82"/>
  <c r="BH126" i="82" s="1"/>
  <c r="BG130" i="82"/>
  <c r="BH130" i="82" s="1"/>
  <c r="BG134" i="82"/>
  <c r="BH134" i="82" s="1"/>
  <c r="BG127" i="82"/>
  <c r="BH127" i="82" s="1"/>
  <c r="BG131" i="82"/>
  <c r="BH131" i="82" s="1"/>
  <c r="BG128" i="82"/>
  <c r="BH128" i="82" s="1"/>
  <c r="BG132" i="82"/>
  <c r="BH132" i="82" s="1"/>
  <c r="BG86" i="82"/>
  <c r="BH86" i="82" s="1"/>
  <c r="BG90" i="82"/>
  <c r="BH90" i="82" s="1"/>
  <c r="BG94" i="82"/>
  <c r="BH94" i="82" s="1"/>
  <c r="BG87" i="82"/>
  <c r="BH87" i="82" s="1"/>
  <c r="BG91" i="82"/>
  <c r="BH91" i="82" s="1"/>
  <c r="BG88" i="82"/>
  <c r="BH88" i="82" s="1"/>
  <c r="BG92" i="82"/>
  <c r="BH92" i="82" s="1"/>
  <c r="BG273" i="82"/>
  <c r="BH273" i="82" s="1"/>
  <c r="BG267" i="82"/>
  <c r="BH267" i="82" s="1"/>
  <c r="BG261" i="82"/>
  <c r="BH261" i="82" s="1"/>
  <c r="BG253" i="82"/>
  <c r="BH253" i="82" s="1"/>
  <c r="BG245" i="82"/>
  <c r="BH245" i="82" s="1"/>
  <c r="BG233" i="82"/>
  <c r="BH233" i="82" s="1"/>
  <c r="BG225" i="82"/>
  <c r="BH225" i="82" s="1"/>
  <c r="BG217" i="82"/>
  <c r="BH217" i="82" s="1"/>
  <c r="BG209" i="82"/>
  <c r="BH209" i="82" s="1"/>
  <c r="BG189" i="82"/>
  <c r="BH189" i="82" s="1"/>
  <c r="BG177" i="82"/>
  <c r="BH177" i="82" s="1"/>
  <c r="BG141" i="82"/>
  <c r="BH141" i="82" s="1"/>
  <c r="BG125" i="82"/>
  <c r="BH125" i="82" s="1"/>
  <c r="BG105" i="82"/>
  <c r="BH105" i="82" s="1"/>
  <c r="BG89" i="82"/>
  <c r="BH89" i="82" s="1"/>
  <c r="BG284" i="82"/>
  <c r="BH284" i="82" s="1"/>
  <c r="BG280" i="82"/>
  <c r="BH280" i="82" s="1"/>
  <c r="BG244" i="82"/>
  <c r="BH244" i="82" s="1"/>
  <c r="BG240" i="82"/>
  <c r="BH240" i="82" s="1"/>
  <c r="BG204" i="82"/>
  <c r="BH204" i="82" s="1"/>
  <c r="BG200" i="82"/>
  <c r="BH200" i="82" s="1"/>
  <c r="BG164" i="82"/>
  <c r="BH164" i="82" s="1"/>
  <c r="BG160" i="82"/>
  <c r="BH160" i="82" s="1"/>
  <c r="BG156" i="82"/>
  <c r="BH156" i="82" s="1"/>
  <c r="BG124" i="82"/>
  <c r="BH124" i="82" s="1"/>
  <c r="BG120" i="82"/>
  <c r="BH120" i="82" s="1"/>
  <c r="BG116" i="82"/>
  <c r="BH116" i="82" s="1"/>
  <c r="BG84" i="82"/>
  <c r="BH84" i="82" s="1"/>
  <c r="BG80" i="82"/>
  <c r="BH80" i="82" s="1"/>
  <c r="BG76" i="82"/>
  <c r="BH76" i="82" s="1"/>
  <c r="BG44" i="82"/>
  <c r="BH44" i="82" s="1"/>
  <c r="BG40" i="82"/>
  <c r="BH40" i="82" s="1"/>
  <c r="BG36" i="82"/>
  <c r="BH36" i="82" s="1"/>
  <c r="BG43" i="82"/>
  <c r="BH43" i="82" s="1"/>
  <c r="BG39" i="82"/>
  <c r="BH39" i="82" s="1"/>
  <c r="BG35" i="82"/>
  <c r="BH35" i="82" s="1"/>
  <c r="BG162" i="82"/>
  <c r="BH162" i="82" s="1"/>
  <c r="BG122" i="82"/>
  <c r="BH122" i="82" s="1"/>
  <c r="BG82" i="82"/>
  <c r="BH82" i="82" s="1"/>
  <c r="BG42" i="82"/>
  <c r="BH42" i="82" s="1"/>
  <c r="BM8" i="100" l="1"/>
  <c r="BM9" i="100"/>
  <c r="BM10" i="100"/>
  <c r="BM11" i="100"/>
  <c r="BM12" i="100"/>
  <c r="BM13" i="100"/>
  <c r="BM14" i="100"/>
  <c r="BM15" i="100"/>
  <c r="BM16" i="100"/>
  <c r="BM17" i="100"/>
  <c r="BM18" i="100"/>
  <c r="BM19" i="100"/>
  <c r="BM20" i="100"/>
  <c r="BM21" i="100"/>
  <c r="BM22" i="100"/>
  <c r="BM23" i="100"/>
  <c r="BM24" i="100"/>
  <c r="BM25" i="100"/>
  <c r="BM26" i="100"/>
  <c r="BM27" i="100"/>
  <c r="BM28" i="100"/>
  <c r="BM29" i="100"/>
  <c r="BM30" i="100"/>
  <c r="BM31" i="100"/>
  <c r="BM32" i="100"/>
  <c r="BM33" i="100"/>
  <c r="BM34" i="100"/>
  <c r="BM35" i="100"/>
  <c r="BM36" i="100"/>
  <c r="BM37" i="100"/>
  <c r="BM38" i="100"/>
  <c r="BM39" i="100"/>
  <c r="BM40" i="100"/>
  <c r="BM41" i="100"/>
  <c r="BM42" i="100"/>
  <c r="BM43" i="100"/>
  <c r="BM44" i="100"/>
  <c r="BM45" i="100"/>
  <c r="BM46" i="100"/>
  <c r="BM47" i="100"/>
  <c r="BM48" i="100"/>
  <c r="BM49" i="100"/>
  <c r="BM50" i="100"/>
  <c r="BM51" i="100"/>
  <c r="BM52" i="100"/>
  <c r="BM53" i="100"/>
  <c r="BM54" i="100"/>
  <c r="BM55" i="100"/>
  <c r="BM56" i="100"/>
  <c r="BM57" i="100"/>
  <c r="BM58" i="100"/>
  <c r="BM59" i="100"/>
  <c r="BM60" i="100"/>
  <c r="BM61" i="100"/>
  <c r="BM62" i="100"/>
  <c r="BM63" i="100"/>
  <c r="BM64" i="100"/>
  <c r="BM65" i="100"/>
  <c r="BM66" i="100"/>
  <c r="BM7" i="100"/>
  <c r="EN6" i="82" l="1"/>
  <c r="EN7" i="82"/>
  <c r="EN5" i="82"/>
  <c r="EB5" i="82"/>
  <c r="CZ7" i="98" l="1"/>
  <c r="CZ8" i="98"/>
  <c r="CZ9" i="98"/>
  <c r="CZ10" i="98"/>
  <c r="CZ11" i="98"/>
  <c r="CZ12" i="98"/>
  <c r="CZ13" i="98"/>
  <c r="CZ14" i="98"/>
  <c r="CZ15" i="98"/>
  <c r="CZ16" i="98"/>
  <c r="CZ17" i="98"/>
  <c r="CZ18" i="98"/>
  <c r="CZ19" i="98"/>
  <c r="CZ20" i="98"/>
  <c r="CZ21" i="98"/>
  <c r="CZ22" i="98"/>
  <c r="CZ23" i="98"/>
  <c r="CZ24" i="98"/>
  <c r="CZ25" i="98"/>
  <c r="CZ26" i="98"/>
  <c r="CZ27" i="98"/>
  <c r="CZ28" i="98"/>
  <c r="CZ29" i="98"/>
  <c r="CZ30" i="98"/>
  <c r="CZ31" i="98"/>
  <c r="CZ32" i="98"/>
  <c r="CZ33" i="98"/>
  <c r="CZ34" i="98"/>
  <c r="CZ35" i="98"/>
  <c r="CZ36" i="98"/>
  <c r="CZ37" i="98"/>
  <c r="CZ38" i="98"/>
  <c r="CZ39" i="98"/>
  <c r="CZ40" i="98"/>
  <c r="CZ41" i="98"/>
  <c r="CZ42" i="98"/>
  <c r="CZ43" i="98"/>
  <c r="CZ44" i="98"/>
  <c r="CZ45" i="98"/>
  <c r="CZ46" i="98"/>
  <c r="CZ47" i="98"/>
  <c r="CZ48" i="98"/>
  <c r="CZ49" i="98"/>
  <c r="CZ50" i="98"/>
  <c r="CZ51" i="98"/>
  <c r="CZ52" i="98"/>
  <c r="CZ53" i="98"/>
  <c r="CZ54" i="98"/>
  <c r="CZ55" i="98"/>
  <c r="CZ56" i="98"/>
  <c r="CZ57" i="98"/>
  <c r="CZ58" i="98"/>
  <c r="CZ59" i="98"/>
  <c r="CZ60" i="98"/>
  <c r="CZ61" i="98"/>
  <c r="CZ62" i="98"/>
  <c r="CZ63" i="98"/>
  <c r="CZ64" i="98"/>
  <c r="CZ65" i="98"/>
  <c r="CZ66" i="98"/>
  <c r="CZ67" i="98"/>
  <c r="CZ68" i="98"/>
  <c r="CZ69" i="98"/>
  <c r="CZ70" i="98"/>
  <c r="CZ71" i="98"/>
  <c r="CZ72" i="98"/>
  <c r="CZ73" i="98"/>
  <c r="CZ74" i="98"/>
  <c r="CZ75" i="98"/>
  <c r="CZ76" i="98"/>
  <c r="CZ6" i="98" l="1"/>
  <c r="CH7" i="98"/>
  <c r="CH8" i="98"/>
  <c r="CH9" i="98"/>
  <c r="CH10" i="98"/>
  <c r="CH11" i="98"/>
  <c r="CH12" i="98"/>
  <c r="CH13" i="98"/>
  <c r="CH14" i="98"/>
  <c r="CH15" i="98"/>
  <c r="CH16" i="98"/>
  <c r="CH17" i="98"/>
  <c r="CH18" i="98"/>
  <c r="CH19" i="98"/>
  <c r="CH20" i="98"/>
  <c r="CH21" i="98"/>
  <c r="CH22" i="98"/>
  <c r="CH23" i="98"/>
  <c r="CH24" i="98"/>
  <c r="CH25" i="98"/>
  <c r="CH26" i="98"/>
  <c r="CH27" i="98"/>
  <c r="CH28" i="98"/>
  <c r="CH29" i="98"/>
  <c r="CH30" i="98"/>
  <c r="CH31" i="98"/>
  <c r="CH32" i="98"/>
  <c r="CH33" i="98"/>
  <c r="CH34" i="98"/>
  <c r="CH35" i="98"/>
  <c r="CH36" i="98"/>
  <c r="CH37" i="98"/>
  <c r="CH38" i="98"/>
  <c r="CH39" i="98"/>
  <c r="CH40" i="98"/>
  <c r="CH41" i="98"/>
  <c r="CH42" i="98"/>
  <c r="CH43" i="98"/>
  <c r="CH44" i="98"/>
  <c r="CH45" i="98"/>
  <c r="CH46" i="98"/>
  <c r="CH47" i="98"/>
  <c r="CH48" i="98"/>
  <c r="CH49" i="98"/>
  <c r="CH50" i="98"/>
  <c r="CH51" i="98"/>
  <c r="CH52" i="98"/>
  <c r="CH53" i="98"/>
  <c r="CH54" i="98"/>
  <c r="CH55" i="98"/>
  <c r="CH56" i="98"/>
  <c r="CH57" i="98"/>
  <c r="CH58" i="98"/>
  <c r="CH59" i="98"/>
  <c r="CH60" i="98"/>
  <c r="CH61" i="98"/>
  <c r="CH62" i="98"/>
  <c r="CH63" i="98"/>
  <c r="CH64" i="98"/>
  <c r="CH65" i="98"/>
  <c r="CH6" i="98"/>
  <c r="CK5" i="85"/>
  <c r="CK6" i="85"/>
  <c r="CK7" i="85"/>
  <c r="CK8" i="85"/>
  <c r="CK9" i="85"/>
  <c r="CK10" i="85"/>
  <c r="CK11" i="85"/>
  <c r="CK12" i="85"/>
  <c r="CK13" i="85"/>
  <c r="CK14" i="85"/>
  <c r="CK15" i="85"/>
  <c r="CK16" i="85"/>
  <c r="CK17" i="85"/>
  <c r="CK18" i="85"/>
  <c r="CK19" i="85"/>
  <c r="CK20" i="85"/>
  <c r="CK21" i="85"/>
  <c r="CK22" i="85"/>
  <c r="CK23" i="85"/>
  <c r="CK24" i="85"/>
  <c r="CK25" i="85"/>
  <c r="CK26" i="85"/>
  <c r="CK27" i="85"/>
  <c r="CK28" i="85"/>
  <c r="CK29" i="85"/>
  <c r="CK30" i="85"/>
  <c r="CK31" i="85"/>
  <c r="CK32" i="85"/>
  <c r="CK33" i="85"/>
  <c r="CK34" i="85"/>
  <c r="CK35" i="85"/>
  <c r="CK36" i="85"/>
  <c r="CK37" i="85"/>
  <c r="CK38" i="85"/>
  <c r="CK39" i="85"/>
  <c r="CK40" i="85"/>
  <c r="CK41" i="85"/>
  <c r="CK42" i="85"/>
  <c r="CK43" i="85"/>
  <c r="CK44" i="85"/>
  <c r="CK45" i="85"/>
  <c r="CK46" i="85"/>
  <c r="CK47" i="85"/>
  <c r="CK48" i="85"/>
  <c r="CK49" i="85"/>
  <c r="CK50" i="85"/>
  <c r="CK51" i="85"/>
  <c r="CK52" i="85"/>
  <c r="CK53" i="85"/>
  <c r="CK54" i="85"/>
  <c r="CK55" i="85"/>
  <c r="CK56" i="85"/>
  <c r="CK57" i="85"/>
  <c r="CK58" i="85"/>
  <c r="CK59" i="85"/>
  <c r="CK60" i="85"/>
  <c r="CK61" i="85"/>
  <c r="CK62" i="85"/>
  <c r="CK63" i="85"/>
  <c r="CK4" i="85"/>
  <c r="CD5" i="85"/>
  <c r="CF5" i="85" s="1"/>
  <c r="CD6" i="85"/>
  <c r="CF6" i="85" s="1"/>
  <c r="CD7" i="85"/>
  <c r="CF7" i="85" s="1"/>
  <c r="CD8" i="85"/>
  <c r="CD9" i="85"/>
  <c r="CF9" i="85" s="1"/>
  <c r="CD10" i="85"/>
  <c r="CF10" i="85" s="1"/>
  <c r="CD11" i="85"/>
  <c r="CF11" i="85" s="1"/>
  <c r="CD12" i="85"/>
  <c r="CD13" i="85"/>
  <c r="CD14" i="85"/>
  <c r="CD15" i="85"/>
  <c r="CD16" i="85"/>
  <c r="CD17" i="85"/>
  <c r="CD18" i="85"/>
  <c r="CD19" i="85"/>
  <c r="CD20" i="85"/>
  <c r="CD21" i="85"/>
  <c r="CD22" i="85"/>
  <c r="CD23" i="85"/>
  <c r="CD24" i="85"/>
  <c r="CD25" i="85"/>
  <c r="CD26" i="85"/>
  <c r="CD27" i="85"/>
  <c r="CD28" i="85"/>
  <c r="CD29" i="85"/>
  <c r="CD30" i="85"/>
  <c r="CD31" i="85"/>
  <c r="CD32" i="85"/>
  <c r="CD33" i="85"/>
  <c r="CD34" i="85"/>
  <c r="CD35" i="85"/>
  <c r="CD36" i="85"/>
  <c r="CD37" i="85"/>
  <c r="CD38" i="85"/>
  <c r="CD39" i="85"/>
  <c r="CD40" i="85"/>
  <c r="CD41" i="85"/>
  <c r="CD42" i="85"/>
  <c r="CD43" i="85"/>
  <c r="CD44" i="85"/>
  <c r="CD45" i="85"/>
  <c r="CD46" i="85"/>
  <c r="CD47" i="85"/>
  <c r="CD48" i="85"/>
  <c r="CD49" i="85"/>
  <c r="CD50" i="85"/>
  <c r="CD51" i="85"/>
  <c r="CD52" i="85"/>
  <c r="CD53" i="85"/>
  <c r="CD54" i="85"/>
  <c r="CD55" i="85"/>
  <c r="CD56" i="85"/>
  <c r="CD57" i="85"/>
  <c r="CD58" i="85"/>
  <c r="CD59" i="85"/>
  <c r="CD60" i="85"/>
  <c r="CD61" i="85"/>
  <c r="CD62" i="85"/>
  <c r="CD63" i="85"/>
  <c r="CD64" i="85"/>
  <c r="CD65" i="85"/>
  <c r="CD66" i="85"/>
  <c r="CD67" i="85"/>
  <c r="CD68" i="85"/>
  <c r="CD69" i="85"/>
  <c r="CD70" i="85"/>
  <c r="CD71" i="85"/>
  <c r="CD72" i="85"/>
  <c r="CD73" i="85"/>
  <c r="CD74" i="85"/>
  <c r="CD75" i="85"/>
  <c r="CD76" i="85"/>
  <c r="CD77" i="85"/>
  <c r="CD78" i="85"/>
  <c r="CD79" i="85"/>
  <c r="CD80" i="85"/>
  <c r="CD81" i="85"/>
  <c r="CD82" i="85"/>
  <c r="CD83" i="85"/>
  <c r="CD84" i="85"/>
  <c r="CD85" i="85"/>
  <c r="CD86" i="85"/>
  <c r="CD87" i="85"/>
  <c r="CD88" i="85"/>
  <c r="CD89" i="85"/>
  <c r="CD90" i="85"/>
  <c r="CD91" i="85"/>
  <c r="CD92" i="85"/>
  <c r="CD93" i="85"/>
  <c r="CD94" i="85"/>
  <c r="CD95" i="85"/>
  <c r="CD96" i="85"/>
  <c r="CD97" i="85"/>
  <c r="CD98" i="85"/>
  <c r="CD99" i="85"/>
  <c r="CD100" i="85"/>
  <c r="CD101" i="85"/>
  <c r="CD102" i="85"/>
  <c r="CD103" i="85"/>
  <c r="CD104" i="85"/>
  <c r="CD105" i="85"/>
  <c r="CD106" i="85"/>
  <c r="CD107" i="85"/>
  <c r="CD108" i="85"/>
  <c r="CD109" i="85"/>
  <c r="CD110" i="85"/>
  <c r="CD111" i="85"/>
  <c r="CD112" i="85"/>
  <c r="CD113" i="85"/>
  <c r="CD114" i="85"/>
  <c r="CD115" i="85"/>
  <c r="CD116" i="85"/>
  <c r="CD117" i="85"/>
  <c r="CD118" i="85"/>
  <c r="CD119" i="85"/>
  <c r="CD120" i="85"/>
  <c r="CD121" i="85"/>
  <c r="CD122" i="85"/>
  <c r="CD123" i="85"/>
  <c r="CD124" i="85"/>
  <c r="CD125" i="85"/>
  <c r="CD126" i="85"/>
  <c r="CD127" i="85"/>
  <c r="CD128" i="85"/>
  <c r="CD129" i="85"/>
  <c r="CD130" i="85"/>
  <c r="CD131" i="85"/>
  <c r="CD132" i="85"/>
  <c r="CD133" i="85"/>
  <c r="CD134" i="85"/>
  <c r="CD135" i="85"/>
  <c r="CD136" i="85"/>
  <c r="CD137" i="85"/>
  <c r="CD138" i="85"/>
  <c r="CD139" i="85"/>
  <c r="CD140" i="85"/>
  <c r="CD141" i="85"/>
  <c r="CD142" i="85"/>
  <c r="CD143" i="85"/>
  <c r="CD144" i="85"/>
  <c r="CD145" i="85"/>
  <c r="CD146" i="85"/>
  <c r="CD147" i="85"/>
  <c r="CD148" i="85"/>
  <c r="CD149" i="85"/>
  <c r="CD150" i="85"/>
  <c r="CD151" i="85"/>
  <c r="CD152" i="85"/>
  <c r="CD4" i="85"/>
  <c r="CF4" i="85" s="1"/>
  <c r="BZ5" i="85"/>
  <c r="CF12" i="85" s="1"/>
  <c r="CG7" i="85" l="1"/>
  <c r="CG5" i="85"/>
  <c r="CG4" i="85"/>
  <c r="CF8" i="85"/>
  <c r="CG12" i="85"/>
  <c r="CG10" i="85"/>
  <c r="CG8" i="85"/>
  <c r="CG6" i="85"/>
  <c r="CG11" i="85"/>
  <c r="CG9" i="85"/>
  <c r="CU151" i="90" l="1"/>
  <c r="CU146" i="90"/>
  <c r="CX148" i="90" s="1"/>
  <c r="CU141" i="90"/>
  <c r="CX140" i="90" s="1"/>
  <c r="CU136" i="90"/>
  <c r="CU131" i="90"/>
  <c r="CX132" i="90" s="1"/>
  <c r="CU126" i="90"/>
  <c r="CX124" i="90" s="1"/>
  <c r="CU121" i="90"/>
  <c r="CU116" i="90"/>
  <c r="CX116" i="90" s="1"/>
  <c r="CU111" i="90"/>
  <c r="CX112" i="90" s="1"/>
  <c r="CU106" i="90"/>
  <c r="CX108" i="90" s="1"/>
  <c r="CU101" i="90"/>
  <c r="CX100" i="90" s="1"/>
  <c r="CU96" i="90"/>
  <c r="CU91" i="90"/>
  <c r="CX92" i="90" s="1"/>
  <c r="CU86" i="90"/>
  <c r="CX88" i="90" s="1"/>
  <c r="CU81" i="90"/>
  <c r="CX80" i="90" s="1"/>
  <c r="CU76" i="90"/>
  <c r="CX76" i="90" s="1"/>
  <c r="CU71" i="90"/>
  <c r="CX72" i="90" s="1"/>
  <c r="CU66" i="90"/>
  <c r="CX68" i="90" s="1"/>
  <c r="CU61" i="90"/>
  <c r="CX60" i="90" s="1"/>
  <c r="CU56" i="90"/>
  <c r="CX56" i="90" s="1"/>
  <c r="CU51" i="90"/>
  <c r="CX52" i="90" s="1"/>
  <c r="CU46" i="90"/>
  <c r="CX48" i="90" s="1"/>
  <c r="CU41" i="90"/>
  <c r="CX40" i="90" s="1"/>
  <c r="CU36" i="90"/>
  <c r="CX36" i="90" s="1"/>
  <c r="CU31" i="90"/>
  <c r="CX32" i="90" s="1"/>
  <c r="CU21" i="90"/>
  <c r="CX20" i="90" s="1"/>
  <c r="CU13" i="90"/>
  <c r="CX14" i="90" s="1"/>
  <c r="CU7" i="90"/>
  <c r="CX8" i="90" s="1"/>
  <c r="CG6" i="90"/>
  <c r="CM8" i="90"/>
  <c r="CM9" i="90"/>
  <c r="CM10" i="90"/>
  <c r="CM11" i="90"/>
  <c r="CM12" i="90"/>
  <c r="CM13" i="90"/>
  <c r="CM14" i="90"/>
  <c r="CM15" i="90"/>
  <c r="CM16" i="90"/>
  <c r="CM17" i="90"/>
  <c r="CM18" i="90"/>
  <c r="CM19" i="90"/>
  <c r="CM20" i="90"/>
  <c r="CM21" i="90"/>
  <c r="CM22" i="90"/>
  <c r="CM23" i="90"/>
  <c r="CM24" i="90"/>
  <c r="CM25" i="90"/>
  <c r="CM26" i="90"/>
  <c r="CM27" i="90"/>
  <c r="CM28" i="90"/>
  <c r="CM29" i="90"/>
  <c r="CM30" i="90"/>
  <c r="CM31" i="90"/>
  <c r="CM32" i="90"/>
  <c r="CM7" i="90"/>
  <c r="CX33" i="90" l="1"/>
  <c r="CX69" i="90"/>
  <c r="CX37" i="90"/>
  <c r="CX81" i="90"/>
  <c r="CX16" i="90"/>
  <c r="CX61" i="90"/>
  <c r="CX17" i="90"/>
  <c r="CX57" i="90"/>
  <c r="CX82" i="90"/>
  <c r="CX45" i="90"/>
  <c r="CX23" i="90"/>
  <c r="CX5" i="90"/>
  <c r="CX13" i="90"/>
  <c r="CX29" i="90"/>
  <c r="CX41" i="90"/>
  <c r="CX50" i="90"/>
  <c r="CX62" i="90"/>
  <c r="CX73" i="90"/>
  <c r="CX85" i="90"/>
  <c r="CX27" i="90"/>
  <c r="CX49" i="90"/>
  <c r="CX70" i="90"/>
  <c r="CX7" i="90"/>
  <c r="CX12" i="90"/>
  <c r="CX30" i="90"/>
  <c r="CX42" i="90"/>
  <c r="CX53" i="90"/>
  <c r="CX65" i="90"/>
  <c r="CX77" i="90"/>
  <c r="CX9" i="90"/>
  <c r="CX11" i="90"/>
  <c r="CX15" i="90"/>
  <c r="CX19" i="90"/>
  <c r="CX25" i="90"/>
  <c r="CX21" i="90"/>
  <c r="CX31" i="90"/>
  <c r="CX35" i="90"/>
  <c r="CX39" i="90"/>
  <c r="CX43" i="90"/>
  <c r="CX47" i="90"/>
  <c r="CX51" i="90"/>
  <c r="CX55" i="90"/>
  <c r="CX59" i="90"/>
  <c r="CX63" i="90"/>
  <c r="CX67" i="90"/>
  <c r="CX71" i="90"/>
  <c r="CX75" i="90"/>
  <c r="CX79" i="90"/>
  <c r="CX83" i="90"/>
  <c r="CX87" i="90"/>
  <c r="CX95" i="90"/>
  <c r="CX98" i="90"/>
  <c r="CX94" i="90"/>
  <c r="CX97" i="90"/>
  <c r="CX107" i="90"/>
  <c r="CX106" i="90"/>
  <c r="CX105" i="90"/>
  <c r="CX115" i="90"/>
  <c r="CX118" i="90"/>
  <c r="CX114" i="90"/>
  <c r="CX117" i="90"/>
  <c r="CX127" i="90"/>
  <c r="CX126" i="90"/>
  <c r="CX125" i="90"/>
  <c r="CX135" i="90"/>
  <c r="CX138" i="90"/>
  <c r="CX134" i="90"/>
  <c r="CX137" i="90"/>
  <c r="CX147" i="90"/>
  <c r="CX146" i="90"/>
  <c r="CX145" i="90"/>
  <c r="CX10" i="90"/>
  <c r="CX6" i="90"/>
  <c r="CX26" i="90"/>
  <c r="CX22" i="90"/>
  <c r="CX34" i="90"/>
  <c r="CX38" i="90"/>
  <c r="CX46" i="90"/>
  <c r="CX54" i="90"/>
  <c r="CX58" i="90"/>
  <c r="CX66" i="90"/>
  <c r="CX74" i="90"/>
  <c r="CX78" i="90"/>
  <c r="CX86" i="90"/>
  <c r="CX96" i="90"/>
  <c r="CX128" i="90"/>
  <c r="CX144" i="90"/>
  <c r="CX91" i="90"/>
  <c r="CX90" i="90"/>
  <c r="CX93" i="90"/>
  <c r="CX89" i="90"/>
  <c r="CX103" i="90"/>
  <c r="CX99" i="90"/>
  <c r="CX102" i="90"/>
  <c r="CX101" i="90"/>
  <c r="CX111" i="90"/>
  <c r="CX110" i="90"/>
  <c r="CX113" i="90"/>
  <c r="CX109" i="90"/>
  <c r="CX123" i="90"/>
  <c r="CX119" i="90"/>
  <c r="CX122" i="90"/>
  <c r="CX121" i="90"/>
  <c r="CX131" i="90"/>
  <c r="CX130" i="90"/>
  <c r="CX133" i="90"/>
  <c r="CX129" i="90"/>
  <c r="CX143" i="90"/>
  <c r="CX139" i="90"/>
  <c r="CX142" i="90"/>
  <c r="CX141" i="90"/>
  <c r="CX151" i="90"/>
  <c r="CX154" i="90"/>
  <c r="CX150" i="90"/>
  <c r="CX153" i="90"/>
  <c r="CX149" i="90"/>
  <c r="CX18" i="90"/>
  <c r="CX28" i="90"/>
  <c r="CX24" i="90"/>
  <c r="CX44" i="90"/>
  <c r="CX64" i="90"/>
  <c r="CX84" i="90"/>
  <c r="CX104" i="90"/>
  <c r="CX120" i="90"/>
  <c r="CX136" i="90"/>
  <c r="CX152" i="90"/>
  <c r="CL7" i="90"/>
  <c r="CL8" i="90"/>
  <c r="CL9" i="90"/>
  <c r="CL10" i="90"/>
  <c r="CL11" i="90"/>
  <c r="CL12" i="90"/>
  <c r="CL13" i="90"/>
  <c r="CL14" i="90"/>
  <c r="CL15" i="90"/>
  <c r="CL16" i="90"/>
  <c r="CL17" i="90"/>
  <c r="CL18" i="90"/>
  <c r="CL19" i="90"/>
  <c r="CL20" i="90"/>
  <c r="CL21" i="90"/>
  <c r="CL22" i="90"/>
  <c r="CL23" i="90"/>
  <c r="CL24" i="90"/>
  <c r="CL25" i="90"/>
  <c r="CL26" i="90"/>
  <c r="CL27" i="90"/>
  <c r="CL28" i="90"/>
  <c r="CL29" i="90"/>
  <c r="CL30" i="90"/>
  <c r="CL31" i="90"/>
  <c r="CL32" i="90"/>
  <c r="CI6" i="90"/>
  <c r="CI7" i="90"/>
  <c r="CI8" i="90"/>
  <c r="CI9" i="90"/>
  <c r="CI10" i="90"/>
  <c r="CI11" i="90"/>
  <c r="CI12" i="90"/>
  <c r="CI13" i="90"/>
  <c r="CI14" i="90"/>
  <c r="CI15" i="90"/>
  <c r="CI16" i="90"/>
  <c r="CI17" i="90"/>
  <c r="CI18" i="90"/>
  <c r="CI19" i="90"/>
  <c r="CI20" i="90"/>
  <c r="CI21" i="90"/>
  <c r="CI22" i="90"/>
  <c r="CI23" i="90"/>
  <c r="CI24" i="90"/>
  <c r="CI25" i="90"/>
  <c r="CI26" i="90"/>
  <c r="CI27" i="90"/>
  <c r="CI28" i="90"/>
  <c r="CI29" i="90"/>
  <c r="CI30" i="90"/>
  <c r="CI31" i="90"/>
  <c r="CI32" i="90"/>
  <c r="CG7" i="90"/>
  <c r="CG8" i="90"/>
  <c r="CG9" i="90"/>
  <c r="CG10" i="90"/>
  <c r="CG11" i="90"/>
  <c r="CG12" i="90"/>
  <c r="CG13" i="90"/>
  <c r="CG14" i="90"/>
  <c r="CG15" i="90"/>
  <c r="CG16" i="90"/>
  <c r="CG17" i="90"/>
  <c r="CG18" i="90"/>
  <c r="CG19" i="90"/>
  <c r="CG20" i="90"/>
  <c r="CG21" i="90"/>
  <c r="CG22" i="90"/>
  <c r="CG23" i="90"/>
  <c r="CG24" i="90"/>
  <c r="CG25" i="90"/>
  <c r="CG26" i="90"/>
  <c r="CG27" i="90"/>
  <c r="CG28" i="90"/>
  <c r="CG29" i="90"/>
  <c r="CG30" i="90"/>
  <c r="CG31" i="90"/>
  <c r="CG32" i="90"/>
  <c r="CG5" i="90"/>
  <c r="EN8" i="82" l="1"/>
  <c r="EN9" i="82"/>
  <c r="EN10" i="82"/>
  <c r="EN11" i="82"/>
  <c r="EN12" i="82"/>
  <c r="EN13" i="82"/>
  <c r="EN14" i="82"/>
  <c r="EN15" i="82"/>
  <c r="EN16" i="82"/>
  <c r="EN17" i="82"/>
  <c r="EN18" i="82"/>
  <c r="EN19" i="82"/>
  <c r="EN20" i="82"/>
  <c r="EN21" i="82"/>
  <c r="EN22" i="82"/>
  <c r="EN23" i="82"/>
  <c r="EN24" i="82"/>
  <c r="EN25" i="82"/>
  <c r="EN26" i="82"/>
  <c r="EN27" i="82"/>
  <c r="EN28" i="82"/>
  <c r="EN29" i="82"/>
  <c r="EN30" i="82"/>
  <c r="EN31" i="82"/>
  <c r="EN32" i="82"/>
  <c r="EN33" i="82"/>
  <c r="EN34" i="82"/>
  <c r="EN35" i="82"/>
  <c r="EN36" i="82"/>
  <c r="EN37" i="82"/>
  <c r="EN38" i="82"/>
  <c r="EN39" i="82"/>
  <c r="EN40" i="82"/>
  <c r="EN41" i="82"/>
  <c r="EN42" i="82"/>
  <c r="EN43" i="82"/>
  <c r="EN44" i="82"/>
  <c r="EN45" i="82"/>
  <c r="EN46" i="82"/>
  <c r="EN47" i="82"/>
  <c r="EN48" i="82"/>
  <c r="EN49" i="82"/>
  <c r="EN50" i="82"/>
  <c r="EN51" i="82"/>
  <c r="EN52" i="82"/>
  <c r="EN53" i="82"/>
  <c r="EN54" i="82"/>
  <c r="EN55" i="82"/>
  <c r="EN56" i="82"/>
  <c r="EN57" i="82"/>
  <c r="EN58" i="82"/>
  <c r="EN59" i="82"/>
  <c r="EN60" i="82"/>
  <c r="EN61" i="82"/>
  <c r="EN62" i="82"/>
  <c r="EN63" i="82"/>
  <c r="EN64" i="82"/>
  <c r="EN65" i="82"/>
  <c r="EN66" i="82"/>
  <c r="EN67" i="82"/>
  <c r="EN68" i="82"/>
  <c r="EN69" i="82"/>
  <c r="EN70" i="82"/>
  <c r="EN71" i="82"/>
  <c r="EN72" i="82"/>
  <c r="EN73" i="82"/>
  <c r="EN74" i="82"/>
  <c r="EN75" i="82"/>
  <c r="EN76" i="82"/>
  <c r="EN77" i="82"/>
  <c r="EN78" i="82"/>
  <c r="EN79" i="82"/>
  <c r="EN80" i="82"/>
  <c r="EN81" i="82"/>
  <c r="EN82" i="82"/>
  <c r="EN83" i="82"/>
  <c r="EN84" i="82"/>
  <c r="EN85" i="82"/>
  <c r="EN86" i="82"/>
  <c r="EN87" i="82"/>
  <c r="EN88" i="82"/>
  <c r="EN89" i="82"/>
  <c r="EN90" i="82"/>
  <c r="EN91" i="82"/>
  <c r="EN92" i="82"/>
  <c r="EN93" i="82"/>
  <c r="EN94" i="82"/>
  <c r="C7" i="82" l="1"/>
  <c r="C8" i="82"/>
  <c r="C9" i="82"/>
  <c r="C10" i="82"/>
  <c r="C11" i="82"/>
  <c r="C12" i="82"/>
  <c r="C13" i="82"/>
  <c r="C14" i="82"/>
  <c r="C15" i="82"/>
  <c r="C16" i="82"/>
  <c r="C17" i="82"/>
  <c r="C18" i="82"/>
  <c r="C19" i="82"/>
  <c r="C20" i="82"/>
  <c r="C21" i="82"/>
  <c r="C22" i="82"/>
  <c r="C23" i="82"/>
  <c r="C24" i="82"/>
  <c r="C25" i="82"/>
  <c r="C26" i="82"/>
  <c r="C27" i="82"/>
  <c r="C28" i="82"/>
  <c r="C29" i="82"/>
  <c r="C30" i="82"/>
  <c r="C31" i="82"/>
  <c r="C32" i="82"/>
  <c r="C33" i="82"/>
  <c r="C34" i="82"/>
  <c r="C35" i="82"/>
  <c r="C6" i="82"/>
  <c r="CR5" i="82"/>
  <c r="CS5" i="82"/>
  <c r="CR6" i="82"/>
  <c r="CS6" i="82"/>
  <c r="CR7" i="82"/>
  <c r="CS7" i="82"/>
  <c r="CR8" i="82"/>
  <c r="CS8" i="82"/>
  <c r="CR9" i="82"/>
  <c r="CS9" i="82"/>
  <c r="CR10" i="82"/>
  <c r="CS10" i="82"/>
  <c r="CR11" i="82"/>
  <c r="CS11" i="82"/>
  <c r="CR12" i="82"/>
  <c r="CS12" i="82"/>
  <c r="CR13" i="82"/>
  <c r="CS13" i="82"/>
  <c r="CR14" i="82"/>
  <c r="CS14" i="82"/>
  <c r="CR15" i="82"/>
  <c r="CS15" i="82"/>
  <c r="CR16" i="82"/>
  <c r="CS16" i="82"/>
  <c r="CR17" i="82"/>
  <c r="CS17" i="82"/>
  <c r="CR18" i="82"/>
  <c r="CS18" i="82"/>
  <c r="CR19" i="82"/>
  <c r="CS19" i="82"/>
  <c r="CR20" i="82"/>
  <c r="CS20" i="82"/>
  <c r="CR21" i="82"/>
  <c r="CS21" i="82"/>
  <c r="CR22" i="82"/>
  <c r="CS22" i="82"/>
  <c r="CR23" i="82"/>
  <c r="CS23" i="82"/>
  <c r="CR24" i="82"/>
  <c r="CS24" i="82"/>
  <c r="CR25" i="82"/>
  <c r="CS25" i="82"/>
  <c r="CR26" i="82"/>
  <c r="CS26" i="82"/>
  <c r="CR27" i="82"/>
  <c r="CS27" i="82"/>
  <c r="CR28" i="82"/>
  <c r="CS28" i="82"/>
  <c r="CR29" i="82"/>
  <c r="CS29" i="82"/>
  <c r="CR30" i="82"/>
  <c r="CS30" i="82"/>
  <c r="CR31" i="82"/>
  <c r="CS31" i="82"/>
  <c r="CR32" i="82"/>
  <c r="CS32" i="82"/>
  <c r="CR33" i="82"/>
  <c r="CS33" i="82"/>
  <c r="CR34" i="82"/>
  <c r="CS34" i="82"/>
  <c r="CR35" i="82"/>
  <c r="CS35" i="82"/>
  <c r="CR36" i="82"/>
  <c r="CS36" i="82"/>
  <c r="CR37" i="82"/>
  <c r="CS37" i="82"/>
  <c r="CR38" i="82"/>
  <c r="CS38" i="82"/>
  <c r="CR39" i="82"/>
  <c r="CS39" i="82"/>
  <c r="CR40" i="82"/>
  <c r="CS40" i="82"/>
  <c r="CR41" i="82"/>
  <c r="CS41" i="82"/>
  <c r="CR42" i="82"/>
  <c r="CS42" i="82"/>
  <c r="CR43" i="82"/>
  <c r="CS43" i="82"/>
  <c r="CR44" i="82"/>
  <c r="CS44" i="82"/>
  <c r="CR45" i="82"/>
  <c r="CS45" i="82"/>
  <c r="CR46" i="82"/>
  <c r="CS46" i="82"/>
  <c r="CR47" i="82"/>
  <c r="CS47" i="82"/>
  <c r="CR48" i="82"/>
  <c r="CS48" i="82"/>
  <c r="CR49" i="82"/>
  <c r="CS49" i="82"/>
  <c r="CR50" i="82"/>
  <c r="CS50" i="82"/>
  <c r="CR51" i="82"/>
  <c r="CS51" i="82"/>
  <c r="CR52" i="82"/>
  <c r="CS52" i="82"/>
  <c r="CR53" i="82"/>
  <c r="CS53" i="82"/>
  <c r="CR54" i="82"/>
  <c r="CS54" i="82"/>
  <c r="CR55" i="82"/>
  <c r="CS55" i="82"/>
  <c r="CR56" i="82"/>
  <c r="CS56" i="82"/>
  <c r="CR57" i="82"/>
  <c r="CS57" i="82"/>
  <c r="CR58" i="82"/>
  <c r="CS58" i="82"/>
  <c r="CR59" i="82"/>
  <c r="CS59" i="82"/>
  <c r="CR60" i="82"/>
  <c r="CS60" i="82"/>
  <c r="CR61" i="82"/>
  <c r="CS61" i="82"/>
  <c r="CR62" i="82"/>
  <c r="CS62" i="82"/>
  <c r="CR63" i="82"/>
  <c r="CS63" i="82"/>
  <c r="CR64" i="82"/>
  <c r="CS64" i="82"/>
  <c r="CR65" i="82"/>
  <c r="CS65" i="82"/>
  <c r="CR66" i="82"/>
  <c r="CS66" i="82"/>
  <c r="CR67" i="82"/>
  <c r="CS67" i="82"/>
  <c r="CR68" i="82"/>
  <c r="CS68" i="82"/>
  <c r="CR69" i="82"/>
  <c r="CS69" i="82"/>
  <c r="CR70" i="82"/>
  <c r="CS70" i="82"/>
  <c r="CR71" i="82"/>
  <c r="CS71" i="82"/>
  <c r="CR72" i="82"/>
  <c r="CS72" i="82"/>
  <c r="CR73" i="82"/>
  <c r="CS73" i="82"/>
  <c r="CR74" i="82"/>
  <c r="CS74" i="82"/>
  <c r="CR75" i="82"/>
  <c r="CS75" i="82"/>
  <c r="CR76" i="82"/>
  <c r="CS76" i="82"/>
  <c r="CR77" i="82"/>
  <c r="CS77" i="82"/>
  <c r="CR78" i="82"/>
  <c r="CS78" i="82"/>
  <c r="CR79" i="82"/>
  <c r="CS79" i="82"/>
  <c r="CR80" i="82"/>
  <c r="CS80" i="82"/>
  <c r="CR81" i="82"/>
  <c r="CS81" i="82"/>
  <c r="CR82" i="82"/>
  <c r="CS82" i="82"/>
  <c r="CR83" i="82"/>
  <c r="CS83" i="82"/>
  <c r="CR84" i="82"/>
  <c r="CS84" i="82"/>
  <c r="CR85" i="82"/>
  <c r="CS85" i="82"/>
  <c r="CR86" i="82"/>
  <c r="CS86" i="82"/>
  <c r="CR87" i="82"/>
  <c r="CS87" i="82"/>
  <c r="CR88" i="82"/>
  <c r="CS88" i="82"/>
  <c r="CR89" i="82"/>
  <c r="CS89" i="82"/>
  <c r="CR90" i="82"/>
  <c r="CS90" i="82"/>
  <c r="CR91" i="82"/>
  <c r="CS91" i="82"/>
  <c r="CR92" i="82"/>
  <c r="CS92" i="82"/>
  <c r="CR93" i="82"/>
  <c r="CS93" i="82"/>
  <c r="CR94" i="82"/>
  <c r="CS94" i="82"/>
  <c r="EZ8" i="82" l="1"/>
  <c r="EZ9" i="82"/>
  <c r="EZ10" i="82"/>
  <c r="EZ11" i="82"/>
  <c r="EZ12" i="82"/>
  <c r="EZ13" i="82"/>
  <c r="EZ14" i="82"/>
  <c r="EZ15" i="82"/>
  <c r="EZ16" i="82"/>
  <c r="EZ17" i="82"/>
  <c r="EZ18" i="82"/>
  <c r="EZ19" i="82"/>
  <c r="EZ20" i="82"/>
  <c r="EZ21" i="82"/>
  <c r="EZ22" i="82"/>
  <c r="EZ23" i="82"/>
  <c r="EZ24" i="82"/>
  <c r="EZ25" i="82"/>
  <c r="EZ26" i="82"/>
  <c r="EZ27" i="82"/>
  <c r="EZ28" i="82"/>
  <c r="EZ29" i="82"/>
  <c r="EZ30" i="82"/>
  <c r="EZ31" i="82"/>
  <c r="EZ32" i="82"/>
  <c r="EZ33" i="82"/>
  <c r="EZ34" i="82"/>
  <c r="EZ35" i="82"/>
  <c r="EZ36" i="82"/>
  <c r="EZ37" i="82"/>
  <c r="EZ38" i="82"/>
  <c r="EZ39" i="82"/>
  <c r="EZ40" i="82"/>
  <c r="EZ41" i="82"/>
  <c r="EZ42" i="82"/>
  <c r="EZ43" i="82"/>
  <c r="EZ44" i="82"/>
  <c r="EZ45" i="82"/>
  <c r="EZ46" i="82"/>
  <c r="EZ47" i="82"/>
  <c r="EZ48" i="82"/>
  <c r="EZ49" i="82"/>
  <c r="EZ50" i="82"/>
  <c r="EZ51" i="82"/>
  <c r="EZ52" i="82"/>
  <c r="EZ53" i="82"/>
  <c r="EZ54" i="82"/>
  <c r="EZ55" i="82"/>
  <c r="EZ56" i="82"/>
  <c r="EZ57" i="82"/>
  <c r="EZ58" i="82"/>
  <c r="EZ59" i="82"/>
  <c r="EZ60" i="82"/>
  <c r="EZ61" i="82"/>
  <c r="EZ62" i="82"/>
  <c r="EZ63" i="82"/>
  <c r="EZ64" i="82"/>
  <c r="EZ65" i="82"/>
  <c r="EZ66" i="82"/>
  <c r="EZ67" i="82"/>
  <c r="EZ68" i="82"/>
  <c r="EZ69" i="82"/>
  <c r="EZ70" i="82"/>
  <c r="EZ71" i="82"/>
  <c r="EZ72" i="82"/>
  <c r="EZ73" i="82"/>
  <c r="EZ74" i="82"/>
  <c r="EZ75" i="82"/>
  <c r="EZ76" i="82"/>
  <c r="EZ77" i="82"/>
  <c r="EZ78" i="82"/>
  <c r="EZ79" i="82"/>
  <c r="EZ80" i="82"/>
  <c r="EZ81" i="82"/>
  <c r="EZ82" i="82"/>
  <c r="EZ83" i="82"/>
  <c r="EZ84" i="82"/>
  <c r="EZ85" i="82"/>
  <c r="EZ86" i="82"/>
  <c r="EZ87" i="82"/>
  <c r="EZ88" i="82"/>
  <c r="EZ89" i="82"/>
  <c r="EZ90" i="82"/>
  <c r="EZ91" i="82"/>
  <c r="EZ92" i="82"/>
  <c r="EZ93" i="82"/>
  <c r="EZ94" i="82"/>
  <c r="EP6" i="82" l="1"/>
  <c r="EP7" i="82"/>
  <c r="EP8" i="82"/>
  <c r="EP9" i="82"/>
  <c r="EP10" i="82"/>
  <c r="EP11" i="82"/>
  <c r="EP12" i="82"/>
  <c r="EP13" i="82"/>
  <c r="EP14" i="82"/>
  <c r="EP15" i="82"/>
  <c r="EP16" i="82"/>
  <c r="EP17" i="82"/>
  <c r="EP18" i="82"/>
  <c r="EP19" i="82"/>
  <c r="EP20" i="82"/>
  <c r="EP21" i="82"/>
  <c r="EP22" i="82"/>
  <c r="EP23" i="82"/>
  <c r="EP24" i="82"/>
  <c r="EP25" i="82"/>
  <c r="EP26" i="82"/>
  <c r="EP27" i="82"/>
  <c r="EP28" i="82"/>
  <c r="EP29" i="82"/>
  <c r="EP30" i="82"/>
  <c r="EP31" i="82"/>
  <c r="EP32" i="82"/>
  <c r="EP33" i="82"/>
  <c r="EP34" i="82"/>
  <c r="EP35" i="82"/>
  <c r="EP36" i="82"/>
  <c r="EP37" i="82"/>
  <c r="EP38" i="82"/>
  <c r="EP39" i="82"/>
  <c r="EP40" i="82"/>
  <c r="EP41" i="82"/>
  <c r="EP42" i="82"/>
  <c r="EP43" i="82"/>
  <c r="EP44" i="82"/>
  <c r="EP45" i="82"/>
  <c r="EP46" i="82"/>
  <c r="EP47" i="82"/>
  <c r="EP48" i="82"/>
  <c r="EP49" i="82"/>
  <c r="EP50" i="82"/>
  <c r="EP51" i="82"/>
  <c r="EP52" i="82"/>
  <c r="EP53" i="82"/>
  <c r="EP54" i="82"/>
  <c r="EP55" i="82"/>
  <c r="EP56" i="82"/>
  <c r="EP57" i="82"/>
  <c r="EP58" i="82"/>
  <c r="EP59" i="82"/>
  <c r="EP60" i="82"/>
  <c r="EP61" i="82"/>
  <c r="EP62" i="82"/>
  <c r="EP63" i="82"/>
  <c r="EP64" i="82"/>
  <c r="EP65" i="82"/>
  <c r="EP66" i="82"/>
  <c r="EP67" i="82"/>
  <c r="EP68" i="82"/>
  <c r="EP69" i="82"/>
  <c r="EP70" i="82"/>
  <c r="EP71" i="82"/>
  <c r="EP72" i="82"/>
  <c r="EP73" i="82"/>
  <c r="EP74" i="82"/>
  <c r="EP75" i="82"/>
  <c r="EP76" i="82"/>
  <c r="EP77" i="82"/>
  <c r="EP78" i="82"/>
  <c r="EP79" i="82"/>
  <c r="EP80" i="82"/>
  <c r="EP81" i="82"/>
  <c r="EP82" i="82"/>
  <c r="EP83" i="82"/>
  <c r="EP84" i="82"/>
  <c r="EP85" i="82"/>
  <c r="EP86" i="82"/>
  <c r="EP87" i="82"/>
  <c r="EP88" i="82"/>
  <c r="EP89" i="82"/>
  <c r="EP90" i="82"/>
  <c r="EP91" i="82"/>
  <c r="EP92" i="82"/>
  <c r="EP93" i="82"/>
  <c r="EP94" i="82"/>
  <c r="EP5" i="82"/>
  <c r="EM6" i="82"/>
  <c r="EM7" i="82"/>
  <c r="EM8" i="82"/>
  <c r="EM9" i="82"/>
  <c r="EM10" i="82"/>
  <c r="EM11" i="82"/>
  <c r="EM12" i="82"/>
  <c r="EM13" i="82"/>
  <c r="EM14" i="82"/>
  <c r="EM15" i="82"/>
  <c r="EM16" i="82"/>
  <c r="EM17" i="82"/>
  <c r="EM18" i="82"/>
  <c r="EM19" i="82"/>
  <c r="EM20" i="82"/>
  <c r="EM21" i="82"/>
  <c r="EM22" i="82"/>
  <c r="EM23" i="82"/>
  <c r="EM24" i="82"/>
  <c r="EM25" i="82"/>
  <c r="EM26" i="82"/>
  <c r="EM27" i="82"/>
  <c r="EM28" i="82"/>
  <c r="EM29" i="82"/>
  <c r="EM30" i="82"/>
  <c r="EM31" i="82"/>
  <c r="EM32" i="82"/>
  <c r="EM33" i="82"/>
  <c r="EM34" i="82"/>
  <c r="EM35" i="82"/>
  <c r="EM36" i="82"/>
  <c r="EM37" i="82"/>
  <c r="EM38" i="82"/>
  <c r="EM39" i="82"/>
  <c r="EM40" i="82"/>
  <c r="EM41" i="82"/>
  <c r="EM42" i="82"/>
  <c r="EM43" i="82"/>
  <c r="EM44" i="82"/>
  <c r="EM45" i="82"/>
  <c r="EM46" i="82"/>
  <c r="EM47" i="82"/>
  <c r="EM48" i="82"/>
  <c r="EM49" i="82"/>
  <c r="EM50" i="82"/>
  <c r="EM51" i="82"/>
  <c r="EM52" i="82"/>
  <c r="EM53" i="82"/>
  <c r="EM54" i="82"/>
  <c r="EM55" i="82"/>
  <c r="EM56" i="82"/>
  <c r="EM57" i="82"/>
  <c r="EM58" i="82"/>
  <c r="EM59" i="82"/>
  <c r="EM60" i="82"/>
  <c r="EM61" i="82"/>
  <c r="EM62" i="82"/>
  <c r="EM63" i="82"/>
  <c r="EM64" i="82"/>
  <c r="EM65" i="82"/>
  <c r="EM66" i="82"/>
  <c r="EM67" i="82"/>
  <c r="EM68" i="82"/>
  <c r="EM69" i="82"/>
  <c r="EM70" i="82"/>
  <c r="EM71" i="82"/>
  <c r="EM72" i="82"/>
  <c r="EM73" i="82"/>
  <c r="EM74" i="82"/>
  <c r="EM75" i="82"/>
  <c r="EM76" i="82"/>
  <c r="EM77" i="82"/>
  <c r="EM78" i="82"/>
  <c r="EM79" i="82"/>
  <c r="EM80" i="82"/>
  <c r="EM81" i="82"/>
  <c r="EM82" i="82"/>
  <c r="EM83" i="82"/>
  <c r="EM84" i="82"/>
  <c r="EM85" i="82"/>
  <c r="EM86" i="82"/>
  <c r="EM87" i="82"/>
  <c r="EM88" i="82"/>
  <c r="EM89" i="82"/>
  <c r="EM90" i="82"/>
  <c r="EM91" i="82"/>
  <c r="EM92" i="82"/>
  <c r="EM93" i="82"/>
  <c r="EM94" i="82"/>
  <c r="EM5" i="82"/>
  <c r="EL94" i="82"/>
  <c r="EL93" i="82"/>
  <c r="EL92" i="82"/>
  <c r="EL91" i="82"/>
  <c r="EL90" i="82"/>
  <c r="EL89" i="82"/>
  <c r="EL88" i="82"/>
  <c r="EL87" i="82"/>
  <c r="EL86" i="82"/>
  <c r="EL85" i="82"/>
  <c r="EL84" i="82"/>
  <c r="EL83" i="82"/>
  <c r="EL82" i="82"/>
  <c r="EL81" i="82"/>
  <c r="EL80" i="82"/>
  <c r="EL79" i="82"/>
  <c r="EL78" i="82"/>
  <c r="EL77" i="82"/>
  <c r="EL76" i="82"/>
  <c r="EL75" i="82"/>
  <c r="EL74" i="82"/>
  <c r="EL73" i="82"/>
  <c r="EL72" i="82"/>
  <c r="EL71" i="82"/>
  <c r="EL70" i="82"/>
  <c r="EL69" i="82"/>
  <c r="EL68" i="82"/>
  <c r="EL67" i="82"/>
  <c r="EL66" i="82"/>
  <c r="EL65" i="82"/>
  <c r="EL64" i="82"/>
  <c r="EL63" i="82"/>
  <c r="EL62" i="82"/>
  <c r="EL61" i="82"/>
  <c r="EL60" i="82"/>
  <c r="EL59" i="82"/>
  <c r="EL58" i="82"/>
  <c r="EL57" i="82"/>
  <c r="EL56" i="82"/>
  <c r="EL55" i="82"/>
  <c r="EL54" i="82"/>
  <c r="EL53" i="82"/>
  <c r="EL52" i="82"/>
  <c r="EL51" i="82"/>
  <c r="EL50" i="82"/>
  <c r="EL49" i="82"/>
  <c r="EL48" i="82"/>
  <c r="EL47" i="82"/>
  <c r="EL46" i="82"/>
  <c r="EL45" i="82"/>
  <c r="EL44" i="82"/>
  <c r="EL43" i="82"/>
  <c r="EL42" i="82"/>
  <c r="EL41" i="82"/>
  <c r="EL40" i="82"/>
  <c r="EL39" i="82"/>
  <c r="EL38" i="82"/>
  <c r="EL37" i="82"/>
  <c r="EL36" i="82"/>
  <c r="EL35" i="82"/>
  <c r="EL34" i="82"/>
  <c r="EL33" i="82"/>
  <c r="EL32" i="82"/>
  <c r="EL31" i="82"/>
  <c r="EL30" i="82"/>
  <c r="EL29" i="82"/>
  <c r="EL28" i="82"/>
  <c r="EL27" i="82"/>
  <c r="EL26" i="82"/>
  <c r="EL25" i="82"/>
  <c r="EL24" i="82"/>
  <c r="EL23" i="82"/>
  <c r="EL22" i="82"/>
  <c r="EL21" i="82"/>
  <c r="EL20" i="82"/>
  <c r="EL19" i="82"/>
  <c r="EL18" i="82"/>
  <c r="EL17" i="82"/>
  <c r="EL16" i="82"/>
  <c r="EL15" i="82"/>
  <c r="EL14" i="82"/>
  <c r="EL13" i="82"/>
  <c r="EL12" i="82"/>
  <c r="EL11" i="82"/>
  <c r="EL10" i="82"/>
  <c r="EL9" i="82"/>
  <c r="EL8" i="82"/>
  <c r="EL7" i="82"/>
  <c r="EL6" i="82"/>
  <c r="EL5" i="82"/>
  <c r="EJ94" i="82"/>
  <c r="ES94" i="82" s="1"/>
  <c r="EJ93" i="82"/>
  <c r="ES93" i="82" s="1"/>
  <c r="EJ92" i="82"/>
  <c r="ES92" i="82" s="1"/>
  <c r="EJ91" i="82"/>
  <c r="ES91" i="82" s="1"/>
  <c r="EJ90" i="82"/>
  <c r="EJ89" i="82"/>
  <c r="ES89" i="82" s="1"/>
  <c r="EJ88" i="82"/>
  <c r="EJ87" i="82"/>
  <c r="FA87" i="82" s="1"/>
  <c r="FA90" i="82" s="1"/>
  <c r="FA93" i="82" s="1"/>
  <c r="EJ86" i="82"/>
  <c r="FA86" i="82" s="1"/>
  <c r="FA89" i="82" s="1"/>
  <c r="FA92" i="82" s="1"/>
  <c r="EJ85" i="82"/>
  <c r="EJ84" i="82"/>
  <c r="EJ83" i="82"/>
  <c r="FA83" i="82" s="1"/>
  <c r="EJ82" i="82"/>
  <c r="FA82" i="82" s="1"/>
  <c r="EJ81" i="82"/>
  <c r="EJ80" i="82"/>
  <c r="EJ79" i="82"/>
  <c r="FA79" i="82" s="1"/>
  <c r="EJ78" i="82"/>
  <c r="FA78" i="82" s="1"/>
  <c r="EJ77" i="82"/>
  <c r="EJ76" i="82"/>
  <c r="EJ75" i="82"/>
  <c r="FA75" i="82" s="1"/>
  <c r="EJ74" i="82"/>
  <c r="FA74" i="82" s="1"/>
  <c r="EJ73" i="82"/>
  <c r="EJ72" i="82"/>
  <c r="EJ71" i="82"/>
  <c r="FA71" i="82" s="1"/>
  <c r="EJ70" i="82"/>
  <c r="FA70" i="82" s="1"/>
  <c r="EJ69" i="82"/>
  <c r="EJ68" i="82"/>
  <c r="EJ67" i="82"/>
  <c r="FA67" i="82" s="1"/>
  <c r="EJ66" i="82"/>
  <c r="FA66" i="82" s="1"/>
  <c r="EJ65" i="82"/>
  <c r="EJ64" i="82"/>
  <c r="EJ63" i="82"/>
  <c r="FA63" i="82" s="1"/>
  <c r="EJ62" i="82"/>
  <c r="FA62" i="82" s="1"/>
  <c r="EJ61" i="82"/>
  <c r="EJ60" i="82"/>
  <c r="EJ59" i="82"/>
  <c r="FA59" i="82" s="1"/>
  <c r="EJ58" i="82"/>
  <c r="FA58" i="82" s="1"/>
  <c r="EJ57" i="82"/>
  <c r="EJ56" i="82"/>
  <c r="EJ55" i="82"/>
  <c r="FA55" i="82" s="1"/>
  <c r="EJ54" i="82"/>
  <c r="FA54" i="82" s="1"/>
  <c r="EJ53" i="82"/>
  <c r="EJ52" i="82"/>
  <c r="EJ51" i="82"/>
  <c r="FA51" i="82" s="1"/>
  <c r="EJ50" i="82"/>
  <c r="FA50" i="82" s="1"/>
  <c r="EJ49" i="82"/>
  <c r="EJ48" i="82"/>
  <c r="EJ47" i="82"/>
  <c r="FA47" i="82" s="1"/>
  <c r="EJ46" i="82"/>
  <c r="FA46" i="82" s="1"/>
  <c r="EJ45" i="82"/>
  <c r="EJ44" i="82"/>
  <c r="EJ43" i="82"/>
  <c r="FA43" i="82" s="1"/>
  <c r="EJ42" i="82"/>
  <c r="FA42" i="82" s="1"/>
  <c r="EJ41" i="82"/>
  <c r="EJ40" i="82"/>
  <c r="EJ39" i="82"/>
  <c r="FA39" i="82" s="1"/>
  <c r="EJ38" i="82"/>
  <c r="FA38" i="82" s="1"/>
  <c r="EJ37" i="82"/>
  <c r="EJ36" i="82"/>
  <c r="EJ35" i="82"/>
  <c r="FA35" i="82" s="1"/>
  <c r="EJ34" i="82"/>
  <c r="FA34" i="82" s="1"/>
  <c r="EJ33" i="82"/>
  <c r="EJ32" i="82"/>
  <c r="EJ31" i="82"/>
  <c r="FA31" i="82" s="1"/>
  <c r="EJ30" i="82"/>
  <c r="FA30" i="82" s="1"/>
  <c r="EJ29" i="82"/>
  <c r="EJ28" i="82"/>
  <c r="EJ27" i="82"/>
  <c r="FA27" i="82" s="1"/>
  <c r="EJ26" i="82"/>
  <c r="FA26" i="82" s="1"/>
  <c r="EJ25" i="82"/>
  <c r="EJ24" i="82"/>
  <c r="EJ23" i="82"/>
  <c r="EJ22" i="82"/>
  <c r="EJ21" i="82"/>
  <c r="EJ20" i="82"/>
  <c r="EJ19" i="82"/>
  <c r="EJ18" i="82"/>
  <c r="EJ17" i="82"/>
  <c r="EJ16" i="82"/>
  <c r="EJ15" i="82"/>
  <c r="EJ14" i="82"/>
  <c r="EJ13" i="82"/>
  <c r="EJ12" i="82"/>
  <c r="EJ11" i="82"/>
  <c r="EJ10" i="82"/>
  <c r="EJ9" i="82"/>
  <c r="EJ8" i="82"/>
  <c r="EJ7" i="82"/>
  <c r="EJ6" i="82"/>
  <c r="EJ5" i="82"/>
  <c r="EA6" i="82"/>
  <c r="EA7" i="82"/>
  <c r="EA8" i="82"/>
  <c r="EA9" i="82"/>
  <c r="EA10" i="82"/>
  <c r="EA11" i="82"/>
  <c r="EA12" i="82"/>
  <c r="EA13" i="82"/>
  <c r="EA14" i="82"/>
  <c r="EA15" i="82"/>
  <c r="EA16" i="82"/>
  <c r="EA17" i="82"/>
  <c r="EA18" i="82"/>
  <c r="EA19" i="82"/>
  <c r="EA20" i="82"/>
  <c r="EA21" i="82"/>
  <c r="EA22" i="82"/>
  <c r="EA23" i="82"/>
  <c r="EA24" i="82"/>
  <c r="EA25" i="82"/>
  <c r="EA26" i="82"/>
  <c r="EA27" i="82"/>
  <c r="EA28" i="82"/>
  <c r="EA29" i="82"/>
  <c r="EA30" i="82"/>
  <c r="EA31" i="82"/>
  <c r="EA32" i="82"/>
  <c r="EA33" i="82"/>
  <c r="EA34" i="82"/>
  <c r="EA35" i="82"/>
  <c r="EA36" i="82"/>
  <c r="EA37" i="82"/>
  <c r="EA38" i="82"/>
  <c r="EA39" i="82"/>
  <c r="EA40" i="82"/>
  <c r="EA41" i="82"/>
  <c r="EA42" i="82"/>
  <c r="EA43" i="82"/>
  <c r="EA44" i="82"/>
  <c r="EA45" i="82"/>
  <c r="EA46" i="82"/>
  <c r="EA47" i="82"/>
  <c r="EA48" i="82"/>
  <c r="EA49" i="82"/>
  <c r="EA50" i="82"/>
  <c r="EA51" i="82"/>
  <c r="EA52" i="82"/>
  <c r="EA53" i="82"/>
  <c r="EA54" i="82"/>
  <c r="EA55" i="82"/>
  <c r="EA56" i="82"/>
  <c r="EA57" i="82"/>
  <c r="EA58" i="82"/>
  <c r="EA59" i="82"/>
  <c r="EA60" i="82"/>
  <c r="EA61" i="82"/>
  <c r="EA62" i="82"/>
  <c r="EA63" i="82"/>
  <c r="EA64" i="82"/>
  <c r="EA65" i="82"/>
  <c r="EA66" i="82"/>
  <c r="EA67" i="82"/>
  <c r="EA68" i="82"/>
  <c r="EA69" i="82"/>
  <c r="EA70" i="82"/>
  <c r="EA71" i="82"/>
  <c r="EA72" i="82"/>
  <c r="EA73" i="82"/>
  <c r="EA74" i="82"/>
  <c r="EA75" i="82"/>
  <c r="EA76" i="82"/>
  <c r="EA77" i="82"/>
  <c r="EA78" i="82"/>
  <c r="EA79" i="82"/>
  <c r="EA80" i="82"/>
  <c r="EA81" i="82"/>
  <c r="EA82" i="82"/>
  <c r="EA83" i="82"/>
  <c r="EA84" i="82"/>
  <c r="EA85" i="82"/>
  <c r="EA86" i="82"/>
  <c r="EA87" i="82"/>
  <c r="EA88" i="82"/>
  <c r="EA89" i="82"/>
  <c r="EA90" i="82"/>
  <c r="EA91" i="82"/>
  <c r="EA92" i="82"/>
  <c r="EA93" i="82"/>
  <c r="EA94" i="82"/>
  <c r="EA5" i="82"/>
  <c r="EK5" i="82" l="1"/>
  <c r="EK9" i="82"/>
  <c r="EK13" i="82"/>
  <c r="EK17" i="82"/>
  <c r="EK21" i="82"/>
  <c r="EK25" i="82"/>
  <c r="EK29" i="82"/>
  <c r="FA29" i="82"/>
  <c r="EK33" i="82"/>
  <c r="FA33" i="82"/>
  <c r="EK37" i="82"/>
  <c r="FA37" i="82"/>
  <c r="EK41" i="82"/>
  <c r="FA41" i="82"/>
  <c r="EK45" i="82"/>
  <c r="FA45" i="82"/>
  <c r="EK49" i="82"/>
  <c r="FA49" i="82"/>
  <c r="EK53" i="82"/>
  <c r="FA53" i="82"/>
  <c r="EK57" i="82"/>
  <c r="FA57" i="82"/>
  <c r="EK61" i="82"/>
  <c r="FA61" i="82"/>
  <c r="EK65" i="82"/>
  <c r="FA65" i="82"/>
  <c r="EK69" i="82"/>
  <c r="FA69" i="82"/>
  <c r="EK73" i="82"/>
  <c r="FA73" i="82"/>
  <c r="EK77" i="82"/>
  <c r="FA77" i="82"/>
  <c r="EK81" i="82"/>
  <c r="FA81" i="82"/>
  <c r="EK85" i="82"/>
  <c r="FA85" i="82"/>
  <c r="EK8" i="82"/>
  <c r="EK12" i="82"/>
  <c r="EK16" i="82"/>
  <c r="EK20" i="82"/>
  <c r="EK24" i="82"/>
  <c r="EK28" i="82"/>
  <c r="FA28" i="82"/>
  <c r="EK32" i="82"/>
  <c r="FA32" i="82"/>
  <c r="EK36" i="82"/>
  <c r="FA36" i="82"/>
  <c r="EK40" i="82"/>
  <c r="FA40" i="82"/>
  <c r="EK44" i="82"/>
  <c r="FA44" i="82"/>
  <c r="EK48" i="82"/>
  <c r="FA48" i="82"/>
  <c r="EK52" i="82"/>
  <c r="FA52" i="82"/>
  <c r="EK56" i="82"/>
  <c r="FA56" i="82"/>
  <c r="EK60" i="82"/>
  <c r="FA60" i="82"/>
  <c r="EK64" i="82"/>
  <c r="FA64" i="82"/>
  <c r="EK68" i="82"/>
  <c r="FA68" i="82"/>
  <c r="EK72" i="82"/>
  <c r="FA72" i="82"/>
  <c r="EK76" i="82"/>
  <c r="FA76" i="82"/>
  <c r="EK80" i="82"/>
  <c r="FA80" i="82"/>
  <c r="EK84" i="82"/>
  <c r="FA84" i="82"/>
  <c r="EK88" i="82"/>
  <c r="FA88" i="82"/>
  <c r="FA91" i="82" s="1"/>
  <c r="FA94" i="82" s="1"/>
  <c r="EK89" i="82"/>
  <c r="ES6" i="82"/>
  <c r="EK6" i="82"/>
  <c r="ES10" i="82"/>
  <c r="EK10" i="82"/>
  <c r="ES14" i="82"/>
  <c r="EK14" i="82"/>
  <c r="ES18" i="82"/>
  <c r="EK18" i="82"/>
  <c r="ES22" i="82"/>
  <c r="EK22" i="82"/>
  <c r="ES26" i="82"/>
  <c r="EK26" i="82"/>
  <c r="ES30" i="82"/>
  <c r="EK30" i="82"/>
  <c r="ES34" i="82"/>
  <c r="EK34" i="82"/>
  <c r="ES38" i="82"/>
  <c r="EK38" i="82"/>
  <c r="ES42" i="82"/>
  <c r="EK42" i="82"/>
  <c r="ES46" i="82"/>
  <c r="EK46" i="82"/>
  <c r="ES50" i="82"/>
  <c r="EK50" i="82"/>
  <c r="ES54" i="82"/>
  <c r="EK54" i="82"/>
  <c r="ES58" i="82"/>
  <c r="EK58" i="82"/>
  <c r="ES62" i="82"/>
  <c r="EK62" i="82"/>
  <c r="ES66" i="82"/>
  <c r="EK66" i="82"/>
  <c r="ES70" i="82"/>
  <c r="EK70" i="82"/>
  <c r="ES74" i="82"/>
  <c r="EK74" i="82"/>
  <c r="ES78" i="82"/>
  <c r="EK78" i="82"/>
  <c r="ES82" i="82"/>
  <c r="EK82" i="82"/>
  <c r="ES86" i="82"/>
  <c r="EK86" i="82"/>
  <c r="ES90" i="82"/>
  <c r="EK90" i="82"/>
  <c r="EW94" i="82"/>
  <c r="EQ94" i="82"/>
  <c r="ES7" i="82"/>
  <c r="ES11" i="82"/>
  <c r="ES15" i="82"/>
  <c r="ES19" i="82"/>
  <c r="ES23" i="82"/>
  <c r="ES27" i="82"/>
  <c r="ES31" i="82"/>
  <c r="ES35" i="82"/>
  <c r="ES39" i="82"/>
  <c r="ES43" i="82"/>
  <c r="ES47" i="82"/>
  <c r="ES51" i="82"/>
  <c r="ES55" i="82"/>
  <c r="ES59" i="82"/>
  <c r="ES63" i="82"/>
  <c r="ES67" i="82"/>
  <c r="ES71" i="82"/>
  <c r="ES75" i="82"/>
  <c r="ES79" i="82"/>
  <c r="ES83" i="82"/>
  <c r="ES87" i="82"/>
  <c r="EW91" i="82"/>
  <c r="EQ91" i="82"/>
  <c r="ES8" i="82"/>
  <c r="ES12" i="82"/>
  <c r="ES16" i="82"/>
  <c r="ES20" i="82"/>
  <c r="ES24" i="82"/>
  <c r="ES28" i="82"/>
  <c r="ES32" i="82"/>
  <c r="ES36" i="82"/>
  <c r="ES40" i="82"/>
  <c r="ES44" i="82"/>
  <c r="ES48" i="82"/>
  <c r="ES52" i="82"/>
  <c r="ES56" i="82"/>
  <c r="ES60" i="82"/>
  <c r="ES64" i="82"/>
  <c r="ES68" i="82"/>
  <c r="ES72" i="82"/>
  <c r="ES76" i="82"/>
  <c r="ES80" i="82"/>
  <c r="ES84" i="82"/>
  <c r="ES88" i="82"/>
  <c r="EW92" i="82"/>
  <c r="EQ92" i="82"/>
  <c r="EK91" i="82"/>
  <c r="EK87" i="82"/>
  <c r="EK83" i="82"/>
  <c r="EK79" i="82"/>
  <c r="EK75" i="82"/>
  <c r="EK71" i="82"/>
  <c r="EK67" i="82"/>
  <c r="EK63" i="82"/>
  <c r="EK59" i="82"/>
  <c r="EK55" i="82"/>
  <c r="EK51" i="82"/>
  <c r="EK47" i="82"/>
  <c r="EK43" i="82"/>
  <c r="EK39" i="82"/>
  <c r="EK35" i="82"/>
  <c r="EK31" i="82"/>
  <c r="EK27" i="82"/>
  <c r="EK23" i="82"/>
  <c r="EK19" i="82"/>
  <c r="EK15" i="82"/>
  <c r="EK11" i="82"/>
  <c r="EK7" i="82"/>
  <c r="ES5" i="82"/>
  <c r="ES9" i="82"/>
  <c r="ES13" i="82"/>
  <c r="ES17" i="82"/>
  <c r="ES21" i="82"/>
  <c r="ES25" i="82"/>
  <c r="ES29" i="82"/>
  <c r="ES33" i="82"/>
  <c r="ES37" i="82"/>
  <c r="ES41" i="82"/>
  <c r="ES45" i="82"/>
  <c r="ES49" i="82"/>
  <c r="ES53" i="82"/>
  <c r="ES57" i="82"/>
  <c r="ES61" i="82"/>
  <c r="ES65" i="82"/>
  <c r="ES69" i="82"/>
  <c r="ES73" i="82"/>
  <c r="ES77" i="82"/>
  <c r="ES81" i="82"/>
  <c r="ES85" i="82"/>
  <c r="EW89" i="82"/>
  <c r="EQ89" i="82"/>
  <c r="EW93" i="82"/>
  <c r="EQ93" i="82"/>
  <c r="DM94" i="82"/>
  <c r="DM93" i="82"/>
  <c r="DM92" i="82"/>
  <c r="DM91" i="82"/>
  <c r="DM90" i="82"/>
  <c r="DM89" i="82"/>
  <c r="DM88" i="82"/>
  <c r="DM87" i="82"/>
  <c r="DM86" i="82"/>
  <c r="DM85" i="82"/>
  <c r="DM84" i="82"/>
  <c r="DM83" i="82"/>
  <c r="DM82" i="82"/>
  <c r="DM81" i="82"/>
  <c r="DM80" i="82"/>
  <c r="DM79" i="82"/>
  <c r="DM78" i="82"/>
  <c r="DM77" i="82"/>
  <c r="DM76" i="82"/>
  <c r="DM75" i="82"/>
  <c r="DM74" i="82"/>
  <c r="DM73" i="82"/>
  <c r="DM72" i="82"/>
  <c r="DM71" i="82"/>
  <c r="DM70" i="82"/>
  <c r="DM69" i="82"/>
  <c r="DM68" i="82"/>
  <c r="DM67" i="82"/>
  <c r="DM66" i="82"/>
  <c r="DM65" i="82"/>
  <c r="DM64" i="82"/>
  <c r="DM63" i="82"/>
  <c r="DM62" i="82"/>
  <c r="DM61" i="82"/>
  <c r="DM60" i="82"/>
  <c r="DM59" i="82"/>
  <c r="DM58" i="82"/>
  <c r="DM57" i="82"/>
  <c r="DM56" i="82"/>
  <c r="DM55" i="82"/>
  <c r="DM54" i="82"/>
  <c r="DM53" i="82"/>
  <c r="DM52" i="82"/>
  <c r="DM51" i="82"/>
  <c r="DM50" i="82"/>
  <c r="DM49" i="82"/>
  <c r="DM48" i="82"/>
  <c r="DM47" i="82"/>
  <c r="DM46" i="82"/>
  <c r="DM45" i="82"/>
  <c r="DM44" i="82"/>
  <c r="DM43" i="82"/>
  <c r="DM42" i="82"/>
  <c r="DM41" i="82"/>
  <c r="DM40" i="82"/>
  <c r="DM39" i="82"/>
  <c r="DM38" i="82"/>
  <c r="DM37" i="82"/>
  <c r="DM36" i="82"/>
  <c r="DM35" i="82"/>
  <c r="DM34" i="82"/>
  <c r="DM33" i="82"/>
  <c r="DM32" i="82"/>
  <c r="DM31" i="82"/>
  <c r="DM30" i="82"/>
  <c r="DM29" i="82"/>
  <c r="DM28" i="82"/>
  <c r="DM27" i="82"/>
  <c r="DM26" i="82"/>
  <c r="DM25" i="82"/>
  <c r="DM24" i="82"/>
  <c r="DM23" i="82"/>
  <c r="DM22" i="82"/>
  <c r="DM21" i="82"/>
  <c r="DM20" i="82"/>
  <c r="DM19" i="82"/>
  <c r="DM18" i="82"/>
  <c r="DM17" i="82"/>
  <c r="DM16" i="82"/>
  <c r="DM15" i="82"/>
  <c r="DM14" i="82"/>
  <c r="DM13" i="82"/>
  <c r="DM12" i="82"/>
  <c r="DM11" i="82"/>
  <c r="DM10" i="82"/>
  <c r="DM9" i="82"/>
  <c r="DM8" i="82"/>
  <c r="DM7" i="82"/>
  <c r="DM6" i="82"/>
  <c r="DM5" i="82"/>
  <c r="AP10" i="89" l="1"/>
  <c r="AQ10" i="89"/>
  <c r="AR10" i="89"/>
  <c r="AO10" i="89"/>
  <c r="AS10" i="89"/>
  <c r="EW72" i="82"/>
  <c r="EQ72" i="82"/>
  <c r="EW56" i="82"/>
  <c r="EQ56" i="82"/>
  <c r="EW40" i="82"/>
  <c r="EQ40" i="82"/>
  <c r="EW24" i="82"/>
  <c r="EQ24" i="82"/>
  <c r="EW35" i="82"/>
  <c r="EQ35" i="82"/>
  <c r="EW19" i="82"/>
  <c r="EQ19" i="82"/>
  <c r="EW85" i="82"/>
  <c r="EQ85" i="82"/>
  <c r="EW69" i="82"/>
  <c r="EQ69" i="82"/>
  <c r="EW53" i="82"/>
  <c r="EQ53" i="82"/>
  <c r="EW37" i="82"/>
  <c r="EQ37" i="82"/>
  <c r="EW21" i="82"/>
  <c r="EQ21" i="82"/>
  <c r="EW5" i="82"/>
  <c r="EQ5" i="82"/>
  <c r="EW76" i="82"/>
  <c r="EQ76" i="82"/>
  <c r="EW60" i="82"/>
  <c r="EQ60" i="82"/>
  <c r="EW44" i="82"/>
  <c r="EQ44" i="82"/>
  <c r="EW28" i="82"/>
  <c r="EQ28" i="82"/>
  <c r="EW12" i="82"/>
  <c r="EQ12" i="82"/>
  <c r="EW87" i="82"/>
  <c r="EQ87" i="82"/>
  <c r="EW71" i="82"/>
  <c r="EQ71" i="82"/>
  <c r="EW55" i="82"/>
  <c r="EQ55" i="82"/>
  <c r="EW39" i="82"/>
  <c r="EQ39" i="82"/>
  <c r="EW23" i="82"/>
  <c r="EQ23" i="82"/>
  <c r="EW7" i="82"/>
  <c r="EQ7" i="82"/>
  <c r="EW86" i="82"/>
  <c r="EQ86" i="82"/>
  <c r="EW82" i="82"/>
  <c r="EQ82" i="82"/>
  <c r="EW78" i="82"/>
  <c r="EQ78" i="82"/>
  <c r="EW74" i="82"/>
  <c r="EQ74" i="82"/>
  <c r="EW70" i="82"/>
  <c r="EQ70" i="82"/>
  <c r="EW66" i="82"/>
  <c r="EQ66" i="82"/>
  <c r="EW62" i="82"/>
  <c r="EQ62" i="82"/>
  <c r="EW58" i="82"/>
  <c r="EQ58" i="82"/>
  <c r="EW54" i="82"/>
  <c r="EQ54" i="82"/>
  <c r="EW50" i="82"/>
  <c r="EQ50" i="82"/>
  <c r="EW46" i="82"/>
  <c r="EQ46" i="82"/>
  <c r="EW42" i="82"/>
  <c r="EQ42" i="82"/>
  <c r="EW38" i="82"/>
  <c r="EQ38" i="82"/>
  <c r="EW34" i="82"/>
  <c r="EQ34" i="82"/>
  <c r="EW30" i="82"/>
  <c r="EQ30" i="82"/>
  <c r="EW26" i="82"/>
  <c r="EQ26" i="82"/>
  <c r="EW22" i="82"/>
  <c r="EQ22" i="82"/>
  <c r="EW18" i="82"/>
  <c r="EQ18" i="82"/>
  <c r="EW14" i="82"/>
  <c r="EQ14" i="82"/>
  <c r="EW10" i="82"/>
  <c r="EQ10" i="82"/>
  <c r="EW6" i="82"/>
  <c r="EQ6" i="82"/>
  <c r="EW81" i="82"/>
  <c r="EQ81" i="82"/>
  <c r="EW49" i="82"/>
  <c r="EQ49" i="82"/>
  <c r="EW33" i="82"/>
  <c r="EQ33" i="82"/>
  <c r="EW8" i="82"/>
  <c r="EQ8" i="82"/>
  <c r="EW51" i="82"/>
  <c r="EQ51" i="82"/>
  <c r="EW57" i="82"/>
  <c r="EQ57" i="82"/>
  <c r="EW41" i="82"/>
  <c r="EQ41" i="82"/>
  <c r="EW25" i="82"/>
  <c r="EQ25" i="82"/>
  <c r="EW9" i="82"/>
  <c r="EQ9" i="82"/>
  <c r="EW80" i="82"/>
  <c r="EQ80" i="82"/>
  <c r="EW64" i="82"/>
  <c r="EQ64" i="82"/>
  <c r="EW48" i="82"/>
  <c r="EQ48" i="82"/>
  <c r="EW32" i="82"/>
  <c r="EQ32" i="82"/>
  <c r="EW16" i="82"/>
  <c r="EQ16" i="82"/>
  <c r="EW75" i="82"/>
  <c r="EQ75" i="82"/>
  <c r="EW59" i="82"/>
  <c r="EQ59" i="82"/>
  <c r="EW43" i="82"/>
  <c r="EQ43" i="82"/>
  <c r="EW27" i="82"/>
  <c r="EQ27" i="82"/>
  <c r="EW11" i="82"/>
  <c r="EQ11" i="82"/>
  <c r="EW65" i="82"/>
  <c r="EQ65" i="82"/>
  <c r="EW17" i="82"/>
  <c r="EQ17" i="82"/>
  <c r="EW88" i="82"/>
  <c r="EQ88" i="82"/>
  <c r="EW83" i="82"/>
  <c r="EQ83" i="82"/>
  <c r="EW67" i="82"/>
  <c r="EQ67" i="82"/>
  <c r="EW73" i="82"/>
  <c r="EQ73" i="82"/>
  <c r="EW77" i="82"/>
  <c r="EQ77" i="82"/>
  <c r="EW61" i="82"/>
  <c r="EQ61" i="82"/>
  <c r="EW45" i="82"/>
  <c r="EQ45" i="82"/>
  <c r="EW29" i="82"/>
  <c r="EQ29" i="82"/>
  <c r="EW13" i="82"/>
  <c r="EQ13" i="82"/>
  <c r="EW84" i="82"/>
  <c r="EQ84" i="82"/>
  <c r="EW68" i="82"/>
  <c r="EQ68" i="82"/>
  <c r="EW52" i="82"/>
  <c r="EQ52" i="82"/>
  <c r="EW36" i="82"/>
  <c r="EQ36" i="82"/>
  <c r="EW20" i="82"/>
  <c r="EQ20" i="82"/>
  <c r="EW79" i="82"/>
  <c r="EQ79" i="82"/>
  <c r="EW63" i="82"/>
  <c r="EQ63" i="82"/>
  <c r="EW47" i="82"/>
  <c r="EQ47" i="82"/>
  <c r="EW31" i="82"/>
  <c r="EQ31" i="82"/>
  <c r="EW15" i="82"/>
  <c r="EQ15" i="82"/>
  <c r="EW90" i="82"/>
  <c r="EQ90" i="82"/>
  <c r="V7" i="89"/>
  <c r="W7" i="89"/>
  <c r="X7" i="89"/>
  <c r="Y7" i="89"/>
  <c r="Z7" i="89"/>
  <c r="AA7" i="89"/>
  <c r="AB7" i="89"/>
  <c r="AC7" i="89"/>
  <c r="AD7" i="89"/>
  <c r="U7" i="89"/>
  <c r="BF7" i="95" l="1"/>
  <c r="BF8" i="95"/>
  <c r="BF9" i="95"/>
  <c r="BF10" i="95"/>
  <c r="BF11" i="95"/>
  <c r="BF12" i="95"/>
  <c r="BF13" i="95"/>
  <c r="BF14" i="95"/>
  <c r="BF15" i="95"/>
  <c r="BF16" i="95"/>
  <c r="BF17" i="95"/>
  <c r="BF18" i="95"/>
  <c r="BF19" i="95"/>
  <c r="BF20" i="95"/>
  <c r="BF21" i="95"/>
  <c r="BF22" i="95"/>
  <c r="BF23" i="95"/>
  <c r="BF24" i="95"/>
  <c r="BF25" i="95"/>
  <c r="BF26" i="95"/>
  <c r="BF27" i="95"/>
  <c r="BF28" i="95"/>
  <c r="BF29" i="95"/>
  <c r="BF30" i="95"/>
  <c r="BF31" i="95"/>
  <c r="BF32" i="95"/>
  <c r="BF33" i="95"/>
  <c r="BF34" i="95"/>
  <c r="BF35" i="95"/>
  <c r="BE7" i="95"/>
  <c r="BE8" i="95"/>
  <c r="BE9" i="95"/>
  <c r="BE10" i="95"/>
  <c r="BE11" i="95"/>
  <c r="BE12" i="95"/>
  <c r="BE13" i="95"/>
  <c r="BE14" i="95"/>
  <c r="BE15" i="95"/>
  <c r="BE16" i="95"/>
  <c r="BE17" i="95"/>
  <c r="BE18" i="95"/>
  <c r="BE19" i="95"/>
  <c r="BE20" i="95"/>
  <c r="BE21" i="95"/>
  <c r="BE22" i="95"/>
  <c r="BE23" i="95"/>
  <c r="BE24" i="95"/>
  <c r="BE25" i="95"/>
  <c r="BE26" i="95"/>
  <c r="BE27" i="95"/>
  <c r="BE28" i="95"/>
  <c r="BE29" i="95"/>
  <c r="BE30" i="95"/>
  <c r="BE31" i="95"/>
  <c r="BE32" i="95"/>
  <c r="BE33" i="95"/>
  <c r="BE34" i="95"/>
  <c r="BE35" i="95"/>
  <c r="R42" i="81" l="1"/>
  <c r="R29" i="81"/>
  <c r="S39" i="81" s="1"/>
  <c r="S40" i="81" l="1"/>
  <c r="S38" i="81"/>
  <c r="S37" i="81"/>
  <c r="S36" i="81"/>
  <c r="R16" i="81" l="1"/>
  <c r="N24" i="81"/>
  <c r="O24" i="81" s="1"/>
  <c r="AM5" i="85" l="1"/>
  <c r="AM6" i="85"/>
  <c r="AM7" i="85"/>
  <c r="AM8" i="85"/>
  <c r="AM9" i="85"/>
  <c r="AM10" i="85"/>
  <c r="AM11" i="85"/>
  <c r="AM12" i="85"/>
  <c r="AM13" i="85"/>
  <c r="AM14" i="85"/>
  <c r="AM15" i="85"/>
  <c r="AM16" i="85"/>
  <c r="AM17" i="85"/>
  <c r="AM18" i="85"/>
  <c r="AM19" i="85"/>
  <c r="AM20" i="85"/>
  <c r="AM21" i="85"/>
  <c r="AM22" i="85"/>
  <c r="AM23" i="85"/>
  <c r="AM24" i="85"/>
  <c r="AM25" i="85"/>
  <c r="AM26" i="85"/>
  <c r="AM27" i="85"/>
  <c r="AM28" i="85"/>
  <c r="AM29" i="85"/>
  <c r="AM30" i="85"/>
  <c r="AM31" i="85"/>
  <c r="AM32" i="85"/>
  <c r="AM33" i="85"/>
  <c r="AM34" i="85"/>
  <c r="AM35" i="85"/>
  <c r="AM36" i="85"/>
  <c r="AM37" i="85"/>
  <c r="AM38" i="85"/>
  <c r="AM39" i="85"/>
  <c r="AM40" i="85"/>
  <c r="AM41" i="85"/>
  <c r="AM42" i="85"/>
  <c r="AM43" i="85"/>
  <c r="AM44" i="85"/>
  <c r="AM45" i="85"/>
  <c r="AM46" i="85"/>
  <c r="AM47" i="85"/>
  <c r="AM48" i="85"/>
  <c r="AM49" i="85"/>
  <c r="AM50" i="85"/>
  <c r="AM51" i="85"/>
  <c r="AM52" i="85"/>
  <c r="AM53" i="85"/>
  <c r="AM54" i="85"/>
  <c r="AM55" i="85"/>
  <c r="AM56" i="85"/>
  <c r="AM57" i="85"/>
  <c r="AM58" i="85"/>
  <c r="AM59" i="85"/>
  <c r="AM60" i="85"/>
  <c r="AM61" i="85"/>
  <c r="AM62" i="85"/>
  <c r="AM63" i="85"/>
  <c r="AM64" i="85"/>
  <c r="AM65" i="85"/>
  <c r="AM66" i="85"/>
  <c r="AM67" i="85"/>
  <c r="AM68" i="85"/>
  <c r="AM69" i="85"/>
  <c r="AM70" i="85"/>
  <c r="AM71" i="85"/>
  <c r="AM72" i="85"/>
  <c r="AM73" i="85"/>
  <c r="AM74" i="85"/>
  <c r="AM75" i="85"/>
  <c r="AM76" i="85"/>
  <c r="AM77" i="85"/>
  <c r="AM78" i="85"/>
  <c r="AM79" i="85"/>
  <c r="AM80" i="85"/>
  <c r="AM81" i="85"/>
  <c r="AM82" i="85"/>
  <c r="AM83" i="85"/>
  <c r="AM84" i="85"/>
  <c r="AM85" i="85"/>
  <c r="AM86" i="85"/>
  <c r="AM87" i="85"/>
  <c r="AM88" i="85"/>
  <c r="AM89" i="85"/>
  <c r="AM90" i="85"/>
  <c r="AM91" i="85"/>
  <c r="AM92" i="85"/>
  <c r="AM93" i="85"/>
  <c r="AM94" i="85"/>
  <c r="AM95" i="85"/>
  <c r="AM96" i="85"/>
  <c r="AM97" i="85"/>
  <c r="AM98" i="85"/>
  <c r="AM99" i="85"/>
  <c r="AM100" i="85"/>
  <c r="AM101" i="85"/>
  <c r="AM102" i="85"/>
  <c r="AM103" i="85"/>
  <c r="AM104" i="85"/>
  <c r="AM105" i="85"/>
  <c r="AM106" i="85"/>
  <c r="AM107" i="85"/>
  <c r="AM108" i="85"/>
  <c r="AM109" i="85"/>
  <c r="AM110" i="85"/>
  <c r="AM111" i="85"/>
  <c r="AM112" i="85"/>
  <c r="AM113" i="85"/>
  <c r="AM114" i="85"/>
  <c r="AM115" i="85"/>
  <c r="AM116" i="85"/>
  <c r="AM117" i="85"/>
  <c r="AM118" i="85"/>
  <c r="AM119" i="85"/>
  <c r="AM120" i="85"/>
  <c r="AM121" i="85"/>
  <c r="AM122" i="85"/>
  <c r="AM123" i="85"/>
  <c r="AM124" i="85"/>
  <c r="AM125" i="85"/>
  <c r="AM126" i="85"/>
  <c r="AM127" i="85"/>
  <c r="AM128" i="85"/>
  <c r="AM129" i="85"/>
  <c r="AM130" i="85"/>
  <c r="AM131" i="85"/>
  <c r="AM132" i="85"/>
  <c r="AM133" i="85"/>
  <c r="AM134" i="85"/>
  <c r="AM135" i="85"/>
  <c r="AM136" i="85"/>
  <c r="AM137" i="85"/>
  <c r="AM138" i="85"/>
  <c r="AM139" i="85"/>
  <c r="AM140" i="85"/>
  <c r="AM141" i="85"/>
  <c r="AM142" i="85"/>
  <c r="AM143" i="85"/>
  <c r="AM144" i="85"/>
  <c r="AM145" i="85"/>
  <c r="AM146" i="85"/>
  <c r="AM147" i="85"/>
  <c r="AM148" i="85"/>
  <c r="AM149" i="85"/>
  <c r="AM150" i="85"/>
  <c r="AM151" i="85"/>
  <c r="AM152" i="85"/>
  <c r="AM153" i="85"/>
  <c r="AM4" i="85"/>
  <c r="AN6" i="85" s="1"/>
  <c r="AX9" i="89" l="1"/>
  <c r="AY9" i="89"/>
  <c r="AZ9" i="89"/>
  <c r="BA9" i="89"/>
  <c r="BB9" i="89"/>
  <c r="BC9" i="89"/>
  <c r="BD9" i="89"/>
  <c r="BE9" i="89"/>
  <c r="BF9" i="89"/>
  <c r="AX10" i="89"/>
  <c r="AY10" i="89"/>
  <c r="AZ10" i="89"/>
  <c r="BA10" i="89"/>
  <c r="BB10" i="89"/>
  <c r="BC10" i="89"/>
  <c r="BD10" i="89"/>
  <c r="BE10" i="89"/>
  <c r="BF10" i="89"/>
  <c r="AX11" i="89"/>
  <c r="AY11" i="89"/>
  <c r="AZ11" i="89"/>
  <c r="BA11" i="89"/>
  <c r="BB11" i="89"/>
  <c r="BC11" i="89"/>
  <c r="BD11" i="89"/>
  <c r="BE11" i="89"/>
  <c r="BF11" i="89"/>
  <c r="AX12" i="89"/>
  <c r="AY12" i="89"/>
  <c r="AZ12" i="89"/>
  <c r="BA12" i="89"/>
  <c r="BB12" i="89"/>
  <c r="BC12" i="89"/>
  <c r="BD12" i="89"/>
  <c r="BE12" i="89"/>
  <c r="BF12" i="89"/>
  <c r="AX13" i="89"/>
  <c r="AY13" i="89"/>
  <c r="AZ13" i="89"/>
  <c r="BA13" i="89"/>
  <c r="BB13" i="89"/>
  <c r="BC13" i="89"/>
  <c r="BD13" i="89"/>
  <c r="BE13" i="89"/>
  <c r="BF13" i="89"/>
  <c r="AX14" i="89"/>
  <c r="AY14" i="89"/>
  <c r="AZ14" i="89"/>
  <c r="BA14" i="89"/>
  <c r="BB14" i="89"/>
  <c r="BC14" i="89"/>
  <c r="BD14" i="89"/>
  <c r="BE14" i="89"/>
  <c r="BF14" i="89"/>
  <c r="AX15" i="89"/>
  <c r="AY15" i="89"/>
  <c r="AZ15" i="89"/>
  <c r="BA15" i="89"/>
  <c r="BB15" i="89"/>
  <c r="BC15" i="89"/>
  <c r="BD15" i="89"/>
  <c r="BE15" i="89"/>
  <c r="BF15" i="89"/>
  <c r="AX16" i="89"/>
  <c r="AY16" i="89"/>
  <c r="AZ16" i="89"/>
  <c r="BA16" i="89"/>
  <c r="BB16" i="89"/>
  <c r="BC16" i="89"/>
  <c r="BD16" i="89"/>
  <c r="BE16" i="89"/>
  <c r="BF16" i="89"/>
  <c r="AX17" i="89"/>
  <c r="AY17" i="89"/>
  <c r="AZ17" i="89"/>
  <c r="BA17" i="89"/>
  <c r="BB17" i="89"/>
  <c r="BC17" i="89"/>
  <c r="BD17" i="89"/>
  <c r="BE17" i="89"/>
  <c r="BF17" i="89"/>
  <c r="AX18" i="89"/>
  <c r="AY18" i="89"/>
  <c r="AZ18" i="89"/>
  <c r="BA18" i="89"/>
  <c r="BB18" i="89"/>
  <c r="BC18" i="89"/>
  <c r="BD18" i="89"/>
  <c r="BE18" i="89"/>
  <c r="BF18" i="89"/>
  <c r="AX19" i="89"/>
  <c r="AY19" i="89"/>
  <c r="AZ19" i="89"/>
  <c r="BA19" i="89"/>
  <c r="BB19" i="89"/>
  <c r="BC19" i="89"/>
  <c r="BD19" i="89"/>
  <c r="BE19" i="89"/>
  <c r="BF19" i="89"/>
  <c r="AX20" i="89"/>
  <c r="AY20" i="89"/>
  <c r="AZ20" i="89"/>
  <c r="BA20" i="89"/>
  <c r="BB20" i="89"/>
  <c r="BC20" i="89"/>
  <c r="BD20" i="89"/>
  <c r="BE20" i="89"/>
  <c r="BF20" i="89"/>
  <c r="AX21" i="89"/>
  <c r="AY21" i="89"/>
  <c r="AZ21" i="89"/>
  <c r="BA21" i="89"/>
  <c r="BB21" i="89"/>
  <c r="BC21" i="89"/>
  <c r="BD21" i="89"/>
  <c r="BE21" i="89"/>
  <c r="BF21" i="89"/>
  <c r="AX22" i="89"/>
  <c r="AY22" i="89"/>
  <c r="AZ22" i="89"/>
  <c r="BA22" i="89"/>
  <c r="BB22" i="89"/>
  <c r="BC22" i="89"/>
  <c r="BD22" i="89"/>
  <c r="BE22" i="89"/>
  <c r="BF22" i="89"/>
  <c r="AX23" i="89"/>
  <c r="AY23" i="89"/>
  <c r="AZ23" i="89"/>
  <c r="BA23" i="89"/>
  <c r="BB23" i="89"/>
  <c r="BC23" i="89"/>
  <c r="BD23" i="89"/>
  <c r="BE23" i="89"/>
  <c r="BF23" i="89"/>
  <c r="AX24" i="89"/>
  <c r="AY24" i="89"/>
  <c r="AZ24" i="89"/>
  <c r="BA24" i="89"/>
  <c r="BB24" i="89"/>
  <c r="BC24" i="89"/>
  <c r="BD24" i="89"/>
  <c r="BE24" i="89"/>
  <c r="BF24" i="89"/>
  <c r="AX25" i="89"/>
  <c r="AY25" i="89"/>
  <c r="AZ25" i="89"/>
  <c r="BA25" i="89"/>
  <c r="BB25" i="89"/>
  <c r="BC25" i="89"/>
  <c r="BD25" i="89"/>
  <c r="BE25" i="89"/>
  <c r="BF25" i="89"/>
  <c r="AX26" i="89"/>
  <c r="AY26" i="89"/>
  <c r="AZ26" i="89"/>
  <c r="BA26" i="89"/>
  <c r="BB26" i="89"/>
  <c r="BC26" i="89"/>
  <c r="BD26" i="89"/>
  <c r="BE26" i="89"/>
  <c r="BF26" i="89"/>
  <c r="AX27" i="89"/>
  <c r="AY27" i="89"/>
  <c r="AZ27" i="89"/>
  <c r="BA27" i="89"/>
  <c r="BB27" i="89"/>
  <c r="BC27" i="89"/>
  <c r="BD27" i="89"/>
  <c r="BE27" i="89"/>
  <c r="BF27" i="89"/>
  <c r="AX28" i="89"/>
  <c r="AY28" i="89"/>
  <c r="AZ28" i="89"/>
  <c r="BA28" i="89"/>
  <c r="BB28" i="89"/>
  <c r="BC28" i="89"/>
  <c r="BD28" i="89"/>
  <c r="BE28" i="89"/>
  <c r="BF28" i="89"/>
  <c r="AX29" i="89"/>
  <c r="AY29" i="89"/>
  <c r="AZ29" i="89"/>
  <c r="BA29" i="89"/>
  <c r="BB29" i="89"/>
  <c r="BC29" i="89"/>
  <c r="BD29" i="89"/>
  <c r="BE29" i="89"/>
  <c r="BF29" i="89"/>
  <c r="AX30" i="89"/>
  <c r="AY30" i="89"/>
  <c r="AZ30" i="89"/>
  <c r="BA30" i="89"/>
  <c r="BB30" i="89"/>
  <c r="BC30" i="89"/>
  <c r="BD30" i="89"/>
  <c r="BE30" i="89"/>
  <c r="BF30" i="89"/>
  <c r="AX31" i="89"/>
  <c r="AY31" i="89"/>
  <c r="AZ31" i="89"/>
  <c r="BA31" i="89"/>
  <c r="BB31" i="89"/>
  <c r="BC31" i="89"/>
  <c r="BD31" i="89"/>
  <c r="BE31" i="89"/>
  <c r="BF31" i="89"/>
  <c r="AX32" i="89"/>
  <c r="AY32" i="89"/>
  <c r="AZ32" i="89"/>
  <c r="BA32" i="89"/>
  <c r="BB32" i="89"/>
  <c r="BC32" i="89"/>
  <c r="BD32" i="89"/>
  <c r="BE32" i="89"/>
  <c r="BF32" i="89"/>
  <c r="AX33" i="89"/>
  <c r="AY33" i="89"/>
  <c r="AZ33" i="89"/>
  <c r="BA33" i="89"/>
  <c r="BB33" i="89"/>
  <c r="BC33" i="89"/>
  <c r="BD33" i="89"/>
  <c r="BE33" i="89"/>
  <c r="BF33" i="89"/>
  <c r="AX34" i="89"/>
  <c r="AY34" i="89"/>
  <c r="AZ34" i="89"/>
  <c r="BA34" i="89"/>
  <c r="BB34" i="89"/>
  <c r="BC34" i="89"/>
  <c r="BD34" i="89"/>
  <c r="BE34" i="89"/>
  <c r="BF34" i="89"/>
  <c r="AX35" i="89"/>
  <c r="AY35" i="89"/>
  <c r="AZ35" i="89"/>
  <c r="BA35" i="89"/>
  <c r="BB35" i="89"/>
  <c r="BC35" i="89"/>
  <c r="BD35" i="89"/>
  <c r="BE35" i="89"/>
  <c r="BF35" i="89"/>
  <c r="AX36" i="89"/>
  <c r="AY36" i="89"/>
  <c r="AZ36" i="89"/>
  <c r="BA36" i="89"/>
  <c r="BB36" i="89"/>
  <c r="BC36" i="89"/>
  <c r="BD36" i="89"/>
  <c r="BE36" i="89"/>
  <c r="BF36" i="89"/>
  <c r="AX37" i="89"/>
  <c r="AY37" i="89"/>
  <c r="AZ37" i="89"/>
  <c r="BA37" i="89"/>
  <c r="BB37" i="89"/>
  <c r="BC37" i="89"/>
  <c r="BD37" i="89"/>
  <c r="BE37" i="89"/>
  <c r="BF37" i="89"/>
  <c r="AY8" i="89"/>
  <c r="AZ8" i="89"/>
  <c r="BA8" i="89"/>
  <c r="BB8" i="89"/>
  <c r="BC8" i="89"/>
  <c r="BD8" i="89"/>
  <c r="BE8" i="89"/>
  <c r="BF8" i="89"/>
  <c r="AX8" i="89"/>
  <c r="F9" i="89" l="1"/>
  <c r="F10" i="89"/>
  <c r="F11" i="89"/>
  <c r="F12" i="89"/>
  <c r="F13" i="89"/>
  <c r="F14" i="89"/>
  <c r="F15" i="89"/>
  <c r="F16" i="89"/>
  <c r="F17" i="89"/>
  <c r="F18" i="89"/>
  <c r="F19" i="89"/>
  <c r="F20" i="89"/>
  <c r="F21" i="89"/>
  <c r="F22" i="89"/>
  <c r="F23" i="89"/>
  <c r="F24" i="89"/>
  <c r="F25" i="89"/>
  <c r="F26" i="89"/>
  <c r="F27" i="89"/>
  <c r="F28" i="89"/>
  <c r="F29" i="89"/>
  <c r="F30" i="89"/>
  <c r="F31" i="89"/>
  <c r="F32" i="89"/>
  <c r="F33" i="89"/>
  <c r="F34" i="89"/>
  <c r="F35" i="89"/>
  <c r="F36" i="89"/>
  <c r="F37" i="89"/>
  <c r="AC5" i="85"/>
  <c r="D5" i="88"/>
  <c r="D6" i="88"/>
  <c r="D7" i="88"/>
  <c r="D8" i="88"/>
  <c r="D9" i="88"/>
  <c r="D10" i="88"/>
  <c r="D11" i="88"/>
  <c r="D12" i="88"/>
  <c r="D13" i="88"/>
  <c r="D14" i="88"/>
  <c r="D15" i="88"/>
  <c r="D16" i="88"/>
  <c r="D17" i="88"/>
  <c r="D18" i="88"/>
  <c r="D19" i="88"/>
  <c r="D20" i="88"/>
  <c r="D21" i="88"/>
  <c r="D22" i="88"/>
  <c r="D23" i="88"/>
  <c r="D24" i="88"/>
  <c r="D25" i="88"/>
  <c r="D26" i="88"/>
  <c r="D27" i="88"/>
  <c r="D28" i="88"/>
  <c r="D29" i="88"/>
  <c r="D30" i="88"/>
  <c r="D31" i="88"/>
  <c r="D32" i="88"/>
  <c r="D33" i="88"/>
  <c r="B11" i="88"/>
  <c r="B12" i="88"/>
  <c r="B13" i="88"/>
  <c r="B14" i="88"/>
  <c r="B15" i="88"/>
  <c r="B16" i="88"/>
  <c r="B17" i="88"/>
  <c r="B18" i="88"/>
  <c r="B19" i="88"/>
  <c r="B20" i="88"/>
  <c r="B21" i="88"/>
  <c r="B22" i="88"/>
  <c r="B23" i="88"/>
  <c r="B24" i="88"/>
  <c r="B25" i="88"/>
  <c r="B26" i="88"/>
  <c r="B27" i="88"/>
  <c r="B28" i="88"/>
  <c r="B29" i="88"/>
  <c r="B30" i="88"/>
  <c r="B31" i="88"/>
  <c r="B5" i="88"/>
  <c r="B6" i="88"/>
  <c r="B7" i="88"/>
  <c r="B8" i="88"/>
  <c r="B9" i="88"/>
  <c r="B10" i="88"/>
  <c r="AL6" i="82"/>
  <c r="AG7" i="82"/>
  <c r="AH7" i="82" s="1"/>
  <c r="AG8" i="82"/>
  <c r="AH8" i="82" s="1"/>
  <c r="AG9" i="82"/>
  <c r="AH9" i="82" s="1"/>
  <c r="AG10" i="82"/>
  <c r="AG11" i="82"/>
  <c r="AG12" i="82"/>
  <c r="AG13" i="82"/>
  <c r="AG14" i="82"/>
  <c r="AG15" i="82"/>
  <c r="AG16" i="82"/>
  <c r="AG17" i="82"/>
  <c r="AG18" i="82"/>
  <c r="AG19" i="82"/>
  <c r="AG20" i="82"/>
  <c r="AG21" i="82"/>
  <c r="AG22" i="82"/>
  <c r="AG23" i="82"/>
  <c r="AG24" i="82"/>
  <c r="AG25" i="82"/>
  <c r="AG26" i="82"/>
  <c r="AG27" i="82"/>
  <c r="AG28" i="82"/>
  <c r="AG29" i="82"/>
  <c r="AG30" i="82"/>
  <c r="AG31" i="82"/>
  <c r="AG32" i="82"/>
  <c r="AG33" i="82"/>
  <c r="AG34" i="82"/>
  <c r="AG35" i="82"/>
  <c r="AG6" i="82"/>
  <c r="T33" i="85"/>
  <c r="V33" i="85"/>
  <c r="X33" i="85"/>
  <c r="Z33" i="85"/>
  <c r="T34" i="85"/>
  <c r="V34" i="85"/>
  <c r="X34" i="85"/>
  <c r="Z34" i="85"/>
  <c r="AA34" i="85" s="1"/>
  <c r="AC34" i="85" l="1"/>
  <c r="BZ34" i="85"/>
  <c r="U37" i="89"/>
  <c r="Y37" i="89"/>
  <c r="AC37" i="89"/>
  <c r="W37" i="89"/>
  <c r="AB37" i="89"/>
  <c r="V37" i="89"/>
  <c r="Z37" i="89"/>
  <c r="AD37" i="89"/>
  <c r="AA37" i="89"/>
  <c r="X37" i="89"/>
  <c r="W35" i="89"/>
  <c r="AA35" i="89"/>
  <c r="V35" i="89"/>
  <c r="Z35" i="89"/>
  <c r="AD35" i="89"/>
  <c r="AC35" i="89"/>
  <c r="Y35" i="89"/>
  <c r="AB35" i="89"/>
  <c r="U35" i="89"/>
  <c r="X35" i="89"/>
  <c r="W31" i="89"/>
  <c r="AA31" i="89"/>
  <c r="V31" i="89"/>
  <c r="Z31" i="89"/>
  <c r="AD31" i="89"/>
  <c r="Y31" i="89"/>
  <c r="U31" i="89"/>
  <c r="AC31" i="89"/>
  <c r="X31" i="89"/>
  <c r="AB31" i="89"/>
  <c r="W27" i="89"/>
  <c r="AA27" i="89"/>
  <c r="V27" i="89"/>
  <c r="Z27" i="89"/>
  <c r="AD27" i="89"/>
  <c r="AC27" i="89"/>
  <c r="X27" i="89"/>
  <c r="AB27" i="89"/>
  <c r="U27" i="89"/>
  <c r="Y27" i="89"/>
  <c r="W23" i="89"/>
  <c r="AA23" i="89"/>
  <c r="V23" i="89"/>
  <c r="Z23" i="89"/>
  <c r="AD23" i="89"/>
  <c r="Y23" i="89"/>
  <c r="AB23" i="89"/>
  <c r="U23" i="89"/>
  <c r="X23" i="89"/>
  <c r="AC23" i="89"/>
  <c r="W19" i="89"/>
  <c r="AA19" i="89"/>
  <c r="V19" i="89"/>
  <c r="Z19" i="89"/>
  <c r="AD19" i="89"/>
  <c r="AC19" i="89"/>
  <c r="X19" i="89"/>
  <c r="Y19" i="89"/>
  <c r="AB19" i="89"/>
  <c r="U19" i="89"/>
  <c r="W15" i="89"/>
  <c r="AA15" i="89"/>
  <c r="X15" i="89"/>
  <c r="V15" i="89"/>
  <c r="Z15" i="89"/>
  <c r="AD15" i="89"/>
  <c r="AB15" i="89"/>
  <c r="Y15" i="89"/>
  <c r="AC15" i="89"/>
  <c r="U15" i="89"/>
  <c r="W11" i="89"/>
  <c r="AA11" i="89"/>
  <c r="X11" i="89"/>
  <c r="V11" i="89"/>
  <c r="Z11" i="89"/>
  <c r="AD11" i="89"/>
  <c r="AB11" i="89"/>
  <c r="AC11" i="89"/>
  <c r="Y11" i="89"/>
  <c r="U11" i="89"/>
  <c r="Y33" i="89"/>
  <c r="AC33" i="89"/>
  <c r="X33" i="89"/>
  <c r="AB33" i="89"/>
  <c r="U33" i="89"/>
  <c r="W33" i="89"/>
  <c r="AA33" i="89"/>
  <c r="V33" i="89"/>
  <c r="AD33" i="89"/>
  <c r="Z33" i="89"/>
  <c r="Y29" i="89"/>
  <c r="AC29" i="89"/>
  <c r="X29" i="89"/>
  <c r="AB29" i="89"/>
  <c r="U29" i="89"/>
  <c r="AA29" i="89"/>
  <c r="V29" i="89"/>
  <c r="Z29" i="89"/>
  <c r="AD29" i="89"/>
  <c r="W29" i="89"/>
  <c r="Y25" i="89"/>
  <c r="AC25" i="89"/>
  <c r="X25" i="89"/>
  <c r="AB25" i="89"/>
  <c r="U25" i="89"/>
  <c r="W25" i="89"/>
  <c r="Z25" i="89"/>
  <c r="V25" i="89"/>
  <c r="AD25" i="89"/>
  <c r="AA25" i="89"/>
  <c r="Y21" i="89"/>
  <c r="AC21" i="89"/>
  <c r="X21" i="89"/>
  <c r="AB21" i="89"/>
  <c r="U21" i="89"/>
  <c r="AA21" i="89"/>
  <c r="AD21" i="89"/>
  <c r="W21" i="89"/>
  <c r="Z21" i="89"/>
  <c r="V21" i="89"/>
  <c r="Y17" i="89"/>
  <c r="AC17" i="89"/>
  <c r="V17" i="89"/>
  <c r="AD17" i="89"/>
  <c r="X17" i="89"/>
  <c r="AB17" i="89"/>
  <c r="U17" i="89"/>
  <c r="Z17" i="89"/>
  <c r="W17" i="89"/>
  <c r="AA17" i="89"/>
  <c r="Y13" i="89"/>
  <c r="AC13" i="89"/>
  <c r="Z13" i="89"/>
  <c r="X13" i="89"/>
  <c r="AB13" i="89"/>
  <c r="U13" i="89"/>
  <c r="V13" i="89"/>
  <c r="AD13" i="89"/>
  <c r="AA13" i="89"/>
  <c r="W13" i="89"/>
  <c r="V36" i="89"/>
  <c r="Z36" i="89"/>
  <c r="AD36" i="89"/>
  <c r="Y36" i="89"/>
  <c r="AC36" i="89"/>
  <c r="AB36" i="89"/>
  <c r="U36" i="89"/>
  <c r="W36" i="89"/>
  <c r="AA36" i="89"/>
  <c r="X36" i="89"/>
  <c r="V32" i="89"/>
  <c r="Z32" i="89"/>
  <c r="AD32" i="89"/>
  <c r="Y32" i="89"/>
  <c r="AC32" i="89"/>
  <c r="X32" i="89"/>
  <c r="AA32" i="89"/>
  <c r="U32" i="89"/>
  <c r="W32" i="89"/>
  <c r="AB32" i="89"/>
  <c r="V28" i="89"/>
  <c r="Z28" i="89"/>
  <c r="AD28" i="89"/>
  <c r="Y28" i="89"/>
  <c r="AC28" i="89"/>
  <c r="AB28" i="89"/>
  <c r="U28" i="89"/>
  <c r="X28" i="89"/>
  <c r="AA28" i="89"/>
  <c r="W28" i="89"/>
  <c r="V24" i="89"/>
  <c r="Z24" i="89"/>
  <c r="AD24" i="89"/>
  <c r="Y24" i="89"/>
  <c r="AC24" i="89"/>
  <c r="X24" i="89"/>
  <c r="AB24" i="89"/>
  <c r="W24" i="89"/>
  <c r="AA24" i="89"/>
  <c r="U24" i="89"/>
  <c r="V20" i="89"/>
  <c r="Z20" i="89"/>
  <c r="AD20" i="89"/>
  <c r="Y20" i="89"/>
  <c r="AC20" i="89"/>
  <c r="AB20" i="89"/>
  <c r="U20" i="89"/>
  <c r="W20" i="89"/>
  <c r="AA20" i="89"/>
  <c r="X20" i="89"/>
  <c r="V16" i="89"/>
  <c r="Z16" i="89"/>
  <c r="AD16" i="89"/>
  <c r="W16" i="89"/>
  <c r="Y16" i="89"/>
  <c r="AC16" i="89"/>
  <c r="AA16" i="89"/>
  <c r="X16" i="89"/>
  <c r="U16" i="89"/>
  <c r="AB16" i="89"/>
  <c r="V12" i="89"/>
  <c r="Z12" i="89"/>
  <c r="AD12" i="89"/>
  <c r="AA12" i="89"/>
  <c r="Y12" i="89"/>
  <c r="AC12" i="89"/>
  <c r="W12" i="89"/>
  <c r="U12" i="89"/>
  <c r="X12" i="89"/>
  <c r="AB12" i="89"/>
  <c r="X34" i="89"/>
  <c r="AB34" i="89"/>
  <c r="U34" i="89"/>
  <c r="W34" i="89"/>
  <c r="AA34" i="89"/>
  <c r="V34" i="89"/>
  <c r="AD34" i="89"/>
  <c r="Y34" i="89"/>
  <c r="AC34" i="89"/>
  <c r="Z34" i="89"/>
  <c r="X30" i="89"/>
  <c r="AB30" i="89"/>
  <c r="U30" i="89"/>
  <c r="W30" i="89"/>
  <c r="AA30" i="89"/>
  <c r="Z30" i="89"/>
  <c r="AC30" i="89"/>
  <c r="V30" i="89"/>
  <c r="Y30" i="89"/>
  <c r="AD30" i="89"/>
  <c r="X26" i="89"/>
  <c r="AB26" i="89"/>
  <c r="U26" i="89"/>
  <c r="W26" i="89"/>
  <c r="AA26" i="89"/>
  <c r="V26" i="89"/>
  <c r="AD26" i="89"/>
  <c r="Z26" i="89"/>
  <c r="AC26" i="89"/>
  <c r="Y26" i="89"/>
  <c r="X22" i="89"/>
  <c r="AB22" i="89"/>
  <c r="U22" i="89"/>
  <c r="W22" i="89"/>
  <c r="AA22" i="89"/>
  <c r="Z22" i="89"/>
  <c r="AD22" i="89"/>
  <c r="Y22" i="89"/>
  <c r="AC22" i="89"/>
  <c r="V22" i="89"/>
  <c r="X18" i="89"/>
  <c r="AB18" i="89"/>
  <c r="U18" i="89"/>
  <c r="AC18" i="89"/>
  <c r="W18" i="89"/>
  <c r="AA18" i="89"/>
  <c r="Y18" i="89"/>
  <c r="AD18" i="89"/>
  <c r="Z18" i="89"/>
  <c r="V18" i="89"/>
  <c r="X14" i="89"/>
  <c r="AB14" i="89"/>
  <c r="U14" i="89"/>
  <c r="Y14" i="89"/>
  <c r="W14" i="89"/>
  <c r="AA14" i="89"/>
  <c r="AC14" i="89"/>
  <c r="V14" i="89"/>
  <c r="AD14" i="89"/>
  <c r="Z14" i="89"/>
  <c r="X10" i="89"/>
  <c r="AB10" i="89"/>
  <c r="U10" i="89"/>
  <c r="Y10" i="89"/>
  <c r="W10" i="89"/>
  <c r="AA10" i="89"/>
  <c r="AC10" i="89"/>
  <c r="V10" i="89"/>
  <c r="Z10" i="89"/>
  <c r="AD10" i="89"/>
  <c r="Y9" i="89"/>
  <c r="AC9" i="89"/>
  <c r="Z9" i="89"/>
  <c r="X9" i="89"/>
  <c r="AB9" i="89"/>
  <c r="U9" i="89"/>
  <c r="V9" i="89"/>
  <c r="AD9" i="89"/>
  <c r="W9" i="89"/>
  <c r="AA9" i="89"/>
  <c r="C33" i="88"/>
  <c r="D37" i="89"/>
  <c r="U34" i="85"/>
  <c r="W34" i="85"/>
  <c r="Y34" i="85"/>
  <c r="AK9" i="89" l="1"/>
  <c r="AM9" i="89"/>
  <c r="AN9" i="89"/>
  <c r="AL9" i="89"/>
  <c r="Z11" i="85"/>
  <c r="Z12" i="85"/>
  <c r="Z13" i="85"/>
  <c r="Z14" i="85"/>
  <c r="Z15" i="85"/>
  <c r="Z16" i="85"/>
  <c r="Z17" i="85"/>
  <c r="Z18" i="85"/>
  <c r="Z19" i="85"/>
  <c r="Z20" i="85"/>
  <c r="Z21" i="85"/>
  <c r="Z22" i="85"/>
  <c r="Z23" i="85"/>
  <c r="Z24" i="85"/>
  <c r="Z25" i="85"/>
  <c r="Z26" i="85"/>
  <c r="Z27" i="85"/>
  <c r="Z28" i="85"/>
  <c r="Z29" i="85"/>
  <c r="Z30" i="85"/>
  <c r="Z31" i="85"/>
  <c r="Z32" i="85"/>
  <c r="AA33" i="85" s="1"/>
  <c r="AC33" i="85" l="1"/>
  <c r="BZ33" i="85"/>
  <c r="C32" i="88"/>
  <c r="D36" i="89"/>
  <c r="Z6" i="85"/>
  <c r="Z7" i="85"/>
  <c r="AA7" i="85" s="1"/>
  <c r="BZ7" i="85" s="1"/>
  <c r="Z8" i="85"/>
  <c r="Z9" i="85"/>
  <c r="Z10" i="85"/>
  <c r="AA12" i="85"/>
  <c r="BZ12" i="85" s="1"/>
  <c r="AA13" i="85"/>
  <c r="BZ13" i="85" s="1"/>
  <c r="AA16" i="85"/>
  <c r="BZ16" i="85" s="1"/>
  <c r="AA17" i="85"/>
  <c r="BZ17" i="85" s="1"/>
  <c r="AA20" i="85"/>
  <c r="BZ20" i="85" s="1"/>
  <c r="AA25" i="85"/>
  <c r="BZ25" i="85" s="1"/>
  <c r="AA28" i="85"/>
  <c r="BZ28" i="85" s="1"/>
  <c r="AA29" i="85"/>
  <c r="BZ29" i="85" s="1"/>
  <c r="Z5" i="85"/>
  <c r="AA24" i="85"/>
  <c r="BZ24" i="85" s="1"/>
  <c r="CF112" i="85" l="1"/>
  <c r="CF108" i="85"/>
  <c r="CF111" i="85"/>
  <c r="CF110" i="85"/>
  <c r="CF109" i="85"/>
  <c r="CF116" i="85"/>
  <c r="CF117" i="85"/>
  <c r="CF115" i="85"/>
  <c r="CF114" i="85"/>
  <c r="CF113" i="85"/>
  <c r="CF128" i="85"/>
  <c r="CF132" i="85"/>
  <c r="CF131" i="85"/>
  <c r="CF129" i="85"/>
  <c r="CF130" i="85"/>
  <c r="CF68" i="85"/>
  <c r="CF72" i="85"/>
  <c r="CF71" i="85"/>
  <c r="CF69" i="85"/>
  <c r="CF70" i="85"/>
  <c r="CF52" i="85"/>
  <c r="CF48" i="85"/>
  <c r="CF51" i="85"/>
  <c r="CF49" i="85"/>
  <c r="CF50" i="85"/>
  <c r="CF20" i="85"/>
  <c r="CF24" i="85"/>
  <c r="CF22" i="85"/>
  <c r="CF25" i="85"/>
  <c r="CF23" i="85"/>
  <c r="CF27" i="85"/>
  <c r="CF18" i="85"/>
  <c r="CF21" i="85"/>
  <c r="CF19" i="85"/>
  <c r="CF26" i="85"/>
  <c r="CF56" i="85"/>
  <c r="CF57" i="85"/>
  <c r="CF55" i="85"/>
  <c r="CF54" i="85"/>
  <c r="CF53" i="85"/>
  <c r="CF88" i="85"/>
  <c r="CF92" i="85"/>
  <c r="CF89" i="85"/>
  <c r="CF91" i="85"/>
  <c r="CF90" i="85"/>
  <c r="CF136" i="85"/>
  <c r="CF135" i="85"/>
  <c r="CF134" i="85"/>
  <c r="CF137" i="85"/>
  <c r="CF133" i="85"/>
  <c r="CF76" i="85"/>
  <c r="CF73" i="85"/>
  <c r="CF75" i="85"/>
  <c r="CF74" i="85"/>
  <c r="CF77" i="85"/>
  <c r="AC7" i="85"/>
  <c r="C6" i="88" s="1"/>
  <c r="AN21" i="85"/>
  <c r="AC12" i="85"/>
  <c r="D15" i="89" s="1"/>
  <c r="AN51" i="85"/>
  <c r="AC29" i="85"/>
  <c r="C28" i="88" s="1"/>
  <c r="AN136" i="85"/>
  <c r="AC28" i="85"/>
  <c r="C27" i="88" s="1"/>
  <c r="AN131" i="85"/>
  <c r="AC20" i="85"/>
  <c r="C19" i="88" s="1"/>
  <c r="AN91" i="85"/>
  <c r="AC17" i="85"/>
  <c r="C16" i="88" s="1"/>
  <c r="AN76" i="85"/>
  <c r="AC16" i="85"/>
  <c r="C15" i="88" s="1"/>
  <c r="AN71" i="85"/>
  <c r="AC24" i="85"/>
  <c r="D27" i="89" s="1"/>
  <c r="AN111" i="85"/>
  <c r="AC25" i="85"/>
  <c r="AN116" i="85"/>
  <c r="AC13" i="85"/>
  <c r="C12" i="88" s="1"/>
  <c r="AN56" i="85"/>
  <c r="AA9" i="85"/>
  <c r="BZ9" i="85" s="1"/>
  <c r="D23" i="89"/>
  <c r="D32" i="89"/>
  <c r="D19" i="89"/>
  <c r="AA8" i="85"/>
  <c r="BZ8" i="85" s="1"/>
  <c r="C24" i="88"/>
  <c r="D28" i="89"/>
  <c r="AA6" i="85"/>
  <c r="BZ6" i="85" s="1"/>
  <c r="AA21" i="85"/>
  <c r="BZ21" i="85" s="1"/>
  <c r="AA32" i="85"/>
  <c r="BZ32" i="85" s="1"/>
  <c r="AA31" i="85"/>
  <c r="BZ31" i="85" s="1"/>
  <c r="AA27" i="85"/>
  <c r="BZ27" i="85" s="1"/>
  <c r="AA23" i="85"/>
  <c r="BZ23" i="85" s="1"/>
  <c r="AA19" i="85"/>
  <c r="BZ19" i="85" s="1"/>
  <c r="AA11" i="85"/>
  <c r="BZ11" i="85" s="1"/>
  <c r="AA15" i="85"/>
  <c r="BZ15" i="85" s="1"/>
  <c r="AA30" i="85"/>
  <c r="BZ30" i="85" s="1"/>
  <c r="AA26" i="85"/>
  <c r="BZ26" i="85" s="1"/>
  <c r="AA22" i="85"/>
  <c r="BZ22" i="85" s="1"/>
  <c r="AA18" i="85"/>
  <c r="BZ18" i="85" s="1"/>
  <c r="AA14" i="85"/>
  <c r="BZ14" i="85" s="1"/>
  <c r="AA10" i="85"/>
  <c r="BZ10" i="85" s="1"/>
  <c r="CF64" i="85" l="1"/>
  <c r="CF67" i="85"/>
  <c r="CF66" i="85"/>
  <c r="CF65" i="85"/>
  <c r="CF63" i="85"/>
  <c r="CF16" i="85"/>
  <c r="CF14" i="85"/>
  <c r="CF17" i="85"/>
  <c r="CF15" i="85"/>
  <c r="CF13" i="85"/>
  <c r="CF100" i="85"/>
  <c r="CF102" i="85"/>
  <c r="CF101" i="85"/>
  <c r="CF99" i="85"/>
  <c r="CF98" i="85"/>
  <c r="CF144" i="85"/>
  <c r="CF147" i="85"/>
  <c r="CF146" i="85"/>
  <c r="CF143" i="85"/>
  <c r="CF145" i="85"/>
  <c r="CF40" i="85"/>
  <c r="CF38" i="85"/>
  <c r="CF41" i="85"/>
  <c r="CF39" i="85"/>
  <c r="CF42" i="85"/>
  <c r="CF84" i="85"/>
  <c r="CF87" i="85"/>
  <c r="CF85" i="85"/>
  <c r="CF83" i="85"/>
  <c r="CF86" i="85"/>
  <c r="CF153" i="85"/>
  <c r="CF148" i="85"/>
  <c r="CF152" i="85"/>
  <c r="CF151" i="85"/>
  <c r="CF150" i="85"/>
  <c r="CF149" i="85"/>
  <c r="CF60" i="85"/>
  <c r="CF58" i="85"/>
  <c r="CF61" i="85"/>
  <c r="CF62" i="85"/>
  <c r="CF59" i="85"/>
  <c r="CF140" i="85"/>
  <c r="CF138" i="85"/>
  <c r="CF141" i="85"/>
  <c r="CF142" i="85"/>
  <c r="CF139" i="85"/>
  <c r="CF104" i="85"/>
  <c r="CF106" i="85"/>
  <c r="CF105" i="85"/>
  <c r="CF103" i="85"/>
  <c r="CF107" i="85"/>
  <c r="CF96" i="85"/>
  <c r="CF94" i="85"/>
  <c r="CF97" i="85"/>
  <c r="CF95" i="85"/>
  <c r="CF93" i="85"/>
  <c r="CF28" i="85"/>
  <c r="CF32" i="85"/>
  <c r="CF29" i="85"/>
  <c r="CF30" i="85"/>
  <c r="CF31" i="85"/>
  <c r="CF36" i="85"/>
  <c r="CF34" i="85"/>
  <c r="CF37" i="85"/>
  <c r="CF35" i="85"/>
  <c r="CF33" i="85"/>
  <c r="CF80" i="85"/>
  <c r="CF82" i="85"/>
  <c r="CF78" i="85"/>
  <c r="CF81" i="85"/>
  <c r="CF79" i="85"/>
  <c r="CF124" i="85"/>
  <c r="CF123" i="85"/>
  <c r="CF127" i="85"/>
  <c r="CF126" i="85"/>
  <c r="CF125" i="85"/>
  <c r="CF44" i="85"/>
  <c r="CF43" i="85"/>
  <c r="CF46" i="85"/>
  <c r="CF47" i="85"/>
  <c r="CF45" i="85"/>
  <c r="CF120" i="85"/>
  <c r="CF122" i="85"/>
  <c r="CF121" i="85"/>
  <c r="CF119" i="85"/>
  <c r="CF118" i="85"/>
  <c r="C11" i="88"/>
  <c r="D10" i="89"/>
  <c r="D16" i="89"/>
  <c r="C23" i="88"/>
  <c r="D31" i="89"/>
  <c r="D20" i="89"/>
  <c r="AC11" i="85"/>
  <c r="C10" i="88" s="1"/>
  <c r="AN46" i="85"/>
  <c r="AC19" i="85"/>
  <c r="C18" i="88" s="1"/>
  <c r="AN86" i="85"/>
  <c r="AC32" i="85"/>
  <c r="C31" i="88" s="1"/>
  <c r="AN151" i="85"/>
  <c r="AC22" i="85"/>
  <c r="C21" i="88" s="1"/>
  <c r="AN101" i="85"/>
  <c r="AC10" i="85"/>
  <c r="D13" i="89" s="1"/>
  <c r="AN41" i="85"/>
  <c r="AC23" i="85"/>
  <c r="C22" i="88" s="1"/>
  <c r="AN106" i="85"/>
  <c r="AC31" i="85"/>
  <c r="C30" i="88" s="1"/>
  <c r="AN146" i="85"/>
  <c r="AC8" i="85"/>
  <c r="D11" i="89" s="1"/>
  <c r="AN31" i="85"/>
  <c r="AC26" i="85"/>
  <c r="D29" i="89" s="1"/>
  <c r="AN121" i="85"/>
  <c r="AC14" i="85"/>
  <c r="C13" i="88" s="1"/>
  <c r="AN61" i="85"/>
  <c r="AC30" i="85"/>
  <c r="C29" i="88" s="1"/>
  <c r="AN141" i="85"/>
  <c r="AC21" i="85"/>
  <c r="C20" i="88" s="1"/>
  <c r="AN96" i="85"/>
  <c r="AC18" i="85"/>
  <c r="D21" i="89" s="1"/>
  <c r="AN81" i="85"/>
  <c r="AC15" i="85"/>
  <c r="C14" i="88" s="1"/>
  <c r="AN66" i="85"/>
  <c r="AC27" i="85"/>
  <c r="D30" i="89" s="1"/>
  <c r="AN126" i="85"/>
  <c r="AC6" i="85"/>
  <c r="C5" i="88" s="1"/>
  <c r="AN13" i="85"/>
  <c r="AC9" i="85"/>
  <c r="AN36" i="85"/>
  <c r="C7" i="88"/>
  <c r="T8" i="85"/>
  <c r="V8" i="85"/>
  <c r="X8" i="85"/>
  <c r="CG146" i="85" l="1"/>
  <c r="CG138" i="85"/>
  <c r="CG130" i="85"/>
  <c r="CG122" i="85"/>
  <c r="CG114" i="85"/>
  <c r="CG106" i="85"/>
  <c r="CG98" i="85"/>
  <c r="CG90" i="85"/>
  <c r="CG82" i="85"/>
  <c r="CG74" i="85"/>
  <c r="CG66" i="85"/>
  <c r="CG58" i="85"/>
  <c r="CG50" i="85"/>
  <c r="CG42" i="85"/>
  <c r="CG34" i="85"/>
  <c r="CG26" i="85"/>
  <c r="CG18" i="85"/>
  <c r="CG149" i="85"/>
  <c r="CG141" i="85"/>
  <c r="CG133" i="85"/>
  <c r="CG125" i="85"/>
  <c r="CG117" i="85"/>
  <c r="CG109" i="85"/>
  <c r="CG101" i="85"/>
  <c r="CG93" i="85"/>
  <c r="CG85" i="85"/>
  <c r="CG77" i="85"/>
  <c r="CG69" i="85"/>
  <c r="CG61" i="85"/>
  <c r="CG53" i="85"/>
  <c r="CG45" i="85"/>
  <c r="CG37" i="85"/>
  <c r="CG29" i="85"/>
  <c r="CG21" i="85"/>
  <c r="CG13" i="85"/>
  <c r="CG59" i="85"/>
  <c r="CG43" i="85"/>
  <c r="CG27" i="85"/>
  <c r="CG19" i="85"/>
  <c r="CG148" i="85"/>
  <c r="CG132" i="85"/>
  <c r="CG108" i="85"/>
  <c r="CG84" i="85"/>
  <c r="CG60" i="85"/>
  <c r="CG36" i="85"/>
  <c r="CG20" i="85"/>
  <c r="CG143" i="85"/>
  <c r="CG127" i="85"/>
  <c r="CG103" i="85"/>
  <c r="CG79" i="85"/>
  <c r="CG63" i="85"/>
  <c r="CG39" i="85"/>
  <c r="CG15" i="85"/>
  <c r="CG152" i="85"/>
  <c r="CG144" i="85"/>
  <c r="CG136" i="85"/>
  <c r="CG128" i="85"/>
  <c r="CG120" i="85"/>
  <c r="CG112" i="85"/>
  <c r="CG104" i="85"/>
  <c r="CG96" i="85"/>
  <c r="CG88" i="85"/>
  <c r="CG80" i="85"/>
  <c r="CG72" i="85"/>
  <c r="CG64" i="85"/>
  <c r="CG56" i="85"/>
  <c r="CG48" i="85"/>
  <c r="CG40" i="85"/>
  <c r="CG32" i="85"/>
  <c r="CG24" i="85"/>
  <c r="CG16" i="85"/>
  <c r="CG147" i="85"/>
  <c r="CG139" i="85"/>
  <c r="CG131" i="85"/>
  <c r="CG123" i="85"/>
  <c r="CG115" i="85"/>
  <c r="CG107" i="85"/>
  <c r="CG99" i="85"/>
  <c r="CG91" i="85"/>
  <c r="CG83" i="85"/>
  <c r="CG75" i="85"/>
  <c r="CG67" i="85"/>
  <c r="CG51" i="85"/>
  <c r="CG35" i="85"/>
  <c r="CG124" i="85"/>
  <c r="CG100" i="85"/>
  <c r="CG76" i="85"/>
  <c r="CG52" i="85"/>
  <c r="CG28" i="85"/>
  <c r="CG151" i="85"/>
  <c r="CG135" i="85"/>
  <c r="CG111" i="85"/>
  <c r="CG87" i="85"/>
  <c r="CG55" i="85"/>
  <c r="CG31" i="85"/>
  <c r="CG113" i="85"/>
  <c r="CG105" i="85"/>
  <c r="CG97" i="85"/>
  <c r="CG89" i="85"/>
  <c r="CG81" i="85"/>
  <c r="CG73" i="85"/>
  <c r="CG65" i="85"/>
  <c r="CG57" i="85"/>
  <c r="CG49" i="85"/>
  <c r="CG41" i="85"/>
  <c r="CG33" i="85"/>
  <c r="CG25" i="85"/>
  <c r="CG17" i="85"/>
  <c r="CG140" i="85"/>
  <c r="CG116" i="85"/>
  <c r="CG92" i="85"/>
  <c r="CG68" i="85"/>
  <c r="CG44" i="85"/>
  <c r="CG119" i="85"/>
  <c r="CG95" i="85"/>
  <c r="CG71" i="85"/>
  <c r="CG47" i="85"/>
  <c r="CG23" i="85"/>
  <c r="CG150" i="85"/>
  <c r="CG70" i="85"/>
  <c r="CG129" i="85"/>
  <c r="CG22" i="85"/>
  <c r="CG54" i="85"/>
  <c r="CG86" i="85"/>
  <c r="CG118" i="85"/>
  <c r="CG153" i="85"/>
  <c r="CG137" i="85"/>
  <c r="CG30" i="85"/>
  <c r="CG62" i="85"/>
  <c r="CG94" i="85"/>
  <c r="CG126" i="85"/>
  <c r="CG145" i="85"/>
  <c r="CG38" i="85"/>
  <c r="CG102" i="85"/>
  <c r="CG134" i="85"/>
  <c r="CG121" i="85"/>
  <c r="CG14" i="85"/>
  <c r="CG46" i="85"/>
  <c r="CG78" i="85"/>
  <c r="CG110" i="85"/>
  <c r="CG142" i="85"/>
  <c r="C25" i="88"/>
  <c r="BJ7" i="89"/>
  <c r="BS7" i="89" s="1"/>
  <c r="BJ13" i="89"/>
  <c r="BS13" i="89" s="1"/>
  <c r="CB13" i="89"/>
  <c r="BJ14" i="89"/>
  <c r="BV14" i="89" s="1"/>
  <c r="D26" i="89"/>
  <c r="CB12" i="89" s="1"/>
  <c r="D17" i="89"/>
  <c r="AD34" i="85"/>
  <c r="E37" i="89" s="1"/>
  <c r="D33" i="89"/>
  <c r="C9" i="88"/>
  <c r="C26" i="88"/>
  <c r="D34" i="89"/>
  <c r="D35" i="89"/>
  <c r="D14" i="89"/>
  <c r="CB8" i="89" s="1"/>
  <c r="C17" i="88"/>
  <c r="AD33" i="85"/>
  <c r="E36" i="89" s="1"/>
  <c r="D24" i="89"/>
  <c r="D22" i="89"/>
  <c r="BJ11" i="89" s="1"/>
  <c r="D25" i="89"/>
  <c r="D9" i="89"/>
  <c r="D18" i="89"/>
  <c r="BJ10" i="89" s="1"/>
  <c r="C8" i="88"/>
  <c r="D12" i="89"/>
  <c r="CB7" i="89" s="1"/>
  <c r="X6" i="85"/>
  <c r="X7" i="85"/>
  <c r="Y8" i="85" s="1"/>
  <c r="X9" i="85"/>
  <c r="X10" i="85"/>
  <c r="X11" i="85"/>
  <c r="X12" i="85"/>
  <c r="X13" i="85"/>
  <c r="X14" i="85"/>
  <c r="X15" i="85"/>
  <c r="X16" i="85"/>
  <c r="X17" i="85"/>
  <c r="X18" i="85"/>
  <c r="X19" i="85"/>
  <c r="X20" i="85"/>
  <c r="X21" i="85"/>
  <c r="X22" i="85"/>
  <c r="X23" i="85"/>
  <c r="X24" i="85"/>
  <c r="X25" i="85"/>
  <c r="X26" i="85"/>
  <c r="X27" i="85"/>
  <c r="X28" i="85"/>
  <c r="X29" i="85"/>
  <c r="X30" i="85"/>
  <c r="X31" i="85"/>
  <c r="X32" i="85"/>
  <c r="Y33" i="85" s="1"/>
  <c r="X5" i="85"/>
  <c r="T7" i="85"/>
  <c r="U8" i="85" s="1"/>
  <c r="AN29" i="85" s="1"/>
  <c r="V7" i="85"/>
  <c r="W8" i="85" s="1"/>
  <c r="AN30" i="85" s="1"/>
  <c r="BV7" i="89" l="1"/>
  <c r="BU7" i="89"/>
  <c r="BW7" i="89"/>
  <c r="BT7" i="89"/>
  <c r="Y6" i="85"/>
  <c r="BT13" i="89"/>
  <c r="CL12" i="89"/>
  <c r="CI12" i="89"/>
  <c r="CK12" i="89"/>
  <c r="CJ12" i="89"/>
  <c r="CL13" i="89"/>
  <c r="CI13" i="89"/>
  <c r="CJ13" i="89"/>
  <c r="CK13" i="89"/>
  <c r="CI7" i="89"/>
  <c r="CJ7" i="89"/>
  <c r="CK7" i="89"/>
  <c r="CL7" i="89"/>
  <c r="CL8" i="89"/>
  <c r="CI8" i="89"/>
  <c r="CJ8" i="89"/>
  <c r="CK8" i="89"/>
  <c r="CB11" i="89"/>
  <c r="BJ9" i="89"/>
  <c r="BU9" i="89" s="1"/>
  <c r="CB9" i="89"/>
  <c r="BV13" i="89"/>
  <c r="BW13" i="89"/>
  <c r="CB14" i="89"/>
  <c r="BU13" i="89"/>
  <c r="CB10" i="89"/>
  <c r="BW14" i="89"/>
  <c r="BS14" i="89"/>
  <c r="BT14" i="89"/>
  <c r="BU14" i="89"/>
  <c r="BJ12" i="89"/>
  <c r="BU12" i="89" s="1"/>
  <c r="BV10" i="89"/>
  <c r="BU10" i="89"/>
  <c r="BS10" i="89"/>
  <c r="BW10" i="89"/>
  <c r="BT10" i="89"/>
  <c r="BU11" i="89"/>
  <c r="BS11" i="89"/>
  <c r="BV11" i="89"/>
  <c r="BW11" i="89"/>
  <c r="BT11" i="89"/>
  <c r="BJ8" i="89"/>
  <c r="BJ15" i="89"/>
  <c r="Y7" i="85"/>
  <c r="BW9" i="89" l="1"/>
  <c r="CL10" i="89"/>
  <c r="CI10" i="89"/>
  <c r="CK10" i="89"/>
  <c r="CJ10" i="89"/>
  <c r="CL9" i="89"/>
  <c r="CI9" i="89"/>
  <c r="CJ9" i="89"/>
  <c r="CK9" i="89"/>
  <c r="CL14" i="89"/>
  <c r="CI14" i="89"/>
  <c r="CK14" i="89"/>
  <c r="CJ14" i="89"/>
  <c r="CL11" i="89"/>
  <c r="CI11" i="89"/>
  <c r="CJ11" i="89"/>
  <c r="CK11" i="89"/>
  <c r="BS9" i="89"/>
  <c r="BV9" i="89"/>
  <c r="BT9" i="89"/>
  <c r="BV12" i="89"/>
  <c r="BW12" i="89"/>
  <c r="BT12" i="89"/>
  <c r="BS12" i="89"/>
  <c r="BU15" i="89"/>
  <c r="BW15" i="89"/>
  <c r="BT15" i="89"/>
  <c r="BV15" i="89"/>
  <c r="BS15" i="89"/>
  <c r="BT8" i="89"/>
  <c r="BW8" i="89"/>
  <c r="BU8" i="89"/>
  <c r="BV8" i="89"/>
  <c r="BS8" i="89"/>
  <c r="I7" i="103"/>
  <c r="I8" i="103"/>
  <c r="I9" i="103"/>
  <c r="I10" i="103"/>
  <c r="I11" i="103"/>
  <c r="I12" i="103"/>
  <c r="I13" i="103"/>
  <c r="I14" i="103"/>
  <c r="I15" i="103"/>
  <c r="I16" i="103"/>
  <c r="I17" i="103"/>
  <c r="I18" i="103"/>
  <c r="I19" i="103"/>
  <c r="I20" i="103"/>
  <c r="I21" i="103"/>
  <c r="I22" i="103"/>
  <c r="I23" i="103"/>
  <c r="I24" i="103"/>
  <c r="I25" i="103"/>
  <c r="I26" i="103"/>
  <c r="I6" i="103"/>
  <c r="CI15" i="89" l="1"/>
  <c r="CJ15" i="89"/>
  <c r="CL15" i="89"/>
  <c r="CK15" i="89"/>
  <c r="BW16" i="89"/>
  <c r="BS16" i="89"/>
  <c r="BU16" i="89"/>
  <c r="BT16" i="89"/>
  <c r="BV16" i="89"/>
  <c r="G7" i="103"/>
  <c r="G8" i="103"/>
  <c r="G9" i="103"/>
  <c r="G10" i="103"/>
  <c r="G11" i="103"/>
  <c r="G12" i="103"/>
  <c r="G13" i="103"/>
  <c r="G14" i="103"/>
  <c r="G15" i="103"/>
  <c r="G16" i="103"/>
  <c r="G17" i="103"/>
  <c r="G18" i="103"/>
  <c r="G19" i="103"/>
  <c r="G20" i="103"/>
  <c r="G21" i="103"/>
  <c r="G22" i="103"/>
  <c r="G23" i="103"/>
  <c r="G24" i="103"/>
  <c r="G25" i="103"/>
  <c r="G26" i="103"/>
  <c r="BJ12" i="103" l="1"/>
  <c r="BJ18" i="103"/>
  <c r="BJ24" i="103"/>
  <c r="BJ30" i="103"/>
  <c r="BJ36" i="103"/>
  <c r="BJ42" i="103"/>
  <c r="BJ48" i="103"/>
  <c r="BJ54" i="103"/>
  <c r="BJ60" i="103"/>
  <c r="BJ66" i="103"/>
  <c r="BJ72" i="103"/>
  <c r="BJ78" i="103"/>
  <c r="BJ84" i="103"/>
  <c r="BJ90" i="103"/>
  <c r="BJ96" i="103"/>
  <c r="BJ102" i="103"/>
  <c r="BJ108" i="103"/>
  <c r="BJ114" i="103"/>
  <c r="BJ120" i="103"/>
  <c r="BJ126" i="103"/>
  <c r="BJ6" i="103"/>
  <c r="BB7" i="103"/>
  <c r="BB8" i="103"/>
  <c r="BB9" i="103"/>
  <c r="BB10" i="103"/>
  <c r="BB11" i="103"/>
  <c r="BB12" i="103"/>
  <c r="BB13" i="103"/>
  <c r="BB14" i="103"/>
  <c r="BB15" i="103"/>
  <c r="BB16" i="103"/>
  <c r="BB17" i="103"/>
  <c r="BB18" i="103"/>
  <c r="BB19" i="103"/>
  <c r="BB20" i="103"/>
  <c r="BB21" i="103"/>
  <c r="BB22" i="103"/>
  <c r="BB23" i="103"/>
  <c r="BB24" i="103"/>
  <c r="BB25" i="103"/>
  <c r="BB26" i="103"/>
  <c r="BB27" i="103"/>
  <c r="BB28" i="103"/>
  <c r="BB29" i="103"/>
  <c r="BB30" i="103"/>
  <c r="BB31" i="103"/>
  <c r="BB32" i="103"/>
  <c r="BB33" i="103"/>
  <c r="BB34" i="103"/>
  <c r="BB35" i="103"/>
  <c r="BB36" i="103"/>
  <c r="BB37" i="103"/>
  <c r="BB38" i="103"/>
  <c r="BB39" i="103"/>
  <c r="BB40" i="103"/>
  <c r="BB41" i="103"/>
  <c r="BB42" i="103"/>
  <c r="BB43" i="103"/>
  <c r="BB44" i="103"/>
  <c r="BB45" i="103"/>
  <c r="BB46" i="103"/>
  <c r="BB47" i="103"/>
  <c r="BB48" i="103"/>
  <c r="BB49" i="103"/>
  <c r="BB50" i="103"/>
  <c r="BB51" i="103"/>
  <c r="BB52" i="103"/>
  <c r="BB53" i="103"/>
  <c r="BB54" i="103"/>
  <c r="BB55" i="103"/>
  <c r="BB56" i="103"/>
  <c r="BB57" i="103"/>
  <c r="BB58" i="103"/>
  <c r="BB59" i="103"/>
  <c r="BB60" i="103"/>
  <c r="BB61" i="103"/>
  <c r="BB62" i="103"/>
  <c r="BB63" i="103"/>
  <c r="BB64" i="103"/>
  <c r="BB65" i="103"/>
  <c r="BB66" i="103"/>
  <c r="BB67" i="103"/>
  <c r="BB68" i="103"/>
  <c r="BB69" i="103"/>
  <c r="BB70" i="103"/>
  <c r="BB71" i="103"/>
  <c r="BB72" i="103"/>
  <c r="BB73" i="103"/>
  <c r="BB74" i="103"/>
  <c r="BB75" i="103"/>
  <c r="BB76" i="103"/>
  <c r="BB77" i="103"/>
  <c r="BB78" i="103"/>
  <c r="BB79" i="103"/>
  <c r="BB80" i="103"/>
  <c r="BB81" i="103"/>
  <c r="BB82" i="103"/>
  <c r="BB83" i="103"/>
  <c r="BB84" i="103"/>
  <c r="BB85" i="103"/>
  <c r="BB86" i="103"/>
  <c r="BB87" i="103"/>
  <c r="BB88" i="103"/>
  <c r="BB89" i="103"/>
  <c r="BB90" i="103"/>
  <c r="BB91" i="103"/>
  <c r="BB92" i="103"/>
  <c r="BB93" i="103"/>
  <c r="BB94" i="103"/>
  <c r="BB95" i="103"/>
  <c r="BB96" i="103"/>
  <c r="BB97" i="103"/>
  <c r="BB98" i="103"/>
  <c r="BB99" i="103"/>
  <c r="BB100" i="103"/>
  <c r="BB101" i="103"/>
  <c r="BB102" i="103"/>
  <c r="BB103" i="103"/>
  <c r="BB104" i="103"/>
  <c r="BB105" i="103"/>
  <c r="BB106" i="103"/>
  <c r="BB107" i="103"/>
  <c r="BB108" i="103"/>
  <c r="BB109" i="103"/>
  <c r="BB110" i="103"/>
  <c r="BB111" i="103"/>
  <c r="BB112" i="103"/>
  <c r="BB113" i="103"/>
  <c r="BB114" i="103"/>
  <c r="BB115" i="103"/>
  <c r="BB116" i="103"/>
  <c r="BB117" i="103"/>
  <c r="BB118" i="103"/>
  <c r="BB119" i="103"/>
  <c r="BB120" i="103"/>
  <c r="BB121" i="103"/>
  <c r="BB122" i="103"/>
  <c r="BB123" i="103"/>
  <c r="BB124" i="103"/>
  <c r="BB125" i="103"/>
  <c r="BB126" i="103"/>
  <c r="BB127" i="103"/>
  <c r="BB128" i="103"/>
  <c r="BB129" i="103"/>
  <c r="BB130" i="103"/>
  <c r="BB131" i="103"/>
  <c r="BB6" i="103"/>
  <c r="BI7" i="103"/>
  <c r="BI8" i="103"/>
  <c r="BI9" i="103"/>
  <c r="BI10" i="103"/>
  <c r="BI11" i="103"/>
  <c r="BI12" i="103"/>
  <c r="BI13" i="103"/>
  <c r="BI14" i="103"/>
  <c r="BI15" i="103"/>
  <c r="BI16" i="103"/>
  <c r="BI17" i="103"/>
  <c r="BI18" i="103"/>
  <c r="BI19" i="103"/>
  <c r="BI20" i="103"/>
  <c r="BI21" i="103"/>
  <c r="BI22" i="103"/>
  <c r="BI23" i="103"/>
  <c r="BI24" i="103"/>
  <c r="BI25" i="103"/>
  <c r="BI26" i="103"/>
  <c r="BI27" i="103"/>
  <c r="BI28" i="103"/>
  <c r="BI29" i="103"/>
  <c r="BI30" i="103"/>
  <c r="BI31" i="103"/>
  <c r="BI32" i="103"/>
  <c r="BI33" i="103"/>
  <c r="BI34" i="103"/>
  <c r="BI35" i="103"/>
  <c r="BI36" i="103"/>
  <c r="BI37" i="103"/>
  <c r="BI38" i="103"/>
  <c r="BI39" i="103"/>
  <c r="BI40" i="103"/>
  <c r="BI41" i="103"/>
  <c r="BI42" i="103"/>
  <c r="BI43" i="103"/>
  <c r="BI44" i="103"/>
  <c r="BI45" i="103"/>
  <c r="BI46" i="103"/>
  <c r="BI47" i="103"/>
  <c r="BI48" i="103"/>
  <c r="BI49" i="103"/>
  <c r="BI50" i="103"/>
  <c r="BI51" i="103"/>
  <c r="BI52" i="103"/>
  <c r="BI53" i="103"/>
  <c r="BI54" i="103"/>
  <c r="BI55" i="103"/>
  <c r="BI56" i="103"/>
  <c r="BI57" i="103"/>
  <c r="BI58" i="103"/>
  <c r="BI59" i="103"/>
  <c r="BI60" i="103"/>
  <c r="BI61" i="103"/>
  <c r="BI62" i="103"/>
  <c r="BI63" i="103"/>
  <c r="BI64" i="103"/>
  <c r="BI65" i="103"/>
  <c r="BI66" i="103"/>
  <c r="BI67" i="103"/>
  <c r="BI68" i="103"/>
  <c r="BI69" i="103"/>
  <c r="BI70" i="103"/>
  <c r="BI71" i="103"/>
  <c r="BI72" i="103"/>
  <c r="BI73" i="103"/>
  <c r="BI74" i="103"/>
  <c r="BI75" i="103"/>
  <c r="BI76" i="103"/>
  <c r="BI77" i="103"/>
  <c r="BI78" i="103"/>
  <c r="BI79" i="103"/>
  <c r="BI80" i="103"/>
  <c r="BI81" i="103"/>
  <c r="BI82" i="103"/>
  <c r="BI83" i="103"/>
  <c r="BI84" i="103"/>
  <c r="BI85" i="103"/>
  <c r="BI86" i="103"/>
  <c r="BI87" i="103"/>
  <c r="BI88" i="103"/>
  <c r="BI89" i="103"/>
  <c r="BI90" i="103"/>
  <c r="BI91" i="103"/>
  <c r="BI92" i="103"/>
  <c r="BI93" i="103"/>
  <c r="BI94" i="103"/>
  <c r="BI95" i="103"/>
  <c r="BI96" i="103"/>
  <c r="BI97" i="103"/>
  <c r="BI98" i="103"/>
  <c r="BI99" i="103"/>
  <c r="BI100" i="103"/>
  <c r="BI101" i="103"/>
  <c r="BI102" i="103"/>
  <c r="BI103" i="103"/>
  <c r="BI104" i="103"/>
  <c r="BI105" i="103"/>
  <c r="BI106" i="103"/>
  <c r="BI107" i="103"/>
  <c r="BI108" i="103"/>
  <c r="BI109" i="103"/>
  <c r="BI110" i="103"/>
  <c r="BI111" i="103"/>
  <c r="BI112" i="103"/>
  <c r="BI113" i="103"/>
  <c r="BI114" i="103"/>
  <c r="BI115" i="103"/>
  <c r="BI116" i="103"/>
  <c r="BI117" i="103"/>
  <c r="BI118" i="103"/>
  <c r="BI119" i="103"/>
  <c r="BI120" i="103"/>
  <c r="BI121" i="103"/>
  <c r="BI122" i="103"/>
  <c r="BI123" i="103"/>
  <c r="BI124" i="103"/>
  <c r="BI125" i="103"/>
  <c r="BI126" i="103"/>
  <c r="BI127" i="103"/>
  <c r="BI128" i="103"/>
  <c r="BI129" i="103"/>
  <c r="BI130" i="103"/>
  <c r="BI131" i="103"/>
  <c r="BI6" i="103"/>
  <c r="BL7" i="103"/>
  <c r="BL8" i="103"/>
  <c r="BL9" i="103"/>
  <c r="BL10" i="103"/>
  <c r="BL11" i="103"/>
  <c r="BL12" i="103"/>
  <c r="BL13" i="103"/>
  <c r="BL14" i="103"/>
  <c r="BL15" i="103"/>
  <c r="BL16" i="103"/>
  <c r="BL17" i="103"/>
  <c r="BL18" i="103"/>
  <c r="BL19" i="103"/>
  <c r="BL20" i="103"/>
  <c r="BL21" i="103"/>
  <c r="BL22" i="103"/>
  <c r="BL23" i="103"/>
  <c r="BL24" i="103"/>
  <c r="BL25" i="103"/>
  <c r="BL26" i="103"/>
  <c r="BL27" i="103"/>
  <c r="BL28" i="103"/>
  <c r="BL29" i="103"/>
  <c r="BL30" i="103"/>
  <c r="BL31" i="103"/>
  <c r="BL32" i="103"/>
  <c r="BL33" i="103"/>
  <c r="BL34" i="103"/>
  <c r="BL35" i="103"/>
  <c r="BL36" i="103"/>
  <c r="BL37" i="103"/>
  <c r="BL38" i="103"/>
  <c r="BL39" i="103"/>
  <c r="BL40" i="103"/>
  <c r="BL41" i="103"/>
  <c r="BL42" i="103"/>
  <c r="BL43" i="103"/>
  <c r="BL44" i="103"/>
  <c r="BL45" i="103"/>
  <c r="BL46" i="103"/>
  <c r="BL47" i="103"/>
  <c r="BL48" i="103"/>
  <c r="BL49" i="103"/>
  <c r="BL50" i="103"/>
  <c r="BL51" i="103"/>
  <c r="BL52" i="103"/>
  <c r="BL53" i="103"/>
  <c r="BL54" i="103"/>
  <c r="BL55" i="103"/>
  <c r="BL56" i="103"/>
  <c r="BL57" i="103"/>
  <c r="BL58" i="103"/>
  <c r="BL59" i="103"/>
  <c r="BL60" i="103"/>
  <c r="BL61" i="103"/>
  <c r="BL62" i="103"/>
  <c r="BL63" i="103"/>
  <c r="BL64" i="103"/>
  <c r="BL65" i="103"/>
  <c r="BL66" i="103"/>
  <c r="BL67" i="103"/>
  <c r="BL68" i="103"/>
  <c r="BL69" i="103"/>
  <c r="BL70" i="103"/>
  <c r="BL71" i="103"/>
  <c r="BL72" i="103"/>
  <c r="BL73" i="103"/>
  <c r="BL74" i="103"/>
  <c r="BL75" i="103"/>
  <c r="BL76" i="103"/>
  <c r="BL77" i="103"/>
  <c r="BL78" i="103"/>
  <c r="BL79" i="103"/>
  <c r="BL80" i="103"/>
  <c r="BL81" i="103"/>
  <c r="BL82" i="103"/>
  <c r="BL83" i="103"/>
  <c r="BL84" i="103"/>
  <c r="BL85" i="103"/>
  <c r="BL86" i="103"/>
  <c r="BL87" i="103"/>
  <c r="BL88" i="103"/>
  <c r="BL89" i="103"/>
  <c r="BL90" i="103"/>
  <c r="BL91" i="103"/>
  <c r="BL92" i="103"/>
  <c r="BL93" i="103"/>
  <c r="BL94" i="103"/>
  <c r="BL95" i="103"/>
  <c r="BL96" i="103"/>
  <c r="BL97" i="103"/>
  <c r="BL98" i="103"/>
  <c r="BL99" i="103"/>
  <c r="BL100" i="103"/>
  <c r="BL101" i="103"/>
  <c r="BL102" i="103"/>
  <c r="BL103" i="103"/>
  <c r="BL104" i="103"/>
  <c r="BL105" i="103"/>
  <c r="BL106" i="103"/>
  <c r="BL107" i="103"/>
  <c r="BL108" i="103"/>
  <c r="BL109" i="103"/>
  <c r="BL110" i="103"/>
  <c r="BL111" i="103"/>
  <c r="BL112" i="103"/>
  <c r="BL113" i="103"/>
  <c r="BL114" i="103"/>
  <c r="BL115" i="103"/>
  <c r="BL116" i="103"/>
  <c r="BL117" i="103"/>
  <c r="BL118" i="103"/>
  <c r="BL119" i="103"/>
  <c r="BL120" i="103"/>
  <c r="BL121" i="103"/>
  <c r="BL122" i="103"/>
  <c r="BL123" i="103"/>
  <c r="BL124" i="103"/>
  <c r="BL125" i="103"/>
  <c r="BL126" i="103"/>
  <c r="BL127" i="103"/>
  <c r="BL128" i="103"/>
  <c r="BL129" i="103"/>
  <c r="BL130" i="103"/>
  <c r="BL131" i="103"/>
  <c r="BL6" i="103"/>
  <c r="BK7" i="103"/>
  <c r="BK8" i="103"/>
  <c r="BK9" i="103"/>
  <c r="BK10" i="103"/>
  <c r="BK11" i="103"/>
  <c r="BK12" i="103"/>
  <c r="BK13" i="103"/>
  <c r="BK14" i="103"/>
  <c r="BK15" i="103"/>
  <c r="BK16" i="103"/>
  <c r="BK17" i="103"/>
  <c r="BK18" i="103"/>
  <c r="BK19" i="103"/>
  <c r="BK20" i="103"/>
  <c r="BK21" i="103"/>
  <c r="BK22" i="103"/>
  <c r="BK23" i="103"/>
  <c r="BK24" i="103"/>
  <c r="BK25" i="103"/>
  <c r="BK26" i="103"/>
  <c r="BK27" i="103"/>
  <c r="BK28" i="103"/>
  <c r="BK29" i="103"/>
  <c r="BK30" i="103"/>
  <c r="BK31" i="103"/>
  <c r="BK32" i="103"/>
  <c r="BK33" i="103"/>
  <c r="BK34" i="103"/>
  <c r="BK35" i="103"/>
  <c r="BK36" i="103"/>
  <c r="BK37" i="103"/>
  <c r="BK38" i="103"/>
  <c r="BK39" i="103"/>
  <c r="BK40" i="103"/>
  <c r="BK41" i="103"/>
  <c r="BK42" i="103"/>
  <c r="BK43" i="103"/>
  <c r="BK44" i="103"/>
  <c r="BK45" i="103"/>
  <c r="BK46" i="103"/>
  <c r="BK47" i="103"/>
  <c r="BK48" i="103"/>
  <c r="BK49" i="103"/>
  <c r="BK50" i="103"/>
  <c r="BK51" i="103"/>
  <c r="BK52" i="103"/>
  <c r="BK53" i="103"/>
  <c r="BK54" i="103"/>
  <c r="BK55" i="103"/>
  <c r="BK56" i="103"/>
  <c r="BK57" i="103"/>
  <c r="BK58" i="103"/>
  <c r="BK59" i="103"/>
  <c r="BK60" i="103"/>
  <c r="BK61" i="103"/>
  <c r="BK62" i="103"/>
  <c r="BK63" i="103"/>
  <c r="BK64" i="103"/>
  <c r="BK65" i="103"/>
  <c r="BK66" i="103"/>
  <c r="BK67" i="103"/>
  <c r="BK68" i="103"/>
  <c r="BK69" i="103"/>
  <c r="BK70" i="103"/>
  <c r="BK71" i="103"/>
  <c r="BK72" i="103"/>
  <c r="BK73" i="103"/>
  <c r="BK74" i="103"/>
  <c r="BK75" i="103"/>
  <c r="BK76" i="103"/>
  <c r="BK77" i="103"/>
  <c r="BK78" i="103"/>
  <c r="BK79" i="103"/>
  <c r="BK80" i="103"/>
  <c r="BK81" i="103"/>
  <c r="BK82" i="103"/>
  <c r="BK83" i="103"/>
  <c r="BK84" i="103"/>
  <c r="BK85" i="103"/>
  <c r="BK86" i="103"/>
  <c r="BK87" i="103"/>
  <c r="BK88" i="103"/>
  <c r="BK89" i="103"/>
  <c r="BK90" i="103"/>
  <c r="BK91" i="103"/>
  <c r="BK92" i="103"/>
  <c r="BK93" i="103"/>
  <c r="BK94" i="103"/>
  <c r="BK95" i="103"/>
  <c r="BK96" i="103"/>
  <c r="BK97" i="103"/>
  <c r="BK98" i="103"/>
  <c r="BK99" i="103"/>
  <c r="BK100" i="103"/>
  <c r="BK101" i="103"/>
  <c r="BK102" i="103"/>
  <c r="BK103" i="103"/>
  <c r="BK104" i="103"/>
  <c r="BK105" i="103"/>
  <c r="BK106" i="103"/>
  <c r="BK107" i="103"/>
  <c r="BK108" i="103"/>
  <c r="BK109" i="103"/>
  <c r="BK110" i="103"/>
  <c r="BK111" i="103"/>
  <c r="BK112" i="103"/>
  <c r="BK113" i="103"/>
  <c r="BK114" i="103"/>
  <c r="BK115" i="103"/>
  <c r="BK116" i="103"/>
  <c r="BK117" i="103"/>
  <c r="BK118" i="103"/>
  <c r="BK119" i="103"/>
  <c r="BK120" i="103"/>
  <c r="BK121" i="103"/>
  <c r="BK122" i="103"/>
  <c r="BK123" i="103"/>
  <c r="BK124" i="103"/>
  <c r="BK125" i="103"/>
  <c r="BK126" i="103"/>
  <c r="BK127" i="103"/>
  <c r="BK128" i="103"/>
  <c r="BK129" i="103"/>
  <c r="BK130" i="103"/>
  <c r="BK131" i="103"/>
  <c r="BK6" i="103"/>
  <c r="BH7" i="103"/>
  <c r="BH8" i="103"/>
  <c r="BH9" i="103"/>
  <c r="BH10" i="103"/>
  <c r="BH11" i="103"/>
  <c r="BH12" i="103"/>
  <c r="BH13" i="103"/>
  <c r="BH14" i="103"/>
  <c r="BH15" i="103"/>
  <c r="BH16" i="103"/>
  <c r="BH17" i="103"/>
  <c r="BH18" i="103"/>
  <c r="BH19" i="103"/>
  <c r="BH20" i="103"/>
  <c r="BH21" i="103"/>
  <c r="BH22" i="103"/>
  <c r="BH23" i="103"/>
  <c r="BH24" i="103"/>
  <c r="BH25" i="103"/>
  <c r="BH26" i="103"/>
  <c r="BH27" i="103"/>
  <c r="BH28" i="103"/>
  <c r="BH29" i="103"/>
  <c r="BH30" i="103"/>
  <c r="BH31" i="103"/>
  <c r="BH32" i="103"/>
  <c r="BH33" i="103"/>
  <c r="BH34" i="103"/>
  <c r="BH35" i="103"/>
  <c r="BH36" i="103"/>
  <c r="BH37" i="103"/>
  <c r="BH38" i="103"/>
  <c r="BH39" i="103"/>
  <c r="BH40" i="103"/>
  <c r="BH41" i="103"/>
  <c r="BH42" i="103"/>
  <c r="BH43" i="103"/>
  <c r="BH44" i="103"/>
  <c r="BH45" i="103"/>
  <c r="BH46" i="103"/>
  <c r="BH47" i="103"/>
  <c r="BH48" i="103"/>
  <c r="BH49" i="103"/>
  <c r="BH50" i="103"/>
  <c r="BH51" i="103"/>
  <c r="BH52" i="103"/>
  <c r="BH53" i="103"/>
  <c r="BH54" i="103"/>
  <c r="BH55" i="103"/>
  <c r="BH56" i="103"/>
  <c r="BH57" i="103"/>
  <c r="BH58" i="103"/>
  <c r="BH59" i="103"/>
  <c r="BH60" i="103"/>
  <c r="BH61" i="103"/>
  <c r="BH62" i="103"/>
  <c r="BH63" i="103"/>
  <c r="BH64" i="103"/>
  <c r="BH65" i="103"/>
  <c r="BH66" i="103"/>
  <c r="BH67" i="103"/>
  <c r="BH68" i="103"/>
  <c r="BH69" i="103"/>
  <c r="BH70" i="103"/>
  <c r="BH71" i="103"/>
  <c r="BH72" i="103"/>
  <c r="BH73" i="103"/>
  <c r="BH74" i="103"/>
  <c r="BH75" i="103"/>
  <c r="BH76" i="103"/>
  <c r="BH77" i="103"/>
  <c r="BH78" i="103"/>
  <c r="BH79" i="103"/>
  <c r="BH80" i="103"/>
  <c r="BH81" i="103"/>
  <c r="BH82" i="103"/>
  <c r="BH83" i="103"/>
  <c r="BH84" i="103"/>
  <c r="BH85" i="103"/>
  <c r="BH86" i="103"/>
  <c r="BH87" i="103"/>
  <c r="BH88" i="103"/>
  <c r="BH89" i="103"/>
  <c r="BH90" i="103"/>
  <c r="BH91" i="103"/>
  <c r="BH92" i="103"/>
  <c r="BH93" i="103"/>
  <c r="BH94" i="103"/>
  <c r="BH95" i="103"/>
  <c r="BH96" i="103"/>
  <c r="BH97" i="103"/>
  <c r="BH98" i="103"/>
  <c r="BH99" i="103"/>
  <c r="BH100" i="103"/>
  <c r="BH101" i="103"/>
  <c r="BH102" i="103"/>
  <c r="BH103" i="103"/>
  <c r="BH104" i="103"/>
  <c r="BH105" i="103"/>
  <c r="BH106" i="103"/>
  <c r="BH107" i="103"/>
  <c r="BH108" i="103"/>
  <c r="BH109" i="103"/>
  <c r="BH110" i="103"/>
  <c r="BH111" i="103"/>
  <c r="BH112" i="103"/>
  <c r="BH113" i="103"/>
  <c r="BH114" i="103"/>
  <c r="BH115" i="103"/>
  <c r="BH116" i="103"/>
  <c r="BH117" i="103"/>
  <c r="BH118" i="103"/>
  <c r="BH119" i="103"/>
  <c r="BH120" i="103"/>
  <c r="BH121" i="103"/>
  <c r="BH122" i="103"/>
  <c r="BH123" i="103"/>
  <c r="BH124" i="103"/>
  <c r="BH125" i="103"/>
  <c r="BH126" i="103"/>
  <c r="BH127" i="103"/>
  <c r="BH128" i="103"/>
  <c r="BH129" i="103"/>
  <c r="BH130" i="103"/>
  <c r="BH131" i="103"/>
  <c r="BH6" i="103"/>
  <c r="BG7" i="103"/>
  <c r="BG8" i="103"/>
  <c r="BG9" i="103"/>
  <c r="BG10" i="103"/>
  <c r="BG11" i="103"/>
  <c r="BG12" i="103"/>
  <c r="BG13" i="103"/>
  <c r="BG14" i="103"/>
  <c r="BG15" i="103"/>
  <c r="BG16" i="103"/>
  <c r="BG17" i="103"/>
  <c r="BG18" i="103"/>
  <c r="BG19" i="103"/>
  <c r="BG20" i="103"/>
  <c r="BG21" i="103"/>
  <c r="BG22" i="103"/>
  <c r="BG23" i="103"/>
  <c r="BG24" i="103"/>
  <c r="BG25" i="103"/>
  <c r="BG26" i="103"/>
  <c r="BG27" i="103"/>
  <c r="BG28" i="103"/>
  <c r="BG29" i="103"/>
  <c r="BG30" i="103"/>
  <c r="BG31" i="103"/>
  <c r="BG32" i="103"/>
  <c r="BG33" i="103"/>
  <c r="BG34" i="103"/>
  <c r="BG35" i="103"/>
  <c r="BG36" i="103"/>
  <c r="BG37" i="103"/>
  <c r="BG38" i="103"/>
  <c r="BG39" i="103"/>
  <c r="BG40" i="103"/>
  <c r="BG41" i="103"/>
  <c r="BG42" i="103"/>
  <c r="BG43" i="103"/>
  <c r="BG44" i="103"/>
  <c r="BG45" i="103"/>
  <c r="BG46" i="103"/>
  <c r="BG47" i="103"/>
  <c r="BG48" i="103"/>
  <c r="BG49" i="103"/>
  <c r="BG50" i="103"/>
  <c r="BG51" i="103"/>
  <c r="BG52" i="103"/>
  <c r="BG53" i="103"/>
  <c r="BG54" i="103"/>
  <c r="BG55" i="103"/>
  <c r="BG56" i="103"/>
  <c r="BG57" i="103"/>
  <c r="BG58" i="103"/>
  <c r="BG59" i="103"/>
  <c r="BG60" i="103"/>
  <c r="BG61" i="103"/>
  <c r="BG62" i="103"/>
  <c r="BG63" i="103"/>
  <c r="BG64" i="103"/>
  <c r="BG65" i="103"/>
  <c r="BG66" i="103"/>
  <c r="BG67" i="103"/>
  <c r="BG68" i="103"/>
  <c r="BG69" i="103"/>
  <c r="BG70" i="103"/>
  <c r="BG71" i="103"/>
  <c r="BG72" i="103"/>
  <c r="BG73" i="103"/>
  <c r="BG74" i="103"/>
  <c r="BG75" i="103"/>
  <c r="BG76" i="103"/>
  <c r="BG77" i="103"/>
  <c r="BG78" i="103"/>
  <c r="BG79" i="103"/>
  <c r="BG80" i="103"/>
  <c r="BG81" i="103"/>
  <c r="BG82" i="103"/>
  <c r="BG83" i="103"/>
  <c r="BG84" i="103"/>
  <c r="BG85" i="103"/>
  <c r="BG86" i="103"/>
  <c r="BG87" i="103"/>
  <c r="BG88" i="103"/>
  <c r="BG89" i="103"/>
  <c r="BG90" i="103"/>
  <c r="BG91" i="103"/>
  <c r="BG92" i="103"/>
  <c r="BG93" i="103"/>
  <c r="BG94" i="103"/>
  <c r="BG95" i="103"/>
  <c r="BG96" i="103"/>
  <c r="BG97" i="103"/>
  <c r="BG98" i="103"/>
  <c r="BG99" i="103"/>
  <c r="BG100" i="103"/>
  <c r="BG101" i="103"/>
  <c r="BG102" i="103"/>
  <c r="BG103" i="103"/>
  <c r="BG104" i="103"/>
  <c r="BG105" i="103"/>
  <c r="BG106" i="103"/>
  <c r="BG107" i="103"/>
  <c r="BG108" i="103"/>
  <c r="BG109" i="103"/>
  <c r="BG110" i="103"/>
  <c r="BG111" i="103"/>
  <c r="BG112" i="103"/>
  <c r="BG113" i="103"/>
  <c r="BG114" i="103"/>
  <c r="BG115" i="103"/>
  <c r="BG116" i="103"/>
  <c r="BG117" i="103"/>
  <c r="BG118" i="103"/>
  <c r="BG119" i="103"/>
  <c r="BG120" i="103"/>
  <c r="BG121" i="103"/>
  <c r="BG122" i="103"/>
  <c r="BG123" i="103"/>
  <c r="BG124" i="103"/>
  <c r="BG125" i="103"/>
  <c r="BG126" i="103"/>
  <c r="BG127" i="103"/>
  <c r="BG128" i="103"/>
  <c r="BG129" i="103"/>
  <c r="BG130" i="103"/>
  <c r="BG131" i="103"/>
  <c r="BG6" i="103"/>
  <c r="BA34" i="103"/>
  <c r="BC34" i="103" s="1"/>
  <c r="BE34" i="103"/>
  <c r="BF34" i="103"/>
  <c r="BA35" i="103"/>
  <c r="BC35" i="103"/>
  <c r="BE35" i="103"/>
  <c r="BF35" i="103"/>
  <c r="BA36" i="103"/>
  <c r="BC36" i="103"/>
  <c r="BE36" i="103"/>
  <c r="BF36" i="103"/>
  <c r="BA37" i="103"/>
  <c r="BC37" i="103"/>
  <c r="BE37" i="103"/>
  <c r="BF37" i="103"/>
  <c r="BA38" i="103"/>
  <c r="BC38" i="103"/>
  <c r="BE38" i="103"/>
  <c r="BF38" i="103"/>
  <c r="BA39" i="103"/>
  <c r="BC39" i="103"/>
  <c r="BE39" i="103"/>
  <c r="BF39" i="103"/>
  <c r="BA40" i="103"/>
  <c r="BC40" i="103"/>
  <c r="BE40" i="103"/>
  <c r="BF40" i="103"/>
  <c r="BA41" i="103"/>
  <c r="BC41" i="103"/>
  <c r="BE41" i="103"/>
  <c r="BF41" i="103"/>
  <c r="BA42" i="103"/>
  <c r="BC42" i="103"/>
  <c r="BE42" i="103"/>
  <c r="BF42" i="103"/>
  <c r="BA43" i="103"/>
  <c r="BC43" i="103"/>
  <c r="BE43" i="103"/>
  <c r="BF43" i="103"/>
  <c r="BA44" i="103"/>
  <c r="BC44" i="103"/>
  <c r="BE44" i="103"/>
  <c r="BF44" i="103"/>
  <c r="BA45" i="103"/>
  <c r="BC45" i="103"/>
  <c r="BE45" i="103"/>
  <c r="BF45" i="103"/>
  <c r="BA46" i="103"/>
  <c r="BC46" i="103"/>
  <c r="BE46" i="103"/>
  <c r="BF46" i="103"/>
  <c r="BA47" i="103"/>
  <c r="BC47" i="103"/>
  <c r="BE47" i="103"/>
  <c r="BF47" i="103"/>
  <c r="BA48" i="103"/>
  <c r="BC48" i="103"/>
  <c r="BE48" i="103"/>
  <c r="BF48" i="103"/>
  <c r="BA49" i="103"/>
  <c r="BC49" i="103"/>
  <c r="BE49" i="103"/>
  <c r="BF49" i="103"/>
  <c r="BA50" i="103"/>
  <c r="BC50" i="103"/>
  <c r="BE50" i="103"/>
  <c r="BF50" i="103"/>
  <c r="BA51" i="103"/>
  <c r="BC51" i="103"/>
  <c r="BE51" i="103"/>
  <c r="BF51" i="103"/>
  <c r="BA52" i="103"/>
  <c r="BC52" i="103"/>
  <c r="BE52" i="103"/>
  <c r="BF52" i="103"/>
  <c r="BA53" i="103"/>
  <c r="BC53" i="103"/>
  <c r="BE53" i="103"/>
  <c r="BF53" i="103"/>
  <c r="BA54" i="103"/>
  <c r="BC54" i="103"/>
  <c r="BE54" i="103"/>
  <c r="BF54" i="103"/>
  <c r="BA55" i="103"/>
  <c r="BC55" i="103"/>
  <c r="BE55" i="103"/>
  <c r="BF55" i="103"/>
  <c r="BA56" i="103"/>
  <c r="BC56" i="103"/>
  <c r="BE56" i="103"/>
  <c r="BF56" i="103"/>
  <c r="BA57" i="103"/>
  <c r="BC57" i="103"/>
  <c r="BE57" i="103"/>
  <c r="BF57" i="103"/>
  <c r="BA58" i="103"/>
  <c r="BC58" i="103"/>
  <c r="BE58" i="103"/>
  <c r="BF58" i="103"/>
  <c r="BA59" i="103"/>
  <c r="BC59" i="103"/>
  <c r="BE59" i="103"/>
  <c r="BF59" i="103"/>
  <c r="BA60" i="103"/>
  <c r="BC60" i="103"/>
  <c r="BE60" i="103"/>
  <c r="BF60" i="103"/>
  <c r="BA61" i="103"/>
  <c r="BC61" i="103"/>
  <c r="BE61" i="103"/>
  <c r="BF61" i="103"/>
  <c r="BA62" i="103"/>
  <c r="BC62" i="103"/>
  <c r="BE62" i="103"/>
  <c r="BF62" i="103"/>
  <c r="BA63" i="103"/>
  <c r="BC63" i="103"/>
  <c r="BE63" i="103"/>
  <c r="BF63" i="103"/>
  <c r="BA64" i="103"/>
  <c r="BC64" i="103"/>
  <c r="BE64" i="103"/>
  <c r="BF64" i="103"/>
  <c r="BA65" i="103"/>
  <c r="BC65" i="103"/>
  <c r="BE65" i="103"/>
  <c r="BF65" i="103"/>
  <c r="BA66" i="103"/>
  <c r="BC66" i="103"/>
  <c r="BE66" i="103"/>
  <c r="BF66" i="103"/>
  <c r="BA67" i="103"/>
  <c r="BC67" i="103"/>
  <c r="BE67" i="103"/>
  <c r="BF67" i="103"/>
  <c r="BA68" i="103"/>
  <c r="BC68" i="103"/>
  <c r="BE68" i="103"/>
  <c r="BF68" i="103"/>
  <c r="BA69" i="103"/>
  <c r="BC69" i="103"/>
  <c r="BE69" i="103"/>
  <c r="BF69" i="103"/>
  <c r="BA70" i="103"/>
  <c r="BC70" i="103"/>
  <c r="BE70" i="103"/>
  <c r="BF70" i="103"/>
  <c r="BA71" i="103"/>
  <c r="BC71" i="103"/>
  <c r="BE71" i="103"/>
  <c r="BF71" i="103"/>
  <c r="BA72" i="103"/>
  <c r="BC72" i="103"/>
  <c r="BE72" i="103"/>
  <c r="BF72" i="103"/>
  <c r="BA73" i="103"/>
  <c r="BC73" i="103"/>
  <c r="BE73" i="103"/>
  <c r="BF73" i="103"/>
  <c r="BA74" i="103"/>
  <c r="BC74" i="103"/>
  <c r="BE74" i="103"/>
  <c r="BF74" i="103"/>
  <c r="BA75" i="103"/>
  <c r="BC75" i="103"/>
  <c r="BE75" i="103"/>
  <c r="BF75" i="103"/>
  <c r="BA76" i="103"/>
  <c r="BC76" i="103"/>
  <c r="BE76" i="103"/>
  <c r="BF76" i="103"/>
  <c r="BA77" i="103"/>
  <c r="BC77" i="103"/>
  <c r="BE77" i="103"/>
  <c r="BF77" i="103"/>
  <c r="BA78" i="103"/>
  <c r="BC78" i="103"/>
  <c r="BE78" i="103"/>
  <c r="BF78" i="103"/>
  <c r="BA79" i="103"/>
  <c r="BC79" i="103"/>
  <c r="BE79" i="103"/>
  <c r="BF79" i="103"/>
  <c r="BA80" i="103"/>
  <c r="BC80" i="103"/>
  <c r="BE80" i="103"/>
  <c r="BF80" i="103"/>
  <c r="BA81" i="103"/>
  <c r="BC81" i="103"/>
  <c r="BE81" i="103"/>
  <c r="BF81" i="103"/>
  <c r="BA82" i="103"/>
  <c r="BC82" i="103"/>
  <c r="BE82" i="103"/>
  <c r="BF82" i="103"/>
  <c r="BA83" i="103"/>
  <c r="BC83" i="103"/>
  <c r="BE83" i="103"/>
  <c r="BF83" i="103"/>
  <c r="BA84" i="103"/>
  <c r="BC84" i="103"/>
  <c r="BE84" i="103"/>
  <c r="BF84" i="103"/>
  <c r="BA85" i="103"/>
  <c r="BC85" i="103"/>
  <c r="BE85" i="103"/>
  <c r="BF85" i="103"/>
  <c r="BA86" i="103"/>
  <c r="BC86" i="103"/>
  <c r="BE86" i="103"/>
  <c r="BF86" i="103"/>
  <c r="BA87" i="103"/>
  <c r="BC87" i="103"/>
  <c r="BE87" i="103"/>
  <c r="BF87" i="103"/>
  <c r="BA88" i="103"/>
  <c r="BC88" i="103" s="1"/>
  <c r="BE88" i="103"/>
  <c r="BF88" i="103"/>
  <c r="BA89" i="103"/>
  <c r="BC89" i="103" s="1"/>
  <c r="BE89" i="103"/>
  <c r="BF89" i="103"/>
  <c r="BA90" i="103"/>
  <c r="BC90" i="103" s="1"/>
  <c r="BE90" i="103"/>
  <c r="BF90" i="103"/>
  <c r="BA91" i="103"/>
  <c r="BC91" i="103" s="1"/>
  <c r="BE91" i="103"/>
  <c r="BF91" i="103"/>
  <c r="BA92" i="103"/>
  <c r="BC92" i="103" s="1"/>
  <c r="BE92" i="103"/>
  <c r="BF92" i="103"/>
  <c r="BA93" i="103"/>
  <c r="BC93" i="103" s="1"/>
  <c r="BE93" i="103"/>
  <c r="BF93" i="103"/>
  <c r="BA94" i="103"/>
  <c r="BC94" i="103" s="1"/>
  <c r="BE94" i="103"/>
  <c r="BF94" i="103"/>
  <c r="BA95" i="103"/>
  <c r="BC95" i="103" s="1"/>
  <c r="BE95" i="103"/>
  <c r="BF95" i="103"/>
  <c r="BA96" i="103"/>
  <c r="BC96" i="103" s="1"/>
  <c r="BE96" i="103"/>
  <c r="BF96" i="103"/>
  <c r="BA97" i="103"/>
  <c r="BC97" i="103" s="1"/>
  <c r="BE97" i="103"/>
  <c r="BF97" i="103"/>
  <c r="BA98" i="103"/>
  <c r="BC98" i="103" s="1"/>
  <c r="BE98" i="103"/>
  <c r="BF98" i="103"/>
  <c r="BA99" i="103"/>
  <c r="BC99" i="103" s="1"/>
  <c r="BE99" i="103"/>
  <c r="BF99" i="103"/>
  <c r="BA100" i="103"/>
  <c r="BC100" i="103" s="1"/>
  <c r="BE100" i="103"/>
  <c r="BF100" i="103"/>
  <c r="BA101" i="103"/>
  <c r="BC101" i="103" s="1"/>
  <c r="BE101" i="103"/>
  <c r="BF101" i="103"/>
  <c r="BA102" i="103"/>
  <c r="BC102" i="103" s="1"/>
  <c r="BE102" i="103"/>
  <c r="BF102" i="103"/>
  <c r="BA103" i="103"/>
  <c r="BC103" i="103" s="1"/>
  <c r="BE103" i="103"/>
  <c r="BF103" i="103"/>
  <c r="BA104" i="103"/>
  <c r="BC104" i="103" s="1"/>
  <c r="BE104" i="103"/>
  <c r="BF104" i="103"/>
  <c r="BA105" i="103"/>
  <c r="BC105" i="103"/>
  <c r="BE105" i="103"/>
  <c r="BF105" i="103"/>
  <c r="BA106" i="103"/>
  <c r="BC106" i="103"/>
  <c r="BE106" i="103"/>
  <c r="BF106" i="103"/>
  <c r="BA107" i="103"/>
  <c r="BC107" i="103"/>
  <c r="BE107" i="103"/>
  <c r="BF107" i="103"/>
  <c r="BA108" i="103"/>
  <c r="BC108" i="103"/>
  <c r="BE108" i="103"/>
  <c r="BF108" i="103"/>
  <c r="BA109" i="103"/>
  <c r="BC109" i="103"/>
  <c r="BE109" i="103"/>
  <c r="BF109" i="103"/>
  <c r="BA110" i="103"/>
  <c r="BC110" i="103"/>
  <c r="BE110" i="103"/>
  <c r="BF110" i="103"/>
  <c r="BA111" i="103"/>
  <c r="BC111" i="103"/>
  <c r="BE111" i="103"/>
  <c r="BF111" i="103"/>
  <c r="BA112" i="103"/>
  <c r="BC112" i="103"/>
  <c r="BE112" i="103"/>
  <c r="BF112" i="103"/>
  <c r="BA113" i="103"/>
  <c r="BC113" i="103"/>
  <c r="BE113" i="103"/>
  <c r="BF113" i="103"/>
  <c r="BA114" i="103"/>
  <c r="BC114" i="103"/>
  <c r="BE114" i="103"/>
  <c r="BF114" i="103"/>
  <c r="BA115" i="103"/>
  <c r="BC115" i="103"/>
  <c r="BE115" i="103"/>
  <c r="BF115" i="103"/>
  <c r="BA116" i="103"/>
  <c r="BC116" i="103"/>
  <c r="BE116" i="103"/>
  <c r="BF116" i="103"/>
  <c r="BA117" i="103"/>
  <c r="BC117" i="103"/>
  <c r="BE117" i="103"/>
  <c r="BF117" i="103"/>
  <c r="BA118" i="103"/>
  <c r="BC118" i="103"/>
  <c r="BE118" i="103"/>
  <c r="BF118" i="103"/>
  <c r="BA119" i="103"/>
  <c r="BC119" i="103"/>
  <c r="BE119" i="103"/>
  <c r="BF119" i="103"/>
  <c r="BA120" i="103"/>
  <c r="BC120" i="103"/>
  <c r="BE120" i="103"/>
  <c r="BF120" i="103"/>
  <c r="BA121" i="103"/>
  <c r="BC121" i="103"/>
  <c r="BE121" i="103"/>
  <c r="BF121" i="103"/>
  <c r="BA122" i="103"/>
  <c r="BC122" i="103"/>
  <c r="BE122" i="103"/>
  <c r="BF122" i="103"/>
  <c r="BA123" i="103"/>
  <c r="BC123" i="103"/>
  <c r="BE123" i="103"/>
  <c r="BF123" i="103"/>
  <c r="BA124" i="103"/>
  <c r="BC124" i="103"/>
  <c r="BE124" i="103"/>
  <c r="BF124" i="103"/>
  <c r="BA125" i="103"/>
  <c r="BC125" i="103"/>
  <c r="BE125" i="103"/>
  <c r="BF125" i="103"/>
  <c r="BA126" i="103"/>
  <c r="BC126" i="103"/>
  <c r="BE126" i="103"/>
  <c r="BF126" i="103"/>
  <c r="BA127" i="103"/>
  <c r="BC127" i="103"/>
  <c r="BE127" i="103"/>
  <c r="BF127" i="103"/>
  <c r="BA128" i="103"/>
  <c r="BC128" i="103"/>
  <c r="BE128" i="103"/>
  <c r="BF128" i="103"/>
  <c r="BA129" i="103"/>
  <c r="BC129" i="103"/>
  <c r="BE129" i="103"/>
  <c r="BF129" i="103"/>
  <c r="BA130" i="103"/>
  <c r="BC130" i="103"/>
  <c r="BE130" i="103"/>
  <c r="BF130" i="103"/>
  <c r="BA131" i="103"/>
  <c r="BC131" i="103"/>
  <c r="BE131" i="103"/>
  <c r="BF131" i="103"/>
  <c r="BF7" i="103"/>
  <c r="BF8" i="103"/>
  <c r="BF9" i="103"/>
  <c r="BF10" i="103"/>
  <c r="BF11" i="103"/>
  <c r="BF12" i="103"/>
  <c r="BF13" i="103"/>
  <c r="BF14" i="103"/>
  <c r="BF15" i="103"/>
  <c r="BF16" i="103"/>
  <c r="BF17" i="103"/>
  <c r="BF18" i="103"/>
  <c r="BF19" i="103"/>
  <c r="BF20" i="103"/>
  <c r="BF21" i="103"/>
  <c r="BF22" i="103"/>
  <c r="BF23" i="103"/>
  <c r="BF24" i="103"/>
  <c r="BF25" i="103"/>
  <c r="BF26" i="103"/>
  <c r="BF27" i="103"/>
  <c r="BF28" i="103"/>
  <c r="BF29" i="103"/>
  <c r="BF30" i="103"/>
  <c r="BF31" i="103"/>
  <c r="BF32" i="103"/>
  <c r="BF33" i="103"/>
  <c r="BF6" i="103"/>
  <c r="BE7" i="103"/>
  <c r="BE8" i="103"/>
  <c r="BE9" i="103"/>
  <c r="BE10" i="103"/>
  <c r="BE11" i="103"/>
  <c r="BE12" i="103"/>
  <c r="BE13" i="103"/>
  <c r="BE14" i="103"/>
  <c r="BE15" i="103"/>
  <c r="BE16" i="103"/>
  <c r="BE17" i="103"/>
  <c r="BE18" i="103"/>
  <c r="BE19" i="103"/>
  <c r="BE20" i="103"/>
  <c r="BE21" i="103"/>
  <c r="BE22" i="103"/>
  <c r="BE23" i="103"/>
  <c r="BE24" i="103"/>
  <c r="BE25" i="103"/>
  <c r="BE26" i="103"/>
  <c r="BE27" i="103"/>
  <c r="BE28" i="103"/>
  <c r="BE29" i="103"/>
  <c r="BE30" i="103"/>
  <c r="BE31" i="103"/>
  <c r="BE32" i="103"/>
  <c r="BE33" i="103"/>
  <c r="BE6" i="103"/>
  <c r="BC7" i="103"/>
  <c r="BC8" i="103"/>
  <c r="BC9" i="103"/>
  <c r="BC10" i="103"/>
  <c r="BC11" i="103"/>
  <c r="BC12" i="103"/>
  <c r="BC13" i="103"/>
  <c r="BC14" i="103"/>
  <c r="BC15" i="103"/>
  <c r="BC16" i="103"/>
  <c r="BC17" i="103"/>
  <c r="BC18" i="103"/>
  <c r="BC19" i="103"/>
  <c r="BC20" i="103"/>
  <c r="BC21" i="103"/>
  <c r="BC22" i="103"/>
  <c r="BC23" i="103"/>
  <c r="BC24" i="103"/>
  <c r="BC25" i="103"/>
  <c r="BC26" i="103"/>
  <c r="BC27" i="103"/>
  <c r="BC28" i="103"/>
  <c r="BC29" i="103"/>
  <c r="BC30" i="103"/>
  <c r="BC31" i="103"/>
  <c r="BC32" i="103"/>
  <c r="BC33" i="103"/>
  <c r="BC6" i="103"/>
  <c r="BA7" i="103"/>
  <c r="BA8" i="103"/>
  <c r="BA9" i="103"/>
  <c r="BA10" i="103"/>
  <c r="BA11" i="103"/>
  <c r="BA12" i="103"/>
  <c r="BA13" i="103"/>
  <c r="BA14" i="103"/>
  <c r="BA15" i="103"/>
  <c r="BA16" i="103"/>
  <c r="BA17" i="103"/>
  <c r="BA18" i="103"/>
  <c r="BA19" i="103"/>
  <c r="BA20" i="103"/>
  <c r="BA21" i="103"/>
  <c r="BA22" i="103"/>
  <c r="BA23" i="103"/>
  <c r="BA24" i="103"/>
  <c r="BA25" i="103"/>
  <c r="BA26" i="103"/>
  <c r="BA27" i="103"/>
  <c r="BA28" i="103"/>
  <c r="BA29" i="103"/>
  <c r="BA30" i="103"/>
  <c r="BA31" i="103"/>
  <c r="BA32" i="103"/>
  <c r="BA33" i="103"/>
  <c r="BA6" i="103"/>
  <c r="AI8" i="103" l="1"/>
  <c r="AI9" i="103"/>
  <c r="AI10" i="103"/>
  <c r="AI11" i="103"/>
  <c r="AI12" i="103"/>
  <c r="AI13" i="103"/>
  <c r="AI14" i="103"/>
  <c r="AI15" i="103"/>
  <c r="AI16" i="103"/>
  <c r="AI17" i="103"/>
  <c r="AI18" i="103"/>
  <c r="AI19" i="103"/>
  <c r="AI20" i="103"/>
  <c r="AI21" i="103"/>
  <c r="AI22" i="103"/>
  <c r="AI7" i="103"/>
  <c r="F7" i="103" l="1"/>
  <c r="F8" i="103"/>
  <c r="F9" i="103"/>
  <c r="F10" i="103"/>
  <c r="F11" i="103"/>
  <c r="F12" i="103"/>
  <c r="F13" i="103"/>
  <c r="F14" i="103"/>
  <c r="F15" i="103"/>
  <c r="F16" i="103"/>
  <c r="F17" i="103"/>
  <c r="F18" i="103"/>
  <c r="F19" i="103"/>
  <c r="F20" i="103"/>
  <c r="F21" i="103"/>
  <c r="F22" i="103"/>
  <c r="F23" i="103"/>
  <c r="F24" i="103"/>
  <c r="F25" i="103"/>
  <c r="F26" i="103"/>
  <c r="F6" i="103"/>
  <c r="G6" i="103" s="1"/>
  <c r="E7" i="103"/>
  <c r="E8" i="103"/>
  <c r="E9" i="103"/>
  <c r="E10" i="103"/>
  <c r="E11" i="103"/>
  <c r="E12" i="103"/>
  <c r="E13" i="103"/>
  <c r="E14" i="103"/>
  <c r="E15" i="103"/>
  <c r="E16" i="103"/>
  <c r="E17" i="103"/>
  <c r="E18" i="103"/>
  <c r="E19" i="103"/>
  <c r="E20" i="103"/>
  <c r="E21" i="103"/>
  <c r="E22" i="103"/>
  <c r="E23" i="103"/>
  <c r="E24" i="103"/>
  <c r="E25" i="103"/>
  <c r="E26" i="103"/>
  <c r="E6" i="103"/>
  <c r="AB3" i="103"/>
  <c r="AA3" i="103"/>
  <c r="Z3" i="103"/>
  <c r="Y3" i="103"/>
  <c r="X3" i="103"/>
  <c r="W3" i="103"/>
  <c r="AC9" i="103" l="1"/>
  <c r="AC12" i="103"/>
  <c r="AC8" i="103"/>
  <c r="AC7" i="103"/>
  <c r="AC19" i="103"/>
  <c r="AC15" i="103"/>
  <c r="AC11" i="103"/>
  <c r="AC20" i="103"/>
  <c r="AC16" i="103"/>
  <c r="AC22" i="103"/>
  <c r="AC18" i="103"/>
  <c r="AC14" i="103"/>
  <c r="AC10" i="103"/>
  <c r="AC21" i="103"/>
  <c r="AC17" i="103"/>
  <c r="AC13" i="103"/>
  <c r="AT8" i="100" l="1"/>
  <c r="AT9" i="100"/>
  <c r="AT10" i="100"/>
  <c r="AT11" i="100"/>
  <c r="AT12" i="100"/>
  <c r="AT13" i="100"/>
  <c r="AT14" i="100"/>
  <c r="AT15" i="100"/>
  <c r="AT16" i="100"/>
  <c r="AT17" i="100"/>
  <c r="AT18" i="100"/>
  <c r="AT19" i="100"/>
  <c r="AT20" i="100"/>
  <c r="AT21" i="100"/>
  <c r="AT22" i="100"/>
  <c r="AT23" i="100"/>
  <c r="AT24" i="100"/>
  <c r="AT25" i="100"/>
  <c r="AT26" i="100"/>
  <c r="AT27" i="100"/>
  <c r="AT28" i="100"/>
  <c r="AT29" i="100"/>
  <c r="AT30" i="100"/>
  <c r="AT31" i="100"/>
  <c r="AT32" i="100"/>
  <c r="AT33" i="100"/>
  <c r="AT34" i="100"/>
  <c r="AT35" i="100"/>
  <c r="AT36" i="100"/>
  <c r="AT37" i="100"/>
  <c r="AT38" i="100"/>
  <c r="AT39" i="100"/>
  <c r="AT40" i="100"/>
  <c r="AT41" i="100"/>
  <c r="AT42" i="100"/>
  <c r="AT43" i="100"/>
  <c r="AT44" i="100"/>
  <c r="AT45" i="100"/>
  <c r="AT46" i="100"/>
  <c r="AT47" i="100"/>
  <c r="AT48" i="100"/>
  <c r="AT49" i="100"/>
  <c r="AT50" i="100"/>
  <c r="AT51" i="100"/>
  <c r="AT52" i="100"/>
  <c r="AT53" i="100"/>
  <c r="AT54" i="100"/>
  <c r="AT55" i="100"/>
  <c r="AT56" i="100"/>
  <c r="AT57" i="100"/>
  <c r="AT58" i="100"/>
  <c r="AT59" i="100"/>
  <c r="AT60" i="100"/>
  <c r="AT61" i="100"/>
  <c r="AT62" i="100"/>
  <c r="AT63" i="100"/>
  <c r="AT64" i="100"/>
  <c r="AT65" i="100"/>
  <c r="AT66" i="100"/>
  <c r="AT67" i="100"/>
  <c r="AT68" i="100"/>
  <c r="AT69" i="100"/>
  <c r="AT70" i="100"/>
  <c r="AT71" i="100"/>
  <c r="AT72" i="100"/>
  <c r="AT73" i="100"/>
  <c r="AT74" i="100"/>
  <c r="AT75" i="100"/>
  <c r="AT76" i="100"/>
  <c r="AT77" i="100"/>
  <c r="AT78" i="100"/>
  <c r="AT79" i="100"/>
  <c r="AT80" i="100"/>
  <c r="AT81" i="100"/>
  <c r="AT82" i="100"/>
  <c r="AT83" i="100"/>
  <c r="AT84" i="100"/>
  <c r="AT85" i="100"/>
  <c r="AT86" i="100"/>
  <c r="AT87" i="100"/>
  <c r="AT88" i="100"/>
  <c r="AT89" i="100"/>
  <c r="AT90" i="100"/>
  <c r="AT91" i="100"/>
  <c r="AT92" i="100"/>
  <c r="AT93" i="100"/>
  <c r="AT94" i="100"/>
  <c r="AT95" i="100"/>
  <c r="AT96" i="100"/>
  <c r="AT97" i="100"/>
  <c r="AT98" i="100"/>
  <c r="AT99" i="100"/>
  <c r="AT100" i="100"/>
  <c r="AT101" i="100"/>
  <c r="AT102" i="100"/>
  <c r="AT103" i="100"/>
  <c r="AT104" i="100"/>
  <c r="AT105" i="100"/>
  <c r="AT106" i="100"/>
  <c r="AT107" i="100"/>
  <c r="AT108" i="100"/>
  <c r="AT109" i="100"/>
  <c r="AT110" i="100"/>
  <c r="AT111" i="100"/>
  <c r="AT112" i="100"/>
  <c r="AT113" i="100"/>
  <c r="AT114" i="100"/>
  <c r="AT115" i="100"/>
  <c r="AT116" i="100"/>
  <c r="AT117" i="100"/>
  <c r="AT118" i="100"/>
  <c r="AT119" i="100"/>
  <c r="AT120" i="100"/>
  <c r="AT121" i="100"/>
  <c r="AT122" i="100"/>
  <c r="AT123" i="100"/>
  <c r="AT124" i="100"/>
  <c r="AT125" i="100"/>
  <c r="AT126" i="100"/>
  <c r="AT127" i="100"/>
  <c r="AT128" i="100"/>
  <c r="AT129" i="100"/>
  <c r="AT130" i="100"/>
  <c r="AT131" i="100"/>
  <c r="AT132" i="100"/>
  <c r="AT133" i="100"/>
  <c r="AT134" i="100"/>
  <c r="AT135" i="100"/>
  <c r="AT136" i="100"/>
  <c r="AT137" i="100"/>
  <c r="AT138" i="100"/>
  <c r="AT139" i="100"/>
  <c r="AT140" i="100"/>
  <c r="AT141" i="100"/>
  <c r="AT142" i="100"/>
  <c r="AT143" i="100"/>
  <c r="AT144" i="100"/>
  <c r="AT145" i="100"/>
  <c r="AT146" i="100"/>
  <c r="AT147" i="100"/>
  <c r="AT148" i="100"/>
  <c r="AT149" i="100"/>
  <c r="AT150" i="100"/>
  <c r="AT151" i="100"/>
  <c r="AT152" i="100"/>
  <c r="AT153" i="100"/>
  <c r="AT154" i="100"/>
  <c r="AT155" i="100"/>
  <c r="AT156" i="100"/>
  <c r="AT157" i="100"/>
  <c r="AT158" i="100"/>
  <c r="AT159" i="100"/>
  <c r="AT160" i="100"/>
  <c r="AT161" i="100"/>
  <c r="AT162" i="100"/>
  <c r="AT163" i="100"/>
  <c r="AT164" i="100"/>
  <c r="AT165" i="100"/>
  <c r="AT166" i="100"/>
  <c r="AT167" i="100"/>
  <c r="AT168" i="100"/>
  <c r="AT169" i="100"/>
  <c r="AT170" i="100"/>
  <c r="AT171" i="100"/>
  <c r="AT172" i="100"/>
  <c r="AT173" i="100"/>
  <c r="AT174" i="100"/>
  <c r="AT175" i="100"/>
  <c r="AT176" i="100"/>
  <c r="AT177" i="100"/>
  <c r="AT178" i="100"/>
  <c r="AT179" i="100"/>
  <c r="AT180" i="100"/>
  <c r="AT181" i="100"/>
  <c r="AT182" i="100"/>
  <c r="AT183" i="100"/>
  <c r="AT184" i="100"/>
  <c r="AT185" i="100"/>
  <c r="AT186" i="100"/>
  <c r="AT187" i="100"/>
  <c r="AT188" i="100"/>
  <c r="AT189" i="100"/>
  <c r="AT190" i="100"/>
  <c r="AT191" i="100"/>
  <c r="AT192" i="100"/>
  <c r="AT193" i="100"/>
  <c r="AT194" i="100"/>
  <c r="AT195" i="100"/>
  <c r="AT196" i="100"/>
  <c r="AT197" i="100"/>
  <c r="AT198" i="100"/>
  <c r="AT199" i="100"/>
  <c r="AT200" i="100"/>
  <c r="AT201" i="100"/>
  <c r="AT202" i="100"/>
  <c r="AT203" i="100"/>
  <c r="AT204" i="100"/>
  <c r="AT205" i="100"/>
  <c r="AT206" i="100"/>
  <c r="AT207" i="100"/>
  <c r="AT208" i="100"/>
  <c r="AT209" i="100"/>
  <c r="AT210" i="100"/>
  <c r="AT211" i="100"/>
  <c r="AT212" i="100"/>
  <c r="AT213" i="100"/>
  <c r="AT214" i="100"/>
  <c r="AT215" i="100"/>
  <c r="AT216" i="100"/>
  <c r="AT217" i="100"/>
  <c r="AT218" i="100"/>
  <c r="AT219" i="100"/>
  <c r="AT220" i="100"/>
  <c r="AT221" i="100"/>
  <c r="AT222" i="100"/>
  <c r="AT223" i="100"/>
  <c r="AT224" i="100"/>
  <c r="AT225" i="100"/>
  <c r="AT226" i="100"/>
  <c r="AT227" i="100"/>
  <c r="AT228" i="100"/>
  <c r="AT229" i="100"/>
  <c r="AT230" i="100"/>
  <c r="AT231" i="100"/>
  <c r="AT232" i="100"/>
  <c r="AT233" i="100"/>
  <c r="AT234" i="100"/>
  <c r="AT235" i="100"/>
  <c r="AT236" i="100"/>
  <c r="AT237" i="100"/>
  <c r="AT238" i="100"/>
  <c r="AT239" i="100"/>
  <c r="AT240" i="100"/>
  <c r="AT241" i="100"/>
  <c r="AT242" i="100"/>
  <c r="AT243" i="100"/>
  <c r="AT244" i="100"/>
  <c r="AT245" i="100"/>
  <c r="AT246" i="100"/>
  <c r="AT247" i="100"/>
  <c r="AT248" i="100"/>
  <c r="AT249" i="100"/>
  <c r="AT250" i="100"/>
  <c r="AT251" i="100"/>
  <c r="AT252" i="100"/>
  <c r="AT253" i="100"/>
  <c r="AT254" i="100"/>
  <c r="AT255" i="100"/>
  <c r="AT256" i="100"/>
  <c r="AT257" i="100"/>
  <c r="AT258" i="100"/>
  <c r="AT259" i="100"/>
  <c r="AT260" i="100"/>
  <c r="AT261" i="100"/>
  <c r="AT262" i="100"/>
  <c r="AT263" i="100"/>
  <c r="AT264" i="100"/>
  <c r="AT265" i="100"/>
  <c r="AT266" i="100"/>
  <c r="AT267" i="100"/>
  <c r="AT268" i="100"/>
  <c r="AT269" i="100"/>
  <c r="AT270" i="100"/>
  <c r="AT271" i="100"/>
  <c r="AT272" i="100"/>
  <c r="AT273" i="100"/>
  <c r="AT274" i="100"/>
  <c r="AT275" i="100"/>
  <c r="AT276" i="100"/>
  <c r="AT277" i="100"/>
  <c r="AT278" i="100"/>
  <c r="AT279" i="100"/>
  <c r="AT280" i="100"/>
  <c r="AT281" i="100"/>
  <c r="AT282" i="100"/>
  <c r="AT283" i="100"/>
  <c r="AT284" i="100"/>
  <c r="AT285" i="100"/>
  <c r="AT286" i="100"/>
  <c r="AT287" i="100"/>
  <c r="AT288" i="100"/>
  <c r="AT289" i="100"/>
  <c r="AT290" i="100"/>
  <c r="AT291" i="100"/>
  <c r="AT292" i="100"/>
  <c r="AT293" i="100"/>
  <c r="AT294" i="100"/>
  <c r="AT295" i="100"/>
  <c r="AT296" i="100"/>
  <c r="AT297" i="100"/>
  <c r="AT298" i="100"/>
  <c r="AT299" i="100"/>
  <c r="AT300" i="100"/>
  <c r="AT301" i="100"/>
  <c r="AT7" i="100"/>
  <c r="AR8" i="100"/>
  <c r="AR9" i="100"/>
  <c r="AR10" i="100"/>
  <c r="AR11" i="100"/>
  <c r="AR12" i="100"/>
  <c r="AR13" i="100"/>
  <c r="AR14" i="100"/>
  <c r="AR15" i="100"/>
  <c r="AR16" i="100"/>
  <c r="AR17" i="100"/>
  <c r="AR18" i="100"/>
  <c r="AR19" i="100"/>
  <c r="AR20" i="100"/>
  <c r="AR21" i="100"/>
  <c r="AR22" i="100"/>
  <c r="AR23" i="100"/>
  <c r="AR24" i="100"/>
  <c r="AR25" i="100"/>
  <c r="AR26" i="100"/>
  <c r="AR27" i="100"/>
  <c r="AR28" i="100"/>
  <c r="AR29" i="100"/>
  <c r="AR30" i="100"/>
  <c r="AR31" i="100"/>
  <c r="AR32" i="100"/>
  <c r="AR33" i="100"/>
  <c r="AR34" i="100"/>
  <c r="AR35" i="100"/>
  <c r="AR36" i="100"/>
  <c r="AR37" i="100"/>
  <c r="AR38" i="100"/>
  <c r="AR39" i="100"/>
  <c r="AR40" i="100"/>
  <c r="AR41" i="100"/>
  <c r="AR42" i="100"/>
  <c r="AR43" i="100"/>
  <c r="AR44" i="100"/>
  <c r="AR45" i="100"/>
  <c r="AR46" i="100"/>
  <c r="AR47" i="100"/>
  <c r="AR48" i="100"/>
  <c r="AR49" i="100"/>
  <c r="AR50" i="100"/>
  <c r="AR51" i="100"/>
  <c r="AR52" i="100"/>
  <c r="AR53" i="100"/>
  <c r="AR54" i="100"/>
  <c r="AR55" i="100"/>
  <c r="AR56" i="100"/>
  <c r="AR57" i="100"/>
  <c r="AR58" i="100"/>
  <c r="AR59" i="100"/>
  <c r="AR60" i="100"/>
  <c r="AR61" i="100"/>
  <c r="AR62" i="100"/>
  <c r="AR63" i="100"/>
  <c r="AR64" i="100"/>
  <c r="AR65" i="100"/>
  <c r="AR66" i="100"/>
  <c r="AR67" i="100"/>
  <c r="AR68" i="100"/>
  <c r="AR69" i="100"/>
  <c r="AR70" i="100"/>
  <c r="AR71" i="100"/>
  <c r="AR72" i="100"/>
  <c r="AR73" i="100"/>
  <c r="AR74" i="100"/>
  <c r="AR75" i="100"/>
  <c r="AR76" i="100"/>
  <c r="AR77" i="100"/>
  <c r="AR78" i="100"/>
  <c r="AR79" i="100"/>
  <c r="AR80" i="100"/>
  <c r="AR81" i="100"/>
  <c r="AR82" i="100"/>
  <c r="AR83" i="100"/>
  <c r="AR84" i="100"/>
  <c r="AR85" i="100"/>
  <c r="AR86" i="100"/>
  <c r="AR87" i="100"/>
  <c r="AR88" i="100"/>
  <c r="AR89" i="100"/>
  <c r="AR90" i="100"/>
  <c r="AR91" i="100"/>
  <c r="AR92" i="100"/>
  <c r="AR93" i="100"/>
  <c r="AR94" i="100"/>
  <c r="AR95" i="100"/>
  <c r="AR96" i="100"/>
  <c r="AR97" i="100"/>
  <c r="AR98" i="100"/>
  <c r="AR99" i="100"/>
  <c r="AR100" i="100"/>
  <c r="AR101" i="100"/>
  <c r="AR102" i="100"/>
  <c r="AR103" i="100"/>
  <c r="AR104" i="100"/>
  <c r="AR105" i="100"/>
  <c r="AR106" i="100"/>
  <c r="AR107" i="100"/>
  <c r="AR108" i="100"/>
  <c r="AR109" i="100"/>
  <c r="AR110" i="100"/>
  <c r="AR111" i="100"/>
  <c r="AR112" i="100"/>
  <c r="AR113" i="100"/>
  <c r="AR114" i="100"/>
  <c r="AR115" i="100"/>
  <c r="AR116" i="100"/>
  <c r="AR117" i="100"/>
  <c r="AR118" i="100"/>
  <c r="AR119" i="100"/>
  <c r="AR120" i="100"/>
  <c r="AR121" i="100"/>
  <c r="AR122" i="100"/>
  <c r="AR123" i="100"/>
  <c r="AR124" i="100"/>
  <c r="AR125" i="100"/>
  <c r="AR126" i="100"/>
  <c r="AR127" i="100"/>
  <c r="AR128" i="100"/>
  <c r="AR129" i="100"/>
  <c r="AR130" i="100"/>
  <c r="AR131" i="100"/>
  <c r="AR132" i="100"/>
  <c r="AR133" i="100"/>
  <c r="AR134" i="100"/>
  <c r="AR135" i="100"/>
  <c r="AR136" i="100"/>
  <c r="AR137" i="100"/>
  <c r="AR138" i="100"/>
  <c r="AR139" i="100"/>
  <c r="AR140" i="100"/>
  <c r="AR141" i="100"/>
  <c r="AR142" i="100"/>
  <c r="AR143" i="100"/>
  <c r="AR144" i="100"/>
  <c r="AR145" i="100"/>
  <c r="AR146" i="100"/>
  <c r="AR147" i="100"/>
  <c r="AR148" i="100"/>
  <c r="AR149" i="100"/>
  <c r="AR150" i="100"/>
  <c r="AR151" i="100"/>
  <c r="AR152" i="100"/>
  <c r="AR153" i="100"/>
  <c r="AR154" i="100"/>
  <c r="AR155" i="100"/>
  <c r="AR156" i="100"/>
  <c r="AR157" i="100"/>
  <c r="AR158" i="100"/>
  <c r="AR159" i="100"/>
  <c r="AR160" i="100"/>
  <c r="AR161" i="100"/>
  <c r="AR162" i="100"/>
  <c r="AR163" i="100"/>
  <c r="AR164" i="100"/>
  <c r="AR165" i="100"/>
  <c r="AR166" i="100"/>
  <c r="AR167" i="100"/>
  <c r="AR168" i="100"/>
  <c r="AR169" i="100"/>
  <c r="AR170" i="100"/>
  <c r="AR171" i="100"/>
  <c r="AR172" i="100"/>
  <c r="AR173" i="100"/>
  <c r="AR174" i="100"/>
  <c r="AR175" i="100"/>
  <c r="AR176" i="100"/>
  <c r="AR177" i="100"/>
  <c r="AR178" i="100"/>
  <c r="AR179" i="100"/>
  <c r="AR180" i="100"/>
  <c r="AR181" i="100"/>
  <c r="AR182" i="100"/>
  <c r="AR183" i="100"/>
  <c r="AR184" i="100"/>
  <c r="AR185" i="100"/>
  <c r="AR186" i="100"/>
  <c r="AR187" i="100"/>
  <c r="AR188" i="100"/>
  <c r="AR189" i="100"/>
  <c r="AR190" i="100"/>
  <c r="AR191" i="100"/>
  <c r="AR192" i="100"/>
  <c r="AR193" i="100"/>
  <c r="AR194" i="100"/>
  <c r="AR195" i="100"/>
  <c r="AR196" i="100"/>
  <c r="AR197" i="100"/>
  <c r="AR198" i="100"/>
  <c r="AR199" i="100"/>
  <c r="AR200" i="100"/>
  <c r="AR201" i="100"/>
  <c r="AR202" i="100"/>
  <c r="AR203" i="100"/>
  <c r="AR204" i="100"/>
  <c r="AR205" i="100"/>
  <c r="AR206" i="100"/>
  <c r="AR207" i="100"/>
  <c r="AR208" i="100"/>
  <c r="AR209" i="100"/>
  <c r="AR210" i="100"/>
  <c r="AR211" i="100"/>
  <c r="AR212" i="100"/>
  <c r="AR213" i="100"/>
  <c r="AR214" i="100"/>
  <c r="AR215" i="100"/>
  <c r="AR216" i="100"/>
  <c r="AR217" i="100"/>
  <c r="AR218" i="100"/>
  <c r="AR219" i="100"/>
  <c r="AR220" i="100"/>
  <c r="AR221" i="100"/>
  <c r="AR222" i="100"/>
  <c r="AR223" i="100"/>
  <c r="AR224" i="100"/>
  <c r="AR225" i="100"/>
  <c r="AR226" i="100"/>
  <c r="AR227" i="100"/>
  <c r="AR228" i="100"/>
  <c r="AR229" i="100"/>
  <c r="AR230" i="100"/>
  <c r="AR231" i="100"/>
  <c r="AR232" i="100"/>
  <c r="AR233" i="100"/>
  <c r="AR234" i="100"/>
  <c r="AR235" i="100"/>
  <c r="AR236" i="100"/>
  <c r="AR237" i="100"/>
  <c r="AR238" i="100"/>
  <c r="AR239" i="100"/>
  <c r="AR240" i="100"/>
  <c r="AR241" i="100"/>
  <c r="AR242" i="100"/>
  <c r="AR243" i="100"/>
  <c r="AR244" i="100"/>
  <c r="AR245" i="100"/>
  <c r="AR246" i="100"/>
  <c r="AR247" i="100"/>
  <c r="AR248" i="100"/>
  <c r="AR249" i="100"/>
  <c r="AR250" i="100"/>
  <c r="AR251" i="100"/>
  <c r="AR252" i="100"/>
  <c r="AR253" i="100"/>
  <c r="AR254" i="100"/>
  <c r="AR255" i="100"/>
  <c r="AR256" i="100"/>
  <c r="AR257" i="100"/>
  <c r="AR258" i="100"/>
  <c r="AR259" i="100"/>
  <c r="AR260" i="100"/>
  <c r="AR261" i="100"/>
  <c r="AR262" i="100"/>
  <c r="AR263" i="100"/>
  <c r="AR264" i="100"/>
  <c r="AR265" i="100"/>
  <c r="AR266" i="100"/>
  <c r="AR267" i="100"/>
  <c r="AR268" i="100"/>
  <c r="AR269" i="100"/>
  <c r="AR270" i="100"/>
  <c r="AR271" i="100"/>
  <c r="AR272" i="100"/>
  <c r="AR273" i="100"/>
  <c r="AR274" i="100"/>
  <c r="AR275" i="100"/>
  <c r="AR276" i="100"/>
  <c r="AR277" i="100"/>
  <c r="AR278" i="100"/>
  <c r="AR279" i="100"/>
  <c r="AR280" i="100"/>
  <c r="AR281" i="100"/>
  <c r="AR282" i="100"/>
  <c r="AR283" i="100"/>
  <c r="AR284" i="100"/>
  <c r="AR285" i="100"/>
  <c r="AR286" i="100"/>
  <c r="AR287" i="100"/>
  <c r="AR288" i="100"/>
  <c r="AR289" i="100"/>
  <c r="AR290" i="100"/>
  <c r="AR291" i="100"/>
  <c r="AR292" i="100"/>
  <c r="AR293" i="100"/>
  <c r="AR294" i="100"/>
  <c r="AR295" i="100"/>
  <c r="AR296" i="100"/>
  <c r="AR297" i="100"/>
  <c r="AR298" i="100"/>
  <c r="AR299" i="100"/>
  <c r="AR300" i="100"/>
  <c r="AR301" i="100"/>
  <c r="AR7" i="100"/>
  <c r="AQ9" i="98" l="1"/>
  <c r="AQ8" i="98"/>
  <c r="AQ7" i="98"/>
  <c r="DK7" i="95" l="1"/>
  <c r="DK8" i="95"/>
  <c r="DK9" i="95"/>
  <c r="DK10" i="95"/>
  <c r="DK11" i="95"/>
  <c r="DK12" i="95"/>
  <c r="DK13" i="95"/>
  <c r="DK14" i="95"/>
  <c r="DK15" i="95"/>
  <c r="DK16" i="95"/>
  <c r="DK17" i="95"/>
  <c r="DK18" i="95"/>
  <c r="DK19" i="95"/>
  <c r="DK20" i="95"/>
  <c r="DK21" i="95"/>
  <c r="DK22" i="95"/>
  <c r="DK23" i="95"/>
  <c r="DK24" i="95"/>
  <c r="DK25" i="95"/>
  <c r="DK26" i="95"/>
  <c r="DK27" i="95"/>
  <c r="DK28" i="95"/>
  <c r="DK29" i="95"/>
  <c r="DK30" i="95"/>
  <c r="DK31" i="95"/>
  <c r="DK32" i="95"/>
  <c r="DK33" i="95"/>
  <c r="DK34" i="95"/>
  <c r="DK35" i="95"/>
  <c r="DK36" i="95"/>
  <c r="DK37" i="95"/>
  <c r="DK38" i="95"/>
  <c r="DK39" i="95"/>
  <c r="DK40" i="95"/>
  <c r="DK41" i="95"/>
  <c r="DK42" i="95"/>
  <c r="DK43" i="95"/>
  <c r="DK44" i="95"/>
  <c r="DK45" i="95"/>
  <c r="DK46" i="95"/>
  <c r="DK47" i="95"/>
  <c r="DK48" i="95"/>
  <c r="DK49" i="95"/>
  <c r="DK50" i="95"/>
  <c r="DK51" i="95"/>
  <c r="DK52" i="95"/>
  <c r="DK53" i="95"/>
  <c r="DK54" i="95"/>
  <c r="DK55" i="95"/>
  <c r="DK56" i="95"/>
  <c r="DK57" i="95"/>
  <c r="DK58" i="95"/>
  <c r="DK59" i="95"/>
  <c r="DK60" i="95"/>
  <c r="DK61" i="95"/>
  <c r="DK62" i="95"/>
  <c r="DK63" i="95"/>
  <c r="DK64" i="95"/>
  <c r="DK65" i="95"/>
  <c r="DK66" i="95"/>
  <c r="DK67" i="95"/>
  <c r="DK68" i="95"/>
  <c r="DK69" i="95"/>
  <c r="DK70" i="95"/>
  <c r="DK71" i="95"/>
  <c r="DK72" i="95"/>
  <c r="DK73" i="95"/>
  <c r="DK74" i="95"/>
  <c r="DK75" i="95"/>
  <c r="DK76" i="95"/>
  <c r="DK77" i="95"/>
  <c r="DK78" i="95"/>
  <c r="DK79" i="95"/>
  <c r="DK80" i="95"/>
  <c r="DK81" i="95"/>
  <c r="DK82" i="95"/>
  <c r="DK83" i="95"/>
  <c r="DK84" i="95"/>
  <c r="DK85" i="95"/>
  <c r="DK86" i="95"/>
  <c r="DK87" i="95"/>
  <c r="DK88" i="95"/>
  <c r="DK89" i="95"/>
  <c r="DK90" i="95"/>
  <c r="DK91" i="95"/>
  <c r="DK92" i="95"/>
  <c r="DK93" i="95"/>
  <c r="DK94" i="95"/>
  <c r="DK95" i="95"/>
  <c r="DK96" i="95"/>
  <c r="DK97" i="95"/>
  <c r="DK98" i="95"/>
  <c r="DK99" i="95"/>
  <c r="DK100" i="95"/>
  <c r="DK101" i="95"/>
  <c r="DK102" i="95"/>
  <c r="DK103" i="95"/>
  <c r="DK104" i="95"/>
  <c r="DK105" i="95"/>
  <c r="DK106" i="95"/>
  <c r="DK107" i="95"/>
  <c r="DK108" i="95"/>
  <c r="DK109" i="95"/>
  <c r="DK110" i="95"/>
  <c r="DK111" i="95"/>
  <c r="DK112" i="95"/>
  <c r="DK113" i="95"/>
  <c r="DK114" i="95"/>
  <c r="DK115" i="95"/>
  <c r="DK116" i="95"/>
  <c r="DK117" i="95"/>
  <c r="DK118" i="95"/>
  <c r="DK119" i="95"/>
  <c r="DK120" i="95"/>
  <c r="DK121" i="95"/>
  <c r="DK122" i="95"/>
  <c r="DK123" i="95"/>
  <c r="DK124" i="95"/>
  <c r="DK125" i="95"/>
  <c r="DK126" i="95"/>
  <c r="DK127" i="95"/>
  <c r="DK128" i="95"/>
  <c r="DK129" i="95"/>
  <c r="DK130" i="95"/>
  <c r="DK131" i="95"/>
  <c r="DK132" i="95"/>
  <c r="DK133" i="95"/>
  <c r="DK134" i="95"/>
  <c r="DK135" i="95"/>
  <c r="DK136" i="95"/>
  <c r="DK137" i="95"/>
  <c r="DK138" i="95"/>
  <c r="DK139" i="95"/>
  <c r="DK140" i="95"/>
  <c r="DK141" i="95"/>
  <c r="DK142" i="95"/>
  <c r="DK143" i="95"/>
  <c r="DK144" i="95"/>
  <c r="DK145" i="95"/>
  <c r="DK146" i="95"/>
  <c r="DK147" i="95"/>
  <c r="DK148" i="95"/>
  <c r="DK149" i="95"/>
  <c r="DK150" i="95"/>
  <c r="DK151" i="95"/>
  <c r="DK152" i="95"/>
  <c r="DK153" i="95"/>
  <c r="DK154" i="95"/>
  <c r="DK155" i="95"/>
  <c r="DK156" i="95"/>
  <c r="DK157" i="95"/>
  <c r="DK158" i="95"/>
  <c r="DK159" i="95"/>
  <c r="DK160" i="95"/>
  <c r="DK161" i="95"/>
  <c r="DK162" i="95"/>
  <c r="DK163" i="95"/>
  <c r="DK164" i="95"/>
  <c r="DK165" i="95"/>
  <c r="DK166" i="95"/>
  <c r="DK167" i="95"/>
  <c r="DK168" i="95"/>
  <c r="DK169" i="95"/>
  <c r="DK170" i="95"/>
  <c r="DK171" i="95"/>
  <c r="DK172" i="95"/>
  <c r="DK173" i="95"/>
  <c r="DK6" i="95"/>
  <c r="DL7" i="95"/>
  <c r="DL8" i="95"/>
  <c r="DL9" i="95"/>
  <c r="DL10" i="95"/>
  <c r="DL11" i="95"/>
  <c r="DL12" i="95"/>
  <c r="DL13" i="95"/>
  <c r="DL14" i="95"/>
  <c r="DL15" i="95"/>
  <c r="DL16" i="95"/>
  <c r="DL17" i="95"/>
  <c r="DL18" i="95"/>
  <c r="DL19" i="95"/>
  <c r="DL20" i="95"/>
  <c r="DL21" i="95"/>
  <c r="DL22" i="95"/>
  <c r="DL23" i="95"/>
  <c r="DL24" i="95"/>
  <c r="DL25" i="95"/>
  <c r="DL26" i="95"/>
  <c r="DL27" i="95"/>
  <c r="DL28" i="95"/>
  <c r="DL29" i="95"/>
  <c r="DL30" i="95"/>
  <c r="DL31" i="95"/>
  <c r="DL32" i="95"/>
  <c r="DL33" i="95"/>
  <c r="DL34" i="95"/>
  <c r="DL35" i="95"/>
  <c r="DL36" i="95"/>
  <c r="DL37" i="95"/>
  <c r="DL38" i="95"/>
  <c r="DL39" i="95"/>
  <c r="DL40" i="95"/>
  <c r="DL41" i="95"/>
  <c r="DL42" i="95"/>
  <c r="DL43" i="95"/>
  <c r="DL44" i="95"/>
  <c r="DL45" i="95"/>
  <c r="DL46" i="95"/>
  <c r="DL47" i="95"/>
  <c r="DL48" i="95"/>
  <c r="DL49" i="95"/>
  <c r="DL50" i="95"/>
  <c r="DL51" i="95"/>
  <c r="DL52" i="95"/>
  <c r="DL53" i="95"/>
  <c r="DL54" i="95"/>
  <c r="DL55" i="95"/>
  <c r="DL56" i="95"/>
  <c r="DL57" i="95"/>
  <c r="DL58" i="95"/>
  <c r="DL59" i="95"/>
  <c r="DL60" i="95"/>
  <c r="DL61" i="95"/>
  <c r="DL62" i="95"/>
  <c r="DL63" i="95"/>
  <c r="DL64" i="95"/>
  <c r="DL65" i="95"/>
  <c r="DL66" i="95"/>
  <c r="DL67" i="95"/>
  <c r="DL68" i="95"/>
  <c r="DL69" i="95"/>
  <c r="DL70" i="95"/>
  <c r="DL71" i="95"/>
  <c r="DL72" i="95"/>
  <c r="DL73" i="95"/>
  <c r="DL74" i="95"/>
  <c r="DL75" i="95"/>
  <c r="DL76" i="95"/>
  <c r="DL77" i="95"/>
  <c r="DL78" i="95"/>
  <c r="DL79" i="95"/>
  <c r="DL80" i="95"/>
  <c r="DL81" i="95"/>
  <c r="DL82" i="95"/>
  <c r="DL83" i="95"/>
  <c r="DL84" i="95"/>
  <c r="DL85" i="95"/>
  <c r="DL86" i="95"/>
  <c r="DL87" i="95"/>
  <c r="DL88" i="95"/>
  <c r="DL89" i="95"/>
  <c r="DL90" i="95"/>
  <c r="DL91" i="95"/>
  <c r="DL92" i="95"/>
  <c r="DL93" i="95"/>
  <c r="DL94" i="95"/>
  <c r="DL95" i="95"/>
  <c r="DL96" i="95"/>
  <c r="DL97" i="95"/>
  <c r="DL98" i="95"/>
  <c r="DL99" i="95"/>
  <c r="DL100" i="95"/>
  <c r="DL101" i="95"/>
  <c r="DL102" i="95"/>
  <c r="DL103" i="95"/>
  <c r="DL104" i="95"/>
  <c r="DL105" i="95"/>
  <c r="DL106" i="95"/>
  <c r="DL107" i="95"/>
  <c r="DL108" i="95"/>
  <c r="DL109" i="95"/>
  <c r="DL110" i="95"/>
  <c r="DL111" i="95"/>
  <c r="DL112" i="95"/>
  <c r="DL113" i="95"/>
  <c r="DL114" i="95"/>
  <c r="DL115" i="95"/>
  <c r="DL116" i="95"/>
  <c r="DL117" i="95"/>
  <c r="DL118" i="95"/>
  <c r="DL119" i="95"/>
  <c r="DL120" i="95"/>
  <c r="DL121" i="95"/>
  <c r="DL122" i="95"/>
  <c r="DL123" i="95"/>
  <c r="DL124" i="95"/>
  <c r="DL125" i="95"/>
  <c r="DL126" i="95"/>
  <c r="DL127" i="95"/>
  <c r="DL128" i="95"/>
  <c r="DL129" i="95"/>
  <c r="DL130" i="95"/>
  <c r="DL131" i="95"/>
  <c r="DL132" i="95"/>
  <c r="DL133" i="95"/>
  <c r="DL134" i="95"/>
  <c r="DL6" i="95"/>
  <c r="DJ7" i="95"/>
  <c r="DJ8" i="95"/>
  <c r="DJ9" i="95"/>
  <c r="DJ10" i="95"/>
  <c r="DJ11" i="95"/>
  <c r="DJ12" i="95"/>
  <c r="DJ13" i="95"/>
  <c r="DJ14" i="95"/>
  <c r="DJ15" i="95"/>
  <c r="DJ16" i="95"/>
  <c r="DJ17" i="95"/>
  <c r="DJ18" i="95"/>
  <c r="DJ19" i="95"/>
  <c r="DJ20" i="95"/>
  <c r="DJ21" i="95"/>
  <c r="DJ22" i="95"/>
  <c r="DJ23" i="95"/>
  <c r="DJ24" i="95"/>
  <c r="DJ25" i="95"/>
  <c r="DJ26" i="95"/>
  <c r="DJ27" i="95"/>
  <c r="DJ28" i="95"/>
  <c r="DJ29" i="95"/>
  <c r="DJ30" i="95"/>
  <c r="DJ31" i="95"/>
  <c r="DJ32" i="95"/>
  <c r="DJ33" i="95"/>
  <c r="DJ34" i="95"/>
  <c r="DJ35" i="95"/>
  <c r="DJ36" i="95"/>
  <c r="DJ37" i="95"/>
  <c r="DJ38" i="95"/>
  <c r="DJ39" i="95"/>
  <c r="DJ40" i="95"/>
  <c r="DJ41" i="95"/>
  <c r="DJ42" i="95"/>
  <c r="DJ43" i="95"/>
  <c r="DJ44" i="95"/>
  <c r="DJ45" i="95"/>
  <c r="DJ46" i="95"/>
  <c r="DJ47" i="95"/>
  <c r="DJ48" i="95"/>
  <c r="DJ49" i="95"/>
  <c r="DJ50" i="95"/>
  <c r="DJ51" i="95"/>
  <c r="DJ52" i="95"/>
  <c r="DJ53" i="95"/>
  <c r="DJ54" i="95"/>
  <c r="DJ55" i="95"/>
  <c r="DJ56" i="95"/>
  <c r="DJ57" i="95"/>
  <c r="DJ58" i="95"/>
  <c r="DJ59" i="95"/>
  <c r="DJ60" i="95"/>
  <c r="DJ61" i="95"/>
  <c r="DJ62" i="95"/>
  <c r="DJ63" i="95"/>
  <c r="DJ64" i="95"/>
  <c r="DJ65" i="95"/>
  <c r="DJ66" i="95"/>
  <c r="DJ67" i="95"/>
  <c r="DJ68" i="95"/>
  <c r="DJ69" i="95"/>
  <c r="DJ70" i="95"/>
  <c r="DJ71" i="95"/>
  <c r="DJ72" i="95"/>
  <c r="DJ73" i="95"/>
  <c r="DJ74" i="95"/>
  <c r="DJ75" i="95"/>
  <c r="DJ76" i="95"/>
  <c r="DJ77" i="95"/>
  <c r="DJ78" i="95"/>
  <c r="DJ79" i="95"/>
  <c r="DJ80" i="95"/>
  <c r="DJ81" i="95"/>
  <c r="DJ82" i="95"/>
  <c r="DJ83" i="95"/>
  <c r="DJ84" i="95"/>
  <c r="DJ85" i="95"/>
  <c r="DJ86" i="95"/>
  <c r="DJ87" i="95"/>
  <c r="DJ88" i="95"/>
  <c r="DJ89" i="95"/>
  <c r="DJ90" i="95"/>
  <c r="DJ91" i="95"/>
  <c r="DJ92" i="95"/>
  <c r="DJ93" i="95"/>
  <c r="DJ94" i="95"/>
  <c r="DJ95" i="95"/>
  <c r="DJ96" i="95"/>
  <c r="DJ97" i="95"/>
  <c r="DJ98" i="95"/>
  <c r="DJ99" i="95"/>
  <c r="DJ100" i="95"/>
  <c r="DJ101" i="95"/>
  <c r="DJ102" i="95"/>
  <c r="DJ103" i="95"/>
  <c r="DJ104" i="95"/>
  <c r="DJ105" i="95"/>
  <c r="DJ106" i="95"/>
  <c r="DJ107" i="95"/>
  <c r="DJ108" i="95"/>
  <c r="DJ109" i="95"/>
  <c r="DJ110" i="95"/>
  <c r="DJ111" i="95"/>
  <c r="DJ112" i="95"/>
  <c r="DJ113" i="95"/>
  <c r="DJ114" i="95"/>
  <c r="DJ115" i="95"/>
  <c r="DJ116" i="95"/>
  <c r="DJ117" i="95"/>
  <c r="DJ118" i="95"/>
  <c r="DJ119" i="95"/>
  <c r="DJ120" i="95"/>
  <c r="DJ121" i="95"/>
  <c r="DJ122" i="95"/>
  <c r="DJ123" i="95"/>
  <c r="DJ124" i="95"/>
  <c r="DJ125" i="95"/>
  <c r="DJ126" i="95"/>
  <c r="DJ127" i="95"/>
  <c r="DJ128" i="95"/>
  <c r="DJ129" i="95"/>
  <c r="DJ130" i="95"/>
  <c r="DJ131" i="95"/>
  <c r="DJ132" i="95"/>
  <c r="DJ133" i="95"/>
  <c r="DJ134" i="95"/>
  <c r="DJ6" i="95"/>
  <c r="DH150" i="95"/>
  <c r="DJ150" i="95" s="1"/>
  <c r="DL150" i="95" s="1"/>
  <c r="DH151" i="95"/>
  <c r="DJ151" i="95" s="1"/>
  <c r="DL151" i="95" s="1"/>
  <c r="DH152" i="95"/>
  <c r="DJ152" i="95" s="1"/>
  <c r="DL152" i="95" s="1"/>
  <c r="DH153" i="95"/>
  <c r="DJ153" i="95" s="1"/>
  <c r="DL153" i="95" s="1"/>
  <c r="DH154" i="95"/>
  <c r="DJ154" i="95" s="1"/>
  <c r="DL154" i="95" s="1"/>
  <c r="DH155" i="95"/>
  <c r="DJ155" i="95" s="1"/>
  <c r="DL155" i="95" s="1"/>
  <c r="DH156" i="95"/>
  <c r="DJ156" i="95" s="1"/>
  <c r="DL156" i="95" s="1"/>
  <c r="DH157" i="95"/>
  <c r="DJ157" i="95" s="1"/>
  <c r="DL157" i="95" s="1"/>
  <c r="DH158" i="95"/>
  <c r="DJ158" i="95" s="1"/>
  <c r="DL158" i="95" s="1"/>
  <c r="DH159" i="95"/>
  <c r="DJ159" i="95" s="1"/>
  <c r="DL159" i="95" s="1"/>
  <c r="DH160" i="95"/>
  <c r="DJ160" i="95" s="1"/>
  <c r="DL160" i="95" s="1"/>
  <c r="DH161" i="95"/>
  <c r="DJ161" i="95" s="1"/>
  <c r="DL161" i="95" s="1"/>
  <c r="DH162" i="95"/>
  <c r="DJ162" i="95" s="1"/>
  <c r="DL162" i="95" s="1"/>
  <c r="DH163" i="95"/>
  <c r="DJ163" i="95" s="1"/>
  <c r="DL163" i="95" s="1"/>
  <c r="DH164" i="95"/>
  <c r="DJ164" i="95" s="1"/>
  <c r="DL164" i="95" s="1"/>
  <c r="DH165" i="95"/>
  <c r="DJ165" i="95" s="1"/>
  <c r="DL165" i="95" s="1"/>
  <c r="DH166" i="95"/>
  <c r="DJ166" i="95" s="1"/>
  <c r="DL166" i="95" s="1"/>
  <c r="DH167" i="95"/>
  <c r="DJ167" i="95" s="1"/>
  <c r="DL167" i="95" s="1"/>
  <c r="DH168" i="95"/>
  <c r="DJ168" i="95" s="1"/>
  <c r="DL168" i="95" s="1"/>
  <c r="DH169" i="95"/>
  <c r="DJ169" i="95" s="1"/>
  <c r="DL169" i="95" s="1"/>
  <c r="DH170" i="95"/>
  <c r="DJ170" i="95" s="1"/>
  <c r="DL170" i="95" s="1"/>
  <c r="DH171" i="95"/>
  <c r="DJ171" i="95" s="1"/>
  <c r="DL171" i="95" s="1"/>
  <c r="DH172" i="95"/>
  <c r="DJ172" i="95" s="1"/>
  <c r="DL172" i="95" s="1"/>
  <c r="DH173" i="95"/>
  <c r="DJ173" i="95" s="1"/>
  <c r="DL173" i="95" s="1"/>
  <c r="DH96" i="95"/>
  <c r="DH97" i="95"/>
  <c r="DH98" i="95"/>
  <c r="DH99" i="95"/>
  <c r="DH100" i="95"/>
  <c r="DH101" i="95"/>
  <c r="DH102" i="95"/>
  <c r="DH103" i="95"/>
  <c r="DH104" i="95"/>
  <c r="DH105" i="95"/>
  <c r="DH106" i="95"/>
  <c r="DH107" i="95"/>
  <c r="DH108" i="95"/>
  <c r="DH109" i="95"/>
  <c r="DH110" i="95"/>
  <c r="DH111" i="95"/>
  <c r="DH112" i="95"/>
  <c r="DH113" i="95"/>
  <c r="DH114" i="95"/>
  <c r="DH115" i="95"/>
  <c r="DH116" i="95"/>
  <c r="DH117" i="95"/>
  <c r="DH118" i="95"/>
  <c r="DH119" i="95"/>
  <c r="DH120" i="95"/>
  <c r="DH121" i="95"/>
  <c r="DH122" i="95"/>
  <c r="DH123" i="95"/>
  <c r="DH124" i="95"/>
  <c r="DH125" i="95"/>
  <c r="DH126" i="95"/>
  <c r="DH127" i="95"/>
  <c r="DH128" i="95"/>
  <c r="DH129" i="95"/>
  <c r="DH130" i="95"/>
  <c r="DH131" i="95"/>
  <c r="DH132" i="95"/>
  <c r="DH133" i="95"/>
  <c r="DH134" i="95"/>
  <c r="DH135" i="95"/>
  <c r="DJ135" i="95" s="1"/>
  <c r="DL135" i="95" s="1"/>
  <c r="DH136" i="95"/>
  <c r="DJ136" i="95" s="1"/>
  <c r="DL136" i="95" s="1"/>
  <c r="DH137" i="95"/>
  <c r="DJ137" i="95" s="1"/>
  <c r="DL137" i="95" s="1"/>
  <c r="DH138" i="95"/>
  <c r="DJ138" i="95" s="1"/>
  <c r="DL138" i="95" s="1"/>
  <c r="DH139" i="95"/>
  <c r="DJ139" i="95" s="1"/>
  <c r="DL139" i="95" s="1"/>
  <c r="DH140" i="95"/>
  <c r="DJ140" i="95" s="1"/>
  <c r="DL140" i="95" s="1"/>
  <c r="DH141" i="95"/>
  <c r="DJ141" i="95" s="1"/>
  <c r="DL141" i="95" s="1"/>
  <c r="DH142" i="95"/>
  <c r="DJ142" i="95" s="1"/>
  <c r="DL142" i="95" s="1"/>
  <c r="DH143" i="95"/>
  <c r="DJ143" i="95" s="1"/>
  <c r="DL143" i="95" s="1"/>
  <c r="DH144" i="95"/>
  <c r="DJ144" i="95" s="1"/>
  <c r="DL144" i="95" s="1"/>
  <c r="DH145" i="95"/>
  <c r="DJ145" i="95" s="1"/>
  <c r="DL145" i="95" s="1"/>
  <c r="DH146" i="95"/>
  <c r="DJ146" i="95" s="1"/>
  <c r="DL146" i="95" s="1"/>
  <c r="DH147" i="95"/>
  <c r="DJ147" i="95" s="1"/>
  <c r="DL147" i="95" s="1"/>
  <c r="DH148" i="95"/>
  <c r="DJ148" i="95" s="1"/>
  <c r="DL148" i="95" s="1"/>
  <c r="DH149" i="95"/>
  <c r="DJ149" i="95" s="1"/>
  <c r="DL149" i="95" s="1"/>
  <c r="DH75" i="95"/>
  <c r="DH76" i="95"/>
  <c r="DH77" i="95"/>
  <c r="DH78" i="95"/>
  <c r="DH79" i="95"/>
  <c r="DH80" i="95"/>
  <c r="DH81" i="95"/>
  <c r="DH82" i="95"/>
  <c r="DH83" i="95"/>
  <c r="DH84" i="95"/>
  <c r="DH85" i="95"/>
  <c r="DH86" i="95"/>
  <c r="DH87" i="95"/>
  <c r="DH88" i="95"/>
  <c r="DH89" i="95"/>
  <c r="DH90" i="95"/>
  <c r="DH91" i="95"/>
  <c r="DH92" i="95"/>
  <c r="DH93" i="95"/>
  <c r="DH94" i="95"/>
  <c r="DH95" i="95"/>
  <c r="DH7" i="95"/>
  <c r="DH8" i="95"/>
  <c r="DH9" i="95"/>
  <c r="DH10" i="95"/>
  <c r="DH11" i="95"/>
  <c r="DH12" i="95"/>
  <c r="DH13" i="95"/>
  <c r="DH14" i="95"/>
  <c r="DH15" i="95"/>
  <c r="DH16" i="95"/>
  <c r="DH17" i="95"/>
  <c r="DH18" i="95"/>
  <c r="DH19" i="95"/>
  <c r="DH20" i="95"/>
  <c r="DH21" i="95"/>
  <c r="DH22" i="95"/>
  <c r="DH23" i="95"/>
  <c r="DH24" i="95"/>
  <c r="DH25" i="95"/>
  <c r="DH26" i="95"/>
  <c r="DH27" i="95"/>
  <c r="DH28" i="95"/>
  <c r="DH29" i="95"/>
  <c r="DH30" i="95"/>
  <c r="DH31" i="95"/>
  <c r="DH32" i="95"/>
  <c r="DH33" i="95"/>
  <c r="DH34" i="95"/>
  <c r="DH35" i="95"/>
  <c r="DH36" i="95"/>
  <c r="DH37" i="95"/>
  <c r="DH38" i="95"/>
  <c r="DH39" i="95"/>
  <c r="DH40" i="95"/>
  <c r="DH41" i="95"/>
  <c r="DH42" i="95"/>
  <c r="DH43" i="95"/>
  <c r="DH44" i="95"/>
  <c r="DH45" i="95"/>
  <c r="DH46" i="95"/>
  <c r="DH47" i="95"/>
  <c r="DH48" i="95"/>
  <c r="DH49" i="95"/>
  <c r="DH50" i="95"/>
  <c r="DH51" i="95"/>
  <c r="DH52" i="95"/>
  <c r="DH53" i="95"/>
  <c r="DH54" i="95"/>
  <c r="DH55" i="95"/>
  <c r="DH56" i="95"/>
  <c r="DH57" i="95"/>
  <c r="DH58" i="95"/>
  <c r="DH59" i="95"/>
  <c r="DH60" i="95"/>
  <c r="DH61" i="95"/>
  <c r="DH62" i="95"/>
  <c r="DH63" i="95"/>
  <c r="DH64" i="95"/>
  <c r="DH65" i="95"/>
  <c r="DH66" i="95"/>
  <c r="DH67" i="95"/>
  <c r="DH68" i="95"/>
  <c r="DH69" i="95"/>
  <c r="DH70" i="95"/>
  <c r="DH71" i="95"/>
  <c r="DH72" i="95"/>
  <c r="DH73" i="95"/>
  <c r="DH74" i="95"/>
  <c r="DH6" i="95"/>
  <c r="CS3" i="95"/>
  <c r="CR7" i="95" l="1"/>
  <c r="CR8" i="95"/>
  <c r="CR9" i="95"/>
  <c r="CR10" i="95"/>
  <c r="CR11" i="95"/>
  <c r="CR12" i="95"/>
  <c r="CR13" i="95"/>
  <c r="CR14" i="95"/>
  <c r="CR15" i="95"/>
  <c r="CR16" i="95"/>
  <c r="CR17" i="95"/>
  <c r="CR18" i="95"/>
  <c r="CR19" i="95"/>
  <c r="CR20" i="95"/>
  <c r="CR21" i="95"/>
  <c r="CR22" i="95"/>
  <c r="CR23" i="95"/>
  <c r="CR24" i="95"/>
  <c r="CR25" i="95"/>
  <c r="CR26" i="95"/>
  <c r="CR6" i="95"/>
  <c r="BE6" i="95" l="1"/>
  <c r="CD6" i="95"/>
  <c r="W6" i="95"/>
  <c r="BA6" i="95" l="1"/>
  <c r="BG3" i="95"/>
  <c r="X6" i="95" l="1"/>
  <c r="BF6" i="95"/>
  <c r="AU7" i="95"/>
  <c r="AU8" i="95"/>
  <c r="AU9" i="95"/>
  <c r="AU10" i="95"/>
  <c r="AU11" i="95"/>
  <c r="AU12" i="95"/>
  <c r="AU13" i="95"/>
  <c r="AU14" i="95"/>
  <c r="AU15" i="95"/>
  <c r="AU16" i="95"/>
  <c r="AU6" i="95"/>
  <c r="DJ255" i="90" l="1"/>
  <c r="DJ256" i="90"/>
  <c r="DJ257" i="90"/>
  <c r="DJ258" i="90"/>
  <c r="DJ259" i="90"/>
  <c r="DL256" i="90" l="1"/>
  <c r="DR256" i="90"/>
  <c r="DK256" i="90"/>
  <c r="DN256" i="90"/>
  <c r="DO256" i="90" s="1"/>
  <c r="DR258" i="90"/>
  <c r="DK258" i="90"/>
  <c r="DL258" i="90"/>
  <c r="DN258" i="90"/>
  <c r="DO258" i="90" s="1"/>
  <c r="DL257" i="90"/>
  <c r="DR257" i="90"/>
  <c r="DK257" i="90"/>
  <c r="DN257" i="90"/>
  <c r="DO257" i="90" s="1"/>
  <c r="DR259" i="90"/>
  <c r="DK259" i="90"/>
  <c r="DL259" i="90"/>
  <c r="DN259" i="90"/>
  <c r="DO259" i="90" s="1"/>
  <c r="DR255" i="90"/>
  <c r="DK255" i="90"/>
  <c r="DL255" i="90"/>
  <c r="DN255" i="90"/>
  <c r="DO255" i="90" s="1"/>
  <c r="DS256" i="90"/>
  <c r="DS255" i="90"/>
  <c r="DS257" i="90" l="1"/>
  <c r="DQ256" i="90"/>
  <c r="DQ255" i="90"/>
  <c r="DQ257" i="90"/>
  <c r="DS259" i="90"/>
  <c r="DS258" i="90"/>
  <c r="DQ259" i="90"/>
  <c r="DQ258" i="90"/>
  <c r="AG31" i="95"/>
  <c r="AG32" i="95"/>
  <c r="AG33" i="95"/>
  <c r="AG34" i="95"/>
  <c r="AG35" i="95"/>
  <c r="AG36" i="95"/>
  <c r="AG37" i="95"/>
  <c r="AG38" i="95"/>
  <c r="AG39" i="95"/>
  <c r="AG40" i="95"/>
  <c r="AG41" i="95"/>
  <c r="AG42" i="95"/>
  <c r="AG43" i="95"/>
  <c r="AG44" i="95"/>
  <c r="AG45" i="95"/>
  <c r="AG46" i="95"/>
  <c r="AG47" i="95"/>
  <c r="AG48" i="95"/>
  <c r="AG49" i="95"/>
  <c r="AG50" i="95"/>
  <c r="AG51" i="95"/>
  <c r="AG52" i="95"/>
  <c r="AG53" i="95"/>
  <c r="AG54" i="95"/>
  <c r="AG55" i="95"/>
  <c r="AG56" i="95"/>
  <c r="AG57" i="95"/>
  <c r="AG58" i="95"/>
  <c r="AG59" i="95"/>
  <c r="AG60" i="95"/>
  <c r="AG61" i="95"/>
  <c r="AG62" i="95"/>
  <c r="AG63" i="95"/>
  <c r="AG64" i="95"/>
  <c r="AG65" i="95"/>
  <c r="AG66" i="95"/>
  <c r="AG67" i="95"/>
  <c r="AG68" i="95"/>
  <c r="AG69" i="95"/>
  <c r="AG70" i="95"/>
  <c r="AG71" i="95"/>
  <c r="AG72" i="95"/>
  <c r="AG73" i="95"/>
  <c r="AG74" i="95"/>
  <c r="AG75" i="95"/>
  <c r="AG76" i="95"/>
  <c r="AG77" i="95"/>
  <c r="AG78" i="95"/>
  <c r="AG79" i="95"/>
  <c r="AG80" i="95"/>
  <c r="AG81" i="95"/>
  <c r="AG82" i="95"/>
  <c r="AG83" i="95"/>
  <c r="AG84" i="95"/>
  <c r="AG85" i="95"/>
  <c r="AG86" i="95"/>
  <c r="AG87" i="95"/>
  <c r="AG88" i="95"/>
  <c r="AG89" i="95"/>
  <c r="AG90" i="95"/>
  <c r="AG91" i="95"/>
  <c r="AG92" i="95"/>
  <c r="AG93" i="95"/>
  <c r="AG94" i="95"/>
  <c r="AG95" i="95"/>
  <c r="AG96" i="95"/>
  <c r="AG97" i="95"/>
  <c r="AG98" i="95"/>
  <c r="AG99" i="95"/>
  <c r="AG100" i="95"/>
  <c r="AG101" i="95"/>
  <c r="AG102" i="95"/>
  <c r="AG103" i="95"/>
  <c r="AG104" i="95"/>
  <c r="AG105" i="95"/>
  <c r="AG106" i="95"/>
  <c r="AG107" i="95"/>
  <c r="AG108" i="95"/>
  <c r="AG109" i="95"/>
  <c r="AG110" i="95"/>
  <c r="AG111" i="95"/>
  <c r="AG112" i="95"/>
  <c r="AG113" i="95"/>
  <c r="AG114" i="95"/>
  <c r="AG115" i="95"/>
  <c r="AG116" i="95"/>
  <c r="AG117" i="95"/>
  <c r="AG118" i="95"/>
  <c r="AG119" i="95"/>
  <c r="AG120" i="95"/>
  <c r="AG121" i="95"/>
  <c r="AG122" i="95"/>
  <c r="AG123" i="95"/>
  <c r="AG124" i="95"/>
  <c r="AG125" i="95"/>
  <c r="AG126" i="95"/>
  <c r="AG127" i="95"/>
  <c r="AG128" i="95"/>
  <c r="AG129" i="95"/>
  <c r="AG130" i="95"/>
  <c r="AG131" i="95"/>
  <c r="AG132" i="95"/>
  <c r="AG133" i="95"/>
  <c r="AG134" i="95"/>
  <c r="AG135" i="95"/>
  <c r="AG136" i="95"/>
  <c r="AG137" i="95"/>
  <c r="AG138" i="95"/>
  <c r="AG139" i="95"/>
  <c r="AG140" i="95"/>
  <c r="AG141" i="95"/>
  <c r="AG142" i="95"/>
  <c r="AG143" i="95"/>
  <c r="AG144" i="95"/>
  <c r="AG145" i="95"/>
  <c r="AG146" i="95"/>
  <c r="AG147" i="95"/>
  <c r="AG148" i="95"/>
  <c r="AG149" i="95"/>
  <c r="AG150" i="95"/>
  <c r="AG151" i="95"/>
  <c r="AG152" i="95"/>
  <c r="AG153" i="95"/>
  <c r="AG154" i="95"/>
  <c r="AG155" i="95"/>
  <c r="AG16" i="95"/>
  <c r="AG17" i="95"/>
  <c r="AG18" i="95"/>
  <c r="AG19" i="95"/>
  <c r="AG20" i="95"/>
  <c r="AG21" i="95"/>
  <c r="AG22" i="95"/>
  <c r="AG23" i="95"/>
  <c r="AG24" i="95"/>
  <c r="AG25" i="95"/>
  <c r="AG26" i="95"/>
  <c r="AG27" i="95"/>
  <c r="AG28" i="95"/>
  <c r="AG29" i="95"/>
  <c r="AG30" i="95"/>
  <c r="FO7" i="98" l="1"/>
  <c r="FO8" i="98"/>
  <c r="FO9" i="98"/>
  <c r="FO10" i="98"/>
  <c r="FO11" i="98"/>
  <c r="FO12" i="98"/>
  <c r="FO13" i="98"/>
  <c r="FO14" i="98"/>
  <c r="FO15" i="98"/>
  <c r="FO16" i="98"/>
  <c r="FO17" i="98"/>
  <c r="FO18" i="98"/>
  <c r="FO19" i="98"/>
  <c r="FO20" i="98"/>
  <c r="FO21" i="98"/>
  <c r="FO22" i="98"/>
  <c r="FO23" i="98"/>
  <c r="FO24" i="98"/>
  <c r="FO25" i="98"/>
  <c r="FO26" i="98"/>
  <c r="FO6" i="98"/>
  <c r="EL71" i="98"/>
  <c r="EL72" i="98" s="1"/>
  <c r="EL62" i="98"/>
  <c r="EL53" i="98"/>
  <c r="EL44" i="98"/>
  <c r="EL45" i="98" s="1"/>
  <c r="EL35" i="98"/>
  <c r="EL36" i="98" s="1"/>
  <c r="EL26" i="98"/>
  <c r="EL18" i="98"/>
  <c r="EL17" i="98"/>
  <c r="EL8" i="98"/>
  <c r="EK7" i="98"/>
  <c r="EK8" i="98"/>
  <c r="EK9" i="98"/>
  <c r="EK10" i="98"/>
  <c r="EK11" i="98"/>
  <c r="EK12" i="98"/>
  <c r="EK13" i="98"/>
  <c r="EK14" i="98"/>
  <c r="EK15" i="98"/>
  <c r="EK16" i="98"/>
  <c r="EK17" i="98"/>
  <c r="EK18" i="98"/>
  <c r="EK19" i="98"/>
  <c r="EK20" i="98"/>
  <c r="EK21" i="98"/>
  <c r="EK22" i="98"/>
  <c r="EK23" i="98"/>
  <c r="EK24" i="98"/>
  <c r="EK25" i="98"/>
  <c r="EK26" i="98"/>
  <c r="EK27" i="98"/>
  <c r="EK28" i="98"/>
  <c r="EK29" i="98"/>
  <c r="EK30" i="98"/>
  <c r="EK31" i="98"/>
  <c r="EK32" i="98"/>
  <c r="EK33" i="98"/>
  <c r="EK34" i="98"/>
  <c r="EK35" i="98"/>
  <c r="EK36" i="98"/>
  <c r="EK37" i="98"/>
  <c r="EK38" i="98"/>
  <c r="EK39" i="98"/>
  <c r="EK40" i="98"/>
  <c r="EK41" i="98"/>
  <c r="EK42" i="98"/>
  <c r="EK43" i="98"/>
  <c r="EK44" i="98"/>
  <c r="EK45" i="98"/>
  <c r="EK46" i="98"/>
  <c r="EK47" i="98"/>
  <c r="EK48" i="98"/>
  <c r="EK49" i="98"/>
  <c r="EK50" i="98"/>
  <c r="EK51" i="98"/>
  <c r="EK52" i="98"/>
  <c r="EK53" i="98"/>
  <c r="EK54" i="98"/>
  <c r="EK55" i="98"/>
  <c r="EK56" i="98"/>
  <c r="EK57" i="98"/>
  <c r="EK58" i="98"/>
  <c r="EK59" i="98"/>
  <c r="EK60" i="98"/>
  <c r="EK61" i="98"/>
  <c r="EK62" i="98"/>
  <c r="EK63" i="98"/>
  <c r="EK64" i="98"/>
  <c r="EK65" i="98"/>
  <c r="EK66" i="98"/>
  <c r="EK67" i="98"/>
  <c r="EK68" i="98"/>
  <c r="EK69" i="98"/>
  <c r="EK70" i="98"/>
  <c r="EK71" i="98"/>
  <c r="EK72" i="98"/>
  <c r="EK73" i="98"/>
  <c r="EK74" i="98"/>
  <c r="EK75" i="98"/>
  <c r="EK76" i="98"/>
  <c r="EK77" i="98"/>
  <c r="EK6" i="98"/>
  <c r="EL9" i="98" l="1"/>
  <c r="EL46" i="98"/>
  <c r="EL47" i="98" s="1"/>
  <c r="EL28" i="98"/>
  <c r="EL27" i="98"/>
  <c r="EL37" i="98"/>
  <c r="EL63" i="98"/>
  <c r="EL73" i="98"/>
  <c r="EL74" i="98" s="1"/>
  <c r="EL54" i="98"/>
  <c r="EL55" i="98" s="1"/>
  <c r="EL19" i="98"/>
  <c r="EL10" i="98" l="1"/>
  <c r="EL39" i="98"/>
  <c r="EL30" i="98"/>
  <c r="EL38" i="98"/>
  <c r="EL56" i="98"/>
  <c r="EL29" i="98"/>
  <c r="EL76" i="98"/>
  <c r="EL75" i="98"/>
  <c r="EL64" i="98"/>
  <c r="EL48" i="98"/>
  <c r="EL49" i="98"/>
  <c r="EL20" i="98"/>
  <c r="EL21" i="98" s="1"/>
  <c r="EL11" i="98" l="1"/>
  <c r="EL32" i="98"/>
  <c r="EL50" i="98"/>
  <c r="EL31" i="98"/>
  <c r="EL57" i="98"/>
  <c r="EL77" i="98"/>
  <c r="EL40" i="98"/>
  <c r="EL41" i="98" s="1"/>
  <c r="EL65" i="98"/>
  <c r="EL66" i="98" s="1"/>
  <c r="EL22" i="98"/>
  <c r="EL23" i="98" s="1"/>
  <c r="EL12" i="98" l="1"/>
  <c r="EL13" i="98" s="1"/>
  <c r="EL14" i="98" s="1"/>
  <c r="EL59" i="98"/>
  <c r="EL67" i="98"/>
  <c r="EL68" i="98" s="1"/>
  <c r="EL58" i="98"/>
  <c r="AJ6" i="82" l="1"/>
  <c r="DJ6" i="90" l="1"/>
  <c r="DJ7" i="90"/>
  <c r="DJ8" i="90"/>
  <c r="DJ9" i="90"/>
  <c r="DJ10" i="90"/>
  <c r="DJ11" i="90"/>
  <c r="DJ12" i="90"/>
  <c r="DJ13" i="90"/>
  <c r="DJ14" i="90"/>
  <c r="DJ15" i="90"/>
  <c r="DJ16" i="90"/>
  <c r="DJ17" i="90"/>
  <c r="DJ18" i="90"/>
  <c r="DJ19" i="90"/>
  <c r="DJ20" i="90"/>
  <c r="DJ21" i="90"/>
  <c r="DJ22" i="90"/>
  <c r="DJ23" i="90"/>
  <c r="DJ24" i="90"/>
  <c r="DJ25" i="90"/>
  <c r="DJ26" i="90"/>
  <c r="DJ27" i="90"/>
  <c r="DJ28" i="90"/>
  <c r="DJ29" i="90"/>
  <c r="DJ30" i="90"/>
  <c r="DJ31" i="90"/>
  <c r="DJ32" i="90"/>
  <c r="DJ33" i="90"/>
  <c r="DJ34" i="90"/>
  <c r="DJ35" i="90"/>
  <c r="DJ36" i="90"/>
  <c r="DJ37" i="90"/>
  <c r="DJ38" i="90"/>
  <c r="DJ39" i="90"/>
  <c r="DJ40" i="90"/>
  <c r="DJ41" i="90"/>
  <c r="DJ42" i="90"/>
  <c r="DJ43" i="90"/>
  <c r="DJ44" i="90"/>
  <c r="DJ45" i="90"/>
  <c r="DJ46" i="90"/>
  <c r="DJ47" i="90"/>
  <c r="DJ48" i="90"/>
  <c r="DJ49" i="90"/>
  <c r="DJ50" i="90"/>
  <c r="DJ51" i="90"/>
  <c r="DJ52" i="90"/>
  <c r="DJ53" i="90"/>
  <c r="DJ54" i="90"/>
  <c r="DJ55" i="90"/>
  <c r="DJ56" i="90"/>
  <c r="DJ57" i="90"/>
  <c r="DJ58" i="90"/>
  <c r="DJ59" i="90"/>
  <c r="DJ60" i="90"/>
  <c r="DJ61" i="90"/>
  <c r="DJ62" i="90"/>
  <c r="DJ63" i="90"/>
  <c r="DJ64" i="90"/>
  <c r="DJ65" i="90"/>
  <c r="DJ66" i="90"/>
  <c r="DJ67" i="90"/>
  <c r="DJ68" i="90"/>
  <c r="DJ69" i="90"/>
  <c r="DJ70" i="90"/>
  <c r="DJ71" i="90"/>
  <c r="DJ72" i="90"/>
  <c r="DJ73" i="90"/>
  <c r="DJ74" i="90"/>
  <c r="DJ75" i="90"/>
  <c r="DJ76" i="90"/>
  <c r="DJ77" i="90"/>
  <c r="DJ78" i="90"/>
  <c r="DJ79" i="90"/>
  <c r="DJ80" i="90"/>
  <c r="DJ81" i="90"/>
  <c r="DJ82" i="90"/>
  <c r="DJ83" i="90"/>
  <c r="DJ84" i="90"/>
  <c r="DJ85" i="90"/>
  <c r="DJ86" i="90"/>
  <c r="DJ87" i="90"/>
  <c r="DJ88" i="90"/>
  <c r="DJ89" i="90"/>
  <c r="DJ90" i="90"/>
  <c r="DJ91" i="90"/>
  <c r="DJ92" i="90"/>
  <c r="DJ93" i="90"/>
  <c r="DJ94" i="90"/>
  <c r="DJ95" i="90"/>
  <c r="DJ96" i="90"/>
  <c r="DJ97" i="90"/>
  <c r="DJ98" i="90"/>
  <c r="DJ99" i="90"/>
  <c r="DJ100" i="90"/>
  <c r="DJ101" i="90"/>
  <c r="DJ102" i="90"/>
  <c r="DJ103" i="90"/>
  <c r="DJ104" i="90"/>
  <c r="DJ105" i="90"/>
  <c r="DJ106" i="90"/>
  <c r="DJ107" i="90"/>
  <c r="DJ108" i="90"/>
  <c r="DJ109" i="90"/>
  <c r="DJ110" i="90"/>
  <c r="DJ111" i="90"/>
  <c r="DJ112" i="90"/>
  <c r="DJ113" i="90"/>
  <c r="DJ114" i="90"/>
  <c r="DJ115" i="90"/>
  <c r="DJ116" i="90"/>
  <c r="DJ117" i="90"/>
  <c r="DJ118" i="90"/>
  <c r="DJ119" i="90"/>
  <c r="DJ120" i="90"/>
  <c r="DJ121" i="90"/>
  <c r="DJ122" i="90"/>
  <c r="DJ123" i="90"/>
  <c r="DJ124" i="90"/>
  <c r="DJ125" i="90"/>
  <c r="DJ126" i="90"/>
  <c r="DJ127" i="90"/>
  <c r="DJ128" i="90"/>
  <c r="DJ129" i="90"/>
  <c r="DJ130" i="90"/>
  <c r="DJ131" i="90"/>
  <c r="DJ132" i="90"/>
  <c r="DJ133" i="90"/>
  <c r="DJ134" i="90"/>
  <c r="DJ135" i="90"/>
  <c r="DJ136" i="90"/>
  <c r="DJ137" i="90"/>
  <c r="DJ138" i="90"/>
  <c r="DJ139" i="90"/>
  <c r="DJ140" i="90"/>
  <c r="DJ141" i="90"/>
  <c r="DJ142" i="90"/>
  <c r="DJ143" i="90"/>
  <c r="DJ144" i="90"/>
  <c r="DJ145" i="90"/>
  <c r="DJ146" i="90"/>
  <c r="DJ147" i="90"/>
  <c r="DJ148" i="90"/>
  <c r="DJ149" i="90"/>
  <c r="DJ150" i="90"/>
  <c r="DJ151" i="90"/>
  <c r="DJ152" i="90"/>
  <c r="DJ153" i="90"/>
  <c r="DJ154" i="90"/>
  <c r="DJ155" i="90"/>
  <c r="DJ156" i="90"/>
  <c r="DJ157" i="90"/>
  <c r="DJ158" i="90"/>
  <c r="DJ159" i="90"/>
  <c r="DJ160" i="90"/>
  <c r="DJ161" i="90"/>
  <c r="DJ162" i="90"/>
  <c r="DJ163" i="90"/>
  <c r="DJ164" i="90"/>
  <c r="DJ165" i="90"/>
  <c r="DJ166" i="90"/>
  <c r="DJ167" i="90"/>
  <c r="DJ168" i="90"/>
  <c r="DJ169" i="90"/>
  <c r="DJ170" i="90"/>
  <c r="DJ171" i="90"/>
  <c r="DJ172" i="90"/>
  <c r="DJ173" i="90"/>
  <c r="DJ174" i="90"/>
  <c r="DJ175" i="90"/>
  <c r="DJ176" i="90"/>
  <c r="DJ177" i="90"/>
  <c r="DJ178" i="90"/>
  <c r="DJ179" i="90"/>
  <c r="DJ180" i="90"/>
  <c r="DJ181" i="90"/>
  <c r="DJ182" i="90"/>
  <c r="DJ183" i="90"/>
  <c r="DJ184" i="90"/>
  <c r="DJ185" i="90"/>
  <c r="DJ186" i="90"/>
  <c r="DJ187" i="90"/>
  <c r="DJ188" i="90"/>
  <c r="DJ189" i="90"/>
  <c r="DJ190" i="90"/>
  <c r="DJ191" i="90"/>
  <c r="DJ192" i="90"/>
  <c r="DJ193" i="90"/>
  <c r="DJ194" i="90"/>
  <c r="DJ195" i="90"/>
  <c r="DJ196" i="90"/>
  <c r="DJ197" i="90"/>
  <c r="DJ198" i="90"/>
  <c r="DJ199" i="90"/>
  <c r="DJ200" i="90"/>
  <c r="DJ201" i="90"/>
  <c r="DJ202" i="90"/>
  <c r="DJ203" i="90"/>
  <c r="DJ204" i="90"/>
  <c r="DJ205" i="90"/>
  <c r="DJ206" i="90"/>
  <c r="DJ207" i="90"/>
  <c r="DJ208" i="90"/>
  <c r="DJ209" i="90"/>
  <c r="DJ210" i="90"/>
  <c r="DJ211" i="90"/>
  <c r="DJ212" i="90"/>
  <c r="DJ213" i="90"/>
  <c r="DJ214" i="90"/>
  <c r="DJ215" i="90"/>
  <c r="DJ216" i="90"/>
  <c r="DJ217" i="90"/>
  <c r="DJ218" i="90"/>
  <c r="DJ219" i="90"/>
  <c r="DJ220" i="90"/>
  <c r="DJ221" i="90"/>
  <c r="DJ222" i="90"/>
  <c r="DJ223" i="90"/>
  <c r="DJ224" i="90"/>
  <c r="DJ225" i="90"/>
  <c r="DJ226" i="90"/>
  <c r="DJ227" i="90"/>
  <c r="DJ228" i="90"/>
  <c r="DJ229" i="90"/>
  <c r="DJ230" i="90"/>
  <c r="DJ231" i="90"/>
  <c r="DJ232" i="90"/>
  <c r="DJ233" i="90"/>
  <c r="DJ234" i="90"/>
  <c r="DJ235" i="90"/>
  <c r="DJ236" i="90"/>
  <c r="DJ237" i="90"/>
  <c r="DJ238" i="90"/>
  <c r="DJ239" i="90"/>
  <c r="DJ240" i="90"/>
  <c r="DJ241" i="90"/>
  <c r="DJ242" i="90"/>
  <c r="DJ243" i="90"/>
  <c r="DJ244" i="90"/>
  <c r="DJ245" i="90"/>
  <c r="DJ246" i="90"/>
  <c r="DJ247" i="90"/>
  <c r="DJ248" i="90"/>
  <c r="DJ249" i="90"/>
  <c r="DJ250" i="90"/>
  <c r="DJ251" i="90"/>
  <c r="DJ252" i="90"/>
  <c r="DJ253" i="90"/>
  <c r="DJ254" i="90"/>
  <c r="E53" i="90"/>
  <c r="E54" i="90"/>
  <c r="E55" i="90"/>
  <c r="E56" i="90"/>
  <c r="E57" i="90"/>
  <c r="E58" i="90"/>
  <c r="E59" i="90"/>
  <c r="E60" i="90"/>
  <c r="E61" i="90"/>
  <c r="E62" i="90"/>
  <c r="E63" i="90"/>
  <c r="E64" i="90"/>
  <c r="E65" i="90"/>
  <c r="E66" i="90"/>
  <c r="E67" i="90"/>
  <c r="E68" i="90"/>
  <c r="E69" i="90"/>
  <c r="E70" i="90"/>
  <c r="E71" i="90"/>
  <c r="E72" i="90"/>
  <c r="E73" i="90"/>
  <c r="E52" i="90"/>
  <c r="DR251" i="90" l="1"/>
  <c r="DK251" i="90"/>
  <c r="DL251" i="90"/>
  <c r="DN251" i="90"/>
  <c r="DO251" i="90" s="1"/>
  <c r="DR239" i="90"/>
  <c r="DK239" i="90"/>
  <c r="DL239" i="90"/>
  <c r="DN239" i="90"/>
  <c r="DO239" i="90" s="1"/>
  <c r="DL253" i="90"/>
  <c r="DR253" i="90"/>
  <c r="DK253" i="90"/>
  <c r="DN253" i="90"/>
  <c r="DO253" i="90" s="1"/>
  <c r="DL249" i="90"/>
  <c r="DR249" i="90"/>
  <c r="DK249" i="90"/>
  <c r="DN249" i="90"/>
  <c r="DO249" i="90" s="1"/>
  <c r="DL245" i="90"/>
  <c r="DR245" i="90"/>
  <c r="DK245" i="90"/>
  <c r="DN245" i="90"/>
  <c r="DO245" i="90" s="1"/>
  <c r="DL241" i="90"/>
  <c r="DR241" i="90"/>
  <c r="DK241" i="90"/>
  <c r="DN241" i="90"/>
  <c r="DO241" i="90" s="1"/>
  <c r="DL237" i="90"/>
  <c r="DR237" i="90"/>
  <c r="DK237" i="90"/>
  <c r="DN237" i="90"/>
  <c r="DO237" i="90" s="1"/>
  <c r="DL233" i="90"/>
  <c r="DR233" i="90"/>
  <c r="DK233" i="90"/>
  <c r="DN233" i="90"/>
  <c r="DO233" i="90" s="1"/>
  <c r="DL229" i="90"/>
  <c r="DR229" i="90"/>
  <c r="DK229" i="90"/>
  <c r="DN229" i="90"/>
  <c r="DO229" i="90" s="1"/>
  <c r="DL225" i="90"/>
  <c r="DR225" i="90"/>
  <c r="DK225" i="90"/>
  <c r="DN225" i="90"/>
  <c r="DO225" i="90" s="1"/>
  <c r="DL221" i="90"/>
  <c r="DR221" i="90"/>
  <c r="DK221" i="90"/>
  <c r="DN221" i="90"/>
  <c r="DO221" i="90" s="1"/>
  <c r="DL217" i="90"/>
  <c r="DR217" i="90"/>
  <c r="DK217" i="90"/>
  <c r="DN217" i="90"/>
  <c r="DO217" i="90" s="1"/>
  <c r="DL213" i="90"/>
  <c r="DR213" i="90"/>
  <c r="DK213" i="90"/>
  <c r="DN213" i="90"/>
  <c r="DO213" i="90" s="1"/>
  <c r="DL209" i="90"/>
  <c r="DR209" i="90"/>
  <c r="DK209" i="90"/>
  <c r="DN209" i="90"/>
  <c r="DO209" i="90" s="1"/>
  <c r="DL205" i="90"/>
  <c r="DR205" i="90"/>
  <c r="DK205" i="90"/>
  <c r="DN205" i="90"/>
  <c r="DO205" i="90" s="1"/>
  <c r="DL201" i="90"/>
  <c r="DR201" i="90"/>
  <c r="DK201" i="90"/>
  <c r="DN201" i="90"/>
  <c r="DO201" i="90" s="1"/>
  <c r="DL197" i="90"/>
  <c r="DR197" i="90"/>
  <c r="DK197" i="90"/>
  <c r="DN197" i="90"/>
  <c r="DO197" i="90" s="1"/>
  <c r="DL193" i="90"/>
  <c r="DR193" i="90"/>
  <c r="DK193" i="90"/>
  <c r="DN193" i="90"/>
  <c r="DO193" i="90" s="1"/>
  <c r="DL189" i="90"/>
  <c r="DR189" i="90"/>
  <c r="DK189" i="90"/>
  <c r="DN189" i="90"/>
  <c r="DO189" i="90" s="1"/>
  <c r="DL185" i="90"/>
  <c r="DR185" i="90"/>
  <c r="DK185" i="90"/>
  <c r="DN185" i="90"/>
  <c r="DO185" i="90" s="1"/>
  <c r="DL181" i="90"/>
  <c r="DR181" i="90"/>
  <c r="DK181" i="90"/>
  <c r="DN181" i="90"/>
  <c r="DO181" i="90" s="1"/>
  <c r="DL177" i="90"/>
  <c r="DR177" i="90"/>
  <c r="DK177" i="90"/>
  <c r="DN177" i="90"/>
  <c r="DO177" i="90" s="1"/>
  <c r="DL173" i="90"/>
  <c r="DR173" i="90"/>
  <c r="DK173" i="90"/>
  <c r="DN173" i="90"/>
  <c r="DO173" i="90" s="1"/>
  <c r="DL169" i="90"/>
  <c r="DR169" i="90"/>
  <c r="DK169" i="90"/>
  <c r="DN169" i="90"/>
  <c r="DO169" i="90" s="1"/>
  <c r="DL165" i="90"/>
  <c r="DR165" i="90"/>
  <c r="DK165" i="90"/>
  <c r="DN165" i="90"/>
  <c r="DO165" i="90" s="1"/>
  <c r="DL161" i="90"/>
  <c r="DR161" i="90"/>
  <c r="DK161" i="90"/>
  <c r="DN161" i="90"/>
  <c r="DO161" i="90" s="1"/>
  <c r="DL157" i="90"/>
  <c r="DR157" i="90"/>
  <c r="DK157" i="90"/>
  <c r="DN157" i="90"/>
  <c r="DO157" i="90" s="1"/>
  <c r="DL153" i="90"/>
  <c r="DR153" i="90"/>
  <c r="DK153" i="90"/>
  <c r="DN153" i="90"/>
  <c r="DO153" i="90" s="1"/>
  <c r="DL149" i="90"/>
  <c r="DR149" i="90"/>
  <c r="DK149" i="90"/>
  <c r="DN149" i="90"/>
  <c r="DO149" i="90" s="1"/>
  <c r="DL145" i="90"/>
  <c r="DR145" i="90"/>
  <c r="DK145" i="90"/>
  <c r="DN145" i="90"/>
  <c r="DO145" i="90" s="1"/>
  <c r="DL141" i="90"/>
  <c r="DR141" i="90"/>
  <c r="DK141" i="90"/>
  <c r="DN141" i="90"/>
  <c r="DO141" i="90" s="1"/>
  <c r="DL137" i="90"/>
  <c r="DR137" i="90"/>
  <c r="DK137" i="90"/>
  <c r="DN137" i="90"/>
  <c r="DO137" i="90" s="1"/>
  <c r="DL133" i="90"/>
  <c r="DR133" i="90"/>
  <c r="DK133" i="90"/>
  <c r="DN133" i="90"/>
  <c r="DO133" i="90" s="1"/>
  <c r="DL129" i="90"/>
  <c r="DR129" i="90"/>
  <c r="DK129" i="90"/>
  <c r="DN129" i="90"/>
  <c r="DO129" i="90" s="1"/>
  <c r="DL125" i="90"/>
  <c r="DR125" i="90"/>
  <c r="DK125" i="90"/>
  <c r="DN125" i="90"/>
  <c r="DO125" i="90" s="1"/>
  <c r="DL121" i="90"/>
  <c r="DR121" i="90"/>
  <c r="DK121" i="90"/>
  <c r="DN121" i="90"/>
  <c r="DO121" i="90" s="1"/>
  <c r="DL117" i="90"/>
  <c r="DR117" i="90"/>
  <c r="DK117" i="90"/>
  <c r="DL113" i="90"/>
  <c r="DR113" i="90"/>
  <c r="DK113" i="90"/>
  <c r="DL109" i="90"/>
  <c r="DR109" i="90"/>
  <c r="DK109" i="90"/>
  <c r="DL105" i="90"/>
  <c r="DR105" i="90"/>
  <c r="DK105" i="90"/>
  <c r="DL101" i="90"/>
  <c r="DR101" i="90"/>
  <c r="DK101" i="90"/>
  <c r="DL97" i="90"/>
  <c r="DR97" i="90"/>
  <c r="DK97" i="90"/>
  <c r="DL93" i="90"/>
  <c r="DR93" i="90"/>
  <c r="DK93" i="90"/>
  <c r="DL89" i="90"/>
  <c r="DR89" i="90"/>
  <c r="DK89" i="90"/>
  <c r="DL85" i="90"/>
  <c r="DR85" i="90"/>
  <c r="DK85" i="90"/>
  <c r="DL81" i="90"/>
  <c r="DR81" i="90"/>
  <c r="DK81" i="90"/>
  <c r="DL77" i="90"/>
  <c r="DR77" i="90"/>
  <c r="DK77" i="90"/>
  <c r="DL73" i="90"/>
  <c r="DR73" i="90"/>
  <c r="DK73" i="90"/>
  <c r="DL69" i="90"/>
  <c r="DR69" i="90"/>
  <c r="DK69" i="90"/>
  <c r="DL65" i="90"/>
  <c r="DR65" i="90"/>
  <c r="DK65" i="90"/>
  <c r="DL61" i="90"/>
  <c r="DR61" i="90"/>
  <c r="DK61" i="90"/>
  <c r="DL57" i="90"/>
  <c r="DR57" i="90"/>
  <c r="DK57" i="90"/>
  <c r="DL53" i="90"/>
  <c r="DR53" i="90"/>
  <c r="DK53" i="90"/>
  <c r="DL49" i="90"/>
  <c r="DR49" i="90"/>
  <c r="DK49" i="90"/>
  <c r="DL45" i="90"/>
  <c r="DR45" i="90"/>
  <c r="DK45" i="90"/>
  <c r="DL41" i="90"/>
  <c r="DR41" i="90"/>
  <c r="DK41" i="90"/>
  <c r="DL37" i="90"/>
  <c r="DR37" i="90"/>
  <c r="DK37" i="90"/>
  <c r="DL33" i="90"/>
  <c r="DR33" i="90"/>
  <c r="DK33" i="90"/>
  <c r="DL29" i="90"/>
  <c r="DR29" i="90"/>
  <c r="DK29" i="90"/>
  <c r="DL25" i="90"/>
  <c r="DR25" i="90"/>
  <c r="DK25" i="90"/>
  <c r="DL21" i="90"/>
  <c r="DR21" i="90"/>
  <c r="DK21" i="90"/>
  <c r="DL17" i="90"/>
  <c r="DR17" i="90"/>
  <c r="DK17" i="90"/>
  <c r="DL13" i="90"/>
  <c r="DR13" i="90"/>
  <c r="DK13" i="90"/>
  <c r="DN9" i="90"/>
  <c r="DO9" i="90" s="1"/>
  <c r="DL9" i="90"/>
  <c r="DR9" i="90"/>
  <c r="DK9" i="90"/>
  <c r="DR247" i="90"/>
  <c r="DK247" i="90"/>
  <c r="DL247" i="90"/>
  <c r="DN247" i="90"/>
  <c r="DO247" i="90" s="1"/>
  <c r="DR243" i="90"/>
  <c r="DK243" i="90"/>
  <c r="DL243" i="90"/>
  <c r="DN243" i="90"/>
  <c r="DO243" i="90" s="1"/>
  <c r="DL252" i="90"/>
  <c r="DR252" i="90"/>
  <c r="DK252" i="90"/>
  <c r="DN252" i="90"/>
  <c r="DO252" i="90" s="1"/>
  <c r="DL248" i="90"/>
  <c r="DR248" i="90"/>
  <c r="DK248" i="90"/>
  <c r="DN248" i="90"/>
  <c r="DO248" i="90" s="1"/>
  <c r="DL244" i="90"/>
  <c r="DR244" i="90"/>
  <c r="DK244" i="90"/>
  <c r="DN244" i="90"/>
  <c r="DO244" i="90" s="1"/>
  <c r="DL240" i="90"/>
  <c r="DR240" i="90"/>
  <c r="DK240" i="90"/>
  <c r="DN240" i="90"/>
  <c r="DO240" i="90" s="1"/>
  <c r="DL236" i="90"/>
  <c r="DR236" i="90"/>
  <c r="DK236" i="90"/>
  <c r="DN236" i="90"/>
  <c r="DO236" i="90" s="1"/>
  <c r="DL232" i="90"/>
  <c r="DR232" i="90"/>
  <c r="DK232" i="90"/>
  <c r="DN232" i="90"/>
  <c r="DO232" i="90" s="1"/>
  <c r="DL228" i="90"/>
  <c r="DR228" i="90"/>
  <c r="DK228" i="90"/>
  <c r="DN228" i="90"/>
  <c r="DO228" i="90" s="1"/>
  <c r="DL224" i="90"/>
  <c r="DR224" i="90"/>
  <c r="DK224" i="90"/>
  <c r="DN224" i="90"/>
  <c r="DO224" i="90" s="1"/>
  <c r="DL220" i="90"/>
  <c r="DR220" i="90"/>
  <c r="DK220" i="90"/>
  <c r="DN220" i="90"/>
  <c r="DO220" i="90" s="1"/>
  <c r="DL216" i="90"/>
  <c r="DR216" i="90"/>
  <c r="DK216" i="90"/>
  <c r="DN216" i="90"/>
  <c r="DO216" i="90" s="1"/>
  <c r="DL212" i="90"/>
  <c r="DR212" i="90"/>
  <c r="DK212" i="90"/>
  <c r="DN212" i="90"/>
  <c r="DO212" i="90" s="1"/>
  <c r="DL208" i="90"/>
  <c r="DR208" i="90"/>
  <c r="DK208" i="90"/>
  <c r="DN208" i="90"/>
  <c r="DO208" i="90" s="1"/>
  <c r="DL204" i="90"/>
  <c r="DR204" i="90"/>
  <c r="DK204" i="90"/>
  <c r="DN204" i="90"/>
  <c r="DO204" i="90" s="1"/>
  <c r="DL200" i="90"/>
  <c r="DR200" i="90"/>
  <c r="DK200" i="90"/>
  <c r="DN200" i="90"/>
  <c r="DO200" i="90" s="1"/>
  <c r="DL196" i="90"/>
  <c r="DR196" i="90"/>
  <c r="DK196" i="90"/>
  <c r="DN196" i="90"/>
  <c r="DO196" i="90" s="1"/>
  <c r="DL192" i="90"/>
  <c r="DR192" i="90"/>
  <c r="DK192" i="90"/>
  <c r="DN192" i="90"/>
  <c r="DO192" i="90" s="1"/>
  <c r="DL188" i="90"/>
  <c r="DR188" i="90"/>
  <c r="DK188" i="90"/>
  <c r="DN188" i="90"/>
  <c r="DO188" i="90" s="1"/>
  <c r="DL184" i="90"/>
  <c r="DR184" i="90"/>
  <c r="DK184" i="90"/>
  <c r="DN184" i="90"/>
  <c r="DO184" i="90" s="1"/>
  <c r="DL180" i="90"/>
  <c r="DR180" i="90"/>
  <c r="DK180" i="90"/>
  <c r="DN180" i="90"/>
  <c r="DO180" i="90" s="1"/>
  <c r="DL176" i="90"/>
  <c r="DR176" i="90"/>
  <c r="DK176" i="90"/>
  <c r="DN176" i="90"/>
  <c r="DO176" i="90" s="1"/>
  <c r="DL172" i="90"/>
  <c r="DR172" i="90"/>
  <c r="DK172" i="90"/>
  <c r="DN172" i="90"/>
  <c r="DO172" i="90" s="1"/>
  <c r="DL168" i="90"/>
  <c r="DR168" i="90"/>
  <c r="DK168" i="90"/>
  <c r="DN168" i="90"/>
  <c r="DO168" i="90" s="1"/>
  <c r="DL164" i="90"/>
  <c r="DR164" i="90"/>
  <c r="DK164" i="90"/>
  <c r="DN164" i="90"/>
  <c r="DO164" i="90" s="1"/>
  <c r="DL160" i="90"/>
  <c r="DR160" i="90"/>
  <c r="DK160" i="90"/>
  <c r="DN160" i="90"/>
  <c r="DO160" i="90" s="1"/>
  <c r="DL156" i="90"/>
  <c r="DR156" i="90"/>
  <c r="DK156" i="90"/>
  <c r="DN156" i="90"/>
  <c r="DO156" i="90" s="1"/>
  <c r="DL152" i="90"/>
  <c r="DR152" i="90"/>
  <c r="DK152" i="90"/>
  <c r="DN152" i="90"/>
  <c r="DO152" i="90" s="1"/>
  <c r="DL148" i="90"/>
  <c r="DR148" i="90"/>
  <c r="DK148" i="90"/>
  <c r="DN148" i="90"/>
  <c r="DO148" i="90" s="1"/>
  <c r="DL144" i="90"/>
  <c r="DR144" i="90"/>
  <c r="DK144" i="90"/>
  <c r="DN144" i="90"/>
  <c r="DO144" i="90" s="1"/>
  <c r="DL140" i="90"/>
  <c r="DR140" i="90"/>
  <c r="DK140" i="90"/>
  <c r="DN140" i="90"/>
  <c r="DO140" i="90" s="1"/>
  <c r="DL136" i="90"/>
  <c r="DR136" i="90"/>
  <c r="DK136" i="90"/>
  <c r="DN136" i="90"/>
  <c r="DO136" i="90" s="1"/>
  <c r="DL132" i="90"/>
  <c r="DR132" i="90"/>
  <c r="DK132" i="90"/>
  <c r="DN132" i="90"/>
  <c r="DO132" i="90" s="1"/>
  <c r="DL128" i="90"/>
  <c r="DR128" i="90"/>
  <c r="DK128" i="90"/>
  <c r="DN128" i="90"/>
  <c r="DO128" i="90" s="1"/>
  <c r="DL124" i="90"/>
  <c r="DR124" i="90"/>
  <c r="DK124" i="90"/>
  <c r="DN124" i="90"/>
  <c r="DO124" i="90" s="1"/>
  <c r="DL120" i="90"/>
  <c r="DR120" i="90"/>
  <c r="DK120" i="90"/>
  <c r="DN120" i="90"/>
  <c r="DO120" i="90" s="1"/>
  <c r="DL116" i="90"/>
  <c r="DR116" i="90"/>
  <c r="DK116" i="90"/>
  <c r="DL112" i="90"/>
  <c r="DR112" i="90"/>
  <c r="DK112" i="90"/>
  <c r="DL108" i="90"/>
  <c r="DR108" i="90"/>
  <c r="DK108" i="90"/>
  <c r="DL104" i="90"/>
  <c r="DR104" i="90"/>
  <c r="DK104" i="90"/>
  <c r="DL100" i="90"/>
  <c r="DR100" i="90"/>
  <c r="DK100" i="90"/>
  <c r="DL96" i="90"/>
  <c r="DR96" i="90"/>
  <c r="DK96" i="90"/>
  <c r="DL92" i="90"/>
  <c r="DR92" i="90"/>
  <c r="DK92" i="90"/>
  <c r="DL88" i="90"/>
  <c r="DR88" i="90"/>
  <c r="DK88" i="90"/>
  <c r="DL84" i="90"/>
  <c r="DR84" i="90"/>
  <c r="DK84" i="90"/>
  <c r="DL80" i="90"/>
  <c r="DR80" i="90"/>
  <c r="DK80" i="90"/>
  <c r="DL76" i="90"/>
  <c r="DR76" i="90"/>
  <c r="DK76" i="90"/>
  <c r="DL72" i="90"/>
  <c r="DR72" i="90"/>
  <c r="DK72" i="90"/>
  <c r="DL68" i="90"/>
  <c r="DR68" i="90"/>
  <c r="DK68" i="90"/>
  <c r="DL64" i="90"/>
  <c r="DR64" i="90"/>
  <c r="DK64" i="90"/>
  <c r="DL60" i="90"/>
  <c r="DR60" i="90"/>
  <c r="DK60" i="90"/>
  <c r="DL56" i="90"/>
  <c r="DR56" i="90"/>
  <c r="DK56" i="90"/>
  <c r="DL52" i="90"/>
  <c r="DR52" i="90"/>
  <c r="DK52" i="90"/>
  <c r="DL48" i="90"/>
  <c r="DR48" i="90"/>
  <c r="DK48" i="90"/>
  <c r="DL44" i="90"/>
  <c r="DR44" i="90"/>
  <c r="DK44" i="90"/>
  <c r="DL40" i="90"/>
  <c r="DR40" i="90"/>
  <c r="DK40" i="90"/>
  <c r="DL36" i="90"/>
  <c r="DR36" i="90"/>
  <c r="DK36" i="90"/>
  <c r="DL32" i="90"/>
  <c r="DR32" i="90"/>
  <c r="DK32" i="90"/>
  <c r="DL28" i="90"/>
  <c r="DR28" i="90"/>
  <c r="DK28" i="90"/>
  <c r="DL24" i="90"/>
  <c r="DR24" i="90"/>
  <c r="DK24" i="90"/>
  <c r="DL20" i="90"/>
  <c r="DR20" i="90"/>
  <c r="DK20" i="90"/>
  <c r="DL16" i="90"/>
  <c r="DR16" i="90"/>
  <c r="DK16" i="90"/>
  <c r="DL12" i="90"/>
  <c r="DR12" i="90"/>
  <c r="DK12" i="90"/>
  <c r="DN8" i="90"/>
  <c r="DO8" i="90" s="1"/>
  <c r="DL8" i="90"/>
  <c r="DR8" i="90"/>
  <c r="DK8" i="90"/>
  <c r="DR231" i="90"/>
  <c r="DK231" i="90"/>
  <c r="DL231" i="90"/>
  <c r="DN231" i="90"/>
  <c r="DO231" i="90" s="1"/>
  <c r="DR227" i="90"/>
  <c r="DK227" i="90"/>
  <c r="DL227" i="90"/>
  <c r="DN227" i="90"/>
  <c r="DO227" i="90" s="1"/>
  <c r="DR223" i="90"/>
  <c r="DK223" i="90"/>
  <c r="DL223" i="90"/>
  <c r="DN223" i="90"/>
  <c r="DO223" i="90" s="1"/>
  <c r="DR219" i="90"/>
  <c r="DK219" i="90"/>
  <c r="DL219" i="90"/>
  <c r="DN219" i="90"/>
  <c r="DO219" i="90" s="1"/>
  <c r="DR215" i="90"/>
  <c r="DK215" i="90"/>
  <c r="DL215" i="90"/>
  <c r="DN215" i="90"/>
  <c r="DO215" i="90" s="1"/>
  <c r="DR211" i="90"/>
  <c r="DK211" i="90"/>
  <c r="DL211" i="90"/>
  <c r="DN211" i="90"/>
  <c r="DO211" i="90" s="1"/>
  <c r="DR207" i="90"/>
  <c r="DK207" i="90"/>
  <c r="DL207" i="90"/>
  <c r="DN207" i="90"/>
  <c r="DO207" i="90" s="1"/>
  <c r="DR203" i="90"/>
  <c r="DK203" i="90"/>
  <c r="DL203" i="90"/>
  <c r="DN203" i="90"/>
  <c r="DO203" i="90" s="1"/>
  <c r="DR199" i="90"/>
  <c r="DK199" i="90"/>
  <c r="DL199" i="90"/>
  <c r="DN199" i="90"/>
  <c r="DO199" i="90" s="1"/>
  <c r="DR195" i="90"/>
  <c r="DK195" i="90"/>
  <c r="DL195" i="90"/>
  <c r="DN195" i="90"/>
  <c r="DO195" i="90" s="1"/>
  <c r="DR191" i="90"/>
  <c r="DK191" i="90"/>
  <c r="DL191" i="90"/>
  <c r="DN191" i="90"/>
  <c r="DO191" i="90" s="1"/>
  <c r="DR187" i="90"/>
  <c r="DK187" i="90"/>
  <c r="DL187" i="90"/>
  <c r="DN187" i="90"/>
  <c r="DO187" i="90" s="1"/>
  <c r="DR183" i="90"/>
  <c r="DK183" i="90"/>
  <c r="DL183" i="90"/>
  <c r="DN183" i="90"/>
  <c r="DO183" i="90" s="1"/>
  <c r="DR179" i="90"/>
  <c r="DK179" i="90"/>
  <c r="DL179" i="90"/>
  <c r="DN179" i="90"/>
  <c r="DO179" i="90" s="1"/>
  <c r="DR175" i="90"/>
  <c r="DK175" i="90"/>
  <c r="DL175" i="90"/>
  <c r="DN175" i="90"/>
  <c r="DO175" i="90" s="1"/>
  <c r="DR171" i="90"/>
  <c r="DK171" i="90"/>
  <c r="DL171" i="90"/>
  <c r="DN171" i="90"/>
  <c r="DO171" i="90" s="1"/>
  <c r="DR167" i="90"/>
  <c r="DK167" i="90"/>
  <c r="DL167" i="90"/>
  <c r="DN167" i="90"/>
  <c r="DO167" i="90" s="1"/>
  <c r="DR163" i="90"/>
  <c r="DK163" i="90"/>
  <c r="DL163" i="90"/>
  <c r="DN163" i="90"/>
  <c r="DO163" i="90" s="1"/>
  <c r="DR159" i="90"/>
  <c r="DK159" i="90"/>
  <c r="DL159" i="90"/>
  <c r="DN159" i="90"/>
  <c r="DO159" i="90" s="1"/>
  <c r="DR155" i="90"/>
  <c r="DK155" i="90"/>
  <c r="DL155" i="90"/>
  <c r="DN155" i="90"/>
  <c r="DO155" i="90" s="1"/>
  <c r="DR151" i="90"/>
  <c r="DK151" i="90"/>
  <c r="DL151" i="90"/>
  <c r="DN151" i="90"/>
  <c r="DO151" i="90" s="1"/>
  <c r="DR147" i="90"/>
  <c r="DK147" i="90"/>
  <c r="DL147" i="90"/>
  <c r="DN147" i="90"/>
  <c r="DO147" i="90" s="1"/>
  <c r="DR143" i="90"/>
  <c r="DK143" i="90"/>
  <c r="DL143" i="90"/>
  <c r="DN143" i="90"/>
  <c r="DO143" i="90" s="1"/>
  <c r="DR139" i="90"/>
  <c r="DK139" i="90"/>
  <c r="DL139" i="90"/>
  <c r="DN139" i="90"/>
  <c r="DO139" i="90" s="1"/>
  <c r="DR135" i="90"/>
  <c r="DK135" i="90"/>
  <c r="DL135" i="90"/>
  <c r="DN135" i="90"/>
  <c r="DO135" i="90" s="1"/>
  <c r="DR131" i="90"/>
  <c r="DK131" i="90"/>
  <c r="DL131" i="90"/>
  <c r="DN131" i="90"/>
  <c r="DO131" i="90" s="1"/>
  <c r="DR127" i="90"/>
  <c r="DK127" i="90"/>
  <c r="DL127" i="90"/>
  <c r="DN127" i="90"/>
  <c r="DO127" i="90" s="1"/>
  <c r="DR123" i="90"/>
  <c r="DK123" i="90"/>
  <c r="DL123" i="90"/>
  <c r="DN123" i="90"/>
  <c r="DO123" i="90" s="1"/>
  <c r="DR119" i="90"/>
  <c r="DK119" i="90"/>
  <c r="DL119" i="90"/>
  <c r="DR115" i="90"/>
  <c r="DK115" i="90"/>
  <c r="DL115" i="90"/>
  <c r="DR111" i="90"/>
  <c r="DK111" i="90"/>
  <c r="DL111" i="90"/>
  <c r="DR107" i="90"/>
  <c r="DK107" i="90"/>
  <c r="DL107" i="90"/>
  <c r="DR103" i="90"/>
  <c r="DK103" i="90"/>
  <c r="DL103" i="90"/>
  <c r="DR99" i="90"/>
  <c r="DK99" i="90"/>
  <c r="DL99" i="90"/>
  <c r="DR95" i="90"/>
  <c r="DK95" i="90"/>
  <c r="DL95" i="90"/>
  <c r="DR91" i="90"/>
  <c r="DK91" i="90"/>
  <c r="DL91" i="90"/>
  <c r="DR87" i="90"/>
  <c r="DK87" i="90"/>
  <c r="DL87" i="90"/>
  <c r="DR83" i="90"/>
  <c r="DK83" i="90"/>
  <c r="DL83" i="90"/>
  <c r="DR79" i="90"/>
  <c r="DK79" i="90"/>
  <c r="DL79" i="90"/>
  <c r="DR75" i="90"/>
  <c r="DK75" i="90"/>
  <c r="DL75" i="90"/>
  <c r="DR71" i="90"/>
  <c r="DK71" i="90"/>
  <c r="DL71" i="90"/>
  <c r="DR67" i="90"/>
  <c r="DK67" i="90"/>
  <c r="DL67" i="90"/>
  <c r="DR63" i="90"/>
  <c r="DK63" i="90"/>
  <c r="DL63" i="90"/>
  <c r="DR59" i="90"/>
  <c r="DK59" i="90"/>
  <c r="DL59" i="90"/>
  <c r="DR55" i="90"/>
  <c r="DK55" i="90"/>
  <c r="DL55" i="90"/>
  <c r="DR51" i="90"/>
  <c r="DK51" i="90"/>
  <c r="DL51" i="90"/>
  <c r="DR47" i="90"/>
  <c r="DK47" i="90"/>
  <c r="DL47" i="90"/>
  <c r="DR43" i="90"/>
  <c r="DK43" i="90"/>
  <c r="DL43" i="90"/>
  <c r="DR39" i="90"/>
  <c r="DK39" i="90"/>
  <c r="DL39" i="90"/>
  <c r="DR35" i="90"/>
  <c r="DK35" i="90"/>
  <c r="DL35" i="90"/>
  <c r="DR31" i="90"/>
  <c r="DK31" i="90"/>
  <c r="DL31" i="90"/>
  <c r="DR27" i="90"/>
  <c r="DK27" i="90"/>
  <c r="DL27" i="90"/>
  <c r="DR23" i="90"/>
  <c r="DK23" i="90"/>
  <c r="DL23" i="90"/>
  <c r="DR19" i="90"/>
  <c r="DK19" i="90"/>
  <c r="DL19" i="90"/>
  <c r="DR15" i="90"/>
  <c r="DK15" i="90"/>
  <c r="DL15" i="90"/>
  <c r="DR11" i="90"/>
  <c r="DK11" i="90"/>
  <c r="DL11" i="90"/>
  <c r="DR7" i="90"/>
  <c r="DK7" i="90"/>
  <c r="DN7" i="90"/>
  <c r="DO7" i="90" s="1"/>
  <c r="DL7" i="90"/>
  <c r="DR235" i="90"/>
  <c r="DK235" i="90"/>
  <c r="DL235" i="90"/>
  <c r="DN235" i="90"/>
  <c r="DO235" i="90" s="1"/>
  <c r="DR254" i="90"/>
  <c r="DK254" i="90"/>
  <c r="DL254" i="90"/>
  <c r="DN254" i="90"/>
  <c r="DO254" i="90" s="1"/>
  <c r="DR250" i="90"/>
  <c r="DK250" i="90"/>
  <c r="DL250" i="90"/>
  <c r="DN250" i="90"/>
  <c r="DO250" i="90" s="1"/>
  <c r="DR246" i="90"/>
  <c r="DK246" i="90"/>
  <c r="DL246" i="90"/>
  <c r="DN246" i="90"/>
  <c r="DO246" i="90" s="1"/>
  <c r="DR242" i="90"/>
  <c r="DK242" i="90"/>
  <c r="DL242" i="90"/>
  <c r="DN242" i="90"/>
  <c r="DO242" i="90" s="1"/>
  <c r="DR238" i="90"/>
  <c r="DK238" i="90"/>
  <c r="DL238" i="90"/>
  <c r="DN238" i="90"/>
  <c r="DO238" i="90" s="1"/>
  <c r="DR234" i="90"/>
  <c r="DK234" i="90"/>
  <c r="DL234" i="90"/>
  <c r="DN234" i="90"/>
  <c r="DO234" i="90" s="1"/>
  <c r="DR230" i="90"/>
  <c r="DK230" i="90"/>
  <c r="DL230" i="90"/>
  <c r="DN230" i="90"/>
  <c r="DO230" i="90" s="1"/>
  <c r="DR226" i="90"/>
  <c r="DK226" i="90"/>
  <c r="DL226" i="90"/>
  <c r="DN226" i="90"/>
  <c r="DO226" i="90" s="1"/>
  <c r="DR222" i="90"/>
  <c r="DK222" i="90"/>
  <c r="DL222" i="90"/>
  <c r="DN222" i="90"/>
  <c r="DO222" i="90" s="1"/>
  <c r="DR218" i="90"/>
  <c r="DK218" i="90"/>
  <c r="DL218" i="90"/>
  <c r="DN218" i="90"/>
  <c r="DO218" i="90" s="1"/>
  <c r="DR214" i="90"/>
  <c r="DK214" i="90"/>
  <c r="DL214" i="90"/>
  <c r="DN214" i="90"/>
  <c r="DO214" i="90" s="1"/>
  <c r="DR210" i="90"/>
  <c r="DK210" i="90"/>
  <c r="DL210" i="90"/>
  <c r="DN210" i="90"/>
  <c r="DO210" i="90" s="1"/>
  <c r="DR206" i="90"/>
  <c r="DK206" i="90"/>
  <c r="DL206" i="90"/>
  <c r="DN206" i="90"/>
  <c r="DO206" i="90" s="1"/>
  <c r="DR202" i="90"/>
  <c r="DK202" i="90"/>
  <c r="DL202" i="90"/>
  <c r="DN202" i="90"/>
  <c r="DO202" i="90" s="1"/>
  <c r="DR198" i="90"/>
  <c r="DK198" i="90"/>
  <c r="DL198" i="90"/>
  <c r="DN198" i="90"/>
  <c r="DO198" i="90" s="1"/>
  <c r="DR194" i="90"/>
  <c r="DK194" i="90"/>
  <c r="DL194" i="90"/>
  <c r="DN194" i="90"/>
  <c r="DO194" i="90" s="1"/>
  <c r="DR190" i="90"/>
  <c r="DK190" i="90"/>
  <c r="DL190" i="90"/>
  <c r="DN190" i="90"/>
  <c r="DO190" i="90" s="1"/>
  <c r="DR186" i="90"/>
  <c r="DK186" i="90"/>
  <c r="DL186" i="90"/>
  <c r="DN186" i="90"/>
  <c r="DO186" i="90" s="1"/>
  <c r="DR182" i="90"/>
  <c r="DK182" i="90"/>
  <c r="DL182" i="90"/>
  <c r="DN182" i="90"/>
  <c r="DO182" i="90" s="1"/>
  <c r="DR178" i="90"/>
  <c r="DK178" i="90"/>
  <c r="DL178" i="90"/>
  <c r="DN178" i="90"/>
  <c r="DO178" i="90" s="1"/>
  <c r="DR174" i="90"/>
  <c r="DK174" i="90"/>
  <c r="DL174" i="90"/>
  <c r="DN174" i="90"/>
  <c r="DO174" i="90" s="1"/>
  <c r="DR170" i="90"/>
  <c r="DK170" i="90"/>
  <c r="DL170" i="90"/>
  <c r="DN170" i="90"/>
  <c r="DO170" i="90" s="1"/>
  <c r="DR166" i="90"/>
  <c r="DK166" i="90"/>
  <c r="DL166" i="90"/>
  <c r="DN166" i="90"/>
  <c r="DO166" i="90" s="1"/>
  <c r="DR162" i="90"/>
  <c r="DK162" i="90"/>
  <c r="DL162" i="90"/>
  <c r="DN162" i="90"/>
  <c r="DO162" i="90" s="1"/>
  <c r="DR158" i="90"/>
  <c r="DK158" i="90"/>
  <c r="DL158" i="90"/>
  <c r="DN158" i="90"/>
  <c r="DO158" i="90" s="1"/>
  <c r="DR154" i="90"/>
  <c r="DK154" i="90"/>
  <c r="DL154" i="90"/>
  <c r="DN154" i="90"/>
  <c r="DO154" i="90" s="1"/>
  <c r="DR150" i="90"/>
  <c r="DK150" i="90"/>
  <c r="DL150" i="90"/>
  <c r="DN150" i="90"/>
  <c r="DO150" i="90" s="1"/>
  <c r="DR146" i="90"/>
  <c r="DK146" i="90"/>
  <c r="DL146" i="90"/>
  <c r="DN146" i="90"/>
  <c r="DO146" i="90" s="1"/>
  <c r="DR142" i="90"/>
  <c r="DK142" i="90"/>
  <c r="DL142" i="90"/>
  <c r="DN142" i="90"/>
  <c r="DO142" i="90" s="1"/>
  <c r="DR138" i="90"/>
  <c r="DK138" i="90"/>
  <c r="DL138" i="90"/>
  <c r="DN138" i="90"/>
  <c r="DO138" i="90" s="1"/>
  <c r="DR134" i="90"/>
  <c r="DK134" i="90"/>
  <c r="DL134" i="90"/>
  <c r="DN134" i="90"/>
  <c r="DO134" i="90" s="1"/>
  <c r="DR130" i="90"/>
  <c r="DK130" i="90"/>
  <c r="DL130" i="90"/>
  <c r="DN130" i="90"/>
  <c r="DO130" i="90" s="1"/>
  <c r="DR126" i="90"/>
  <c r="DK126" i="90"/>
  <c r="DL126" i="90"/>
  <c r="DN126" i="90"/>
  <c r="DO126" i="90" s="1"/>
  <c r="DR122" i="90"/>
  <c r="DK122" i="90"/>
  <c r="DL122" i="90"/>
  <c r="DN122" i="90"/>
  <c r="DO122" i="90" s="1"/>
  <c r="DR118" i="90"/>
  <c r="DK118" i="90"/>
  <c r="DL118" i="90"/>
  <c r="DR114" i="90"/>
  <c r="DK114" i="90"/>
  <c r="DL114" i="90"/>
  <c r="DR110" i="90"/>
  <c r="DK110" i="90"/>
  <c r="DL110" i="90"/>
  <c r="DR106" i="90"/>
  <c r="DK106" i="90"/>
  <c r="DL106" i="90"/>
  <c r="DR102" i="90"/>
  <c r="DK102" i="90"/>
  <c r="DL102" i="90"/>
  <c r="DR98" i="90"/>
  <c r="DK98" i="90"/>
  <c r="DL98" i="90"/>
  <c r="DR94" i="90"/>
  <c r="DK94" i="90"/>
  <c r="DL94" i="90"/>
  <c r="DR90" i="90"/>
  <c r="DK90" i="90"/>
  <c r="DL90" i="90"/>
  <c r="DR86" i="90"/>
  <c r="DK86" i="90"/>
  <c r="DL86" i="90"/>
  <c r="DR82" i="90"/>
  <c r="DK82" i="90"/>
  <c r="DL82" i="90"/>
  <c r="DR78" i="90"/>
  <c r="DK78" i="90"/>
  <c r="DL78" i="90"/>
  <c r="DR74" i="90"/>
  <c r="DK74" i="90"/>
  <c r="DL74" i="90"/>
  <c r="DR70" i="90"/>
  <c r="DK70" i="90"/>
  <c r="DL70" i="90"/>
  <c r="DR66" i="90"/>
  <c r="DK66" i="90"/>
  <c r="DL66" i="90"/>
  <c r="DR62" i="90"/>
  <c r="DK62" i="90"/>
  <c r="DL62" i="90"/>
  <c r="DR58" i="90"/>
  <c r="DK58" i="90"/>
  <c r="DL58" i="90"/>
  <c r="DR54" i="90"/>
  <c r="DK54" i="90"/>
  <c r="DL54" i="90"/>
  <c r="DR50" i="90"/>
  <c r="DK50" i="90"/>
  <c r="DL50" i="90"/>
  <c r="DR46" i="90"/>
  <c r="DK46" i="90"/>
  <c r="DL46" i="90"/>
  <c r="DR42" i="90"/>
  <c r="DK42" i="90"/>
  <c r="DL42" i="90"/>
  <c r="DR38" i="90"/>
  <c r="DK38" i="90"/>
  <c r="DL38" i="90"/>
  <c r="DR34" i="90"/>
  <c r="DK34" i="90"/>
  <c r="DL34" i="90"/>
  <c r="DR30" i="90"/>
  <c r="DK30" i="90"/>
  <c r="DL30" i="90"/>
  <c r="DR26" i="90"/>
  <c r="DK26" i="90"/>
  <c r="DL26" i="90"/>
  <c r="DR22" i="90"/>
  <c r="DK22" i="90"/>
  <c r="DL22" i="90"/>
  <c r="DR18" i="90"/>
  <c r="DK18" i="90"/>
  <c r="DL18" i="90"/>
  <c r="DR14" i="90"/>
  <c r="DK14" i="90"/>
  <c r="DL14" i="90"/>
  <c r="DR10" i="90"/>
  <c r="DK10" i="90"/>
  <c r="DL10" i="90"/>
  <c r="DR6" i="90"/>
  <c r="DK6" i="90"/>
  <c r="DN6" i="90"/>
  <c r="DO6" i="90" s="1"/>
  <c r="DL6" i="90"/>
  <c r="DN88" i="90"/>
  <c r="DO88" i="90" s="1"/>
  <c r="DN85" i="90"/>
  <c r="DO85" i="90" s="1"/>
  <c r="DN89" i="90"/>
  <c r="DO89" i="90" s="1"/>
  <c r="DN86" i="90"/>
  <c r="DO86" i="90" s="1"/>
  <c r="DN87" i="90"/>
  <c r="DO87" i="90" s="1"/>
  <c r="DN27" i="90"/>
  <c r="DO27" i="90" s="1"/>
  <c r="DN28" i="90"/>
  <c r="DO28" i="90" s="1"/>
  <c r="DN25" i="90"/>
  <c r="DO25" i="90" s="1"/>
  <c r="DN29" i="90"/>
  <c r="DO29" i="90" s="1"/>
  <c r="DN26" i="90"/>
  <c r="DO26" i="90" s="1"/>
  <c r="DN11" i="90"/>
  <c r="DO11" i="90" s="1"/>
  <c r="DN12" i="90"/>
  <c r="DO12" i="90" s="1"/>
  <c r="DN13" i="90"/>
  <c r="DO13" i="90" s="1"/>
  <c r="DN10" i="90"/>
  <c r="DO10" i="90" s="1"/>
  <c r="DN14" i="90"/>
  <c r="DO14" i="90" s="1"/>
  <c r="DN100" i="90"/>
  <c r="DO100" i="90" s="1"/>
  <c r="DN104" i="90"/>
  <c r="DO104" i="90" s="1"/>
  <c r="DN101" i="90"/>
  <c r="DO101" i="90" s="1"/>
  <c r="DN102" i="90"/>
  <c r="DO102" i="90" s="1"/>
  <c r="DN103" i="90"/>
  <c r="DO103" i="90" s="1"/>
  <c r="DN80" i="90"/>
  <c r="DO80" i="90" s="1"/>
  <c r="DN84" i="90"/>
  <c r="DO84" i="90" s="1"/>
  <c r="DN81" i="90"/>
  <c r="DO81" i="90" s="1"/>
  <c r="DN82" i="90"/>
  <c r="DO82" i="90" s="1"/>
  <c r="DN83" i="90"/>
  <c r="DO83" i="90" s="1"/>
  <c r="DN60" i="90"/>
  <c r="DO60" i="90" s="1"/>
  <c r="DN64" i="90"/>
  <c r="DO64" i="90" s="1"/>
  <c r="DN61" i="90"/>
  <c r="DO61" i="90" s="1"/>
  <c r="DN62" i="90"/>
  <c r="DO62" i="90" s="1"/>
  <c r="DN63" i="90"/>
  <c r="DO63" i="90" s="1"/>
  <c r="DN40" i="90"/>
  <c r="DO40" i="90" s="1"/>
  <c r="DN44" i="90"/>
  <c r="DO44" i="90" s="1"/>
  <c r="DN41" i="90"/>
  <c r="DO41" i="90" s="1"/>
  <c r="DN42" i="90"/>
  <c r="DO42" i="90" s="1"/>
  <c r="DN43" i="90"/>
  <c r="DO43" i="90" s="1"/>
  <c r="DN23" i="90"/>
  <c r="DO23" i="90" s="1"/>
  <c r="DN20" i="90"/>
  <c r="DO20" i="90" s="1"/>
  <c r="DN24" i="90"/>
  <c r="DO24" i="90" s="1"/>
  <c r="DN21" i="90"/>
  <c r="DO21" i="90" s="1"/>
  <c r="DN22" i="90"/>
  <c r="DO22" i="90" s="1"/>
  <c r="DN108" i="90"/>
  <c r="DO108" i="90" s="1"/>
  <c r="DN105" i="90"/>
  <c r="DO105" i="90" s="1"/>
  <c r="DN109" i="90"/>
  <c r="DO109" i="90" s="1"/>
  <c r="DN106" i="90"/>
  <c r="DO106" i="90" s="1"/>
  <c r="DN107" i="90"/>
  <c r="DO107" i="90" s="1"/>
  <c r="DN48" i="90"/>
  <c r="DO48" i="90" s="1"/>
  <c r="DN46" i="90"/>
  <c r="DO46" i="90" s="1"/>
  <c r="DN47" i="90"/>
  <c r="DO47" i="90" s="1"/>
  <c r="DN49" i="90"/>
  <c r="DO49" i="90" s="1"/>
  <c r="DN45" i="90"/>
  <c r="DO45" i="90" s="1"/>
  <c r="DN116" i="90"/>
  <c r="DO116" i="90" s="1"/>
  <c r="DN117" i="90"/>
  <c r="DO117" i="90" s="1"/>
  <c r="DN118" i="90"/>
  <c r="DO118" i="90" s="1"/>
  <c r="DN115" i="90"/>
  <c r="DO115" i="90" s="1"/>
  <c r="DN119" i="90"/>
  <c r="DO119" i="90" s="1"/>
  <c r="DN96" i="90"/>
  <c r="DO96" i="90" s="1"/>
  <c r="DN97" i="90"/>
  <c r="DO97" i="90" s="1"/>
  <c r="DN98" i="90"/>
  <c r="DO98" i="90" s="1"/>
  <c r="DN99" i="90"/>
  <c r="DO99" i="90" s="1"/>
  <c r="DN95" i="90"/>
  <c r="DO95" i="90" s="1"/>
  <c r="DN76" i="90"/>
  <c r="DO76" i="90" s="1"/>
  <c r="DN77" i="90"/>
  <c r="DO77" i="90" s="1"/>
  <c r="DN78" i="90"/>
  <c r="DO78" i="90" s="1"/>
  <c r="DN79" i="90"/>
  <c r="DO79" i="90" s="1"/>
  <c r="DN75" i="90"/>
  <c r="DO75" i="90" s="1"/>
  <c r="DN56" i="90"/>
  <c r="DO56" i="90" s="1"/>
  <c r="DN57" i="90"/>
  <c r="DO57" i="90" s="1"/>
  <c r="DN58" i="90"/>
  <c r="DO58" i="90" s="1"/>
  <c r="DN55" i="90"/>
  <c r="DO55" i="90" s="1"/>
  <c r="DN59" i="90"/>
  <c r="DO59" i="90" s="1"/>
  <c r="DN35" i="90"/>
  <c r="DO35" i="90" s="1"/>
  <c r="DN36" i="90"/>
  <c r="DO36" i="90" s="1"/>
  <c r="DN37" i="90"/>
  <c r="DO37" i="90" s="1"/>
  <c r="DN38" i="90"/>
  <c r="DO38" i="90" s="1"/>
  <c r="DN39" i="90"/>
  <c r="DO39" i="90" s="1"/>
  <c r="DN15" i="90"/>
  <c r="DO15" i="90" s="1"/>
  <c r="DN19" i="90"/>
  <c r="DO19" i="90" s="1"/>
  <c r="DN16" i="90"/>
  <c r="DO16" i="90" s="1"/>
  <c r="DN17" i="90"/>
  <c r="DO17" i="90" s="1"/>
  <c r="DN18" i="90"/>
  <c r="DO18" i="90" s="1"/>
  <c r="DN68" i="90"/>
  <c r="DO68" i="90" s="1"/>
  <c r="DN65" i="90"/>
  <c r="DO65" i="90" s="1"/>
  <c r="DN69" i="90"/>
  <c r="DO69" i="90" s="1"/>
  <c r="DN66" i="90"/>
  <c r="DO66" i="90" s="1"/>
  <c r="DN67" i="90"/>
  <c r="DO67" i="90" s="1"/>
  <c r="DN112" i="90"/>
  <c r="DO112" i="90" s="1"/>
  <c r="DN113" i="90"/>
  <c r="DO113" i="90" s="1"/>
  <c r="DN110" i="90"/>
  <c r="DO110" i="90" s="1"/>
  <c r="DN114" i="90"/>
  <c r="DO114" i="90" s="1"/>
  <c r="DN111" i="90"/>
  <c r="DO111" i="90" s="1"/>
  <c r="DN92" i="90"/>
  <c r="DO92" i="90" s="1"/>
  <c r="DN93" i="90"/>
  <c r="DO93" i="90" s="1"/>
  <c r="DN90" i="90"/>
  <c r="DO90" i="90" s="1"/>
  <c r="DN94" i="90"/>
  <c r="DO94" i="90" s="1"/>
  <c r="DN91" i="90"/>
  <c r="DO91" i="90" s="1"/>
  <c r="DN72" i="90"/>
  <c r="DO72" i="90" s="1"/>
  <c r="DN73" i="90"/>
  <c r="DO73" i="90" s="1"/>
  <c r="DN70" i="90"/>
  <c r="DO70" i="90" s="1"/>
  <c r="DN74" i="90"/>
  <c r="DO74" i="90" s="1"/>
  <c r="DN71" i="90"/>
  <c r="DO71" i="90" s="1"/>
  <c r="DN52" i="90"/>
  <c r="DO52" i="90" s="1"/>
  <c r="DN51" i="90"/>
  <c r="DO51" i="90" s="1"/>
  <c r="DN53" i="90"/>
  <c r="DO53" i="90" s="1"/>
  <c r="DN54" i="90"/>
  <c r="DO54" i="90" s="1"/>
  <c r="DN50" i="90"/>
  <c r="DO50" i="90" s="1"/>
  <c r="DN31" i="90"/>
  <c r="DO31" i="90" s="1"/>
  <c r="DN32" i="90"/>
  <c r="DO32" i="90" s="1"/>
  <c r="DN33" i="90"/>
  <c r="DO33" i="90" s="1"/>
  <c r="DN34" i="90"/>
  <c r="DO34" i="90" s="1"/>
  <c r="DN30" i="90"/>
  <c r="DO30" i="90" s="1"/>
  <c r="DQ215" i="90"/>
  <c r="DS207" i="90"/>
  <c r="DQ175" i="90"/>
  <c r="DQ159" i="90"/>
  <c r="DS34" i="90"/>
  <c r="DS254" i="90"/>
  <c r="DQ198" i="90"/>
  <c r="DS238" i="90"/>
  <c r="DQ134" i="90"/>
  <c r="DS111" i="90"/>
  <c r="DS19" i="90"/>
  <c r="DQ230" i="90"/>
  <c r="DS206" i="90"/>
  <c r="DS150" i="90"/>
  <c r="DQ246" i="90"/>
  <c r="DS190" i="90"/>
  <c r="DQ98" i="90"/>
  <c r="DQ26" i="90"/>
  <c r="DS231" i="90"/>
  <c r="DS199" i="90"/>
  <c r="DQ199" i="90"/>
  <c r="DS118" i="90"/>
  <c r="DQ118" i="90"/>
  <c r="DS170" i="90"/>
  <c r="DQ170" i="90"/>
  <c r="DS130" i="90"/>
  <c r="DQ130" i="90"/>
  <c r="DS114" i="90"/>
  <c r="DQ114" i="90"/>
  <c r="DS50" i="90"/>
  <c r="DQ50" i="90"/>
  <c r="DS30" i="90"/>
  <c r="DQ30" i="90"/>
  <c r="DS239" i="90"/>
  <c r="DQ239" i="90"/>
  <c r="DS175" i="90"/>
  <c r="DQ135" i="90"/>
  <c r="DS250" i="90"/>
  <c r="DQ250" i="90"/>
  <c r="DS191" i="90"/>
  <c r="DQ191" i="90"/>
  <c r="DS247" i="90"/>
  <c r="DQ247" i="90"/>
  <c r="DQ207" i="90"/>
  <c r="DS187" i="90"/>
  <c r="DQ187" i="90"/>
  <c r="DS167" i="90"/>
  <c r="DQ167" i="90"/>
  <c r="DS147" i="90"/>
  <c r="DQ147" i="90"/>
  <c r="DS127" i="90"/>
  <c r="DQ127" i="90"/>
  <c r="DS27" i="90"/>
  <c r="DQ27" i="90"/>
  <c r="DS210" i="90"/>
  <c r="DQ210" i="90"/>
  <c r="DS151" i="90"/>
  <c r="DQ151" i="90"/>
  <c r="DS227" i="90"/>
  <c r="DQ227" i="90"/>
  <c r="DS14" i="90"/>
  <c r="DS242" i="90"/>
  <c r="DQ242" i="90"/>
  <c r="DS223" i="90"/>
  <c r="DQ223" i="90"/>
  <c r="DS202" i="90"/>
  <c r="DQ202" i="90"/>
  <c r="DS183" i="90"/>
  <c r="DQ183" i="90"/>
  <c r="DQ162" i="90"/>
  <c r="DS143" i="90"/>
  <c r="DQ143" i="90"/>
  <c r="DQ102" i="90"/>
  <c r="DS63" i="90"/>
  <c r="DQ63" i="90"/>
  <c r="DS42" i="90"/>
  <c r="DQ42" i="90"/>
  <c r="DS166" i="90"/>
  <c r="DQ90" i="90"/>
  <c r="DS6" i="90"/>
  <c r="DQ6" i="90"/>
  <c r="DQ166" i="90"/>
  <c r="DQ75" i="90"/>
  <c r="DS198" i="90"/>
  <c r="DS174" i="90"/>
  <c r="DQ174" i="90"/>
  <c r="DS98" i="90"/>
  <c r="DS178" i="90"/>
  <c r="DQ178" i="90"/>
  <c r="DS87" i="90"/>
  <c r="DQ67" i="90"/>
  <c r="DQ70" i="90"/>
  <c r="DS230" i="90"/>
  <c r="DS158" i="90"/>
  <c r="DQ158" i="90"/>
  <c r="DS134" i="90"/>
  <c r="DS226" i="90"/>
  <c r="DQ226" i="90"/>
  <c r="DS7" i="90"/>
  <c r="DQ7" i="90"/>
  <c r="DQ150" i="90"/>
  <c r="DQ107" i="90"/>
  <c r="DS9" i="90"/>
  <c r="DQ78" i="90" l="1"/>
  <c r="DQ46" i="90"/>
  <c r="DQ91" i="90"/>
  <c r="DS78" i="90"/>
  <c r="DQ119" i="90"/>
  <c r="DS46" i="90"/>
  <c r="DQ99" i="90"/>
  <c r="DS57" i="90"/>
  <c r="DS82" i="90"/>
  <c r="DS99" i="90"/>
  <c r="DS35" i="90"/>
  <c r="DS70" i="90"/>
  <c r="DS18" i="90"/>
  <c r="DS22" i="90"/>
  <c r="DS102" i="90"/>
  <c r="DQ14" i="90"/>
  <c r="DQ86" i="90"/>
  <c r="DS91" i="90"/>
  <c r="DQ35" i="90"/>
  <c r="DS79" i="90"/>
  <c r="DQ82" i="90"/>
  <c r="DS86" i="90"/>
  <c r="DQ71" i="90"/>
  <c r="DQ106" i="90"/>
  <c r="DS71" i="90"/>
  <c r="DQ58" i="90"/>
  <c r="DS58" i="90"/>
  <c r="DQ22" i="90"/>
  <c r="DS106" i="90"/>
  <c r="DQ18" i="90"/>
  <c r="DS119" i="90"/>
  <c r="DQ218" i="90"/>
  <c r="DS162" i="90"/>
  <c r="DQ231" i="90"/>
  <c r="DS159" i="90"/>
  <c r="DS135" i="90"/>
  <c r="DS105" i="90"/>
  <c r="DS90" i="90"/>
  <c r="DS215" i="90"/>
  <c r="DQ79" i="90"/>
  <c r="DQ186" i="90"/>
  <c r="DQ206" i="90"/>
  <c r="DQ254" i="90"/>
  <c r="DS15" i="90"/>
  <c r="DS26" i="90"/>
  <c r="DQ126" i="90"/>
  <c r="DQ190" i="90"/>
  <c r="DQ121" i="90"/>
  <c r="DS186" i="90"/>
  <c r="DQ146" i="90"/>
  <c r="DQ66" i="90"/>
  <c r="DQ138" i="90"/>
  <c r="DQ47" i="90"/>
  <c r="DQ55" i="90"/>
  <c r="DS146" i="90"/>
  <c r="DS66" i="90"/>
  <c r="DS138" i="90"/>
  <c r="DS47" i="90"/>
  <c r="DQ34" i="90"/>
  <c r="DS55" i="90"/>
  <c r="DQ238" i="90"/>
  <c r="DS246" i="90"/>
  <c r="DQ87" i="90"/>
  <c r="DQ15" i="90"/>
  <c r="DQ9" i="90"/>
  <c r="DS67" i="90"/>
  <c r="DS38" i="90"/>
  <c r="DQ38" i="90"/>
  <c r="DQ19" i="90"/>
  <c r="DQ105" i="90"/>
  <c r="DQ115" i="90"/>
  <c r="DS218" i="90"/>
  <c r="DS126" i="90"/>
  <c r="DQ214" i="90"/>
  <c r="DS115" i="90"/>
  <c r="DQ111" i="90"/>
  <c r="DS214" i="90"/>
  <c r="DS121" i="90"/>
  <c r="DS75" i="90"/>
  <c r="DQ57" i="90"/>
  <c r="DS107" i="90"/>
  <c r="DQ101" i="90"/>
  <c r="DS101" i="90"/>
  <c r="DQ137" i="90"/>
  <c r="DS137" i="90"/>
  <c r="DS132" i="90"/>
  <c r="DQ132" i="90"/>
  <c r="DS168" i="90"/>
  <c r="DQ168" i="90"/>
  <c r="DS216" i="90"/>
  <c r="DQ216" i="90"/>
  <c r="DS232" i="90"/>
  <c r="DQ232" i="90"/>
  <c r="DS248" i="90"/>
  <c r="DQ248" i="90"/>
  <c r="DS108" i="90"/>
  <c r="DQ108" i="90"/>
  <c r="DQ93" i="90"/>
  <c r="DS93" i="90"/>
  <c r="DS12" i="90"/>
  <c r="DQ12" i="90"/>
  <c r="DQ181" i="90"/>
  <c r="DS181" i="90"/>
  <c r="DQ25" i="90"/>
  <c r="DS25" i="90"/>
  <c r="DS139" i="90"/>
  <c r="DQ139" i="90"/>
  <c r="DS219" i="90"/>
  <c r="DQ219" i="90"/>
  <c r="DQ149" i="90"/>
  <c r="DS149" i="90"/>
  <c r="DQ233" i="90"/>
  <c r="DS233" i="90"/>
  <c r="DQ17" i="90"/>
  <c r="DS17" i="90"/>
  <c r="DQ97" i="90"/>
  <c r="DS97" i="90"/>
  <c r="DS136" i="90"/>
  <c r="DQ136" i="90"/>
  <c r="DS152" i="90"/>
  <c r="DQ152" i="90"/>
  <c r="DS172" i="90"/>
  <c r="DQ172" i="90"/>
  <c r="DS188" i="90"/>
  <c r="DQ188" i="90"/>
  <c r="DS204" i="90"/>
  <c r="DQ204" i="90"/>
  <c r="DS220" i="90"/>
  <c r="DQ220" i="90"/>
  <c r="DS236" i="90"/>
  <c r="DQ236" i="90"/>
  <c r="DS252" i="90"/>
  <c r="DQ252" i="90"/>
  <c r="DS28" i="90"/>
  <c r="DQ28" i="90"/>
  <c r="DS100" i="90"/>
  <c r="DQ100" i="90"/>
  <c r="DS124" i="90"/>
  <c r="DQ124" i="90"/>
  <c r="DQ45" i="90"/>
  <c r="DS45" i="90"/>
  <c r="DQ141" i="90"/>
  <c r="DS141" i="90"/>
  <c r="DQ229" i="90"/>
  <c r="DS229" i="90"/>
  <c r="DS20" i="90"/>
  <c r="DQ20" i="90"/>
  <c r="DS40" i="90"/>
  <c r="DQ40" i="90"/>
  <c r="DS80" i="90"/>
  <c r="DQ80" i="90"/>
  <c r="DS104" i="90"/>
  <c r="DQ104" i="90"/>
  <c r="DQ209" i="90"/>
  <c r="DS209" i="90"/>
  <c r="DS164" i="90"/>
  <c r="DQ164" i="90"/>
  <c r="DQ109" i="90"/>
  <c r="DS109" i="90"/>
  <c r="DQ133" i="90"/>
  <c r="DS133" i="90"/>
  <c r="DQ157" i="90"/>
  <c r="DS157" i="90"/>
  <c r="DQ193" i="90"/>
  <c r="DS193" i="90"/>
  <c r="DS194" i="90"/>
  <c r="DQ194" i="90"/>
  <c r="DS234" i="90"/>
  <c r="DQ234" i="90"/>
  <c r="DQ41" i="90"/>
  <c r="DS41" i="90"/>
  <c r="DS31" i="90"/>
  <c r="DQ31" i="90"/>
  <c r="DS74" i="90"/>
  <c r="DQ74" i="90"/>
  <c r="DS110" i="90"/>
  <c r="DQ110" i="90"/>
  <c r="DS155" i="90"/>
  <c r="DQ155" i="90"/>
  <c r="DS195" i="90"/>
  <c r="DQ195" i="90"/>
  <c r="DS235" i="90"/>
  <c r="DQ235" i="90"/>
  <c r="DQ253" i="90"/>
  <c r="DS253" i="90"/>
  <c r="DS83" i="90"/>
  <c r="DQ83" i="90"/>
  <c r="DQ37" i="90"/>
  <c r="DS37" i="90"/>
  <c r="DQ185" i="90"/>
  <c r="DS185" i="90"/>
  <c r="DQ65" i="90"/>
  <c r="DS65" i="90"/>
  <c r="DS184" i="90"/>
  <c r="DQ184" i="90"/>
  <c r="DS84" i="90"/>
  <c r="DQ84" i="90"/>
  <c r="DS88" i="90"/>
  <c r="DQ88" i="90"/>
  <c r="DS103" i="90"/>
  <c r="DQ103" i="90"/>
  <c r="DQ13" i="90"/>
  <c r="DS13" i="90"/>
  <c r="DQ69" i="90"/>
  <c r="DS69" i="90"/>
  <c r="DQ29" i="90"/>
  <c r="DS29" i="90"/>
  <c r="DQ245" i="90"/>
  <c r="DS245" i="90"/>
  <c r="DQ33" i="90"/>
  <c r="DS33" i="90"/>
  <c r="DQ113" i="90"/>
  <c r="DS113" i="90"/>
  <c r="DS156" i="90"/>
  <c r="DQ156" i="90"/>
  <c r="DS176" i="90"/>
  <c r="DQ176" i="90"/>
  <c r="DS192" i="90"/>
  <c r="DQ192" i="90"/>
  <c r="DS208" i="90"/>
  <c r="DQ208" i="90"/>
  <c r="DS224" i="90"/>
  <c r="DQ224" i="90"/>
  <c r="DS240" i="90"/>
  <c r="DQ240" i="90"/>
  <c r="DS44" i="90"/>
  <c r="DQ44" i="90"/>
  <c r="DS76" i="90"/>
  <c r="DQ76" i="90"/>
  <c r="DS116" i="90"/>
  <c r="DQ116" i="90"/>
  <c r="DQ61" i="90"/>
  <c r="DS61" i="90"/>
  <c r="DQ153" i="90"/>
  <c r="DS153" i="90"/>
  <c r="DQ237" i="90"/>
  <c r="DS237" i="90"/>
  <c r="DS16" i="90"/>
  <c r="DQ16" i="90"/>
  <c r="DS32" i="90"/>
  <c r="DQ32" i="90"/>
  <c r="DS56" i="90"/>
  <c r="DQ56" i="90"/>
  <c r="DS96" i="90"/>
  <c r="DQ96" i="90"/>
  <c r="DS120" i="90"/>
  <c r="DQ120" i="90"/>
  <c r="DQ241" i="90"/>
  <c r="DS241" i="90"/>
  <c r="DQ169" i="90"/>
  <c r="DS169" i="90"/>
  <c r="DQ205" i="90"/>
  <c r="DS205" i="90"/>
  <c r="DS23" i="90"/>
  <c r="DQ23" i="90"/>
  <c r="DS94" i="90"/>
  <c r="DQ94" i="90"/>
  <c r="DS122" i="90"/>
  <c r="DQ122" i="90"/>
  <c r="DS154" i="90"/>
  <c r="DQ154" i="90"/>
  <c r="DS62" i="90"/>
  <c r="DQ62" i="90"/>
  <c r="DS142" i="90"/>
  <c r="DQ142" i="90"/>
  <c r="DS39" i="90"/>
  <c r="DQ39" i="90"/>
  <c r="DQ89" i="90"/>
  <c r="DS89" i="90"/>
  <c r="DS123" i="90"/>
  <c r="DQ123" i="90"/>
  <c r="DS163" i="90"/>
  <c r="DQ163" i="90"/>
  <c r="DS203" i="90"/>
  <c r="DQ203" i="90"/>
  <c r="DS243" i="90"/>
  <c r="DQ243" i="90"/>
  <c r="DQ221" i="90"/>
  <c r="DS221" i="90"/>
  <c r="DS148" i="90"/>
  <c r="DQ148" i="90"/>
  <c r="DS200" i="90"/>
  <c r="DQ200" i="90"/>
  <c r="DS52" i="90"/>
  <c r="DQ52" i="90"/>
  <c r="DQ217" i="90"/>
  <c r="DS217" i="90"/>
  <c r="DS24" i="90"/>
  <c r="DQ24" i="90"/>
  <c r="DS68" i="90"/>
  <c r="DQ68" i="90"/>
  <c r="DQ197" i="90"/>
  <c r="DS197" i="90"/>
  <c r="DS51" i="90"/>
  <c r="DQ51" i="90"/>
  <c r="DS222" i="90"/>
  <c r="DQ222" i="90"/>
  <c r="DS59" i="90"/>
  <c r="DQ59" i="90"/>
  <c r="DS179" i="90"/>
  <c r="DQ179" i="90"/>
  <c r="DQ53" i="90"/>
  <c r="DS53" i="90"/>
  <c r="DQ117" i="90"/>
  <c r="DS117" i="90"/>
  <c r="DS60" i="90"/>
  <c r="DQ60" i="90"/>
  <c r="DQ189" i="90"/>
  <c r="DS189" i="90"/>
  <c r="DQ161" i="90"/>
  <c r="DS161" i="90"/>
  <c r="DQ201" i="90"/>
  <c r="DS201" i="90"/>
  <c r="DS140" i="90"/>
  <c r="DQ140" i="90"/>
  <c r="DQ21" i="90"/>
  <c r="DS21" i="90"/>
  <c r="DQ85" i="90"/>
  <c r="DS85" i="90"/>
  <c r="DQ125" i="90"/>
  <c r="DS125" i="90"/>
  <c r="DQ173" i="90"/>
  <c r="DS173" i="90"/>
  <c r="DQ213" i="90"/>
  <c r="DS213" i="90"/>
  <c r="DQ49" i="90"/>
  <c r="DS49" i="90"/>
  <c r="DS128" i="90"/>
  <c r="DQ128" i="90"/>
  <c r="DS144" i="90"/>
  <c r="DQ144" i="90"/>
  <c r="DS160" i="90"/>
  <c r="DQ160" i="90"/>
  <c r="DS180" i="90"/>
  <c r="DQ180" i="90"/>
  <c r="DS196" i="90"/>
  <c r="DQ196" i="90"/>
  <c r="DS212" i="90"/>
  <c r="DQ212" i="90"/>
  <c r="DS228" i="90"/>
  <c r="DQ228" i="90"/>
  <c r="DS244" i="90"/>
  <c r="DQ244" i="90"/>
  <c r="DS8" i="90"/>
  <c r="DQ8" i="90"/>
  <c r="DS36" i="90"/>
  <c r="DQ36" i="90"/>
  <c r="DS64" i="90"/>
  <c r="DQ64" i="90"/>
  <c r="DS92" i="90"/>
  <c r="DQ92" i="90"/>
  <c r="DQ77" i="90"/>
  <c r="DS77" i="90"/>
  <c r="DQ165" i="90"/>
  <c r="DS165" i="90"/>
  <c r="DQ249" i="90"/>
  <c r="DS249" i="90"/>
  <c r="DS48" i="90"/>
  <c r="DQ48" i="90"/>
  <c r="DS72" i="90"/>
  <c r="DQ72" i="90"/>
  <c r="DS112" i="90"/>
  <c r="DQ112" i="90"/>
  <c r="DQ81" i="90"/>
  <c r="DS81" i="90"/>
  <c r="DQ129" i="90"/>
  <c r="DS129" i="90"/>
  <c r="DQ145" i="90"/>
  <c r="DS145" i="90"/>
  <c r="DQ177" i="90"/>
  <c r="DS177" i="90"/>
  <c r="DS43" i="90"/>
  <c r="DQ43" i="90"/>
  <c r="DQ73" i="90"/>
  <c r="DS73" i="90"/>
  <c r="DS182" i="90"/>
  <c r="DQ182" i="90"/>
  <c r="DS11" i="90"/>
  <c r="DQ11" i="90"/>
  <c r="DS10" i="90"/>
  <c r="DQ10" i="90"/>
  <c r="DS54" i="90"/>
  <c r="DQ54" i="90"/>
  <c r="DS95" i="90"/>
  <c r="DQ95" i="90"/>
  <c r="DS131" i="90"/>
  <c r="DQ131" i="90"/>
  <c r="DS171" i="90"/>
  <c r="DQ171" i="90"/>
  <c r="DS211" i="90"/>
  <c r="DQ211" i="90"/>
  <c r="DS251" i="90"/>
  <c r="DQ251" i="90"/>
  <c r="DQ225" i="90"/>
  <c r="DS225" i="90"/>
  <c r="DJ5" i="90"/>
  <c r="DL5" i="90" l="1"/>
  <c r="DK5" i="90"/>
  <c r="DR5" i="90"/>
  <c r="DN5" i="90"/>
  <c r="DO5" i="90" s="1"/>
  <c r="AB6" i="88"/>
  <c r="AB7" i="88"/>
  <c r="AB8" i="88"/>
  <c r="AB9" i="88"/>
  <c r="AB10" i="88"/>
  <c r="AB11" i="88"/>
  <c r="AB12" i="88"/>
  <c r="AB5" i="88"/>
  <c r="DS5" i="90" l="1"/>
  <c r="DQ5" i="90"/>
  <c r="N7" i="88"/>
  <c r="N8" i="88"/>
  <c r="N5" i="88"/>
  <c r="N6" i="88"/>
  <c r="B4" i="88"/>
  <c r="N4" i="88" s="1"/>
  <c r="D18" i="102" l="1"/>
  <c r="F18" i="102" s="1"/>
  <c r="C8" i="102"/>
  <c r="D8" i="102" s="1"/>
  <c r="F8" i="102" s="1"/>
  <c r="C9" i="102"/>
  <c r="D9" i="102" s="1"/>
  <c r="F9" i="102" s="1"/>
  <c r="C10" i="102"/>
  <c r="D10" i="102" s="1"/>
  <c r="F10" i="102" s="1"/>
  <c r="C11" i="102"/>
  <c r="D11" i="102" s="1"/>
  <c r="F11" i="102" s="1"/>
  <c r="C12" i="102"/>
  <c r="D12" i="102" s="1"/>
  <c r="F12" i="102" s="1"/>
  <c r="C13" i="102"/>
  <c r="D13" i="102" s="1"/>
  <c r="F13" i="102" s="1"/>
  <c r="C14" i="102"/>
  <c r="D14" i="102" s="1"/>
  <c r="F14" i="102" s="1"/>
  <c r="C15" i="102"/>
  <c r="D15" i="102" s="1"/>
  <c r="F15" i="102" s="1"/>
  <c r="C16" i="102"/>
  <c r="D16" i="102" s="1"/>
  <c r="F16" i="102" s="1"/>
  <c r="C17" i="102"/>
  <c r="D17" i="102" s="1"/>
  <c r="F17" i="102" s="1"/>
  <c r="C7" i="102"/>
  <c r="D7" i="102" s="1"/>
  <c r="F7" i="102" s="1"/>
  <c r="E24" i="88"/>
  <c r="E25" i="88"/>
  <c r="J26" i="88"/>
  <c r="J27" i="88"/>
  <c r="K27" i="88"/>
  <c r="L27" i="88"/>
  <c r="M27" i="88"/>
  <c r="E28" i="88"/>
  <c r="J28" i="88"/>
  <c r="K28" i="88"/>
  <c r="L28" i="88"/>
  <c r="M28" i="88"/>
  <c r="E29" i="88"/>
  <c r="J29" i="88"/>
  <c r="K29" i="88"/>
  <c r="L29" i="88"/>
  <c r="M29" i="88"/>
  <c r="J30" i="88"/>
  <c r="K30" i="88"/>
  <c r="L30" i="88"/>
  <c r="M30" i="88"/>
  <c r="J31" i="88"/>
  <c r="K31" i="88"/>
  <c r="L31" i="88"/>
  <c r="M31" i="88"/>
  <c r="E33" i="88"/>
  <c r="J32" i="88"/>
  <c r="K32" i="88"/>
  <c r="L32" i="88"/>
  <c r="M32" i="88"/>
  <c r="J33" i="88"/>
  <c r="K33" i="88"/>
  <c r="L33" i="88"/>
  <c r="M33" i="88"/>
  <c r="I7" i="102" l="1"/>
  <c r="M7" i="102" s="1"/>
  <c r="J7" i="102"/>
  <c r="M8" i="102" s="1"/>
  <c r="H7" i="102"/>
  <c r="M6" i="102" s="1"/>
  <c r="H15" i="102"/>
  <c r="M30" i="102" s="1"/>
  <c r="I15" i="102"/>
  <c r="M31" i="102" s="1"/>
  <c r="J15" i="102"/>
  <c r="M32" i="102" s="1"/>
  <c r="I17" i="102"/>
  <c r="M37" i="102" s="1"/>
  <c r="J17" i="102"/>
  <c r="M38" i="102" s="1"/>
  <c r="H17" i="102"/>
  <c r="M36" i="102" s="1"/>
  <c r="I13" i="102"/>
  <c r="M25" i="102" s="1"/>
  <c r="J13" i="102"/>
  <c r="M26" i="102" s="1"/>
  <c r="H13" i="102"/>
  <c r="M24" i="102" s="1"/>
  <c r="I9" i="102"/>
  <c r="M13" i="102" s="1"/>
  <c r="J9" i="102"/>
  <c r="M14" i="102" s="1"/>
  <c r="H9" i="102"/>
  <c r="M12" i="102" s="1"/>
  <c r="H16" i="102"/>
  <c r="M33" i="102" s="1"/>
  <c r="I16" i="102"/>
  <c r="M34" i="102" s="1"/>
  <c r="J16" i="102"/>
  <c r="M35" i="102" s="1"/>
  <c r="H12" i="102"/>
  <c r="M21" i="102" s="1"/>
  <c r="I12" i="102"/>
  <c r="M22" i="102" s="1"/>
  <c r="J12" i="102"/>
  <c r="M23" i="102" s="1"/>
  <c r="H8" i="102"/>
  <c r="M9" i="102" s="1"/>
  <c r="J8" i="102"/>
  <c r="M11" i="102" s="1"/>
  <c r="I8" i="102"/>
  <c r="M10" i="102" s="1"/>
  <c r="H11" i="102"/>
  <c r="M18" i="102" s="1"/>
  <c r="I11" i="102"/>
  <c r="M19" i="102" s="1"/>
  <c r="J11" i="102"/>
  <c r="M20" i="102" s="1"/>
  <c r="J14" i="102"/>
  <c r="M29" i="102" s="1"/>
  <c r="H14" i="102"/>
  <c r="M27" i="102" s="1"/>
  <c r="I14" i="102"/>
  <c r="M28" i="102" s="1"/>
  <c r="J10" i="102"/>
  <c r="M17" i="102" s="1"/>
  <c r="H10" i="102"/>
  <c r="M15" i="102" s="1"/>
  <c r="I10" i="102"/>
  <c r="M16" i="102" s="1"/>
  <c r="J18" i="102"/>
  <c r="M41" i="102" s="1"/>
  <c r="H18" i="102"/>
  <c r="M39" i="102" s="1"/>
  <c r="I18" i="102"/>
  <c r="M40" i="102" s="1"/>
  <c r="E32" i="88"/>
  <c r="E30" i="88"/>
  <c r="E31" i="88"/>
  <c r="E27" i="88"/>
  <c r="E26" i="88"/>
  <c r="X6" i="81" l="1"/>
  <c r="X7" i="81"/>
  <c r="X8" i="81"/>
  <c r="X9" i="81"/>
  <c r="X10" i="81"/>
  <c r="X11" i="81"/>
  <c r="X12" i="81"/>
  <c r="X13" i="81"/>
  <c r="X14" i="81"/>
  <c r="X15" i="81"/>
  <c r="X16" i="81"/>
  <c r="X17" i="81"/>
  <c r="X18" i="81"/>
  <c r="X19" i="81"/>
  <c r="X20" i="81"/>
  <c r="X21" i="81"/>
  <c r="X22" i="81"/>
  <c r="X23" i="81"/>
  <c r="X24" i="81"/>
  <c r="X25" i="81"/>
  <c r="X26" i="81"/>
  <c r="X27" i="81"/>
  <c r="X28" i="81"/>
  <c r="X29" i="81"/>
  <c r="X30" i="81"/>
  <c r="X31" i="81"/>
  <c r="X32" i="81"/>
  <c r="X33" i="81"/>
  <c r="X34" i="81"/>
  <c r="X35" i="81"/>
  <c r="X36" i="81"/>
  <c r="X37" i="81"/>
  <c r="X38" i="81"/>
  <c r="X39" i="81"/>
  <c r="X40" i="81"/>
  <c r="X41" i="81"/>
  <c r="X42" i="81"/>
  <c r="X43" i="81"/>
  <c r="X44" i="81"/>
  <c r="X45" i="81"/>
  <c r="X46" i="81"/>
  <c r="X47" i="81"/>
  <c r="X48" i="81"/>
  <c r="X49" i="81"/>
  <c r="X50" i="81"/>
  <c r="X51" i="81"/>
  <c r="X52" i="81"/>
  <c r="X53" i="81"/>
  <c r="X54" i="81"/>
  <c r="X55" i="81"/>
  <c r="X56" i="81"/>
  <c r="X57" i="81"/>
  <c r="X58" i="81"/>
  <c r="X59" i="81"/>
  <c r="X60" i="81"/>
  <c r="X61" i="81"/>
  <c r="X62" i="81"/>
  <c r="X63" i="81"/>
  <c r="X64" i="81"/>
  <c r="X65" i="81"/>
  <c r="X66" i="81"/>
  <c r="X67" i="81"/>
  <c r="X68" i="81"/>
  <c r="X69" i="81"/>
  <c r="X70" i="81"/>
  <c r="X71" i="81"/>
  <c r="X72" i="81"/>
  <c r="X73" i="81"/>
  <c r="X74" i="81"/>
  <c r="X75" i="81"/>
  <c r="X76" i="81"/>
  <c r="X77" i="81"/>
  <c r="X78" i="81"/>
  <c r="X79" i="81"/>
  <c r="X80" i="81"/>
  <c r="X81" i="81"/>
  <c r="X82" i="81"/>
  <c r="X83" i="81"/>
  <c r="X84" i="81"/>
  <c r="X85" i="81"/>
  <c r="X86" i="81"/>
  <c r="X87" i="81"/>
  <c r="X88" i="81"/>
  <c r="X89" i="81"/>
  <c r="X90" i="81"/>
  <c r="X91" i="81"/>
  <c r="X92" i="81"/>
  <c r="X93" i="81"/>
  <c r="X94" i="81"/>
  <c r="X95" i="81"/>
  <c r="X96" i="81"/>
  <c r="X97" i="81"/>
  <c r="X98" i="81"/>
  <c r="X99" i="81"/>
  <c r="X100" i="81"/>
  <c r="X101" i="81"/>
  <c r="X102" i="81"/>
  <c r="X103" i="81"/>
  <c r="X104" i="81"/>
  <c r="X105" i="81"/>
  <c r="X106" i="81"/>
  <c r="X107" i="81"/>
  <c r="X108" i="81"/>
  <c r="X109" i="81"/>
  <c r="X110" i="81"/>
  <c r="X111" i="81"/>
  <c r="X112" i="81"/>
  <c r="X113" i="81"/>
  <c r="X114" i="81"/>
  <c r="X115" i="81"/>
  <c r="X116" i="81"/>
  <c r="X117" i="81"/>
  <c r="X118" i="81"/>
  <c r="X119" i="81"/>
  <c r="X120" i="81"/>
  <c r="X121" i="81"/>
  <c r="X122" i="81"/>
  <c r="X123" i="81"/>
  <c r="X124" i="81"/>
  <c r="X125" i="81"/>
  <c r="X126" i="81"/>
  <c r="X127" i="81"/>
  <c r="X128" i="81"/>
  <c r="X129" i="81"/>
  <c r="X130" i="81"/>
  <c r="X131" i="81"/>
  <c r="X132" i="81"/>
  <c r="X133" i="81"/>
  <c r="X134" i="81"/>
  <c r="X135" i="81"/>
  <c r="X136" i="81"/>
  <c r="X137" i="81"/>
  <c r="X138" i="81"/>
  <c r="X139" i="81"/>
  <c r="X140" i="81"/>
  <c r="X141" i="81"/>
  <c r="X142" i="81"/>
  <c r="X143" i="81"/>
  <c r="X144" i="81"/>
  <c r="X145" i="81"/>
  <c r="X146" i="81"/>
  <c r="X147" i="81"/>
  <c r="X148" i="81"/>
  <c r="X149" i="81"/>
  <c r="X150" i="81"/>
  <c r="X151" i="81"/>
  <c r="X152" i="81"/>
  <c r="X153" i="81"/>
  <c r="X154" i="81"/>
  <c r="X5" i="81"/>
  <c r="R376" i="81" l="1"/>
  <c r="R361" i="81"/>
  <c r="R347" i="81"/>
  <c r="R333" i="81"/>
  <c r="R319" i="81"/>
  <c r="R305" i="81"/>
  <c r="R291" i="81"/>
  <c r="R277" i="81"/>
  <c r="R263" i="81"/>
  <c r="R249" i="81"/>
  <c r="R235" i="81"/>
  <c r="R221" i="81"/>
  <c r="R207" i="81"/>
  <c r="R192" i="81"/>
  <c r="R178" i="81"/>
  <c r="R164" i="81"/>
  <c r="R150" i="81"/>
  <c r="R136" i="81"/>
  <c r="R122" i="81"/>
  <c r="R109" i="81"/>
  <c r="R96" i="81"/>
  <c r="R83" i="81"/>
  <c r="R69" i="81"/>
  <c r="R55" i="81"/>
  <c r="N384" i="81"/>
  <c r="O384" i="81" s="1"/>
  <c r="N369" i="81"/>
  <c r="O369" i="81" s="1"/>
  <c r="N355" i="81"/>
  <c r="O355" i="81" s="1"/>
  <c r="N341" i="81"/>
  <c r="O341" i="81" s="1"/>
  <c r="N327" i="81"/>
  <c r="O327" i="81" s="1"/>
  <c r="N313" i="81"/>
  <c r="O313" i="81" s="1"/>
  <c r="N299" i="81"/>
  <c r="O299" i="81" s="1"/>
  <c r="N285" i="81"/>
  <c r="O285" i="81" s="1"/>
  <c r="N271" i="81"/>
  <c r="O271" i="81" s="1"/>
  <c r="N257" i="81"/>
  <c r="O257" i="81" s="1"/>
  <c r="N243" i="81"/>
  <c r="O243" i="81" s="1"/>
  <c r="N229" i="81"/>
  <c r="O229" i="81" s="1"/>
  <c r="N215" i="81"/>
  <c r="O215" i="81" s="1"/>
  <c r="N200" i="81"/>
  <c r="O200" i="81" s="1"/>
  <c r="N186" i="81"/>
  <c r="O186" i="81" s="1"/>
  <c r="N172" i="81"/>
  <c r="O172" i="81" s="1"/>
  <c r="N158" i="81"/>
  <c r="O158" i="81" s="1"/>
  <c r="N144" i="81"/>
  <c r="O144" i="81" s="1"/>
  <c r="N130" i="81"/>
  <c r="O130" i="81" s="1"/>
  <c r="N117" i="81"/>
  <c r="O117" i="81" s="1"/>
  <c r="N104" i="81"/>
  <c r="O104" i="81" s="1"/>
  <c r="N91" i="81"/>
  <c r="O91" i="81" s="1"/>
  <c r="N77" i="81"/>
  <c r="O77" i="81" s="1"/>
  <c r="N63" i="81"/>
  <c r="O63" i="81" s="1"/>
  <c r="N50" i="81"/>
  <c r="O50" i="81" s="1"/>
  <c r="N37" i="81"/>
  <c r="O37" i="81" s="1"/>
  <c r="O11" i="81"/>
  <c r="O383" i="81"/>
  <c r="N382" i="81"/>
  <c r="N381" i="81"/>
  <c r="N380" i="81"/>
  <c r="N379" i="81"/>
  <c r="O368" i="81"/>
  <c r="N367" i="81"/>
  <c r="N366" i="81"/>
  <c r="N365" i="81"/>
  <c r="N364" i="81"/>
  <c r="O354" i="81"/>
  <c r="N353" i="81"/>
  <c r="N352" i="81"/>
  <c r="N351" i="81"/>
  <c r="N350" i="81"/>
  <c r="O340" i="81"/>
  <c r="N339" i="81"/>
  <c r="N338" i="81"/>
  <c r="N337" i="81"/>
  <c r="N336" i="81"/>
  <c r="O326" i="81" l="1"/>
  <c r="N325" i="81"/>
  <c r="N324" i="81"/>
  <c r="N323" i="81"/>
  <c r="N322" i="81"/>
  <c r="O312" i="81"/>
  <c r="N311" i="81"/>
  <c r="N310" i="81"/>
  <c r="N309" i="81"/>
  <c r="N308" i="81"/>
  <c r="O298" i="81"/>
  <c r="N297" i="81"/>
  <c r="N296" i="81"/>
  <c r="N295" i="81"/>
  <c r="N294" i="81"/>
  <c r="O284" i="81"/>
  <c r="N283" i="81"/>
  <c r="N282" i="81"/>
  <c r="N281" i="81"/>
  <c r="N280" i="81"/>
  <c r="E5" i="83" l="1"/>
  <c r="O199" i="81" l="1"/>
  <c r="N198" i="81"/>
  <c r="N197" i="81"/>
  <c r="N196" i="81"/>
  <c r="N195" i="81"/>
  <c r="O185" i="81"/>
  <c r="N184" i="81"/>
  <c r="N183" i="81"/>
  <c r="N182" i="81"/>
  <c r="N181" i="81"/>
  <c r="O171" i="81"/>
  <c r="N170" i="81"/>
  <c r="N169" i="81"/>
  <c r="N168" i="81"/>
  <c r="N167" i="81"/>
  <c r="O157" i="81"/>
  <c r="N156" i="81"/>
  <c r="N155" i="81"/>
  <c r="N154" i="81"/>
  <c r="N153" i="81"/>
  <c r="O143" i="81"/>
  <c r="N142" i="81"/>
  <c r="N141" i="81"/>
  <c r="N140" i="81"/>
  <c r="N139" i="81"/>
  <c r="O129" i="81"/>
  <c r="N128" i="81"/>
  <c r="N127" i="81"/>
  <c r="N126" i="81"/>
  <c r="N125" i="81"/>
  <c r="O116" i="81"/>
  <c r="N115" i="81"/>
  <c r="N114" i="81"/>
  <c r="N113" i="81"/>
  <c r="N112" i="81"/>
  <c r="O103" i="81"/>
  <c r="N102" i="81"/>
  <c r="N101" i="81"/>
  <c r="N100" i="81"/>
  <c r="N99" i="81"/>
  <c r="O90" i="81"/>
  <c r="N89" i="81"/>
  <c r="N88" i="81"/>
  <c r="N87" i="81"/>
  <c r="N86" i="81"/>
  <c r="O76" i="81"/>
  <c r="N75" i="81"/>
  <c r="N74" i="81"/>
  <c r="N73" i="81"/>
  <c r="N72" i="81"/>
  <c r="O62" i="81"/>
  <c r="N61" i="81"/>
  <c r="N60" i="81"/>
  <c r="N59" i="81"/>
  <c r="N58" i="81"/>
  <c r="O49" i="81"/>
  <c r="N48" i="81"/>
  <c r="N47" i="81"/>
  <c r="N46" i="81"/>
  <c r="N45" i="81"/>
  <c r="O36" i="81"/>
  <c r="N35" i="81"/>
  <c r="N34" i="81"/>
  <c r="N33" i="81"/>
  <c r="N32" i="81"/>
  <c r="O23" i="81"/>
  <c r="N22" i="81"/>
  <c r="N21" i="81"/>
  <c r="N20" i="81"/>
  <c r="N19" i="81"/>
  <c r="P7" i="95" l="1"/>
  <c r="P8" i="95"/>
  <c r="P9" i="95"/>
  <c r="P10" i="95"/>
  <c r="P11" i="95"/>
  <c r="P12" i="95"/>
  <c r="P13" i="95"/>
  <c r="P14" i="95"/>
  <c r="P15" i="95"/>
  <c r="P16" i="95"/>
  <c r="P6" i="95"/>
  <c r="BJ5" i="85" l="1"/>
  <c r="BJ6" i="85"/>
  <c r="BJ7" i="85"/>
  <c r="BJ8" i="85"/>
  <c r="BJ9" i="85"/>
  <c r="BJ10" i="85"/>
  <c r="BJ11" i="85"/>
  <c r="BJ12" i="85"/>
  <c r="BJ13" i="85"/>
  <c r="BJ14" i="85"/>
  <c r="BJ15" i="85"/>
  <c r="BJ16" i="85"/>
  <c r="BJ17" i="85"/>
  <c r="BJ18" i="85"/>
  <c r="BJ19" i="85"/>
  <c r="BJ20" i="85"/>
  <c r="BJ21" i="85"/>
  <c r="BJ22" i="85"/>
  <c r="BJ23" i="85"/>
  <c r="BJ4" i="85"/>
  <c r="BF4" i="85" l="1"/>
  <c r="BF5" i="85"/>
  <c r="BF6" i="85"/>
  <c r="BF7" i="85"/>
  <c r="BF8" i="85"/>
  <c r="BF9" i="85"/>
  <c r="BF10" i="85"/>
  <c r="BF11" i="85"/>
  <c r="BF12" i="85"/>
  <c r="BF13" i="85"/>
  <c r="BF14" i="85"/>
  <c r="BF15" i="85"/>
  <c r="BF16" i="85"/>
  <c r="BF17" i="85"/>
  <c r="BF18" i="85"/>
  <c r="BF19" i="85"/>
  <c r="BF20" i="85"/>
  <c r="BF21" i="85"/>
  <c r="BF22" i="85"/>
  <c r="BF23" i="85"/>
  <c r="B166" i="89" l="1"/>
  <c r="G166" i="89" s="1"/>
  <c r="B167" i="89"/>
  <c r="H167" i="89" s="1"/>
  <c r="B168" i="89"/>
  <c r="F168" i="89" s="1"/>
  <c r="B169" i="89"/>
  <c r="I169" i="89" s="1"/>
  <c r="K169" i="89" l="1"/>
  <c r="F169" i="89"/>
  <c r="M166" i="89"/>
  <c r="O169" i="89"/>
  <c r="J169" i="89"/>
  <c r="M168" i="89"/>
  <c r="J166" i="89"/>
  <c r="N169" i="89"/>
  <c r="H169" i="89"/>
  <c r="I168" i="89"/>
  <c r="I166" i="89"/>
  <c r="L169" i="89"/>
  <c r="G169" i="89"/>
  <c r="N166" i="89"/>
  <c r="F166" i="89"/>
  <c r="K167" i="89"/>
  <c r="L168" i="89"/>
  <c r="H168" i="89"/>
  <c r="N167" i="89"/>
  <c r="J167" i="89"/>
  <c r="F167" i="89"/>
  <c r="L166" i="89"/>
  <c r="H166" i="89"/>
  <c r="M169" i="89"/>
  <c r="O168" i="89"/>
  <c r="K168" i="89"/>
  <c r="G168" i="89"/>
  <c r="M167" i="89"/>
  <c r="I167" i="89"/>
  <c r="O166" i="89"/>
  <c r="K166" i="89"/>
  <c r="O167" i="89"/>
  <c r="G167" i="89"/>
  <c r="N168" i="89"/>
  <c r="J168" i="89"/>
  <c r="L167" i="89"/>
  <c r="DK6" i="82"/>
  <c r="EB6" i="82" s="1"/>
  <c r="DK7" i="82"/>
  <c r="EB7" i="82" s="1"/>
  <c r="DK8" i="82"/>
  <c r="EB8" i="82" s="1"/>
  <c r="DK9" i="82"/>
  <c r="EB9" i="82" s="1"/>
  <c r="DK10" i="82"/>
  <c r="EB10" i="82" s="1"/>
  <c r="DK11" i="82"/>
  <c r="EB11" i="82" s="1"/>
  <c r="DK12" i="82"/>
  <c r="EB12" i="82" s="1"/>
  <c r="DK13" i="82"/>
  <c r="EB13" i="82" s="1"/>
  <c r="DK14" i="82"/>
  <c r="EB14" i="82" s="1"/>
  <c r="DK15" i="82"/>
  <c r="EB15" i="82" s="1"/>
  <c r="DK16" i="82"/>
  <c r="EB16" i="82" s="1"/>
  <c r="DK17" i="82"/>
  <c r="EB17" i="82" s="1"/>
  <c r="DK18" i="82"/>
  <c r="EB18" i="82" s="1"/>
  <c r="DK19" i="82"/>
  <c r="EB19" i="82" s="1"/>
  <c r="DK20" i="82"/>
  <c r="EB20" i="82" s="1"/>
  <c r="DK21" i="82"/>
  <c r="EB21" i="82" s="1"/>
  <c r="DK22" i="82"/>
  <c r="EB22" i="82" s="1"/>
  <c r="DK23" i="82"/>
  <c r="EB23" i="82" s="1"/>
  <c r="DK24" i="82"/>
  <c r="EB24" i="82" s="1"/>
  <c r="DK25" i="82"/>
  <c r="EB25" i="82" s="1"/>
  <c r="DK26" i="82"/>
  <c r="EB26" i="82" s="1"/>
  <c r="DK27" i="82"/>
  <c r="EB27" i="82" s="1"/>
  <c r="DK28" i="82"/>
  <c r="EB28" i="82" s="1"/>
  <c r="DK29" i="82"/>
  <c r="EB29" i="82" s="1"/>
  <c r="DK30" i="82"/>
  <c r="EB30" i="82" s="1"/>
  <c r="DK31" i="82"/>
  <c r="EB31" i="82" s="1"/>
  <c r="DK32" i="82"/>
  <c r="EB32" i="82" s="1"/>
  <c r="DK33" i="82"/>
  <c r="EB33" i="82" s="1"/>
  <c r="DK34" i="82"/>
  <c r="EB34" i="82" s="1"/>
  <c r="DK35" i="82"/>
  <c r="EB35" i="82" s="1"/>
  <c r="DK36" i="82"/>
  <c r="EB36" i="82" s="1"/>
  <c r="DK37" i="82"/>
  <c r="EB37" i="82" s="1"/>
  <c r="DK38" i="82"/>
  <c r="EB38" i="82" s="1"/>
  <c r="DK39" i="82"/>
  <c r="EB39" i="82" s="1"/>
  <c r="DK40" i="82"/>
  <c r="EB40" i="82" s="1"/>
  <c r="DK41" i="82"/>
  <c r="EB41" i="82" s="1"/>
  <c r="DK42" i="82"/>
  <c r="EB42" i="82" s="1"/>
  <c r="DK43" i="82"/>
  <c r="EB43" i="82" s="1"/>
  <c r="DK44" i="82"/>
  <c r="EB44" i="82" s="1"/>
  <c r="DK45" i="82"/>
  <c r="EB45" i="82" s="1"/>
  <c r="DK46" i="82"/>
  <c r="EB46" i="82" s="1"/>
  <c r="DK47" i="82"/>
  <c r="EB47" i="82" s="1"/>
  <c r="DK48" i="82"/>
  <c r="EB48" i="82" s="1"/>
  <c r="DK49" i="82"/>
  <c r="EB49" i="82" s="1"/>
  <c r="DK50" i="82"/>
  <c r="EB50" i="82" s="1"/>
  <c r="DK51" i="82"/>
  <c r="EB51" i="82" s="1"/>
  <c r="DK52" i="82"/>
  <c r="EB52" i="82" s="1"/>
  <c r="DK53" i="82"/>
  <c r="EB53" i="82" s="1"/>
  <c r="DK54" i="82"/>
  <c r="EB54" i="82" s="1"/>
  <c r="DK55" i="82"/>
  <c r="EB55" i="82" s="1"/>
  <c r="DK56" i="82"/>
  <c r="EB56" i="82" s="1"/>
  <c r="DK57" i="82"/>
  <c r="EB57" i="82" s="1"/>
  <c r="DK58" i="82"/>
  <c r="EB58" i="82" s="1"/>
  <c r="DK59" i="82"/>
  <c r="EB59" i="82" s="1"/>
  <c r="DK60" i="82"/>
  <c r="EB60" i="82" s="1"/>
  <c r="DK61" i="82"/>
  <c r="EB61" i="82" s="1"/>
  <c r="DK62" i="82"/>
  <c r="EB62" i="82" s="1"/>
  <c r="DK63" i="82"/>
  <c r="EB63" i="82" s="1"/>
  <c r="DK64" i="82"/>
  <c r="EB64" i="82" s="1"/>
  <c r="DK65" i="82"/>
  <c r="EB65" i="82" s="1"/>
  <c r="DK66" i="82"/>
  <c r="EB66" i="82" s="1"/>
  <c r="DK67" i="82"/>
  <c r="EB67" i="82" s="1"/>
  <c r="DK68" i="82"/>
  <c r="EB68" i="82" s="1"/>
  <c r="DK69" i="82"/>
  <c r="EB69" i="82" s="1"/>
  <c r="DK70" i="82"/>
  <c r="EB70" i="82" s="1"/>
  <c r="DK71" i="82"/>
  <c r="EB71" i="82" s="1"/>
  <c r="DK72" i="82"/>
  <c r="EB72" i="82" s="1"/>
  <c r="DK73" i="82"/>
  <c r="EB73" i="82" s="1"/>
  <c r="DK74" i="82"/>
  <c r="EB74" i="82" s="1"/>
  <c r="DK75" i="82"/>
  <c r="EB75" i="82" s="1"/>
  <c r="DK76" i="82"/>
  <c r="EB76" i="82" s="1"/>
  <c r="DK77" i="82"/>
  <c r="EB77" i="82" s="1"/>
  <c r="DK78" i="82"/>
  <c r="EB78" i="82" s="1"/>
  <c r="DK79" i="82"/>
  <c r="EB79" i="82" s="1"/>
  <c r="DK80" i="82"/>
  <c r="EB80" i="82" s="1"/>
  <c r="DK81" i="82"/>
  <c r="EB81" i="82" s="1"/>
  <c r="DK82" i="82"/>
  <c r="EB82" i="82" s="1"/>
  <c r="DK83" i="82"/>
  <c r="EB83" i="82" s="1"/>
  <c r="DK84" i="82"/>
  <c r="EB84" i="82" s="1"/>
  <c r="DK85" i="82"/>
  <c r="EB85" i="82" s="1"/>
  <c r="DK86" i="82"/>
  <c r="EB86" i="82" s="1"/>
  <c r="DK87" i="82"/>
  <c r="EB87" i="82" s="1"/>
  <c r="EB90" i="82" s="1"/>
  <c r="EB93" i="82" s="1"/>
  <c r="DK88" i="82"/>
  <c r="EB88" i="82" s="1"/>
  <c r="EB91" i="82" s="1"/>
  <c r="EB94" i="82" s="1"/>
  <c r="DK89" i="82"/>
  <c r="DK90" i="82"/>
  <c r="DK91" i="82"/>
  <c r="DK92" i="82"/>
  <c r="DK93" i="82"/>
  <c r="DK94" i="82"/>
  <c r="DK5" i="82"/>
  <c r="CY6" i="82"/>
  <c r="DA6" i="82" s="1"/>
  <c r="CY7" i="82"/>
  <c r="DA7" i="82" s="1"/>
  <c r="CY8" i="82"/>
  <c r="DA8" i="82" s="1"/>
  <c r="CY9" i="82"/>
  <c r="DA9" i="82" s="1"/>
  <c r="CY10" i="82"/>
  <c r="DA10" i="82" s="1"/>
  <c r="CY11" i="82"/>
  <c r="DA11" i="82" s="1"/>
  <c r="CY12" i="82"/>
  <c r="DA12" i="82" s="1"/>
  <c r="CY13" i="82"/>
  <c r="DA13" i="82" s="1"/>
  <c r="CY14" i="82"/>
  <c r="DA14" i="82" s="1"/>
  <c r="CY15" i="82"/>
  <c r="DA15" i="82" s="1"/>
  <c r="CY16" i="82"/>
  <c r="DA16" i="82" s="1"/>
  <c r="CY17" i="82"/>
  <c r="DA17" i="82" s="1"/>
  <c r="CY18" i="82"/>
  <c r="DA18" i="82" s="1"/>
  <c r="CY19" i="82"/>
  <c r="DA19" i="82" s="1"/>
  <c r="CY20" i="82"/>
  <c r="DA20" i="82" s="1"/>
  <c r="CY21" i="82"/>
  <c r="DA21" i="82" s="1"/>
  <c r="CY22" i="82"/>
  <c r="DA22" i="82" s="1"/>
  <c r="CY23" i="82"/>
  <c r="DA23" i="82" s="1"/>
  <c r="CY24" i="82"/>
  <c r="DA24" i="82" s="1"/>
  <c r="CY25" i="82"/>
  <c r="DA25" i="82" s="1"/>
  <c r="CY26" i="82"/>
  <c r="DA26" i="82" s="1"/>
  <c r="CY27" i="82"/>
  <c r="DA27" i="82" s="1"/>
  <c r="CY28" i="82"/>
  <c r="DA28" i="82" s="1"/>
  <c r="CY29" i="82"/>
  <c r="DA29" i="82" s="1"/>
  <c r="CY30" i="82"/>
  <c r="DA30" i="82" s="1"/>
  <c r="CY31" i="82"/>
  <c r="DA31" i="82" s="1"/>
  <c r="CY32" i="82"/>
  <c r="DA32" i="82" s="1"/>
  <c r="CY33" i="82"/>
  <c r="DA33" i="82" s="1"/>
  <c r="CY34" i="82"/>
  <c r="DA34" i="82" s="1"/>
  <c r="CY35" i="82"/>
  <c r="DA35" i="82" s="1"/>
  <c r="CY36" i="82"/>
  <c r="DA36" i="82" s="1"/>
  <c r="CY37" i="82"/>
  <c r="DA37" i="82" s="1"/>
  <c r="CY38" i="82"/>
  <c r="DA38" i="82" s="1"/>
  <c r="CY39" i="82"/>
  <c r="DA39" i="82" s="1"/>
  <c r="CY40" i="82"/>
  <c r="DA40" i="82" s="1"/>
  <c r="CY41" i="82"/>
  <c r="DA41" i="82" s="1"/>
  <c r="CY42" i="82"/>
  <c r="DA42" i="82" s="1"/>
  <c r="CY43" i="82"/>
  <c r="DA43" i="82" s="1"/>
  <c r="CY44" i="82"/>
  <c r="DA44" i="82" s="1"/>
  <c r="CY45" i="82"/>
  <c r="DA45" i="82" s="1"/>
  <c r="CY46" i="82"/>
  <c r="DA46" i="82" s="1"/>
  <c r="CY47" i="82"/>
  <c r="DA47" i="82" s="1"/>
  <c r="CY48" i="82"/>
  <c r="DA48" i="82" s="1"/>
  <c r="CY49" i="82"/>
  <c r="DA49" i="82" s="1"/>
  <c r="CY50" i="82"/>
  <c r="DA50" i="82" s="1"/>
  <c r="CY51" i="82"/>
  <c r="DA51" i="82" s="1"/>
  <c r="CY52" i="82"/>
  <c r="DA52" i="82" s="1"/>
  <c r="CY53" i="82"/>
  <c r="DA53" i="82" s="1"/>
  <c r="CY54" i="82"/>
  <c r="DA54" i="82" s="1"/>
  <c r="CY55" i="82"/>
  <c r="DA55" i="82" s="1"/>
  <c r="CY56" i="82"/>
  <c r="DA56" i="82" s="1"/>
  <c r="CY57" i="82"/>
  <c r="DA57" i="82" s="1"/>
  <c r="CY58" i="82"/>
  <c r="DA58" i="82" s="1"/>
  <c r="CY59" i="82"/>
  <c r="DA59" i="82" s="1"/>
  <c r="CY60" i="82"/>
  <c r="DA60" i="82" s="1"/>
  <c r="CY61" i="82"/>
  <c r="DA61" i="82" s="1"/>
  <c r="CY62" i="82"/>
  <c r="DA62" i="82" s="1"/>
  <c r="CY63" i="82"/>
  <c r="DA63" i="82" s="1"/>
  <c r="CY64" i="82"/>
  <c r="DA64" i="82" s="1"/>
  <c r="CY65" i="82"/>
  <c r="DA65" i="82" s="1"/>
  <c r="CY66" i="82"/>
  <c r="DA66" i="82" s="1"/>
  <c r="CY67" i="82"/>
  <c r="DA67" i="82" s="1"/>
  <c r="CY68" i="82"/>
  <c r="DA68" i="82" s="1"/>
  <c r="CY69" i="82"/>
  <c r="DA69" i="82" s="1"/>
  <c r="CY70" i="82"/>
  <c r="DA70" i="82" s="1"/>
  <c r="CY71" i="82"/>
  <c r="DA71" i="82" s="1"/>
  <c r="CY72" i="82"/>
  <c r="DA72" i="82" s="1"/>
  <c r="CY73" i="82"/>
  <c r="DA73" i="82" s="1"/>
  <c r="CY74" i="82"/>
  <c r="DA74" i="82" s="1"/>
  <c r="CY75" i="82"/>
  <c r="DA75" i="82" s="1"/>
  <c r="CY76" i="82"/>
  <c r="DA76" i="82" s="1"/>
  <c r="CY77" i="82"/>
  <c r="DA77" i="82" s="1"/>
  <c r="CY78" i="82"/>
  <c r="DA78" i="82" s="1"/>
  <c r="CY79" i="82"/>
  <c r="DA79" i="82" s="1"/>
  <c r="CY80" i="82"/>
  <c r="DA80" i="82" s="1"/>
  <c r="CY81" i="82"/>
  <c r="DA81" i="82" s="1"/>
  <c r="CY82" i="82"/>
  <c r="DA82" i="82" s="1"/>
  <c r="CY83" i="82"/>
  <c r="DA83" i="82" s="1"/>
  <c r="CY84" i="82"/>
  <c r="DA84" i="82" s="1"/>
  <c r="CY85" i="82"/>
  <c r="DA85" i="82" s="1"/>
  <c r="CY86" i="82"/>
  <c r="DA86" i="82" s="1"/>
  <c r="CY87" i="82"/>
  <c r="DA87" i="82" s="1"/>
  <c r="CY88" i="82"/>
  <c r="DA88" i="82" s="1"/>
  <c r="CY89" i="82"/>
  <c r="DA89" i="82" s="1"/>
  <c r="CY90" i="82"/>
  <c r="DA90" i="82" s="1"/>
  <c r="CY91" i="82"/>
  <c r="DA91" i="82" s="1"/>
  <c r="CY92" i="82"/>
  <c r="DA92" i="82" s="1"/>
  <c r="CY93" i="82"/>
  <c r="DA93" i="82" s="1"/>
  <c r="CY94" i="82"/>
  <c r="DA94" i="82" s="1"/>
  <c r="CY5" i="82"/>
  <c r="AJ7" i="82"/>
  <c r="AJ8" i="82"/>
  <c r="AJ9" i="82"/>
  <c r="AH10" i="82"/>
  <c r="AJ10" i="82" s="1"/>
  <c r="AH11" i="82"/>
  <c r="AJ11" i="82" s="1"/>
  <c r="AH12" i="82"/>
  <c r="AJ12" i="82" s="1"/>
  <c r="AH13" i="82"/>
  <c r="AJ13" i="82" s="1"/>
  <c r="AH14" i="82"/>
  <c r="AJ14" i="82" s="1"/>
  <c r="AH15" i="82"/>
  <c r="AJ15" i="82" s="1"/>
  <c r="AH16" i="82"/>
  <c r="AJ16" i="82" s="1"/>
  <c r="AH17" i="82"/>
  <c r="AJ17" i="82" s="1"/>
  <c r="AH18" i="82"/>
  <c r="AJ18" i="82" s="1"/>
  <c r="AH19" i="82"/>
  <c r="AJ19" i="82" s="1"/>
  <c r="AH20" i="82"/>
  <c r="AJ20" i="82" s="1"/>
  <c r="AH21" i="82"/>
  <c r="AJ21" i="82" s="1"/>
  <c r="AH22" i="82"/>
  <c r="AJ22" i="82" s="1"/>
  <c r="AH23" i="82"/>
  <c r="AJ23" i="82" s="1"/>
  <c r="AH24" i="82"/>
  <c r="AJ24" i="82" s="1"/>
  <c r="AH25" i="82"/>
  <c r="AJ25" i="82" s="1"/>
  <c r="AH26" i="82"/>
  <c r="AJ26" i="82" s="1"/>
  <c r="AH27" i="82"/>
  <c r="AJ27" i="82" s="1"/>
  <c r="AH28" i="82"/>
  <c r="AJ28" i="82" s="1"/>
  <c r="AH29" i="82"/>
  <c r="AJ29" i="82" s="1"/>
  <c r="AH30" i="82"/>
  <c r="AJ30" i="82" s="1"/>
  <c r="AH31" i="82"/>
  <c r="EB89" i="82" l="1"/>
  <c r="AJ10" i="89"/>
  <c r="AK10" i="89"/>
  <c r="AK12" i="89" s="1"/>
  <c r="DU3" i="89" s="1"/>
  <c r="AN10" i="89"/>
  <c r="AN12" i="89" s="1"/>
  <c r="DX3" i="89" s="1"/>
  <c r="AL10" i="89"/>
  <c r="AL12" i="89" s="1"/>
  <c r="DV3" i="89" s="1"/>
  <c r="AM10" i="89"/>
  <c r="AM12" i="89" s="1"/>
  <c r="DW3" i="89" s="1"/>
  <c r="DT61" i="82"/>
  <c r="DX61" i="82" s="1"/>
  <c r="DT49" i="82"/>
  <c r="DX49" i="82" s="1"/>
  <c r="DT41" i="82"/>
  <c r="DX41" i="82" s="1"/>
  <c r="DT29" i="82"/>
  <c r="DX29" i="82" s="1"/>
  <c r="DT68" i="82"/>
  <c r="DX68" i="82" s="1"/>
  <c r="DT64" i="82"/>
  <c r="DX64" i="82" s="1"/>
  <c r="DT60" i="82"/>
  <c r="DX60" i="82" s="1"/>
  <c r="DT56" i="82"/>
  <c r="DX56" i="82" s="1"/>
  <c r="DT52" i="82"/>
  <c r="DX52" i="82" s="1"/>
  <c r="DT48" i="82"/>
  <c r="DX48" i="82" s="1"/>
  <c r="DT44" i="82"/>
  <c r="DX44" i="82" s="1"/>
  <c r="DT40" i="82"/>
  <c r="DX40" i="82" s="1"/>
  <c r="DT36" i="82"/>
  <c r="DX36" i="82" s="1"/>
  <c r="DT32" i="82"/>
  <c r="DX32" i="82" s="1"/>
  <c r="DT28" i="82"/>
  <c r="DX28" i="82" s="1"/>
  <c r="DT24" i="82"/>
  <c r="DX24" i="82" s="1"/>
  <c r="DT20" i="82"/>
  <c r="DX20" i="82" s="1"/>
  <c r="DT16" i="82"/>
  <c r="DX16" i="82" s="1"/>
  <c r="DT12" i="82"/>
  <c r="DX12" i="82" s="1"/>
  <c r="DT8" i="82"/>
  <c r="DX8" i="82" s="1"/>
  <c r="DT65" i="82"/>
  <c r="DX65" i="82" s="1"/>
  <c r="DT57" i="82"/>
  <c r="DX57" i="82" s="1"/>
  <c r="DT45" i="82"/>
  <c r="DX45" i="82" s="1"/>
  <c r="DT33" i="82"/>
  <c r="DX33" i="82" s="1"/>
  <c r="DT21" i="82"/>
  <c r="DX21" i="82" s="1"/>
  <c r="DT17" i="82"/>
  <c r="DX17" i="82" s="1"/>
  <c r="DT13" i="82"/>
  <c r="DX13" i="82" s="1"/>
  <c r="DT9" i="82"/>
  <c r="DX9" i="82" s="1"/>
  <c r="DT69" i="82"/>
  <c r="DX69" i="82" s="1"/>
  <c r="DT53" i="82"/>
  <c r="DX53" i="82" s="1"/>
  <c r="DT37" i="82"/>
  <c r="DX37" i="82" s="1"/>
  <c r="DT25" i="82"/>
  <c r="DX25" i="82" s="1"/>
  <c r="DT34" i="82"/>
  <c r="DX34" i="82" s="1"/>
  <c r="DT30" i="82"/>
  <c r="DX30" i="82" s="1"/>
  <c r="DT26" i="82"/>
  <c r="DX26" i="82" s="1"/>
  <c r="DT22" i="82"/>
  <c r="DX22" i="82" s="1"/>
  <c r="DT18" i="82"/>
  <c r="DX18" i="82" s="1"/>
  <c r="DT14" i="82"/>
  <c r="DX14" i="82" s="1"/>
  <c r="DT10" i="82"/>
  <c r="DX10" i="82" s="1"/>
  <c r="AJ31" i="82"/>
  <c r="AH32" i="82"/>
  <c r="DT93" i="82"/>
  <c r="DX93" i="82" s="1"/>
  <c r="DT89" i="82"/>
  <c r="DX89" i="82" s="1"/>
  <c r="DT85" i="82"/>
  <c r="DX85" i="82" s="1"/>
  <c r="DT81" i="82"/>
  <c r="DX81" i="82" s="1"/>
  <c r="DT77" i="82"/>
  <c r="DX77" i="82" s="1"/>
  <c r="DT73" i="82"/>
  <c r="DX73" i="82" s="1"/>
  <c r="DR69" i="82"/>
  <c r="DR65" i="82"/>
  <c r="DR57" i="82"/>
  <c r="DR45" i="82"/>
  <c r="DR33" i="82"/>
  <c r="DR21" i="82"/>
  <c r="DR17" i="82"/>
  <c r="DT92" i="82"/>
  <c r="DX92" i="82" s="1"/>
  <c r="DT88" i="82"/>
  <c r="DX88" i="82" s="1"/>
  <c r="DT84" i="82"/>
  <c r="DX84" i="82" s="1"/>
  <c r="DT80" i="82"/>
  <c r="DX80" i="82" s="1"/>
  <c r="DT76" i="82"/>
  <c r="DX76" i="82" s="1"/>
  <c r="DT72" i="82"/>
  <c r="DX72" i="82" s="1"/>
  <c r="DR68" i="82"/>
  <c r="DR64" i="82"/>
  <c r="DR56" i="82"/>
  <c r="DR52" i="82"/>
  <c r="DR40" i="82"/>
  <c r="DR36" i="82"/>
  <c r="DR24" i="82"/>
  <c r="DR20" i="82"/>
  <c r="DR16" i="82"/>
  <c r="DR8" i="82"/>
  <c r="DT5" i="82"/>
  <c r="DT91" i="82"/>
  <c r="DX91" i="82" s="1"/>
  <c r="DT87" i="82"/>
  <c r="DX87" i="82" s="1"/>
  <c r="DT83" i="82"/>
  <c r="DX83" i="82" s="1"/>
  <c r="DT79" i="82"/>
  <c r="DX79" i="82" s="1"/>
  <c r="DT94" i="82"/>
  <c r="DX94" i="82" s="1"/>
  <c r="DT90" i="82"/>
  <c r="DX90" i="82" s="1"/>
  <c r="DT86" i="82"/>
  <c r="DX86" i="82" s="1"/>
  <c r="DT82" i="82"/>
  <c r="DX82" i="82" s="1"/>
  <c r="DT78" i="82"/>
  <c r="DX78" i="82" s="1"/>
  <c r="DT74" i="82"/>
  <c r="DX74" i="82" s="1"/>
  <c r="DT70" i="82"/>
  <c r="DX70" i="82" s="1"/>
  <c r="DT66" i="82"/>
  <c r="DX66" i="82" s="1"/>
  <c r="DT62" i="82"/>
  <c r="DX62" i="82" s="1"/>
  <c r="DT58" i="82"/>
  <c r="DX58" i="82" s="1"/>
  <c r="DT54" i="82"/>
  <c r="DX54" i="82" s="1"/>
  <c r="DT50" i="82"/>
  <c r="DX50" i="82" s="1"/>
  <c r="DT46" i="82"/>
  <c r="DX46" i="82" s="1"/>
  <c r="DT42" i="82"/>
  <c r="DX42" i="82" s="1"/>
  <c r="DT38" i="82"/>
  <c r="DX38" i="82" s="1"/>
  <c r="DR22" i="82"/>
  <c r="DR14" i="82"/>
  <c r="DT6" i="82"/>
  <c r="DT75" i="82"/>
  <c r="DX75" i="82" s="1"/>
  <c r="DT71" i="82"/>
  <c r="DX71" i="82" s="1"/>
  <c r="DT67" i="82"/>
  <c r="DX67" i="82" s="1"/>
  <c r="DT63" i="82"/>
  <c r="DX63" i="82" s="1"/>
  <c r="DT59" i="82"/>
  <c r="DX59" i="82" s="1"/>
  <c r="DT55" i="82"/>
  <c r="DX55" i="82" s="1"/>
  <c r="DT51" i="82"/>
  <c r="DX51" i="82" s="1"/>
  <c r="DT47" i="82"/>
  <c r="DX47" i="82" s="1"/>
  <c r="DT43" i="82"/>
  <c r="DX43" i="82" s="1"/>
  <c r="DT39" i="82"/>
  <c r="DX39" i="82" s="1"/>
  <c r="DT35" i="82"/>
  <c r="DX35" i="82" s="1"/>
  <c r="DT31" i="82"/>
  <c r="DX31" i="82" s="1"/>
  <c r="DT27" i="82"/>
  <c r="DX27" i="82" s="1"/>
  <c r="DT23" i="82"/>
  <c r="DX23" i="82" s="1"/>
  <c r="DT19" i="82"/>
  <c r="DX19" i="82" s="1"/>
  <c r="DT15" i="82"/>
  <c r="DX15" i="82" s="1"/>
  <c r="DT11" i="82"/>
  <c r="DX11" i="82" s="1"/>
  <c r="DT7" i="82"/>
  <c r="EB92" i="82" l="1"/>
  <c r="DR30" i="82"/>
  <c r="DR48" i="82"/>
  <c r="DR32" i="82"/>
  <c r="DR12" i="82"/>
  <c r="DR28" i="82"/>
  <c r="DR44" i="82"/>
  <c r="DR60" i="82"/>
  <c r="DR41" i="82"/>
  <c r="DR13" i="82"/>
  <c r="DR37" i="82"/>
  <c r="DR29" i="82"/>
  <c r="DR49" i="82"/>
  <c r="DR10" i="82"/>
  <c r="DR26" i="82"/>
  <c r="DR53" i="82"/>
  <c r="DR9" i="82"/>
  <c r="DR25" i="82"/>
  <c r="DR18" i="82"/>
  <c r="DR34" i="82"/>
  <c r="DR61" i="82"/>
  <c r="AH33" i="82"/>
  <c r="AJ32" i="82"/>
  <c r="DX7" i="82"/>
  <c r="DR7" i="82"/>
  <c r="DR19" i="82"/>
  <c r="DR35" i="82"/>
  <c r="DR51" i="82"/>
  <c r="DR67" i="82"/>
  <c r="DR38" i="82"/>
  <c r="DR46" i="82"/>
  <c r="DR54" i="82"/>
  <c r="DR62" i="82"/>
  <c r="DR70" i="82"/>
  <c r="DR78" i="82"/>
  <c r="DR86" i="82"/>
  <c r="DR94" i="82"/>
  <c r="DR83" i="82"/>
  <c r="DR91" i="82"/>
  <c r="DR72" i="82"/>
  <c r="DR80" i="82"/>
  <c r="DR88" i="82"/>
  <c r="DR73" i="82"/>
  <c r="DR81" i="82"/>
  <c r="DR89" i="82"/>
  <c r="DR55" i="82"/>
  <c r="DR23" i="82"/>
  <c r="DR11" i="82"/>
  <c r="DR43" i="82"/>
  <c r="DR75" i="82"/>
  <c r="DR42" i="82"/>
  <c r="DR50" i="82"/>
  <c r="DR58" i="82"/>
  <c r="DR66" i="82"/>
  <c r="DR74" i="82"/>
  <c r="DR82" i="82"/>
  <c r="DR90" i="82"/>
  <c r="DR79" i="82"/>
  <c r="DR87" i="82"/>
  <c r="DX5" i="82"/>
  <c r="DR5" i="82"/>
  <c r="DR76" i="82"/>
  <c r="DR84" i="82"/>
  <c r="DR92" i="82"/>
  <c r="DR77" i="82"/>
  <c r="DR85" i="82"/>
  <c r="DR93" i="82"/>
  <c r="DR39" i="82"/>
  <c r="DR71" i="82"/>
  <c r="DR27" i="82"/>
  <c r="DR59" i="82"/>
  <c r="DR15" i="82"/>
  <c r="DR31" i="82"/>
  <c r="DR47" i="82"/>
  <c r="DR63" i="82"/>
  <c r="DX6" i="82"/>
  <c r="DR6" i="82"/>
  <c r="AH34" i="82" l="1"/>
  <c r="AH35" i="82" s="1"/>
  <c r="AJ33" i="82"/>
  <c r="AJ34" i="82" s="1"/>
  <c r="AJ35" i="82" s="1"/>
  <c r="F8" i="89"/>
  <c r="V8" i="89" l="1"/>
  <c r="Z8" i="89"/>
  <c r="AO9" i="89" s="1"/>
  <c r="AO12" i="89" s="1"/>
  <c r="DY3" i="89" s="1"/>
  <c r="ER6" i="89" s="1"/>
  <c r="AD8" i="89"/>
  <c r="AS9" i="89" s="1"/>
  <c r="AS12" i="89" s="1"/>
  <c r="EC3" i="89" s="1"/>
  <c r="AA8" i="89"/>
  <c r="AP9" i="89" s="1"/>
  <c r="AP12" i="89" s="1"/>
  <c r="DZ3" i="89" s="1"/>
  <c r="ES6" i="89" s="1"/>
  <c r="Y8" i="89"/>
  <c r="AC8" i="89"/>
  <c r="AR9" i="89" s="1"/>
  <c r="AR12" i="89" s="1"/>
  <c r="EB3" i="89" s="1"/>
  <c r="EU6" i="89" s="1"/>
  <c r="W8" i="89"/>
  <c r="X8" i="89"/>
  <c r="AB8" i="89"/>
  <c r="AQ9" i="89" s="1"/>
  <c r="AQ12" i="89" s="1"/>
  <c r="EA3" i="89" s="1"/>
  <c r="ET6" i="89" s="1"/>
  <c r="U8" i="89"/>
  <c r="AJ9" i="89" s="1"/>
  <c r="AJ12" i="89" s="1"/>
  <c r="DT3" i="89" s="1"/>
  <c r="AX38" i="89"/>
  <c r="R37" i="89" l="1"/>
  <c r="AF37" i="89" s="1"/>
  <c r="BT6" i="82" l="1"/>
  <c r="BT7" i="82"/>
  <c r="BT8" i="82"/>
  <c r="CB8" i="82" s="1"/>
  <c r="BT9" i="82"/>
  <c r="CB9" i="82" s="1"/>
  <c r="BT10" i="82"/>
  <c r="CB10" i="82" s="1"/>
  <c r="BT11" i="82"/>
  <c r="CB11" i="82" s="1"/>
  <c r="BT12" i="82"/>
  <c r="CB12" i="82" s="1"/>
  <c r="BT13" i="82"/>
  <c r="CB13" i="82" s="1"/>
  <c r="BT14" i="82"/>
  <c r="CB14" i="82" s="1"/>
  <c r="BT15" i="82"/>
  <c r="CB15" i="82" s="1"/>
  <c r="BT16" i="82"/>
  <c r="CB16" i="82" s="1"/>
  <c r="BT17" i="82"/>
  <c r="CB17" i="82" s="1"/>
  <c r="BT18" i="82"/>
  <c r="CB18" i="82" s="1"/>
  <c r="BT19" i="82"/>
  <c r="CB19" i="82" s="1"/>
  <c r="BT20" i="82"/>
  <c r="CB20" i="82" s="1"/>
  <c r="BT21" i="82"/>
  <c r="CB21" i="82" s="1"/>
  <c r="BT22" i="82"/>
  <c r="CB22" i="82" s="1"/>
  <c r="BT23" i="82"/>
  <c r="CB23" i="82" s="1"/>
  <c r="BT24" i="82"/>
  <c r="CB24" i="82" s="1"/>
  <c r="BT25" i="82"/>
  <c r="CB25" i="82" s="1"/>
  <c r="BT26" i="82"/>
  <c r="CB26" i="82" s="1"/>
  <c r="BT27" i="82"/>
  <c r="CB27" i="82" s="1"/>
  <c r="BT28" i="82"/>
  <c r="CB28" i="82" s="1"/>
  <c r="BT29" i="82"/>
  <c r="CB29" i="82" s="1"/>
  <c r="BT30" i="82"/>
  <c r="CB30" i="82" s="1"/>
  <c r="BT31" i="82"/>
  <c r="CB31" i="82" s="1"/>
  <c r="BT32" i="82"/>
  <c r="CB32" i="82" s="1"/>
  <c r="BT33" i="82"/>
  <c r="CB33" i="82" s="1"/>
  <c r="BT34" i="82"/>
  <c r="CB34" i="82" s="1"/>
  <c r="BT35" i="82"/>
  <c r="CB35" i="82" s="1"/>
  <c r="BT36" i="82"/>
  <c r="CB36" i="82" s="1"/>
  <c r="BT37" i="82"/>
  <c r="CB37" i="82" s="1"/>
  <c r="BT38" i="82"/>
  <c r="CB38" i="82" s="1"/>
  <c r="BT39" i="82"/>
  <c r="CB39" i="82" s="1"/>
  <c r="BT40" i="82"/>
  <c r="CB40" i="82" s="1"/>
  <c r="BT41" i="82"/>
  <c r="CB41" i="82" s="1"/>
  <c r="BT42" i="82"/>
  <c r="CB42" i="82" s="1"/>
  <c r="BT43" i="82"/>
  <c r="CB43" i="82" s="1"/>
  <c r="BT44" i="82"/>
  <c r="CB44" i="82" s="1"/>
  <c r="BT45" i="82"/>
  <c r="CB45" i="82" s="1"/>
  <c r="BT46" i="82"/>
  <c r="CB46" i="82" s="1"/>
  <c r="BT47" i="82"/>
  <c r="CB47" i="82" s="1"/>
  <c r="BT48" i="82"/>
  <c r="CB48" i="82" s="1"/>
  <c r="BT49" i="82"/>
  <c r="CB49" i="82" s="1"/>
  <c r="BT50" i="82"/>
  <c r="CB50" i="82" s="1"/>
  <c r="BT51" i="82"/>
  <c r="CB51" i="82" s="1"/>
  <c r="BT52" i="82"/>
  <c r="CB52" i="82" s="1"/>
  <c r="BT53" i="82"/>
  <c r="CB53" i="82" s="1"/>
  <c r="BT54" i="82"/>
  <c r="CB54" i="82" s="1"/>
  <c r="BT55" i="82"/>
  <c r="CB55" i="82" s="1"/>
  <c r="BT56" i="82"/>
  <c r="CB56" i="82" s="1"/>
  <c r="BT57" i="82"/>
  <c r="CB57" i="82" s="1"/>
  <c r="BT58" i="82"/>
  <c r="CB58" i="82" s="1"/>
  <c r="BT59" i="82"/>
  <c r="CB59" i="82" s="1"/>
  <c r="BT60" i="82"/>
  <c r="CB60" i="82" s="1"/>
  <c r="BT61" i="82"/>
  <c r="CB61" i="82" s="1"/>
  <c r="BT62" i="82"/>
  <c r="CB62" i="82" s="1"/>
  <c r="BT63" i="82"/>
  <c r="CB63" i="82" s="1"/>
  <c r="BT64" i="82"/>
  <c r="CB64" i="82" s="1"/>
  <c r="BT65" i="82"/>
  <c r="CB65" i="82" s="1"/>
  <c r="BT66" i="82"/>
  <c r="CB66" i="82" s="1"/>
  <c r="BT67" i="82"/>
  <c r="CB67" i="82" s="1"/>
  <c r="BT68" i="82"/>
  <c r="CB68" i="82" s="1"/>
  <c r="BT69" i="82"/>
  <c r="CB69" i="82" s="1"/>
  <c r="BT70" i="82"/>
  <c r="CB70" i="82" s="1"/>
  <c r="BT71" i="82"/>
  <c r="CB71" i="82" s="1"/>
  <c r="BT72" i="82"/>
  <c r="CB72" i="82" s="1"/>
  <c r="BT73" i="82"/>
  <c r="CB73" i="82" s="1"/>
  <c r="BT74" i="82"/>
  <c r="CB74" i="82" s="1"/>
  <c r="BT75" i="82"/>
  <c r="CB75" i="82" s="1"/>
  <c r="BT76" i="82"/>
  <c r="CB76" i="82" s="1"/>
  <c r="BT77" i="82"/>
  <c r="CB77" i="82" s="1"/>
  <c r="BT78" i="82"/>
  <c r="CB78" i="82" s="1"/>
  <c r="BT79" i="82"/>
  <c r="CB79" i="82" s="1"/>
  <c r="BT80" i="82"/>
  <c r="CB80" i="82" s="1"/>
  <c r="BT81" i="82"/>
  <c r="CB81" i="82" s="1"/>
  <c r="BT82" i="82"/>
  <c r="CB82" i="82" s="1"/>
  <c r="BT83" i="82"/>
  <c r="CB83" i="82" s="1"/>
  <c r="BT84" i="82"/>
  <c r="CB84" i="82" s="1"/>
  <c r="BT85" i="82"/>
  <c r="CB85" i="82" s="1"/>
  <c r="BT86" i="82"/>
  <c r="CB86" i="82" s="1"/>
  <c r="BT87" i="82"/>
  <c r="CB87" i="82" s="1"/>
  <c r="BT88" i="82"/>
  <c r="CB88" i="82" s="1"/>
  <c r="BT89" i="82"/>
  <c r="CB89" i="82" s="1"/>
  <c r="BT90" i="82"/>
  <c r="CB90" i="82" s="1"/>
  <c r="BT91" i="82"/>
  <c r="CB91" i="82" s="1"/>
  <c r="BT92" i="82"/>
  <c r="CB92" i="82" s="1"/>
  <c r="BT93" i="82"/>
  <c r="CB93" i="82" s="1"/>
  <c r="BT94" i="82"/>
  <c r="CB94" i="82" s="1"/>
  <c r="BT5" i="82"/>
  <c r="BV65" i="82"/>
  <c r="CD65" i="82" s="1"/>
  <c r="CF65" i="82" s="1"/>
  <c r="BV66" i="82"/>
  <c r="CD66" i="82" s="1"/>
  <c r="CF66" i="82" s="1"/>
  <c r="BV67" i="82"/>
  <c r="CD67" i="82" s="1"/>
  <c r="CF67" i="82" s="1"/>
  <c r="BV68" i="82"/>
  <c r="CD68" i="82" s="1"/>
  <c r="CF68" i="82" s="1"/>
  <c r="BV69" i="82"/>
  <c r="CD69" i="82" s="1"/>
  <c r="CF69" i="82" s="1"/>
  <c r="BV70" i="82"/>
  <c r="CD70" i="82" s="1"/>
  <c r="CF70" i="82" s="1"/>
  <c r="BV71" i="82"/>
  <c r="CD71" i="82" s="1"/>
  <c r="CF71" i="82" s="1"/>
  <c r="BV72" i="82"/>
  <c r="CD72" i="82" s="1"/>
  <c r="CF72" i="82" s="1"/>
  <c r="BV73" i="82"/>
  <c r="CD73" i="82" s="1"/>
  <c r="CF73" i="82" s="1"/>
  <c r="BV74" i="82"/>
  <c r="CD74" i="82" s="1"/>
  <c r="CF74" i="82" s="1"/>
  <c r="BV75" i="82"/>
  <c r="CD75" i="82" s="1"/>
  <c r="CF75" i="82" s="1"/>
  <c r="BV76" i="82"/>
  <c r="CD76" i="82" s="1"/>
  <c r="CF76" i="82" s="1"/>
  <c r="BV77" i="82"/>
  <c r="CD77" i="82" s="1"/>
  <c r="CF77" i="82" s="1"/>
  <c r="BV78" i="82"/>
  <c r="CD78" i="82" s="1"/>
  <c r="CF78" i="82" s="1"/>
  <c r="BV79" i="82"/>
  <c r="CD79" i="82" s="1"/>
  <c r="CF79" i="82" s="1"/>
  <c r="BV80" i="82"/>
  <c r="CD80" i="82" s="1"/>
  <c r="CF80" i="82" s="1"/>
  <c r="BV81" i="82"/>
  <c r="CD81" i="82" s="1"/>
  <c r="CF81" i="82" s="1"/>
  <c r="BV82" i="82"/>
  <c r="CD82" i="82" s="1"/>
  <c r="CF82" i="82" s="1"/>
  <c r="BV83" i="82"/>
  <c r="CD83" i="82" s="1"/>
  <c r="CF83" i="82" s="1"/>
  <c r="BV84" i="82"/>
  <c r="CD84" i="82" s="1"/>
  <c r="CF84" i="82" s="1"/>
  <c r="BV85" i="82"/>
  <c r="CD85" i="82" s="1"/>
  <c r="CF85" i="82" s="1"/>
  <c r="BV86" i="82"/>
  <c r="CD86" i="82" s="1"/>
  <c r="CF86" i="82" s="1"/>
  <c r="BV87" i="82"/>
  <c r="CD87" i="82" s="1"/>
  <c r="CF87" i="82" s="1"/>
  <c r="BV88" i="82"/>
  <c r="CD88" i="82" s="1"/>
  <c r="CF88" i="82" s="1"/>
  <c r="BV89" i="82"/>
  <c r="CD89" i="82" s="1"/>
  <c r="CF89" i="82" s="1"/>
  <c r="BV90" i="82"/>
  <c r="CD90" i="82" s="1"/>
  <c r="CF90" i="82" s="1"/>
  <c r="BV91" i="82"/>
  <c r="CD91" i="82" s="1"/>
  <c r="CF91" i="82" s="1"/>
  <c r="BV92" i="82"/>
  <c r="CD92" i="82" s="1"/>
  <c r="CF92" i="82" s="1"/>
  <c r="BV93" i="82"/>
  <c r="CD93" i="82" s="1"/>
  <c r="CF93" i="82" s="1"/>
  <c r="BV94" i="82"/>
  <c r="CD94" i="82" s="1"/>
  <c r="CF94" i="82" s="1"/>
  <c r="E7" i="82"/>
  <c r="E8" i="82"/>
  <c r="E9" i="82"/>
  <c r="E10" i="82"/>
  <c r="E11" i="82"/>
  <c r="E12" i="82"/>
  <c r="E13" i="82"/>
  <c r="E14" i="82"/>
  <c r="AT37" i="82" s="1"/>
  <c r="E15" i="82"/>
  <c r="E16" i="82"/>
  <c r="E17" i="82"/>
  <c r="E18" i="82"/>
  <c r="AT53" i="82" s="1"/>
  <c r="E19" i="82"/>
  <c r="E20" i="82"/>
  <c r="E21" i="82"/>
  <c r="E22" i="82"/>
  <c r="AT69" i="82" s="1"/>
  <c r="E23" i="82"/>
  <c r="E24" i="82"/>
  <c r="E25" i="82"/>
  <c r="E26" i="82"/>
  <c r="AT85" i="82" s="1"/>
  <c r="E27" i="82"/>
  <c r="E28" i="82"/>
  <c r="E29" i="82"/>
  <c r="E30" i="82"/>
  <c r="AT101" i="82" s="1"/>
  <c r="E31" i="82"/>
  <c r="E32" i="82"/>
  <c r="E33" i="82"/>
  <c r="E34" i="82"/>
  <c r="AT117" i="82" s="1"/>
  <c r="E35" i="82"/>
  <c r="E6" i="82"/>
  <c r="AL7" i="82"/>
  <c r="AL8" i="82"/>
  <c r="AL9" i="82"/>
  <c r="AL10" i="82"/>
  <c r="AL11" i="82"/>
  <c r="AL12" i="82"/>
  <c r="AL13" i="82"/>
  <c r="AL14" i="82"/>
  <c r="AL15" i="82"/>
  <c r="AL16" i="82"/>
  <c r="AL17" i="82"/>
  <c r="AL18" i="82"/>
  <c r="AL19" i="82"/>
  <c r="AL20" i="82"/>
  <c r="AL21" i="82"/>
  <c r="AL22" i="82"/>
  <c r="AL23" i="82"/>
  <c r="AL24" i="82"/>
  <c r="AL25" i="82"/>
  <c r="AL26" i="82"/>
  <c r="AL27" i="82"/>
  <c r="AL28" i="82"/>
  <c r="AL29" i="82"/>
  <c r="AL30" i="82"/>
  <c r="AL31" i="82"/>
  <c r="AL32" i="82"/>
  <c r="AL33" i="82"/>
  <c r="AL34" i="82"/>
  <c r="AL35" i="82"/>
  <c r="AI35" i="82"/>
  <c r="V7" i="82"/>
  <c r="V8" i="82"/>
  <c r="V9" i="82"/>
  <c r="V10" i="82"/>
  <c r="V11" i="82"/>
  <c r="V12" i="82"/>
  <c r="V13" i="82"/>
  <c r="V14" i="82"/>
  <c r="V15" i="82"/>
  <c r="V16" i="82"/>
  <c r="V17" i="82"/>
  <c r="V18" i="82"/>
  <c r="V19" i="82"/>
  <c r="V20" i="82"/>
  <c r="V21" i="82"/>
  <c r="V22" i="82"/>
  <c r="V23" i="82"/>
  <c r="V24" i="82"/>
  <c r="V25" i="82"/>
  <c r="V26" i="82"/>
  <c r="V27" i="82"/>
  <c r="V28" i="82"/>
  <c r="V29" i="82"/>
  <c r="V30" i="82"/>
  <c r="V31" i="82"/>
  <c r="V32" i="82"/>
  <c r="V33" i="82"/>
  <c r="V34" i="82"/>
  <c r="V35" i="82"/>
  <c r="V6" i="82"/>
  <c r="T7" i="82"/>
  <c r="T8" i="82"/>
  <c r="T9" i="82"/>
  <c r="T10" i="82"/>
  <c r="T11" i="82"/>
  <c r="T12" i="82"/>
  <c r="T13" i="82"/>
  <c r="T14" i="82"/>
  <c r="T15" i="82"/>
  <c r="T16" i="82"/>
  <c r="T17" i="82"/>
  <c r="T18" i="82"/>
  <c r="T19" i="82"/>
  <c r="T20" i="82"/>
  <c r="T21" i="82"/>
  <c r="T22" i="82"/>
  <c r="T23" i="82"/>
  <c r="T24" i="82"/>
  <c r="T25" i="82"/>
  <c r="T26" i="82"/>
  <c r="T27" i="82"/>
  <c r="T28" i="82"/>
  <c r="T29" i="82"/>
  <c r="T30" i="82"/>
  <c r="T31" i="82"/>
  <c r="T32" i="82"/>
  <c r="T33" i="82"/>
  <c r="T34" i="82"/>
  <c r="T35" i="82"/>
  <c r="T6" i="82"/>
  <c r="BZ93" i="82" l="1"/>
  <c r="BZ89" i="82"/>
  <c r="BZ85" i="82"/>
  <c r="BZ81" i="82"/>
  <c r="BZ77" i="82"/>
  <c r="BZ73" i="82"/>
  <c r="BZ69" i="82"/>
  <c r="BZ65" i="82"/>
  <c r="CB5" i="82"/>
  <c r="CJ5" i="82"/>
  <c r="CE5" i="82" s="1"/>
  <c r="CB7" i="82"/>
  <c r="CE7" i="82"/>
  <c r="CB6" i="82"/>
  <c r="CJ6" i="82"/>
  <c r="CE6" i="82" s="1"/>
  <c r="BZ92" i="82"/>
  <c r="BZ88" i="82"/>
  <c r="BZ84" i="82"/>
  <c r="BZ80" i="82"/>
  <c r="BZ76" i="82"/>
  <c r="BZ72" i="82"/>
  <c r="BZ68" i="82"/>
  <c r="BZ91" i="82"/>
  <c r="BZ87" i="82"/>
  <c r="BZ83" i="82"/>
  <c r="BZ79" i="82"/>
  <c r="BZ75" i="82"/>
  <c r="BZ71" i="82"/>
  <c r="BZ67" i="82"/>
  <c r="BZ94" i="82"/>
  <c r="BZ90" i="82"/>
  <c r="BZ86" i="82"/>
  <c r="BZ82" i="82"/>
  <c r="BZ78" i="82"/>
  <c r="BZ74" i="82"/>
  <c r="BZ70" i="82"/>
  <c r="BZ66" i="82"/>
  <c r="CE85" i="82"/>
  <c r="DG85" i="82"/>
  <c r="CO85" i="82"/>
  <c r="BU85" i="82"/>
  <c r="CE73" i="82"/>
  <c r="DG73" i="82"/>
  <c r="CO73" i="82"/>
  <c r="BU73" i="82"/>
  <c r="DG57" i="82"/>
  <c r="CO57" i="82"/>
  <c r="CW57" i="82" s="1"/>
  <c r="CU57" i="82" s="1"/>
  <c r="BU57" i="82"/>
  <c r="CO45" i="82"/>
  <c r="CW45" i="82" s="1"/>
  <c r="CU45" i="82" s="1"/>
  <c r="DG45" i="82"/>
  <c r="BU45" i="82"/>
  <c r="CO33" i="82"/>
  <c r="CW33" i="82" s="1"/>
  <c r="CU33" i="82" s="1"/>
  <c r="DG33" i="82"/>
  <c r="BU33" i="82"/>
  <c r="CO9" i="82"/>
  <c r="CW9" i="82" s="1"/>
  <c r="CU9" i="82" s="1"/>
  <c r="DG9" i="82"/>
  <c r="BU9" i="82"/>
  <c r="CE92" i="82"/>
  <c r="DG92" i="82"/>
  <c r="CO92" i="82"/>
  <c r="CW92" i="82" s="1"/>
  <c r="CU92" i="82" s="1"/>
  <c r="BU92" i="82"/>
  <c r="CE88" i="82"/>
  <c r="DG88" i="82"/>
  <c r="CO88" i="82"/>
  <c r="BU88" i="82"/>
  <c r="CE84" i="82"/>
  <c r="DG84" i="82"/>
  <c r="CO84" i="82"/>
  <c r="BU84" i="82"/>
  <c r="CE80" i="82"/>
  <c r="DG80" i="82"/>
  <c r="CO80" i="82"/>
  <c r="BU80" i="82"/>
  <c r="CE76" i="82"/>
  <c r="DG76" i="82"/>
  <c r="CO76" i="82"/>
  <c r="BU76" i="82"/>
  <c r="CE72" i="82"/>
  <c r="DG72" i="82"/>
  <c r="CO72" i="82"/>
  <c r="BU72" i="82"/>
  <c r="CE68" i="82"/>
  <c r="DG68" i="82"/>
  <c r="CO68" i="82"/>
  <c r="BU68" i="82"/>
  <c r="CO64" i="82"/>
  <c r="BU64" i="82"/>
  <c r="DG64" i="82"/>
  <c r="CO60" i="82"/>
  <c r="DG60" i="82"/>
  <c r="BU60" i="82"/>
  <c r="CO56" i="82"/>
  <c r="CW56" i="82" s="1"/>
  <c r="CU56" i="82" s="1"/>
  <c r="DG56" i="82"/>
  <c r="BU56" i="82"/>
  <c r="CO52" i="82"/>
  <c r="CW52" i="82" s="1"/>
  <c r="CU52" i="82" s="1"/>
  <c r="DG52" i="82"/>
  <c r="BU52" i="82"/>
  <c r="DG48" i="82"/>
  <c r="CO48" i="82"/>
  <c r="CW48" i="82" s="1"/>
  <c r="CU48" i="82" s="1"/>
  <c r="BU48" i="82"/>
  <c r="CO44" i="82"/>
  <c r="CW44" i="82" s="1"/>
  <c r="CU44" i="82" s="1"/>
  <c r="BU44" i="82"/>
  <c r="DG44" i="82"/>
  <c r="CO40" i="82"/>
  <c r="CW40" i="82" s="1"/>
  <c r="CU40" i="82" s="1"/>
  <c r="BU40" i="82"/>
  <c r="DG40" i="82"/>
  <c r="CO36" i="82"/>
  <c r="CW36" i="82" s="1"/>
  <c r="CU36" i="82" s="1"/>
  <c r="DG36" i="82"/>
  <c r="BU36" i="82"/>
  <c r="CO32" i="82"/>
  <c r="CW32" i="82" s="1"/>
  <c r="CU32" i="82" s="1"/>
  <c r="BU32" i="82"/>
  <c r="DG32" i="82"/>
  <c r="CO28" i="82"/>
  <c r="CW28" i="82" s="1"/>
  <c r="CU28" i="82" s="1"/>
  <c r="DG28" i="82"/>
  <c r="BU28" i="82"/>
  <c r="CO24" i="82"/>
  <c r="CW24" i="82" s="1"/>
  <c r="CU24" i="82" s="1"/>
  <c r="DG24" i="82"/>
  <c r="BU24" i="82"/>
  <c r="CO20" i="82"/>
  <c r="CW20" i="82" s="1"/>
  <c r="CU20" i="82" s="1"/>
  <c r="DG20" i="82"/>
  <c r="BU20" i="82"/>
  <c r="CO16" i="82"/>
  <c r="CW16" i="82" s="1"/>
  <c r="CU16" i="82" s="1"/>
  <c r="DG16" i="82"/>
  <c r="BU16" i="82"/>
  <c r="CO12" i="82"/>
  <c r="CW12" i="82" s="1"/>
  <c r="CU12" i="82" s="1"/>
  <c r="DG12" i="82"/>
  <c r="BU12" i="82"/>
  <c r="CO8" i="82"/>
  <c r="CW8" i="82" s="1"/>
  <c r="CU8" i="82" s="1"/>
  <c r="DG8" i="82"/>
  <c r="BU8" i="82"/>
  <c r="CE93" i="82"/>
  <c r="DG93" i="82"/>
  <c r="CO93" i="82"/>
  <c r="CW93" i="82" s="1"/>
  <c r="CU93" i="82" s="1"/>
  <c r="BU93" i="82"/>
  <c r="CE81" i="82"/>
  <c r="DG81" i="82"/>
  <c r="CO81" i="82"/>
  <c r="BU81" i="82"/>
  <c r="CE69" i="82"/>
  <c r="DG69" i="82"/>
  <c r="CO69" i="82"/>
  <c r="BU69" i="82"/>
  <c r="DG61" i="82"/>
  <c r="CO61" i="82"/>
  <c r="BU61" i="82"/>
  <c r="CO49" i="82"/>
  <c r="CW49" i="82" s="1"/>
  <c r="CU49" i="82" s="1"/>
  <c r="BU49" i="82"/>
  <c r="DG49" i="82"/>
  <c r="CO37" i="82"/>
  <c r="CW37" i="82" s="1"/>
  <c r="CU37" i="82" s="1"/>
  <c r="DG37" i="82"/>
  <c r="BU37" i="82"/>
  <c r="CO25" i="82"/>
  <c r="CW25" i="82" s="1"/>
  <c r="CU25" i="82" s="1"/>
  <c r="DG25" i="82"/>
  <c r="BU25" i="82"/>
  <c r="CO17" i="82"/>
  <c r="CW17" i="82" s="1"/>
  <c r="CU17" i="82" s="1"/>
  <c r="DG17" i="82"/>
  <c r="BU17" i="82"/>
  <c r="AT13" i="82"/>
  <c r="CE91" i="82"/>
  <c r="DG91" i="82"/>
  <c r="CO91" i="82"/>
  <c r="BU91" i="82"/>
  <c r="CE87" i="82"/>
  <c r="DG87" i="82"/>
  <c r="CO87" i="82"/>
  <c r="BU87" i="82"/>
  <c r="CE83" i="82"/>
  <c r="DG83" i="82"/>
  <c r="CO83" i="82"/>
  <c r="BU83" i="82"/>
  <c r="CE79" i="82"/>
  <c r="DG79" i="82"/>
  <c r="CO79" i="82"/>
  <c r="BU79" i="82"/>
  <c r="CE75" i="82"/>
  <c r="CO75" i="82"/>
  <c r="DG75" i="82"/>
  <c r="BU75" i="82"/>
  <c r="CE71" i="82"/>
  <c r="CO71" i="82"/>
  <c r="DG71" i="82"/>
  <c r="BU71" i="82"/>
  <c r="CE67" i="82"/>
  <c r="DG67" i="82"/>
  <c r="CO67" i="82"/>
  <c r="BU67" i="82"/>
  <c r="CO63" i="82"/>
  <c r="DG63" i="82"/>
  <c r="BU63" i="82"/>
  <c r="CO59" i="82"/>
  <c r="CW59" i="82" s="1"/>
  <c r="CU59" i="82" s="1"/>
  <c r="DG59" i="82"/>
  <c r="BU59" i="82"/>
  <c r="DG55" i="82"/>
  <c r="CO55" i="82"/>
  <c r="CW55" i="82" s="1"/>
  <c r="CU55" i="82" s="1"/>
  <c r="BU55" i="82"/>
  <c r="CO51" i="82"/>
  <c r="CW51" i="82" s="1"/>
  <c r="CU51" i="82" s="1"/>
  <c r="DG51" i="82"/>
  <c r="BU51" i="82"/>
  <c r="CO47" i="82"/>
  <c r="CW47" i="82" s="1"/>
  <c r="CU47" i="82" s="1"/>
  <c r="DG47" i="82"/>
  <c r="BU47" i="82"/>
  <c r="DG43" i="82"/>
  <c r="CO43" i="82"/>
  <c r="CW43" i="82" s="1"/>
  <c r="CU43" i="82" s="1"/>
  <c r="BU43" i="82"/>
  <c r="DG39" i="82"/>
  <c r="CO39" i="82"/>
  <c r="CW39" i="82" s="1"/>
  <c r="CU39" i="82" s="1"/>
  <c r="BU39" i="82"/>
  <c r="CO35" i="82"/>
  <c r="CW35" i="82" s="1"/>
  <c r="CU35" i="82" s="1"/>
  <c r="DG35" i="82"/>
  <c r="BU35" i="82"/>
  <c r="DG31" i="82"/>
  <c r="CO31" i="82"/>
  <c r="CW31" i="82" s="1"/>
  <c r="CU31" i="82" s="1"/>
  <c r="BU31" i="82"/>
  <c r="CO27" i="82"/>
  <c r="CW27" i="82" s="1"/>
  <c r="CU27" i="82" s="1"/>
  <c r="DG27" i="82"/>
  <c r="BU27" i="82"/>
  <c r="DG23" i="82"/>
  <c r="CO23" i="82"/>
  <c r="CW23" i="82" s="1"/>
  <c r="CU23" i="82" s="1"/>
  <c r="BU23" i="82"/>
  <c r="CO19" i="82"/>
  <c r="CW19" i="82" s="1"/>
  <c r="CU19" i="82" s="1"/>
  <c r="DG19" i="82"/>
  <c r="BU19" i="82"/>
  <c r="DG15" i="82"/>
  <c r="CO15" i="82"/>
  <c r="CW15" i="82" s="1"/>
  <c r="CU15" i="82" s="1"/>
  <c r="BU15" i="82"/>
  <c r="CO11" i="82"/>
  <c r="CW11" i="82" s="1"/>
  <c r="CU11" i="82" s="1"/>
  <c r="DG11" i="82"/>
  <c r="BU11" i="82"/>
  <c r="DG7" i="82"/>
  <c r="CO7" i="82"/>
  <c r="CW7" i="82" s="1"/>
  <c r="CU7" i="82" s="1"/>
  <c r="BU7" i="82"/>
  <c r="CE89" i="82"/>
  <c r="DG89" i="82"/>
  <c r="CO89" i="82"/>
  <c r="BU89" i="82"/>
  <c r="CE77" i="82"/>
  <c r="DG77" i="82"/>
  <c r="CO77" i="82"/>
  <c r="BU77" i="82"/>
  <c r="CE65" i="82"/>
  <c r="DG65" i="82"/>
  <c r="CO65" i="82"/>
  <c r="BU65" i="82"/>
  <c r="CO53" i="82"/>
  <c r="CW53" i="82" s="1"/>
  <c r="CU53" i="82" s="1"/>
  <c r="DG53" i="82"/>
  <c r="BU53" i="82"/>
  <c r="CO41" i="82"/>
  <c r="CW41" i="82" s="1"/>
  <c r="CU41" i="82" s="1"/>
  <c r="DG41" i="82"/>
  <c r="BU41" i="82"/>
  <c r="CO29" i="82"/>
  <c r="CW29" i="82" s="1"/>
  <c r="CU29" i="82" s="1"/>
  <c r="DG29" i="82"/>
  <c r="BU29" i="82"/>
  <c r="CO21" i="82"/>
  <c r="CW21" i="82" s="1"/>
  <c r="CU21" i="82" s="1"/>
  <c r="DG21" i="82"/>
  <c r="BU21" i="82"/>
  <c r="CO13" i="82"/>
  <c r="CW13" i="82" s="1"/>
  <c r="CU13" i="82" s="1"/>
  <c r="DG13" i="82"/>
  <c r="BU13" i="82"/>
  <c r="CE94" i="82"/>
  <c r="DG94" i="82"/>
  <c r="CO94" i="82"/>
  <c r="CW94" i="82" s="1"/>
  <c r="CU94" i="82" s="1"/>
  <c r="BU94" i="82"/>
  <c r="CE90" i="82"/>
  <c r="DG90" i="82"/>
  <c r="CO90" i="82"/>
  <c r="BU90" i="82"/>
  <c r="CE86" i="82"/>
  <c r="DG86" i="82"/>
  <c r="CO86" i="82"/>
  <c r="BU86" i="82"/>
  <c r="CE82" i="82"/>
  <c r="DG82" i="82"/>
  <c r="CO82" i="82"/>
  <c r="BU82" i="82"/>
  <c r="CE78" i="82"/>
  <c r="DG78" i="82"/>
  <c r="CO78" i="82"/>
  <c r="BU78" i="82"/>
  <c r="CE74" i="82"/>
  <c r="DG74" i="82"/>
  <c r="CO74" i="82"/>
  <c r="BU74" i="82"/>
  <c r="CE70" i="82"/>
  <c r="DG70" i="82"/>
  <c r="CO70" i="82"/>
  <c r="BU70" i="82"/>
  <c r="CE66" i="82"/>
  <c r="DG66" i="82"/>
  <c r="CO66" i="82"/>
  <c r="BU66" i="82"/>
  <c r="DG62" i="82"/>
  <c r="CO62" i="82"/>
  <c r="BU62" i="82"/>
  <c r="CO58" i="82"/>
  <c r="CW58" i="82" s="1"/>
  <c r="CU58" i="82" s="1"/>
  <c r="BU58" i="82"/>
  <c r="DG58" i="82"/>
  <c r="CO54" i="82"/>
  <c r="CW54" i="82" s="1"/>
  <c r="CU54" i="82" s="1"/>
  <c r="BU54" i="82"/>
  <c r="DG54" i="82"/>
  <c r="CO50" i="82"/>
  <c r="CW50" i="82" s="1"/>
  <c r="CU50" i="82" s="1"/>
  <c r="DG50" i="82"/>
  <c r="BU50" i="82"/>
  <c r="CO46" i="82"/>
  <c r="CW46" i="82" s="1"/>
  <c r="CU46" i="82" s="1"/>
  <c r="DG46" i="82"/>
  <c r="BU46" i="82"/>
  <c r="CO42" i="82"/>
  <c r="CW42" i="82" s="1"/>
  <c r="CU42" i="82" s="1"/>
  <c r="BU42" i="82"/>
  <c r="DG42" i="82"/>
  <c r="CO38" i="82"/>
  <c r="CW38" i="82" s="1"/>
  <c r="CU38" i="82" s="1"/>
  <c r="BU38" i="82"/>
  <c r="DG38" i="82"/>
  <c r="CO34" i="82"/>
  <c r="CW34" i="82" s="1"/>
  <c r="CU34" i="82" s="1"/>
  <c r="DG34" i="82"/>
  <c r="BU34" i="82"/>
  <c r="CO30" i="82"/>
  <c r="CW30" i="82" s="1"/>
  <c r="CU30" i="82" s="1"/>
  <c r="DG30" i="82"/>
  <c r="BU30" i="82"/>
  <c r="CO26" i="82"/>
  <c r="CW26" i="82" s="1"/>
  <c r="CU26" i="82" s="1"/>
  <c r="BU26" i="82"/>
  <c r="DG26" i="82"/>
  <c r="CO22" i="82"/>
  <c r="CW22" i="82" s="1"/>
  <c r="CU22" i="82" s="1"/>
  <c r="DG22" i="82"/>
  <c r="BU22" i="82"/>
  <c r="CO18" i="82"/>
  <c r="CW18" i="82" s="1"/>
  <c r="CU18" i="82" s="1"/>
  <c r="DG18" i="82"/>
  <c r="BU18" i="82"/>
  <c r="CO14" i="82"/>
  <c r="CW14" i="82" s="1"/>
  <c r="CU14" i="82" s="1"/>
  <c r="DG14" i="82"/>
  <c r="BU14" i="82"/>
  <c r="CO10" i="82"/>
  <c r="CW10" i="82" s="1"/>
  <c r="CU10" i="82" s="1"/>
  <c r="BU10" i="82"/>
  <c r="DG10" i="82"/>
  <c r="CO6" i="82"/>
  <c r="CW6" i="82" s="1"/>
  <c r="CU6" i="82" s="1"/>
  <c r="BU6" i="82"/>
  <c r="DG6" i="82"/>
  <c r="CO5" i="82"/>
  <c r="CW5" i="82" s="1"/>
  <c r="CU5" i="82" s="1"/>
  <c r="DG5" i="82"/>
  <c r="BU5" i="82"/>
  <c r="AT21" i="82"/>
  <c r="AT5" i="82"/>
  <c r="AU5" i="82" s="1"/>
  <c r="AT65" i="82"/>
  <c r="AV65" i="82" s="1"/>
  <c r="AT17" i="82"/>
  <c r="AV17" i="82" s="1"/>
  <c r="CE61" i="82"/>
  <c r="CE57" i="82"/>
  <c r="CE53" i="82"/>
  <c r="CE49" i="82"/>
  <c r="CE45" i="82"/>
  <c r="CE41" i="82"/>
  <c r="CE37" i="82"/>
  <c r="CE33" i="82"/>
  <c r="CE29" i="82"/>
  <c r="CE25" i="82"/>
  <c r="CE21" i="82"/>
  <c r="CE17" i="82"/>
  <c r="CE13" i="82"/>
  <c r="CL9" i="82"/>
  <c r="CE9" i="82" s="1"/>
  <c r="AT113" i="82"/>
  <c r="AV113" i="82" s="1"/>
  <c r="AT49" i="82"/>
  <c r="AV49" i="82" s="1"/>
  <c r="CE64" i="82"/>
  <c r="CE60" i="82"/>
  <c r="CE56" i="82"/>
  <c r="CE52" i="82"/>
  <c r="CE48" i="82"/>
  <c r="CE44" i="82"/>
  <c r="CE40" i="82"/>
  <c r="CE36" i="82"/>
  <c r="CE32" i="82"/>
  <c r="CE28" i="82"/>
  <c r="CE24" i="82"/>
  <c r="CE20" i="82"/>
  <c r="CE16" i="82"/>
  <c r="CE12" i="82"/>
  <c r="CE8" i="82"/>
  <c r="AT6" i="82"/>
  <c r="AT97" i="82"/>
  <c r="AV97" i="82" s="1"/>
  <c r="AT45" i="82"/>
  <c r="AV45" i="82" s="1"/>
  <c r="AT9" i="82"/>
  <c r="AV9" i="82" s="1"/>
  <c r="CE63" i="82"/>
  <c r="CE59" i="82"/>
  <c r="CE55" i="82"/>
  <c r="CE51" i="82"/>
  <c r="CE47" i="82"/>
  <c r="CE43" i="82"/>
  <c r="CE39" i="82"/>
  <c r="CE35" i="82"/>
  <c r="CE31" i="82"/>
  <c r="CE27" i="82"/>
  <c r="CE23" i="82"/>
  <c r="CE19" i="82"/>
  <c r="CE15" i="82"/>
  <c r="CE11" i="82"/>
  <c r="AT81" i="82"/>
  <c r="AV81" i="82" s="1"/>
  <c r="AT33" i="82"/>
  <c r="AV33" i="82" s="1"/>
  <c r="CE62" i="82"/>
  <c r="CE58" i="82"/>
  <c r="CE54" i="82"/>
  <c r="CE50" i="82"/>
  <c r="CE46" i="82"/>
  <c r="CE42" i="82"/>
  <c r="CE38" i="82"/>
  <c r="CE34" i="82"/>
  <c r="CE30" i="82"/>
  <c r="CE26" i="82"/>
  <c r="CE22" i="82"/>
  <c r="CE18" i="82"/>
  <c r="CE14" i="82"/>
  <c r="CL10" i="82"/>
  <c r="CE10" i="82" s="1"/>
  <c r="AU117" i="82"/>
  <c r="AV117" i="82"/>
  <c r="AU101" i="82"/>
  <c r="AV101" i="82"/>
  <c r="AU85" i="82"/>
  <c r="AV85" i="82"/>
  <c r="AU69" i="82"/>
  <c r="AV69" i="82"/>
  <c r="AU53" i="82"/>
  <c r="AV53" i="82"/>
  <c r="AU37" i="82"/>
  <c r="AV37" i="82"/>
  <c r="AU21" i="82"/>
  <c r="AV21" i="82"/>
  <c r="AT109" i="82"/>
  <c r="AT93" i="82"/>
  <c r="AT77" i="82"/>
  <c r="AT61" i="82"/>
  <c r="AT29" i="82"/>
  <c r="AV13" i="82"/>
  <c r="AU13" i="82"/>
  <c r="AT121" i="82"/>
  <c r="AT105" i="82"/>
  <c r="AT89" i="82"/>
  <c r="AT73" i="82"/>
  <c r="AT57" i="82"/>
  <c r="AT41" i="82"/>
  <c r="AT25" i="82"/>
  <c r="AV6" i="82"/>
  <c r="AU6" i="82"/>
  <c r="AT124" i="82"/>
  <c r="AT120" i="82"/>
  <c r="AT116" i="82"/>
  <c r="AT112" i="82"/>
  <c r="AT108" i="82"/>
  <c r="AT104" i="82"/>
  <c r="AT100" i="82"/>
  <c r="AT96" i="82"/>
  <c r="AT92" i="82"/>
  <c r="AT88" i="82"/>
  <c r="AT84" i="82"/>
  <c r="AT80" i="82"/>
  <c r="AT76" i="82"/>
  <c r="AT72" i="82"/>
  <c r="AT68" i="82"/>
  <c r="AT64" i="82"/>
  <c r="AT60" i="82"/>
  <c r="AT56" i="82"/>
  <c r="AT52" i="82"/>
  <c r="AT48" i="82"/>
  <c r="AT44" i="82"/>
  <c r="AT40" i="82"/>
  <c r="AT36" i="82"/>
  <c r="AT32" i="82"/>
  <c r="AT28" i="82"/>
  <c r="AT24" i="82"/>
  <c r="AT20" i="82"/>
  <c r="AT16" i="82"/>
  <c r="AT12" i="82"/>
  <c r="AT8" i="82"/>
  <c r="AT123" i="82"/>
  <c r="AT119" i="82"/>
  <c r="AT115" i="82"/>
  <c r="AT111" i="82"/>
  <c r="AT107" i="82"/>
  <c r="AT103" i="82"/>
  <c r="AT99" i="82"/>
  <c r="AT95" i="82"/>
  <c r="AT91" i="82"/>
  <c r="AT87" i="82"/>
  <c r="AT83" i="82"/>
  <c r="AT79" i="82"/>
  <c r="AT75" i="82"/>
  <c r="AT71" i="82"/>
  <c r="AT67" i="82"/>
  <c r="AT63" i="82"/>
  <c r="AT59" i="82"/>
  <c r="AT55" i="82"/>
  <c r="AT51" i="82"/>
  <c r="AT47" i="82"/>
  <c r="AT43" i="82"/>
  <c r="AT39" i="82"/>
  <c r="AT35" i="82"/>
  <c r="AT31" i="82"/>
  <c r="AT27" i="82"/>
  <c r="AT23" i="82"/>
  <c r="AT19" i="82"/>
  <c r="AT15" i="82"/>
  <c r="AT11" i="82"/>
  <c r="AT7" i="82"/>
  <c r="AT122" i="82"/>
  <c r="AT118" i="82"/>
  <c r="AT114" i="82"/>
  <c r="AT110" i="82"/>
  <c r="AT106" i="82"/>
  <c r="AT102" i="82"/>
  <c r="AT98" i="82"/>
  <c r="AT94" i="82"/>
  <c r="AT90" i="82"/>
  <c r="AT86" i="82"/>
  <c r="AT82" i="82"/>
  <c r="AT78" i="82"/>
  <c r="AT74" i="82"/>
  <c r="AT70" i="82"/>
  <c r="AT66" i="82"/>
  <c r="AT62" i="82"/>
  <c r="AT58" i="82"/>
  <c r="AT54" i="82"/>
  <c r="AT50" i="82"/>
  <c r="AT46" i="82"/>
  <c r="AT42" i="82"/>
  <c r="AT38" i="82"/>
  <c r="AT34" i="82"/>
  <c r="AT30" i="82"/>
  <c r="AT26" i="82"/>
  <c r="AT22" i="82"/>
  <c r="AT18" i="82"/>
  <c r="AT14" i="82"/>
  <c r="AT10" i="82"/>
  <c r="R35" i="82"/>
  <c r="J35" i="82"/>
  <c r="L35" i="82"/>
  <c r="FC86" i="82" l="1"/>
  <c r="FC89" i="82" s="1"/>
  <c r="FC92" i="82" s="1"/>
  <c r="FC87" i="82"/>
  <c r="FC90" i="82" s="1"/>
  <c r="FC93" i="82" s="1"/>
  <c r="FC88" i="82"/>
  <c r="FC91" i="82" s="1"/>
  <c r="FC94" i="82" s="1"/>
  <c r="ED93" i="82"/>
  <c r="DW93" i="82" s="1"/>
  <c r="ED94" i="82"/>
  <c r="DW94" i="82" s="1"/>
  <c r="ED92" i="82"/>
  <c r="AU33" i="82"/>
  <c r="AU113" i="82"/>
  <c r="CZ70" i="82"/>
  <c r="CW70" i="82"/>
  <c r="CU70" i="82" s="1"/>
  <c r="CP74" i="82"/>
  <c r="DL74" i="82"/>
  <c r="CZ86" i="82"/>
  <c r="CW86" i="82"/>
  <c r="CU86" i="82" s="1"/>
  <c r="CP90" i="82"/>
  <c r="DL90" i="82"/>
  <c r="CZ92" i="82"/>
  <c r="CW89" i="82"/>
  <c r="CU89" i="82" s="1"/>
  <c r="CP7" i="82"/>
  <c r="DL7" i="82"/>
  <c r="CP11" i="82"/>
  <c r="DL11" i="82"/>
  <c r="CP15" i="82"/>
  <c r="DL15" i="82"/>
  <c r="CP19" i="82"/>
  <c r="DL19" i="82"/>
  <c r="CP23" i="82"/>
  <c r="DL23" i="82"/>
  <c r="CP27" i="82"/>
  <c r="DL27" i="82"/>
  <c r="CP31" i="82"/>
  <c r="DL31" i="82"/>
  <c r="CP35" i="82"/>
  <c r="DL35" i="82"/>
  <c r="CP39" i="82"/>
  <c r="DL39" i="82"/>
  <c r="CP43" i="82"/>
  <c r="DL43" i="82"/>
  <c r="CP47" i="82"/>
  <c r="DL47" i="82"/>
  <c r="CP51" i="82"/>
  <c r="DL51" i="82"/>
  <c r="CP55" i="82"/>
  <c r="DL55" i="82"/>
  <c r="CP59" i="82"/>
  <c r="DL59" i="82"/>
  <c r="CP63" i="82"/>
  <c r="DL63" i="82"/>
  <c r="CP67" i="82"/>
  <c r="DL67" i="82"/>
  <c r="CZ75" i="82"/>
  <c r="CW75" i="82"/>
  <c r="CU75" i="82" s="1"/>
  <c r="CZ79" i="82"/>
  <c r="CW79" i="82"/>
  <c r="CU79" i="82" s="1"/>
  <c r="CP83" i="82"/>
  <c r="DL83" i="82"/>
  <c r="CP17" i="82"/>
  <c r="DL17" i="82"/>
  <c r="CP25" i="82"/>
  <c r="DL25" i="82"/>
  <c r="CP37" i="82"/>
  <c r="DL37" i="82"/>
  <c r="CP61" i="82"/>
  <c r="DL61" i="82"/>
  <c r="CP69" i="82"/>
  <c r="DL69" i="82"/>
  <c r="CP76" i="82"/>
  <c r="DL76" i="82"/>
  <c r="CP92" i="82"/>
  <c r="DL92" i="82"/>
  <c r="CP9" i="82"/>
  <c r="DL9" i="82"/>
  <c r="CP33" i="82"/>
  <c r="DL33" i="82"/>
  <c r="CP45" i="82"/>
  <c r="DL45" i="82"/>
  <c r="CP57" i="82"/>
  <c r="DL57" i="82"/>
  <c r="CP73" i="82"/>
  <c r="DL73" i="82"/>
  <c r="DW92" i="82"/>
  <c r="CZ74" i="82"/>
  <c r="CW74" i="82"/>
  <c r="CU74" i="82" s="1"/>
  <c r="CP78" i="82"/>
  <c r="DL78" i="82"/>
  <c r="CZ93" i="82"/>
  <c r="CW90" i="82"/>
  <c r="CU90" i="82" s="1"/>
  <c r="CP94" i="82"/>
  <c r="DL94" i="82"/>
  <c r="CP13" i="82"/>
  <c r="DL13" i="82"/>
  <c r="CP21" i="82"/>
  <c r="DL21" i="82"/>
  <c r="CP29" i="82"/>
  <c r="DL29" i="82"/>
  <c r="CP41" i="82"/>
  <c r="DL41" i="82"/>
  <c r="CP53" i="82"/>
  <c r="DL53" i="82"/>
  <c r="CP65" i="82"/>
  <c r="DL65" i="82"/>
  <c r="CZ67" i="82"/>
  <c r="CW67" i="82"/>
  <c r="CU67" i="82" s="1"/>
  <c r="CP71" i="82"/>
  <c r="DL71" i="82"/>
  <c r="CZ83" i="82"/>
  <c r="CW83" i="82"/>
  <c r="CU83" i="82" s="1"/>
  <c r="CP87" i="82"/>
  <c r="DL87" i="82"/>
  <c r="CP49" i="82"/>
  <c r="DL49" i="82"/>
  <c r="CZ61" i="82"/>
  <c r="CW61" i="82"/>
  <c r="CU61" i="82" s="1"/>
  <c r="CZ69" i="82"/>
  <c r="CW69" i="82"/>
  <c r="CU69" i="82" s="1"/>
  <c r="CP81" i="82"/>
  <c r="DL81" i="82"/>
  <c r="CZ60" i="82"/>
  <c r="CW60" i="82"/>
  <c r="CU60" i="82" s="1"/>
  <c r="CZ64" i="82"/>
  <c r="CW64" i="82"/>
  <c r="CU64" i="82" s="1"/>
  <c r="CZ72" i="82"/>
  <c r="CW72" i="82"/>
  <c r="CU72" i="82" s="1"/>
  <c r="CP80" i="82"/>
  <c r="DL80" i="82"/>
  <c r="CZ88" i="82"/>
  <c r="CW88" i="82"/>
  <c r="CU88" i="82" s="1"/>
  <c r="CZ73" i="82"/>
  <c r="CW73" i="82"/>
  <c r="CU73" i="82" s="1"/>
  <c r="CP85" i="82"/>
  <c r="DL85" i="82"/>
  <c r="CP14" i="82"/>
  <c r="DL14" i="82"/>
  <c r="CP18" i="82"/>
  <c r="DL18" i="82"/>
  <c r="CP22" i="82"/>
  <c r="DL22" i="82"/>
  <c r="CP30" i="82"/>
  <c r="DL30" i="82"/>
  <c r="CP34" i="82"/>
  <c r="DL34" i="82"/>
  <c r="CP46" i="82"/>
  <c r="DL46" i="82"/>
  <c r="CP50" i="82"/>
  <c r="DL50" i="82"/>
  <c r="CP62" i="82"/>
  <c r="DL62" i="82"/>
  <c r="CP66" i="82"/>
  <c r="DL66" i="82"/>
  <c r="CZ78" i="82"/>
  <c r="CW78" i="82"/>
  <c r="CU78" i="82" s="1"/>
  <c r="CP82" i="82"/>
  <c r="DL82" i="82"/>
  <c r="CZ65" i="82"/>
  <c r="CW65" i="82"/>
  <c r="CU65" i="82" s="1"/>
  <c r="CP77" i="82"/>
  <c r="DL77" i="82"/>
  <c r="CZ63" i="82"/>
  <c r="CW63" i="82"/>
  <c r="CU63" i="82" s="1"/>
  <c r="CP75" i="82"/>
  <c r="DL75" i="82"/>
  <c r="CZ87" i="82"/>
  <c r="CW87" i="82"/>
  <c r="CU87" i="82" s="1"/>
  <c r="CP91" i="82"/>
  <c r="DL91" i="82"/>
  <c r="CZ81" i="82"/>
  <c r="CW81" i="82"/>
  <c r="CU81" i="82" s="1"/>
  <c r="CP93" i="82"/>
  <c r="DL93" i="82"/>
  <c r="CP8" i="82"/>
  <c r="DL8" i="82"/>
  <c r="CP12" i="82"/>
  <c r="DL12" i="82"/>
  <c r="CP16" i="82"/>
  <c r="DL16" i="82"/>
  <c r="CP20" i="82"/>
  <c r="DL20" i="82"/>
  <c r="CP24" i="82"/>
  <c r="DL24" i="82"/>
  <c r="CP28" i="82"/>
  <c r="DL28" i="82"/>
  <c r="CP36" i="82"/>
  <c r="DL36" i="82"/>
  <c r="CP48" i="82"/>
  <c r="DL48" i="82"/>
  <c r="CP52" i="82"/>
  <c r="DL52" i="82"/>
  <c r="CP56" i="82"/>
  <c r="DL56" i="82"/>
  <c r="CP60" i="82"/>
  <c r="DL60" i="82"/>
  <c r="CP68" i="82"/>
  <c r="DL68" i="82"/>
  <c r="CZ76" i="82"/>
  <c r="CW76" i="82"/>
  <c r="CU76" i="82" s="1"/>
  <c r="CP84" i="82"/>
  <c r="DL84" i="82"/>
  <c r="CZ85" i="82"/>
  <c r="CW85" i="82"/>
  <c r="CU85" i="82" s="1"/>
  <c r="CP6" i="82"/>
  <c r="DL6" i="82"/>
  <c r="CP10" i="82"/>
  <c r="DL10" i="82"/>
  <c r="CP26" i="82"/>
  <c r="DL26" i="82"/>
  <c r="CP38" i="82"/>
  <c r="DL38" i="82"/>
  <c r="CP42" i="82"/>
  <c r="DL42" i="82"/>
  <c r="CP54" i="82"/>
  <c r="DL54" i="82"/>
  <c r="CP58" i="82"/>
  <c r="DL58" i="82"/>
  <c r="CZ62" i="82"/>
  <c r="CW62" i="82"/>
  <c r="CU62" i="82" s="1"/>
  <c r="CZ66" i="82"/>
  <c r="CW66" i="82"/>
  <c r="CU66" i="82" s="1"/>
  <c r="CP70" i="82"/>
  <c r="DL70" i="82"/>
  <c r="CZ82" i="82"/>
  <c r="CW82" i="82"/>
  <c r="CU82" i="82" s="1"/>
  <c r="CP86" i="82"/>
  <c r="DL86" i="82"/>
  <c r="CZ77" i="82"/>
  <c r="CW77" i="82"/>
  <c r="CU77" i="82" s="1"/>
  <c r="CP89" i="82"/>
  <c r="DL89" i="82"/>
  <c r="CZ71" i="82"/>
  <c r="CW71" i="82"/>
  <c r="CU71" i="82" s="1"/>
  <c r="CP79" i="82"/>
  <c r="DL79" i="82"/>
  <c r="CZ94" i="82"/>
  <c r="CW91" i="82"/>
  <c r="CU91" i="82" s="1"/>
  <c r="CP32" i="82"/>
  <c r="DL32" i="82"/>
  <c r="CP40" i="82"/>
  <c r="DL40" i="82"/>
  <c r="CP44" i="82"/>
  <c r="DL44" i="82"/>
  <c r="CP64" i="82"/>
  <c r="DL64" i="82"/>
  <c r="CZ68" i="82"/>
  <c r="CW68" i="82"/>
  <c r="CU68" i="82" s="1"/>
  <c r="CP72" i="82"/>
  <c r="DL72" i="82"/>
  <c r="CZ80" i="82"/>
  <c r="CW80" i="82"/>
  <c r="CU80" i="82" s="1"/>
  <c r="CZ84" i="82"/>
  <c r="CW84" i="82"/>
  <c r="CU84" i="82" s="1"/>
  <c r="CP88" i="82"/>
  <c r="DL88" i="82"/>
  <c r="CP5" i="82"/>
  <c r="DA5" i="82" s="1"/>
  <c r="DL5" i="82"/>
  <c r="AV5" i="82"/>
  <c r="AU97" i="82"/>
  <c r="AU45" i="82"/>
  <c r="AU65" i="82"/>
  <c r="AU49" i="82"/>
  <c r="AU17" i="82"/>
  <c r="AU9" i="82"/>
  <c r="AU81" i="82"/>
  <c r="X35" i="82"/>
  <c r="Q37" i="89"/>
  <c r="AE37" i="89" s="1"/>
  <c r="AV30" i="82"/>
  <c r="AU30" i="82"/>
  <c r="AV78" i="82"/>
  <c r="AU78" i="82"/>
  <c r="AV94" i="82"/>
  <c r="AU94" i="82"/>
  <c r="AV23" i="82"/>
  <c r="AU23" i="82"/>
  <c r="AV71" i="82"/>
  <c r="AU71" i="82"/>
  <c r="AV103" i="82"/>
  <c r="AU103" i="82"/>
  <c r="AV119" i="82"/>
  <c r="AU119" i="82"/>
  <c r="AU16" i="82"/>
  <c r="AV16" i="82"/>
  <c r="AU32" i="82"/>
  <c r="AV32" i="82"/>
  <c r="AU48" i="82"/>
  <c r="AV48" i="82"/>
  <c r="AU64" i="82"/>
  <c r="AV64" i="82"/>
  <c r="AU80" i="82"/>
  <c r="AV80" i="82"/>
  <c r="AU96" i="82"/>
  <c r="AV96" i="82"/>
  <c r="AU112" i="82"/>
  <c r="AV112" i="82"/>
  <c r="AV73" i="82"/>
  <c r="AU73" i="82"/>
  <c r="AV29" i="82"/>
  <c r="AU29" i="82"/>
  <c r="AV109" i="82"/>
  <c r="AU109" i="82"/>
  <c r="AV18" i="82"/>
  <c r="AU18" i="82"/>
  <c r="AV34" i="82"/>
  <c r="AU34" i="82"/>
  <c r="AV50" i="82"/>
  <c r="AU50" i="82"/>
  <c r="AV66" i="82"/>
  <c r="AU66" i="82"/>
  <c r="AV82" i="82"/>
  <c r="AU82" i="82"/>
  <c r="AV98" i="82"/>
  <c r="AU98" i="82"/>
  <c r="AV114" i="82"/>
  <c r="AU114" i="82"/>
  <c r="AV11" i="82"/>
  <c r="AU11" i="82"/>
  <c r="AV27" i="82"/>
  <c r="AU27" i="82"/>
  <c r="AV43" i="82"/>
  <c r="AU43" i="82"/>
  <c r="AV59" i="82"/>
  <c r="AU59" i="82"/>
  <c r="AV75" i="82"/>
  <c r="AU75" i="82"/>
  <c r="AV91" i="82"/>
  <c r="AU91" i="82"/>
  <c r="AV107" i="82"/>
  <c r="AU107" i="82"/>
  <c r="AV123" i="82"/>
  <c r="AU123" i="82"/>
  <c r="AW123" i="82" s="1"/>
  <c r="AU20" i="82"/>
  <c r="AV20" i="82"/>
  <c r="AU36" i="82"/>
  <c r="AV36" i="82"/>
  <c r="AU52" i="82"/>
  <c r="AV52" i="82"/>
  <c r="AU68" i="82"/>
  <c r="AV68" i="82"/>
  <c r="AU84" i="82"/>
  <c r="AV84" i="82"/>
  <c r="AU100" i="82"/>
  <c r="AV100" i="82"/>
  <c r="AU116" i="82"/>
  <c r="AV116" i="82"/>
  <c r="AV25" i="82"/>
  <c r="AU25" i="82"/>
  <c r="AV89" i="82"/>
  <c r="AU89" i="82"/>
  <c r="AV61" i="82"/>
  <c r="AU61" i="82"/>
  <c r="AV14" i="82"/>
  <c r="AU14" i="82"/>
  <c r="AV62" i="82"/>
  <c r="AU62" i="82"/>
  <c r="AV110" i="82"/>
  <c r="AU110" i="82"/>
  <c r="AV39" i="82"/>
  <c r="AU39" i="82"/>
  <c r="AV87" i="82"/>
  <c r="AU87" i="82"/>
  <c r="AV22" i="82"/>
  <c r="AU22" i="82"/>
  <c r="AV38" i="82"/>
  <c r="AU38" i="82"/>
  <c r="AV54" i="82"/>
  <c r="AU54" i="82"/>
  <c r="AV70" i="82"/>
  <c r="AU70" i="82"/>
  <c r="AV86" i="82"/>
  <c r="AU86" i="82"/>
  <c r="AV102" i="82"/>
  <c r="AU102" i="82"/>
  <c r="AV118" i="82"/>
  <c r="AU118" i="82"/>
  <c r="AV15" i="82"/>
  <c r="AU15" i="82"/>
  <c r="AV31" i="82"/>
  <c r="AU31" i="82"/>
  <c r="AV47" i="82"/>
  <c r="AU47" i="82"/>
  <c r="AV63" i="82"/>
  <c r="AU63" i="82"/>
  <c r="AV79" i="82"/>
  <c r="AU79" i="82"/>
  <c r="AV95" i="82"/>
  <c r="AU95" i="82"/>
  <c r="AV111" i="82"/>
  <c r="AU111" i="82"/>
  <c r="AU8" i="82"/>
  <c r="AV8" i="82"/>
  <c r="AU24" i="82"/>
  <c r="AV24" i="82"/>
  <c r="AU40" i="82"/>
  <c r="AV40" i="82"/>
  <c r="AV56" i="82"/>
  <c r="AU56" i="82"/>
  <c r="AV72" i="82"/>
  <c r="AU72" i="82"/>
  <c r="AV88" i="82"/>
  <c r="AU88" i="82"/>
  <c r="AV104" i="82"/>
  <c r="AU104" i="82"/>
  <c r="AV120" i="82"/>
  <c r="AU120" i="82"/>
  <c r="AV41" i="82"/>
  <c r="AU41" i="82"/>
  <c r="AV105" i="82"/>
  <c r="AU105" i="82"/>
  <c r="AV77" i="82"/>
  <c r="AU77" i="82"/>
  <c r="AV46" i="82"/>
  <c r="AU46" i="82"/>
  <c r="AV7" i="82"/>
  <c r="AU7" i="82"/>
  <c r="AV55" i="82"/>
  <c r="AU55" i="82"/>
  <c r="AN35" i="82"/>
  <c r="AP35" i="82"/>
  <c r="Z35" i="82"/>
  <c r="G33" i="88" s="1"/>
  <c r="AU10" i="82"/>
  <c r="AV10" i="82"/>
  <c r="AU26" i="82"/>
  <c r="AV26" i="82"/>
  <c r="AU42" i="82"/>
  <c r="AV42" i="82"/>
  <c r="AV58" i="82"/>
  <c r="AU58" i="82"/>
  <c r="AV74" i="82"/>
  <c r="AU74" i="82"/>
  <c r="AV90" i="82"/>
  <c r="AU90" i="82"/>
  <c r="AV106" i="82"/>
  <c r="AU106" i="82"/>
  <c r="AV122" i="82"/>
  <c r="AU122" i="82"/>
  <c r="AW122" i="82" s="1"/>
  <c r="AV19" i="82"/>
  <c r="AU19" i="82"/>
  <c r="AV35" i="82"/>
  <c r="AU35" i="82"/>
  <c r="AV51" i="82"/>
  <c r="AU51" i="82"/>
  <c r="AV67" i="82"/>
  <c r="AU67" i="82"/>
  <c r="AV83" i="82"/>
  <c r="AU83" i="82"/>
  <c r="AV99" i="82"/>
  <c r="AU99" i="82"/>
  <c r="AV115" i="82"/>
  <c r="AU115" i="82"/>
  <c r="AU12" i="82"/>
  <c r="AV12" i="82"/>
  <c r="AU28" i="82"/>
  <c r="AV28" i="82"/>
  <c r="AU44" i="82"/>
  <c r="AV44" i="82"/>
  <c r="AV60" i="82"/>
  <c r="AU60" i="82"/>
  <c r="AV76" i="82"/>
  <c r="AU76" i="82"/>
  <c r="AV92" i="82"/>
  <c r="AU92" i="82"/>
  <c r="AV108" i="82"/>
  <c r="AU108" i="82"/>
  <c r="AV124" i="82"/>
  <c r="AU124" i="82"/>
  <c r="AW124" i="82" s="1"/>
  <c r="AV57" i="82"/>
  <c r="AU57" i="82"/>
  <c r="AV121" i="82"/>
  <c r="AU121" i="82"/>
  <c r="AW121" i="82" s="1"/>
  <c r="AV93" i="82"/>
  <c r="AU93" i="82"/>
  <c r="CZ89" i="82" l="1"/>
  <c r="CZ91" i="82"/>
  <c r="CZ90" i="82"/>
  <c r="BM5" i="90"/>
  <c r="AL5" i="90"/>
  <c r="BP5" i="90" l="1"/>
  <c r="BR5" i="90"/>
  <c r="AR5" i="90"/>
  <c r="AQ5" i="90"/>
  <c r="BS5" i="90"/>
  <c r="AT5" i="90"/>
  <c r="AS5" i="90" l="1"/>
  <c r="BO5" i="90"/>
  <c r="BX5" i="90" s="1"/>
  <c r="BN5" i="90"/>
  <c r="BV5" i="90" s="1"/>
  <c r="BT5" i="90"/>
  <c r="AN5" i="90"/>
  <c r="AO5" i="90"/>
  <c r="AZ5" i="90" s="1"/>
  <c r="AM5" i="90"/>
  <c r="AU5" i="90" s="1"/>
  <c r="B51" i="89"/>
  <c r="B52" i="89"/>
  <c r="B53" i="89"/>
  <c r="B54" i="89"/>
  <c r="B55" i="89"/>
  <c r="B56" i="89"/>
  <c r="B57" i="89"/>
  <c r="B58" i="89"/>
  <c r="B59" i="89"/>
  <c r="B60" i="89"/>
  <c r="B61" i="89"/>
  <c r="B62" i="89"/>
  <c r="B63" i="89"/>
  <c r="B64" i="89"/>
  <c r="B65" i="89"/>
  <c r="B66" i="89"/>
  <c r="B67" i="89"/>
  <c r="B68" i="89"/>
  <c r="B69" i="89"/>
  <c r="B70" i="89"/>
  <c r="B71" i="89"/>
  <c r="B72" i="89"/>
  <c r="B73" i="89"/>
  <c r="B74" i="89"/>
  <c r="B75" i="89"/>
  <c r="B76" i="89"/>
  <c r="B77" i="89"/>
  <c r="B78" i="89"/>
  <c r="B79" i="89"/>
  <c r="B80" i="89"/>
  <c r="B81" i="89"/>
  <c r="B82" i="89"/>
  <c r="B83" i="89"/>
  <c r="B84" i="89"/>
  <c r="B85" i="89"/>
  <c r="B86" i="89"/>
  <c r="B87" i="89"/>
  <c r="B88" i="89"/>
  <c r="B89" i="89"/>
  <c r="B90" i="89"/>
  <c r="B91" i="89"/>
  <c r="B92" i="89"/>
  <c r="B93" i="89"/>
  <c r="B94" i="89"/>
  <c r="B95" i="89"/>
  <c r="B96" i="89"/>
  <c r="B97" i="89"/>
  <c r="B98" i="89"/>
  <c r="B99" i="89"/>
  <c r="B100" i="89"/>
  <c r="B101" i="89"/>
  <c r="B102" i="89"/>
  <c r="B103" i="89"/>
  <c r="B104" i="89"/>
  <c r="B105" i="89"/>
  <c r="B106" i="89"/>
  <c r="B107" i="89"/>
  <c r="B108" i="89"/>
  <c r="B109" i="89"/>
  <c r="B110" i="89"/>
  <c r="B111" i="89"/>
  <c r="B112" i="89"/>
  <c r="B113" i="89"/>
  <c r="B114" i="89"/>
  <c r="B115" i="89"/>
  <c r="B116" i="89"/>
  <c r="B117" i="89"/>
  <c r="B118" i="89"/>
  <c r="B119" i="89"/>
  <c r="B120" i="89"/>
  <c r="B121" i="89"/>
  <c r="B122" i="89"/>
  <c r="B123" i="89"/>
  <c r="B124" i="89"/>
  <c r="B125" i="89"/>
  <c r="B126" i="89"/>
  <c r="B127" i="89"/>
  <c r="B128" i="89"/>
  <c r="B129" i="89"/>
  <c r="B130" i="89"/>
  <c r="B131" i="89"/>
  <c r="B132" i="89"/>
  <c r="B133" i="89"/>
  <c r="B134" i="89"/>
  <c r="B135" i="89"/>
  <c r="B136" i="89"/>
  <c r="B137" i="89"/>
  <c r="B138" i="89"/>
  <c r="B139" i="89"/>
  <c r="B140" i="89"/>
  <c r="B141" i="89"/>
  <c r="B142" i="89"/>
  <c r="B143" i="89"/>
  <c r="B144" i="89"/>
  <c r="B145" i="89"/>
  <c r="B146" i="89"/>
  <c r="B147" i="89"/>
  <c r="B148" i="89"/>
  <c r="B149" i="89"/>
  <c r="B150" i="89"/>
  <c r="B151" i="89"/>
  <c r="B152" i="89"/>
  <c r="B153" i="89"/>
  <c r="B154" i="89"/>
  <c r="B155" i="89"/>
  <c r="B156" i="89"/>
  <c r="B157" i="89"/>
  <c r="B158" i="89"/>
  <c r="B159" i="89"/>
  <c r="B160" i="89"/>
  <c r="B161" i="89"/>
  <c r="B162" i="89"/>
  <c r="B163" i="89"/>
  <c r="B164" i="89"/>
  <c r="B165" i="89"/>
  <c r="B50" i="89"/>
  <c r="H163" i="89" l="1"/>
  <c r="L163" i="89"/>
  <c r="K163" i="89"/>
  <c r="I163" i="89"/>
  <c r="M163" i="89"/>
  <c r="F163" i="89"/>
  <c r="J163" i="89"/>
  <c r="N163" i="89"/>
  <c r="G163" i="89"/>
  <c r="O163" i="89"/>
  <c r="I151" i="89"/>
  <c r="M151" i="89"/>
  <c r="F151" i="89"/>
  <c r="J151" i="89"/>
  <c r="N151" i="89"/>
  <c r="H151" i="89"/>
  <c r="K151" i="89"/>
  <c r="L151" i="89"/>
  <c r="G151" i="89"/>
  <c r="O151" i="89"/>
  <c r="I147" i="89"/>
  <c r="M147" i="89"/>
  <c r="F147" i="89"/>
  <c r="J147" i="89"/>
  <c r="N147" i="89"/>
  <c r="H147" i="89"/>
  <c r="K147" i="89"/>
  <c r="L147" i="89"/>
  <c r="G147" i="89"/>
  <c r="O147" i="89"/>
  <c r="I135" i="89"/>
  <c r="M135" i="89"/>
  <c r="F135" i="89"/>
  <c r="J135" i="89"/>
  <c r="N135" i="89"/>
  <c r="H135" i="89"/>
  <c r="K135" i="89"/>
  <c r="G135" i="89"/>
  <c r="O135" i="89"/>
  <c r="L135" i="89"/>
  <c r="I119" i="89"/>
  <c r="M119" i="89"/>
  <c r="F119" i="89"/>
  <c r="J119" i="89"/>
  <c r="N119" i="89"/>
  <c r="H119" i="89"/>
  <c r="K119" i="89"/>
  <c r="G119" i="89"/>
  <c r="O119" i="89"/>
  <c r="L119" i="89"/>
  <c r="F107" i="89"/>
  <c r="J107" i="89"/>
  <c r="N107" i="89"/>
  <c r="G107" i="89"/>
  <c r="K107" i="89"/>
  <c r="O107" i="89"/>
  <c r="M107" i="89"/>
  <c r="H107" i="89"/>
  <c r="I107" i="89"/>
  <c r="L107" i="89"/>
  <c r="F95" i="89"/>
  <c r="J95" i="89"/>
  <c r="N95" i="89"/>
  <c r="G95" i="89"/>
  <c r="K95" i="89"/>
  <c r="O95" i="89"/>
  <c r="M95" i="89"/>
  <c r="H95" i="89"/>
  <c r="I95" i="89"/>
  <c r="L95" i="89"/>
  <c r="F83" i="89"/>
  <c r="J83" i="89"/>
  <c r="N83" i="89"/>
  <c r="G83" i="89"/>
  <c r="K83" i="89"/>
  <c r="O83" i="89"/>
  <c r="H83" i="89"/>
  <c r="L83" i="89"/>
  <c r="M83" i="89"/>
  <c r="I83" i="89"/>
  <c r="F71" i="89"/>
  <c r="J71" i="89"/>
  <c r="N71" i="89"/>
  <c r="G71" i="89"/>
  <c r="K71" i="89"/>
  <c r="O71" i="89"/>
  <c r="H71" i="89"/>
  <c r="L71" i="89"/>
  <c r="I71" i="89"/>
  <c r="M71" i="89"/>
  <c r="F55" i="89"/>
  <c r="J55" i="89"/>
  <c r="N55" i="89"/>
  <c r="G55" i="89"/>
  <c r="K55" i="89"/>
  <c r="O55" i="89"/>
  <c r="H55" i="89"/>
  <c r="L55" i="89"/>
  <c r="I55" i="89"/>
  <c r="M55" i="89"/>
  <c r="G50" i="89"/>
  <c r="K50" i="89"/>
  <c r="O50" i="89"/>
  <c r="H50" i="89"/>
  <c r="L50" i="89"/>
  <c r="F50" i="89"/>
  <c r="I50" i="89"/>
  <c r="M50" i="89"/>
  <c r="J50" i="89"/>
  <c r="N50" i="89"/>
  <c r="F162" i="89"/>
  <c r="J162" i="89"/>
  <c r="N162" i="89"/>
  <c r="M162" i="89"/>
  <c r="G162" i="89"/>
  <c r="K162" i="89"/>
  <c r="O162" i="89"/>
  <c r="H162" i="89"/>
  <c r="L162" i="89"/>
  <c r="I162" i="89"/>
  <c r="G158" i="89"/>
  <c r="K158" i="89"/>
  <c r="O158" i="89"/>
  <c r="H158" i="89"/>
  <c r="L158" i="89"/>
  <c r="J158" i="89"/>
  <c r="M158" i="89"/>
  <c r="F158" i="89"/>
  <c r="N158" i="89"/>
  <c r="I158" i="89"/>
  <c r="G154" i="89"/>
  <c r="K154" i="89"/>
  <c r="O154" i="89"/>
  <c r="H154" i="89"/>
  <c r="L154" i="89"/>
  <c r="J154" i="89"/>
  <c r="M154" i="89"/>
  <c r="F154" i="89"/>
  <c r="N154" i="89"/>
  <c r="I154" i="89"/>
  <c r="G150" i="89"/>
  <c r="K150" i="89"/>
  <c r="O150" i="89"/>
  <c r="H150" i="89"/>
  <c r="L150" i="89"/>
  <c r="J150" i="89"/>
  <c r="M150" i="89"/>
  <c r="F150" i="89"/>
  <c r="N150" i="89"/>
  <c r="I150" i="89"/>
  <c r="G146" i="89"/>
  <c r="K146" i="89"/>
  <c r="O146" i="89"/>
  <c r="H146" i="89"/>
  <c r="L146" i="89"/>
  <c r="J146" i="89"/>
  <c r="M146" i="89"/>
  <c r="F146" i="89"/>
  <c r="N146" i="89"/>
  <c r="I146" i="89"/>
  <c r="G142" i="89"/>
  <c r="K142" i="89"/>
  <c r="O142" i="89"/>
  <c r="H142" i="89"/>
  <c r="L142" i="89"/>
  <c r="J142" i="89"/>
  <c r="M142" i="89"/>
  <c r="I142" i="89"/>
  <c r="F142" i="89"/>
  <c r="N142" i="89"/>
  <c r="G138" i="89"/>
  <c r="K138" i="89"/>
  <c r="O138" i="89"/>
  <c r="H138" i="89"/>
  <c r="L138" i="89"/>
  <c r="J138" i="89"/>
  <c r="M138" i="89"/>
  <c r="I138" i="89"/>
  <c r="F138" i="89"/>
  <c r="N138" i="89"/>
  <c r="G134" i="89"/>
  <c r="K134" i="89"/>
  <c r="O134" i="89"/>
  <c r="H134" i="89"/>
  <c r="L134" i="89"/>
  <c r="J134" i="89"/>
  <c r="M134" i="89"/>
  <c r="I134" i="89"/>
  <c r="F134" i="89"/>
  <c r="N134" i="89"/>
  <c r="G130" i="89"/>
  <c r="K130" i="89"/>
  <c r="O130" i="89"/>
  <c r="H130" i="89"/>
  <c r="L130" i="89"/>
  <c r="J130" i="89"/>
  <c r="M130" i="89"/>
  <c r="I130" i="89"/>
  <c r="F130" i="89"/>
  <c r="N130" i="89"/>
  <c r="G126" i="89"/>
  <c r="K126" i="89"/>
  <c r="O126" i="89"/>
  <c r="H126" i="89"/>
  <c r="L126" i="89"/>
  <c r="J126" i="89"/>
  <c r="M126" i="89"/>
  <c r="I126" i="89"/>
  <c r="F126" i="89"/>
  <c r="N126" i="89"/>
  <c r="G122" i="89"/>
  <c r="K122" i="89"/>
  <c r="O122" i="89"/>
  <c r="H122" i="89"/>
  <c r="L122" i="89"/>
  <c r="J122" i="89"/>
  <c r="M122" i="89"/>
  <c r="I122" i="89"/>
  <c r="F122" i="89"/>
  <c r="N122" i="89"/>
  <c r="G118" i="89"/>
  <c r="K118" i="89"/>
  <c r="O118" i="89"/>
  <c r="H118" i="89"/>
  <c r="L118" i="89"/>
  <c r="J118" i="89"/>
  <c r="M118" i="89"/>
  <c r="I118" i="89"/>
  <c r="F118" i="89"/>
  <c r="N118" i="89"/>
  <c r="G114" i="89"/>
  <c r="K114" i="89"/>
  <c r="O114" i="89"/>
  <c r="H114" i="89"/>
  <c r="L114" i="89"/>
  <c r="J114" i="89"/>
  <c r="M114" i="89"/>
  <c r="I114" i="89"/>
  <c r="F114" i="89"/>
  <c r="N114" i="89"/>
  <c r="H110" i="89"/>
  <c r="L110" i="89"/>
  <c r="I110" i="89"/>
  <c r="J110" i="89"/>
  <c r="O110" i="89"/>
  <c r="K110" i="89"/>
  <c r="G110" i="89"/>
  <c r="M110" i="89"/>
  <c r="F110" i="89"/>
  <c r="N110" i="89"/>
  <c r="H106" i="89"/>
  <c r="L106" i="89"/>
  <c r="I106" i="89"/>
  <c r="M106" i="89"/>
  <c r="G106" i="89"/>
  <c r="O106" i="89"/>
  <c r="J106" i="89"/>
  <c r="K106" i="89"/>
  <c r="F106" i="89"/>
  <c r="N106" i="89"/>
  <c r="H102" i="89"/>
  <c r="L102" i="89"/>
  <c r="I102" i="89"/>
  <c r="M102" i="89"/>
  <c r="G102" i="89"/>
  <c r="O102" i="89"/>
  <c r="J102" i="89"/>
  <c r="K102" i="89"/>
  <c r="N102" i="89"/>
  <c r="F102" i="89"/>
  <c r="H98" i="89"/>
  <c r="L98" i="89"/>
  <c r="I98" i="89"/>
  <c r="M98" i="89"/>
  <c r="G98" i="89"/>
  <c r="O98" i="89"/>
  <c r="J98" i="89"/>
  <c r="K98" i="89"/>
  <c r="N98" i="89"/>
  <c r="F98" i="89"/>
  <c r="H94" i="89"/>
  <c r="L94" i="89"/>
  <c r="I94" i="89"/>
  <c r="M94" i="89"/>
  <c r="G94" i="89"/>
  <c r="O94" i="89"/>
  <c r="J94" i="89"/>
  <c r="K94" i="89"/>
  <c r="F94" i="89"/>
  <c r="N94" i="89"/>
  <c r="H90" i="89"/>
  <c r="L90" i="89"/>
  <c r="I90" i="89"/>
  <c r="M90" i="89"/>
  <c r="G90" i="89"/>
  <c r="O90" i="89"/>
  <c r="J90" i="89"/>
  <c r="K90" i="89"/>
  <c r="F90" i="89"/>
  <c r="N90" i="89"/>
  <c r="H86" i="89"/>
  <c r="L86" i="89"/>
  <c r="I86" i="89"/>
  <c r="M86" i="89"/>
  <c r="G86" i="89"/>
  <c r="O86" i="89"/>
  <c r="J86" i="89"/>
  <c r="K86" i="89"/>
  <c r="N86" i="89"/>
  <c r="F86" i="89"/>
  <c r="H82" i="89"/>
  <c r="L82" i="89"/>
  <c r="I82" i="89"/>
  <c r="M82" i="89"/>
  <c r="F82" i="89"/>
  <c r="J82" i="89"/>
  <c r="N82" i="89"/>
  <c r="G82" i="89"/>
  <c r="K82" i="89"/>
  <c r="O82" i="89"/>
  <c r="H78" i="89"/>
  <c r="L78" i="89"/>
  <c r="I78" i="89"/>
  <c r="M78" i="89"/>
  <c r="F78" i="89"/>
  <c r="J78" i="89"/>
  <c r="N78" i="89"/>
  <c r="O78" i="89"/>
  <c r="G78" i="89"/>
  <c r="K78" i="89"/>
  <c r="H74" i="89"/>
  <c r="L74" i="89"/>
  <c r="I74" i="89"/>
  <c r="M74" i="89"/>
  <c r="F74" i="89"/>
  <c r="J74" i="89"/>
  <c r="N74" i="89"/>
  <c r="G74" i="89"/>
  <c r="K74" i="89"/>
  <c r="O74" i="89"/>
  <c r="H70" i="89"/>
  <c r="L70" i="89"/>
  <c r="I70" i="89"/>
  <c r="M70" i="89"/>
  <c r="F70" i="89"/>
  <c r="J70" i="89"/>
  <c r="N70" i="89"/>
  <c r="O70" i="89"/>
  <c r="K70" i="89"/>
  <c r="G70" i="89"/>
  <c r="H66" i="89"/>
  <c r="L66" i="89"/>
  <c r="I66" i="89"/>
  <c r="M66" i="89"/>
  <c r="F66" i="89"/>
  <c r="J66" i="89"/>
  <c r="N66" i="89"/>
  <c r="G66" i="89"/>
  <c r="K66" i="89"/>
  <c r="O66" i="89"/>
  <c r="H62" i="89"/>
  <c r="L62" i="89"/>
  <c r="I62" i="89"/>
  <c r="M62" i="89"/>
  <c r="F62" i="89"/>
  <c r="J62" i="89"/>
  <c r="N62" i="89"/>
  <c r="O62" i="89"/>
  <c r="G62" i="89"/>
  <c r="K62" i="89"/>
  <c r="H58" i="89"/>
  <c r="L58" i="89"/>
  <c r="I58" i="89"/>
  <c r="M58" i="89"/>
  <c r="F58" i="89"/>
  <c r="J58" i="89"/>
  <c r="N58" i="89"/>
  <c r="G58" i="89"/>
  <c r="K58" i="89"/>
  <c r="O58" i="89"/>
  <c r="H54" i="89"/>
  <c r="L54" i="89"/>
  <c r="I54" i="89"/>
  <c r="M54" i="89"/>
  <c r="F54" i="89"/>
  <c r="J54" i="89"/>
  <c r="N54" i="89"/>
  <c r="O54" i="89"/>
  <c r="K54" i="89"/>
  <c r="G54" i="89"/>
  <c r="I155" i="89"/>
  <c r="M155" i="89"/>
  <c r="F155" i="89"/>
  <c r="J155" i="89"/>
  <c r="N155" i="89"/>
  <c r="H155" i="89"/>
  <c r="K155" i="89"/>
  <c r="L155" i="89"/>
  <c r="G155" i="89"/>
  <c r="O155" i="89"/>
  <c r="I139" i="89"/>
  <c r="M139" i="89"/>
  <c r="F139" i="89"/>
  <c r="J139" i="89"/>
  <c r="N139" i="89"/>
  <c r="H139" i="89"/>
  <c r="K139" i="89"/>
  <c r="G139" i="89"/>
  <c r="O139" i="89"/>
  <c r="L139" i="89"/>
  <c r="I127" i="89"/>
  <c r="M127" i="89"/>
  <c r="F127" i="89"/>
  <c r="J127" i="89"/>
  <c r="N127" i="89"/>
  <c r="H127" i="89"/>
  <c r="K127" i="89"/>
  <c r="G127" i="89"/>
  <c r="O127" i="89"/>
  <c r="L127" i="89"/>
  <c r="I115" i="89"/>
  <c r="M115" i="89"/>
  <c r="F115" i="89"/>
  <c r="J115" i="89"/>
  <c r="N115" i="89"/>
  <c r="H115" i="89"/>
  <c r="K115" i="89"/>
  <c r="G115" i="89"/>
  <c r="O115" i="89"/>
  <c r="L115" i="89"/>
  <c r="F103" i="89"/>
  <c r="J103" i="89"/>
  <c r="N103" i="89"/>
  <c r="G103" i="89"/>
  <c r="K103" i="89"/>
  <c r="O103" i="89"/>
  <c r="M103" i="89"/>
  <c r="H103" i="89"/>
  <c r="I103" i="89"/>
  <c r="L103" i="89"/>
  <c r="F91" i="89"/>
  <c r="J91" i="89"/>
  <c r="N91" i="89"/>
  <c r="G91" i="89"/>
  <c r="K91" i="89"/>
  <c r="O91" i="89"/>
  <c r="M91" i="89"/>
  <c r="H91" i="89"/>
  <c r="I91" i="89"/>
  <c r="L91" i="89"/>
  <c r="F75" i="89"/>
  <c r="J75" i="89"/>
  <c r="N75" i="89"/>
  <c r="G75" i="89"/>
  <c r="K75" i="89"/>
  <c r="O75" i="89"/>
  <c r="H75" i="89"/>
  <c r="L75" i="89"/>
  <c r="M75" i="89"/>
  <c r="I75" i="89"/>
  <c r="F59" i="89"/>
  <c r="J59" i="89"/>
  <c r="N59" i="89"/>
  <c r="G59" i="89"/>
  <c r="K59" i="89"/>
  <c r="O59" i="89"/>
  <c r="H59" i="89"/>
  <c r="L59" i="89"/>
  <c r="M59" i="89"/>
  <c r="I59" i="89"/>
  <c r="H165" i="89"/>
  <c r="L165" i="89"/>
  <c r="G165" i="89"/>
  <c r="O165" i="89"/>
  <c r="I165" i="89"/>
  <c r="M165" i="89"/>
  <c r="F165" i="89"/>
  <c r="J165" i="89"/>
  <c r="N165" i="89"/>
  <c r="K165" i="89"/>
  <c r="I161" i="89"/>
  <c r="F161" i="89"/>
  <c r="J161" i="89"/>
  <c r="L161" i="89"/>
  <c r="K161" i="89"/>
  <c r="G161" i="89"/>
  <c r="M161" i="89"/>
  <c r="H161" i="89"/>
  <c r="N161" i="89"/>
  <c r="O161" i="89"/>
  <c r="I157" i="89"/>
  <c r="M157" i="89"/>
  <c r="F157" i="89"/>
  <c r="J157" i="89"/>
  <c r="N157" i="89"/>
  <c r="L157" i="89"/>
  <c r="G157" i="89"/>
  <c r="O157" i="89"/>
  <c r="H157" i="89"/>
  <c r="K157" i="89"/>
  <c r="I153" i="89"/>
  <c r="M153" i="89"/>
  <c r="F153" i="89"/>
  <c r="J153" i="89"/>
  <c r="N153" i="89"/>
  <c r="L153" i="89"/>
  <c r="G153" i="89"/>
  <c r="O153" i="89"/>
  <c r="H153" i="89"/>
  <c r="K153" i="89"/>
  <c r="I149" i="89"/>
  <c r="M149" i="89"/>
  <c r="F149" i="89"/>
  <c r="J149" i="89"/>
  <c r="N149" i="89"/>
  <c r="L149" i="89"/>
  <c r="G149" i="89"/>
  <c r="O149" i="89"/>
  <c r="H149" i="89"/>
  <c r="K149" i="89"/>
  <c r="I145" i="89"/>
  <c r="M145" i="89"/>
  <c r="F145" i="89"/>
  <c r="J145" i="89"/>
  <c r="N145" i="89"/>
  <c r="L145" i="89"/>
  <c r="G145" i="89"/>
  <c r="O145" i="89"/>
  <c r="H145" i="89"/>
  <c r="K145" i="89"/>
  <c r="I141" i="89"/>
  <c r="M141" i="89"/>
  <c r="F141" i="89"/>
  <c r="J141" i="89"/>
  <c r="N141" i="89"/>
  <c r="L141" i="89"/>
  <c r="G141" i="89"/>
  <c r="O141" i="89"/>
  <c r="K141" i="89"/>
  <c r="H141" i="89"/>
  <c r="I137" i="89"/>
  <c r="M137" i="89"/>
  <c r="F137" i="89"/>
  <c r="J137" i="89"/>
  <c r="N137" i="89"/>
  <c r="L137" i="89"/>
  <c r="G137" i="89"/>
  <c r="O137" i="89"/>
  <c r="K137" i="89"/>
  <c r="H137" i="89"/>
  <c r="I133" i="89"/>
  <c r="M133" i="89"/>
  <c r="F133" i="89"/>
  <c r="J133" i="89"/>
  <c r="N133" i="89"/>
  <c r="L133" i="89"/>
  <c r="G133" i="89"/>
  <c r="O133" i="89"/>
  <c r="K133" i="89"/>
  <c r="H133" i="89"/>
  <c r="I129" i="89"/>
  <c r="M129" i="89"/>
  <c r="F129" i="89"/>
  <c r="J129" i="89"/>
  <c r="N129" i="89"/>
  <c r="L129" i="89"/>
  <c r="G129" i="89"/>
  <c r="O129" i="89"/>
  <c r="K129" i="89"/>
  <c r="H129" i="89"/>
  <c r="I125" i="89"/>
  <c r="M125" i="89"/>
  <c r="F125" i="89"/>
  <c r="J125" i="89"/>
  <c r="N125" i="89"/>
  <c r="L125" i="89"/>
  <c r="G125" i="89"/>
  <c r="O125" i="89"/>
  <c r="K125" i="89"/>
  <c r="H125" i="89"/>
  <c r="I121" i="89"/>
  <c r="M121" i="89"/>
  <c r="F121" i="89"/>
  <c r="J121" i="89"/>
  <c r="N121" i="89"/>
  <c r="L121" i="89"/>
  <c r="G121" i="89"/>
  <c r="O121" i="89"/>
  <c r="K121" i="89"/>
  <c r="H121" i="89"/>
  <c r="I117" i="89"/>
  <c r="M117" i="89"/>
  <c r="F117" i="89"/>
  <c r="J117" i="89"/>
  <c r="N117" i="89"/>
  <c r="L117" i="89"/>
  <c r="G117" i="89"/>
  <c r="O117" i="89"/>
  <c r="K117" i="89"/>
  <c r="H117" i="89"/>
  <c r="I113" i="89"/>
  <c r="M113" i="89"/>
  <c r="F113" i="89"/>
  <c r="J113" i="89"/>
  <c r="N113" i="89"/>
  <c r="L113" i="89"/>
  <c r="G113" i="89"/>
  <c r="O113" i="89"/>
  <c r="K113" i="89"/>
  <c r="H113" i="89"/>
  <c r="F109" i="89"/>
  <c r="J109" i="89"/>
  <c r="N109" i="89"/>
  <c r="G109" i="89"/>
  <c r="K109" i="89"/>
  <c r="O109" i="89"/>
  <c r="L109" i="89"/>
  <c r="M109" i="89"/>
  <c r="H109" i="89"/>
  <c r="I109" i="89"/>
  <c r="F105" i="89"/>
  <c r="J105" i="89"/>
  <c r="N105" i="89"/>
  <c r="G105" i="89"/>
  <c r="K105" i="89"/>
  <c r="O105" i="89"/>
  <c r="I105" i="89"/>
  <c r="L105" i="89"/>
  <c r="M105" i="89"/>
  <c r="H105" i="89"/>
  <c r="F101" i="89"/>
  <c r="J101" i="89"/>
  <c r="N101" i="89"/>
  <c r="G101" i="89"/>
  <c r="K101" i="89"/>
  <c r="O101" i="89"/>
  <c r="I101" i="89"/>
  <c r="L101" i="89"/>
  <c r="M101" i="89"/>
  <c r="H101" i="89"/>
  <c r="F97" i="89"/>
  <c r="J97" i="89"/>
  <c r="N97" i="89"/>
  <c r="G97" i="89"/>
  <c r="K97" i="89"/>
  <c r="O97" i="89"/>
  <c r="I97" i="89"/>
  <c r="L97" i="89"/>
  <c r="M97" i="89"/>
  <c r="H97" i="89"/>
  <c r="F93" i="89"/>
  <c r="J93" i="89"/>
  <c r="N93" i="89"/>
  <c r="G93" i="89"/>
  <c r="K93" i="89"/>
  <c r="O93" i="89"/>
  <c r="I93" i="89"/>
  <c r="L93" i="89"/>
  <c r="M93" i="89"/>
  <c r="H93" i="89"/>
  <c r="F89" i="89"/>
  <c r="J89" i="89"/>
  <c r="N89" i="89"/>
  <c r="G89" i="89"/>
  <c r="K89" i="89"/>
  <c r="O89" i="89"/>
  <c r="I89" i="89"/>
  <c r="L89" i="89"/>
  <c r="M89" i="89"/>
  <c r="H89" i="89"/>
  <c r="F85" i="89"/>
  <c r="J85" i="89"/>
  <c r="N85" i="89"/>
  <c r="G85" i="89"/>
  <c r="K85" i="89"/>
  <c r="O85" i="89"/>
  <c r="I85" i="89"/>
  <c r="L85" i="89"/>
  <c r="M85" i="89"/>
  <c r="H85" i="89"/>
  <c r="F81" i="89"/>
  <c r="J81" i="89"/>
  <c r="N81" i="89"/>
  <c r="G81" i="89"/>
  <c r="K81" i="89"/>
  <c r="O81" i="89"/>
  <c r="H81" i="89"/>
  <c r="L81" i="89"/>
  <c r="I81" i="89"/>
  <c r="M81" i="89"/>
  <c r="F77" i="89"/>
  <c r="J77" i="89"/>
  <c r="N77" i="89"/>
  <c r="G77" i="89"/>
  <c r="K77" i="89"/>
  <c r="O77" i="89"/>
  <c r="H77" i="89"/>
  <c r="L77" i="89"/>
  <c r="I77" i="89"/>
  <c r="M77" i="89"/>
  <c r="F73" i="89"/>
  <c r="J73" i="89"/>
  <c r="N73" i="89"/>
  <c r="G73" i="89"/>
  <c r="K73" i="89"/>
  <c r="O73" i="89"/>
  <c r="H73" i="89"/>
  <c r="L73" i="89"/>
  <c r="M73" i="89"/>
  <c r="I73" i="89"/>
  <c r="F69" i="89"/>
  <c r="J69" i="89"/>
  <c r="N69" i="89"/>
  <c r="G69" i="89"/>
  <c r="K69" i="89"/>
  <c r="O69" i="89"/>
  <c r="H69" i="89"/>
  <c r="L69" i="89"/>
  <c r="I69" i="89"/>
  <c r="M69" i="89"/>
  <c r="F65" i="89"/>
  <c r="J65" i="89"/>
  <c r="N65" i="89"/>
  <c r="G65" i="89"/>
  <c r="K65" i="89"/>
  <c r="O65" i="89"/>
  <c r="H65" i="89"/>
  <c r="L65" i="89"/>
  <c r="I65" i="89"/>
  <c r="M65" i="89"/>
  <c r="F61" i="89"/>
  <c r="J61" i="89"/>
  <c r="N61" i="89"/>
  <c r="G61" i="89"/>
  <c r="K61" i="89"/>
  <c r="O61" i="89"/>
  <c r="H61" i="89"/>
  <c r="L61" i="89"/>
  <c r="I61" i="89"/>
  <c r="M61" i="89"/>
  <c r="F57" i="89"/>
  <c r="J57" i="89"/>
  <c r="N57" i="89"/>
  <c r="G57" i="89"/>
  <c r="K57" i="89"/>
  <c r="O57" i="89"/>
  <c r="H57" i="89"/>
  <c r="L57" i="89"/>
  <c r="M57" i="89"/>
  <c r="I57" i="89"/>
  <c r="F53" i="89"/>
  <c r="J53" i="89"/>
  <c r="N53" i="89"/>
  <c r="G53" i="89"/>
  <c r="K53" i="89"/>
  <c r="O53" i="89"/>
  <c r="H53" i="89"/>
  <c r="L53" i="89"/>
  <c r="I53" i="89"/>
  <c r="M53" i="89"/>
  <c r="I159" i="89"/>
  <c r="M159" i="89"/>
  <c r="F159" i="89"/>
  <c r="J159" i="89"/>
  <c r="N159" i="89"/>
  <c r="H159" i="89"/>
  <c r="K159" i="89"/>
  <c r="L159" i="89"/>
  <c r="G159" i="89"/>
  <c r="O159" i="89"/>
  <c r="I143" i="89"/>
  <c r="M143" i="89"/>
  <c r="F143" i="89"/>
  <c r="J143" i="89"/>
  <c r="N143" i="89"/>
  <c r="H143" i="89"/>
  <c r="K143" i="89"/>
  <c r="G143" i="89"/>
  <c r="O143" i="89"/>
  <c r="L143" i="89"/>
  <c r="I131" i="89"/>
  <c r="M131" i="89"/>
  <c r="F131" i="89"/>
  <c r="J131" i="89"/>
  <c r="N131" i="89"/>
  <c r="H131" i="89"/>
  <c r="K131" i="89"/>
  <c r="G131" i="89"/>
  <c r="O131" i="89"/>
  <c r="L131" i="89"/>
  <c r="I111" i="89"/>
  <c r="M111" i="89"/>
  <c r="F111" i="89"/>
  <c r="J111" i="89"/>
  <c r="N111" i="89"/>
  <c r="H111" i="89"/>
  <c r="K111" i="89"/>
  <c r="G111" i="89"/>
  <c r="O111" i="89"/>
  <c r="L111" i="89"/>
  <c r="F99" i="89"/>
  <c r="J99" i="89"/>
  <c r="N99" i="89"/>
  <c r="G99" i="89"/>
  <c r="K99" i="89"/>
  <c r="O99" i="89"/>
  <c r="M99" i="89"/>
  <c r="H99" i="89"/>
  <c r="I99" i="89"/>
  <c r="L99" i="89"/>
  <c r="F87" i="89"/>
  <c r="J87" i="89"/>
  <c r="N87" i="89"/>
  <c r="G87" i="89"/>
  <c r="K87" i="89"/>
  <c r="O87" i="89"/>
  <c r="M87" i="89"/>
  <c r="H87" i="89"/>
  <c r="I87" i="89"/>
  <c r="L87" i="89"/>
  <c r="F79" i="89"/>
  <c r="J79" i="89"/>
  <c r="N79" i="89"/>
  <c r="G79" i="89"/>
  <c r="K79" i="89"/>
  <c r="O79" i="89"/>
  <c r="H79" i="89"/>
  <c r="L79" i="89"/>
  <c r="I79" i="89"/>
  <c r="M79" i="89"/>
  <c r="F63" i="89"/>
  <c r="J63" i="89"/>
  <c r="N63" i="89"/>
  <c r="G63" i="89"/>
  <c r="K63" i="89"/>
  <c r="O63" i="89"/>
  <c r="H63" i="89"/>
  <c r="L63" i="89"/>
  <c r="I63" i="89"/>
  <c r="M63" i="89"/>
  <c r="F51" i="89"/>
  <c r="J51" i="89"/>
  <c r="N51" i="89"/>
  <c r="G51" i="89"/>
  <c r="K51" i="89"/>
  <c r="O51" i="89"/>
  <c r="H51" i="89"/>
  <c r="L51" i="89"/>
  <c r="M51" i="89"/>
  <c r="I51" i="89"/>
  <c r="F164" i="89"/>
  <c r="J164" i="89"/>
  <c r="N164" i="89"/>
  <c r="I164" i="89"/>
  <c r="G164" i="89"/>
  <c r="K164" i="89"/>
  <c r="O164" i="89"/>
  <c r="H164" i="89"/>
  <c r="L164" i="89"/>
  <c r="M164" i="89"/>
  <c r="G160" i="89"/>
  <c r="K160" i="89"/>
  <c r="O160" i="89"/>
  <c r="H160" i="89"/>
  <c r="L160" i="89"/>
  <c r="F160" i="89"/>
  <c r="N160" i="89"/>
  <c r="I160" i="89"/>
  <c r="J160" i="89"/>
  <c r="M160" i="89"/>
  <c r="G156" i="89"/>
  <c r="K156" i="89"/>
  <c r="O156" i="89"/>
  <c r="H156" i="89"/>
  <c r="L156" i="89"/>
  <c r="F156" i="89"/>
  <c r="N156" i="89"/>
  <c r="I156" i="89"/>
  <c r="J156" i="89"/>
  <c r="M156" i="89"/>
  <c r="G152" i="89"/>
  <c r="K152" i="89"/>
  <c r="O152" i="89"/>
  <c r="H152" i="89"/>
  <c r="L152" i="89"/>
  <c r="F152" i="89"/>
  <c r="N152" i="89"/>
  <c r="I152" i="89"/>
  <c r="J152" i="89"/>
  <c r="M152" i="89"/>
  <c r="G148" i="89"/>
  <c r="K148" i="89"/>
  <c r="O148" i="89"/>
  <c r="H148" i="89"/>
  <c r="L148" i="89"/>
  <c r="F148" i="89"/>
  <c r="N148" i="89"/>
  <c r="I148" i="89"/>
  <c r="J148" i="89"/>
  <c r="M148" i="89"/>
  <c r="G144" i="89"/>
  <c r="K144" i="89"/>
  <c r="O144" i="89"/>
  <c r="H144" i="89"/>
  <c r="L144" i="89"/>
  <c r="F144" i="89"/>
  <c r="N144" i="89"/>
  <c r="I144" i="89"/>
  <c r="J144" i="89"/>
  <c r="M144" i="89"/>
  <c r="G140" i="89"/>
  <c r="K140" i="89"/>
  <c r="O140" i="89"/>
  <c r="H140" i="89"/>
  <c r="L140" i="89"/>
  <c r="F140" i="89"/>
  <c r="N140" i="89"/>
  <c r="I140" i="89"/>
  <c r="M140" i="89"/>
  <c r="J140" i="89"/>
  <c r="G136" i="89"/>
  <c r="K136" i="89"/>
  <c r="O136" i="89"/>
  <c r="H136" i="89"/>
  <c r="L136" i="89"/>
  <c r="F136" i="89"/>
  <c r="N136" i="89"/>
  <c r="I136" i="89"/>
  <c r="M136" i="89"/>
  <c r="J136" i="89"/>
  <c r="G132" i="89"/>
  <c r="K132" i="89"/>
  <c r="O132" i="89"/>
  <c r="H132" i="89"/>
  <c r="L132" i="89"/>
  <c r="F132" i="89"/>
  <c r="N132" i="89"/>
  <c r="I132" i="89"/>
  <c r="M132" i="89"/>
  <c r="J132" i="89"/>
  <c r="G128" i="89"/>
  <c r="K128" i="89"/>
  <c r="O128" i="89"/>
  <c r="H128" i="89"/>
  <c r="L128" i="89"/>
  <c r="F128" i="89"/>
  <c r="N128" i="89"/>
  <c r="I128" i="89"/>
  <c r="M128" i="89"/>
  <c r="J128" i="89"/>
  <c r="G124" i="89"/>
  <c r="K124" i="89"/>
  <c r="O124" i="89"/>
  <c r="H124" i="89"/>
  <c r="L124" i="89"/>
  <c r="F124" i="89"/>
  <c r="N124" i="89"/>
  <c r="I124" i="89"/>
  <c r="M124" i="89"/>
  <c r="J124" i="89"/>
  <c r="G120" i="89"/>
  <c r="K120" i="89"/>
  <c r="O120" i="89"/>
  <c r="H120" i="89"/>
  <c r="L120" i="89"/>
  <c r="F120" i="89"/>
  <c r="N120" i="89"/>
  <c r="I120" i="89"/>
  <c r="M120" i="89"/>
  <c r="J120" i="89"/>
  <c r="G116" i="89"/>
  <c r="K116" i="89"/>
  <c r="O116" i="89"/>
  <c r="H116" i="89"/>
  <c r="L116" i="89"/>
  <c r="F116" i="89"/>
  <c r="N116" i="89"/>
  <c r="I116" i="89"/>
  <c r="M116" i="89"/>
  <c r="J116" i="89"/>
  <c r="G112" i="89"/>
  <c r="K112" i="89"/>
  <c r="O112" i="89"/>
  <c r="H112" i="89"/>
  <c r="L112" i="89"/>
  <c r="F112" i="89"/>
  <c r="N112" i="89"/>
  <c r="I112" i="89"/>
  <c r="M112" i="89"/>
  <c r="J112" i="89"/>
  <c r="H108" i="89"/>
  <c r="L108" i="89"/>
  <c r="I108" i="89"/>
  <c r="M108" i="89"/>
  <c r="F108" i="89"/>
  <c r="N108" i="89"/>
  <c r="G108" i="89"/>
  <c r="O108" i="89"/>
  <c r="K108" i="89"/>
  <c r="J108" i="89"/>
  <c r="H104" i="89"/>
  <c r="L104" i="89"/>
  <c r="I104" i="89"/>
  <c r="M104" i="89"/>
  <c r="K104" i="89"/>
  <c r="F104" i="89"/>
  <c r="N104" i="89"/>
  <c r="G104" i="89"/>
  <c r="O104" i="89"/>
  <c r="J104" i="89"/>
  <c r="H100" i="89"/>
  <c r="L100" i="89"/>
  <c r="I100" i="89"/>
  <c r="M100" i="89"/>
  <c r="K100" i="89"/>
  <c r="F100" i="89"/>
  <c r="N100" i="89"/>
  <c r="G100" i="89"/>
  <c r="O100" i="89"/>
  <c r="J100" i="89"/>
  <c r="H96" i="89"/>
  <c r="L96" i="89"/>
  <c r="I96" i="89"/>
  <c r="M96" i="89"/>
  <c r="K96" i="89"/>
  <c r="F96" i="89"/>
  <c r="N96" i="89"/>
  <c r="G96" i="89"/>
  <c r="O96" i="89"/>
  <c r="J96" i="89"/>
  <c r="H92" i="89"/>
  <c r="L92" i="89"/>
  <c r="I92" i="89"/>
  <c r="M92" i="89"/>
  <c r="K92" i="89"/>
  <c r="F92" i="89"/>
  <c r="N92" i="89"/>
  <c r="G92" i="89"/>
  <c r="O92" i="89"/>
  <c r="J92" i="89"/>
  <c r="H88" i="89"/>
  <c r="L88" i="89"/>
  <c r="I88" i="89"/>
  <c r="M88" i="89"/>
  <c r="K88" i="89"/>
  <c r="F88" i="89"/>
  <c r="N88" i="89"/>
  <c r="G88" i="89"/>
  <c r="O88" i="89"/>
  <c r="J88" i="89"/>
  <c r="H84" i="89"/>
  <c r="L84" i="89"/>
  <c r="I84" i="89"/>
  <c r="M84" i="89"/>
  <c r="F84" i="89"/>
  <c r="J84" i="89"/>
  <c r="N84" i="89"/>
  <c r="G84" i="89"/>
  <c r="K84" i="89"/>
  <c r="O84" i="89"/>
  <c r="H80" i="89"/>
  <c r="L80" i="89"/>
  <c r="I80" i="89"/>
  <c r="M80" i="89"/>
  <c r="F80" i="89"/>
  <c r="J80" i="89"/>
  <c r="N80" i="89"/>
  <c r="K80" i="89"/>
  <c r="O80" i="89"/>
  <c r="G80" i="89"/>
  <c r="H76" i="89"/>
  <c r="L76" i="89"/>
  <c r="I76" i="89"/>
  <c r="M76" i="89"/>
  <c r="F76" i="89"/>
  <c r="J76" i="89"/>
  <c r="N76" i="89"/>
  <c r="G76" i="89"/>
  <c r="O76" i="89"/>
  <c r="K76" i="89"/>
  <c r="H72" i="89"/>
  <c r="L72" i="89"/>
  <c r="I72" i="89"/>
  <c r="M72" i="89"/>
  <c r="F72" i="89"/>
  <c r="J72" i="89"/>
  <c r="N72" i="89"/>
  <c r="K72" i="89"/>
  <c r="O72" i="89"/>
  <c r="G72" i="89"/>
  <c r="H68" i="89"/>
  <c r="L68" i="89"/>
  <c r="I68" i="89"/>
  <c r="M68" i="89"/>
  <c r="F68" i="89"/>
  <c r="J68" i="89"/>
  <c r="N68" i="89"/>
  <c r="G68" i="89"/>
  <c r="K68" i="89"/>
  <c r="O68" i="89"/>
  <c r="H64" i="89"/>
  <c r="L64" i="89"/>
  <c r="I64" i="89"/>
  <c r="M64" i="89"/>
  <c r="F64" i="89"/>
  <c r="J64" i="89"/>
  <c r="N64" i="89"/>
  <c r="K64" i="89"/>
  <c r="O64" i="89"/>
  <c r="G64" i="89"/>
  <c r="H60" i="89"/>
  <c r="L60" i="89"/>
  <c r="I60" i="89"/>
  <c r="M60" i="89"/>
  <c r="F60" i="89"/>
  <c r="J60" i="89"/>
  <c r="N60" i="89"/>
  <c r="G60" i="89"/>
  <c r="O60" i="89"/>
  <c r="K60" i="89"/>
  <c r="H56" i="89"/>
  <c r="L56" i="89"/>
  <c r="I56" i="89"/>
  <c r="M56" i="89"/>
  <c r="F56" i="89"/>
  <c r="J56" i="89"/>
  <c r="N56" i="89"/>
  <c r="K56" i="89"/>
  <c r="O56" i="89"/>
  <c r="G56" i="89"/>
  <c r="H52" i="89"/>
  <c r="L52" i="89"/>
  <c r="I52" i="89"/>
  <c r="M52" i="89"/>
  <c r="F52" i="89"/>
  <c r="J52" i="89"/>
  <c r="N52" i="89"/>
  <c r="G52" i="89"/>
  <c r="K52" i="89"/>
  <c r="O52" i="89"/>
  <c r="I123" i="89"/>
  <c r="M123" i="89"/>
  <c r="F123" i="89"/>
  <c r="J123" i="89"/>
  <c r="N123" i="89"/>
  <c r="H123" i="89"/>
  <c r="K123" i="89"/>
  <c r="G123" i="89"/>
  <c r="O123" i="89"/>
  <c r="L123" i="89"/>
  <c r="F67" i="89"/>
  <c r="J67" i="89"/>
  <c r="N67" i="89"/>
  <c r="G67" i="89"/>
  <c r="K67" i="89"/>
  <c r="O67" i="89"/>
  <c r="H67" i="89"/>
  <c r="L67" i="89"/>
  <c r="M67" i="89"/>
  <c r="I67" i="89"/>
  <c r="BU5" i="90"/>
  <c r="BW5" i="90"/>
  <c r="AW5" i="90"/>
  <c r="AY5" i="90"/>
  <c r="R28" i="89" l="1"/>
  <c r="AF28" i="89" s="1"/>
  <c r="R29" i="89"/>
  <c r="AF29" i="89" s="1"/>
  <c r="R30" i="89"/>
  <c r="AF30" i="89" s="1"/>
  <c r="R31" i="89"/>
  <c r="AF31" i="89" s="1"/>
  <c r="R32" i="89"/>
  <c r="AF32" i="89" s="1"/>
  <c r="R33" i="89"/>
  <c r="AF33" i="89" s="1"/>
  <c r="R34" i="89"/>
  <c r="AF34" i="89" s="1"/>
  <c r="R35" i="89"/>
  <c r="AF35" i="89" s="1"/>
  <c r="R36" i="89"/>
  <c r="AF36" i="89" s="1"/>
  <c r="F14" i="90"/>
  <c r="F15" i="90"/>
  <c r="F16" i="90"/>
  <c r="F17" i="90"/>
  <c r="F18" i="90"/>
  <c r="F19" i="90"/>
  <c r="F20" i="90"/>
  <c r="F21" i="90"/>
  <c r="F22" i="90"/>
  <c r="F23" i="90"/>
  <c r="F24" i="90"/>
  <c r="F25" i="90"/>
  <c r="F26" i="90"/>
  <c r="F27" i="90"/>
  <c r="F28" i="90"/>
  <c r="F29" i="90"/>
  <c r="F30" i="90"/>
  <c r="F31" i="90"/>
  <c r="F32" i="90"/>
  <c r="F33" i="90"/>
  <c r="F34" i="90"/>
  <c r="F35" i="90"/>
  <c r="F36" i="90"/>
  <c r="F37" i="90"/>
  <c r="F38" i="90"/>
  <c r="F39" i="90"/>
  <c r="F40" i="90"/>
  <c r="F13" i="90"/>
  <c r="Q149" i="89" l="1"/>
  <c r="Q147" i="89"/>
  <c r="Q146" i="89"/>
  <c r="Q148" i="89"/>
  <c r="Q159" i="89"/>
  <c r="Q161" i="89"/>
  <c r="Q158" i="89"/>
  <c r="Q160" i="89"/>
  <c r="Q143" i="89"/>
  <c r="Q145" i="89"/>
  <c r="Q142" i="89"/>
  <c r="Q144" i="89"/>
  <c r="Q165" i="89"/>
  <c r="Q163" i="89"/>
  <c r="Q162" i="89"/>
  <c r="Q164" i="89"/>
  <c r="Q155" i="89"/>
  <c r="Q157" i="89"/>
  <c r="Q154" i="89"/>
  <c r="Q156" i="89"/>
  <c r="Q139" i="89"/>
  <c r="Q141" i="89"/>
  <c r="Q138" i="89"/>
  <c r="Q140" i="89"/>
  <c r="Q169" i="89"/>
  <c r="Q167" i="89"/>
  <c r="Q166" i="89"/>
  <c r="Q168" i="89"/>
  <c r="Q151" i="89"/>
  <c r="Q153" i="89"/>
  <c r="Q150" i="89"/>
  <c r="Q152" i="89"/>
  <c r="Q135" i="89"/>
  <c r="Q137" i="89"/>
  <c r="Q134" i="89"/>
  <c r="Q136" i="89"/>
  <c r="FU86" i="98"/>
  <c r="FU87" i="98"/>
  <c r="FU88" i="98"/>
  <c r="FV88" i="98" s="1"/>
  <c r="FX88" i="98"/>
  <c r="FU89" i="98"/>
  <c r="FV89" i="98" s="1"/>
  <c r="FX89" i="98"/>
  <c r="FU90" i="98"/>
  <c r="FV90" i="98" s="1"/>
  <c r="FU91" i="98"/>
  <c r="FU92" i="98"/>
  <c r="FV92" i="98" s="1"/>
  <c r="FU93" i="98"/>
  <c r="FV93" i="98" s="1"/>
  <c r="FU94" i="98"/>
  <c r="FV94" i="98" s="1"/>
  <c r="FU95" i="98"/>
  <c r="FU96" i="98"/>
  <c r="FV96" i="98" s="1"/>
  <c r="FU97" i="98"/>
  <c r="FV97" i="98" s="1"/>
  <c r="FU98" i="98"/>
  <c r="FV98" i="98" s="1"/>
  <c r="FU99" i="98"/>
  <c r="FV99" i="98" s="1"/>
  <c r="FU100" i="98"/>
  <c r="FV100" i="98" s="1"/>
  <c r="FU101" i="98"/>
  <c r="FV101" i="98" s="1"/>
  <c r="FU102" i="98"/>
  <c r="FU103" i="98"/>
  <c r="FV103" i="98" s="1"/>
  <c r="FU104" i="98"/>
  <c r="FV104" i="98" s="1"/>
  <c r="FU105" i="98"/>
  <c r="FV105" i="98" s="1"/>
  <c r="FU106" i="98"/>
  <c r="FV106" i="98" s="1"/>
  <c r="FU107" i="98"/>
  <c r="FV107" i="98" s="1"/>
  <c r="FU108" i="98"/>
  <c r="FV108" i="98" s="1"/>
  <c r="FX108" i="98"/>
  <c r="FY108" i="98" s="1"/>
  <c r="FU109" i="98"/>
  <c r="FV109" i="98" s="1"/>
  <c r="FX109" i="98"/>
  <c r="FY109" i="98"/>
  <c r="FU110" i="98"/>
  <c r="FU111" i="98"/>
  <c r="FV111" i="98" s="1"/>
  <c r="FU112" i="98"/>
  <c r="FV112" i="98" s="1"/>
  <c r="FU113" i="98"/>
  <c r="FV113" i="98" s="1"/>
  <c r="FU114" i="98"/>
  <c r="FV114" i="98" s="1"/>
  <c r="FU115" i="98"/>
  <c r="FV115" i="98" s="1"/>
  <c r="FU116" i="98"/>
  <c r="FV116" i="98" s="1"/>
  <c r="FX116" i="98"/>
  <c r="FY116" i="98" s="1"/>
  <c r="FU117" i="98"/>
  <c r="FV117" i="98" s="1"/>
  <c r="FX117" i="98"/>
  <c r="FY117" i="98"/>
  <c r="FT117" i="98" s="1"/>
  <c r="FU118" i="98"/>
  <c r="FU119" i="98"/>
  <c r="FV119" i="98" s="1"/>
  <c r="FU120" i="98"/>
  <c r="FV120" i="98" s="1"/>
  <c r="FU121" i="98"/>
  <c r="FU122" i="98"/>
  <c r="FV122" i="98" s="1"/>
  <c r="FX122" i="98"/>
  <c r="FU123" i="98"/>
  <c r="FV123" i="98" s="1"/>
  <c r="FU124" i="98"/>
  <c r="FV124" i="98" s="1"/>
  <c r="FU125" i="98"/>
  <c r="FU126" i="98"/>
  <c r="FV126" i="98" s="1"/>
  <c r="FX126" i="98"/>
  <c r="FU127" i="98"/>
  <c r="FV127" i="98" s="1"/>
  <c r="FU128" i="98"/>
  <c r="FV128" i="98" s="1"/>
  <c r="FU129" i="98"/>
  <c r="FX129" i="98"/>
  <c r="FU130" i="98"/>
  <c r="FV130" i="98" s="1"/>
  <c r="FU131" i="98"/>
  <c r="FV131" i="98" s="1"/>
  <c r="FU132" i="98"/>
  <c r="FV132" i="98" s="1"/>
  <c r="FU133" i="98"/>
  <c r="FX133" i="98"/>
  <c r="FU134" i="98"/>
  <c r="FV134" i="98" s="1"/>
  <c r="FU135" i="98"/>
  <c r="FV135" i="98" s="1"/>
  <c r="FU136" i="98"/>
  <c r="FV136" i="98" s="1"/>
  <c r="FU137" i="98"/>
  <c r="FX137" i="98"/>
  <c r="FU138" i="98"/>
  <c r="FU139" i="98"/>
  <c r="FV139" i="98" s="1"/>
  <c r="FU140" i="98"/>
  <c r="FV140" i="98" s="1"/>
  <c r="FX140" i="98"/>
  <c r="FU141" i="98"/>
  <c r="FV141" i="98" s="1"/>
  <c r="FX141" i="98"/>
  <c r="FY141" i="98" s="1"/>
  <c r="FU142" i="98"/>
  <c r="FV142" i="98" s="1"/>
  <c r="FU143" i="98"/>
  <c r="FV143" i="98" s="1"/>
  <c r="FU144" i="98"/>
  <c r="FV144" i="98" s="1"/>
  <c r="FX144" i="98"/>
  <c r="FY144" i="98" s="1"/>
  <c r="FU145" i="98"/>
  <c r="FU146" i="98"/>
  <c r="FU147" i="98"/>
  <c r="FV147" i="98" s="1"/>
  <c r="FU148" i="98"/>
  <c r="FV148" i="98" s="1"/>
  <c r="FX148" i="98"/>
  <c r="FU149" i="98"/>
  <c r="FV149" i="98" s="1"/>
  <c r="FX149" i="98"/>
  <c r="FY149" i="98" s="1"/>
  <c r="FU150" i="98"/>
  <c r="FV150" i="98" s="1"/>
  <c r="FU151" i="98"/>
  <c r="FV151" i="98" s="1"/>
  <c r="FU152" i="98"/>
  <c r="FV152" i="98" s="1"/>
  <c r="FX152" i="98"/>
  <c r="FY152" i="98" s="1"/>
  <c r="FU153" i="98"/>
  <c r="FU154" i="98"/>
  <c r="FU155" i="98"/>
  <c r="FV155" i="98" s="1"/>
  <c r="FU156" i="98"/>
  <c r="FV156" i="98" s="1"/>
  <c r="FX156" i="98"/>
  <c r="FU157" i="98"/>
  <c r="FV157" i="98" s="1"/>
  <c r="FX157" i="98"/>
  <c r="FY157" i="98" s="1"/>
  <c r="FU158" i="98"/>
  <c r="FV158" i="98" s="1"/>
  <c r="FU159" i="98"/>
  <c r="FV159" i="98" s="1"/>
  <c r="FU160" i="98"/>
  <c r="FV160" i="98" s="1"/>
  <c r="FX160" i="98"/>
  <c r="FY160" i="98" s="1"/>
  <c r="FU161" i="98"/>
  <c r="FU162" i="98"/>
  <c r="FU163" i="98"/>
  <c r="FV163" i="98" s="1"/>
  <c r="FU164" i="98"/>
  <c r="FV164" i="98" s="1"/>
  <c r="FX164" i="98"/>
  <c r="FY164" i="98"/>
  <c r="FU165" i="98"/>
  <c r="FV165" i="98" s="1"/>
  <c r="FX165" i="98"/>
  <c r="FY165" i="98" s="1"/>
  <c r="FU166" i="98"/>
  <c r="FV166" i="98" s="1"/>
  <c r="FU167" i="98"/>
  <c r="FV167" i="98" s="1"/>
  <c r="FU168" i="98"/>
  <c r="FV168" i="98" s="1"/>
  <c r="FX168" i="98"/>
  <c r="FY168" i="98" s="1"/>
  <c r="FU169" i="98"/>
  <c r="FV169" i="98" s="1"/>
  <c r="FU170" i="98"/>
  <c r="FX170" i="98"/>
  <c r="FU171" i="98"/>
  <c r="FV171" i="98" s="1"/>
  <c r="FU172" i="98"/>
  <c r="FV172" i="98" s="1"/>
  <c r="FU173" i="98"/>
  <c r="FV173" i="98" s="1"/>
  <c r="FU174" i="98"/>
  <c r="FX174" i="98"/>
  <c r="FU175" i="98"/>
  <c r="FV175" i="98" s="1"/>
  <c r="FU176" i="98"/>
  <c r="FV176" i="98" s="1"/>
  <c r="FU177" i="98"/>
  <c r="FV177" i="98" s="1"/>
  <c r="FU178" i="98"/>
  <c r="FX178" i="98"/>
  <c r="FU179" i="98"/>
  <c r="FV179" i="98" s="1"/>
  <c r="FU180" i="98"/>
  <c r="FV180" i="98" s="1"/>
  <c r="FU181" i="98"/>
  <c r="FV181" i="98" s="1"/>
  <c r="FU182" i="98"/>
  <c r="FX182" i="98"/>
  <c r="FU183" i="98"/>
  <c r="FV183" i="98" s="1"/>
  <c r="FU184" i="98"/>
  <c r="FV184" i="98" s="1"/>
  <c r="FU185" i="98"/>
  <c r="FV185" i="98" s="1"/>
  <c r="FU186" i="98"/>
  <c r="FX186" i="98"/>
  <c r="FU187" i="98"/>
  <c r="FV187" i="98" s="1"/>
  <c r="FU188" i="98"/>
  <c r="FV188" i="98" s="1"/>
  <c r="FU189" i="98"/>
  <c r="FV189" i="98" s="1"/>
  <c r="FU190" i="98"/>
  <c r="FX190" i="98"/>
  <c r="FU191" i="98"/>
  <c r="FV191" i="98" s="1"/>
  <c r="FU192" i="98"/>
  <c r="FV192" i="98" s="1"/>
  <c r="FU193" i="98"/>
  <c r="FV193" i="98" s="1"/>
  <c r="FU194" i="98"/>
  <c r="FX194" i="98"/>
  <c r="FU195" i="98"/>
  <c r="FV195" i="98" s="1"/>
  <c r="FU196" i="98"/>
  <c r="FV196" i="98" s="1"/>
  <c r="FU197" i="98"/>
  <c r="FV197" i="98" s="1"/>
  <c r="FU198" i="98"/>
  <c r="FX198" i="98"/>
  <c r="FU199" i="98"/>
  <c r="FV199" i="98" s="1"/>
  <c r="FU200" i="98"/>
  <c r="FV200" i="98" s="1"/>
  <c r="FU201" i="98"/>
  <c r="FV201" i="98" s="1"/>
  <c r="FU202" i="98"/>
  <c r="FV202" i="98" s="1"/>
  <c r="FU203" i="98"/>
  <c r="FU204" i="98"/>
  <c r="FU205" i="98"/>
  <c r="FV205" i="98" s="1"/>
  <c r="FU206" i="98"/>
  <c r="FV206" i="98" s="1"/>
  <c r="FU207" i="98"/>
  <c r="FV207" i="98" s="1"/>
  <c r="FU208" i="98"/>
  <c r="FV208" i="98" s="1"/>
  <c r="FU209" i="98"/>
  <c r="FV209" i="98" s="1"/>
  <c r="FU210" i="98"/>
  <c r="FV210" i="98" s="1"/>
  <c r="FU211" i="98"/>
  <c r="FU212" i="98"/>
  <c r="FU213" i="98"/>
  <c r="FV213" i="98" s="1"/>
  <c r="FX213" i="98"/>
  <c r="FU214" i="98"/>
  <c r="FV214" i="98" s="1"/>
  <c r="FU215" i="98"/>
  <c r="FV215" i="98" s="1"/>
  <c r="FU216" i="98"/>
  <c r="FV216" i="98" s="1"/>
  <c r="FU217" i="98"/>
  <c r="FV217" i="98" s="1"/>
  <c r="FU218" i="98"/>
  <c r="FV218" i="98" s="1"/>
  <c r="FU219" i="98"/>
  <c r="FU220" i="98"/>
  <c r="FU221" i="98"/>
  <c r="FV221" i="98" s="1"/>
  <c r="FU222" i="98"/>
  <c r="FV222" i="98" s="1"/>
  <c r="FX222" i="98"/>
  <c r="FU223" i="98"/>
  <c r="FV223" i="98" s="1"/>
  <c r="FX223" i="98"/>
  <c r="FY223" i="98" s="1"/>
  <c r="FU224" i="98"/>
  <c r="FV224" i="98" s="1"/>
  <c r="FU225" i="98"/>
  <c r="FV225" i="98" s="1"/>
  <c r="FU226" i="98"/>
  <c r="FV226" i="98" s="1"/>
  <c r="FX226" i="98"/>
  <c r="FY226" i="98" s="1"/>
  <c r="GM226" i="98" s="1"/>
  <c r="FU227" i="98"/>
  <c r="FU228" i="98"/>
  <c r="FU229" i="98"/>
  <c r="FV229" i="98" s="1"/>
  <c r="FU230" i="98"/>
  <c r="FV230" i="98" s="1"/>
  <c r="FX230" i="98"/>
  <c r="FU231" i="98"/>
  <c r="FV231" i="98" s="1"/>
  <c r="FX231" i="98"/>
  <c r="FY231" i="98"/>
  <c r="FU232" i="98"/>
  <c r="FV232" i="98" s="1"/>
  <c r="FU233" i="98"/>
  <c r="FV233" i="98" s="1"/>
  <c r="FU234" i="98"/>
  <c r="FV234" i="98" s="1"/>
  <c r="FU235" i="98"/>
  <c r="FV235" i="98" s="1"/>
  <c r="FU236" i="98"/>
  <c r="FU237" i="98"/>
  <c r="FV237" i="98" s="1"/>
  <c r="FU238" i="98"/>
  <c r="FV238" i="98" s="1"/>
  <c r="FX238" i="98"/>
  <c r="FU239" i="98"/>
  <c r="FV239" i="98" s="1"/>
  <c r="FX239" i="98"/>
  <c r="FY239" i="98" s="1"/>
  <c r="FU240" i="98"/>
  <c r="FV240" i="98" s="1"/>
  <c r="FU241" i="98"/>
  <c r="FV241" i="98" s="1"/>
  <c r="FU242" i="98"/>
  <c r="FV242" i="98" s="1"/>
  <c r="FU243" i="98"/>
  <c r="FV243" i="98" s="1"/>
  <c r="FU244" i="98"/>
  <c r="FV244" i="98" s="1"/>
  <c r="FX244" i="98"/>
  <c r="FU245" i="98"/>
  <c r="FV245" i="98" s="1"/>
  <c r="FU246" i="98"/>
  <c r="FV246" i="98" s="1"/>
  <c r="FU247" i="98"/>
  <c r="FV247" i="98" s="1"/>
  <c r="FX247" i="98"/>
  <c r="FU248" i="98"/>
  <c r="FV248" i="98" s="1"/>
  <c r="FU249" i="98"/>
  <c r="FV249" i="98" s="1"/>
  <c r="FU250" i="98"/>
  <c r="FV250" i="98" s="1"/>
  <c r="FU251" i="98"/>
  <c r="FV251" i="98" s="1"/>
  <c r="FU252" i="98"/>
  <c r="FV252" i="98" s="1"/>
  <c r="FX252" i="98"/>
  <c r="FU253" i="98"/>
  <c r="FV253" i="98" s="1"/>
  <c r="FU254" i="98"/>
  <c r="FV254" i="98" s="1"/>
  <c r="FU255" i="98"/>
  <c r="FV255" i="98" s="1"/>
  <c r="FX255" i="98"/>
  <c r="FU256" i="98"/>
  <c r="FV256" i="98" s="1"/>
  <c r="FU257" i="98"/>
  <c r="FV257" i="98" s="1"/>
  <c r="FU258" i="98"/>
  <c r="FV258" i="98" s="1"/>
  <c r="FU259" i="98"/>
  <c r="FV259" i="98" s="1"/>
  <c r="FU260" i="98"/>
  <c r="FV260" i="98" s="1"/>
  <c r="FX260" i="98"/>
  <c r="FU261" i="98"/>
  <c r="FV261" i="98" s="1"/>
  <c r="FX261" i="98"/>
  <c r="FY261" i="98"/>
  <c r="FU262" i="98"/>
  <c r="FU263" i="98"/>
  <c r="FV263" i="98" s="1"/>
  <c r="FU264" i="98"/>
  <c r="FV264" i="98" s="1"/>
  <c r="FX264" i="98"/>
  <c r="FU265" i="98"/>
  <c r="FV265" i="98" s="1"/>
  <c r="FU266" i="98"/>
  <c r="FU267" i="98"/>
  <c r="FX267" i="98"/>
  <c r="FU268" i="98"/>
  <c r="FV268" i="98" s="1"/>
  <c r="FX268" i="98"/>
  <c r="FU269" i="98"/>
  <c r="FV269" i="98" s="1"/>
  <c r="FU270" i="98"/>
  <c r="FV270" i="98" s="1"/>
  <c r="FU271" i="98"/>
  <c r="FU272" i="98"/>
  <c r="FV272" i="98" s="1"/>
  <c r="FX272" i="98"/>
  <c r="FU273" i="98"/>
  <c r="FV273" i="98" s="1"/>
  <c r="FU274" i="98"/>
  <c r="FV274" i="98" s="1"/>
  <c r="FU275" i="98"/>
  <c r="FX275" i="98"/>
  <c r="FU276" i="98"/>
  <c r="FV276" i="98" s="1"/>
  <c r="FX276" i="98"/>
  <c r="FU277" i="98"/>
  <c r="FV277" i="98" s="1"/>
  <c r="FU278" i="98"/>
  <c r="FV278" i="98" s="1"/>
  <c r="FU279" i="98"/>
  <c r="FV279" i="98" s="1"/>
  <c r="FX279" i="98"/>
  <c r="FY279" i="98" s="1"/>
  <c r="FU280" i="98"/>
  <c r="FX280" i="98"/>
  <c r="FY280" i="98" s="1"/>
  <c r="FU281" i="98"/>
  <c r="FV281" i="98" s="1"/>
  <c r="FU282" i="98"/>
  <c r="FV282" i="98" s="1"/>
  <c r="FU283" i="98"/>
  <c r="FX283" i="98"/>
  <c r="FU284" i="98"/>
  <c r="FV284" i="98" s="1"/>
  <c r="FX284" i="98"/>
  <c r="FU285" i="98"/>
  <c r="FV285" i="98" s="1"/>
  <c r="FU286" i="98"/>
  <c r="FV286" i="98" s="1"/>
  <c r="FU287" i="98"/>
  <c r="FX287" i="98"/>
  <c r="FU288" i="98"/>
  <c r="FU289" i="98"/>
  <c r="FV289" i="98" s="1"/>
  <c r="FU290" i="98"/>
  <c r="FV290" i="98" s="1"/>
  <c r="FU291" i="98"/>
  <c r="FX291" i="98"/>
  <c r="FU292" i="98"/>
  <c r="FX292" i="98"/>
  <c r="FY292" i="98" s="1"/>
  <c r="FU293" i="98"/>
  <c r="FV293" i="98" s="1"/>
  <c r="FU294" i="98"/>
  <c r="FV294" i="98" s="1"/>
  <c r="FU295" i="98"/>
  <c r="FV295" i="98" s="1"/>
  <c r="FU296" i="98"/>
  <c r="FX296" i="98" s="1"/>
  <c r="FY296" i="98" s="1"/>
  <c r="FU297" i="98"/>
  <c r="FV297" i="98" s="1"/>
  <c r="FU298" i="98"/>
  <c r="FV298" i="98" s="1"/>
  <c r="FU299" i="98"/>
  <c r="FX299" i="98" s="1"/>
  <c r="FU300" i="98"/>
  <c r="FU301" i="98"/>
  <c r="FV301" i="98" s="1"/>
  <c r="FU302" i="98"/>
  <c r="FV302" i="98" s="1"/>
  <c r="FU303" i="98"/>
  <c r="FV303" i="98" s="1"/>
  <c r="FX303" i="98"/>
  <c r="FY303" i="98" s="1"/>
  <c r="FU304" i="98"/>
  <c r="FU305" i="98"/>
  <c r="FV305" i="98" s="1"/>
  <c r="FU306" i="98"/>
  <c r="FV306" i="98" s="1"/>
  <c r="FU307" i="98"/>
  <c r="FX307" i="98"/>
  <c r="FU308" i="98"/>
  <c r="FX308" i="98" s="1"/>
  <c r="FY308" i="98" s="1"/>
  <c r="FU309" i="98"/>
  <c r="FV309" i="98" s="1"/>
  <c r="FU310" i="98"/>
  <c r="FV310" i="98" s="1"/>
  <c r="FU311" i="98"/>
  <c r="FX311" i="98" s="1"/>
  <c r="FU312" i="98"/>
  <c r="FX312" i="98"/>
  <c r="FY312" i="98" s="1"/>
  <c r="FU313" i="98"/>
  <c r="FV313" i="98" s="1"/>
  <c r="FU314" i="98"/>
  <c r="FV314" i="98" s="1"/>
  <c r="FU315" i="98"/>
  <c r="FX315" i="98" s="1"/>
  <c r="FU316" i="98"/>
  <c r="FX316" i="98"/>
  <c r="FY316" i="98" s="1"/>
  <c r="GK316" i="98" s="1"/>
  <c r="GJ316" i="98"/>
  <c r="FU317" i="98"/>
  <c r="FV317" i="98" s="1"/>
  <c r="FU318" i="98"/>
  <c r="FV318" i="98" s="1"/>
  <c r="FU319" i="98"/>
  <c r="FX319" i="98" s="1"/>
  <c r="FU320" i="98"/>
  <c r="FX320" i="98"/>
  <c r="FY320" i="98" s="1"/>
  <c r="FU321" i="98"/>
  <c r="FV321" i="98" s="1"/>
  <c r="FU322" i="98"/>
  <c r="FV322" i="98" s="1"/>
  <c r="FU323" i="98"/>
  <c r="FX323" i="98" s="1"/>
  <c r="FU324" i="98"/>
  <c r="FX324" i="98"/>
  <c r="FY324" i="98" s="1"/>
  <c r="FU325" i="98"/>
  <c r="FV325" i="98" s="1"/>
  <c r="FU326" i="98"/>
  <c r="FV326" i="98" s="1"/>
  <c r="FU327" i="98"/>
  <c r="FX327" i="98"/>
  <c r="FU328" i="98"/>
  <c r="FU329" i="98"/>
  <c r="FV329" i="98" s="1"/>
  <c r="FU330" i="98"/>
  <c r="FV330" i="98" s="1"/>
  <c r="FU331" i="98"/>
  <c r="FV331" i="98" s="1"/>
  <c r="FX331" i="98"/>
  <c r="FY331" i="98" s="1"/>
  <c r="FU332" i="98"/>
  <c r="FU333" i="98"/>
  <c r="FV333" i="98" s="1"/>
  <c r="FU334" i="98"/>
  <c r="FV334" i="98" s="1"/>
  <c r="FU335" i="98"/>
  <c r="FU336" i="98"/>
  <c r="FX336" i="98" s="1"/>
  <c r="FY336" i="98" s="1"/>
  <c r="FU337" i="98"/>
  <c r="FV337" i="98" s="1"/>
  <c r="FU338" i="98"/>
  <c r="FV338" i="98" s="1"/>
  <c r="FU339" i="98"/>
  <c r="FX339" i="98"/>
  <c r="FU340" i="98"/>
  <c r="FU341" i="98"/>
  <c r="FV341" i="98" s="1"/>
  <c r="FU342" i="98"/>
  <c r="FV342" i="98" s="1"/>
  <c r="FX342" i="98"/>
  <c r="FU343" i="98"/>
  <c r="FV343" i="98" s="1"/>
  <c r="FU344" i="98"/>
  <c r="FU345" i="98"/>
  <c r="FU346" i="98"/>
  <c r="FV346" i="98" s="1"/>
  <c r="FU347" i="98"/>
  <c r="FV347" i="98" s="1"/>
  <c r="FX347" i="98"/>
  <c r="FU348" i="98"/>
  <c r="FV348" i="98" s="1"/>
  <c r="FU349" i="98"/>
  <c r="FV349" i="98" s="1"/>
  <c r="FU350" i="98"/>
  <c r="FV350" i="98" s="1"/>
  <c r="FX350" i="98"/>
  <c r="FU351" i="98"/>
  <c r="FV351" i="98" s="1"/>
  <c r="FX351" i="98"/>
  <c r="FY351" i="98" s="1"/>
  <c r="FU352" i="98"/>
  <c r="FU353" i="98"/>
  <c r="FU354" i="98"/>
  <c r="FV354" i="98" s="1"/>
  <c r="FU355" i="98"/>
  <c r="FV355" i="98" s="1"/>
  <c r="FU356" i="98"/>
  <c r="FV356" i="98" s="1"/>
  <c r="FU357" i="98"/>
  <c r="FV357" i="98" s="1"/>
  <c r="FU358" i="98"/>
  <c r="FV358" i="98" s="1"/>
  <c r="FX358" i="98"/>
  <c r="FU359" i="98"/>
  <c r="FV359" i="98" s="1"/>
  <c r="FU360" i="98"/>
  <c r="FU361" i="98"/>
  <c r="FU362" i="98"/>
  <c r="FV362" i="98" s="1"/>
  <c r="FU363" i="98"/>
  <c r="FV363" i="98" s="1"/>
  <c r="FU364" i="98"/>
  <c r="FU365" i="98"/>
  <c r="FV365" i="98" s="1"/>
  <c r="FU366" i="98"/>
  <c r="FV366" i="98" s="1"/>
  <c r="FU367" i="98"/>
  <c r="FV367" i="98" s="1"/>
  <c r="FU368" i="98"/>
  <c r="FV368" i="98" s="1"/>
  <c r="FU369" i="98"/>
  <c r="FX369" i="98"/>
  <c r="FY369" i="98" s="1"/>
  <c r="FU370" i="98"/>
  <c r="FV370" i="98" s="1"/>
  <c r="FU371" i="98"/>
  <c r="FV371" i="98" s="1"/>
  <c r="FU372" i="98"/>
  <c r="FV372" i="98" s="1"/>
  <c r="FX372" i="98"/>
  <c r="FY372" i="98" s="1"/>
  <c r="FU373" i="98"/>
  <c r="FU374" i="98"/>
  <c r="FU375" i="98"/>
  <c r="FV375" i="98" s="1"/>
  <c r="FX375" i="98"/>
  <c r="FU376" i="98"/>
  <c r="FV376" i="98" s="1"/>
  <c r="FX376" i="98"/>
  <c r="FY376" i="98"/>
  <c r="FU377" i="98"/>
  <c r="FV377" i="98" s="1"/>
  <c r="FU378" i="98"/>
  <c r="FV378" i="98" s="1"/>
  <c r="FU379" i="98"/>
  <c r="FV379" i="98" s="1"/>
  <c r="FU380" i="98"/>
  <c r="FV380" i="98" s="1"/>
  <c r="FU381" i="98"/>
  <c r="FU382" i="98"/>
  <c r="FU383" i="98"/>
  <c r="FV383" i="98" s="1"/>
  <c r="FX383" i="98"/>
  <c r="FU384" i="98"/>
  <c r="FV384" i="98" s="1"/>
  <c r="FU385" i="98"/>
  <c r="FV385" i="98" s="1"/>
  <c r="FX385" i="98"/>
  <c r="FY385" i="98" s="1"/>
  <c r="FU386" i="98"/>
  <c r="FV386" i="98" s="1"/>
  <c r="FU387" i="98"/>
  <c r="FV387" i="98" s="1"/>
  <c r="FU388" i="98"/>
  <c r="FV388" i="98" s="1"/>
  <c r="FX388" i="98"/>
  <c r="FY388" i="98" s="1"/>
  <c r="FU389" i="98"/>
  <c r="FU390" i="98"/>
  <c r="FU391" i="98"/>
  <c r="FV391" i="98" s="1"/>
  <c r="FU392" i="98"/>
  <c r="FV392" i="98" s="1"/>
  <c r="FX392" i="98"/>
  <c r="FY392" i="98" s="1"/>
  <c r="FU393" i="98"/>
  <c r="FX393" i="98" s="1"/>
  <c r="FY393" i="98" s="1"/>
  <c r="FU394" i="98"/>
  <c r="FV394" i="98" s="1"/>
  <c r="FU395" i="98"/>
  <c r="FV395" i="98" s="1"/>
  <c r="FU396" i="98"/>
  <c r="FV396" i="98" s="1"/>
  <c r="FU397" i="98"/>
  <c r="FV397" i="98" s="1"/>
  <c r="FX397" i="98"/>
  <c r="FY397" i="98" s="1"/>
  <c r="FU398" i="98"/>
  <c r="FV398" i="98" s="1"/>
  <c r="FU399" i="98"/>
  <c r="FV399" i="98" s="1"/>
  <c r="FU400" i="98"/>
  <c r="FV400" i="98" s="1"/>
  <c r="FX400" i="98"/>
  <c r="FY400" i="98" s="1"/>
  <c r="FU401" i="98"/>
  <c r="FX401" i="98"/>
  <c r="FY401" i="98" s="1"/>
  <c r="FU402" i="98"/>
  <c r="FV402" i="98" s="1"/>
  <c r="FU403" i="98"/>
  <c r="FV403" i="98" s="1"/>
  <c r="FU404" i="98"/>
  <c r="FV404" i="98" s="1"/>
  <c r="FU405" i="98"/>
  <c r="FV405" i="98" s="1"/>
  <c r="FX405" i="98"/>
  <c r="FY405" i="98" s="1"/>
  <c r="FU406" i="98"/>
  <c r="FV406" i="98" s="1"/>
  <c r="FU407" i="98"/>
  <c r="FV407" i="98" s="1"/>
  <c r="FU408" i="98"/>
  <c r="FX408" i="98"/>
  <c r="FU409" i="98"/>
  <c r="FV409" i="98" s="1"/>
  <c r="FU410" i="98"/>
  <c r="FV410" i="98" s="1"/>
  <c r="FU411" i="98"/>
  <c r="FV411" i="98" s="1"/>
  <c r="FU412" i="98"/>
  <c r="FU413" i="98"/>
  <c r="FX413" i="98"/>
  <c r="FU414" i="98"/>
  <c r="FV414" i="98" s="1"/>
  <c r="FU415" i="98"/>
  <c r="FV415" i="98" s="1"/>
  <c r="FU416" i="98"/>
  <c r="FU417" i="98"/>
  <c r="FX417" i="98"/>
  <c r="FU418" i="98"/>
  <c r="FV418" i="98" s="1"/>
  <c r="FU419" i="98"/>
  <c r="FV419" i="98" s="1"/>
  <c r="FU420" i="98"/>
  <c r="FU421" i="98"/>
  <c r="FX421" i="98" s="1"/>
  <c r="FY421" i="98" s="1"/>
  <c r="FU422" i="98"/>
  <c r="FV422" i="98" s="1"/>
  <c r="FU423" i="98"/>
  <c r="FV423" i="98" s="1"/>
  <c r="FU424" i="98"/>
  <c r="FU425" i="98"/>
  <c r="FX425" i="98" s="1"/>
  <c r="FU426" i="98"/>
  <c r="FV426" i="98" s="1"/>
  <c r="FU427" i="98"/>
  <c r="FV427" i="98" s="1"/>
  <c r="FU428" i="98"/>
  <c r="FU429" i="98"/>
  <c r="FV429" i="98" s="1"/>
  <c r="FX429" i="98"/>
  <c r="FU430" i="98"/>
  <c r="FX430" i="98" s="1"/>
  <c r="FU431" i="98"/>
  <c r="FV431" i="98" s="1"/>
  <c r="FU432" i="98"/>
  <c r="FU433" i="98"/>
  <c r="FV433" i="98" s="1"/>
  <c r="FX433" i="98"/>
  <c r="FY433" i="98" s="1"/>
  <c r="FU434" i="98"/>
  <c r="FV434" i="98" s="1"/>
  <c r="FU435" i="98"/>
  <c r="FV435" i="98" s="1"/>
  <c r="FU436" i="98"/>
  <c r="FU437" i="98"/>
  <c r="FV437" i="98" s="1"/>
  <c r="FX437" i="98"/>
  <c r="FY437" i="98" s="1"/>
  <c r="FU438" i="98"/>
  <c r="FV438" i="98" s="1"/>
  <c r="FU439" i="98"/>
  <c r="FV439" i="98" s="1"/>
  <c r="FU440" i="98"/>
  <c r="FU441" i="98"/>
  <c r="FV441" i="98" s="1"/>
  <c r="FU442" i="98"/>
  <c r="FV442" i="98" s="1"/>
  <c r="FU443" i="98"/>
  <c r="FV443" i="98" s="1"/>
  <c r="FU444" i="98"/>
  <c r="FU445" i="98"/>
  <c r="FV445" i="98" s="1"/>
  <c r="FU446" i="98"/>
  <c r="FV446" i="98" s="1"/>
  <c r="FU447" i="98"/>
  <c r="FV447" i="98" s="1"/>
  <c r="FU448" i="98"/>
  <c r="FU449" i="98"/>
  <c r="FV449" i="98" s="1"/>
  <c r="FX449" i="98"/>
  <c r="FY449" i="98" s="1"/>
  <c r="FU450" i="98"/>
  <c r="FV450" i="98" s="1"/>
  <c r="FU451" i="98"/>
  <c r="FV451" i="98" s="1"/>
  <c r="FU452" i="98"/>
  <c r="FU453" i="98"/>
  <c r="FV453" i="98" s="1"/>
  <c r="FX453" i="98"/>
  <c r="FU454" i="98"/>
  <c r="FV454" i="98" s="1"/>
  <c r="FU455" i="98"/>
  <c r="FV455" i="98" s="1"/>
  <c r="FU456" i="98"/>
  <c r="FU457" i="98"/>
  <c r="FV457" i="98" s="1"/>
  <c r="FU458" i="98"/>
  <c r="FX458" i="98"/>
  <c r="FY458" i="98"/>
  <c r="FU459" i="98"/>
  <c r="FV459" i="98" s="1"/>
  <c r="FU460" i="98"/>
  <c r="FU461" i="98"/>
  <c r="FX461" i="98"/>
  <c r="FU462" i="98"/>
  <c r="FV462" i="98" s="1"/>
  <c r="FX462" i="98"/>
  <c r="FY462" i="98"/>
  <c r="FT462" i="98" s="1"/>
  <c r="FU463" i="98"/>
  <c r="FV463" i="98" s="1"/>
  <c r="FU464" i="98"/>
  <c r="FU465" i="98"/>
  <c r="FV465" i="98" s="1"/>
  <c r="FX465" i="98"/>
  <c r="FU466" i="98"/>
  <c r="FV466" i="98" s="1"/>
  <c r="FU467" i="98"/>
  <c r="FV467" i="98" s="1"/>
  <c r="FU468" i="98"/>
  <c r="FU469" i="98"/>
  <c r="FX469" i="98"/>
  <c r="FU470" i="98"/>
  <c r="FV470" i="98" s="1"/>
  <c r="FU471" i="98"/>
  <c r="FV471" i="98" s="1"/>
  <c r="FU472" i="98"/>
  <c r="FV472" i="98" s="1"/>
  <c r="FW472" i="98"/>
  <c r="FX472" i="98"/>
  <c r="FY472" i="98" s="1"/>
  <c r="FU473" i="98"/>
  <c r="FV473" i="98" s="1"/>
  <c r="FX473" i="98"/>
  <c r="FY473" i="98" s="1"/>
  <c r="FU474" i="98"/>
  <c r="FV474" i="98" s="1"/>
  <c r="FU475" i="98"/>
  <c r="FV475" i="98" s="1"/>
  <c r="FU476" i="98"/>
  <c r="FX476" i="98" s="1"/>
  <c r="FU477" i="98"/>
  <c r="FU478" i="98"/>
  <c r="FV478" i="98" s="1"/>
  <c r="FU479" i="98"/>
  <c r="FV479" i="98" s="1"/>
  <c r="FX479" i="98"/>
  <c r="FU480" i="98"/>
  <c r="FX480" i="98"/>
  <c r="FU481" i="98"/>
  <c r="FU482" i="98"/>
  <c r="FV482" i="98" s="1"/>
  <c r="FU483" i="98"/>
  <c r="FV483" i="98" s="1"/>
  <c r="FU484" i="98"/>
  <c r="FX484" i="98"/>
  <c r="FU485" i="98"/>
  <c r="FU486" i="98"/>
  <c r="FV486" i="98" s="1"/>
  <c r="FU487" i="98"/>
  <c r="FV487" i="98" s="1"/>
  <c r="FU488" i="98"/>
  <c r="FX488" i="98"/>
  <c r="FU489" i="98"/>
  <c r="FU490" i="98"/>
  <c r="FV490" i="98" s="1"/>
  <c r="FU491" i="98"/>
  <c r="FV491" i="98" s="1"/>
  <c r="FU492" i="98"/>
  <c r="FX492" i="98"/>
  <c r="FU493" i="98"/>
  <c r="FU494" i="98"/>
  <c r="FV494" i="98" s="1"/>
  <c r="FU495" i="98"/>
  <c r="FV495" i="98" s="1"/>
  <c r="FU496" i="98"/>
  <c r="FX496" i="98"/>
  <c r="FU497" i="98"/>
  <c r="FU498" i="98"/>
  <c r="FV498" i="98" s="1"/>
  <c r="FU499" i="98"/>
  <c r="FV499" i="98" s="1"/>
  <c r="FX499" i="98"/>
  <c r="FY499" i="98"/>
  <c r="FU500" i="98"/>
  <c r="FX500" i="98" s="1"/>
  <c r="FU501" i="98"/>
  <c r="FU502" i="98"/>
  <c r="FV502" i="98" s="1"/>
  <c r="FU503" i="98"/>
  <c r="FV503" i="98" s="1"/>
  <c r="FX503" i="98"/>
  <c r="FY503" i="98"/>
  <c r="FU504" i="98"/>
  <c r="FX504" i="98" s="1"/>
  <c r="FU505" i="98"/>
  <c r="FU506" i="98"/>
  <c r="FV506" i="98" s="1"/>
  <c r="FU507" i="98"/>
  <c r="FV507" i="98" s="1"/>
  <c r="FX507" i="98"/>
  <c r="FY507" i="98"/>
  <c r="FU508" i="98"/>
  <c r="FX508" i="98" s="1"/>
  <c r="FU509" i="98"/>
  <c r="FU510" i="98"/>
  <c r="FV510" i="98" s="1"/>
  <c r="FU511" i="98"/>
  <c r="FV511" i="98" s="1"/>
  <c r="FX511" i="98"/>
  <c r="FY511" i="98"/>
  <c r="FU512" i="98"/>
  <c r="FX512" i="98" s="1"/>
  <c r="FU513" i="98"/>
  <c r="FU514" i="98"/>
  <c r="FV514" i="98" s="1"/>
  <c r="FU515" i="98"/>
  <c r="FV515" i="98" s="1"/>
  <c r="FX515" i="98"/>
  <c r="FY515" i="98"/>
  <c r="FU516" i="98"/>
  <c r="FX516" i="98" s="1"/>
  <c r="FU517" i="98"/>
  <c r="FU518" i="98"/>
  <c r="FV518" i="98" s="1"/>
  <c r="FU519" i="98"/>
  <c r="FV519" i="98" s="1"/>
  <c r="FU520" i="98"/>
  <c r="FX520" i="98"/>
  <c r="FU521" i="98"/>
  <c r="FU522" i="98"/>
  <c r="FV522" i="98" s="1"/>
  <c r="FU523" i="98"/>
  <c r="FU524" i="98"/>
  <c r="FV524" i="98" s="1"/>
  <c r="FU525" i="98"/>
  <c r="FU526" i="98"/>
  <c r="FV526" i="98" s="1"/>
  <c r="FU527" i="98"/>
  <c r="FV527" i="98" s="1"/>
  <c r="FU528" i="98"/>
  <c r="FV528" i="98" s="1"/>
  <c r="FU529" i="98"/>
  <c r="FU530" i="98"/>
  <c r="FV530" i="98" s="1"/>
  <c r="FU531" i="98"/>
  <c r="FU532" i="98"/>
  <c r="FX532" i="98" s="1"/>
  <c r="FU533" i="98"/>
  <c r="FU534" i="98"/>
  <c r="FV534" i="98" s="1"/>
  <c r="FU535" i="98"/>
  <c r="FU536" i="98"/>
  <c r="FV536" i="98" s="1"/>
  <c r="FX536" i="98"/>
  <c r="FU537" i="98"/>
  <c r="FU538" i="98"/>
  <c r="FV538" i="98" s="1"/>
  <c r="FU539" i="98"/>
  <c r="FU540" i="98"/>
  <c r="FX540" i="98"/>
  <c r="FU541" i="98"/>
  <c r="FU542" i="98"/>
  <c r="FV542" i="98" s="1"/>
  <c r="FU543" i="98"/>
  <c r="FU544" i="98"/>
  <c r="FV544" i="98" s="1"/>
  <c r="FU545" i="98"/>
  <c r="FU546" i="98"/>
  <c r="FV546" i="98" s="1"/>
  <c r="FU547" i="98"/>
  <c r="FV547" i="98" s="1"/>
  <c r="FU548" i="98"/>
  <c r="FV548" i="98" s="1"/>
  <c r="FU549" i="98"/>
  <c r="FU550" i="98"/>
  <c r="FV550" i="98" s="1"/>
  <c r="FU551" i="98"/>
  <c r="FU552" i="98"/>
  <c r="FX552" i="98" s="1"/>
  <c r="FU553" i="98"/>
  <c r="FU554" i="98"/>
  <c r="FV554" i="98" s="1"/>
  <c r="FU555" i="98"/>
  <c r="FU556" i="98"/>
  <c r="FV556" i="98" s="1"/>
  <c r="FX556" i="98"/>
  <c r="FY556" i="98" s="1"/>
  <c r="GN556" i="98"/>
  <c r="FU557" i="98"/>
  <c r="FU558" i="98"/>
  <c r="FV558" i="98" s="1"/>
  <c r="FU559" i="98"/>
  <c r="FU560" i="98"/>
  <c r="FX560" i="98" s="1"/>
  <c r="FU561" i="98"/>
  <c r="FV561" i="98" s="1"/>
  <c r="FU562" i="98"/>
  <c r="FV562" i="98" s="1"/>
  <c r="FU563" i="98"/>
  <c r="FU564" i="98"/>
  <c r="FV564" i="98" s="1"/>
  <c r="FX564" i="98"/>
  <c r="FU565" i="98"/>
  <c r="FV565" i="98" s="1"/>
  <c r="FU566" i="98"/>
  <c r="FV566" i="98" s="1"/>
  <c r="FU567" i="98"/>
  <c r="FU568" i="98"/>
  <c r="FV568" i="98" s="1"/>
  <c r="FU569" i="98"/>
  <c r="FV569" i="98" s="1"/>
  <c r="FX569" i="98"/>
  <c r="FY569" i="98" s="1"/>
  <c r="FU570" i="98"/>
  <c r="FV570" i="98" s="1"/>
  <c r="FX570" i="98"/>
  <c r="FY570" i="98" s="1"/>
  <c r="FU571" i="98"/>
  <c r="FV571" i="98" s="1"/>
  <c r="FU572" i="98"/>
  <c r="FV572" i="98" s="1"/>
  <c r="FU573" i="98"/>
  <c r="FV573" i="98" s="1"/>
  <c r="FX573" i="98"/>
  <c r="FY573" i="98" s="1"/>
  <c r="FU574" i="98"/>
  <c r="FV574" i="98" s="1"/>
  <c r="FX574" i="98"/>
  <c r="FY574" i="98" s="1"/>
  <c r="FU575" i="98"/>
  <c r="FV575" i="98" s="1"/>
  <c r="FU576" i="98"/>
  <c r="FV576" i="98" s="1"/>
  <c r="FU577" i="98"/>
  <c r="FV577" i="98" s="1"/>
  <c r="FX577" i="98"/>
  <c r="FY577" i="98" s="1"/>
  <c r="FU578" i="98"/>
  <c r="FX578" i="98"/>
  <c r="FY578" i="98" s="1"/>
  <c r="FU579" i="98"/>
  <c r="FV579" i="98" s="1"/>
  <c r="FU580" i="98"/>
  <c r="FV580" i="98" s="1"/>
  <c r="FU581" i="98"/>
  <c r="FV581" i="98" s="1"/>
  <c r="FW581" i="98"/>
  <c r="FX581" i="98"/>
  <c r="FY581" i="98" s="1"/>
  <c r="FU582" i="98"/>
  <c r="FV582" i="98" s="1"/>
  <c r="FU583" i="98"/>
  <c r="FV583" i="98" s="1"/>
  <c r="FU584" i="98"/>
  <c r="FV584" i="98" s="1"/>
  <c r="FU585" i="98"/>
  <c r="FV585" i="98" s="1"/>
  <c r="FU586" i="98"/>
  <c r="FV586" i="98" s="1"/>
  <c r="FU587" i="98"/>
  <c r="FV587" i="98" s="1"/>
  <c r="FU588" i="98"/>
  <c r="FV588" i="98" s="1"/>
  <c r="FU589" i="98"/>
  <c r="FV589" i="98" s="1"/>
  <c r="FX589" i="98"/>
  <c r="FY589" i="98" s="1"/>
  <c r="FU590" i="98"/>
  <c r="FV590" i="98" s="1"/>
  <c r="FX590" i="98"/>
  <c r="FY590" i="98" s="1"/>
  <c r="FU591" i="98"/>
  <c r="FV591" i="98" s="1"/>
  <c r="FU592" i="98"/>
  <c r="FV592" i="98" s="1"/>
  <c r="FU593" i="98"/>
  <c r="FV593" i="98" s="1"/>
  <c r="FX593" i="98"/>
  <c r="FY593" i="98" s="1"/>
  <c r="FU594" i="98"/>
  <c r="FX594" i="98"/>
  <c r="FY594" i="98" s="1"/>
  <c r="FU595" i="98"/>
  <c r="FV595" i="98" s="1"/>
  <c r="FU596" i="98"/>
  <c r="FV596" i="98" s="1"/>
  <c r="FU597" i="98"/>
  <c r="FV597" i="98" s="1"/>
  <c r="FU598" i="98"/>
  <c r="FV598" i="98" s="1"/>
  <c r="FU599" i="98"/>
  <c r="FV599" i="98" s="1"/>
  <c r="FU600" i="98"/>
  <c r="FV600" i="98" s="1"/>
  <c r="FU601" i="98"/>
  <c r="FV601" i="98" s="1"/>
  <c r="FU602" i="98"/>
  <c r="FV602" i="98" s="1"/>
  <c r="FU603" i="98"/>
  <c r="FV603" i="98" s="1"/>
  <c r="FU604" i="98"/>
  <c r="FV604" i="98" s="1"/>
  <c r="FU605" i="98"/>
  <c r="FV605" i="98" s="1"/>
  <c r="FU606" i="98"/>
  <c r="FV606" i="98" s="1"/>
  <c r="FU607" i="98"/>
  <c r="FV607" i="98" s="1"/>
  <c r="FU608" i="98"/>
  <c r="FV608" i="98" s="1"/>
  <c r="FU609" i="98"/>
  <c r="FV609" i="98" s="1"/>
  <c r="FU610" i="98"/>
  <c r="FU611" i="98"/>
  <c r="FV611" i="98" s="1"/>
  <c r="FU612" i="98"/>
  <c r="FV612" i="98" s="1"/>
  <c r="FU613" i="98"/>
  <c r="FV613" i="98" s="1"/>
  <c r="FX613" i="98"/>
  <c r="FY613" i="98" s="1"/>
  <c r="FU614" i="98"/>
  <c r="FV614" i="98" s="1"/>
  <c r="FX614" i="98"/>
  <c r="FY614" i="98" s="1"/>
  <c r="FU615" i="98"/>
  <c r="FV615" i="98" s="1"/>
  <c r="FU616" i="98"/>
  <c r="FV616" i="98" s="1"/>
  <c r="FU617" i="98"/>
  <c r="FV617" i="98" s="1"/>
  <c r="FX617" i="98"/>
  <c r="FY617" i="98" s="1"/>
  <c r="FU618" i="98"/>
  <c r="FV618" i="98" s="1"/>
  <c r="FX618" i="98"/>
  <c r="FY618" i="98" s="1"/>
  <c r="FU619" i="98"/>
  <c r="FV619" i="98" s="1"/>
  <c r="FU620" i="98"/>
  <c r="FV620" i="98" s="1"/>
  <c r="FU621" i="98"/>
  <c r="FV621" i="98" s="1"/>
  <c r="FX621" i="98"/>
  <c r="FY621" i="98" s="1"/>
  <c r="FU622" i="98"/>
  <c r="FV622" i="98" s="1"/>
  <c r="FX622" i="98"/>
  <c r="FY622" i="98" s="1"/>
  <c r="FU623" i="98"/>
  <c r="FV623" i="98" s="1"/>
  <c r="FU624" i="98"/>
  <c r="FV624" i="98" s="1"/>
  <c r="FU625" i="98"/>
  <c r="FV625" i="98" s="1"/>
  <c r="FX625" i="98"/>
  <c r="FY625" i="98" s="1"/>
  <c r="FU626" i="98"/>
  <c r="FX626" i="98"/>
  <c r="FY626" i="98" s="1"/>
  <c r="GF626" i="98" s="1"/>
  <c r="FU627" i="98"/>
  <c r="FV627" i="98" s="1"/>
  <c r="FU628" i="98"/>
  <c r="FV628" i="98" s="1"/>
  <c r="FU629" i="98"/>
  <c r="FV629" i="98" s="1"/>
  <c r="FX629" i="98"/>
  <c r="FY629" i="98" s="1"/>
  <c r="FU630" i="98"/>
  <c r="FV630" i="98" s="1"/>
  <c r="FX630" i="98"/>
  <c r="FY630" i="98" s="1"/>
  <c r="FU631" i="98"/>
  <c r="FV631" i="98" s="1"/>
  <c r="FU632" i="98"/>
  <c r="FV632" i="98" s="1"/>
  <c r="FU633" i="98"/>
  <c r="FU634" i="98"/>
  <c r="FV634" i="98" s="1"/>
  <c r="FU635" i="98"/>
  <c r="FV635" i="98" s="1"/>
  <c r="FU636" i="98"/>
  <c r="FV636" i="98" s="1"/>
  <c r="FU637" i="98"/>
  <c r="FU638" i="98"/>
  <c r="FV638" i="98" s="1"/>
  <c r="FX638" i="98"/>
  <c r="FY638" i="98" s="1"/>
  <c r="FU639" i="98"/>
  <c r="FV639" i="98" s="1"/>
  <c r="FU640" i="98"/>
  <c r="FV640" i="98" s="1"/>
  <c r="FU641" i="98"/>
  <c r="FX641" i="98"/>
  <c r="FU642" i="98"/>
  <c r="FX642" i="98"/>
  <c r="FY642" i="98" s="1"/>
  <c r="FU643" i="98"/>
  <c r="FV643" i="98" s="1"/>
  <c r="FU644" i="98"/>
  <c r="FV644" i="98" s="1"/>
  <c r="FU645" i="98"/>
  <c r="FV645" i="98" s="1"/>
  <c r="FW645" i="98"/>
  <c r="FX645" i="98"/>
  <c r="FY645" i="98" s="1"/>
  <c r="FU646" i="98"/>
  <c r="FV646" i="98" s="1"/>
  <c r="FU647" i="98"/>
  <c r="FV647" i="98" s="1"/>
  <c r="FU648" i="98"/>
  <c r="FV648" i="98" s="1"/>
  <c r="FU649" i="98"/>
  <c r="FU650" i="98"/>
  <c r="FV650" i="98" s="1"/>
  <c r="FX650" i="98"/>
  <c r="FY650" i="98" s="1"/>
  <c r="FU651" i="98"/>
  <c r="FV651" i="98" s="1"/>
  <c r="FU652" i="98"/>
  <c r="FV652" i="98" s="1"/>
  <c r="FU653" i="98"/>
  <c r="FX653" i="98" s="1"/>
  <c r="FU654" i="98"/>
  <c r="FV654" i="98" s="1"/>
  <c r="FU655" i="98"/>
  <c r="FV655" i="98" s="1"/>
  <c r="FU656" i="98"/>
  <c r="FV656" i="98" s="1"/>
  <c r="FU657" i="98"/>
  <c r="FU658" i="98"/>
  <c r="FX658" i="98" s="1"/>
  <c r="FY658" i="98" s="1"/>
  <c r="FU659" i="98"/>
  <c r="FV659" i="98" s="1"/>
  <c r="FU660" i="98"/>
  <c r="FV660" i="98" s="1"/>
  <c r="FU661" i="98"/>
  <c r="FV661" i="98" s="1"/>
  <c r="FU662" i="98"/>
  <c r="FV662" i="98" s="1"/>
  <c r="FX662" i="98"/>
  <c r="FY662" i="98" s="1"/>
  <c r="FU663" i="98"/>
  <c r="FV663" i="98" s="1"/>
  <c r="FU664" i="98"/>
  <c r="FV664" i="98" s="1"/>
  <c r="FU665" i="98"/>
  <c r="FX665" i="98" s="1"/>
  <c r="FU666" i="98"/>
  <c r="FV666" i="98" s="1"/>
  <c r="FU667" i="98"/>
  <c r="FV667" i="98" s="1"/>
  <c r="FU668" i="98"/>
  <c r="FV668" i="98" s="1"/>
  <c r="FU669" i="98"/>
  <c r="FX669" i="98"/>
  <c r="FU670" i="98"/>
  <c r="FV670" i="98" s="1"/>
  <c r="FX670" i="98"/>
  <c r="FU671" i="98"/>
  <c r="FV671" i="98" s="1"/>
  <c r="FU672" i="98"/>
  <c r="FV672" i="98" s="1"/>
  <c r="FU673" i="98"/>
  <c r="FX673" i="98"/>
  <c r="FU674" i="98"/>
  <c r="FV674" i="98" s="1"/>
  <c r="FX674" i="98"/>
  <c r="FU675" i="98"/>
  <c r="FV675" i="98" s="1"/>
  <c r="FU676" i="98"/>
  <c r="FV676" i="98" s="1"/>
  <c r="FU677" i="98"/>
  <c r="FX677" i="98" s="1"/>
  <c r="FU678" i="98"/>
  <c r="FV678" i="98" s="1"/>
  <c r="FU679" i="98"/>
  <c r="FV679" i="98" s="1"/>
  <c r="FU680" i="98"/>
  <c r="FV680" i="98" s="1"/>
  <c r="FU681" i="98"/>
  <c r="FV681" i="98" s="1"/>
  <c r="FU682" i="98"/>
  <c r="FV682" i="98" s="1"/>
  <c r="FU683" i="98"/>
  <c r="FV683" i="98" s="1"/>
  <c r="FU684" i="98"/>
  <c r="FV684" i="98" s="1"/>
  <c r="FU685" i="98"/>
  <c r="FV685" i="98" s="1"/>
  <c r="FU686" i="98"/>
  <c r="FV686" i="98" s="1"/>
  <c r="FU687" i="98"/>
  <c r="FV687" i="98" s="1"/>
  <c r="FU688" i="98"/>
  <c r="FV688" i="98" s="1"/>
  <c r="FU689" i="98"/>
  <c r="FV689" i="98" s="1"/>
  <c r="FU690" i="98"/>
  <c r="FU691" i="98"/>
  <c r="FV691" i="98" s="1"/>
  <c r="FU692" i="98"/>
  <c r="FV692" i="98" s="1"/>
  <c r="FU693" i="98"/>
  <c r="FU694" i="98"/>
  <c r="FV694" i="98" s="1"/>
  <c r="FX694" i="98"/>
  <c r="FY694" i="98" s="1"/>
  <c r="FU695" i="98"/>
  <c r="FV695" i="98" s="1"/>
  <c r="FU696" i="98"/>
  <c r="FV696" i="98" s="1"/>
  <c r="FU697" i="98"/>
  <c r="FX697" i="98"/>
  <c r="FU698" i="98"/>
  <c r="FV698" i="98" s="1"/>
  <c r="FU699" i="98"/>
  <c r="FV699" i="98" s="1"/>
  <c r="FU700" i="98"/>
  <c r="FV700" i="98" s="1"/>
  <c r="FU701" i="98"/>
  <c r="FX701" i="98"/>
  <c r="FU702" i="98"/>
  <c r="FV702" i="98" s="1"/>
  <c r="FX702" i="98"/>
  <c r="FY702" i="98" s="1"/>
  <c r="FU703" i="98"/>
  <c r="FV703" i="98" s="1"/>
  <c r="FU704" i="98"/>
  <c r="FV704" i="98" s="1"/>
  <c r="FU705" i="98"/>
  <c r="FX705" i="98"/>
  <c r="FU706" i="98"/>
  <c r="FV706" i="98" s="1"/>
  <c r="FX706" i="98"/>
  <c r="FU707" i="98"/>
  <c r="FV707" i="98" s="1"/>
  <c r="FU708" i="98"/>
  <c r="FV708" i="98" s="1"/>
  <c r="FU709" i="98"/>
  <c r="FX709" i="98"/>
  <c r="FU710" i="98"/>
  <c r="FV710" i="98" s="1"/>
  <c r="FU711" i="98"/>
  <c r="FV711" i="98" s="1"/>
  <c r="FU712" i="98"/>
  <c r="FV712" i="98" s="1"/>
  <c r="FU713" i="98"/>
  <c r="FV713" i="98" s="1"/>
  <c r="FU714" i="98"/>
  <c r="FV714" i="98" s="1"/>
  <c r="FU715" i="98"/>
  <c r="FV715" i="98" s="1"/>
  <c r="FU716" i="98"/>
  <c r="FV716" i="98" s="1"/>
  <c r="FU717" i="98"/>
  <c r="FV717" i="98" s="1"/>
  <c r="FU718" i="98"/>
  <c r="FV718" i="98" s="1"/>
  <c r="FU719" i="98"/>
  <c r="FV719" i="98" s="1"/>
  <c r="FU720" i="98"/>
  <c r="FV720" i="98" s="1"/>
  <c r="FU721" i="98"/>
  <c r="FV721" i="98" s="1"/>
  <c r="FU722" i="98"/>
  <c r="FU723" i="98"/>
  <c r="FV723" i="98" s="1"/>
  <c r="FU724" i="98"/>
  <c r="FV724" i="98" s="1"/>
  <c r="FU725" i="98"/>
  <c r="FU726" i="98"/>
  <c r="FV726" i="98" s="1"/>
  <c r="FX726" i="98"/>
  <c r="FU727" i="98"/>
  <c r="FV727" i="98" s="1"/>
  <c r="FU728" i="98"/>
  <c r="FV728" i="98" s="1"/>
  <c r="FU729" i="98"/>
  <c r="FX729" i="98"/>
  <c r="FU730" i="98"/>
  <c r="FV730" i="98" s="1"/>
  <c r="FU731" i="98"/>
  <c r="FV731" i="98" s="1"/>
  <c r="FU732" i="98"/>
  <c r="FV732" i="98" s="1"/>
  <c r="FU733" i="98"/>
  <c r="FX733" i="98"/>
  <c r="FU734" i="98"/>
  <c r="FV734" i="98" s="1"/>
  <c r="FX734" i="98"/>
  <c r="FU735" i="98"/>
  <c r="FV735" i="98" s="1"/>
  <c r="FU736" i="98"/>
  <c r="FV736" i="98" s="1"/>
  <c r="FU737" i="98"/>
  <c r="FX737" i="98"/>
  <c r="FU738" i="98"/>
  <c r="FV738" i="98" s="1"/>
  <c r="FX738" i="98"/>
  <c r="FU739" i="98"/>
  <c r="FV739" i="98" s="1"/>
  <c r="FU740" i="98"/>
  <c r="FV740" i="98" s="1"/>
  <c r="FU741" i="98"/>
  <c r="FX741" i="98"/>
  <c r="FU742" i="98"/>
  <c r="FV742" i="98" s="1"/>
  <c r="FU743" i="98"/>
  <c r="FV743" i="98" s="1"/>
  <c r="FU744" i="98"/>
  <c r="FV744" i="98" s="1"/>
  <c r="FU745" i="98"/>
  <c r="FX745" i="98"/>
  <c r="FU746" i="98"/>
  <c r="FV746" i="98" s="1"/>
  <c r="FX746" i="98"/>
  <c r="FU747" i="98"/>
  <c r="FV747" i="98" s="1"/>
  <c r="FU748" i="98"/>
  <c r="FV748" i="98" s="1"/>
  <c r="FU749" i="98"/>
  <c r="FX749" i="98" s="1"/>
  <c r="FU750" i="98"/>
  <c r="FV750" i="98" s="1"/>
  <c r="FU751" i="98"/>
  <c r="FV751" i="98" s="1"/>
  <c r="FU752" i="98"/>
  <c r="FV752" i="98" s="1"/>
  <c r="FU753" i="98"/>
  <c r="FU754" i="98"/>
  <c r="FV754" i="98" s="1"/>
  <c r="FU755" i="98"/>
  <c r="FV755" i="98" s="1"/>
  <c r="FU756" i="98"/>
  <c r="FV756" i="98" s="1"/>
  <c r="FU757" i="98"/>
  <c r="FX757" i="98"/>
  <c r="FU758" i="98"/>
  <c r="FV758" i="98" s="1"/>
  <c r="FX758" i="98"/>
  <c r="FU759" i="98"/>
  <c r="FV759" i="98" s="1"/>
  <c r="FU760" i="98"/>
  <c r="FV760" i="98" s="1"/>
  <c r="FU761" i="98"/>
  <c r="FX761" i="98" s="1"/>
  <c r="FU762" i="98"/>
  <c r="FV762" i="98" s="1"/>
  <c r="FU763" i="98"/>
  <c r="FV763" i="98" s="1"/>
  <c r="FU764" i="98"/>
  <c r="FV764" i="98" s="1"/>
  <c r="FU765" i="98"/>
  <c r="FU766" i="98"/>
  <c r="FV766" i="98" s="1"/>
  <c r="FX766" i="98"/>
  <c r="FU767" i="98"/>
  <c r="FV767" i="98" s="1"/>
  <c r="FU768" i="98"/>
  <c r="FV768" i="98" s="1"/>
  <c r="FU769" i="98"/>
  <c r="FX769" i="98"/>
  <c r="FU770" i="98"/>
  <c r="FV770" i="98" s="1"/>
  <c r="FX770" i="98"/>
  <c r="FU771" i="98"/>
  <c r="FV771" i="98" s="1"/>
  <c r="FU772" i="98"/>
  <c r="FV772" i="98" s="1"/>
  <c r="FU773" i="98"/>
  <c r="FX773" i="98" s="1"/>
  <c r="FU774" i="98"/>
  <c r="FV774" i="98" s="1"/>
  <c r="FX774" i="98"/>
  <c r="FU775" i="98"/>
  <c r="FV775" i="98" s="1"/>
  <c r="FU776" i="98"/>
  <c r="FV776" i="98" s="1"/>
  <c r="FU777" i="98"/>
  <c r="FX777" i="98"/>
  <c r="FU778" i="98"/>
  <c r="FV778" i="98" s="1"/>
  <c r="FX778" i="98"/>
  <c r="FY778" i="98" s="1"/>
  <c r="FU779" i="98"/>
  <c r="FV779" i="98" s="1"/>
  <c r="FX779" i="98"/>
  <c r="FU780" i="98"/>
  <c r="FV780" i="98" s="1"/>
  <c r="FX780" i="98"/>
  <c r="FU781" i="98"/>
  <c r="FV781" i="98" s="1"/>
  <c r="FU782" i="98"/>
  <c r="FV782" i="98" s="1"/>
  <c r="FU783" i="98"/>
  <c r="FV783" i="98" s="1"/>
  <c r="FX783" i="98"/>
  <c r="FU784" i="98"/>
  <c r="FV784" i="98" s="1"/>
  <c r="FX784" i="98"/>
  <c r="FU785" i="98"/>
  <c r="FV785" i="98" s="1"/>
  <c r="FU786" i="98"/>
  <c r="FV786" i="98" s="1"/>
  <c r="FU787" i="98"/>
  <c r="FV787" i="98" s="1"/>
  <c r="FX787" i="98"/>
  <c r="FU788" i="98"/>
  <c r="FV788" i="98" s="1"/>
  <c r="FX788" i="98"/>
  <c r="FU789" i="98"/>
  <c r="FV789" i="98" s="1"/>
  <c r="FU790" i="98"/>
  <c r="FV790" i="98" s="1"/>
  <c r="FU791" i="98"/>
  <c r="FV791" i="98" s="1"/>
  <c r="FX791" i="98"/>
  <c r="FU792" i="98"/>
  <c r="FV792" i="98" s="1"/>
  <c r="FX792" i="98"/>
  <c r="FU793" i="98"/>
  <c r="FV793" i="98" s="1"/>
  <c r="FU794" i="98"/>
  <c r="FV794" i="98" s="1"/>
  <c r="FU795" i="98"/>
  <c r="FV795" i="98" s="1"/>
  <c r="FX795" i="98"/>
  <c r="FU796" i="98"/>
  <c r="FV796" i="98" s="1"/>
  <c r="FX796" i="98"/>
  <c r="FU797" i="98"/>
  <c r="FV797" i="98" s="1"/>
  <c r="FU798" i="98"/>
  <c r="FV798" i="98" s="1"/>
  <c r="FU799" i="98"/>
  <c r="FV799" i="98" s="1"/>
  <c r="FX799" i="98"/>
  <c r="FU800" i="98"/>
  <c r="FV800" i="98" s="1"/>
  <c r="FX800" i="98"/>
  <c r="FU801" i="98"/>
  <c r="FV801" i="98" s="1"/>
  <c r="FU802" i="98"/>
  <c r="FV802" i="98" s="1"/>
  <c r="FU803" i="98"/>
  <c r="FV803" i="98" s="1"/>
  <c r="FX803" i="98"/>
  <c r="FU804" i="98"/>
  <c r="FV804" i="98" s="1"/>
  <c r="FX804" i="98"/>
  <c r="FU805" i="98"/>
  <c r="FV805" i="98" s="1"/>
  <c r="FU806" i="98"/>
  <c r="FV806" i="98" s="1"/>
  <c r="FU807" i="98"/>
  <c r="FV807" i="98" s="1"/>
  <c r="FX807" i="98"/>
  <c r="FU808" i="98"/>
  <c r="FV808" i="98" s="1"/>
  <c r="FX808" i="98"/>
  <c r="FU809" i="98"/>
  <c r="FV809" i="98" s="1"/>
  <c r="FU810" i="98"/>
  <c r="FV810" i="98" s="1"/>
  <c r="FU811" i="98"/>
  <c r="FV811" i="98" s="1"/>
  <c r="FX811" i="98"/>
  <c r="FU812" i="98"/>
  <c r="FV812" i="98" s="1"/>
  <c r="FX812" i="98"/>
  <c r="FU813" i="98"/>
  <c r="FV813" i="98" s="1"/>
  <c r="FU814" i="98"/>
  <c r="FV814" i="98" s="1"/>
  <c r="FU815" i="98"/>
  <c r="FV815" i="98" s="1"/>
  <c r="FX815" i="98"/>
  <c r="FU816" i="98"/>
  <c r="FV816" i="98" s="1"/>
  <c r="FX816" i="98"/>
  <c r="FU817" i="98"/>
  <c r="FV817" i="98" s="1"/>
  <c r="FU818" i="98"/>
  <c r="FV818" i="98" s="1"/>
  <c r="FU819" i="98"/>
  <c r="FV819" i="98" s="1"/>
  <c r="FX819" i="98"/>
  <c r="FU820" i="98"/>
  <c r="FV820" i="98" s="1"/>
  <c r="FX820" i="98"/>
  <c r="FU821" i="98"/>
  <c r="FV821" i="98" s="1"/>
  <c r="FU822" i="98"/>
  <c r="FV822" i="98" s="1"/>
  <c r="FU823" i="98"/>
  <c r="FV823" i="98" s="1"/>
  <c r="FX823" i="98"/>
  <c r="FU824" i="98"/>
  <c r="FV824" i="98" s="1"/>
  <c r="FX824" i="98"/>
  <c r="FU825" i="98"/>
  <c r="FV825" i="98" s="1"/>
  <c r="FU826" i="98"/>
  <c r="FV826" i="98" s="1"/>
  <c r="FU827" i="98"/>
  <c r="FV827" i="98" s="1"/>
  <c r="FX827" i="98"/>
  <c r="FU828" i="98"/>
  <c r="FV828" i="98" s="1"/>
  <c r="FX828" i="98"/>
  <c r="FU829" i="98"/>
  <c r="FV829" i="98" s="1"/>
  <c r="FU830" i="98"/>
  <c r="FV830" i="98" s="1"/>
  <c r="FU831" i="98"/>
  <c r="FV831" i="98" s="1"/>
  <c r="FX831" i="98"/>
  <c r="FU832" i="98"/>
  <c r="FV832" i="98" s="1"/>
  <c r="FX832" i="98"/>
  <c r="FU833" i="98"/>
  <c r="FV833" i="98" s="1"/>
  <c r="FU834" i="98"/>
  <c r="FV834" i="98" s="1"/>
  <c r="FU835" i="98"/>
  <c r="FV835" i="98" s="1"/>
  <c r="FX835" i="98"/>
  <c r="FU836" i="98"/>
  <c r="FV836" i="98" s="1"/>
  <c r="FX836" i="98"/>
  <c r="FU837" i="98"/>
  <c r="FV837" i="98" s="1"/>
  <c r="FU838" i="98"/>
  <c r="FV838" i="98" s="1"/>
  <c r="FU839" i="98"/>
  <c r="FV839" i="98" s="1"/>
  <c r="FX839" i="98"/>
  <c r="FU840" i="98"/>
  <c r="FV840" i="98" s="1"/>
  <c r="FX840" i="98"/>
  <c r="FU841" i="98"/>
  <c r="FV841" i="98" s="1"/>
  <c r="FU842" i="98"/>
  <c r="FV842" i="98" s="1"/>
  <c r="FU843" i="98"/>
  <c r="FV843" i="98" s="1"/>
  <c r="FX843" i="98"/>
  <c r="FU844" i="98"/>
  <c r="FV844" i="98" s="1"/>
  <c r="FX844" i="98"/>
  <c r="FU845" i="98"/>
  <c r="FV845" i="98" s="1"/>
  <c r="FU846" i="98"/>
  <c r="FV846" i="98" s="1"/>
  <c r="FU847" i="98"/>
  <c r="FV847" i="98" s="1"/>
  <c r="FX847" i="98"/>
  <c r="FU848" i="98"/>
  <c r="FV848" i="98" s="1"/>
  <c r="FX848" i="98"/>
  <c r="FU849" i="98"/>
  <c r="FV849" i="98" s="1"/>
  <c r="FU850" i="98"/>
  <c r="FV850" i="98" s="1"/>
  <c r="FU851" i="98"/>
  <c r="FV851" i="98" s="1"/>
  <c r="FX851" i="98"/>
  <c r="FU852" i="98"/>
  <c r="FV852" i="98" s="1"/>
  <c r="FX852" i="98"/>
  <c r="FU853" i="98"/>
  <c r="FV853" i="98" s="1"/>
  <c r="FU854" i="98"/>
  <c r="FV854" i="98" s="1"/>
  <c r="FU855" i="98"/>
  <c r="FV855" i="98" s="1"/>
  <c r="FX855" i="98"/>
  <c r="FU856" i="98"/>
  <c r="FV856" i="98" s="1"/>
  <c r="FX856" i="98"/>
  <c r="FU857" i="98"/>
  <c r="FV857" i="98" s="1"/>
  <c r="FU858" i="98"/>
  <c r="FV858" i="98" s="1"/>
  <c r="FU859" i="98"/>
  <c r="FV859" i="98" s="1"/>
  <c r="FX859" i="98"/>
  <c r="FU860" i="98"/>
  <c r="FV860" i="98" s="1"/>
  <c r="FX860" i="98"/>
  <c r="FU861" i="98"/>
  <c r="FV861" i="98" s="1"/>
  <c r="FU862" i="98"/>
  <c r="FV862" i="98" s="1"/>
  <c r="FU863" i="98"/>
  <c r="FV863" i="98" s="1"/>
  <c r="FX863" i="98"/>
  <c r="FU864" i="98"/>
  <c r="FV864" i="98" s="1"/>
  <c r="FX864" i="98"/>
  <c r="FU865" i="98"/>
  <c r="FV865" i="98" s="1"/>
  <c r="FU866" i="98"/>
  <c r="FV866" i="98" s="1"/>
  <c r="FU867" i="98"/>
  <c r="FV867" i="98" s="1"/>
  <c r="FX867" i="98"/>
  <c r="FU868" i="98"/>
  <c r="FV868" i="98" s="1"/>
  <c r="FX868" i="98"/>
  <c r="FU869" i="98"/>
  <c r="FV869" i="98" s="1"/>
  <c r="FU870" i="98"/>
  <c r="FV870" i="98" s="1"/>
  <c r="FU871" i="98"/>
  <c r="FV871" i="98" s="1"/>
  <c r="FX871" i="98"/>
  <c r="FU872" i="98"/>
  <c r="FV872" i="98" s="1"/>
  <c r="FX872" i="98"/>
  <c r="FU873" i="98"/>
  <c r="FV873" i="98" s="1"/>
  <c r="FU874" i="98"/>
  <c r="FV874" i="98" s="1"/>
  <c r="FU875" i="98"/>
  <c r="FV875" i="98" s="1"/>
  <c r="FX875" i="98"/>
  <c r="FU876" i="98"/>
  <c r="FV876" i="98" s="1"/>
  <c r="FX876" i="98"/>
  <c r="FU877" i="98"/>
  <c r="FV877" i="98" s="1"/>
  <c r="FU878" i="98"/>
  <c r="FV878" i="98" s="1"/>
  <c r="FU879" i="98"/>
  <c r="FV879" i="98" s="1"/>
  <c r="FX879" i="98"/>
  <c r="FU880" i="98"/>
  <c r="FV880" i="98" s="1"/>
  <c r="FX880" i="98"/>
  <c r="FU881" i="98"/>
  <c r="FV881" i="98" s="1"/>
  <c r="FU882" i="98"/>
  <c r="FV882" i="98" s="1"/>
  <c r="FU883" i="98"/>
  <c r="FV883" i="98" s="1"/>
  <c r="FX883" i="98"/>
  <c r="FU884" i="98"/>
  <c r="FV884" i="98" s="1"/>
  <c r="FX884" i="98"/>
  <c r="FU885" i="98"/>
  <c r="FV885" i="98" s="1"/>
  <c r="FU886" i="98"/>
  <c r="FV886" i="98" s="1"/>
  <c r="FU887" i="98"/>
  <c r="FV887" i="98" s="1"/>
  <c r="FX887" i="98"/>
  <c r="FU888" i="98"/>
  <c r="FV888" i="98" s="1"/>
  <c r="FX888" i="98"/>
  <c r="FU889" i="98"/>
  <c r="FV889" i="98" s="1"/>
  <c r="FU890" i="98"/>
  <c r="FV890" i="98" s="1"/>
  <c r="FU891" i="98"/>
  <c r="FV891" i="98" s="1"/>
  <c r="FX891" i="98"/>
  <c r="FU892" i="98"/>
  <c r="FV892" i="98" s="1"/>
  <c r="FX892" i="98"/>
  <c r="FU893" i="98"/>
  <c r="FV893" i="98" s="1"/>
  <c r="FU894" i="98"/>
  <c r="FV894" i="98" s="1"/>
  <c r="FU895" i="98"/>
  <c r="FV895" i="98" s="1"/>
  <c r="FX895" i="98"/>
  <c r="FU896" i="98"/>
  <c r="FV896" i="98" s="1"/>
  <c r="FX896" i="98"/>
  <c r="FU897" i="98"/>
  <c r="FV897" i="98" s="1"/>
  <c r="FU898" i="98"/>
  <c r="FV898" i="98" s="1"/>
  <c r="FU899" i="98"/>
  <c r="FV899" i="98" s="1"/>
  <c r="FX899" i="98"/>
  <c r="FU900" i="98"/>
  <c r="FV900" i="98" s="1"/>
  <c r="FX900" i="98"/>
  <c r="FU901" i="98"/>
  <c r="FV901" i="98" s="1"/>
  <c r="FU902" i="98"/>
  <c r="FV902" i="98" s="1"/>
  <c r="FU903" i="98"/>
  <c r="FV903" i="98" s="1"/>
  <c r="FX903" i="98"/>
  <c r="FU904" i="98"/>
  <c r="FV904" i="98" s="1"/>
  <c r="FX904" i="98"/>
  <c r="FU905" i="98"/>
  <c r="FV905" i="98" s="1"/>
  <c r="FU906" i="98"/>
  <c r="FV906" i="98" s="1"/>
  <c r="FU907" i="98"/>
  <c r="FV907" i="98" s="1"/>
  <c r="FX907" i="98"/>
  <c r="FU908" i="98"/>
  <c r="FV908" i="98" s="1"/>
  <c r="FX908" i="98"/>
  <c r="FU909" i="98"/>
  <c r="FV909" i="98" s="1"/>
  <c r="FU910" i="98"/>
  <c r="FV910" i="98" s="1"/>
  <c r="FU911" i="98"/>
  <c r="FV911" i="98" s="1"/>
  <c r="FX911" i="98"/>
  <c r="FU912" i="98"/>
  <c r="FV912" i="98" s="1"/>
  <c r="FX912" i="98"/>
  <c r="FU913" i="98"/>
  <c r="FV913" i="98" s="1"/>
  <c r="FU914" i="98"/>
  <c r="FV914" i="98" s="1"/>
  <c r="FU915" i="98"/>
  <c r="FV915" i="98" s="1"/>
  <c r="FX915" i="98"/>
  <c r="FU916" i="98"/>
  <c r="FV916" i="98" s="1"/>
  <c r="FX916" i="98"/>
  <c r="FU917" i="98"/>
  <c r="FV917" i="98" s="1"/>
  <c r="FU918" i="98"/>
  <c r="FV918" i="98" s="1"/>
  <c r="FU919" i="98"/>
  <c r="FV919" i="98" s="1"/>
  <c r="FX919" i="98"/>
  <c r="FU920" i="98"/>
  <c r="FV920" i="98" s="1"/>
  <c r="FX920" i="98"/>
  <c r="FU921" i="98"/>
  <c r="FV921" i="98" s="1"/>
  <c r="FU922" i="98"/>
  <c r="FV922" i="98" s="1"/>
  <c r="FU923" i="98"/>
  <c r="FV923" i="98" s="1"/>
  <c r="FX923" i="98"/>
  <c r="FU924" i="98"/>
  <c r="FV924" i="98" s="1"/>
  <c r="FX924" i="98"/>
  <c r="FU925" i="98"/>
  <c r="FV925" i="98" s="1"/>
  <c r="FU926" i="98"/>
  <c r="FV926" i="98" s="1"/>
  <c r="FU927" i="98"/>
  <c r="FV927" i="98" s="1"/>
  <c r="FX927" i="98"/>
  <c r="FU928" i="98"/>
  <c r="FV928" i="98" s="1"/>
  <c r="FX928" i="98"/>
  <c r="FU929" i="98"/>
  <c r="FV929" i="98" s="1"/>
  <c r="FU930" i="98"/>
  <c r="FV930" i="98" s="1"/>
  <c r="FU931" i="98"/>
  <c r="FV931" i="98" s="1"/>
  <c r="FX931" i="98"/>
  <c r="FU932" i="98"/>
  <c r="FV932" i="98" s="1"/>
  <c r="FX932" i="98"/>
  <c r="FU933" i="98"/>
  <c r="FV933" i="98" s="1"/>
  <c r="FU934" i="98"/>
  <c r="FV934" i="98" s="1"/>
  <c r="FU935" i="98"/>
  <c r="FV935" i="98" s="1"/>
  <c r="FX935" i="98"/>
  <c r="FU936" i="98"/>
  <c r="FV936" i="98" s="1"/>
  <c r="FX936" i="98"/>
  <c r="FU937" i="98"/>
  <c r="FV937" i="98" s="1"/>
  <c r="FU938" i="98"/>
  <c r="FV938" i="98" s="1"/>
  <c r="FU939" i="98"/>
  <c r="FV939" i="98" s="1"/>
  <c r="FX939" i="98"/>
  <c r="FU940" i="98"/>
  <c r="FV940" i="98" s="1"/>
  <c r="FX940" i="98"/>
  <c r="FU941" i="98"/>
  <c r="FV941" i="98" s="1"/>
  <c r="FX941" i="98"/>
  <c r="FY941" i="98" s="1"/>
  <c r="FU942" i="98"/>
  <c r="FV942" i="98" s="1"/>
  <c r="FU943" i="98"/>
  <c r="FV943" i="98" s="1"/>
  <c r="FU944" i="98"/>
  <c r="FV944" i="98" s="1"/>
  <c r="FX944" i="98"/>
  <c r="FY944" i="98" s="1"/>
  <c r="FU945" i="98"/>
  <c r="FU946" i="98"/>
  <c r="FU947" i="98"/>
  <c r="FV947" i="98" s="1"/>
  <c r="FU948" i="98"/>
  <c r="FV948" i="98" s="1"/>
  <c r="FU949" i="98"/>
  <c r="FV949" i="98" s="1"/>
  <c r="FX949" i="98"/>
  <c r="FY949" i="98" s="1"/>
  <c r="FU950" i="98"/>
  <c r="FV950" i="98" s="1"/>
  <c r="FU951" i="98"/>
  <c r="FV951" i="98" s="1"/>
  <c r="FU952" i="98"/>
  <c r="FV952" i="98" s="1"/>
  <c r="FU953" i="98"/>
  <c r="FU954" i="98"/>
  <c r="FU955" i="98"/>
  <c r="FV955" i="98" s="1"/>
  <c r="FX955" i="98"/>
  <c r="FU956" i="98"/>
  <c r="FV956" i="98" s="1"/>
  <c r="FU957" i="98"/>
  <c r="FV957" i="98" s="1"/>
  <c r="FU958" i="98"/>
  <c r="FV958" i="98" s="1"/>
  <c r="FU959" i="98"/>
  <c r="FV959" i="98" s="1"/>
  <c r="FU960" i="98"/>
  <c r="FV960" i="98" s="1"/>
  <c r="FU961" i="98"/>
  <c r="FX961" i="98"/>
  <c r="FU962" i="98"/>
  <c r="FV962" i="98" s="1"/>
  <c r="FX962" i="98"/>
  <c r="FU963" i="98"/>
  <c r="FV963" i="98" s="1"/>
  <c r="FU964" i="98"/>
  <c r="FV964" i="98" s="1"/>
  <c r="FU965" i="98"/>
  <c r="FX965" i="98"/>
  <c r="FU966" i="98"/>
  <c r="FV966" i="98" s="1"/>
  <c r="FX966" i="98"/>
  <c r="FU967" i="98"/>
  <c r="FV967" i="98" s="1"/>
  <c r="FU968" i="98"/>
  <c r="FV968" i="98" s="1"/>
  <c r="FU969" i="98"/>
  <c r="FX969" i="98" s="1"/>
  <c r="FU970" i="98"/>
  <c r="FV970" i="98" s="1"/>
  <c r="FU971" i="98"/>
  <c r="FV971" i="98" s="1"/>
  <c r="FU972" i="98"/>
  <c r="FV972" i="98" s="1"/>
  <c r="FU973" i="98"/>
  <c r="FU974" i="98"/>
  <c r="FV974" i="98" s="1"/>
  <c r="FU975" i="98"/>
  <c r="FV975" i="98" s="1"/>
  <c r="FU976" i="98"/>
  <c r="FV976" i="98" s="1"/>
  <c r="FU977" i="98"/>
  <c r="FU978" i="98"/>
  <c r="FV978" i="98" s="1"/>
  <c r="FX978" i="98"/>
  <c r="FU979" i="98"/>
  <c r="FV979" i="98" s="1"/>
  <c r="FU980" i="98"/>
  <c r="FV980" i="98" s="1"/>
  <c r="FU981" i="98"/>
  <c r="FX981" i="98"/>
  <c r="FU982" i="98"/>
  <c r="FV982" i="98" s="1"/>
  <c r="FX982" i="98"/>
  <c r="FU983" i="98"/>
  <c r="FV983" i="98" s="1"/>
  <c r="FU984" i="98"/>
  <c r="FV984" i="98" s="1"/>
  <c r="FU985" i="98"/>
  <c r="FX985" i="98"/>
  <c r="FU986" i="98"/>
  <c r="FV986" i="98" s="1"/>
  <c r="FU987" i="98"/>
  <c r="FV987" i="98" s="1"/>
  <c r="FU988" i="98"/>
  <c r="FV988" i="98" s="1"/>
  <c r="FU989" i="98"/>
  <c r="FX989" i="98" s="1"/>
  <c r="FU990" i="98"/>
  <c r="FV990" i="98" s="1"/>
  <c r="FU991" i="98"/>
  <c r="FV991" i="98" s="1"/>
  <c r="FU992" i="98"/>
  <c r="FV992" i="98" s="1"/>
  <c r="FU993" i="98"/>
  <c r="FX993" i="98"/>
  <c r="FU994" i="98"/>
  <c r="FV994" i="98" s="1"/>
  <c r="FX994" i="98"/>
  <c r="FU995" i="98"/>
  <c r="FV995" i="98" s="1"/>
  <c r="FU996" i="98"/>
  <c r="FV996" i="98" s="1"/>
  <c r="FU997" i="98"/>
  <c r="FX997" i="98"/>
  <c r="FU998" i="98"/>
  <c r="FV998" i="98" s="1"/>
  <c r="FX998" i="98"/>
  <c r="FU999" i="98"/>
  <c r="FV999" i="98" s="1"/>
  <c r="FU1000" i="98"/>
  <c r="FV1000" i="98" s="1"/>
  <c r="FU1001" i="98"/>
  <c r="FX1001" i="98" s="1"/>
  <c r="FU1002" i="98"/>
  <c r="FV1002" i="98" s="1"/>
  <c r="FU1003" i="98"/>
  <c r="FV1003" i="98" s="1"/>
  <c r="FU1004" i="98"/>
  <c r="FV1004" i="98" s="1"/>
  <c r="FU1005" i="98"/>
  <c r="FU1006" i="98"/>
  <c r="FV1006" i="98" s="1"/>
  <c r="FU1007" i="98"/>
  <c r="FV1007" i="98" s="1"/>
  <c r="FU1008" i="98"/>
  <c r="FV1008" i="98" s="1"/>
  <c r="FU1009" i="98"/>
  <c r="FV1009" i="98" s="1"/>
  <c r="FU1010" i="98"/>
  <c r="FV1010" i="98" s="1"/>
  <c r="FU1011" i="98"/>
  <c r="FV1011" i="98" s="1"/>
  <c r="FU1012" i="98"/>
  <c r="FV1012" i="98" s="1"/>
  <c r="FU1013" i="98"/>
  <c r="FV1013" i="98" s="1"/>
  <c r="FX1013" i="98"/>
  <c r="FU1014" i="98"/>
  <c r="FV1014" i="98" s="1"/>
  <c r="FX1014" i="98"/>
  <c r="FU1015" i="98"/>
  <c r="FV1015" i="98" s="1"/>
  <c r="FU1016" i="98"/>
  <c r="FV1016" i="98" s="1"/>
  <c r="FU1017" i="98"/>
  <c r="FV1017" i="98" s="1"/>
  <c r="FU1018" i="98"/>
  <c r="FV1018" i="98" s="1"/>
  <c r="FU1019" i="98"/>
  <c r="FV1019" i="98" s="1"/>
  <c r="FU1020" i="98"/>
  <c r="FV1020" i="98" s="1"/>
  <c r="FU1021" i="98"/>
  <c r="FV1021" i="98" s="1"/>
  <c r="FX1021" i="98"/>
  <c r="FU1022" i="98"/>
  <c r="FV1022" i="98" s="1"/>
  <c r="FX1022" i="98"/>
  <c r="FY1022" i="98" s="1"/>
  <c r="FU1023" i="98"/>
  <c r="FV1023" i="98" s="1"/>
  <c r="FU1024" i="98"/>
  <c r="FV1024" i="98" s="1"/>
  <c r="FU1025" i="98"/>
  <c r="FV1025" i="98" s="1"/>
  <c r="FU1026" i="98"/>
  <c r="FV1026" i="98" s="1"/>
  <c r="FU1027" i="98"/>
  <c r="FV1027" i="98" s="1"/>
  <c r="FU1028" i="98"/>
  <c r="FV1028" i="98" s="1"/>
  <c r="FU1029" i="98"/>
  <c r="FV1029" i="98" s="1"/>
  <c r="FX1029" i="98"/>
  <c r="FU1030" i="98"/>
  <c r="FV1030" i="98" s="1"/>
  <c r="FX1030" i="98"/>
  <c r="FU1031" i="98"/>
  <c r="FV1031" i="98" s="1"/>
  <c r="FU1032" i="98"/>
  <c r="FV1032" i="98" s="1"/>
  <c r="FU1033" i="98"/>
  <c r="FV1033" i="98" s="1"/>
  <c r="FU1034" i="98"/>
  <c r="FV1034" i="98" s="1"/>
  <c r="FU1035" i="98"/>
  <c r="FV1035" i="98" s="1"/>
  <c r="FU1036" i="98"/>
  <c r="FV1036" i="98" s="1"/>
  <c r="FU1037" i="98"/>
  <c r="FV1037" i="98" s="1"/>
  <c r="FU1038" i="98"/>
  <c r="FV1038" i="98" s="1"/>
  <c r="FX1038" i="98"/>
  <c r="FY1038" i="98" s="1"/>
  <c r="FU1039" i="98"/>
  <c r="FV1039" i="98" s="1"/>
  <c r="FU1040" i="98"/>
  <c r="FV1040" i="98" s="1"/>
  <c r="FU1041" i="98"/>
  <c r="FV1041" i="98" s="1"/>
  <c r="FX1041" i="98"/>
  <c r="FU1042" i="98"/>
  <c r="FV1042" i="98" s="1"/>
  <c r="FX1042" i="98"/>
  <c r="FW1042" i="98" s="1"/>
  <c r="FY1042" i="98"/>
  <c r="FU1043" i="98"/>
  <c r="FV1043" i="98" s="1"/>
  <c r="FX1043" i="98"/>
  <c r="FY1043" i="98" s="1"/>
  <c r="FU1044" i="98"/>
  <c r="FU1045" i="98"/>
  <c r="FV1045" i="98" s="1"/>
  <c r="FU1046" i="98"/>
  <c r="FV1046" i="98" s="1"/>
  <c r="FU1047" i="98"/>
  <c r="FV1047" i="98" s="1"/>
  <c r="FU1048" i="98"/>
  <c r="FV1048" i="98" s="1"/>
  <c r="FU1049" i="98"/>
  <c r="FV1049" i="98" s="1"/>
  <c r="FX1049" i="98"/>
  <c r="FU1050" i="98"/>
  <c r="FV1050" i="98" s="1"/>
  <c r="FU1051" i="98"/>
  <c r="FV1051" i="98" s="1"/>
  <c r="FU1052" i="98"/>
  <c r="FU1053" i="98"/>
  <c r="FV1053" i="98" s="1"/>
  <c r="FU1054" i="98"/>
  <c r="FV1054" i="98" s="1"/>
  <c r="FX1054" i="98"/>
  <c r="FY1054" i="98" s="1"/>
  <c r="FU1055" i="98"/>
  <c r="FV1055" i="98" s="1"/>
  <c r="FU1056" i="98"/>
  <c r="FV1056" i="98" s="1"/>
  <c r="FU1057" i="98"/>
  <c r="FV1057" i="98" s="1"/>
  <c r="FX1057" i="98"/>
  <c r="FU1058" i="98"/>
  <c r="FV1058" i="98" s="1"/>
  <c r="FX1058" i="98"/>
  <c r="FY1058" i="98"/>
  <c r="FW1058" i="98" s="1"/>
  <c r="FU1059" i="98"/>
  <c r="FV1059" i="98" s="1"/>
  <c r="FU1060" i="98"/>
  <c r="FU1061" i="98"/>
  <c r="FV1061" i="98" s="1"/>
  <c r="FU1062" i="98"/>
  <c r="FV1062" i="98" s="1"/>
  <c r="FX1062" i="98"/>
  <c r="FU1063" i="98"/>
  <c r="FV1063" i="98" s="1"/>
  <c r="FU1064" i="98"/>
  <c r="FV1064" i="98" s="1"/>
  <c r="FU1065" i="98"/>
  <c r="FV1065" i="98" s="1"/>
  <c r="FX1065" i="98"/>
  <c r="FU1066" i="98"/>
  <c r="FV1066" i="98" s="1"/>
  <c r="FU1067" i="98"/>
  <c r="FV1067" i="98" s="1"/>
  <c r="FU1068" i="98"/>
  <c r="FU1069" i="98"/>
  <c r="FV1069" i="98" s="1"/>
  <c r="FU1070" i="98"/>
  <c r="FV1070" i="98" s="1"/>
  <c r="FX1070" i="98"/>
  <c r="FY1070" i="98" s="1"/>
  <c r="FU1071" i="98"/>
  <c r="FV1071" i="98" s="1"/>
  <c r="FU1072" i="98"/>
  <c r="FV1072" i="98" s="1"/>
  <c r="FU1073" i="98"/>
  <c r="FV1073" i="98" s="1"/>
  <c r="FX1073" i="98"/>
  <c r="FU1074" i="98"/>
  <c r="FV1074" i="98" s="1"/>
  <c r="FX1074" i="98"/>
  <c r="FY1074" i="98"/>
  <c r="FW1074" i="98" s="1"/>
  <c r="FU1075" i="98"/>
  <c r="FV1075" i="98" s="1"/>
  <c r="FU1076" i="98"/>
  <c r="FU1077" i="98"/>
  <c r="FV1077" i="98" s="1"/>
  <c r="FU1078" i="98"/>
  <c r="FV1078" i="98" s="1"/>
  <c r="FX1078" i="98"/>
  <c r="FU1079" i="98"/>
  <c r="FV1079" i="98" s="1"/>
  <c r="FU1080" i="98"/>
  <c r="FV1080" i="98" s="1"/>
  <c r="FU1081" i="98"/>
  <c r="FV1081" i="98" s="1"/>
  <c r="FX1081" i="98"/>
  <c r="FU1082" i="98"/>
  <c r="FV1082" i="98" s="1"/>
  <c r="FU1083" i="98"/>
  <c r="FV1083" i="98" s="1"/>
  <c r="FX1083" i="98"/>
  <c r="FY1083" i="98" s="1"/>
  <c r="FU1084" i="98"/>
  <c r="FU1085" i="98"/>
  <c r="FV1085" i="98" s="1"/>
  <c r="FT1086" i="98"/>
  <c r="FU1086" i="98"/>
  <c r="FV1086" i="98" s="1"/>
  <c r="FX1086" i="98"/>
  <c r="FY1086" i="98"/>
  <c r="GO1086" i="98" s="1"/>
  <c r="GJ1086" i="98"/>
  <c r="FU1087" i="98"/>
  <c r="FV1087" i="98" s="1"/>
  <c r="FX1087" i="98"/>
  <c r="FU1088" i="98"/>
  <c r="FV1088" i="98" s="1"/>
  <c r="FU1089" i="98"/>
  <c r="FV1089" i="98" s="1"/>
  <c r="FX1089" i="98"/>
  <c r="FU1090" i="98"/>
  <c r="FV1090" i="98" s="1"/>
  <c r="FU1091" i="98"/>
  <c r="FV1091" i="98" s="1"/>
  <c r="FX1091" i="98"/>
  <c r="FY1091" i="98" s="1"/>
  <c r="FU1092" i="98"/>
  <c r="FU1093" i="98"/>
  <c r="FV1093" i="98" s="1"/>
  <c r="FU1094" i="98"/>
  <c r="FV1094" i="98" s="1"/>
  <c r="FU1095" i="98"/>
  <c r="FV1095" i="98" s="1"/>
  <c r="FX1095" i="98"/>
  <c r="FU1096" i="98"/>
  <c r="FV1096" i="98" s="1"/>
  <c r="FU1097" i="98"/>
  <c r="FV1097" i="98" s="1"/>
  <c r="FU1098" i="98"/>
  <c r="FU1099" i="98"/>
  <c r="FX1099" i="98" s="1"/>
  <c r="FU1100" i="98"/>
  <c r="FV1100" i="98" s="1"/>
  <c r="FX1100" i="98"/>
  <c r="FU1101" i="98"/>
  <c r="FV1101" i="98" s="1"/>
  <c r="FU1102" i="98"/>
  <c r="FU1103" i="98"/>
  <c r="FV1103" i="98" s="1"/>
  <c r="FU1104" i="98"/>
  <c r="FV1104" i="98" s="1"/>
  <c r="FX1104" i="98"/>
  <c r="FY1104" i="98"/>
  <c r="FU1105" i="98"/>
  <c r="FV1105" i="98" s="1"/>
  <c r="FU1106" i="98"/>
  <c r="FU1107" i="98"/>
  <c r="FX1107" i="98"/>
  <c r="FT1108" i="98"/>
  <c r="FU1108" i="98"/>
  <c r="FV1108" i="98" s="1"/>
  <c r="FX1108" i="98"/>
  <c r="FY1108" i="98"/>
  <c r="FU1109" i="98"/>
  <c r="FV1109" i="98" s="1"/>
  <c r="FU1110" i="98"/>
  <c r="FU1111" i="98"/>
  <c r="FV1111" i="98" s="1"/>
  <c r="FX1111" i="98"/>
  <c r="FU1112" i="98"/>
  <c r="FV1112" i="98" s="1"/>
  <c r="FU1113" i="98"/>
  <c r="FV1113" i="98" s="1"/>
  <c r="FU1114" i="98"/>
  <c r="FU1115" i="98"/>
  <c r="FX1115" i="98"/>
  <c r="FU1116" i="98"/>
  <c r="FV1116" i="98" s="1"/>
  <c r="FU1117" i="98"/>
  <c r="FV1117" i="98" s="1"/>
  <c r="FU1118" i="98"/>
  <c r="FU1119" i="98"/>
  <c r="FV1119" i="98" s="1"/>
  <c r="FU1120" i="98"/>
  <c r="FV1120" i="98" s="1"/>
  <c r="FX1120" i="98"/>
  <c r="FU1121" i="98"/>
  <c r="FV1121" i="98" s="1"/>
  <c r="FU1122" i="98"/>
  <c r="FU1123" i="98"/>
  <c r="FX1123" i="98" s="1"/>
  <c r="FU1124" i="98"/>
  <c r="FV1124" i="98" s="1"/>
  <c r="FU1125" i="98"/>
  <c r="FV1125" i="98" s="1"/>
  <c r="FU1126" i="98"/>
  <c r="FU1127" i="98"/>
  <c r="FV1127" i="98" s="1"/>
  <c r="FX1127" i="98"/>
  <c r="FU1128" i="98"/>
  <c r="FV1128" i="98" s="1"/>
  <c r="FU1129" i="98"/>
  <c r="FV1129" i="98" s="1"/>
  <c r="FU1130" i="98"/>
  <c r="FU1131" i="98"/>
  <c r="FX1131" i="98"/>
  <c r="FT1132" i="98"/>
  <c r="GG1132" i="98" s="1"/>
  <c r="FU1132" i="98"/>
  <c r="FV1132" i="98" s="1"/>
  <c r="FX1132" i="98"/>
  <c r="FY1132" i="98"/>
  <c r="FU1133" i="98"/>
  <c r="FV1133" i="98" s="1"/>
  <c r="FU1134" i="98"/>
  <c r="FU1135" i="98"/>
  <c r="FV1135" i="98" s="1"/>
  <c r="FX1135" i="98"/>
  <c r="FU1136" i="98"/>
  <c r="FV1136" i="98" s="1"/>
  <c r="FU1137" i="98"/>
  <c r="FV1137" i="98" s="1"/>
  <c r="FU1138" i="98"/>
  <c r="FU1139" i="98"/>
  <c r="FX1139" i="98" s="1"/>
  <c r="FU1140" i="98"/>
  <c r="FV1140" i="98" s="1"/>
  <c r="FX1140" i="98"/>
  <c r="FU1141" i="98"/>
  <c r="FV1141" i="98" s="1"/>
  <c r="FU1142" i="98"/>
  <c r="FU1143" i="98"/>
  <c r="FV1143" i="98" s="1"/>
  <c r="FU1144" i="98"/>
  <c r="FV1144" i="98" s="1"/>
  <c r="FX1144" i="98"/>
  <c r="FY1144" i="98"/>
  <c r="FU1145" i="98"/>
  <c r="FV1145" i="98" s="1"/>
  <c r="FX1145" i="98"/>
  <c r="FU1146" i="98"/>
  <c r="FU1147" i="98"/>
  <c r="FV1147" i="98" s="1"/>
  <c r="FU1148" i="98"/>
  <c r="FV1148" i="98" s="1"/>
  <c r="FX1148" i="98"/>
  <c r="FY1148" i="98"/>
  <c r="FU1149" i="98"/>
  <c r="FU1150" i="98"/>
  <c r="FU1151" i="98"/>
  <c r="FU1152" i="98"/>
  <c r="FV1152" i="98" s="1"/>
  <c r="FX1152" i="98"/>
  <c r="FY1152" i="98"/>
  <c r="FU1153" i="98"/>
  <c r="FV1153" i="98" s="1"/>
  <c r="FU1154" i="98"/>
  <c r="FU1155" i="98"/>
  <c r="FV1155" i="98" s="1"/>
  <c r="FU1156" i="98"/>
  <c r="FV1156" i="98" s="1"/>
  <c r="FX1156" i="98"/>
  <c r="FU1157" i="98"/>
  <c r="FV1157" i="98" s="1"/>
  <c r="FU1158" i="98"/>
  <c r="FU1159" i="98"/>
  <c r="FV1159" i="98" s="1"/>
  <c r="FU1160" i="98"/>
  <c r="FV1160" i="98" s="1"/>
  <c r="FU1161" i="98"/>
  <c r="FV1161" i="98" s="1"/>
  <c r="FU1162" i="98"/>
  <c r="FU1163" i="98"/>
  <c r="FV1163" i="98" s="1"/>
  <c r="FX1163" i="98"/>
  <c r="FU1164" i="98"/>
  <c r="FV1164" i="98" s="1"/>
  <c r="FX1164" i="98"/>
  <c r="FY1164" i="98"/>
  <c r="FU1165" i="98"/>
  <c r="FU1166" i="98"/>
  <c r="FU1167" i="98"/>
  <c r="FU1168" i="98"/>
  <c r="FV1168" i="98" s="1"/>
  <c r="FU1169" i="98"/>
  <c r="FV1169" i="98" s="1"/>
  <c r="FX1169" i="98"/>
  <c r="FU1170" i="98"/>
  <c r="FU1171" i="98"/>
  <c r="FV1171" i="98" s="1"/>
  <c r="FX1171" i="98"/>
  <c r="FU1172" i="98"/>
  <c r="FV1172" i="98" s="1"/>
  <c r="FX1172" i="98"/>
  <c r="FY1172" i="98"/>
  <c r="FU1173" i="98"/>
  <c r="FV1173" i="98" s="1"/>
  <c r="FU1174" i="98"/>
  <c r="FU1175" i="98"/>
  <c r="FV1175" i="98" s="1"/>
  <c r="FU1176" i="98"/>
  <c r="FV1176" i="98" s="1"/>
  <c r="FU1177" i="98"/>
  <c r="FV1177" i="98" s="1"/>
  <c r="FX1177" i="98"/>
  <c r="FU1178" i="98"/>
  <c r="FU1179" i="98"/>
  <c r="FV1179" i="98" s="1"/>
  <c r="FU1180" i="98"/>
  <c r="FV1180" i="98" s="1"/>
  <c r="FX1180" i="98"/>
  <c r="FU1181" i="98"/>
  <c r="FU1182" i="98"/>
  <c r="FU1183" i="98"/>
  <c r="FU1184" i="98"/>
  <c r="FV1184" i="98" s="1"/>
  <c r="FX1184" i="98"/>
  <c r="FY1184" i="98"/>
  <c r="FU1185" i="98"/>
  <c r="FV1185" i="98" s="1"/>
  <c r="FU1186" i="98"/>
  <c r="FU1187" i="98"/>
  <c r="FV1187" i="98" s="1"/>
  <c r="FU1188" i="98"/>
  <c r="FV1188" i="98" s="1"/>
  <c r="FX1188" i="98"/>
  <c r="FU1189" i="98"/>
  <c r="FV1189" i="98" s="1"/>
  <c r="FU1190" i="98"/>
  <c r="FU1191" i="98"/>
  <c r="FV1191" i="98" s="1"/>
  <c r="FU1192" i="98"/>
  <c r="FV1192" i="98" s="1"/>
  <c r="FX1192" i="98"/>
  <c r="FW1192" i="98" s="1"/>
  <c r="FY1192" i="98"/>
  <c r="FU1193" i="98"/>
  <c r="FV1193" i="98" s="1"/>
  <c r="FU1194" i="98"/>
  <c r="FU1195" i="98"/>
  <c r="FV1195" i="98" s="1"/>
  <c r="FU1196" i="98"/>
  <c r="FV1196" i="98" s="1"/>
  <c r="FX1196" i="98"/>
  <c r="FY1196" i="98"/>
  <c r="FU1197" i="98"/>
  <c r="FU1198" i="98"/>
  <c r="FU1199" i="98"/>
  <c r="FU1200" i="98"/>
  <c r="FV1200" i="98" s="1"/>
  <c r="FX1200" i="98"/>
  <c r="FY1200" i="98"/>
  <c r="FU1201" i="98"/>
  <c r="FV1201" i="98" s="1"/>
  <c r="FU1202" i="98"/>
  <c r="FU1203" i="98"/>
  <c r="FV1203" i="98" s="1"/>
  <c r="FU1204" i="98"/>
  <c r="FV1204" i="98" s="1"/>
  <c r="FX1204" i="98"/>
  <c r="FU1205" i="98"/>
  <c r="FV1205" i="98" s="1"/>
  <c r="FU1206" i="98"/>
  <c r="FU1207" i="98"/>
  <c r="FV1207" i="98" s="1"/>
  <c r="FU1208" i="98"/>
  <c r="FV1208" i="98" s="1"/>
  <c r="FX1208" i="98"/>
  <c r="FW1208" i="98" s="1"/>
  <c r="FY1208" i="98"/>
  <c r="FU1209" i="98"/>
  <c r="FV1209" i="98" s="1"/>
  <c r="FU1210" i="98"/>
  <c r="FU1211" i="98"/>
  <c r="FV1211" i="98" s="1"/>
  <c r="FU1212" i="98"/>
  <c r="FV1212" i="98" s="1"/>
  <c r="FX1212" i="98"/>
  <c r="FY1212" i="98"/>
  <c r="FU1213" i="98"/>
  <c r="FU1214" i="98"/>
  <c r="FU1215" i="98"/>
  <c r="FU1216" i="98"/>
  <c r="FV1216" i="98" s="1"/>
  <c r="FX1216" i="98"/>
  <c r="FY1216" i="98"/>
  <c r="GI1216" i="98" s="1"/>
  <c r="GG1216" i="98"/>
  <c r="GO1216" i="98"/>
  <c r="GQ1216" i="98"/>
  <c r="FU1217" i="98"/>
  <c r="FV1217" i="98" s="1"/>
  <c r="FU1218" i="98"/>
  <c r="FU1219" i="98"/>
  <c r="FV1219" i="98" s="1"/>
  <c r="FU1220" i="98"/>
  <c r="FV1220" i="98" s="1"/>
  <c r="FU1221" i="98"/>
  <c r="FV1221" i="98" s="1"/>
  <c r="FU1222" i="98"/>
  <c r="FU1223" i="98"/>
  <c r="FV1223" i="98" s="1"/>
  <c r="FU1224" i="98"/>
  <c r="FV1224" i="98" s="1"/>
  <c r="FX1224" i="98"/>
  <c r="FU1225" i="98"/>
  <c r="FV1225" i="98" s="1"/>
  <c r="FX1225" i="98"/>
  <c r="FU1226" i="98"/>
  <c r="FU1227" i="98"/>
  <c r="FV1227" i="98" s="1"/>
  <c r="FU1228" i="98"/>
  <c r="FV1228" i="98" s="1"/>
  <c r="FX1228" i="98"/>
  <c r="FU1229" i="98"/>
  <c r="FU1230" i="98"/>
  <c r="FU1231" i="98"/>
  <c r="FU1232" i="98"/>
  <c r="FV1232" i="98" s="1"/>
  <c r="FX1232" i="98"/>
  <c r="FY1232" i="98"/>
  <c r="FU1233" i="98"/>
  <c r="FV1233" i="98" s="1"/>
  <c r="FU1234" i="98"/>
  <c r="FU1235" i="98"/>
  <c r="FV1235" i="98" s="1"/>
  <c r="FU1236" i="98"/>
  <c r="FV1236" i="98" s="1"/>
  <c r="FU1237" i="98"/>
  <c r="FV1237" i="98" s="1"/>
  <c r="FU1238" i="98"/>
  <c r="FU1239" i="98"/>
  <c r="FV1239" i="98" s="1"/>
  <c r="FU1240" i="98"/>
  <c r="FV1240" i="98" s="1"/>
  <c r="FX1240" i="98"/>
  <c r="FY1240" i="98"/>
  <c r="FU1241" i="98"/>
  <c r="FV1241" i="98" s="1"/>
  <c r="FU1242" i="98"/>
  <c r="FU1243" i="98"/>
  <c r="FV1243" i="98" s="1"/>
  <c r="FU1244" i="98"/>
  <c r="FV1244" i="98" s="1"/>
  <c r="FX1244" i="98"/>
  <c r="FY1244" i="98"/>
  <c r="FU1245" i="98"/>
  <c r="FU1246" i="98"/>
  <c r="FU1247" i="98"/>
  <c r="FU1248" i="98"/>
  <c r="FV1248" i="98" s="1"/>
  <c r="FX1248" i="98"/>
  <c r="FU1249" i="98"/>
  <c r="FV1249" i="98" s="1"/>
  <c r="FX1249" i="98"/>
  <c r="FU1250" i="98"/>
  <c r="FU1251" i="98"/>
  <c r="FV1251" i="98" s="1"/>
  <c r="FX1251" i="98"/>
  <c r="FU1252" i="98"/>
  <c r="FV1252" i="98" s="1"/>
  <c r="FU1253" i="98"/>
  <c r="FV1253" i="98" s="1"/>
  <c r="FU1254" i="98"/>
  <c r="FU1255" i="98"/>
  <c r="FV1255" i="98" s="1"/>
  <c r="FU1256" i="98"/>
  <c r="FV1256" i="98" s="1"/>
  <c r="FU1257" i="98"/>
  <c r="FV1257" i="98" s="1"/>
  <c r="FU1258" i="98"/>
  <c r="FU1259" i="98"/>
  <c r="FV1259" i="98" s="1"/>
  <c r="FU1260" i="98"/>
  <c r="FV1260" i="98" s="1"/>
  <c r="FX1260" i="98"/>
  <c r="FY1260" i="98"/>
  <c r="FU1261" i="98"/>
  <c r="FU1262" i="98"/>
  <c r="FU1263" i="98"/>
  <c r="FU1264" i="98"/>
  <c r="FV1264" i="98" s="1"/>
  <c r="FU1265" i="98"/>
  <c r="FV1265" i="98" s="1"/>
  <c r="FU1266" i="98"/>
  <c r="FU1267" i="98"/>
  <c r="FV1267" i="98" s="1"/>
  <c r="FX1267" i="98"/>
  <c r="FU1268" i="98"/>
  <c r="FV1268" i="98" s="1"/>
  <c r="FX1268" i="98"/>
  <c r="FY1268" i="98"/>
  <c r="FU1269" i="98"/>
  <c r="FV1269" i="98" s="1"/>
  <c r="FU1270" i="98"/>
  <c r="FU1271" i="98"/>
  <c r="FV1271" i="98" s="1"/>
  <c r="FU1272" i="98"/>
  <c r="FV1272" i="98" s="1"/>
  <c r="FU1273" i="98"/>
  <c r="FV1273" i="98" s="1"/>
  <c r="FU1274" i="98"/>
  <c r="FU1275" i="98"/>
  <c r="FV1275" i="98" s="1"/>
  <c r="FU1276" i="98"/>
  <c r="FV1276" i="98" s="1"/>
  <c r="FX1276" i="98"/>
  <c r="FY1276" i="98"/>
  <c r="FU1277" i="98"/>
  <c r="FU1278" i="98"/>
  <c r="FU1279" i="98"/>
  <c r="FU1280" i="98"/>
  <c r="FV1280" i="98" s="1"/>
  <c r="FU1281" i="98"/>
  <c r="FV1281" i="98" s="1"/>
  <c r="FU1282" i="98"/>
  <c r="FU1283" i="98"/>
  <c r="FV1283" i="98" s="1"/>
  <c r="FU1284" i="98"/>
  <c r="FV1284" i="98" s="1"/>
  <c r="FX1284" i="98"/>
  <c r="FU1285" i="98"/>
  <c r="FV1285" i="98" s="1"/>
  <c r="FU1286" i="98"/>
  <c r="FU1287" i="98"/>
  <c r="FV1287" i="98" s="1"/>
  <c r="FU1288" i="98"/>
  <c r="FV1288" i="98" s="1"/>
  <c r="FX1288" i="98"/>
  <c r="FW1288" i="98" s="1"/>
  <c r="FY1288" i="98"/>
  <c r="FU1289" i="98"/>
  <c r="FV1289" i="98" s="1"/>
  <c r="FU1290" i="98"/>
  <c r="FU1291" i="98"/>
  <c r="FV1291" i="98" s="1"/>
  <c r="FU1292" i="98"/>
  <c r="FV1292" i="98" s="1"/>
  <c r="FX1292" i="98"/>
  <c r="FU1293" i="98"/>
  <c r="FU1294" i="98"/>
  <c r="FU1295" i="98"/>
  <c r="FU1296" i="98"/>
  <c r="FV1296" i="98" s="1"/>
  <c r="FX1296" i="98"/>
  <c r="FY1296" i="98"/>
  <c r="GG1296" i="98" s="1"/>
  <c r="GO1296" i="98"/>
  <c r="FU1297" i="98"/>
  <c r="FV1297" i="98" s="1"/>
  <c r="FX1297" i="98"/>
  <c r="FU1298" i="98"/>
  <c r="FU1299" i="98"/>
  <c r="FV1299" i="98" s="1"/>
  <c r="FX1299" i="98"/>
  <c r="FU1300" i="98"/>
  <c r="FV1300" i="98" s="1"/>
  <c r="FU1301" i="98"/>
  <c r="FV1301" i="98" s="1"/>
  <c r="FU1302" i="98"/>
  <c r="FU1303" i="98"/>
  <c r="FV1303" i="98" s="1"/>
  <c r="FU1304" i="98"/>
  <c r="FV1304" i="98" s="1"/>
  <c r="FU1305" i="98"/>
  <c r="FV1305" i="98" s="1"/>
  <c r="FX1305" i="98"/>
  <c r="FU1306" i="98"/>
  <c r="FU1307" i="98"/>
  <c r="FV1307" i="98" s="1"/>
  <c r="FX1307" i="98"/>
  <c r="FU1308" i="98"/>
  <c r="FV1308" i="98" s="1"/>
  <c r="FX1308" i="98"/>
  <c r="FU1309" i="98"/>
  <c r="FU1310" i="98"/>
  <c r="FU1311" i="98"/>
  <c r="FU1312" i="98"/>
  <c r="FV1312" i="98" s="1"/>
  <c r="FX1312" i="98"/>
  <c r="FY1312" i="98"/>
  <c r="FU1313" i="98"/>
  <c r="FV1313" i="98" s="1"/>
  <c r="FX1313" i="98"/>
  <c r="FY1313" i="98" s="1"/>
  <c r="FU1314" i="98"/>
  <c r="FV1314" i="98" s="1"/>
  <c r="FU1315" i="98"/>
  <c r="FU1316" i="98"/>
  <c r="FV1316" i="98" s="1"/>
  <c r="FX1316" i="98"/>
  <c r="FW1316" i="98" s="1"/>
  <c r="FY1316" i="98"/>
  <c r="GG1316" i="98" s="1"/>
  <c r="GO1316" i="98"/>
  <c r="FU1317" i="98"/>
  <c r="FX1317" i="98"/>
  <c r="FU1318" i="98"/>
  <c r="FU1319" i="98"/>
  <c r="FV1319" i="98" s="1"/>
  <c r="FX1319" i="98"/>
  <c r="FU1320" i="98"/>
  <c r="FV1320" i="98" s="1"/>
  <c r="FU1321" i="98"/>
  <c r="FV1321" i="98" s="1"/>
  <c r="FX1321" i="98"/>
  <c r="FY1321" i="98" s="1"/>
  <c r="FU1322" i="98"/>
  <c r="FV1322" i="98" s="1"/>
  <c r="FU1323" i="98"/>
  <c r="FU1324" i="98"/>
  <c r="FV1324" i="98" s="1"/>
  <c r="FU1325" i="98"/>
  <c r="FX1325" i="98"/>
  <c r="FU1326" i="98"/>
  <c r="FU1327" i="98"/>
  <c r="FV1327" i="98" s="1"/>
  <c r="FX1327" i="98"/>
  <c r="FU1328" i="98"/>
  <c r="FV1328" i="98" s="1"/>
  <c r="FX1328" i="98"/>
  <c r="FU1329" i="98"/>
  <c r="FV1329" i="98" s="1"/>
  <c r="FX1329" i="98"/>
  <c r="FY1329" i="98" s="1"/>
  <c r="FU1330" i="98"/>
  <c r="FV1330" i="98" s="1"/>
  <c r="FU1331" i="98"/>
  <c r="FU1332" i="98"/>
  <c r="FV1332" i="98" s="1"/>
  <c r="FX1332" i="98"/>
  <c r="FU1333" i="98"/>
  <c r="FX1333" i="98"/>
  <c r="FU1334" i="98"/>
  <c r="FU1335" i="98"/>
  <c r="FV1335" i="98" s="1"/>
  <c r="FU1336" i="98"/>
  <c r="FV1336" i="98" s="1"/>
  <c r="FX1336" i="98"/>
  <c r="FU1337" i="98"/>
  <c r="FV1337" i="98" s="1"/>
  <c r="FU1338" i="98"/>
  <c r="FV1338" i="98" s="1"/>
  <c r="FU1339" i="98"/>
  <c r="FU1340" i="98"/>
  <c r="FV1340" i="98" s="1"/>
  <c r="FU1341" i="98"/>
  <c r="FX1341" i="98" s="1"/>
  <c r="FU1342" i="98"/>
  <c r="FU1343" i="98"/>
  <c r="FV1343" i="98" s="1"/>
  <c r="FU1344" i="98"/>
  <c r="FV1344" i="98" s="1"/>
  <c r="FX1344" i="98"/>
  <c r="FU1345" i="98"/>
  <c r="FV1345" i="98" s="1"/>
  <c r="FX1345" i="98"/>
  <c r="FY1345" i="98" s="1"/>
  <c r="FU1346" i="98"/>
  <c r="FV1346" i="98" s="1"/>
  <c r="FU1347" i="98"/>
  <c r="FU1348" i="98"/>
  <c r="FV1348" i="98" s="1"/>
  <c r="FX1348" i="98"/>
  <c r="FU1349" i="98"/>
  <c r="FX1349" i="98"/>
  <c r="FU1350" i="98"/>
  <c r="FU1351" i="98"/>
  <c r="FV1351" i="98" s="1"/>
  <c r="FX1351" i="98"/>
  <c r="FU1352" i="98"/>
  <c r="FV1352" i="98" s="1"/>
  <c r="FU1353" i="98"/>
  <c r="FV1353" i="98" s="1"/>
  <c r="FU1354" i="98"/>
  <c r="FV1354" i="98" s="1"/>
  <c r="FU1355" i="98"/>
  <c r="FU1356" i="98"/>
  <c r="FV1356" i="98" s="1"/>
  <c r="FU1357" i="98"/>
  <c r="FX1357" i="98" s="1"/>
  <c r="FU1358" i="98"/>
  <c r="FU1359" i="98"/>
  <c r="FV1359" i="98" s="1"/>
  <c r="FU1360" i="98"/>
  <c r="FV1360" i="98" s="1"/>
  <c r="FX1360" i="98"/>
  <c r="FU1361" i="98"/>
  <c r="FV1361" i="98" s="1"/>
  <c r="FX1361" i="98"/>
  <c r="FY1361" i="98" s="1"/>
  <c r="FU1362" i="98"/>
  <c r="FV1362" i="98" s="1"/>
  <c r="FU1363" i="98"/>
  <c r="FU1364" i="98"/>
  <c r="FV1364" i="98" s="1"/>
  <c r="FX1364" i="98"/>
  <c r="FU1365" i="98"/>
  <c r="FX1365" i="98"/>
  <c r="FU1366" i="98"/>
  <c r="FU1367" i="98"/>
  <c r="FV1367" i="98" s="1"/>
  <c r="FX1367" i="98"/>
  <c r="FU1368" i="98"/>
  <c r="FV1368" i="98" s="1"/>
  <c r="FX1368" i="98"/>
  <c r="FY1368" i="98"/>
  <c r="FU1369" i="98"/>
  <c r="FV1369" i="98" s="1"/>
  <c r="FU1370" i="98"/>
  <c r="FV1370" i="98" s="1"/>
  <c r="FU1371" i="98"/>
  <c r="FU1372" i="98"/>
  <c r="FV1372" i="98" s="1"/>
  <c r="FU1373" i="98"/>
  <c r="FX1373" i="98" s="1"/>
  <c r="FU1374" i="98"/>
  <c r="FU1375" i="98"/>
  <c r="FV1375" i="98" s="1"/>
  <c r="FU1376" i="98"/>
  <c r="FV1376" i="98" s="1"/>
  <c r="FX1376" i="98"/>
  <c r="FY1376" i="98"/>
  <c r="FU1377" i="98"/>
  <c r="FV1377" i="98" s="1"/>
  <c r="FX1377" i="98"/>
  <c r="FY1377" i="98" s="1"/>
  <c r="FU1378" i="98"/>
  <c r="FV1378" i="98" s="1"/>
  <c r="FU1379" i="98"/>
  <c r="FU1380" i="98"/>
  <c r="FV1380" i="98" s="1"/>
  <c r="FX1380" i="98"/>
  <c r="FW1380" i="98" s="1"/>
  <c r="FY1380" i="98"/>
  <c r="FU1381" i="98"/>
  <c r="FX1381" i="98"/>
  <c r="FU1382" i="98"/>
  <c r="FU1383" i="98"/>
  <c r="FV1383" i="98" s="1"/>
  <c r="FX1383" i="98"/>
  <c r="FU1384" i="98"/>
  <c r="FV1384" i="98" s="1"/>
  <c r="FX1384" i="98"/>
  <c r="FY1384" i="98"/>
  <c r="FT1384" i="98" s="1"/>
  <c r="GJ1384" i="98" s="1"/>
  <c r="FU1385" i="98"/>
  <c r="FV1385" i="98" s="1"/>
  <c r="FX1385" i="98"/>
  <c r="FY1385" i="98" s="1"/>
  <c r="FU1386" i="98"/>
  <c r="FV1386" i="98" s="1"/>
  <c r="FU1387" i="98"/>
  <c r="FU1388" i="98"/>
  <c r="FV1388" i="98" s="1"/>
  <c r="FX1388" i="98"/>
  <c r="FW1388" i="98" s="1"/>
  <c r="FY1388" i="98"/>
  <c r="FU1389" i="98"/>
  <c r="FX1389" i="98"/>
  <c r="FU1390" i="98"/>
  <c r="FU1391" i="98"/>
  <c r="FV1391" i="98" s="1"/>
  <c r="FX1391" i="98"/>
  <c r="FU1392" i="98"/>
  <c r="FV1392" i="98" s="1"/>
  <c r="FU1393" i="98"/>
  <c r="FV1393" i="98" s="1"/>
  <c r="FX1393" i="98"/>
  <c r="FY1393" i="98" s="1"/>
  <c r="FU1394" i="98"/>
  <c r="FV1394" i="98" s="1"/>
  <c r="FU1395" i="98"/>
  <c r="FU1396" i="98"/>
  <c r="FV1396" i="98" s="1"/>
  <c r="FU1397" i="98"/>
  <c r="FX1397" i="98" s="1"/>
  <c r="FU1398" i="98"/>
  <c r="FU1399" i="98"/>
  <c r="FV1399" i="98" s="1"/>
  <c r="FU1400" i="98"/>
  <c r="FV1400" i="98" s="1"/>
  <c r="FU1401" i="98"/>
  <c r="FV1401" i="98" s="1"/>
  <c r="FX1401" i="98"/>
  <c r="FY1401" i="98" s="1"/>
  <c r="FU1402" i="98"/>
  <c r="FV1402" i="98" s="1"/>
  <c r="FU1403" i="98"/>
  <c r="FU1404" i="98"/>
  <c r="FV1404" i="98" s="1"/>
  <c r="FU1405" i="98"/>
  <c r="FX1405" i="98" s="1"/>
  <c r="FU1406" i="98"/>
  <c r="FU1407" i="98"/>
  <c r="FV1407" i="98" s="1"/>
  <c r="FU1408" i="98"/>
  <c r="FV1408" i="98" s="1"/>
  <c r="FX1408" i="98"/>
  <c r="FU1409" i="98"/>
  <c r="FV1409" i="98" s="1"/>
  <c r="FX1409" i="98"/>
  <c r="FY1409" i="98" s="1"/>
  <c r="FU1410" i="98"/>
  <c r="FV1410" i="98" s="1"/>
  <c r="FU1411" i="98"/>
  <c r="FU1412" i="98"/>
  <c r="FV1412" i="98" s="1"/>
  <c r="FX1412" i="98"/>
  <c r="FU1413" i="98"/>
  <c r="FX1413" i="98"/>
  <c r="FU1414" i="98"/>
  <c r="FU1415" i="98"/>
  <c r="FV1415" i="98" s="1"/>
  <c r="FX1415" i="98"/>
  <c r="FU1416" i="98"/>
  <c r="FV1416" i="98" s="1"/>
  <c r="FU1417" i="98"/>
  <c r="FV1417" i="98" s="1"/>
  <c r="FU1418" i="98"/>
  <c r="FV1418" i="98" s="1"/>
  <c r="FU1419" i="98"/>
  <c r="FU1420" i="98"/>
  <c r="FV1420" i="98" s="1"/>
  <c r="FX1420" i="98"/>
  <c r="FY1420" i="98"/>
  <c r="FU1421" i="98"/>
  <c r="FX1421" i="98" s="1"/>
  <c r="FU1422" i="98"/>
  <c r="FU1423" i="98"/>
  <c r="FV1423" i="98" s="1"/>
  <c r="FU1424" i="98"/>
  <c r="FV1424" i="98" s="1"/>
  <c r="FX1424" i="98"/>
  <c r="FU1425" i="98"/>
  <c r="FV1425" i="98" s="1"/>
  <c r="FX1425" i="98"/>
  <c r="FY1425" i="98" s="1"/>
  <c r="FU1426" i="98"/>
  <c r="FV1426" i="98" s="1"/>
  <c r="FU1427" i="98"/>
  <c r="FU1428" i="98"/>
  <c r="FV1428" i="98" s="1"/>
  <c r="FX1428" i="98"/>
  <c r="FU1429" i="98"/>
  <c r="FX1429" i="98"/>
  <c r="FU1430" i="98"/>
  <c r="FU1431" i="98"/>
  <c r="FV1431" i="98" s="1"/>
  <c r="FU1432" i="98"/>
  <c r="FV1432" i="98" s="1"/>
  <c r="FX1432" i="98"/>
  <c r="FU1433" i="98"/>
  <c r="FV1433" i="98" s="1"/>
  <c r="FX1433" i="98"/>
  <c r="FY1433" i="98" s="1"/>
  <c r="FU1434" i="98"/>
  <c r="FV1434" i="98" s="1"/>
  <c r="FU1435" i="98"/>
  <c r="FU1436" i="98"/>
  <c r="FV1436" i="98" s="1"/>
  <c r="FX1436" i="98"/>
  <c r="FU1437" i="98"/>
  <c r="FX1437" i="98"/>
  <c r="FU1438" i="98"/>
  <c r="FU1439" i="98"/>
  <c r="FV1439" i="98" s="1"/>
  <c r="FX1439" i="98"/>
  <c r="FU1440" i="98"/>
  <c r="FV1440" i="98" s="1"/>
  <c r="FU1441" i="98"/>
  <c r="FV1441" i="98" s="1"/>
  <c r="FX1441" i="98"/>
  <c r="FY1441" i="98" s="1"/>
  <c r="FU1442" i="98"/>
  <c r="FV1442" i="98" s="1"/>
  <c r="FU1443" i="98"/>
  <c r="FU1444" i="98"/>
  <c r="FV1444" i="98" s="1"/>
  <c r="FU1445" i="98"/>
  <c r="FX1445" i="98" s="1"/>
  <c r="FU1446" i="98"/>
  <c r="FU1447" i="98"/>
  <c r="FV1447" i="98" s="1"/>
  <c r="FX1447" i="98"/>
  <c r="FU1448" i="98"/>
  <c r="FV1448" i="98" s="1"/>
  <c r="FX1448" i="98"/>
  <c r="FY1448" i="98"/>
  <c r="FT1448" i="98" s="1"/>
  <c r="GJ1448" i="98" s="1"/>
  <c r="FU1449" i="98"/>
  <c r="FV1449" i="98" s="1"/>
  <c r="FX1449" i="98"/>
  <c r="FY1449" i="98" s="1"/>
  <c r="FU1450" i="98"/>
  <c r="FV1450" i="98" s="1"/>
  <c r="FU1451" i="98"/>
  <c r="FU1452" i="98"/>
  <c r="FV1452" i="98" s="1"/>
  <c r="FX1452" i="98"/>
  <c r="FW1452" i="98" s="1"/>
  <c r="FY1452" i="98"/>
  <c r="FU1453" i="98"/>
  <c r="FX1453" i="98"/>
  <c r="FU1454" i="98"/>
  <c r="FU1455" i="98"/>
  <c r="FV1455" i="98" s="1"/>
  <c r="FX1455" i="98"/>
  <c r="FU1456" i="98"/>
  <c r="FV1456" i="98" s="1"/>
  <c r="FU1457" i="98"/>
  <c r="FV1457" i="98" s="1"/>
  <c r="FX1457" i="98"/>
  <c r="FY1457" i="98" s="1"/>
  <c r="FU1458" i="98"/>
  <c r="FV1458" i="98" s="1"/>
  <c r="FU1459" i="98"/>
  <c r="FU1460" i="98"/>
  <c r="FV1460" i="98" s="1"/>
  <c r="FX1460" i="98"/>
  <c r="FW1460" i="98" s="1"/>
  <c r="FY1460" i="98"/>
  <c r="FU1461" i="98"/>
  <c r="FX1461" i="98"/>
  <c r="FU1462" i="98"/>
  <c r="FU1463" i="98"/>
  <c r="FV1463" i="98" s="1"/>
  <c r="FX1463" i="98"/>
  <c r="FU1464" i="98"/>
  <c r="FV1464" i="98" s="1"/>
  <c r="FU1465" i="98"/>
  <c r="FV1465" i="98" s="1"/>
  <c r="FX1465" i="98"/>
  <c r="FY1465" i="98" s="1"/>
  <c r="FU1466" i="98"/>
  <c r="FV1466" i="98" s="1"/>
  <c r="FU1467" i="98"/>
  <c r="FU1468" i="98"/>
  <c r="FV1468" i="98" s="1"/>
  <c r="FU1469" i="98"/>
  <c r="FX1469" i="98"/>
  <c r="FU1470" i="98"/>
  <c r="FU1471" i="98"/>
  <c r="FV1471" i="98" s="1"/>
  <c r="FX1471" i="98"/>
  <c r="FU1472" i="98"/>
  <c r="FV1472" i="98" s="1"/>
  <c r="FX1472" i="98"/>
  <c r="FY1472" i="98"/>
  <c r="FU1473" i="98"/>
  <c r="FV1473" i="98" s="1"/>
  <c r="FU1474" i="98"/>
  <c r="FV1474" i="98" s="1"/>
  <c r="FU1475" i="98"/>
  <c r="FU1476" i="98"/>
  <c r="FV1476" i="98" s="1"/>
  <c r="FU1477" i="98"/>
  <c r="FX1477" i="98"/>
  <c r="FU1478" i="98"/>
  <c r="FU1479" i="98"/>
  <c r="FV1479" i="98" s="1"/>
  <c r="FX1479" i="98"/>
  <c r="FU1480" i="98"/>
  <c r="FV1480" i="98" s="1"/>
  <c r="FX1480" i="98"/>
  <c r="FU1481" i="98"/>
  <c r="FV1481" i="98" s="1"/>
  <c r="FX1481" i="98"/>
  <c r="FY1481" i="98" s="1"/>
  <c r="FU1482" i="98"/>
  <c r="FV1482" i="98" s="1"/>
  <c r="FU1483" i="98"/>
  <c r="FU1484" i="98"/>
  <c r="FV1484" i="98" s="1"/>
  <c r="FX1484" i="98"/>
  <c r="FU1485" i="98"/>
  <c r="FX1485" i="98"/>
  <c r="FU1486" i="98"/>
  <c r="FU1487" i="98"/>
  <c r="FV1487" i="98" s="1"/>
  <c r="FU1488" i="98"/>
  <c r="FV1488" i="98" s="1"/>
  <c r="FX1488" i="98"/>
  <c r="FY1488" i="98"/>
  <c r="FU1489" i="98"/>
  <c r="FV1489" i="98" s="1"/>
  <c r="FX1489" i="98"/>
  <c r="FY1489" i="98" s="1"/>
  <c r="FU1490" i="98"/>
  <c r="FV1490" i="98" s="1"/>
  <c r="FU1491" i="98"/>
  <c r="FU1492" i="98"/>
  <c r="FV1492" i="98" s="1"/>
  <c r="FX1492" i="98"/>
  <c r="FW1492" i="98" s="1"/>
  <c r="FY1492" i="98"/>
  <c r="FU1493" i="98"/>
  <c r="FX1493" i="98"/>
  <c r="FU1494" i="98"/>
  <c r="FU1495" i="98"/>
  <c r="FV1495" i="98" s="1"/>
  <c r="FX1495" i="98"/>
  <c r="FU1496" i="98"/>
  <c r="FV1496" i="98" s="1"/>
  <c r="FX1496" i="98"/>
  <c r="FY1496" i="98"/>
  <c r="FT1496" i="98" s="1"/>
  <c r="FU1497" i="98"/>
  <c r="FV1497" i="98" s="1"/>
  <c r="FX1497" i="98"/>
  <c r="FY1497" i="98" s="1"/>
  <c r="FU1498" i="98"/>
  <c r="FV1498" i="98" s="1"/>
  <c r="FU1499" i="98"/>
  <c r="FU1500" i="98"/>
  <c r="FV1500" i="98" s="1"/>
  <c r="FU1501" i="98"/>
  <c r="FX1501" i="98" s="1"/>
  <c r="FU1502" i="98"/>
  <c r="FU1503" i="98"/>
  <c r="FV1503" i="98" s="1"/>
  <c r="FU1504" i="98"/>
  <c r="FV1504" i="98" s="1"/>
  <c r="FX1504" i="98"/>
  <c r="FY1504" i="98"/>
  <c r="FU1505" i="98"/>
  <c r="FV1505" i="98" s="1"/>
  <c r="FX1505" i="98"/>
  <c r="FY1505" i="98" s="1"/>
  <c r="FU1506" i="98"/>
  <c r="FU1507" i="98"/>
  <c r="FV1507" i="98" s="1"/>
  <c r="FU1508" i="98"/>
  <c r="FV1508" i="98" s="1"/>
  <c r="FX1508" i="98"/>
  <c r="FW1508" i="98" s="1"/>
  <c r="FY1508" i="98"/>
  <c r="FU1509" i="98"/>
  <c r="FX1509" i="98"/>
  <c r="FU1510" i="98"/>
  <c r="FU1511" i="98"/>
  <c r="FV1511" i="98" s="1"/>
  <c r="FU1512" i="98"/>
  <c r="FV1512" i="98" s="1"/>
  <c r="FX1512" i="98"/>
  <c r="FW1512" i="98" s="1"/>
  <c r="FY1512" i="98"/>
  <c r="FU1513" i="98"/>
  <c r="FX1513" i="98"/>
  <c r="FU1514" i="98"/>
  <c r="FU1515" i="98"/>
  <c r="FV1515" i="98" s="1"/>
  <c r="FU1516" i="98"/>
  <c r="FV1516" i="98" s="1"/>
  <c r="FX1516" i="98"/>
  <c r="FW1516" i="98" s="1"/>
  <c r="FY1516" i="98"/>
  <c r="GG1516" i="98" s="1"/>
  <c r="GM1516" i="98"/>
  <c r="FU1517" i="98"/>
  <c r="FX1517" i="98"/>
  <c r="FU1518" i="98"/>
  <c r="FU1519" i="98"/>
  <c r="FV1519" i="98" s="1"/>
  <c r="FU1520" i="98"/>
  <c r="FV1520" i="98" s="1"/>
  <c r="FU1521" i="98"/>
  <c r="FX1521" i="98" s="1"/>
  <c r="FU1522" i="98"/>
  <c r="FU1523" i="98"/>
  <c r="FV1523" i="98" s="1"/>
  <c r="FU1524" i="98"/>
  <c r="FV1524" i="98" s="1"/>
  <c r="FX1524" i="98"/>
  <c r="FW1524" i="98" s="1"/>
  <c r="FY1524" i="98"/>
  <c r="FU1525" i="98"/>
  <c r="FX1525" i="98" s="1"/>
  <c r="FU1526" i="98"/>
  <c r="FU1527" i="98"/>
  <c r="FV1527" i="98" s="1"/>
  <c r="FU1528" i="98"/>
  <c r="FV1528" i="98" s="1"/>
  <c r="FX1528" i="98"/>
  <c r="FU1529" i="98"/>
  <c r="FX1529" i="98"/>
  <c r="FU1530" i="98"/>
  <c r="FU1531" i="98"/>
  <c r="FV1531" i="98" s="1"/>
  <c r="FU1532" i="98"/>
  <c r="FV1532" i="98" s="1"/>
  <c r="FU1533" i="98"/>
  <c r="FX1533" i="98"/>
  <c r="FU1534" i="98"/>
  <c r="FU1535" i="98"/>
  <c r="FV1535" i="98" s="1"/>
  <c r="FU1536" i="98"/>
  <c r="FV1536" i="98" s="1"/>
  <c r="FU1537" i="98"/>
  <c r="FV1537" i="98" s="1"/>
  <c r="FX1537" i="98"/>
  <c r="FU1538" i="98"/>
  <c r="FU1539" i="98"/>
  <c r="FV1539" i="98" s="1"/>
  <c r="FU1540" i="98"/>
  <c r="FV1540" i="98" s="1"/>
  <c r="FX1540" i="98"/>
  <c r="FU1541" i="98"/>
  <c r="FV1541" i="98" s="1"/>
  <c r="FX1541" i="98"/>
  <c r="FU1542" i="98"/>
  <c r="FU1543" i="98"/>
  <c r="FV1543" i="98" s="1"/>
  <c r="FU1544" i="98"/>
  <c r="FV1544" i="98" s="1"/>
  <c r="FX1544" i="98"/>
  <c r="FU1545" i="98"/>
  <c r="FV1545" i="98" s="1"/>
  <c r="FX1545" i="98"/>
  <c r="FU1546" i="98"/>
  <c r="FU1547" i="98"/>
  <c r="FV1547" i="98" s="1"/>
  <c r="FU1548" i="98"/>
  <c r="FV1548" i="98" s="1"/>
  <c r="FX1548" i="98"/>
  <c r="FU1549" i="98"/>
  <c r="FV1549" i="98" s="1"/>
  <c r="FX1549" i="98"/>
  <c r="FU1550" i="98"/>
  <c r="FU1551" i="98"/>
  <c r="FV1551" i="98" s="1"/>
  <c r="FU1552" i="98"/>
  <c r="FV1552" i="98" s="1"/>
  <c r="FX1552" i="98"/>
  <c r="FU1553" i="98"/>
  <c r="FV1553" i="98" s="1"/>
  <c r="FX1553" i="98"/>
  <c r="FU1554" i="98"/>
  <c r="FU1555" i="98"/>
  <c r="FV1555" i="98" s="1"/>
  <c r="FU1556" i="98"/>
  <c r="FV1556" i="98" s="1"/>
  <c r="FX1556" i="98"/>
  <c r="FU1557" i="98"/>
  <c r="FX1557" i="98" s="1"/>
  <c r="FU1558" i="98"/>
  <c r="FU1559" i="98"/>
  <c r="FV1559" i="98" s="1"/>
  <c r="FU1560" i="98"/>
  <c r="FV1560" i="98" s="1"/>
  <c r="FU1561" i="98"/>
  <c r="FX1561" i="98" s="1"/>
  <c r="FU1562" i="98"/>
  <c r="FU1563" i="98"/>
  <c r="FV1563" i="98" s="1"/>
  <c r="FU1564" i="98"/>
  <c r="FV1564" i="98" s="1"/>
  <c r="FU1565" i="98"/>
  <c r="FX1565" i="98" s="1"/>
  <c r="FU1566" i="98"/>
  <c r="FU1567" i="98"/>
  <c r="FV1567" i="98" s="1"/>
  <c r="FU1568" i="98"/>
  <c r="FV1568" i="98" s="1"/>
  <c r="FU1569" i="98"/>
  <c r="FX1569" i="98" s="1"/>
  <c r="FU1570" i="98"/>
  <c r="FU1571" i="98"/>
  <c r="FV1571" i="98" s="1"/>
  <c r="FU1572" i="98"/>
  <c r="FV1572" i="98" s="1"/>
  <c r="FU1573" i="98"/>
  <c r="FX1573" i="98" s="1"/>
  <c r="FU1574" i="98"/>
  <c r="FU1575" i="98"/>
  <c r="FV1575" i="98" s="1"/>
  <c r="FU1576" i="98"/>
  <c r="FV1576" i="98" s="1"/>
  <c r="FU1577" i="98"/>
  <c r="FX1577" i="98"/>
  <c r="FU1578" i="98"/>
  <c r="FU1579" i="98"/>
  <c r="FV1579" i="98" s="1"/>
  <c r="FU1580" i="98"/>
  <c r="FV1580" i="98" s="1"/>
  <c r="FX1580" i="98"/>
  <c r="FU1581" i="98"/>
  <c r="FX1581" i="98"/>
  <c r="FU1582" i="98"/>
  <c r="FU1583" i="98"/>
  <c r="FV1583" i="98" s="1"/>
  <c r="FU1584" i="98"/>
  <c r="FV1584" i="98" s="1"/>
  <c r="FX1584" i="98"/>
  <c r="FU1585" i="98"/>
  <c r="FX1585" i="98"/>
  <c r="FU1586" i="98"/>
  <c r="FU1587" i="98"/>
  <c r="FV1587" i="98" s="1"/>
  <c r="FU1588" i="98"/>
  <c r="FV1588" i="98" s="1"/>
  <c r="FX1588" i="98"/>
  <c r="FU1589" i="98"/>
  <c r="FX1589" i="98"/>
  <c r="FU1590" i="98"/>
  <c r="FU1591" i="98"/>
  <c r="FV1591" i="98" s="1"/>
  <c r="FU1592" i="98"/>
  <c r="FV1592" i="98" s="1"/>
  <c r="FX1592" i="98"/>
  <c r="FU1593" i="98"/>
  <c r="FX1593" i="98"/>
  <c r="FU1594" i="98"/>
  <c r="FU1595" i="98"/>
  <c r="FV1595" i="98" s="1"/>
  <c r="FU1596" i="98"/>
  <c r="FV1596" i="98" s="1"/>
  <c r="FX1596" i="98"/>
  <c r="FU1597" i="98"/>
  <c r="FX1597" i="98" s="1"/>
  <c r="FU1598" i="98"/>
  <c r="FU1599" i="98"/>
  <c r="FV1599" i="98" s="1"/>
  <c r="FU1600" i="98"/>
  <c r="FV1600" i="98" s="1"/>
  <c r="FX1600" i="98"/>
  <c r="FY1600" i="98"/>
  <c r="FU1601" i="98"/>
  <c r="FX1601" i="98" s="1"/>
  <c r="FU1602" i="98"/>
  <c r="FU1603" i="98"/>
  <c r="FV1603" i="98" s="1"/>
  <c r="FU1604" i="98"/>
  <c r="FV1604" i="98" s="1"/>
  <c r="FX1604" i="98"/>
  <c r="FU1605" i="98"/>
  <c r="FX1605" i="98"/>
  <c r="FU1606" i="98"/>
  <c r="FU1607" i="98"/>
  <c r="FV1607" i="98" s="1"/>
  <c r="FU1608" i="98"/>
  <c r="FV1608" i="98" s="1"/>
  <c r="FU1609" i="98"/>
  <c r="FX1609" i="98"/>
  <c r="FU1610" i="98"/>
  <c r="FU1611" i="98"/>
  <c r="FV1611" i="98" s="1"/>
  <c r="FU1612" i="98"/>
  <c r="FV1612" i="98" s="1"/>
  <c r="FU1613" i="98"/>
  <c r="FX1613" i="98" s="1"/>
  <c r="FU1614" i="98"/>
  <c r="FU1615" i="98"/>
  <c r="FV1615" i="98" s="1"/>
  <c r="FU1616" i="98"/>
  <c r="FV1616" i="98" s="1"/>
  <c r="FX1616" i="98"/>
  <c r="FY1616" i="98"/>
  <c r="GG1616" i="98" s="1"/>
  <c r="GM1616" i="98"/>
  <c r="FU1617" i="98"/>
  <c r="FV1617" i="98" s="1"/>
  <c r="FX1617" i="98"/>
  <c r="FU1618" i="98"/>
  <c r="FU1619" i="98"/>
  <c r="FV1619" i="98" s="1"/>
  <c r="FU1620" i="98"/>
  <c r="FV1620" i="98" s="1"/>
  <c r="FU1621" i="98"/>
  <c r="FV1621" i="98" s="1"/>
  <c r="FX1621" i="98"/>
  <c r="FU1622" i="98"/>
  <c r="FU1623" i="98"/>
  <c r="FV1623" i="98" s="1"/>
  <c r="FU1624" i="98"/>
  <c r="FV1624" i="98" s="1"/>
  <c r="FU1625" i="98"/>
  <c r="FV1625" i="98" s="1"/>
  <c r="FX1625" i="98"/>
  <c r="FU1626" i="98"/>
  <c r="FU1627" i="98"/>
  <c r="FV1627" i="98" s="1"/>
  <c r="FU1628" i="98"/>
  <c r="FV1628" i="98" s="1"/>
  <c r="FU1629" i="98"/>
  <c r="FV1629" i="98" s="1"/>
  <c r="FX1629" i="98"/>
  <c r="FU1630" i="98"/>
  <c r="FU1631" i="98"/>
  <c r="FV1631" i="98" s="1"/>
  <c r="FU1632" i="98"/>
  <c r="FV1632" i="98" s="1"/>
  <c r="FU1633" i="98"/>
  <c r="FV1633" i="98" s="1"/>
  <c r="FX1633" i="98"/>
  <c r="FU1634" i="98"/>
  <c r="FU1635" i="98"/>
  <c r="FV1635" i="98" s="1"/>
  <c r="FU1636" i="98"/>
  <c r="FV1636" i="98" s="1"/>
  <c r="FU1637" i="98"/>
  <c r="FX1637" i="98" s="1"/>
  <c r="FU1638" i="98"/>
  <c r="FU1639" i="98"/>
  <c r="FV1639" i="98" s="1"/>
  <c r="FU1640" i="98"/>
  <c r="FV1640" i="98" s="1"/>
  <c r="FX1640" i="98"/>
  <c r="FY1640" i="98"/>
  <c r="FU1641" i="98"/>
  <c r="FX1641" i="98" s="1"/>
  <c r="FU1642" i="98"/>
  <c r="FU1643" i="98"/>
  <c r="FV1643" i="98" s="1"/>
  <c r="FU1644" i="98"/>
  <c r="FV1644" i="98" s="1"/>
  <c r="FX1644" i="98"/>
  <c r="FY1644" i="98"/>
  <c r="FU1645" i="98"/>
  <c r="FX1645" i="98" s="1"/>
  <c r="FU1646" i="98"/>
  <c r="FU1647" i="98"/>
  <c r="FV1647" i="98" s="1"/>
  <c r="FU1648" i="98"/>
  <c r="FV1648" i="98" s="1"/>
  <c r="FX1648" i="98"/>
  <c r="FY1648" i="98"/>
  <c r="FU1649" i="98"/>
  <c r="FX1649" i="98" s="1"/>
  <c r="FU1650" i="98"/>
  <c r="FU1651" i="98"/>
  <c r="FV1651" i="98" s="1"/>
  <c r="FU1652" i="98"/>
  <c r="FV1652" i="98" s="1"/>
  <c r="FX1652" i="98"/>
  <c r="FY1652" i="98"/>
  <c r="FU1653" i="98"/>
  <c r="FX1653" i="98" s="1"/>
  <c r="FU1654" i="98"/>
  <c r="FU1655" i="98"/>
  <c r="FV1655" i="98" s="1"/>
  <c r="FU1656" i="98"/>
  <c r="FV1656" i="98" s="1"/>
  <c r="FX1656" i="98"/>
  <c r="FY1656" i="98"/>
  <c r="GG1656" i="98" s="1"/>
  <c r="GM1656" i="98"/>
  <c r="FU1657" i="98"/>
  <c r="FX1657" i="98"/>
  <c r="FU1658" i="98"/>
  <c r="FU1659" i="98"/>
  <c r="FV1659" i="98" s="1"/>
  <c r="FU1660" i="98"/>
  <c r="FV1660" i="98" s="1"/>
  <c r="FU1661" i="98"/>
  <c r="FX1661" i="98"/>
  <c r="FU1662" i="98"/>
  <c r="FU1663" i="98"/>
  <c r="FV1663" i="98" s="1"/>
  <c r="FU1664" i="98"/>
  <c r="FV1664" i="98" s="1"/>
  <c r="FU1665" i="98"/>
  <c r="FX1665" i="98"/>
  <c r="FU1666" i="98"/>
  <c r="FU1667" i="98"/>
  <c r="FV1667" i="98" s="1"/>
  <c r="FU1668" i="98"/>
  <c r="FV1668" i="98" s="1"/>
  <c r="FU1669" i="98"/>
  <c r="FX1669" i="98"/>
  <c r="FU1670" i="98"/>
  <c r="FU1671" i="98"/>
  <c r="FV1671" i="98" s="1"/>
  <c r="FU1672" i="98"/>
  <c r="FV1672" i="98" s="1"/>
  <c r="FU1673" i="98"/>
  <c r="FX1673" i="98"/>
  <c r="FU1674" i="98"/>
  <c r="FU1675" i="98"/>
  <c r="FV1675" i="98" s="1"/>
  <c r="FU1676" i="98"/>
  <c r="FV1676" i="98" s="1"/>
  <c r="FU1677" i="98"/>
  <c r="FX1677" i="98"/>
  <c r="FU1678" i="98"/>
  <c r="FU1679" i="98"/>
  <c r="FV1679" i="98" s="1"/>
  <c r="FU1680" i="98"/>
  <c r="FV1680" i="98" s="1"/>
  <c r="FX1680" i="98"/>
  <c r="FU1681" i="98"/>
  <c r="FX1681" i="98"/>
  <c r="FU1682" i="98"/>
  <c r="FU1683" i="98"/>
  <c r="FV1683" i="98" s="1"/>
  <c r="FU1684" i="98"/>
  <c r="FV1684" i="98" s="1"/>
  <c r="FX1684" i="98"/>
  <c r="FU1685" i="98"/>
  <c r="FX1685" i="98"/>
  <c r="FT1054" i="98" l="1"/>
  <c r="FZ1054" i="98" s="1"/>
  <c r="GC1054" i="98"/>
  <c r="GD1054" i="98"/>
  <c r="GE1054" i="98"/>
  <c r="GB1054" i="98"/>
  <c r="GA336" i="98"/>
  <c r="GD336" i="98"/>
  <c r="FZ336" i="98"/>
  <c r="GE336" i="98"/>
  <c r="GB336" i="98"/>
  <c r="GC336" i="98"/>
  <c r="GJ336" i="98"/>
  <c r="FT336" i="98"/>
  <c r="GK336" i="98"/>
  <c r="FT1070" i="98"/>
  <c r="FZ1070" i="98" s="1"/>
  <c r="GD1070" i="98"/>
  <c r="GE1070" i="98"/>
  <c r="GB1070" i="98"/>
  <c r="GE1038" i="98"/>
  <c r="GB1038" i="98"/>
  <c r="FT1038" i="98"/>
  <c r="GJ1038" i="98" s="1"/>
  <c r="GA296" i="98"/>
  <c r="GB296" i="98"/>
  <c r="GC296" i="98"/>
  <c r="GD296" i="98"/>
  <c r="FZ296" i="98"/>
  <c r="GE296" i="98"/>
  <c r="GJ296" i="98"/>
  <c r="FT296" i="98"/>
  <c r="GK296" i="98"/>
  <c r="FT778" i="98"/>
  <c r="GB778" i="98" s="1"/>
  <c r="FY1685" i="98"/>
  <c r="FV1685" i="98"/>
  <c r="FY1681" i="98"/>
  <c r="FV1681" i="98"/>
  <c r="FY1677" i="98"/>
  <c r="FV1677" i="98"/>
  <c r="GQ1656" i="98"/>
  <c r="GI1656" i="98"/>
  <c r="FW1656" i="98"/>
  <c r="FW1652" i="98"/>
  <c r="FW1648" i="98"/>
  <c r="FW1644" i="98"/>
  <c r="FW1640" i="98"/>
  <c r="GQ1616" i="98"/>
  <c r="GI1616" i="98"/>
  <c r="FW1616" i="98"/>
  <c r="FX1614" i="98"/>
  <c r="FY1614" i="98" s="1"/>
  <c r="FV1614" i="98"/>
  <c r="FX1612" i="98"/>
  <c r="FY1605" i="98"/>
  <c r="FV1605" i="98"/>
  <c r="FW1600" i="98"/>
  <c r="FX1598" i="98"/>
  <c r="FY1598" i="98" s="1"/>
  <c r="FV1598" i="98"/>
  <c r="FY1593" i="98"/>
  <c r="FV1593" i="98"/>
  <c r="FY1589" i="98"/>
  <c r="FV1589" i="98"/>
  <c r="FY1585" i="98"/>
  <c r="FV1585" i="98"/>
  <c r="FY1581" i="98"/>
  <c r="FV1581" i="98"/>
  <c r="FY1577" i="98"/>
  <c r="FV1577" i="98"/>
  <c r="FX1576" i="98"/>
  <c r="FX1574" i="98"/>
  <c r="FY1574" i="98" s="1"/>
  <c r="FV1574" i="98"/>
  <c r="FX1572" i="98"/>
  <c r="FX1570" i="98"/>
  <c r="FY1570" i="98" s="1"/>
  <c r="FV1570" i="98"/>
  <c r="FX1568" i="98"/>
  <c r="FX1566" i="98"/>
  <c r="FY1566" i="98" s="1"/>
  <c r="FV1566" i="98"/>
  <c r="FX1564" i="98"/>
  <c r="FX1562" i="98"/>
  <c r="FY1562" i="98" s="1"/>
  <c r="FV1562" i="98"/>
  <c r="FX1560" i="98"/>
  <c r="FX1558" i="98"/>
  <c r="FY1558" i="98" s="1"/>
  <c r="FV1558" i="98"/>
  <c r="FX1536" i="98"/>
  <c r="FY1529" i="98"/>
  <c r="FV1529" i="98"/>
  <c r="FX1522" i="98"/>
  <c r="FY1522" i="98" s="1"/>
  <c r="FV1522" i="98"/>
  <c r="FX1520" i="98"/>
  <c r="GQ1516" i="98"/>
  <c r="GI1516" i="98"/>
  <c r="FX1502" i="98"/>
  <c r="FY1502" i="98" s="1"/>
  <c r="FV1502" i="98"/>
  <c r="FX1499" i="98"/>
  <c r="FV1499" i="98"/>
  <c r="GO1496" i="98"/>
  <c r="FY1493" i="98"/>
  <c r="FV1493" i="98"/>
  <c r="FY1485" i="98"/>
  <c r="FV1485" i="98"/>
  <c r="FX1476" i="98"/>
  <c r="FX1467" i="98"/>
  <c r="FV1467" i="98"/>
  <c r="FY1461" i="98"/>
  <c r="FV1461" i="98"/>
  <c r="FY1453" i="98"/>
  <c r="FV1453" i="98"/>
  <c r="FX1443" i="98"/>
  <c r="FV1443" i="98"/>
  <c r="FY1437" i="98"/>
  <c r="FV1437" i="98"/>
  <c r="FX1430" i="98"/>
  <c r="FY1430" i="98" s="1"/>
  <c r="FV1430" i="98"/>
  <c r="FX1423" i="98"/>
  <c r="FW1420" i="98"/>
  <c r="FX1417" i="98"/>
  <c r="FY1417" i="98" s="1"/>
  <c r="FX1416" i="98"/>
  <c r="FY1416" i="98" s="1"/>
  <c r="FX1407" i="98"/>
  <c r="FX1406" i="98"/>
  <c r="FY1406" i="98" s="1"/>
  <c r="FV1406" i="98"/>
  <c r="FX1403" i="98"/>
  <c r="FV1403" i="98"/>
  <c r="FX1399" i="98"/>
  <c r="FX1395" i="98"/>
  <c r="FV1395" i="98"/>
  <c r="FY1389" i="98"/>
  <c r="FV1389" i="98"/>
  <c r="FY1381" i="98"/>
  <c r="FV1381" i="98"/>
  <c r="FX1374" i="98"/>
  <c r="FY1374" i="98" s="1"/>
  <c r="FV1374" i="98"/>
  <c r="FX1372" i="98"/>
  <c r="FX1359" i="98"/>
  <c r="FX1356" i="98"/>
  <c r="FX1352" i="98"/>
  <c r="FY1352" i="98" s="1"/>
  <c r="FX1343" i="98"/>
  <c r="FX1340" i="98"/>
  <c r="FX1334" i="98"/>
  <c r="FY1334" i="98" s="1"/>
  <c r="FV1334" i="98"/>
  <c r="FX1323" i="98"/>
  <c r="FV1323" i="98"/>
  <c r="FY1317" i="98"/>
  <c r="FV1317" i="98"/>
  <c r="GJ1316" i="98"/>
  <c r="FX1309" i="98"/>
  <c r="FV1309" i="98"/>
  <c r="FX1306" i="98"/>
  <c r="FY1306" i="98" s="1"/>
  <c r="FV1306" i="98"/>
  <c r="FX1300" i="98"/>
  <c r="GI1296" i="98"/>
  <c r="FX1293" i="98"/>
  <c r="FV1293" i="98"/>
  <c r="FX1289" i="98"/>
  <c r="FX1280" i="98"/>
  <c r="FY1280" i="98" s="1"/>
  <c r="FX1278" i="98"/>
  <c r="FY1278" i="98" s="1"/>
  <c r="FV1278" i="98"/>
  <c r="FX1272" i="98"/>
  <c r="FX1270" i="98"/>
  <c r="FV1270" i="98"/>
  <c r="FW1268" i="98"/>
  <c r="FX1264" i="98"/>
  <c r="FY1264" i="98" s="1"/>
  <c r="FX1262" i="98"/>
  <c r="FV1262" i="98"/>
  <c r="FX1257" i="98"/>
  <c r="FX1252" i="98"/>
  <c r="FX1247" i="98"/>
  <c r="FV1247" i="98"/>
  <c r="FX1246" i="98"/>
  <c r="FV1246" i="98"/>
  <c r="FX1241" i="98"/>
  <c r="FW1240" i="98"/>
  <c r="FX1235" i="98"/>
  <c r="FX1233" i="98"/>
  <c r="FX1229" i="98"/>
  <c r="FV1229" i="98"/>
  <c r="FX1227" i="98"/>
  <c r="FX1219" i="98"/>
  <c r="FX1217" i="98"/>
  <c r="GM1216" i="98"/>
  <c r="FX1214" i="98"/>
  <c r="FV1214" i="98"/>
  <c r="FX1209" i="98"/>
  <c r="FX1198" i="98"/>
  <c r="FV1198" i="98"/>
  <c r="FX1193" i="98"/>
  <c r="FX1185" i="98"/>
  <c r="FX1181" i="98"/>
  <c r="FV1181" i="98"/>
  <c r="FX1179" i="98"/>
  <c r="FX1176" i="98"/>
  <c r="FX1174" i="98"/>
  <c r="FV1174" i="98"/>
  <c r="FW1172" i="98"/>
  <c r="FX1170" i="98"/>
  <c r="FV1170" i="98"/>
  <c r="FX1162" i="98"/>
  <c r="FY1162" i="98" s="1"/>
  <c r="FV1162" i="98"/>
  <c r="FX1160" i="98"/>
  <c r="FX1158" i="98"/>
  <c r="FV1158" i="98"/>
  <c r="FX1150" i="98"/>
  <c r="FV1150" i="98"/>
  <c r="FX1138" i="98"/>
  <c r="FV1138" i="98"/>
  <c r="FY1131" i="98"/>
  <c r="FV1131" i="98"/>
  <c r="FX1119" i="98"/>
  <c r="FX1116" i="98"/>
  <c r="FY1116" i="98" s="1"/>
  <c r="FY1115" i="98"/>
  <c r="FV1115" i="98"/>
  <c r="FY1107" i="98"/>
  <c r="FV1107" i="98"/>
  <c r="FX1106" i="98"/>
  <c r="FV1106" i="98"/>
  <c r="FX1098" i="98"/>
  <c r="FV1098" i="98"/>
  <c r="FX1096" i="98"/>
  <c r="FY1096" i="98" s="1"/>
  <c r="FX1068" i="98"/>
  <c r="FV1068" i="98"/>
  <c r="FX1052" i="98"/>
  <c r="FV1052" i="98"/>
  <c r="FV1005" i="98"/>
  <c r="FY993" i="98"/>
  <c r="FV993" i="98"/>
  <c r="FX977" i="98"/>
  <c r="FW977" i="98" s="1"/>
  <c r="FV973" i="98"/>
  <c r="FY961" i="98"/>
  <c r="FV961" i="98"/>
  <c r="FX953" i="98"/>
  <c r="FV953" i="98"/>
  <c r="FX946" i="98"/>
  <c r="FV946" i="98"/>
  <c r="FV765" i="98"/>
  <c r="FV753" i="98"/>
  <c r="FV725" i="98"/>
  <c r="FV722" i="98"/>
  <c r="FV693" i="98"/>
  <c r="FV690" i="98"/>
  <c r="FY669" i="98"/>
  <c r="FV669" i="98"/>
  <c r="FX661" i="98"/>
  <c r="FY661" i="98" s="1"/>
  <c r="FV657" i="98"/>
  <c r="FX649" i="98"/>
  <c r="FW649" i="98" s="1"/>
  <c r="FX637" i="98"/>
  <c r="FW637" i="98" s="1"/>
  <c r="GJ626" i="98"/>
  <c r="FV610" i="98"/>
  <c r="FX549" i="98"/>
  <c r="FY549" i="98" s="1"/>
  <c r="FV549" i="98"/>
  <c r="FX547" i="98"/>
  <c r="FX545" i="98"/>
  <c r="FY545" i="98" s="1"/>
  <c r="FV545" i="98"/>
  <c r="FX539" i="98"/>
  <c r="FY539" i="98" s="1"/>
  <c r="FV539" i="98"/>
  <c r="FX529" i="98"/>
  <c r="FY529" i="98" s="1"/>
  <c r="FV529" i="98"/>
  <c r="FX527" i="98"/>
  <c r="FX525" i="98"/>
  <c r="FY525" i="98" s="1"/>
  <c r="FV525" i="98"/>
  <c r="FW515" i="98"/>
  <c r="FW511" i="98"/>
  <c r="FW507" i="98"/>
  <c r="FW503" i="98"/>
  <c r="FW499" i="98"/>
  <c r="FY479" i="98"/>
  <c r="FX468" i="98"/>
  <c r="FV468" i="98"/>
  <c r="FX466" i="98"/>
  <c r="FY466" i="98" s="1"/>
  <c r="FX464" i="98"/>
  <c r="FV464" i="98"/>
  <c r="FX460" i="98"/>
  <c r="FV460" i="98"/>
  <c r="FW458" i="98"/>
  <c r="FV458" i="98"/>
  <c r="FX452" i="98"/>
  <c r="FV452" i="98"/>
  <c r="FX445" i="98"/>
  <c r="FX436" i="98"/>
  <c r="FV436" i="98"/>
  <c r="FX416" i="98"/>
  <c r="FV416" i="98"/>
  <c r="FY413" i="98"/>
  <c r="FV413" i="98"/>
  <c r="FX409" i="98"/>
  <c r="FX404" i="98"/>
  <c r="FX391" i="98"/>
  <c r="FX389" i="98"/>
  <c r="FV389" i="98"/>
  <c r="FX384" i="98"/>
  <c r="FX377" i="98"/>
  <c r="FY377" i="98" s="1"/>
  <c r="FX374" i="98"/>
  <c r="FY374" i="98" s="1"/>
  <c r="FV374" i="98"/>
  <c r="FX368" i="98"/>
  <c r="FX366" i="98"/>
  <c r="FX363" i="98"/>
  <c r="FY363" i="98" s="1"/>
  <c r="FX361" i="98"/>
  <c r="FV361" i="98"/>
  <c r="FX356" i="98"/>
  <c r="FX353" i="98"/>
  <c r="FY353" i="98" s="1"/>
  <c r="FV353" i="98"/>
  <c r="FX343" i="98"/>
  <c r="FY343" i="98" s="1"/>
  <c r="FV335" i="98"/>
  <c r="FV332" i="98"/>
  <c r="FV328" i="98"/>
  <c r="FV304" i="98"/>
  <c r="FV300" i="98"/>
  <c r="FV288" i="98"/>
  <c r="FX288" i="98"/>
  <c r="FY288" i="98" s="1"/>
  <c r="FY1684" i="98"/>
  <c r="FY1680" i="98"/>
  <c r="FX1676" i="98"/>
  <c r="FX1674" i="98"/>
  <c r="FV1674" i="98"/>
  <c r="FX1672" i="98"/>
  <c r="FX1670" i="98"/>
  <c r="FV1670" i="98"/>
  <c r="FX1668" i="98"/>
  <c r="FY1668" i="98" s="1"/>
  <c r="FX1666" i="98"/>
  <c r="FV1666" i="98"/>
  <c r="FX1664" i="98"/>
  <c r="FX1662" i="98"/>
  <c r="FV1662" i="98"/>
  <c r="FX1660" i="98"/>
  <c r="FX1658" i="98"/>
  <c r="FV1658" i="98"/>
  <c r="GO1656" i="98"/>
  <c r="FY1653" i="98"/>
  <c r="FV1653" i="98"/>
  <c r="FY1649" i="98"/>
  <c r="FV1649" i="98"/>
  <c r="FY1645" i="98"/>
  <c r="FV1645" i="98"/>
  <c r="FY1641" i="98"/>
  <c r="FV1641" i="98"/>
  <c r="FY1637" i="98"/>
  <c r="FV1637" i="98"/>
  <c r="FX1636" i="98"/>
  <c r="FX1634" i="98"/>
  <c r="FY1634" i="98" s="1"/>
  <c r="FV1634" i="98"/>
  <c r="FX1632" i="98"/>
  <c r="FX1630" i="98"/>
  <c r="FY1630" i="98" s="1"/>
  <c r="FV1630" i="98"/>
  <c r="FX1628" i="98"/>
  <c r="FX1626" i="98"/>
  <c r="FY1626" i="98" s="1"/>
  <c r="FV1626" i="98"/>
  <c r="FX1624" i="98"/>
  <c r="FY1624" i="98" s="1"/>
  <c r="FX1622" i="98"/>
  <c r="FY1622" i="98" s="1"/>
  <c r="FV1622" i="98"/>
  <c r="FX1620" i="98"/>
  <c r="FX1618" i="98"/>
  <c r="FY1618" i="98" s="1"/>
  <c r="FV1618" i="98"/>
  <c r="GO1616" i="98"/>
  <c r="FX1610" i="98"/>
  <c r="FY1610" i="98" s="1"/>
  <c r="FV1610" i="98"/>
  <c r="FX1608" i="98"/>
  <c r="FY1604" i="98"/>
  <c r="FW1604" i="98" s="1"/>
  <c r="FY1601" i="98"/>
  <c r="FV1601" i="98"/>
  <c r="FY1596" i="98"/>
  <c r="FY1592" i="98"/>
  <c r="FY1588" i="98"/>
  <c r="FW1588" i="98" s="1"/>
  <c r="FY1584" i="98"/>
  <c r="FY1580" i="98"/>
  <c r="FY1556" i="98"/>
  <c r="FW1556" i="98" s="1"/>
  <c r="FY1552" i="98"/>
  <c r="FY1548" i="98"/>
  <c r="FY1544" i="98"/>
  <c r="FW1544" i="98" s="1"/>
  <c r="FY1540" i="98"/>
  <c r="FX1534" i="98"/>
  <c r="FY1534" i="98" s="1"/>
  <c r="FV1534" i="98"/>
  <c r="FX1532" i="98"/>
  <c r="FY1532" i="98" s="1"/>
  <c r="FY1528" i="98"/>
  <c r="FY1525" i="98"/>
  <c r="FV1525" i="98"/>
  <c r="FX1518" i="98"/>
  <c r="FY1518" i="98" s="1"/>
  <c r="FV1518" i="98"/>
  <c r="GO1516" i="98"/>
  <c r="FY1513" i="98"/>
  <c r="FV1513" i="98"/>
  <c r="FY1509" i="98"/>
  <c r="FV1509" i="98"/>
  <c r="FX1503" i="98"/>
  <c r="FX1500" i="98"/>
  <c r="GJ1496" i="98"/>
  <c r="FX1494" i="98"/>
  <c r="FY1494" i="98" s="1"/>
  <c r="FV1494" i="98"/>
  <c r="FX1487" i="98"/>
  <c r="FY1484" i="98"/>
  <c r="FX1483" i="98"/>
  <c r="FV1483" i="98"/>
  <c r="FY1480" i="98"/>
  <c r="FY1477" i="98"/>
  <c r="FV1477" i="98"/>
  <c r="FX1473" i="98"/>
  <c r="FY1473" i="98" s="1"/>
  <c r="FX1470" i="98"/>
  <c r="FY1470" i="98" s="1"/>
  <c r="FV1470" i="98"/>
  <c r="FX1468" i="98"/>
  <c r="FY1468" i="98" s="1"/>
  <c r="FX1464" i="98"/>
  <c r="FY1464" i="98" s="1"/>
  <c r="FX1456" i="98"/>
  <c r="FY1456" i="98" s="1"/>
  <c r="FX1444" i="98"/>
  <c r="FX1440" i="98"/>
  <c r="FY1440" i="98" s="1"/>
  <c r="FY1436" i="98"/>
  <c r="FW1436" i="98" s="1"/>
  <c r="FX1435" i="98"/>
  <c r="FV1435" i="98"/>
  <c r="FY1432" i="98"/>
  <c r="FX1431" i="98"/>
  <c r="FY1428" i="98"/>
  <c r="FX1427" i="98"/>
  <c r="FV1427" i="98"/>
  <c r="FY1424" i="98"/>
  <c r="FY1421" i="98"/>
  <c r="FV1421" i="98"/>
  <c r="FX1414" i="98"/>
  <c r="FY1414" i="98" s="1"/>
  <c r="FV1414" i="98"/>
  <c r="FY1412" i="98"/>
  <c r="FX1411" i="98"/>
  <c r="FV1411" i="98"/>
  <c r="FY1408" i="98"/>
  <c r="FX1404" i="98"/>
  <c r="FX1400" i="98"/>
  <c r="FY1400" i="98" s="1"/>
  <c r="FX1396" i="98"/>
  <c r="FX1392" i="98"/>
  <c r="FY1392" i="98" s="1"/>
  <c r="FX1382" i="98"/>
  <c r="FY1382" i="98" s="1"/>
  <c r="FV1382" i="98"/>
  <c r="FX1375" i="98"/>
  <c r="FX1369" i="98"/>
  <c r="FY1369" i="98" s="1"/>
  <c r="FX1366" i="98"/>
  <c r="FY1366" i="98" s="1"/>
  <c r="FV1366" i="98"/>
  <c r="FY1364" i="98"/>
  <c r="FX1363" i="98"/>
  <c r="FV1363" i="98"/>
  <c r="FY1360" i="98"/>
  <c r="FY1357" i="98"/>
  <c r="FV1357" i="98"/>
  <c r="FX1353" i="98"/>
  <c r="FY1353" i="98" s="1"/>
  <c r="FX1350" i="98"/>
  <c r="FY1350" i="98" s="1"/>
  <c r="FV1350" i="98"/>
  <c r="FY1348" i="98"/>
  <c r="FW1348" i="98" s="1"/>
  <c r="FX1347" i="98"/>
  <c r="FV1347" i="98"/>
  <c r="FY1344" i="98"/>
  <c r="FY1341" i="98"/>
  <c r="FV1341" i="98"/>
  <c r="FX1337" i="98"/>
  <c r="FY1337" i="98" s="1"/>
  <c r="FY1336" i="98"/>
  <c r="FX1335" i="98"/>
  <c r="FY1332" i="98"/>
  <c r="FW1332" i="98" s="1"/>
  <c r="FX1331" i="98"/>
  <c r="FV1331" i="98"/>
  <c r="FY1328" i="98"/>
  <c r="FX1326" i="98"/>
  <c r="FY1326" i="98" s="1"/>
  <c r="FV1326" i="98"/>
  <c r="FX1324" i="98"/>
  <c r="FY1324" i="98" s="1"/>
  <c r="FX1320" i="98"/>
  <c r="FY1320" i="98" s="1"/>
  <c r="FX1311" i="98"/>
  <c r="FV1311" i="98"/>
  <c r="FY1308" i="98"/>
  <c r="FX1304" i="98"/>
  <c r="FX1302" i="98"/>
  <c r="FV1302" i="98"/>
  <c r="FX1298" i="98"/>
  <c r="FV1298" i="98"/>
  <c r="GQ1296" i="98"/>
  <c r="FX1295" i="98"/>
  <c r="FV1295" i="98"/>
  <c r="FY1292" i="98"/>
  <c r="FX1291" i="98"/>
  <c r="FY1284" i="98"/>
  <c r="FX1283" i="98"/>
  <c r="FX1281" i="98"/>
  <c r="FX1277" i="98"/>
  <c r="FV1277" i="98"/>
  <c r="FX1275" i="98"/>
  <c r="FX1273" i="98"/>
  <c r="FX1265" i="98"/>
  <c r="FX1261" i="98"/>
  <c r="FV1261" i="98"/>
  <c r="FX1259" i="98"/>
  <c r="FX1256" i="98"/>
  <c r="FY1256" i="98" s="1"/>
  <c r="FX1254" i="98"/>
  <c r="FV1254" i="98"/>
  <c r="FX1250" i="98"/>
  <c r="FV1250" i="98"/>
  <c r="FY1248" i="98"/>
  <c r="FX1245" i="98"/>
  <c r="FV1245" i="98"/>
  <c r="FX1243" i="98"/>
  <c r="FX1236" i="98"/>
  <c r="FX1231" i="98"/>
  <c r="FV1231" i="98"/>
  <c r="FY1228" i="98"/>
  <c r="FY1224" i="98"/>
  <c r="FX1220" i="98"/>
  <c r="FX1213" i="98"/>
  <c r="FV1213" i="98"/>
  <c r="FX1211" i="98"/>
  <c r="FY1204" i="98"/>
  <c r="FX1203" i="98"/>
  <c r="FX1201" i="98"/>
  <c r="FX1197" i="98"/>
  <c r="FV1197" i="98"/>
  <c r="FX1195" i="98"/>
  <c r="FY1188" i="98"/>
  <c r="FW1188" i="98" s="1"/>
  <c r="FX1187" i="98"/>
  <c r="FX1183" i="98"/>
  <c r="FV1183" i="98"/>
  <c r="FY1180" i="98"/>
  <c r="FX1168" i="98"/>
  <c r="FY1168" i="98" s="1"/>
  <c r="FX1166" i="98"/>
  <c r="FV1166" i="98"/>
  <c r="FX1161" i="98"/>
  <c r="FY1156" i="98"/>
  <c r="FX1155" i="98"/>
  <c r="FX1153" i="98"/>
  <c r="FX1149" i="98"/>
  <c r="FV1149" i="98"/>
  <c r="FX1147" i="98"/>
  <c r="FX1143" i="98"/>
  <c r="FY1140" i="98"/>
  <c r="FX1136" i="98"/>
  <c r="FY1136" i="98" s="1"/>
  <c r="FX1134" i="98"/>
  <c r="FY1134" i="98" s="1"/>
  <c r="FV1134" i="98"/>
  <c r="FX1128" i="98"/>
  <c r="FY1128" i="98" s="1"/>
  <c r="FX1124" i="98"/>
  <c r="FY1124" i="98" s="1"/>
  <c r="FY1123" i="98"/>
  <c r="FV1123" i="98"/>
  <c r="FY1120" i="98"/>
  <c r="FX1112" i="98"/>
  <c r="FY1112" i="98" s="1"/>
  <c r="FX1110" i="98"/>
  <c r="FY1110" i="98" s="1"/>
  <c r="FV1110" i="98"/>
  <c r="FX1103" i="98"/>
  <c r="FY1100" i="98"/>
  <c r="FX1094" i="98"/>
  <c r="FY1094" i="98" s="1"/>
  <c r="FX1092" i="98"/>
  <c r="FY1092" i="98" s="1"/>
  <c r="FV1092" i="98"/>
  <c r="FX1090" i="98"/>
  <c r="FY1090" i="98" s="1"/>
  <c r="FX1084" i="98"/>
  <c r="FY1084" i="98" s="1"/>
  <c r="FV1084" i="98"/>
  <c r="FX1082" i="98"/>
  <c r="FY1078" i="98"/>
  <c r="FX1071" i="98"/>
  <c r="FX1067" i="98"/>
  <c r="FY1067" i="98" s="1"/>
  <c r="FX1066" i="98"/>
  <c r="FY1062" i="98"/>
  <c r="FX1055" i="98"/>
  <c r="FX1051" i="98"/>
  <c r="FY1051" i="98" s="1"/>
  <c r="FX1050" i="98"/>
  <c r="FX1039" i="98"/>
  <c r="FX1033" i="98"/>
  <c r="FY1030" i="98"/>
  <c r="FX1026" i="98"/>
  <c r="FY1026" i="98" s="1"/>
  <c r="FX1017" i="98"/>
  <c r="FY1014" i="98"/>
  <c r="FX1010" i="98"/>
  <c r="FY1010" i="98" s="1"/>
  <c r="FX1006" i="98"/>
  <c r="FY1006" i="98" s="1"/>
  <c r="FY997" i="98"/>
  <c r="FV997" i="98"/>
  <c r="FX986" i="98"/>
  <c r="FY985" i="98"/>
  <c r="FV985" i="98"/>
  <c r="FX974" i="98"/>
  <c r="FY965" i="98"/>
  <c r="FV965" i="98"/>
  <c r="FX960" i="98"/>
  <c r="FY960" i="98" s="1"/>
  <c r="FX957" i="98"/>
  <c r="FY957" i="98" s="1"/>
  <c r="FX956" i="98"/>
  <c r="FX952" i="98"/>
  <c r="FX948" i="98"/>
  <c r="FY948" i="98" s="1"/>
  <c r="FX945" i="98"/>
  <c r="FV945" i="98"/>
  <c r="FY777" i="98"/>
  <c r="FV777" i="98"/>
  <c r="FY774" i="98"/>
  <c r="FY769" i="98"/>
  <c r="FV769" i="98"/>
  <c r="FX754" i="98"/>
  <c r="FX742" i="98"/>
  <c r="FY741" i="98"/>
  <c r="FV741" i="98"/>
  <c r="FX730" i="98"/>
  <c r="FY729" i="98"/>
  <c r="FV729" i="98"/>
  <c r="FX721" i="98"/>
  <c r="FY721" i="98" s="1"/>
  <c r="FX718" i="98"/>
  <c r="FY718" i="98" s="1"/>
  <c r="FX713" i="98"/>
  <c r="FY713" i="98" s="1"/>
  <c r="FX710" i="98"/>
  <c r="FY709" i="98"/>
  <c r="FV709" i="98"/>
  <c r="FX698" i="98"/>
  <c r="FY698" i="98" s="1"/>
  <c r="FY697" i="98"/>
  <c r="FV697" i="98"/>
  <c r="FX689" i="98"/>
  <c r="FY689" i="98" s="1"/>
  <c r="FX685" i="98"/>
  <c r="FY685" i="98" s="1"/>
  <c r="FX682" i="98"/>
  <c r="FY682" i="98" s="1"/>
  <c r="FY673" i="98"/>
  <c r="FV673" i="98"/>
  <c r="FW661" i="98"/>
  <c r="FX646" i="98"/>
  <c r="FY646" i="98" s="1"/>
  <c r="FW642" i="98"/>
  <c r="FV642" i="98"/>
  <c r="FX634" i="98"/>
  <c r="FY634" i="98" s="1"/>
  <c r="FV633" i="98"/>
  <c r="FX609" i="98"/>
  <c r="FY609" i="98" s="1"/>
  <c r="FX605" i="98"/>
  <c r="FY605" i="98" s="1"/>
  <c r="FX602" i="98"/>
  <c r="FY602" i="98" s="1"/>
  <c r="FX597" i="98"/>
  <c r="FX585" i="98"/>
  <c r="FY585" i="98" s="1"/>
  <c r="FX582" i="98"/>
  <c r="FY582" i="98" s="1"/>
  <c r="FW578" i="98"/>
  <c r="FV578" i="98"/>
  <c r="FX567" i="98"/>
  <c r="FV567" i="98"/>
  <c r="FX557" i="98"/>
  <c r="FY557" i="98" s="1"/>
  <c r="FV557" i="98"/>
  <c r="FX555" i="98"/>
  <c r="FV555" i="98"/>
  <c r="FY552" i="98"/>
  <c r="FV552" i="98"/>
  <c r="FX548" i="98"/>
  <c r="FX544" i="98"/>
  <c r="FX541" i="98"/>
  <c r="FV541" i="98"/>
  <c r="FX535" i="98"/>
  <c r="FV535" i="98"/>
  <c r="FY532" i="98"/>
  <c r="FV532" i="98"/>
  <c r="FX528" i="98"/>
  <c r="FX524" i="98"/>
  <c r="FX521" i="98"/>
  <c r="FV521" i="98"/>
  <c r="FX519" i="98"/>
  <c r="FX517" i="98"/>
  <c r="FV517" i="98"/>
  <c r="FY516" i="98"/>
  <c r="FV516" i="98"/>
  <c r="FY512" i="98"/>
  <c r="FV512" i="98"/>
  <c r="FY508" i="98"/>
  <c r="FV508" i="98"/>
  <c r="FY504" i="98"/>
  <c r="FV504" i="98"/>
  <c r="FY500" i="98"/>
  <c r="FV500" i="98"/>
  <c r="FX495" i="98"/>
  <c r="FX493" i="98"/>
  <c r="FV493" i="98"/>
  <c r="FX491" i="98"/>
  <c r="FY491" i="98" s="1"/>
  <c r="FX489" i="98"/>
  <c r="FV489" i="98"/>
  <c r="FX487" i="98"/>
  <c r="FX485" i="98"/>
  <c r="FV485" i="98"/>
  <c r="FX483" i="98"/>
  <c r="FY483" i="98" s="1"/>
  <c r="FX481" i="98"/>
  <c r="FV481" i="98"/>
  <c r="FX477" i="98"/>
  <c r="FV477" i="98"/>
  <c r="FY476" i="98"/>
  <c r="FV476" i="98"/>
  <c r="FX457" i="98"/>
  <c r="FX448" i="98"/>
  <c r="FY448" i="98" s="1"/>
  <c r="FV448" i="98"/>
  <c r="FX441" i="98"/>
  <c r="FX432" i="98"/>
  <c r="FV432" i="98"/>
  <c r="FV430" i="98"/>
  <c r="FX428" i="98"/>
  <c r="FV428" i="98"/>
  <c r="FY425" i="98"/>
  <c r="FV425" i="98"/>
  <c r="FX412" i="98"/>
  <c r="FV412" i="98"/>
  <c r="FW393" i="98"/>
  <c r="FV393" i="98"/>
  <c r="FX382" i="98"/>
  <c r="FY382" i="98" s="1"/>
  <c r="FV382" i="98"/>
  <c r="FX373" i="98"/>
  <c r="FV373" i="98"/>
  <c r="FX360" i="98"/>
  <c r="FY360" i="98" s="1"/>
  <c r="FV360" i="98"/>
  <c r="FX352" i="98"/>
  <c r="FY352" i="98" s="1"/>
  <c r="FV352" i="98"/>
  <c r="FX345" i="98"/>
  <c r="FY345" i="98" s="1"/>
  <c r="FV345" i="98"/>
  <c r="FX340" i="98"/>
  <c r="FV340" i="98"/>
  <c r="FW336" i="98"/>
  <c r="FV336" i="98"/>
  <c r="FY323" i="98"/>
  <c r="FV323" i="98"/>
  <c r="FY319" i="98"/>
  <c r="FV319" i="98"/>
  <c r="FY315" i="98"/>
  <c r="FV315" i="98"/>
  <c r="FY311" i="98"/>
  <c r="FV311" i="98"/>
  <c r="FW308" i="98"/>
  <c r="FV308" i="98"/>
  <c r="FW296" i="98"/>
  <c r="FV296" i="98"/>
  <c r="FX1682" i="98"/>
  <c r="FV1682" i="98"/>
  <c r="FX1678" i="98"/>
  <c r="FV1678" i="98"/>
  <c r="GA1656" i="98"/>
  <c r="FZ1656" i="98"/>
  <c r="GE1656" i="98"/>
  <c r="GB1656" i="98"/>
  <c r="GC1656" i="98"/>
  <c r="GD1656" i="98"/>
  <c r="GA1616" i="98"/>
  <c r="FZ1616" i="98"/>
  <c r="GE1616" i="98"/>
  <c r="GB1616" i="98"/>
  <c r="GC1616" i="98"/>
  <c r="GD1616" i="98"/>
  <c r="FY1613" i="98"/>
  <c r="FV1613" i="98"/>
  <c r="FX1606" i="98"/>
  <c r="FY1606" i="98" s="1"/>
  <c r="FV1606" i="98"/>
  <c r="FY1597" i="98"/>
  <c r="FV1597" i="98"/>
  <c r="FX1594" i="98"/>
  <c r="FV1594" i="98"/>
  <c r="FX1590" i="98"/>
  <c r="FV1590" i="98"/>
  <c r="FX1586" i="98"/>
  <c r="FV1586" i="98"/>
  <c r="FX1582" i="98"/>
  <c r="FV1582" i="98"/>
  <c r="FX1578" i="98"/>
  <c r="FV1578" i="98"/>
  <c r="FY1573" i="98"/>
  <c r="FV1573" i="98"/>
  <c r="FY1569" i="98"/>
  <c r="FV1569" i="98"/>
  <c r="FY1565" i="98"/>
  <c r="FV1565" i="98"/>
  <c r="FY1561" i="98"/>
  <c r="FV1561" i="98"/>
  <c r="FY1557" i="98"/>
  <c r="FV1557" i="98"/>
  <c r="FX1554" i="98"/>
  <c r="FY1554" i="98" s="1"/>
  <c r="FV1554" i="98"/>
  <c r="FX1550" i="98"/>
  <c r="FY1550" i="98" s="1"/>
  <c r="FV1550" i="98"/>
  <c r="FX1546" i="98"/>
  <c r="FY1546" i="98" s="1"/>
  <c r="FV1546" i="98"/>
  <c r="FX1542" i="98"/>
  <c r="FY1542" i="98" s="1"/>
  <c r="FV1542" i="98"/>
  <c r="FX1538" i="98"/>
  <c r="FY1538" i="98" s="1"/>
  <c r="FV1538" i="98"/>
  <c r="FX1530" i="98"/>
  <c r="FY1530" i="98" s="1"/>
  <c r="FV1530" i="98"/>
  <c r="FY1521" i="98"/>
  <c r="FV1521" i="98"/>
  <c r="GA1516" i="98"/>
  <c r="GC1516" i="98"/>
  <c r="GD1516" i="98"/>
  <c r="FZ1516" i="98"/>
  <c r="GE1516" i="98"/>
  <c r="GB1516" i="98"/>
  <c r="FT1504" i="98"/>
  <c r="FZ1504" i="98" s="1"/>
  <c r="GE1504" i="98"/>
  <c r="GB1504" i="98"/>
  <c r="GD1504" i="98"/>
  <c r="FY1501" i="98"/>
  <c r="FV1501" i="98"/>
  <c r="GA1496" i="98"/>
  <c r="FZ1496" i="98"/>
  <c r="GE1496" i="98"/>
  <c r="GB1496" i="98"/>
  <c r="GC1496" i="98"/>
  <c r="GD1496" i="98"/>
  <c r="FX1491" i="98"/>
  <c r="FV1491" i="98"/>
  <c r="FX1486" i="98"/>
  <c r="FY1486" i="98" s="1"/>
  <c r="FV1486" i="98"/>
  <c r="FX1462" i="98"/>
  <c r="FY1462" i="98" s="1"/>
  <c r="FV1462" i="98"/>
  <c r="FX1459" i="98"/>
  <c r="FV1459" i="98"/>
  <c r="FX1454" i="98"/>
  <c r="FY1454" i="98" s="1"/>
  <c r="FV1454" i="98"/>
  <c r="FX1451" i="98"/>
  <c r="FV1451" i="98"/>
  <c r="FZ1448" i="98"/>
  <c r="GE1448" i="98"/>
  <c r="GB1448" i="98"/>
  <c r="GC1448" i="98"/>
  <c r="GD1448" i="98"/>
  <c r="FY1445" i="98"/>
  <c r="FV1445" i="98"/>
  <c r="FX1438" i="98"/>
  <c r="FY1438" i="98" s="1"/>
  <c r="FV1438" i="98"/>
  <c r="FX1419" i="98"/>
  <c r="FV1419" i="98"/>
  <c r="FY1405" i="98"/>
  <c r="FV1405" i="98"/>
  <c r="FY1397" i="98"/>
  <c r="FV1397" i="98"/>
  <c r="FX1390" i="98"/>
  <c r="FY1390" i="98" s="1"/>
  <c r="FV1390" i="98"/>
  <c r="FX1387" i="98"/>
  <c r="FV1387" i="98"/>
  <c r="GB1384" i="98"/>
  <c r="GD1384" i="98"/>
  <c r="GE1384" i="98"/>
  <c r="FZ1384" i="98"/>
  <c r="FX1379" i="98"/>
  <c r="FV1379" i="98"/>
  <c r="GJ1376" i="98"/>
  <c r="GA1376" i="98"/>
  <c r="GC1376" i="98"/>
  <c r="GD1376" i="98"/>
  <c r="FZ1376" i="98"/>
  <c r="GE1376" i="98"/>
  <c r="GB1376" i="98"/>
  <c r="FY1373" i="98"/>
  <c r="FV1373" i="98"/>
  <c r="FX1318" i="98"/>
  <c r="FY1318" i="98" s="1"/>
  <c r="FV1318" i="98"/>
  <c r="GA1316" i="98"/>
  <c r="GC1316" i="98"/>
  <c r="GD1316" i="98"/>
  <c r="FZ1316" i="98"/>
  <c r="GE1316" i="98"/>
  <c r="GB1316" i="98"/>
  <c r="FX1315" i="98"/>
  <c r="FV1315" i="98"/>
  <c r="FW1296" i="98"/>
  <c r="GA1296" i="98"/>
  <c r="FZ1296" i="98"/>
  <c r="GE1296" i="98"/>
  <c r="GB1296" i="98"/>
  <c r="GC1296" i="98"/>
  <c r="GD1296" i="98"/>
  <c r="FX1279" i="98"/>
  <c r="FV1279" i="98"/>
  <c r="GA1276" i="98"/>
  <c r="FZ1276" i="98"/>
  <c r="GE1276" i="98"/>
  <c r="GB1276" i="98"/>
  <c r="GC1276" i="98"/>
  <c r="GD1276" i="98"/>
  <c r="FX1263" i="98"/>
  <c r="FV1263" i="98"/>
  <c r="FX1234" i="98"/>
  <c r="FY1234" i="98" s="1"/>
  <c r="FV1234" i="98"/>
  <c r="FW1232" i="98"/>
  <c r="FX1226" i="98"/>
  <c r="FY1226" i="98" s="1"/>
  <c r="FV1226" i="98"/>
  <c r="FX1222" i="98"/>
  <c r="FV1222" i="98"/>
  <c r="FX1218" i="98"/>
  <c r="FV1218" i="98"/>
  <c r="FX1215" i="98"/>
  <c r="FV1215" i="98"/>
  <c r="FX1199" i="98"/>
  <c r="FV1199" i="98"/>
  <c r="GA1196" i="98"/>
  <c r="GC1196" i="98"/>
  <c r="GD1196" i="98"/>
  <c r="FZ1196" i="98"/>
  <c r="GE1196" i="98"/>
  <c r="GB1196" i="98"/>
  <c r="FX1186" i="98"/>
  <c r="FY1186" i="98" s="1"/>
  <c r="FV1186" i="98"/>
  <c r="FW1184" i="98"/>
  <c r="FX1178" i="98"/>
  <c r="FY1178" i="98" s="1"/>
  <c r="FV1178" i="98"/>
  <c r="FX1165" i="98"/>
  <c r="FV1165" i="98"/>
  <c r="FX1151" i="98"/>
  <c r="FV1151" i="98"/>
  <c r="FY1139" i="98"/>
  <c r="FV1139" i="98"/>
  <c r="FX1130" i="98"/>
  <c r="FY1130" i="98" s="1"/>
  <c r="FV1130" i="98"/>
  <c r="FX1126" i="98"/>
  <c r="FY1126" i="98" s="1"/>
  <c r="FV1126" i="98"/>
  <c r="FX1118" i="98"/>
  <c r="FY1118" i="98" s="1"/>
  <c r="FV1118" i="98"/>
  <c r="FX1114" i="98"/>
  <c r="FY1114" i="98" s="1"/>
  <c r="FV1114" i="98"/>
  <c r="FT1104" i="98"/>
  <c r="GE1104" i="98" s="1"/>
  <c r="FZ1104" i="98"/>
  <c r="GD1104" i="98"/>
  <c r="FY1099" i="98"/>
  <c r="FV1099" i="98"/>
  <c r="FX1076" i="98"/>
  <c r="FY1076" i="98" s="1"/>
  <c r="FV1076" i="98"/>
  <c r="FX1060" i="98"/>
  <c r="FY1060" i="98" s="1"/>
  <c r="FV1060" i="98"/>
  <c r="FY989" i="98"/>
  <c r="FV989" i="98"/>
  <c r="FY977" i="98"/>
  <c r="FV977" i="98"/>
  <c r="FX765" i="98"/>
  <c r="FY765" i="98" s="1"/>
  <c r="FY757" i="98"/>
  <c r="FW757" i="98" s="1"/>
  <c r="FV757" i="98"/>
  <c r="FY745" i="98"/>
  <c r="FV745" i="98"/>
  <c r="FY733" i="98"/>
  <c r="FW733" i="98" s="1"/>
  <c r="FV733" i="98"/>
  <c r="FX725" i="98"/>
  <c r="FY725" i="98" s="1"/>
  <c r="FY701" i="98"/>
  <c r="FV701" i="98"/>
  <c r="FX693" i="98"/>
  <c r="FY693" i="98" s="1"/>
  <c r="FW658" i="98"/>
  <c r="FV658" i="98"/>
  <c r="FY649" i="98"/>
  <c r="FV649" i="98"/>
  <c r="FY637" i="98"/>
  <c r="FV637" i="98"/>
  <c r="GA626" i="98"/>
  <c r="GD626" i="98"/>
  <c r="FZ626" i="98"/>
  <c r="GE626" i="98"/>
  <c r="GB626" i="98"/>
  <c r="GC626" i="98"/>
  <c r="FX563" i="98"/>
  <c r="FV563" i="98"/>
  <c r="FY560" i="98"/>
  <c r="FV560" i="98"/>
  <c r="FX551" i="98"/>
  <c r="FY551" i="98" s="1"/>
  <c r="FV551" i="98"/>
  <c r="FX537" i="98"/>
  <c r="FY537" i="98" s="1"/>
  <c r="FV537" i="98"/>
  <c r="FX531" i="98"/>
  <c r="FY531" i="98" s="1"/>
  <c r="FV531" i="98"/>
  <c r="GG462" i="98"/>
  <c r="FZ462" i="98"/>
  <c r="GB462" i="98"/>
  <c r="GD462" i="98"/>
  <c r="GE462" i="98"/>
  <c r="FT458" i="98"/>
  <c r="GD458" i="98" s="1"/>
  <c r="GE458" i="98"/>
  <c r="FX444" i="98"/>
  <c r="FV444" i="98"/>
  <c r="FX424" i="98"/>
  <c r="FV424" i="98"/>
  <c r="FW421" i="98"/>
  <c r="FV421" i="98"/>
  <c r="FW401" i="98"/>
  <c r="FV401" i="98"/>
  <c r="FX381" i="98"/>
  <c r="FV381" i="98"/>
  <c r="GA376" i="98"/>
  <c r="GD376" i="98"/>
  <c r="FZ376" i="98"/>
  <c r="GE376" i="98"/>
  <c r="GB376" i="98"/>
  <c r="GC376" i="98"/>
  <c r="FW331" i="98"/>
  <c r="FW320" i="98"/>
  <c r="FV320" i="98"/>
  <c r="GA316" i="98"/>
  <c r="GD316" i="98"/>
  <c r="FZ316" i="98"/>
  <c r="GE316" i="98"/>
  <c r="GB316" i="98"/>
  <c r="GC316" i="98"/>
  <c r="FW312" i="98"/>
  <c r="FV312" i="98"/>
  <c r="FT292" i="98"/>
  <c r="GJ292" i="98" s="1"/>
  <c r="GD292" i="98"/>
  <c r="FZ292" i="98"/>
  <c r="FY1673" i="98"/>
  <c r="FV1673" i="98"/>
  <c r="FY1669" i="98"/>
  <c r="FV1669" i="98"/>
  <c r="FY1665" i="98"/>
  <c r="FV1665" i="98"/>
  <c r="FY1661" i="98"/>
  <c r="FV1661" i="98"/>
  <c r="FY1657" i="98"/>
  <c r="FV1657" i="98"/>
  <c r="GK1656" i="98"/>
  <c r="FX1654" i="98"/>
  <c r="FY1654" i="98" s="1"/>
  <c r="FV1654" i="98"/>
  <c r="FX1650" i="98"/>
  <c r="FY1650" i="98" s="1"/>
  <c r="FV1650" i="98"/>
  <c r="FX1646" i="98"/>
  <c r="FY1646" i="98" s="1"/>
  <c r="FV1646" i="98"/>
  <c r="FX1642" i="98"/>
  <c r="FY1642" i="98" s="1"/>
  <c r="FV1642" i="98"/>
  <c r="FX1638" i="98"/>
  <c r="FY1638" i="98" s="1"/>
  <c r="FV1638" i="98"/>
  <c r="GK1616" i="98"/>
  <c r="FY1612" i="98"/>
  <c r="FY1609" i="98"/>
  <c r="FV1609" i="98"/>
  <c r="FX1602" i="98"/>
  <c r="FY1602" i="98" s="1"/>
  <c r="FV1602" i="98"/>
  <c r="FY1576" i="98"/>
  <c r="FY1572" i="98"/>
  <c r="FY1568" i="98"/>
  <c r="FY1564" i="98"/>
  <c r="FY1560" i="98"/>
  <c r="FY1536" i="98"/>
  <c r="FW1536" i="98" s="1"/>
  <c r="FY1533" i="98"/>
  <c r="FV1533" i="98"/>
  <c r="FX1526" i="98"/>
  <c r="FY1526" i="98" s="1"/>
  <c r="FV1526" i="98"/>
  <c r="FY1520" i="98"/>
  <c r="FY1517" i="98"/>
  <c r="FV1517" i="98"/>
  <c r="GK1516" i="98"/>
  <c r="FX1514" i="98"/>
  <c r="FV1514" i="98"/>
  <c r="FX1510" i="98"/>
  <c r="FV1510" i="98"/>
  <c r="FX1506" i="98"/>
  <c r="FV1506" i="98"/>
  <c r="FX1478" i="98"/>
  <c r="FY1478" i="98" s="1"/>
  <c r="FV1478" i="98"/>
  <c r="FY1476" i="98"/>
  <c r="FX1475" i="98"/>
  <c r="FV1475" i="98"/>
  <c r="FY1469" i="98"/>
  <c r="FV1469" i="98"/>
  <c r="FX1446" i="98"/>
  <c r="FY1446" i="98" s="1"/>
  <c r="FV1446" i="98"/>
  <c r="FY1429" i="98"/>
  <c r="FV1429" i="98"/>
  <c r="FX1422" i="98"/>
  <c r="FY1422" i="98" s="1"/>
  <c r="FV1422" i="98"/>
  <c r="FY1413" i="98"/>
  <c r="FV1413" i="98"/>
  <c r="FX1398" i="98"/>
  <c r="FY1398" i="98" s="1"/>
  <c r="FV1398" i="98"/>
  <c r="FY1372" i="98"/>
  <c r="FW1372" i="98" s="1"/>
  <c r="FX1371" i="98"/>
  <c r="FV1371" i="98"/>
  <c r="FT1368" i="98"/>
  <c r="GC1368" i="98"/>
  <c r="GD1368" i="98"/>
  <c r="FZ1368" i="98"/>
  <c r="GE1368" i="98"/>
  <c r="GB1368" i="98"/>
  <c r="FY1365" i="98"/>
  <c r="FV1365" i="98"/>
  <c r="FX1358" i="98"/>
  <c r="FY1358" i="98" s="1"/>
  <c r="FV1358" i="98"/>
  <c r="FY1356" i="98"/>
  <c r="FX1355" i="98"/>
  <c r="FV1355" i="98"/>
  <c r="FY1349" i="98"/>
  <c r="FV1349" i="98"/>
  <c r="FX1342" i="98"/>
  <c r="FY1342" i="98" s="1"/>
  <c r="FV1342" i="98"/>
  <c r="FY1340" i="98"/>
  <c r="FX1339" i="98"/>
  <c r="FV1339" i="98"/>
  <c r="FY1333" i="98"/>
  <c r="FV1333" i="98"/>
  <c r="FY1325" i="98"/>
  <c r="FV1325" i="98"/>
  <c r="GM1316" i="98"/>
  <c r="FX1310" i="98"/>
  <c r="FV1310" i="98"/>
  <c r="FY1300" i="98"/>
  <c r="GM1296" i="98"/>
  <c r="FX1294" i="98"/>
  <c r="FV1294" i="98"/>
  <c r="FX1290" i="98"/>
  <c r="FY1290" i="98" s="1"/>
  <c r="FV1290" i="98"/>
  <c r="FX1286" i="98"/>
  <c r="FV1286" i="98"/>
  <c r="FX1282" i="98"/>
  <c r="FV1282" i="98"/>
  <c r="FX1274" i="98"/>
  <c r="FY1274" i="98" s="1"/>
  <c r="FV1274" i="98"/>
  <c r="FY1272" i="98"/>
  <c r="FW1272" i="98" s="1"/>
  <c r="FX1266" i="98"/>
  <c r="FV1266" i="98"/>
  <c r="FX1258" i="98"/>
  <c r="FY1258" i="98" s="1"/>
  <c r="FV1258" i="98"/>
  <c r="FY1252" i="98"/>
  <c r="FW1252" i="98" s="1"/>
  <c r="FX1242" i="98"/>
  <c r="FY1242" i="98" s="1"/>
  <c r="FV1242" i="98"/>
  <c r="FX1238" i="98"/>
  <c r="FV1238" i="98"/>
  <c r="FX1230" i="98"/>
  <c r="FV1230" i="98"/>
  <c r="FW1216" i="98"/>
  <c r="GA1216" i="98"/>
  <c r="GC1216" i="98"/>
  <c r="GD1216" i="98"/>
  <c r="FZ1216" i="98"/>
  <c r="GE1216" i="98"/>
  <c r="GB1216" i="98"/>
  <c r="FX1210" i="98"/>
  <c r="FY1210" i="98" s="1"/>
  <c r="FV1210" i="98"/>
  <c r="FX1206" i="98"/>
  <c r="FV1206" i="98"/>
  <c r="FX1202" i="98"/>
  <c r="FV1202" i="98"/>
  <c r="FW1200" i="98"/>
  <c r="FX1194" i="98"/>
  <c r="FY1194" i="98" s="1"/>
  <c r="FV1194" i="98"/>
  <c r="FX1190" i="98"/>
  <c r="FV1190" i="98"/>
  <c r="FX1182" i="98"/>
  <c r="FV1182" i="98"/>
  <c r="FY1176" i="98"/>
  <c r="FW1176" i="98" s="1"/>
  <c r="FX1167" i="98"/>
  <c r="FV1167" i="98"/>
  <c r="FY1160" i="98"/>
  <c r="FW1160" i="98" s="1"/>
  <c r="FX1154" i="98"/>
  <c r="FY1154" i="98" s="1"/>
  <c r="FV1154" i="98"/>
  <c r="FW1152" i="98"/>
  <c r="FX1146" i="98"/>
  <c r="FY1146" i="98" s="1"/>
  <c r="FV1146" i="98"/>
  <c r="FX1142" i="98"/>
  <c r="FY1142" i="98" s="1"/>
  <c r="FV1142" i="98"/>
  <c r="FZ1132" i="98"/>
  <c r="GE1132" i="98"/>
  <c r="GB1132" i="98"/>
  <c r="GC1132" i="98"/>
  <c r="GD1132" i="98"/>
  <c r="FX1122" i="98"/>
  <c r="FV1122" i="98"/>
  <c r="GG1108" i="98"/>
  <c r="GD1108" i="98"/>
  <c r="GE1108" i="98"/>
  <c r="FZ1108" i="98"/>
  <c r="GB1108" i="98"/>
  <c r="FX1102" i="98"/>
  <c r="FY1102" i="98" s="1"/>
  <c r="FV1102" i="98"/>
  <c r="GA1086" i="98"/>
  <c r="GB1086" i="98"/>
  <c r="GC1086" i="98"/>
  <c r="GD1086" i="98"/>
  <c r="FZ1086" i="98"/>
  <c r="GE1086" i="98"/>
  <c r="FX1079" i="98"/>
  <c r="FX1075" i="98"/>
  <c r="FY1075" i="98" s="1"/>
  <c r="FY1068" i="98"/>
  <c r="FX1063" i="98"/>
  <c r="FX1059" i="98"/>
  <c r="FY1059" i="98" s="1"/>
  <c r="FY1052" i="98"/>
  <c r="FX1047" i="98"/>
  <c r="FX1046" i="98"/>
  <c r="FY1046" i="98" s="1"/>
  <c r="FX1044" i="98"/>
  <c r="FY1044" i="98" s="1"/>
  <c r="FV1044" i="98"/>
  <c r="FX1034" i="98"/>
  <c r="FY1034" i="98" s="1"/>
  <c r="FX1025" i="98"/>
  <c r="FX1018" i="98"/>
  <c r="FY1018" i="98" s="1"/>
  <c r="FX1009" i="98"/>
  <c r="FX1005" i="98"/>
  <c r="FY1005" i="98" s="1"/>
  <c r="FX1002" i="98"/>
  <c r="FY1001" i="98"/>
  <c r="FV1001" i="98"/>
  <c r="FW993" i="98"/>
  <c r="FX990" i="98"/>
  <c r="FY981" i="98"/>
  <c r="FV981" i="98"/>
  <c r="FX973" i="98"/>
  <c r="FY973" i="98" s="1"/>
  <c r="FX970" i="98"/>
  <c r="FY969" i="98"/>
  <c r="FW969" i="98" s="1"/>
  <c r="FV969" i="98"/>
  <c r="FW961" i="98"/>
  <c r="FX954" i="98"/>
  <c r="FY954" i="98" s="1"/>
  <c r="FV954" i="98"/>
  <c r="FX947" i="98"/>
  <c r="FY946" i="98"/>
  <c r="FY773" i="98"/>
  <c r="FV773" i="98"/>
  <c r="FX762" i="98"/>
  <c r="FY761" i="98"/>
  <c r="FV761" i="98"/>
  <c r="FX753" i="98"/>
  <c r="FY753" i="98" s="1"/>
  <c r="FX750" i="98"/>
  <c r="FY749" i="98"/>
  <c r="FV749" i="98"/>
  <c r="FY737" i="98"/>
  <c r="FV737" i="98"/>
  <c r="FX722" i="98"/>
  <c r="FY722" i="98" s="1"/>
  <c r="FX717" i="98"/>
  <c r="FY717" i="98" s="1"/>
  <c r="FX714" i="98"/>
  <c r="FY714" i="98" s="1"/>
  <c r="FY705" i="98"/>
  <c r="FV705" i="98"/>
  <c r="FX690" i="98"/>
  <c r="FY690" i="98" s="1"/>
  <c r="FX686" i="98"/>
  <c r="FY686" i="98" s="1"/>
  <c r="FX681" i="98"/>
  <c r="FY681" i="98" s="1"/>
  <c r="FX678" i="98"/>
  <c r="FY677" i="98"/>
  <c r="FV677" i="98"/>
  <c r="FW669" i="98"/>
  <c r="FX666" i="98"/>
  <c r="FY665" i="98"/>
  <c r="FV665" i="98"/>
  <c r="FX657" i="98"/>
  <c r="FY657" i="98" s="1"/>
  <c r="FX654" i="98"/>
  <c r="FY654" i="98" s="1"/>
  <c r="FY653" i="98"/>
  <c r="FW653" i="98" s="1"/>
  <c r="FV653" i="98"/>
  <c r="FY641" i="98"/>
  <c r="FV641" i="98"/>
  <c r="FX633" i="98"/>
  <c r="FW629" i="98"/>
  <c r="GN626" i="98"/>
  <c r="FW626" i="98"/>
  <c r="FV626" i="98"/>
  <c r="FW613" i="98"/>
  <c r="FX610" i="98"/>
  <c r="FY610" i="98" s="1"/>
  <c r="FX606" i="98"/>
  <c r="FY606" i="98" s="1"/>
  <c r="FX601" i="98"/>
  <c r="FY601" i="98" s="1"/>
  <c r="FX598" i="98"/>
  <c r="FY598" i="98" s="1"/>
  <c r="FW594" i="98"/>
  <c r="FV594" i="98"/>
  <c r="FX586" i="98"/>
  <c r="FY586" i="98" s="1"/>
  <c r="FX559" i="98"/>
  <c r="FV559" i="98"/>
  <c r="GA556" i="98"/>
  <c r="FZ556" i="98"/>
  <c r="GE556" i="98"/>
  <c r="GB556" i="98"/>
  <c r="GC556" i="98"/>
  <c r="GD556" i="98"/>
  <c r="FX553" i="98"/>
  <c r="FV553" i="98"/>
  <c r="FY547" i="98"/>
  <c r="FX543" i="98"/>
  <c r="FV543" i="98"/>
  <c r="FY540" i="98"/>
  <c r="FV540" i="98"/>
  <c r="FX533" i="98"/>
  <c r="FV533" i="98"/>
  <c r="FY527" i="98"/>
  <c r="FW527" i="98" s="1"/>
  <c r="FX523" i="98"/>
  <c r="FV523" i="98"/>
  <c r="FY520" i="98"/>
  <c r="FV520" i="98"/>
  <c r="FX513" i="98"/>
  <c r="FV513" i="98"/>
  <c r="FX509" i="98"/>
  <c r="FV509" i="98"/>
  <c r="FX505" i="98"/>
  <c r="FV505" i="98"/>
  <c r="FX501" i="98"/>
  <c r="FV501" i="98"/>
  <c r="FX497" i="98"/>
  <c r="FV497" i="98"/>
  <c r="FY496" i="98"/>
  <c r="FV496" i="98"/>
  <c r="FY492" i="98"/>
  <c r="FV492" i="98"/>
  <c r="FY488" i="98"/>
  <c r="FV488" i="98"/>
  <c r="FY484" i="98"/>
  <c r="FV484" i="98"/>
  <c r="FY480" i="98"/>
  <c r="FV480" i="98"/>
  <c r="FX475" i="98"/>
  <c r="FY475" i="98" s="1"/>
  <c r="FY469" i="98"/>
  <c r="FV469" i="98"/>
  <c r="FY461" i="98"/>
  <c r="FV461" i="98"/>
  <c r="FX456" i="98"/>
  <c r="FV456" i="98"/>
  <c r="FX440" i="98"/>
  <c r="FV440" i="98"/>
  <c r="FY430" i="98"/>
  <c r="FX420" i="98"/>
  <c r="FV420" i="98"/>
  <c r="FY417" i="98"/>
  <c r="FV417" i="98"/>
  <c r="FY408" i="98"/>
  <c r="FV408" i="98"/>
  <c r="FX396" i="98"/>
  <c r="FY396" i="98" s="1"/>
  <c r="FX390" i="98"/>
  <c r="FY390" i="98" s="1"/>
  <c r="FV390" i="98"/>
  <c r="FY384" i="98"/>
  <c r="FX380" i="98"/>
  <c r="FY380" i="98" s="1"/>
  <c r="FW369" i="98"/>
  <c r="FV369" i="98"/>
  <c r="FX364" i="98"/>
  <c r="FV364" i="98"/>
  <c r="FY361" i="98"/>
  <c r="FX359" i="98"/>
  <c r="FY359" i="98" s="1"/>
  <c r="FX355" i="98"/>
  <c r="FY355" i="98" s="1"/>
  <c r="FW353" i="98"/>
  <c r="FW351" i="98"/>
  <c r="FX344" i="98"/>
  <c r="FY344" i="98" s="1"/>
  <c r="FV344" i="98"/>
  <c r="FY339" i="98"/>
  <c r="FV339" i="98"/>
  <c r="FX335" i="98"/>
  <c r="FY335" i="98" s="1"/>
  <c r="FX332" i="98"/>
  <c r="FY332" i="98" s="1"/>
  <c r="FX328" i="98"/>
  <c r="FY328" i="98" s="1"/>
  <c r="FY327" i="98"/>
  <c r="FV327" i="98"/>
  <c r="FW324" i="98"/>
  <c r="FV324" i="98"/>
  <c r="FT320" i="98"/>
  <c r="GJ320" i="98" s="1"/>
  <c r="FW316" i="98"/>
  <c r="FV316" i="98"/>
  <c r="FT312" i="98"/>
  <c r="GB312" i="98" s="1"/>
  <c r="FY307" i="98"/>
  <c r="FV307" i="98"/>
  <c r="FX304" i="98"/>
  <c r="FY304" i="98" s="1"/>
  <c r="FW303" i="98"/>
  <c r="FX300" i="98"/>
  <c r="FY300" i="98" s="1"/>
  <c r="GA116" i="98"/>
  <c r="GD116" i="98"/>
  <c r="FZ116" i="98"/>
  <c r="GE116" i="98"/>
  <c r="GB116" i="98"/>
  <c r="GC116" i="98"/>
  <c r="GJ116" i="98"/>
  <c r="GQ116" i="98"/>
  <c r="GK116" i="98"/>
  <c r="GF116" i="98"/>
  <c r="GM116" i="98"/>
  <c r="GG116" i="98"/>
  <c r="GO116" i="98"/>
  <c r="FW292" i="98"/>
  <c r="FV292" i="98"/>
  <c r="FY283" i="98"/>
  <c r="FV283" i="98"/>
  <c r="FW280" i="98"/>
  <c r="FV280" i="98"/>
  <c r="FV271" i="98"/>
  <c r="FX236" i="98"/>
  <c r="FY236" i="98" s="1"/>
  <c r="FV236" i="98"/>
  <c r="FX228" i="98"/>
  <c r="FY228" i="98" s="1"/>
  <c r="FV228" i="98"/>
  <c r="FW226" i="98"/>
  <c r="FX220" i="98"/>
  <c r="FY220" i="98" s="1"/>
  <c r="FV220" i="98"/>
  <c r="FX211" i="98"/>
  <c r="FV211" i="98"/>
  <c r="FX204" i="98"/>
  <c r="FY204" i="98" s="1"/>
  <c r="FV204" i="98"/>
  <c r="FW152" i="98"/>
  <c r="FW116" i="98"/>
  <c r="FW108" i="98"/>
  <c r="FX92" i="98"/>
  <c r="FX86" i="98"/>
  <c r="FY86" i="98" s="1"/>
  <c r="FV86" i="98"/>
  <c r="FY275" i="98"/>
  <c r="FV275" i="98"/>
  <c r="FX237" i="98"/>
  <c r="FX229" i="98"/>
  <c r="FX227" i="98"/>
  <c r="FV227" i="98"/>
  <c r="FX221" i="98"/>
  <c r="FX219" i="98"/>
  <c r="FV219" i="98"/>
  <c r="FX214" i="98"/>
  <c r="FY214" i="98" s="1"/>
  <c r="FX210" i="98"/>
  <c r="FY210" i="98" s="1"/>
  <c r="FX207" i="98"/>
  <c r="FY207" i="98" s="1"/>
  <c r="FX205" i="98"/>
  <c r="FX203" i="98"/>
  <c r="FV203" i="98"/>
  <c r="FX199" i="98"/>
  <c r="FY199" i="98" s="1"/>
  <c r="FY187" i="98"/>
  <c r="FY171" i="98"/>
  <c r="FX162" i="98"/>
  <c r="FY162" i="98" s="1"/>
  <c r="FV162" i="98"/>
  <c r="FX154" i="98"/>
  <c r="FY154" i="98" s="1"/>
  <c r="FV154" i="98"/>
  <c r="FX147" i="98"/>
  <c r="FY134" i="98"/>
  <c r="FX125" i="98"/>
  <c r="FW125" i="98" s="1"/>
  <c r="FX121" i="98"/>
  <c r="FW121" i="98" s="1"/>
  <c r="FX120" i="98"/>
  <c r="FY120" i="98" s="1"/>
  <c r="FX105" i="98"/>
  <c r="FX104" i="98"/>
  <c r="FY104" i="98" s="1"/>
  <c r="FX100" i="98"/>
  <c r="FX97" i="98"/>
  <c r="FY97" i="98" s="1"/>
  <c r="FY299" i="98"/>
  <c r="FV299" i="98"/>
  <c r="FX295" i="98"/>
  <c r="FY291" i="98"/>
  <c r="FV291" i="98"/>
  <c r="FY287" i="98"/>
  <c r="FV287" i="98"/>
  <c r="FX271" i="98"/>
  <c r="FY267" i="98"/>
  <c r="FV267" i="98"/>
  <c r="FX262" i="98"/>
  <c r="FV262" i="98"/>
  <c r="FY260" i="98"/>
  <c r="FX259" i="98"/>
  <c r="FX256" i="98"/>
  <c r="FX251" i="98"/>
  <c r="FX248" i="98"/>
  <c r="FX243" i="98"/>
  <c r="FX240" i="98"/>
  <c r="FY238" i="98"/>
  <c r="FX234" i="98"/>
  <c r="FY230" i="98"/>
  <c r="FY222" i="98"/>
  <c r="FX218" i="98"/>
  <c r="FY218" i="98" s="1"/>
  <c r="FX215" i="98"/>
  <c r="FY215" i="98" s="1"/>
  <c r="FX206" i="98"/>
  <c r="FX202" i="98"/>
  <c r="FY198" i="98"/>
  <c r="FV198" i="98"/>
  <c r="FX195" i="98"/>
  <c r="FY195" i="98" s="1"/>
  <c r="FY194" i="98"/>
  <c r="FV194" i="98"/>
  <c r="FX191" i="98"/>
  <c r="FY191" i="98" s="1"/>
  <c r="FY190" i="98"/>
  <c r="FW190" i="98" s="1"/>
  <c r="FV190" i="98"/>
  <c r="FX187" i="98"/>
  <c r="FY186" i="98"/>
  <c r="FV186" i="98"/>
  <c r="FX183" i="98"/>
  <c r="FY183" i="98" s="1"/>
  <c r="FY182" i="98"/>
  <c r="FW182" i="98" s="1"/>
  <c r="FV182" i="98"/>
  <c r="FX179" i="98"/>
  <c r="FY179" i="98" s="1"/>
  <c r="FY178" i="98"/>
  <c r="FV178" i="98"/>
  <c r="FX175" i="98"/>
  <c r="FY175" i="98" s="1"/>
  <c r="FY174" i="98"/>
  <c r="FV174" i="98"/>
  <c r="FX171" i="98"/>
  <c r="FY170" i="98"/>
  <c r="FW170" i="98" s="1"/>
  <c r="FV170" i="98"/>
  <c r="FX163" i="98"/>
  <c r="FX161" i="98"/>
  <c r="FV161" i="98"/>
  <c r="FY156" i="98"/>
  <c r="FX155" i="98"/>
  <c r="FX153" i="98"/>
  <c r="FV153" i="98"/>
  <c r="FY148" i="98"/>
  <c r="FX146" i="98"/>
  <c r="FY146" i="98" s="1"/>
  <c r="FV146" i="98"/>
  <c r="FY140" i="98"/>
  <c r="FY137" i="98"/>
  <c r="FV137" i="98"/>
  <c r="FX134" i="98"/>
  <c r="FY133" i="98"/>
  <c r="FV133" i="98"/>
  <c r="FX130" i="98"/>
  <c r="FY130" i="98" s="1"/>
  <c r="FY129" i="98"/>
  <c r="FW129" i="98" s="1"/>
  <c r="FV129" i="98"/>
  <c r="FY126" i="98"/>
  <c r="FY122" i="98"/>
  <c r="FX118" i="98"/>
  <c r="FY118" i="98" s="1"/>
  <c r="FV118" i="98"/>
  <c r="FX115" i="98"/>
  <c r="FX112" i="98"/>
  <c r="FY112" i="98" s="1"/>
  <c r="FX110" i="98"/>
  <c r="FY110" i="98" s="1"/>
  <c r="FV110" i="98"/>
  <c r="FX107" i="98"/>
  <c r="FX102" i="98"/>
  <c r="FY102" i="98" s="1"/>
  <c r="FV102" i="98"/>
  <c r="FX93" i="98"/>
  <c r="FX91" i="98"/>
  <c r="FV91" i="98"/>
  <c r="FX87" i="98"/>
  <c r="FY87" i="98" s="1"/>
  <c r="FV87" i="98"/>
  <c r="FX266" i="98"/>
  <c r="FV266" i="98"/>
  <c r="FW230" i="98"/>
  <c r="GA226" i="98"/>
  <c r="GC226" i="98"/>
  <c r="GD226" i="98"/>
  <c r="FZ226" i="98"/>
  <c r="GE226" i="98"/>
  <c r="GB226" i="98"/>
  <c r="FX212" i="98"/>
  <c r="FY212" i="98" s="1"/>
  <c r="FV212" i="98"/>
  <c r="FT164" i="98"/>
  <c r="GC164" i="98" s="1"/>
  <c r="GB164" i="98"/>
  <c r="GD164" i="98"/>
  <c r="FW156" i="98"/>
  <c r="FX145" i="98"/>
  <c r="FV145" i="98"/>
  <c r="FX138" i="98"/>
  <c r="FV138" i="98"/>
  <c r="FY125" i="98"/>
  <c r="FV125" i="98"/>
  <c r="FY121" i="98"/>
  <c r="FV121" i="98"/>
  <c r="GD117" i="98"/>
  <c r="GE117" i="98"/>
  <c r="FZ117" i="98"/>
  <c r="GB117" i="98"/>
  <c r="FX101" i="98"/>
  <c r="FX95" i="98"/>
  <c r="FY95" i="98" s="1"/>
  <c r="FV95" i="98"/>
  <c r="FT1634" i="98"/>
  <c r="GI1630" i="98"/>
  <c r="FT1630" i="98"/>
  <c r="GG1630" i="98"/>
  <c r="GH1626" i="98"/>
  <c r="GL1626" i="98"/>
  <c r="GP1626" i="98"/>
  <c r="GI1626" i="98"/>
  <c r="GM1626" i="98"/>
  <c r="GQ1626" i="98"/>
  <c r="GF1626" i="98"/>
  <c r="GJ1626" i="98"/>
  <c r="GN1626" i="98"/>
  <c r="FT1626" i="98"/>
  <c r="GG1626" i="98"/>
  <c r="GK1626" i="98"/>
  <c r="GO1626" i="98"/>
  <c r="FT1622" i="98"/>
  <c r="GI1622" i="98" s="1"/>
  <c r="FT1618" i="98"/>
  <c r="FT1654" i="98"/>
  <c r="GP1654" i="98" s="1"/>
  <c r="GJ1650" i="98"/>
  <c r="FT1650" i="98"/>
  <c r="GP1650" i="98" s="1"/>
  <c r="GH1646" i="98"/>
  <c r="GL1646" i="98"/>
  <c r="GP1646" i="98"/>
  <c r="GI1646" i="98"/>
  <c r="GM1646" i="98"/>
  <c r="GQ1646" i="98"/>
  <c r="GF1646" i="98"/>
  <c r="GJ1646" i="98"/>
  <c r="GN1646" i="98"/>
  <c r="GK1646" i="98"/>
  <c r="GO1646" i="98"/>
  <c r="FT1646" i="98"/>
  <c r="GG1646" i="98"/>
  <c r="FT1642" i="98"/>
  <c r="FT1638" i="98"/>
  <c r="GP1638" i="98" s="1"/>
  <c r="GP1574" i="98"/>
  <c r="GM1574" i="98"/>
  <c r="GJ1574" i="98"/>
  <c r="FT1574" i="98"/>
  <c r="GG1574" i="98"/>
  <c r="GI1570" i="98"/>
  <c r="GG1570" i="98"/>
  <c r="FT1570" i="98"/>
  <c r="GH1566" i="98"/>
  <c r="GL1566" i="98"/>
  <c r="GP1566" i="98"/>
  <c r="GI1566" i="98"/>
  <c r="GM1566" i="98"/>
  <c r="GQ1566" i="98"/>
  <c r="GF1566" i="98"/>
  <c r="GJ1566" i="98"/>
  <c r="GN1566" i="98"/>
  <c r="GK1566" i="98"/>
  <c r="GO1566" i="98"/>
  <c r="GG1566" i="98"/>
  <c r="FT1566" i="98"/>
  <c r="GM1562" i="98"/>
  <c r="FT1562" i="98"/>
  <c r="GJ1562" i="98" s="1"/>
  <c r="FT1558" i="98"/>
  <c r="GM1554" i="98"/>
  <c r="FT1554" i="98"/>
  <c r="GJ1554" i="98" s="1"/>
  <c r="FT1550" i="98"/>
  <c r="GI1550" i="98" s="1"/>
  <c r="GH1546" i="98"/>
  <c r="GL1546" i="98"/>
  <c r="GP1546" i="98"/>
  <c r="GI1546" i="98"/>
  <c r="GM1546" i="98"/>
  <c r="GQ1546" i="98"/>
  <c r="GF1546" i="98"/>
  <c r="GJ1546" i="98"/>
  <c r="GN1546" i="98"/>
  <c r="FT1546" i="98"/>
  <c r="GG1546" i="98"/>
  <c r="GK1546" i="98"/>
  <c r="GO1546" i="98"/>
  <c r="FT1542" i="98"/>
  <c r="GG1542" i="98" s="1"/>
  <c r="GM1538" i="98"/>
  <c r="FT1538" i="98"/>
  <c r="GJ1538" i="98" s="1"/>
  <c r="GJ1504" i="98"/>
  <c r="FX1631" i="98"/>
  <c r="FY1631" i="98" s="1"/>
  <c r="FX1627" i="98"/>
  <c r="FX1619" i="98"/>
  <c r="FY1619" i="98"/>
  <c r="FT1609" i="98"/>
  <c r="GG1609" i="98" s="1"/>
  <c r="GP1609" i="98"/>
  <c r="GI1609" i="98"/>
  <c r="GM1609" i="98"/>
  <c r="FT1601" i="98"/>
  <c r="GG1601" i="98" s="1"/>
  <c r="GP1601" i="98"/>
  <c r="GI1601" i="98"/>
  <c r="GM1601" i="98"/>
  <c r="FX1543" i="98"/>
  <c r="FY1543" i="98"/>
  <c r="GO1526" i="98"/>
  <c r="FT1525" i="98"/>
  <c r="GI1525" i="98" s="1"/>
  <c r="GI1497" i="98"/>
  <c r="GJ1497" i="98"/>
  <c r="FT1497" i="98"/>
  <c r="GM1497" i="98" s="1"/>
  <c r="GP1497" i="98"/>
  <c r="GG1497" i="98"/>
  <c r="FW1424" i="98"/>
  <c r="FX1402" i="98"/>
  <c r="FY1402" i="98" s="1"/>
  <c r="FT1385" i="98"/>
  <c r="GM1385" i="98" s="1"/>
  <c r="FX1338" i="98"/>
  <c r="FX1303" i="98"/>
  <c r="FY1303" i="98" s="1"/>
  <c r="FW1290" i="98"/>
  <c r="GH1276" i="98"/>
  <c r="GL1276" i="98"/>
  <c r="GP1276" i="98"/>
  <c r="GF1276" i="98"/>
  <c r="GJ1276" i="98"/>
  <c r="GN1276" i="98"/>
  <c r="GI1276" i="98"/>
  <c r="GQ1276" i="98"/>
  <c r="FW1276" i="98"/>
  <c r="GK1276" i="98"/>
  <c r="GM1276" i="98"/>
  <c r="FX1655" i="98"/>
  <c r="FX1651" i="98"/>
  <c r="FY1651" i="98"/>
  <c r="FX1647" i="98"/>
  <c r="FY1647" i="98" s="1"/>
  <c r="FX1643" i="98"/>
  <c r="FY1643" i="98" s="1"/>
  <c r="FX1639" i="98"/>
  <c r="FY1633" i="98"/>
  <c r="FY1629" i="98"/>
  <c r="FY1625" i="98"/>
  <c r="FY1621" i="98"/>
  <c r="FY1617" i="98"/>
  <c r="FW1614" i="98"/>
  <c r="FW1610" i="98"/>
  <c r="FW1602" i="98"/>
  <c r="FW1598" i="98"/>
  <c r="FX1575" i="98"/>
  <c r="FX1571" i="98"/>
  <c r="FY1571" i="98"/>
  <c r="FX1567" i="98"/>
  <c r="FY1567" i="98" s="1"/>
  <c r="FX1563" i="98"/>
  <c r="FY1563" i="98" s="1"/>
  <c r="FX1559" i="98"/>
  <c r="FY1553" i="98"/>
  <c r="FY1549" i="98"/>
  <c r="FY1545" i="98"/>
  <c r="FY1541" i="98"/>
  <c r="FY1537" i="98"/>
  <c r="FW1526" i="98"/>
  <c r="FW1522" i="98"/>
  <c r="FW1518" i="98"/>
  <c r="GI1505" i="98"/>
  <c r="FT1505" i="98"/>
  <c r="FZ1505" i="98" s="1"/>
  <c r="GG1505" i="98"/>
  <c r="GH1496" i="98"/>
  <c r="GL1496" i="98"/>
  <c r="GP1496" i="98"/>
  <c r="GF1496" i="98"/>
  <c r="GK1496" i="98"/>
  <c r="GQ1496" i="98"/>
  <c r="FW1496" i="98"/>
  <c r="GG1496" i="98"/>
  <c r="GM1496" i="98"/>
  <c r="GI1496" i="98"/>
  <c r="GN1496" i="98"/>
  <c r="FT1485" i="98"/>
  <c r="GM1485" i="98" s="1"/>
  <c r="FT1470" i="98"/>
  <c r="GJ1470" i="98" s="1"/>
  <c r="GG1470" i="98"/>
  <c r="FT1469" i="98"/>
  <c r="FX1458" i="98"/>
  <c r="FY1458" i="98" s="1"/>
  <c r="FT1457" i="98"/>
  <c r="GE1457" i="98" s="1"/>
  <c r="GP1448" i="98"/>
  <c r="FW1448" i="98"/>
  <c r="GG1448" i="98"/>
  <c r="GM1448" i="98"/>
  <c r="GI1448" i="98"/>
  <c r="FT1437" i="98"/>
  <c r="GM1437" i="98" s="1"/>
  <c r="FW1432" i="98"/>
  <c r="FT1422" i="98"/>
  <c r="GP1422" i="98"/>
  <c r="FT1421" i="98"/>
  <c r="GM1421" i="98" s="1"/>
  <c r="GJ1416" i="98"/>
  <c r="FX1410" i="98"/>
  <c r="FY1410" i="98"/>
  <c r="FT1409" i="98"/>
  <c r="GE1409" i="98" s="1"/>
  <c r="GP1409" i="98"/>
  <c r="GI1406" i="98"/>
  <c r="FX1394" i="98"/>
  <c r="FY1394" i="98"/>
  <c r="FT1393" i="98"/>
  <c r="FZ1393" i="98" s="1"/>
  <c r="GP1393" i="98"/>
  <c r="GP1384" i="98"/>
  <c r="FW1384" i="98"/>
  <c r="GG1384" i="98"/>
  <c r="GM1384" i="98"/>
  <c r="GI1384" i="98"/>
  <c r="GO1376" i="98"/>
  <c r="FT1374" i="98"/>
  <c r="GP1374" i="98"/>
  <c r="FT1373" i="98"/>
  <c r="GJ1368" i="98"/>
  <c r="GO1366" i="98"/>
  <c r="FX1362" i="98"/>
  <c r="FY1362" i="98" s="1"/>
  <c r="GI1361" i="98"/>
  <c r="GJ1361" i="98"/>
  <c r="FT1361" i="98"/>
  <c r="GB1361" i="98" s="1"/>
  <c r="GP1361" i="98"/>
  <c r="GG1361" i="98"/>
  <c r="FX1346" i="98"/>
  <c r="FT1345" i="98"/>
  <c r="GE1345" i="98" s="1"/>
  <c r="GH1336" i="98"/>
  <c r="GL1336" i="98"/>
  <c r="GP1336" i="98"/>
  <c r="GF1336" i="98"/>
  <c r="GK1336" i="98"/>
  <c r="GQ1336" i="98"/>
  <c r="FW1336" i="98"/>
  <c r="GG1336" i="98"/>
  <c r="GM1336" i="98"/>
  <c r="GI1336" i="98"/>
  <c r="GN1336" i="98"/>
  <c r="GF1326" i="98"/>
  <c r="GJ1326" i="98"/>
  <c r="GN1326" i="98"/>
  <c r="FT1326" i="98"/>
  <c r="GK1326" i="98"/>
  <c r="GP1326" i="98"/>
  <c r="GG1326" i="98"/>
  <c r="GL1326" i="98"/>
  <c r="GQ1326" i="98"/>
  <c r="GH1326" i="98"/>
  <c r="GM1326" i="98"/>
  <c r="FT1325" i="98"/>
  <c r="GI1325" i="98" s="1"/>
  <c r="GF1306" i="98"/>
  <c r="GJ1306" i="98"/>
  <c r="GN1306" i="98"/>
  <c r="GH1306" i="98"/>
  <c r="GL1306" i="98"/>
  <c r="GP1306" i="98"/>
  <c r="GK1306" i="98"/>
  <c r="FW1306" i="98"/>
  <c r="GM1306" i="98"/>
  <c r="GG1306" i="98"/>
  <c r="GO1306" i="98"/>
  <c r="FW1292" i="98"/>
  <c r="FT1290" i="98"/>
  <c r="GP1290" i="98" s="1"/>
  <c r="FX1285" i="98"/>
  <c r="FW1278" i="98"/>
  <c r="FY1270" i="98"/>
  <c r="GI1260" i="98"/>
  <c r="FW1260" i="98"/>
  <c r="FT1260" i="98"/>
  <c r="GD1260" i="98" s="1"/>
  <c r="FW1242" i="98"/>
  <c r="FT1242" i="98"/>
  <c r="GG1104" i="98"/>
  <c r="FT1613" i="98"/>
  <c r="GJ1613" i="98" s="1"/>
  <c r="GG1613" i="98"/>
  <c r="GI1613" i="98"/>
  <c r="GM1613" i="98"/>
  <c r="GJ1601" i="98"/>
  <c r="FX1555" i="98"/>
  <c r="FY1555" i="98" s="1"/>
  <c r="FX1551" i="98"/>
  <c r="FY1551" i="98"/>
  <c r="FX1547" i="98"/>
  <c r="FY1547" i="98"/>
  <c r="GH1526" i="98"/>
  <c r="GL1526" i="98"/>
  <c r="GP1526" i="98"/>
  <c r="GI1526" i="98"/>
  <c r="GM1526" i="98"/>
  <c r="GQ1526" i="98"/>
  <c r="GF1526" i="98"/>
  <c r="GJ1526" i="98"/>
  <c r="GN1526" i="98"/>
  <c r="FT1521" i="98"/>
  <c r="GJ1521" i="98" s="1"/>
  <c r="FT1517" i="98"/>
  <c r="GM1517" i="98" s="1"/>
  <c r="GI1517" i="98"/>
  <c r="FW1488" i="98"/>
  <c r="FX1450" i="98"/>
  <c r="FY1450" i="98" s="1"/>
  <c r="FT1433" i="98"/>
  <c r="GI1433" i="98" s="1"/>
  <c r="GP1433" i="98"/>
  <c r="FX1386" i="98"/>
  <c r="FY1386" i="98"/>
  <c r="GI1337" i="98"/>
  <c r="GJ1337" i="98"/>
  <c r="FT1337" i="98"/>
  <c r="GM1337" i="98" s="1"/>
  <c r="GP1337" i="98"/>
  <c r="GG1337" i="98"/>
  <c r="FW1328" i="98"/>
  <c r="FW1312" i="98"/>
  <c r="GJ1278" i="98"/>
  <c r="FT1278" i="98"/>
  <c r="GI1278" i="98"/>
  <c r="FX1269" i="98"/>
  <c r="FW1162" i="98"/>
  <c r="FT1162" i="98"/>
  <c r="GI1162" i="98"/>
  <c r="FX1683" i="98"/>
  <c r="FY1683" i="98"/>
  <c r="FX1679" i="98"/>
  <c r="FY1679" i="98" s="1"/>
  <c r="FX1675" i="98"/>
  <c r="FY1675" i="98" s="1"/>
  <c r="FX1671" i="98"/>
  <c r="FY1671" i="98"/>
  <c r="FX1667" i="98"/>
  <c r="FY1667" i="98"/>
  <c r="FX1663" i="98"/>
  <c r="FY1663" i="98" s="1"/>
  <c r="FX1659" i="98"/>
  <c r="FY1659" i="98" s="1"/>
  <c r="FT1653" i="98"/>
  <c r="GG1653" i="98"/>
  <c r="GP1653" i="98"/>
  <c r="GI1653" i="98"/>
  <c r="GM1653" i="98"/>
  <c r="FT1649" i="98"/>
  <c r="GG1649" i="98" s="1"/>
  <c r="GP1649" i="98"/>
  <c r="GM1649" i="98"/>
  <c r="FT1645" i="98"/>
  <c r="GI1645" i="98"/>
  <c r="FT1641" i="98"/>
  <c r="GP1641" i="98"/>
  <c r="GI1641" i="98"/>
  <c r="GM1641" i="98"/>
  <c r="FT1637" i="98"/>
  <c r="GG1637" i="98"/>
  <c r="GP1637" i="98"/>
  <c r="GI1637" i="98"/>
  <c r="GM1637" i="98"/>
  <c r="FW1634" i="98"/>
  <c r="FW1630" i="98"/>
  <c r="FW1626" i="98"/>
  <c r="FW1622" i="98"/>
  <c r="FW1618" i="98"/>
  <c r="FT1614" i="98"/>
  <c r="FT1610" i="98"/>
  <c r="FT1602" i="98"/>
  <c r="FT1598" i="98"/>
  <c r="GI1598" i="98" s="1"/>
  <c r="FX1595" i="98"/>
  <c r="FY1595" i="98" s="1"/>
  <c r="FX1591" i="98"/>
  <c r="FY1591" i="98" s="1"/>
  <c r="FX1587" i="98"/>
  <c r="FY1587" i="98"/>
  <c r="FX1583" i="98"/>
  <c r="FY1583" i="98"/>
  <c r="FX1579" i="98"/>
  <c r="FY1579" i="98" s="1"/>
  <c r="FT1573" i="98"/>
  <c r="GM1573" i="98" s="1"/>
  <c r="FT1569" i="98"/>
  <c r="GI1569" i="98" s="1"/>
  <c r="GM1569" i="98"/>
  <c r="FT1565" i="98"/>
  <c r="GG1565" i="98"/>
  <c r="GP1565" i="98"/>
  <c r="GI1565" i="98"/>
  <c r="GM1565" i="98"/>
  <c r="FT1561" i="98"/>
  <c r="GI1561" i="98" s="1"/>
  <c r="FT1557" i="98"/>
  <c r="GM1557" i="98" s="1"/>
  <c r="FW1554" i="98"/>
  <c r="FW1550" i="98"/>
  <c r="FW1546" i="98"/>
  <c r="FW1542" i="98"/>
  <c r="FW1538" i="98"/>
  <c r="GG1526" i="98"/>
  <c r="FT1526" i="98"/>
  <c r="FT1522" i="98"/>
  <c r="FT1518" i="98"/>
  <c r="FX1515" i="98"/>
  <c r="FY1515" i="98" s="1"/>
  <c r="FX1511" i="98"/>
  <c r="FY1511" i="98"/>
  <c r="FW1511" i="98" s="1"/>
  <c r="FX1507" i="98"/>
  <c r="FY1507" i="98" s="1"/>
  <c r="GP1504" i="98"/>
  <c r="FW1504" i="98"/>
  <c r="GG1504" i="98"/>
  <c r="GM1504" i="98"/>
  <c r="GI1504" i="98"/>
  <c r="FT1494" i="98"/>
  <c r="GJ1494" i="98" s="1"/>
  <c r="FX1482" i="98"/>
  <c r="FY1482" i="98"/>
  <c r="FT1481" i="98"/>
  <c r="GM1481" i="98" s="1"/>
  <c r="FX1466" i="98"/>
  <c r="FY1466" i="98" s="1"/>
  <c r="GJ1465" i="98"/>
  <c r="FT1465" i="98"/>
  <c r="FZ1465" i="98" s="1"/>
  <c r="GP1465" i="98"/>
  <c r="GF1446" i="98"/>
  <c r="GJ1446" i="98"/>
  <c r="GN1446" i="98"/>
  <c r="FT1446" i="98"/>
  <c r="GK1446" i="98"/>
  <c r="GP1446" i="98"/>
  <c r="GG1446" i="98"/>
  <c r="GL1446" i="98"/>
  <c r="GQ1446" i="98"/>
  <c r="GH1446" i="98"/>
  <c r="GM1446" i="98"/>
  <c r="FT1430" i="98"/>
  <c r="GP1430" i="98" s="1"/>
  <c r="FX1418" i="98"/>
  <c r="FY1418" i="98" s="1"/>
  <c r="GJ1417" i="98"/>
  <c r="FT1417" i="98"/>
  <c r="GI1417" i="98" s="1"/>
  <c r="GP1417" i="98"/>
  <c r="FW1408" i="98"/>
  <c r="FT1398" i="98"/>
  <c r="GP1398" i="98"/>
  <c r="FT1382" i="98"/>
  <c r="GP1382" i="98" s="1"/>
  <c r="FX1370" i="98"/>
  <c r="FY1370" i="98"/>
  <c r="FT1369" i="98"/>
  <c r="GP1369" i="98"/>
  <c r="FW1360" i="98"/>
  <c r="FX1354" i="98"/>
  <c r="FY1354" i="98" s="1"/>
  <c r="GI1353" i="98"/>
  <c r="GJ1353" i="98"/>
  <c r="FT1353" i="98"/>
  <c r="GP1353" i="98"/>
  <c r="GG1353" i="98"/>
  <c r="FW1344" i="98"/>
  <c r="FT1334" i="98"/>
  <c r="GP1334" i="98" s="1"/>
  <c r="FX1322" i="98"/>
  <c r="FY1322" i="98" s="1"/>
  <c r="FT1321" i="98"/>
  <c r="GD1321" i="98" s="1"/>
  <c r="FW1308" i="98"/>
  <c r="FX1301" i="98"/>
  <c r="FY1301" i="98" s="1"/>
  <c r="GI1290" i="98"/>
  <c r="FY1286" i="98"/>
  <c r="GO1276" i="98"/>
  <c r="FY1271" i="98"/>
  <c r="FX1271" i="98"/>
  <c r="FW1258" i="98"/>
  <c r="FT1258" i="98"/>
  <c r="GJ1258" i="98" s="1"/>
  <c r="FW1194" i="98"/>
  <c r="FT1194" i="98"/>
  <c r="GJ1194" i="98" s="1"/>
  <c r="GF1146" i="98"/>
  <c r="GJ1146" i="98"/>
  <c r="GN1146" i="98"/>
  <c r="GH1146" i="98"/>
  <c r="GL1146" i="98"/>
  <c r="GP1146" i="98"/>
  <c r="GK1146" i="98"/>
  <c r="FW1146" i="98"/>
  <c r="GM1146" i="98"/>
  <c r="GQ1146" i="98"/>
  <c r="GG1146" i="98"/>
  <c r="GO1146" i="98"/>
  <c r="FT1146" i="98"/>
  <c r="GI1146" i="98"/>
  <c r="FX1635" i="98"/>
  <c r="FY1635" i="98"/>
  <c r="FX1623" i="98"/>
  <c r="FY1623" i="98" s="1"/>
  <c r="FT1605" i="98"/>
  <c r="GJ1605" i="98" s="1"/>
  <c r="GI1605" i="98"/>
  <c r="FT1597" i="98"/>
  <c r="GG1597" i="98" s="1"/>
  <c r="GP1597" i="98"/>
  <c r="GM1597" i="98"/>
  <c r="FX1539" i="98"/>
  <c r="FY1539" i="98"/>
  <c r="FT1533" i="98"/>
  <c r="GJ1533" i="98" s="1"/>
  <c r="GG1533" i="98"/>
  <c r="GP1533" i="98"/>
  <c r="GI1533" i="98"/>
  <c r="GM1533" i="98"/>
  <c r="FT1529" i="98"/>
  <c r="GG1529" i="98" s="1"/>
  <c r="GP1529" i="98"/>
  <c r="GM1529" i="98"/>
  <c r="FX1498" i="98"/>
  <c r="FY1498" i="98" s="1"/>
  <c r="FT1478" i="98"/>
  <c r="GI1478" i="98" s="1"/>
  <c r="FW1472" i="98"/>
  <c r="GI1469" i="98"/>
  <c r="GM1469" i="98"/>
  <c r="GG1469" i="98"/>
  <c r="GJ1469" i="98"/>
  <c r="GI1449" i="98"/>
  <c r="GJ1449" i="98"/>
  <c r="FT1449" i="98"/>
  <c r="GM1449" i="98" s="1"/>
  <c r="GP1449" i="98"/>
  <c r="GG1449" i="98"/>
  <c r="FX1434" i="98"/>
  <c r="FY1434" i="98" s="1"/>
  <c r="GI1421" i="98"/>
  <c r="GG1421" i="98"/>
  <c r="FT1401" i="98"/>
  <c r="GB1401" i="98" s="1"/>
  <c r="GP1401" i="98"/>
  <c r="GH1376" i="98"/>
  <c r="GL1376" i="98"/>
  <c r="GP1376" i="98"/>
  <c r="GF1376" i="98"/>
  <c r="GK1376" i="98"/>
  <c r="GQ1376" i="98"/>
  <c r="FW1376" i="98"/>
  <c r="GG1376" i="98"/>
  <c r="GM1376" i="98"/>
  <c r="GI1376" i="98"/>
  <c r="GN1376" i="98"/>
  <c r="GM1373" i="98"/>
  <c r="GF1366" i="98"/>
  <c r="GJ1366" i="98"/>
  <c r="GN1366" i="98"/>
  <c r="FT1366" i="98"/>
  <c r="GK1366" i="98"/>
  <c r="GP1366" i="98"/>
  <c r="GG1366" i="98"/>
  <c r="GL1366" i="98"/>
  <c r="GQ1366" i="98"/>
  <c r="GH1366" i="98"/>
  <c r="GM1366" i="98"/>
  <c r="FT1685" i="98"/>
  <c r="GI1685" i="98" s="1"/>
  <c r="GM1685" i="98"/>
  <c r="FY1682" i="98"/>
  <c r="FT1681" i="98"/>
  <c r="GG1681" i="98" s="1"/>
  <c r="GP1681" i="98"/>
  <c r="GM1681" i="98"/>
  <c r="FY1678" i="98"/>
  <c r="FT1677" i="98"/>
  <c r="GI1677" i="98" s="1"/>
  <c r="GM1677" i="98"/>
  <c r="FY1674" i="98"/>
  <c r="FT1673" i="98"/>
  <c r="GG1673" i="98" s="1"/>
  <c r="GP1673" i="98"/>
  <c r="GM1673" i="98"/>
  <c r="FY1670" i="98"/>
  <c r="FT1669" i="98"/>
  <c r="GI1669" i="98" s="1"/>
  <c r="GM1669" i="98"/>
  <c r="FY1666" i="98"/>
  <c r="FT1665" i="98"/>
  <c r="GG1665" i="98" s="1"/>
  <c r="GP1665" i="98"/>
  <c r="GM1665" i="98"/>
  <c r="FY1662" i="98"/>
  <c r="FT1661" i="98"/>
  <c r="GI1661" i="98" s="1"/>
  <c r="GM1661" i="98"/>
  <c r="FY1658" i="98"/>
  <c r="FT1657" i="98"/>
  <c r="GG1657" i="98" s="1"/>
  <c r="GP1657" i="98"/>
  <c r="GM1657" i="98"/>
  <c r="FW1654" i="98"/>
  <c r="FW1650" i="98"/>
  <c r="FW1646" i="98"/>
  <c r="FW1642" i="98"/>
  <c r="FW1638" i="98"/>
  <c r="FX1615" i="98"/>
  <c r="FY1615" i="98" s="1"/>
  <c r="FX1611" i="98"/>
  <c r="FY1611" i="98" s="1"/>
  <c r="FX1607" i="98"/>
  <c r="FX1603" i="98"/>
  <c r="FX1599" i="98"/>
  <c r="FY1599" i="98" s="1"/>
  <c r="FY1594" i="98"/>
  <c r="FT1593" i="98"/>
  <c r="GI1593" i="98"/>
  <c r="FY1590" i="98"/>
  <c r="FT1589" i="98"/>
  <c r="GI1589" i="98" s="1"/>
  <c r="FY1586" i="98"/>
  <c r="FT1585" i="98"/>
  <c r="GI1585" i="98"/>
  <c r="FY1582" i="98"/>
  <c r="FT1581" i="98"/>
  <c r="GI1581" i="98" s="1"/>
  <c r="FY1578" i="98"/>
  <c r="FT1577" i="98"/>
  <c r="GI1577" i="98"/>
  <c r="FW1574" i="98"/>
  <c r="FW1570" i="98"/>
  <c r="FW1566" i="98"/>
  <c r="FW1562" i="98"/>
  <c r="FW1558" i="98"/>
  <c r="FX1535" i="98"/>
  <c r="FX1531" i="98"/>
  <c r="FY1531" i="98" s="1"/>
  <c r="FX1527" i="98"/>
  <c r="FY1527" i="98" s="1"/>
  <c r="FX1523" i="98"/>
  <c r="FX1519" i="98"/>
  <c r="FY1514" i="98"/>
  <c r="FT1513" i="98"/>
  <c r="GP1513" i="98"/>
  <c r="GI1513" i="98"/>
  <c r="GM1513" i="98"/>
  <c r="FY1510" i="98"/>
  <c r="FT1509" i="98"/>
  <c r="GP1509" i="98" s="1"/>
  <c r="FY1506" i="98"/>
  <c r="FT1502" i="98"/>
  <c r="GP1502" i="98"/>
  <c r="FX1490" i="98"/>
  <c r="FY1490" i="98" s="1"/>
  <c r="GI1489" i="98"/>
  <c r="GJ1489" i="98"/>
  <c r="FT1489" i="98"/>
  <c r="GB1489" i="98" s="1"/>
  <c r="GP1489" i="98"/>
  <c r="FT1488" i="98"/>
  <c r="GE1488" i="98" s="1"/>
  <c r="GP1485" i="98"/>
  <c r="FW1480" i="98"/>
  <c r="FX1474" i="98"/>
  <c r="FY1474" i="98" s="1"/>
  <c r="GI1473" i="98"/>
  <c r="FT1473" i="98"/>
  <c r="GJ1473" i="98" s="1"/>
  <c r="GG1473" i="98"/>
  <c r="FT1472" i="98"/>
  <c r="GB1472" i="98" s="1"/>
  <c r="GP1469" i="98"/>
  <c r="FX1442" i="98"/>
  <c r="FY1442" i="98" s="1"/>
  <c r="FT1441" i="98"/>
  <c r="FZ1441" i="98" s="1"/>
  <c r="GP1437" i="98"/>
  <c r="FX1426" i="98"/>
  <c r="FT1425" i="98"/>
  <c r="GD1425" i="98" s="1"/>
  <c r="FT1424" i="98"/>
  <c r="GH1416" i="98"/>
  <c r="GL1416" i="98"/>
  <c r="GP1416" i="98"/>
  <c r="GF1416" i="98"/>
  <c r="GK1416" i="98"/>
  <c r="GQ1416" i="98"/>
  <c r="FW1416" i="98"/>
  <c r="GG1416" i="98"/>
  <c r="GM1416" i="98"/>
  <c r="GI1416" i="98"/>
  <c r="GN1416" i="98"/>
  <c r="GF1406" i="98"/>
  <c r="GJ1406" i="98"/>
  <c r="GN1406" i="98"/>
  <c r="FT1406" i="98"/>
  <c r="GK1406" i="98"/>
  <c r="GP1406" i="98"/>
  <c r="GG1406" i="98"/>
  <c r="GL1406" i="98"/>
  <c r="GQ1406" i="98"/>
  <c r="GH1406" i="98"/>
  <c r="GM1406" i="98"/>
  <c r="FX1378" i="98"/>
  <c r="FY1378" i="98" s="1"/>
  <c r="GI1377" i="98"/>
  <c r="GJ1377" i="98"/>
  <c r="FT1377" i="98"/>
  <c r="GB1377" i="98" s="1"/>
  <c r="GP1377" i="98"/>
  <c r="GG1377" i="98"/>
  <c r="FT1376" i="98"/>
  <c r="GP1373" i="98"/>
  <c r="GP1368" i="98"/>
  <c r="FW1368" i="98"/>
  <c r="GG1368" i="98"/>
  <c r="GM1368" i="98"/>
  <c r="GI1368" i="98"/>
  <c r="FT1358" i="98"/>
  <c r="FW1352" i="98"/>
  <c r="FT1342" i="98"/>
  <c r="GI1342" i="98" s="1"/>
  <c r="GP1342" i="98"/>
  <c r="FX1330" i="98"/>
  <c r="FY1330" i="98" s="1"/>
  <c r="GI1329" i="98"/>
  <c r="GM1329" i="98"/>
  <c r="GJ1329" i="98"/>
  <c r="FT1329" i="98"/>
  <c r="GB1329" i="98" s="1"/>
  <c r="GP1329" i="98"/>
  <c r="GG1329" i="98"/>
  <c r="FT1328" i="98"/>
  <c r="GI1328" i="98" s="1"/>
  <c r="GP1325" i="98"/>
  <c r="FX1314" i="98"/>
  <c r="FY1314" i="98" s="1"/>
  <c r="FT1313" i="98"/>
  <c r="GB1313" i="98" s="1"/>
  <c r="FT1312" i="98"/>
  <c r="GB1312" i="98" s="1"/>
  <c r="FW1302" i="98"/>
  <c r="FY1302" i="98"/>
  <c r="FX1287" i="98"/>
  <c r="FY1287" i="98" s="1"/>
  <c r="GG1278" i="98"/>
  <c r="GG1276" i="98"/>
  <c r="FT1276" i="98"/>
  <c r="FW1274" i="98"/>
  <c r="GF1226" i="98"/>
  <c r="GJ1226" i="98"/>
  <c r="GN1226" i="98"/>
  <c r="GH1226" i="98"/>
  <c r="GL1226" i="98"/>
  <c r="GP1226" i="98"/>
  <c r="GK1226" i="98"/>
  <c r="FW1226" i="98"/>
  <c r="GM1226" i="98"/>
  <c r="GQ1226" i="98"/>
  <c r="GG1226" i="98"/>
  <c r="GO1226" i="98"/>
  <c r="FT1226" i="98"/>
  <c r="GI1226" i="98"/>
  <c r="FW1210" i="98"/>
  <c r="FT1210" i="98"/>
  <c r="GP1210" i="98" s="1"/>
  <c r="GI1210" i="98"/>
  <c r="FW1178" i="98"/>
  <c r="FT1178" i="98"/>
  <c r="GI1178" i="98" s="1"/>
  <c r="FT1244" i="98"/>
  <c r="FZ1244" i="98" s="1"/>
  <c r="FT1228" i="98"/>
  <c r="FT1212" i="98"/>
  <c r="FZ1212" i="98" s="1"/>
  <c r="GH1196" i="98"/>
  <c r="GL1196" i="98"/>
  <c r="GP1196" i="98"/>
  <c r="GF1196" i="98"/>
  <c r="GJ1196" i="98"/>
  <c r="GN1196" i="98"/>
  <c r="FT1164" i="98"/>
  <c r="GM1164" i="98" s="1"/>
  <c r="FT1148" i="98"/>
  <c r="GB1148" i="98" s="1"/>
  <c r="FW1144" i="98"/>
  <c r="GF1126" i="98"/>
  <c r="GJ1126" i="98"/>
  <c r="GN1126" i="98"/>
  <c r="FT1126" i="98"/>
  <c r="GG1126" i="98"/>
  <c r="GK1126" i="98"/>
  <c r="GO1126" i="98"/>
  <c r="GH1126" i="98"/>
  <c r="GL1126" i="98"/>
  <c r="GP1126" i="98"/>
  <c r="FT1123" i="98"/>
  <c r="GJ1123" i="98" s="1"/>
  <c r="GP1123" i="98"/>
  <c r="GI1123" i="98"/>
  <c r="GM1123" i="98"/>
  <c r="FX1117" i="98"/>
  <c r="FY1117" i="98"/>
  <c r="FT1110" i="98"/>
  <c r="GI1110" i="98" s="1"/>
  <c r="FT1107" i="98"/>
  <c r="GJ1107" i="98" s="1"/>
  <c r="GG1107" i="98"/>
  <c r="GP1107" i="98"/>
  <c r="GI1107" i="98"/>
  <c r="GM1107" i="98"/>
  <c r="FX1101" i="98"/>
  <c r="FX1088" i="98"/>
  <c r="FW1078" i="98"/>
  <c r="FY726" i="98"/>
  <c r="FX648" i="98"/>
  <c r="FY648" i="98" s="1"/>
  <c r="FW1685" i="98"/>
  <c r="FW1681" i="98"/>
  <c r="FW1677" i="98"/>
  <c r="FW1673" i="98"/>
  <c r="FW1669" i="98"/>
  <c r="FW1665" i="98"/>
  <c r="FW1661" i="98"/>
  <c r="FW1657" i="98"/>
  <c r="GP1656" i="98"/>
  <c r="GL1656" i="98"/>
  <c r="GH1656" i="98"/>
  <c r="FW1653" i="98"/>
  <c r="FW1649" i="98"/>
  <c r="FW1645" i="98"/>
  <c r="FW1641" i="98"/>
  <c r="FW1637" i="98"/>
  <c r="FW1629" i="98"/>
  <c r="FW1625" i="98"/>
  <c r="GP1616" i="98"/>
  <c r="GL1616" i="98"/>
  <c r="GH1616" i="98"/>
  <c r="FW1613" i="98"/>
  <c r="FW1609" i="98"/>
  <c r="FW1605" i="98"/>
  <c r="FW1601" i="98"/>
  <c r="FW1597" i="98"/>
  <c r="GP1596" i="98"/>
  <c r="GL1596" i="98"/>
  <c r="GH1596" i="98"/>
  <c r="FW1593" i="98"/>
  <c r="FW1589" i="98"/>
  <c r="FW1585" i="98"/>
  <c r="FW1581" i="98"/>
  <c r="FW1577" i="98"/>
  <c r="GP1576" i="98"/>
  <c r="GL1576" i="98"/>
  <c r="GH1576" i="98"/>
  <c r="FW1573" i="98"/>
  <c r="FW1569" i="98"/>
  <c r="FW1565" i="98"/>
  <c r="FW1561" i="98"/>
  <c r="FW1557" i="98"/>
  <c r="GP1556" i="98"/>
  <c r="GL1556" i="98"/>
  <c r="GH1556" i="98"/>
  <c r="FW1549" i="98"/>
  <c r="FW1545" i="98"/>
  <c r="GP1536" i="98"/>
  <c r="GL1536" i="98"/>
  <c r="GH1536" i="98"/>
  <c r="FW1533" i="98"/>
  <c r="FW1529" i="98"/>
  <c r="FW1525" i="98"/>
  <c r="FW1521" i="98"/>
  <c r="FW1517" i="98"/>
  <c r="GP1516" i="98"/>
  <c r="GL1516" i="98"/>
  <c r="GH1516" i="98"/>
  <c r="FW1513" i="98"/>
  <c r="FW1509" i="98"/>
  <c r="FW1505" i="98"/>
  <c r="FY1503" i="98"/>
  <c r="FW1502" i="98"/>
  <c r="FW1497" i="98"/>
  <c r="FY1495" i="98"/>
  <c r="FW1494" i="98"/>
  <c r="FW1489" i="98"/>
  <c r="FY1487" i="98"/>
  <c r="FW1481" i="98"/>
  <c r="FY1479" i="98"/>
  <c r="FW1478" i="98"/>
  <c r="GQ1476" i="98"/>
  <c r="GK1476" i="98"/>
  <c r="GF1476" i="98"/>
  <c r="FW1473" i="98"/>
  <c r="FY1471" i="98"/>
  <c r="FW1470" i="98"/>
  <c r="FW1465" i="98"/>
  <c r="FY1463" i="98"/>
  <c r="FW1457" i="98"/>
  <c r="FY1455" i="98"/>
  <c r="FW1449" i="98"/>
  <c r="FY1447" i="98"/>
  <c r="FW1446" i="98"/>
  <c r="FW1441" i="98"/>
  <c r="FY1439" i="98"/>
  <c r="GQ1436" i="98"/>
  <c r="GK1436" i="98"/>
  <c r="GF1436" i="98"/>
  <c r="FW1433" i="98"/>
  <c r="FY1431" i="98"/>
  <c r="FW1430" i="98"/>
  <c r="FW1425" i="98"/>
  <c r="FY1423" i="98"/>
  <c r="FW1422" i="98"/>
  <c r="FW1417" i="98"/>
  <c r="FY1415" i="98"/>
  <c r="FW1409" i="98"/>
  <c r="FY1407" i="98"/>
  <c r="FW1406" i="98"/>
  <c r="FW1401" i="98"/>
  <c r="FY1399" i="98"/>
  <c r="FW1398" i="98"/>
  <c r="FW1393" i="98"/>
  <c r="FY1391" i="98"/>
  <c r="FW1385" i="98"/>
  <c r="FY1383" i="98"/>
  <c r="FW1382" i="98"/>
  <c r="FW1377" i="98"/>
  <c r="FY1375" i="98"/>
  <c r="FW1374" i="98"/>
  <c r="FW1369" i="98"/>
  <c r="FY1367" i="98"/>
  <c r="FW1366" i="98"/>
  <c r="FW1361" i="98"/>
  <c r="FY1359" i="98"/>
  <c r="FW1358" i="98"/>
  <c r="GQ1356" i="98"/>
  <c r="GK1356" i="98"/>
  <c r="GF1356" i="98"/>
  <c r="FW1353" i="98"/>
  <c r="FY1351" i="98"/>
  <c r="FW1345" i="98"/>
  <c r="FY1343" i="98"/>
  <c r="FW1342" i="98"/>
  <c r="FW1337" i="98"/>
  <c r="FY1335" i="98"/>
  <c r="FW1334" i="98"/>
  <c r="FW1329" i="98"/>
  <c r="FY1327" i="98"/>
  <c r="FW1326" i="98"/>
  <c r="FW1321" i="98"/>
  <c r="FY1319" i="98"/>
  <c r="GQ1316" i="98"/>
  <c r="GK1316" i="98"/>
  <c r="GF1316" i="98"/>
  <c r="FW1313" i="98"/>
  <c r="FY1299" i="98"/>
  <c r="FY1297" i="98"/>
  <c r="GK1296" i="98"/>
  <c r="FT1288" i="98"/>
  <c r="FZ1288" i="98" s="1"/>
  <c r="FY1283" i="98"/>
  <c r="FW1283" i="98"/>
  <c r="FY1281" i="98"/>
  <c r="FT1272" i="98"/>
  <c r="FY1267" i="98"/>
  <c r="FW1267" i="98"/>
  <c r="FY1265" i="98"/>
  <c r="FY1251" i="98"/>
  <c r="FW1251" i="98"/>
  <c r="FY1249" i="98"/>
  <c r="GM1244" i="98"/>
  <c r="GP1240" i="98"/>
  <c r="GJ1240" i="98"/>
  <c r="FT1240" i="98"/>
  <c r="FZ1240" i="98" s="1"/>
  <c r="FY1235" i="98"/>
  <c r="FY1233" i="98"/>
  <c r="GM1228" i="98"/>
  <c r="FT1224" i="98"/>
  <c r="FY1219" i="98"/>
  <c r="FW1219" i="98"/>
  <c r="FY1217" i="98"/>
  <c r="GK1216" i="98"/>
  <c r="FT1208" i="98"/>
  <c r="GD1208" i="98" s="1"/>
  <c r="FY1203" i="98"/>
  <c r="FY1201" i="98"/>
  <c r="GM1196" i="98"/>
  <c r="FT1192" i="98"/>
  <c r="GD1192" i="98" s="1"/>
  <c r="FY1187" i="98"/>
  <c r="FW1187" i="98"/>
  <c r="FY1185" i="98"/>
  <c r="GH1176" i="98"/>
  <c r="GL1176" i="98"/>
  <c r="GP1176" i="98"/>
  <c r="GF1176" i="98"/>
  <c r="GJ1176" i="98"/>
  <c r="GN1176" i="98"/>
  <c r="FT1176" i="98"/>
  <c r="FY1171" i="98"/>
  <c r="FW1171" i="98" s="1"/>
  <c r="FW1169" i="98"/>
  <c r="FY1169" i="98"/>
  <c r="FT1160" i="98"/>
  <c r="GQ1156" i="98"/>
  <c r="GI1156" i="98"/>
  <c r="FY1155" i="98"/>
  <c r="FW1155" i="98" s="1"/>
  <c r="FY1153" i="98"/>
  <c r="FY1143" i="98"/>
  <c r="FX1137" i="98"/>
  <c r="FY1137" i="98" s="1"/>
  <c r="FW1134" i="98"/>
  <c r="GP1132" i="98"/>
  <c r="FW1132" i="98"/>
  <c r="GI1132" i="98"/>
  <c r="GM1132" i="98"/>
  <c r="GJ1132" i="98"/>
  <c r="FT1130" i="98"/>
  <c r="FY1127" i="98"/>
  <c r="FX1121" i="98"/>
  <c r="FY1121" i="98" s="1"/>
  <c r="FW1118" i="98"/>
  <c r="GH1116" i="98"/>
  <c r="GL1116" i="98"/>
  <c r="GP1116" i="98"/>
  <c r="FW1116" i="98"/>
  <c r="GI1116" i="98"/>
  <c r="GM1116" i="98"/>
  <c r="GQ1116" i="98"/>
  <c r="GF1116" i="98"/>
  <c r="GJ1116" i="98"/>
  <c r="GN1116" i="98"/>
  <c r="FT1114" i="98"/>
  <c r="GP1114" i="98"/>
  <c r="FY1111" i="98"/>
  <c r="FX1105" i="98"/>
  <c r="FY1105" i="98"/>
  <c r="FW1102" i="98"/>
  <c r="FW1100" i="98"/>
  <c r="FY1095" i="98"/>
  <c r="GH1086" i="98"/>
  <c r="GL1086" i="98"/>
  <c r="GP1086" i="98"/>
  <c r="GF1086" i="98"/>
  <c r="GK1086" i="98"/>
  <c r="GQ1086" i="98"/>
  <c r="FW1086" i="98"/>
  <c r="GG1086" i="98"/>
  <c r="GM1086" i="98"/>
  <c r="GI1086" i="98"/>
  <c r="GN1086" i="98"/>
  <c r="FT1084" i="98"/>
  <c r="GP1084" i="98"/>
  <c r="FT1083" i="98"/>
  <c r="GE1083" i="98" s="1"/>
  <c r="GJ1070" i="98"/>
  <c r="GJ1054" i="98"/>
  <c r="FX1048" i="98"/>
  <c r="FY1048" i="98" s="1"/>
  <c r="GP1038" i="98"/>
  <c r="FW1038" i="98"/>
  <c r="GG1038" i="98"/>
  <c r="GM1038" i="98"/>
  <c r="GI1038" i="98"/>
  <c r="FX1004" i="98"/>
  <c r="FY1004" i="98" s="1"/>
  <c r="FY1002" i="98"/>
  <c r="FT997" i="98"/>
  <c r="FW997" i="98"/>
  <c r="GM997" i="98"/>
  <c r="FX972" i="98"/>
  <c r="FY970" i="98"/>
  <c r="GJ965" i="98"/>
  <c r="FT965" i="98"/>
  <c r="GG965" i="98"/>
  <c r="FW965" i="98"/>
  <c r="GI965" i="98"/>
  <c r="GM965" i="98"/>
  <c r="FT957" i="98"/>
  <c r="GI957" i="98" s="1"/>
  <c r="FX600" i="98"/>
  <c r="FY600" i="98"/>
  <c r="GP1228" i="98"/>
  <c r="GJ1228" i="98"/>
  <c r="GJ1212" i="98"/>
  <c r="GO1196" i="98"/>
  <c r="GG1196" i="98"/>
  <c r="FT1196" i="98"/>
  <c r="FT1180" i="98"/>
  <c r="GM1180" i="98" s="1"/>
  <c r="GJ1164" i="98"/>
  <c r="GP1148" i="98"/>
  <c r="FT1142" i="98"/>
  <c r="GI1142" i="98" s="1"/>
  <c r="FT1139" i="98"/>
  <c r="GJ1139" i="98" s="1"/>
  <c r="GI1139" i="98"/>
  <c r="FX1133" i="98"/>
  <c r="FY1133" i="98" s="1"/>
  <c r="GH1096" i="98"/>
  <c r="GL1096" i="98"/>
  <c r="GP1096" i="98"/>
  <c r="FW1096" i="98"/>
  <c r="GI1096" i="98"/>
  <c r="GM1096" i="98"/>
  <c r="GQ1096" i="98"/>
  <c r="GF1096" i="98"/>
  <c r="GJ1096" i="98"/>
  <c r="GN1096" i="98"/>
  <c r="FW1062" i="98"/>
  <c r="FX1040" i="98"/>
  <c r="GP1018" i="98"/>
  <c r="GM1018" i="98"/>
  <c r="FT1018" i="98"/>
  <c r="GI1018" i="98" s="1"/>
  <c r="GJ1018" i="98"/>
  <c r="FT1684" i="98"/>
  <c r="FT1680" i="98"/>
  <c r="GP1680" i="98" s="1"/>
  <c r="FT1656" i="98"/>
  <c r="FT1652" i="98"/>
  <c r="FZ1652" i="98" s="1"/>
  <c r="FT1648" i="98"/>
  <c r="FZ1648" i="98" s="1"/>
  <c r="FT1644" i="98"/>
  <c r="GB1644" i="98" s="1"/>
  <c r="FT1640" i="98"/>
  <c r="GB1640" i="98" s="1"/>
  <c r="FT1616" i="98"/>
  <c r="FT1612" i="98"/>
  <c r="FT1604" i="98"/>
  <c r="FT1600" i="98"/>
  <c r="GB1600" i="98" s="1"/>
  <c r="FT1596" i="98"/>
  <c r="FT1592" i="98"/>
  <c r="GP1592" i="98" s="1"/>
  <c r="FT1588" i="98"/>
  <c r="FT1584" i="98"/>
  <c r="GP1584" i="98" s="1"/>
  <c r="FT1580" i="98"/>
  <c r="FT1576" i="98"/>
  <c r="FT1572" i="98"/>
  <c r="FT1568" i="98"/>
  <c r="GP1568" i="98" s="1"/>
  <c r="FT1564" i="98"/>
  <c r="FT1560" i="98"/>
  <c r="GP1560" i="98" s="1"/>
  <c r="FT1556" i="98"/>
  <c r="FT1552" i="98"/>
  <c r="GP1552" i="98" s="1"/>
  <c r="FT1548" i="98"/>
  <c r="FT1544" i="98"/>
  <c r="GP1544" i="98" s="1"/>
  <c r="FT1540" i="98"/>
  <c r="FT1536" i="98"/>
  <c r="FT1528" i="98"/>
  <c r="GP1528" i="98" s="1"/>
  <c r="FT1524" i="98"/>
  <c r="GE1524" i="98" s="1"/>
  <c r="FT1520" i="98"/>
  <c r="GP1520" i="98" s="1"/>
  <c r="FT1516" i="98"/>
  <c r="FT1512" i="98"/>
  <c r="FZ1512" i="98" s="1"/>
  <c r="FT1508" i="98"/>
  <c r="FZ1508" i="98" s="1"/>
  <c r="GP1492" i="98"/>
  <c r="FT1492" i="98"/>
  <c r="GB1492" i="98" s="1"/>
  <c r="FT1484" i="98"/>
  <c r="GH1476" i="98"/>
  <c r="GL1476" i="98"/>
  <c r="GP1476" i="98"/>
  <c r="FT1476" i="98"/>
  <c r="GP1460" i="98"/>
  <c r="FT1460" i="98"/>
  <c r="GD1460" i="98" s="1"/>
  <c r="FT1452" i="98"/>
  <c r="GC1452" i="98" s="1"/>
  <c r="GH1436" i="98"/>
  <c r="GL1436" i="98"/>
  <c r="GP1436" i="98"/>
  <c r="FT1436" i="98"/>
  <c r="FT1428" i="98"/>
  <c r="GP1428" i="98" s="1"/>
  <c r="FT1420" i="98"/>
  <c r="GE1420" i="98" s="1"/>
  <c r="GP1412" i="98"/>
  <c r="FT1412" i="98"/>
  <c r="FT1388" i="98"/>
  <c r="GD1388" i="98" s="1"/>
  <c r="GP1380" i="98"/>
  <c r="FT1380" i="98"/>
  <c r="GB1380" i="98" s="1"/>
  <c r="FT1372" i="98"/>
  <c r="FT1364" i="98"/>
  <c r="GP1364" i="98" s="1"/>
  <c r="GH1356" i="98"/>
  <c r="GL1356" i="98"/>
  <c r="GP1356" i="98"/>
  <c r="FT1356" i="98"/>
  <c r="FT1348" i="98"/>
  <c r="GP1348" i="98" s="1"/>
  <c r="FT1340" i="98"/>
  <c r="GP1332" i="98"/>
  <c r="FT1332" i="98"/>
  <c r="GH1316" i="98"/>
  <c r="GL1316" i="98"/>
  <c r="GP1316" i="98"/>
  <c r="FT1316" i="98"/>
  <c r="FY1311" i="98"/>
  <c r="FW1311" i="98"/>
  <c r="FY1309" i="98"/>
  <c r="FT1300" i="98"/>
  <c r="FY1295" i="98"/>
  <c r="FY1293" i="98"/>
  <c r="FT1284" i="98"/>
  <c r="GP1284" i="98" s="1"/>
  <c r="FY1279" i="98"/>
  <c r="FW1279" i="98"/>
  <c r="FY1277" i="98"/>
  <c r="FT1268" i="98"/>
  <c r="GE1268" i="98" s="1"/>
  <c r="FY1263" i="98"/>
  <c r="FY1261" i="98"/>
  <c r="FY1254" i="98"/>
  <c r="FT1252" i="98"/>
  <c r="GI1252" i="98" s="1"/>
  <c r="FY1247" i="98"/>
  <c r="FW1245" i="98"/>
  <c r="FY1245" i="98"/>
  <c r="FW1244" i="98"/>
  <c r="FY1238" i="98"/>
  <c r="FY1231" i="98"/>
  <c r="FW1229" i="98"/>
  <c r="FY1229" i="98"/>
  <c r="FW1228" i="98"/>
  <c r="FY1222" i="98"/>
  <c r="FY1215" i="98"/>
  <c r="FW1213" i="98"/>
  <c r="FY1213" i="98"/>
  <c r="FW1212" i="98"/>
  <c r="FY1206" i="98"/>
  <c r="FW1206" i="98" s="1"/>
  <c r="FT1204" i="98"/>
  <c r="FY1199" i="98"/>
  <c r="FW1197" i="98"/>
  <c r="FY1197" i="98"/>
  <c r="GK1196" i="98"/>
  <c r="FW1196" i="98"/>
  <c r="FY1190" i="98"/>
  <c r="FT1188" i="98"/>
  <c r="FY1183" i="98"/>
  <c r="FY1181" i="98"/>
  <c r="FW1180" i="98"/>
  <c r="FY1174" i="98"/>
  <c r="FT1172" i="98"/>
  <c r="GE1172" i="98" s="1"/>
  <c r="FY1167" i="98"/>
  <c r="FW1165" i="98"/>
  <c r="FY1165" i="98"/>
  <c r="FW1164" i="98"/>
  <c r="FY1158" i="98"/>
  <c r="GH1156" i="98"/>
  <c r="GL1156" i="98"/>
  <c r="GP1156" i="98"/>
  <c r="GF1156" i="98"/>
  <c r="GJ1156" i="98"/>
  <c r="GN1156" i="98"/>
  <c r="FT1156" i="98"/>
  <c r="FY1151" i="98"/>
  <c r="FW1149" i="98"/>
  <c r="FY1149" i="98"/>
  <c r="FW1148" i="98"/>
  <c r="FX1141" i="98"/>
  <c r="FY1141" i="98" s="1"/>
  <c r="FT1134" i="98"/>
  <c r="GP1134" i="98" s="1"/>
  <c r="FT1131" i="98"/>
  <c r="GI1131" i="98" s="1"/>
  <c r="GP1131" i="98"/>
  <c r="GM1131" i="98"/>
  <c r="GQ1126" i="98"/>
  <c r="FX1125" i="98"/>
  <c r="FY1125" i="98" s="1"/>
  <c r="FW1120" i="98"/>
  <c r="FT1118" i="98"/>
  <c r="GP1118" i="98" s="1"/>
  <c r="FT1115" i="98"/>
  <c r="GG1115" i="98" s="1"/>
  <c r="FX1109" i="98"/>
  <c r="FY1109" i="98" s="1"/>
  <c r="GP1104" i="98"/>
  <c r="FW1104" i="98"/>
  <c r="GI1104" i="98"/>
  <c r="GM1104" i="98"/>
  <c r="GJ1104" i="98"/>
  <c r="GJ1102" i="98"/>
  <c r="FT1102" i="98"/>
  <c r="GM1102" i="98" s="1"/>
  <c r="GG1102" i="98"/>
  <c r="GP1102" i="98"/>
  <c r="FT1099" i="98"/>
  <c r="GG1099" i="98" s="1"/>
  <c r="GI1099" i="98"/>
  <c r="GG1096" i="98"/>
  <c r="FT1092" i="98"/>
  <c r="GP1092" i="98" s="1"/>
  <c r="FT1091" i="98"/>
  <c r="GP1091" i="98" s="1"/>
  <c r="FX1072" i="98"/>
  <c r="FY1072" i="98" s="1"/>
  <c r="FX1056" i="98"/>
  <c r="FY1056" i="98" s="1"/>
  <c r="GH1046" i="98"/>
  <c r="GL1046" i="98"/>
  <c r="GP1046" i="98"/>
  <c r="GF1046" i="98"/>
  <c r="GK1046" i="98"/>
  <c r="GQ1046" i="98"/>
  <c r="FW1046" i="98"/>
  <c r="GG1046" i="98"/>
  <c r="GM1046" i="98"/>
  <c r="GI1046" i="98"/>
  <c r="GN1046" i="98"/>
  <c r="FT1044" i="98"/>
  <c r="GP1044" i="98" s="1"/>
  <c r="FT1043" i="98"/>
  <c r="GP1043" i="98" s="1"/>
  <c r="GP1030" i="98"/>
  <c r="GM1030" i="98"/>
  <c r="FT1030" i="98"/>
  <c r="GJ1030" i="98"/>
  <c r="GI1022" i="98"/>
  <c r="FT1022" i="98"/>
  <c r="GD1022" i="98" s="1"/>
  <c r="GP1014" i="98"/>
  <c r="FT1014" i="98"/>
  <c r="GM1014" i="98" s="1"/>
  <c r="FX775" i="98"/>
  <c r="FY775" i="98"/>
  <c r="FT694" i="98"/>
  <c r="GE694" i="98" s="1"/>
  <c r="GG694" i="98"/>
  <c r="GI694" i="98"/>
  <c r="GM694" i="98"/>
  <c r="GJ694" i="98"/>
  <c r="FT1034" i="98"/>
  <c r="FX958" i="98"/>
  <c r="FY958" i="98" s="1"/>
  <c r="GJ1684" i="98"/>
  <c r="GJ1680" i="98"/>
  <c r="GN1656" i="98"/>
  <c r="GJ1656" i="98"/>
  <c r="GF1656" i="98"/>
  <c r="GJ1652" i="98"/>
  <c r="GJ1648" i="98"/>
  <c r="GJ1640" i="98"/>
  <c r="GN1616" i="98"/>
  <c r="GJ1616" i="98"/>
  <c r="GF1616" i="98"/>
  <c r="GJ1604" i="98"/>
  <c r="GJ1600" i="98"/>
  <c r="GN1596" i="98"/>
  <c r="GJ1596" i="98"/>
  <c r="GF1596" i="98"/>
  <c r="GJ1592" i="98"/>
  <c r="GJ1588" i="98"/>
  <c r="GJ1584" i="98"/>
  <c r="GN1576" i="98"/>
  <c r="GJ1576" i="98"/>
  <c r="GF1576" i="98"/>
  <c r="GJ1572" i="98"/>
  <c r="GJ1568" i="98"/>
  <c r="GJ1560" i="98"/>
  <c r="GN1556" i="98"/>
  <c r="GJ1556" i="98"/>
  <c r="GF1556" i="98"/>
  <c r="GJ1552" i="98"/>
  <c r="GJ1544" i="98"/>
  <c r="GJ1540" i="98"/>
  <c r="GN1536" i="98"/>
  <c r="GJ1536" i="98"/>
  <c r="GF1536" i="98"/>
  <c r="GJ1528" i="98"/>
  <c r="GJ1524" i="98"/>
  <c r="GJ1520" i="98"/>
  <c r="GN1516" i="98"/>
  <c r="GJ1516" i="98"/>
  <c r="GF1516" i="98"/>
  <c r="GJ1512" i="98"/>
  <c r="GJ1508" i="98"/>
  <c r="FW1501" i="98"/>
  <c r="FY1499" i="98"/>
  <c r="FW1499" i="98" s="1"/>
  <c r="FW1493" i="98"/>
  <c r="GI1492" i="98"/>
  <c r="FY1491" i="98"/>
  <c r="FW1485" i="98"/>
  <c r="FY1483" i="98"/>
  <c r="FW1477" i="98"/>
  <c r="GN1476" i="98"/>
  <c r="GI1476" i="98"/>
  <c r="FY1475" i="98"/>
  <c r="FW1469" i="98"/>
  <c r="FY1467" i="98"/>
  <c r="FW1467" i="98" s="1"/>
  <c r="FW1461" i="98"/>
  <c r="GI1460" i="98"/>
  <c r="FY1459" i="98"/>
  <c r="FW1453" i="98"/>
  <c r="FY1451" i="98"/>
  <c r="FW1445" i="98"/>
  <c r="FY1443" i="98"/>
  <c r="FW1443" i="98" s="1"/>
  <c r="FW1437" i="98"/>
  <c r="GN1436" i="98"/>
  <c r="GI1436" i="98"/>
  <c r="FY1435" i="98"/>
  <c r="FW1429" i="98"/>
  <c r="GI1428" i="98"/>
  <c r="FY1427" i="98"/>
  <c r="FW1421" i="98"/>
  <c r="FY1419" i="98"/>
  <c r="FW1413" i="98"/>
  <c r="GI1412" i="98"/>
  <c r="FY1411" i="98"/>
  <c r="FW1405" i="98"/>
  <c r="FY1403" i="98"/>
  <c r="FW1397" i="98"/>
  <c r="FY1395" i="98"/>
  <c r="FW1389" i="98"/>
  <c r="FY1387" i="98"/>
  <c r="FW1381" i="98"/>
  <c r="GI1380" i="98"/>
  <c r="FY1379" i="98"/>
  <c r="FW1373" i="98"/>
  <c r="GI1372" i="98"/>
  <c r="FY1371" i="98"/>
  <c r="FW1365" i="98"/>
  <c r="GI1364" i="98"/>
  <c r="FY1363" i="98"/>
  <c r="FW1357" i="98"/>
  <c r="GN1356" i="98"/>
  <c r="GI1356" i="98"/>
  <c r="FY1355" i="98"/>
  <c r="FW1349" i="98"/>
  <c r="GI1348" i="98"/>
  <c r="FY1347" i="98"/>
  <c r="FW1341" i="98"/>
  <c r="GI1340" i="98"/>
  <c r="FY1339" i="98"/>
  <c r="FW1333" i="98"/>
  <c r="GI1332" i="98"/>
  <c r="FY1331" i="98"/>
  <c r="FW1331" i="98" s="1"/>
  <c r="FW1325" i="98"/>
  <c r="FY1323" i="98"/>
  <c r="FW1317" i="98"/>
  <c r="GN1316" i="98"/>
  <c r="GI1316" i="98"/>
  <c r="FY1315" i="98"/>
  <c r="FY1307" i="98"/>
  <c r="FW1305" i="98"/>
  <c r="FY1305" i="98"/>
  <c r="GH1296" i="98"/>
  <c r="GL1296" i="98"/>
  <c r="GP1296" i="98"/>
  <c r="GF1296" i="98"/>
  <c r="GJ1296" i="98"/>
  <c r="GN1296" i="98"/>
  <c r="FT1296" i="98"/>
  <c r="FY1291" i="98"/>
  <c r="FY1289" i="98"/>
  <c r="GM1284" i="98"/>
  <c r="FT1280" i="98"/>
  <c r="GP1280" i="98" s="1"/>
  <c r="FY1275" i="98"/>
  <c r="FW1275" i="98"/>
  <c r="FY1273" i="98"/>
  <c r="GJ1264" i="98"/>
  <c r="FT1264" i="98"/>
  <c r="GP1264" i="98" s="1"/>
  <c r="FY1259" i="98"/>
  <c r="FW1259" i="98" s="1"/>
  <c r="FW1257" i="98"/>
  <c r="FY1257" i="98"/>
  <c r="FX1255" i="98"/>
  <c r="FY1255" i="98" s="1"/>
  <c r="FX1253" i="98"/>
  <c r="FT1248" i="98"/>
  <c r="GP1248" i="98" s="1"/>
  <c r="GI1244" i="98"/>
  <c r="FY1243" i="98"/>
  <c r="FW1243" i="98"/>
  <c r="FY1241" i="98"/>
  <c r="FX1239" i="98"/>
  <c r="FY1239" i="98" s="1"/>
  <c r="FX1237" i="98"/>
  <c r="FT1232" i="98"/>
  <c r="GD1232" i="98" s="1"/>
  <c r="GI1228" i="98"/>
  <c r="FY1227" i="98"/>
  <c r="FY1225" i="98"/>
  <c r="FX1223" i="98"/>
  <c r="FY1223" i="98" s="1"/>
  <c r="FX1221" i="98"/>
  <c r="FY1221" i="98" s="1"/>
  <c r="GH1216" i="98"/>
  <c r="GL1216" i="98"/>
  <c r="GP1216" i="98"/>
  <c r="GF1216" i="98"/>
  <c r="GJ1216" i="98"/>
  <c r="GN1216" i="98"/>
  <c r="FT1216" i="98"/>
  <c r="FY1211" i="98"/>
  <c r="FY1209" i="98"/>
  <c r="FX1207" i="98"/>
  <c r="FY1207" i="98" s="1"/>
  <c r="FX1205" i="98"/>
  <c r="FY1205" i="98" s="1"/>
  <c r="FT1200" i="98"/>
  <c r="FZ1200" i="98" s="1"/>
  <c r="GQ1196" i="98"/>
  <c r="GI1196" i="98"/>
  <c r="FY1195" i="98"/>
  <c r="FW1195" i="98"/>
  <c r="FY1193" i="98"/>
  <c r="FX1191" i="98"/>
  <c r="FY1191" i="98" s="1"/>
  <c r="FX1189" i="98"/>
  <c r="GP1184" i="98"/>
  <c r="GJ1184" i="98"/>
  <c r="FT1184" i="98"/>
  <c r="FZ1184" i="98" s="1"/>
  <c r="GI1180" i="98"/>
  <c r="FY1179" i="98"/>
  <c r="FY1177" i="98"/>
  <c r="FX1175" i="98"/>
  <c r="FY1175" i="98" s="1"/>
  <c r="FX1173" i="98"/>
  <c r="FY1173" i="98" s="1"/>
  <c r="GM1172" i="98"/>
  <c r="FY1163" i="98"/>
  <c r="FY1161" i="98"/>
  <c r="FX1159" i="98"/>
  <c r="FY1159" i="98" s="1"/>
  <c r="FX1157" i="98"/>
  <c r="FY1157" i="98" s="1"/>
  <c r="GM1156" i="98"/>
  <c r="FT1152" i="98"/>
  <c r="GD1152" i="98" s="1"/>
  <c r="FY1147" i="98"/>
  <c r="FW1147" i="98"/>
  <c r="FY1145" i="98"/>
  <c r="FT1144" i="98"/>
  <c r="GD1144" i="98" s="1"/>
  <c r="GM1142" i="98"/>
  <c r="FW1142" i="98"/>
  <c r="FW1140" i="98"/>
  <c r="FY1135" i="98"/>
  <c r="FX1129" i="98"/>
  <c r="FY1129" i="98"/>
  <c r="GM1126" i="98"/>
  <c r="FW1126" i="98"/>
  <c r="FY1119" i="98"/>
  <c r="FX1113" i="98"/>
  <c r="FY1113" i="98"/>
  <c r="FW1110" i="98"/>
  <c r="GP1108" i="98"/>
  <c r="FW1108" i="98"/>
  <c r="GI1108" i="98"/>
  <c r="GM1108" i="98"/>
  <c r="GJ1108" i="98"/>
  <c r="FY1103" i="98"/>
  <c r="FX1097" i="98"/>
  <c r="FY1097" i="98"/>
  <c r="FT1096" i="98"/>
  <c r="GJ1083" i="98"/>
  <c r="FX1080" i="98"/>
  <c r="FY1080" i="98"/>
  <c r="FT1078" i="98"/>
  <c r="GM1078" i="98" s="1"/>
  <c r="GP1070" i="98"/>
  <c r="FW1070" i="98"/>
  <c r="GG1070" i="98"/>
  <c r="GM1070" i="98"/>
  <c r="GI1070" i="98"/>
  <c r="FT1068" i="98"/>
  <c r="GP1068" i="98" s="1"/>
  <c r="FX1064" i="98"/>
  <c r="FT1062" i="98"/>
  <c r="GG1062" i="98" s="1"/>
  <c r="GP1054" i="98"/>
  <c r="FW1054" i="98"/>
  <c r="GG1054" i="98"/>
  <c r="GM1054" i="98"/>
  <c r="GI1054" i="98"/>
  <c r="FT1052" i="98"/>
  <c r="GP1052" i="98" s="1"/>
  <c r="GO1046" i="98"/>
  <c r="GG1018" i="98"/>
  <c r="FX988" i="98"/>
  <c r="FY988" i="98" s="1"/>
  <c r="FY986" i="98"/>
  <c r="FT981" i="98"/>
  <c r="FW981" i="98"/>
  <c r="GM981" i="98"/>
  <c r="FT960" i="98"/>
  <c r="GP960" i="98" s="1"/>
  <c r="FW960" i="98"/>
  <c r="GJ569" i="98"/>
  <c r="FT569" i="98"/>
  <c r="GB569" i="98" s="1"/>
  <c r="GG569" i="98"/>
  <c r="FW569" i="98"/>
  <c r="GI569" i="98"/>
  <c r="GM569" i="98"/>
  <c r="FW1143" i="98"/>
  <c r="FW1139" i="98"/>
  <c r="FW1135" i="98"/>
  <c r="FW1131" i="98"/>
  <c r="FW1123" i="98"/>
  <c r="FW1115" i="98"/>
  <c r="FW1111" i="98"/>
  <c r="FW1107" i="98"/>
  <c r="FW1099" i="98"/>
  <c r="FW1095" i="98"/>
  <c r="FW1092" i="98"/>
  <c r="FW1084" i="98"/>
  <c r="FY1069" i="98"/>
  <c r="FW1068" i="98"/>
  <c r="FW1052" i="98"/>
  <c r="FW1044" i="98"/>
  <c r="FW1034" i="98"/>
  <c r="FW1030" i="98"/>
  <c r="FW1022" i="98"/>
  <c r="FW1018" i="98"/>
  <c r="FW1014" i="98"/>
  <c r="FT1001" i="98"/>
  <c r="GG1001" i="98" s="1"/>
  <c r="FX992" i="98"/>
  <c r="FY992" i="98" s="1"/>
  <c r="FY990" i="98"/>
  <c r="FT985" i="98"/>
  <c r="GP985" i="98"/>
  <c r="FX976" i="98"/>
  <c r="FY976" i="98" s="1"/>
  <c r="FY974" i="98"/>
  <c r="FT969" i="98"/>
  <c r="FX950" i="98"/>
  <c r="FY950" i="98"/>
  <c r="FT949" i="98"/>
  <c r="GE949" i="98" s="1"/>
  <c r="FT641" i="98"/>
  <c r="GJ641" i="98" s="1"/>
  <c r="GP641" i="98"/>
  <c r="FW641" i="98"/>
  <c r="GI641" i="98"/>
  <c r="FY541" i="98"/>
  <c r="GP1074" i="98"/>
  <c r="FT1074" i="98"/>
  <c r="GD1074" i="98" s="1"/>
  <c r="GP1058" i="98"/>
  <c r="FT1058" i="98"/>
  <c r="GB1058" i="98" s="1"/>
  <c r="FT1042" i="98"/>
  <c r="FZ1042" i="98" s="1"/>
  <c r="FX1035" i="98"/>
  <c r="FY1035" i="98" s="1"/>
  <c r="FX1031" i="98"/>
  <c r="FY1031" i="98" s="1"/>
  <c r="FX1027" i="98"/>
  <c r="FY1027" i="98" s="1"/>
  <c r="FX1023" i="98"/>
  <c r="FY1023" i="98" s="1"/>
  <c r="FX1019" i="98"/>
  <c r="FY1019" i="98" s="1"/>
  <c r="FX1015" i="98"/>
  <c r="FY1015" i="98" s="1"/>
  <c r="FX1011" i="98"/>
  <c r="FY1011" i="98" s="1"/>
  <c r="FX1007" i="98"/>
  <c r="FY1007" i="98" s="1"/>
  <c r="FX996" i="98"/>
  <c r="FY996" i="98"/>
  <c r="FY994" i="98"/>
  <c r="FT989" i="98"/>
  <c r="GP989" i="98" s="1"/>
  <c r="FX980" i="98"/>
  <c r="FY980" i="98" s="1"/>
  <c r="FY978" i="98"/>
  <c r="FX964" i="98"/>
  <c r="FY964" i="98"/>
  <c r="FY962" i="98"/>
  <c r="FT954" i="98"/>
  <c r="GI954" i="98" s="1"/>
  <c r="FW954" i="98"/>
  <c r="FT944" i="98"/>
  <c r="GG944" i="98" s="1"/>
  <c r="FX942" i="98"/>
  <c r="FY942" i="98" s="1"/>
  <c r="GI941" i="98"/>
  <c r="GM941" i="98"/>
  <c r="GJ941" i="98"/>
  <c r="FT941" i="98"/>
  <c r="FZ941" i="98" s="1"/>
  <c r="GP941" i="98"/>
  <c r="GG941" i="98"/>
  <c r="FY940" i="98"/>
  <c r="FY936" i="98"/>
  <c r="FY932" i="98"/>
  <c r="FY928" i="98"/>
  <c r="FY924" i="98"/>
  <c r="FY920" i="98"/>
  <c r="FY916" i="98"/>
  <c r="FY912" i="98"/>
  <c r="FY908" i="98"/>
  <c r="FY904" i="98"/>
  <c r="FY900" i="98"/>
  <c r="FY896" i="98"/>
  <c r="FY892" i="98"/>
  <c r="FY888" i="98"/>
  <c r="FY884" i="98"/>
  <c r="FY880" i="98"/>
  <c r="FY876" i="98"/>
  <c r="FY872" i="98"/>
  <c r="FY868" i="98"/>
  <c r="FY864" i="98"/>
  <c r="FY860" i="98"/>
  <c r="FY856" i="98"/>
  <c r="FY852" i="98"/>
  <c r="FY848" i="98"/>
  <c r="FY844" i="98"/>
  <c r="FY840" i="98"/>
  <c r="FY836" i="98"/>
  <c r="FY832" i="98"/>
  <c r="FY828" i="98"/>
  <c r="FY824" i="98"/>
  <c r="FY820" i="98"/>
  <c r="FY816" i="98"/>
  <c r="FY812" i="98"/>
  <c r="FY808" i="98"/>
  <c r="FY804" i="98"/>
  <c r="FY800" i="98"/>
  <c r="FY796" i="98"/>
  <c r="FY792" i="98"/>
  <c r="FY788" i="98"/>
  <c r="FY784" i="98"/>
  <c r="FY780" i="98"/>
  <c r="FX728" i="98"/>
  <c r="FY728" i="98"/>
  <c r="FX696" i="98"/>
  <c r="FY696" i="98"/>
  <c r="FT646" i="98"/>
  <c r="GG646" i="98"/>
  <c r="GK646" i="98"/>
  <c r="GO646" i="98"/>
  <c r="GH646" i="98"/>
  <c r="GL646" i="98"/>
  <c r="GP646" i="98"/>
  <c r="GI646" i="98"/>
  <c r="GM646" i="98"/>
  <c r="GQ646" i="98"/>
  <c r="GF646" i="98"/>
  <c r="GJ646" i="98"/>
  <c r="GN646" i="98"/>
  <c r="FT598" i="98"/>
  <c r="GG598" i="98" s="1"/>
  <c r="GJ598" i="98"/>
  <c r="FX1093" i="98"/>
  <c r="FW1091" i="98"/>
  <c r="FY1089" i="98"/>
  <c r="FY1087" i="98"/>
  <c r="FW1087" i="98" s="1"/>
  <c r="FX1085" i="98"/>
  <c r="FY1085" i="98" s="1"/>
  <c r="FW1083" i="98"/>
  <c r="FY1081" i="98"/>
  <c r="FY1079" i="98"/>
  <c r="FX1077" i="98"/>
  <c r="FW1075" i="98"/>
  <c r="GI1074" i="98"/>
  <c r="FY1073" i="98"/>
  <c r="FY1071" i="98"/>
  <c r="FX1069" i="98"/>
  <c r="FW1067" i="98"/>
  <c r="FY1065" i="98"/>
  <c r="FY1063" i="98"/>
  <c r="FX1061" i="98"/>
  <c r="FW1059" i="98"/>
  <c r="GI1058" i="98"/>
  <c r="FY1057" i="98"/>
  <c r="FY1055" i="98"/>
  <c r="FW1055" i="98" s="1"/>
  <c r="FX1053" i="98"/>
  <c r="FY1053" i="98" s="1"/>
  <c r="FW1051" i="98"/>
  <c r="FY1049" i="98"/>
  <c r="FY1047" i="98"/>
  <c r="FX1045" i="98"/>
  <c r="FW1043" i="98"/>
  <c r="GI1042" i="98"/>
  <c r="FY1041" i="98"/>
  <c r="FY1039" i="98"/>
  <c r="FX1037" i="98"/>
  <c r="FY1037" i="98" s="1"/>
  <c r="FX1036" i="98"/>
  <c r="FY1036" i="98" s="1"/>
  <c r="FY1033" i="98"/>
  <c r="FX1032" i="98"/>
  <c r="FY1032" i="98" s="1"/>
  <c r="FY1029" i="98"/>
  <c r="FX1028" i="98"/>
  <c r="FY1025" i="98"/>
  <c r="FX1024" i="98"/>
  <c r="FY1024" i="98"/>
  <c r="FY1021" i="98"/>
  <c r="FX1020" i="98"/>
  <c r="FY1020" i="98" s="1"/>
  <c r="FY1017" i="98"/>
  <c r="FX1016" i="98"/>
  <c r="FY1016" i="98" s="1"/>
  <c r="FY1013" i="98"/>
  <c r="FX1012" i="98"/>
  <c r="FY1009" i="98"/>
  <c r="FX1008" i="98"/>
  <c r="FY1008" i="98"/>
  <c r="GM1001" i="98"/>
  <c r="FX1000" i="98"/>
  <c r="FY1000" i="98" s="1"/>
  <c r="FY998" i="98"/>
  <c r="FW998" i="98"/>
  <c r="FT993" i="98"/>
  <c r="GG993" i="98" s="1"/>
  <c r="FX984" i="98"/>
  <c r="FY984" i="98" s="1"/>
  <c r="FY982" i="98"/>
  <c r="FW982" i="98"/>
  <c r="FT977" i="98"/>
  <c r="FX968" i="98"/>
  <c r="FY968" i="98" s="1"/>
  <c r="FY966" i="98"/>
  <c r="FT961" i="98"/>
  <c r="GP961" i="98"/>
  <c r="GF946" i="98"/>
  <c r="GJ946" i="98"/>
  <c r="GN946" i="98"/>
  <c r="FT946" i="98"/>
  <c r="GK946" i="98"/>
  <c r="GP946" i="98"/>
  <c r="GG946" i="98"/>
  <c r="GL946" i="98"/>
  <c r="GQ946" i="98"/>
  <c r="FW946" i="98"/>
  <c r="GH946" i="98"/>
  <c r="GM946" i="98"/>
  <c r="FW944" i="98"/>
  <c r="FX1003" i="98"/>
  <c r="FY1003" i="98" s="1"/>
  <c r="FX999" i="98"/>
  <c r="FY999" i="98" s="1"/>
  <c r="FX995" i="98"/>
  <c r="FY995" i="98" s="1"/>
  <c r="FX991" i="98"/>
  <c r="FY991" i="98" s="1"/>
  <c r="FX987" i="98"/>
  <c r="FY987" i="98" s="1"/>
  <c r="FX983" i="98"/>
  <c r="FY983" i="98" s="1"/>
  <c r="FX979" i="98"/>
  <c r="FY979" i="98" s="1"/>
  <c r="FX975" i="98"/>
  <c r="FY975" i="98" s="1"/>
  <c r="FX971" i="98"/>
  <c r="FY971" i="98" s="1"/>
  <c r="FX967" i="98"/>
  <c r="FY967" i="98" s="1"/>
  <c r="FX963" i="98"/>
  <c r="FY963" i="98" s="1"/>
  <c r="FX959" i="98"/>
  <c r="FW957" i="98"/>
  <c r="FY955" i="98"/>
  <c r="FY953" i="98"/>
  <c r="FX951" i="98"/>
  <c r="FY951" i="98" s="1"/>
  <c r="FW949" i="98"/>
  <c r="FY947" i="98"/>
  <c r="FY945" i="98"/>
  <c r="FX943" i="98"/>
  <c r="FW941" i="98"/>
  <c r="FX937" i="98"/>
  <c r="FY937" i="98" s="1"/>
  <c r="FW933" i="98"/>
  <c r="FX933" i="98"/>
  <c r="FY933" i="98" s="1"/>
  <c r="FX929" i="98"/>
  <c r="FY929" i="98" s="1"/>
  <c r="FX925" i="98"/>
  <c r="FY925" i="98" s="1"/>
  <c r="FX921" i="98"/>
  <c r="FY921" i="98" s="1"/>
  <c r="FW917" i="98"/>
  <c r="FX917" i="98"/>
  <c r="FY917" i="98" s="1"/>
  <c r="FX913" i="98"/>
  <c r="FY913" i="98" s="1"/>
  <c r="FX909" i="98"/>
  <c r="FY909" i="98" s="1"/>
  <c r="FX905" i="98"/>
  <c r="FY905" i="98" s="1"/>
  <c r="FW901" i="98"/>
  <c r="FX901" i="98"/>
  <c r="FY901" i="98" s="1"/>
  <c r="FX897" i="98"/>
  <c r="FY897" i="98" s="1"/>
  <c r="FX893" i="98"/>
  <c r="FY893" i="98" s="1"/>
  <c r="FX889" i="98"/>
  <c r="FY889" i="98" s="1"/>
  <c r="FW885" i="98"/>
  <c r="FX885" i="98"/>
  <c r="FY885" i="98" s="1"/>
  <c r="FX881" i="98"/>
  <c r="FY881" i="98" s="1"/>
  <c r="FX877" i="98"/>
  <c r="FY877" i="98" s="1"/>
  <c r="FX873" i="98"/>
  <c r="FY873" i="98" s="1"/>
  <c r="FW869" i="98"/>
  <c r="FX869" i="98"/>
  <c r="FY869" i="98" s="1"/>
  <c r="FX865" i="98"/>
  <c r="FY865" i="98" s="1"/>
  <c r="FX861" i="98"/>
  <c r="FY861" i="98" s="1"/>
  <c r="FX857" i="98"/>
  <c r="FY857" i="98" s="1"/>
  <c r="FW853" i="98"/>
  <c r="FX853" i="98"/>
  <c r="FY853" i="98" s="1"/>
  <c r="FX849" i="98"/>
  <c r="FY849" i="98" s="1"/>
  <c r="FX845" i="98"/>
  <c r="FY845" i="98" s="1"/>
  <c r="FX841" i="98"/>
  <c r="FY841" i="98" s="1"/>
  <c r="FW837" i="98"/>
  <c r="FX837" i="98"/>
  <c r="FY837" i="98" s="1"/>
  <c r="FX833" i="98"/>
  <c r="FY833" i="98" s="1"/>
  <c r="FX829" i="98"/>
  <c r="FY829" i="98" s="1"/>
  <c r="FX825" i="98"/>
  <c r="FY825" i="98" s="1"/>
  <c r="FW821" i="98"/>
  <c r="FX821" i="98"/>
  <c r="FY821" i="98" s="1"/>
  <c r="FX817" i="98"/>
  <c r="FY817" i="98" s="1"/>
  <c r="FX813" i="98"/>
  <c r="FY813" i="98" s="1"/>
  <c r="FX809" i="98"/>
  <c r="FY809" i="98" s="1"/>
  <c r="FW805" i="98"/>
  <c r="FX805" i="98"/>
  <c r="FY805" i="98" s="1"/>
  <c r="FX801" i="98"/>
  <c r="FY801" i="98" s="1"/>
  <c r="FX797" i="98"/>
  <c r="FY797" i="98" s="1"/>
  <c r="FX793" i="98"/>
  <c r="FY793" i="98" s="1"/>
  <c r="FW789" i="98"/>
  <c r="FX789" i="98"/>
  <c r="FY789" i="98" s="1"/>
  <c r="FX785" i="98"/>
  <c r="FY785" i="98" s="1"/>
  <c r="FX781" i="98"/>
  <c r="FY781" i="98" s="1"/>
  <c r="GM778" i="98"/>
  <c r="FX744" i="98"/>
  <c r="FY744" i="98" s="1"/>
  <c r="FY742" i="98"/>
  <c r="FW742" i="98"/>
  <c r="FT737" i="98"/>
  <c r="FW737" i="98"/>
  <c r="GM737" i="98"/>
  <c r="FX712" i="98"/>
  <c r="FY712" i="98" s="1"/>
  <c r="FY710" i="98"/>
  <c r="GJ705" i="98"/>
  <c r="FT705" i="98"/>
  <c r="GG705" i="98"/>
  <c r="FW705" i="98"/>
  <c r="GI705" i="98"/>
  <c r="GM705" i="98"/>
  <c r="FX664" i="98"/>
  <c r="FY664" i="98"/>
  <c r="FT662" i="98"/>
  <c r="GE662" i="98" s="1"/>
  <c r="GI662" i="98"/>
  <c r="FT601" i="98"/>
  <c r="GM601" i="98" s="1"/>
  <c r="GP601" i="98"/>
  <c r="FW601" i="98"/>
  <c r="FX538" i="98"/>
  <c r="FY489" i="98"/>
  <c r="FY939" i="98"/>
  <c r="FX938" i="98"/>
  <c r="FY938" i="98" s="1"/>
  <c r="FY935" i="98"/>
  <c r="FX934" i="98"/>
  <c r="FY931" i="98"/>
  <c r="FX930" i="98"/>
  <c r="FY930" i="98"/>
  <c r="FY927" i="98"/>
  <c r="FX926" i="98"/>
  <c r="FY926" i="98" s="1"/>
  <c r="FY923" i="98"/>
  <c r="FX922" i="98"/>
  <c r="FY919" i="98"/>
  <c r="FX918" i="98"/>
  <c r="FY918" i="98" s="1"/>
  <c r="FY915" i="98"/>
  <c r="FX914" i="98"/>
  <c r="FY914" i="98"/>
  <c r="FY911" i="98"/>
  <c r="FX910" i="98"/>
  <c r="FY910" i="98" s="1"/>
  <c r="FY907" i="98"/>
  <c r="FX906" i="98"/>
  <c r="FY903" i="98"/>
  <c r="FX902" i="98"/>
  <c r="FY902" i="98" s="1"/>
  <c r="FY899" i="98"/>
  <c r="FX898" i="98"/>
  <c r="FY898" i="98"/>
  <c r="FY895" i="98"/>
  <c r="FX894" i="98"/>
  <c r="FY894" i="98" s="1"/>
  <c r="FY891" i="98"/>
  <c r="FX890" i="98"/>
  <c r="FY887" i="98"/>
  <c r="FX886" i="98"/>
  <c r="FY883" i="98"/>
  <c r="FX882" i="98"/>
  <c r="FY882" i="98"/>
  <c r="FY879" i="98"/>
  <c r="FX878" i="98"/>
  <c r="FY875" i="98"/>
  <c r="FX874" i="98"/>
  <c r="FY871" i="98"/>
  <c r="FX870" i="98"/>
  <c r="FY870" i="98" s="1"/>
  <c r="FY867" i="98"/>
  <c r="FX866" i="98"/>
  <c r="FY866" i="98"/>
  <c r="FY863" i="98"/>
  <c r="FX862" i="98"/>
  <c r="FY862" i="98" s="1"/>
  <c r="FY859" i="98"/>
  <c r="FX858" i="98"/>
  <c r="FY855" i="98"/>
  <c r="FX854" i="98"/>
  <c r="FY854" i="98" s="1"/>
  <c r="FY851" i="98"/>
  <c r="FX850" i="98"/>
  <c r="FY850" i="98"/>
  <c r="FY847" i="98"/>
  <c r="FX846" i="98"/>
  <c r="FY843" i="98"/>
  <c r="FX842" i="98"/>
  <c r="FY839" i="98"/>
  <c r="FX838" i="98"/>
  <c r="FY838" i="98" s="1"/>
  <c r="FY835" i="98"/>
  <c r="FX834" i="98"/>
  <c r="FY834" i="98"/>
  <c r="FY831" i="98"/>
  <c r="FX830" i="98"/>
  <c r="FY830" i="98" s="1"/>
  <c r="FY827" i="98"/>
  <c r="FX826" i="98"/>
  <c r="FY823" i="98"/>
  <c r="FX822" i="98"/>
  <c r="FY822" i="98" s="1"/>
  <c r="FY819" i="98"/>
  <c r="FX818" i="98"/>
  <c r="FY818" i="98"/>
  <c r="FY815" i="98"/>
  <c r="FX814" i="98"/>
  <c r="FY811" i="98"/>
  <c r="FX810" i="98"/>
  <c r="FY807" i="98"/>
  <c r="FX806" i="98"/>
  <c r="FY806" i="98" s="1"/>
  <c r="FY803" i="98"/>
  <c r="FX802" i="98"/>
  <c r="FY802" i="98"/>
  <c r="FY799" i="98"/>
  <c r="FX798" i="98"/>
  <c r="FY798" i="98" s="1"/>
  <c r="FY795" i="98"/>
  <c r="FX794" i="98"/>
  <c r="FY791" i="98"/>
  <c r="FX790" i="98"/>
  <c r="FY790" i="98" s="1"/>
  <c r="FY787" i="98"/>
  <c r="FX786" i="98"/>
  <c r="FY786" i="98"/>
  <c r="FY783" i="98"/>
  <c r="FX782" i="98"/>
  <c r="FY779" i="98"/>
  <c r="FX760" i="98"/>
  <c r="FY760" i="98" s="1"/>
  <c r="FY758" i="98"/>
  <c r="FW758" i="98" s="1"/>
  <c r="FT713" i="98"/>
  <c r="GM713" i="98" s="1"/>
  <c r="FW713" i="98"/>
  <c r="FX680" i="98"/>
  <c r="FY680" i="98" s="1"/>
  <c r="FY678" i="98"/>
  <c r="FW678" i="98"/>
  <c r="FT673" i="98"/>
  <c r="GG673" i="98" s="1"/>
  <c r="FW673" i="98"/>
  <c r="GM673" i="98"/>
  <c r="FX616" i="98"/>
  <c r="FY616" i="98" s="1"/>
  <c r="FT614" i="98"/>
  <c r="FZ614" i="98" s="1"/>
  <c r="FX584" i="98"/>
  <c r="FY584" i="98" s="1"/>
  <c r="FT582" i="98"/>
  <c r="GG582" i="98"/>
  <c r="GP582" i="98"/>
  <c r="GI582" i="98"/>
  <c r="GM582" i="98"/>
  <c r="GJ582" i="98"/>
  <c r="GI557" i="98"/>
  <c r="FT557" i="98"/>
  <c r="GG557" i="98"/>
  <c r="FY543" i="98"/>
  <c r="FY501" i="98"/>
  <c r="FX455" i="98"/>
  <c r="FY455" i="98" s="1"/>
  <c r="FY959" i="98"/>
  <c r="FW945" i="98"/>
  <c r="FY943" i="98"/>
  <c r="FT769" i="98"/>
  <c r="GG769" i="98" s="1"/>
  <c r="FW769" i="98"/>
  <c r="GM769" i="98"/>
  <c r="GJ681" i="98"/>
  <c r="FT681" i="98"/>
  <c r="GM681" i="98" s="1"/>
  <c r="GG681" i="98"/>
  <c r="FW681" i="98"/>
  <c r="GI681" i="98"/>
  <c r="FX632" i="98"/>
  <c r="FY632" i="98" s="1"/>
  <c r="FT630" i="98"/>
  <c r="GG630" i="98" s="1"/>
  <c r="GJ630" i="98"/>
  <c r="FT617" i="98"/>
  <c r="GE617" i="98" s="1"/>
  <c r="FW617" i="98"/>
  <c r="FT585" i="98"/>
  <c r="FW585" i="98"/>
  <c r="FX568" i="98"/>
  <c r="FY568" i="98" s="1"/>
  <c r="FT777" i="98"/>
  <c r="GP777" i="98" s="1"/>
  <c r="GG777" i="98"/>
  <c r="FX776" i="98"/>
  <c r="FT773" i="98"/>
  <c r="GJ773" i="98" s="1"/>
  <c r="GP773" i="98"/>
  <c r="FX764" i="98"/>
  <c r="FY764" i="98" s="1"/>
  <c r="FY762" i="98"/>
  <c r="FT757" i="98"/>
  <c r="GJ757" i="98" s="1"/>
  <c r="GP757" i="98"/>
  <c r="FX748" i="98"/>
  <c r="FY748" i="98" s="1"/>
  <c r="FY746" i="98"/>
  <c r="FT741" i="98"/>
  <c r="GJ741" i="98" s="1"/>
  <c r="GP741" i="98"/>
  <c r="FX732" i="98"/>
  <c r="FY732" i="98" s="1"/>
  <c r="FY730" i="98"/>
  <c r="GJ717" i="98"/>
  <c r="FT717" i="98"/>
  <c r="GG717" i="98"/>
  <c r="FX716" i="98"/>
  <c r="FY716" i="98" s="1"/>
  <c r="FT714" i="98"/>
  <c r="GI714" i="98" s="1"/>
  <c r="GP714" i="98"/>
  <c r="GM714" i="98"/>
  <c r="FT709" i="98"/>
  <c r="GG709" i="98" s="1"/>
  <c r="FX700" i="98"/>
  <c r="FY700" i="98" s="1"/>
  <c r="FT698" i="98"/>
  <c r="GP698" i="98" s="1"/>
  <c r="FW694" i="98"/>
  <c r="FT685" i="98"/>
  <c r="GG685" i="98" s="1"/>
  <c r="FX684" i="98"/>
  <c r="FY684" i="98" s="1"/>
  <c r="FT682" i="98"/>
  <c r="GP682" i="98" s="1"/>
  <c r="GJ677" i="98"/>
  <c r="FT677" i="98"/>
  <c r="GP677" i="98" s="1"/>
  <c r="GG677" i="98"/>
  <c r="FX668" i="98"/>
  <c r="FY668" i="98"/>
  <c r="FY666" i="98"/>
  <c r="FW662" i="98"/>
  <c r="FX652" i="98"/>
  <c r="FY652" i="98" s="1"/>
  <c r="FT650" i="98"/>
  <c r="FZ650" i="98" s="1"/>
  <c r="GP650" i="98"/>
  <c r="GI650" i="98"/>
  <c r="GM650" i="98"/>
  <c r="FW646" i="98"/>
  <c r="FX636" i="98"/>
  <c r="FY636" i="98" s="1"/>
  <c r="FT634" i="98"/>
  <c r="GM634" i="98" s="1"/>
  <c r="GI634" i="98"/>
  <c r="FW630" i="98"/>
  <c r="FT621" i="98"/>
  <c r="GE621" i="98" s="1"/>
  <c r="FX620" i="98"/>
  <c r="FY620" i="98"/>
  <c r="FT618" i="98"/>
  <c r="GE618" i="98" s="1"/>
  <c r="GG618" i="98"/>
  <c r="GI618" i="98"/>
  <c r="FW614" i="98"/>
  <c r="FT605" i="98"/>
  <c r="GG605" i="98" s="1"/>
  <c r="FX604" i="98"/>
  <c r="FY604" i="98" s="1"/>
  <c r="FT602" i="98"/>
  <c r="GP602" i="98" s="1"/>
  <c r="FW598" i="98"/>
  <c r="FT589" i="98"/>
  <c r="GD589" i="98" s="1"/>
  <c r="FX588" i="98"/>
  <c r="FY588" i="98"/>
  <c r="FT586" i="98"/>
  <c r="GG586" i="98"/>
  <c r="GK586" i="98"/>
  <c r="GO586" i="98"/>
  <c r="GH586" i="98"/>
  <c r="GL586" i="98"/>
  <c r="GP586" i="98"/>
  <c r="GI586" i="98"/>
  <c r="GM586" i="98"/>
  <c r="GQ586" i="98"/>
  <c r="FW582" i="98"/>
  <c r="GJ573" i="98"/>
  <c r="FT573" i="98"/>
  <c r="GE573" i="98" s="1"/>
  <c r="GG573" i="98"/>
  <c r="FX572" i="98"/>
  <c r="FY572" i="98" s="1"/>
  <c r="FT570" i="98"/>
  <c r="GD570" i="98" s="1"/>
  <c r="GP570" i="98"/>
  <c r="GM570" i="98"/>
  <c r="FY553" i="98"/>
  <c r="FX550" i="98"/>
  <c r="FY550" i="98" s="1"/>
  <c r="FX546" i="98"/>
  <c r="FT529" i="98"/>
  <c r="FT525" i="98"/>
  <c r="GI525" i="98" s="1"/>
  <c r="FY513" i="98"/>
  <c r="FY497" i="98"/>
  <c r="FW485" i="98"/>
  <c r="FY485" i="98"/>
  <c r="FW347" i="98"/>
  <c r="FY347" i="98"/>
  <c r="GI777" i="98"/>
  <c r="FX768" i="98"/>
  <c r="FY768" i="98" s="1"/>
  <c r="FY766" i="98"/>
  <c r="FW766" i="98"/>
  <c r="FT761" i="98"/>
  <c r="GJ761" i="98" s="1"/>
  <c r="FX752" i="98"/>
  <c r="FY752" i="98" s="1"/>
  <c r="FY750" i="98"/>
  <c r="FT745" i="98"/>
  <c r="GG745" i="98" s="1"/>
  <c r="FX736" i="98"/>
  <c r="FY736" i="98" s="1"/>
  <c r="FY734" i="98"/>
  <c r="FT729" i="98"/>
  <c r="FT721" i="98"/>
  <c r="GG721" i="98" s="1"/>
  <c r="FX720" i="98"/>
  <c r="FY720" i="98" s="1"/>
  <c r="FT718" i="98"/>
  <c r="GG718" i="98"/>
  <c r="GP718" i="98"/>
  <c r="GI718" i="98"/>
  <c r="GM718" i="98"/>
  <c r="GI717" i="98"/>
  <c r="FW717" i="98"/>
  <c r="GJ714" i="98"/>
  <c r="FW714" i="98"/>
  <c r="FX704" i="98"/>
  <c r="FY704" i="98" s="1"/>
  <c r="FT702" i="98"/>
  <c r="GD702" i="98" s="1"/>
  <c r="GP702" i="98"/>
  <c r="GM702" i="98"/>
  <c r="FW698" i="98"/>
  <c r="FT697" i="98"/>
  <c r="FT689" i="98"/>
  <c r="GG689" i="98" s="1"/>
  <c r="FX688" i="98"/>
  <c r="FY688" i="98" s="1"/>
  <c r="FT686" i="98"/>
  <c r="GG686" i="98"/>
  <c r="GK686" i="98"/>
  <c r="GO686" i="98"/>
  <c r="GH686" i="98"/>
  <c r="GL686" i="98"/>
  <c r="GP686" i="98"/>
  <c r="GI686" i="98"/>
  <c r="GM686" i="98"/>
  <c r="GQ686" i="98"/>
  <c r="FW685" i="98"/>
  <c r="FW682" i="98"/>
  <c r="FX672" i="98"/>
  <c r="FY672" i="98" s="1"/>
  <c r="FY670" i="98"/>
  <c r="FW670" i="98" s="1"/>
  <c r="GJ665" i="98"/>
  <c r="FT665" i="98"/>
  <c r="GG665" i="98"/>
  <c r="FX656" i="98"/>
  <c r="FY656" i="98" s="1"/>
  <c r="FT654" i="98"/>
  <c r="GP654" i="98" s="1"/>
  <c r="FW650" i="98"/>
  <c r="FT649" i="98"/>
  <c r="FX640" i="98"/>
  <c r="FY640" i="98" s="1"/>
  <c r="FT638" i="98"/>
  <c r="GE638" i="98" s="1"/>
  <c r="GG638" i="98"/>
  <c r="GP638" i="98"/>
  <c r="GI638" i="98"/>
  <c r="GM638" i="98"/>
  <c r="FW634" i="98"/>
  <c r="FT625" i="98"/>
  <c r="GE625" i="98" s="1"/>
  <c r="FX624" i="98"/>
  <c r="FY624" i="98" s="1"/>
  <c r="FT622" i="98"/>
  <c r="GE622" i="98" s="1"/>
  <c r="FW621" i="98"/>
  <c r="GJ618" i="98"/>
  <c r="FW618" i="98"/>
  <c r="FT609" i="98"/>
  <c r="GP609" i="98"/>
  <c r="FX608" i="98"/>
  <c r="FY608" i="98"/>
  <c r="FT606" i="98"/>
  <c r="GG606" i="98"/>
  <c r="GK606" i="98"/>
  <c r="GO606" i="98"/>
  <c r="GH606" i="98"/>
  <c r="GL606" i="98"/>
  <c r="GP606" i="98"/>
  <c r="GI606" i="98"/>
  <c r="GM606" i="98"/>
  <c r="GQ606" i="98"/>
  <c r="FW605" i="98"/>
  <c r="FW602" i="98"/>
  <c r="FT593" i="98"/>
  <c r="FZ593" i="98" s="1"/>
  <c r="FX592" i="98"/>
  <c r="FY592" i="98"/>
  <c r="FT590" i="98"/>
  <c r="FZ590" i="98" s="1"/>
  <c r="GG590" i="98"/>
  <c r="GI590" i="98"/>
  <c r="GI589" i="98"/>
  <c r="FW589" i="98"/>
  <c r="GJ586" i="98"/>
  <c r="FW586" i="98"/>
  <c r="GJ577" i="98"/>
  <c r="FT577" i="98"/>
  <c r="GE577" i="98" s="1"/>
  <c r="GG577" i="98"/>
  <c r="FX576" i="98"/>
  <c r="FY576" i="98" s="1"/>
  <c r="FT574" i="98"/>
  <c r="GC574" i="98" s="1"/>
  <c r="GP574" i="98"/>
  <c r="GM574" i="98"/>
  <c r="GI573" i="98"/>
  <c r="FW573" i="98"/>
  <c r="GJ570" i="98"/>
  <c r="FW570" i="98"/>
  <c r="FX558" i="98"/>
  <c r="FY558" i="98" s="1"/>
  <c r="FT556" i="98"/>
  <c r="GG556" i="98"/>
  <c r="GK556" i="98"/>
  <c r="GO556" i="98"/>
  <c r="GH556" i="98"/>
  <c r="GL556" i="98"/>
  <c r="GP556" i="98"/>
  <c r="GI556" i="98"/>
  <c r="GM556" i="98"/>
  <c r="GQ556" i="98"/>
  <c r="GF556" i="98"/>
  <c r="GJ556" i="98"/>
  <c r="FT537" i="98"/>
  <c r="GI537" i="98" s="1"/>
  <c r="FY523" i="98"/>
  <c r="FY521" i="98"/>
  <c r="FW509" i="98"/>
  <c r="FY509" i="98"/>
  <c r="FW481" i="98"/>
  <c r="FY481" i="98"/>
  <c r="FT425" i="98"/>
  <c r="GG425" i="98" s="1"/>
  <c r="GI425" i="98"/>
  <c r="FT372" i="98"/>
  <c r="FZ372" i="98" s="1"/>
  <c r="FW372" i="98"/>
  <c r="GJ778" i="98"/>
  <c r="FW778" i="98"/>
  <c r="FW774" i="98"/>
  <c r="GM773" i="98"/>
  <c r="FX772" i="98"/>
  <c r="FY770" i="98"/>
  <c r="GM757" i="98"/>
  <c r="FX756" i="98"/>
  <c r="FY756" i="98" s="1"/>
  <c r="FY754" i="98"/>
  <c r="FT749" i="98"/>
  <c r="GJ749" i="98" s="1"/>
  <c r="GP749" i="98"/>
  <c r="GM741" i="98"/>
  <c r="FX740" i="98"/>
  <c r="FY740" i="98" s="1"/>
  <c r="FY738" i="98"/>
  <c r="GJ733" i="98"/>
  <c r="FT733" i="98"/>
  <c r="GG733" i="98"/>
  <c r="FX724" i="98"/>
  <c r="FY724" i="98" s="1"/>
  <c r="FT722" i="98"/>
  <c r="GG722" i="98"/>
  <c r="GP722" i="98"/>
  <c r="GI722" i="98"/>
  <c r="GM722" i="98"/>
  <c r="GI721" i="98"/>
  <c r="FW721" i="98"/>
  <c r="GJ718" i="98"/>
  <c r="FW718" i="98"/>
  <c r="GM709" i="98"/>
  <c r="FX708" i="98"/>
  <c r="FY708" i="98"/>
  <c r="FY706" i="98"/>
  <c r="FW702" i="98"/>
  <c r="FT701" i="98"/>
  <c r="FX692" i="98"/>
  <c r="FY692" i="98" s="1"/>
  <c r="FT690" i="98"/>
  <c r="GG690" i="98"/>
  <c r="GP690" i="98"/>
  <c r="GI690" i="98"/>
  <c r="GM690" i="98"/>
  <c r="GI689" i="98"/>
  <c r="FW689" i="98"/>
  <c r="GJ686" i="98"/>
  <c r="FW686" i="98"/>
  <c r="GM677" i="98"/>
  <c r="FX676" i="98"/>
  <c r="FY676" i="98"/>
  <c r="FY674" i="98"/>
  <c r="GJ669" i="98"/>
  <c r="FT669" i="98"/>
  <c r="GP669" i="98" s="1"/>
  <c r="GG669" i="98"/>
  <c r="FW667" i="98"/>
  <c r="FT661" i="98"/>
  <c r="GP661" i="98"/>
  <c r="FX660" i="98"/>
  <c r="FY660" i="98"/>
  <c r="FT658" i="98"/>
  <c r="GD658" i="98" s="1"/>
  <c r="GI658" i="98"/>
  <c r="FW654" i="98"/>
  <c r="FT653" i="98"/>
  <c r="GJ653" i="98" s="1"/>
  <c r="FT645" i="98"/>
  <c r="GB645" i="98" s="1"/>
  <c r="FX644" i="98"/>
  <c r="FY644" i="98" s="1"/>
  <c r="FT642" i="98"/>
  <c r="GC642" i="98" s="1"/>
  <c r="GJ638" i="98"/>
  <c r="FW638" i="98"/>
  <c r="GJ637" i="98"/>
  <c r="FT637" i="98"/>
  <c r="GG637" i="98"/>
  <c r="FT629" i="98"/>
  <c r="FZ629" i="98" s="1"/>
  <c r="GP629" i="98"/>
  <c r="FX628" i="98"/>
  <c r="FY628" i="98"/>
  <c r="FT626" i="98"/>
  <c r="GG626" i="98"/>
  <c r="GK626" i="98"/>
  <c r="GO626" i="98"/>
  <c r="GH626" i="98"/>
  <c r="GL626" i="98"/>
  <c r="GP626" i="98"/>
  <c r="GI626" i="98"/>
  <c r="GM626" i="98"/>
  <c r="GQ626" i="98"/>
  <c r="FW625" i="98"/>
  <c r="FW622" i="98"/>
  <c r="FW619" i="98"/>
  <c r="FT613" i="98"/>
  <c r="FZ613" i="98" s="1"/>
  <c r="GP613" i="98"/>
  <c r="FX612" i="98"/>
  <c r="FY612" i="98" s="1"/>
  <c r="FT610" i="98"/>
  <c r="GM610" i="98" s="1"/>
  <c r="GI610" i="98"/>
  <c r="FW609" i="98"/>
  <c r="GJ606" i="98"/>
  <c r="FW606" i="98"/>
  <c r="FX596" i="98"/>
  <c r="FY596" i="98" s="1"/>
  <c r="FT594" i="98"/>
  <c r="GD594" i="98" s="1"/>
  <c r="GG594" i="98"/>
  <c r="GI594" i="98"/>
  <c r="GM594" i="98"/>
  <c r="FW593" i="98"/>
  <c r="GJ590" i="98"/>
  <c r="FW590" i="98"/>
  <c r="GF586" i="98"/>
  <c r="FT581" i="98"/>
  <c r="GJ581" i="98" s="1"/>
  <c r="FX580" i="98"/>
  <c r="FY580" i="98"/>
  <c r="FT578" i="98"/>
  <c r="GB578" i="98" s="1"/>
  <c r="GG578" i="98"/>
  <c r="GI577" i="98"/>
  <c r="FW577" i="98"/>
  <c r="GJ574" i="98"/>
  <c r="FW574" i="98"/>
  <c r="FX566" i="98"/>
  <c r="FY566" i="98" s="1"/>
  <c r="FT549" i="98"/>
  <c r="GP549" i="98" s="1"/>
  <c r="FT545" i="98"/>
  <c r="GI545" i="98" s="1"/>
  <c r="FY535" i="98"/>
  <c r="FY533" i="98"/>
  <c r="FX530" i="98"/>
  <c r="FY530" i="98" s="1"/>
  <c r="FX526" i="98"/>
  <c r="FY526" i="98" s="1"/>
  <c r="FY517" i="98"/>
  <c r="FY505" i="98"/>
  <c r="FY493" i="98"/>
  <c r="FY477" i="98"/>
  <c r="FX771" i="98"/>
  <c r="FY771" i="98" s="1"/>
  <c r="FX767" i="98"/>
  <c r="FY767" i="98" s="1"/>
  <c r="FX763" i="98"/>
  <c r="FY763" i="98" s="1"/>
  <c r="FX759" i="98"/>
  <c r="FY759" i="98" s="1"/>
  <c r="FX755" i="98"/>
  <c r="FY755" i="98" s="1"/>
  <c r="FX751" i="98"/>
  <c r="FY751" i="98" s="1"/>
  <c r="FX747" i="98"/>
  <c r="FY747" i="98" s="1"/>
  <c r="FX743" i="98"/>
  <c r="FY743" i="98" s="1"/>
  <c r="FX739" i="98"/>
  <c r="FY739" i="98" s="1"/>
  <c r="FX735" i="98"/>
  <c r="FY735" i="98" s="1"/>
  <c r="FX731" i="98"/>
  <c r="FY731" i="98" s="1"/>
  <c r="FX727" i="98"/>
  <c r="FY727" i="98" s="1"/>
  <c r="FX723" i="98"/>
  <c r="FY723" i="98" s="1"/>
  <c r="FX719" i="98"/>
  <c r="FY719" i="98" s="1"/>
  <c r="FX715" i="98"/>
  <c r="FY715" i="98" s="1"/>
  <c r="FX711" i="98"/>
  <c r="FY711" i="98" s="1"/>
  <c r="FX707" i="98"/>
  <c r="FY707" i="98" s="1"/>
  <c r="FX703" i="98"/>
  <c r="FY703" i="98" s="1"/>
  <c r="FX699" i="98"/>
  <c r="FY699" i="98" s="1"/>
  <c r="FX695" i="98"/>
  <c r="FY695" i="98" s="1"/>
  <c r="FX691" i="98"/>
  <c r="FY691" i="98" s="1"/>
  <c r="FX687" i="98"/>
  <c r="FY687" i="98" s="1"/>
  <c r="FX683" i="98"/>
  <c r="FY683" i="98" s="1"/>
  <c r="FX679" i="98"/>
  <c r="FY679" i="98" s="1"/>
  <c r="FX675" i="98"/>
  <c r="FY675" i="98" s="1"/>
  <c r="FX671" i="98"/>
  <c r="FY671" i="98" s="1"/>
  <c r="FX667" i="98"/>
  <c r="FY667" i="98" s="1"/>
  <c r="FX663" i="98"/>
  <c r="FY663" i="98" s="1"/>
  <c r="FX659" i="98"/>
  <c r="FY659" i="98" s="1"/>
  <c r="FX655" i="98"/>
  <c r="FY655" i="98" s="1"/>
  <c r="FX651" i="98"/>
  <c r="FY651" i="98" s="1"/>
  <c r="FX647" i="98"/>
  <c r="FY647" i="98" s="1"/>
  <c r="FX643" i="98"/>
  <c r="FY643" i="98" s="1"/>
  <c r="FX639" i="98"/>
  <c r="FY639" i="98" s="1"/>
  <c r="FX635" i="98"/>
  <c r="FY635" i="98" s="1"/>
  <c r="FX631" i="98"/>
  <c r="FY631" i="98" s="1"/>
  <c r="FX627" i="98"/>
  <c r="FY627" i="98" s="1"/>
  <c r="FX623" i="98"/>
  <c r="FY623" i="98" s="1"/>
  <c r="FX619" i="98"/>
  <c r="FY619" i="98" s="1"/>
  <c r="FX615" i="98"/>
  <c r="FY615" i="98" s="1"/>
  <c r="FX611" i="98"/>
  <c r="FY611" i="98" s="1"/>
  <c r="FX607" i="98"/>
  <c r="FY607" i="98" s="1"/>
  <c r="FX603" i="98"/>
  <c r="FY603" i="98" s="1"/>
  <c r="FX599" i="98"/>
  <c r="FY599" i="98" s="1"/>
  <c r="FX595" i="98"/>
  <c r="FY595" i="98" s="1"/>
  <c r="FX591" i="98"/>
  <c r="FY591" i="98" s="1"/>
  <c r="FX587" i="98"/>
  <c r="FY587" i="98" s="1"/>
  <c r="FX583" i="98"/>
  <c r="FY583" i="98" s="1"/>
  <c r="FX579" i="98"/>
  <c r="FY579" i="98" s="1"/>
  <c r="FX575" i="98"/>
  <c r="FY575" i="98" s="1"/>
  <c r="FX571" i="98"/>
  <c r="FY571" i="98" s="1"/>
  <c r="FY564" i="98"/>
  <c r="FW556" i="98"/>
  <c r="FW551" i="98"/>
  <c r="FY548" i="98"/>
  <c r="FY544" i="98"/>
  <c r="FW539" i="98"/>
  <c r="FY536" i="98"/>
  <c r="FW531" i="98"/>
  <c r="FY528" i="98"/>
  <c r="FY524" i="98"/>
  <c r="GH466" i="98"/>
  <c r="GL466" i="98"/>
  <c r="GP466" i="98"/>
  <c r="GI466" i="98"/>
  <c r="GM466" i="98"/>
  <c r="GQ466" i="98"/>
  <c r="GF466" i="98"/>
  <c r="GJ466" i="98"/>
  <c r="GN466" i="98"/>
  <c r="FT466" i="98"/>
  <c r="GG466" i="98"/>
  <c r="GK466" i="98"/>
  <c r="GG458" i="98"/>
  <c r="FX431" i="98"/>
  <c r="FY431" i="98" s="1"/>
  <c r="FX399" i="98"/>
  <c r="FY399" i="98" s="1"/>
  <c r="FT397" i="98"/>
  <c r="GE397" i="98" s="1"/>
  <c r="GI397" i="98"/>
  <c r="GJ397" i="98"/>
  <c r="FT339" i="98"/>
  <c r="GP339" i="98"/>
  <c r="GG339" i="98"/>
  <c r="GM339" i="98"/>
  <c r="FW339" i="98"/>
  <c r="GI339" i="98"/>
  <c r="GJ339" i="98"/>
  <c r="FX302" i="98"/>
  <c r="FY302" i="98" s="1"/>
  <c r="FW302" i="98" s="1"/>
  <c r="FX562" i="98"/>
  <c r="FY562" i="98"/>
  <c r="FW557" i="98"/>
  <c r="FX554" i="98"/>
  <c r="GJ551" i="98"/>
  <c r="FT551" i="98"/>
  <c r="GM551" i="98" s="1"/>
  <c r="GG551" i="98"/>
  <c r="FW549" i="98"/>
  <c r="FW545" i="98"/>
  <c r="FX542" i="98"/>
  <c r="FY542" i="98"/>
  <c r="FT539" i="98"/>
  <c r="FW537" i="98"/>
  <c r="FX534" i="98"/>
  <c r="FY534" i="98" s="1"/>
  <c r="GJ531" i="98"/>
  <c r="FT531" i="98"/>
  <c r="GM531" i="98" s="1"/>
  <c r="GG531" i="98"/>
  <c r="FW529" i="98"/>
  <c r="FW525" i="98"/>
  <c r="FX522" i="98"/>
  <c r="FY522" i="98" s="1"/>
  <c r="FX518" i="98"/>
  <c r="FY518" i="98" s="1"/>
  <c r="FX514" i="98"/>
  <c r="FY514" i="98" s="1"/>
  <c r="FX510" i="98"/>
  <c r="FY510" i="98" s="1"/>
  <c r="FX506" i="98"/>
  <c r="FX502" i="98"/>
  <c r="FY502" i="98" s="1"/>
  <c r="FX498" i="98"/>
  <c r="FY498" i="98" s="1"/>
  <c r="FX494" i="98"/>
  <c r="FY494" i="98" s="1"/>
  <c r="FX490" i="98"/>
  <c r="FX486" i="98"/>
  <c r="FY486" i="98" s="1"/>
  <c r="FX482" i="98"/>
  <c r="FY482" i="98" s="1"/>
  <c r="FX478" i="98"/>
  <c r="FY478" i="98" s="1"/>
  <c r="FX439" i="98"/>
  <c r="FT437" i="98"/>
  <c r="GI437" i="98"/>
  <c r="FT417" i="98"/>
  <c r="GP417" i="98"/>
  <c r="GM417" i="98"/>
  <c r="FT400" i="98"/>
  <c r="GD400" i="98" s="1"/>
  <c r="FW400" i="98"/>
  <c r="FT363" i="98"/>
  <c r="FY354" i="98"/>
  <c r="FX354" i="98"/>
  <c r="FT299" i="98"/>
  <c r="GG299" i="98" s="1"/>
  <c r="GP299" i="98"/>
  <c r="GI299" i="98"/>
  <c r="FW299" i="98"/>
  <c r="GJ299" i="98"/>
  <c r="GM299" i="98"/>
  <c r="FT560" i="98"/>
  <c r="GG560" i="98" s="1"/>
  <c r="GI560" i="98"/>
  <c r="FT552" i="98"/>
  <c r="GP552" i="98"/>
  <c r="GI552" i="98"/>
  <c r="GM552" i="98"/>
  <c r="FT540" i="98"/>
  <c r="GP540" i="98"/>
  <c r="GI540" i="98"/>
  <c r="GM540" i="98"/>
  <c r="FT532" i="98"/>
  <c r="GG532" i="98"/>
  <c r="GP532" i="98"/>
  <c r="GI532" i="98"/>
  <c r="GM532" i="98"/>
  <c r="FT520" i="98"/>
  <c r="GP520" i="98" s="1"/>
  <c r="GM520" i="98"/>
  <c r="FT516" i="98"/>
  <c r="GG516" i="98"/>
  <c r="GK516" i="98"/>
  <c r="GO516" i="98"/>
  <c r="GH516" i="98"/>
  <c r="GL516" i="98"/>
  <c r="GP516" i="98"/>
  <c r="GI516" i="98"/>
  <c r="GM516" i="98"/>
  <c r="GQ516" i="98"/>
  <c r="FT512" i="98"/>
  <c r="GI512" i="98"/>
  <c r="FT508" i="98"/>
  <c r="GI508" i="98" s="1"/>
  <c r="GP508" i="98"/>
  <c r="GM508" i="98"/>
  <c r="FT504" i="98"/>
  <c r="GP504" i="98" s="1"/>
  <c r="GG504" i="98"/>
  <c r="GI504" i="98"/>
  <c r="GM504" i="98"/>
  <c r="FT500" i="98"/>
  <c r="GG500" i="98" s="1"/>
  <c r="FT496" i="98"/>
  <c r="GG496" i="98"/>
  <c r="GK496" i="98"/>
  <c r="GO496" i="98"/>
  <c r="GH496" i="98"/>
  <c r="GL496" i="98"/>
  <c r="GP496" i="98"/>
  <c r="GI496" i="98"/>
  <c r="GM496" i="98"/>
  <c r="GQ496" i="98"/>
  <c r="FT492" i="98"/>
  <c r="GP492" i="98"/>
  <c r="GM492" i="98"/>
  <c r="FT488" i="98"/>
  <c r="GP488" i="98"/>
  <c r="GM488" i="98"/>
  <c r="FT484" i="98"/>
  <c r="GG484" i="98"/>
  <c r="GI484" i="98"/>
  <c r="FT480" i="98"/>
  <c r="GI480" i="98" s="1"/>
  <c r="FT476" i="98"/>
  <c r="GG476" i="98"/>
  <c r="GK476" i="98"/>
  <c r="GO476" i="98"/>
  <c r="GH476" i="98"/>
  <c r="GL476" i="98"/>
  <c r="GP476" i="98"/>
  <c r="GI476" i="98"/>
  <c r="GM476" i="98"/>
  <c r="GQ476" i="98"/>
  <c r="FT461" i="98"/>
  <c r="GI461" i="98" s="1"/>
  <c r="FX447" i="98"/>
  <c r="FY447" i="98" s="1"/>
  <c r="FT408" i="98"/>
  <c r="GM408" i="98" s="1"/>
  <c r="FW408" i="98"/>
  <c r="GH376" i="98"/>
  <c r="GL376" i="98"/>
  <c r="GP376" i="98"/>
  <c r="GF376" i="98"/>
  <c r="GK376" i="98"/>
  <c r="GQ376" i="98"/>
  <c r="FW376" i="98"/>
  <c r="GG376" i="98"/>
  <c r="GM376" i="98"/>
  <c r="GI376" i="98"/>
  <c r="GN376" i="98"/>
  <c r="FT376" i="98"/>
  <c r="GJ376" i="98"/>
  <c r="GO376" i="98"/>
  <c r="FX565" i="98"/>
  <c r="FY565" i="98" s="1"/>
  <c r="FX561" i="98"/>
  <c r="FY561" i="98" s="1"/>
  <c r="FW560" i="98"/>
  <c r="FW552" i="98"/>
  <c r="FW544" i="98"/>
  <c r="FW540" i="98"/>
  <c r="FW532" i="98"/>
  <c r="FW520" i="98"/>
  <c r="FW516" i="98"/>
  <c r="FW512" i="98"/>
  <c r="FW508" i="98"/>
  <c r="FW504" i="98"/>
  <c r="GP503" i="98"/>
  <c r="FW500" i="98"/>
  <c r="FW496" i="98"/>
  <c r="FW492" i="98"/>
  <c r="FW488" i="98"/>
  <c r="FW484" i="98"/>
  <c r="FW480" i="98"/>
  <c r="FW476" i="98"/>
  <c r="FT472" i="98"/>
  <c r="FZ472" i="98" s="1"/>
  <c r="GP472" i="98"/>
  <c r="FX471" i="98"/>
  <c r="FY471" i="98"/>
  <c r="FY465" i="98"/>
  <c r="FW462" i="98"/>
  <c r="FX459" i="98"/>
  <c r="FY459" i="98"/>
  <c r="FY453" i="98"/>
  <c r="FW448" i="98"/>
  <c r="FY445" i="98"/>
  <c r="FW437" i="98"/>
  <c r="FY429" i="98"/>
  <c r="FX423" i="98"/>
  <c r="FY423" i="98" s="1"/>
  <c r="FT421" i="98"/>
  <c r="GB421" i="98" s="1"/>
  <c r="GG421" i="98"/>
  <c r="GP421" i="98"/>
  <c r="GI421" i="98"/>
  <c r="GM421" i="98"/>
  <c r="FX415" i="98"/>
  <c r="FX403" i="98"/>
  <c r="FY403" i="98" s="1"/>
  <c r="FT401" i="98"/>
  <c r="GC401" i="98" s="1"/>
  <c r="GP401" i="98"/>
  <c r="GI401" i="98"/>
  <c r="GM401" i="98"/>
  <c r="FW397" i="98"/>
  <c r="FT374" i="98"/>
  <c r="GP374" i="98" s="1"/>
  <c r="GP369" i="98"/>
  <c r="GM369" i="98"/>
  <c r="GG369" i="98"/>
  <c r="FT369" i="98"/>
  <c r="FZ369" i="98" s="1"/>
  <c r="GJ369" i="98"/>
  <c r="FX334" i="98"/>
  <c r="FY334" i="98"/>
  <c r="GF236" i="98"/>
  <c r="GJ236" i="98"/>
  <c r="GN236" i="98"/>
  <c r="GG236" i="98"/>
  <c r="GL236" i="98"/>
  <c r="GQ236" i="98"/>
  <c r="FW236" i="98"/>
  <c r="GH236" i="98"/>
  <c r="GM236" i="98"/>
  <c r="GK236" i="98"/>
  <c r="FT236" i="98"/>
  <c r="GO236" i="98"/>
  <c r="GP236" i="98"/>
  <c r="GI236" i="98"/>
  <c r="FY567" i="98"/>
  <c r="FY563" i="98"/>
  <c r="FY559" i="98"/>
  <c r="FY555" i="98"/>
  <c r="FT547" i="98"/>
  <c r="GP547" i="98" s="1"/>
  <c r="FT527" i="98"/>
  <c r="GP527" i="98" s="1"/>
  <c r="FT515" i="98"/>
  <c r="FT511" i="98"/>
  <c r="FZ511" i="98" s="1"/>
  <c r="FT507" i="98"/>
  <c r="FT503" i="98"/>
  <c r="GB503" i="98" s="1"/>
  <c r="FT499" i="98"/>
  <c r="FT491" i="98"/>
  <c r="FT483" i="98"/>
  <c r="FT479" i="98"/>
  <c r="GP479" i="98" s="1"/>
  <c r="FT475" i="98"/>
  <c r="FT473" i="98"/>
  <c r="FZ473" i="98" s="1"/>
  <c r="GP473" i="98"/>
  <c r="GI473" i="98"/>
  <c r="GM473" i="98"/>
  <c r="FT469" i="98"/>
  <c r="GG469" i="98"/>
  <c r="GP469" i="98"/>
  <c r="GI469" i="98"/>
  <c r="GM469" i="98"/>
  <c r="FW466" i="98"/>
  <c r="FX463" i="98"/>
  <c r="FY463" i="98" s="1"/>
  <c r="GP458" i="98"/>
  <c r="GI458" i="98"/>
  <c r="GM458" i="98"/>
  <c r="GJ458" i="98"/>
  <c r="FX451" i="98"/>
  <c r="FY451" i="98" s="1"/>
  <c r="FT449" i="98"/>
  <c r="GP449" i="98"/>
  <c r="GI449" i="98"/>
  <c r="GM449" i="98"/>
  <c r="FT448" i="98"/>
  <c r="GM448" i="98" s="1"/>
  <c r="GP448" i="98"/>
  <c r="FX443" i="98"/>
  <c r="FY443" i="98" s="1"/>
  <c r="FX435" i="98"/>
  <c r="FY435" i="98"/>
  <c r="FT433" i="98"/>
  <c r="GI433" i="98"/>
  <c r="FT413" i="98"/>
  <c r="GP413" i="98"/>
  <c r="GI413" i="98"/>
  <c r="GM413" i="98"/>
  <c r="FX407" i="98"/>
  <c r="FY407" i="98"/>
  <c r="FT405" i="98"/>
  <c r="GI405" i="98" s="1"/>
  <c r="GG405" i="98"/>
  <c r="GQ396" i="98"/>
  <c r="GJ392" i="98"/>
  <c r="FT392" i="98"/>
  <c r="GG392" i="98"/>
  <c r="GP392" i="98"/>
  <c r="FT388" i="98"/>
  <c r="FX386" i="98"/>
  <c r="FT385" i="98"/>
  <c r="GP385" i="98" s="1"/>
  <c r="FX370" i="98"/>
  <c r="FY370" i="98" s="1"/>
  <c r="FT359" i="98"/>
  <c r="FW359" i="98"/>
  <c r="FX357" i="98"/>
  <c r="FY357" i="98" s="1"/>
  <c r="FY348" i="98"/>
  <c r="FX348" i="98"/>
  <c r="FW348" i="98" s="1"/>
  <c r="FT344" i="98"/>
  <c r="GJ344" i="98" s="1"/>
  <c r="FX326" i="98"/>
  <c r="FY326" i="98"/>
  <c r="FT323" i="98"/>
  <c r="GI323" i="98" s="1"/>
  <c r="GP323" i="98"/>
  <c r="FW323" i="98"/>
  <c r="GJ323" i="98"/>
  <c r="GM323" i="98"/>
  <c r="FX318" i="98"/>
  <c r="FY318" i="98"/>
  <c r="FW318" i="98" s="1"/>
  <c r="FX294" i="98"/>
  <c r="FY294" i="98" s="1"/>
  <c r="FT291" i="98"/>
  <c r="GJ291" i="98" s="1"/>
  <c r="FW291" i="98"/>
  <c r="GJ547" i="98"/>
  <c r="GJ527" i="98"/>
  <c r="GJ511" i="98"/>
  <c r="GJ507" i="98"/>
  <c r="GJ491" i="98"/>
  <c r="GJ479" i="98"/>
  <c r="GJ475" i="98"/>
  <c r="FW473" i="98"/>
  <c r="FX467" i="98"/>
  <c r="FY467" i="98" s="1"/>
  <c r="GP462" i="98"/>
  <c r="GI462" i="98"/>
  <c r="GM462" i="98"/>
  <c r="GJ462" i="98"/>
  <c r="FW461" i="98"/>
  <c r="FY457" i="98"/>
  <c r="FW449" i="98"/>
  <c r="FY441" i="98"/>
  <c r="FW433" i="98"/>
  <c r="FX427" i="98"/>
  <c r="FY427" i="98" s="1"/>
  <c r="FX419" i="98"/>
  <c r="FY419" i="98" s="1"/>
  <c r="FX411" i="98"/>
  <c r="FY411" i="98" s="1"/>
  <c r="FY409" i="98"/>
  <c r="FW409" i="98" s="1"/>
  <c r="GJ405" i="98"/>
  <c r="FW405" i="98"/>
  <c r="GF396" i="98"/>
  <c r="GJ396" i="98"/>
  <c r="GN396" i="98"/>
  <c r="FT396" i="98"/>
  <c r="GG396" i="98"/>
  <c r="GK396" i="98"/>
  <c r="GO396" i="98"/>
  <c r="GH396" i="98"/>
  <c r="GL396" i="98"/>
  <c r="GP396" i="98"/>
  <c r="FX395" i="98"/>
  <c r="FY395" i="98"/>
  <c r="FT393" i="98"/>
  <c r="GG393" i="98"/>
  <c r="GI393" i="98"/>
  <c r="GI392" i="98"/>
  <c r="FW392" i="98"/>
  <c r="GJ390" i="98"/>
  <c r="FT390" i="98"/>
  <c r="GI390" i="98" s="1"/>
  <c r="GP390" i="98"/>
  <c r="GM390" i="98"/>
  <c r="FW388" i="98"/>
  <c r="FW384" i="98"/>
  <c r="FT380" i="98"/>
  <c r="GM380" i="98" s="1"/>
  <c r="FX378" i="98"/>
  <c r="FY378" i="98" s="1"/>
  <c r="FT377" i="98"/>
  <c r="GP377" i="98" s="1"/>
  <c r="GJ361" i="98"/>
  <c r="FT361" i="98"/>
  <c r="GI361" i="98" s="1"/>
  <c r="GP361" i="98"/>
  <c r="GG361" i="98"/>
  <c r="GM361" i="98"/>
  <c r="FW361" i="98"/>
  <c r="FT355" i="98"/>
  <c r="FT352" i="98"/>
  <c r="GM352" i="98" s="1"/>
  <c r="FT315" i="98"/>
  <c r="GJ315" i="98" s="1"/>
  <c r="FW315" i="98"/>
  <c r="FX310" i="98"/>
  <c r="FY310" i="98" s="1"/>
  <c r="FT307" i="98"/>
  <c r="FW307" i="98"/>
  <c r="GJ307" i="98"/>
  <c r="FX474" i="98"/>
  <c r="FY474" i="98" s="1"/>
  <c r="FX470" i="98"/>
  <c r="FY470" i="98" s="1"/>
  <c r="FW469" i="98"/>
  <c r="FX454" i="98"/>
  <c r="FY454" i="98" s="1"/>
  <c r="FW453" i="98"/>
  <c r="FX450" i="98"/>
  <c r="FY450" i="98" s="1"/>
  <c r="FX446" i="98"/>
  <c r="FY446" i="98" s="1"/>
  <c r="FX442" i="98"/>
  <c r="FY442" i="98" s="1"/>
  <c r="FX438" i="98"/>
  <c r="FY438" i="98" s="1"/>
  <c r="FX434" i="98"/>
  <c r="FY434" i="98" s="1"/>
  <c r="FX426" i="98"/>
  <c r="FY426" i="98" s="1"/>
  <c r="FW425" i="98"/>
  <c r="FX422" i="98"/>
  <c r="FY422" i="98" s="1"/>
  <c r="FX418" i="98"/>
  <c r="FY418" i="98" s="1"/>
  <c r="FW417" i="98"/>
  <c r="FX414" i="98"/>
  <c r="FY414" i="98" s="1"/>
  <c r="FW413" i="98"/>
  <c r="FX410" i="98"/>
  <c r="FY410" i="98" s="1"/>
  <c r="FX406" i="98"/>
  <c r="FY406" i="98" s="1"/>
  <c r="FX402" i="98"/>
  <c r="FY402" i="98" s="1"/>
  <c r="FX398" i="98"/>
  <c r="FY398" i="98" s="1"/>
  <c r="FX394" i="98"/>
  <c r="FY394" i="98" s="1"/>
  <c r="FY391" i="98"/>
  <c r="FW390" i="98"/>
  <c r="FY389" i="98"/>
  <c r="FX387" i="98"/>
  <c r="FW385" i="98"/>
  <c r="FY383" i="98"/>
  <c r="FW382" i="98"/>
  <c r="FY381" i="98"/>
  <c r="FX379" i="98"/>
  <c r="FY379" i="98" s="1"/>
  <c r="FW377" i="98"/>
  <c r="FY375" i="98"/>
  <c r="FW374" i="98"/>
  <c r="FY373" i="98"/>
  <c r="FX371" i="98"/>
  <c r="FY371" i="98" s="1"/>
  <c r="FX367" i="98"/>
  <c r="FY367" i="98" s="1"/>
  <c r="FX365" i="98"/>
  <c r="FY365" i="98" s="1"/>
  <c r="FX362" i="98"/>
  <c r="FY362" i="98" s="1"/>
  <c r="FY356" i="98"/>
  <c r="FW355" i="98"/>
  <c r="GH336" i="98"/>
  <c r="GL336" i="98"/>
  <c r="GP336" i="98"/>
  <c r="GI336" i="98"/>
  <c r="GM336" i="98"/>
  <c r="GQ336" i="98"/>
  <c r="GF336" i="98"/>
  <c r="GN336" i="98"/>
  <c r="GG336" i="98"/>
  <c r="GO336" i="98"/>
  <c r="FX333" i="98"/>
  <c r="FY333" i="98" s="1"/>
  <c r="FT332" i="98"/>
  <c r="GM332" i="98" s="1"/>
  <c r="FX325" i="98"/>
  <c r="FY325" i="98"/>
  <c r="FT324" i="98"/>
  <c r="GP320" i="98"/>
  <c r="GI320" i="98"/>
  <c r="GM320" i="98"/>
  <c r="GG320" i="98"/>
  <c r="FX317" i="98"/>
  <c r="FY317" i="98"/>
  <c r="FT316" i="98"/>
  <c r="GP312" i="98"/>
  <c r="GI312" i="98"/>
  <c r="GM312" i="98"/>
  <c r="GG312" i="98"/>
  <c r="FX309" i="98"/>
  <c r="FY309" i="98"/>
  <c r="FT308" i="98"/>
  <c r="FX301" i="98"/>
  <c r="FY301" i="98" s="1"/>
  <c r="GH296" i="98"/>
  <c r="GL296" i="98"/>
  <c r="GP296" i="98"/>
  <c r="GI296" i="98"/>
  <c r="GM296" i="98"/>
  <c r="GQ296" i="98"/>
  <c r="GF296" i="98"/>
  <c r="GN296" i="98"/>
  <c r="GG296" i="98"/>
  <c r="GO296" i="98"/>
  <c r="FX293" i="98"/>
  <c r="FY293" i="98"/>
  <c r="GP222" i="98"/>
  <c r="GG222" i="98"/>
  <c r="GI222" i="98"/>
  <c r="FT222" i="98"/>
  <c r="GJ222" i="98"/>
  <c r="FY468" i="98"/>
  <c r="FY464" i="98"/>
  <c r="FY460" i="98"/>
  <c r="FY456" i="98"/>
  <c r="FW456" i="98" s="1"/>
  <c r="FY452" i="98"/>
  <c r="FW452" i="98" s="1"/>
  <c r="FY444" i="98"/>
  <c r="FY440" i="98"/>
  <c r="FY436" i="98"/>
  <c r="FY432" i="98"/>
  <c r="FY428" i="98"/>
  <c r="FY424" i="98"/>
  <c r="FY420" i="98"/>
  <c r="FY416" i="98"/>
  <c r="FY412" i="98"/>
  <c r="FY364" i="98"/>
  <c r="FW363" i="98"/>
  <c r="FT345" i="98"/>
  <c r="GJ345" i="98" s="1"/>
  <c r="FT343" i="98"/>
  <c r="GJ343" i="98" s="1"/>
  <c r="FX341" i="98"/>
  <c r="FY341" i="98" s="1"/>
  <c r="FX338" i="98"/>
  <c r="FY338" i="98" s="1"/>
  <c r="FT335" i="98"/>
  <c r="GJ335" i="98" s="1"/>
  <c r="GG335" i="98"/>
  <c r="GI335" i="98"/>
  <c r="FX330" i="98"/>
  <c r="FY330" i="98"/>
  <c r="FT327" i="98"/>
  <c r="GG327" i="98" s="1"/>
  <c r="FX322" i="98"/>
  <c r="FY322" i="98" s="1"/>
  <c r="FT319" i="98"/>
  <c r="GJ319" i="98" s="1"/>
  <c r="FX314" i="98"/>
  <c r="FY314" i="98" s="1"/>
  <c r="FT311" i="98"/>
  <c r="GJ311" i="98" s="1"/>
  <c r="GG311" i="98"/>
  <c r="GI311" i="98"/>
  <c r="FX306" i="98"/>
  <c r="FY306" i="98" s="1"/>
  <c r="FX298" i="98"/>
  <c r="FY298" i="98" s="1"/>
  <c r="FX290" i="98"/>
  <c r="FY290" i="98" s="1"/>
  <c r="FT287" i="98"/>
  <c r="GJ287" i="98" s="1"/>
  <c r="GP287" i="98"/>
  <c r="GJ283" i="98"/>
  <c r="FT283" i="98"/>
  <c r="GP283" i="98" s="1"/>
  <c r="GG283" i="98"/>
  <c r="FW283" i="98"/>
  <c r="GI283" i="98"/>
  <c r="GM283" i="98"/>
  <c r="FX274" i="98"/>
  <c r="FY274" i="98" s="1"/>
  <c r="FY272" i="98"/>
  <c r="FW272" i="98" s="1"/>
  <c r="FT267" i="98"/>
  <c r="FW267" i="98"/>
  <c r="GM267" i="98"/>
  <c r="FT238" i="98"/>
  <c r="GP238" i="98" s="1"/>
  <c r="FW389" i="98"/>
  <c r="FY387" i="98"/>
  <c r="FW381" i="98"/>
  <c r="GJ353" i="98"/>
  <c r="FT353" i="98"/>
  <c r="GM353" i="98" s="1"/>
  <c r="GP353" i="98"/>
  <c r="FT351" i="98"/>
  <c r="FX349" i="98"/>
  <c r="FY349" i="98" s="1"/>
  <c r="FX346" i="98"/>
  <c r="FW345" i="98"/>
  <c r="FW343" i="98"/>
  <c r="FY340" i="98"/>
  <c r="FX337" i="98"/>
  <c r="FY337" i="98"/>
  <c r="GP332" i="98"/>
  <c r="GI332" i="98"/>
  <c r="GG332" i="98"/>
  <c r="FX329" i="98"/>
  <c r="FY329" i="98" s="1"/>
  <c r="GI324" i="98"/>
  <c r="FX321" i="98"/>
  <c r="FY321" i="98" s="1"/>
  <c r="GH316" i="98"/>
  <c r="GL316" i="98"/>
  <c r="GP316" i="98"/>
  <c r="GI316" i="98"/>
  <c r="GM316" i="98"/>
  <c r="GQ316" i="98"/>
  <c r="GF316" i="98"/>
  <c r="GN316" i="98"/>
  <c r="GG316" i="98"/>
  <c r="GO316" i="98"/>
  <c r="FX313" i="98"/>
  <c r="FY313" i="98" s="1"/>
  <c r="GP308" i="98"/>
  <c r="GI308" i="98"/>
  <c r="GM308" i="98"/>
  <c r="GG308" i="98"/>
  <c r="FX305" i="98"/>
  <c r="FY305" i="98" s="1"/>
  <c r="FX297" i="98"/>
  <c r="FY297" i="98" s="1"/>
  <c r="GP292" i="98"/>
  <c r="GI292" i="98"/>
  <c r="GM292" i="98"/>
  <c r="GG292" i="98"/>
  <c r="FX289" i="98"/>
  <c r="FY289" i="98" s="1"/>
  <c r="GJ279" i="98"/>
  <c r="FT279" i="98"/>
  <c r="GG279" i="98"/>
  <c r="FX278" i="98"/>
  <c r="FY278" i="98" s="1"/>
  <c r="FY276" i="98"/>
  <c r="FW276" i="98" s="1"/>
  <c r="FX263" i="98"/>
  <c r="FY263" i="98" s="1"/>
  <c r="FY256" i="98"/>
  <c r="FW252" i="98"/>
  <c r="FY252" i="98"/>
  <c r="FW248" i="98"/>
  <c r="FY248" i="98"/>
  <c r="FY244" i="98"/>
  <c r="FY240" i="98"/>
  <c r="FT239" i="98"/>
  <c r="GM239" i="98" s="1"/>
  <c r="GP239" i="98"/>
  <c r="GJ228" i="98"/>
  <c r="FT228" i="98"/>
  <c r="GG228" i="98" s="1"/>
  <c r="GP228" i="98"/>
  <c r="FW228" i="98"/>
  <c r="GM228" i="98"/>
  <c r="GI228" i="98"/>
  <c r="FT218" i="98"/>
  <c r="GJ218" i="98" s="1"/>
  <c r="FW218" i="98"/>
  <c r="GI331" i="98"/>
  <c r="FX282" i="98"/>
  <c r="FY282" i="98" s="1"/>
  <c r="FT280" i="98"/>
  <c r="GI280" i="98" s="1"/>
  <c r="GI279" i="98"/>
  <c r="FW279" i="98"/>
  <c r="GJ275" i="98"/>
  <c r="FT275" i="98"/>
  <c r="GG275" i="98"/>
  <c r="FX216" i="98"/>
  <c r="FY216" i="98" s="1"/>
  <c r="FY366" i="98"/>
  <c r="FW360" i="98"/>
  <c r="FY358" i="98"/>
  <c r="FW358" i="98" s="1"/>
  <c r="FW352" i="98"/>
  <c r="FY350" i="98"/>
  <c r="FW344" i="98"/>
  <c r="FY342" i="98"/>
  <c r="FT331" i="98"/>
  <c r="GP331" i="98" s="1"/>
  <c r="FT303" i="98"/>
  <c r="GG303" i="98" s="1"/>
  <c r="FX286" i="98"/>
  <c r="FY286" i="98" s="1"/>
  <c r="FY284" i="98"/>
  <c r="FX270" i="98"/>
  <c r="FY270" i="98"/>
  <c r="FY268" i="98"/>
  <c r="FX265" i="98"/>
  <c r="FY265" i="98" s="1"/>
  <c r="FY264" i="98"/>
  <c r="FT261" i="98"/>
  <c r="GP261" i="98" s="1"/>
  <c r="GM215" i="98"/>
  <c r="FT215" i="98"/>
  <c r="GJ215" i="98" s="1"/>
  <c r="GG215" i="98"/>
  <c r="FT179" i="98"/>
  <c r="GI179" i="98" s="1"/>
  <c r="FX285" i="98"/>
  <c r="FY285" i="98" s="1"/>
  <c r="FX281" i="98"/>
  <c r="FY281" i="98" s="1"/>
  <c r="FX277" i="98"/>
  <c r="FY277" i="98" s="1"/>
  <c r="FX273" i="98"/>
  <c r="FY273" i="98" s="1"/>
  <c r="FX269" i="98"/>
  <c r="FY269" i="98" s="1"/>
  <c r="FY266" i="98"/>
  <c r="FW266" i="98" s="1"/>
  <c r="FT260" i="98"/>
  <c r="FX257" i="98"/>
  <c r="FY257" i="98" s="1"/>
  <c r="FX253" i="98"/>
  <c r="FY253" i="98" s="1"/>
  <c r="FW249" i="98"/>
  <c r="FX249" i="98"/>
  <c r="FY249" i="98" s="1"/>
  <c r="FX245" i="98"/>
  <c r="FY245" i="98" s="1"/>
  <c r="FX241" i="98"/>
  <c r="FY241" i="98" s="1"/>
  <c r="FW238" i="98"/>
  <c r="FY233" i="98"/>
  <c r="FX233" i="98"/>
  <c r="FW233" i="98" s="1"/>
  <c r="FT231" i="98"/>
  <c r="GI231" i="98" s="1"/>
  <c r="GG226" i="98"/>
  <c r="FW222" i="98"/>
  <c r="FT220" i="98"/>
  <c r="GP220" i="98"/>
  <c r="FW220" i="98"/>
  <c r="GM220" i="98"/>
  <c r="FT210" i="98"/>
  <c r="FX208" i="98"/>
  <c r="FT207" i="98"/>
  <c r="GM207" i="98" s="1"/>
  <c r="GP207" i="98"/>
  <c r="FW261" i="98"/>
  <c r="GI260" i="98"/>
  <c r="FY259" i="98"/>
  <c r="FW259" i="98" s="1"/>
  <c r="FX258" i="98"/>
  <c r="FY258" i="98" s="1"/>
  <c r="FY255" i="98"/>
  <c r="FW255" i="98" s="1"/>
  <c r="FX254" i="98"/>
  <c r="FY254" i="98"/>
  <c r="FY251" i="98"/>
  <c r="FX250" i="98"/>
  <c r="FY250" i="98" s="1"/>
  <c r="FY247" i="98"/>
  <c r="FX246" i="98"/>
  <c r="FY243" i="98"/>
  <c r="FX242" i="98"/>
  <c r="FY242" i="98" s="1"/>
  <c r="FX235" i="98"/>
  <c r="FY235" i="98" s="1"/>
  <c r="FX232" i="98"/>
  <c r="FY232" i="98" s="1"/>
  <c r="FW214" i="98"/>
  <c r="FT212" i="98"/>
  <c r="GJ212" i="98" s="1"/>
  <c r="GG212" i="98"/>
  <c r="FW212" i="98"/>
  <c r="GM212" i="98"/>
  <c r="FW210" i="98"/>
  <c r="GH226" i="98"/>
  <c r="GL226" i="98"/>
  <c r="GP226" i="98"/>
  <c r="GI226" i="98"/>
  <c r="GN226" i="98"/>
  <c r="FT226" i="98"/>
  <c r="GJ226" i="98"/>
  <c r="GO226" i="98"/>
  <c r="GF226" i="98"/>
  <c r="GK226" i="98"/>
  <c r="GQ226" i="98"/>
  <c r="FX224" i="98"/>
  <c r="FY224" i="98"/>
  <c r="GM223" i="98"/>
  <c r="FT223" i="98"/>
  <c r="GI223" i="98" s="1"/>
  <c r="GG223" i="98"/>
  <c r="FT204" i="98"/>
  <c r="GJ204" i="98" s="1"/>
  <c r="GG204" i="98"/>
  <c r="FW204" i="98"/>
  <c r="GM204" i="98"/>
  <c r="FT183" i="98"/>
  <c r="FW239" i="98"/>
  <c r="FY237" i="98"/>
  <c r="FW231" i="98"/>
  <c r="FY229" i="98"/>
  <c r="FY227" i="98"/>
  <c r="FX225" i="98"/>
  <c r="FW223" i="98"/>
  <c r="FY221" i="98"/>
  <c r="FY219" i="98"/>
  <c r="FW219" i="98" s="1"/>
  <c r="FX217" i="98"/>
  <c r="FW215" i="98"/>
  <c r="FY213" i="98"/>
  <c r="FY211" i="98"/>
  <c r="FX209" i="98"/>
  <c r="FW207" i="98"/>
  <c r="FY205" i="98"/>
  <c r="FY203" i="98"/>
  <c r="FW203" i="98" s="1"/>
  <c r="FX201" i="98"/>
  <c r="FY201" i="98" s="1"/>
  <c r="FW201" i="98"/>
  <c r="GI144" i="98"/>
  <c r="FT144" i="98"/>
  <c r="GJ144" i="98"/>
  <c r="FW144" i="98"/>
  <c r="GM144" i="98"/>
  <c r="FX200" i="98"/>
  <c r="FY200" i="98" s="1"/>
  <c r="FX196" i="98"/>
  <c r="FY196" i="98" s="1"/>
  <c r="FX192" i="98"/>
  <c r="FY192" i="98" s="1"/>
  <c r="FX188" i="98"/>
  <c r="FY188" i="98" s="1"/>
  <c r="GI171" i="98"/>
  <c r="FT171" i="98"/>
  <c r="GM171" i="98" s="1"/>
  <c r="GG148" i="98"/>
  <c r="FT148" i="98"/>
  <c r="GI148" i="98" s="1"/>
  <c r="FX142" i="98"/>
  <c r="FY142" i="98" s="1"/>
  <c r="FY225" i="98"/>
  <c r="FY217" i="98"/>
  <c r="FY209" i="98"/>
  <c r="FT195" i="98"/>
  <c r="GI195" i="98" s="1"/>
  <c r="FT191" i="98"/>
  <c r="GP191" i="98" s="1"/>
  <c r="FT187" i="98"/>
  <c r="GJ187" i="98" s="1"/>
  <c r="FX184" i="98"/>
  <c r="FY184" i="98" s="1"/>
  <c r="FX180" i="98"/>
  <c r="FY180" i="98" s="1"/>
  <c r="GP175" i="98"/>
  <c r="GM175" i="98"/>
  <c r="FT175" i="98"/>
  <c r="GG175" i="98" s="1"/>
  <c r="GJ175" i="98"/>
  <c r="FT154" i="98"/>
  <c r="GJ154" i="98" s="1"/>
  <c r="GP154" i="98"/>
  <c r="FW154" i="98"/>
  <c r="GM154" i="98"/>
  <c r="FT141" i="98"/>
  <c r="GP141" i="98"/>
  <c r="FW199" i="98"/>
  <c r="FW195" i="98"/>
  <c r="FW191" i="98"/>
  <c r="FW187" i="98"/>
  <c r="GN186" i="98"/>
  <c r="FW183" i="98"/>
  <c r="FW179" i="98"/>
  <c r="FW175" i="98"/>
  <c r="FW171" i="98"/>
  <c r="FX167" i="98"/>
  <c r="FY167" i="98" s="1"/>
  <c r="FX166" i="98"/>
  <c r="FY166" i="98"/>
  <c r="GM165" i="98"/>
  <c r="FT165" i="98"/>
  <c r="GI165" i="98" s="1"/>
  <c r="GG165" i="98"/>
  <c r="FW148" i="98"/>
  <c r="GF146" i="98"/>
  <c r="GJ146" i="98"/>
  <c r="GN146" i="98"/>
  <c r="FT146" i="98"/>
  <c r="GK146" i="98"/>
  <c r="GP146" i="98"/>
  <c r="GG146" i="98"/>
  <c r="GL146" i="98"/>
  <c r="GQ146" i="98"/>
  <c r="FW146" i="98"/>
  <c r="GH146" i="98"/>
  <c r="GM146" i="98"/>
  <c r="GP134" i="98"/>
  <c r="GM134" i="98"/>
  <c r="FT134" i="98"/>
  <c r="GI134" i="98" s="1"/>
  <c r="GJ134" i="98"/>
  <c r="FT112" i="98"/>
  <c r="FX176" i="98"/>
  <c r="FY176" i="98" s="1"/>
  <c r="FX172" i="98"/>
  <c r="FX169" i="98"/>
  <c r="FY169" i="98"/>
  <c r="FT168" i="98"/>
  <c r="GJ168" i="98" s="1"/>
  <c r="GP164" i="98"/>
  <c r="GG164" i="98"/>
  <c r="GM164" i="98"/>
  <c r="GI164" i="98"/>
  <c r="FT160" i="98"/>
  <c r="FX158" i="98"/>
  <c r="FT157" i="98"/>
  <c r="FY138" i="98"/>
  <c r="FT130" i="98"/>
  <c r="FT198" i="98"/>
  <c r="GG198" i="98" s="1"/>
  <c r="FX197" i="98"/>
  <c r="FY197" i="98"/>
  <c r="FT194" i="98"/>
  <c r="FX193" i="98"/>
  <c r="FY193" i="98" s="1"/>
  <c r="FT190" i="98"/>
  <c r="FX189" i="98"/>
  <c r="FY189" i="98"/>
  <c r="FT186" i="98"/>
  <c r="GG186" i="98"/>
  <c r="GK186" i="98"/>
  <c r="GO186" i="98"/>
  <c r="GH186" i="98"/>
  <c r="GL186" i="98"/>
  <c r="GP186" i="98"/>
  <c r="FX185" i="98"/>
  <c r="FY185" i="98" s="1"/>
  <c r="FT182" i="98"/>
  <c r="GG182" i="98" s="1"/>
  <c r="FX181" i="98"/>
  <c r="FY181" i="98"/>
  <c r="FT178" i="98"/>
  <c r="GG178" i="98" s="1"/>
  <c r="FX177" i="98"/>
  <c r="FY177" i="98" s="1"/>
  <c r="FT174" i="98"/>
  <c r="GG174" i="98" s="1"/>
  <c r="FX173" i="98"/>
  <c r="FY173" i="98"/>
  <c r="FT170" i="98"/>
  <c r="GG170" i="98" s="1"/>
  <c r="FW168" i="98"/>
  <c r="FW164" i="98"/>
  <c r="GJ162" i="98"/>
  <c r="FT162" i="98"/>
  <c r="GI162" i="98" s="1"/>
  <c r="GP162" i="98"/>
  <c r="FW162" i="98"/>
  <c r="GM162" i="98"/>
  <c r="FW160" i="98"/>
  <c r="GH156" i="98"/>
  <c r="GL156" i="98"/>
  <c r="GP156" i="98"/>
  <c r="GF156" i="98"/>
  <c r="GK156" i="98"/>
  <c r="GQ156" i="98"/>
  <c r="GG156" i="98"/>
  <c r="GM156" i="98"/>
  <c r="GI156" i="98"/>
  <c r="GN156" i="98"/>
  <c r="FT152" i="98"/>
  <c r="GJ152" i="98" s="1"/>
  <c r="FX150" i="98"/>
  <c r="FT149" i="98"/>
  <c r="FX139" i="98"/>
  <c r="GH126" i="98"/>
  <c r="GL126" i="98"/>
  <c r="GP126" i="98"/>
  <c r="GI126" i="98"/>
  <c r="GM126" i="98"/>
  <c r="GQ126" i="98"/>
  <c r="FT126" i="98"/>
  <c r="GJ126" i="98"/>
  <c r="GF126" i="98"/>
  <c r="GN126" i="98"/>
  <c r="GG126" i="98"/>
  <c r="GK126" i="98"/>
  <c r="GP117" i="98"/>
  <c r="GJ117" i="98"/>
  <c r="FW165" i="98"/>
  <c r="FY163" i="98"/>
  <c r="FY161" i="98"/>
  <c r="FX159" i="98"/>
  <c r="FY159" i="98" s="1"/>
  <c r="FW157" i="98"/>
  <c r="FY155" i="98"/>
  <c r="FY153" i="98"/>
  <c r="FX151" i="98"/>
  <c r="FW149" i="98"/>
  <c r="FY147" i="98"/>
  <c r="FY145" i="98"/>
  <c r="FX143" i="98"/>
  <c r="FY143" i="98" s="1"/>
  <c r="FW141" i="98"/>
  <c r="FT120" i="98"/>
  <c r="GG120" i="98" s="1"/>
  <c r="FT109" i="98"/>
  <c r="FW134" i="98"/>
  <c r="GI122" i="98"/>
  <c r="FT122" i="98"/>
  <c r="FX119" i="98"/>
  <c r="FX113" i="98"/>
  <c r="FY113" i="98" s="1"/>
  <c r="GJ110" i="98"/>
  <c r="FT110" i="98"/>
  <c r="GM110" i="98" s="1"/>
  <c r="GP110" i="98"/>
  <c r="GG110" i="98"/>
  <c r="FW110" i="98"/>
  <c r="FW153" i="98"/>
  <c r="FY151" i="98"/>
  <c r="FW145" i="98"/>
  <c r="FX135" i="98"/>
  <c r="FY135" i="98"/>
  <c r="FX131" i="98"/>
  <c r="FY131" i="98"/>
  <c r="FX127" i="98"/>
  <c r="FY127" i="98" s="1"/>
  <c r="FY123" i="98"/>
  <c r="FW130" i="98"/>
  <c r="FW126" i="98"/>
  <c r="FW122" i="98"/>
  <c r="FW120" i="98"/>
  <c r="GI117" i="98"/>
  <c r="GM117" i="98"/>
  <c r="GG117" i="98"/>
  <c r="FX106" i="98"/>
  <c r="FY106" i="98" s="1"/>
  <c r="FX103" i="98"/>
  <c r="FX98" i="98"/>
  <c r="FY98" i="98" s="1"/>
  <c r="FX123" i="98"/>
  <c r="FW112" i="98"/>
  <c r="FT137" i="98"/>
  <c r="FX136" i="98"/>
  <c r="FY136" i="98"/>
  <c r="FT133" i="98"/>
  <c r="GG133" i="98"/>
  <c r="FX132" i="98"/>
  <c r="FY132" i="98"/>
  <c r="FT129" i="98"/>
  <c r="GG129" i="98"/>
  <c r="FX128" i="98"/>
  <c r="FY128" i="98"/>
  <c r="FT125" i="98"/>
  <c r="GG125" i="98"/>
  <c r="FX124" i="98"/>
  <c r="FY124" i="98"/>
  <c r="FT121" i="98"/>
  <c r="GG121" i="98"/>
  <c r="FT118" i="98"/>
  <c r="FX114" i="98"/>
  <c r="FX111" i="98"/>
  <c r="FY101" i="98"/>
  <c r="GG97" i="98"/>
  <c r="FT97" i="98"/>
  <c r="GI97" i="98" s="1"/>
  <c r="GH116" i="98"/>
  <c r="GL116" i="98"/>
  <c r="GP116" i="98"/>
  <c r="FT116" i="98"/>
  <c r="FW105" i="98"/>
  <c r="FY105" i="98"/>
  <c r="FW104" i="98"/>
  <c r="FX99" i="98"/>
  <c r="FW99" i="98" s="1"/>
  <c r="FY99" i="98"/>
  <c r="GJ86" i="98"/>
  <c r="FW117" i="98"/>
  <c r="GN116" i="98"/>
  <c r="GI116" i="98"/>
  <c r="FY115" i="98"/>
  <c r="GM102" i="98"/>
  <c r="FW97" i="98"/>
  <c r="FX96" i="98"/>
  <c r="FY96" i="98" s="1"/>
  <c r="FX94" i="98"/>
  <c r="FY94" i="98" s="1"/>
  <c r="FY93" i="98"/>
  <c r="FX90" i="98"/>
  <c r="FY90" i="98" s="1"/>
  <c r="FY89" i="98"/>
  <c r="FW89" i="98" s="1"/>
  <c r="GJ102" i="98"/>
  <c r="FT102" i="98"/>
  <c r="GG102" i="98" s="1"/>
  <c r="GP102" i="98"/>
  <c r="GI86" i="98"/>
  <c r="GM86" i="98"/>
  <c r="GQ86" i="98"/>
  <c r="FT86" i="98"/>
  <c r="GF86" i="98"/>
  <c r="GK86" i="98"/>
  <c r="GP86" i="98"/>
  <c r="GH86" i="98"/>
  <c r="GN86" i="98"/>
  <c r="GL86" i="98"/>
  <c r="GO86" i="98"/>
  <c r="FT108" i="98"/>
  <c r="FY92" i="98"/>
  <c r="FY88" i="98"/>
  <c r="FW88" i="98"/>
  <c r="FW109" i="98"/>
  <c r="GI108" i="98"/>
  <c r="FY107" i="98"/>
  <c r="FY100" i="98"/>
  <c r="FW100" i="98" s="1"/>
  <c r="FY91" i="98"/>
  <c r="FW86" i="98"/>
  <c r="GA196" i="98" l="1"/>
  <c r="GB196" i="98"/>
  <c r="GC196" i="98"/>
  <c r="GD196" i="98"/>
  <c r="FZ196" i="98"/>
  <c r="GE196" i="98"/>
  <c r="GA216" i="98"/>
  <c r="GD216" i="98"/>
  <c r="FZ216" i="98"/>
  <c r="GE216" i="98"/>
  <c r="GB216" i="98"/>
  <c r="GC216" i="98"/>
  <c r="GA286" i="98"/>
  <c r="GC286" i="98"/>
  <c r="GD286" i="98"/>
  <c r="FZ286" i="98"/>
  <c r="GE286" i="98"/>
  <c r="GB286" i="98"/>
  <c r="FW263" i="98"/>
  <c r="FW92" i="98"/>
  <c r="GA106" i="98"/>
  <c r="FZ106" i="98"/>
  <c r="GE106" i="98"/>
  <c r="GB106" i="98"/>
  <c r="GC106" i="98"/>
  <c r="GD106" i="98"/>
  <c r="FZ109" i="98"/>
  <c r="GB109" i="98"/>
  <c r="GD109" i="98"/>
  <c r="GE109" i="98"/>
  <c r="GE108" i="98"/>
  <c r="FZ108" i="98"/>
  <c r="GB108" i="98"/>
  <c r="GD108" i="98"/>
  <c r="GM97" i="98"/>
  <c r="FW135" i="98"/>
  <c r="FW161" i="98"/>
  <c r="GP109" i="98"/>
  <c r="GG162" i="98"/>
  <c r="FW138" i="98"/>
  <c r="GG134" i="98"/>
  <c r="GP165" i="98"/>
  <c r="FW167" i="98"/>
  <c r="GI141" i="98"/>
  <c r="GE141" i="98"/>
  <c r="FZ141" i="98"/>
  <c r="GB141" i="98"/>
  <c r="GD141" i="98"/>
  <c r="GI175" i="98"/>
  <c r="GM187" i="98"/>
  <c r="GM191" i="98"/>
  <c r="GJ148" i="98"/>
  <c r="GJ171" i="98"/>
  <c r="GP171" i="98"/>
  <c r="GG191" i="98"/>
  <c r="GP204" i="98"/>
  <c r="GP223" i="98"/>
  <c r="GP212" i="98"/>
  <c r="FW251" i="98"/>
  <c r="GI204" i="98"/>
  <c r="FW257" i="98"/>
  <c r="GP215" i="98"/>
  <c r="GI215" i="98"/>
  <c r="GM261" i="98"/>
  <c r="FW277" i="98"/>
  <c r="GA366" i="98"/>
  <c r="FZ366" i="98"/>
  <c r="GE366" i="98"/>
  <c r="GB366" i="98"/>
  <c r="GC366" i="98"/>
  <c r="GD366" i="98"/>
  <c r="GM218" i="98"/>
  <c r="GI218" i="98"/>
  <c r="FW243" i="98"/>
  <c r="FW337" i="98"/>
  <c r="GG353" i="98"/>
  <c r="GI238" i="98"/>
  <c r="GI287" i="98"/>
  <c r="GP311" i="98"/>
  <c r="GG319" i="98"/>
  <c r="GP335" i="98"/>
  <c r="GI343" i="98"/>
  <c r="FW387" i="98"/>
  <c r="GG315" i="98"/>
  <c r="GG352" i="98"/>
  <c r="GI380" i="98"/>
  <c r="GG390" i="98"/>
  <c r="GB393" i="98"/>
  <c r="GD393" i="98"/>
  <c r="GE393" i="98"/>
  <c r="FZ393" i="98"/>
  <c r="FW457" i="98"/>
  <c r="FW326" i="98"/>
  <c r="GD392" i="98"/>
  <c r="GE392" i="98"/>
  <c r="FZ392" i="98"/>
  <c r="GB392" i="98"/>
  <c r="FW407" i="98"/>
  <c r="FW446" i="98"/>
  <c r="GJ448" i="98"/>
  <c r="FZ449" i="98"/>
  <c r="GB449" i="98"/>
  <c r="GD449" i="98"/>
  <c r="GE449" i="98"/>
  <c r="FZ507" i="98"/>
  <c r="GB507" i="98"/>
  <c r="GD507" i="98"/>
  <c r="GE507" i="98"/>
  <c r="FW415" i="98"/>
  <c r="FY415" i="98"/>
  <c r="GI488" i="98"/>
  <c r="GG488" i="98"/>
  <c r="GJ417" i="98"/>
  <c r="GG417" i="98"/>
  <c r="GI417" i="98"/>
  <c r="FW490" i="98"/>
  <c r="FY490" i="98"/>
  <c r="FW506" i="98"/>
  <c r="FY506" i="98"/>
  <c r="FW554" i="98"/>
  <c r="FY554" i="98"/>
  <c r="GA616" i="98"/>
  <c r="FZ616" i="98"/>
  <c r="GE616" i="98"/>
  <c r="GB616" i="98"/>
  <c r="GC616" i="98"/>
  <c r="GD616" i="98"/>
  <c r="FW1048" i="98"/>
  <c r="FW1362" i="98"/>
  <c r="GE212" i="98"/>
  <c r="FZ212" i="98"/>
  <c r="GB212" i="98"/>
  <c r="GD212" i="98"/>
  <c r="GB130" i="98"/>
  <c r="GD130" i="98"/>
  <c r="GE130" i="98"/>
  <c r="FZ130" i="98"/>
  <c r="GA146" i="98"/>
  <c r="FZ146" i="98"/>
  <c r="GE146" i="98"/>
  <c r="GB146" i="98"/>
  <c r="GC146" i="98"/>
  <c r="GD146" i="98"/>
  <c r="GO146" i="98"/>
  <c r="GI146" i="98"/>
  <c r="GD183" i="98"/>
  <c r="GE183" i="98"/>
  <c r="FZ183" i="98"/>
  <c r="GB183" i="98"/>
  <c r="FW973" i="98"/>
  <c r="FT973" i="98"/>
  <c r="GB973" i="98" s="1"/>
  <c r="FW1005" i="98"/>
  <c r="FZ1005" i="98"/>
  <c r="GB1005" i="98"/>
  <c r="GD1005" i="98"/>
  <c r="FT1005" i="98"/>
  <c r="GE1005" i="98" s="1"/>
  <c r="GP1005" i="98"/>
  <c r="GE1234" i="98"/>
  <c r="FT1234" i="98"/>
  <c r="GG1234" i="98" s="1"/>
  <c r="GP1234" i="98"/>
  <c r="GJ1234" i="98"/>
  <c r="FT948" i="98"/>
  <c r="GJ948" i="98" s="1"/>
  <c r="GE948" i="98"/>
  <c r="FZ948" i="98"/>
  <c r="GB948" i="98"/>
  <c r="FW948" i="98"/>
  <c r="GP948" i="98"/>
  <c r="GG948" i="98"/>
  <c r="FZ1090" i="98"/>
  <c r="GP1090" i="98"/>
  <c r="FT1090" i="98"/>
  <c r="GE1090" i="98" s="1"/>
  <c r="FW1112" i="98"/>
  <c r="FT1112" i="98"/>
  <c r="FZ1112" i="98" s="1"/>
  <c r="FT1124" i="98"/>
  <c r="FZ1124" i="98" s="1"/>
  <c r="FW1124" i="98"/>
  <c r="GP1124" i="98"/>
  <c r="FT1136" i="98"/>
  <c r="GA1136" i="98"/>
  <c r="FZ1136" i="98"/>
  <c r="GE1136" i="98"/>
  <c r="GB1136" i="98"/>
  <c r="GC1136" i="98"/>
  <c r="GD1136" i="98"/>
  <c r="GG1136" i="98"/>
  <c r="GO1136" i="98"/>
  <c r="FW1136" i="98"/>
  <c r="GF1136" i="98"/>
  <c r="GK1136" i="98"/>
  <c r="GH1136" i="98"/>
  <c r="GI1136" i="98"/>
  <c r="GJ1136" i="98"/>
  <c r="GL1136" i="98"/>
  <c r="GM1136" i="98"/>
  <c r="GN1136" i="98"/>
  <c r="GP1136" i="98"/>
  <c r="GQ1136" i="98"/>
  <c r="FW1168" i="98"/>
  <c r="GB1168" i="98"/>
  <c r="GD1168" i="98"/>
  <c r="GE1168" i="98"/>
  <c r="FT1168" i="98"/>
  <c r="FZ1168" i="98" s="1"/>
  <c r="GD1350" i="98"/>
  <c r="GI1350" i="98"/>
  <c r="FT1350" i="98"/>
  <c r="GJ1350" i="98" s="1"/>
  <c r="FW1350" i="98"/>
  <c r="FT1400" i="98"/>
  <c r="GJ1400" i="98" s="1"/>
  <c r="FW1400" i="98"/>
  <c r="GP1400" i="98"/>
  <c r="GA136" i="98"/>
  <c r="GB136" i="98"/>
  <c r="GC136" i="98"/>
  <c r="GD136" i="98"/>
  <c r="FZ136" i="98"/>
  <c r="GE136" i="98"/>
  <c r="GG109" i="98"/>
  <c r="GD149" i="98"/>
  <c r="GE149" i="98"/>
  <c r="FZ149" i="98"/>
  <c r="GB149" i="98"/>
  <c r="GG152" i="98"/>
  <c r="GB152" i="98"/>
  <c r="GD152" i="98"/>
  <c r="GE152" i="98"/>
  <c r="FZ152" i="98"/>
  <c r="GC157" i="98"/>
  <c r="GB157" i="98"/>
  <c r="GD157" i="98"/>
  <c r="FZ157" i="98"/>
  <c r="GE157" i="98"/>
  <c r="GM168" i="98"/>
  <c r="GE168" i="98"/>
  <c r="GB168" i="98"/>
  <c r="GD168" i="98"/>
  <c r="GC168" i="98"/>
  <c r="FZ168" i="98"/>
  <c r="GD165" i="98"/>
  <c r="FZ165" i="98"/>
  <c r="GE165" i="98"/>
  <c r="GC165" i="98"/>
  <c r="GB165" i="98"/>
  <c r="GA166" i="98"/>
  <c r="GB166" i="98"/>
  <c r="GC166" i="98"/>
  <c r="GD166" i="98"/>
  <c r="FZ166" i="98"/>
  <c r="GE166" i="98"/>
  <c r="FW184" i="98"/>
  <c r="GP187" i="98"/>
  <c r="GI191" i="98"/>
  <c r="FW196" i="98"/>
  <c r="GD223" i="98"/>
  <c r="GE223" i="98"/>
  <c r="FZ223" i="98"/>
  <c r="GB223" i="98"/>
  <c r="GG261" i="98"/>
  <c r="FW264" i="98"/>
  <c r="GB331" i="98"/>
  <c r="GC331" i="98"/>
  <c r="FZ331" i="98"/>
  <c r="GD331" i="98"/>
  <c r="GE331" i="98"/>
  <c r="GG238" i="98"/>
  <c r="FW298" i="98"/>
  <c r="FW341" i="98"/>
  <c r="FW444" i="98"/>
  <c r="FW464" i="98"/>
  <c r="GA356" i="98"/>
  <c r="GB356" i="98"/>
  <c r="GC356" i="98"/>
  <c r="GD356" i="98"/>
  <c r="FZ356" i="98"/>
  <c r="GE356" i="98"/>
  <c r="GI352" i="98"/>
  <c r="FW378" i="98"/>
  <c r="FW402" i="98"/>
  <c r="FW294" i="98"/>
  <c r="GG388" i="98"/>
  <c r="GB388" i="98"/>
  <c r="GD388" i="98"/>
  <c r="GE388" i="98"/>
  <c r="FZ388" i="98"/>
  <c r="FW438" i="98"/>
  <c r="FW555" i="98"/>
  <c r="FW281" i="98"/>
  <c r="GG520" i="98"/>
  <c r="GI520" i="98"/>
  <c r="GA756" i="98"/>
  <c r="GC756" i="98"/>
  <c r="GD756" i="98"/>
  <c r="FZ756" i="98"/>
  <c r="GE756" i="98"/>
  <c r="GB756" i="98"/>
  <c r="GA926" i="98"/>
  <c r="GB926" i="98"/>
  <c r="GC926" i="98"/>
  <c r="GD926" i="98"/>
  <c r="FZ926" i="98"/>
  <c r="GE926" i="98"/>
  <c r="FW1330" i="98"/>
  <c r="FT95" i="98"/>
  <c r="FZ95" i="98" s="1"/>
  <c r="GD179" i="98"/>
  <c r="GE179" i="98"/>
  <c r="FZ179" i="98"/>
  <c r="GB179" i="98"/>
  <c r="GB195" i="98"/>
  <c r="GD195" i="98"/>
  <c r="GE195" i="98"/>
  <c r="FZ195" i="98"/>
  <c r="FW657" i="98"/>
  <c r="FT657" i="98"/>
  <c r="GD657" i="98" s="1"/>
  <c r="GP657" i="98"/>
  <c r="GD1154" i="98"/>
  <c r="GB1154" i="98"/>
  <c r="GM1154" i="98"/>
  <c r="FT1154" i="98"/>
  <c r="GG1154" i="98" s="1"/>
  <c r="GJ1154" i="98"/>
  <c r="GP1154" i="98"/>
  <c r="GB765" i="98"/>
  <c r="GE765" i="98"/>
  <c r="FZ765" i="98"/>
  <c r="FW765" i="98"/>
  <c r="FT765" i="98"/>
  <c r="GD765" i="98" s="1"/>
  <c r="GP765" i="98"/>
  <c r="GA1076" i="98"/>
  <c r="GC1076" i="98"/>
  <c r="GD1076" i="98"/>
  <c r="FZ1076" i="98"/>
  <c r="GE1076" i="98"/>
  <c r="GB1076" i="98"/>
  <c r="FT1076" i="98"/>
  <c r="GL1076" i="98"/>
  <c r="GF1076" i="98"/>
  <c r="GK1076" i="98"/>
  <c r="GQ1076" i="98"/>
  <c r="GI1076" i="98"/>
  <c r="GJ1076" i="98"/>
  <c r="GP1076" i="98"/>
  <c r="GH1076" i="98"/>
  <c r="FW1076" i="98"/>
  <c r="GN1076" i="98"/>
  <c r="GG1076" i="98"/>
  <c r="GM1076" i="98"/>
  <c r="GO1076" i="98"/>
  <c r="GA1186" i="98"/>
  <c r="GD1186" i="98"/>
  <c r="FZ1186" i="98"/>
  <c r="GE1186" i="98"/>
  <c r="GB1186" i="98"/>
  <c r="GC1186" i="98"/>
  <c r="FT1186" i="98"/>
  <c r="GG1186" i="98"/>
  <c r="GQ1186" i="98"/>
  <c r="GI1186" i="98"/>
  <c r="GM1186" i="98"/>
  <c r="GO1186" i="98"/>
  <c r="GN1186" i="98"/>
  <c r="GH1186" i="98"/>
  <c r="GK1186" i="98"/>
  <c r="GF1186" i="98"/>
  <c r="GL1186" i="98"/>
  <c r="GJ1186" i="98"/>
  <c r="GP1186" i="98"/>
  <c r="GC1454" i="98"/>
  <c r="GD1454" i="98"/>
  <c r="GE1454" i="98"/>
  <c r="GB1454" i="98"/>
  <c r="FW1454" i="98"/>
  <c r="FT1454" i="98"/>
  <c r="FZ1454" i="98" s="1"/>
  <c r="GE1462" i="98"/>
  <c r="GP1462" i="98"/>
  <c r="FT1462" i="98"/>
  <c r="GJ1462" i="98" s="1"/>
  <c r="FW1462" i="98"/>
  <c r="GK1606" i="98"/>
  <c r="GA1606" i="98"/>
  <c r="GC1606" i="98"/>
  <c r="GD1606" i="98"/>
  <c r="FZ1606" i="98"/>
  <c r="GE1606" i="98"/>
  <c r="GB1606" i="98"/>
  <c r="FW1606" i="98"/>
  <c r="GI1606" i="98"/>
  <c r="GJ1606" i="98"/>
  <c r="GH1606" i="98"/>
  <c r="GM1606" i="98"/>
  <c r="GN1606" i="98"/>
  <c r="GO1606" i="98"/>
  <c r="GL1606" i="98"/>
  <c r="GQ1606" i="98"/>
  <c r="GG1606" i="98"/>
  <c r="GP1606" i="98"/>
  <c r="GF1606" i="98"/>
  <c r="FT1606" i="98"/>
  <c r="GD345" i="98"/>
  <c r="GE345" i="98"/>
  <c r="FZ345" i="98"/>
  <c r="GB345" i="98"/>
  <c r="FT382" i="98"/>
  <c r="GB382" i="98" s="1"/>
  <c r="GD491" i="98"/>
  <c r="FZ491" i="98"/>
  <c r="GE491" i="98"/>
  <c r="GB491" i="98"/>
  <c r="GC491" i="98"/>
  <c r="GG1006" i="98"/>
  <c r="GA1006" i="98"/>
  <c r="GD1006" i="98"/>
  <c r="FZ1006" i="98"/>
  <c r="GE1006" i="98"/>
  <c r="GB1006" i="98"/>
  <c r="GC1006" i="98"/>
  <c r="GO1006" i="98"/>
  <c r="GH1006" i="98"/>
  <c r="GM1006" i="98"/>
  <c r="GF1006" i="98"/>
  <c r="GL1006" i="98"/>
  <c r="GQ1006" i="98"/>
  <c r="GN1006" i="98"/>
  <c r="FW1006" i="98"/>
  <c r="GP1006" i="98"/>
  <c r="GJ1006" i="98"/>
  <c r="FT1006" i="98"/>
  <c r="GI1006" i="98"/>
  <c r="GK1006" i="98"/>
  <c r="GA1026" i="98"/>
  <c r="GB1026" i="98"/>
  <c r="GC1026" i="98"/>
  <c r="GD1026" i="98"/>
  <c r="FZ1026" i="98"/>
  <c r="GE1026" i="98"/>
  <c r="GH1026" i="98"/>
  <c r="GM1026" i="98"/>
  <c r="GK1026" i="98"/>
  <c r="GO1026" i="98"/>
  <c r="FW1026" i="98"/>
  <c r="GL1026" i="98"/>
  <c r="GQ1026" i="98"/>
  <c r="GF1026" i="98"/>
  <c r="GP1026" i="98"/>
  <c r="FT1026" i="98"/>
  <c r="GN1026" i="98"/>
  <c r="GI1026" i="98"/>
  <c r="GJ1026" i="98"/>
  <c r="GG1026" i="98"/>
  <c r="FZ1128" i="98"/>
  <c r="GB1128" i="98"/>
  <c r="GC1128" i="98"/>
  <c r="GD1128" i="98"/>
  <c r="FT1128" i="98"/>
  <c r="GE1128" i="98" s="1"/>
  <c r="FW1128" i="98"/>
  <c r="GM1128" i="98"/>
  <c r="GJ1128" i="98"/>
  <c r="GA1256" i="98"/>
  <c r="GC1256" i="98"/>
  <c r="GD1256" i="98"/>
  <c r="FZ1256" i="98"/>
  <c r="GE1256" i="98"/>
  <c r="GB1256" i="98"/>
  <c r="GG1256" i="98"/>
  <c r="GO1256" i="98"/>
  <c r="GI1256" i="98"/>
  <c r="GQ1256" i="98"/>
  <c r="GK1256" i="98"/>
  <c r="GM1256" i="98"/>
  <c r="GP1256" i="98"/>
  <c r="FT1256" i="98"/>
  <c r="GF1256" i="98"/>
  <c r="GH1256" i="98"/>
  <c r="GJ1256" i="98"/>
  <c r="GL1256" i="98"/>
  <c r="GN1256" i="98"/>
  <c r="FT1456" i="98"/>
  <c r="GA1456" i="98"/>
  <c r="FZ1456" i="98"/>
  <c r="GE1456" i="98"/>
  <c r="GB1456" i="98"/>
  <c r="GC1456" i="98"/>
  <c r="GD1456" i="98"/>
  <c r="GJ1456" i="98"/>
  <c r="GO1456" i="98"/>
  <c r="GH1456" i="98"/>
  <c r="GK1456" i="98"/>
  <c r="GM1456" i="98"/>
  <c r="GL1456" i="98"/>
  <c r="GQ1456" i="98"/>
  <c r="GI1456" i="98"/>
  <c r="GP1456" i="98"/>
  <c r="FW1456" i="98"/>
  <c r="GN1456" i="98"/>
  <c r="GF1456" i="98"/>
  <c r="GG1456" i="98"/>
  <c r="GC1532" i="98"/>
  <c r="FZ1532" i="98"/>
  <c r="GE1532" i="98"/>
  <c r="GB1532" i="98"/>
  <c r="FT1532" i="98"/>
  <c r="GD1532" i="98" s="1"/>
  <c r="FW107" i="98"/>
  <c r="FW101" i="98"/>
  <c r="GI109" i="98"/>
  <c r="FW151" i="98"/>
  <c r="FY150" i="98"/>
  <c r="GI152" i="98"/>
  <c r="GP168" i="98"/>
  <c r="GA176" i="98"/>
  <c r="GD176" i="98"/>
  <c r="FZ176" i="98"/>
  <c r="GE176" i="98"/>
  <c r="GB176" i="98"/>
  <c r="GC176" i="98"/>
  <c r="GJ165" i="98"/>
  <c r="GJ191" i="98"/>
  <c r="GE144" i="98"/>
  <c r="FZ144" i="98"/>
  <c r="GB144" i="98"/>
  <c r="GD144" i="98"/>
  <c r="FW225" i="98"/>
  <c r="GJ223" i="98"/>
  <c r="FW241" i="98"/>
  <c r="FZ239" i="98"/>
  <c r="GE239" i="98"/>
  <c r="GC239" i="98"/>
  <c r="GB239" i="98"/>
  <c r="GD239" i="98"/>
  <c r="FZ279" i="98"/>
  <c r="GB279" i="98"/>
  <c r="GD279" i="98"/>
  <c r="GE279" i="98"/>
  <c r="FW340" i="98"/>
  <c r="GJ238" i="98"/>
  <c r="GA306" i="98"/>
  <c r="FZ306" i="98"/>
  <c r="GE306" i="98"/>
  <c r="GB306" i="98"/>
  <c r="GC306" i="98"/>
  <c r="GD306" i="98"/>
  <c r="GA416" i="98"/>
  <c r="GB416" i="98"/>
  <c r="GC416" i="98"/>
  <c r="GD416" i="98"/>
  <c r="FZ416" i="98"/>
  <c r="GE416" i="98"/>
  <c r="FW293" i="98"/>
  <c r="GD308" i="98"/>
  <c r="GE308" i="98"/>
  <c r="FZ308" i="98"/>
  <c r="GB308" i="98"/>
  <c r="GD324" i="98"/>
  <c r="GC324" i="98"/>
  <c r="FZ324" i="98"/>
  <c r="GE324" i="98"/>
  <c r="GB324" i="98"/>
  <c r="FW356" i="98"/>
  <c r="GP352" i="98"/>
  <c r="GJ380" i="98"/>
  <c r="FW395" i="98"/>
  <c r="FZ405" i="98"/>
  <c r="GD405" i="98"/>
  <c r="GE405" i="98"/>
  <c r="GB405" i="98"/>
  <c r="GC405" i="98"/>
  <c r="FZ433" i="98"/>
  <c r="GB433" i="98"/>
  <c r="GD433" i="98"/>
  <c r="GE433" i="98"/>
  <c r="GG448" i="98"/>
  <c r="GB499" i="98"/>
  <c r="GD499" i="98"/>
  <c r="GE499" i="98"/>
  <c r="FZ499" i="98"/>
  <c r="FZ515" i="98"/>
  <c r="GB515" i="98"/>
  <c r="GD515" i="98"/>
  <c r="GE515" i="98"/>
  <c r="GI500" i="98"/>
  <c r="GJ363" i="98"/>
  <c r="GP363" i="98"/>
  <c r="GD437" i="98"/>
  <c r="GG437" i="98"/>
  <c r="GE437" i="98"/>
  <c r="FZ437" i="98"/>
  <c r="GB437" i="98"/>
  <c r="GA976" i="98"/>
  <c r="GC976" i="98"/>
  <c r="GD976" i="98"/>
  <c r="FZ976" i="98"/>
  <c r="GE976" i="98"/>
  <c r="GB976" i="98"/>
  <c r="FZ175" i="98"/>
  <c r="GE175" i="98"/>
  <c r="GB175" i="98"/>
  <c r="GC175" i="98"/>
  <c r="GD175" i="98"/>
  <c r="GB191" i="98"/>
  <c r="GD191" i="98"/>
  <c r="GE191" i="98"/>
  <c r="FZ191" i="98"/>
  <c r="FW335" i="98"/>
  <c r="FZ335" i="98"/>
  <c r="GE335" i="98"/>
  <c r="GB335" i="98"/>
  <c r="GC335" i="98"/>
  <c r="GD335" i="98"/>
  <c r="FT753" i="98"/>
  <c r="GB753" i="98" s="1"/>
  <c r="FW753" i="98"/>
  <c r="GJ753" i="98"/>
  <c r="GE725" i="98"/>
  <c r="GM725" i="98"/>
  <c r="FT725" i="98"/>
  <c r="FZ725" i="98" s="1"/>
  <c r="FW725" i="98"/>
  <c r="GP725" i="98"/>
  <c r="FZ1390" i="98"/>
  <c r="GE1390" i="98"/>
  <c r="FW1390" i="98"/>
  <c r="FT1390" i="98"/>
  <c r="GD1390" i="98" s="1"/>
  <c r="FT1438" i="98"/>
  <c r="GC1438" i="98" s="1"/>
  <c r="FW1438" i="98"/>
  <c r="GJ1438" i="98"/>
  <c r="GD1010" i="98"/>
  <c r="FZ1010" i="98"/>
  <c r="GB1010" i="98"/>
  <c r="FW1010" i="98"/>
  <c r="FT1010" i="98"/>
  <c r="GE1010" i="98" s="1"/>
  <c r="FT1320" i="98"/>
  <c r="GE1320" i="98" s="1"/>
  <c r="FZ1320" i="98"/>
  <c r="FW1320" i="98"/>
  <c r="GJ1320" i="98"/>
  <c r="FT1392" i="98"/>
  <c r="FZ1392" i="98"/>
  <c r="GB1392" i="98"/>
  <c r="GD1392" i="98"/>
  <c r="GE1392" i="98"/>
  <c r="GJ1392" i="98"/>
  <c r="GG1392" i="98"/>
  <c r="GM1392" i="98"/>
  <c r="GP1392" i="98"/>
  <c r="GI1392" i="98"/>
  <c r="FW1392" i="98"/>
  <c r="FT1464" i="98"/>
  <c r="GE1464" i="98" s="1"/>
  <c r="FZ1464" i="98"/>
  <c r="GB1464" i="98"/>
  <c r="GD1464" i="98"/>
  <c r="GM1464" i="98"/>
  <c r="GP1464" i="98"/>
  <c r="GI1464" i="98"/>
  <c r="FW1464" i="98"/>
  <c r="GD1624" i="98"/>
  <c r="FT1624" i="98"/>
  <c r="GB1624" i="98" s="1"/>
  <c r="GA96" i="98"/>
  <c r="GB96" i="98"/>
  <c r="GC96" i="98"/>
  <c r="GD96" i="98"/>
  <c r="FZ96" i="98"/>
  <c r="GE96" i="98"/>
  <c r="GG160" i="98"/>
  <c r="FZ160" i="98"/>
  <c r="GE160" i="98"/>
  <c r="GB160" i="98"/>
  <c r="GD160" i="98"/>
  <c r="GC160" i="98"/>
  <c r="FW142" i="98"/>
  <c r="FW211" i="98"/>
  <c r="FW227" i="98"/>
  <c r="GB231" i="98"/>
  <c r="GD231" i="98"/>
  <c r="GE231" i="98"/>
  <c r="FZ231" i="98"/>
  <c r="GA266" i="98"/>
  <c r="FZ266" i="98"/>
  <c r="GE266" i="98"/>
  <c r="GB266" i="98"/>
  <c r="GC266" i="98"/>
  <c r="GD266" i="98"/>
  <c r="FZ261" i="98"/>
  <c r="GB261" i="98"/>
  <c r="GD261" i="98"/>
  <c r="GE261" i="98"/>
  <c r="FW265" i="98"/>
  <c r="GB303" i="98"/>
  <c r="GD303" i="98"/>
  <c r="GE303" i="98"/>
  <c r="FZ303" i="98"/>
  <c r="GG280" i="98"/>
  <c r="FZ280" i="98"/>
  <c r="GB280" i="98"/>
  <c r="GD280" i="98"/>
  <c r="GE280" i="98"/>
  <c r="FW240" i="98"/>
  <c r="FW256" i="98"/>
  <c r="GA256" i="98"/>
  <c r="GB256" i="98"/>
  <c r="GC256" i="98"/>
  <c r="GD256" i="98"/>
  <c r="FZ256" i="98"/>
  <c r="GE256" i="98"/>
  <c r="GA276" i="98"/>
  <c r="GD276" i="98"/>
  <c r="FZ276" i="98"/>
  <c r="GE276" i="98"/>
  <c r="GB276" i="98"/>
  <c r="GC276" i="98"/>
  <c r="FW305" i="98"/>
  <c r="GD351" i="98"/>
  <c r="GE351" i="98"/>
  <c r="FZ351" i="98"/>
  <c r="GB351" i="98"/>
  <c r="FW322" i="98"/>
  <c r="GA436" i="98"/>
  <c r="GD436" i="98"/>
  <c r="FZ436" i="98"/>
  <c r="GE436" i="98"/>
  <c r="GB436" i="98"/>
  <c r="GC436" i="98"/>
  <c r="GA456" i="98"/>
  <c r="GB456" i="98"/>
  <c r="GC456" i="98"/>
  <c r="GD456" i="98"/>
  <c r="FZ456" i="98"/>
  <c r="GE456" i="98"/>
  <c r="FW342" i="98"/>
  <c r="GA406" i="98"/>
  <c r="GD406" i="98"/>
  <c r="FZ406" i="98"/>
  <c r="GE406" i="98"/>
  <c r="GB406" i="98"/>
  <c r="GC406" i="98"/>
  <c r="GA426" i="98"/>
  <c r="FZ426" i="98"/>
  <c r="GE426" i="98"/>
  <c r="GB426" i="98"/>
  <c r="GC426" i="98"/>
  <c r="GD426" i="98"/>
  <c r="GA446" i="98"/>
  <c r="GC446" i="98"/>
  <c r="GD446" i="98"/>
  <c r="FZ446" i="98"/>
  <c r="GE446" i="98"/>
  <c r="GB446" i="98"/>
  <c r="GA326" i="98"/>
  <c r="GB326" i="98"/>
  <c r="GC326" i="98"/>
  <c r="GD326" i="98"/>
  <c r="FZ326" i="98"/>
  <c r="GE326" i="98"/>
  <c r="GD385" i="98"/>
  <c r="GE385" i="98"/>
  <c r="FZ385" i="98"/>
  <c r="GB385" i="98"/>
  <c r="FW398" i="98"/>
  <c r="FW463" i="98"/>
  <c r="FW563" i="98"/>
  <c r="FW394" i="98"/>
  <c r="FW432" i="98"/>
  <c r="GG461" i="98"/>
  <c r="GM461" i="98"/>
  <c r="GP461" i="98"/>
  <c r="FW354" i="98"/>
  <c r="GM363" i="98"/>
  <c r="FW439" i="98"/>
  <c r="FY439" i="98"/>
  <c r="GA486" i="98"/>
  <c r="FZ486" i="98"/>
  <c r="GE486" i="98"/>
  <c r="GB486" i="98"/>
  <c r="GC486" i="98"/>
  <c r="GD486" i="98"/>
  <c r="GA1036" i="98"/>
  <c r="FZ1036" i="98"/>
  <c r="GE1036" i="98"/>
  <c r="GB1036" i="98"/>
  <c r="GC1036" i="98"/>
  <c r="GD1036" i="98"/>
  <c r="GE110" i="98"/>
  <c r="FZ110" i="98"/>
  <c r="GB110" i="98"/>
  <c r="GD110" i="98"/>
  <c r="GE693" i="98"/>
  <c r="FZ693" i="98"/>
  <c r="GB693" i="98"/>
  <c r="FT693" i="98"/>
  <c r="GD693" i="98" s="1"/>
  <c r="FW693" i="98"/>
  <c r="GP693" i="98"/>
  <c r="FW1060" i="98"/>
  <c r="FT1060" i="98"/>
  <c r="FZ1060" i="98" s="1"/>
  <c r="FT1318" i="98"/>
  <c r="GE1318" i="98" s="1"/>
  <c r="FW1318" i="98"/>
  <c r="GA1486" i="98"/>
  <c r="GB1486" i="98"/>
  <c r="GC1486" i="98"/>
  <c r="GD1486" i="98"/>
  <c r="FZ1486" i="98"/>
  <c r="GE1486" i="98"/>
  <c r="GO1486" i="98"/>
  <c r="GI1486" i="98"/>
  <c r="GJ1486" i="98"/>
  <c r="GP1486" i="98"/>
  <c r="GH1486" i="98"/>
  <c r="GN1486" i="98"/>
  <c r="GG1486" i="98"/>
  <c r="GM1486" i="98"/>
  <c r="FT1486" i="98"/>
  <c r="GL1486" i="98"/>
  <c r="GF1486" i="98"/>
  <c r="GK1486" i="98"/>
  <c r="GQ1486" i="98"/>
  <c r="FW1486" i="98"/>
  <c r="FZ1530" i="98"/>
  <c r="GD1530" i="98"/>
  <c r="FT1530" i="98"/>
  <c r="GC1530" i="98" s="1"/>
  <c r="FW1530" i="98"/>
  <c r="GD483" i="98"/>
  <c r="FZ483" i="98"/>
  <c r="GE483" i="98"/>
  <c r="GB483" i="98"/>
  <c r="GC483" i="98"/>
  <c r="FT1094" i="98"/>
  <c r="GD1094" i="98" s="1"/>
  <c r="GE1094" i="98"/>
  <c r="GI1094" i="98"/>
  <c r="FW1094" i="98"/>
  <c r="GD1324" i="98"/>
  <c r="GE1324" i="98"/>
  <c r="FZ1324" i="98"/>
  <c r="FT1324" i="98"/>
  <c r="GB1324" i="98" s="1"/>
  <c r="FT1414" i="98"/>
  <c r="GB1414" i="98" s="1"/>
  <c r="FW1414" i="98"/>
  <c r="GB1440" i="98"/>
  <c r="FW1440" i="98"/>
  <c r="GI1440" i="98"/>
  <c r="FT1440" i="98"/>
  <c r="GJ1440" i="98" s="1"/>
  <c r="GD1468" i="98"/>
  <c r="FZ1468" i="98"/>
  <c r="GB1468" i="98"/>
  <c r="GI1468" i="98"/>
  <c r="FT1468" i="98"/>
  <c r="GE1468" i="98" s="1"/>
  <c r="FW1534" i="98"/>
  <c r="FT1534" i="98"/>
  <c r="GC1534" i="98" s="1"/>
  <c r="GB1668" i="98"/>
  <c r="FT1668" i="98"/>
  <c r="FZ1668" i="98" s="1"/>
  <c r="GA566" i="98"/>
  <c r="GC566" i="98"/>
  <c r="GD566" i="98"/>
  <c r="FZ566" i="98"/>
  <c r="GE566" i="98"/>
  <c r="GB566" i="98"/>
  <c r="GA596" i="98"/>
  <c r="GC596" i="98"/>
  <c r="GD596" i="98"/>
  <c r="FZ596" i="98"/>
  <c r="GE596" i="98"/>
  <c r="GB596" i="98"/>
  <c r="GP525" i="98"/>
  <c r="FW643" i="98"/>
  <c r="FW675" i="98"/>
  <c r="GA746" i="98"/>
  <c r="GD746" i="98"/>
  <c r="FZ746" i="98"/>
  <c r="GE746" i="98"/>
  <c r="GB746" i="98"/>
  <c r="GC746" i="98"/>
  <c r="FW779" i="98"/>
  <c r="GA786" i="98"/>
  <c r="GD786" i="98"/>
  <c r="FZ786" i="98"/>
  <c r="GE786" i="98"/>
  <c r="GB786" i="98"/>
  <c r="GC786" i="98"/>
  <c r="FW855" i="98"/>
  <c r="FW887" i="98"/>
  <c r="FW919" i="98"/>
  <c r="FW655" i="98"/>
  <c r="FW703" i="98"/>
  <c r="FW798" i="98"/>
  <c r="FW862" i="98"/>
  <c r="FW966" i="98"/>
  <c r="GA966" i="98"/>
  <c r="FZ966" i="98"/>
  <c r="GE966" i="98"/>
  <c r="GB966" i="98"/>
  <c r="GC966" i="98"/>
  <c r="GD966" i="98"/>
  <c r="GA796" i="98"/>
  <c r="FZ796" i="98"/>
  <c r="GB796" i="98"/>
  <c r="GC796" i="98"/>
  <c r="GD796" i="98"/>
  <c r="GE796" i="98"/>
  <c r="GA916" i="98"/>
  <c r="GC916" i="98"/>
  <c r="GD916" i="98"/>
  <c r="FZ916" i="98"/>
  <c r="GE916" i="98"/>
  <c r="GB916" i="98"/>
  <c r="GA936" i="98"/>
  <c r="FZ936" i="98"/>
  <c r="GE936" i="98"/>
  <c r="GB936" i="98"/>
  <c r="GC936" i="98"/>
  <c r="GD936" i="98"/>
  <c r="FW978" i="98"/>
  <c r="FW541" i="98"/>
  <c r="FW687" i="98"/>
  <c r="FW974" i="98"/>
  <c r="GA986" i="98"/>
  <c r="GB986" i="98"/>
  <c r="GC986" i="98"/>
  <c r="GD986" i="98"/>
  <c r="FZ986" i="98"/>
  <c r="GE986" i="98"/>
  <c r="FW1080" i="98"/>
  <c r="FW1177" i="98"/>
  <c r="FW1227" i="98"/>
  <c r="FW1355" i="98"/>
  <c r="GJ1062" i="98"/>
  <c r="FW1295" i="98"/>
  <c r="GI1091" i="98"/>
  <c r="FW963" i="98"/>
  <c r="GA1506" i="98"/>
  <c r="GD1506" i="98"/>
  <c r="FZ1506" i="98"/>
  <c r="GE1506" i="98"/>
  <c r="GB1506" i="98"/>
  <c r="GC1506" i="98"/>
  <c r="GP1661" i="98"/>
  <c r="GP1669" i="98"/>
  <c r="GP1677" i="98"/>
  <c r="GP1685" i="98"/>
  <c r="GG1194" i="98"/>
  <c r="GA1286" i="98"/>
  <c r="GC1286" i="98"/>
  <c r="GD1286" i="98"/>
  <c r="FZ1286" i="98"/>
  <c r="GE1286" i="98"/>
  <c r="GB1286" i="98"/>
  <c r="GG1321" i="98"/>
  <c r="GI1321" i="98"/>
  <c r="GG1494" i="98"/>
  <c r="GI1557" i="98"/>
  <c r="GP1569" i="98"/>
  <c r="GI1573" i="98"/>
  <c r="GA1386" i="98"/>
  <c r="GB1386" i="98"/>
  <c r="GC1386" i="98"/>
  <c r="GD1386" i="98"/>
  <c r="FZ1386" i="98"/>
  <c r="GE1386" i="98"/>
  <c r="GI1437" i="98"/>
  <c r="GJ1517" i="98"/>
  <c r="GP1550" i="98"/>
  <c r="GP1622" i="98"/>
  <c r="GD125" i="98"/>
  <c r="GE125" i="98"/>
  <c r="FZ125" i="98"/>
  <c r="GB125" i="98"/>
  <c r="FZ102" i="98"/>
  <c r="GB102" i="98"/>
  <c r="GD102" i="98"/>
  <c r="GE102" i="98"/>
  <c r="GE112" i="98"/>
  <c r="FZ112" i="98"/>
  <c r="GB112" i="98"/>
  <c r="GD112" i="98"/>
  <c r="GD122" i="98"/>
  <c r="GE122" i="98"/>
  <c r="FZ122" i="98"/>
  <c r="GB122" i="98"/>
  <c r="GD178" i="98"/>
  <c r="GE178" i="98"/>
  <c r="FZ178" i="98"/>
  <c r="GB178" i="98"/>
  <c r="GB194" i="98"/>
  <c r="GD194" i="98"/>
  <c r="GE194" i="98"/>
  <c r="FZ194" i="98"/>
  <c r="FY202" i="98"/>
  <c r="FW202" i="98" s="1"/>
  <c r="GD222" i="98"/>
  <c r="GE222" i="98"/>
  <c r="FZ222" i="98"/>
  <c r="GB222" i="98"/>
  <c r="FW262" i="98"/>
  <c r="FY262" i="98"/>
  <c r="FY295" i="98"/>
  <c r="FW295" i="98" s="1"/>
  <c r="FZ97" i="98"/>
  <c r="GB97" i="98"/>
  <c r="GD97" i="98"/>
  <c r="GE97" i="98"/>
  <c r="GD120" i="98"/>
  <c r="GE120" i="98"/>
  <c r="FZ120" i="98"/>
  <c r="GB120" i="98"/>
  <c r="GB134" i="98"/>
  <c r="GD134" i="98"/>
  <c r="GE134" i="98"/>
  <c r="FZ134" i="98"/>
  <c r="GB214" i="98"/>
  <c r="GD214" i="98"/>
  <c r="FT214" i="98"/>
  <c r="GA236" i="98"/>
  <c r="GB236" i="98"/>
  <c r="GC236" i="98"/>
  <c r="GD236" i="98"/>
  <c r="FZ236" i="98"/>
  <c r="GE236" i="98"/>
  <c r="FZ304" i="98"/>
  <c r="GE304" i="98"/>
  <c r="GJ304" i="98"/>
  <c r="FT304" i="98"/>
  <c r="GD332" i="98"/>
  <c r="FZ332" i="98"/>
  <c r="GE332" i="98"/>
  <c r="GB332" i="98"/>
  <c r="GC332" i="98"/>
  <c r="GB355" i="98"/>
  <c r="GD355" i="98"/>
  <c r="GE355" i="98"/>
  <c r="FZ355" i="98"/>
  <c r="FT384" i="98"/>
  <c r="GD384" i="98" s="1"/>
  <c r="GB384" i="98"/>
  <c r="GD397" i="98"/>
  <c r="FZ397" i="98"/>
  <c r="GC400" i="98"/>
  <c r="FT430" i="98"/>
  <c r="FZ430" i="98" s="1"/>
  <c r="GE469" i="98"/>
  <c r="FZ469" i="98"/>
  <c r="GB469" i="98"/>
  <c r="GD469" i="98"/>
  <c r="GE473" i="98"/>
  <c r="GD581" i="98"/>
  <c r="GA586" i="98"/>
  <c r="GD586" i="98"/>
  <c r="FZ586" i="98"/>
  <c r="GE586" i="98"/>
  <c r="GB586" i="98"/>
  <c r="GC586" i="98"/>
  <c r="GN586" i="98"/>
  <c r="GB601" i="98"/>
  <c r="GD601" i="98"/>
  <c r="GE601" i="98"/>
  <c r="FZ601" i="98"/>
  <c r="FZ645" i="98"/>
  <c r="GA686" i="98"/>
  <c r="GD686" i="98"/>
  <c r="FZ686" i="98"/>
  <c r="GE686" i="98"/>
  <c r="GB686" i="98"/>
  <c r="GC686" i="98"/>
  <c r="GF686" i="98"/>
  <c r="GN686" i="98"/>
  <c r="GB705" i="98"/>
  <c r="GD705" i="98"/>
  <c r="GE705" i="98"/>
  <c r="FZ705" i="98"/>
  <c r="GD749" i="98"/>
  <c r="GE749" i="98"/>
  <c r="FZ749" i="98"/>
  <c r="GB749" i="98"/>
  <c r="GB761" i="98"/>
  <c r="GD761" i="98"/>
  <c r="GE761" i="98"/>
  <c r="FZ761" i="98"/>
  <c r="FZ773" i="98"/>
  <c r="GB773" i="98"/>
  <c r="GD773" i="98"/>
  <c r="GE773" i="98"/>
  <c r="GD954" i="98"/>
  <c r="GE954" i="98"/>
  <c r="FZ954" i="98"/>
  <c r="GB954" i="98"/>
  <c r="FT1046" i="98"/>
  <c r="GA1046" i="98"/>
  <c r="GC1046" i="98"/>
  <c r="GD1046" i="98"/>
  <c r="FZ1046" i="98"/>
  <c r="GE1046" i="98"/>
  <c r="GB1046" i="98"/>
  <c r="GJ1046" i="98"/>
  <c r="GB1152" i="98"/>
  <c r="FZ1164" i="98"/>
  <c r="FW1182" i="98"/>
  <c r="FY1182" i="98"/>
  <c r="GD1194" i="98"/>
  <c r="GE1194" i="98"/>
  <c r="FZ1194" i="98"/>
  <c r="GB1194" i="98"/>
  <c r="GD1200" i="98"/>
  <c r="FZ1210" i="98"/>
  <c r="GE1210" i="98"/>
  <c r="GB1210" i="98"/>
  <c r="GC1210" i="98"/>
  <c r="GD1210" i="98"/>
  <c r="GB1258" i="98"/>
  <c r="GD1258" i="98"/>
  <c r="GE1258" i="98"/>
  <c r="FZ1258" i="98"/>
  <c r="GB1325" i="98"/>
  <c r="GD1325" i="98"/>
  <c r="GE1325" i="98"/>
  <c r="FZ1325" i="98"/>
  <c r="FZ1329" i="98"/>
  <c r="GD1345" i="98"/>
  <c r="GA1356" i="98"/>
  <c r="GC1356" i="98"/>
  <c r="GD1356" i="98"/>
  <c r="FZ1356" i="98"/>
  <c r="GE1356" i="98"/>
  <c r="GB1356" i="98"/>
  <c r="GO1356" i="98"/>
  <c r="GG1356" i="98"/>
  <c r="GJ1356" i="98"/>
  <c r="GM1356" i="98"/>
  <c r="FZ1361" i="98"/>
  <c r="GE1398" i="98"/>
  <c r="FZ1398" i="98"/>
  <c r="GB1398" i="98"/>
  <c r="GD1398" i="98"/>
  <c r="GD1409" i="98"/>
  <c r="GB1422" i="98"/>
  <c r="GD1422" i="98"/>
  <c r="GE1422" i="98"/>
  <c r="FZ1422" i="98"/>
  <c r="GB1425" i="98"/>
  <c r="GD1433" i="98"/>
  <c r="GA1446" i="98"/>
  <c r="GC1446" i="98"/>
  <c r="GD1446" i="98"/>
  <c r="FZ1446" i="98"/>
  <c r="GE1446" i="98"/>
  <c r="GB1446" i="98"/>
  <c r="GI1446" i="98"/>
  <c r="GO1446" i="98"/>
  <c r="FZ1472" i="98"/>
  <c r="FZ1481" i="98"/>
  <c r="GB1517" i="98"/>
  <c r="GC1517" i="98"/>
  <c r="GD1517" i="98"/>
  <c r="FZ1517" i="98"/>
  <c r="GE1517" i="98"/>
  <c r="GE1564" i="98"/>
  <c r="FZ1564" i="98"/>
  <c r="GB1564" i="98"/>
  <c r="GD1564" i="98"/>
  <c r="FZ1612" i="98"/>
  <c r="GE1612" i="98"/>
  <c r="GB1612" i="98"/>
  <c r="GC1612" i="98"/>
  <c r="GD1612" i="98"/>
  <c r="GE1661" i="98"/>
  <c r="FZ1661" i="98"/>
  <c r="GB1661" i="98"/>
  <c r="GD1661" i="98"/>
  <c r="GD1669" i="98"/>
  <c r="GE1669" i="98"/>
  <c r="FZ1669" i="98"/>
  <c r="GB1669" i="98"/>
  <c r="GE369" i="98"/>
  <c r="GE372" i="98"/>
  <c r="GB458" i="98"/>
  <c r="FZ503" i="98"/>
  <c r="GE511" i="98"/>
  <c r="GE569" i="98"/>
  <c r="GE574" i="98"/>
  <c r="GD577" i="98"/>
  <c r="GB589" i="98"/>
  <c r="GB594" i="98"/>
  <c r="GE613" i="98"/>
  <c r="GD618" i="98"/>
  <c r="GD621" i="98"/>
  <c r="GE629" i="98"/>
  <c r="GD638" i="98"/>
  <c r="FZ638" i="98"/>
  <c r="GC650" i="98"/>
  <c r="GD662" i="98"/>
  <c r="GB701" i="98"/>
  <c r="GD701" i="98"/>
  <c r="GE701" i="98"/>
  <c r="FZ701" i="98"/>
  <c r="GB702" i="98"/>
  <c r="GE941" i="98"/>
  <c r="GE944" i="98"/>
  <c r="GD949" i="98"/>
  <c r="FW989" i="98"/>
  <c r="FZ989" i="98"/>
  <c r="GB989" i="98"/>
  <c r="GD989" i="98"/>
  <c r="GE989" i="98"/>
  <c r="GD1042" i="98"/>
  <c r="FZ1058" i="98"/>
  <c r="GB1074" i="98"/>
  <c r="GD1083" i="98"/>
  <c r="GB1091" i="98"/>
  <c r="GC1118" i="98"/>
  <c r="GD1118" i="98"/>
  <c r="FZ1118" i="98"/>
  <c r="GE1118" i="98"/>
  <c r="GB1118" i="98"/>
  <c r="GC1130" i="98"/>
  <c r="GD1130" i="98"/>
  <c r="FZ1130" i="98"/>
  <c r="GE1130" i="98"/>
  <c r="GB1130" i="98"/>
  <c r="GB1144" i="98"/>
  <c r="FZ1148" i="98"/>
  <c r="GD1172" i="98"/>
  <c r="GE1178" i="98"/>
  <c r="FZ1178" i="98"/>
  <c r="GB1178" i="98"/>
  <c r="GD1178" i="98"/>
  <c r="GE1184" i="98"/>
  <c r="GB1192" i="98"/>
  <c r="GB1208" i="98"/>
  <c r="GC1208" i="98"/>
  <c r="GD1212" i="98"/>
  <c r="GB1232" i="98"/>
  <c r="GE1240" i="98"/>
  <c r="GE1244" i="98"/>
  <c r="GB1260" i="98"/>
  <c r="GD1268" i="98"/>
  <c r="GC1288" i="98"/>
  <c r="FZ1312" i="98"/>
  <c r="GB1321" i="98"/>
  <c r="FZ1380" i="98"/>
  <c r="GB1388" i="98"/>
  <c r="GE1393" i="98"/>
  <c r="FZ1401" i="98"/>
  <c r="GD1420" i="98"/>
  <c r="GC1441" i="98"/>
  <c r="GD1441" i="98"/>
  <c r="GB1452" i="98"/>
  <c r="GB1460" i="98"/>
  <c r="GE1465" i="98"/>
  <c r="GD1488" i="98"/>
  <c r="FZ1492" i="98"/>
  <c r="GB1497" i="98"/>
  <c r="GP1501" i="98"/>
  <c r="FZ1501" i="98"/>
  <c r="GB1501" i="98"/>
  <c r="GD1501" i="98"/>
  <c r="FT1501" i="98"/>
  <c r="GE1508" i="98"/>
  <c r="GE1512" i="98"/>
  <c r="FZ1524" i="98"/>
  <c r="GB1542" i="98"/>
  <c r="GD1542" i="98"/>
  <c r="GE1542" i="98"/>
  <c r="FZ1542" i="98"/>
  <c r="FZ1550" i="98"/>
  <c r="GB1550" i="98"/>
  <c r="GD1550" i="98"/>
  <c r="GE1550" i="98"/>
  <c r="GE1557" i="98"/>
  <c r="FZ1557" i="98"/>
  <c r="GB1557" i="98"/>
  <c r="GD1557" i="98"/>
  <c r="GE1565" i="98"/>
  <c r="FZ1565" i="98"/>
  <c r="GB1565" i="98"/>
  <c r="GD1565" i="98"/>
  <c r="GD1573" i="98"/>
  <c r="GE1573" i="98"/>
  <c r="FZ1573" i="98"/>
  <c r="GB1573" i="98"/>
  <c r="GD1597" i="98"/>
  <c r="FZ1597" i="98"/>
  <c r="GE1597" i="98"/>
  <c r="GB1597" i="98"/>
  <c r="GC1597" i="98"/>
  <c r="GE1600" i="98"/>
  <c r="FZ1640" i="98"/>
  <c r="FZ1644" i="98"/>
  <c r="GE1648" i="98"/>
  <c r="GE1652" i="98"/>
  <c r="GJ164" i="98"/>
  <c r="FZ312" i="98"/>
  <c r="GE320" i="98"/>
  <c r="FZ323" i="98"/>
  <c r="GE323" i="98"/>
  <c r="GB323" i="98"/>
  <c r="GC323" i="98"/>
  <c r="GD323" i="98"/>
  <c r="GB401" i="98"/>
  <c r="GE472" i="98"/>
  <c r="GB504" i="98"/>
  <c r="GD504" i="98"/>
  <c r="GE504" i="98"/>
  <c r="FZ504" i="98"/>
  <c r="FZ512" i="98"/>
  <c r="GB512" i="98"/>
  <c r="GD512" i="98"/>
  <c r="GE512" i="98"/>
  <c r="GD532" i="98"/>
  <c r="GE532" i="98"/>
  <c r="FZ532" i="98"/>
  <c r="GB532" i="98"/>
  <c r="FY597" i="98"/>
  <c r="FW597" i="98" s="1"/>
  <c r="FZ673" i="98"/>
  <c r="GB673" i="98"/>
  <c r="GD673" i="98"/>
  <c r="GE673" i="98"/>
  <c r="FZ709" i="98"/>
  <c r="GB709" i="98"/>
  <c r="GD709" i="98"/>
  <c r="GE709" i="98"/>
  <c r="FW709" i="98"/>
  <c r="GD721" i="98"/>
  <c r="FZ721" i="98"/>
  <c r="GE721" i="98"/>
  <c r="GB721" i="98"/>
  <c r="GC721" i="98"/>
  <c r="GE777" i="98"/>
  <c r="FZ777" i="98"/>
  <c r="GB777" i="98"/>
  <c r="GD777" i="98"/>
  <c r="FW777" i="98"/>
  <c r="FY952" i="98"/>
  <c r="FW952" i="98" s="1"/>
  <c r="GB985" i="98"/>
  <c r="GD985" i="98"/>
  <c r="GE985" i="98"/>
  <c r="FZ985" i="98"/>
  <c r="FW985" i="98"/>
  <c r="FW1050" i="98"/>
  <c r="FY1050" i="98"/>
  <c r="FW1066" i="98"/>
  <c r="FY1066" i="98"/>
  <c r="FW1082" i="98"/>
  <c r="FY1082" i="98"/>
  <c r="FT1120" i="98"/>
  <c r="GE1120" i="98"/>
  <c r="GB1120" i="98"/>
  <c r="GC1120" i="98"/>
  <c r="GG1140" i="98"/>
  <c r="GD1140" i="98"/>
  <c r="FT1140" i="98"/>
  <c r="FZ1140" i="98" s="1"/>
  <c r="GC1204" i="98"/>
  <c r="GD1204" i="98"/>
  <c r="FZ1204" i="98"/>
  <c r="GE1204" i="98"/>
  <c r="GB1204" i="98"/>
  <c r="GE1337" i="98"/>
  <c r="FZ1337" i="98"/>
  <c r="GB1337" i="98"/>
  <c r="GD1337" i="98"/>
  <c r="FT1344" i="98"/>
  <c r="GE1344" i="98" s="1"/>
  <c r="GD1344" i="98"/>
  <c r="GB1369" i="98"/>
  <c r="GC1369" i="98"/>
  <c r="GD1369" i="98"/>
  <c r="FZ1369" i="98"/>
  <c r="GE1369" i="98"/>
  <c r="GB1382" i="98"/>
  <c r="GD1382" i="98"/>
  <c r="GE1382" i="98"/>
  <c r="FZ1382" i="98"/>
  <c r="GD1412" i="98"/>
  <c r="GE1412" i="98"/>
  <c r="FZ1412" i="98"/>
  <c r="GB1412" i="98"/>
  <c r="GB1421" i="98"/>
  <c r="GD1421" i="98"/>
  <c r="GE1421" i="98"/>
  <c r="FZ1421" i="98"/>
  <c r="FZ1428" i="98"/>
  <c r="GB1428" i="98"/>
  <c r="GD1428" i="98"/>
  <c r="GE1428" i="98"/>
  <c r="GD1470" i="98"/>
  <c r="GE1470" i="98"/>
  <c r="FZ1470" i="98"/>
  <c r="GB1470" i="98"/>
  <c r="FT1477" i="98"/>
  <c r="GD1477" i="98" s="1"/>
  <c r="GB1484" i="98"/>
  <c r="GD1484" i="98"/>
  <c r="GE1484" i="98"/>
  <c r="FZ1484" i="98"/>
  <c r="GD1509" i="98"/>
  <c r="GE1509" i="98"/>
  <c r="FZ1509" i="98"/>
  <c r="GB1509" i="98"/>
  <c r="GB1525" i="98"/>
  <c r="GC1525" i="98"/>
  <c r="GD1525" i="98"/>
  <c r="FZ1525" i="98"/>
  <c r="GE1525" i="98"/>
  <c r="FZ1548" i="98"/>
  <c r="GB1548" i="98"/>
  <c r="GD1548" i="98"/>
  <c r="GE1548" i="98"/>
  <c r="FW1564" i="98"/>
  <c r="GB1580" i="98"/>
  <c r="GD1580" i="98"/>
  <c r="GE1580" i="98"/>
  <c r="FZ1580" i="98"/>
  <c r="GA1596" i="98"/>
  <c r="FZ1596" i="98"/>
  <c r="GE1596" i="98"/>
  <c r="GB1596" i="98"/>
  <c r="GC1596" i="98"/>
  <c r="GD1596" i="98"/>
  <c r="GI1596" i="98"/>
  <c r="GQ1596" i="98"/>
  <c r="GK1596" i="98"/>
  <c r="GM1596" i="98"/>
  <c r="GG1596" i="98"/>
  <c r="GO1596" i="98"/>
  <c r="GA1626" i="98"/>
  <c r="GD1626" i="98"/>
  <c r="FZ1626" i="98"/>
  <c r="GE1626" i="98"/>
  <c r="GB1626" i="98"/>
  <c r="GC1626" i="98"/>
  <c r="FW95" i="98"/>
  <c r="GB353" i="98"/>
  <c r="GD353" i="98"/>
  <c r="GE353" i="98"/>
  <c r="FZ353" i="98"/>
  <c r="FZ363" i="98"/>
  <c r="GB363" i="98"/>
  <c r="GD363" i="98"/>
  <c r="GE363" i="98"/>
  <c r="GE374" i="98"/>
  <c r="FZ374" i="98"/>
  <c r="GB374" i="98"/>
  <c r="GD374" i="98"/>
  <c r="FY404" i="98"/>
  <c r="FW404" i="98" s="1"/>
  <c r="FW475" i="98"/>
  <c r="GD529" i="98"/>
  <c r="GE529" i="98"/>
  <c r="FZ529" i="98"/>
  <c r="GB529" i="98"/>
  <c r="GB545" i="98"/>
  <c r="GD545" i="98"/>
  <c r="GE545" i="98"/>
  <c r="FZ545" i="98"/>
  <c r="GB570" i="98"/>
  <c r="GC570" i="98"/>
  <c r="FZ573" i="98"/>
  <c r="FZ578" i="98"/>
  <c r="GE590" i="98"/>
  <c r="GE593" i="98"/>
  <c r="GE614" i="98"/>
  <c r="GD617" i="98"/>
  <c r="GD622" i="98"/>
  <c r="GD625" i="98"/>
  <c r="GD630" i="98"/>
  <c r="GB642" i="98"/>
  <c r="FZ669" i="98"/>
  <c r="GB669" i="98"/>
  <c r="GD669" i="98"/>
  <c r="GE669" i="98"/>
  <c r="GD694" i="98"/>
  <c r="GB961" i="98"/>
  <c r="GC961" i="98"/>
  <c r="GD961" i="98"/>
  <c r="FZ961" i="98"/>
  <c r="GE961" i="98"/>
  <c r="FZ1043" i="98"/>
  <c r="FY1098" i="98"/>
  <c r="FW1098" i="98"/>
  <c r="GD1107" i="98"/>
  <c r="GE1107" i="98"/>
  <c r="FZ1107" i="98"/>
  <c r="GB1107" i="98"/>
  <c r="GA1116" i="98"/>
  <c r="FZ1116" i="98"/>
  <c r="GE1116" i="98"/>
  <c r="GB1116" i="98"/>
  <c r="GC1116" i="98"/>
  <c r="GD1116" i="98"/>
  <c r="FT1116" i="98"/>
  <c r="GG1116" i="98"/>
  <c r="GK1116" i="98"/>
  <c r="GO1116" i="98"/>
  <c r="FY1138" i="98"/>
  <c r="FW1138" i="98"/>
  <c r="FY1218" i="98"/>
  <c r="FW1262" i="98"/>
  <c r="FY1262" i="98"/>
  <c r="FW1280" i="98"/>
  <c r="FZ1280" i="98"/>
  <c r="GE1280" i="98"/>
  <c r="GB1280" i="98"/>
  <c r="GC1280" i="98"/>
  <c r="GD1280" i="98"/>
  <c r="GA1306" i="98"/>
  <c r="GD1306" i="98"/>
  <c r="FZ1306" i="98"/>
  <c r="GE1306" i="98"/>
  <c r="GB1306" i="98"/>
  <c r="GC1306" i="98"/>
  <c r="GI1306" i="98"/>
  <c r="GQ1306" i="98"/>
  <c r="FT1306" i="98"/>
  <c r="FZ1313" i="98"/>
  <c r="FZ1377" i="98"/>
  <c r="GD1385" i="98"/>
  <c r="FY1404" i="98"/>
  <c r="FT1416" i="98"/>
  <c r="GA1416" i="98"/>
  <c r="GC1416" i="98"/>
  <c r="GD1416" i="98"/>
  <c r="FZ1416" i="98"/>
  <c r="GE1416" i="98"/>
  <c r="GB1416" i="98"/>
  <c r="GO1416" i="98"/>
  <c r="GC1449" i="98"/>
  <c r="GD1449" i="98"/>
  <c r="GD1457" i="98"/>
  <c r="GB1485" i="98"/>
  <c r="GD1485" i="98"/>
  <c r="GE1485" i="98"/>
  <c r="FZ1485" i="98"/>
  <c r="FZ1489" i="98"/>
  <c r="GE1502" i="98"/>
  <c r="FZ1502" i="98"/>
  <c r="GB1502" i="98"/>
  <c r="GD1502" i="98"/>
  <c r="GE1505" i="98"/>
  <c r="GD1570" i="98"/>
  <c r="GE1570" i="98"/>
  <c r="FZ1570" i="98"/>
  <c r="GB1570" i="98"/>
  <c r="GB1581" i="98"/>
  <c r="GD1581" i="98"/>
  <c r="GE1581" i="98"/>
  <c r="FZ1581" i="98"/>
  <c r="FZ1589" i="98"/>
  <c r="GB1589" i="98"/>
  <c r="GD1589" i="98"/>
  <c r="GE1589" i="98"/>
  <c r="GC1598" i="98"/>
  <c r="GD1598" i="98"/>
  <c r="FZ1598" i="98"/>
  <c r="GE1598" i="98"/>
  <c r="GB1598" i="98"/>
  <c r="FY1608" i="98"/>
  <c r="FY1664" i="98"/>
  <c r="GG778" i="98"/>
  <c r="FZ778" i="98"/>
  <c r="FW1548" i="98"/>
  <c r="FZ421" i="98"/>
  <c r="FW761" i="98"/>
  <c r="GD1038" i="98"/>
  <c r="FW1234" i="98"/>
  <c r="GB1022" i="98"/>
  <c r="FW1580" i="98"/>
  <c r="GB658" i="98"/>
  <c r="FW445" i="98"/>
  <c r="FW459" i="98"/>
  <c r="GP511" i="98"/>
  <c r="GP531" i="98"/>
  <c r="GP397" i="98"/>
  <c r="FW548" i="98"/>
  <c r="GA526" i="98"/>
  <c r="GD526" i="98"/>
  <c r="FZ526" i="98"/>
  <c r="GE526" i="98"/>
  <c r="GB526" i="98"/>
  <c r="GC526" i="98"/>
  <c r="GG545" i="98"/>
  <c r="GJ549" i="98"/>
  <c r="GI578" i="98"/>
  <c r="FW580" i="98"/>
  <c r="GP594" i="98"/>
  <c r="GP610" i="98"/>
  <c r="GG613" i="98"/>
  <c r="GG653" i="98"/>
  <c r="GJ654" i="98"/>
  <c r="GA706" i="98"/>
  <c r="GB706" i="98"/>
  <c r="GC706" i="98"/>
  <c r="GD706" i="98"/>
  <c r="FZ706" i="98"/>
  <c r="GE706" i="98"/>
  <c r="GG749" i="98"/>
  <c r="GP425" i="98"/>
  <c r="GG537" i="98"/>
  <c r="GG574" i="98"/>
  <c r="GM622" i="98"/>
  <c r="GJ625" i="98"/>
  <c r="GM654" i="98"/>
  <c r="GA656" i="98"/>
  <c r="GC656" i="98"/>
  <c r="GD656" i="98"/>
  <c r="FZ656" i="98"/>
  <c r="GE656" i="98"/>
  <c r="GB656" i="98"/>
  <c r="GJ682" i="98"/>
  <c r="GJ689" i="98"/>
  <c r="GI702" i="98"/>
  <c r="GJ721" i="98"/>
  <c r="GA736" i="98"/>
  <c r="FZ736" i="98"/>
  <c r="GE736" i="98"/>
  <c r="GB736" i="98"/>
  <c r="GC736" i="98"/>
  <c r="GD736" i="98"/>
  <c r="GJ745" i="98"/>
  <c r="FW497" i="98"/>
  <c r="GJ525" i="98"/>
  <c r="GI570" i="98"/>
  <c r="GP573" i="98"/>
  <c r="FW588" i="98"/>
  <c r="GM602" i="98"/>
  <c r="GJ605" i="98"/>
  <c r="FW627" i="98"/>
  <c r="GP634" i="98"/>
  <c r="GA666" i="98"/>
  <c r="GB666" i="98"/>
  <c r="GC666" i="98"/>
  <c r="GD666" i="98"/>
  <c r="FZ666" i="98"/>
  <c r="GE666" i="98"/>
  <c r="GM682" i="98"/>
  <c r="GJ685" i="98"/>
  <c r="GM698" i="98"/>
  <c r="GJ709" i="98"/>
  <c r="GG714" i="98"/>
  <c r="GG741" i="98"/>
  <c r="GG757" i="98"/>
  <c r="GG773" i="98"/>
  <c r="GG617" i="98"/>
  <c r="GM630" i="98"/>
  <c r="GI769" i="98"/>
  <c r="GJ769" i="98"/>
  <c r="GI673" i="98"/>
  <c r="GJ673" i="98"/>
  <c r="GI713" i="98"/>
  <c r="GJ713" i="98"/>
  <c r="FY782" i="98"/>
  <c r="FW786" i="98"/>
  <c r="GA806" i="98"/>
  <c r="FZ806" i="98"/>
  <c r="GE806" i="98"/>
  <c r="GB806" i="98"/>
  <c r="GC806" i="98"/>
  <c r="GD806" i="98"/>
  <c r="FY814" i="98"/>
  <c r="FW818" i="98"/>
  <c r="FY846" i="98"/>
  <c r="FW846" i="98" s="1"/>
  <c r="FW850" i="98"/>
  <c r="FY878" i="98"/>
  <c r="FW882" i="98"/>
  <c r="FW797" i="98"/>
  <c r="FW829" i="98"/>
  <c r="FW861" i="98"/>
  <c r="FW893" i="98"/>
  <c r="FW925" i="98"/>
  <c r="GJ993" i="98"/>
  <c r="GM598" i="98"/>
  <c r="FW728" i="98"/>
  <c r="FW788" i="98"/>
  <c r="FW808" i="98"/>
  <c r="FW820" i="98"/>
  <c r="FW840" i="98"/>
  <c r="FW852" i="98"/>
  <c r="FW872" i="98"/>
  <c r="FW884" i="98"/>
  <c r="GA896" i="98"/>
  <c r="FZ896" i="98"/>
  <c r="GE896" i="98"/>
  <c r="GB896" i="98"/>
  <c r="GC896" i="98"/>
  <c r="GD896" i="98"/>
  <c r="FW904" i="98"/>
  <c r="FW916" i="98"/>
  <c r="FW936" i="98"/>
  <c r="GP954" i="98"/>
  <c r="FW964" i="98"/>
  <c r="FW994" i="98"/>
  <c r="GM641" i="98"/>
  <c r="GG641" i="98"/>
  <c r="FW719" i="98"/>
  <c r="GJ949" i="98"/>
  <c r="FW999" i="98"/>
  <c r="GJ1001" i="98"/>
  <c r="GG960" i="98"/>
  <c r="GM1068" i="98"/>
  <c r="GJ1068" i="98"/>
  <c r="FW1097" i="98"/>
  <c r="FW1113" i="98"/>
  <c r="FW1179" i="98"/>
  <c r="FW1193" i="98"/>
  <c r="FW1221" i="98"/>
  <c r="GJ1232" i="98"/>
  <c r="FW1241" i="98"/>
  <c r="GJ1248" i="98"/>
  <c r="FW1273" i="98"/>
  <c r="GJ1280" i="98"/>
  <c r="FW1475" i="98"/>
  <c r="GP694" i="98"/>
  <c r="FW775" i="98"/>
  <c r="GJ1014" i="98"/>
  <c r="GG1131" i="98"/>
  <c r="FW1181" i="98"/>
  <c r="FW1222" i="98"/>
  <c r="FW1261" i="98"/>
  <c r="FW1277" i="98"/>
  <c r="GJ1284" i="98"/>
  <c r="GP1062" i="98"/>
  <c r="GJ1142" i="98"/>
  <c r="FW600" i="98"/>
  <c r="GJ957" i="98"/>
  <c r="FY972" i="98"/>
  <c r="FW1105" i="98"/>
  <c r="FW1233" i="98"/>
  <c r="GP1600" i="98"/>
  <c r="GP1648" i="98"/>
  <c r="GP1078" i="98"/>
  <c r="FW1117" i="98"/>
  <c r="GJ1244" i="98"/>
  <c r="GG1210" i="98"/>
  <c r="FW1287" i="98"/>
  <c r="GJ1313" i="98"/>
  <c r="GP1425" i="98"/>
  <c r="GJ1441" i="98"/>
  <c r="GP1473" i="98"/>
  <c r="GG1489" i="98"/>
  <c r="GM1489" i="98"/>
  <c r="GM1509" i="98"/>
  <c r="FY1523" i="98"/>
  <c r="FW1523" i="98" s="1"/>
  <c r="FY1607" i="98"/>
  <c r="GI1657" i="98"/>
  <c r="GG1661" i="98"/>
  <c r="GI1665" i="98"/>
  <c r="FW1666" i="98"/>
  <c r="GA1666" i="98"/>
  <c r="GD1666" i="98"/>
  <c r="FZ1666" i="98"/>
  <c r="GE1666" i="98"/>
  <c r="GB1666" i="98"/>
  <c r="GC1666" i="98"/>
  <c r="GG1669" i="98"/>
  <c r="GI1673" i="98"/>
  <c r="FW1674" i="98"/>
  <c r="GG1677" i="98"/>
  <c r="GI1681" i="98"/>
  <c r="GG1685" i="98"/>
  <c r="GP1478" i="98"/>
  <c r="GI1529" i="98"/>
  <c r="GI1597" i="98"/>
  <c r="FW1623" i="98"/>
  <c r="GI1194" i="98"/>
  <c r="GP1194" i="98"/>
  <c r="FW1271" i="98"/>
  <c r="FW1286" i="98"/>
  <c r="GP1321" i="98"/>
  <c r="GG1417" i="98"/>
  <c r="GG1465" i="98"/>
  <c r="GI1465" i="98"/>
  <c r="GP1494" i="98"/>
  <c r="GP1557" i="98"/>
  <c r="GG1569" i="98"/>
  <c r="GP1573" i="98"/>
  <c r="FW1579" i="98"/>
  <c r="FW1587" i="98"/>
  <c r="FW1595" i="98"/>
  <c r="GI1649" i="98"/>
  <c r="FW1663" i="98"/>
  <c r="FW1671" i="98"/>
  <c r="FW1679" i="98"/>
  <c r="GI1488" i="98"/>
  <c r="GP1517" i="98"/>
  <c r="FW1551" i="98"/>
  <c r="GP1613" i="98"/>
  <c r="GP1345" i="98"/>
  <c r="GM1361" i="98"/>
  <c r="GJ1457" i="98"/>
  <c r="GP1470" i="98"/>
  <c r="GP1505" i="98"/>
  <c r="GJ1385" i="98"/>
  <c r="GG1485" i="98"/>
  <c r="GG1538" i="98"/>
  <c r="GI1538" i="98"/>
  <c r="GI1542" i="98"/>
  <c r="GJ1550" i="98"/>
  <c r="GG1554" i="98"/>
  <c r="GI1554" i="98"/>
  <c r="GP1562" i="98"/>
  <c r="GJ1638" i="98"/>
  <c r="GM1650" i="98"/>
  <c r="GJ1654" i="98"/>
  <c r="GJ1472" i="98"/>
  <c r="GJ1622" i="98"/>
  <c r="GE164" i="98"/>
  <c r="FZ164" i="98"/>
  <c r="GA126" i="98"/>
  <c r="GC126" i="98"/>
  <c r="GD126" i="98"/>
  <c r="FZ126" i="98"/>
  <c r="GE126" i="98"/>
  <c r="GB126" i="98"/>
  <c r="GO126" i="98"/>
  <c r="FZ137" i="98"/>
  <c r="GB137" i="98"/>
  <c r="GD137" i="98"/>
  <c r="GE137" i="98"/>
  <c r="GE148" i="98"/>
  <c r="FZ148" i="98"/>
  <c r="GB148" i="98"/>
  <c r="GD148" i="98"/>
  <c r="GJ156" i="98"/>
  <c r="GA156" i="98"/>
  <c r="GD156" i="98"/>
  <c r="FZ156" i="98"/>
  <c r="GE156" i="98"/>
  <c r="GB156" i="98"/>
  <c r="GC156" i="98"/>
  <c r="FT156" i="98"/>
  <c r="GO156" i="98"/>
  <c r="GB174" i="98"/>
  <c r="GC174" i="98"/>
  <c r="GD174" i="98"/>
  <c r="FZ174" i="98"/>
  <c r="GE174" i="98"/>
  <c r="GB190" i="98"/>
  <c r="GD190" i="98"/>
  <c r="GE190" i="98"/>
  <c r="FZ190" i="98"/>
  <c r="FW206" i="98"/>
  <c r="FT230" i="98"/>
  <c r="GB230" i="98" s="1"/>
  <c r="GE230" i="98"/>
  <c r="FZ230" i="98"/>
  <c r="FW287" i="98"/>
  <c r="GB287" i="98"/>
  <c r="GD287" i="98"/>
  <c r="GE287" i="98"/>
  <c r="FZ287" i="98"/>
  <c r="GB162" i="98"/>
  <c r="GC162" i="98"/>
  <c r="GD162" i="98"/>
  <c r="FZ162" i="98"/>
  <c r="GE162" i="98"/>
  <c r="FT199" i="98"/>
  <c r="GB199" i="98" s="1"/>
  <c r="FY206" i="98"/>
  <c r="GE275" i="98"/>
  <c r="FZ275" i="98"/>
  <c r="GB275" i="98"/>
  <c r="GD275" i="98"/>
  <c r="FW275" i="98"/>
  <c r="GD344" i="98"/>
  <c r="GE344" i="98"/>
  <c r="FZ344" i="98"/>
  <c r="GB344" i="98"/>
  <c r="FZ359" i="98"/>
  <c r="GB359" i="98"/>
  <c r="GD359" i="98"/>
  <c r="GE359" i="98"/>
  <c r="GC397" i="98"/>
  <c r="GE400" i="98"/>
  <c r="GB400" i="98"/>
  <c r="FZ417" i="98"/>
  <c r="GB417" i="98"/>
  <c r="GD417" i="98"/>
  <c r="GE417" i="98"/>
  <c r="GD473" i="98"/>
  <c r="GE475" i="98"/>
  <c r="FZ475" i="98"/>
  <c r="GB475" i="98"/>
  <c r="GD475" i="98"/>
  <c r="GC484" i="98"/>
  <c r="GD484" i="98"/>
  <c r="FZ484" i="98"/>
  <c r="GE484" i="98"/>
  <c r="GB484" i="98"/>
  <c r="GC492" i="98"/>
  <c r="GD492" i="98"/>
  <c r="FZ492" i="98"/>
  <c r="GE492" i="98"/>
  <c r="GB492" i="98"/>
  <c r="FZ547" i="98"/>
  <c r="GB547" i="98"/>
  <c r="GD547" i="98"/>
  <c r="GE547" i="98"/>
  <c r="GB581" i="98"/>
  <c r="GA606" i="98"/>
  <c r="GB606" i="98"/>
  <c r="GC606" i="98"/>
  <c r="GD606" i="98"/>
  <c r="FZ606" i="98"/>
  <c r="GE606" i="98"/>
  <c r="GF606" i="98"/>
  <c r="GN606" i="98"/>
  <c r="GD645" i="98"/>
  <c r="GB653" i="98"/>
  <c r="GC653" i="98"/>
  <c r="GD653" i="98"/>
  <c r="FZ653" i="98"/>
  <c r="GE653" i="98"/>
  <c r="GB665" i="98"/>
  <c r="GD665" i="98"/>
  <c r="GE665" i="98"/>
  <c r="FZ665" i="98"/>
  <c r="GE677" i="98"/>
  <c r="FZ677" i="98"/>
  <c r="GB677" i="98"/>
  <c r="GD677" i="98"/>
  <c r="GD690" i="98"/>
  <c r="GE690" i="98"/>
  <c r="FZ690" i="98"/>
  <c r="GB690" i="98"/>
  <c r="FZ714" i="98"/>
  <c r="GB714" i="98"/>
  <c r="GD714" i="98"/>
  <c r="GE714" i="98"/>
  <c r="GA946" i="98"/>
  <c r="GD946" i="98"/>
  <c r="FZ946" i="98"/>
  <c r="GE946" i="98"/>
  <c r="GB946" i="98"/>
  <c r="GC946" i="98"/>
  <c r="GI946" i="98"/>
  <c r="GO946" i="98"/>
  <c r="FZ1034" i="98"/>
  <c r="GB1034" i="98"/>
  <c r="GD1034" i="98"/>
  <c r="GE1034" i="98"/>
  <c r="GD1068" i="98"/>
  <c r="GE1068" i="98"/>
  <c r="FZ1068" i="98"/>
  <c r="GB1068" i="98"/>
  <c r="GE1142" i="98"/>
  <c r="FZ1142" i="98"/>
  <c r="GB1142" i="98"/>
  <c r="GD1142" i="98"/>
  <c r="FZ1152" i="98"/>
  <c r="GE1164" i="98"/>
  <c r="GB1200" i="98"/>
  <c r="GC1200" i="98"/>
  <c r="FW1230" i="98"/>
  <c r="FY1230" i="98"/>
  <c r="GE1242" i="98"/>
  <c r="FZ1242" i="98"/>
  <c r="GB1242" i="98"/>
  <c r="GD1242" i="98"/>
  <c r="GB1274" i="98"/>
  <c r="GD1274" i="98"/>
  <c r="GE1274" i="98"/>
  <c r="FT1274" i="98"/>
  <c r="FW1294" i="98"/>
  <c r="FY1294" i="98"/>
  <c r="FW1310" i="98"/>
  <c r="FY1310" i="98"/>
  <c r="GE1329" i="98"/>
  <c r="GE1340" i="98"/>
  <c r="FZ1340" i="98"/>
  <c r="GB1340" i="98"/>
  <c r="GD1340" i="98"/>
  <c r="GB1345" i="98"/>
  <c r="GP1349" i="98"/>
  <c r="GE1349" i="98"/>
  <c r="FZ1349" i="98"/>
  <c r="GB1349" i="98"/>
  <c r="FT1349" i="98"/>
  <c r="GD1361" i="98"/>
  <c r="GP1365" i="98"/>
  <c r="GB1365" i="98"/>
  <c r="GD1365" i="98"/>
  <c r="FZ1365" i="98"/>
  <c r="GE1365" i="98"/>
  <c r="FT1365" i="98"/>
  <c r="GB1409" i="98"/>
  <c r="FZ1425" i="98"/>
  <c r="GB1433" i="98"/>
  <c r="GE1472" i="98"/>
  <c r="GA1476" i="98"/>
  <c r="GC1476" i="98"/>
  <c r="GD1476" i="98"/>
  <c r="FZ1476" i="98"/>
  <c r="GE1476" i="98"/>
  <c r="GB1476" i="98"/>
  <c r="GO1476" i="98"/>
  <c r="GG1476" i="98"/>
  <c r="GJ1476" i="98"/>
  <c r="GM1476" i="98"/>
  <c r="GE1481" i="98"/>
  <c r="GC1520" i="98"/>
  <c r="GD1520" i="98"/>
  <c r="FZ1520" i="98"/>
  <c r="GE1520" i="98"/>
  <c r="GB1520" i="98"/>
  <c r="GB1533" i="98"/>
  <c r="GC1533" i="98"/>
  <c r="GD1533" i="98"/>
  <c r="FZ1533" i="98"/>
  <c r="GE1533" i="98"/>
  <c r="GD1568" i="98"/>
  <c r="GE1568" i="98"/>
  <c r="FZ1568" i="98"/>
  <c r="GB1568" i="98"/>
  <c r="GC1602" i="98"/>
  <c r="GD1602" i="98"/>
  <c r="FZ1602" i="98"/>
  <c r="GE1602" i="98"/>
  <c r="GB1602" i="98"/>
  <c r="GB1642" i="98"/>
  <c r="GD1642" i="98"/>
  <c r="GE1642" i="98"/>
  <c r="FZ1642" i="98"/>
  <c r="FZ1650" i="98"/>
  <c r="GB1650" i="98"/>
  <c r="GD1650" i="98"/>
  <c r="GE1650" i="98"/>
  <c r="GE292" i="98"/>
  <c r="GD369" i="98"/>
  <c r="GD372" i="98"/>
  <c r="FZ458" i="98"/>
  <c r="GE503" i="98"/>
  <c r="GD511" i="98"/>
  <c r="GD531" i="98"/>
  <c r="GE531" i="98"/>
  <c r="FZ531" i="98"/>
  <c r="GB531" i="98"/>
  <c r="FZ551" i="98"/>
  <c r="GB551" i="98"/>
  <c r="GD551" i="98"/>
  <c r="GE551" i="98"/>
  <c r="FZ569" i="98"/>
  <c r="FZ574" i="98"/>
  <c r="GB577" i="98"/>
  <c r="FZ589" i="98"/>
  <c r="FZ594" i="98"/>
  <c r="GD613" i="98"/>
  <c r="GB618" i="98"/>
  <c r="GB621" i="98"/>
  <c r="GD629" i="98"/>
  <c r="GC638" i="98"/>
  <c r="GB650" i="98"/>
  <c r="GB662" i="98"/>
  <c r="FZ702" i="98"/>
  <c r="GE745" i="98"/>
  <c r="FZ745" i="98"/>
  <c r="GB745" i="98"/>
  <c r="GD745" i="98"/>
  <c r="GD941" i="98"/>
  <c r="GD944" i="98"/>
  <c r="GB949" i="98"/>
  <c r="GB1042" i="98"/>
  <c r="GC1042" i="98"/>
  <c r="GE1058" i="98"/>
  <c r="FZ1074" i="98"/>
  <c r="GB1083" i="98"/>
  <c r="FZ1091" i="98"/>
  <c r="GB1104" i="98"/>
  <c r="FZ1144" i="98"/>
  <c r="GE1148" i="98"/>
  <c r="GB1172" i="98"/>
  <c r="GD1184" i="98"/>
  <c r="FZ1192" i="98"/>
  <c r="GE1208" i="98"/>
  <c r="GB1212" i="98"/>
  <c r="GC1212" i="98"/>
  <c r="GA1226" i="98"/>
  <c r="GB1226" i="98"/>
  <c r="GC1226" i="98"/>
  <c r="GD1226" i="98"/>
  <c r="FZ1226" i="98"/>
  <c r="GE1226" i="98"/>
  <c r="FZ1232" i="98"/>
  <c r="GD1240" i="98"/>
  <c r="GD1244" i="98"/>
  <c r="FZ1260" i="98"/>
  <c r="GB1268" i="98"/>
  <c r="GB1288" i="98"/>
  <c r="GE1312" i="98"/>
  <c r="FZ1321" i="98"/>
  <c r="GE1380" i="98"/>
  <c r="FZ1388" i="98"/>
  <c r="GD1393" i="98"/>
  <c r="GE1397" i="98"/>
  <c r="FT1397" i="98"/>
  <c r="GE1401" i="98"/>
  <c r="GB1420" i="98"/>
  <c r="GB1441" i="98"/>
  <c r="GE1452" i="98"/>
  <c r="FZ1460" i="98"/>
  <c r="GD1465" i="98"/>
  <c r="GB1488" i="98"/>
  <c r="GE1492" i="98"/>
  <c r="FZ1497" i="98"/>
  <c r="GD1508" i="98"/>
  <c r="GD1512" i="98"/>
  <c r="GB1521" i="98"/>
  <c r="GC1521" i="98"/>
  <c r="GD1521" i="98"/>
  <c r="FZ1521" i="98"/>
  <c r="GE1521" i="98"/>
  <c r="GD1524" i="98"/>
  <c r="GD1600" i="98"/>
  <c r="FZ1600" i="98"/>
  <c r="GD1613" i="98"/>
  <c r="FZ1613" i="98"/>
  <c r="GE1613" i="98"/>
  <c r="GB1613" i="98"/>
  <c r="GC1613" i="98"/>
  <c r="GE1640" i="98"/>
  <c r="GE1644" i="98"/>
  <c r="GD1648" i="98"/>
  <c r="GD1652" i="98"/>
  <c r="FW311" i="98"/>
  <c r="GE311" i="98"/>
  <c r="FZ311" i="98"/>
  <c r="GB311" i="98"/>
  <c r="GD311" i="98"/>
  <c r="GE312" i="98"/>
  <c r="FW319" i="98"/>
  <c r="FZ319" i="98"/>
  <c r="GE319" i="98"/>
  <c r="GB319" i="98"/>
  <c r="GC319" i="98"/>
  <c r="GD319" i="98"/>
  <c r="FZ320" i="98"/>
  <c r="GB352" i="98"/>
  <c r="GD352" i="98"/>
  <c r="GE352" i="98"/>
  <c r="FZ352" i="98"/>
  <c r="GE401" i="98"/>
  <c r="GD472" i="98"/>
  <c r="FW491" i="98"/>
  <c r="FZ552" i="98"/>
  <c r="GB552" i="98"/>
  <c r="GD552" i="98"/>
  <c r="GE552" i="98"/>
  <c r="GD557" i="98"/>
  <c r="FZ557" i="98"/>
  <c r="GE557" i="98"/>
  <c r="GB557" i="98"/>
  <c r="GC557" i="98"/>
  <c r="GB602" i="98"/>
  <c r="GD602" i="98"/>
  <c r="GE602" i="98"/>
  <c r="FZ602" i="98"/>
  <c r="FY633" i="98"/>
  <c r="GA646" i="98"/>
  <c r="FZ646" i="98"/>
  <c r="GE646" i="98"/>
  <c r="GB646" i="98"/>
  <c r="GC646" i="98"/>
  <c r="GD646" i="98"/>
  <c r="GE682" i="98"/>
  <c r="FZ682" i="98"/>
  <c r="GB682" i="98"/>
  <c r="GD682" i="98"/>
  <c r="GB697" i="98"/>
  <c r="GD697" i="98"/>
  <c r="GE697" i="98"/>
  <c r="FZ697" i="98"/>
  <c r="FW697" i="98"/>
  <c r="GE741" i="98"/>
  <c r="FZ741" i="98"/>
  <c r="GB741" i="98"/>
  <c r="GD741" i="98"/>
  <c r="FW741" i="98"/>
  <c r="FZ769" i="98"/>
  <c r="GB769" i="98"/>
  <c r="GD769" i="98"/>
  <c r="GE769" i="98"/>
  <c r="GB965" i="98"/>
  <c r="GC965" i="98"/>
  <c r="GD965" i="98"/>
  <c r="FZ965" i="98"/>
  <c r="GE965" i="98"/>
  <c r="FZ1030" i="98"/>
  <c r="GB1030" i="98"/>
  <c r="GD1030" i="98"/>
  <c r="GE1030" i="98"/>
  <c r="FT1051" i="98"/>
  <c r="GE1067" i="98"/>
  <c r="GB1067" i="98"/>
  <c r="FT1067" i="98"/>
  <c r="FZ1092" i="98"/>
  <c r="GB1092" i="98"/>
  <c r="GD1092" i="98"/>
  <c r="GE1092" i="98"/>
  <c r="GB1224" i="98"/>
  <c r="GD1224" i="98"/>
  <c r="GE1224" i="98"/>
  <c r="FZ1224" i="98"/>
  <c r="FW1248" i="98"/>
  <c r="GD1248" i="98"/>
  <c r="GE1248" i="98"/>
  <c r="FZ1248" i="98"/>
  <c r="GB1248" i="98"/>
  <c r="FZ1292" i="98"/>
  <c r="GB1292" i="98"/>
  <c r="GD1292" i="98"/>
  <c r="FT1292" i="98"/>
  <c r="GA1326" i="98"/>
  <c r="GB1326" i="98"/>
  <c r="GC1326" i="98"/>
  <c r="GD1326" i="98"/>
  <c r="FZ1326" i="98"/>
  <c r="GE1326" i="98"/>
  <c r="GI1326" i="98"/>
  <c r="GO1326" i="98"/>
  <c r="FZ1332" i="98"/>
  <c r="GB1332" i="98"/>
  <c r="GD1332" i="98"/>
  <c r="GE1332" i="98"/>
  <c r="FW1340" i="98"/>
  <c r="GB1357" i="98"/>
  <c r="GD1357" i="98"/>
  <c r="GE1357" i="98"/>
  <c r="FT1357" i="98"/>
  <c r="GC1364" i="98"/>
  <c r="GD1364" i="98"/>
  <c r="FZ1364" i="98"/>
  <c r="GE1364" i="98"/>
  <c r="GB1364" i="98"/>
  <c r="FT1408" i="98"/>
  <c r="GD1408" i="98"/>
  <c r="GE1408" i="98"/>
  <c r="FZ1408" i="98"/>
  <c r="GB1408" i="98"/>
  <c r="GB1424" i="98"/>
  <c r="GD1424" i="98"/>
  <c r="GE1424" i="98"/>
  <c r="FZ1424" i="98"/>
  <c r="GA1436" i="98"/>
  <c r="FZ1436" i="98"/>
  <c r="GE1436" i="98"/>
  <c r="GB1436" i="98"/>
  <c r="GC1436" i="98"/>
  <c r="GD1436" i="98"/>
  <c r="GJ1436" i="98"/>
  <c r="GM1436" i="98"/>
  <c r="GO1436" i="98"/>
  <c r="GG1436" i="98"/>
  <c r="GD1473" i="98"/>
  <c r="GE1473" i="98"/>
  <c r="FZ1473" i="98"/>
  <c r="GB1473" i="98"/>
  <c r="FT1480" i="98"/>
  <c r="GD1480" i="98"/>
  <c r="FZ1480" i="98"/>
  <c r="FZ1518" i="98"/>
  <c r="GE1518" i="98"/>
  <c r="GB1518" i="98"/>
  <c r="GC1518" i="98"/>
  <c r="GD1518" i="98"/>
  <c r="GC1528" i="98"/>
  <c r="GD1528" i="98"/>
  <c r="FZ1528" i="98"/>
  <c r="GE1528" i="98"/>
  <c r="GB1528" i="98"/>
  <c r="FZ1552" i="98"/>
  <c r="GB1552" i="98"/>
  <c r="GD1552" i="98"/>
  <c r="GE1552" i="98"/>
  <c r="FW1568" i="98"/>
  <c r="GB1584" i="98"/>
  <c r="GD1584" i="98"/>
  <c r="GE1584" i="98"/>
  <c r="FZ1584" i="98"/>
  <c r="GE1622" i="98"/>
  <c r="FZ1622" i="98"/>
  <c r="GB1622" i="98"/>
  <c r="GD1622" i="98"/>
  <c r="GB1637" i="98"/>
  <c r="GD1637" i="98"/>
  <c r="GE1637" i="98"/>
  <c r="FZ1637" i="98"/>
  <c r="GB1645" i="98"/>
  <c r="GD1645" i="98"/>
  <c r="GE1645" i="98"/>
  <c r="FZ1645" i="98"/>
  <c r="FZ1653" i="98"/>
  <c r="GB1653" i="98"/>
  <c r="GD1653" i="98"/>
  <c r="GE1653" i="98"/>
  <c r="GB288" i="98"/>
  <c r="GE288" i="98"/>
  <c r="FZ288" i="98"/>
  <c r="GJ288" i="98"/>
  <c r="FT288" i="98"/>
  <c r="FW300" i="98"/>
  <c r="FW328" i="98"/>
  <c r="GD377" i="98"/>
  <c r="GE377" i="98"/>
  <c r="FZ377" i="98"/>
  <c r="GB377" i="98"/>
  <c r="GA466" i="98"/>
  <c r="FZ466" i="98"/>
  <c r="GE466" i="98"/>
  <c r="GB466" i="98"/>
  <c r="GC466" i="98"/>
  <c r="GD466" i="98"/>
  <c r="GO466" i="98"/>
  <c r="FZ479" i="98"/>
  <c r="GE479" i="98"/>
  <c r="GB479" i="98"/>
  <c r="GC479" i="98"/>
  <c r="GD479" i="98"/>
  <c r="FW479" i="98"/>
  <c r="FY495" i="98"/>
  <c r="GE525" i="98"/>
  <c r="FZ525" i="98"/>
  <c r="GB525" i="98"/>
  <c r="GD525" i="98"/>
  <c r="GE570" i="98"/>
  <c r="GC573" i="98"/>
  <c r="GD573" i="98"/>
  <c r="GE578" i="98"/>
  <c r="GD590" i="98"/>
  <c r="GD593" i="98"/>
  <c r="GD614" i="98"/>
  <c r="GB617" i="98"/>
  <c r="GB622" i="98"/>
  <c r="GB625" i="98"/>
  <c r="GB630" i="98"/>
  <c r="GE642" i="98"/>
  <c r="GB694" i="98"/>
  <c r="FZ993" i="98"/>
  <c r="GB993" i="98"/>
  <c r="GD993" i="98"/>
  <c r="GE993" i="98"/>
  <c r="GD1043" i="98"/>
  <c r="GB1131" i="98"/>
  <c r="GC1131" i="98"/>
  <c r="GD1131" i="98"/>
  <c r="FZ1131" i="98"/>
  <c r="GE1131" i="98"/>
  <c r="FY1214" i="98"/>
  <c r="FY1236" i="98"/>
  <c r="FW1236" i="98" s="1"/>
  <c r="FW1246" i="98"/>
  <c r="FY1246" i="98"/>
  <c r="FW1264" i="98"/>
  <c r="GB1264" i="98"/>
  <c r="GD1264" i="98"/>
  <c r="GE1264" i="98"/>
  <c r="FZ1264" i="98"/>
  <c r="GE1313" i="98"/>
  <c r="GP1317" i="98"/>
  <c r="GD1317" i="98"/>
  <c r="GE1317" i="98"/>
  <c r="FZ1317" i="98"/>
  <c r="FT1317" i="98"/>
  <c r="GE1377" i="98"/>
  <c r="FZ1381" i="98"/>
  <c r="FT1381" i="98"/>
  <c r="GB1385" i="98"/>
  <c r="GB1417" i="98"/>
  <c r="GD1417" i="98"/>
  <c r="GE1417" i="98"/>
  <c r="FZ1417" i="98"/>
  <c r="FZ1430" i="98"/>
  <c r="GB1430" i="98"/>
  <c r="GD1430" i="98"/>
  <c r="GE1430" i="98"/>
  <c r="GB1449" i="98"/>
  <c r="GB1457" i="98"/>
  <c r="GP1461" i="98"/>
  <c r="FZ1461" i="98"/>
  <c r="GB1461" i="98"/>
  <c r="GD1461" i="98"/>
  <c r="FT1461" i="98"/>
  <c r="GE1489" i="98"/>
  <c r="GD1505" i="98"/>
  <c r="FZ1522" i="98"/>
  <c r="GE1522" i="98"/>
  <c r="GB1522" i="98"/>
  <c r="GC1522" i="98"/>
  <c r="GD1522" i="98"/>
  <c r="GA1566" i="98"/>
  <c r="GD1566" i="98"/>
  <c r="FZ1566" i="98"/>
  <c r="GE1566" i="98"/>
  <c r="GB1566" i="98"/>
  <c r="GC1566" i="98"/>
  <c r="FY1628" i="98"/>
  <c r="GB1677" i="98"/>
  <c r="GC1677" i="98"/>
  <c r="GD1677" i="98"/>
  <c r="FZ1677" i="98"/>
  <c r="GE1677" i="98"/>
  <c r="GB1685" i="98"/>
  <c r="GC1685" i="98"/>
  <c r="GD1685" i="98"/>
  <c r="FZ1685" i="98"/>
  <c r="GE1685" i="98"/>
  <c r="FW773" i="98"/>
  <c r="GE778" i="98"/>
  <c r="FW1528" i="98"/>
  <c r="GE421" i="98"/>
  <c r="GC1038" i="98"/>
  <c r="FW1364" i="98"/>
  <c r="FZ1022" i="98"/>
  <c r="FY1202" i="98"/>
  <c r="FW1202" i="98" s="1"/>
  <c r="FZ658" i="98"/>
  <c r="FW665" i="98"/>
  <c r="FW1186" i="98"/>
  <c r="FW522" i="98"/>
  <c r="FW536" i="98"/>
  <c r="GA536" i="98"/>
  <c r="GC536" i="98"/>
  <c r="GD536" i="98"/>
  <c r="FZ536" i="98"/>
  <c r="GE536" i="98"/>
  <c r="GB536" i="98"/>
  <c r="GM549" i="98"/>
  <c r="GA676" i="98"/>
  <c r="FZ676" i="98"/>
  <c r="GE676" i="98"/>
  <c r="GB676" i="98"/>
  <c r="GC676" i="98"/>
  <c r="GD676" i="98"/>
  <c r="FW770" i="98"/>
  <c r="GI622" i="98"/>
  <c r="GP625" i="98"/>
  <c r="GI654" i="98"/>
  <c r="GP745" i="98"/>
  <c r="GM525" i="98"/>
  <c r="GI602" i="98"/>
  <c r="GP605" i="98"/>
  <c r="GI682" i="98"/>
  <c r="GP685" i="98"/>
  <c r="GI698" i="98"/>
  <c r="FW707" i="98"/>
  <c r="GI630" i="98"/>
  <c r="FW751" i="98"/>
  <c r="FW807" i="98"/>
  <c r="FW827" i="98"/>
  <c r="GA866" i="98"/>
  <c r="GB866" i="98"/>
  <c r="GC866" i="98"/>
  <c r="GD866" i="98"/>
  <c r="FZ866" i="98"/>
  <c r="GE866" i="98"/>
  <c r="FW930" i="98"/>
  <c r="FW935" i="98"/>
  <c r="FW489" i="98"/>
  <c r="FW735" i="98"/>
  <c r="FW830" i="98"/>
  <c r="FW968" i="98"/>
  <c r="FW1039" i="98"/>
  <c r="FW1071" i="98"/>
  <c r="GI598" i="98"/>
  <c r="GA696" i="98"/>
  <c r="GC696" i="98"/>
  <c r="GD696" i="98"/>
  <c r="FZ696" i="98"/>
  <c r="GE696" i="98"/>
  <c r="GB696" i="98"/>
  <c r="GA836" i="98"/>
  <c r="FZ836" i="98"/>
  <c r="GE836" i="98"/>
  <c r="GB836" i="98"/>
  <c r="GC836" i="98"/>
  <c r="GD836" i="98"/>
  <c r="GA856" i="98"/>
  <c r="GC856" i="98"/>
  <c r="GD856" i="98"/>
  <c r="FZ856" i="98"/>
  <c r="GE856" i="98"/>
  <c r="GB856" i="98"/>
  <c r="GA876" i="98"/>
  <c r="FZ876" i="98"/>
  <c r="GE876" i="98"/>
  <c r="GB876" i="98"/>
  <c r="GC876" i="98"/>
  <c r="GD876" i="98"/>
  <c r="FW980" i="98"/>
  <c r="GA996" i="98"/>
  <c r="FZ996" i="98"/>
  <c r="GE996" i="98"/>
  <c r="GB996" i="98"/>
  <c r="GC996" i="98"/>
  <c r="GD996" i="98"/>
  <c r="GG949" i="98"/>
  <c r="GM949" i="98"/>
  <c r="FW976" i="98"/>
  <c r="GP1001" i="98"/>
  <c r="GG1068" i="98"/>
  <c r="FW1103" i="98"/>
  <c r="FW1173" i="98"/>
  <c r="FW1223" i="98"/>
  <c r="GP1232" i="98"/>
  <c r="FW1255" i="98"/>
  <c r="GA1056" i="98"/>
  <c r="FZ1056" i="98"/>
  <c r="GE1056" i="98"/>
  <c r="GB1056" i="98"/>
  <c r="GC1056" i="98"/>
  <c r="GD1056" i="98"/>
  <c r="GI1115" i="98"/>
  <c r="FW1263" i="98"/>
  <c r="GM1062" i="98"/>
  <c r="GG1091" i="98"/>
  <c r="GP1142" i="98"/>
  <c r="GG957" i="98"/>
  <c r="GM957" i="98"/>
  <c r="GP1512" i="98"/>
  <c r="GP1640" i="98"/>
  <c r="FW648" i="98"/>
  <c r="GJ1180" i="98"/>
  <c r="FW1239" i="98"/>
  <c r="GG1313" i="98"/>
  <c r="GI1313" i="98"/>
  <c r="GG1441" i="98"/>
  <c r="GI1441" i="98"/>
  <c r="GI1509" i="98"/>
  <c r="FW1531" i="98"/>
  <c r="GA1586" i="98"/>
  <c r="GB1586" i="98"/>
  <c r="GC1586" i="98"/>
  <c r="GD1586" i="98"/>
  <c r="FZ1586" i="98"/>
  <c r="GE1586" i="98"/>
  <c r="FW1599" i="98"/>
  <c r="FW1615" i="98"/>
  <c r="FW1379" i="98"/>
  <c r="GA1466" i="98"/>
  <c r="GD1466" i="98"/>
  <c r="FZ1466" i="98"/>
  <c r="GE1466" i="98"/>
  <c r="GB1466" i="98"/>
  <c r="GC1466" i="98"/>
  <c r="GJ1488" i="98"/>
  <c r="FW1515" i="98"/>
  <c r="FW1411" i="98"/>
  <c r="FW1174" i="98"/>
  <c r="GG1457" i="98"/>
  <c r="GI1457" i="98"/>
  <c r="FW1563" i="98"/>
  <c r="FW1571" i="98"/>
  <c r="FW1643" i="98"/>
  <c r="FW1651" i="98"/>
  <c r="GJ1325" i="98"/>
  <c r="GG1385" i="98"/>
  <c r="GI1385" i="98"/>
  <c r="GG1437" i="98"/>
  <c r="GI1485" i="98"/>
  <c r="FW1619" i="98"/>
  <c r="FW1631" i="98"/>
  <c r="GP1538" i="98"/>
  <c r="GM1550" i="98"/>
  <c r="GP1554" i="98"/>
  <c r="GM1638" i="98"/>
  <c r="GI1650" i="98"/>
  <c r="GM1654" i="98"/>
  <c r="GM1622" i="98"/>
  <c r="GD121" i="98"/>
  <c r="GE121" i="98"/>
  <c r="FZ121" i="98"/>
  <c r="GB121" i="98"/>
  <c r="GB133" i="98"/>
  <c r="GD133" i="98"/>
  <c r="GE133" i="98"/>
  <c r="FZ133" i="98"/>
  <c r="GB140" i="98"/>
  <c r="GD140" i="98"/>
  <c r="GE140" i="98"/>
  <c r="FT140" i="98"/>
  <c r="GB170" i="98"/>
  <c r="GC170" i="98"/>
  <c r="GD170" i="98"/>
  <c r="FZ170" i="98"/>
  <c r="GE170" i="98"/>
  <c r="GF186" i="98"/>
  <c r="GA186" i="98"/>
  <c r="GC186" i="98"/>
  <c r="GD186" i="98"/>
  <c r="FZ186" i="98"/>
  <c r="GE186" i="98"/>
  <c r="GB186" i="98"/>
  <c r="GI186" i="98"/>
  <c r="GJ186" i="98"/>
  <c r="GM186" i="98"/>
  <c r="GQ186" i="98"/>
  <c r="GE215" i="98"/>
  <c r="FZ215" i="98"/>
  <c r="GB215" i="98"/>
  <c r="GD215" i="98"/>
  <c r="FY234" i="98"/>
  <c r="FZ260" i="98"/>
  <c r="GB260" i="98"/>
  <c r="GD260" i="98"/>
  <c r="GE260" i="98"/>
  <c r="GE267" i="98"/>
  <c r="FZ267" i="98"/>
  <c r="GB267" i="98"/>
  <c r="GD267" i="98"/>
  <c r="FZ299" i="98"/>
  <c r="GB299" i="98"/>
  <c r="GD299" i="98"/>
  <c r="GE299" i="98"/>
  <c r="FT104" i="98"/>
  <c r="FZ104" i="98" s="1"/>
  <c r="GB104" i="98"/>
  <c r="GE104" i="98"/>
  <c r="FZ171" i="98"/>
  <c r="GE171" i="98"/>
  <c r="GB171" i="98"/>
  <c r="GC171" i="98"/>
  <c r="GD171" i="98"/>
  <c r="GB187" i="98"/>
  <c r="GD187" i="98"/>
  <c r="GE187" i="98"/>
  <c r="FZ187" i="98"/>
  <c r="GE207" i="98"/>
  <c r="FZ207" i="98"/>
  <c r="GB207" i="98"/>
  <c r="GD207" i="98"/>
  <c r="GB228" i="98"/>
  <c r="GD228" i="98"/>
  <c r="GE228" i="98"/>
  <c r="FZ228" i="98"/>
  <c r="FW178" i="98"/>
  <c r="FT300" i="98"/>
  <c r="FZ300" i="98" s="1"/>
  <c r="GB300" i="98"/>
  <c r="GE300" i="98"/>
  <c r="GE307" i="98"/>
  <c r="FZ307" i="98"/>
  <c r="GB307" i="98"/>
  <c r="GD307" i="98"/>
  <c r="FW327" i="98"/>
  <c r="FZ327" i="98"/>
  <c r="GE327" i="98"/>
  <c r="GB327" i="98"/>
  <c r="GC327" i="98"/>
  <c r="GD327" i="98"/>
  <c r="FZ361" i="98"/>
  <c r="GB361" i="98"/>
  <c r="GD361" i="98"/>
  <c r="GE361" i="98"/>
  <c r="GB390" i="98"/>
  <c r="GD390" i="98"/>
  <c r="GE390" i="98"/>
  <c r="FZ390" i="98"/>
  <c r="GB397" i="98"/>
  <c r="FZ400" i="98"/>
  <c r="FZ461" i="98"/>
  <c r="GB461" i="98"/>
  <c r="GD461" i="98"/>
  <c r="GE461" i="98"/>
  <c r="GB473" i="98"/>
  <c r="GD527" i="98"/>
  <c r="GE527" i="98"/>
  <c r="FZ527" i="98"/>
  <c r="GB527" i="98"/>
  <c r="GB540" i="98"/>
  <c r="GD540" i="98"/>
  <c r="GE540" i="98"/>
  <c r="FZ540" i="98"/>
  <c r="FZ581" i="98"/>
  <c r="FZ610" i="98"/>
  <c r="GB610" i="98"/>
  <c r="GD610" i="98"/>
  <c r="GE610" i="98"/>
  <c r="GB641" i="98"/>
  <c r="GC641" i="98"/>
  <c r="GD641" i="98"/>
  <c r="FZ641" i="98"/>
  <c r="GE641" i="98"/>
  <c r="GC645" i="98"/>
  <c r="FZ654" i="98"/>
  <c r="GE654" i="98"/>
  <c r="GB654" i="98"/>
  <c r="GC654" i="98"/>
  <c r="GD654" i="98"/>
  <c r="GD717" i="98"/>
  <c r="FZ717" i="98"/>
  <c r="GE717" i="98"/>
  <c r="GB717" i="98"/>
  <c r="GC717" i="98"/>
  <c r="GE737" i="98"/>
  <c r="FZ737" i="98"/>
  <c r="GB737" i="98"/>
  <c r="GD737" i="98"/>
  <c r="FZ1052" i="98"/>
  <c r="GE1052" i="98"/>
  <c r="GB1052" i="98"/>
  <c r="GC1052" i="98"/>
  <c r="GD1052" i="98"/>
  <c r="FZ1075" i="98"/>
  <c r="FT1075" i="98"/>
  <c r="GE1075" i="98" s="1"/>
  <c r="FY1122" i="98"/>
  <c r="FW1122" i="98"/>
  <c r="GE1152" i="98"/>
  <c r="FW1154" i="98"/>
  <c r="GD1164" i="98"/>
  <c r="GA1176" i="98"/>
  <c r="FZ1176" i="98"/>
  <c r="GE1176" i="98"/>
  <c r="GB1176" i="98"/>
  <c r="GC1176" i="98"/>
  <c r="GD1176" i="98"/>
  <c r="GM1176" i="98"/>
  <c r="GG1176" i="98"/>
  <c r="GO1176" i="98"/>
  <c r="GI1176" i="98"/>
  <c r="GQ1176" i="98"/>
  <c r="GK1176" i="98"/>
  <c r="GE1200" i="98"/>
  <c r="GD1252" i="98"/>
  <c r="GE1252" i="98"/>
  <c r="FZ1252" i="98"/>
  <c r="GB1252" i="98"/>
  <c r="GD1329" i="98"/>
  <c r="FT1333" i="98"/>
  <c r="FZ1345" i="98"/>
  <c r="FZ1358" i="98"/>
  <c r="GE1358" i="98"/>
  <c r="GB1358" i="98"/>
  <c r="GC1358" i="98"/>
  <c r="GD1358" i="98"/>
  <c r="GC1361" i="98"/>
  <c r="GC1372" i="98"/>
  <c r="GD1372" i="98"/>
  <c r="FZ1372" i="98"/>
  <c r="GE1372" i="98"/>
  <c r="GB1372" i="98"/>
  <c r="FZ1409" i="98"/>
  <c r="GP1413" i="98"/>
  <c r="GE1413" i="98"/>
  <c r="FZ1413" i="98"/>
  <c r="GB1413" i="98"/>
  <c r="FT1413" i="98"/>
  <c r="GE1425" i="98"/>
  <c r="GE1429" i="98"/>
  <c r="GP1429" i="98"/>
  <c r="FT1429" i="98"/>
  <c r="GD1429" i="98" s="1"/>
  <c r="FZ1433" i="98"/>
  <c r="GD1469" i="98"/>
  <c r="GE1469" i="98"/>
  <c r="FZ1469" i="98"/>
  <c r="GB1469" i="98"/>
  <c r="GD1472" i="98"/>
  <c r="GD1481" i="98"/>
  <c r="GA1536" i="98"/>
  <c r="GC1536" i="98"/>
  <c r="GD1536" i="98"/>
  <c r="FZ1536" i="98"/>
  <c r="GE1536" i="98"/>
  <c r="GB1536" i="98"/>
  <c r="GM1536" i="98"/>
  <c r="GG1536" i="98"/>
  <c r="GO1536" i="98"/>
  <c r="GI1536" i="98"/>
  <c r="GQ1536" i="98"/>
  <c r="GK1536" i="98"/>
  <c r="GD1572" i="98"/>
  <c r="GE1572" i="98"/>
  <c r="FZ1572" i="98"/>
  <c r="GB1572" i="98"/>
  <c r="GE1657" i="98"/>
  <c r="FZ1657" i="98"/>
  <c r="GB1657" i="98"/>
  <c r="GD1657" i="98"/>
  <c r="GE1665" i="98"/>
  <c r="FZ1665" i="98"/>
  <c r="GB1665" i="98"/>
  <c r="GD1665" i="98"/>
  <c r="GD1673" i="98"/>
  <c r="GE1673" i="98"/>
  <c r="FZ1673" i="98"/>
  <c r="GB1673" i="98"/>
  <c r="GB369" i="98"/>
  <c r="GB372" i="98"/>
  <c r="GD503" i="98"/>
  <c r="GB511" i="98"/>
  <c r="GC569" i="98"/>
  <c r="GD569" i="98"/>
  <c r="GD574" i="98"/>
  <c r="FZ577" i="98"/>
  <c r="GE589" i="98"/>
  <c r="GE594" i="98"/>
  <c r="GB613" i="98"/>
  <c r="FZ618" i="98"/>
  <c r="FZ621" i="98"/>
  <c r="GB629" i="98"/>
  <c r="GB638" i="98"/>
  <c r="GB649" i="98"/>
  <c r="GC649" i="98"/>
  <c r="GD649" i="98"/>
  <c r="FZ649" i="98"/>
  <c r="GE649" i="98"/>
  <c r="GE650" i="98"/>
  <c r="FZ662" i="98"/>
  <c r="GE702" i="98"/>
  <c r="GB941" i="98"/>
  <c r="GB944" i="98"/>
  <c r="FZ949" i="98"/>
  <c r="GB977" i="98"/>
  <c r="GD977" i="98"/>
  <c r="GE977" i="98"/>
  <c r="FZ977" i="98"/>
  <c r="GE1042" i="98"/>
  <c r="GD1058" i="98"/>
  <c r="GE1074" i="98"/>
  <c r="FZ1083" i="98"/>
  <c r="GE1091" i="98"/>
  <c r="FZ1114" i="98"/>
  <c r="GB1114" i="98"/>
  <c r="GD1114" i="98"/>
  <c r="GE1114" i="98"/>
  <c r="GA1126" i="98"/>
  <c r="GC1126" i="98"/>
  <c r="GD1126" i="98"/>
  <c r="FZ1126" i="98"/>
  <c r="GE1126" i="98"/>
  <c r="GB1126" i="98"/>
  <c r="GI1126" i="98"/>
  <c r="GE1139" i="98"/>
  <c r="FZ1139" i="98"/>
  <c r="GB1139" i="98"/>
  <c r="GD1139" i="98"/>
  <c r="GE1144" i="98"/>
  <c r="GD1148" i="98"/>
  <c r="FZ1172" i="98"/>
  <c r="GB1184" i="98"/>
  <c r="GE1192" i="98"/>
  <c r="FZ1208" i="98"/>
  <c r="GE1212" i="98"/>
  <c r="GE1232" i="98"/>
  <c r="GB1240" i="98"/>
  <c r="GB1244" i="98"/>
  <c r="GE1260" i="98"/>
  <c r="FZ1268" i="98"/>
  <c r="GE1288" i="98"/>
  <c r="GD1312" i="98"/>
  <c r="GE1321" i="98"/>
  <c r="GB1373" i="98"/>
  <c r="GC1373" i="98"/>
  <c r="GD1373" i="98"/>
  <c r="FZ1373" i="98"/>
  <c r="GE1373" i="98"/>
  <c r="GD1380" i="98"/>
  <c r="GE1388" i="98"/>
  <c r="GB1393" i="98"/>
  <c r="GD1401" i="98"/>
  <c r="FZ1420" i="98"/>
  <c r="GE1441" i="98"/>
  <c r="GD1445" i="98"/>
  <c r="GE1445" i="98"/>
  <c r="GB1445" i="98"/>
  <c r="GC1445" i="98"/>
  <c r="FT1445" i="98"/>
  <c r="GP1445" i="98"/>
  <c r="GD1452" i="98"/>
  <c r="FZ1452" i="98"/>
  <c r="GE1460" i="98"/>
  <c r="GB1465" i="98"/>
  <c r="FZ1488" i="98"/>
  <c r="GD1492" i="98"/>
  <c r="GE1497" i="98"/>
  <c r="GB1508" i="98"/>
  <c r="GB1512" i="98"/>
  <c r="GB1524" i="98"/>
  <c r="GC1524" i="98"/>
  <c r="GB1538" i="98"/>
  <c r="GD1538" i="98"/>
  <c r="GE1538" i="98"/>
  <c r="FZ1538" i="98"/>
  <c r="GA1546" i="98"/>
  <c r="GB1546" i="98"/>
  <c r="GC1546" i="98"/>
  <c r="GD1546" i="98"/>
  <c r="FZ1546" i="98"/>
  <c r="GE1546" i="98"/>
  <c r="FZ1554" i="98"/>
  <c r="GB1554" i="98"/>
  <c r="GD1554" i="98"/>
  <c r="GE1554" i="98"/>
  <c r="GE1561" i="98"/>
  <c r="FZ1561" i="98"/>
  <c r="GB1561" i="98"/>
  <c r="GD1561" i="98"/>
  <c r="GD1569" i="98"/>
  <c r="GE1569" i="98"/>
  <c r="FZ1569" i="98"/>
  <c r="GB1569" i="98"/>
  <c r="GC1600" i="98"/>
  <c r="GD1640" i="98"/>
  <c r="GD1644" i="98"/>
  <c r="GB1648" i="98"/>
  <c r="GB1652" i="98"/>
  <c r="FW102" i="98"/>
  <c r="FW186" i="98"/>
  <c r="GD312" i="98"/>
  <c r="GC320" i="98"/>
  <c r="GD320" i="98"/>
  <c r="GD401" i="98"/>
  <c r="FZ401" i="98"/>
  <c r="FZ425" i="98"/>
  <c r="GB425" i="98"/>
  <c r="GD425" i="98"/>
  <c r="GE425" i="98"/>
  <c r="FW430" i="98"/>
  <c r="GB472" i="98"/>
  <c r="GN476" i="98"/>
  <c r="GA476" i="98"/>
  <c r="GD476" i="98"/>
  <c r="FZ476" i="98"/>
  <c r="GE476" i="98"/>
  <c r="GB476" i="98"/>
  <c r="GC476" i="98"/>
  <c r="GF476" i="98"/>
  <c r="GJ476" i="98"/>
  <c r="GB500" i="98"/>
  <c r="GD500" i="98"/>
  <c r="GE500" i="98"/>
  <c r="FZ500" i="98"/>
  <c r="FZ508" i="98"/>
  <c r="GB508" i="98"/>
  <c r="GD508" i="98"/>
  <c r="GE508" i="98"/>
  <c r="GN516" i="98"/>
  <c r="GA516" i="98"/>
  <c r="FZ516" i="98"/>
  <c r="GE516" i="98"/>
  <c r="GB516" i="98"/>
  <c r="GC516" i="98"/>
  <c r="GD516" i="98"/>
  <c r="GF516" i="98"/>
  <c r="GJ516" i="98"/>
  <c r="FW547" i="98"/>
  <c r="GE582" i="98"/>
  <c r="FZ582" i="98"/>
  <c r="GB582" i="98"/>
  <c r="GD582" i="98"/>
  <c r="GB605" i="98"/>
  <c r="GD605" i="98"/>
  <c r="GE605" i="98"/>
  <c r="FZ605" i="98"/>
  <c r="GD634" i="98"/>
  <c r="GE634" i="98"/>
  <c r="FZ634" i="98"/>
  <c r="GB634" i="98"/>
  <c r="GE685" i="98"/>
  <c r="FZ685" i="98"/>
  <c r="GB685" i="98"/>
  <c r="GD685" i="98"/>
  <c r="GB698" i="98"/>
  <c r="GD698" i="98"/>
  <c r="GE698" i="98"/>
  <c r="FZ698" i="98"/>
  <c r="FZ713" i="98"/>
  <c r="GB713" i="98"/>
  <c r="GD713" i="98"/>
  <c r="GE713" i="98"/>
  <c r="GD729" i="98"/>
  <c r="FZ729" i="98"/>
  <c r="GE729" i="98"/>
  <c r="GB729" i="98"/>
  <c r="GC729" i="98"/>
  <c r="FW729" i="98"/>
  <c r="GE774" i="98"/>
  <c r="FT774" i="98"/>
  <c r="GB774" i="98" s="1"/>
  <c r="GB957" i="98"/>
  <c r="GC957" i="98"/>
  <c r="GD957" i="98"/>
  <c r="FZ957" i="98"/>
  <c r="GE957" i="98"/>
  <c r="GD1014" i="98"/>
  <c r="GE1014" i="98"/>
  <c r="FZ1014" i="98"/>
  <c r="GB1014" i="98"/>
  <c r="GB1084" i="98"/>
  <c r="GD1084" i="98"/>
  <c r="GE1084" i="98"/>
  <c r="FZ1084" i="98"/>
  <c r="GD1110" i="98"/>
  <c r="GE1110" i="98"/>
  <c r="FZ1110" i="98"/>
  <c r="GB1110" i="98"/>
  <c r="GB1123" i="98"/>
  <c r="GC1123" i="98"/>
  <c r="GD1123" i="98"/>
  <c r="FZ1123" i="98"/>
  <c r="GE1123" i="98"/>
  <c r="GC1134" i="98"/>
  <c r="GD1134" i="98"/>
  <c r="FZ1134" i="98"/>
  <c r="GE1134" i="98"/>
  <c r="GB1134" i="98"/>
  <c r="GE1180" i="98"/>
  <c r="FZ1180" i="98"/>
  <c r="GB1180" i="98"/>
  <c r="GD1180" i="98"/>
  <c r="GD1188" i="98"/>
  <c r="GE1188" i="98"/>
  <c r="FZ1188" i="98"/>
  <c r="GB1188" i="98"/>
  <c r="FZ1228" i="98"/>
  <c r="GB1228" i="98"/>
  <c r="GD1228" i="98"/>
  <c r="GE1228" i="98"/>
  <c r="FY1298" i="98"/>
  <c r="FW1298" i="98"/>
  <c r="FZ1328" i="98"/>
  <c r="GB1328" i="98"/>
  <c r="GD1328" i="98"/>
  <c r="GE1328" i="98"/>
  <c r="GD1353" i="98"/>
  <c r="GE1353" i="98"/>
  <c r="FZ1353" i="98"/>
  <c r="GB1353" i="98"/>
  <c r="FT1360" i="98"/>
  <c r="GC1360" i="98" s="1"/>
  <c r="GD1360" i="98"/>
  <c r="FZ1360" i="98"/>
  <c r="GE1360" i="98"/>
  <c r="FT1432" i="98"/>
  <c r="GB1432" i="98" s="1"/>
  <c r="FW1468" i="98"/>
  <c r="FW1476" i="98"/>
  <c r="GD1513" i="98"/>
  <c r="GE1513" i="98"/>
  <c r="FZ1513" i="98"/>
  <c r="GB1513" i="98"/>
  <c r="FW1520" i="98"/>
  <c r="FW1532" i="98"/>
  <c r="GB1540" i="98"/>
  <c r="GD1540" i="98"/>
  <c r="GE1540" i="98"/>
  <c r="FZ1540" i="98"/>
  <c r="GA1556" i="98"/>
  <c r="FZ1556" i="98"/>
  <c r="GE1556" i="98"/>
  <c r="GB1556" i="98"/>
  <c r="GC1556" i="98"/>
  <c r="GD1556" i="98"/>
  <c r="GI1556" i="98"/>
  <c r="GQ1556" i="98"/>
  <c r="GK1556" i="98"/>
  <c r="GM1556" i="98"/>
  <c r="GG1556" i="98"/>
  <c r="GO1556" i="98"/>
  <c r="FW1572" i="98"/>
  <c r="FZ1588" i="98"/>
  <c r="GB1588" i="98"/>
  <c r="GD1588" i="98"/>
  <c r="GE1588" i="98"/>
  <c r="GD1601" i="98"/>
  <c r="FZ1601" i="98"/>
  <c r="GE1601" i="98"/>
  <c r="GB1601" i="98"/>
  <c r="GC1601" i="98"/>
  <c r="GC1610" i="98"/>
  <c r="GD1610" i="98"/>
  <c r="FZ1610" i="98"/>
  <c r="GE1610" i="98"/>
  <c r="GB1610" i="98"/>
  <c r="GE1618" i="98"/>
  <c r="FZ1618" i="98"/>
  <c r="GB1618" i="98"/>
  <c r="GD1618" i="98"/>
  <c r="FW1624" i="98"/>
  <c r="GD1634" i="98"/>
  <c r="GE1634" i="98"/>
  <c r="FZ1634" i="98"/>
  <c r="GB1634" i="98"/>
  <c r="GC1680" i="98"/>
  <c r="GD1680" i="98"/>
  <c r="FZ1680" i="98"/>
  <c r="GE1680" i="98"/>
  <c r="GB1680" i="98"/>
  <c r="FW137" i="98"/>
  <c r="GD343" i="98"/>
  <c r="GE343" i="98"/>
  <c r="FZ343" i="98"/>
  <c r="GB343" i="98"/>
  <c r="FY368" i="98"/>
  <c r="FW368" i="98" s="1"/>
  <c r="FW380" i="98"/>
  <c r="GB539" i="98"/>
  <c r="GD539" i="98"/>
  <c r="GE539" i="98"/>
  <c r="FZ539" i="98"/>
  <c r="FZ570" i="98"/>
  <c r="GB573" i="98"/>
  <c r="GD578" i="98"/>
  <c r="GB590" i="98"/>
  <c r="GB593" i="98"/>
  <c r="GB614" i="98"/>
  <c r="FZ617" i="98"/>
  <c r="FZ622" i="98"/>
  <c r="FZ625" i="98"/>
  <c r="FZ630" i="98"/>
  <c r="GD642" i="98"/>
  <c r="FZ642" i="98"/>
  <c r="GB661" i="98"/>
  <c r="GD661" i="98"/>
  <c r="GE661" i="98"/>
  <c r="FZ661" i="98"/>
  <c r="FW690" i="98"/>
  <c r="FZ694" i="98"/>
  <c r="FW722" i="98"/>
  <c r="FY956" i="98"/>
  <c r="GC1043" i="98"/>
  <c r="GK1096" i="98"/>
  <c r="GA1096" i="98"/>
  <c r="FZ1096" i="98"/>
  <c r="GE1096" i="98"/>
  <c r="GB1096" i="98"/>
  <c r="GC1096" i="98"/>
  <c r="GD1096" i="98"/>
  <c r="GO1096" i="98"/>
  <c r="FY1106" i="98"/>
  <c r="FW1106" i="98" s="1"/>
  <c r="FY1150" i="98"/>
  <c r="FW1170" i="98"/>
  <c r="FY1170" i="98"/>
  <c r="FY1198" i="98"/>
  <c r="FY1220" i="98"/>
  <c r="FY1304" i="98"/>
  <c r="GD1313" i="98"/>
  <c r="FT1352" i="98"/>
  <c r="GD1352" i="98"/>
  <c r="GE1352" i="98"/>
  <c r="GB1352" i="98"/>
  <c r="GD1377" i="98"/>
  <c r="FZ1385" i="98"/>
  <c r="GA1406" i="98"/>
  <c r="GD1406" i="98"/>
  <c r="FZ1406" i="98"/>
  <c r="GE1406" i="98"/>
  <c r="GB1406" i="98"/>
  <c r="GC1406" i="98"/>
  <c r="GO1406" i="98"/>
  <c r="GE1449" i="98"/>
  <c r="FT1453" i="98"/>
  <c r="GE1453" i="98" s="1"/>
  <c r="FZ1457" i="98"/>
  <c r="GD1489" i="98"/>
  <c r="FT1493" i="98"/>
  <c r="GD1493" i="98" s="1"/>
  <c r="FY1500" i="98"/>
  <c r="GB1505" i="98"/>
  <c r="GE1562" i="98"/>
  <c r="FZ1562" i="98"/>
  <c r="GB1562" i="98"/>
  <c r="GD1562" i="98"/>
  <c r="GB1577" i="98"/>
  <c r="GD1577" i="98"/>
  <c r="GE1577" i="98"/>
  <c r="FZ1577" i="98"/>
  <c r="GB1585" i="98"/>
  <c r="GD1585" i="98"/>
  <c r="GE1585" i="98"/>
  <c r="FZ1585" i="98"/>
  <c r="FZ1593" i="98"/>
  <c r="GB1593" i="98"/>
  <c r="GD1593" i="98"/>
  <c r="GE1593" i="98"/>
  <c r="FY1632" i="98"/>
  <c r="FY1672" i="98"/>
  <c r="FW1672" i="98" s="1"/>
  <c r="GJ312" i="98"/>
  <c r="GP778" i="98"/>
  <c r="GD778" i="98"/>
  <c r="FW1412" i="98"/>
  <c r="FW1584" i="98"/>
  <c r="FW1680" i="98"/>
  <c r="GD421" i="98"/>
  <c r="FW701" i="98"/>
  <c r="FW1484" i="98"/>
  <c r="GE1022" i="98"/>
  <c r="FW1130" i="98"/>
  <c r="FY1266" i="98"/>
  <c r="FW1596" i="98"/>
  <c r="GE658" i="98"/>
  <c r="FW677" i="98"/>
  <c r="FW1224" i="98"/>
  <c r="FW567" i="98"/>
  <c r="FW334" i="98"/>
  <c r="FW528" i="98"/>
  <c r="FW562" i="98"/>
  <c r="GM397" i="98"/>
  <c r="FW524" i="98"/>
  <c r="FW505" i="98"/>
  <c r="GJ613" i="98"/>
  <c r="GI625" i="98"/>
  <c r="GI642" i="98"/>
  <c r="GP645" i="98"/>
  <c r="FW738" i="98"/>
  <c r="FW747" i="98"/>
  <c r="FY772" i="98"/>
  <c r="GM425" i="98"/>
  <c r="GI574" i="98"/>
  <c r="GA576" i="98"/>
  <c r="FZ576" i="98"/>
  <c r="GE576" i="98"/>
  <c r="GB576" i="98"/>
  <c r="GC576" i="98"/>
  <c r="GD576" i="98"/>
  <c r="FW592" i="98"/>
  <c r="GI605" i="98"/>
  <c r="GP622" i="98"/>
  <c r="GG625" i="98"/>
  <c r="GI685" i="98"/>
  <c r="FW734" i="98"/>
  <c r="GA766" i="98"/>
  <c r="GB766" i="98"/>
  <c r="GC766" i="98"/>
  <c r="GD766" i="98"/>
  <c r="FZ766" i="98"/>
  <c r="GE766" i="98"/>
  <c r="GG525" i="98"/>
  <c r="FY546" i="98"/>
  <c r="FW553" i="98"/>
  <c r="FW595" i="98"/>
  <c r="FW620" i="98"/>
  <c r="GA636" i="98"/>
  <c r="GC636" i="98"/>
  <c r="GD636" i="98"/>
  <c r="FZ636" i="98"/>
  <c r="GE636" i="98"/>
  <c r="GB636" i="98"/>
  <c r="FW659" i="98"/>
  <c r="GA716" i="98"/>
  <c r="FZ716" i="98"/>
  <c r="GE716" i="98"/>
  <c r="GB716" i="98"/>
  <c r="GC716" i="98"/>
  <c r="GD716" i="98"/>
  <c r="FW723" i="98"/>
  <c r="FW739" i="98"/>
  <c r="FW755" i="98"/>
  <c r="FW771" i="98"/>
  <c r="GI617" i="98"/>
  <c r="GJ617" i="98"/>
  <c r="GP630" i="98"/>
  <c r="FW767" i="98"/>
  <c r="FW575" i="98"/>
  <c r="GI614" i="98"/>
  <c r="FW671" i="98"/>
  <c r="GG713" i="98"/>
  <c r="FW802" i="98"/>
  <c r="FW834" i="98"/>
  <c r="FW866" i="98"/>
  <c r="FY538" i="98"/>
  <c r="FW710" i="98"/>
  <c r="FW781" i="98"/>
  <c r="FW813" i="98"/>
  <c r="FW845" i="98"/>
  <c r="FW877" i="98"/>
  <c r="FW909" i="98"/>
  <c r="FW943" i="98"/>
  <c r="FW959" i="98"/>
  <c r="GA1016" i="98"/>
  <c r="GC1016" i="98"/>
  <c r="GD1016" i="98"/>
  <c r="FZ1016" i="98"/>
  <c r="GE1016" i="98"/>
  <c r="GB1016" i="98"/>
  <c r="GP598" i="98"/>
  <c r="FW792" i="98"/>
  <c r="FW804" i="98"/>
  <c r="GA816" i="98"/>
  <c r="GC816" i="98"/>
  <c r="GD816" i="98"/>
  <c r="FZ816" i="98"/>
  <c r="GE816" i="98"/>
  <c r="GB816" i="98"/>
  <c r="FW824" i="98"/>
  <c r="FW836" i="98"/>
  <c r="FW856" i="98"/>
  <c r="FW868" i="98"/>
  <c r="FW888" i="98"/>
  <c r="FW900" i="98"/>
  <c r="FW920" i="98"/>
  <c r="FW932" i="98"/>
  <c r="GM954" i="98"/>
  <c r="FW962" i="98"/>
  <c r="FW996" i="98"/>
  <c r="GP1042" i="98"/>
  <c r="GP949" i="98"/>
  <c r="GI949" i="98"/>
  <c r="FW983" i="98"/>
  <c r="FW1119" i="98"/>
  <c r="GM617" i="98"/>
  <c r="GI960" i="98"/>
  <c r="FW986" i="98"/>
  <c r="FY1064" i="98"/>
  <c r="FW1145" i="98"/>
  <c r="FW1307" i="98"/>
  <c r="GJ1078" i="98"/>
  <c r="GA1206" i="98"/>
  <c r="FZ1206" i="98"/>
  <c r="GE1206" i="98"/>
  <c r="GB1206" i="98"/>
  <c r="GC1206" i="98"/>
  <c r="GD1206" i="98"/>
  <c r="FW1309" i="98"/>
  <c r="FY1040" i="98"/>
  <c r="GM1091" i="98"/>
  <c r="GG1142" i="98"/>
  <c r="GG1180" i="98"/>
  <c r="GP957" i="98"/>
  <c r="FW970" i="98"/>
  <c r="FW1002" i="98"/>
  <c r="GI1172" i="98"/>
  <c r="FW1203" i="98"/>
  <c r="FW1249" i="98"/>
  <c r="GA726" i="98"/>
  <c r="GC726" i="98"/>
  <c r="GD726" i="98"/>
  <c r="FZ726" i="98"/>
  <c r="GE726" i="98"/>
  <c r="GB726" i="98"/>
  <c r="FY1101" i="98"/>
  <c r="GP1313" i="98"/>
  <c r="FW1339" i="98"/>
  <c r="GP1441" i="98"/>
  <c r="FY1519" i="98"/>
  <c r="FY1535" i="98"/>
  <c r="FY1603" i="98"/>
  <c r="FW1678" i="98"/>
  <c r="FW1395" i="98"/>
  <c r="FW1539" i="98"/>
  <c r="FW1635" i="98"/>
  <c r="FW1190" i="98"/>
  <c r="GM1194" i="98"/>
  <c r="GM1258" i="98"/>
  <c r="FW1315" i="98"/>
  <c r="GJ1321" i="98"/>
  <c r="GM1494" i="98"/>
  <c r="FW1583" i="98"/>
  <c r="FW1667" i="98"/>
  <c r="FW1683" i="98"/>
  <c r="GI1521" i="98"/>
  <c r="FW1547" i="98"/>
  <c r="FW1590" i="98"/>
  <c r="FW1238" i="98"/>
  <c r="GP1457" i="98"/>
  <c r="GM1470" i="98"/>
  <c r="GJ1505" i="98"/>
  <c r="FY1559" i="98"/>
  <c r="FY1575" i="98"/>
  <c r="FY1639" i="98"/>
  <c r="FY1655" i="98"/>
  <c r="FW1158" i="98"/>
  <c r="GP1385" i="98"/>
  <c r="FW1543" i="98"/>
  <c r="FY1627" i="98"/>
  <c r="GG1550" i="98"/>
  <c r="GG1650" i="98"/>
  <c r="GG1622" i="98"/>
  <c r="FW140" i="98"/>
  <c r="GC87" i="98"/>
  <c r="GB87" i="98"/>
  <c r="FT87" i="98"/>
  <c r="FZ87" i="98" s="1"/>
  <c r="GD118" i="98"/>
  <c r="GE118" i="98"/>
  <c r="FZ118" i="98"/>
  <c r="GB118" i="98"/>
  <c r="GB129" i="98"/>
  <c r="GD129" i="98"/>
  <c r="GE129" i="98"/>
  <c r="FZ129" i="98"/>
  <c r="GD182" i="98"/>
  <c r="GE182" i="98"/>
  <c r="FZ182" i="98"/>
  <c r="GB182" i="98"/>
  <c r="FZ198" i="98"/>
  <c r="GB198" i="98"/>
  <c r="GD198" i="98"/>
  <c r="GE198" i="98"/>
  <c r="GD218" i="98"/>
  <c r="GE218" i="98"/>
  <c r="FZ218" i="98"/>
  <c r="GB218" i="98"/>
  <c r="GD238" i="98"/>
  <c r="FZ238" i="98"/>
  <c r="GE238" i="98"/>
  <c r="GB238" i="98"/>
  <c r="GC238" i="98"/>
  <c r="GB291" i="98"/>
  <c r="GD291" i="98"/>
  <c r="GE291" i="98"/>
  <c r="FZ291" i="98"/>
  <c r="GE154" i="98"/>
  <c r="FZ154" i="98"/>
  <c r="GB154" i="98"/>
  <c r="GD154" i="98"/>
  <c r="GE210" i="98"/>
  <c r="FZ210" i="98"/>
  <c r="GB210" i="98"/>
  <c r="GD210" i="98"/>
  <c r="GG86" i="98"/>
  <c r="GA86" i="98"/>
  <c r="GD86" i="98"/>
  <c r="FZ86" i="98"/>
  <c r="GE86" i="98"/>
  <c r="GB86" i="98"/>
  <c r="GC86" i="98"/>
  <c r="FQ86" i="98"/>
  <c r="FQ85" i="98"/>
  <c r="FZ204" i="98"/>
  <c r="GB204" i="98"/>
  <c r="GD204" i="98"/>
  <c r="GE204" i="98"/>
  <c r="GD220" i="98"/>
  <c r="GE220" i="98"/>
  <c r="FZ220" i="98"/>
  <c r="GB220" i="98"/>
  <c r="FY271" i="98"/>
  <c r="FW271" i="98" s="1"/>
  <c r="GD283" i="98"/>
  <c r="GE283" i="98"/>
  <c r="FZ283" i="98"/>
  <c r="GB283" i="98"/>
  <c r="FW118" i="98"/>
  <c r="FW194" i="98"/>
  <c r="GD328" i="98"/>
  <c r="FZ328" i="98"/>
  <c r="GB328" i="98"/>
  <c r="GC328" i="98"/>
  <c r="GJ328" i="98"/>
  <c r="FT328" i="98"/>
  <c r="GD339" i="98"/>
  <c r="GE339" i="98"/>
  <c r="FZ339" i="98"/>
  <c r="GB339" i="98"/>
  <c r="GD380" i="98"/>
  <c r="GE380" i="98"/>
  <c r="FZ380" i="98"/>
  <c r="GB380" i="98"/>
  <c r="GA396" i="98"/>
  <c r="GB396" i="98"/>
  <c r="GC396" i="98"/>
  <c r="GD396" i="98"/>
  <c r="FZ396" i="98"/>
  <c r="GE396" i="98"/>
  <c r="GI396" i="98"/>
  <c r="GM396" i="98"/>
  <c r="GB408" i="98"/>
  <c r="GC408" i="98"/>
  <c r="GD408" i="98"/>
  <c r="FZ408" i="98"/>
  <c r="GE408" i="98"/>
  <c r="FZ480" i="98"/>
  <c r="GC480" i="98"/>
  <c r="GB480" i="98"/>
  <c r="GD480" i="98"/>
  <c r="GE480" i="98"/>
  <c r="GC488" i="98"/>
  <c r="GD488" i="98"/>
  <c r="FZ488" i="98"/>
  <c r="GE488" i="98"/>
  <c r="GB488" i="98"/>
  <c r="GN496" i="98"/>
  <c r="GA496" i="98"/>
  <c r="GC496" i="98"/>
  <c r="GD496" i="98"/>
  <c r="FZ496" i="98"/>
  <c r="GE496" i="98"/>
  <c r="GB496" i="98"/>
  <c r="GF496" i="98"/>
  <c r="GJ496" i="98"/>
  <c r="GE520" i="98"/>
  <c r="FZ520" i="98"/>
  <c r="GB520" i="98"/>
  <c r="GD520" i="98"/>
  <c r="GE581" i="98"/>
  <c r="GB598" i="98"/>
  <c r="GD598" i="98"/>
  <c r="GE598" i="98"/>
  <c r="FZ598" i="98"/>
  <c r="GE645" i="98"/>
  <c r="GE681" i="98"/>
  <c r="FZ681" i="98"/>
  <c r="GB681" i="98"/>
  <c r="GD681" i="98"/>
  <c r="GC722" i="98"/>
  <c r="GD722" i="98"/>
  <c r="FZ722" i="98"/>
  <c r="GE722" i="98"/>
  <c r="GB722" i="98"/>
  <c r="GB969" i="98"/>
  <c r="GC969" i="98"/>
  <c r="GD969" i="98"/>
  <c r="FZ969" i="98"/>
  <c r="GE969" i="98"/>
  <c r="GB981" i="98"/>
  <c r="GD981" i="98"/>
  <c r="GE981" i="98"/>
  <c r="FZ981" i="98"/>
  <c r="GE1001" i="98"/>
  <c r="FZ1001" i="98"/>
  <c r="GB1001" i="98"/>
  <c r="GD1001" i="98"/>
  <c r="GB1018" i="98"/>
  <c r="GD1018" i="98"/>
  <c r="GE1018" i="98"/>
  <c r="FZ1018" i="98"/>
  <c r="FZ1044" i="98"/>
  <c r="GE1044" i="98"/>
  <c r="GB1044" i="98"/>
  <c r="GC1044" i="98"/>
  <c r="GD1044" i="98"/>
  <c r="FT1059" i="98"/>
  <c r="FZ1059" i="98" s="1"/>
  <c r="GE1102" i="98"/>
  <c r="FZ1102" i="98"/>
  <c r="GB1102" i="98"/>
  <c r="GD1102" i="98"/>
  <c r="GA1146" i="98"/>
  <c r="GD1146" i="98"/>
  <c r="FZ1146" i="98"/>
  <c r="GE1146" i="98"/>
  <c r="GB1146" i="98"/>
  <c r="GC1146" i="98"/>
  <c r="GB1160" i="98"/>
  <c r="GD1160" i="98"/>
  <c r="GE1160" i="98"/>
  <c r="FZ1160" i="98"/>
  <c r="GB1164" i="98"/>
  <c r="FZ1272" i="98"/>
  <c r="GB1272" i="98"/>
  <c r="GD1272" i="98"/>
  <c r="GE1272" i="98"/>
  <c r="GC1290" i="98"/>
  <c r="GD1290" i="98"/>
  <c r="FZ1290" i="98"/>
  <c r="GE1290" i="98"/>
  <c r="GB1290" i="98"/>
  <c r="GE1300" i="98"/>
  <c r="FZ1300" i="98"/>
  <c r="GB1300" i="98"/>
  <c r="GD1300" i="98"/>
  <c r="GE1342" i="98"/>
  <c r="FZ1342" i="98"/>
  <c r="GB1342" i="98"/>
  <c r="GD1342" i="98"/>
  <c r="GE1361" i="98"/>
  <c r="GE1433" i="98"/>
  <c r="GB1478" i="98"/>
  <c r="GD1478" i="98"/>
  <c r="GE1478" i="98"/>
  <c r="FZ1478" i="98"/>
  <c r="GB1481" i="98"/>
  <c r="GK1526" i="98"/>
  <c r="GA1526" i="98"/>
  <c r="FZ1526" i="98"/>
  <c r="GE1526" i="98"/>
  <c r="GB1526" i="98"/>
  <c r="GC1526" i="98"/>
  <c r="GD1526" i="98"/>
  <c r="GE1560" i="98"/>
  <c r="FZ1560" i="98"/>
  <c r="GB1560" i="98"/>
  <c r="GD1560" i="98"/>
  <c r="GA1576" i="98"/>
  <c r="GC1576" i="98"/>
  <c r="GD1576" i="98"/>
  <c r="FZ1576" i="98"/>
  <c r="GE1576" i="98"/>
  <c r="GB1576" i="98"/>
  <c r="GM1576" i="98"/>
  <c r="GG1576" i="98"/>
  <c r="GO1576" i="98"/>
  <c r="GI1576" i="98"/>
  <c r="GQ1576" i="98"/>
  <c r="GK1576" i="98"/>
  <c r="GD1609" i="98"/>
  <c r="FZ1609" i="98"/>
  <c r="GE1609" i="98"/>
  <c r="GB1609" i="98"/>
  <c r="GC1609" i="98"/>
  <c r="GB1638" i="98"/>
  <c r="GD1638" i="98"/>
  <c r="GE1638" i="98"/>
  <c r="FZ1638" i="98"/>
  <c r="GA1646" i="98"/>
  <c r="GB1646" i="98"/>
  <c r="GC1646" i="98"/>
  <c r="GD1646" i="98"/>
  <c r="FZ1646" i="98"/>
  <c r="GE1646" i="98"/>
  <c r="FZ1654" i="98"/>
  <c r="GB1654" i="98"/>
  <c r="GD1654" i="98"/>
  <c r="GE1654" i="98"/>
  <c r="FW87" i="98"/>
  <c r="FW198" i="98"/>
  <c r="GB292" i="98"/>
  <c r="GB537" i="98"/>
  <c r="GD537" i="98"/>
  <c r="GE537" i="98"/>
  <c r="FZ537" i="98"/>
  <c r="FZ560" i="98"/>
  <c r="GE560" i="98"/>
  <c r="GB560" i="98"/>
  <c r="GC560" i="98"/>
  <c r="GD560" i="98"/>
  <c r="GB574" i="98"/>
  <c r="GB637" i="98"/>
  <c r="GC637" i="98"/>
  <c r="GD637" i="98"/>
  <c r="FZ637" i="98"/>
  <c r="GE637" i="98"/>
  <c r="GD650" i="98"/>
  <c r="GD733" i="98"/>
  <c r="FZ733" i="98"/>
  <c r="GE733" i="98"/>
  <c r="GB733" i="98"/>
  <c r="GC733" i="98"/>
  <c r="GB757" i="98"/>
  <c r="GD757" i="98"/>
  <c r="GE757" i="98"/>
  <c r="FZ757" i="98"/>
  <c r="FZ944" i="98"/>
  <c r="GD1091" i="98"/>
  <c r="GE1099" i="98"/>
  <c r="FZ1099" i="98"/>
  <c r="GB1099" i="98"/>
  <c r="GD1099" i="98"/>
  <c r="GD1288" i="98"/>
  <c r="FZ1405" i="98"/>
  <c r="GB1405" i="98"/>
  <c r="FT1405" i="98"/>
  <c r="GD1497" i="98"/>
  <c r="FW133" i="98"/>
  <c r="FW260" i="98"/>
  <c r="GE315" i="98"/>
  <c r="FZ315" i="98"/>
  <c r="GB315" i="98"/>
  <c r="GD315" i="98"/>
  <c r="GB320" i="98"/>
  <c r="FT360" i="98"/>
  <c r="GB360" i="98" s="1"/>
  <c r="GB448" i="98"/>
  <c r="GD448" i="98"/>
  <c r="GE448" i="98"/>
  <c r="FZ448" i="98"/>
  <c r="FW483" i="98"/>
  <c r="GE585" i="98"/>
  <c r="FZ585" i="98"/>
  <c r="GB585" i="98"/>
  <c r="GD585" i="98"/>
  <c r="FZ609" i="98"/>
  <c r="GB609" i="98"/>
  <c r="GD609" i="98"/>
  <c r="GE609" i="98"/>
  <c r="GD689" i="98"/>
  <c r="GE689" i="98"/>
  <c r="FZ689" i="98"/>
  <c r="GB689" i="98"/>
  <c r="GC718" i="98"/>
  <c r="GD718" i="98"/>
  <c r="FZ718" i="98"/>
  <c r="GE718" i="98"/>
  <c r="GB718" i="98"/>
  <c r="GC960" i="98"/>
  <c r="GD960" i="98"/>
  <c r="FZ960" i="98"/>
  <c r="GE960" i="98"/>
  <c r="GB960" i="98"/>
  <c r="GE997" i="98"/>
  <c r="FZ997" i="98"/>
  <c r="GB997" i="98"/>
  <c r="GD997" i="98"/>
  <c r="GE1062" i="98"/>
  <c r="FZ1062" i="98"/>
  <c r="GB1062" i="98"/>
  <c r="GD1062" i="98"/>
  <c r="GB1078" i="98"/>
  <c r="GD1078" i="98"/>
  <c r="GE1078" i="98"/>
  <c r="FZ1078" i="98"/>
  <c r="FW1090" i="98"/>
  <c r="GD1100" i="98"/>
  <c r="FT1100" i="98"/>
  <c r="FZ1100" i="98" s="1"/>
  <c r="GA1156" i="98"/>
  <c r="GC1156" i="98"/>
  <c r="GD1156" i="98"/>
  <c r="FZ1156" i="98"/>
  <c r="GE1156" i="98"/>
  <c r="GB1156" i="98"/>
  <c r="GK1156" i="98"/>
  <c r="GO1156" i="98"/>
  <c r="GG1156" i="98"/>
  <c r="FY1166" i="98"/>
  <c r="FW1166" i="98" s="1"/>
  <c r="FY1250" i="98"/>
  <c r="FW1250" i="98" s="1"/>
  <c r="FW1256" i="98"/>
  <c r="FZ1284" i="98"/>
  <c r="GE1284" i="98"/>
  <c r="GB1284" i="98"/>
  <c r="GC1284" i="98"/>
  <c r="GD1284" i="98"/>
  <c r="FW1300" i="98"/>
  <c r="FT1308" i="98"/>
  <c r="GD1308" i="98"/>
  <c r="GE1308" i="98"/>
  <c r="FZ1308" i="98"/>
  <c r="GB1308" i="98"/>
  <c r="FW1324" i="98"/>
  <c r="GA1336" i="98"/>
  <c r="FZ1336" i="98"/>
  <c r="GE1336" i="98"/>
  <c r="GB1336" i="98"/>
  <c r="GC1336" i="98"/>
  <c r="GD1336" i="98"/>
  <c r="GO1336" i="98"/>
  <c r="FT1336" i="98"/>
  <c r="GJ1336" i="98"/>
  <c r="GP1341" i="98"/>
  <c r="FZ1341" i="98"/>
  <c r="GB1341" i="98"/>
  <c r="GD1341" i="98"/>
  <c r="FT1341" i="98"/>
  <c r="GD1348" i="98"/>
  <c r="GE1348" i="98"/>
  <c r="FZ1348" i="98"/>
  <c r="GB1348" i="98"/>
  <c r="FW1356" i="98"/>
  <c r="GI1366" i="98"/>
  <c r="GA1366" i="98"/>
  <c r="FZ1366" i="98"/>
  <c r="GE1366" i="98"/>
  <c r="GB1366" i="98"/>
  <c r="GC1366" i="98"/>
  <c r="GD1366" i="98"/>
  <c r="FZ1494" i="98"/>
  <c r="GB1494" i="98"/>
  <c r="GD1494" i="98"/>
  <c r="GE1494" i="98"/>
  <c r="GB1544" i="98"/>
  <c r="GD1544" i="98"/>
  <c r="GE1544" i="98"/>
  <c r="FZ1544" i="98"/>
  <c r="FW1560" i="98"/>
  <c r="FW1576" i="98"/>
  <c r="FZ1592" i="98"/>
  <c r="GB1592" i="98"/>
  <c r="GD1592" i="98"/>
  <c r="GE1592" i="98"/>
  <c r="FZ1604" i="98"/>
  <c r="GE1604" i="98"/>
  <c r="GB1604" i="98"/>
  <c r="GC1604" i="98"/>
  <c r="GD1604" i="98"/>
  <c r="FW1612" i="98"/>
  <c r="GD1630" i="98"/>
  <c r="GE1630" i="98"/>
  <c r="FZ1630" i="98"/>
  <c r="GB1630" i="98"/>
  <c r="GB1641" i="98"/>
  <c r="GD1641" i="98"/>
  <c r="GE1641" i="98"/>
  <c r="FZ1641" i="98"/>
  <c r="FZ1649" i="98"/>
  <c r="GB1649" i="98"/>
  <c r="GD1649" i="98"/>
  <c r="GE1649" i="98"/>
  <c r="FW1668" i="98"/>
  <c r="GC1684" i="98"/>
  <c r="GD1684" i="98"/>
  <c r="FZ1684" i="98"/>
  <c r="GE1684" i="98"/>
  <c r="GB1684" i="98"/>
  <c r="FW174" i="98"/>
  <c r="FW288" i="98"/>
  <c r="FW304" i="98"/>
  <c r="FW332" i="98"/>
  <c r="FW396" i="98"/>
  <c r="FZ413" i="98"/>
  <c r="GE413" i="98"/>
  <c r="GB413" i="98"/>
  <c r="GC413" i="98"/>
  <c r="GD413" i="98"/>
  <c r="FY487" i="98"/>
  <c r="FY519" i="98"/>
  <c r="FZ549" i="98"/>
  <c r="GB549" i="98"/>
  <c r="GD549" i="98"/>
  <c r="GE549" i="98"/>
  <c r="FW610" i="98"/>
  <c r="GE630" i="98"/>
  <c r="GE1043" i="98"/>
  <c r="GB1043" i="98"/>
  <c r="FZ1115" i="98"/>
  <c r="GB1115" i="98"/>
  <c r="GD1115" i="98"/>
  <c r="GE1115" i="98"/>
  <c r="GB1162" i="98"/>
  <c r="GD1162" i="98"/>
  <c r="GE1162" i="98"/>
  <c r="FZ1162" i="98"/>
  <c r="GC1278" i="98"/>
  <c r="GD1278" i="98"/>
  <c r="FZ1278" i="98"/>
  <c r="GE1278" i="98"/>
  <c r="GB1278" i="98"/>
  <c r="FZ1334" i="98"/>
  <c r="GB1334" i="98"/>
  <c r="GD1334" i="98"/>
  <c r="GE1334" i="98"/>
  <c r="FZ1374" i="98"/>
  <c r="GE1374" i="98"/>
  <c r="GB1374" i="98"/>
  <c r="GC1374" i="98"/>
  <c r="GD1374" i="98"/>
  <c r="GE1385" i="98"/>
  <c r="FT1389" i="98"/>
  <c r="GB1389" i="98" s="1"/>
  <c r="FY1396" i="98"/>
  <c r="FW1396" i="98" s="1"/>
  <c r="GD1437" i="98"/>
  <c r="FZ1437" i="98"/>
  <c r="GE1437" i="98"/>
  <c r="GB1437" i="98"/>
  <c r="GC1437" i="98"/>
  <c r="FY1444" i="98"/>
  <c r="FZ1449" i="98"/>
  <c r="GB1529" i="98"/>
  <c r="GC1529" i="98"/>
  <c r="GD1529" i="98"/>
  <c r="FZ1529" i="98"/>
  <c r="GE1529" i="98"/>
  <c r="GE1558" i="98"/>
  <c r="FZ1558" i="98"/>
  <c r="GB1558" i="98"/>
  <c r="GD1558" i="98"/>
  <c r="GD1574" i="98"/>
  <c r="GE1574" i="98"/>
  <c r="FZ1574" i="98"/>
  <c r="GB1574" i="98"/>
  <c r="GD1605" i="98"/>
  <c r="FZ1605" i="98"/>
  <c r="GE1605" i="98"/>
  <c r="GB1605" i="98"/>
  <c r="GC1605" i="98"/>
  <c r="GC1614" i="98"/>
  <c r="GD1614" i="98"/>
  <c r="FZ1614" i="98"/>
  <c r="GE1614" i="98"/>
  <c r="GB1614" i="98"/>
  <c r="FY1620" i="98"/>
  <c r="FY1636" i="98"/>
  <c r="FY1660" i="98"/>
  <c r="FY1676" i="98"/>
  <c r="GB1681" i="98"/>
  <c r="GC1681" i="98"/>
  <c r="GD1681" i="98"/>
  <c r="FZ1681" i="98"/>
  <c r="GE1681" i="98"/>
  <c r="GI778" i="98"/>
  <c r="FW1540" i="98"/>
  <c r="FW1592" i="98"/>
  <c r="FW745" i="98"/>
  <c r="FW1001" i="98"/>
  <c r="FZ1038" i="98"/>
  <c r="FW1204" i="98"/>
  <c r="FW1156" i="98"/>
  <c r="FW1284" i="98"/>
  <c r="FW1552" i="98"/>
  <c r="FW749" i="98"/>
  <c r="FW1114" i="98"/>
  <c r="FY1282" i="98"/>
  <c r="FW1428" i="98"/>
  <c r="FW1684" i="98"/>
  <c r="FT96" i="98"/>
  <c r="GG96" i="98"/>
  <c r="GK96" i="98"/>
  <c r="GO96" i="98"/>
  <c r="GJ96" i="98"/>
  <c r="GP96" i="98"/>
  <c r="GL96" i="98"/>
  <c r="GF96" i="98"/>
  <c r="GM96" i="98"/>
  <c r="GH96" i="98"/>
  <c r="GI96" i="98"/>
  <c r="GN96" i="98"/>
  <c r="GQ96" i="98"/>
  <c r="GF106" i="98"/>
  <c r="GJ106" i="98"/>
  <c r="GN106" i="98"/>
  <c r="GH106" i="98"/>
  <c r="GM106" i="98"/>
  <c r="GI106" i="98"/>
  <c r="GO106" i="98"/>
  <c r="GL106" i="98"/>
  <c r="FT106" i="98"/>
  <c r="GP106" i="98"/>
  <c r="GG106" i="98"/>
  <c r="GK106" i="98"/>
  <c r="GQ106" i="98"/>
  <c r="FW106" i="98"/>
  <c r="FT349" i="98"/>
  <c r="GI349" i="98" s="1"/>
  <c r="FW349" i="98"/>
  <c r="FT379" i="98"/>
  <c r="GP379" i="98"/>
  <c r="FT427" i="98"/>
  <c r="GI624" i="98"/>
  <c r="FT624" i="98"/>
  <c r="GP624" i="98"/>
  <c r="FW624" i="98"/>
  <c r="GI688" i="98"/>
  <c r="FT688" i="98"/>
  <c r="FZ688" i="98" s="1"/>
  <c r="GP688" i="98"/>
  <c r="GI720" i="98"/>
  <c r="GM720" i="98"/>
  <c r="FT720" i="98"/>
  <c r="GG720" i="98"/>
  <c r="GP720" i="98"/>
  <c r="FT652" i="98"/>
  <c r="GG652" i="98" s="1"/>
  <c r="FW652" i="98"/>
  <c r="FT790" i="98"/>
  <c r="GB790" i="98" s="1"/>
  <c r="FT822" i="98"/>
  <c r="GD822" i="98" s="1"/>
  <c r="FT854" i="98"/>
  <c r="GD854" i="98" s="1"/>
  <c r="FT918" i="98"/>
  <c r="GE918" i="98" s="1"/>
  <c r="GG918" i="98"/>
  <c r="GI918" i="98"/>
  <c r="GP918" i="98"/>
  <c r="FT938" i="98"/>
  <c r="GB938" i="98" s="1"/>
  <c r="FT712" i="98"/>
  <c r="FW712" i="98"/>
  <c r="FT744" i="98"/>
  <c r="GJ1032" i="98"/>
  <c r="FT1032" i="98"/>
  <c r="GG1032" i="98" s="1"/>
  <c r="GP1032" i="98"/>
  <c r="GI1032" i="98"/>
  <c r="FT942" i="98"/>
  <c r="GP942" i="98"/>
  <c r="GG942" i="98"/>
  <c r="FW942" i="98"/>
  <c r="GJ1019" i="98"/>
  <c r="FT1019" i="98"/>
  <c r="GI1019" i="98" s="1"/>
  <c r="GM1035" i="98"/>
  <c r="GJ1035" i="98"/>
  <c r="FT1035" i="98"/>
  <c r="GP1035" i="98"/>
  <c r="FT988" i="98"/>
  <c r="FT1207" i="98"/>
  <c r="FZ1207" i="98" s="1"/>
  <c r="GM1207" i="98"/>
  <c r="GP1207" i="98"/>
  <c r="FT958" i="98"/>
  <c r="GP958" i="98"/>
  <c r="FW958" i="98"/>
  <c r="GF1056" i="98"/>
  <c r="GJ1056" i="98"/>
  <c r="GN1056" i="98"/>
  <c r="GH1056" i="98"/>
  <c r="GM1056" i="98"/>
  <c r="GI1056" i="98"/>
  <c r="GO1056" i="98"/>
  <c r="FT1056" i="98"/>
  <c r="GK1056" i="98"/>
  <c r="GP1056" i="98"/>
  <c r="GL1056" i="98"/>
  <c r="GQ1056" i="98"/>
  <c r="GG1056" i="98"/>
  <c r="FW1056" i="98"/>
  <c r="FT1442" i="98"/>
  <c r="GD1442" i="98" s="1"/>
  <c r="FW1442" i="98"/>
  <c r="FT1527" i="98"/>
  <c r="GI1527" i="98" s="1"/>
  <c r="FT1611" i="98"/>
  <c r="GI1611" i="98" s="1"/>
  <c r="FT1434" i="98"/>
  <c r="GP1434" i="98" s="1"/>
  <c r="FW1434" i="98"/>
  <c r="GI1354" i="98"/>
  <c r="FT1354" i="98"/>
  <c r="GP1354" i="98" s="1"/>
  <c r="FW1354" i="98"/>
  <c r="GF1466" i="98"/>
  <c r="GJ1466" i="98"/>
  <c r="GN1466" i="98"/>
  <c r="GH1466" i="98"/>
  <c r="GM1466" i="98"/>
  <c r="GI1466" i="98"/>
  <c r="GO1466" i="98"/>
  <c r="FT1466" i="98"/>
  <c r="GK1466" i="98"/>
  <c r="GP1466" i="98"/>
  <c r="GL1466" i="98"/>
  <c r="GG1466" i="98"/>
  <c r="GQ1466" i="98"/>
  <c r="FW1466" i="98"/>
  <c r="GJ1591" i="98"/>
  <c r="FT1591" i="98"/>
  <c r="GD1591" i="98" s="1"/>
  <c r="FT1659" i="98"/>
  <c r="GI1659" i="98" s="1"/>
  <c r="FT1675" i="98"/>
  <c r="GM1675" i="98" s="1"/>
  <c r="GP1675" i="98"/>
  <c r="FT1647" i="98"/>
  <c r="GI1647" i="98" s="1"/>
  <c r="FT94" i="98"/>
  <c r="GP94" i="98" s="1"/>
  <c r="GI98" i="98"/>
  <c r="GM98" i="98"/>
  <c r="FT98" i="98"/>
  <c r="GP98" i="98"/>
  <c r="GG98" i="98"/>
  <c r="GJ98" i="98"/>
  <c r="GI176" i="98"/>
  <c r="GM176" i="98"/>
  <c r="GQ176" i="98"/>
  <c r="GF176" i="98"/>
  <c r="GJ176" i="98"/>
  <c r="GN176" i="98"/>
  <c r="FT176" i="98"/>
  <c r="GK176" i="98"/>
  <c r="GL176" i="98"/>
  <c r="GG176" i="98"/>
  <c r="GO176" i="98"/>
  <c r="GH176" i="98"/>
  <c r="GP176" i="98"/>
  <c r="FW176" i="98"/>
  <c r="GM188" i="98"/>
  <c r="GJ188" i="98"/>
  <c r="FT188" i="98"/>
  <c r="GG188" i="98"/>
  <c r="GP188" i="98"/>
  <c r="FW188" i="98"/>
  <c r="FT329" i="98"/>
  <c r="GM329" i="98" s="1"/>
  <c r="FT274" i="98"/>
  <c r="GF306" i="98"/>
  <c r="GJ306" i="98"/>
  <c r="GN306" i="98"/>
  <c r="FT306" i="98"/>
  <c r="GG306" i="98"/>
  <c r="GK306" i="98"/>
  <c r="GO306" i="98"/>
  <c r="GH306" i="98"/>
  <c r="GP306" i="98"/>
  <c r="GI306" i="98"/>
  <c r="GQ306" i="98"/>
  <c r="GL306" i="98"/>
  <c r="GM306" i="98"/>
  <c r="FW306" i="98"/>
  <c r="GJ314" i="98"/>
  <c r="FT314" i="98"/>
  <c r="GG314" i="98" s="1"/>
  <c r="GI314" i="98"/>
  <c r="GM314" i="98"/>
  <c r="FT367" i="98"/>
  <c r="GG367" i="98"/>
  <c r="GP367" i="98"/>
  <c r="GJ411" i="98"/>
  <c r="FT411" i="98"/>
  <c r="GG411" i="98" s="1"/>
  <c r="FW411" i="98"/>
  <c r="GM451" i="98"/>
  <c r="FT451" i="98"/>
  <c r="GG451" i="98"/>
  <c r="GP451" i="98"/>
  <c r="FW451" i="98"/>
  <c r="GJ423" i="98"/>
  <c r="FT423" i="98"/>
  <c r="GG423" i="98" s="1"/>
  <c r="FT482" i="98"/>
  <c r="GP482" i="98" s="1"/>
  <c r="FW482" i="98"/>
  <c r="FT514" i="98"/>
  <c r="GP514" i="98"/>
  <c r="FW514" i="98"/>
  <c r="FT534" i="98"/>
  <c r="GP534" i="98"/>
  <c r="GI526" i="98"/>
  <c r="GM526" i="98"/>
  <c r="GQ526" i="98"/>
  <c r="GF526" i="98"/>
  <c r="GJ526" i="98"/>
  <c r="GN526" i="98"/>
  <c r="FT526" i="98"/>
  <c r="GG526" i="98"/>
  <c r="GK526" i="98"/>
  <c r="GO526" i="98"/>
  <c r="GP526" i="98"/>
  <c r="GH526" i="98"/>
  <c r="GL526" i="98"/>
  <c r="GI566" i="98"/>
  <c r="GM566" i="98"/>
  <c r="GQ566" i="98"/>
  <c r="GF566" i="98"/>
  <c r="GJ566" i="98"/>
  <c r="GN566" i="98"/>
  <c r="FT566" i="98"/>
  <c r="GG566" i="98"/>
  <c r="GK566" i="98"/>
  <c r="GO566" i="98"/>
  <c r="GP566" i="98"/>
  <c r="GH566" i="98"/>
  <c r="GL566" i="98"/>
  <c r="GI596" i="98"/>
  <c r="GM596" i="98"/>
  <c r="GQ596" i="98"/>
  <c r="GF596" i="98"/>
  <c r="GJ596" i="98"/>
  <c r="GN596" i="98"/>
  <c r="FT596" i="98"/>
  <c r="GG596" i="98"/>
  <c r="GK596" i="98"/>
  <c r="GO596" i="98"/>
  <c r="GL596" i="98"/>
  <c r="GP596" i="98"/>
  <c r="GH596" i="98"/>
  <c r="FT740" i="98"/>
  <c r="FW740" i="98"/>
  <c r="GI736" i="98"/>
  <c r="GM736" i="98"/>
  <c r="GQ736" i="98"/>
  <c r="GF736" i="98"/>
  <c r="GJ736" i="98"/>
  <c r="GN736" i="98"/>
  <c r="FT736" i="98"/>
  <c r="GG736" i="98"/>
  <c r="GK736" i="98"/>
  <c r="GO736" i="98"/>
  <c r="GH736" i="98"/>
  <c r="GL736" i="98"/>
  <c r="GP736" i="98"/>
  <c r="FT768" i="98"/>
  <c r="GP768" i="98"/>
  <c r="FT572" i="98"/>
  <c r="GI572" i="98" s="1"/>
  <c r="FW572" i="98"/>
  <c r="GI604" i="98"/>
  <c r="GM604" i="98"/>
  <c r="FT604" i="98"/>
  <c r="GG604" i="98"/>
  <c r="GP604" i="98"/>
  <c r="FW604" i="98"/>
  <c r="GI700" i="98"/>
  <c r="GM700" i="98"/>
  <c r="GJ700" i="98"/>
  <c r="FT700" i="98"/>
  <c r="GG700" i="98"/>
  <c r="GP700" i="98"/>
  <c r="FW700" i="98"/>
  <c r="GJ568" i="98"/>
  <c r="FT568" i="98"/>
  <c r="GI568" i="98" s="1"/>
  <c r="GM760" i="98"/>
  <c r="GJ760" i="98"/>
  <c r="FT760" i="98"/>
  <c r="FZ760" i="98" s="1"/>
  <c r="GG760" i="98"/>
  <c r="GP760" i="98"/>
  <c r="FW760" i="98"/>
  <c r="FT1007" i="98"/>
  <c r="FZ1007" i="98" s="1"/>
  <c r="FW1007" i="98"/>
  <c r="GJ1023" i="98"/>
  <c r="FT1023" i="98"/>
  <c r="GE1023" i="98" s="1"/>
  <c r="FW1023" i="98"/>
  <c r="FT1157" i="98"/>
  <c r="GD1157" i="98" s="1"/>
  <c r="FW1157" i="98"/>
  <c r="GJ1109" i="98"/>
  <c r="FT1109" i="98"/>
  <c r="GG1109" i="98" s="1"/>
  <c r="FT1125" i="98"/>
  <c r="GP1125" i="98" s="1"/>
  <c r="FW1125" i="98"/>
  <c r="FT1301" i="98"/>
  <c r="GI1301" i="98" s="1"/>
  <c r="FW1301" i="98"/>
  <c r="FT1507" i="98"/>
  <c r="FT1450" i="98"/>
  <c r="GC1450" i="98" s="1"/>
  <c r="GP1450" i="98"/>
  <c r="FW1450" i="98"/>
  <c r="GI1567" i="98"/>
  <c r="FT1567" i="98"/>
  <c r="GM1567" i="98" s="1"/>
  <c r="GP1567" i="98"/>
  <c r="GI113" i="98"/>
  <c r="GM113" i="98"/>
  <c r="FT113" i="98"/>
  <c r="GP113" i="98"/>
  <c r="GG113" i="98"/>
  <c r="FT200" i="98"/>
  <c r="FT290" i="98"/>
  <c r="FW290" i="98"/>
  <c r="FT301" i="98"/>
  <c r="FW301" i="98"/>
  <c r="FT310" i="98"/>
  <c r="GI357" i="98"/>
  <c r="FT357" i="98"/>
  <c r="GP357" i="98" s="1"/>
  <c r="FW357" i="98"/>
  <c r="GM403" i="98"/>
  <c r="FT403" i="98"/>
  <c r="GG403" i="98"/>
  <c r="FW403" i="98"/>
  <c r="FT494" i="98"/>
  <c r="GB494" i="98" s="1"/>
  <c r="FT399" i="98"/>
  <c r="GI399" i="98" s="1"/>
  <c r="FW399" i="98"/>
  <c r="FT530" i="98"/>
  <c r="GB530" i="98" s="1"/>
  <c r="FW530" i="98"/>
  <c r="FT612" i="98"/>
  <c r="GI612" i="98" s="1"/>
  <c r="FW612" i="98"/>
  <c r="FT558" i="98"/>
  <c r="GI656" i="98"/>
  <c r="GM656" i="98"/>
  <c r="GQ656" i="98"/>
  <c r="GF656" i="98"/>
  <c r="GJ656" i="98"/>
  <c r="GN656" i="98"/>
  <c r="FT656" i="98"/>
  <c r="GG656" i="98"/>
  <c r="GK656" i="98"/>
  <c r="GO656" i="98"/>
  <c r="GH656" i="98"/>
  <c r="GL656" i="98"/>
  <c r="GP656" i="98"/>
  <c r="FW656" i="98"/>
  <c r="GI672" i="98"/>
  <c r="FT672" i="98"/>
  <c r="GM672" i="98" s="1"/>
  <c r="FW672" i="98"/>
  <c r="GI636" i="98"/>
  <c r="GM636" i="98"/>
  <c r="GQ636" i="98"/>
  <c r="GF636" i="98"/>
  <c r="GJ636" i="98"/>
  <c r="GN636" i="98"/>
  <c r="FT636" i="98"/>
  <c r="GG636" i="98"/>
  <c r="GK636" i="98"/>
  <c r="GO636" i="98"/>
  <c r="GH636" i="98"/>
  <c r="GL636" i="98"/>
  <c r="GP636" i="98"/>
  <c r="FW636" i="98"/>
  <c r="FT584" i="98"/>
  <c r="GI680" i="98"/>
  <c r="GM680" i="98"/>
  <c r="FT680" i="98"/>
  <c r="GG680" i="98"/>
  <c r="GP680" i="98"/>
  <c r="FW680" i="98"/>
  <c r="GF806" i="98"/>
  <c r="GJ806" i="98"/>
  <c r="GN806" i="98"/>
  <c r="FT806" i="98"/>
  <c r="GG806" i="98"/>
  <c r="GK806" i="98"/>
  <c r="GO806" i="98"/>
  <c r="GI806" i="98"/>
  <c r="GQ806" i="98"/>
  <c r="GL806" i="98"/>
  <c r="GM806" i="98"/>
  <c r="GH806" i="98"/>
  <c r="GP806" i="98"/>
  <c r="GJ838" i="98"/>
  <c r="FT838" i="98"/>
  <c r="GG838" i="98" s="1"/>
  <c r="GM838" i="98"/>
  <c r="GP838" i="98"/>
  <c r="FT870" i="98"/>
  <c r="GG870" i="98"/>
  <c r="GI870" i="98"/>
  <c r="GP870" i="98"/>
  <c r="GJ902" i="98"/>
  <c r="FT902" i="98"/>
  <c r="GG902" i="98" s="1"/>
  <c r="GM902" i="98"/>
  <c r="GP902" i="98"/>
  <c r="FT984" i="98"/>
  <c r="GM984" i="98" s="1"/>
  <c r="GF1016" i="98"/>
  <c r="GJ1016" i="98"/>
  <c r="GN1016" i="98"/>
  <c r="FT1016" i="98"/>
  <c r="GG1016" i="98"/>
  <c r="GK1016" i="98"/>
  <c r="GO1016" i="98"/>
  <c r="GL1016" i="98"/>
  <c r="GM1016" i="98"/>
  <c r="GH1016" i="98"/>
  <c r="GP1016" i="98"/>
  <c r="GI1016" i="98"/>
  <c r="GQ1016" i="98"/>
  <c r="GM1011" i="98"/>
  <c r="FT1011" i="98"/>
  <c r="GB1011" i="98" s="1"/>
  <c r="FT1027" i="98"/>
  <c r="GI1027" i="98" s="1"/>
  <c r="FT1159" i="98"/>
  <c r="GG1159" i="98" s="1"/>
  <c r="GM1159" i="98"/>
  <c r="GP1159" i="98"/>
  <c r="FT1175" i="98"/>
  <c r="GB1175" i="98" s="1"/>
  <c r="GG1175" i="98"/>
  <c r="GI1175" i="98"/>
  <c r="GP1175" i="98"/>
  <c r="GJ1175" i="98"/>
  <c r="FW1175" i="98"/>
  <c r="FT1072" i="98"/>
  <c r="GP1072" i="98"/>
  <c r="GG1072" i="98"/>
  <c r="FW1072" i="98"/>
  <c r="FT1141" i="98"/>
  <c r="GI1141" i="98" s="1"/>
  <c r="FW1141" i="98"/>
  <c r="FT1133" i="98"/>
  <c r="GI1133" i="98" s="1"/>
  <c r="FT1004" i="98"/>
  <c r="GI1121" i="98"/>
  <c r="GM1121" i="98"/>
  <c r="FT1121" i="98"/>
  <c r="GG1121" i="98"/>
  <c r="GP1121" i="98"/>
  <c r="FT1137" i="98"/>
  <c r="FZ1137" i="98" s="1"/>
  <c r="FT1314" i="98"/>
  <c r="GJ1314" i="98" s="1"/>
  <c r="FW1314" i="98"/>
  <c r="GI1474" i="98"/>
  <c r="FT1474" i="98"/>
  <c r="GP1474" i="98" s="1"/>
  <c r="FW1474" i="98"/>
  <c r="GI1322" i="98"/>
  <c r="FT1322" i="98"/>
  <c r="GP1322" i="98"/>
  <c r="GG1322" i="98"/>
  <c r="FW1322" i="98"/>
  <c r="FT1418" i="98"/>
  <c r="GJ1418" i="98" s="1"/>
  <c r="GP1418" i="98"/>
  <c r="GG1418" i="98"/>
  <c r="FW1418" i="98"/>
  <c r="FT1458" i="98"/>
  <c r="GB1458" i="98" s="1"/>
  <c r="GP1458" i="98"/>
  <c r="GG1458" i="98"/>
  <c r="FW1458" i="98"/>
  <c r="FT1303" i="98"/>
  <c r="GG1303" i="98"/>
  <c r="GI1303" i="98"/>
  <c r="GP1303" i="98"/>
  <c r="GJ1303" i="98"/>
  <c r="FT365" i="98"/>
  <c r="GP365" i="98" s="1"/>
  <c r="FW365" i="98"/>
  <c r="GI447" i="98"/>
  <c r="FT447" i="98"/>
  <c r="GJ478" i="98"/>
  <c r="FT478" i="98"/>
  <c r="GI478" i="98" s="1"/>
  <c r="GM510" i="98"/>
  <c r="GJ510" i="98"/>
  <c r="FT510" i="98"/>
  <c r="GG510" i="98"/>
  <c r="GP510" i="98"/>
  <c r="FT431" i="98"/>
  <c r="FT640" i="98"/>
  <c r="GP640" i="98"/>
  <c r="GJ232" i="98"/>
  <c r="FT232" i="98"/>
  <c r="GP232" i="98"/>
  <c r="GM232" i="98"/>
  <c r="GJ297" i="98"/>
  <c r="FT297" i="98"/>
  <c r="GM297" i="98" s="1"/>
  <c r="FT321" i="98"/>
  <c r="GM321" i="98" s="1"/>
  <c r="FW321" i="98"/>
  <c r="FT90" i="98"/>
  <c r="GP90" i="98"/>
  <c r="FW90" i="98"/>
  <c r="FT127" i="98"/>
  <c r="GI127" i="98" s="1"/>
  <c r="FW127" i="98"/>
  <c r="FT143" i="98"/>
  <c r="GG143" i="98" s="1"/>
  <c r="GP143" i="98"/>
  <c r="FW143" i="98"/>
  <c r="FT159" i="98"/>
  <c r="GG159" i="98"/>
  <c r="GM159" i="98"/>
  <c r="GJ159" i="98"/>
  <c r="GP159" i="98"/>
  <c r="GJ250" i="98"/>
  <c r="FT250" i="98"/>
  <c r="GG250" i="98"/>
  <c r="GI250" i="98"/>
  <c r="GM250" i="98"/>
  <c r="GP250" i="98"/>
  <c r="GI278" i="98"/>
  <c r="GM278" i="98"/>
  <c r="GJ278" i="98"/>
  <c r="FT278" i="98"/>
  <c r="GG278" i="98"/>
  <c r="GP278" i="98"/>
  <c r="GM289" i="98"/>
  <c r="FT289" i="98"/>
  <c r="FW289" i="98"/>
  <c r="FT338" i="98"/>
  <c r="FT362" i="98"/>
  <c r="FT371" i="98"/>
  <c r="GI371" i="98"/>
  <c r="GJ371" i="98"/>
  <c r="GJ419" i="98"/>
  <c r="FT419" i="98"/>
  <c r="GI419" i="98" s="1"/>
  <c r="GM498" i="98"/>
  <c r="GJ498" i="98"/>
  <c r="FT498" i="98"/>
  <c r="GG498" i="98"/>
  <c r="GP498" i="98"/>
  <c r="FW498" i="98"/>
  <c r="FT692" i="98"/>
  <c r="FZ692" i="98" s="1"/>
  <c r="FT724" i="98"/>
  <c r="GI576" i="98"/>
  <c r="GM576" i="98"/>
  <c r="GQ576" i="98"/>
  <c r="GF576" i="98"/>
  <c r="GJ576" i="98"/>
  <c r="GN576" i="98"/>
  <c r="FT576" i="98"/>
  <c r="GG576" i="98"/>
  <c r="GK576" i="98"/>
  <c r="GO576" i="98"/>
  <c r="GH576" i="98"/>
  <c r="GL576" i="98"/>
  <c r="GP576" i="98"/>
  <c r="FT704" i="98"/>
  <c r="GI704" i="98" s="1"/>
  <c r="FW704" i="98"/>
  <c r="GI550" i="98"/>
  <c r="GM550" i="98"/>
  <c r="FT550" i="98"/>
  <c r="GG550" i="98"/>
  <c r="GP550" i="98"/>
  <c r="FT684" i="98"/>
  <c r="GG684" i="98" s="1"/>
  <c r="FW684" i="98"/>
  <c r="GI716" i="98"/>
  <c r="GM716" i="98"/>
  <c r="GQ716" i="98"/>
  <c r="GF716" i="98"/>
  <c r="GJ716" i="98"/>
  <c r="GN716" i="98"/>
  <c r="FT716" i="98"/>
  <c r="GG716" i="98"/>
  <c r="GK716" i="98"/>
  <c r="GO716" i="98"/>
  <c r="GH716" i="98"/>
  <c r="GL716" i="98"/>
  <c r="GP716" i="98"/>
  <c r="FT632" i="98"/>
  <c r="FW632" i="98"/>
  <c r="FT455" i="98"/>
  <c r="FW455" i="98"/>
  <c r="FT951" i="98"/>
  <c r="GG951" i="98" s="1"/>
  <c r="FT1000" i="98"/>
  <c r="GI1000" i="98" s="1"/>
  <c r="FW1000" i="98"/>
  <c r="FT1191" i="98"/>
  <c r="GE1191" i="98" s="1"/>
  <c r="GG1191" i="98"/>
  <c r="GI1191" i="98"/>
  <c r="GM1191" i="98"/>
  <c r="GP1191" i="98"/>
  <c r="GJ1191" i="98"/>
  <c r="FW1191" i="98"/>
  <c r="GI1205" i="98"/>
  <c r="FT1205" i="98"/>
  <c r="GM1205" i="98" s="1"/>
  <c r="GP1205" i="98"/>
  <c r="GJ1205" i="98"/>
  <c r="FW1205" i="98"/>
  <c r="FT1378" i="98"/>
  <c r="GP1378" i="98"/>
  <c r="GG1378" i="98"/>
  <c r="FW1378" i="98"/>
  <c r="FT1498" i="98"/>
  <c r="GJ1498" i="98" s="1"/>
  <c r="FW1498" i="98"/>
  <c r="FT1555" i="98"/>
  <c r="GI1555" i="98" s="1"/>
  <c r="GJ108" i="98"/>
  <c r="GM108" i="98"/>
  <c r="GG108" i="98"/>
  <c r="GJ132" i="98"/>
  <c r="FT132" i="98"/>
  <c r="GG132" i="98" s="1"/>
  <c r="GF136" i="98"/>
  <c r="GJ136" i="98"/>
  <c r="GN136" i="98"/>
  <c r="FT136" i="98"/>
  <c r="GG136" i="98"/>
  <c r="GK136" i="98"/>
  <c r="GO136" i="98"/>
  <c r="GL136" i="98"/>
  <c r="GH136" i="98"/>
  <c r="GP136" i="98"/>
  <c r="GQ136" i="98"/>
  <c r="GI136" i="98"/>
  <c r="GM136" i="98"/>
  <c r="GI137" i="98"/>
  <c r="GM137" i="98"/>
  <c r="GP137" i="98"/>
  <c r="GJ137" i="98"/>
  <c r="GI112" i="98"/>
  <c r="FT184" i="98"/>
  <c r="FT205" i="98"/>
  <c r="GG205" i="98" s="1"/>
  <c r="GP205" i="98"/>
  <c r="FW205" i="98"/>
  <c r="FT229" i="98"/>
  <c r="GG229" i="98"/>
  <c r="GI229" i="98"/>
  <c r="GP229" i="98"/>
  <c r="FW229" i="98"/>
  <c r="GI224" i="98"/>
  <c r="FT224" i="98"/>
  <c r="GP224" i="98"/>
  <c r="GG224" i="98"/>
  <c r="GJ242" i="98"/>
  <c r="FT242" i="98"/>
  <c r="GG242" i="98"/>
  <c r="GI242" i="98"/>
  <c r="GM242" i="98"/>
  <c r="GP242" i="98"/>
  <c r="FT258" i="98"/>
  <c r="GG258" i="98" s="1"/>
  <c r="GP258" i="98"/>
  <c r="FT269" i="98"/>
  <c r="FT268" i="98"/>
  <c r="GG268" i="98"/>
  <c r="GI268" i="98"/>
  <c r="GJ268" i="98"/>
  <c r="FT350" i="98"/>
  <c r="GI350" i="98"/>
  <c r="GF216" i="98"/>
  <c r="GJ216" i="98"/>
  <c r="GN216" i="98"/>
  <c r="GH216" i="98"/>
  <c r="GM216" i="98"/>
  <c r="GI216" i="98"/>
  <c r="GO216" i="98"/>
  <c r="FT216" i="98"/>
  <c r="GK216" i="98"/>
  <c r="GP216" i="98"/>
  <c r="GG216" i="98"/>
  <c r="GL216" i="98"/>
  <c r="GQ216" i="98"/>
  <c r="FT244" i="98"/>
  <c r="FT305" i="98"/>
  <c r="GJ337" i="98"/>
  <c r="FT337" i="98"/>
  <c r="GM337" i="98" s="1"/>
  <c r="GP345" i="98"/>
  <c r="FT424" i="98"/>
  <c r="GP424" i="98"/>
  <c r="FW424" i="98"/>
  <c r="GI293" i="98"/>
  <c r="GG293" i="98"/>
  <c r="GP293" i="98"/>
  <c r="FT293" i="98"/>
  <c r="GI373" i="98"/>
  <c r="GG373" i="98"/>
  <c r="GP373" i="98"/>
  <c r="FT373" i="98"/>
  <c r="FT391" i="98"/>
  <c r="GG391" i="98"/>
  <c r="GI391" i="98"/>
  <c r="FW391" i="98"/>
  <c r="GP391" i="98"/>
  <c r="GH426" i="98"/>
  <c r="GL426" i="98"/>
  <c r="GP426" i="98"/>
  <c r="GI426" i="98"/>
  <c r="GM426" i="98"/>
  <c r="GQ426" i="98"/>
  <c r="GF426" i="98"/>
  <c r="GJ426" i="98"/>
  <c r="GN426" i="98"/>
  <c r="FT426" i="98"/>
  <c r="GG426" i="98"/>
  <c r="GK426" i="98"/>
  <c r="GO426" i="98"/>
  <c r="GJ470" i="98"/>
  <c r="FT470" i="98"/>
  <c r="GI470" i="98" s="1"/>
  <c r="GJ395" i="98"/>
  <c r="FT395" i="98"/>
  <c r="GI395" i="98" s="1"/>
  <c r="FT441" i="98"/>
  <c r="GG441" i="98" s="1"/>
  <c r="GP344" i="98"/>
  <c r="FW379" i="98"/>
  <c r="FT463" i="98"/>
  <c r="GG463" i="98" s="1"/>
  <c r="GG483" i="98"/>
  <c r="GI483" i="98"/>
  <c r="GM483" i="98"/>
  <c r="GG515" i="98"/>
  <c r="GI515" i="98"/>
  <c r="GM515" i="98"/>
  <c r="FT459" i="98"/>
  <c r="GI459" i="98" s="1"/>
  <c r="GJ512" i="98"/>
  <c r="GI506" i="98"/>
  <c r="GM506" i="98"/>
  <c r="GQ506" i="98"/>
  <c r="GF506" i="98"/>
  <c r="GJ506" i="98"/>
  <c r="GN506" i="98"/>
  <c r="FT506" i="98"/>
  <c r="GG506" i="98"/>
  <c r="GK506" i="98"/>
  <c r="GO506" i="98"/>
  <c r="GH506" i="98"/>
  <c r="GL506" i="98"/>
  <c r="GP506" i="98"/>
  <c r="FT522" i="98"/>
  <c r="GP522" i="98" s="1"/>
  <c r="FT528" i="98"/>
  <c r="GG528" i="98"/>
  <c r="GP528" i="98"/>
  <c r="GM528" i="98"/>
  <c r="GJ528" i="98"/>
  <c r="FT564" i="98"/>
  <c r="GG564" i="98" s="1"/>
  <c r="FT615" i="98"/>
  <c r="GI615" i="98" s="1"/>
  <c r="GJ663" i="98"/>
  <c r="FT663" i="98"/>
  <c r="GP663" i="98" s="1"/>
  <c r="FT711" i="98"/>
  <c r="FT759" i="98"/>
  <c r="GG759" i="98" s="1"/>
  <c r="FT493" i="98"/>
  <c r="FT535" i="98"/>
  <c r="GP535" i="98"/>
  <c r="GI580" i="98"/>
  <c r="FT580" i="98"/>
  <c r="GJ642" i="98"/>
  <c r="GJ658" i="98"/>
  <c r="GP372" i="98"/>
  <c r="GM593" i="98"/>
  <c r="GI697" i="98"/>
  <c r="GM697" i="98"/>
  <c r="GI729" i="98"/>
  <c r="GM729" i="98"/>
  <c r="FT513" i="98"/>
  <c r="FZ513" i="98" s="1"/>
  <c r="GI546" i="98"/>
  <c r="GM546" i="98"/>
  <c r="GQ546" i="98"/>
  <c r="GF546" i="98"/>
  <c r="GJ546" i="98"/>
  <c r="GN546" i="98"/>
  <c r="FT546" i="98"/>
  <c r="GG546" i="98"/>
  <c r="GK546" i="98"/>
  <c r="GO546" i="98"/>
  <c r="GP546" i="98"/>
  <c r="GH546" i="98"/>
  <c r="GL546" i="98"/>
  <c r="FT588" i="98"/>
  <c r="GG588" i="98" s="1"/>
  <c r="FT620" i="98"/>
  <c r="FZ620" i="98" s="1"/>
  <c r="GM621" i="98"/>
  <c r="FT730" i="98"/>
  <c r="GP730" i="98"/>
  <c r="GI730" i="98"/>
  <c r="GJ730" i="98"/>
  <c r="FT959" i="98"/>
  <c r="GI959" i="98" s="1"/>
  <c r="FT875" i="98"/>
  <c r="GG875" i="98"/>
  <c r="GP875" i="98"/>
  <c r="GI875" i="98"/>
  <c r="GJ875" i="98"/>
  <c r="GM875" i="98"/>
  <c r="FT891" i="98"/>
  <c r="FZ891" i="98" s="1"/>
  <c r="GM891" i="98"/>
  <c r="FT907" i="98"/>
  <c r="GM907" i="98" s="1"/>
  <c r="FT923" i="98"/>
  <c r="GP923" i="98"/>
  <c r="GM923" i="98"/>
  <c r="FT939" i="98"/>
  <c r="GG939" i="98"/>
  <c r="GP939" i="98"/>
  <c r="GI939" i="98"/>
  <c r="GJ939" i="98"/>
  <c r="GM939" i="98"/>
  <c r="GM968" i="98"/>
  <c r="GJ968" i="98"/>
  <c r="FT968" i="98"/>
  <c r="GG968" i="98"/>
  <c r="GP968" i="98"/>
  <c r="FT1017" i="98"/>
  <c r="GG1017" i="98" s="1"/>
  <c r="FW1017" i="98"/>
  <c r="GM1017" i="98"/>
  <c r="FT1049" i="98"/>
  <c r="GG1049" i="98"/>
  <c r="FW1049" i="98"/>
  <c r="GI1049" i="98"/>
  <c r="GP1049" i="98"/>
  <c r="GJ1049" i="98"/>
  <c r="FT1081" i="98"/>
  <c r="FW1081" i="98"/>
  <c r="GM1081" i="98"/>
  <c r="GJ1081" i="98"/>
  <c r="GH816" i="98"/>
  <c r="GL816" i="98"/>
  <c r="GP816" i="98"/>
  <c r="GI816" i="98"/>
  <c r="GM816" i="98"/>
  <c r="GQ816" i="98"/>
  <c r="GG816" i="98"/>
  <c r="GO816" i="98"/>
  <c r="FT816" i="98"/>
  <c r="GJ816" i="98"/>
  <c r="GK816" i="98"/>
  <c r="GF816" i="98"/>
  <c r="GN816" i="98"/>
  <c r="FT832" i="98"/>
  <c r="GG848" i="98"/>
  <c r="FT848" i="98"/>
  <c r="FZ848" i="98" s="1"/>
  <c r="GG864" i="98"/>
  <c r="FT864" i="98"/>
  <c r="GJ864" i="98" s="1"/>
  <c r="FT880" i="98"/>
  <c r="FZ880" i="98" s="1"/>
  <c r="FT912" i="98"/>
  <c r="GE912" i="98" s="1"/>
  <c r="GG928" i="98"/>
  <c r="FT928" i="98"/>
  <c r="GJ928" i="98"/>
  <c r="GI964" i="98"/>
  <c r="GM964" i="98"/>
  <c r="FT964" i="98"/>
  <c r="GG964" i="98"/>
  <c r="GP964" i="98"/>
  <c r="GI996" i="98"/>
  <c r="GM996" i="98"/>
  <c r="GQ996" i="98"/>
  <c r="GF996" i="98"/>
  <c r="GJ996" i="98"/>
  <c r="GN996" i="98"/>
  <c r="FT996" i="98"/>
  <c r="GG996" i="98"/>
  <c r="GK996" i="98"/>
  <c r="GO996" i="98"/>
  <c r="GH996" i="98"/>
  <c r="GL996" i="98"/>
  <c r="GP996" i="98"/>
  <c r="FT950" i="98"/>
  <c r="GI969" i="98"/>
  <c r="FT1037" i="98"/>
  <c r="GG1037" i="98" s="1"/>
  <c r="GJ1037" i="98"/>
  <c r="GP1037" i="98"/>
  <c r="FT1085" i="98"/>
  <c r="GG1085" i="98"/>
  <c r="GI1085" i="98"/>
  <c r="GP1085" i="98"/>
  <c r="GM1085" i="98"/>
  <c r="GI1031" i="98"/>
  <c r="FT1031" i="98"/>
  <c r="GG1031" i="98"/>
  <c r="GP1031" i="98"/>
  <c r="FT1097" i="98"/>
  <c r="GI1097" i="98" s="1"/>
  <c r="GJ1113" i="98"/>
  <c r="FT1113" i="98"/>
  <c r="GG1113" i="98" s="1"/>
  <c r="GM1225" i="98"/>
  <c r="FT1225" i="98"/>
  <c r="GB1225" i="98" s="1"/>
  <c r="FT1291" i="98"/>
  <c r="GG1291" i="98" s="1"/>
  <c r="FT1323" i="98"/>
  <c r="GG1323" i="98"/>
  <c r="GM1323" i="98"/>
  <c r="GJ1323" i="98"/>
  <c r="GP1323" i="98"/>
  <c r="FT1451" i="98"/>
  <c r="GG1451" i="98" s="1"/>
  <c r="GP1451" i="98"/>
  <c r="FT1483" i="98"/>
  <c r="GI1092" i="98"/>
  <c r="FT1199" i="98"/>
  <c r="GM1199" i="98"/>
  <c r="FT1231" i="98"/>
  <c r="GG1231" i="98" s="1"/>
  <c r="GM1231" i="98"/>
  <c r="GJ1231" i="98"/>
  <c r="FT1247" i="98"/>
  <c r="GD1247" i="98" s="1"/>
  <c r="GG1247" i="98"/>
  <c r="GI1247" i="98"/>
  <c r="GJ1247" i="98"/>
  <c r="GP1247" i="98"/>
  <c r="GG1268" i="98"/>
  <c r="FT1293" i="98"/>
  <c r="GB1293" i="98" s="1"/>
  <c r="GJ1452" i="98"/>
  <c r="GM1452" i="98"/>
  <c r="GG1452" i="98"/>
  <c r="GJ1468" i="98"/>
  <c r="GG1468" i="98"/>
  <c r="GM1468" i="98"/>
  <c r="GJ1484" i="98"/>
  <c r="GG1484" i="98"/>
  <c r="GM1484" i="98"/>
  <c r="GG1532" i="98"/>
  <c r="GI1532" i="98"/>
  <c r="GM1532" i="98"/>
  <c r="GG1580" i="98"/>
  <c r="GI1580" i="98"/>
  <c r="GM1580" i="98"/>
  <c r="GP1060" i="98"/>
  <c r="FW951" i="98"/>
  <c r="GP1083" i="98"/>
  <c r="FT1235" i="98"/>
  <c r="FZ1235" i="98" s="1"/>
  <c r="GM1235" i="98"/>
  <c r="GP1235" i="98"/>
  <c r="GM1288" i="98"/>
  <c r="GG1288" i="98"/>
  <c r="GI1288" i="98"/>
  <c r="FT1297" i="98"/>
  <c r="GJ1297" i="98"/>
  <c r="FT1343" i="98"/>
  <c r="FZ1343" i="98" s="1"/>
  <c r="GJ1343" i="98"/>
  <c r="GP1343" i="98"/>
  <c r="FW1343" i="98"/>
  <c r="FT1359" i="98"/>
  <c r="GG1359" i="98" s="1"/>
  <c r="GP1359" i="98"/>
  <c r="FW1359" i="98"/>
  <c r="FT1391" i="98"/>
  <c r="GG1391" i="98"/>
  <c r="GI1391" i="98"/>
  <c r="GP1391" i="98"/>
  <c r="FW1391" i="98"/>
  <c r="GM1391" i="98"/>
  <c r="FT1407" i="98"/>
  <c r="GG1407" i="98"/>
  <c r="GI1407" i="98"/>
  <c r="GJ1407" i="98"/>
  <c r="GP1407" i="98"/>
  <c r="FW1407" i="98"/>
  <c r="GM1407" i="98"/>
  <c r="FT1455" i="98"/>
  <c r="GG1455" i="98" s="1"/>
  <c r="FW1455" i="98"/>
  <c r="FT1487" i="98"/>
  <c r="GM1487" i="98"/>
  <c r="FW1487" i="98"/>
  <c r="FT1255" i="98"/>
  <c r="GJ1255" i="98"/>
  <c r="GP1390" i="98"/>
  <c r="GJ1490" i="98"/>
  <c r="FT1490" i="98"/>
  <c r="GP1490" i="98"/>
  <c r="GJ1581" i="98"/>
  <c r="GJ1585" i="98"/>
  <c r="GJ1589" i="98"/>
  <c r="FT1662" i="98"/>
  <c r="FZ1662" i="98" s="1"/>
  <c r="FT1670" i="98"/>
  <c r="GE1670" i="98" s="1"/>
  <c r="FT1539" i="98"/>
  <c r="GM1539" i="98" s="1"/>
  <c r="GI1430" i="98"/>
  <c r="GP1481" i="98"/>
  <c r="GJ1561" i="98"/>
  <c r="GJ1587" i="98"/>
  <c r="FT1587" i="98"/>
  <c r="GG1587" i="98" s="1"/>
  <c r="GJ1645" i="98"/>
  <c r="GI1671" i="98"/>
  <c r="FT1671" i="98"/>
  <c r="GP1671" i="98"/>
  <c r="GP1414" i="98"/>
  <c r="FT1551" i="98"/>
  <c r="GI1551" i="98" s="1"/>
  <c r="GM1610" i="98"/>
  <c r="GP1610" i="98"/>
  <c r="FT1270" i="98"/>
  <c r="FT1537" i="98"/>
  <c r="GB1537" i="98" s="1"/>
  <c r="GG1537" i="98"/>
  <c r="GP1537" i="98"/>
  <c r="GI1537" i="98"/>
  <c r="GM1537" i="98"/>
  <c r="GJ1537" i="98"/>
  <c r="FT1553" i="98"/>
  <c r="FZ1553" i="98" s="1"/>
  <c r="GJ1563" i="98"/>
  <c r="FT1563" i="98"/>
  <c r="GG1563" i="98" s="1"/>
  <c r="FT1617" i="98"/>
  <c r="GB1617" i="98" s="1"/>
  <c r="GM1617" i="98"/>
  <c r="FT1633" i="98"/>
  <c r="FZ1633" i="98" s="1"/>
  <c r="GG1633" i="98"/>
  <c r="GI1633" i="98"/>
  <c r="GJ1633" i="98"/>
  <c r="FT1643" i="98"/>
  <c r="GG1643" i="98" s="1"/>
  <c r="GJ1530" i="98"/>
  <c r="GP1530" i="98"/>
  <c r="GM1631" i="98"/>
  <c r="FT1631" i="98"/>
  <c r="GG1631" i="98"/>
  <c r="GP1631" i="98"/>
  <c r="GI1642" i="98"/>
  <c r="FT88" i="98"/>
  <c r="FT93" i="98"/>
  <c r="GP118" i="98"/>
  <c r="FW132" i="98"/>
  <c r="GJ123" i="98"/>
  <c r="FT123" i="98"/>
  <c r="GG123" i="98" s="1"/>
  <c r="FT151" i="98"/>
  <c r="GI151" i="98" s="1"/>
  <c r="GM149" i="98"/>
  <c r="GM160" i="98"/>
  <c r="GJ173" i="98"/>
  <c r="FT173" i="98"/>
  <c r="GG173" i="98"/>
  <c r="GM173" i="98"/>
  <c r="GP173" i="98"/>
  <c r="GI173" i="98"/>
  <c r="FT189" i="98"/>
  <c r="FT197" i="98"/>
  <c r="GP197" i="98" s="1"/>
  <c r="FT167" i="98"/>
  <c r="GG167" i="98"/>
  <c r="GM167" i="98"/>
  <c r="GI167" i="98"/>
  <c r="GP167" i="98"/>
  <c r="GJ167" i="98"/>
  <c r="GJ142" i="98"/>
  <c r="FT142" i="98"/>
  <c r="GP142" i="98" s="1"/>
  <c r="FW242" i="98"/>
  <c r="FW258" i="98"/>
  <c r="GJ231" i="98"/>
  <c r="FT253" i="98"/>
  <c r="GG253" i="98"/>
  <c r="FW244" i="98"/>
  <c r="FT313" i="98"/>
  <c r="GJ313" i="98" s="1"/>
  <c r="FT387" i="98"/>
  <c r="GJ387" i="98" s="1"/>
  <c r="GI267" i="98"/>
  <c r="FW274" i="98"/>
  <c r="GI364" i="98"/>
  <c r="FT364" i="98"/>
  <c r="GP364" i="98"/>
  <c r="GG364" i="98"/>
  <c r="FT428" i="98"/>
  <c r="GG428" i="98"/>
  <c r="GP428" i="98"/>
  <c r="FW428" i="98"/>
  <c r="GM428" i="98"/>
  <c r="GM325" i="98"/>
  <c r="FT325" i="98"/>
  <c r="GJ381" i="98"/>
  <c r="FT381" i="98"/>
  <c r="GP381" i="98" s="1"/>
  <c r="GP410" i="98"/>
  <c r="GM410" i="98"/>
  <c r="GJ410" i="98"/>
  <c r="FT410" i="98"/>
  <c r="GG410" i="98"/>
  <c r="GM377" i="98"/>
  <c r="FT409" i="98"/>
  <c r="GG409" i="98" s="1"/>
  <c r="GI409" i="98"/>
  <c r="GM409" i="98"/>
  <c r="FW427" i="98"/>
  <c r="FT370" i="98"/>
  <c r="GJ370" i="98" s="1"/>
  <c r="GJ413" i="98"/>
  <c r="FT443" i="98"/>
  <c r="GP443" i="98"/>
  <c r="FW454" i="98"/>
  <c r="FW314" i="98"/>
  <c r="GJ401" i="98"/>
  <c r="FW423" i="98"/>
  <c r="GI471" i="98"/>
  <c r="GM471" i="98"/>
  <c r="GJ471" i="98"/>
  <c r="FT471" i="98"/>
  <c r="GG471" i="98"/>
  <c r="GP471" i="98"/>
  <c r="GI472" i="98"/>
  <c r="GM472" i="98"/>
  <c r="GI492" i="98"/>
  <c r="GJ540" i="98"/>
  <c r="GJ552" i="98"/>
  <c r="FW510" i="98"/>
  <c r="FW534" i="98"/>
  <c r="GI542" i="98"/>
  <c r="FT542" i="98"/>
  <c r="GP542" i="98" s="1"/>
  <c r="FW431" i="98"/>
  <c r="FT571" i="98"/>
  <c r="FT603" i="98"/>
  <c r="FT651" i="98"/>
  <c r="GG651" i="98"/>
  <c r="GJ699" i="98"/>
  <c r="FT699" i="98"/>
  <c r="GI699" i="98" s="1"/>
  <c r="FT747" i="98"/>
  <c r="GM747" i="98" s="1"/>
  <c r="FT517" i="98"/>
  <c r="GG517" i="98" s="1"/>
  <c r="FW526" i="98"/>
  <c r="FW566" i="98"/>
  <c r="GJ610" i="98"/>
  <c r="FT628" i="98"/>
  <c r="GI676" i="98"/>
  <c r="GM676" i="98"/>
  <c r="GQ676" i="98"/>
  <c r="GF676" i="98"/>
  <c r="GJ676" i="98"/>
  <c r="GN676" i="98"/>
  <c r="FT676" i="98"/>
  <c r="GG676" i="98"/>
  <c r="GK676" i="98"/>
  <c r="GO676" i="98"/>
  <c r="GL676" i="98"/>
  <c r="GP676" i="98"/>
  <c r="GH676" i="98"/>
  <c r="FW724" i="98"/>
  <c r="FW640" i="98"/>
  <c r="FT670" i="98"/>
  <c r="GD670" i="98" s="1"/>
  <c r="FT668" i="98"/>
  <c r="FZ668" i="98" s="1"/>
  <c r="GI764" i="98"/>
  <c r="FT764" i="98"/>
  <c r="GP764" i="98"/>
  <c r="FW584" i="98"/>
  <c r="FT903" i="98"/>
  <c r="GP903" i="98" s="1"/>
  <c r="GF926" i="98"/>
  <c r="GJ926" i="98"/>
  <c r="GN926" i="98"/>
  <c r="FT926" i="98"/>
  <c r="GG926" i="98"/>
  <c r="GK926" i="98"/>
  <c r="GO926" i="98"/>
  <c r="GI926" i="98"/>
  <c r="GQ926" i="98"/>
  <c r="GL926" i="98"/>
  <c r="GM926" i="98"/>
  <c r="GH926" i="98"/>
  <c r="GP926" i="98"/>
  <c r="FT710" i="98"/>
  <c r="GG710" i="98" s="1"/>
  <c r="GI710" i="98"/>
  <c r="GM710" i="98"/>
  <c r="GM793" i="98"/>
  <c r="GJ793" i="98"/>
  <c r="FT793" i="98"/>
  <c r="GB793" i="98" s="1"/>
  <c r="GG793" i="98"/>
  <c r="FT817" i="98"/>
  <c r="FT841" i="98"/>
  <c r="GG841" i="98"/>
  <c r="GI865" i="98"/>
  <c r="FT865" i="98"/>
  <c r="GG865" i="98" s="1"/>
  <c r="GM889" i="98"/>
  <c r="GJ889" i="98"/>
  <c r="FT889" i="98"/>
  <c r="GB889" i="98" s="1"/>
  <c r="GG889" i="98"/>
  <c r="FT913" i="98"/>
  <c r="FT929" i="98"/>
  <c r="GG929" i="98"/>
  <c r="GI945" i="98"/>
  <c r="GG945" i="98"/>
  <c r="FT945" i="98"/>
  <c r="GP945" i="98"/>
  <c r="GI995" i="98"/>
  <c r="FT995" i="98"/>
  <c r="GG995" i="98"/>
  <c r="FW902" i="98"/>
  <c r="FW984" i="98"/>
  <c r="FW991" i="98"/>
  <c r="FT1013" i="98"/>
  <c r="GD1013" i="98" s="1"/>
  <c r="FW1013" i="98"/>
  <c r="FW1024" i="98"/>
  <c r="GF1036" i="98"/>
  <c r="GJ1036" i="98"/>
  <c r="GN1036" i="98"/>
  <c r="FT1036" i="98"/>
  <c r="GG1036" i="98"/>
  <c r="GK1036" i="98"/>
  <c r="GP1036" i="98"/>
  <c r="GL1036" i="98"/>
  <c r="GQ1036" i="98"/>
  <c r="GH1036" i="98"/>
  <c r="GM1036" i="98"/>
  <c r="GI1036" i="98"/>
  <c r="GO1036" i="98"/>
  <c r="GH796" i="98"/>
  <c r="GL796" i="98"/>
  <c r="GP796" i="98"/>
  <c r="GI796" i="98"/>
  <c r="GM796" i="98"/>
  <c r="GQ796" i="98"/>
  <c r="GG796" i="98"/>
  <c r="GO796" i="98"/>
  <c r="FT796" i="98"/>
  <c r="GJ796" i="98"/>
  <c r="GK796" i="98"/>
  <c r="GF796" i="98"/>
  <c r="GN796" i="98"/>
  <c r="FT828" i="98"/>
  <c r="GG844" i="98"/>
  <c r="FT844" i="98"/>
  <c r="GB844" i="98" s="1"/>
  <c r="GJ844" i="98"/>
  <c r="GH876" i="98"/>
  <c r="GL876" i="98"/>
  <c r="GP876" i="98"/>
  <c r="GI876" i="98"/>
  <c r="GM876" i="98"/>
  <c r="GQ876" i="98"/>
  <c r="GG876" i="98"/>
  <c r="GO876" i="98"/>
  <c r="FT876" i="98"/>
  <c r="GJ876" i="98"/>
  <c r="GK876" i="98"/>
  <c r="GF876" i="98"/>
  <c r="GN876" i="98"/>
  <c r="GP908" i="98"/>
  <c r="FT908" i="98"/>
  <c r="GE908" i="98" s="1"/>
  <c r="FT924" i="98"/>
  <c r="GP944" i="98"/>
  <c r="GM973" i="98"/>
  <c r="GM989" i="98"/>
  <c r="GM1005" i="98"/>
  <c r="FW1011" i="98"/>
  <c r="FW1019" i="98"/>
  <c r="FW1027" i="98"/>
  <c r="FW1035" i="98"/>
  <c r="FW950" i="98"/>
  <c r="GI973" i="98"/>
  <c r="GI985" i="98"/>
  <c r="FT992" i="98"/>
  <c r="FW979" i="98"/>
  <c r="GI981" i="98"/>
  <c r="FW988" i="98"/>
  <c r="GG1034" i="98"/>
  <c r="GM1052" i="98"/>
  <c r="GI1064" i="98"/>
  <c r="FT1064" i="98"/>
  <c r="GJ1064" i="98" s="1"/>
  <c r="GM1083" i="98"/>
  <c r="GM1110" i="98"/>
  <c r="FT1119" i="98"/>
  <c r="GB1119" i="98" s="1"/>
  <c r="GG1119" i="98"/>
  <c r="GP1119" i="98"/>
  <c r="GI1119" i="98"/>
  <c r="GM1119" i="98"/>
  <c r="FT1129" i="98"/>
  <c r="FT1147" i="98"/>
  <c r="GM1147" i="98"/>
  <c r="GP1147" i="98"/>
  <c r="GG1152" i="98"/>
  <c r="GI1152" i="98"/>
  <c r="GM1152" i="98"/>
  <c r="FT1161" i="98"/>
  <c r="GP1168" i="98"/>
  <c r="FT1195" i="98"/>
  <c r="GG1195" i="98" s="1"/>
  <c r="GM1195" i="98"/>
  <c r="GP1195" i="98"/>
  <c r="GG1200" i="98"/>
  <c r="GI1200" i="98"/>
  <c r="GM1200" i="98"/>
  <c r="FT1209" i="98"/>
  <c r="FW1225" i="98"/>
  <c r="FT1259" i="98"/>
  <c r="GD1259" i="98" s="1"/>
  <c r="GP1259" i="98"/>
  <c r="GI1289" i="98"/>
  <c r="GM1289" i="98"/>
  <c r="FT1289" i="98"/>
  <c r="FZ1289" i="98" s="1"/>
  <c r="GG1289" i="98"/>
  <c r="GP1289" i="98"/>
  <c r="GJ1289" i="98"/>
  <c r="FT1331" i="98"/>
  <c r="GD1331" i="98" s="1"/>
  <c r="GG1331" i="98"/>
  <c r="GM1331" i="98"/>
  <c r="GI1331" i="98"/>
  <c r="GJ1331" i="98"/>
  <c r="GP1331" i="98"/>
  <c r="FT1363" i="98"/>
  <c r="GG1363" i="98" s="1"/>
  <c r="GJ1363" i="98"/>
  <c r="FT1395" i="98"/>
  <c r="GG1395" i="98" s="1"/>
  <c r="FT1427" i="98"/>
  <c r="GB1427" i="98" s="1"/>
  <c r="FT1459" i="98"/>
  <c r="FZ1459" i="98" s="1"/>
  <c r="FT1491" i="98"/>
  <c r="GB1491" i="98" s="1"/>
  <c r="GG1491" i="98"/>
  <c r="GM1491" i="98"/>
  <c r="GI1491" i="98"/>
  <c r="GJ1491" i="98"/>
  <c r="GP1491" i="98"/>
  <c r="GI1044" i="98"/>
  <c r="GM1092" i="98"/>
  <c r="FW1109" i="98"/>
  <c r="GI1118" i="98"/>
  <c r="GI1134" i="98"/>
  <c r="GG1172" i="98"/>
  <c r="GG1188" i="98"/>
  <c r="GG1204" i="98"/>
  <c r="GG1252" i="98"/>
  <c r="GP1268" i="98"/>
  <c r="FT1279" i="98"/>
  <c r="GB1279" i="98" s="1"/>
  <c r="FW1293" i="98"/>
  <c r="GP1300" i="98"/>
  <c r="FT1311" i="98"/>
  <c r="GI1311" i="98"/>
  <c r="GP1311" i="98"/>
  <c r="GM1311" i="98"/>
  <c r="GP1324" i="98"/>
  <c r="GP1340" i="98"/>
  <c r="GP1372" i="98"/>
  <c r="GP1388" i="98"/>
  <c r="GP1420" i="98"/>
  <c r="GP1452" i="98"/>
  <c r="GP1468" i="98"/>
  <c r="GP1484" i="98"/>
  <c r="GG1520" i="98"/>
  <c r="GI1520" i="98"/>
  <c r="GM1520" i="98"/>
  <c r="GG1552" i="98"/>
  <c r="GM1552" i="98"/>
  <c r="GI1552" i="98"/>
  <c r="GG1568" i="98"/>
  <c r="GM1568" i="98"/>
  <c r="GI1568" i="98"/>
  <c r="GG1584" i="98"/>
  <c r="GI1584" i="98"/>
  <c r="GM1584" i="98"/>
  <c r="GG1600" i="98"/>
  <c r="GI1600" i="98"/>
  <c r="GM1600" i="98"/>
  <c r="GG1648" i="98"/>
  <c r="GM1648" i="98"/>
  <c r="GI1648" i="98"/>
  <c r="GI1680" i="98"/>
  <c r="GM1680" i="98"/>
  <c r="GI1684" i="98"/>
  <c r="GM1684" i="98"/>
  <c r="GI1040" i="98"/>
  <c r="FT1040" i="98"/>
  <c r="GP1040" i="98" s="1"/>
  <c r="GM1060" i="98"/>
  <c r="FW1133" i="98"/>
  <c r="GJ1148" i="98"/>
  <c r="FW1159" i="98"/>
  <c r="FW1207" i="98"/>
  <c r="GM1221" i="98"/>
  <c r="FT1221" i="98"/>
  <c r="GG1221" i="98" s="1"/>
  <c r="GJ1221" i="98"/>
  <c r="FT970" i="98"/>
  <c r="FW995" i="98"/>
  <c r="GI997" i="98"/>
  <c r="FW1004" i="98"/>
  <c r="GI1052" i="98"/>
  <c r="GI1084" i="98"/>
  <c r="GI1114" i="98"/>
  <c r="GM1114" i="98"/>
  <c r="FW1121" i="98"/>
  <c r="FT1127" i="98"/>
  <c r="GD1127" i="98" s="1"/>
  <c r="GM1127" i="98"/>
  <c r="FW1137" i="98"/>
  <c r="GM1148" i="98"/>
  <c r="GM1160" i="98"/>
  <c r="GI1160" i="98"/>
  <c r="GG1160" i="98"/>
  <c r="GM1192" i="98"/>
  <c r="GI1192" i="98"/>
  <c r="GG1192" i="98"/>
  <c r="FT1201" i="98"/>
  <c r="GM1201" i="98" s="1"/>
  <c r="GJ1201" i="98"/>
  <c r="FT1203" i="98"/>
  <c r="GG1203" i="98" s="1"/>
  <c r="GM1203" i="98"/>
  <c r="GP1203" i="98"/>
  <c r="GP1208" i="98"/>
  <c r="GM1224" i="98"/>
  <c r="GI1224" i="98"/>
  <c r="GG1224" i="98"/>
  <c r="GM1272" i="98"/>
  <c r="GG1272" i="98"/>
  <c r="GI1272" i="98"/>
  <c r="FT1281" i="98"/>
  <c r="GE1281" i="98" s="1"/>
  <c r="FT1283" i="98"/>
  <c r="GM1283" i="98"/>
  <c r="GP1283" i="98"/>
  <c r="GP1288" i="98"/>
  <c r="FW1297" i="98"/>
  <c r="GI1300" i="98"/>
  <c r="FW1537" i="98"/>
  <c r="FW1553" i="98"/>
  <c r="FW1617" i="98"/>
  <c r="FW1633" i="98"/>
  <c r="GJ1043" i="98"/>
  <c r="FT1101" i="98"/>
  <c r="GG1148" i="98"/>
  <c r="GG1164" i="98"/>
  <c r="FT1173" i="98"/>
  <c r="GG1173" i="98" s="1"/>
  <c r="FY1189" i="98"/>
  <c r="FT1239" i="98"/>
  <c r="GJ1239" i="98" s="1"/>
  <c r="FY1253" i="98"/>
  <c r="GJ1178" i="98"/>
  <c r="FT1287" i="98"/>
  <c r="GM1287" i="98" s="1"/>
  <c r="GM1358" i="98"/>
  <c r="GM1390" i="98"/>
  <c r="GM1454" i="98"/>
  <c r="FW1490" i="98"/>
  <c r="GJ1509" i="98"/>
  <c r="GJ1513" i="98"/>
  <c r="GJ1519" i="98"/>
  <c r="FT1519" i="98"/>
  <c r="GI1519" i="98" s="1"/>
  <c r="FW1527" i="98"/>
  <c r="FT1535" i="98"/>
  <c r="GI1535" i="98" s="1"/>
  <c r="FT1578" i="98"/>
  <c r="GG1578" i="98"/>
  <c r="GJ1582" i="98"/>
  <c r="FT1582" i="98"/>
  <c r="GE1582" i="98" s="1"/>
  <c r="GH1586" i="98"/>
  <c r="GL1586" i="98"/>
  <c r="GP1586" i="98"/>
  <c r="GI1586" i="98"/>
  <c r="GM1586" i="98"/>
  <c r="GQ1586" i="98"/>
  <c r="GF1586" i="98"/>
  <c r="GJ1586" i="98"/>
  <c r="GN1586" i="98"/>
  <c r="GO1586" i="98"/>
  <c r="GK1586" i="98"/>
  <c r="FT1586" i="98"/>
  <c r="GG1586" i="98"/>
  <c r="FT1590" i="98"/>
  <c r="GI1590" i="98" s="1"/>
  <c r="FT1594" i="98"/>
  <c r="GG1594" i="98"/>
  <c r="FT1603" i="98"/>
  <c r="GI1603" i="98" s="1"/>
  <c r="FW1611" i="98"/>
  <c r="GG1373" i="98"/>
  <c r="GI1373" i="98"/>
  <c r="GM1401" i="98"/>
  <c r="GM1472" i="98"/>
  <c r="GP1472" i="98"/>
  <c r="FW1582" i="98"/>
  <c r="FT1635" i="98"/>
  <c r="GB1635" i="98" s="1"/>
  <c r="GM1118" i="98"/>
  <c r="GP1258" i="98"/>
  <c r="GI1334" i="98"/>
  <c r="GM1369" i="98"/>
  <c r="FT1370" i="98"/>
  <c r="GM1370" i="98" s="1"/>
  <c r="GI1382" i="98"/>
  <c r="GI1398" i="98"/>
  <c r="GI1414" i="98"/>
  <c r="GM1430" i="98"/>
  <c r="GI1482" i="98"/>
  <c r="FT1482" i="98"/>
  <c r="GP1482" i="98"/>
  <c r="GG1482" i="98"/>
  <c r="FW1507" i="98"/>
  <c r="GJ1515" i="98"/>
  <c r="FT1515" i="98"/>
  <c r="GI1515" i="98" s="1"/>
  <c r="GG1530" i="98"/>
  <c r="GJ1557" i="98"/>
  <c r="GJ1573" i="98"/>
  <c r="FT1583" i="98"/>
  <c r="GM1583" i="98" s="1"/>
  <c r="FW1591" i="98"/>
  <c r="GG1610" i="98"/>
  <c r="GG1614" i="98"/>
  <c r="GJ1641" i="98"/>
  <c r="FW1659" i="98"/>
  <c r="FT1667" i="98"/>
  <c r="FZ1667" i="98" s="1"/>
  <c r="FW1675" i="98"/>
  <c r="FT1683" i="98"/>
  <c r="GE1683" i="98" s="1"/>
  <c r="GG1022" i="98"/>
  <c r="GJ1162" i="98"/>
  <c r="FY1269" i="98"/>
  <c r="GM1312" i="98"/>
  <c r="GP1312" i="98"/>
  <c r="GF1386" i="98"/>
  <c r="GJ1386" i="98"/>
  <c r="GN1386" i="98"/>
  <c r="GH1386" i="98"/>
  <c r="GM1386" i="98"/>
  <c r="GI1386" i="98"/>
  <c r="GO1386" i="98"/>
  <c r="FT1386" i="98"/>
  <c r="GK1386" i="98"/>
  <c r="GP1386" i="98"/>
  <c r="GG1386" i="98"/>
  <c r="GQ1386" i="98"/>
  <c r="GL1386" i="98"/>
  <c r="GM1414" i="98"/>
  <c r="FT1547" i="98"/>
  <c r="GE1547" i="98" s="1"/>
  <c r="FW1555" i="98"/>
  <c r="FW1594" i="98"/>
  <c r="GI1610" i="98"/>
  <c r="GG1260" i="98"/>
  <c r="FW1270" i="98"/>
  <c r="FY1285" i="98"/>
  <c r="FW1323" i="98"/>
  <c r="GI1374" i="98"/>
  <c r="GM1393" i="98"/>
  <c r="GM1394" i="98"/>
  <c r="FT1394" i="98"/>
  <c r="GP1394" i="98" s="1"/>
  <c r="GM1409" i="98"/>
  <c r="FT1410" i="98"/>
  <c r="GP1410" i="98"/>
  <c r="GG1410" i="98"/>
  <c r="GI1422" i="98"/>
  <c r="GI1454" i="98"/>
  <c r="FW1483" i="98"/>
  <c r="GI1502" i="98"/>
  <c r="FT1541" i="98"/>
  <c r="GB1541" i="98" s="1"/>
  <c r="GG1541" i="98"/>
  <c r="GP1541" i="98"/>
  <c r="GI1541" i="98"/>
  <c r="GM1541" i="98"/>
  <c r="GJ1541" i="98"/>
  <c r="GI1559" i="98"/>
  <c r="GM1559" i="98"/>
  <c r="FT1559" i="98"/>
  <c r="GJ1559" i="98" s="1"/>
  <c r="GG1559" i="98"/>
  <c r="FW1567" i="98"/>
  <c r="GJ1575" i="98"/>
  <c r="FT1575" i="98"/>
  <c r="GI1575" i="98" s="1"/>
  <c r="FT1621" i="98"/>
  <c r="GB1621" i="98" s="1"/>
  <c r="GM1621" i="98"/>
  <c r="GJ1639" i="98"/>
  <c r="FT1639" i="98"/>
  <c r="GI1639" i="98" s="1"/>
  <c r="FW1647" i="98"/>
  <c r="FT1655" i="98"/>
  <c r="GI1655" i="98" s="1"/>
  <c r="FT1402" i="98"/>
  <c r="GP1402" i="98"/>
  <c r="GG1424" i="98"/>
  <c r="GJ1522" i="98"/>
  <c r="GM1522" i="98"/>
  <c r="GP1522" i="98"/>
  <c r="GI1530" i="98"/>
  <c r="GJ1597" i="98"/>
  <c r="GJ1614" i="98"/>
  <c r="GM1614" i="98"/>
  <c r="GP1614" i="98"/>
  <c r="FT1627" i="98"/>
  <c r="GI1638" i="98"/>
  <c r="GI1654" i="98"/>
  <c r="FW91" i="98"/>
  <c r="FT91" i="98"/>
  <c r="GG91" i="98" s="1"/>
  <c r="FT128" i="98"/>
  <c r="GP128" i="98"/>
  <c r="GI128" i="98"/>
  <c r="GP149" i="98"/>
  <c r="GJ190" i="98"/>
  <c r="GM190" i="98"/>
  <c r="GI190" i="98"/>
  <c r="GI196" i="98"/>
  <c r="GM196" i="98"/>
  <c r="GQ196" i="98"/>
  <c r="GF196" i="98"/>
  <c r="GJ196" i="98"/>
  <c r="GN196" i="98"/>
  <c r="FT196" i="98"/>
  <c r="GK196" i="98"/>
  <c r="GG196" i="98"/>
  <c r="GO196" i="98"/>
  <c r="GH196" i="98"/>
  <c r="GL196" i="98"/>
  <c r="GP196" i="98"/>
  <c r="FT213" i="98"/>
  <c r="GG213" i="98"/>
  <c r="GI213" i="98"/>
  <c r="FW213" i="98"/>
  <c r="GP210" i="98"/>
  <c r="GI220" i="98"/>
  <c r="FT366" i="98"/>
  <c r="GI366" i="98"/>
  <c r="GM366" i="98"/>
  <c r="GQ366" i="98"/>
  <c r="GF366" i="98"/>
  <c r="GJ366" i="98"/>
  <c r="GN366" i="98"/>
  <c r="GG366" i="98"/>
  <c r="GO366" i="98"/>
  <c r="GH366" i="98"/>
  <c r="GP366" i="98"/>
  <c r="GK366" i="98"/>
  <c r="GL366" i="98"/>
  <c r="FT322" i="98"/>
  <c r="FT440" i="98"/>
  <c r="GP440" i="98" s="1"/>
  <c r="GP355" i="98"/>
  <c r="FW366" i="98"/>
  <c r="FT294" i="98"/>
  <c r="GG294" i="98"/>
  <c r="GP294" i="98"/>
  <c r="GM294" i="98"/>
  <c r="GF326" i="98"/>
  <c r="GJ326" i="98"/>
  <c r="GN326" i="98"/>
  <c r="FT326" i="98"/>
  <c r="GG326" i="98"/>
  <c r="GK326" i="98"/>
  <c r="GO326" i="98"/>
  <c r="GH326" i="98"/>
  <c r="GP326" i="98"/>
  <c r="GI326" i="98"/>
  <c r="GQ326" i="98"/>
  <c r="GM326" i="98"/>
  <c r="GL326" i="98"/>
  <c r="GP388" i="98"/>
  <c r="GJ407" i="98"/>
  <c r="FT407" i="98"/>
  <c r="GI407" i="98" s="1"/>
  <c r="GG499" i="98"/>
  <c r="GI499" i="98"/>
  <c r="GM499" i="98"/>
  <c r="FT555" i="98"/>
  <c r="GG555" i="98" s="1"/>
  <c r="GI555" i="98"/>
  <c r="FT334" i="98"/>
  <c r="FT415" i="98"/>
  <c r="FT465" i="98"/>
  <c r="FZ465" i="98" s="1"/>
  <c r="GG465" i="98"/>
  <c r="GP465" i="98"/>
  <c r="GM465" i="98"/>
  <c r="GJ465" i="98"/>
  <c r="GI539" i="98"/>
  <c r="GI599" i="98"/>
  <c r="GM599" i="98"/>
  <c r="GJ599" i="98"/>
  <c r="FT599" i="98"/>
  <c r="GG599" i="98"/>
  <c r="FT647" i="98"/>
  <c r="GI695" i="98"/>
  <c r="FT695" i="98"/>
  <c r="GG695" i="98"/>
  <c r="FT743" i="98"/>
  <c r="GI743" i="98" s="1"/>
  <c r="FW440" i="98"/>
  <c r="FT674" i="98"/>
  <c r="GI701" i="98"/>
  <c r="GM701" i="98"/>
  <c r="GJ772" i="98"/>
  <c r="FT772" i="98"/>
  <c r="GI772" i="98" s="1"/>
  <c r="GM539" i="98"/>
  <c r="GI592" i="98"/>
  <c r="GM592" i="98"/>
  <c r="FT592" i="98"/>
  <c r="GG592" i="98"/>
  <c r="GP592" i="98"/>
  <c r="GI649" i="98"/>
  <c r="GM649" i="98"/>
  <c r="FW743" i="98"/>
  <c r="FT750" i="98"/>
  <c r="GM589" i="98"/>
  <c r="FT746" i="98"/>
  <c r="GG746" i="98"/>
  <c r="GK746" i="98"/>
  <c r="GO746" i="98"/>
  <c r="GH746" i="98"/>
  <c r="GL746" i="98"/>
  <c r="GP746" i="98"/>
  <c r="GI746" i="98"/>
  <c r="GM746" i="98"/>
  <c r="GQ746" i="98"/>
  <c r="GF746" i="98"/>
  <c r="GJ746" i="98"/>
  <c r="GN746" i="98"/>
  <c r="FT762" i="98"/>
  <c r="GP762" i="98" s="1"/>
  <c r="GJ762" i="98"/>
  <c r="GF786" i="98"/>
  <c r="GJ786" i="98"/>
  <c r="GN786" i="98"/>
  <c r="FT786" i="98"/>
  <c r="GG786" i="98"/>
  <c r="GK786" i="98"/>
  <c r="GO786" i="98"/>
  <c r="GI786" i="98"/>
  <c r="GQ786" i="98"/>
  <c r="GL786" i="98"/>
  <c r="GM786" i="98"/>
  <c r="GH786" i="98"/>
  <c r="GP786" i="98"/>
  <c r="FT795" i="98"/>
  <c r="GD795" i="98" s="1"/>
  <c r="GG795" i="98"/>
  <c r="GP795" i="98"/>
  <c r="GJ795" i="98"/>
  <c r="GM795" i="98"/>
  <c r="FT811" i="98"/>
  <c r="GG811" i="98"/>
  <c r="GP811" i="98"/>
  <c r="GJ811" i="98"/>
  <c r="GM811" i="98"/>
  <c r="FT834" i="98"/>
  <c r="GD834" i="98" s="1"/>
  <c r="FT850" i="98"/>
  <c r="GF866" i="98"/>
  <c r="GJ866" i="98"/>
  <c r="GN866" i="98"/>
  <c r="FT866" i="98"/>
  <c r="GG866" i="98"/>
  <c r="GK866" i="98"/>
  <c r="GO866" i="98"/>
  <c r="GI866" i="98"/>
  <c r="GQ866" i="98"/>
  <c r="GL866" i="98"/>
  <c r="GM866" i="98"/>
  <c r="GH866" i="98"/>
  <c r="GP866" i="98"/>
  <c r="GJ882" i="98"/>
  <c r="FT882" i="98"/>
  <c r="GG882" i="98" s="1"/>
  <c r="GM882" i="98"/>
  <c r="GP882" i="98"/>
  <c r="FT898" i="98"/>
  <c r="GB898" i="98" s="1"/>
  <c r="FT914" i="98"/>
  <c r="GJ930" i="98"/>
  <c r="FT930" i="98"/>
  <c r="GG930" i="98" s="1"/>
  <c r="GP930" i="98"/>
  <c r="GI991" i="98"/>
  <c r="FT991" i="98"/>
  <c r="GD991" i="98" s="1"/>
  <c r="GG991" i="98"/>
  <c r="FW898" i="98"/>
  <c r="GI977" i="98"/>
  <c r="GM977" i="98"/>
  <c r="FT1024" i="98"/>
  <c r="GM1024" i="98"/>
  <c r="GI1039" i="98"/>
  <c r="FT1039" i="98"/>
  <c r="GM1039" i="98" s="1"/>
  <c r="GP1039" i="98"/>
  <c r="GG1039" i="98"/>
  <c r="GJ728" i="98"/>
  <c r="FT728" i="98"/>
  <c r="GI728" i="98" s="1"/>
  <c r="GP784" i="98"/>
  <c r="FT784" i="98"/>
  <c r="GE784" i="98" s="1"/>
  <c r="FT800" i="98"/>
  <c r="FW811" i="98"/>
  <c r="FW875" i="98"/>
  <c r="GH896" i="98"/>
  <c r="GL896" i="98"/>
  <c r="GP896" i="98"/>
  <c r="GI896" i="98"/>
  <c r="GM896" i="98"/>
  <c r="GQ896" i="98"/>
  <c r="GG896" i="98"/>
  <c r="GO896" i="98"/>
  <c r="FT896" i="98"/>
  <c r="GJ896" i="98"/>
  <c r="GK896" i="98"/>
  <c r="GF896" i="98"/>
  <c r="GN896" i="98"/>
  <c r="FW923" i="98"/>
  <c r="FW939" i="98"/>
  <c r="GI980" i="98"/>
  <c r="GM980" i="98"/>
  <c r="FT980" i="98"/>
  <c r="GG980" i="98"/>
  <c r="GP980" i="98"/>
  <c r="FT541" i="98"/>
  <c r="GP541" i="98" s="1"/>
  <c r="FT1163" i="98"/>
  <c r="GE1163" i="98" s="1"/>
  <c r="GG1163" i="98"/>
  <c r="GM1163" i="98"/>
  <c r="GP1163" i="98"/>
  <c r="GI1177" i="98"/>
  <c r="FT1177" i="98"/>
  <c r="GJ1177" i="98" s="1"/>
  <c r="FT1211" i="98"/>
  <c r="GG1211" i="98"/>
  <c r="GI1211" i="98"/>
  <c r="GJ1211" i="98"/>
  <c r="GP1211" i="98"/>
  <c r="FT1387" i="98"/>
  <c r="FT1419" i="98"/>
  <c r="GI1419" i="98"/>
  <c r="GJ1419" i="98"/>
  <c r="GP775" i="98"/>
  <c r="FT775" i="98"/>
  <c r="GJ775" i="98" s="1"/>
  <c r="FT1151" i="98"/>
  <c r="GD1151" i="98" s="1"/>
  <c r="GG1151" i="98"/>
  <c r="GM1151" i="98"/>
  <c r="GP1151" i="98"/>
  <c r="FT1167" i="98"/>
  <c r="GG1167" i="98"/>
  <c r="GI1167" i="98"/>
  <c r="GM1167" i="98"/>
  <c r="GJ1167" i="98"/>
  <c r="GP1167" i="98"/>
  <c r="GI1261" i="98"/>
  <c r="GM1261" i="98"/>
  <c r="FT1261" i="98"/>
  <c r="GG1261" i="98"/>
  <c r="GJ1261" i="98"/>
  <c r="GP1261" i="98"/>
  <c r="GG1564" i="98"/>
  <c r="GM1564" i="98"/>
  <c r="GI1564" i="98"/>
  <c r="GG1644" i="98"/>
  <c r="GI1644" i="98"/>
  <c r="GM1644" i="98"/>
  <c r="GJ1048" i="98"/>
  <c r="FT1048" i="98"/>
  <c r="GP1048" i="98"/>
  <c r="GM1130" i="98"/>
  <c r="GI1130" i="98"/>
  <c r="GM1208" i="98"/>
  <c r="GG1208" i="98"/>
  <c r="GI1208" i="98"/>
  <c r="GI1233" i="98"/>
  <c r="FT1233" i="98"/>
  <c r="GG1233" i="98"/>
  <c r="GJ1233" i="98"/>
  <c r="FT1299" i="98"/>
  <c r="GG1299" i="98"/>
  <c r="GI1299" i="98"/>
  <c r="GM1299" i="98"/>
  <c r="GP1299" i="98"/>
  <c r="GJ1299" i="98"/>
  <c r="FT1327" i="98"/>
  <c r="FW1327" i="98"/>
  <c r="FT1375" i="98"/>
  <c r="GD1375" i="98" s="1"/>
  <c r="GG1375" i="98"/>
  <c r="GI1375" i="98"/>
  <c r="GJ1375" i="98"/>
  <c r="GP1375" i="98"/>
  <c r="FW1375" i="98"/>
  <c r="GM1375" i="98"/>
  <c r="FT1423" i="98"/>
  <c r="GG1423" i="98" s="1"/>
  <c r="FW1423" i="98"/>
  <c r="FT1439" i="98"/>
  <c r="FW1439" i="98"/>
  <c r="FT726" i="98"/>
  <c r="GG726" i="98"/>
  <c r="GK726" i="98"/>
  <c r="GO726" i="98"/>
  <c r="GH726" i="98"/>
  <c r="GL726" i="98"/>
  <c r="GP726" i="98"/>
  <c r="GI726" i="98"/>
  <c r="GM726" i="98"/>
  <c r="GQ726" i="98"/>
  <c r="GF726" i="98"/>
  <c r="GJ726" i="98"/>
  <c r="GN726" i="98"/>
  <c r="GJ1117" i="98"/>
  <c r="FT1117" i="98"/>
  <c r="GI1117" i="98" s="1"/>
  <c r="GJ1330" i="98"/>
  <c r="FT1330" i="98"/>
  <c r="GP1330" i="98" s="1"/>
  <c r="GP1358" i="98"/>
  <c r="GP1454" i="98"/>
  <c r="GJ1577" i="98"/>
  <c r="GJ1593" i="98"/>
  <c r="GI1658" i="98"/>
  <c r="FT1658" i="98"/>
  <c r="GG1658" i="98" s="1"/>
  <c r="GP1682" i="98"/>
  <c r="GI1682" i="98"/>
  <c r="GJ1682" i="98"/>
  <c r="FT1682" i="98"/>
  <c r="GG1682" i="98"/>
  <c r="GJ1610" i="98"/>
  <c r="GP1242" i="98"/>
  <c r="FT1362" i="98"/>
  <c r="GP1362" i="98"/>
  <c r="GG1362" i="98"/>
  <c r="GM1424" i="98"/>
  <c r="GP1424" i="98"/>
  <c r="GM1530" i="98"/>
  <c r="GI1543" i="98"/>
  <c r="FT1543" i="98"/>
  <c r="GM1543" i="98" s="1"/>
  <c r="FW1682" i="98"/>
  <c r="FT100" i="98"/>
  <c r="GG100" i="98"/>
  <c r="GM100" i="98"/>
  <c r="GP100" i="98"/>
  <c r="GI100" i="98"/>
  <c r="GP89" i="98"/>
  <c r="FT89" i="98"/>
  <c r="GJ89" i="98"/>
  <c r="GM89" i="98"/>
  <c r="FW94" i="98"/>
  <c r="FW96" i="98"/>
  <c r="FT99" i="98"/>
  <c r="GP99" i="98" s="1"/>
  <c r="FY111" i="98"/>
  <c r="GI118" i="98"/>
  <c r="GM118" i="98"/>
  <c r="FW124" i="98"/>
  <c r="GG122" i="98"/>
  <c r="GJ109" i="98"/>
  <c r="GI120" i="98"/>
  <c r="FT181" i="98"/>
  <c r="GP181" i="98" s="1"/>
  <c r="FT193" i="98"/>
  <c r="GP193" i="98" s="1"/>
  <c r="GP157" i="98"/>
  <c r="FT169" i="98"/>
  <c r="GM169" i="98" s="1"/>
  <c r="FT225" i="98"/>
  <c r="GP225" i="98" s="1"/>
  <c r="FW200" i="98"/>
  <c r="FT235" i="98"/>
  <c r="FT247" i="98"/>
  <c r="GP247" i="98" s="1"/>
  <c r="GM245" i="98"/>
  <c r="GJ245" i="98"/>
  <c r="FT245" i="98"/>
  <c r="GG245" i="98"/>
  <c r="GG260" i="98"/>
  <c r="GM260" i="98"/>
  <c r="GJ260" i="98"/>
  <c r="GI270" i="98"/>
  <c r="FT270" i="98"/>
  <c r="FW216" i="98"/>
  <c r="FW273" i="98"/>
  <c r="FW278" i="98"/>
  <c r="FW297" i="98"/>
  <c r="FW329" i="98"/>
  <c r="GG351" i="98"/>
  <c r="GP351" i="98"/>
  <c r="GM287" i="98"/>
  <c r="FT330" i="98"/>
  <c r="FT341" i="98"/>
  <c r="GP341" i="98" s="1"/>
  <c r="FW350" i="98"/>
  <c r="FT444" i="98"/>
  <c r="FT309" i="98"/>
  <c r="GI309" i="98" s="1"/>
  <c r="FT317" i="98"/>
  <c r="GI317" i="98" s="1"/>
  <c r="GM345" i="98"/>
  <c r="FT394" i="98"/>
  <c r="FT434" i="98"/>
  <c r="GI434" i="98" s="1"/>
  <c r="GJ454" i="98"/>
  <c r="FT454" i="98"/>
  <c r="GI454" i="98" s="1"/>
  <c r="FT378" i="98"/>
  <c r="GP378" i="98" s="1"/>
  <c r="FW419" i="98"/>
  <c r="FT467" i="98"/>
  <c r="FT318" i="98"/>
  <c r="GM359" i="98"/>
  <c r="FT559" i="98"/>
  <c r="FT561" i="98"/>
  <c r="GG561" i="98"/>
  <c r="FW406" i="98"/>
  <c r="GI408" i="98"/>
  <c r="FW447" i="98"/>
  <c r="GJ492" i="98"/>
  <c r="FW478" i="98"/>
  <c r="FT502" i="98"/>
  <c r="GP502" i="98"/>
  <c r="FT518" i="98"/>
  <c r="GI518" i="98" s="1"/>
  <c r="FT302" i="98"/>
  <c r="GG302" i="98" s="1"/>
  <c r="FT587" i="98"/>
  <c r="GJ635" i="98"/>
  <c r="FT635" i="98"/>
  <c r="GI635" i="98" s="1"/>
  <c r="GI683" i="98"/>
  <c r="GM683" i="98"/>
  <c r="FT683" i="98"/>
  <c r="FT731" i="98"/>
  <c r="GI477" i="98"/>
  <c r="FT477" i="98"/>
  <c r="GG477" i="98"/>
  <c r="GI533" i="98"/>
  <c r="FT533" i="98"/>
  <c r="FZ533" i="98" s="1"/>
  <c r="FW603" i="98"/>
  <c r="GM629" i="98"/>
  <c r="GI629" i="98"/>
  <c r="FW635" i="98"/>
  <c r="GM645" i="98"/>
  <c r="GI645" i="98"/>
  <c r="FW651" i="98"/>
  <c r="FT660" i="98"/>
  <c r="GM661" i="98"/>
  <c r="GI661" i="98"/>
  <c r="FW731" i="98"/>
  <c r="FT738" i="98"/>
  <c r="GI738" i="98" s="1"/>
  <c r="GI756" i="98"/>
  <c r="GM756" i="98"/>
  <c r="GQ756" i="98"/>
  <c r="GF756" i="98"/>
  <c r="GJ756" i="98"/>
  <c r="GN756" i="98"/>
  <c r="FT756" i="98"/>
  <c r="GG756" i="98"/>
  <c r="GK756" i="98"/>
  <c r="GO756" i="98"/>
  <c r="GL756" i="98"/>
  <c r="GP756" i="98"/>
  <c r="GH756" i="98"/>
  <c r="GI765" i="98"/>
  <c r="GM765" i="98"/>
  <c r="GM400" i="98"/>
  <c r="FT521" i="98"/>
  <c r="FZ521" i="98" s="1"/>
  <c r="FW599" i="98"/>
  <c r="FW663" i="98"/>
  <c r="FW736" i="98"/>
  <c r="FW768" i="98"/>
  <c r="GJ461" i="98"/>
  <c r="FW513" i="98"/>
  <c r="FT748" i="98"/>
  <c r="GG748" i="98" s="1"/>
  <c r="GP501" i="98"/>
  <c r="GI501" i="98"/>
  <c r="GJ501" i="98"/>
  <c r="FT501" i="98"/>
  <c r="FZ501" i="98" s="1"/>
  <c r="GI616" i="98"/>
  <c r="GM616" i="98"/>
  <c r="GQ616" i="98"/>
  <c r="GF616" i="98"/>
  <c r="GJ616" i="98"/>
  <c r="GN616" i="98"/>
  <c r="FT616" i="98"/>
  <c r="GG616" i="98"/>
  <c r="GK616" i="98"/>
  <c r="GO616" i="98"/>
  <c r="GP616" i="98"/>
  <c r="GH616" i="98"/>
  <c r="GL616" i="98"/>
  <c r="FT678" i="98"/>
  <c r="GE678" i="98" s="1"/>
  <c r="FT758" i="98"/>
  <c r="GB758" i="98" s="1"/>
  <c r="GP758" i="98"/>
  <c r="GI758" i="98"/>
  <c r="GJ758" i="98"/>
  <c r="FT791" i="98"/>
  <c r="GG791" i="98"/>
  <c r="GP791" i="98"/>
  <c r="GI791" i="98"/>
  <c r="GJ791" i="98"/>
  <c r="GM791" i="98"/>
  <c r="FT807" i="98"/>
  <c r="GD807" i="98" s="1"/>
  <c r="GM807" i="98"/>
  <c r="FT823" i="98"/>
  <c r="GI823" i="98" s="1"/>
  <c r="FT839" i="98"/>
  <c r="GP839" i="98" s="1"/>
  <c r="FT855" i="98"/>
  <c r="GG855" i="98"/>
  <c r="GP855" i="98"/>
  <c r="GJ855" i="98"/>
  <c r="GM855" i="98"/>
  <c r="FT871" i="98"/>
  <c r="GG871" i="98" s="1"/>
  <c r="GJ871" i="98"/>
  <c r="GM871" i="98"/>
  <c r="FT887" i="98"/>
  <c r="GI887" i="98"/>
  <c r="GM887" i="98"/>
  <c r="GI737" i="98"/>
  <c r="FW744" i="98"/>
  <c r="GM801" i="98"/>
  <c r="GJ801" i="98"/>
  <c r="GP801" i="98"/>
  <c r="FT801" i="98"/>
  <c r="GD801" i="98" s="1"/>
  <c r="FT825" i="98"/>
  <c r="GD825" i="98" s="1"/>
  <c r="FT849" i="98"/>
  <c r="GM849" i="98" s="1"/>
  <c r="GM873" i="98"/>
  <c r="GJ873" i="98"/>
  <c r="GP873" i="98"/>
  <c r="FT873" i="98"/>
  <c r="FT897" i="98"/>
  <c r="FT921" i="98"/>
  <c r="GD921" i="98" s="1"/>
  <c r="GM937" i="98"/>
  <c r="GJ937" i="98"/>
  <c r="GP937" i="98"/>
  <c r="FT937" i="98"/>
  <c r="GG937" i="98"/>
  <c r="GI953" i="98"/>
  <c r="GM953" i="98"/>
  <c r="FT953" i="98"/>
  <c r="GP953" i="98"/>
  <c r="GP979" i="98"/>
  <c r="FT979" i="98"/>
  <c r="GM585" i="98"/>
  <c r="FW918" i="98"/>
  <c r="GI961" i="98"/>
  <c r="GM961" i="98"/>
  <c r="FT998" i="98"/>
  <c r="GB998" i="98" s="1"/>
  <c r="FW1008" i="98"/>
  <c r="FT1020" i="98"/>
  <c r="GM1020" i="98"/>
  <c r="FT1029" i="98"/>
  <c r="FW1029" i="98"/>
  <c r="FT1041" i="98"/>
  <c r="GD1041" i="98" s="1"/>
  <c r="FW1041" i="98"/>
  <c r="GM1041" i="98"/>
  <c r="GJ1041" i="98"/>
  <c r="GP1041" i="98"/>
  <c r="FW1053" i="98"/>
  <c r="FT1063" i="98"/>
  <c r="FT1073" i="98"/>
  <c r="GE1073" i="98" s="1"/>
  <c r="FW1073" i="98"/>
  <c r="FW1085" i="98"/>
  <c r="GI696" i="98"/>
  <c r="GM696" i="98"/>
  <c r="GQ696" i="98"/>
  <c r="GF696" i="98"/>
  <c r="GJ696" i="98"/>
  <c r="GN696" i="98"/>
  <c r="FT696" i="98"/>
  <c r="GG696" i="98"/>
  <c r="GK696" i="98"/>
  <c r="GO696" i="98"/>
  <c r="GP696" i="98"/>
  <c r="GH696" i="98"/>
  <c r="GL696" i="98"/>
  <c r="FT780" i="98"/>
  <c r="GI780" i="98" s="1"/>
  <c r="FW784" i="98"/>
  <c r="FW791" i="98"/>
  <c r="FW800" i="98"/>
  <c r="FT812" i="98"/>
  <c r="GD812" i="98" s="1"/>
  <c r="FW816" i="98"/>
  <c r="FW823" i="98"/>
  <c r="FW832" i="98"/>
  <c r="FW839" i="98"/>
  <c r="FW848" i="98"/>
  <c r="GG860" i="98"/>
  <c r="FT860" i="98"/>
  <c r="GJ860" i="98" s="1"/>
  <c r="FW864" i="98"/>
  <c r="FW871" i="98"/>
  <c r="FW880" i="98"/>
  <c r="FT892" i="98"/>
  <c r="FW896" i="98"/>
  <c r="FW903" i="98"/>
  <c r="FW912" i="98"/>
  <c r="FW928" i="98"/>
  <c r="FT940" i="98"/>
  <c r="FZ940" i="98" s="1"/>
  <c r="FT107" i="98"/>
  <c r="GI107" i="98" s="1"/>
  <c r="FW93" i="98"/>
  <c r="FT115" i="98"/>
  <c r="GM115" i="98" s="1"/>
  <c r="FT105" i="98"/>
  <c r="GJ97" i="98"/>
  <c r="FY114" i="98"/>
  <c r="GP121" i="98"/>
  <c r="GP125" i="98"/>
  <c r="GP129" i="98"/>
  <c r="GP133" i="98"/>
  <c r="GG137" i="98"/>
  <c r="FW98" i="98"/>
  <c r="FW115" i="98"/>
  <c r="GI110" i="98"/>
  <c r="FW113" i="98"/>
  <c r="GP145" i="98"/>
  <c r="FT145" i="98"/>
  <c r="GG145" i="98" s="1"/>
  <c r="FT153" i="98"/>
  <c r="GI153" i="98" s="1"/>
  <c r="FT161" i="98"/>
  <c r="FY139" i="98"/>
  <c r="GG149" i="98"/>
  <c r="GJ149" i="98"/>
  <c r="GI149" i="98"/>
  <c r="GG168" i="98"/>
  <c r="FW173" i="98"/>
  <c r="FW177" i="98"/>
  <c r="FW181" i="98"/>
  <c r="FW185" i="98"/>
  <c r="FW189" i="98"/>
  <c r="GG190" i="98"/>
  <c r="FW193" i="98"/>
  <c r="GG194" i="98"/>
  <c r="FW197" i="98"/>
  <c r="GG130" i="98"/>
  <c r="GJ130" i="98"/>
  <c r="GM130" i="98"/>
  <c r="GP130" i="98"/>
  <c r="GM157" i="98"/>
  <c r="FY158" i="98"/>
  <c r="GJ160" i="98"/>
  <c r="GI160" i="98"/>
  <c r="GP112" i="98"/>
  <c r="FW159" i="98"/>
  <c r="GM141" i="98"/>
  <c r="FY172" i="98"/>
  <c r="GI187" i="98"/>
  <c r="GP148" i="98"/>
  <c r="GG171" i="98"/>
  <c r="GG144" i="98"/>
  <c r="FT201" i="98"/>
  <c r="GM201" i="98" s="1"/>
  <c r="FT237" i="98"/>
  <c r="GG237" i="98"/>
  <c r="GJ237" i="98"/>
  <c r="FW237" i="98"/>
  <c r="GI237" i="98"/>
  <c r="GM237" i="98"/>
  <c r="GG183" i="98"/>
  <c r="GJ183" i="98"/>
  <c r="GM183" i="98"/>
  <c r="GP183" i="98"/>
  <c r="GI212" i="98"/>
  <c r="FT243" i="98"/>
  <c r="GG243" i="98"/>
  <c r="GI243" i="98"/>
  <c r="GM243" i="98"/>
  <c r="FW254" i="98"/>
  <c r="FT259" i="98"/>
  <c r="GG259" i="98" s="1"/>
  <c r="GP259" i="98"/>
  <c r="GM259" i="98"/>
  <c r="FY208" i="98"/>
  <c r="GJ210" i="98"/>
  <c r="GI210" i="98"/>
  <c r="GG220" i="98"/>
  <c r="GJ220" i="98"/>
  <c r="FW245" i="98"/>
  <c r="FW253" i="98"/>
  <c r="GP260" i="98"/>
  <c r="FT277" i="98"/>
  <c r="GM277" i="98" s="1"/>
  <c r="GI261" i="98"/>
  <c r="GP303" i="98"/>
  <c r="FT342" i="98"/>
  <c r="FT358" i="98"/>
  <c r="GP358" i="98" s="1"/>
  <c r="GP275" i="98"/>
  <c r="GI303" i="98"/>
  <c r="GG218" i="98"/>
  <c r="GJ239" i="98"/>
  <c r="GI239" i="98"/>
  <c r="FW247" i="98"/>
  <c r="GI252" i="98"/>
  <c r="FT252" i="98"/>
  <c r="FW269" i="98"/>
  <c r="FT276" i="98"/>
  <c r="GG276" i="98"/>
  <c r="GK276" i="98"/>
  <c r="GO276" i="98"/>
  <c r="GH276" i="98"/>
  <c r="GL276" i="98"/>
  <c r="GP276" i="98"/>
  <c r="GI276" i="98"/>
  <c r="GM276" i="98"/>
  <c r="GQ276" i="98"/>
  <c r="GF276" i="98"/>
  <c r="GJ276" i="98"/>
  <c r="GN276" i="98"/>
  <c r="GP279" i="98"/>
  <c r="GG324" i="98"/>
  <c r="GM324" i="98"/>
  <c r="GP324" i="98"/>
  <c r="FY346" i="98"/>
  <c r="GI353" i="98"/>
  <c r="FW373" i="98"/>
  <c r="GM238" i="98"/>
  <c r="GG267" i="98"/>
  <c r="GJ267" i="98"/>
  <c r="FT272" i="98"/>
  <c r="GG272" i="98"/>
  <c r="GP272" i="98"/>
  <c r="GI272" i="98"/>
  <c r="GM272" i="98"/>
  <c r="GJ272" i="98"/>
  <c r="GM311" i="98"/>
  <c r="GI319" i="98"/>
  <c r="GP319" i="98"/>
  <c r="GM335" i="98"/>
  <c r="GG345" i="98"/>
  <c r="FW364" i="98"/>
  <c r="GF416" i="98"/>
  <c r="GJ416" i="98"/>
  <c r="GN416" i="98"/>
  <c r="FT416" i="98"/>
  <c r="GG416" i="98"/>
  <c r="GK416" i="98"/>
  <c r="GO416" i="98"/>
  <c r="GH416" i="98"/>
  <c r="GL416" i="98"/>
  <c r="GP416" i="98"/>
  <c r="GI416" i="98"/>
  <c r="FW416" i="98"/>
  <c r="GM416" i="98"/>
  <c r="GQ416" i="98"/>
  <c r="GJ432" i="98"/>
  <c r="FT432" i="98"/>
  <c r="GG432" i="98" s="1"/>
  <c r="GM432" i="98"/>
  <c r="FT452" i="98"/>
  <c r="FT468" i="98"/>
  <c r="FW468" i="98"/>
  <c r="GM222" i="98"/>
  <c r="FT375" i="98"/>
  <c r="GG375" i="98" s="1"/>
  <c r="GJ375" i="98"/>
  <c r="GP375" i="98"/>
  <c r="FW375" i="98"/>
  <c r="GI389" i="98"/>
  <c r="GG389" i="98"/>
  <c r="FT389" i="98"/>
  <c r="GP389" i="98"/>
  <c r="FT398" i="98"/>
  <c r="GP422" i="98"/>
  <c r="GM422" i="98"/>
  <c r="GJ422" i="98"/>
  <c r="GG422" i="98"/>
  <c r="FT422" i="98"/>
  <c r="GP438" i="98"/>
  <c r="GM438" i="98"/>
  <c r="GJ438" i="98"/>
  <c r="FT438" i="98"/>
  <c r="GH446" i="98"/>
  <c r="GL446" i="98"/>
  <c r="GP446" i="98"/>
  <c r="GI446" i="98"/>
  <c r="GM446" i="98"/>
  <c r="GQ446" i="98"/>
  <c r="GF446" i="98"/>
  <c r="GJ446" i="98"/>
  <c r="GN446" i="98"/>
  <c r="FT446" i="98"/>
  <c r="GG446" i="98"/>
  <c r="GK446" i="98"/>
  <c r="GO446" i="98"/>
  <c r="GG307" i="98"/>
  <c r="FW310" i="98"/>
  <c r="GM315" i="98"/>
  <c r="GI315" i="98"/>
  <c r="GP315" i="98"/>
  <c r="GJ352" i="98"/>
  <c r="GG355" i="98"/>
  <c r="GG377" i="98"/>
  <c r="GJ377" i="98"/>
  <c r="GI377" i="98"/>
  <c r="GM388" i="98"/>
  <c r="GM393" i="98"/>
  <c r="GP393" i="98"/>
  <c r="FW414" i="98"/>
  <c r="FW422" i="98"/>
  <c r="GJ503" i="98"/>
  <c r="GG291" i="98"/>
  <c r="FW338" i="98"/>
  <c r="GM344" i="98"/>
  <c r="GJ359" i="98"/>
  <c r="GI359" i="98"/>
  <c r="GM385" i="98"/>
  <c r="FY386" i="98"/>
  <c r="GJ388" i="98"/>
  <c r="GI388" i="98"/>
  <c r="GM392" i="98"/>
  <c r="GM405" i="98"/>
  <c r="GP405" i="98"/>
  <c r="GG433" i="98"/>
  <c r="GI448" i="98"/>
  <c r="GJ469" i="98"/>
  <c r="GG475" i="98"/>
  <c r="GI475" i="98"/>
  <c r="GM475" i="98"/>
  <c r="GG491" i="98"/>
  <c r="GI491" i="98"/>
  <c r="GM491" i="98"/>
  <c r="GG507" i="98"/>
  <c r="GI507" i="98"/>
  <c r="GM507" i="98"/>
  <c r="GG527" i="98"/>
  <c r="GM527" i="98"/>
  <c r="GI527" i="98"/>
  <c r="FT563" i="98"/>
  <c r="GI369" i="98"/>
  <c r="GM374" i="98"/>
  <c r="GJ421" i="98"/>
  <c r="FW426" i="98"/>
  <c r="FT453" i="98"/>
  <c r="GB453" i="98" s="1"/>
  <c r="GJ453" i="98"/>
  <c r="GP475" i="98"/>
  <c r="GP483" i="98"/>
  <c r="GP491" i="98"/>
  <c r="GP499" i="98"/>
  <c r="GP507" i="98"/>
  <c r="GP515" i="98"/>
  <c r="FW564" i="98"/>
  <c r="GJ355" i="98"/>
  <c r="GG408" i="98"/>
  <c r="GJ408" i="98"/>
  <c r="FW450" i="98"/>
  <c r="GG480" i="98"/>
  <c r="GM484" i="98"/>
  <c r="GP484" i="98"/>
  <c r="GJ488" i="98"/>
  <c r="GM500" i="98"/>
  <c r="GP500" i="98"/>
  <c r="GJ504" i="98"/>
  <c r="GG512" i="98"/>
  <c r="GJ520" i="98"/>
  <c r="GJ532" i="98"/>
  <c r="GI363" i="98"/>
  <c r="GG363" i="98"/>
  <c r="GI400" i="98"/>
  <c r="GG400" i="98"/>
  <c r="GJ400" i="98"/>
  <c r="GJ437" i="98"/>
  <c r="GM437" i="98"/>
  <c r="GP437" i="98"/>
  <c r="GI531" i="98"/>
  <c r="GG539" i="98"/>
  <c r="GJ539" i="98"/>
  <c r="GP551" i="98"/>
  <c r="FW434" i="98"/>
  <c r="FW474" i="98"/>
  <c r="FT544" i="98"/>
  <c r="GG544" i="98" s="1"/>
  <c r="GM544" i="98"/>
  <c r="FT575" i="98"/>
  <c r="GI591" i="98"/>
  <c r="FT591" i="98"/>
  <c r="GB591" i="98" s="1"/>
  <c r="FT607" i="98"/>
  <c r="GG607" i="98" s="1"/>
  <c r="FT623" i="98"/>
  <c r="GG623" i="98"/>
  <c r="GI639" i="98"/>
  <c r="FT639" i="98"/>
  <c r="FT655" i="98"/>
  <c r="GE655" i="98" s="1"/>
  <c r="GP671" i="98"/>
  <c r="FT671" i="98"/>
  <c r="GG671" i="98"/>
  <c r="GI687" i="98"/>
  <c r="FT687" i="98"/>
  <c r="GG687" i="98"/>
  <c r="GI703" i="98"/>
  <c r="FT703" i="98"/>
  <c r="GD703" i="98" s="1"/>
  <c r="FT719" i="98"/>
  <c r="GP735" i="98"/>
  <c r="GJ735" i="98"/>
  <c r="FT735" i="98"/>
  <c r="GG735" i="98"/>
  <c r="GI751" i="98"/>
  <c r="FT751" i="98"/>
  <c r="GG751" i="98" s="1"/>
  <c r="FT767" i="98"/>
  <c r="GB767" i="98" s="1"/>
  <c r="FW477" i="98"/>
  <c r="FW517" i="98"/>
  <c r="FW533" i="98"/>
  <c r="GG549" i="98"/>
  <c r="GI549" i="98"/>
  <c r="GM578" i="98"/>
  <c r="GP578" i="98"/>
  <c r="GG581" i="98"/>
  <c r="FW587" i="98"/>
  <c r="GJ594" i="98"/>
  <c r="GI609" i="98"/>
  <c r="GM613" i="98"/>
  <c r="GI613" i="98"/>
  <c r="GP637" i="98"/>
  <c r="GG642" i="98"/>
  <c r="GP653" i="98"/>
  <c r="GG658" i="98"/>
  <c r="GI669" i="98"/>
  <c r="GM669" i="98"/>
  <c r="FW683" i="98"/>
  <c r="GJ690" i="98"/>
  <c r="GM693" i="98"/>
  <c r="FW699" i="98"/>
  <c r="GG701" i="98"/>
  <c r="GJ701" i="98"/>
  <c r="GJ702" i="98"/>
  <c r="FW715" i="98"/>
  <c r="GJ722" i="98"/>
  <c r="GP733" i="98"/>
  <c r="GI749" i="98"/>
  <c r="GM749" i="98"/>
  <c r="GJ372" i="98"/>
  <c r="GI372" i="98"/>
  <c r="FW521" i="98"/>
  <c r="FW561" i="98"/>
  <c r="GP577" i="98"/>
  <c r="GM590" i="98"/>
  <c r="GP590" i="98"/>
  <c r="GG593" i="98"/>
  <c r="GJ593" i="98"/>
  <c r="FW615" i="98"/>
  <c r="GI621" i="98"/>
  <c r="GM625" i="98"/>
  <c r="FW647" i="98"/>
  <c r="GG649" i="98"/>
  <c r="GJ649" i="98"/>
  <c r="GJ650" i="98"/>
  <c r="GP665" i="98"/>
  <c r="GP689" i="98"/>
  <c r="FW695" i="98"/>
  <c r="GG697" i="98"/>
  <c r="GJ697" i="98"/>
  <c r="GJ698" i="98"/>
  <c r="GP721" i="98"/>
  <c r="FW727" i="98"/>
  <c r="GG729" i="98"/>
  <c r="GJ729" i="98"/>
  <c r="FT734" i="98"/>
  <c r="GG734" i="98"/>
  <c r="GI734" i="98"/>
  <c r="GI745" i="98"/>
  <c r="GM745" i="98"/>
  <c r="FW759" i="98"/>
  <c r="GG761" i="98"/>
  <c r="FT766" i="98"/>
  <c r="GG766" i="98"/>
  <c r="GK766" i="98"/>
  <c r="GO766" i="98"/>
  <c r="GH766" i="98"/>
  <c r="GL766" i="98"/>
  <c r="GP766" i="98"/>
  <c r="GI766" i="98"/>
  <c r="GM766" i="98"/>
  <c r="GQ766" i="98"/>
  <c r="GJ766" i="98"/>
  <c r="GN766" i="98"/>
  <c r="GF766" i="98"/>
  <c r="GJ529" i="98"/>
  <c r="GM529" i="98"/>
  <c r="GP529" i="98"/>
  <c r="FT553" i="98"/>
  <c r="GM573" i="98"/>
  <c r="GG589" i="98"/>
  <c r="GJ589" i="98"/>
  <c r="GM605" i="98"/>
  <c r="GM618" i="98"/>
  <c r="GP618" i="98"/>
  <c r="GG621" i="98"/>
  <c r="GJ621" i="98"/>
  <c r="GI677" i="98"/>
  <c r="GM685" i="98"/>
  <c r="GP709" i="98"/>
  <c r="GP717" i="98"/>
  <c r="GI725" i="98"/>
  <c r="GI741" i="98"/>
  <c r="GI757" i="98"/>
  <c r="GI773" i="98"/>
  <c r="GM777" i="98"/>
  <c r="GJ777" i="98"/>
  <c r="GI585" i="98"/>
  <c r="GG585" i="98"/>
  <c r="GJ585" i="98"/>
  <c r="GP617" i="98"/>
  <c r="GP681" i="98"/>
  <c r="GP769" i="98"/>
  <c r="FW501" i="98"/>
  <c r="FW607" i="98"/>
  <c r="GG614" i="98"/>
  <c r="GP673" i="98"/>
  <c r="GP713" i="98"/>
  <c r="GP753" i="98"/>
  <c r="FT787" i="98"/>
  <c r="GG787" i="98"/>
  <c r="GI787" i="98"/>
  <c r="GJ787" i="98"/>
  <c r="GM787" i="98"/>
  <c r="FY794" i="98"/>
  <c r="FT803" i="98"/>
  <c r="GG803" i="98" s="1"/>
  <c r="GM803" i="98"/>
  <c r="FY810" i="98"/>
  <c r="FT819" i="98"/>
  <c r="GG819" i="98"/>
  <c r="GI819" i="98"/>
  <c r="GJ819" i="98"/>
  <c r="GM819" i="98"/>
  <c r="FY826" i="98"/>
  <c r="FT835" i="98"/>
  <c r="GG835" i="98" s="1"/>
  <c r="GM835" i="98"/>
  <c r="FY842" i="98"/>
  <c r="FT851" i="98"/>
  <c r="GG851" i="98"/>
  <c r="GI851" i="98"/>
  <c r="GJ851" i="98"/>
  <c r="GM851" i="98"/>
  <c r="FY858" i="98"/>
  <c r="FT867" i="98"/>
  <c r="GG867" i="98" s="1"/>
  <c r="GM867" i="98"/>
  <c r="FY874" i="98"/>
  <c r="FT883" i="98"/>
  <c r="GE883" i="98" s="1"/>
  <c r="GG883" i="98"/>
  <c r="GI883" i="98"/>
  <c r="GJ883" i="98"/>
  <c r="GM883" i="98"/>
  <c r="FY890" i="98"/>
  <c r="FT899" i="98"/>
  <c r="GG899" i="98" s="1"/>
  <c r="GM899" i="98"/>
  <c r="FY906" i="98"/>
  <c r="FT915" i="98"/>
  <c r="FZ915" i="98" s="1"/>
  <c r="GG915" i="98"/>
  <c r="GI915" i="98"/>
  <c r="GJ915" i="98"/>
  <c r="GM915" i="98"/>
  <c r="FY922" i="98"/>
  <c r="FT931" i="98"/>
  <c r="GG931" i="98" s="1"/>
  <c r="GM931" i="98"/>
  <c r="GI382" i="98"/>
  <c r="FW623" i="98"/>
  <c r="GG662" i="98"/>
  <c r="GP705" i="98"/>
  <c r="GG737" i="98"/>
  <c r="GJ737" i="98"/>
  <c r="FT742" i="98"/>
  <c r="GE742" i="98" s="1"/>
  <c r="GI742" i="98"/>
  <c r="FW785" i="98"/>
  <c r="FW793" i="98"/>
  <c r="FW801" i="98"/>
  <c r="FW809" i="98"/>
  <c r="FW817" i="98"/>
  <c r="FW825" i="98"/>
  <c r="FW833" i="98"/>
  <c r="FW841" i="98"/>
  <c r="FW849" i="98"/>
  <c r="FW857" i="98"/>
  <c r="FW865" i="98"/>
  <c r="FW873" i="98"/>
  <c r="FW881" i="98"/>
  <c r="FW889" i="98"/>
  <c r="FW897" i="98"/>
  <c r="FW905" i="98"/>
  <c r="FW913" i="98"/>
  <c r="FW921" i="98"/>
  <c r="FW929" i="98"/>
  <c r="FW937" i="98"/>
  <c r="FT947" i="98"/>
  <c r="FW947" i="98"/>
  <c r="FT955" i="98"/>
  <c r="FW955" i="98"/>
  <c r="FT967" i="98"/>
  <c r="GP967" i="98" s="1"/>
  <c r="FT983" i="98"/>
  <c r="FT999" i="98"/>
  <c r="FW591" i="98"/>
  <c r="FW790" i="98"/>
  <c r="FW806" i="98"/>
  <c r="FW822" i="98"/>
  <c r="FW838" i="98"/>
  <c r="FW854" i="98"/>
  <c r="FW870" i="98"/>
  <c r="FW975" i="98"/>
  <c r="GG977" i="98"/>
  <c r="GJ977" i="98"/>
  <c r="FT982" i="98"/>
  <c r="GM985" i="98"/>
  <c r="GP993" i="98"/>
  <c r="FT1009" i="98"/>
  <c r="GJ1009" i="98" s="1"/>
  <c r="FW1009" i="98"/>
  <c r="FW1020" i="98"/>
  <c r="FT1025" i="98"/>
  <c r="GB1025" i="98" s="1"/>
  <c r="FW1025" i="98"/>
  <c r="GM1025" i="98"/>
  <c r="FW1036" i="98"/>
  <c r="GM1055" i="98"/>
  <c r="FT1055" i="98"/>
  <c r="GD1055" i="98" s="1"/>
  <c r="GP1055" i="98"/>
  <c r="FT1065" i="98"/>
  <c r="GM1065" i="98" s="1"/>
  <c r="FW1065" i="98"/>
  <c r="GJ1087" i="98"/>
  <c r="FT1087" i="98"/>
  <c r="GB1087" i="98" s="1"/>
  <c r="FW559" i="98"/>
  <c r="FW780" i="98"/>
  <c r="FW787" i="98"/>
  <c r="GG792" i="98"/>
  <c r="FT792" i="98"/>
  <c r="FZ792" i="98" s="1"/>
  <c r="FW796" i="98"/>
  <c r="FW803" i="98"/>
  <c r="GI808" i="98"/>
  <c r="FT808" i="98"/>
  <c r="GJ808" i="98"/>
  <c r="FW812" i="98"/>
  <c r="FW819" i="98"/>
  <c r="FT824" i="98"/>
  <c r="GB824" i="98" s="1"/>
  <c r="FW828" i="98"/>
  <c r="FW835" i="98"/>
  <c r="FT840" i="98"/>
  <c r="FW844" i="98"/>
  <c r="FW851" i="98"/>
  <c r="GH856" i="98"/>
  <c r="GL856" i="98"/>
  <c r="GP856" i="98"/>
  <c r="GI856" i="98"/>
  <c r="GM856" i="98"/>
  <c r="GQ856" i="98"/>
  <c r="GG856" i="98"/>
  <c r="GO856" i="98"/>
  <c r="FT856" i="98"/>
  <c r="GJ856" i="98"/>
  <c r="GK856" i="98"/>
  <c r="GF856" i="98"/>
  <c r="GN856" i="98"/>
  <c r="FW860" i="98"/>
  <c r="FW867" i="98"/>
  <c r="GI872" i="98"/>
  <c r="GG872" i="98"/>
  <c r="FT872" i="98"/>
  <c r="GJ872" i="98"/>
  <c r="FW876" i="98"/>
  <c r="FW883" i="98"/>
  <c r="FT888" i="98"/>
  <c r="GB888" i="98" s="1"/>
  <c r="FW892" i="98"/>
  <c r="FW899" i="98"/>
  <c r="FT904" i="98"/>
  <c r="GI904" i="98" s="1"/>
  <c r="FW908" i="98"/>
  <c r="FW915" i="98"/>
  <c r="GG920" i="98"/>
  <c r="FT920" i="98"/>
  <c r="GD920" i="98" s="1"/>
  <c r="FW924" i="98"/>
  <c r="FW931" i="98"/>
  <c r="GH936" i="98"/>
  <c r="GL936" i="98"/>
  <c r="GP936" i="98"/>
  <c r="GI936" i="98"/>
  <c r="GM936" i="98"/>
  <c r="GQ936" i="98"/>
  <c r="GG936" i="98"/>
  <c r="GO936" i="98"/>
  <c r="FT936" i="98"/>
  <c r="GJ936" i="98"/>
  <c r="GK936" i="98"/>
  <c r="GF936" i="98"/>
  <c r="GN936" i="98"/>
  <c r="FW940" i="98"/>
  <c r="GJ1042" i="98"/>
  <c r="GM1042" i="98"/>
  <c r="GG1042" i="98"/>
  <c r="GJ1058" i="98"/>
  <c r="GG1058" i="98"/>
  <c r="GM1058" i="98"/>
  <c r="GJ1074" i="98"/>
  <c r="GG1074" i="98"/>
  <c r="GM1074" i="98"/>
  <c r="GJ1090" i="98"/>
  <c r="GM1090" i="98"/>
  <c r="GG1090" i="98"/>
  <c r="FW967" i="98"/>
  <c r="GG969" i="98"/>
  <c r="GJ969" i="98"/>
  <c r="GI989" i="98"/>
  <c r="GI1001" i="98"/>
  <c r="FY1045" i="98"/>
  <c r="FY1061" i="98"/>
  <c r="FY1077" i="98"/>
  <c r="FY1093" i="98"/>
  <c r="GP569" i="98"/>
  <c r="GG981" i="98"/>
  <c r="GJ981" i="98"/>
  <c r="FT986" i="98"/>
  <c r="GG986" i="98"/>
  <c r="GK986" i="98"/>
  <c r="GO986" i="98"/>
  <c r="GH986" i="98"/>
  <c r="GL986" i="98"/>
  <c r="GP986" i="98"/>
  <c r="GI986" i="98"/>
  <c r="GM986" i="98"/>
  <c r="GQ986" i="98"/>
  <c r="GF986" i="98"/>
  <c r="GJ986" i="98"/>
  <c r="GN986" i="98"/>
  <c r="GG1052" i="98"/>
  <c r="GJ1052" i="98"/>
  <c r="GG1083" i="98"/>
  <c r="GI1083" i="98"/>
  <c r="FT1135" i="98"/>
  <c r="FZ1135" i="98" s="1"/>
  <c r="FT1145" i="98"/>
  <c r="GB1145" i="98" s="1"/>
  <c r="GP1152" i="98"/>
  <c r="FW1161" i="98"/>
  <c r="GI1164" i="98"/>
  <c r="GJ1168" i="98"/>
  <c r="FT1193" i="98"/>
  <c r="GP1193" i="98" s="1"/>
  <c r="GP1200" i="98"/>
  <c r="GM1204" i="98"/>
  <c r="FW1209" i="98"/>
  <c r="GI1212" i="98"/>
  <c r="FT1243" i="98"/>
  <c r="GE1243" i="98" s="1"/>
  <c r="GI1243" i="98"/>
  <c r="GM1243" i="98"/>
  <c r="GG1248" i="98"/>
  <c r="GI1248" i="98"/>
  <c r="GM1248" i="98"/>
  <c r="FT1257" i="98"/>
  <c r="GB1257" i="98" s="1"/>
  <c r="GG1264" i="98"/>
  <c r="GI1264" i="98"/>
  <c r="GM1264" i="98"/>
  <c r="GM1268" i="98"/>
  <c r="FT1275" i="98"/>
  <c r="FZ1275" i="98" s="1"/>
  <c r="GP1275" i="98"/>
  <c r="FW1289" i="98"/>
  <c r="GM1300" i="98"/>
  <c r="FT1307" i="98"/>
  <c r="GG1307" i="98" s="1"/>
  <c r="GP1307" i="98"/>
  <c r="GI1324" i="98"/>
  <c r="FT1339" i="98"/>
  <c r="GE1339" i="98" s="1"/>
  <c r="GG1339" i="98"/>
  <c r="GM1339" i="98"/>
  <c r="GJ1339" i="98"/>
  <c r="FT1371" i="98"/>
  <c r="GE1371" i="98" s="1"/>
  <c r="GI1388" i="98"/>
  <c r="FT1403" i="98"/>
  <c r="FZ1403" i="98" s="1"/>
  <c r="GM1403" i="98"/>
  <c r="GI1420" i="98"/>
  <c r="FT1435" i="98"/>
  <c r="FZ1435" i="98" s="1"/>
  <c r="GI1452" i="98"/>
  <c r="FT1467" i="98"/>
  <c r="GB1467" i="98" s="1"/>
  <c r="GI1484" i="98"/>
  <c r="FT1499" i="98"/>
  <c r="GD1499" i="98" s="1"/>
  <c r="GJ1532" i="98"/>
  <c r="GJ1548" i="98"/>
  <c r="GJ1564" i="98"/>
  <c r="GJ1580" i="98"/>
  <c r="GJ1612" i="98"/>
  <c r="GJ1644" i="98"/>
  <c r="GJ1034" i="98"/>
  <c r="GM1034" i="98"/>
  <c r="GP1034" i="98"/>
  <c r="GI1014" i="98"/>
  <c r="GI1030" i="98"/>
  <c r="GM1044" i="98"/>
  <c r="GG1092" i="98"/>
  <c r="GJ1092" i="98"/>
  <c r="GM1099" i="98"/>
  <c r="GP1099" i="98"/>
  <c r="GI1102" i="98"/>
  <c r="GM1115" i="98"/>
  <c r="GP1115" i="98"/>
  <c r="GJ1131" i="98"/>
  <c r="GP1172" i="98"/>
  <c r="GP1188" i="98"/>
  <c r="GP1204" i="98"/>
  <c r="GP1252" i="98"/>
  <c r="GJ1268" i="98"/>
  <c r="FT1277" i="98"/>
  <c r="GG1284" i="98"/>
  <c r="GJ1300" i="98"/>
  <c r="FT1309" i="98"/>
  <c r="GB1309" i="98" s="1"/>
  <c r="GP1309" i="98"/>
  <c r="GJ1332" i="98"/>
  <c r="GM1332" i="98"/>
  <c r="GG1332" i="98"/>
  <c r="GJ1348" i="98"/>
  <c r="GG1348" i="98"/>
  <c r="GM1348" i="98"/>
  <c r="GJ1364" i="98"/>
  <c r="GG1364" i="98"/>
  <c r="GM1364" i="98"/>
  <c r="GJ1380" i="98"/>
  <c r="GM1380" i="98"/>
  <c r="GG1380" i="98"/>
  <c r="GJ1412" i="98"/>
  <c r="GG1412" i="98"/>
  <c r="GM1412" i="98"/>
  <c r="GJ1428" i="98"/>
  <c r="GM1428" i="98"/>
  <c r="GG1428" i="98"/>
  <c r="GJ1460" i="98"/>
  <c r="GG1460" i="98"/>
  <c r="GM1460" i="98"/>
  <c r="GJ1492" i="98"/>
  <c r="GM1492" i="98"/>
  <c r="GG1492" i="98"/>
  <c r="GG1508" i="98"/>
  <c r="GI1508" i="98"/>
  <c r="GM1508" i="98"/>
  <c r="GG1524" i="98"/>
  <c r="GI1524" i="98"/>
  <c r="GM1524" i="98"/>
  <c r="GG1540" i="98"/>
  <c r="GM1540" i="98"/>
  <c r="GI1540" i="98"/>
  <c r="GG1572" i="98"/>
  <c r="GI1572" i="98"/>
  <c r="GM1572" i="98"/>
  <c r="GG1588" i="98"/>
  <c r="GI1588" i="98"/>
  <c r="GM1588" i="98"/>
  <c r="GG1604" i="98"/>
  <c r="GI1604" i="98"/>
  <c r="GM1604" i="98"/>
  <c r="GG1652" i="98"/>
  <c r="GM1652" i="98"/>
  <c r="GI1652" i="98"/>
  <c r="GG1668" i="98"/>
  <c r="GI1668" i="98"/>
  <c r="GM1668" i="98"/>
  <c r="GG1060" i="98"/>
  <c r="GJ1060" i="98"/>
  <c r="GI1062" i="98"/>
  <c r="GG1139" i="98"/>
  <c r="GP965" i="98"/>
  <c r="GJ972" i="98"/>
  <c r="FT972" i="98"/>
  <c r="GG972" i="98" s="1"/>
  <c r="GG997" i="98"/>
  <c r="GJ997" i="98"/>
  <c r="FT1002" i="98"/>
  <c r="GM1002" i="98"/>
  <c r="GM1084" i="98"/>
  <c r="FT1111" i="98"/>
  <c r="GE1111" i="98" s="1"/>
  <c r="GG1130" i="98"/>
  <c r="GJ1130" i="98"/>
  <c r="GM1153" i="98"/>
  <c r="FT1153" i="98"/>
  <c r="GG1153" i="98" s="1"/>
  <c r="FT1155" i="98"/>
  <c r="GE1155" i="98" s="1"/>
  <c r="GP1160" i="98"/>
  <c r="FT1185" i="98"/>
  <c r="FT1187" i="98"/>
  <c r="GD1187" i="98" s="1"/>
  <c r="GP1187" i="98"/>
  <c r="GP1192" i="98"/>
  <c r="FW1201" i="98"/>
  <c r="GI1204" i="98"/>
  <c r="GJ1208" i="98"/>
  <c r="GM1212" i="98"/>
  <c r="FT1217" i="98"/>
  <c r="FZ1217" i="98" s="1"/>
  <c r="FT1219" i="98"/>
  <c r="GG1219" i="98" s="1"/>
  <c r="GM1219" i="98"/>
  <c r="GP1219" i="98"/>
  <c r="GP1224" i="98"/>
  <c r="GI1265" i="98"/>
  <c r="GM1265" i="98"/>
  <c r="FT1265" i="98"/>
  <c r="GB1265" i="98" s="1"/>
  <c r="GG1265" i="98"/>
  <c r="GP1265" i="98"/>
  <c r="GJ1265" i="98"/>
  <c r="FT1267" i="98"/>
  <c r="GI1267" i="98"/>
  <c r="GM1267" i="98"/>
  <c r="GP1272" i="98"/>
  <c r="FW1281" i="98"/>
  <c r="GI1284" i="98"/>
  <c r="GJ1288" i="98"/>
  <c r="FT1319" i="98"/>
  <c r="GB1319" i="98" s="1"/>
  <c r="FW1319" i="98"/>
  <c r="FT1335" i="98"/>
  <c r="GG1335" i="98" s="1"/>
  <c r="GP1335" i="98"/>
  <c r="FW1335" i="98"/>
  <c r="FT1351" i="98"/>
  <c r="GD1351" i="98" s="1"/>
  <c r="GG1351" i="98"/>
  <c r="GI1351" i="98"/>
  <c r="GP1351" i="98"/>
  <c r="FW1351" i="98"/>
  <c r="GM1351" i="98"/>
  <c r="FT1367" i="98"/>
  <c r="FZ1367" i="98" s="1"/>
  <c r="FW1367" i="98"/>
  <c r="GM1367" i="98"/>
  <c r="FT1383" i="98"/>
  <c r="GP1383" i="98" s="1"/>
  <c r="FW1383" i="98"/>
  <c r="GM1383" i="98"/>
  <c r="FT1399" i="98"/>
  <c r="GD1399" i="98" s="1"/>
  <c r="FW1399" i="98"/>
  <c r="FT1415" i="98"/>
  <c r="GG1415" i="98"/>
  <c r="GI1415" i="98"/>
  <c r="GP1415" i="98"/>
  <c r="FW1415" i="98"/>
  <c r="FT1431" i="98"/>
  <c r="GE1431" i="98" s="1"/>
  <c r="GJ1431" i="98"/>
  <c r="GP1431" i="98"/>
  <c r="FW1431" i="98"/>
  <c r="FT1447" i="98"/>
  <c r="GB1447" i="98" s="1"/>
  <c r="FW1447" i="98"/>
  <c r="FT1463" i="98"/>
  <c r="GG1463" i="98"/>
  <c r="GI1463" i="98"/>
  <c r="GJ1463" i="98"/>
  <c r="GP1463" i="98"/>
  <c r="FW1463" i="98"/>
  <c r="FT1479" i="98"/>
  <c r="GE1479" i="98" s="1"/>
  <c r="GP1479" i="98"/>
  <c r="FW1479" i="98"/>
  <c r="FT1495" i="98"/>
  <c r="FW1495" i="98"/>
  <c r="GP1508" i="98"/>
  <c r="GP1524" i="98"/>
  <c r="GP1532" i="98"/>
  <c r="GP1540" i="98"/>
  <c r="GP1548" i="98"/>
  <c r="GP1564" i="98"/>
  <c r="GP1572" i="98"/>
  <c r="GP1580" i="98"/>
  <c r="GP1588" i="98"/>
  <c r="GP1604" i="98"/>
  <c r="GP1612" i="98"/>
  <c r="GP1644" i="98"/>
  <c r="GP1652" i="98"/>
  <c r="GP1668" i="98"/>
  <c r="GP1684" i="98"/>
  <c r="GJ1010" i="98"/>
  <c r="GM1010" i="98"/>
  <c r="GP1010" i="98"/>
  <c r="GM1043" i="98"/>
  <c r="GG1078" i="98"/>
  <c r="FY1088" i="98"/>
  <c r="GG1110" i="98"/>
  <c r="GJ1110" i="98"/>
  <c r="GJ1112" i="98"/>
  <c r="GM1112" i="98"/>
  <c r="GI1128" i="98"/>
  <c r="GP1128" i="98"/>
  <c r="GJ1144" i="98"/>
  <c r="GM1144" i="98"/>
  <c r="GG1212" i="98"/>
  <c r="FY1237" i="98"/>
  <c r="GG1244" i="98"/>
  <c r="GM1178" i="98"/>
  <c r="GJ1210" i="98"/>
  <c r="GM1342" i="98"/>
  <c r="GG1358" i="98"/>
  <c r="GJ1358" i="98"/>
  <c r="GG1390" i="98"/>
  <c r="GJ1390" i="98"/>
  <c r="FW1403" i="98"/>
  <c r="GM1425" i="98"/>
  <c r="FY1426" i="98"/>
  <c r="FW1435" i="98"/>
  <c r="GG1454" i="98"/>
  <c r="GJ1454" i="98"/>
  <c r="GM1502" i="98"/>
  <c r="GH1506" i="98"/>
  <c r="GL1506" i="98"/>
  <c r="GP1506" i="98"/>
  <c r="GI1506" i="98"/>
  <c r="GM1506" i="98"/>
  <c r="GQ1506" i="98"/>
  <c r="GF1506" i="98"/>
  <c r="GJ1506" i="98"/>
  <c r="GN1506" i="98"/>
  <c r="GO1506" i="98"/>
  <c r="GK1506" i="98"/>
  <c r="FT1506" i="98"/>
  <c r="GG1506" i="98"/>
  <c r="GP1510" i="98"/>
  <c r="GI1510" i="98"/>
  <c r="FT1510" i="98"/>
  <c r="FT1514" i="98"/>
  <c r="GD1514" i="98" s="1"/>
  <c r="GJ1523" i="98"/>
  <c r="FT1523" i="98"/>
  <c r="GI1523" i="98" s="1"/>
  <c r="GG1577" i="98"/>
  <c r="GG1581" i="98"/>
  <c r="GG1585" i="98"/>
  <c r="GG1589" i="98"/>
  <c r="GG1593" i="98"/>
  <c r="GI1607" i="98"/>
  <c r="FT1607" i="98"/>
  <c r="GG1401" i="98"/>
  <c r="GJ1401" i="98"/>
  <c r="GI1401" i="98"/>
  <c r="GJ1421" i="98"/>
  <c r="GM1440" i="98"/>
  <c r="GP1440" i="98"/>
  <c r="GG1472" i="98"/>
  <c r="GM1478" i="98"/>
  <c r="FW1510" i="98"/>
  <c r="FW1586" i="98"/>
  <c r="GG1605" i="98"/>
  <c r="GJ1623" i="98"/>
  <c r="FT1623" i="98"/>
  <c r="GI1623" i="98" s="1"/>
  <c r="FW1658" i="98"/>
  <c r="GG1014" i="98"/>
  <c r="GM1334" i="98"/>
  <c r="GG1369" i="98"/>
  <c r="GJ1369" i="98"/>
  <c r="GI1369" i="98"/>
  <c r="FW1370" i="98"/>
  <c r="GM1382" i="98"/>
  <c r="GM1398" i="98"/>
  <c r="GJ1424" i="98"/>
  <c r="GG1430" i="98"/>
  <c r="GJ1430" i="98"/>
  <c r="GG1481" i="98"/>
  <c r="GJ1481" i="98"/>
  <c r="GI1481" i="98"/>
  <c r="FW1482" i="98"/>
  <c r="FW1491" i="98"/>
  <c r="GJ1511" i="98"/>
  <c r="FT1511" i="98"/>
  <c r="GB1511" i="98" s="1"/>
  <c r="GG1518" i="98"/>
  <c r="GG1522" i="98"/>
  <c r="GG1561" i="98"/>
  <c r="GJ1569" i="98"/>
  <c r="FT1579" i="98"/>
  <c r="GP1579" i="98"/>
  <c r="FT1595" i="98"/>
  <c r="GG1598" i="98"/>
  <c r="GG1602" i="98"/>
  <c r="GJ1637" i="98"/>
  <c r="GG1645" i="98"/>
  <c r="GJ1653" i="98"/>
  <c r="GI1663" i="98"/>
  <c r="GM1663" i="98"/>
  <c r="GJ1663" i="98"/>
  <c r="FT1663" i="98"/>
  <c r="GG1663" i="98"/>
  <c r="GP1663" i="98"/>
  <c r="GM1679" i="98"/>
  <c r="FT1679" i="98"/>
  <c r="GG1679" i="98"/>
  <c r="GM1162" i="98"/>
  <c r="GG1312" i="98"/>
  <c r="GM1328" i="98"/>
  <c r="GP1328" i="98"/>
  <c r="FW1386" i="98"/>
  <c r="GG1414" i="98"/>
  <c r="GJ1414" i="98"/>
  <c r="GM1433" i="98"/>
  <c r="GM1462" i="98"/>
  <c r="GM1488" i="98"/>
  <c r="GP1488" i="98"/>
  <c r="GG1521" i="98"/>
  <c r="GJ1525" i="98"/>
  <c r="GJ1602" i="98"/>
  <c r="GM1602" i="98"/>
  <c r="GP1602" i="98"/>
  <c r="GJ1609" i="98"/>
  <c r="GI1242" i="98"/>
  <c r="GG1242" i="98"/>
  <c r="GJ1242" i="98"/>
  <c r="GM1260" i="98"/>
  <c r="GP1260" i="98"/>
  <c r="GM1345" i="98"/>
  <c r="FY1346" i="98"/>
  <c r="GI1358" i="98"/>
  <c r="FW1371" i="98"/>
  <c r="GM1374" i="98"/>
  <c r="GG1393" i="98"/>
  <c r="GJ1393" i="98"/>
  <c r="GI1393" i="98"/>
  <c r="FW1394" i="98"/>
  <c r="GG1409" i="98"/>
  <c r="GJ1409" i="98"/>
  <c r="GI1409" i="98"/>
  <c r="FW1410" i="98"/>
  <c r="FW1419" i="98"/>
  <c r="GM1422" i="98"/>
  <c r="FT1545" i="98"/>
  <c r="FT1571" i="98"/>
  <c r="GP1571" i="98"/>
  <c r="FT1625" i="98"/>
  <c r="GG1625" i="98" s="1"/>
  <c r="GM1625" i="98"/>
  <c r="GJ1651" i="98"/>
  <c r="FT1651" i="98"/>
  <c r="GI1651" i="98" s="1"/>
  <c r="GG1290" i="98"/>
  <c r="GJ1290" i="98"/>
  <c r="FW1303" i="98"/>
  <c r="GM1325" i="98"/>
  <c r="FY1338" i="98"/>
  <c r="GM1350" i="98"/>
  <c r="FW1363" i="98"/>
  <c r="FW1402" i="98"/>
  <c r="GI1424" i="98"/>
  <c r="GJ1485" i="98"/>
  <c r="GJ1518" i="98"/>
  <c r="GM1518" i="98"/>
  <c r="GP1518" i="98"/>
  <c r="GI1522" i="98"/>
  <c r="GG1525" i="98"/>
  <c r="GJ1529" i="98"/>
  <c r="GI1614" i="98"/>
  <c r="FT1619" i="98"/>
  <c r="GI1619" i="98" s="1"/>
  <c r="GJ1558" i="98"/>
  <c r="GM1558" i="98"/>
  <c r="GP1558" i="98"/>
  <c r="GI1562" i="98"/>
  <c r="GG1642" i="98"/>
  <c r="GJ1618" i="98"/>
  <c r="GM1618" i="98"/>
  <c r="GP1618" i="98"/>
  <c r="GJ1634" i="98"/>
  <c r="GM1634" i="98"/>
  <c r="GP1634" i="98"/>
  <c r="FT124" i="98"/>
  <c r="GG124" i="98"/>
  <c r="GI124" i="98"/>
  <c r="FT135" i="98"/>
  <c r="GI135" i="98" s="1"/>
  <c r="GJ170" i="98"/>
  <c r="GM170" i="98"/>
  <c r="GI170" i="98"/>
  <c r="GJ174" i="98"/>
  <c r="GM174" i="98"/>
  <c r="GI174" i="98"/>
  <c r="GJ178" i="98"/>
  <c r="GM178" i="98"/>
  <c r="GI178" i="98"/>
  <c r="GJ182" i="98"/>
  <c r="GI182" i="98"/>
  <c r="GM182" i="98"/>
  <c r="GJ194" i="98"/>
  <c r="GM194" i="98"/>
  <c r="GI194" i="98"/>
  <c r="GJ198" i="98"/>
  <c r="GM198" i="98"/>
  <c r="GI198" i="98"/>
  <c r="GP160" i="98"/>
  <c r="GG112" i="98"/>
  <c r="GF166" i="98"/>
  <c r="GJ166" i="98"/>
  <c r="GN166" i="98"/>
  <c r="GI166" i="98"/>
  <c r="GO166" i="98"/>
  <c r="FT166" i="98"/>
  <c r="GK166" i="98"/>
  <c r="GP166" i="98"/>
  <c r="GM166" i="98"/>
  <c r="GG166" i="98"/>
  <c r="GQ166" i="98"/>
  <c r="GH166" i="98"/>
  <c r="GL166" i="98"/>
  <c r="FT221" i="98"/>
  <c r="GG221" i="98"/>
  <c r="GI221" i="98"/>
  <c r="GJ221" i="98"/>
  <c r="GM221" i="98"/>
  <c r="FW221" i="98"/>
  <c r="FT251" i="98"/>
  <c r="GG251" i="98" s="1"/>
  <c r="GG210" i="98"/>
  <c r="GI285" i="98"/>
  <c r="GJ285" i="98"/>
  <c r="FT285" i="98"/>
  <c r="GG285" i="98"/>
  <c r="GI265" i="98"/>
  <c r="GJ265" i="98"/>
  <c r="FT265" i="98"/>
  <c r="GP265" i="98"/>
  <c r="GG265" i="98"/>
  <c r="FT284" i="98"/>
  <c r="GG284" i="98" s="1"/>
  <c r="GI284" i="98"/>
  <c r="GM284" i="98"/>
  <c r="GJ280" i="98"/>
  <c r="FT298" i="98"/>
  <c r="GG298" i="98" s="1"/>
  <c r="GM327" i="98"/>
  <c r="GI345" i="98"/>
  <c r="FT460" i="98"/>
  <c r="FW460" i="98"/>
  <c r="GJ327" i="98"/>
  <c r="GH406" i="98"/>
  <c r="GL406" i="98"/>
  <c r="GP406" i="98"/>
  <c r="GI406" i="98"/>
  <c r="GM406" i="98"/>
  <c r="GQ406" i="98"/>
  <c r="GF406" i="98"/>
  <c r="GJ406" i="98"/>
  <c r="GN406" i="98"/>
  <c r="GO406" i="98"/>
  <c r="FT406" i="98"/>
  <c r="GG406" i="98"/>
  <c r="GK406" i="98"/>
  <c r="GJ442" i="98"/>
  <c r="FT442" i="98"/>
  <c r="GI442" i="98" s="1"/>
  <c r="FT457" i="98"/>
  <c r="GP457" i="98"/>
  <c r="GJ457" i="98"/>
  <c r="GP359" i="98"/>
  <c r="FT429" i="98"/>
  <c r="GE429" i="98" s="1"/>
  <c r="GG429" i="98"/>
  <c r="GP429" i="98"/>
  <c r="GM429" i="98"/>
  <c r="GJ429" i="98"/>
  <c r="FT445" i="98"/>
  <c r="GJ480" i="98"/>
  <c r="GJ560" i="98"/>
  <c r="GG359" i="98"/>
  <c r="FT439" i="98"/>
  <c r="FT490" i="98"/>
  <c r="GM490" i="98" s="1"/>
  <c r="GI554" i="98"/>
  <c r="GM554" i="98"/>
  <c r="GJ554" i="98"/>
  <c r="FT554" i="98"/>
  <c r="GG554" i="98"/>
  <c r="GP554" i="98"/>
  <c r="GJ562" i="98"/>
  <c r="FT562" i="98"/>
  <c r="GJ583" i="98"/>
  <c r="FT583" i="98"/>
  <c r="GP583" i="98" s="1"/>
  <c r="FT631" i="98"/>
  <c r="FT679" i="98"/>
  <c r="FT727" i="98"/>
  <c r="GI727" i="98" s="1"/>
  <c r="GM581" i="98"/>
  <c r="GI581" i="98"/>
  <c r="FT706" i="98"/>
  <c r="GG706" i="98"/>
  <c r="GK706" i="98"/>
  <c r="GO706" i="98"/>
  <c r="GH706" i="98"/>
  <c r="GL706" i="98"/>
  <c r="GP706" i="98"/>
  <c r="GI706" i="98"/>
  <c r="GM706" i="98"/>
  <c r="GQ706" i="98"/>
  <c r="GN706" i="98"/>
  <c r="GF706" i="98"/>
  <c r="GJ706" i="98"/>
  <c r="FT754" i="98"/>
  <c r="GI754" i="98" s="1"/>
  <c r="GJ754" i="98"/>
  <c r="FT523" i="98"/>
  <c r="FW583" i="98"/>
  <c r="GI761" i="98"/>
  <c r="GM761" i="98"/>
  <c r="FT666" i="98"/>
  <c r="GG666" i="98"/>
  <c r="GK666" i="98"/>
  <c r="GO666" i="98"/>
  <c r="GH666" i="98"/>
  <c r="GL666" i="98"/>
  <c r="GP666" i="98"/>
  <c r="GI666" i="98"/>
  <c r="GM666" i="98"/>
  <c r="GQ666" i="98"/>
  <c r="GF666" i="98"/>
  <c r="GJ666" i="98"/>
  <c r="GN666" i="98"/>
  <c r="FT943" i="98"/>
  <c r="GG943" i="98"/>
  <c r="GM943" i="98"/>
  <c r="GI943" i="98"/>
  <c r="GJ943" i="98"/>
  <c r="GP943" i="98"/>
  <c r="GJ543" i="98"/>
  <c r="FT543" i="98"/>
  <c r="FZ543" i="98" s="1"/>
  <c r="GI543" i="98"/>
  <c r="FT779" i="98"/>
  <c r="FT802" i="98"/>
  <c r="GG802" i="98"/>
  <c r="GI802" i="98"/>
  <c r="FT818" i="98"/>
  <c r="GG818" i="98" s="1"/>
  <c r="GP818" i="98"/>
  <c r="FT827" i="98"/>
  <c r="FZ827" i="98" s="1"/>
  <c r="FT843" i="98"/>
  <c r="GP843" i="98"/>
  <c r="GI843" i="98"/>
  <c r="GM843" i="98"/>
  <c r="FT859" i="98"/>
  <c r="GB859" i="98" s="1"/>
  <c r="GP859" i="98"/>
  <c r="GI859" i="98"/>
  <c r="GM859" i="98"/>
  <c r="GJ538" i="98"/>
  <c r="FT538" i="98"/>
  <c r="GI538" i="98" s="1"/>
  <c r="GP975" i="98"/>
  <c r="GG975" i="98"/>
  <c r="FT975" i="98"/>
  <c r="GB975" i="98" s="1"/>
  <c r="FW914" i="98"/>
  <c r="FT1008" i="98"/>
  <c r="GD1008" i="98" s="1"/>
  <c r="GP1008" i="98"/>
  <c r="FT1033" i="98"/>
  <c r="FZ1033" i="98" s="1"/>
  <c r="FW1033" i="98"/>
  <c r="FT1071" i="98"/>
  <c r="GE1071" i="98" s="1"/>
  <c r="FW795" i="98"/>
  <c r="FW843" i="98"/>
  <c r="FW859" i="98"/>
  <c r="FW891" i="98"/>
  <c r="FW907" i="98"/>
  <c r="GI976" i="98"/>
  <c r="GM976" i="98"/>
  <c r="GQ976" i="98"/>
  <c r="GF976" i="98"/>
  <c r="GJ976" i="98"/>
  <c r="GN976" i="98"/>
  <c r="FT976" i="98"/>
  <c r="GG976" i="98"/>
  <c r="GK976" i="98"/>
  <c r="GO976" i="98"/>
  <c r="GH976" i="98"/>
  <c r="GL976" i="98"/>
  <c r="GP976" i="98"/>
  <c r="FT990" i="98"/>
  <c r="GE990" i="98" s="1"/>
  <c r="FT1053" i="98"/>
  <c r="GG1053" i="98"/>
  <c r="GI1053" i="98"/>
  <c r="GP1053" i="98"/>
  <c r="GM1053" i="98"/>
  <c r="FT1069" i="98"/>
  <c r="GG1069" i="98" s="1"/>
  <c r="GJ1069" i="98"/>
  <c r="GP1069" i="98"/>
  <c r="GI1015" i="98"/>
  <c r="GM1015" i="98"/>
  <c r="GJ1015" i="98"/>
  <c r="FT1015" i="98"/>
  <c r="GG1015" i="98"/>
  <c r="GP1015" i="98"/>
  <c r="GI1080" i="98"/>
  <c r="FT1080" i="98"/>
  <c r="GP1080" i="98"/>
  <c r="GG1080" i="98"/>
  <c r="FT1103" i="98"/>
  <c r="GE1103" i="98" s="1"/>
  <c r="GG1168" i="98"/>
  <c r="GI1168" i="98"/>
  <c r="GM1168" i="98"/>
  <c r="FT1355" i="98"/>
  <c r="GM1355" i="98" s="1"/>
  <c r="FT1183" i="98"/>
  <c r="GE1183" i="98" s="1"/>
  <c r="FT1215" i="98"/>
  <c r="FZ1215" i="98" s="1"/>
  <c r="GJ1215" i="98"/>
  <c r="GG1300" i="98"/>
  <c r="GJ1324" i="98"/>
  <c r="GG1324" i="98"/>
  <c r="GM1324" i="98"/>
  <c r="GJ1340" i="98"/>
  <c r="GG1340" i="98"/>
  <c r="GM1340" i="98"/>
  <c r="GJ1372" i="98"/>
  <c r="GG1372" i="98"/>
  <c r="GM1372" i="98"/>
  <c r="GJ1388" i="98"/>
  <c r="GM1388" i="98"/>
  <c r="GG1388" i="98"/>
  <c r="GJ1420" i="98"/>
  <c r="GG1420" i="98"/>
  <c r="GM1420" i="98"/>
  <c r="GG1548" i="98"/>
  <c r="GM1548" i="98"/>
  <c r="GI1548" i="98"/>
  <c r="GG1612" i="98"/>
  <c r="GI1612" i="98"/>
  <c r="GM1612" i="98"/>
  <c r="FT1223" i="98"/>
  <c r="GG1223" i="98" s="1"/>
  <c r="GP1223" i="98"/>
  <c r="GJ1223" i="98"/>
  <c r="FT600" i="98"/>
  <c r="GJ1105" i="98"/>
  <c r="FT1105" i="98"/>
  <c r="GG1105" i="98" s="1"/>
  <c r="FT1471" i="98"/>
  <c r="GP1471" i="98" s="1"/>
  <c r="FW1471" i="98"/>
  <c r="FT1503" i="98"/>
  <c r="GG1503" i="98" s="1"/>
  <c r="FW1503" i="98"/>
  <c r="FT648" i="98"/>
  <c r="GG648" i="98" s="1"/>
  <c r="FT1531" i="98"/>
  <c r="GP1531" i="98" s="1"/>
  <c r="FT1599" i="98"/>
  <c r="GG1599" i="98" s="1"/>
  <c r="FT1615" i="98"/>
  <c r="GP1615" i="98"/>
  <c r="GH1666" i="98"/>
  <c r="GL1666" i="98"/>
  <c r="GP1666" i="98"/>
  <c r="GI1666" i="98"/>
  <c r="GM1666" i="98"/>
  <c r="GQ1666" i="98"/>
  <c r="GF1666" i="98"/>
  <c r="GJ1666" i="98"/>
  <c r="GN1666" i="98"/>
  <c r="GO1666" i="98"/>
  <c r="FT1666" i="98"/>
  <c r="GG1666" i="98"/>
  <c r="GK1666" i="98"/>
  <c r="FT1674" i="98"/>
  <c r="FT1678" i="98"/>
  <c r="FZ1678" i="98" s="1"/>
  <c r="FT1271" i="98"/>
  <c r="GE1271" i="98" s="1"/>
  <c r="GP108" i="98"/>
  <c r="FT101" i="98"/>
  <c r="GI101" i="98" s="1"/>
  <c r="GP101" i="98"/>
  <c r="FW128" i="98"/>
  <c r="FW136" i="98"/>
  <c r="FY103" i="98"/>
  <c r="FT131" i="98"/>
  <c r="GI131" i="98" s="1"/>
  <c r="FY119" i="98"/>
  <c r="GM120" i="98"/>
  <c r="GI150" i="98"/>
  <c r="FT150" i="98"/>
  <c r="GJ150" i="98" s="1"/>
  <c r="GP150" i="98"/>
  <c r="GG150" i="98"/>
  <c r="FT177" i="98"/>
  <c r="GM177" i="98" s="1"/>
  <c r="FT185" i="98"/>
  <c r="GJ112" i="98"/>
  <c r="FW166" i="98"/>
  <c r="FT180" i="98"/>
  <c r="FT209" i="98"/>
  <c r="GG209" i="98" s="1"/>
  <c r="GM192" i="98"/>
  <c r="GJ192" i="98"/>
  <c r="FT192" i="98"/>
  <c r="GG192" i="98"/>
  <c r="GP192" i="98"/>
  <c r="FW224" i="98"/>
  <c r="GM210" i="98"/>
  <c r="FT254" i="98"/>
  <c r="GM254" i="98"/>
  <c r="GP254" i="98"/>
  <c r="GP231" i="98"/>
  <c r="FT233" i="98"/>
  <c r="GG233" i="98"/>
  <c r="GM233" i="98"/>
  <c r="GJ233" i="98"/>
  <c r="FT273" i="98"/>
  <c r="GI273" i="98" s="1"/>
  <c r="GI286" i="98"/>
  <c r="GM286" i="98"/>
  <c r="GQ286" i="98"/>
  <c r="GF286" i="98"/>
  <c r="GJ286" i="98"/>
  <c r="GN286" i="98"/>
  <c r="FT286" i="98"/>
  <c r="GG286" i="98"/>
  <c r="GK286" i="98"/>
  <c r="GO286" i="98"/>
  <c r="GL286" i="98"/>
  <c r="GP286" i="98"/>
  <c r="GH286" i="98"/>
  <c r="GJ331" i="98"/>
  <c r="GM331" i="98"/>
  <c r="FT282" i="98"/>
  <c r="GP282" i="98" s="1"/>
  <c r="FT240" i="98"/>
  <c r="GH256" i="98"/>
  <c r="GL256" i="98"/>
  <c r="GP256" i="98"/>
  <c r="GI256" i="98"/>
  <c r="GM256" i="98"/>
  <c r="GQ256" i="98"/>
  <c r="GG256" i="98"/>
  <c r="GO256" i="98"/>
  <c r="FT256" i="98"/>
  <c r="GJ256" i="98"/>
  <c r="GK256" i="98"/>
  <c r="GN256" i="98"/>
  <c r="GF256" i="98"/>
  <c r="FT263" i="98"/>
  <c r="GG263" i="98" s="1"/>
  <c r="GP263" i="98"/>
  <c r="FT412" i="98"/>
  <c r="GG412" i="98"/>
  <c r="FW412" i="98"/>
  <c r="FT464" i="98"/>
  <c r="GG464" i="98" s="1"/>
  <c r="GJ333" i="98"/>
  <c r="FT333" i="98"/>
  <c r="FW362" i="98"/>
  <c r="FT418" i="98"/>
  <c r="FT474" i="98"/>
  <c r="GI474" i="98" s="1"/>
  <c r="GM355" i="98"/>
  <c r="FW470" i="98"/>
  <c r="FT435" i="98"/>
  <c r="GP435" i="98" s="1"/>
  <c r="GG503" i="98"/>
  <c r="GI503" i="98"/>
  <c r="GM503" i="98"/>
  <c r="GI374" i="98"/>
  <c r="GJ508" i="98"/>
  <c r="GI486" i="98"/>
  <c r="GM486" i="98"/>
  <c r="GQ486" i="98"/>
  <c r="GF486" i="98"/>
  <c r="GJ486" i="98"/>
  <c r="GN486" i="98"/>
  <c r="FT486" i="98"/>
  <c r="GG486" i="98"/>
  <c r="GK486" i="98"/>
  <c r="GO486" i="98"/>
  <c r="GH486" i="98"/>
  <c r="GL486" i="98"/>
  <c r="GP486" i="98"/>
  <c r="FW494" i="98"/>
  <c r="GI619" i="98"/>
  <c r="GM619" i="98"/>
  <c r="GJ619" i="98"/>
  <c r="FT619" i="98"/>
  <c r="GM667" i="98"/>
  <c r="GJ667" i="98"/>
  <c r="FT667" i="98"/>
  <c r="GG715" i="98"/>
  <c r="FT715" i="98"/>
  <c r="FT763" i="98"/>
  <c r="FW493" i="98"/>
  <c r="FW596" i="98"/>
  <c r="FT644" i="98"/>
  <c r="GI644" i="98" s="1"/>
  <c r="FW692" i="98"/>
  <c r="GI708" i="98"/>
  <c r="GM708" i="98"/>
  <c r="FT708" i="98"/>
  <c r="GG708" i="98"/>
  <c r="GP708" i="98"/>
  <c r="GM372" i="98"/>
  <c r="FW558" i="98"/>
  <c r="FW576" i="98"/>
  <c r="FT608" i="98"/>
  <c r="GP608" i="98" s="1"/>
  <c r="GM609" i="98"/>
  <c r="FW688" i="98"/>
  <c r="FW720" i="98"/>
  <c r="FT752" i="98"/>
  <c r="GP752" i="98"/>
  <c r="GJ497" i="98"/>
  <c r="FT497" i="98"/>
  <c r="FW550" i="98"/>
  <c r="GI693" i="98"/>
  <c r="FW716" i="98"/>
  <c r="FT732" i="98"/>
  <c r="FW568" i="98"/>
  <c r="FT782" i="98"/>
  <c r="GM782" i="98"/>
  <c r="FT798" i="98"/>
  <c r="FT814" i="98"/>
  <c r="GJ814" i="98" s="1"/>
  <c r="GG814" i="98"/>
  <c r="GI814" i="98"/>
  <c r="GP814" i="98"/>
  <c r="GJ830" i="98"/>
  <c r="FT830" i="98"/>
  <c r="GG830" i="98" s="1"/>
  <c r="GM830" i="98"/>
  <c r="GP830" i="98"/>
  <c r="GF846" i="98"/>
  <c r="GJ846" i="98"/>
  <c r="GN846" i="98"/>
  <c r="FT846" i="98"/>
  <c r="GG846" i="98"/>
  <c r="GK846" i="98"/>
  <c r="GO846" i="98"/>
  <c r="GI846" i="98"/>
  <c r="GQ846" i="98"/>
  <c r="GL846" i="98"/>
  <c r="GM846" i="98"/>
  <c r="GH846" i="98"/>
  <c r="GP846" i="98"/>
  <c r="FT862" i="98"/>
  <c r="GJ878" i="98"/>
  <c r="FT878" i="98"/>
  <c r="GG878" i="98" s="1"/>
  <c r="GM878" i="98"/>
  <c r="GP878" i="98"/>
  <c r="FT894" i="98"/>
  <c r="GG894" i="98"/>
  <c r="GI894" i="98"/>
  <c r="GP894" i="98"/>
  <c r="FT910" i="98"/>
  <c r="GM910" i="98" s="1"/>
  <c r="FT919" i="98"/>
  <c r="GP919" i="98"/>
  <c r="GM919" i="98"/>
  <c r="FT935" i="98"/>
  <c r="FZ935" i="98" s="1"/>
  <c r="GI935" i="98"/>
  <c r="GJ935" i="98"/>
  <c r="FT489" i="98"/>
  <c r="GC489" i="98" s="1"/>
  <c r="FT664" i="98"/>
  <c r="GD664" i="98" s="1"/>
  <c r="GM785" i="98"/>
  <c r="GJ785" i="98"/>
  <c r="FT785" i="98"/>
  <c r="GM809" i="98"/>
  <c r="GP809" i="98"/>
  <c r="FT809" i="98"/>
  <c r="FT833" i="98"/>
  <c r="GD833" i="98" s="1"/>
  <c r="GG833" i="98"/>
  <c r="GP857" i="98"/>
  <c r="FT857" i="98"/>
  <c r="GB857" i="98" s="1"/>
  <c r="GM881" i="98"/>
  <c r="GJ881" i="98"/>
  <c r="FT881" i="98"/>
  <c r="GJ905" i="98"/>
  <c r="FT905" i="98"/>
  <c r="FT963" i="98"/>
  <c r="GG963" i="98" s="1"/>
  <c r="FT92" i="98"/>
  <c r="GP92" i="98"/>
  <c r="GI102" i="98"/>
  <c r="GP97" i="98"/>
  <c r="GG118" i="98"/>
  <c r="GJ118" i="98"/>
  <c r="GJ121" i="98"/>
  <c r="GM121" i="98"/>
  <c r="GI121" i="98"/>
  <c r="GJ125" i="98"/>
  <c r="GI125" i="98"/>
  <c r="GM125" i="98"/>
  <c r="GJ129" i="98"/>
  <c r="GI129" i="98"/>
  <c r="GM129" i="98"/>
  <c r="GJ133" i="98"/>
  <c r="GI133" i="98"/>
  <c r="GM133" i="98"/>
  <c r="FW123" i="98"/>
  <c r="FW131" i="98"/>
  <c r="GJ122" i="98"/>
  <c r="GM122" i="98"/>
  <c r="GP122" i="98"/>
  <c r="GM109" i="98"/>
  <c r="GP120" i="98"/>
  <c r="GJ120" i="98"/>
  <c r="FT147" i="98"/>
  <c r="GG147" i="98" s="1"/>
  <c r="GP147" i="98"/>
  <c r="FW147" i="98"/>
  <c r="FT155" i="98"/>
  <c r="GG155" i="98"/>
  <c r="GI155" i="98"/>
  <c r="FW155" i="98"/>
  <c r="GM155" i="98"/>
  <c r="FT163" i="98"/>
  <c r="GG163" i="98" s="1"/>
  <c r="GJ163" i="98"/>
  <c r="FW163" i="98"/>
  <c r="GM152" i="98"/>
  <c r="GP152" i="98"/>
  <c r="GP170" i="98"/>
  <c r="GP174" i="98"/>
  <c r="GP178" i="98"/>
  <c r="GP182" i="98"/>
  <c r="GP190" i="98"/>
  <c r="GP194" i="98"/>
  <c r="GP198" i="98"/>
  <c r="GI130" i="98"/>
  <c r="FT138" i="98"/>
  <c r="GJ138" i="98" s="1"/>
  <c r="GG157" i="98"/>
  <c r="GJ157" i="98"/>
  <c r="GI157" i="98"/>
  <c r="GI168" i="98"/>
  <c r="FW169" i="98"/>
  <c r="GM112" i="98"/>
  <c r="GG141" i="98"/>
  <c r="GJ141" i="98"/>
  <c r="GI154" i="98"/>
  <c r="GG154" i="98"/>
  <c r="FW180" i="98"/>
  <c r="GJ195" i="98"/>
  <c r="GM195" i="98"/>
  <c r="GP195" i="98"/>
  <c r="FT217" i="98"/>
  <c r="GM148" i="98"/>
  <c r="FW192" i="98"/>
  <c r="GP144" i="98"/>
  <c r="GG187" i="98"/>
  <c r="GG195" i="98"/>
  <c r="FT203" i="98"/>
  <c r="GP203" i="98"/>
  <c r="GI211" i="98"/>
  <c r="FT211" i="98"/>
  <c r="GP211" i="98"/>
  <c r="FT219" i="98"/>
  <c r="GM219" i="98" s="1"/>
  <c r="GM227" i="98"/>
  <c r="FT227" i="98"/>
  <c r="GP227" i="98"/>
  <c r="GI183" i="98"/>
  <c r="FW217" i="98"/>
  <c r="FW232" i="98"/>
  <c r="FW235" i="98"/>
  <c r="FY246" i="98"/>
  <c r="FW250" i="98"/>
  <c r="FT255" i="98"/>
  <c r="GM255" i="98" s="1"/>
  <c r="GG207" i="98"/>
  <c r="GJ207" i="98"/>
  <c r="GI207" i="98"/>
  <c r="GG231" i="98"/>
  <c r="GM231" i="98"/>
  <c r="GI241" i="98"/>
  <c r="FT241" i="98"/>
  <c r="GG241" i="98" s="1"/>
  <c r="GM249" i="98"/>
  <c r="GJ249" i="98"/>
  <c r="FT249" i="98"/>
  <c r="GG249" i="98"/>
  <c r="FT257" i="98"/>
  <c r="GM257" i="98" s="1"/>
  <c r="GI266" i="98"/>
  <c r="GM266" i="98"/>
  <c r="GQ266" i="98"/>
  <c r="GF266" i="98"/>
  <c r="GJ266" i="98"/>
  <c r="GN266" i="98"/>
  <c r="GG266" i="98"/>
  <c r="GK266" i="98"/>
  <c r="GO266" i="98"/>
  <c r="FT266" i="98"/>
  <c r="GH266" i="98"/>
  <c r="GL266" i="98"/>
  <c r="GP266" i="98"/>
  <c r="FT281" i="98"/>
  <c r="GG179" i="98"/>
  <c r="GJ179" i="98"/>
  <c r="GM179" i="98"/>
  <c r="GP179" i="98"/>
  <c r="GJ261" i="98"/>
  <c r="GP264" i="98"/>
  <c r="FT264" i="98"/>
  <c r="GG264" i="98" s="1"/>
  <c r="FW268" i="98"/>
  <c r="FW270" i="98"/>
  <c r="FW284" i="98"/>
  <c r="FW286" i="98"/>
  <c r="GJ303" i="98"/>
  <c r="GM303" i="98"/>
  <c r="GG331" i="98"/>
  <c r="GI275" i="98"/>
  <c r="GM275" i="98"/>
  <c r="GM280" i="98"/>
  <c r="GP280" i="98"/>
  <c r="FW282" i="98"/>
  <c r="FW209" i="98"/>
  <c r="GP218" i="98"/>
  <c r="GG239" i="98"/>
  <c r="GG248" i="98"/>
  <c r="FT248" i="98"/>
  <c r="GJ248" i="98" s="1"/>
  <c r="GM279" i="98"/>
  <c r="FW313" i="98"/>
  <c r="FT340" i="98"/>
  <c r="GP340" i="98" s="1"/>
  <c r="GJ351" i="98"/>
  <c r="GI351" i="98"/>
  <c r="GP267" i="98"/>
  <c r="GG287" i="98"/>
  <c r="GM319" i="98"/>
  <c r="GI327" i="98"/>
  <c r="GP327" i="98"/>
  <c r="GG343" i="98"/>
  <c r="GM343" i="98"/>
  <c r="GP343" i="98"/>
  <c r="FT420" i="98"/>
  <c r="GG420" i="98" s="1"/>
  <c r="FW420" i="98"/>
  <c r="GF436" i="98"/>
  <c r="GJ436" i="98"/>
  <c r="GN436" i="98"/>
  <c r="FT436" i="98"/>
  <c r="GG436" i="98"/>
  <c r="GK436" i="98"/>
  <c r="GO436" i="98"/>
  <c r="GH436" i="98"/>
  <c r="GL436" i="98"/>
  <c r="GP436" i="98"/>
  <c r="GM436" i="98"/>
  <c r="GQ436" i="98"/>
  <c r="GI436" i="98"/>
  <c r="GF456" i="98"/>
  <c r="GJ456" i="98"/>
  <c r="GN456" i="98"/>
  <c r="FT456" i="98"/>
  <c r="GG456" i="98"/>
  <c r="GK456" i="98"/>
  <c r="GO456" i="98"/>
  <c r="GH456" i="98"/>
  <c r="GL456" i="98"/>
  <c r="GP456" i="98"/>
  <c r="GI456" i="98"/>
  <c r="GM456" i="98"/>
  <c r="GQ456" i="98"/>
  <c r="FW285" i="98"/>
  <c r="GJ308" i="98"/>
  <c r="FW309" i="98"/>
  <c r="FW317" i="98"/>
  <c r="GJ324" i="98"/>
  <c r="FW325" i="98"/>
  <c r="GJ332" i="98"/>
  <c r="FW333" i="98"/>
  <c r="GM351" i="98"/>
  <c r="GI356" i="98"/>
  <c r="GM356" i="98"/>
  <c r="GQ356" i="98"/>
  <c r="GJ356" i="98"/>
  <c r="GO356" i="98"/>
  <c r="FT356" i="98"/>
  <c r="GF356" i="98"/>
  <c r="GK356" i="98"/>
  <c r="GP356" i="98"/>
  <c r="GL356" i="98"/>
  <c r="GN356" i="98"/>
  <c r="GG356" i="98"/>
  <c r="GH356" i="98"/>
  <c r="FW367" i="98"/>
  <c r="FW371" i="98"/>
  <c r="FT383" i="98"/>
  <c r="FW383" i="98"/>
  <c r="GI402" i="98"/>
  <c r="GM402" i="98"/>
  <c r="FT402" i="98"/>
  <c r="GP414" i="98"/>
  <c r="GM414" i="98"/>
  <c r="FT414" i="98"/>
  <c r="FW441" i="98"/>
  <c r="FT450" i="98"/>
  <c r="GM307" i="98"/>
  <c r="GI307" i="98"/>
  <c r="GP307" i="98"/>
  <c r="GI355" i="98"/>
  <c r="GP380" i="98"/>
  <c r="GJ393" i="98"/>
  <c r="GJ433" i="98"/>
  <c r="GJ449" i="98"/>
  <c r="FW467" i="98"/>
  <c r="GJ473" i="98"/>
  <c r="GJ483" i="98"/>
  <c r="GJ499" i="98"/>
  <c r="GJ515" i="98"/>
  <c r="GM291" i="98"/>
  <c r="GI291" i="98"/>
  <c r="GP291" i="98"/>
  <c r="GG323" i="98"/>
  <c r="GG344" i="98"/>
  <c r="GI344" i="98"/>
  <c r="GI348" i="98"/>
  <c r="FT348" i="98"/>
  <c r="GP348" i="98"/>
  <c r="GG348" i="98"/>
  <c r="FW370" i="98"/>
  <c r="GG385" i="98"/>
  <c r="GJ385" i="98"/>
  <c r="GI385" i="98"/>
  <c r="GG413" i="98"/>
  <c r="GM433" i="98"/>
  <c r="GP433" i="98"/>
  <c r="FW435" i="98"/>
  <c r="FW443" i="98"/>
  <c r="GG449" i="98"/>
  <c r="GG473" i="98"/>
  <c r="GG479" i="98"/>
  <c r="GI479" i="98"/>
  <c r="GM479" i="98"/>
  <c r="GG511" i="98"/>
  <c r="GI511" i="98"/>
  <c r="GM511" i="98"/>
  <c r="GG547" i="98"/>
  <c r="GM547" i="98"/>
  <c r="GI547" i="98"/>
  <c r="FT567" i="98"/>
  <c r="GD567" i="98" s="1"/>
  <c r="GG374" i="98"/>
  <c r="GJ374" i="98"/>
  <c r="GG380" i="98"/>
  <c r="GG401" i="98"/>
  <c r="FW410" i="98"/>
  <c r="FW418" i="98"/>
  <c r="FW429" i="98"/>
  <c r="FW471" i="98"/>
  <c r="GG472" i="98"/>
  <c r="GJ472" i="98"/>
  <c r="GI565" i="98"/>
  <c r="GM565" i="98"/>
  <c r="GJ565" i="98"/>
  <c r="FT565" i="98"/>
  <c r="GB565" i="98" s="1"/>
  <c r="GG565" i="98"/>
  <c r="GP408" i="98"/>
  <c r="GM480" i="98"/>
  <c r="GP480" i="98"/>
  <c r="GJ484" i="98"/>
  <c r="GG492" i="98"/>
  <c r="GJ500" i="98"/>
  <c r="GG508" i="98"/>
  <c r="GM512" i="98"/>
  <c r="GP512" i="98"/>
  <c r="GG540" i="98"/>
  <c r="GG552" i="98"/>
  <c r="GM560" i="98"/>
  <c r="GP560" i="98"/>
  <c r="FW330" i="98"/>
  <c r="FT354" i="98"/>
  <c r="GG354" i="98"/>
  <c r="GI354" i="98"/>
  <c r="GJ354" i="98"/>
  <c r="GP354" i="98"/>
  <c r="GM354" i="98"/>
  <c r="GP400" i="98"/>
  <c r="FW442" i="98"/>
  <c r="FW486" i="98"/>
  <c r="FW502" i="98"/>
  <c r="FW518" i="98"/>
  <c r="GP539" i="98"/>
  <c r="FW542" i="98"/>
  <c r="GI551" i="98"/>
  <c r="FW565" i="98"/>
  <c r="GG397" i="98"/>
  <c r="FW436" i="98"/>
  <c r="FW465" i="98"/>
  <c r="FT524" i="98"/>
  <c r="FT536" i="98"/>
  <c r="GG536" i="98"/>
  <c r="GK536" i="98"/>
  <c r="GO536" i="98"/>
  <c r="GH536" i="98"/>
  <c r="GL536" i="98"/>
  <c r="GP536" i="98"/>
  <c r="GI536" i="98"/>
  <c r="GM536" i="98"/>
  <c r="GQ536" i="98"/>
  <c r="GF536" i="98"/>
  <c r="GJ536" i="98"/>
  <c r="GN536" i="98"/>
  <c r="FT548" i="98"/>
  <c r="GG548" i="98"/>
  <c r="GP548" i="98"/>
  <c r="GM548" i="98"/>
  <c r="GJ548" i="98"/>
  <c r="FT579" i="98"/>
  <c r="FZ579" i="98" s="1"/>
  <c r="FT595" i="98"/>
  <c r="GE595" i="98" s="1"/>
  <c r="GP611" i="98"/>
  <c r="GM611" i="98"/>
  <c r="GJ611" i="98"/>
  <c r="FT611" i="98"/>
  <c r="GB611" i="98" s="1"/>
  <c r="GG611" i="98"/>
  <c r="GP627" i="98"/>
  <c r="GM627" i="98"/>
  <c r="FT627" i="98"/>
  <c r="GE627" i="98" s="1"/>
  <c r="GG627" i="98"/>
  <c r="FT643" i="98"/>
  <c r="FZ643" i="98" s="1"/>
  <c r="FT659" i="98"/>
  <c r="GB659" i="98" s="1"/>
  <c r="GP675" i="98"/>
  <c r="GM675" i="98"/>
  <c r="GJ675" i="98"/>
  <c r="FT675" i="98"/>
  <c r="FZ675" i="98" s="1"/>
  <c r="GG675" i="98"/>
  <c r="GP691" i="98"/>
  <c r="GM691" i="98"/>
  <c r="FT691" i="98"/>
  <c r="GD691" i="98" s="1"/>
  <c r="GG691" i="98"/>
  <c r="FT707" i="98"/>
  <c r="FZ707" i="98" s="1"/>
  <c r="FT723" i="98"/>
  <c r="GB723" i="98" s="1"/>
  <c r="GP739" i="98"/>
  <c r="GM739" i="98"/>
  <c r="GJ739" i="98"/>
  <c r="FT739" i="98"/>
  <c r="GD739" i="98" s="1"/>
  <c r="GG739" i="98"/>
  <c r="GP755" i="98"/>
  <c r="GM755" i="98"/>
  <c r="FT755" i="98"/>
  <c r="GB755" i="98" s="1"/>
  <c r="GG755" i="98"/>
  <c r="FT771" i="98"/>
  <c r="GE771" i="98" s="1"/>
  <c r="FT505" i="98"/>
  <c r="FW535" i="98"/>
  <c r="GJ545" i="98"/>
  <c r="GM545" i="98"/>
  <c r="GP545" i="98"/>
  <c r="FW571" i="98"/>
  <c r="GJ578" i="98"/>
  <c r="GP581" i="98"/>
  <c r="GI593" i="98"/>
  <c r="GG610" i="98"/>
  <c r="GJ622" i="98"/>
  <c r="FW628" i="98"/>
  <c r="GG629" i="98"/>
  <c r="GJ629" i="98"/>
  <c r="GI637" i="98"/>
  <c r="GM637" i="98"/>
  <c r="GM642" i="98"/>
  <c r="GP642" i="98"/>
  <c r="FW644" i="98"/>
  <c r="GG645" i="98"/>
  <c r="GJ645" i="98"/>
  <c r="GI653" i="98"/>
  <c r="GM653" i="98"/>
  <c r="GM658" i="98"/>
  <c r="GP658" i="98"/>
  <c r="FW660" i="98"/>
  <c r="GG661" i="98"/>
  <c r="GJ661" i="98"/>
  <c r="FW674" i="98"/>
  <c r="FW676" i="98"/>
  <c r="GP701" i="98"/>
  <c r="FW706" i="98"/>
  <c r="FW708" i="98"/>
  <c r="GI733" i="98"/>
  <c r="GM733" i="98"/>
  <c r="FW754" i="98"/>
  <c r="FW756" i="98"/>
  <c r="FW763" i="98"/>
  <c r="GG765" i="98"/>
  <c r="GJ765" i="98"/>
  <c r="FT770" i="98"/>
  <c r="GI770" i="98" s="1"/>
  <c r="GG372" i="98"/>
  <c r="GJ425" i="98"/>
  <c r="FT481" i="98"/>
  <c r="GD481" i="98" s="1"/>
  <c r="FT509" i="98"/>
  <c r="GG509" i="98"/>
  <c r="FW523" i="98"/>
  <c r="GJ537" i="98"/>
  <c r="GM537" i="98"/>
  <c r="GP537" i="98"/>
  <c r="GM577" i="98"/>
  <c r="GP593" i="98"/>
  <c r="GJ602" i="98"/>
  <c r="FW608" i="98"/>
  <c r="GG609" i="98"/>
  <c r="GJ609" i="98"/>
  <c r="GG622" i="98"/>
  <c r="FW631" i="98"/>
  <c r="GJ634" i="98"/>
  <c r="GP649" i="98"/>
  <c r="GG654" i="98"/>
  <c r="GI665" i="98"/>
  <c r="GM665" i="98"/>
  <c r="FW679" i="98"/>
  <c r="GM689" i="98"/>
  <c r="GP697" i="98"/>
  <c r="GG702" i="98"/>
  <c r="FW711" i="98"/>
  <c r="GM721" i="98"/>
  <c r="GP729" i="98"/>
  <c r="FW750" i="98"/>
  <c r="FW752" i="98"/>
  <c r="GP761" i="98"/>
  <c r="GG347" i="98"/>
  <c r="FT347" i="98"/>
  <c r="GI347" i="98"/>
  <c r="GI485" i="98"/>
  <c r="FT485" i="98"/>
  <c r="GD485" i="98" s="1"/>
  <c r="GG529" i="98"/>
  <c r="GI529" i="98"/>
  <c r="GG570" i="98"/>
  <c r="FW579" i="98"/>
  <c r="GP589" i="98"/>
  <c r="GG602" i="98"/>
  <c r="FW611" i="98"/>
  <c r="GP621" i="98"/>
  <c r="GG634" i="98"/>
  <c r="GG650" i="98"/>
  <c r="FW666" i="98"/>
  <c r="FW668" i="98"/>
  <c r="GG682" i="98"/>
  <c r="FW691" i="98"/>
  <c r="GG693" i="98"/>
  <c r="GJ693" i="98"/>
  <c r="GG698" i="98"/>
  <c r="GI709" i="98"/>
  <c r="GM717" i="98"/>
  <c r="FW730" i="98"/>
  <c r="FW732" i="98"/>
  <c r="FW746" i="98"/>
  <c r="FW748" i="98"/>
  <c r="FW762" i="98"/>
  <c r="FW764" i="98"/>
  <c r="FY776" i="98"/>
  <c r="GP585" i="98"/>
  <c r="FW953" i="98"/>
  <c r="FW543" i="98"/>
  <c r="GJ557" i="98"/>
  <c r="GM557" i="98"/>
  <c r="GP557" i="98"/>
  <c r="GJ614" i="98"/>
  <c r="GM614" i="98"/>
  <c r="GP614" i="98"/>
  <c r="FW616" i="98"/>
  <c r="FT783" i="98"/>
  <c r="GD783" i="98" s="1"/>
  <c r="GG783" i="98"/>
  <c r="GP783" i="98"/>
  <c r="GJ783" i="98"/>
  <c r="GM783" i="98"/>
  <c r="FT799" i="98"/>
  <c r="GJ799" i="98" s="1"/>
  <c r="FT815" i="98"/>
  <c r="GE815" i="98" s="1"/>
  <c r="GM815" i="98"/>
  <c r="FT831" i="98"/>
  <c r="GM831" i="98" s="1"/>
  <c r="FT847" i="98"/>
  <c r="GD847" i="98" s="1"/>
  <c r="GG847" i="98"/>
  <c r="GP847" i="98"/>
  <c r="GJ847" i="98"/>
  <c r="GM847" i="98"/>
  <c r="FT863" i="98"/>
  <c r="GJ863" i="98"/>
  <c r="FT879" i="98"/>
  <c r="FZ879" i="98" s="1"/>
  <c r="GM879" i="98"/>
  <c r="FY886" i="98"/>
  <c r="FT895" i="98"/>
  <c r="GI895" i="98" s="1"/>
  <c r="GM895" i="98"/>
  <c r="FT911" i="98"/>
  <c r="FZ911" i="98" s="1"/>
  <c r="FT927" i="98"/>
  <c r="GG927" i="98"/>
  <c r="GP927" i="98"/>
  <c r="GJ927" i="98"/>
  <c r="GM927" i="98"/>
  <c r="FY934" i="98"/>
  <c r="FW938" i="98"/>
  <c r="GI601" i="98"/>
  <c r="GG601" i="98"/>
  <c r="GJ601" i="98"/>
  <c r="GJ662" i="98"/>
  <c r="GM662" i="98"/>
  <c r="GP662" i="98"/>
  <c r="FW664" i="98"/>
  <c r="GP737" i="98"/>
  <c r="GJ781" i="98"/>
  <c r="GP781" i="98"/>
  <c r="FT781" i="98"/>
  <c r="GE781" i="98" s="1"/>
  <c r="GM789" i="98"/>
  <c r="GJ789" i="98"/>
  <c r="GP789" i="98"/>
  <c r="FT789" i="98"/>
  <c r="FT797" i="98"/>
  <c r="GI805" i="98"/>
  <c r="FT805" i="98"/>
  <c r="GM805" i="98" s="1"/>
  <c r="FT813" i="98"/>
  <c r="GP821" i="98"/>
  <c r="FT821" i="98"/>
  <c r="GM821" i="98" s="1"/>
  <c r="FT829" i="98"/>
  <c r="FT837" i="98"/>
  <c r="GJ845" i="98"/>
  <c r="GP845" i="98"/>
  <c r="FT845" i="98"/>
  <c r="GB845" i="98" s="1"/>
  <c r="GM853" i="98"/>
  <c r="GJ853" i="98"/>
  <c r="GP853" i="98"/>
  <c r="FT853" i="98"/>
  <c r="FT861" i="98"/>
  <c r="GI869" i="98"/>
  <c r="FT869" i="98"/>
  <c r="GM869" i="98" s="1"/>
  <c r="FT877" i="98"/>
  <c r="GP885" i="98"/>
  <c r="FT885" i="98"/>
  <c r="GM885" i="98" s="1"/>
  <c r="FT893" i="98"/>
  <c r="FT901" i="98"/>
  <c r="GG901" i="98" s="1"/>
  <c r="GJ909" i="98"/>
  <c r="GP909" i="98"/>
  <c r="FT909" i="98"/>
  <c r="GE909" i="98" s="1"/>
  <c r="GM917" i="98"/>
  <c r="GJ917" i="98"/>
  <c r="GP917" i="98"/>
  <c r="FT917" i="98"/>
  <c r="FT925" i="98"/>
  <c r="GI933" i="98"/>
  <c r="FT933" i="98"/>
  <c r="GM933" i="98" s="1"/>
  <c r="FT971" i="98"/>
  <c r="FT987" i="98"/>
  <c r="GP987" i="98" s="1"/>
  <c r="GI1003" i="98"/>
  <c r="GM1003" i="98"/>
  <c r="GJ1003" i="98"/>
  <c r="FT1003" i="98"/>
  <c r="GB1003" i="98" s="1"/>
  <c r="GG1003" i="98"/>
  <c r="FW639" i="98"/>
  <c r="FW894" i="98"/>
  <c r="FW910" i="98"/>
  <c r="FW926" i="98"/>
  <c r="GM944" i="98"/>
  <c r="GG961" i="98"/>
  <c r="GJ961" i="98"/>
  <c r="FT966" i="98"/>
  <c r="GG966" i="98"/>
  <c r="GK966" i="98"/>
  <c r="GO966" i="98"/>
  <c r="GH966" i="98"/>
  <c r="GL966" i="98"/>
  <c r="GP966" i="98"/>
  <c r="GI966" i="98"/>
  <c r="GM966" i="98"/>
  <c r="GQ966" i="98"/>
  <c r="GN966" i="98"/>
  <c r="GF966" i="98"/>
  <c r="GJ966" i="98"/>
  <c r="GM969" i="98"/>
  <c r="GP977" i="98"/>
  <c r="GI993" i="98"/>
  <c r="GM993" i="98"/>
  <c r="FY1012" i="98"/>
  <c r="FW1016" i="98"/>
  <c r="FT1021" i="98"/>
  <c r="GB1021" i="98" s="1"/>
  <c r="GG1021" i="98"/>
  <c r="GP1021" i="98"/>
  <c r="FW1021" i="98"/>
  <c r="GM1021" i="98"/>
  <c r="GI1021" i="98"/>
  <c r="FY1028" i="98"/>
  <c r="FW1032" i="98"/>
  <c r="FW1037" i="98"/>
  <c r="GI1047" i="98"/>
  <c r="GM1047" i="98"/>
  <c r="GJ1047" i="98"/>
  <c r="FT1047" i="98"/>
  <c r="FZ1047" i="98" s="1"/>
  <c r="GP1047" i="98"/>
  <c r="GG1047" i="98"/>
  <c r="FT1057" i="98"/>
  <c r="GG1057" i="98" s="1"/>
  <c r="FW1057" i="98"/>
  <c r="GM1057" i="98"/>
  <c r="GI1057" i="98"/>
  <c r="GJ1057" i="98"/>
  <c r="FW1069" i="98"/>
  <c r="FT1079" i="98"/>
  <c r="GD1079" i="98" s="1"/>
  <c r="FT1089" i="98"/>
  <c r="FW1089" i="98"/>
  <c r="FW696" i="98"/>
  <c r="FW783" i="98"/>
  <c r="GG788" i="98"/>
  <c r="FT788" i="98"/>
  <c r="GJ788" i="98"/>
  <c r="FW799" i="98"/>
  <c r="GG804" i="98"/>
  <c r="FT804" i="98"/>
  <c r="FZ804" i="98" s="1"/>
  <c r="GJ804" i="98"/>
  <c r="FW815" i="98"/>
  <c r="GG820" i="98"/>
  <c r="FT820" i="98"/>
  <c r="GJ820" i="98"/>
  <c r="FW831" i="98"/>
  <c r="GH836" i="98"/>
  <c r="GL836" i="98"/>
  <c r="GP836" i="98"/>
  <c r="GI836" i="98"/>
  <c r="GM836" i="98"/>
  <c r="GQ836" i="98"/>
  <c r="GG836" i="98"/>
  <c r="GO836" i="98"/>
  <c r="FT836" i="98"/>
  <c r="GJ836" i="98"/>
  <c r="GK836" i="98"/>
  <c r="GF836" i="98"/>
  <c r="GN836" i="98"/>
  <c r="FW847" i="98"/>
  <c r="FT852" i="98"/>
  <c r="FW863" i="98"/>
  <c r="FT868" i="98"/>
  <c r="FW879" i="98"/>
  <c r="FT884" i="98"/>
  <c r="GG884" i="98" s="1"/>
  <c r="FW895" i="98"/>
  <c r="GG900" i="98"/>
  <c r="FT900" i="98"/>
  <c r="FW911" i="98"/>
  <c r="GH916" i="98"/>
  <c r="GL916" i="98"/>
  <c r="GP916" i="98"/>
  <c r="GI916" i="98"/>
  <c r="GM916" i="98"/>
  <c r="GQ916" i="98"/>
  <c r="GG916" i="98"/>
  <c r="GO916" i="98"/>
  <c r="FT916" i="98"/>
  <c r="GJ916" i="98"/>
  <c r="GK916" i="98"/>
  <c r="GF916" i="98"/>
  <c r="GN916" i="98"/>
  <c r="FW927" i="98"/>
  <c r="GG932" i="98"/>
  <c r="FT932" i="98"/>
  <c r="GB932" i="98" s="1"/>
  <c r="GJ932" i="98"/>
  <c r="GJ944" i="98"/>
  <c r="GI944" i="98"/>
  <c r="GG954" i="98"/>
  <c r="GJ954" i="98"/>
  <c r="FT962" i="98"/>
  <c r="GI962" i="98" s="1"/>
  <c r="FW971" i="98"/>
  <c r="GG973" i="98"/>
  <c r="GJ973" i="98"/>
  <c r="FT978" i="98"/>
  <c r="GI978" i="98" s="1"/>
  <c r="GJ978" i="98"/>
  <c r="FW987" i="98"/>
  <c r="GG989" i="98"/>
  <c r="GJ989" i="98"/>
  <c r="FT994" i="98"/>
  <c r="GI994" i="98"/>
  <c r="FW1003" i="98"/>
  <c r="GG1005" i="98"/>
  <c r="GJ1005" i="98"/>
  <c r="FW1015" i="98"/>
  <c r="FW1031" i="98"/>
  <c r="GP969" i="98"/>
  <c r="FT974" i="98"/>
  <c r="GM974" i="98" s="1"/>
  <c r="GG974" i="98"/>
  <c r="GG985" i="98"/>
  <c r="GJ985" i="98"/>
  <c r="FW990" i="98"/>
  <c r="FW992" i="98"/>
  <c r="GI1005" i="98"/>
  <c r="FW1047" i="98"/>
  <c r="FW1063" i="98"/>
  <c r="FW1079" i="98"/>
  <c r="FW1127" i="98"/>
  <c r="GJ960" i="98"/>
  <c r="GM960" i="98"/>
  <c r="GP981" i="98"/>
  <c r="GG1010" i="98"/>
  <c r="FW1129" i="98"/>
  <c r="GI1148" i="98"/>
  <c r="GJ1152" i="98"/>
  <c r="FW1163" i="98"/>
  <c r="FT1179" i="98"/>
  <c r="GG1179" i="98"/>
  <c r="GM1179" i="98"/>
  <c r="GP1179" i="98"/>
  <c r="GJ1179" i="98"/>
  <c r="GG1184" i="98"/>
  <c r="GI1184" i="98"/>
  <c r="GM1184" i="98"/>
  <c r="GM1188" i="98"/>
  <c r="GJ1200" i="98"/>
  <c r="FW1211" i="98"/>
  <c r="FT1227" i="98"/>
  <c r="GG1227" i="98"/>
  <c r="GI1227" i="98"/>
  <c r="GM1227" i="98"/>
  <c r="GJ1227" i="98"/>
  <c r="GP1227" i="98"/>
  <c r="GG1232" i="98"/>
  <c r="GI1232" i="98"/>
  <c r="GM1232" i="98"/>
  <c r="FT1241" i="98"/>
  <c r="GM1252" i="98"/>
  <c r="FT1273" i="98"/>
  <c r="GG1280" i="98"/>
  <c r="GI1280" i="98"/>
  <c r="GM1280" i="98"/>
  <c r="FW1291" i="98"/>
  <c r="FT1305" i="98"/>
  <c r="GP1305" i="98"/>
  <c r="GJ1305" i="98"/>
  <c r="FT1315" i="98"/>
  <c r="GG1315" i="98" s="1"/>
  <c r="GI1315" i="98"/>
  <c r="GP1315" i="98"/>
  <c r="FT1347" i="98"/>
  <c r="GP1347" i="98" s="1"/>
  <c r="FT1379" i="98"/>
  <c r="GP1379" i="98"/>
  <c r="FT1411" i="98"/>
  <c r="GD1411" i="98" s="1"/>
  <c r="GP1411" i="98"/>
  <c r="FT1443" i="98"/>
  <c r="GI1443" i="98"/>
  <c r="GJ1443" i="98"/>
  <c r="FT1475" i="98"/>
  <c r="GG1475" i="98"/>
  <c r="GI1475" i="98"/>
  <c r="GP1475" i="98"/>
  <c r="GI1034" i="98"/>
  <c r="GJ1022" i="98"/>
  <c r="GM1022" i="98"/>
  <c r="GP1022" i="98"/>
  <c r="GG1044" i="98"/>
  <c r="GJ1044" i="98"/>
  <c r="GJ1099" i="98"/>
  <c r="GJ1115" i="98"/>
  <c r="GG1118" i="98"/>
  <c r="GJ1118" i="98"/>
  <c r="GG1128" i="98"/>
  <c r="GG1134" i="98"/>
  <c r="GJ1134" i="98"/>
  <c r="GG1144" i="98"/>
  <c r="GI1149" i="98"/>
  <c r="GM1149" i="98"/>
  <c r="FT1149" i="98"/>
  <c r="GG1149" i="98"/>
  <c r="GJ1149" i="98"/>
  <c r="GP1149" i="98"/>
  <c r="FW1151" i="98"/>
  <c r="FT1158" i="98"/>
  <c r="FT1165" i="98"/>
  <c r="FW1167" i="98"/>
  <c r="GJ1172" i="98"/>
  <c r="GJ1174" i="98"/>
  <c r="GM1174" i="98"/>
  <c r="FT1174" i="98"/>
  <c r="FZ1174" i="98" s="1"/>
  <c r="GM1181" i="98"/>
  <c r="FT1181" i="98"/>
  <c r="GP1181" i="98"/>
  <c r="FW1183" i="98"/>
  <c r="GJ1188" i="98"/>
  <c r="GP1190" i="98"/>
  <c r="GM1190" i="98"/>
  <c r="FT1190" i="98"/>
  <c r="GJ1190" i="98" s="1"/>
  <c r="GI1197" i="98"/>
  <c r="GM1197" i="98"/>
  <c r="FT1197" i="98"/>
  <c r="GB1197" i="98" s="1"/>
  <c r="GJ1197" i="98"/>
  <c r="FW1199" i="98"/>
  <c r="GJ1204" i="98"/>
  <c r="GF1206" i="98"/>
  <c r="GJ1206" i="98"/>
  <c r="GN1206" i="98"/>
  <c r="GH1206" i="98"/>
  <c r="GL1206" i="98"/>
  <c r="GP1206" i="98"/>
  <c r="GM1206" i="98"/>
  <c r="GG1206" i="98"/>
  <c r="GO1206" i="98"/>
  <c r="FT1206" i="98"/>
  <c r="GI1206" i="98"/>
  <c r="GQ1206" i="98"/>
  <c r="GK1206" i="98"/>
  <c r="FT1213" i="98"/>
  <c r="FW1215" i="98"/>
  <c r="FT1222" i="98"/>
  <c r="FT1229" i="98"/>
  <c r="FW1231" i="98"/>
  <c r="GP1238" i="98"/>
  <c r="FT1238" i="98"/>
  <c r="FT1245" i="98"/>
  <c r="FW1247" i="98"/>
  <c r="GJ1252" i="98"/>
  <c r="GP1254" i="98"/>
  <c r="GM1254" i="98"/>
  <c r="GG1254" i="98"/>
  <c r="FT1254" i="98"/>
  <c r="GI1254" i="98"/>
  <c r="FT1263" i="98"/>
  <c r="FT1295" i="98"/>
  <c r="GP1295" i="98" s="1"/>
  <c r="GI1295" i="98"/>
  <c r="GG1512" i="98"/>
  <c r="GI1512" i="98"/>
  <c r="GM1512" i="98"/>
  <c r="GG1528" i="98"/>
  <c r="GI1528" i="98"/>
  <c r="GM1528" i="98"/>
  <c r="GG1544" i="98"/>
  <c r="GM1544" i="98"/>
  <c r="GI1544" i="98"/>
  <c r="GG1560" i="98"/>
  <c r="GI1560" i="98"/>
  <c r="GM1560" i="98"/>
  <c r="GG1592" i="98"/>
  <c r="GI1592" i="98"/>
  <c r="GM1592" i="98"/>
  <c r="GG1624" i="98"/>
  <c r="GM1624" i="98"/>
  <c r="GI1624" i="98"/>
  <c r="GG1640" i="98"/>
  <c r="GI1640" i="98"/>
  <c r="GM1640" i="98"/>
  <c r="GG1680" i="98"/>
  <c r="GG1684" i="98"/>
  <c r="GJ1091" i="98"/>
  <c r="GM1139" i="98"/>
  <c r="GP1139" i="98"/>
  <c r="GP1164" i="98"/>
  <c r="GP1212" i="98"/>
  <c r="GP997" i="98"/>
  <c r="GI1068" i="98"/>
  <c r="GG1084" i="98"/>
  <c r="GJ1084" i="98"/>
  <c r="FT1095" i="98"/>
  <c r="GB1095" i="98" s="1"/>
  <c r="GI1095" i="98"/>
  <c r="GG1114" i="98"/>
  <c r="GJ1114" i="98"/>
  <c r="GP1130" i="98"/>
  <c r="FT1143" i="98"/>
  <c r="GP1143" i="98" s="1"/>
  <c r="FW1153" i="98"/>
  <c r="GJ1160" i="98"/>
  <c r="FT1169" i="98"/>
  <c r="GG1169" i="98" s="1"/>
  <c r="FT1171" i="98"/>
  <c r="GI1171" i="98"/>
  <c r="GM1171" i="98"/>
  <c r="FW1185" i="98"/>
  <c r="GI1188" i="98"/>
  <c r="GJ1192" i="98"/>
  <c r="FW1217" i="98"/>
  <c r="GJ1224" i="98"/>
  <c r="FW1235" i="98"/>
  <c r="GM1240" i="98"/>
  <c r="GG1240" i="98"/>
  <c r="GI1240" i="98"/>
  <c r="GM1249" i="98"/>
  <c r="FT1249" i="98"/>
  <c r="GG1249" i="98"/>
  <c r="GJ1249" i="98"/>
  <c r="FT1251" i="98"/>
  <c r="GM1251" i="98" s="1"/>
  <c r="FW1265" i="98"/>
  <c r="GI1268" i="98"/>
  <c r="GJ1272" i="98"/>
  <c r="FW1299" i="98"/>
  <c r="FW1541" i="98"/>
  <c r="FW1621" i="98"/>
  <c r="FW726" i="98"/>
  <c r="GI1010" i="98"/>
  <c r="GG1043" i="98"/>
  <c r="GI1043" i="98"/>
  <c r="GI1078" i="98"/>
  <c r="GP1110" i="98"/>
  <c r="GI1112" i="98"/>
  <c r="GP1112" i="98"/>
  <c r="GG1123" i="98"/>
  <c r="GI1144" i="98"/>
  <c r="GP1144" i="98"/>
  <c r="GP1180" i="98"/>
  <c r="GG1228" i="98"/>
  <c r="GP1244" i="98"/>
  <c r="GG1178" i="98"/>
  <c r="GP1178" i="98"/>
  <c r="GM1210" i="98"/>
  <c r="GP1302" i="98"/>
  <c r="GM1302" i="98"/>
  <c r="GG1302" i="98"/>
  <c r="FT1302" i="98"/>
  <c r="GI1302" i="98"/>
  <c r="GM1313" i="98"/>
  <c r="GG1342" i="98"/>
  <c r="GJ1342" i="98"/>
  <c r="GM1377" i="98"/>
  <c r="FW1387" i="98"/>
  <c r="GP1421" i="98"/>
  <c r="GG1425" i="98"/>
  <c r="GJ1425" i="98"/>
  <c r="GI1425" i="98"/>
  <c r="GM1441" i="98"/>
  <c r="FW1451" i="98"/>
  <c r="GM1473" i="98"/>
  <c r="GG1502" i="98"/>
  <c r="GJ1502" i="98"/>
  <c r="GG1509" i="98"/>
  <c r="GG1513" i="98"/>
  <c r="GM1577" i="98"/>
  <c r="GP1577" i="98"/>
  <c r="GM1581" i="98"/>
  <c r="GP1581" i="98"/>
  <c r="GM1585" i="98"/>
  <c r="GP1585" i="98"/>
  <c r="GM1589" i="98"/>
  <c r="GP1589" i="98"/>
  <c r="GM1593" i="98"/>
  <c r="GP1593" i="98"/>
  <c r="GJ1657" i="98"/>
  <c r="GJ1661" i="98"/>
  <c r="GJ1665" i="98"/>
  <c r="GJ1669" i="98"/>
  <c r="GJ1673" i="98"/>
  <c r="GJ1677" i="98"/>
  <c r="GJ1681" i="98"/>
  <c r="GJ1685" i="98"/>
  <c r="GJ1373" i="98"/>
  <c r="GG1440" i="98"/>
  <c r="FW1459" i="98"/>
  <c r="GI1472" i="98"/>
  <c r="GG1478" i="98"/>
  <c r="GJ1478" i="98"/>
  <c r="FW1514" i="98"/>
  <c r="GM1605" i="98"/>
  <c r="GP1605" i="98"/>
  <c r="FW1670" i="98"/>
  <c r="GG1030" i="98"/>
  <c r="GM1134" i="98"/>
  <c r="GI1258" i="98"/>
  <c r="GG1258" i="98"/>
  <c r="GF1286" i="98"/>
  <c r="GJ1286" i="98"/>
  <c r="GN1286" i="98"/>
  <c r="GH1286" i="98"/>
  <c r="GL1286" i="98"/>
  <c r="GP1286" i="98"/>
  <c r="GM1286" i="98"/>
  <c r="GG1286" i="98"/>
  <c r="GO1286" i="98"/>
  <c r="FT1286" i="98"/>
  <c r="GI1286" i="98"/>
  <c r="GQ1286" i="98"/>
  <c r="GK1286" i="98"/>
  <c r="GJ1312" i="98"/>
  <c r="GM1321" i="98"/>
  <c r="GJ1328" i="98"/>
  <c r="GG1334" i="98"/>
  <c r="GJ1334" i="98"/>
  <c r="GM1353" i="98"/>
  <c r="GG1382" i="98"/>
  <c r="GJ1382" i="98"/>
  <c r="GG1398" i="98"/>
  <c r="GJ1398" i="98"/>
  <c r="GM1417" i="98"/>
  <c r="FW1427" i="98"/>
  <c r="GM1465" i="98"/>
  <c r="GI1494" i="98"/>
  <c r="GG1557" i="98"/>
  <c r="GM1561" i="98"/>
  <c r="GP1561" i="98"/>
  <c r="GJ1565" i="98"/>
  <c r="GG1573" i="98"/>
  <c r="GG1641" i="98"/>
  <c r="GM1645" i="98"/>
  <c r="GP1645" i="98"/>
  <c r="GJ1649" i="98"/>
  <c r="GG1162" i="98"/>
  <c r="GP1162" i="98"/>
  <c r="GM1278" i="98"/>
  <c r="GP1278" i="98"/>
  <c r="GI1312" i="98"/>
  <c r="GG1328" i="98"/>
  <c r="FW1347" i="98"/>
  <c r="GG1433" i="98"/>
  <c r="GJ1433" i="98"/>
  <c r="GG1462" i="98"/>
  <c r="GG1488" i="98"/>
  <c r="GG1517" i="98"/>
  <c r="GM1521" i="98"/>
  <c r="GP1521" i="98"/>
  <c r="FW1578" i="98"/>
  <c r="GJ1598" i="98"/>
  <c r="GM1598" i="98"/>
  <c r="GP1598" i="98"/>
  <c r="GI1602" i="98"/>
  <c r="FW1662" i="98"/>
  <c r="GM1242" i="98"/>
  <c r="GJ1260" i="98"/>
  <c r="GG1345" i="98"/>
  <c r="GJ1345" i="98"/>
  <c r="GI1345" i="98"/>
  <c r="GG1374" i="98"/>
  <c r="GJ1374" i="98"/>
  <c r="GI1390" i="98"/>
  <c r="GG1422" i="98"/>
  <c r="GJ1422" i="98"/>
  <c r="GI1438" i="98"/>
  <c r="GM1457" i="98"/>
  <c r="GI1470" i="98"/>
  <c r="GM1505" i="98"/>
  <c r="FT1549" i="98"/>
  <c r="GI1549" i="98"/>
  <c r="FT1629" i="98"/>
  <c r="GG1629" i="98" s="1"/>
  <c r="GM1629" i="98"/>
  <c r="FW1254" i="98"/>
  <c r="GM1290" i="98"/>
  <c r="GG1325" i="98"/>
  <c r="GG1350" i="98"/>
  <c r="GJ1437" i="98"/>
  <c r="FW1506" i="98"/>
  <c r="GI1518" i="98"/>
  <c r="GM1525" i="98"/>
  <c r="GP1525" i="98"/>
  <c r="GJ1534" i="98"/>
  <c r="GM1534" i="98"/>
  <c r="GP1534" i="98"/>
  <c r="GJ1542" i="98"/>
  <c r="GM1542" i="98"/>
  <c r="GP1542" i="98"/>
  <c r="GG1558" i="98"/>
  <c r="GI1558" i="98"/>
  <c r="GG1562" i="98"/>
  <c r="GJ1570" i="98"/>
  <c r="GM1570" i="98"/>
  <c r="GP1570" i="98"/>
  <c r="GI1574" i="98"/>
  <c r="GG1638" i="98"/>
  <c r="GJ1642" i="98"/>
  <c r="GM1642" i="98"/>
  <c r="GP1642" i="98"/>
  <c r="GG1654" i="98"/>
  <c r="GG1618" i="98"/>
  <c r="GI1618" i="98"/>
  <c r="GJ1630" i="98"/>
  <c r="GM1630" i="98"/>
  <c r="GP1630" i="98"/>
  <c r="GG1634" i="98"/>
  <c r="GI1634" i="98"/>
  <c r="GP1629" i="98" l="1"/>
  <c r="FZ1549" i="98"/>
  <c r="GB1549" i="98"/>
  <c r="GD1549" i="98"/>
  <c r="GE1549" i="98"/>
  <c r="GE1302" i="98"/>
  <c r="FZ1302" i="98"/>
  <c r="GB1302" i="98"/>
  <c r="GD1302" i="98"/>
  <c r="GJ1302" i="98"/>
  <c r="GD1249" i="98"/>
  <c r="GE1249" i="98"/>
  <c r="FZ1249" i="98"/>
  <c r="GB1249" i="98"/>
  <c r="GI1249" i="98"/>
  <c r="GP1249" i="98"/>
  <c r="GD1181" i="98"/>
  <c r="GE1181" i="98"/>
  <c r="FZ1181" i="98"/>
  <c r="GB1181" i="98"/>
  <c r="GG1181" i="98"/>
  <c r="GI1181" i="98"/>
  <c r="GJ1181" i="98"/>
  <c r="GB1158" i="98"/>
  <c r="GD1158" i="98"/>
  <c r="GE1158" i="98"/>
  <c r="FZ1158" i="98"/>
  <c r="GB1443" i="98"/>
  <c r="GE1443" i="98"/>
  <c r="GC1443" i="98"/>
  <c r="GD1443" i="98"/>
  <c r="GG1443" i="98"/>
  <c r="GP1443" i="98"/>
  <c r="FZ1443" i="98"/>
  <c r="GM1443" i="98"/>
  <c r="GB1379" i="98"/>
  <c r="GD1379" i="98"/>
  <c r="GE1379" i="98"/>
  <c r="FZ1379" i="98"/>
  <c r="FZ900" i="98"/>
  <c r="GB900" i="98"/>
  <c r="GD900" i="98"/>
  <c r="GJ900" i="98"/>
  <c r="GE900" i="98"/>
  <c r="FZ1089" i="98"/>
  <c r="GB1089" i="98"/>
  <c r="GD1089" i="98"/>
  <c r="GE1089" i="98"/>
  <c r="GM1089" i="98"/>
  <c r="GJ1089" i="98"/>
  <c r="FZ925" i="98"/>
  <c r="GB925" i="98"/>
  <c r="GD925" i="98"/>
  <c r="GE925" i="98"/>
  <c r="GJ1629" i="98"/>
  <c r="FZ1251" i="98"/>
  <c r="GB1251" i="98"/>
  <c r="GD1251" i="98"/>
  <c r="GE1251" i="98"/>
  <c r="GB1169" i="98"/>
  <c r="GD1169" i="98"/>
  <c r="GE1169" i="98"/>
  <c r="FZ1169" i="98"/>
  <c r="GI1169" i="98"/>
  <c r="GJ1169" i="98"/>
  <c r="FZ1143" i="98"/>
  <c r="GB1143" i="98"/>
  <c r="GD1143" i="98"/>
  <c r="GE1143" i="98"/>
  <c r="GG1143" i="98"/>
  <c r="GJ1143" i="98"/>
  <c r="GE962" i="98"/>
  <c r="GB962" i="98"/>
  <c r="GC962" i="98"/>
  <c r="GG962" i="98"/>
  <c r="GJ962" i="98"/>
  <c r="FZ962" i="98"/>
  <c r="GD962" i="98"/>
  <c r="GP962" i="98"/>
  <c r="GD852" i="98"/>
  <c r="GE852" i="98"/>
  <c r="FZ852" i="98"/>
  <c r="GB852" i="98"/>
  <c r="GJ852" i="98"/>
  <c r="FZ971" i="98"/>
  <c r="GE971" i="98"/>
  <c r="GB971" i="98"/>
  <c r="GC971" i="98"/>
  <c r="GD971" i="98"/>
  <c r="GM901" i="98"/>
  <c r="GB901" i="98"/>
  <c r="GD901" i="98"/>
  <c r="GE901" i="98"/>
  <c r="FZ901" i="98"/>
  <c r="GI901" i="98"/>
  <c r="GE877" i="98"/>
  <c r="GB877" i="98"/>
  <c r="GC877" i="98"/>
  <c r="GM877" i="98"/>
  <c r="GG877" i="98"/>
  <c r="GD877" i="98"/>
  <c r="GJ877" i="98"/>
  <c r="FZ877" i="98"/>
  <c r="GP877" i="98"/>
  <c r="GD861" i="98"/>
  <c r="GE861" i="98"/>
  <c r="FZ861" i="98"/>
  <c r="GB861" i="98"/>
  <c r="GM837" i="98"/>
  <c r="FZ837" i="98"/>
  <c r="GB837" i="98"/>
  <c r="GG837" i="98"/>
  <c r="GD837" i="98"/>
  <c r="GE837" i="98"/>
  <c r="GI837" i="98"/>
  <c r="FZ813" i="98"/>
  <c r="GE813" i="98"/>
  <c r="GB813" i="98"/>
  <c r="GM813" i="98"/>
  <c r="GG813" i="98"/>
  <c r="GC813" i="98"/>
  <c r="GJ813" i="98"/>
  <c r="GD813" i="98"/>
  <c r="GP813" i="98"/>
  <c r="GD797" i="98"/>
  <c r="FZ797" i="98"/>
  <c r="GB797" i="98"/>
  <c r="GE797" i="98"/>
  <c r="GC797" i="98"/>
  <c r="GD799" i="98"/>
  <c r="GC799" i="98"/>
  <c r="FZ799" i="98"/>
  <c r="GE799" i="98"/>
  <c r="GB799" i="98"/>
  <c r="GG799" i="98"/>
  <c r="GM799" i="98"/>
  <c r="GP799" i="98"/>
  <c r="GI799" i="98"/>
  <c r="GA776" i="98"/>
  <c r="FZ776" i="98"/>
  <c r="GE776" i="98"/>
  <c r="GB776" i="98"/>
  <c r="GC776" i="98"/>
  <c r="GD776" i="98"/>
  <c r="FZ383" i="98"/>
  <c r="GB383" i="98"/>
  <c r="GD383" i="98"/>
  <c r="GE383" i="98"/>
  <c r="GP383" i="98"/>
  <c r="GD1629" i="98"/>
  <c r="GE1629" i="98"/>
  <c r="FZ1629" i="98"/>
  <c r="GB1629" i="98"/>
  <c r="GM1169" i="98"/>
  <c r="GM1143" i="98"/>
  <c r="GC1295" i="98"/>
  <c r="GD1295" i="98"/>
  <c r="FZ1295" i="98"/>
  <c r="GB1295" i="98"/>
  <c r="GE1295" i="98"/>
  <c r="GM1295" i="98"/>
  <c r="GJ1295" i="98"/>
  <c r="GI1213" i="98"/>
  <c r="FZ1213" i="98"/>
  <c r="GB1213" i="98"/>
  <c r="GE1213" i="98"/>
  <c r="GC1213" i="98"/>
  <c r="GD1213" i="98"/>
  <c r="GI1241" i="98"/>
  <c r="GE1241" i="98"/>
  <c r="FZ1241" i="98"/>
  <c r="GB1241" i="98"/>
  <c r="GD1241" i="98"/>
  <c r="GE974" i="98"/>
  <c r="GB974" i="98"/>
  <c r="GC974" i="98"/>
  <c r="FZ974" i="98"/>
  <c r="GD974" i="98"/>
  <c r="GP974" i="98"/>
  <c r="GI974" i="98"/>
  <c r="GE994" i="98"/>
  <c r="FZ994" i="98"/>
  <c r="GB994" i="98"/>
  <c r="GD994" i="98"/>
  <c r="FZ868" i="98"/>
  <c r="GB868" i="98"/>
  <c r="GD868" i="98"/>
  <c r="GJ868" i="98"/>
  <c r="GE868" i="98"/>
  <c r="GG852" i="98"/>
  <c r="FZ987" i="98"/>
  <c r="GD987" i="98"/>
  <c r="GE987" i="98"/>
  <c r="GI987" i="98"/>
  <c r="GG987" i="98"/>
  <c r="GB987" i="98"/>
  <c r="GM987" i="98"/>
  <c r="GI877" i="98"/>
  <c r="GI813" i="98"/>
  <c r="GI1629" i="98"/>
  <c r="GB1171" i="98"/>
  <c r="GD1171" i="98"/>
  <c r="GE1171" i="98"/>
  <c r="FZ1171" i="98"/>
  <c r="GP1171" i="98"/>
  <c r="GI1143" i="98"/>
  <c r="FZ1263" i="98"/>
  <c r="GB1263" i="98"/>
  <c r="GD1263" i="98"/>
  <c r="GM1263" i="98"/>
  <c r="GE1263" i="98"/>
  <c r="GP1263" i="98"/>
  <c r="GI1245" i="98"/>
  <c r="GE1245" i="98"/>
  <c r="FZ1245" i="98"/>
  <c r="GB1245" i="98"/>
  <c r="GD1245" i="98"/>
  <c r="FZ1229" i="98"/>
  <c r="GB1229" i="98"/>
  <c r="GD1229" i="98"/>
  <c r="GE1229" i="98"/>
  <c r="GD1165" i="98"/>
  <c r="GE1165" i="98"/>
  <c r="FZ1165" i="98"/>
  <c r="GB1165" i="98"/>
  <c r="GJ974" i="98"/>
  <c r="GM962" i="98"/>
  <c r="FZ884" i="98"/>
  <c r="GD884" i="98"/>
  <c r="GE884" i="98"/>
  <c r="GB884" i="98"/>
  <c r="GC884" i="98"/>
  <c r="GJ884" i="98"/>
  <c r="GG868" i="98"/>
  <c r="GJ987" i="98"/>
  <c r="GD863" i="98"/>
  <c r="GE863" i="98"/>
  <c r="FZ863" i="98"/>
  <c r="GB863" i="98"/>
  <c r="GG863" i="98"/>
  <c r="GM863" i="98"/>
  <c r="GP863" i="98"/>
  <c r="GI863" i="98"/>
  <c r="FZ524" i="98"/>
  <c r="GB524" i="98"/>
  <c r="GI524" i="98"/>
  <c r="GD524" i="98"/>
  <c r="GE524" i="98"/>
  <c r="GB1254" i="98"/>
  <c r="GD1254" i="98"/>
  <c r="GE1254" i="98"/>
  <c r="FZ1254" i="98"/>
  <c r="GJ1254" i="98"/>
  <c r="FZ1238" i="98"/>
  <c r="GB1238" i="98"/>
  <c r="GD1238" i="98"/>
  <c r="GE1238" i="98"/>
  <c r="GD1222" i="98"/>
  <c r="GE1222" i="98"/>
  <c r="FZ1222" i="98"/>
  <c r="GB1222" i="98"/>
  <c r="GG1197" i="98"/>
  <c r="GI1190" i="98"/>
  <c r="GE1149" i="98"/>
  <c r="FZ1149" i="98"/>
  <c r="GB1149" i="98"/>
  <c r="GD1149" i="98"/>
  <c r="GE1475" i="98"/>
  <c r="FZ1475" i="98"/>
  <c r="GB1475" i="98"/>
  <c r="GD1475" i="98"/>
  <c r="GM1411" i="98"/>
  <c r="GD1305" i="98"/>
  <c r="GE1305" i="98"/>
  <c r="FZ1305" i="98"/>
  <c r="GB1305" i="98"/>
  <c r="FZ1227" i="98"/>
  <c r="GB1227" i="98"/>
  <c r="GD1227" i="98"/>
  <c r="GE1227" i="98"/>
  <c r="GD1179" i="98"/>
  <c r="GE1179" i="98"/>
  <c r="FZ1179" i="98"/>
  <c r="GB1179" i="98"/>
  <c r="GB820" i="98"/>
  <c r="GD820" i="98"/>
  <c r="GE820" i="98"/>
  <c r="FZ820" i="98"/>
  <c r="GB788" i="98"/>
  <c r="GD788" i="98"/>
  <c r="GE788" i="98"/>
  <c r="FZ788" i="98"/>
  <c r="GP1079" i="98"/>
  <c r="GP1057" i="98"/>
  <c r="GP1003" i="98"/>
  <c r="GG933" i="98"/>
  <c r="GB917" i="98"/>
  <c r="GD917" i="98"/>
  <c r="GE917" i="98"/>
  <c r="FZ917" i="98"/>
  <c r="GG909" i="98"/>
  <c r="GM909" i="98"/>
  <c r="GJ885" i="98"/>
  <c r="GG869" i="98"/>
  <c r="GB853" i="98"/>
  <c r="GD853" i="98"/>
  <c r="GE853" i="98"/>
  <c r="FZ853" i="98"/>
  <c r="GG845" i="98"/>
  <c r="GM845" i="98"/>
  <c r="GJ821" i="98"/>
  <c r="GG805" i="98"/>
  <c r="FZ789" i="98"/>
  <c r="GB789" i="98"/>
  <c r="GD789" i="98"/>
  <c r="GE789" i="98"/>
  <c r="GG781" i="98"/>
  <c r="GM781" i="98"/>
  <c r="GD927" i="98"/>
  <c r="GE927" i="98"/>
  <c r="FZ927" i="98"/>
  <c r="GB927" i="98"/>
  <c r="GI879" i="98"/>
  <c r="GI815" i="98"/>
  <c r="GD347" i="98"/>
  <c r="GE347" i="98"/>
  <c r="FZ347" i="98"/>
  <c r="GB347" i="98"/>
  <c r="GE505" i="98"/>
  <c r="GB505" i="98"/>
  <c r="GD548" i="98"/>
  <c r="GE548" i="98"/>
  <c r="FZ548" i="98"/>
  <c r="GB548" i="98"/>
  <c r="GJ567" i="98"/>
  <c r="GM348" i="98"/>
  <c r="FZ348" i="98"/>
  <c r="GB348" i="98"/>
  <c r="GD348" i="98"/>
  <c r="GE348" i="98"/>
  <c r="FZ414" i="98"/>
  <c r="GE414" i="98"/>
  <c r="GB414" i="98"/>
  <c r="GD414" i="98"/>
  <c r="GC414" i="98"/>
  <c r="GE402" i="98"/>
  <c r="GB402" i="98"/>
  <c r="GD402" i="98"/>
  <c r="GC402" i="98"/>
  <c r="FZ402" i="98"/>
  <c r="GP402" i="98"/>
  <c r="GI420" i="98"/>
  <c r="GJ420" i="98"/>
  <c r="GJ340" i="98"/>
  <c r="GI264" i="98"/>
  <c r="GP257" i="98"/>
  <c r="GB249" i="98"/>
  <c r="GC249" i="98"/>
  <c r="FZ249" i="98"/>
  <c r="GD249" i="98"/>
  <c r="GE249" i="98"/>
  <c r="GI249" i="98"/>
  <c r="GA246" i="98"/>
  <c r="GD246" i="98"/>
  <c r="FZ246" i="98"/>
  <c r="GE246" i="98"/>
  <c r="GB246" i="98"/>
  <c r="GC246" i="98"/>
  <c r="FZ227" i="98"/>
  <c r="GB227" i="98"/>
  <c r="GD227" i="98"/>
  <c r="GE227" i="98"/>
  <c r="GP219" i="98"/>
  <c r="GM211" i="98"/>
  <c r="GE211" i="98"/>
  <c r="FZ211" i="98"/>
  <c r="GB211" i="98"/>
  <c r="GD211" i="98"/>
  <c r="GI203" i="98"/>
  <c r="GB203" i="98"/>
  <c r="GD203" i="98"/>
  <c r="GE203" i="98"/>
  <c r="FZ203" i="98"/>
  <c r="GG138" i="98"/>
  <c r="GI163" i="98"/>
  <c r="GD155" i="98"/>
  <c r="GE155" i="98"/>
  <c r="FZ155" i="98"/>
  <c r="GB155" i="98"/>
  <c r="GJ147" i="98"/>
  <c r="GJ963" i="98"/>
  <c r="FZ881" i="98"/>
  <c r="GE881" i="98"/>
  <c r="GB881" i="98"/>
  <c r="GD881" i="98"/>
  <c r="GC881" i="98"/>
  <c r="GI881" i="98"/>
  <c r="GJ857" i="98"/>
  <c r="GB785" i="98"/>
  <c r="GD785" i="98"/>
  <c r="GE785" i="98"/>
  <c r="FZ785" i="98"/>
  <c r="GI785" i="98"/>
  <c r="GJ664" i="98"/>
  <c r="GI489" i="98"/>
  <c r="GP935" i="98"/>
  <c r="GD894" i="98"/>
  <c r="FZ894" i="98"/>
  <c r="GE894" i="98"/>
  <c r="GC894" i="98"/>
  <c r="GB894" i="98"/>
  <c r="GI878" i="98"/>
  <c r="FZ862" i="98"/>
  <c r="GB862" i="98"/>
  <c r="GD862" i="98"/>
  <c r="GE862" i="98"/>
  <c r="GI830" i="98"/>
  <c r="GE708" i="98"/>
  <c r="GB708" i="98"/>
  <c r="GJ644" i="98"/>
  <c r="FZ667" i="98"/>
  <c r="GB667" i="98"/>
  <c r="GD667" i="98"/>
  <c r="GE667" i="98"/>
  <c r="GP667" i="98"/>
  <c r="GJ474" i="98"/>
  <c r="GI464" i="98"/>
  <c r="GJ464" i="98"/>
  <c r="GC412" i="98"/>
  <c r="GD412" i="98"/>
  <c r="FZ412" i="98"/>
  <c r="GB412" i="98"/>
  <c r="GE412" i="98"/>
  <c r="GM263" i="98"/>
  <c r="FZ240" i="98"/>
  <c r="GB240" i="98"/>
  <c r="GE240" i="98"/>
  <c r="GC240" i="98"/>
  <c r="GD240" i="98"/>
  <c r="GJ273" i="98"/>
  <c r="GD233" i="98"/>
  <c r="GE233" i="98"/>
  <c r="FZ233" i="98"/>
  <c r="GB233" i="98"/>
  <c r="GB254" i="98"/>
  <c r="GD254" i="98"/>
  <c r="GC254" i="98"/>
  <c r="FZ254" i="98"/>
  <c r="GE254" i="98"/>
  <c r="GP209" i="98"/>
  <c r="FZ180" i="98"/>
  <c r="GB180" i="98"/>
  <c r="GD180" i="98"/>
  <c r="GE180" i="98"/>
  <c r="GP177" i="98"/>
  <c r="GJ131" i="98"/>
  <c r="GG101" i="98"/>
  <c r="FZ1615" i="98"/>
  <c r="GB1615" i="98"/>
  <c r="GE1615" i="98"/>
  <c r="GC1615" i="98"/>
  <c r="GD1615" i="98"/>
  <c r="GJ1599" i="98"/>
  <c r="GJ648" i="98"/>
  <c r="GP1503" i="98"/>
  <c r="GM1471" i="98"/>
  <c r="GP1105" i="98"/>
  <c r="GI1105" i="98"/>
  <c r="GM1223" i="98"/>
  <c r="GM1215" i="98"/>
  <c r="GP1183" i="98"/>
  <c r="GJ1355" i="98"/>
  <c r="GI1069" i="98"/>
  <c r="GD1053" i="98"/>
  <c r="GC1053" i="98"/>
  <c r="FZ1053" i="98"/>
  <c r="GE1053" i="98"/>
  <c r="GB1053" i="98"/>
  <c r="GJ1071" i="98"/>
  <c r="GJ975" i="98"/>
  <c r="GP538" i="98"/>
  <c r="GM538" i="98"/>
  <c r="GM818" i="98"/>
  <c r="GJ818" i="98"/>
  <c r="GE802" i="98"/>
  <c r="GC802" i="98"/>
  <c r="GM543" i="98"/>
  <c r="GM754" i="98"/>
  <c r="GJ727" i="98"/>
  <c r="GB679" i="98"/>
  <c r="GD679" i="98"/>
  <c r="GE679" i="98"/>
  <c r="FZ679" i="98"/>
  <c r="GD457" i="98"/>
  <c r="GE457" i="98"/>
  <c r="FZ457" i="98"/>
  <c r="GB457" i="98"/>
  <c r="GM442" i="98"/>
  <c r="GP284" i="98"/>
  <c r="GJ135" i="98"/>
  <c r="GE124" i="98"/>
  <c r="FZ124" i="98"/>
  <c r="GB124" i="98"/>
  <c r="GD124" i="98"/>
  <c r="GJ1619" i="98"/>
  <c r="GP1651" i="98"/>
  <c r="GM1651" i="98"/>
  <c r="GI1625" i="98"/>
  <c r="FW1346" i="98"/>
  <c r="GA1346" i="98"/>
  <c r="GD1346" i="98"/>
  <c r="FZ1346" i="98"/>
  <c r="GE1346" i="98"/>
  <c r="GB1346" i="98"/>
  <c r="GC1346" i="98"/>
  <c r="FZ1679" i="98"/>
  <c r="GE1679" i="98"/>
  <c r="GB1679" i="98"/>
  <c r="GD1679" i="98"/>
  <c r="GC1679" i="98"/>
  <c r="GB1579" i="98"/>
  <c r="GD1579" i="98"/>
  <c r="GE1579" i="98"/>
  <c r="FZ1579" i="98"/>
  <c r="GM1511" i="98"/>
  <c r="GP1623" i="98"/>
  <c r="GM1623" i="98"/>
  <c r="GP1523" i="98"/>
  <c r="GM1523" i="98"/>
  <c r="GB1510" i="98"/>
  <c r="GD1510" i="98"/>
  <c r="GE1510" i="98"/>
  <c r="FZ1510" i="98"/>
  <c r="FW1237" i="98"/>
  <c r="GB1495" i="98"/>
  <c r="GD1495" i="98"/>
  <c r="GE1495" i="98"/>
  <c r="FZ1495" i="98"/>
  <c r="GJ1479" i="98"/>
  <c r="GM1431" i="98"/>
  <c r="GI1431" i="98"/>
  <c r="FZ1415" i="98"/>
  <c r="GB1415" i="98"/>
  <c r="GD1415" i="98"/>
  <c r="GE1415" i="98"/>
  <c r="GJ1335" i="98"/>
  <c r="GM1319" i="98"/>
  <c r="GI1219" i="98"/>
  <c r="GM1187" i="98"/>
  <c r="GE1185" i="98"/>
  <c r="FZ1185" i="98"/>
  <c r="GB1185" i="98"/>
  <c r="GD1185" i="98"/>
  <c r="GP1153" i="98"/>
  <c r="GP972" i="98"/>
  <c r="GM972" i="98"/>
  <c r="GB1277" i="98"/>
  <c r="GD1277" i="98"/>
  <c r="GC1277" i="98"/>
  <c r="FZ1277" i="98"/>
  <c r="GE1277" i="98"/>
  <c r="GM1307" i="98"/>
  <c r="GM1275" i="98"/>
  <c r="GJ1257" i="98"/>
  <c r="GM1257" i="98"/>
  <c r="GI920" i="98"/>
  <c r="GM904" i="98"/>
  <c r="GD808" i="98"/>
  <c r="FZ808" i="98"/>
  <c r="GE808" i="98"/>
  <c r="GC808" i="98"/>
  <c r="GB808" i="98"/>
  <c r="GI792" i="98"/>
  <c r="GG1087" i="98"/>
  <c r="GM1087" i="98"/>
  <c r="GJ1065" i="98"/>
  <c r="GJ1025" i="98"/>
  <c r="GB999" i="98"/>
  <c r="GD999" i="98"/>
  <c r="GE999" i="98"/>
  <c r="FZ999" i="98"/>
  <c r="GJ967" i="98"/>
  <c r="GB955" i="98"/>
  <c r="GD955" i="98"/>
  <c r="GE955" i="98"/>
  <c r="FZ955" i="98"/>
  <c r="GJ931" i="98"/>
  <c r="GJ899" i="98"/>
  <c r="GJ867" i="98"/>
  <c r="GJ835" i="98"/>
  <c r="GA826" i="98"/>
  <c r="GB826" i="98"/>
  <c r="GC826" i="98"/>
  <c r="GD826" i="98"/>
  <c r="FZ826" i="98"/>
  <c r="GE826" i="98"/>
  <c r="GJ803" i="98"/>
  <c r="GD553" i="98"/>
  <c r="FZ553" i="98"/>
  <c r="FZ734" i="98"/>
  <c r="GE734" i="98"/>
  <c r="GC734" i="98"/>
  <c r="GB734" i="98"/>
  <c r="GD734" i="98"/>
  <c r="GI767" i="98"/>
  <c r="GB719" i="98"/>
  <c r="GE719" i="98"/>
  <c r="GD719" i="98"/>
  <c r="FZ719" i="98"/>
  <c r="FZ671" i="98"/>
  <c r="GD671" i="98"/>
  <c r="GE671" i="98"/>
  <c r="GI655" i="98"/>
  <c r="GB623" i="98"/>
  <c r="GE623" i="98"/>
  <c r="FZ623" i="98"/>
  <c r="GJ607" i="98"/>
  <c r="FZ575" i="98"/>
  <c r="GC575" i="98"/>
  <c r="GD575" i="98"/>
  <c r="GI544" i="98"/>
  <c r="GM453" i="98"/>
  <c r="GI375" i="98"/>
  <c r="GI432" i="98"/>
  <c r="FZ252" i="98"/>
  <c r="GB252" i="98"/>
  <c r="GE252" i="98"/>
  <c r="GC252" i="98"/>
  <c r="GD252" i="98"/>
  <c r="FZ342" i="98"/>
  <c r="GB342" i="98"/>
  <c r="GD342" i="98"/>
  <c r="GE342" i="98"/>
  <c r="GG277" i="98"/>
  <c r="GP277" i="98"/>
  <c r="GJ259" i="98"/>
  <c r="FZ243" i="98"/>
  <c r="GE243" i="98"/>
  <c r="GC243" i="98"/>
  <c r="GB243" i="98"/>
  <c r="GD243" i="98"/>
  <c r="GC237" i="98"/>
  <c r="FZ237" i="98"/>
  <c r="GD237" i="98"/>
  <c r="GE237" i="98"/>
  <c r="GB237" i="98"/>
  <c r="GM153" i="98"/>
  <c r="GE105" i="98"/>
  <c r="FZ105" i="98"/>
  <c r="GB105" i="98"/>
  <c r="GD105" i="98"/>
  <c r="GM940" i="98"/>
  <c r="GI860" i="98"/>
  <c r="GG812" i="98"/>
  <c r="GM1073" i="98"/>
  <c r="GE979" i="98"/>
  <c r="FZ979" i="98"/>
  <c r="GB979" i="98"/>
  <c r="GD979" i="98"/>
  <c r="GB953" i="98"/>
  <c r="GD953" i="98"/>
  <c r="GE953" i="98"/>
  <c r="FZ953" i="98"/>
  <c r="GJ897" i="98"/>
  <c r="FZ897" i="98"/>
  <c r="GP849" i="98"/>
  <c r="GI871" i="98"/>
  <c r="GE855" i="98"/>
  <c r="FZ855" i="98"/>
  <c r="GB855" i="98"/>
  <c r="GD855" i="98"/>
  <c r="GM823" i="98"/>
  <c r="GJ807" i="98"/>
  <c r="GJ748" i="98"/>
  <c r="GE683" i="98"/>
  <c r="FZ683" i="98"/>
  <c r="GB683" i="98"/>
  <c r="GD683" i="98"/>
  <c r="GP683" i="98"/>
  <c r="GM635" i="98"/>
  <c r="GM302" i="98"/>
  <c r="GJ302" i="98"/>
  <c r="GJ518" i="98"/>
  <c r="GM502" i="98"/>
  <c r="GD502" i="98"/>
  <c r="GE502" i="98"/>
  <c r="FZ502" i="98"/>
  <c r="GB502" i="98"/>
  <c r="GD561" i="98"/>
  <c r="GC561" i="98"/>
  <c r="FZ561" i="98"/>
  <c r="GE561" i="98"/>
  <c r="GB561" i="98"/>
  <c r="GI378" i="98"/>
  <c r="GM454" i="98"/>
  <c r="GP317" i="98"/>
  <c r="GP309" i="98"/>
  <c r="GI341" i="98"/>
  <c r="GE245" i="98"/>
  <c r="GB245" i="98"/>
  <c r="GC245" i="98"/>
  <c r="FZ245" i="98"/>
  <c r="GD245" i="98"/>
  <c r="GI245" i="98"/>
  <c r="GE235" i="98"/>
  <c r="FZ235" i="98"/>
  <c r="GB235" i="98"/>
  <c r="GD235" i="98"/>
  <c r="GI169" i="98"/>
  <c r="GJ169" i="98"/>
  <c r="GI181" i="98"/>
  <c r="GM99" i="98"/>
  <c r="GB100" i="98"/>
  <c r="GD100" i="98"/>
  <c r="GE100" i="98"/>
  <c r="FZ100" i="98"/>
  <c r="GG1330" i="98"/>
  <c r="GP1117" i="98"/>
  <c r="GM1117" i="98"/>
  <c r="GG1439" i="98"/>
  <c r="GD1439" i="98"/>
  <c r="FZ1439" i="98"/>
  <c r="GB1439" i="98"/>
  <c r="GE1439" i="98"/>
  <c r="GC1439" i="98"/>
  <c r="GD1233" i="98"/>
  <c r="GE1233" i="98"/>
  <c r="FZ1233" i="98"/>
  <c r="GB1233" i="98"/>
  <c r="GG775" i="98"/>
  <c r="GE1211" i="98"/>
  <c r="GB1211" i="98"/>
  <c r="GD1211" i="98"/>
  <c r="GC1211" i="98"/>
  <c r="FZ1211" i="98"/>
  <c r="GJ541" i="98"/>
  <c r="FZ980" i="98"/>
  <c r="GB980" i="98"/>
  <c r="GD980" i="98"/>
  <c r="GE980" i="98"/>
  <c r="GP728" i="98"/>
  <c r="GM728" i="98"/>
  <c r="GJ1024" i="98"/>
  <c r="GD1024" i="98"/>
  <c r="GE1024" i="98"/>
  <c r="FZ1024" i="98"/>
  <c r="GB1024" i="98"/>
  <c r="GI930" i="98"/>
  <c r="GJ914" i="98"/>
  <c r="FZ914" i="98"/>
  <c r="GB914" i="98"/>
  <c r="GD914" i="98"/>
  <c r="GE914" i="98"/>
  <c r="GI882" i="98"/>
  <c r="GB811" i="98"/>
  <c r="GD811" i="98"/>
  <c r="GC811" i="98"/>
  <c r="FZ811" i="98"/>
  <c r="GE811" i="98"/>
  <c r="GM762" i="98"/>
  <c r="GE592" i="98"/>
  <c r="GB592" i="98"/>
  <c r="GM772" i="98"/>
  <c r="GE674" i="98"/>
  <c r="FZ674" i="98"/>
  <c r="GB674" i="98"/>
  <c r="GD674" i="98"/>
  <c r="GJ743" i="98"/>
  <c r="GM555" i="98"/>
  <c r="GJ555" i="98"/>
  <c r="GP407" i="98"/>
  <c r="GM407" i="98"/>
  <c r="GE294" i="98"/>
  <c r="FZ294" i="98"/>
  <c r="GB294" i="98"/>
  <c r="GD294" i="98"/>
  <c r="GM440" i="98"/>
  <c r="FZ213" i="98"/>
  <c r="GB213" i="98"/>
  <c r="GD213" i="98"/>
  <c r="GE213" i="98"/>
  <c r="GJ128" i="98"/>
  <c r="GD128" i="98"/>
  <c r="GE128" i="98"/>
  <c r="FZ128" i="98"/>
  <c r="GB128" i="98"/>
  <c r="GI91" i="98"/>
  <c r="FZ1402" i="98"/>
  <c r="GB1402" i="98"/>
  <c r="GD1402" i="98"/>
  <c r="GE1402" i="98"/>
  <c r="GJ1655" i="98"/>
  <c r="GP1639" i="98"/>
  <c r="GM1639" i="98"/>
  <c r="GI1621" i="98"/>
  <c r="GP1575" i="98"/>
  <c r="GM1575" i="98"/>
  <c r="GD1410" i="98"/>
  <c r="GE1410" i="98"/>
  <c r="FZ1410" i="98"/>
  <c r="GB1410" i="98"/>
  <c r="GI1583" i="98"/>
  <c r="GP1515" i="98"/>
  <c r="GM1515" i="98"/>
  <c r="GJ1603" i="98"/>
  <c r="GD1594" i="98"/>
  <c r="GE1594" i="98"/>
  <c r="FZ1594" i="98"/>
  <c r="GB1594" i="98"/>
  <c r="GJ1590" i="98"/>
  <c r="GM1582" i="98"/>
  <c r="GE1578" i="98"/>
  <c r="FZ1578" i="98"/>
  <c r="GB1578" i="98"/>
  <c r="GD1578" i="98"/>
  <c r="GJ1535" i="98"/>
  <c r="GP1519" i="98"/>
  <c r="GM1519" i="98"/>
  <c r="GJ1287" i="98"/>
  <c r="GJ1173" i="98"/>
  <c r="GM1173" i="98"/>
  <c r="GD1283" i="98"/>
  <c r="FZ1283" i="98"/>
  <c r="GB1283" i="98"/>
  <c r="GE1283" i="98"/>
  <c r="GC1283" i="98"/>
  <c r="GM1281" i="98"/>
  <c r="GI1203" i="98"/>
  <c r="GI1127" i="98"/>
  <c r="GP1221" i="98"/>
  <c r="GI1221" i="98"/>
  <c r="GG1040" i="98"/>
  <c r="GP1395" i="98"/>
  <c r="GP1363" i="98"/>
  <c r="GD1129" i="98"/>
  <c r="GC1129" i="98"/>
  <c r="FZ1129" i="98"/>
  <c r="GE1129" i="98"/>
  <c r="GB1129" i="98"/>
  <c r="GG1064" i="98"/>
  <c r="GM945" i="98"/>
  <c r="GD945" i="98"/>
  <c r="GE945" i="98"/>
  <c r="FZ945" i="98"/>
  <c r="GB945" i="98"/>
  <c r="GI889" i="98"/>
  <c r="GI793" i="98"/>
  <c r="GP710" i="98"/>
  <c r="GM903" i="98"/>
  <c r="GM670" i="98"/>
  <c r="GG747" i="98"/>
  <c r="GP747" i="98"/>
  <c r="GM699" i="98"/>
  <c r="FZ651" i="98"/>
  <c r="GE651" i="98"/>
  <c r="GB651" i="98"/>
  <c r="GD651" i="98"/>
  <c r="GC651" i="98"/>
  <c r="GP370" i="98"/>
  <c r="GP409" i="98"/>
  <c r="GM381" i="98"/>
  <c r="GE428" i="98"/>
  <c r="FZ428" i="98"/>
  <c r="GB428" i="98"/>
  <c r="GD428" i="98"/>
  <c r="GM364" i="98"/>
  <c r="GB364" i="98"/>
  <c r="GD364" i="98"/>
  <c r="GE364" i="98"/>
  <c r="FZ364" i="98"/>
  <c r="GP313" i="98"/>
  <c r="GM253" i="98"/>
  <c r="GC253" i="98"/>
  <c r="FZ253" i="98"/>
  <c r="GD253" i="98"/>
  <c r="GE253" i="98"/>
  <c r="GB253" i="98"/>
  <c r="GD189" i="98"/>
  <c r="GE189" i="98"/>
  <c r="FZ189" i="98"/>
  <c r="GB189" i="98"/>
  <c r="GP123" i="98"/>
  <c r="GM123" i="98"/>
  <c r="GD88" i="98"/>
  <c r="FZ88" i="98"/>
  <c r="GB88" i="98"/>
  <c r="GE88" i="98"/>
  <c r="GC88" i="98"/>
  <c r="FZ1631" i="98"/>
  <c r="GB1631" i="98"/>
  <c r="GD1631" i="98"/>
  <c r="GE1631" i="98"/>
  <c r="GJ1643" i="98"/>
  <c r="GI1617" i="98"/>
  <c r="GP1563" i="98"/>
  <c r="GM1563" i="98"/>
  <c r="GJ1551" i="98"/>
  <c r="GP1587" i="98"/>
  <c r="GM1587" i="98"/>
  <c r="GB1487" i="98"/>
  <c r="GD1487" i="98"/>
  <c r="GE1487" i="98"/>
  <c r="FZ1487" i="98"/>
  <c r="GD1391" i="98"/>
  <c r="GE1391" i="98"/>
  <c r="FZ1391" i="98"/>
  <c r="GB1391" i="98"/>
  <c r="GJ1359" i="98"/>
  <c r="GM1343" i="98"/>
  <c r="GI1343" i="98"/>
  <c r="GM1297" i="98"/>
  <c r="GD1297" i="98"/>
  <c r="GE1297" i="98"/>
  <c r="FZ1297" i="98"/>
  <c r="GB1297" i="98"/>
  <c r="GI1235" i="98"/>
  <c r="GP1293" i="98"/>
  <c r="GM1293" i="98"/>
  <c r="GI1231" i="98"/>
  <c r="GG1199" i="98"/>
  <c r="GD1199" i="98"/>
  <c r="GC1199" i="98"/>
  <c r="FZ1199" i="98"/>
  <c r="GE1199" i="98"/>
  <c r="GB1199" i="98"/>
  <c r="GM1451" i="98"/>
  <c r="FZ1323" i="98"/>
  <c r="GB1323" i="98"/>
  <c r="GD1323" i="98"/>
  <c r="GE1323" i="98"/>
  <c r="GJ1225" i="98"/>
  <c r="GP1113" i="98"/>
  <c r="GM1113" i="98"/>
  <c r="GJ1097" i="98"/>
  <c r="GE1085" i="98"/>
  <c r="FZ1085" i="98"/>
  <c r="GB1085" i="98"/>
  <c r="GD1085" i="98"/>
  <c r="GI1037" i="98"/>
  <c r="GP950" i="98"/>
  <c r="FZ950" i="98"/>
  <c r="GB950" i="98"/>
  <c r="GD950" i="98"/>
  <c r="GE950" i="98"/>
  <c r="FZ964" i="98"/>
  <c r="GE964" i="98"/>
  <c r="GC964" i="98"/>
  <c r="GB964" i="98"/>
  <c r="GD964" i="98"/>
  <c r="GI864" i="98"/>
  <c r="GE832" i="98"/>
  <c r="FZ832" i="98"/>
  <c r="GB832" i="98"/>
  <c r="GD832" i="98"/>
  <c r="FZ1049" i="98"/>
  <c r="GE1049" i="98"/>
  <c r="GB1049" i="98"/>
  <c r="GD1049" i="98"/>
  <c r="GC1049" i="98"/>
  <c r="GJ1017" i="98"/>
  <c r="GG923" i="98"/>
  <c r="GD923" i="98"/>
  <c r="FZ923" i="98"/>
  <c r="GJ891" i="98"/>
  <c r="GG730" i="98"/>
  <c r="GC730" i="98"/>
  <c r="GB730" i="98"/>
  <c r="GD730" i="98"/>
  <c r="FZ730" i="98"/>
  <c r="GE730" i="98"/>
  <c r="GJ620" i="98"/>
  <c r="GJ588" i="98"/>
  <c r="GI513" i="98"/>
  <c r="GJ535" i="98"/>
  <c r="GD535" i="98"/>
  <c r="GE535" i="98"/>
  <c r="FZ535" i="98"/>
  <c r="GB535" i="98"/>
  <c r="GI759" i="98"/>
  <c r="GM663" i="98"/>
  <c r="GJ615" i="98"/>
  <c r="GI564" i="98"/>
  <c r="GD528" i="98"/>
  <c r="GE528" i="98"/>
  <c r="FZ528" i="98"/>
  <c r="GB528" i="98"/>
  <c r="GJ459" i="98"/>
  <c r="GJ463" i="98"/>
  <c r="GJ441" i="98"/>
  <c r="GP395" i="98"/>
  <c r="GM395" i="98"/>
  <c r="GM470" i="98"/>
  <c r="GB391" i="98"/>
  <c r="GD391" i="98"/>
  <c r="GE391" i="98"/>
  <c r="FZ391" i="98"/>
  <c r="GJ424" i="98"/>
  <c r="GB424" i="98"/>
  <c r="GD424" i="98"/>
  <c r="GE424" i="98"/>
  <c r="FZ424" i="98"/>
  <c r="GM258" i="98"/>
  <c r="GJ258" i="98"/>
  <c r="GD229" i="98"/>
  <c r="GE229" i="98"/>
  <c r="FZ229" i="98"/>
  <c r="GB229" i="98"/>
  <c r="GJ205" i="98"/>
  <c r="GM184" i="98"/>
  <c r="FZ184" i="98"/>
  <c r="GB184" i="98"/>
  <c r="GD184" i="98"/>
  <c r="GE184" i="98"/>
  <c r="GM132" i="98"/>
  <c r="GI1498" i="98"/>
  <c r="GJ1378" i="98"/>
  <c r="FZ1378" i="98"/>
  <c r="GB1378" i="98"/>
  <c r="GD1378" i="98"/>
  <c r="GE1378" i="98"/>
  <c r="GJ684" i="98"/>
  <c r="GE550" i="98"/>
  <c r="FZ550" i="98"/>
  <c r="GB550" i="98"/>
  <c r="GD550" i="98"/>
  <c r="GJ704" i="98"/>
  <c r="GI724" i="98"/>
  <c r="GC724" i="98"/>
  <c r="GE724" i="98"/>
  <c r="GJ692" i="98"/>
  <c r="GP419" i="98"/>
  <c r="GM419" i="98"/>
  <c r="GG371" i="98"/>
  <c r="GB371" i="98"/>
  <c r="GD371" i="98"/>
  <c r="GE371" i="98"/>
  <c r="FZ371" i="98"/>
  <c r="GE289" i="98"/>
  <c r="FZ289" i="98"/>
  <c r="GB289" i="98"/>
  <c r="GD289" i="98"/>
  <c r="FZ159" i="98"/>
  <c r="GD159" i="98"/>
  <c r="GE159" i="98"/>
  <c r="GB159" i="98"/>
  <c r="GC159" i="98"/>
  <c r="GI143" i="98"/>
  <c r="GJ127" i="98"/>
  <c r="GJ321" i="98"/>
  <c r="GE232" i="98"/>
  <c r="FZ232" i="98"/>
  <c r="GB232" i="98"/>
  <c r="GD232" i="98"/>
  <c r="GM640" i="98"/>
  <c r="GE640" i="98"/>
  <c r="GD640" i="98"/>
  <c r="GP478" i="98"/>
  <c r="GM478" i="98"/>
  <c r="GM365" i="98"/>
  <c r="GE1303" i="98"/>
  <c r="FZ1303" i="98"/>
  <c r="GB1303" i="98"/>
  <c r="GD1303" i="98"/>
  <c r="GG1474" i="98"/>
  <c r="GI1314" i="98"/>
  <c r="GJ1137" i="98"/>
  <c r="GD1121" i="98"/>
  <c r="GC1121" i="98"/>
  <c r="FZ1121" i="98"/>
  <c r="GE1121" i="98"/>
  <c r="GB1121" i="98"/>
  <c r="GM1004" i="98"/>
  <c r="FZ1004" i="98"/>
  <c r="GB1004" i="98"/>
  <c r="GD1004" i="98"/>
  <c r="GE1004" i="98"/>
  <c r="GJ1072" i="98"/>
  <c r="FZ1072" i="98"/>
  <c r="GB1072" i="98"/>
  <c r="GD1072" i="98"/>
  <c r="GE1072" i="98"/>
  <c r="GI1159" i="98"/>
  <c r="GI902" i="98"/>
  <c r="GB870" i="98"/>
  <c r="GD870" i="98"/>
  <c r="GE870" i="98"/>
  <c r="FZ870" i="98"/>
  <c r="GI838" i="98"/>
  <c r="GD680" i="98"/>
  <c r="GE680" i="98"/>
  <c r="FZ680" i="98"/>
  <c r="GB680" i="98"/>
  <c r="GM584" i="98"/>
  <c r="GB584" i="98"/>
  <c r="GE584" i="98"/>
  <c r="GJ494" i="98"/>
  <c r="GE403" i="98"/>
  <c r="GC403" i="98"/>
  <c r="GB403" i="98"/>
  <c r="GD403" i="98"/>
  <c r="FZ403" i="98"/>
  <c r="GG357" i="98"/>
  <c r="GD310" i="98"/>
  <c r="GE310" i="98"/>
  <c r="FZ310" i="98"/>
  <c r="GB310" i="98"/>
  <c r="GB290" i="98"/>
  <c r="GD290" i="98"/>
  <c r="GE290" i="98"/>
  <c r="FZ290" i="98"/>
  <c r="GB113" i="98"/>
  <c r="GD113" i="98"/>
  <c r="GE113" i="98"/>
  <c r="FZ113" i="98"/>
  <c r="GP1109" i="98"/>
  <c r="GM1109" i="98"/>
  <c r="GM1157" i="98"/>
  <c r="GM1023" i="98"/>
  <c r="GJ1007" i="98"/>
  <c r="GP568" i="98"/>
  <c r="GM568" i="98"/>
  <c r="FZ604" i="98"/>
  <c r="GB604" i="98"/>
  <c r="GD604" i="98"/>
  <c r="GE604" i="98"/>
  <c r="GJ572" i="98"/>
  <c r="GM768" i="98"/>
  <c r="GB768" i="98"/>
  <c r="GD768" i="98"/>
  <c r="GE768" i="98"/>
  <c r="FZ768" i="98"/>
  <c r="GI740" i="98"/>
  <c r="FZ740" i="98"/>
  <c r="GB740" i="98"/>
  <c r="GD740" i="98"/>
  <c r="GE740" i="98"/>
  <c r="GI514" i="98"/>
  <c r="GB514" i="98"/>
  <c r="GD514" i="98"/>
  <c r="GE514" i="98"/>
  <c r="FZ514" i="98"/>
  <c r="GP423" i="98"/>
  <c r="GM423" i="98"/>
  <c r="GB451" i="98"/>
  <c r="GD451" i="98"/>
  <c r="GE451" i="98"/>
  <c r="FZ451" i="98"/>
  <c r="GP411" i="98"/>
  <c r="GM411" i="98"/>
  <c r="GE367" i="98"/>
  <c r="FZ367" i="98"/>
  <c r="GB367" i="98"/>
  <c r="GD367" i="98"/>
  <c r="GP314" i="98"/>
  <c r="GJ329" i="98"/>
  <c r="GG94" i="98"/>
  <c r="GI94" i="98"/>
  <c r="GP1591" i="98"/>
  <c r="GM1591" i="98"/>
  <c r="GG1354" i="98"/>
  <c r="GI1434" i="98"/>
  <c r="GJ1611" i="98"/>
  <c r="GB958" i="98"/>
  <c r="GC958" i="98"/>
  <c r="FZ958" i="98"/>
  <c r="GD958" i="98"/>
  <c r="GE958" i="98"/>
  <c r="GI1207" i="98"/>
  <c r="GP1019" i="98"/>
  <c r="GM1019" i="98"/>
  <c r="GM1032" i="98"/>
  <c r="GI744" i="98"/>
  <c r="GB744" i="98"/>
  <c r="GD744" i="98"/>
  <c r="GE744" i="98"/>
  <c r="FZ744" i="98"/>
  <c r="GJ652" i="98"/>
  <c r="GE720" i="98"/>
  <c r="GC720" i="98"/>
  <c r="GA1676" i="98"/>
  <c r="GC1676" i="98"/>
  <c r="GD1676" i="98"/>
  <c r="FZ1676" i="98"/>
  <c r="GE1676" i="98"/>
  <c r="GB1676" i="98"/>
  <c r="GI1676" i="98"/>
  <c r="GM1676" i="98"/>
  <c r="GQ1676" i="98"/>
  <c r="GL1676" i="98"/>
  <c r="GO1676" i="98"/>
  <c r="GF1676" i="98"/>
  <c r="GH1676" i="98"/>
  <c r="GK1676" i="98"/>
  <c r="GG1676" i="98"/>
  <c r="GN1676" i="98"/>
  <c r="GP1676" i="98"/>
  <c r="FT1676" i="98"/>
  <c r="GJ1676" i="98"/>
  <c r="FW1676" i="98"/>
  <c r="GB1444" i="98"/>
  <c r="GP1444" i="98"/>
  <c r="FT1444" i="98"/>
  <c r="FZ1444" i="98" s="1"/>
  <c r="GE1389" i="98"/>
  <c r="GP1389" i="98"/>
  <c r="FT519" i="98"/>
  <c r="FZ519" i="98" s="1"/>
  <c r="FW519" i="98"/>
  <c r="FW1444" i="98"/>
  <c r="GB1100" i="98"/>
  <c r="GE360" i="98"/>
  <c r="GI1405" i="98"/>
  <c r="GM1405" i="98"/>
  <c r="GG1405" i="98"/>
  <c r="GJ1405" i="98"/>
  <c r="GE1405" i="98"/>
  <c r="GD1059" i="98"/>
  <c r="GE87" i="98"/>
  <c r="GD1627" i="98"/>
  <c r="GE1627" i="98"/>
  <c r="FZ1627" i="98"/>
  <c r="GB1627" i="98"/>
  <c r="FW1627" i="98"/>
  <c r="FZ1655" i="98"/>
  <c r="GB1655" i="98"/>
  <c r="GD1655" i="98"/>
  <c r="GE1655" i="98"/>
  <c r="FW1655" i="98"/>
  <c r="FZ1647" i="98"/>
  <c r="FZ1621" i="98"/>
  <c r="FZ1567" i="98"/>
  <c r="FZ1541" i="98"/>
  <c r="FZ1458" i="98"/>
  <c r="GE1301" i="98"/>
  <c r="FZ1498" i="98"/>
  <c r="GC1678" i="98"/>
  <c r="GD1670" i="98"/>
  <c r="GE1662" i="98"/>
  <c r="GD1582" i="98"/>
  <c r="GB1442" i="98"/>
  <c r="GC1442" i="98"/>
  <c r="FZ1314" i="98"/>
  <c r="GE1101" i="98"/>
  <c r="FZ1101" i="98"/>
  <c r="GB1101" i="98"/>
  <c r="GD1101" i="98"/>
  <c r="FW1101" i="98"/>
  <c r="GB1503" i="98"/>
  <c r="FZ1447" i="98"/>
  <c r="FZ1423" i="98"/>
  <c r="GC1367" i="98"/>
  <c r="GD1367" i="98"/>
  <c r="GE1343" i="98"/>
  <c r="FZ1281" i="98"/>
  <c r="GE1217" i="98"/>
  <c r="GB1187" i="98"/>
  <c r="GD1111" i="98"/>
  <c r="FZ1095" i="98"/>
  <c r="GE1133" i="98"/>
  <c r="FZ1040" i="98"/>
  <c r="GE1040" i="98"/>
  <c r="GB1040" i="98"/>
  <c r="GC1040" i="98"/>
  <c r="GD1040" i="98"/>
  <c r="FW1040" i="98"/>
  <c r="GE1293" i="98"/>
  <c r="FZ1279" i="98"/>
  <c r="GC1215" i="98"/>
  <c r="GD1215" i="98"/>
  <c r="FZ1197" i="98"/>
  <c r="GB1151" i="98"/>
  <c r="GD1141" i="98"/>
  <c r="FZ1491" i="98"/>
  <c r="GE1459" i="98"/>
  <c r="FZ1427" i="98"/>
  <c r="GE1403" i="98"/>
  <c r="FZ1395" i="98"/>
  <c r="FZ1371" i="98"/>
  <c r="GB1331" i="98"/>
  <c r="FZ1291" i="98"/>
  <c r="GE1275" i="98"/>
  <c r="FZ1257" i="98"/>
  <c r="GD1243" i="98"/>
  <c r="FZ1225" i="98"/>
  <c r="GC1207" i="98"/>
  <c r="GD1207" i="98"/>
  <c r="GD1195" i="98"/>
  <c r="GD1191" i="98"/>
  <c r="FZ1175" i="98"/>
  <c r="GB1157" i="98"/>
  <c r="GD1027" i="98"/>
  <c r="FZ1011" i="98"/>
  <c r="GD912" i="98"/>
  <c r="GC880" i="98"/>
  <c r="GE848" i="98"/>
  <c r="GD784" i="98"/>
  <c r="FZ1087" i="98"/>
  <c r="GB1079" i="98"/>
  <c r="GD1073" i="98"/>
  <c r="GC1055" i="98"/>
  <c r="GD1047" i="98"/>
  <c r="GB1041" i="98"/>
  <c r="FZ1021" i="98"/>
  <c r="FZ998" i="98"/>
  <c r="GB991" i="98"/>
  <c r="GE975" i="98"/>
  <c r="GB951" i="98"/>
  <c r="FZ933" i="98"/>
  <c r="GB921" i="98"/>
  <c r="GE889" i="98"/>
  <c r="GE869" i="98"/>
  <c r="FZ857" i="98"/>
  <c r="GB825" i="98"/>
  <c r="GD805" i="98"/>
  <c r="FZ793" i="98"/>
  <c r="GD742" i="98"/>
  <c r="FZ938" i="98"/>
  <c r="GD918" i="98"/>
  <c r="GE911" i="98"/>
  <c r="GD879" i="98"/>
  <c r="GB854" i="98"/>
  <c r="GB847" i="98"/>
  <c r="GB822" i="98"/>
  <c r="FZ815" i="98"/>
  <c r="FZ790" i="98"/>
  <c r="GB783" i="98"/>
  <c r="GE760" i="98"/>
  <c r="GD678" i="98"/>
  <c r="GE543" i="98"/>
  <c r="GC485" i="98"/>
  <c r="GB672" i="98"/>
  <c r="GE521" i="98"/>
  <c r="GC481" i="98"/>
  <c r="GB612" i="98"/>
  <c r="GE533" i="98"/>
  <c r="GD771" i="98"/>
  <c r="FZ755" i="98"/>
  <c r="GB739" i="98"/>
  <c r="FZ723" i="98"/>
  <c r="GE707" i="98"/>
  <c r="GB691" i="98"/>
  <c r="GE675" i="98"/>
  <c r="FZ659" i="98"/>
  <c r="GC643" i="98"/>
  <c r="GD643" i="98"/>
  <c r="GD627" i="98"/>
  <c r="FZ611" i="98"/>
  <c r="GD595" i="98"/>
  <c r="GE579" i="98"/>
  <c r="FZ399" i="98"/>
  <c r="GE494" i="98"/>
  <c r="GE565" i="98"/>
  <c r="GE465" i="98"/>
  <c r="FZ453" i="98"/>
  <c r="GD429" i="98"/>
  <c r="GC567" i="98"/>
  <c r="GE1632" i="98"/>
  <c r="GP1632" i="98"/>
  <c r="FT1632" i="98"/>
  <c r="GB1632" i="98" s="1"/>
  <c r="FW1632" i="98"/>
  <c r="GP1493" i="98"/>
  <c r="FZ1493" i="98"/>
  <c r="GC1453" i="98"/>
  <c r="GD1453" i="98"/>
  <c r="GM1352" i="98"/>
  <c r="GP1352" i="98"/>
  <c r="GI1352" i="98"/>
  <c r="GJ1352" i="98"/>
  <c r="GG1352" i="98"/>
  <c r="FZ1198" i="98"/>
  <c r="GE1198" i="98"/>
  <c r="GD1198" i="98"/>
  <c r="GP1198" i="98"/>
  <c r="FT1198" i="98"/>
  <c r="GC1198" i="98" s="1"/>
  <c r="GE1150" i="98"/>
  <c r="FZ1150" i="98"/>
  <c r="GB1150" i="98"/>
  <c r="FT1150" i="98"/>
  <c r="GE1432" i="98"/>
  <c r="GD774" i="98"/>
  <c r="GM1333" i="98"/>
  <c r="GG1333" i="98"/>
  <c r="GJ1333" i="98"/>
  <c r="GI1333" i="98"/>
  <c r="GB1333" i="98"/>
  <c r="FT234" i="98"/>
  <c r="GE234" i="98" s="1"/>
  <c r="GE1543" i="98"/>
  <c r="GE1633" i="98"/>
  <c r="FZ1617" i="98"/>
  <c r="GE1553" i="98"/>
  <c r="FZ1537" i="98"/>
  <c r="GB1394" i="98"/>
  <c r="GD1555" i="98"/>
  <c r="GD1547" i="98"/>
  <c r="GE1450" i="98"/>
  <c r="FZ1683" i="98"/>
  <c r="GE1675" i="98"/>
  <c r="GE1667" i="98"/>
  <c r="FZ1659" i="98"/>
  <c r="GB1591" i="98"/>
  <c r="GD1583" i="98"/>
  <c r="FZ1511" i="98"/>
  <c r="GD1418" i="98"/>
  <c r="GD1271" i="98"/>
  <c r="FZ1635" i="98"/>
  <c r="GE1539" i="98"/>
  <c r="GB1514" i="98"/>
  <c r="GD1479" i="98"/>
  <c r="GD1455" i="98"/>
  <c r="GD1431" i="98"/>
  <c r="GB1399" i="98"/>
  <c r="GB1375" i="98"/>
  <c r="GB1351" i="98"/>
  <c r="FZ1319" i="98"/>
  <c r="FZ1265" i="98"/>
  <c r="GE1235" i="98"/>
  <c r="GE1201" i="98"/>
  <c r="GB1201" i="98"/>
  <c r="GD1155" i="98"/>
  <c r="GE1137" i="98"/>
  <c r="GC1127" i="98"/>
  <c r="FZ1309" i="98"/>
  <c r="GB1247" i="98"/>
  <c r="GD1183" i="98"/>
  <c r="GE1174" i="98"/>
  <c r="GB1499" i="98"/>
  <c r="FZ1467" i="98"/>
  <c r="GE1435" i="98"/>
  <c r="GB1411" i="98"/>
  <c r="GD1339" i="98"/>
  <c r="GC1289" i="98"/>
  <c r="GD1289" i="98"/>
  <c r="GB1259" i="98"/>
  <c r="GE1205" i="98"/>
  <c r="GB1205" i="98"/>
  <c r="GD1163" i="98"/>
  <c r="FZ1145" i="98"/>
  <c r="GD1135" i="98"/>
  <c r="FZ1119" i="98"/>
  <c r="GD1103" i="98"/>
  <c r="GD990" i="98"/>
  <c r="GD1023" i="98"/>
  <c r="GE1007" i="98"/>
  <c r="GE940" i="98"/>
  <c r="FZ932" i="98"/>
  <c r="GB920" i="98"/>
  <c r="GD908" i="98"/>
  <c r="GE888" i="98"/>
  <c r="FZ844" i="98"/>
  <c r="FZ824" i="98"/>
  <c r="GB812" i="98"/>
  <c r="GC812" i="98"/>
  <c r="GD804" i="98"/>
  <c r="GE792" i="98"/>
  <c r="FZ780" i="98"/>
  <c r="GD1071" i="98"/>
  <c r="GD1039" i="98"/>
  <c r="GE1033" i="98"/>
  <c r="FZ1025" i="98"/>
  <c r="GB1013" i="98"/>
  <c r="GB1008" i="98"/>
  <c r="FZ984" i="98"/>
  <c r="FZ1003" i="98"/>
  <c r="GB909" i="98"/>
  <c r="GB897" i="98"/>
  <c r="GB865" i="98"/>
  <c r="GE833" i="98"/>
  <c r="FZ781" i="98"/>
  <c r="GB664" i="98"/>
  <c r="GD935" i="98"/>
  <c r="GB930" i="98"/>
  <c r="FZ871" i="98"/>
  <c r="GE839" i="98"/>
  <c r="GC807" i="98"/>
  <c r="GD802" i="98"/>
  <c r="GD652" i="98"/>
  <c r="GD513" i="98"/>
  <c r="FZ592" i="98"/>
  <c r="GD708" i="98"/>
  <c r="GD505" i="98"/>
  <c r="GE751" i="98"/>
  <c r="GC719" i="98"/>
  <c r="GB1190" i="98"/>
  <c r="GD1190" i="98"/>
  <c r="GE1190" i="98"/>
  <c r="FZ1190" i="98"/>
  <c r="GB1347" i="98"/>
  <c r="GD1347" i="98"/>
  <c r="GE1347" i="98"/>
  <c r="FZ1347" i="98"/>
  <c r="GB1315" i="98"/>
  <c r="GD1315" i="98"/>
  <c r="GE1315" i="98"/>
  <c r="FZ1315" i="98"/>
  <c r="GI1273" i="98"/>
  <c r="FZ1273" i="98"/>
  <c r="GB1273" i="98"/>
  <c r="GD1273" i="98"/>
  <c r="GE1273" i="98"/>
  <c r="GB978" i="98"/>
  <c r="GD978" i="98"/>
  <c r="GE978" i="98"/>
  <c r="FZ978" i="98"/>
  <c r="GE1057" i="98"/>
  <c r="FZ1057" i="98"/>
  <c r="GB1057" i="98"/>
  <c r="GD1057" i="98"/>
  <c r="GI909" i="98"/>
  <c r="GD893" i="98"/>
  <c r="GC893" i="98"/>
  <c r="FZ893" i="98"/>
  <c r="GE893" i="98"/>
  <c r="GB893" i="98"/>
  <c r="GI845" i="98"/>
  <c r="GB829" i="98"/>
  <c r="GD829" i="98"/>
  <c r="GE829" i="98"/>
  <c r="FZ829" i="98"/>
  <c r="GI781" i="98"/>
  <c r="GM911" i="98"/>
  <c r="FZ895" i="98"/>
  <c r="GB895" i="98"/>
  <c r="GE895" i="98"/>
  <c r="GC895" i="98"/>
  <c r="GD895" i="98"/>
  <c r="GM347" i="98"/>
  <c r="GE509" i="98"/>
  <c r="FZ509" i="98"/>
  <c r="GB509" i="98"/>
  <c r="GD509" i="98"/>
  <c r="GI505" i="98"/>
  <c r="GJ755" i="98"/>
  <c r="GJ691" i="98"/>
  <c r="GJ627" i="98"/>
  <c r="GI548" i="98"/>
  <c r="FZ354" i="98"/>
  <c r="GB354" i="98"/>
  <c r="GD354" i="98"/>
  <c r="GE354" i="98"/>
  <c r="GP565" i="98"/>
  <c r="GI567" i="98"/>
  <c r="GJ348" i="98"/>
  <c r="GJ414" i="98"/>
  <c r="GJ402" i="98"/>
  <c r="GP420" i="98"/>
  <c r="GG340" i="98"/>
  <c r="GI340" i="98"/>
  <c r="FZ281" i="98"/>
  <c r="GB281" i="98"/>
  <c r="GD281" i="98"/>
  <c r="GE281" i="98"/>
  <c r="GJ257" i="98"/>
  <c r="GP249" i="98"/>
  <c r="GJ227" i="98"/>
  <c r="GG219" i="98"/>
  <c r="GG211" i="98"/>
  <c r="GJ203" i="98"/>
  <c r="GM138" i="98"/>
  <c r="GM163" i="98"/>
  <c r="GJ155" i="98"/>
  <c r="GM147" i="98"/>
  <c r="GI147" i="98"/>
  <c r="GB92" i="98"/>
  <c r="GE92" i="98"/>
  <c r="GC92" i="98"/>
  <c r="GD92" i="98"/>
  <c r="FZ92" i="98"/>
  <c r="GP963" i="98"/>
  <c r="GP881" i="98"/>
  <c r="GG857" i="98"/>
  <c r="GM857" i="98"/>
  <c r="GJ809" i="98"/>
  <c r="GC809" i="98"/>
  <c r="GD809" i="98"/>
  <c r="FZ809" i="98"/>
  <c r="GB809" i="98"/>
  <c r="GE809" i="98"/>
  <c r="GP785" i="98"/>
  <c r="GP664" i="98"/>
  <c r="GM664" i="98"/>
  <c r="GM935" i="98"/>
  <c r="GG935" i="98"/>
  <c r="GD919" i="98"/>
  <c r="GE919" i="98"/>
  <c r="FZ919" i="98"/>
  <c r="GB919" i="98"/>
  <c r="GM894" i="98"/>
  <c r="GJ894" i="98"/>
  <c r="GM814" i="98"/>
  <c r="GD752" i="98"/>
  <c r="GE752" i="98"/>
  <c r="FZ752" i="98"/>
  <c r="GB752" i="98"/>
  <c r="GJ708" i="98"/>
  <c r="GP644" i="98"/>
  <c r="GM644" i="98"/>
  <c r="FZ763" i="98"/>
  <c r="GB763" i="98"/>
  <c r="GD763" i="98"/>
  <c r="GE763" i="98"/>
  <c r="GG667" i="98"/>
  <c r="FZ619" i="98"/>
  <c r="GB619" i="98"/>
  <c r="GD619" i="98"/>
  <c r="GE619" i="98"/>
  <c r="GP619" i="98"/>
  <c r="GP474" i="98"/>
  <c r="GM474" i="98"/>
  <c r="GM464" i="98"/>
  <c r="GM412" i="98"/>
  <c r="GJ412" i="98"/>
  <c r="GM273" i="98"/>
  <c r="GP233" i="98"/>
  <c r="GB192" i="98"/>
  <c r="GD192" i="98"/>
  <c r="GE192" i="98"/>
  <c r="FZ192" i="98"/>
  <c r="GM209" i="98"/>
  <c r="GP131" i="98"/>
  <c r="GM131" i="98"/>
  <c r="GM101" i="98"/>
  <c r="GJ1271" i="98"/>
  <c r="GD1674" i="98"/>
  <c r="GE1674" i="98"/>
  <c r="FZ1674" i="98"/>
  <c r="GB1674" i="98"/>
  <c r="GP1599" i="98"/>
  <c r="GM1599" i="98"/>
  <c r="GP648" i="98"/>
  <c r="GM648" i="98"/>
  <c r="GJ1503" i="98"/>
  <c r="GE600" i="98"/>
  <c r="FZ600" i="98"/>
  <c r="GB600" i="98"/>
  <c r="GD600" i="98"/>
  <c r="GI1215" i="98"/>
  <c r="GM1183" i="98"/>
  <c r="GJ1080" i="98"/>
  <c r="GB1080" i="98"/>
  <c r="GD1080" i="98"/>
  <c r="GE1080" i="98"/>
  <c r="FZ1080" i="98"/>
  <c r="GB1015" i="98"/>
  <c r="GD1015" i="98"/>
  <c r="GE1015" i="98"/>
  <c r="FZ1015" i="98"/>
  <c r="GM1069" i="98"/>
  <c r="GJ1053" i="98"/>
  <c r="GJ990" i="98"/>
  <c r="GM975" i="98"/>
  <c r="GG538" i="98"/>
  <c r="GD859" i="98"/>
  <c r="FZ859" i="98"/>
  <c r="GB843" i="98"/>
  <c r="GD843" i="98"/>
  <c r="GE843" i="98"/>
  <c r="FZ843" i="98"/>
  <c r="GI818" i="98"/>
  <c r="GP802" i="98"/>
  <c r="GJ802" i="98"/>
  <c r="GG543" i="98"/>
  <c r="GB943" i="98"/>
  <c r="GE943" i="98"/>
  <c r="GM727" i="98"/>
  <c r="GB631" i="98"/>
  <c r="GD631" i="98"/>
  <c r="GE631" i="98"/>
  <c r="FZ631" i="98"/>
  <c r="GE562" i="98"/>
  <c r="GD562" i="98"/>
  <c r="FZ562" i="98"/>
  <c r="GI429" i="98"/>
  <c r="GG442" i="98"/>
  <c r="GM298" i="98"/>
  <c r="GJ284" i="98"/>
  <c r="GM265" i="98"/>
  <c r="GD265" i="98"/>
  <c r="GE265" i="98"/>
  <c r="FZ265" i="98"/>
  <c r="GB265" i="98"/>
  <c r="GD285" i="98"/>
  <c r="GE285" i="98"/>
  <c r="FZ285" i="98"/>
  <c r="GB285" i="98"/>
  <c r="GM251" i="98"/>
  <c r="GE221" i="98"/>
  <c r="FZ221" i="98"/>
  <c r="GB221" i="98"/>
  <c r="GD221" i="98"/>
  <c r="GP1619" i="98"/>
  <c r="GM1619" i="98"/>
  <c r="GG1651" i="98"/>
  <c r="GP1625" i="98"/>
  <c r="GB1571" i="98"/>
  <c r="GD1571" i="98"/>
  <c r="GE1571" i="98"/>
  <c r="FZ1571" i="98"/>
  <c r="GJ1679" i="98"/>
  <c r="GE1663" i="98"/>
  <c r="FZ1663" i="98"/>
  <c r="GB1663" i="98"/>
  <c r="GD1663" i="98"/>
  <c r="GG1511" i="98"/>
  <c r="GG1623" i="98"/>
  <c r="GG1523" i="98"/>
  <c r="GJ1510" i="98"/>
  <c r="FW1426" i="98"/>
  <c r="GA1426" i="98"/>
  <c r="GB1426" i="98"/>
  <c r="GC1426" i="98"/>
  <c r="GD1426" i="98"/>
  <c r="FZ1426" i="98"/>
  <c r="GE1426" i="98"/>
  <c r="GM1479" i="98"/>
  <c r="GI1479" i="98"/>
  <c r="FZ1463" i="98"/>
  <c r="GB1463" i="98"/>
  <c r="GD1463" i="98"/>
  <c r="GE1463" i="98"/>
  <c r="GG1431" i="98"/>
  <c r="GJ1415" i="98"/>
  <c r="GJ1351" i="98"/>
  <c r="GM1335" i="98"/>
  <c r="GI1335" i="98"/>
  <c r="GD1267" i="98"/>
  <c r="GE1267" i="98"/>
  <c r="FZ1267" i="98"/>
  <c r="GB1267" i="98"/>
  <c r="GJ1219" i="98"/>
  <c r="GI1187" i="98"/>
  <c r="GE1002" i="98"/>
  <c r="FZ1002" i="98"/>
  <c r="GB1002" i="98"/>
  <c r="GD1002" i="98"/>
  <c r="GI1309" i="98"/>
  <c r="GJ1499" i="98"/>
  <c r="GJ1467" i="98"/>
  <c r="GP1435" i="98"/>
  <c r="GP1339" i="98"/>
  <c r="GI1307" i="98"/>
  <c r="GI1275" i="98"/>
  <c r="GP1257" i="98"/>
  <c r="GI1257" i="98"/>
  <c r="GP1243" i="98"/>
  <c r="GJ1135" i="98"/>
  <c r="FW1045" i="98"/>
  <c r="GJ920" i="98"/>
  <c r="GM888" i="98"/>
  <c r="FZ872" i="98"/>
  <c r="GB872" i="98"/>
  <c r="GD872" i="98"/>
  <c r="GE872" i="98"/>
  <c r="GI840" i="98"/>
  <c r="GE840" i="98"/>
  <c r="FZ840" i="98"/>
  <c r="GB840" i="98"/>
  <c r="GD840" i="98"/>
  <c r="GG808" i="98"/>
  <c r="GJ792" i="98"/>
  <c r="GP1087" i="98"/>
  <c r="GI1087" i="98"/>
  <c r="GI1025" i="98"/>
  <c r="GG1025" i="98"/>
  <c r="GE982" i="98"/>
  <c r="FZ982" i="98"/>
  <c r="GB982" i="98"/>
  <c r="GD982" i="98"/>
  <c r="GE983" i="98"/>
  <c r="FZ983" i="98"/>
  <c r="GB983" i="98"/>
  <c r="GD983" i="98"/>
  <c r="GM967" i="98"/>
  <c r="GI931" i="98"/>
  <c r="GE915" i="98"/>
  <c r="GB915" i="98"/>
  <c r="GI899" i="98"/>
  <c r="FZ883" i="98"/>
  <c r="GC883" i="98"/>
  <c r="GI867" i="98"/>
  <c r="GE851" i="98"/>
  <c r="GB851" i="98"/>
  <c r="GI835" i="98"/>
  <c r="GE819" i="98"/>
  <c r="GB819" i="98"/>
  <c r="GI803" i="98"/>
  <c r="GE787" i="98"/>
  <c r="GB787" i="98"/>
  <c r="GJ734" i="98"/>
  <c r="FZ735" i="98"/>
  <c r="GC735" i="98"/>
  <c r="GI719" i="98"/>
  <c r="GD687" i="98"/>
  <c r="FZ687" i="98"/>
  <c r="GB687" i="98"/>
  <c r="GJ671" i="98"/>
  <c r="GE639" i="98"/>
  <c r="GD639" i="98"/>
  <c r="GC639" i="98"/>
  <c r="FZ639" i="98"/>
  <c r="GI623" i="98"/>
  <c r="GP607" i="98"/>
  <c r="GI575" i="98"/>
  <c r="GP544" i="98"/>
  <c r="GI453" i="98"/>
  <c r="GB438" i="98"/>
  <c r="GD438" i="98"/>
  <c r="GE438" i="98"/>
  <c r="FZ438" i="98"/>
  <c r="GE422" i="98"/>
  <c r="FZ422" i="98"/>
  <c r="GB422" i="98"/>
  <c r="GD422" i="98"/>
  <c r="GI422" i="98"/>
  <c r="GM389" i="98"/>
  <c r="GB389" i="98"/>
  <c r="GD389" i="98"/>
  <c r="GE389" i="98"/>
  <c r="FZ389" i="98"/>
  <c r="GM375" i="98"/>
  <c r="FZ468" i="98"/>
  <c r="GB468" i="98"/>
  <c r="GD468" i="98"/>
  <c r="GE468" i="98"/>
  <c r="GE272" i="98"/>
  <c r="FZ272" i="98"/>
  <c r="GB272" i="98"/>
  <c r="GD272" i="98"/>
  <c r="GM252" i="98"/>
  <c r="GJ358" i="98"/>
  <c r="GJ277" i="98"/>
  <c r="GI259" i="98"/>
  <c r="GJ243" i="98"/>
  <c r="GP237" i="98"/>
  <c r="GJ201" i="98"/>
  <c r="GI115" i="98"/>
  <c r="GI892" i="98"/>
  <c r="GC892" i="98"/>
  <c r="FZ892" i="98"/>
  <c r="GD892" i="98"/>
  <c r="GE892" i="98"/>
  <c r="GB892" i="98"/>
  <c r="GI812" i="98"/>
  <c r="FZ1020" i="98"/>
  <c r="GB1020" i="98"/>
  <c r="GD1020" i="98"/>
  <c r="GE1020" i="98"/>
  <c r="GJ979" i="98"/>
  <c r="GG953" i="98"/>
  <c r="GD937" i="98"/>
  <c r="GE937" i="98"/>
  <c r="FZ937" i="98"/>
  <c r="GB937" i="98"/>
  <c r="GI937" i="98"/>
  <c r="GD873" i="98"/>
  <c r="GE873" i="98"/>
  <c r="FZ873" i="98"/>
  <c r="GB873" i="98"/>
  <c r="GI873" i="98"/>
  <c r="GJ849" i="98"/>
  <c r="GB801" i="98"/>
  <c r="GE801" i="98"/>
  <c r="FZ887" i="98"/>
  <c r="GB887" i="98"/>
  <c r="GE887" i="98"/>
  <c r="GC887" i="98"/>
  <c r="GD887" i="98"/>
  <c r="GI855" i="98"/>
  <c r="GM839" i="98"/>
  <c r="GI807" i="98"/>
  <c r="GD791" i="98"/>
  <c r="GE791" i="98"/>
  <c r="FZ791" i="98"/>
  <c r="GB791" i="98"/>
  <c r="GD758" i="98"/>
  <c r="FZ758" i="98"/>
  <c r="GE501" i="98"/>
  <c r="GB501" i="98"/>
  <c r="GP748" i="98"/>
  <c r="GM748" i="98"/>
  <c r="GD477" i="98"/>
  <c r="FZ477" i="98"/>
  <c r="GE477" i="98"/>
  <c r="GC477" i="98"/>
  <c r="GB477" i="98"/>
  <c r="GJ683" i="98"/>
  <c r="GG635" i="98"/>
  <c r="GP302" i="98"/>
  <c r="GP518" i="98"/>
  <c r="GM518" i="98"/>
  <c r="GI502" i="98"/>
  <c r="GD559" i="98"/>
  <c r="FZ559" i="98"/>
  <c r="GB559" i="98"/>
  <c r="GE559" i="98"/>
  <c r="GC559" i="98"/>
  <c r="GG378" i="98"/>
  <c r="GG454" i="98"/>
  <c r="GB394" i="98"/>
  <c r="GD394" i="98"/>
  <c r="GE394" i="98"/>
  <c r="FZ394" i="98"/>
  <c r="GG317" i="98"/>
  <c r="GG309" i="98"/>
  <c r="GG341" i="98"/>
  <c r="FZ330" i="98"/>
  <c r="GB330" i="98"/>
  <c r="GE330" i="98"/>
  <c r="GC330" i="98"/>
  <c r="GD330" i="98"/>
  <c r="GP245" i="98"/>
  <c r="GM247" i="98"/>
  <c r="GP169" i="98"/>
  <c r="GC89" i="98"/>
  <c r="FZ89" i="98"/>
  <c r="GD89" i="98"/>
  <c r="GE89" i="98"/>
  <c r="GB89" i="98"/>
  <c r="GJ100" i="98"/>
  <c r="GB1362" i="98"/>
  <c r="GC1362" i="98"/>
  <c r="FZ1362" i="98"/>
  <c r="GD1362" i="98"/>
  <c r="GE1362" i="98"/>
  <c r="GB1682" i="98"/>
  <c r="GC1682" i="98"/>
  <c r="FZ1682" i="98"/>
  <c r="GD1682" i="98"/>
  <c r="GE1682" i="98"/>
  <c r="GG1117" i="98"/>
  <c r="FZ1299" i="98"/>
  <c r="GB1299" i="98"/>
  <c r="GD1299" i="98"/>
  <c r="GE1299" i="98"/>
  <c r="GM1233" i="98"/>
  <c r="GB1048" i="98"/>
  <c r="GC1048" i="98"/>
  <c r="FZ1048" i="98"/>
  <c r="GD1048" i="98"/>
  <c r="GE1048" i="98"/>
  <c r="GB1261" i="98"/>
  <c r="GD1261" i="98"/>
  <c r="GE1261" i="98"/>
  <c r="FZ1261" i="98"/>
  <c r="GE1167" i="98"/>
  <c r="FZ1167" i="98"/>
  <c r="GB1167" i="98"/>
  <c r="GD1167" i="98"/>
  <c r="GG1419" i="98"/>
  <c r="FZ1419" i="98"/>
  <c r="GB1419" i="98"/>
  <c r="GD1419" i="98"/>
  <c r="GE1419" i="98"/>
  <c r="GM1211" i="98"/>
  <c r="GJ1163" i="98"/>
  <c r="GM541" i="98"/>
  <c r="GJ980" i="98"/>
  <c r="FZ800" i="98"/>
  <c r="GE800" i="98"/>
  <c r="GC800" i="98"/>
  <c r="GB800" i="98"/>
  <c r="GD800" i="98"/>
  <c r="GG728" i="98"/>
  <c r="GJ1039" i="98"/>
  <c r="FZ898" i="98"/>
  <c r="GD898" i="98"/>
  <c r="GJ850" i="98"/>
  <c r="FZ850" i="98"/>
  <c r="GB850" i="98"/>
  <c r="GD850" i="98"/>
  <c r="GE850" i="98"/>
  <c r="GI811" i="98"/>
  <c r="GE795" i="98"/>
  <c r="GB795" i="98"/>
  <c r="GI762" i="98"/>
  <c r="GJ592" i="98"/>
  <c r="GG772" i="98"/>
  <c r="GM743" i="98"/>
  <c r="FZ695" i="98"/>
  <c r="GB695" i="98"/>
  <c r="GD695" i="98"/>
  <c r="GE695" i="98"/>
  <c r="FZ599" i="98"/>
  <c r="GB599" i="98"/>
  <c r="GD599" i="98"/>
  <c r="GE599" i="98"/>
  <c r="GP599" i="98"/>
  <c r="GI465" i="98"/>
  <c r="GP555" i="98"/>
  <c r="GG407" i="98"/>
  <c r="GI294" i="98"/>
  <c r="GJ294" i="98"/>
  <c r="GJ213" i="98"/>
  <c r="GM91" i="98"/>
  <c r="GP1655" i="98"/>
  <c r="GM1655" i="98"/>
  <c r="GG1639" i="98"/>
  <c r="GP1621" i="98"/>
  <c r="GG1575" i="98"/>
  <c r="GG1515" i="98"/>
  <c r="GE1482" i="98"/>
  <c r="FZ1482" i="98"/>
  <c r="GB1482" i="98"/>
  <c r="GD1482" i="98"/>
  <c r="GP1603" i="98"/>
  <c r="GM1603" i="98"/>
  <c r="GI1594" i="98"/>
  <c r="GM1590" i="98"/>
  <c r="GG1582" i="98"/>
  <c r="GI1582" i="98"/>
  <c r="GP1535" i="98"/>
  <c r="GM1535" i="98"/>
  <c r="GG1519" i="98"/>
  <c r="GP1173" i="98"/>
  <c r="GI1173" i="98"/>
  <c r="GJ1281" i="98"/>
  <c r="GI1281" i="98"/>
  <c r="GJ1203" i="98"/>
  <c r="GI1201" i="98"/>
  <c r="GP1127" i="98"/>
  <c r="GG1311" i="98"/>
  <c r="FZ1311" i="98"/>
  <c r="GB1311" i="98"/>
  <c r="GD1311" i="98"/>
  <c r="GE1311" i="98"/>
  <c r="GI1395" i="98"/>
  <c r="GI1363" i="98"/>
  <c r="GG1147" i="98"/>
  <c r="GD1147" i="98"/>
  <c r="GE1147" i="98"/>
  <c r="FZ1147" i="98"/>
  <c r="GB1147" i="98"/>
  <c r="GP1064" i="98"/>
  <c r="GB992" i="98"/>
  <c r="GD992" i="98"/>
  <c r="GE992" i="98"/>
  <c r="FZ992" i="98"/>
  <c r="GM908" i="98"/>
  <c r="GD995" i="98"/>
  <c r="GE995" i="98"/>
  <c r="FZ995" i="98"/>
  <c r="GB995" i="98"/>
  <c r="GJ945" i="98"/>
  <c r="GI929" i="98"/>
  <c r="GB929" i="98"/>
  <c r="GP889" i="98"/>
  <c r="GI841" i="98"/>
  <c r="GD841" i="98"/>
  <c r="GE841" i="98"/>
  <c r="FZ841" i="98"/>
  <c r="GB841" i="98"/>
  <c r="GP793" i="98"/>
  <c r="GJ710" i="98"/>
  <c r="GM764" i="98"/>
  <c r="GB764" i="98"/>
  <c r="GD764" i="98"/>
  <c r="GE764" i="98"/>
  <c r="FZ764" i="98"/>
  <c r="GI670" i="98"/>
  <c r="GE628" i="98"/>
  <c r="GB628" i="98"/>
  <c r="GJ747" i="98"/>
  <c r="GG699" i="98"/>
  <c r="GI651" i="98"/>
  <c r="GB471" i="98"/>
  <c r="GD471" i="98"/>
  <c r="GE471" i="98"/>
  <c r="FZ471" i="98"/>
  <c r="GB443" i="98"/>
  <c r="GD443" i="98"/>
  <c r="GE443" i="98"/>
  <c r="FZ443" i="98"/>
  <c r="GG370" i="98"/>
  <c r="GJ409" i="98"/>
  <c r="GD410" i="98"/>
  <c r="GC410" i="98"/>
  <c r="FZ410" i="98"/>
  <c r="GE410" i="98"/>
  <c r="GB410" i="98"/>
  <c r="FZ325" i="98"/>
  <c r="GE325" i="98"/>
  <c r="GC325" i="98"/>
  <c r="GB325" i="98"/>
  <c r="GD325" i="98"/>
  <c r="GI428" i="98"/>
  <c r="GJ428" i="98"/>
  <c r="GJ364" i="98"/>
  <c r="GG313" i="98"/>
  <c r="GI253" i="98"/>
  <c r="GC167" i="98"/>
  <c r="FZ167" i="98"/>
  <c r="GD167" i="98"/>
  <c r="GE167" i="98"/>
  <c r="GB167" i="98"/>
  <c r="FZ173" i="98"/>
  <c r="GE173" i="98"/>
  <c r="GC173" i="98"/>
  <c r="GB173" i="98"/>
  <c r="GD173" i="98"/>
  <c r="GP151" i="98"/>
  <c r="GJ1631" i="98"/>
  <c r="GP1643" i="98"/>
  <c r="GM1643" i="98"/>
  <c r="GP1617" i="98"/>
  <c r="GI1553" i="98"/>
  <c r="GP1551" i="98"/>
  <c r="GM1551" i="98"/>
  <c r="GM1671" i="98"/>
  <c r="FZ1671" i="98"/>
  <c r="GB1671" i="98"/>
  <c r="GD1671" i="98"/>
  <c r="GE1671" i="98"/>
  <c r="GI1539" i="98"/>
  <c r="GB1490" i="98"/>
  <c r="GD1490" i="98"/>
  <c r="GE1490" i="98"/>
  <c r="FZ1490" i="98"/>
  <c r="FZ1255" i="98"/>
  <c r="GB1255" i="98"/>
  <c r="GD1255" i="98"/>
  <c r="GE1255" i="98"/>
  <c r="GE1407" i="98"/>
  <c r="FZ1407" i="98"/>
  <c r="GB1407" i="98"/>
  <c r="GD1407" i="98"/>
  <c r="GJ1391" i="98"/>
  <c r="GM1359" i="98"/>
  <c r="GI1359" i="98"/>
  <c r="GG1343" i="98"/>
  <c r="GI1297" i="98"/>
  <c r="GJ1235" i="98"/>
  <c r="GG1235" i="98"/>
  <c r="GJ1293" i="98"/>
  <c r="GI1293" i="98"/>
  <c r="GM1247" i="98"/>
  <c r="GP1231" i="98"/>
  <c r="GI1323" i="98"/>
  <c r="GP1291" i="98"/>
  <c r="GG1225" i="98"/>
  <c r="GP1097" i="98"/>
  <c r="GM1097" i="98"/>
  <c r="GM1031" i="98"/>
  <c r="GE1031" i="98"/>
  <c r="FZ1031" i="98"/>
  <c r="GB1031" i="98"/>
  <c r="GD1031" i="98"/>
  <c r="GJ1085" i="98"/>
  <c r="GM1037" i="98"/>
  <c r="GJ950" i="98"/>
  <c r="GJ964" i="98"/>
  <c r="GE928" i="98"/>
  <c r="FZ928" i="98"/>
  <c r="GB928" i="98"/>
  <c r="GD928" i="98"/>
  <c r="GJ848" i="98"/>
  <c r="GG1081" i="98"/>
  <c r="GB1081" i="98"/>
  <c r="GD1081" i="98"/>
  <c r="GE1081" i="98"/>
  <c r="FZ1081" i="98"/>
  <c r="GM1049" i="98"/>
  <c r="GI1017" i="98"/>
  <c r="GD968" i="98"/>
  <c r="FZ968" i="98"/>
  <c r="GE968" i="98"/>
  <c r="GC968" i="98"/>
  <c r="GB968" i="98"/>
  <c r="FZ939" i="98"/>
  <c r="GB939" i="98"/>
  <c r="GD939" i="98"/>
  <c r="GE939" i="98"/>
  <c r="GI891" i="98"/>
  <c r="GB875" i="98"/>
  <c r="GD875" i="98"/>
  <c r="GE875" i="98"/>
  <c r="FZ875" i="98"/>
  <c r="GM730" i="98"/>
  <c r="GM620" i="98"/>
  <c r="GM588" i="98"/>
  <c r="GM580" i="98"/>
  <c r="GB580" i="98"/>
  <c r="GD580" i="98"/>
  <c r="GE580" i="98"/>
  <c r="FZ580" i="98"/>
  <c r="GP493" i="98"/>
  <c r="FZ493" i="98"/>
  <c r="GB493" i="98"/>
  <c r="GE493" i="98"/>
  <c r="GC493" i="98"/>
  <c r="GD493" i="98"/>
  <c r="GD711" i="98"/>
  <c r="GE711" i="98"/>
  <c r="FZ711" i="98"/>
  <c r="GB711" i="98"/>
  <c r="GM615" i="98"/>
  <c r="GI528" i="98"/>
  <c r="GP459" i="98"/>
  <c r="GM459" i="98"/>
  <c r="GP463" i="98"/>
  <c r="GM463" i="98"/>
  <c r="GI441" i="98"/>
  <c r="GG395" i="98"/>
  <c r="GM373" i="98"/>
  <c r="GE373" i="98"/>
  <c r="FZ373" i="98"/>
  <c r="GB373" i="98"/>
  <c r="GD373" i="98"/>
  <c r="GM293" i="98"/>
  <c r="GE293" i="98"/>
  <c r="FZ293" i="98"/>
  <c r="GB293" i="98"/>
  <c r="GD293" i="98"/>
  <c r="GM424" i="98"/>
  <c r="GM305" i="98"/>
  <c r="GE305" i="98"/>
  <c r="FZ305" i="98"/>
  <c r="GB305" i="98"/>
  <c r="GD305" i="98"/>
  <c r="GB350" i="98"/>
  <c r="GD350" i="98"/>
  <c r="GE350" i="98"/>
  <c r="FZ350" i="98"/>
  <c r="FZ268" i="98"/>
  <c r="GB268" i="98"/>
  <c r="GD268" i="98"/>
  <c r="GE268" i="98"/>
  <c r="GI258" i="98"/>
  <c r="GB242" i="98"/>
  <c r="GD242" i="98"/>
  <c r="GC242" i="98"/>
  <c r="FZ242" i="98"/>
  <c r="GE242" i="98"/>
  <c r="GJ224" i="98"/>
  <c r="GB224" i="98"/>
  <c r="GD224" i="98"/>
  <c r="GE224" i="98"/>
  <c r="FZ224" i="98"/>
  <c r="GJ229" i="98"/>
  <c r="GM205" i="98"/>
  <c r="GI205" i="98"/>
  <c r="GI184" i="98"/>
  <c r="GG1498" i="98"/>
  <c r="GI1378" i="98"/>
  <c r="GJ951" i="98"/>
  <c r="GI455" i="98"/>
  <c r="GE455" i="98"/>
  <c r="FZ455" i="98"/>
  <c r="GB455" i="98"/>
  <c r="GD455" i="98"/>
  <c r="GM684" i="98"/>
  <c r="GJ550" i="98"/>
  <c r="GP704" i="98"/>
  <c r="GM704" i="98"/>
  <c r="GP692" i="98"/>
  <c r="GM692" i="98"/>
  <c r="GD498" i="98"/>
  <c r="GE498" i="98"/>
  <c r="FZ498" i="98"/>
  <c r="GB498" i="98"/>
  <c r="GG419" i="98"/>
  <c r="GG362" i="98"/>
  <c r="FZ362" i="98"/>
  <c r="GB362" i="98"/>
  <c r="GD362" i="98"/>
  <c r="GE362" i="98"/>
  <c r="GJ289" i="98"/>
  <c r="FZ278" i="98"/>
  <c r="GB278" i="98"/>
  <c r="GD278" i="98"/>
  <c r="GE278" i="98"/>
  <c r="GB250" i="98"/>
  <c r="GD250" i="98"/>
  <c r="GC250" i="98"/>
  <c r="FZ250" i="98"/>
  <c r="GE250" i="98"/>
  <c r="GI159" i="98"/>
  <c r="GM143" i="98"/>
  <c r="GP127" i="98"/>
  <c r="GM127" i="98"/>
  <c r="FZ90" i="98"/>
  <c r="GE90" i="98"/>
  <c r="GB90" i="98"/>
  <c r="GD90" i="98"/>
  <c r="GC90" i="98"/>
  <c r="GG232" i="98"/>
  <c r="GI232" i="98"/>
  <c r="GI640" i="98"/>
  <c r="GB510" i="98"/>
  <c r="GD510" i="98"/>
  <c r="GE510" i="98"/>
  <c r="FZ510" i="98"/>
  <c r="GG478" i="98"/>
  <c r="GG365" i="98"/>
  <c r="GJ365" i="98"/>
  <c r="GM1303" i="98"/>
  <c r="GI1418" i="98"/>
  <c r="GJ1322" i="98"/>
  <c r="FZ1322" i="98"/>
  <c r="GB1322" i="98"/>
  <c r="GD1322" i="98"/>
  <c r="GE1322" i="98"/>
  <c r="GG1314" i="98"/>
  <c r="GP1137" i="98"/>
  <c r="GM1137" i="98"/>
  <c r="GJ1121" i="98"/>
  <c r="GI1004" i="98"/>
  <c r="GI1072" i="98"/>
  <c r="GM1175" i="98"/>
  <c r="GJ1159" i="98"/>
  <c r="GJ1011" i="98"/>
  <c r="GI984" i="98"/>
  <c r="GM870" i="98"/>
  <c r="GJ870" i="98"/>
  <c r="GJ680" i="98"/>
  <c r="GI584" i="98"/>
  <c r="GP672" i="98"/>
  <c r="GP494" i="98"/>
  <c r="GM494" i="98"/>
  <c r="GJ403" i="98"/>
  <c r="GE200" i="98"/>
  <c r="FZ200" i="98"/>
  <c r="GB200" i="98"/>
  <c r="GD200" i="98"/>
  <c r="GJ113" i="98"/>
  <c r="GM1007" i="98"/>
  <c r="GG568" i="98"/>
  <c r="FZ700" i="98"/>
  <c r="GB700" i="98"/>
  <c r="GD700" i="98"/>
  <c r="GE700" i="98"/>
  <c r="GJ604" i="98"/>
  <c r="GP572" i="98"/>
  <c r="GM572" i="98"/>
  <c r="GI768" i="98"/>
  <c r="GI534" i="98"/>
  <c r="GD534" i="98"/>
  <c r="GE534" i="98"/>
  <c r="FZ534" i="98"/>
  <c r="GB534" i="98"/>
  <c r="GJ451" i="98"/>
  <c r="GM367" i="98"/>
  <c r="GJ367" i="98"/>
  <c r="GB188" i="98"/>
  <c r="GD188" i="98"/>
  <c r="GE188" i="98"/>
  <c r="FZ188" i="98"/>
  <c r="GE98" i="98"/>
  <c r="FZ98" i="98"/>
  <c r="GB98" i="98"/>
  <c r="GD98" i="98"/>
  <c r="GJ94" i="98"/>
  <c r="GP1647" i="98"/>
  <c r="GI1675" i="98"/>
  <c r="GG1591" i="98"/>
  <c r="GG1434" i="98"/>
  <c r="GP1611" i="98"/>
  <c r="GM1611" i="98"/>
  <c r="GJ1207" i="98"/>
  <c r="GG1207" i="98"/>
  <c r="GE1035" i="98"/>
  <c r="FZ1035" i="98"/>
  <c r="GB1035" i="98"/>
  <c r="GD1035" i="98"/>
  <c r="GG1019" i="98"/>
  <c r="GB942" i="98"/>
  <c r="GD942" i="98"/>
  <c r="GE942" i="98"/>
  <c r="FZ942" i="98"/>
  <c r="GM918" i="98"/>
  <c r="GJ918" i="98"/>
  <c r="GM652" i="98"/>
  <c r="GJ720" i="98"/>
  <c r="GM688" i="98"/>
  <c r="GE688" i="98"/>
  <c r="GB688" i="98"/>
  <c r="GM624" i="98"/>
  <c r="GE624" i="98"/>
  <c r="FZ624" i="98"/>
  <c r="GB624" i="98"/>
  <c r="GD624" i="98"/>
  <c r="GD379" i="98"/>
  <c r="GE379" i="98"/>
  <c r="FZ379" i="98"/>
  <c r="GB379" i="98"/>
  <c r="FT1660" i="98"/>
  <c r="FZ1660" i="98" s="1"/>
  <c r="GD1389" i="98"/>
  <c r="GD487" i="98"/>
  <c r="GE487" i="98"/>
  <c r="GB487" i="98"/>
  <c r="GC487" i="98"/>
  <c r="FT487" i="98"/>
  <c r="GP487" i="98"/>
  <c r="GM1341" i="98"/>
  <c r="GG1341" i="98"/>
  <c r="GJ1341" i="98"/>
  <c r="GI1341" i="98"/>
  <c r="GE1341" i="98"/>
  <c r="GG1308" i="98"/>
  <c r="GJ1308" i="98"/>
  <c r="GI1308" i="98"/>
  <c r="GP1308" i="98"/>
  <c r="GM1308" i="98"/>
  <c r="GD360" i="98"/>
  <c r="GD1405" i="98"/>
  <c r="GP1405" i="98"/>
  <c r="GB1059" i="98"/>
  <c r="GI328" i="98"/>
  <c r="GM328" i="98"/>
  <c r="GG328" i="98"/>
  <c r="GP328" i="98"/>
  <c r="GE328" i="98"/>
  <c r="GE1647" i="98"/>
  <c r="GB1639" i="98"/>
  <c r="GD1639" i="98"/>
  <c r="GE1639" i="98"/>
  <c r="FZ1639" i="98"/>
  <c r="FW1639" i="98"/>
  <c r="GE1621" i="98"/>
  <c r="GE1567" i="98"/>
  <c r="GE1541" i="98"/>
  <c r="GE1458" i="98"/>
  <c r="GD1301" i="98"/>
  <c r="GE1498" i="98"/>
  <c r="GB1678" i="98"/>
  <c r="GB1670" i="98"/>
  <c r="GD1662" i="98"/>
  <c r="GB1603" i="98"/>
  <c r="GC1603" i="98"/>
  <c r="GD1603" i="98"/>
  <c r="FZ1603" i="98"/>
  <c r="GE1603" i="98"/>
  <c r="FW1603" i="98"/>
  <c r="GB1582" i="98"/>
  <c r="GE1442" i="98"/>
  <c r="GE1314" i="98"/>
  <c r="FZ1503" i="98"/>
  <c r="GD1447" i="98"/>
  <c r="GE1423" i="98"/>
  <c r="GB1367" i="98"/>
  <c r="GD1343" i="98"/>
  <c r="GC1281" i="98"/>
  <c r="GD1281" i="98"/>
  <c r="GD1217" i="98"/>
  <c r="FZ1187" i="98"/>
  <c r="GB1111" i="98"/>
  <c r="GE1095" i="98"/>
  <c r="FZ1133" i="98"/>
  <c r="FZ1293" i="98"/>
  <c r="GD1279" i="98"/>
  <c r="GB1215" i="98"/>
  <c r="GD1197" i="98"/>
  <c r="FZ1151" i="98"/>
  <c r="GB1141" i="98"/>
  <c r="GE1491" i="98"/>
  <c r="GD1459" i="98"/>
  <c r="GE1427" i="98"/>
  <c r="GD1403" i="98"/>
  <c r="GE1395" i="98"/>
  <c r="GC1371" i="98"/>
  <c r="GD1371" i="98"/>
  <c r="FZ1331" i="98"/>
  <c r="GD1291" i="98"/>
  <c r="GD1275" i="98"/>
  <c r="GE1257" i="98"/>
  <c r="GB1243" i="98"/>
  <c r="GE1225" i="98"/>
  <c r="GB1207" i="98"/>
  <c r="GB1195" i="98"/>
  <c r="GB1191" i="98"/>
  <c r="GE1175" i="98"/>
  <c r="FZ1157" i="98"/>
  <c r="GB1027" i="98"/>
  <c r="GE1011" i="98"/>
  <c r="GB912" i="98"/>
  <c r="GB880" i="98"/>
  <c r="GD848" i="98"/>
  <c r="GB784" i="98"/>
  <c r="GE1087" i="98"/>
  <c r="FZ1079" i="98"/>
  <c r="GB1073" i="98"/>
  <c r="GE1055" i="98"/>
  <c r="GB1055" i="98"/>
  <c r="GC1047" i="98"/>
  <c r="GE1041" i="98"/>
  <c r="GE1021" i="98"/>
  <c r="GE998" i="98"/>
  <c r="FZ991" i="98"/>
  <c r="FZ975" i="98"/>
  <c r="FZ951" i="98"/>
  <c r="GE933" i="98"/>
  <c r="FZ921" i="98"/>
  <c r="FZ889" i="98"/>
  <c r="GD869" i="98"/>
  <c r="GE857" i="98"/>
  <c r="FZ825" i="98"/>
  <c r="GC805" i="98"/>
  <c r="GE793" i="98"/>
  <c r="GB742" i="98"/>
  <c r="GB538" i="98"/>
  <c r="GD538" i="98"/>
  <c r="GE538" i="98"/>
  <c r="FZ538" i="98"/>
  <c r="FW538" i="98"/>
  <c r="GE938" i="98"/>
  <c r="GB918" i="98"/>
  <c r="GD911" i="98"/>
  <c r="GC879" i="98"/>
  <c r="FZ854" i="98"/>
  <c r="FZ847" i="98"/>
  <c r="FZ822" i="98"/>
  <c r="GC815" i="98"/>
  <c r="GD815" i="98"/>
  <c r="GE790" i="98"/>
  <c r="FZ783" i="98"/>
  <c r="GD760" i="98"/>
  <c r="GB678" i="98"/>
  <c r="GD543" i="98"/>
  <c r="GE485" i="98"/>
  <c r="GB485" i="98"/>
  <c r="FZ672" i="98"/>
  <c r="GD521" i="98"/>
  <c r="GE481" i="98"/>
  <c r="GB481" i="98"/>
  <c r="FZ612" i="98"/>
  <c r="GD533" i="98"/>
  <c r="GB771" i="98"/>
  <c r="GE755" i="98"/>
  <c r="FZ739" i="98"/>
  <c r="GD723" i="98"/>
  <c r="GD707" i="98"/>
  <c r="FZ691" i="98"/>
  <c r="GD675" i="98"/>
  <c r="GE659" i="98"/>
  <c r="GB643" i="98"/>
  <c r="GB627" i="98"/>
  <c r="GE611" i="98"/>
  <c r="GB595" i="98"/>
  <c r="GD579" i="98"/>
  <c r="GD399" i="98"/>
  <c r="GD494" i="98"/>
  <c r="FZ494" i="98"/>
  <c r="FZ565" i="98"/>
  <c r="GD465" i="98"/>
  <c r="GE453" i="98"/>
  <c r="GB429" i="98"/>
  <c r="GE567" i="98"/>
  <c r="GB567" i="98"/>
  <c r="GE1493" i="98"/>
  <c r="GB1453" i="98"/>
  <c r="GP1453" i="98"/>
  <c r="FZ1352" i="98"/>
  <c r="FW1198" i="98"/>
  <c r="FW1150" i="98"/>
  <c r="GA956" i="98"/>
  <c r="GC956" i="98"/>
  <c r="GD956" i="98"/>
  <c r="FZ956" i="98"/>
  <c r="GE956" i="98"/>
  <c r="GB956" i="98"/>
  <c r="FT956" i="98"/>
  <c r="GO956" i="98"/>
  <c r="GF956" i="98"/>
  <c r="GM956" i="98"/>
  <c r="GH956" i="98"/>
  <c r="GK956" i="98"/>
  <c r="GI956" i="98"/>
  <c r="GL956" i="98"/>
  <c r="GQ956" i="98"/>
  <c r="GN956" i="98"/>
  <c r="GJ956" i="98"/>
  <c r="GP956" i="98"/>
  <c r="GG956" i="98"/>
  <c r="FW956" i="98"/>
  <c r="GD1432" i="98"/>
  <c r="GB1360" i="98"/>
  <c r="FT1298" i="98"/>
  <c r="GG1298" i="98" s="1"/>
  <c r="GJ1298" i="98"/>
  <c r="GJ774" i="98"/>
  <c r="GM1445" i="98"/>
  <c r="GG1445" i="98"/>
  <c r="GJ1445" i="98"/>
  <c r="GI1445" i="98"/>
  <c r="FZ1445" i="98"/>
  <c r="GM1413" i="98"/>
  <c r="GG1413" i="98"/>
  <c r="GJ1413" i="98"/>
  <c r="GI1413" i="98"/>
  <c r="GD1413" i="98"/>
  <c r="GP1333" i="98"/>
  <c r="FZ1333" i="98"/>
  <c r="GC1122" i="98"/>
  <c r="FZ1122" i="98"/>
  <c r="GE1122" i="98"/>
  <c r="GB1122" i="98"/>
  <c r="FT1122" i="98"/>
  <c r="GJ104" i="98"/>
  <c r="GM140" i="98"/>
  <c r="GJ140" i="98"/>
  <c r="GI140" i="98"/>
  <c r="GP140" i="98"/>
  <c r="GG140" i="98"/>
  <c r="FZ140" i="98"/>
  <c r="GD1543" i="98"/>
  <c r="GD1633" i="98"/>
  <c r="GE1617" i="98"/>
  <c r="GD1553" i="98"/>
  <c r="GE1537" i="98"/>
  <c r="FZ1394" i="98"/>
  <c r="GB1555" i="98"/>
  <c r="GB1547" i="98"/>
  <c r="FZ1450" i="98"/>
  <c r="GC1683" i="98"/>
  <c r="GD1683" i="98"/>
  <c r="GD1675" i="98"/>
  <c r="GD1667" i="98"/>
  <c r="GE1659" i="98"/>
  <c r="FZ1591" i="98"/>
  <c r="GB1583" i="98"/>
  <c r="GE1511" i="98"/>
  <c r="GB1418" i="98"/>
  <c r="GB1271" i="98"/>
  <c r="GE1635" i="98"/>
  <c r="GD1539" i="98"/>
  <c r="FZ1514" i="98"/>
  <c r="GB1479" i="98"/>
  <c r="GC1455" i="98"/>
  <c r="GB1431" i="98"/>
  <c r="FZ1399" i="98"/>
  <c r="GE1375" i="98"/>
  <c r="FZ1351" i="98"/>
  <c r="GE1319" i="98"/>
  <c r="GE1265" i="98"/>
  <c r="GD1235" i="98"/>
  <c r="FZ1201" i="98"/>
  <c r="GB1155" i="98"/>
  <c r="GD1137" i="98"/>
  <c r="GE1127" i="98"/>
  <c r="GB1127" i="98"/>
  <c r="GE1309" i="98"/>
  <c r="FZ1247" i="98"/>
  <c r="GB1183" i="98"/>
  <c r="GD1174" i="98"/>
  <c r="FZ1499" i="98"/>
  <c r="GE1467" i="98"/>
  <c r="GD1435" i="98"/>
  <c r="FZ1411" i="98"/>
  <c r="GB1339" i="98"/>
  <c r="GB1289" i="98"/>
  <c r="FZ1259" i="98"/>
  <c r="FZ1205" i="98"/>
  <c r="GB1163" i="98"/>
  <c r="GE1145" i="98"/>
  <c r="GC1135" i="98"/>
  <c r="GD1119" i="98"/>
  <c r="GB1103" i="98"/>
  <c r="GB990" i="98"/>
  <c r="GB1023" i="98"/>
  <c r="GD1007" i="98"/>
  <c r="GD940" i="98"/>
  <c r="GE932" i="98"/>
  <c r="FZ920" i="98"/>
  <c r="GB908" i="98"/>
  <c r="GD888" i="98"/>
  <c r="FZ888" i="98"/>
  <c r="GE844" i="98"/>
  <c r="GE824" i="98"/>
  <c r="GE812" i="98"/>
  <c r="GB804" i="98"/>
  <c r="GC804" i="98"/>
  <c r="GD792" i="98"/>
  <c r="GE780" i="98"/>
  <c r="GB1071" i="98"/>
  <c r="GC1039" i="98"/>
  <c r="GD1033" i="98"/>
  <c r="GE1025" i="98"/>
  <c r="FZ1013" i="98"/>
  <c r="FZ1008" i="98"/>
  <c r="GE984" i="98"/>
  <c r="GE1003" i="98"/>
  <c r="GE929" i="98"/>
  <c r="FZ909" i="98"/>
  <c r="GE897" i="98"/>
  <c r="GD845" i="98"/>
  <c r="GB833" i="98"/>
  <c r="GC801" i="98"/>
  <c r="FZ489" i="98"/>
  <c r="GD915" i="98"/>
  <c r="GE898" i="98"/>
  <c r="GD883" i="98"/>
  <c r="FZ851" i="98"/>
  <c r="GE807" i="98"/>
  <c r="GB802" i="98"/>
  <c r="FZ787" i="98"/>
  <c r="GD501" i="98"/>
  <c r="GD668" i="98"/>
  <c r="GD620" i="98"/>
  <c r="GE553" i="98"/>
  <c r="GD720" i="98"/>
  <c r="GD688" i="98"/>
  <c r="GB640" i="98"/>
  <c r="GD592" i="98"/>
  <c r="GD724" i="98"/>
  <c r="FZ708" i="98"/>
  <c r="GE767" i="98"/>
  <c r="GE735" i="98"/>
  <c r="GB639" i="98"/>
  <c r="GE575" i="98"/>
  <c r="FZ1214" i="98"/>
  <c r="GD1214" i="98"/>
  <c r="FT1214" i="98"/>
  <c r="GB1214" i="98" s="1"/>
  <c r="FW1214" i="98"/>
  <c r="GE633" i="98"/>
  <c r="FZ633" i="98"/>
  <c r="GB633" i="98"/>
  <c r="FT633" i="98"/>
  <c r="GP633" i="98"/>
  <c r="FW633" i="98"/>
  <c r="GE885" i="98"/>
  <c r="GB885" i="98"/>
  <c r="GD885" i="98"/>
  <c r="GC885" i="98"/>
  <c r="FZ885" i="98"/>
  <c r="GB821" i="98"/>
  <c r="GD821" i="98"/>
  <c r="GE821" i="98"/>
  <c r="FZ821" i="98"/>
  <c r="GA886" i="98"/>
  <c r="GC886" i="98"/>
  <c r="GD886" i="98"/>
  <c r="FZ886" i="98"/>
  <c r="GE886" i="98"/>
  <c r="GB886" i="98"/>
  <c r="GE831" i="98"/>
  <c r="FZ831" i="98"/>
  <c r="GB831" i="98"/>
  <c r="GD831" i="98"/>
  <c r="GB770" i="98"/>
  <c r="GE770" i="98"/>
  <c r="FZ450" i="98"/>
  <c r="GB450" i="98"/>
  <c r="GD450" i="98"/>
  <c r="GE450" i="98"/>
  <c r="GM420" i="98"/>
  <c r="GC248" i="98"/>
  <c r="GD248" i="98"/>
  <c r="FZ248" i="98"/>
  <c r="GB248" i="98"/>
  <c r="GE248" i="98"/>
  <c r="GE264" i="98"/>
  <c r="FZ264" i="98"/>
  <c r="GB264" i="98"/>
  <c r="GD264" i="98"/>
  <c r="GM241" i="98"/>
  <c r="GB241" i="98"/>
  <c r="GC241" i="98"/>
  <c r="FZ241" i="98"/>
  <c r="GD241" i="98"/>
  <c r="GE241" i="98"/>
  <c r="FZ255" i="98"/>
  <c r="GE255" i="98"/>
  <c r="GC255" i="98"/>
  <c r="GB255" i="98"/>
  <c r="GD255" i="98"/>
  <c r="GI138" i="98"/>
  <c r="GC163" i="98"/>
  <c r="FZ163" i="98"/>
  <c r="GD163" i="98"/>
  <c r="GE163" i="98"/>
  <c r="GB163" i="98"/>
  <c r="GE905" i="98"/>
  <c r="FZ905" i="98"/>
  <c r="GB905" i="98"/>
  <c r="GD905" i="98"/>
  <c r="GI857" i="98"/>
  <c r="GG664" i="98"/>
  <c r="GI664" i="98"/>
  <c r="GE935" i="98"/>
  <c r="GB935" i="98"/>
  <c r="GB830" i="98"/>
  <c r="GD830" i="98"/>
  <c r="GE830" i="98"/>
  <c r="FZ830" i="98"/>
  <c r="FZ798" i="98"/>
  <c r="GD798" i="98"/>
  <c r="GE798" i="98"/>
  <c r="GB798" i="98"/>
  <c r="GC798" i="98"/>
  <c r="GE732" i="98"/>
  <c r="GB732" i="98"/>
  <c r="GC732" i="98"/>
  <c r="FZ732" i="98"/>
  <c r="GD732" i="98"/>
  <c r="GP497" i="98"/>
  <c r="GB497" i="98"/>
  <c r="GD497" i="98"/>
  <c r="GE497" i="98"/>
  <c r="FZ497" i="98"/>
  <c r="GB608" i="98"/>
  <c r="GE608" i="98"/>
  <c r="GG644" i="98"/>
  <c r="FZ715" i="98"/>
  <c r="GB715" i="98"/>
  <c r="GD715" i="98"/>
  <c r="GE715" i="98"/>
  <c r="FZ435" i="98"/>
  <c r="GB435" i="98"/>
  <c r="GD435" i="98"/>
  <c r="GE435" i="98"/>
  <c r="GG474" i="98"/>
  <c r="GM333" i="98"/>
  <c r="FZ333" i="98"/>
  <c r="GE333" i="98"/>
  <c r="GC333" i="98"/>
  <c r="GB333" i="98"/>
  <c r="GD333" i="98"/>
  <c r="FZ263" i="98"/>
  <c r="GB263" i="98"/>
  <c r="GD263" i="98"/>
  <c r="GE263" i="98"/>
  <c r="FZ282" i="98"/>
  <c r="GB282" i="98"/>
  <c r="GD282" i="98"/>
  <c r="GE282" i="98"/>
  <c r="GG273" i="98"/>
  <c r="GD177" i="98"/>
  <c r="GE177" i="98"/>
  <c r="FZ177" i="98"/>
  <c r="GB177" i="98"/>
  <c r="GG131" i="98"/>
  <c r="GJ101" i="98"/>
  <c r="GM1271" i="98"/>
  <c r="GM1503" i="98"/>
  <c r="GI1503" i="98"/>
  <c r="GE1105" i="98"/>
  <c r="FZ1105" i="98"/>
  <c r="GB1105" i="98"/>
  <c r="GD1105" i="98"/>
  <c r="GD1223" i="98"/>
  <c r="GE1223" i="98"/>
  <c r="FZ1223" i="98"/>
  <c r="GB1223" i="98"/>
  <c r="GP1215" i="98"/>
  <c r="GG1215" i="98"/>
  <c r="GG1183" i="98"/>
  <c r="GB1355" i="98"/>
  <c r="GD1355" i="98"/>
  <c r="GE1355" i="98"/>
  <c r="FZ1355" i="98"/>
  <c r="GD1069" i="98"/>
  <c r="GE1069" i="98"/>
  <c r="FZ1069" i="98"/>
  <c r="GB1069" i="98"/>
  <c r="GP990" i="98"/>
  <c r="GP1071" i="98"/>
  <c r="GI975" i="98"/>
  <c r="GG827" i="98"/>
  <c r="GB827" i="98"/>
  <c r="GE827" i="98"/>
  <c r="GB779" i="98"/>
  <c r="GD779" i="98"/>
  <c r="GE779" i="98"/>
  <c r="FZ779" i="98"/>
  <c r="GD523" i="98"/>
  <c r="GE523" i="98"/>
  <c r="FZ523" i="98"/>
  <c r="GB523" i="98"/>
  <c r="GD754" i="98"/>
  <c r="GE754" i="98"/>
  <c r="FZ754" i="98"/>
  <c r="GB754" i="98"/>
  <c r="GG727" i="98"/>
  <c r="GD583" i="98"/>
  <c r="GE583" i="98"/>
  <c r="FZ583" i="98"/>
  <c r="GB583" i="98"/>
  <c r="GD445" i="98"/>
  <c r="GE445" i="98"/>
  <c r="FZ445" i="98"/>
  <c r="GB445" i="98"/>
  <c r="GD442" i="98"/>
  <c r="GE442" i="98"/>
  <c r="FZ442" i="98"/>
  <c r="GB442" i="98"/>
  <c r="GP442" i="98"/>
  <c r="GB460" i="98"/>
  <c r="GD460" i="98"/>
  <c r="GE460" i="98"/>
  <c r="FZ460" i="98"/>
  <c r="GB284" i="98"/>
  <c r="GD284" i="98"/>
  <c r="GE284" i="98"/>
  <c r="FZ284" i="98"/>
  <c r="GG1619" i="98"/>
  <c r="GB1651" i="98"/>
  <c r="GD1651" i="98"/>
  <c r="GE1651" i="98"/>
  <c r="FZ1651" i="98"/>
  <c r="GJ1625" i="98"/>
  <c r="GB1545" i="98"/>
  <c r="GD1545" i="98"/>
  <c r="GE1545" i="98"/>
  <c r="FZ1545" i="98"/>
  <c r="GP1595" i="98"/>
  <c r="GB1595" i="98"/>
  <c r="GD1595" i="98"/>
  <c r="GE1595" i="98"/>
  <c r="FZ1595" i="98"/>
  <c r="GB1623" i="98"/>
  <c r="GD1623" i="98"/>
  <c r="GE1623" i="98"/>
  <c r="FZ1623" i="98"/>
  <c r="GG1514" i="98"/>
  <c r="GG1479" i="98"/>
  <c r="GD1383" i="98"/>
  <c r="GE1383" i="98"/>
  <c r="FZ1383" i="98"/>
  <c r="GB1383" i="98"/>
  <c r="FZ1219" i="98"/>
  <c r="GB1219" i="98"/>
  <c r="GD1219" i="98"/>
  <c r="GE1219" i="98"/>
  <c r="GJ1187" i="98"/>
  <c r="GG1187" i="98"/>
  <c r="GM1155" i="98"/>
  <c r="GD1153" i="98"/>
  <c r="GE1153" i="98"/>
  <c r="FZ1153" i="98"/>
  <c r="GB1153" i="98"/>
  <c r="GP1499" i="98"/>
  <c r="GM1467" i="98"/>
  <c r="GJ1307" i="98"/>
  <c r="GJ1275" i="98"/>
  <c r="GG1275" i="98"/>
  <c r="GG1257" i="98"/>
  <c r="GI1135" i="98"/>
  <c r="FW1093" i="98"/>
  <c r="GE1009" i="98"/>
  <c r="FZ1009" i="98"/>
  <c r="GB1009" i="98"/>
  <c r="GD1009" i="98"/>
  <c r="GG967" i="98"/>
  <c r="GB947" i="98"/>
  <c r="GD947" i="98"/>
  <c r="GE947" i="98"/>
  <c r="FZ947" i="98"/>
  <c r="GA906" i="98"/>
  <c r="GD906" i="98"/>
  <c r="FZ906" i="98"/>
  <c r="GE906" i="98"/>
  <c r="GB906" i="98"/>
  <c r="GC906" i="98"/>
  <c r="FZ751" i="98"/>
  <c r="GD751" i="98"/>
  <c r="GB703" i="98"/>
  <c r="GE703" i="98"/>
  <c r="FZ703" i="98"/>
  <c r="FZ591" i="98"/>
  <c r="GD591" i="98"/>
  <c r="GE591" i="98"/>
  <c r="GJ544" i="98"/>
  <c r="GP453" i="98"/>
  <c r="GB563" i="98"/>
  <c r="GE563" i="98"/>
  <c r="GC563" i="98"/>
  <c r="GD563" i="98"/>
  <c r="FZ563" i="98"/>
  <c r="GE375" i="98"/>
  <c r="FZ375" i="98"/>
  <c r="GB375" i="98"/>
  <c r="GD375" i="98"/>
  <c r="GD452" i="98"/>
  <c r="GE452" i="98"/>
  <c r="FZ452" i="98"/>
  <c r="GB452" i="98"/>
  <c r="FZ432" i="98"/>
  <c r="GB432" i="98"/>
  <c r="GD432" i="98"/>
  <c r="GE432" i="98"/>
  <c r="FZ259" i="98"/>
  <c r="GB259" i="98"/>
  <c r="GD259" i="98"/>
  <c r="GE259" i="98"/>
  <c r="GC161" i="98"/>
  <c r="GB161" i="98"/>
  <c r="GD161" i="98"/>
  <c r="FZ161" i="98"/>
  <c r="GE161" i="98"/>
  <c r="FZ145" i="98"/>
  <c r="GB145" i="98"/>
  <c r="GD145" i="98"/>
  <c r="GE145" i="98"/>
  <c r="GB107" i="98"/>
  <c r="GD107" i="98"/>
  <c r="GE107" i="98"/>
  <c r="FZ107" i="98"/>
  <c r="GB860" i="98"/>
  <c r="GD860" i="98"/>
  <c r="GE860" i="98"/>
  <c r="FZ860" i="98"/>
  <c r="GJ812" i="98"/>
  <c r="GG921" i="98"/>
  <c r="GG849" i="98"/>
  <c r="GE871" i="98"/>
  <c r="GB871" i="98"/>
  <c r="GE823" i="98"/>
  <c r="FZ823" i="98"/>
  <c r="GB823" i="98"/>
  <c r="GD823" i="98"/>
  <c r="GG807" i="98"/>
  <c r="GI678" i="98"/>
  <c r="GE738" i="98"/>
  <c r="FZ738" i="98"/>
  <c r="GB738" i="98"/>
  <c r="GD738" i="98"/>
  <c r="GB660" i="98"/>
  <c r="GD660" i="98"/>
  <c r="GE660" i="98"/>
  <c r="FZ660" i="98"/>
  <c r="GE635" i="98"/>
  <c r="FZ635" i="98"/>
  <c r="GB635" i="98"/>
  <c r="GD635" i="98"/>
  <c r="GP635" i="98"/>
  <c r="GG518" i="98"/>
  <c r="GD318" i="98"/>
  <c r="FZ318" i="98"/>
  <c r="GB318" i="98"/>
  <c r="GE318" i="98"/>
  <c r="GC318" i="98"/>
  <c r="GB454" i="98"/>
  <c r="GD454" i="98"/>
  <c r="GE454" i="98"/>
  <c r="FZ454" i="98"/>
  <c r="GP454" i="98"/>
  <c r="GM270" i="98"/>
  <c r="GD270" i="98"/>
  <c r="GE270" i="98"/>
  <c r="FZ270" i="98"/>
  <c r="GB270" i="98"/>
  <c r="GJ181" i="98"/>
  <c r="GE181" i="98"/>
  <c r="FZ181" i="98"/>
  <c r="GB181" i="98"/>
  <c r="GD181" i="98"/>
  <c r="GE1658" i="98"/>
  <c r="FZ1658" i="98"/>
  <c r="GB1658" i="98"/>
  <c r="GD1658" i="98"/>
  <c r="FZ1330" i="98"/>
  <c r="GB1330" i="98"/>
  <c r="GD1330" i="98"/>
  <c r="GE1330" i="98"/>
  <c r="GD1117" i="98"/>
  <c r="GC1117" i="98"/>
  <c r="FZ1117" i="98"/>
  <c r="GE1117" i="98"/>
  <c r="GB1117" i="98"/>
  <c r="GI775" i="98"/>
  <c r="GB775" i="98"/>
  <c r="GD775" i="98"/>
  <c r="GE775" i="98"/>
  <c r="FZ775" i="98"/>
  <c r="GM775" i="98"/>
  <c r="GE1387" i="98"/>
  <c r="FZ1387" i="98"/>
  <c r="GB1387" i="98"/>
  <c r="GD1387" i="98"/>
  <c r="GM1177" i="98"/>
  <c r="GB1177" i="98"/>
  <c r="GD1177" i="98"/>
  <c r="GE1177" i="98"/>
  <c r="FZ1177" i="98"/>
  <c r="FZ728" i="98"/>
  <c r="GD728" i="98"/>
  <c r="GE728" i="98"/>
  <c r="GB728" i="98"/>
  <c r="GC728" i="98"/>
  <c r="FZ930" i="98"/>
  <c r="GD930" i="98"/>
  <c r="GD882" i="98"/>
  <c r="FZ882" i="98"/>
  <c r="GE882" i="98"/>
  <c r="GC882" i="98"/>
  <c r="GB882" i="98"/>
  <c r="GB834" i="98"/>
  <c r="GE834" i="98"/>
  <c r="GB750" i="98"/>
  <c r="GE750" i="98"/>
  <c r="GG743" i="98"/>
  <c r="GD334" i="98"/>
  <c r="FZ334" i="98"/>
  <c r="GB334" i="98"/>
  <c r="GE334" i="98"/>
  <c r="GC334" i="98"/>
  <c r="FZ407" i="98"/>
  <c r="GE407" i="98"/>
  <c r="GC407" i="98"/>
  <c r="GB407" i="98"/>
  <c r="GD407" i="98"/>
  <c r="GJ440" i="98"/>
  <c r="GE440" i="98"/>
  <c r="FZ440" i="98"/>
  <c r="GB440" i="98"/>
  <c r="GD440" i="98"/>
  <c r="GE91" i="98"/>
  <c r="GC91" i="98"/>
  <c r="GB91" i="98"/>
  <c r="GD91" i="98"/>
  <c r="FZ91" i="98"/>
  <c r="GJ91" i="98"/>
  <c r="GG1655" i="98"/>
  <c r="GJ1621" i="98"/>
  <c r="GG1621" i="98"/>
  <c r="GP1583" i="98"/>
  <c r="GD1515" i="98"/>
  <c r="GE1515" i="98"/>
  <c r="FZ1515" i="98"/>
  <c r="GB1515" i="98"/>
  <c r="GG1603" i="98"/>
  <c r="GG1590" i="98"/>
  <c r="GP1582" i="98"/>
  <c r="GG1535" i="98"/>
  <c r="GD1287" i="98"/>
  <c r="FZ1287" i="98"/>
  <c r="GB1287" i="98"/>
  <c r="GE1287" i="98"/>
  <c r="GC1287" i="98"/>
  <c r="GD1239" i="98"/>
  <c r="GE1239" i="98"/>
  <c r="FZ1239" i="98"/>
  <c r="GB1239" i="98"/>
  <c r="GG1281" i="98"/>
  <c r="GD1203" i="98"/>
  <c r="GC1203" i="98"/>
  <c r="FZ1203" i="98"/>
  <c r="GE1203" i="98"/>
  <c r="GB1203" i="98"/>
  <c r="GJ1127" i="98"/>
  <c r="GG1127" i="98"/>
  <c r="GE970" i="98"/>
  <c r="GB970" i="98"/>
  <c r="GC970" i="98"/>
  <c r="FZ970" i="98"/>
  <c r="GD970" i="98"/>
  <c r="FZ1221" i="98"/>
  <c r="GB1221" i="98"/>
  <c r="GD1221" i="98"/>
  <c r="GE1221" i="98"/>
  <c r="GB913" i="98"/>
  <c r="GD913" i="98"/>
  <c r="GE913" i="98"/>
  <c r="FZ913" i="98"/>
  <c r="GM865" i="98"/>
  <c r="GE865" i="98"/>
  <c r="GD817" i="98"/>
  <c r="GE817" i="98"/>
  <c r="FZ817" i="98"/>
  <c r="GB817" i="98"/>
  <c r="GD710" i="98"/>
  <c r="GE710" i="98"/>
  <c r="FZ710" i="98"/>
  <c r="GB710" i="98"/>
  <c r="GG903" i="98"/>
  <c r="FZ903" i="98"/>
  <c r="GD903" i="98"/>
  <c r="GP670" i="98"/>
  <c r="GE517" i="98"/>
  <c r="FZ517" i="98"/>
  <c r="GB517" i="98"/>
  <c r="GD517" i="98"/>
  <c r="GB699" i="98"/>
  <c r="GD699" i="98"/>
  <c r="GE699" i="98"/>
  <c r="FZ699" i="98"/>
  <c r="GP699" i="98"/>
  <c r="GD603" i="98"/>
  <c r="GE603" i="98"/>
  <c r="FZ603" i="98"/>
  <c r="GB603" i="98"/>
  <c r="GM542" i="98"/>
  <c r="FZ542" i="98"/>
  <c r="GB542" i="98"/>
  <c r="GD542" i="98"/>
  <c r="GE542" i="98"/>
  <c r="FZ409" i="98"/>
  <c r="GD409" i="98"/>
  <c r="GE409" i="98"/>
  <c r="GB409" i="98"/>
  <c r="GC409" i="98"/>
  <c r="GE381" i="98"/>
  <c r="FZ381" i="98"/>
  <c r="GB381" i="98"/>
  <c r="GD381" i="98"/>
  <c r="FZ387" i="98"/>
  <c r="GB387" i="98"/>
  <c r="GD387" i="98"/>
  <c r="GE387" i="98"/>
  <c r="GD142" i="98"/>
  <c r="GE142" i="98"/>
  <c r="FZ142" i="98"/>
  <c r="GB142" i="98"/>
  <c r="GD123" i="98"/>
  <c r="GE123" i="98"/>
  <c r="FZ123" i="98"/>
  <c r="GB123" i="98"/>
  <c r="GJ1617" i="98"/>
  <c r="GG1617" i="98"/>
  <c r="GE1563" i="98"/>
  <c r="FZ1563" i="98"/>
  <c r="GB1563" i="98"/>
  <c r="GD1563" i="98"/>
  <c r="GG1553" i="98"/>
  <c r="FZ1270" i="98"/>
  <c r="GB1270" i="98"/>
  <c r="GD1270" i="98"/>
  <c r="GE1270" i="98"/>
  <c r="GG1551" i="98"/>
  <c r="GD1587" i="98"/>
  <c r="GE1587" i="98"/>
  <c r="FZ1587" i="98"/>
  <c r="GB1587" i="98"/>
  <c r="GG1670" i="98"/>
  <c r="GG1293" i="98"/>
  <c r="GB1231" i="98"/>
  <c r="GD1231" i="98"/>
  <c r="GE1231" i="98"/>
  <c r="FZ1231" i="98"/>
  <c r="GD1483" i="98"/>
  <c r="GE1483" i="98"/>
  <c r="FZ1483" i="98"/>
  <c r="GB1483" i="98"/>
  <c r="FZ1451" i="98"/>
  <c r="GB1451" i="98"/>
  <c r="GE1451" i="98"/>
  <c r="GC1451" i="98"/>
  <c r="GD1451" i="98"/>
  <c r="GM1291" i="98"/>
  <c r="FZ1113" i="98"/>
  <c r="GB1113" i="98"/>
  <c r="GD1113" i="98"/>
  <c r="GE1113" i="98"/>
  <c r="GG1097" i="98"/>
  <c r="GD1037" i="98"/>
  <c r="GC1037" i="98"/>
  <c r="FZ1037" i="98"/>
  <c r="GE1037" i="98"/>
  <c r="GB1037" i="98"/>
  <c r="GD864" i="98"/>
  <c r="GE864" i="98"/>
  <c r="FZ864" i="98"/>
  <c r="GB864" i="98"/>
  <c r="GD1017" i="98"/>
  <c r="GE1017" i="98"/>
  <c r="FZ1017" i="98"/>
  <c r="GB1017" i="98"/>
  <c r="FZ907" i="98"/>
  <c r="GB907" i="98"/>
  <c r="GD907" i="98"/>
  <c r="GE907" i="98"/>
  <c r="GG891" i="98"/>
  <c r="GG620" i="98"/>
  <c r="GE663" i="98"/>
  <c r="FZ663" i="98"/>
  <c r="GB663" i="98"/>
  <c r="GD663" i="98"/>
  <c r="GG615" i="98"/>
  <c r="FZ564" i="98"/>
  <c r="GD564" i="98"/>
  <c r="GE564" i="98"/>
  <c r="GB564" i="98"/>
  <c r="GC564" i="98"/>
  <c r="GI522" i="98"/>
  <c r="GD522" i="98"/>
  <c r="GE522" i="98"/>
  <c r="FZ522" i="98"/>
  <c r="GB522" i="98"/>
  <c r="GG459" i="98"/>
  <c r="GD395" i="98"/>
  <c r="GE395" i="98"/>
  <c r="FZ395" i="98"/>
  <c r="GB395" i="98"/>
  <c r="GD470" i="98"/>
  <c r="GE470" i="98"/>
  <c r="FZ470" i="98"/>
  <c r="GB470" i="98"/>
  <c r="GP470" i="98"/>
  <c r="GD337" i="98"/>
  <c r="GE337" i="98"/>
  <c r="FZ337" i="98"/>
  <c r="GB337" i="98"/>
  <c r="GD244" i="98"/>
  <c r="FZ244" i="98"/>
  <c r="GB244" i="98"/>
  <c r="GE244" i="98"/>
  <c r="GC244" i="98"/>
  <c r="GE269" i="98"/>
  <c r="FZ269" i="98"/>
  <c r="GB269" i="98"/>
  <c r="GD269" i="98"/>
  <c r="GD132" i="98"/>
  <c r="GE132" i="98"/>
  <c r="FZ132" i="98"/>
  <c r="GB132" i="98"/>
  <c r="GP1498" i="98"/>
  <c r="GI951" i="98"/>
  <c r="GG704" i="98"/>
  <c r="GG692" i="98"/>
  <c r="GD419" i="98"/>
  <c r="GE419" i="98"/>
  <c r="FZ419" i="98"/>
  <c r="GB419" i="98"/>
  <c r="GB338" i="98"/>
  <c r="GD338" i="98"/>
  <c r="GE338" i="98"/>
  <c r="FZ338" i="98"/>
  <c r="GJ143" i="98"/>
  <c r="GG127" i="98"/>
  <c r="GB297" i="98"/>
  <c r="GD297" i="98"/>
  <c r="GE297" i="98"/>
  <c r="FZ297" i="98"/>
  <c r="GI431" i="98"/>
  <c r="GD431" i="98"/>
  <c r="GE431" i="98"/>
  <c r="FZ431" i="98"/>
  <c r="GB431" i="98"/>
  <c r="GD478" i="98"/>
  <c r="FZ478" i="98"/>
  <c r="GB478" i="98"/>
  <c r="GE478" i="98"/>
  <c r="GC478" i="98"/>
  <c r="GM447" i="98"/>
  <c r="GE447" i="98"/>
  <c r="FZ447" i="98"/>
  <c r="GB447" i="98"/>
  <c r="GD447" i="98"/>
  <c r="FW158" i="98"/>
  <c r="GJ1474" i="98"/>
  <c r="FZ1474" i="98"/>
  <c r="GB1474" i="98"/>
  <c r="GD1474" i="98"/>
  <c r="GE1474" i="98"/>
  <c r="GP1314" i="98"/>
  <c r="GG1137" i="98"/>
  <c r="FZ1159" i="98"/>
  <c r="GB1159" i="98"/>
  <c r="GD1159" i="98"/>
  <c r="GE1159" i="98"/>
  <c r="GB902" i="98"/>
  <c r="GD902" i="98"/>
  <c r="GE902" i="98"/>
  <c r="FZ902" i="98"/>
  <c r="GD838" i="98"/>
  <c r="GE838" i="98"/>
  <c r="FZ838" i="98"/>
  <c r="GB838" i="98"/>
  <c r="GI558" i="98"/>
  <c r="GE558" i="98"/>
  <c r="GC558" i="98"/>
  <c r="GB558" i="98"/>
  <c r="GD558" i="98"/>
  <c r="FZ558" i="98"/>
  <c r="GI530" i="98"/>
  <c r="FZ530" i="98"/>
  <c r="GD530" i="98"/>
  <c r="GG494" i="98"/>
  <c r="GJ357" i="98"/>
  <c r="GD357" i="98"/>
  <c r="GE357" i="98"/>
  <c r="FZ357" i="98"/>
  <c r="GB357" i="98"/>
  <c r="GD301" i="98"/>
  <c r="GE301" i="98"/>
  <c r="FZ301" i="98"/>
  <c r="GB301" i="98"/>
  <c r="GI1507" i="98"/>
  <c r="GB1507" i="98"/>
  <c r="GD1507" i="98"/>
  <c r="GE1507" i="98"/>
  <c r="FZ1507" i="98"/>
  <c r="GD1109" i="98"/>
  <c r="GE1109" i="98"/>
  <c r="FZ1109" i="98"/>
  <c r="GB1109" i="98"/>
  <c r="GG1157" i="98"/>
  <c r="GP1007" i="98"/>
  <c r="GE568" i="98"/>
  <c r="GB568" i="98"/>
  <c r="GC568" i="98"/>
  <c r="FZ568" i="98"/>
  <c r="GD568" i="98"/>
  <c r="GG572" i="98"/>
  <c r="GD423" i="98"/>
  <c r="GE423" i="98"/>
  <c r="FZ423" i="98"/>
  <c r="GB423" i="98"/>
  <c r="GD411" i="98"/>
  <c r="FZ411" i="98"/>
  <c r="GE411" i="98"/>
  <c r="GC411" i="98"/>
  <c r="GB411" i="98"/>
  <c r="GE314" i="98"/>
  <c r="FZ314" i="98"/>
  <c r="GB314" i="98"/>
  <c r="GD314" i="98"/>
  <c r="GI274" i="98"/>
  <c r="GB274" i="98"/>
  <c r="GD274" i="98"/>
  <c r="GE274" i="98"/>
  <c r="FZ274" i="98"/>
  <c r="GP1659" i="98"/>
  <c r="GJ1354" i="98"/>
  <c r="GB1354" i="98"/>
  <c r="GD1354" i="98"/>
  <c r="GE1354" i="98"/>
  <c r="FZ1354" i="98"/>
  <c r="GG1611" i="98"/>
  <c r="GP1442" i="98"/>
  <c r="FZ1019" i="98"/>
  <c r="GB1019" i="98"/>
  <c r="GD1019" i="98"/>
  <c r="GE1019" i="98"/>
  <c r="GB1032" i="98"/>
  <c r="GD1032" i="98"/>
  <c r="GE1032" i="98"/>
  <c r="FZ1032" i="98"/>
  <c r="GI712" i="98"/>
  <c r="GD712" i="98"/>
  <c r="GE712" i="98"/>
  <c r="FZ712" i="98"/>
  <c r="GB712" i="98"/>
  <c r="FT1282" i="98"/>
  <c r="GG1282" i="98" s="1"/>
  <c r="GA1636" i="98"/>
  <c r="GC1636" i="98"/>
  <c r="GD1636" i="98"/>
  <c r="FZ1636" i="98"/>
  <c r="GE1636" i="98"/>
  <c r="GB1636" i="98"/>
  <c r="GG1636" i="98"/>
  <c r="GO1636" i="98"/>
  <c r="GI1636" i="98"/>
  <c r="GQ1636" i="98"/>
  <c r="GK1636" i="98"/>
  <c r="GM1636" i="98"/>
  <c r="GL1636" i="98"/>
  <c r="GF1636" i="98"/>
  <c r="GH1636" i="98"/>
  <c r="FT1636" i="98"/>
  <c r="GN1636" i="98"/>
  <c r="GP1636" i="98"/>
  <c r="GJ1636" i="98"/>
  <c r="GA1396" i="98"/>
  <c r="FZ1396" i="98"/>
  <c r="GE1396" i="98"/>
  <c r="GB1396" i="98"/>
  <c r="GC1396" i="98"/>
  <c r="GD1396" i="98"/>
  <c r="GG1396" i="98"/>
  <c r="GJ1396" i="98"/>
  <c r="GM1396" i="98"/>
  <c r="GO1396" i="98"/>
  <c r="GK1396" i="98"/>
  <c r="GP1396" i="98"/>
  <c r="GF1396" i="98"/>
  <c r="FT1396" i="98"/>
  <c r="GH1396" i="98"/>
  <c r="GN1396" i="98"/>
  <c r="GQ1396" i="98"/>
  <c r="GL1396" i="98"/>
  <c r="GI1396" i="98"/>
  <c r="FW1636" i="98"/>
  <c r="GE1250" i="98"/>
  <c r="FZ1250" i="98"/>
  <c r="GB1250" i="98"/>
  <c r="FT1250" i="98"/>
  <c r="GG1250" i="98" s="1"/>
  <c r="GI1250" i="98"/>
  <c r="GM1250" i="98"/>
  <c r="GP1250" i="98"/>
  <c r="GJ1250" i="98"/>
  <c r="GG1100" i="98"/>
  <c r="GM1100" i="98"/>
  <c r="GP1100" i="98"/>
  <c r="GJ1100" i="98"/>
  <c r="GI1100" i="98"/>
  <c r="GE1100" i="98"/>
  <c r="GE271" i="98"/>
  <c r="GB271" i="98"/>
  <c r="GD271" i="98"/>
  <c r="GM271" i="98"/>
  <c r="FT271" i="98"/>
  <c r="GI87" i="98"/>
  <c r="GP87" i="98"/>
  <c r="GM87" i="98"/>
  <c r="GJ87" i="98"/>
  <c r="GG87" i="98"/>
  <c r="GD87" i="98"/>
  <c r="GD1647" i="98"/>
  <c r="GD1621" i="98"/>
  <c r="GD1575" i="98"/>
  <c r="GE1575" i="98"/>
  <c r="FZ1575" i="98"/>
  <c r="GB1575" i="98"/>
  <c r="FW1575" i="98"/>
  <c r="GD1567" i="98"/>
  <c r="GD1541" i="98"/>
  <c r="GD1458" i="98"/>
  <c r="GB1301" i="98"/>
  <c r="GD1498" i="98"/>
  <c r="GE1678" i="98"/>
  <c r="FZ1670" i="98"/>
  <c r="GB1662" i="98"/>
  <c r="FZ1582" i="98"/>
  <c r="GD1535" i="98"/>
  <c r="FZ1535" i="98"/>
  <c r="GE1535" i="98"/>
  <c r="GB1535" i="98"/>
  <c r="GC1535" i="98"/>
  <c r="FW1535" i="98"/>
  <c r="FZ1442" i="98"/>
  <c r="GD1314" i="98"/>
  <c r="GE1503" i="98"/>
  <c r="GC1447" i="98"/>
  <c r="GD1423" i="98"/>
  <c r="GE1367" i="98"/>
  <c r="GB1343" i="98"/>
  <c r="GB1281" i="98"/>
  <c r="GB1217" i="98"/>
  <c r="GE1187" i="98"/>
  <c r="FZ1111" i="98"/>
  <c r="GD1095" i="98"/>
  <c r="GC1133" i="98"/>
  <c r="GD1133" i="98"/>
  <c r="GC1293" i="98"/>
  <c r="GD1293" i="98"/>
  <c r="GC1279" i="98"/>
  <c r="GE1215" i="98"/>
  <c r="GC1197" i="98"/>
  <c r="GE1151" i="98"/>
  <c r="FZ1141" i="98"/>
  <c r="GD1491" i="98"/>
  <c r="GB1459" i="98"/>
  <c r="GD1427" i="98"/>
  <c r="GB1403" i="98"/>
  <c r="GD1395" i="98"/>
  <c r="GB1371" i="98"/>
  <c r="GE1331" i="98"/>
  <c r="GC1291" i="98"/>
  <c r="GB1275" i="98"/>
  <c r="GD1257" i="98"/>
  <c r="FZ1243" i="98"/>
  <c r="GD1225" i="98"/>
  <c r="GE1207" i="98"/>
  <c r="FZ1195" i="98"/>
  <c r="FZ1191" i="98"/>
  <c r="GD1175" i="98"/>
  <c r="GE1157" i="98"/>
  <c r="GE1064" i="98"/>
  <c r="FZ1064" i="98"/>
  <c r="GB1064" i="98"/>
  <c r="GD1064" i="98"/>
  <c r="FW1064" i="98"/>
  <c r="FZ1027" i="98"/>
  <c r="GD1011" i="98"/>
  <c r="FZ912" i="98"/>
  <c r="GE880" i="98"/>
  <c r="GB848" i="98"/>
  <c r="FZ784" i="98"/>
  <c r="GD1087" i="98"/>
  <c r="GE1079" i="98"/>
  <c r="FZ1073" i="98"/>
  <c r="FZ1055" i="98"/>
  <c r="GE1047" i="98"/>
  <c r="GB1047" i="98"/>
  <c r="FZ1041" i="98"/>
  <c r="GD1021" i="98"/>
  <c r="GD998" i="98"/>
  <c r="GE991" i="98"/>
  <c r="GC975" i="98"/>
  <c r="GD975" i="98"/>
  <c r="GE951" i="98"/>
  <c r="GD933" i="98"/>
  <c r="GE921" i="98"/>
  <c r="GC889" i="98"/>
  <c r="GD889" i="98"/>
  <c r="GB869" i="98"/>
  <c r="GD857" i="98"/>
  <c r="GE825" i="98"/>
  <c r="GE805" i="98"/>
  <c r="GB805" i="98"/>
  <c r="GD793" i="98"/>
  <c r="FZ742" i="98"/>
  <c r="GD938" i="98"/>
  <c r="FZ918" i="98"/>
  <c r="GB911" i="98"/>
  <c r="GE879" i="98"/>
  <c r="GB879" i="98"/>
  <c r="GE854" i="98"/>
  <c r="GE847" i="98"/>
  <c r="GE822" i="98"/>
  <c r="GB815" i="98"/>
  <c r="GD790" i="98"/>
  <c r="GE783" i="98"/>
  <c r="GB760" i="98"/>
  <c r="FZ678" i="98"/>
  <c r="GB543" i="98"/>
  <c r="FZ485" i="98"/>
  <c r="GE672" i="98"/>
  <c r="GB521" i="98"/>
  <c r="FZ481" i="98"/>
  <c r="GE612" i="98"/>
  <c r="GB533" i="98"/>
  <c r="FZ771" i="98"/>
  <c r="GD755" i="98"/>
  <c r="GE739" i="98"/>
  <c r="GC723" i="98"/>
  <c r="GB707" i="98"/>
  <c r="GE691" i="98"/>
  <c r="GB675" i="98"/>
  <c r="GD659" i="98"/>
  <c r="GE643" i="98"/>
  <c r="FZ627" i="98"/>
  <c r="GD611" i="98"/>
  <c r="FZ595" i="98"/>
  <c r="GB579" i="98"/>
  <c r="GB399" i="98"/>
  <c r="GC399" i="98"/>
  <c r="GC494" i="98"/>
  <c r="GC565" i="98"/>
  <c r="GD565" i="98"/>
  <c r="GB465" i="98"/>
  <c r="GD453" i="98"/>
  <c r="FZ429" i="98"/>
  <c r="FZ567" i="98"/>
  <c r="FT1500" i="98"/>
  <c r="GB1500" i="98" s="1"/>
  <c r="FW1500" i="98"/>
  <c r="GE1304" i="98"/>
  <c r="GB1304" i="98"/>
  <c r="GD1304" i="98"/>
  <c r="GJ1304" i="98"/>
  <c r="FT1304" i="98"/>
  <c r="GP1304" i="98"/>
  <c r="GE1170" i="98"/>
  <c r="FT1170" i="98"/>
  <c r="GG1170" i="98" s="1"/>
  <c r="GP1170" i="98"/>
  <c r="GJ1170" i="98"/>
  <c r="GG1360" i="98"/>
  <c r="GM1360" i="98"/>
  <c r="GP1360" i="98"/>
  <c r="GI1360" i="98"/>
  <c r="GJ1360" i="98"/>
  <c r="GG774" i="98"/>
  <c r="GP774" i="98"/>
  <c r="GI774" i="98"/>
  <c r="GM774" i="98"/>
  <c r="FZ774" i="98"/>
  <c r="GG1429" i="98"/>
  <c r="GJ1429" i="98"/>
  <c r="GI1429" i="98"/>
  <c r="GM1429" i="98"/>
  <c r="GB1429" i="98"/>
  <c r="GE1333" i="98"/>
  <c r="GP1075" i="98"/>
  <c r="GG1075" i="98"/>
  <c r="GJ1075" i="98"/>
  <c r="GI1075" i="98"/>
  <c r="GM1075" i="98"/>
  <c r="GD1075" i="98"/>
  <c r="GJ300" i="98"/>
  <c r="GM300" i="98"/>
  <c r="GG300" i="98"/>
  <c r="GP300" i="98"/>
  <c r="GI300" i="98"/>
  <c r="GP104" i="98"/>
  <c r="GG104" i="98"/>
  <c r="GM104" i="98"/>
  <c r="GI104" i="98"/>
  <c r="GB1543" i="98"/>
  <c r="GB1633" i="98"/>
  <c r="GD1617" i="98"/>
  <c r="GB1553" i="98"/>
  <c r="GD1537" i="98"/>
  <c r="GE1394" i="98"/>
  <c r="FZ1555" i="98"/>
  <c r="FZ1547" i="98"/>
  <c r="GD1450" i="98"/>
  <c r="GB1683" i="98"/>
  <c r="GB1675" i="98"/>
  <c r="GB1667" i="98"/>
  <c r="GD1659" i="98"/>
  <c r="GE1591" i="98"/>
  <c r="FZ1583" i="98"/>
  <c r="GD1511" i="98"/>
  <c r="FZ1418" i="98"/>
  <c r="FZ1271" i="98"/>
  <c r="GD1635" i="98"/>
  <c r="GB1539" i="98"/>
  <c r="GE1514" i="98"/>
  <c r="FZ1479" i="98"/>
  <c r="GE1455" i="98"/>
  <c r="GB1455" i="98"/>
  <c r="FZ1431" i="98"/>
  <c r="GE1399" i="98"/>
  <c r="FZ1375" i="98"/>
  <c r="GE1351" i="98"/>
  <c r="GD1319" i="98"/>
  <c r="GD1265" i="98"/>
  <c r="GB1235" i="98"/>
  <c r="GD1201" i="98"/>
  <c r="FZ1155" i="98"/>
  <c r="GB1137" i="98"/>
  <c r="FZ1127" i="98"/>
  <c r="GD1309" i="98"/>
  <c r="GE1247" i="98"/>
  <c r="FZ1183" i="98"/>
  <c r="GB1174" i="98"/>
  <c r="GE1499" i="98"/>
  <c r="GD1467" i="98"/>
  <c r="GB1435" i="98"/>
  <c r="GE1411" i="98"/>
  <c r="FZ1339" i="98"/>
  <c r="GE1289" i="98"/>
  <c r="GE1259" i="98"/>
  <c r="GD1205" i="98"/>
  <c r="FZ1163" i="98"/>
  <c r="GD1145" i="98"/>
  <c r="GE1135" i="98"/>
  <c r="GB1135" i="98"/>
  <c r="GC1119" i="98"/>
  <c r="FZ1103" i="98"/>
  <c r="FZ990" i="98"/>
  <c r="FZ1023" i="98"/>
  <c r="GB1007" i="98"/>
  <c r="GB940" i="98"/>
  <c r="GD932" i="98"/>
  <c r="GE920" i="98"/>
  <c r="FZ908" i="98"/>
  <c r="GC888" i="98"/>
  <c r="GD844" i="98"/>
  <c r="GD824" i="98"/>
  <c r="FZ812" i="98"/>
  <c r="GE804" i="98"/>
  <c r="GB792" i="98"/>
  <c r="GD780" i="98"/>
  <c r="FZ1071" i="98"/>
  <c r="GE1039" i="98"/>
  <c r="GB1039" i="98"/>
  <c r="GB1033" i="98"/>
  <c r="GD1025" i="98"/>
  <c r="GE1013" i="98"/>
  <c r="GE1008" i="98"/>
  <c r="GD984" i="98"/>
  <c r="GD1003" i="98"/>
  <c r="GD929" i="98"/>
  <c r="GD909" i="98"/>
  <c r="FZ865" i="98"/>
  <c r="FZ845" i="98"/>
  <c r="FZ833" i="98"/>
  <c r="GD781" i="98"/>
  <c r="FZ664" i="98"/>
  <c r="GE923" i="98"/>
  <c r="GB903" i="98"/>
  <c r="GB883" i="98"/>
  <c r="GD851" i="98"/>
  <c r="FZ834" i="98"/>
  <c r="FZ819" i="98"/>
  <c r="FZ802" i="98"/>
  <c r="GD787" i="98"/>
  <c r="GD584" i="98"/>
  <c r="GD943" i="98"/>
  <c r="GB553" i="98"/>
  <c r="FZ750" i="98"/>
  <c r="GB720" i="98"/>
  <c r="FZ640" i="98"/>
  <c r="GD608" i="98"/>
  <c r="GD770" i="98"/>
  <c r="GB724" i="98"/>
  <c r="FZ628" i="98"/>
  <c r="GE530" i="98"/>
  <c r="GD735" i="98"/>
  <c r="GE687" i="98"/>
  <c r="GD623" i="98"/>
  <c r="GB575" i="98"/>
  <c r="GB562" i="98"/>
  <c r="FW1660" i="98"/>
  <c r="GP1051" i="98"/>
  <c r="GM1051" i="98"/>
  <c r="GG1051" i="98"/>
  <c r="GJ1051" i="98"/>
  <c r="GI1051" i="98"/>
  <c r="GB1051" i="98"/>
  <c r="GE1051" i="98"/>
  <c r="GD1051" i="98"/>
  <c r="FZ1051" i="98"/>
  <c r="GE420" i="98"/>
  <c r="FZ420" i="98"/>
  <c r="GB420" i="98"/>
  <c r="GD420" i="98"/>
  <c r="GM340" i="98"/>
  <c r="GE340" i="98"/>
  <c r="FZ340" i="98"/>
  <c r="GB340" i="98"/>
  <c r="GD340" i="98"/>
  <c r="FZ257" i="98"/>
  <c r="GB257" i="98"/>
  <c r="GD257" i="98"/>
  <c r="GE257" i="98"/>
  <c r="GD219" i="98"/>
  <c r="GE219" i="98"/>
  <c r="FZ219" i="98"/>
  <c r="GB219" i="98"/>
  <c r="FZ217" i="98"/>
  <c r="GB217" i="98"/>
  <c r="GD217" i="98"/>
  <c r="GE217" i="98"/>
  <c r="GB138" i="98"/>
  <c r="GD138" i="98"/>
  <c r="GE138" i="98"/>
  <c r="FZ138" i="98"/>
  <c r="GD147" i="98"/>
  <c r="GE147" i="98"/>
  <c r="FZ147" i="98"/>
  <c r="GB147" i="98"/>
  <c r="GB963" i="98"/>
  <c r="GD963" i="98"/>
  <c r="GC963" i="98"/>
  <c r="FZ963" i="98"/>
  <c r="GE963" i="98"/>
  <c r="GD489" i="98"/>
  <c r="GB489" i="98"/>
  <c r="GE489" i="98"/>
  <c r="GD910" i="98"/>
  <c r="GE910" i="98"/>
  <c r="FZ910" i="98"/>
  <c r="GB910" i="98"/>
  <c r="GD644" i="98"/>
  <c r="FZ644" i="98"/>
  <c r="GE644" i="98"/>
  <c r="GC644" i="98"/>
  <c r="GB644" i="98"/>
  <c r="GD474" i="98"/>
  <c r="GE474" i="98"/>
  <c r="FZ474" i="98"/>
  <c r="GB474" i="98"/>
  <c r="GE418" i="98"/>
  <c r="FZ418" i="98"/>
  <c r="GB418" i="98"/>
  <c r="GD418" i="98"/>
  <c r="GD464" i="98"/>
  <c r="GE464" i="98"/>
  <c r="FZ464" i="98"/>
  <c r="GB464" i="98"/>
  <c r="FZ273" i="98"/>
  <c r="GB273" i="98"/>
  <c r="GD273" i="98"/>
  <c r="GE273" i="98"/>
  <c r="GP273" i="98"/>
  <c r="GE209" i="98"/>
  <c r="FZ209" i="98"/>
  <c r="GB209" i="98"/>
  <c r="GD209" i="98"/>
  <c r="GD185" i="98"/>
  <c r="GE185" i="98"/>
  <c r="FZ185" i="98"/>
  <c r="GB185" i="98"/>
  <c r="FZ131" i="98"/>
  <c r="GB131" i="98"/>
  <c r="GD131" i="98"/>
  <c r="GE131" i="98"/>
  <c r="GD101" i="98"/>
  <c r="GE101" i="98"/>
  <c r="FZ101" i="98"/>
  <c r="GB101" i="98"/>
  <c r="GB1599" i="98"/>
  <c r="GE1599" i="98"/>
  <c r="GC1599" i="98"/>
  <c r="GD1599" i="98"/>
  <c r="FZ1599" i="98"/>
  <c r="FZ1531" i="98"/>
  <c r="GE1531" i="98"/>
  <c r="GB1531" i="98"/>
  <c r="GD1531" i="98"/>
  <c r="GC1531" i="98"/>
  <c r="FZ648" i="98"/>
  <c r="GE648" i="98"/>
  <c r="GC648" i="98"/>
  <c r="GB648" i="98"/>
  <c r="GD648" i="98"/>
  <c r="GE1471" i="98"/>
  <c r="FZ1471" i="98"/>
  <c r="GB1471" i="98"/>
  <c r="GD1471" i="98"/>
  <c r="GE818" i="98"/>
  <c r="FZ818" i="98"/>
  <c r="GB818" i="98"/>
  <c r="GD818" i="98"/>
  <c r="GD727" i="98"/>
  <c r="FZ727" i="98"/>
  <c r="GB727" i="98"/>
  <c r="GE727" i="98"/>
  <c r="GC727" i="98"/>
  <c r="GP727" i="98"/>
  <c r="GD298" i="98"/>
  <c r="GE298" i="98"/>
  <c r="FZ298" i="98"/>
  <c r="GB298" i="98"/>
  <c r="GC251" i="98"/>
  <c r="GB251" i="98"/>
  <c r="GD251" i="98"/>
  <c r="FZ251" i="98"/>
  <c r="GE251" i="98"/>
  <c r="GB135" i="98"/>
  <c r="GD135" i="98"/>
  <c r="GE135" i="98"/>
  <c r="FZ135" i="98"/>
  <c r="GB1619" i="98"/>
  <c r="GD1619" i="98"/>
  <c r="GE1619" i="98"/>
  <c r="FZ1619" i="98"/>
  <c r="GB1625" i="98"/>
  <c r="GD1625" i="98"/>
  <c r="GE1625" i="98"/>
  <c r="FZ1625" i="98"/>
  <c r="GE1335" i="98"/>
  <c r="FZ1335" i="98"/>
  <c r="GB1335" i="98"/>
  <c r="GD1335" i="98"/>
  <c r="GD1307" i="98"/>
  <c r="GE1307" i="98"/>
  <c r="FZ1307" i="98"/>
  <c r="GB1307" i="98"/>
  <c r="FZ1193" i="98"/>
  <c r="GB1193" i="98"/>
  <c r="GD1193" i="98"/>
  <c r="GE1193" i="98"/>
  <c r="GB904" i="98"/>
  <c r="GD904" i="98"/>
  <c r="GE904" i="98"/>
  <c r="FZ904" i="98"/>
  <c r="FW1077" i="98"/>
  <c r="FZ1065" i="98"/>
  <c r="GB1065" i="98"/>
  <c r="GD1065" i="98"/>
  <c r="GE1065" i="98"/>
  <c r="GB967" i="98"/>
  <c r="GD967" i="98"/>
  <c r="GC967" i="98"/>
  <c r="FZ967" i="98"/>
  <c r="GE967" i="98"/>
  <c r="GB931" i="98"/>
  <c r="GD931" i="98"/>
  <c r="GE931" i="98"/>
  <c r="FZ931" i="98"/>
  <c r="GB899" i="98"/>
  <c r="GD899" i="98"/>
  <c r="GE899" i="98"/>
  <c r="FZ899" i="98"/>
  <c r="GB867" i="98"/>
  <c r="GD867" i="98"/>
  <c r="GE867" i="98"/>
  <c r="FZ867" i="98"/>
  <c r="GD835" i="98"/>
  <c r="GE835" i="98"/>
  <c r="FZ835" i="98"/>
  <c r="GB835" i="98"/>
  <c r="GD803" i="98"/>
  <c r="GC803" i="98"/>
  <c r="FZ803" i="98"/>
  <c r="GE803" i="98"/>
  <c r="GB803" i="98"/>
  <c r="GD767" i="98"/>
  <c r="FZ767" i="98"/>
  <c r="FZ655" i="98"/>
  <c r="GB655" i="98"/>
  <c r="GD655" i="98"/>
  <c r="GC655" i="98"/>
  <c r="GD607" i="98"/>
  <c r="FZ607" i="98"/>
  <c r="GB607" i="98"/>
  <c r="GB544" i="98"/>
  <c r="GD544" i="98"/>
  <c r="GE544" i="98"/>
  <c r="FZ544" i="98"/>
  <c r="FW386" i="98"/>
  <c r="GA386" i="98"/>
  <c r="GC386" i="98"/>
  <c r="GD386" i="98"/>
  <c r="FZ386" i="98"/>
  <c r="GE386" i="98"/>
  <c r="GB386" i="98"/>
  <c r="GI398" i="98"/>
  <c r="GD398" i="98"/>
  <c r="GC398" i="98"/>
  <c r="FZ398" i="98"/>
  <c r="GE398" i="98"/>
  <c r="GB398" i="98"/>
  <c r="GA346" i="98"/>
  <c r="GC346" i="98"/>
  <c r="GD346" i="98"/>
  <c r="FZ346" i="98"/>
  <c r="GE346" i="98"/>
  <c r="GB346" i="98"/>
  <c r="GD358" i="98"/>
  <c r="GE358" i="98"/>
  <c r="FZ358" i="98"/>
  <c r="GB358" i="98"/>
  <c r="FZ277" i="98"/>
  <c r="GB277" i="98"/>
  <c r="GD277" i="98"/>
  <c r="GE277" i="98"/>
  <c r="GI277" i="98"/>
  <c r="FZ201" i="98"/>
  <c r="GB201" i="98"/>
  <c r="GD201" i="98"/>
  <c r="GE201" i="98"/>
  <c r="GE153" i="98"/>
  <c r="FZ153" i="98"/>
  <c r="GB153" i="98"/>
  <c r="GD153" i="98"/>
  <c r="GB115" i="98"/>
  <c r="GD115" i="98"/>
  <c r="GE115" i="98"/>
  <c r="FZ115" i="98"/>
  <c r="GM1063" i="98"/>
  <c r="GE1063" i="98"/>
  <c r="FZ1063" i="98"/>
  <c r="GB1063" i="98"/>
  <c r="GD1063" i="98"/>
  <c r="GB1029" i="98"/>
  <c r="GD1029" i="98"/>
  <c r="GE1029" i="98"/>
  <c r="FZ1029" i="98"/>
  <c r="GE849" i="98"/>
  <c r="FZ849" i="98"/>
  <c r="GB849" i="98"/>
  <c r="GD849" i="98"/>
  <c r="GI849" i="98"/>
  <c r="FZ839" i="98"/>
  <c r="GD839" i="98"/>
  <c r="GB807" i="98"/>
  <c r="FZ807" i="98"/>
  <c r="GD748" i="98"/>
  <c r="GE748" i="98"/>
  <c r="FZ748" i="98"/>
  <c r="GB748" i="98"/>
  <c r="GB731" i="98"/>
  <c r="GE731" i="98"/>
  <c r="GC731" i="98"/>
  <c r="GD731" i="98"/>
  <c r="FZ731" i="98"/>
  <c r="GE587" i="98"/>
  <c r="FZ587" i="98"/>
  <c r="GB587" i="98"/>
  <c r="GD587" i="98"/>
  <c r="GE302" i="98"/>
  <c r="FZ302" i="98"/>
  <c r="GB302" i="98"/>
  <c r="GD302" i="98"/>
  <c r="FZ518" i="98"/>
  <c r="GB518" i="98"/>
  <c r="GD518" i="98"/>
  <c r="GE518" i="98"/>
  <c r="GD467" i="98"/>
  <c r="GE467" i="98"/>
  <c r="FZ467" i="98"/>
  <c r="GB467" i="98"/>
  <c r="GJ378" i="98"/>
  <c r="GB378" i="98"/>
  <c r="GD378" i="98"/>
  <c r="GE378" i="98"/>
  <c r="FZ378" i="98"/>
  <c r="GD434" i="98"/>
  <c r="GE434" i="98"/>
  <c r="FZ434" i="98"/>
  <c r="GB434" i="98"/>
  <c r="GM317" i="98"/>
  <c r="GE317" i="98"/>
  <c r="GC317" i="98"/>
  <c r="GB317" i="98"/>
  <c r="GD317" i="98"/>
  <c r="FZ317" i="98"/>
  <c r="GM309" i="98"/>
  <c r="GD309" i="98"/>
  <c r="GE309" i="98"/>
  <c r="FZ309" i="98"/>
  <c r="GB309" i="98"/>
  <c r="GD444" i="98"/>
  <c r="GE444" i="98"/>
  <c r="FZ444" i="98"/>
  <c r="GB444" i="98"/>
  <c r="GJ341" i="98"/>
  <c r="GB341" i="98"/>
  <c r="GD341" i="98"/>
  <c r="GE341" i="98"/>
  <c r="FZ341" i="98"/>
  <c r="GG247" i="98"/>
  <c r="GD247" i="98"/>
  <c r="FZ247" i="98"/>
  <c r="GE247" i="98"/>
  <c r="GC247" i="98"/>
  <c r="GB247" i="98"/>
  <c r="GD225" i="98"/>
  <c r="GE225" i="98"/>
  <c r="FZ225" i="98"/>
  <c r="GB225" i="98"/>
  <c r="GD169" i="98"/>
  <c r="FZ169" i="98"/>
  <c r="GE169" i="98"/>
  <c r="GC169" i="98"/>
  <c r="GB169" i="98"/>
  <c r="GJ193" i="98"/>
  <c r="GB193" i="98"/>
  <c r="GD193" i="98"/>
  <c r="GE193" i="98"/>
  <c r="FZ193" i="98"/>
  <c r="GB99" i="98"/>
  <c r="GD99" i="98"/>
  <c r="GE99" i="98"/>
  <c r="FZ99" i="98"/>
  <c r="GB1327" i="98"/>
  <c r="GD1327" i="98"/>
  <c r="GE1327" i="98"/>
  <c r="FZ1327" i="98"/>
  <c r="FZ541" i="98"/>
  <c r="GB541" i="98"/>
  <c r="GD541" i="98"/>
  <c r="GE541" i="98"/>
  <c r="GG762" i="98"/>
  <c r="GD762" i="98"/>
  <c r="GE762" i="98"/>
  <c r="FZ762" i="98"/>
  <c r="GB762" i="98"/>
  <c r="FZ743" i="98"/>
  <c r="GB743" i="98"/>
  <c r="GD743" i="98"/>
  <c r="GE743" i="98"/>
  <c r="GP743" i="98"/>
  <c r="GB647" i="98"/>
  <c r="GD647" i="98"/>
  <c r="GC647" i="98"/>
  <c r="FZ647" i="98"/>
  <c r="GE647" i="98"/>
  <c r="GE555" i="98"/>
  <c r="FZ555" i="98"/>
  <c r="GB555" i="98"/>
  <c r="GD555" i="98"/>
  <c r="FZ322" i="98"/>
  <c r="GE322" i="98"/>
  <c r="GB322" i="98"/>
  <c r="GC322" i="98"/>
  <c r="GD322" i="98"/>
  <c r="GP1370" i="98"/>
  <c r="GC1370" i="98"/>
  <c r="FZ1370" i="98"/>
  <c r="GD1370" i="98"/>
  <c r="GE1370" i="98"/>
  <c r="GB1370" i="98"/>
  <c r="GD1590" i="98"/>
  <c r="GE1590" i="98"/>
  <c r="FZ1590" i="98"/>
  <c r="GB1590" i="98"/>
  <c r="GP1590" i="98"/>
  <c r="GB1173" i="98"/>
  <c r="GD1173" i="98"/>
  <c r="GE1173" i="98"/>
  <c r="FZ1173" i="98"/>
  <c r="GB1363" i="98"/>
  <c r="GD1363" i="98"/>
  <c r="GC1363" i="98"/>
  <c r="FZ1363" i="98"/>
  <c r="GE1363" i="98"/>
  <c r="GD1209" i="98"/>
  <c r="FZ1209" i="98"/>
  <c r="GB1209" i="98"/>
  <c r="GE1209" i="98"/>
  <c r="GC1209" i="98"/>
  <c r="GB1161" i="98"/>
  <c r="GD1161" i="98"/>
  <c r="GE1161" i="98"/>
  <c r="FZ1161" i="98"/>
  <c r="GB924" i="98"/>
  <c r="GD924" i="98"/>
  <c r="GE924" i="98"/>
  <c r="FZ924" i="98"/>
  <c r="FZ828" i="98"/>
  <c r="GB828" i="98"/>
  <c r="GD828" i="98"/>
  <c r="GE828" i="98"/>
  <c r="GE668" i="98"/>
  <c r="GB668" i="98"/>
  <c r="GG670" i="98"/>
  <c r="GB670" i="98"/>
  <c r="GE670" i="98"/>
  <c r="GB747" i="98"/>
  <c r="GD747" i="98"/>
  <c r="GE747" i="98"/>
  <c r="FZ747" i="98"/>
  <c r="GI747" i="98"/>
  <c r="GD571" i="98"/>
  <c r="FZ571" i="98"/>
  <c r="GB571" i="98"/>
  <c r="GE571" i="98"/>
  <c r="GC571" i="98"/>
  <c r="GI370" i="98"/>
  <c r="GB370" i="98"/>
  <c r="GD370" i="98"/>
  <c r="GE370" i="98"/>
  <c r="FZ370" i="98"/>
  <c r="GM370" i="98"/>
  <c r="GB313" i="98"/>
  <c r="GD313" i="98"/>
  <c r="GE313" i="98"/>
  <c r="FZ313" i="98"/>
  <c r="GM313" i="98"/>
  <c r="GJ197" i="98"/>
  <c r="FZ197" i="98"/>
  <c r="GB197" i="98"/>
  <c r="GD197" i="98"/>
  <c r="GE197" i="98"/>
  <c r="GG151" i="98"/>
  <c r="GB151" i="98"/>
  <c r="GD151" i="98"/>
  <c r="GE151" i="98"/>
  <c r="FZ151" i="98"/>
  <c r="GC93" i="98"/>
  <c r="FZ93" i="98"/>
  <c r="GD93" i="98"/>
  <c r="GE93" i="98"/>
  <c r="GB93" i="98"/>
  <c r="GD1643" i="98"/>
  <c r="GE1643" i="98"/>
  <c r="FZ1643" i="98"/>
  <c r="GB1643" i="98"/>
  <c r="FZ1551" i="98"/>
  <c r="GB1551" i="98"/>
  <c r="GD1551" i="98"/>
  <c r="GE1551" i="98"/>
  <c r="GB1359" i="98"/>
  <c r="GD1359" i="98"/>
  <c r="GC1359" i="98"/>
  <c r="FZ1359" i="98"/>
  <c r="GE1359" i="98"/>
  <c r="GE1097" i="98"/>
  <c r="FZ1097" i="98"/>
  <c r="GB1097" i="98"/>
  <c r="GD1097" i="98"/>
  <c r="GD891" i="98"/>
  <c r="GB891" i="98"/>
  <c r="GE891" i="98"/>
  <c r="GG959" i="98"/>
  <c r="GD959" i="98"/>
  <c r="GC959" i="98"/>
  <c r="FZ959" i="98"/>
  <c r="GE959" i="98"/>
  <c r="GB959" i="98"/>
  <c r="GE620" i="98"/>
  <c r="GB620" i="98"/>
  <c r="FZ588" i="98"/>
  <c r="GB588" i="98"/>
  <c r="GD588" i="98"/>
  <c r="GE588" i="98"/>
  <c r="GE513" i="98"/>
  <c r="GB513" i="98"/>
  <c r="GD759" i="98"/>
  <c r="GE759" i="98"/>
  <c r="FZ759" i="98"/>
  <c r="GB759" i="98"/>
  <c r="GE615" i="98"/>
  <c r="FZ615" i="98"/>
  <c r="GB615" i="98"/>
  <c r="GD615" i="98"/>
  <c r="GP615" i="98"/>
  <c r="GD459" i="98"/>
  <c r="GE459" i="98"/>
  <c r="FZ459" i="98"/>
  <c r="GB459" i="98"/>
  <c r="GE463" i="98"/>
  <c r="FZ463" i="98"/>
  <c r="GB463" i="98"/>
  <c r="GD463" i="98"/>
  <c r="GD441" i="98"/>
  <c r="GE441" i="98"/>
  <c r="FZ441" i="98"/>
  <c r="GB441" i="98"/>
  <c r="GD258" i="98"/>
  <c r="GE258" i="98"/>
  <c r="FZ258" i="98"/>
  <c r="GB258" i="98"/>
  <c r="GB205" i="98"/>
  <c r="GD205" i="98"/>
  <c r="GE205" i="98"/>
  <c r="FZ205" i="98"/>
  <c r="GM1000" i="98"/>
  <c r="FZ1000" i="98"/>
  <c r="GB1000" i="98"/>
  <c r="GD1000" i="98"/>
  <c r="GE1000" i="98"/>
  <c r="GI632" i="98"/>
  <c r="GD632" i="98"/>
  <c r="GE632" i="98"/>
  <c r="FZ632" i="98"/>
  <c r="GB632" i="98"/>
  <c r="FZ684" i="98"/>
  <c r="GB684" i="98"/>
  <c r="GD684" i="98"/>
  <c r="GE684" i="98"/>
  <c r="GE704" i="98"/>
  <c r="FZ704" i="98"/>
  <c r="GB704" i="98"/>
  <c r="GD704" i="98"/>
  <c r="GB692" i="98"/>
  <c r="GE692" i="98"/>
  <c r="GB143" i="98"/>
  <c r="GD143" i="98"/>
  <c r="GE143" i="98"/>
  <c r="FZ143" i="98"/>
  <c r="GE127" i="98"/>
  <c r="FZ127" i="98"/>
  <c r="GB127" i="98"/>
  <c r="GD127" i="98"/>
  <c r="FZ321" i="98"/>
  <c r="GE321" i="98"/>
  <c r="GC321" i="98"/>
  <c r="GB321" i="98"/>
  <c r="GD321" i="98"/>
  <c r="GB365" i="98"/>
  <c r="GD365" i="98"/>
  <c r="GE365" i="98"/>
  <c r="FZ365" i="98"/>
  <c r="GI1125" i="98"/>
  <c r="GD1125" i="98"/>
  <c r="GC1125" i="98"/>
  <c r="FZ1125" i="98"/>
  <c r="GE1125" i="98"/>
  <c r="GB1125" i="98"/>
  <c r="GC572" i="98"/>
  <c r="FZ572" i="98"/>
  <c r="GD572" i="98"/>
  <c r="GE572" i="98"/>
  <c r="GB572" i="98"/>
  <c r="GI482" i="98"/>
  <c r="GB482" i="98"/>
  <c r="GC482" i="98"/>
  <c r="FZ482" i="98"/>
  <c r="GD482" i="98"/>
  <c r="GE482" i="98"/>
  <c r="GC329" i="98"/>
  <c r="GB329" i="98"/>
  <c r="GD329" i="98"/>
  <c r="FZ329" i="98"/>
  <c r="GE329" i="98"/>
  <c r="GM94" i="98"/>
  <c r="GD94" i="98"/>
  <c r="GC94" i="98"/>
  <c r="FZ94" i="98"/>
  <c r="GE94" i="98"/>
  <c r="GB94" i="98"/>
  <c r="GJ1434" i="98"/>
  <c r="FZ1434" i="98"/>
  <c r="GB1434" i="98"/>
  <c r="GD1434" i="98"/>
  <c r="GE1434" i="98"/>
  <c r="GC1611" i="98"/>
  <c r="GD1611" i="98"/>
  <c r="FZ1611" i="98"/>
  <c r="GB1611" i="98"/>
  <c r="GE1611" i="98"/>
  <c r="GM1527" i="98"/>
  <c r="GD1527" i="98"/>
  <c r="GC1527" i="98"/>
  <c r="FZ1527" i="98"/>
  <c r="GE1527" i="98"/>
  <c r="GB1527" i="98"/>
  <c r="GI988" i="98"/>
  <c r="FZ988" i="98"/>
  <c r="GB988" i="98"/>
  <c r="GD988" i="98"/>
  <c r="GE988" i="98"/>
  <c r="GC652" i="98"/>
  <c r="GB652" i="98"/>
  <c r="FZ652" i="98"/>
  <c r="GI427" i="98"/>
  <c r="GD427" i="98"/>
  <c r="GE427" i="98"/>
  <c r="FZ427" i="98"/>
  <c r="GB427" i="98"/>
  <c r="GE349" i="98"/>
  <c r="FZ349" i="98"/>
  <c r="GB349" i="98"/>
  <c r="GD349" i="98"/>
  <c r="GB1620" i="98"/>
  <c r="GD1620" i="98"/>
  <c r="FT1620" i="98"/>
  <c r="FZ1620" i="98" s="1"/>
  <c r="GM1389" i="98"/>
  <c r="GG1389" i="98"/>
  <c r="GJ1389" i="98"/>
  <c r="GI1389" i="98"/>
  <c r="FZ1389" i="98"/>
  <c r="FW1620" i="98"/>
  <c r="GA1166" i="98"/>
  <c r="GB1166" i="98"/>
  <c r="GC1166" i="98"/>
  <c r="GD1166" i="98"/>
  <c r="FZ1166" i="98"/>
  <c r="GE1166" i="98"/>
  <c r="GG1166" i="98"/>
  <c r="GN1166" i="98"/>
  <c r="GK1166" i="98"/>
  <c r="FT1166" i="98"/>
  <c r="GM1166" i="98"/>
  <c r="GH1166" i="98"/>
  <c r="GF1166" i="98"/>
  <c r="GL1166" i="98"/>
  <c r="GQ1166" i="98"/>
  <c r="GO1166" i="98"/>
  <c r="GJ1166" i="98"/>
  <c r="GP1166" i="98"/>
  <c r="GI1166" i="98"/>
  <c r="GI360" i="98"/>
  <c r="GJ360" i="98"/>
  <c r="GM360" i="98"/>
  <c r="GG360" i="98"/>
  <c r="GP360" i="98"/>
  <c r="FZ360" i="98"/>
  <c r="FW1282" i="98"/>
  <c r="GP1059" i="98"/>
  <c r="GJ1059" i="98"/>
  <c r="GI1059" i="98"/>
  <c r="GM1059" i="98"/>
  <c r="GG1059" i="98"/>
  <c r="GE1059" i="98"/>
  <c r="GB1647" i="98"/>
  <c r="GB1567" i="98"/>
  <c r="GE1559" i="98"/>
  <c r="FZ1559" i="98"/>
  <c r="GB1559" i="98"/>
  <c r="GD1559" i="98"/>
  <c r="FW1559" i="98"/>
  <c r="FZ1301" i="98"/>
  <c r="GB1498" i="98"/>
  <c r="GD1678" i="98"/>
  <c r="GD1519" i="98"/>
  <c r="FZ1519" i="98"/>
  <c r="GE1519" i="98"/>
  <c r="GB1519" i="98"/>
  <c r="GC1519" i="98"/>
  <c r="FW1519" i="98"/>
  <c r="GB1314" i="98"/>
  <c r="GD1503" i="98"/>
  <c r="GE1447" i="98"/>
  <c r="GB1423" i="98"/>
  <c r="GB1133" i="98"/>
  <c r="GE1279" i="98"/>
  <c r="GE1197" i="98"/>
  <c r="GE1141" i="98"/>
  <c r="GB1395" i="98"/>
  <c r="GE1291" i="98"/>
  <c r="GB1291" i="98"/>
  <c r="GE1195" i="98"/>
  <c r="GE1027" i="98"/>
  <c r="GD880" i="98"/>
  <c r="GC1041" i="98"/>
  <c r="GD951" i="98"/>
  <c r="GB933" i="98"/>
  <c r="FZ869" i="98"/>
  <c r="FZ805" i="98"/>
  <c r="GA546" i="98"/>
  <c r="GB546" i="98"/>
  <c r="GC546" i="98"/>
  <c r="GD546" i="98"/>
  <c r="FZ546" i="98"/>
  <c r="GE546" i="98"/>
  <c r="FW546" i="98"/>
  <c r="GD672" i="98"/>
  <c r="FZ772" i="98"/>
  <c r="GB772" i="98"/>
  <c r="GD772" i="98"/>
  <c r="GE772" i="98"/>
  <c r="FW772" i="98"/>
  <c r="GD612" i="98"/>
  <c r="GE723" i="98"/>
  <c r="GE399" i="98"/>
  <c r="GA1266" i="98"/>
  <c r="GB1266" i="98"/>
  <c r="GC1266" i="98"/>
  <c r="GD1266" i="98"/>
  <c r="FZ1266" i="98"/>
  <c r="GE1266" i="98"/>
  <c r="GI1266" i="98"/>
  <c r="GM1266" i="98"/>
  <c r="GO1266" i="98"/>
  <c r="FT1266" i="98"/>
  <c r="GG1266" i="98"/>
  <c r="GQ1266" i="98"/>
  <c r="GK1266" i="98"/>
  <c r="GF1266" i="98"/>
  <c r="GL1266" i="98"/>
  <c r="GJ1266" i="98"/>
  <c r="GP1266" i="98"/>
  <c r="GN1266" i="98"/>
  <c r="GH1266" i="98"/>
  <c r="FT1672" i="98"/>
  <c r="GE1672" i="98" s="1"/>
  <c r="GM1493" i="98"/>
  <c r="GG1493" i="98"/>
  <c r="GJ1493" i="98"/>
  <c r="GI1493" i="98"/>
  <c r="GB1493" i="98"/>
  <c r="GM1453" i="98"/>
  <c r="GG1453" i="98"/>
  <c r="GJ1453" i="98"/>
  <c r="GI1453" i="98"/>
  <c r="FZ1453" i="98"/>
  <c r="FZ1220" i="98"/>
  <c r="FT1220" i="98"/>
  <c r="GD1220" i="98" s="1"/>
  <c r="FW1220" i="98"/>
  <c r="GA1106" i="98"/>
  <c r="GD1106" i="98"/>
  <c r="FZ1106" i="98"/>
  <c r="GE1106" i="98"/>
  <c r="GB1106" i="98"/>
  <c r="GC1106" i="98"/>
  <c r="GI1106" i="98"/>
  <c r="GM1106" i="98"/>
  <c r="GJ1106" i="98"/>
  <c r="GK1106" i="98"/>
  <c r="GP1106" i="98"/>
  <c r="GQ1106" i="98"/>
  <c r="GN1106" i="98"/>
  <c r="GO1106" i="98"/>
  <c r="FT1106" i="98"/>
  <c r="GH1106" i="98"/>
  <c r="GF1106" i="98"/>
  <c r="GG1106" i="98"/>
  <c r="GL1106" i="98"/>
  <c r="FZ368" i="98"/>
  <c r="GB368" i="98"/>
  <c r="GD368" i="98"/>
  <c r="FT368" i="98"/>
  <c r="GP368" i="98"/>
  <c r="GJ1432" i="98"/>
  <c r="GM1432" i="98"/>
  <c r="GP1432" i="98"/>
  <c r="GI1432" i="98"/>
  <c r="GG1432" i="98"/>
  <c r="FZ1432" i="98"/>
  <c r="FW1304" i="98"/>
  <c r="FW487" i="98"/>
  <c r="FZ1429" i="98"/>
  <c r="GD1333" i="98"/>
  <c r="FW1266" i="98"/>
  <c r="GB1075" i="98"/>
  <c r="GD300" i="98"/>
  <c r="GD104" i="98"/>
  <c r="FW234" i="98"/>
  <c r="FZ1543" i="98"/>
  <c r="GD1394" i="98"/>
  <c r="GE1555" i="98"/>
  <c r="GB1450" i="98"/>
  <c r="FZ1675" i="98"/>
  <c r="GB1659" i="98"/>
  <c r="GE1583" i="98"/>
  <c r="GE1418" i="98"/>
  <c r="FZ1539" i="98"/>
  <c r="FZ1455" i="98"/>
  <c r="GC1375" i="98"/>
  <c r="GC1201" i="98"/>
  <c r="GC1205" i="98"/>
  <c r="GE1119" i="98"/>
  <c r="GB780" i="98"/>
  <c r="FZ1039" i="98"/>
  <c r="GB984" i="98"/>
  <c r="FZ929" i="98"/>
  <c r="GD897" i="98"/>
  <c r="GD865" i="98"/>
  <c r="GE845" i="98"/>
  <c r="FZ801" i="98"/>
  <c r="GB781" i="98"/>
  <c r="GE664" i="98"/>
  <c r="GE930" i="98"/>
  <c r="GB923" i="98"/>
  <c r="GE903" i="98"/>
  <c r="GC891" i="98"/>
  <c r="GD871" i="98"/>
  <c r="GE859" i="98"/>
  <c r="GB839" i="98"/>
  <c r="GD827" i="98"/>
  <c r="GD819" i="98"/>
  <c r="FZ795" i="98"/>
  <c r="GE758" i="98"/>
  <c r="FZ584" i="98"/>
  <c r="FZ943" i="98"/>
  <c r="GE652" i="98"/>
  <c r="GD750" i="98"/>
  <c r="FZ720" i="98"/>
  <c r="FZ670" i="98"/>
  <c r="GC640" i="98"/>
  <c r="FZ608" i="98"/>
  <c r="FZ770" i="98"/>
  <c r="FZ724" i="98"/>
  <c r="GD692" i="98"/>
  <c r="GD628" i="98"/>
  <c r="FZ505" i="98"/>
  <c r="GB751" i="98"/>
  <c r="GB735" i="98"/>
  <c r="GB671" i="98"/>
  <c r="GE607" i="98"/>
  <c r="GC562" i="98"/>
  <c r="GC1051" i="98"/>
  <c r="GI1397" i="98"/>
  <c r="GM1397" i="98"/>
  <c r="GG1397" i="98"/>
  <c r="GJ1397" i="98"/>
  <c r="GD1397" i="98"/>
  <c r="FZ1397" i="98"/>
  <c r="GP1397" i="98"/>
  <c r="GB1397" i="98"/>
  <c r="GJ1381" i="98"/>
  <c r="GI1381" i="98"/>
  <c r="GM1381" i="98"/>
  <c r="GG1381" i="98"/>
  <c r="GD1381" i="98"/>
  <c r="GM1480" i="98"/>
  <c r="GP1480" i="98"/>
  <c r="GI1480" i="98"/>
  <c r="GJ1480" i="98"/>
  <c r="GG1480" i="98"/>
  <c r="FZ1230" i="98"/>
  <c r="GI1230" i="98"/>
  <c r="FT1230" i="98"/>
  <c r="GD1230" i="98" s="1"/>
  <c r="GA206" i="98"/>
  <c r="FZ206" i="98"/>
  <c r="GE206" i="98"/>
  <c r="GB206" i="98"/>
  <c r="GC206" i="98"/>
  <c r="GD206" i="98"/>
  <c r="GO206" i="98"/>
  <c r="FT206" i="98"/>
  <c r="GJ206" i="98"/>
  <c r="GH206" i="98"/>
  <c r="GK206" i="98"/>
  <c r="GI206" i="98"/>
  <c r="GL206" i="98"/>
  <c r="GQ206" i="98"/>
  <c r="GN206" i="98"/>
  <c r="GP206" i="98"/>
  <c r="GG206" i="98"/>
  <c r="GF206" i="98"/>
  <c r="GM206" i="98"/>
  <c r="GD199" i="98"/>
  <c r="GC878" i="98"/>
  <c r="GD878" i="98"/>
  <c r="FZ878" i="98"/>
  <c r="GE878" i="98"/>
  <c r="GB878" i="98"/>
  <c r="FZ814" i="98"/>
  <c r="GE814" i="98"/>
  <c r="GB814" i="98"/>
  <c r="GC814" i="98"/>
  <c r="GD814" i="98"/>
  <c r="GE1664" i="98"/>
  <c r="GB1664" i="98"/>
  <c r="GD1664" i="98"/>
  <c r="GP1664" i="98"/>
  <c r="FT1664" i="98"/>
  <c r="GJ1664" i="98"/>
  <c r="GD1404" i="98"/>
  <c r="FT1404" i="98"/>
  <c r="FZ1404" i="98" s="1"/>
  <c r="GE1477" i="98"/>
  <c r="FW1404" i="98"/>
  <c r="FZ1344" i="98"/>
  <c r="GP1120" i="98"/>
  <c r="GJ1120" i="98"/>
  <c r="GG1120" i="98"/>
  <c r="GI1120" i="98"/>
  <c r="GM1120" i="98"/>
  <c r="GB430" i="98"/>
  <c r="GE384" i="98"/>
  <c r="GM304" i="98"/>
  <c r="GG304" i="98"/>
  <c r="GP304" i="98"/>
  <c r="GI304" i="98"/>
  <c r="GB304" i="98"/>
  <c r="GJ214" i="98"/>
  <c r="GG214" i="98"/>
  <c r="GM214" i="98"/>
  <c r="GI214" i="98"/>
  <c r="GP214" i="98"/>
  <c r="GE214" i="98"/>
  <c r="GJ1668" i="98"/>
  <c r="GE1668" i="98"/>
  <c r="GB1534" i="98"/>
  <c r="GD1440" i="98"/>
  <c r="FZ1440" i="98"/>
  <c r="FZ1414" i="98"/>
  <c r="GG1094" i="98"/>
  <c r="GM1094" i="98"/>
  <c r="GB1094" i="98"/>
  <c r="GB1530" i="98"/>
  <c r="GJ1318" i="98"/>
  <c r="GD1318" i="98"/>
  <c r="GI1060" i="98"/>
  <c r="GE1060" i="98"/>
  <c r="GP1624" i="98"/>
  <c r="FZ1624" i="98"/>
  <c r="GI1320" i="98"/>
  <c r="GG1320" i="98"/>
  <c r="GD1320" i="98"/>
  <c r="GP1438" i="98"/>
  <c r="GE1438" i="98"/>
  <c r="GB1390" i="98"/>
  <c r="GG725" i="98"/>
  <c r="GC725" i="98"/>
  <c r="GD725" i="98"/>
  <c r="GG753" i="98"/>
  <c r="FZ753" i="98"/>
  <c r="FW814" i="98"/>
  <c r="GJ382" i="98"/>
  <c r="FZ382" i="98"/>
  <c r="GI1462" i="98"/>
  <c r="GB1462" i="98"/>
  <c r="GE1154" i="98"/>
  <c r="GG657" i="98"/>
  <c r="GJ657" i="98"/>
  <c r="GB657" i="98"/>
  <c r="GE95" i="98"/>
  <c r="GG1400" i="98"/>
  <c r="GB1400" i="98"/>
  <c r="FZ1350" i="98"/>
  <c r="GI1124" i="98"/>
  <c r="GC1124" i="98"/>
  <c r="GG1124" i="98"/>
  <c r="GE1112" i="98"/>
  <c r="GI1090" i="98"/>
  <c r="GD1090" i="98"/>
  <c r="GI1234" i="98"/>
  <c r="GB1234" i="98"/>
  <c r="FZ973" i="98"/>
  <c r="GC415" i="98"/>
  <c r="GD415" i="98"/>
  <c r="FZ415" i="98"/>
  <c r="GE415" i="98"/>
  <c r="GB415" i="98"/>
  <c r="GE1628" i="98"/>
  <c r="FZ1628" i="98"/>
  <c r="GB1628" i="98"/>
  <c r="FT1628" i="98"/>
  <c r="GP1381" i="98"/>
  <c r="GB1381" i="98"/>
  <c r="GA1236" i="98"/>
  <c r="FZ1236" i="98"/>
  <c r="GE1236" i="98"/>
  <c r="GB1236" i="98"/>
  <c r="GC1236" i="98"/>
  <c r="GD1236" i="98"/>
  <c r="GG1236" i="98"/>
  <c r="GK1236" i="98"/>
  <c r="GO1236" i="98"/>
  <c r="GI1236" i="98"/>
  <c r="GL1236" i="98"/>
  <c r="GN1236" i="98"/>
  <c r="GP1236" i="98"/>
  <c r="FT1236" i="98"/>
  <c r="GF1236" i="98"/>
  <c r="GM1236" i="98"/>
  <c r="GQ1236" i="98"/>
  <c r="GH1236" i="98"/>
  <c r="GJ1236" i="98"/>
  <c r="GE1480" i="98"/>
  <c r="GM1357" i="98"/>
  <c r="GG1357" i="98"/>
  <c r="GJ1357" i="98"/>
  <c r="GI1357" i="98"/>
  <c r="GC1357" i="98"/>
  <c r="GI1292" i="98"/>
  <c r="GG1292" i="98"/>
  <c r="GP1292" i="98"/>
  <c r="GM1292" i="98"/>
  <c r="GJ1292" i="98"/>
  <c r="GE1292" i="98"/>
  <c r="GG1067" i="98"/>
  <c r="GP1067" i="98"/>
  <c r="GJ1067" i="98"/>
  <c r="GI1067" i="98"/>
  <c r="GM1067" i="98"/>
  <c r="GD1067" i="98"/>
  <c r="FT1294" i="98"/>
  <c r="GE1294" i="98" s="1"/>
  <c r="GG199" i="98"/>
  <c r="GJ230" i="98"/>
  <c r="GM230" i="98"/>
  <c r="GI230" i="98"/>
  <c r="GP230" i="98"/>
  <c r="GG230" i="98"/>
  <c r="GB1607" i="98"/>
  <c r="GC1607" i="98"/>
  <c r="GD1607" i="98"/>
  <c r="FZ1607" i="98"/>
  <c r="GE1607" i="98"/>
  <c r="GC972" i="98"/>
  <c r="GD972" i="98"/>
  <c r="FZ972" i="98"/>
  <c r="GE972" i="98"/>
  <c r="GB972" i="98"/>
  <c r="GE782" i="98"/>
  <c r="FZ782" i="98"/>
  <c r="GB782" i="98"/>
  <c r="GD782" i="98"/>
  <c r="FZ1608" i="98"/>
  <c r="GB1608" i="98"/>
  <c r="GC1608" i="98"/>
  <c r="GD1608" i="98"/>
  <c r="FT1608" i="98"/>
  <c r="GP1608" i="98"/>
  <c r="GJ1608" i="98"/>
  <c r="FZ1218" i="98"/>
  <c r="FT1218" i="98"/>
  <c r="GG1218" i="98" s="1"/>
  <c r="GJ1218" i="98"/>
  <c r="GP1218" i="98"/>
  <c r="FT404" i="98"/>
  <c r="FZ404" i="98" s="1"/>
  <c r="GM1140" i="98"/>
  <c r="GP1140" i="98"/>
  <c r="GJ1140" i="98"/>
  <c r="GI1140" i="98"/>
  <c r="GE1140" i="98"/>
  <c r="FT1082" i="98"/>
  <c r="GD1082" i="98" s="1"/>
  <c r="GC1050" i="98"/>
  <c r="FZ1050" i="98"/>
  <c r="GE1050" i="98"/>
  <c r="GB1050" i="98"/>
  <c r="FT1050" i="98"/>
  <c r="GE952" i="98"/>
  <c r="FZ952" i="98"/>
  <c r="FT952" i="98"/>
  <c r="GJ952" i="98"/>
  <c r="GI952" i="98"/>
  <c r="GD1668" i="98"/>
  <c r="GI1534" i="98"/>
  <c r="GE1534" i="98"/>
  <c r="GC1440" i="98"/>
  <c r="GE1414" i="98"/>
  <c r="GP1094" i="98"/>
  <c r="FZ1094" i="98"/>
  <c r="GE1530" i="98"/>
  <c r="GP1318" i="98"/>
  <c r="GI1318" i="98"/>
  <c r="GB1318" i="98"/>
  <c r="GD1060" i="98"/>
  <c r="GE1624" i="98"/>
  <c r="GP1320" i="98"/>
  <c r="GB1320" i="98"/>
  <c r="GM1438" i="98"/>
  <c r="FZ1438" i="98"/>
  <c r="GB725" i="98"/>
  <c r="GI753" i="98"/>
  <c r="GM753" i="98"/>
  <c r="GE753" i="98"/>
  <c r="GG382" i="98"/>
  <c r="GE382" i="98"/>
  <c r="FZ1462" i="98"/>
  <c r="GI657" i="98"/>
  <c r="FZ657" i="98"/>
  <c r="GP95" i="98"/>
  <c r="GI1400" i="98"/>
  <c r="FZ1400" i="98"/>
  <c r="GE1350" i="98"/>
  <c r="GJ1124" i="98"/>
  <c r="GB1124" i="98"/>
  <c r="GG1112" i="98"/>
  <c r="GD1112" i="98"/>
  <c r="GB1090" i="98"/>
  <c r="FZ1234" i="98"/>
  <c r="GP973" i="98"/>
  <c r="GD973" i="98"/>
  <c r="FW782" i="98"/>
  <c r="FZ554" i="98"/>
  <c r="GB554" i="98"/>
  <c r="GD554" i="98"/>
  <c r="GE554" i="98"/>
  <c r="FZ490" i="98"/>
  <c r="GE490" i="98"/>
  <c r="GB490" i="98"/>
  <c r="GC490" i="98"/>
  <c r="GD490" i="98"/>
  <c r="GJ199" i="98"/>
  <c r="GI199" i="98"/>
  <c r="GM199" i="98"/>
  <c r="GP199" i="98"/>
  <c r="FZ199" i="98"/>
  <c r="GD1523" i="98"/>
  <c r="FZ1523" i="98"/>
  <c r="GE1523" i="98"/>
  <c r="GB1523" i="98"/>
  <c r="GC1523" i="98"/>
  <c r="GA846" i="98"/>
  <c r="GD846" i="98"/>
  <c r="FZ846" i="98"/>
  <c r="GE846" i="98"/>
  <c r="GB846" i="98"/>
  <c r="GC846" i="98"/>
  <c r="GG1477" i="98"/>
  <c r="GJ1477" i="98"/>
  <c r="GI1477" i="98"/>
  <c r="GM1477" i="98"/>
  <c r="GB1477" i="98"/>
  <c r="GG1344" i="98"/>
  <c r="GM1344" i="98"/>
  <c r="GP1344" i="98"/>
  <c r="GI1344" i="98"/>
  <c r="GJ1344" i="98"/>
  <c r="GB597" i="98"/>
  <c r="GE597" i="98"/>
  <c r="FZ597" i="98"/>
  <c r="GJ597" i="98"/>
  <c r="FT597" i="98"/>
  <c r="GG597" i="98"/>
  <c r="GP430" i="98"/>
  <c r="GG430" i="98"/>
  <c r="GM430" i="98"/>
  <c r="GI430" i="98"/>
  <c r="GJ430" i="98"/>
  <c r="GE430" i="98"/>
  <c r="GJ384" i="98"/>
  <c r="GG384" i="98"/>
  <c r="GM384" i="98"/>
  <c r="GP384" i="98"/>
  <c r="GI384" i="98"/>
  <c r="FT295" i="98"/>
  <c r="GE295" i="98" s="1"/>
  <c r="FT202" i="98"/>
  <c r="GE202" i="98" s="1"/>
  <c r="GD1534" i="98"/>
  <c r="FZ1534" i="98"/>
  <c r="GD1414" i="98"/>
  <c r="FZ1318" i="98"/>
  <c r="GB1060" i="98"/>
  <c r="GD1438" i="98"/>
  <c r="GD753" i="98"/>
  <c r="GE150" i="98"/>
  <c r="FZ150" i="98"/>
  <c r="GB150" i="98"/>
  <c r="GD150" i="98"/>
  <c r="GP382" i="98"/>
  <c r="GD382" i="98"/>
  <c r="FW1218" i="98"/>
  <c r="GE657" i="98"/>
  <c r="GJ95" i="98"/>
  <c r="GI95" i="98"/>
  <c r="GM95" i="98"/>
  <c r="GG95" i="98"/>
  <c r="GD95" i="98"/>
  <c r="FW972" i="98"/>
  <c r="GE1400" i="98"/>
  <c r="GE1124" i="98"/>
  <c r="GB1112" i="98"/>
  <c r="GC973" i="98"/>
  <c r="FW150" i="98"/>
  <c r="GE1202" i="98"/>
  <c r="GM1202" i="98"/>
  <c r="FT1202" i="98"/>
  <c r="GG1202" i="98" s="1"/>
  <c r="GP1202" i="98"/>
  <c r="GM1461" i="98"/>
  <c r="GG1461" i="98"/>
  <c r="GJ1461" i="98"/>
  <c r="GI1461" i="98"/>
  <c r="GE1461" i="98"/>
  <c r="GE1381" i="98"/>
  <c r="GI1317" i="98"/>
  <c r="GM1317" i="98"/>
  <c r="GG1317" i="98"/>
  <c r="GJ1317" i="98"/>
  <c r="GB1317" i="98"/>
  <c r="GA1246" i="98"/>
  <c r="GD1246" i="98"/>
  <c r="FZ1246" i="98"/>
  <c r="GE1246" i="98"/>
  <c r="GB1246" i="98"/>
  <c r="GC1246" i="98"/>
  <c r="GG1246" i="98"/>
  <c r="GO1246" i="98"/>
  <c r="GF1246" i="98"/>
  <c r="GL1246" i="98"/>
  <c r="GQ1246" i="98"/>
  <c r="GJ1246" i="98"/>
  <c r="GP1246" i="98"/>
  <c r="GI1246" i="98"/>
  <c r="GN1246" i="98"/>
  <c r="GM1246" i="98"/>
  <c r="GK1246" i="98"/>
  <c r="FT1246" i="98"/>
  <c r="GH1246" i="98"/>
  <c r="FZ495" i="98"/>
  <c r="GP495" i="98"/>
  <c r="FT495" i="98"/>
  <c r="GB495" i="98" s="1"/>
  <c r="GI288" i="98"/>
  <c r="GM288" i="98"/>
  <c r="GG288" i="98"/>
  <c r="GP288" i="98"/>
  <c r="GD288" i="98"/>
  <c r="FW1628" i="98"/>
  <c r="GB1480" i="98"/>
  <c r="GJ1408" i="98"/>
  <c r="GG1408" i="98"/>
  <c r="GM1408" i="98"/>
  <c r="GP1408" i="98"/>
  <c r="GI1408" i="98"/>
  <c r="FZ1357" i="98"/>
  <c r="GP1357" i="98"/>
  <c r="GC1292" i="98"/>
  <c r="FZ1067" i="98"/>
  <c r="GI1365" i="98"/>
  <c r="GM1365" i="98"/>
  <c r="GG1365" i="98"/>
  <c r="GJ1365" i="98"/>
  <c r="GC1365" i="98"/>
  <c r="GG1349" i="98"/>
  <c r="GJ1349" i="98"/>
  <c r="GI1349" i="98"/>
  <c r="GM1349" i="98"/>
  <c r="GD1349" i="98"/>
  <c r="GD1310" i="98"/>
  <c r="FZ1310" i="98"/>
  <c r="GB1310" i="98"/>
  <c r="GJ1310" i="98"/>
  <c r="FT1310" i="98"/>
  <c r="GP1274" i="98"/>
  <c r="GI1274" i="98"/>
  <c r="GM1274" i="98"/>
  <c r="GJ1274" i="98"/>
  <c r="GG1274" i="98"/>
  <c r="FZ1274" i="98"/>
  <c r="GE199" i="98"/>
  <c r="GD230" i="98"/>
  <c r="FT1262" i="98"/>
  <c r="GE1262" i="98" s="1"/>
  <c r="FZ1138" i="98"/>
  <c r="GB1138" i="98"/>
  <c r="GD1138" i="98"/>
  <c r="FT1138" i="98"/>
  <c r="GP1138" i="98"/>
  <c r="FT1098" i="98"/>
  <c r="FZ1098" i="98" s="1"/>
  <c r="FW1664" i="98"/>
  <c r="FW1608" i="98"/>
  <c r="FZ1477" i="98"/>
  <c r="GP1477" i="98"/>
  <c r="GB1344" i="98"/>
  <c r="GB1140" i="98"/>
  <c r="GD1120" i="98"/>
  <c r="FZ1120" i="98"/>
  <c r="GA1066" i="98"/>
  <c r="GD1066" i="98"/>
  <c r="FZ1066" i="98"/>
  <c r="GE1066" i="98"/>
  <c r="GB1066" i="98"/>
  <c r="GC1066" i="98"/>
  <c r="GG1066" i="98"/>
  <c r="GJ1066" i="98"/>
  <c r="GM1066" i="98"/>
  <c r="GO1066" i="98"/>
  <c r="FT1066" i="98"/>
  <c r="GN1066" i="98"/>
  <c r="GQ1066" i="98"/>
  <c r="GH1066" i="98"/>
  <c r="GI1066" i="98"/>
  <c r="GK1066" i="98"/>
  <c r="GL1066" i="98"/>
  <c r="GF1066" i="98"/>
  <c r="GP1066" i="98"/>
  <c r="FW495" i="98"/>
  <c r="GI1501" i="98"/>
  <c r="GM1501" i="98"/>
  <c r="GG1501" i="98"/>
  <c r="GJ1501" i="98"/>
  <c r="GE1501" i="98"/>
  <c r="FT1182" i="98"/>
  <c r="GB1182" i="98" s="1"/>
  <c r="GD430" i="98"/>
  <c r="FZ384" i="98"/>
  <c r="GD304" i="98"/>
  <c r="FZ214" i="98"/>
  <c r="FT262" i="98"/>
  <c r="FZ262" i="98"/>
  <c r="GB262" i="98"/>
  <c r="GD262" i="98"/>
  <c r="GE262" i="98"/>
  <c r="GG262" i="98"/>
  <c r="GJ262" i="98"/>
  <c r="GI262" i="98"/>
  <c r="GP262" i="98"/>
  <c r="GM262" i="98"/>
  <c r="GG1534" i="98"/>
  <c r="GE1440" i="98"/>
  <c r="GJ1094" i="98"/>
  <c r="GG1318" i="98"/>
  <c r="GM1318" i="98"/>
  <c r="GD439" i="98"/>
  <c r="GE439" i="98"/>
  <c r="FZ439" i="98"/>
  <c r="GB439" i="98"/>
  <c r="GJ1624" i="98"/>
  <c r="GJ1464" i="98"/>
  <c r="GG1464" i="98"/>
  <c r="GM1320" i="98"/>
  <c r="GG1438" i="98"/>
  <c r="GB1438" i="98"/>
  <c r="GJ725" i="98"/>
  <c r="FW878" i="98"/>
  <c r="GM382" i="98"/>
  <c r="GD1462" i="98"/>
  <c r="GI1154" i="98"/>
  <c r="FZ1154" i="98"/>
  <c r="GM657" i="98"/>
  <c r="GB95" i="98"/>
  <c r="GC95" i="98"/>
  <c r="GM1400" i="98"/>
  <c r="GD1400" i="98"/>
  <c r="GP1350" i="98"/>
  <c r="GB1350" i="98"/>
  <c r="GM1124" i="98"/>
  <c r="GD1124" i="98"/>
  <c r="GM948" i="98"/>
  <c r="GI948" i="98"/>
  <c r="GD948" i="98"/>
  <c r="GM1234" i="98"/>
  <c r="GD1234" i="98"/>
  <c r="GE973" i="98"/>
  <c r="FW1607" i="98"/>
  <c r="GA506" i="98"/>
  <c r="GB506" i="98"/>
  <c r="GC506" i="98"/>
  <c r="GD506" i="98"/>
  <c r="FZ506" i="98"/>
  <c r="GE506" i="98"/>
  <c r="GF886" i="98"/>
  <c r="GJ886" i="98"/>
  <c r="GN886" i="98"/>
  <c r="FT886" i="98"/>
  <c r="GG886" i="98"/>
  <c r="GK886" i="98"/>
  <c r="GO886" i="98"/>
  <c r="GI886" i="98"/>
  <c r="GQ886" i="98"/>
  <c r="GL886" i="98"/>
  <c r="GM886" i="98"/>
  <c r="GH886" i="98"/>
  <c r="GP886" i="98"/>
  <c r="FW886" i="98"/>
  <c r="GF776" i="98"/>
  <c r="GJ776" i="98"/>
  <c r="GN776" i="98"/>
  <c r="FT776" i="98"/>
  <c r="GG776" i="98"/>
  <c r="GK776" i="98"/>
  <c r="GO776" i="98"/>
  <c r="GH776" i="98"/>
  <c r="GP776" i="98"/>
  <c r="GI776" i="98"/>
  <c r="GQ776" i="98"/>
  <c r="GL776" i="98"/>
  <c r="GM776" i="98"/>
  <c r="FW776" i="98"/>
  <c r="GJ481" i="98"/>
  <c r="GM481" i="98"/>
  <c r="GP481" i="98"/>
  <c r="GI723" i="98"/>
  <c r="GI659" i="98"/>
  <c r="GI595" i="98"/>
  <c r="GJ450" i="98"/>
  <c r="GM450" i="98"/>
  <c r="GP450" i="98"/>
  <c r="GI281" i="98"/>
  <c r="GP281" i="98"/>
  <c r="GP255" i="98"/>
  <c r="GG255" i="98"/>
  <c r="GJ255" i="98"/>
  <c r="GI217" i="98"/>
  <c r="GG217" i="98"/>
  <c r="GJ217" i="98"/>
  <c r="GG1158" i="98"/>
  <c r="GJ1549" i="98"/>
  <c r="GG1549" i="98"/>
  <c r="GI1251" i="98"/>
  <c r="GJ1171" i="98"/>
  <c r="GG1171" i="98"/>
  <c r="GG1295" i="98"/>
  <c r="GJ1263" i="98"/>
  <c r="GI1263" i="98"/>
  <c r="GI1238" i="98"/>
  <c r="GG1238" i="98"/>
  <c r="GJ1229" i="98"/>
  <c r="GG1229" i="98"/>
  <c r="GM1229" i="98"/>
  <c r="GM1222" i="98"/>
  <c r="GJ1222" i="98"/>
  <c r="GI1174" i="98"/>
  <c r="GJ1165" i="98"/>
  <c r="GG1165" i="98"/>
  <c r="GM1165" i="98"/>
  <c r="GM1158" i="98"/>
  <c r="GJ1158" i="98"/>
  <c r="GJ1411" i="98"/>
  <c r="GG1411" i="98"/>
  <c r="GJ1379" i="98"/>
  <c r="GM1379" i="98"/>
  <c r="GM1347" i="98"/>
  <c r="GG1305" i="98"/>
  <c r="GM1305" i="98"/>
  <c r="GP1273" i="98"/>
  <c r="GP1241" i="98"/>
  <c r="GJ994" i="98"/>
  <c r="GG978" i="98"/>
  <c r="GM932" i="98"/>
  <c r="GP932" i="98"/>
  <c r="GM900" i="98"/>
  <c r="GP900" i="98"/>
  <c r="GM884" i="98"/>
  <c r="GP884" i="98"/>
  <c r="GM868" i="98"/>
  <c r="GP868" i="98"/>
  <c r="GM852" i="98"/>
  <c r="GP852" i="98"/>
  <c r="GM820" i="98"/>
  <c r="GP820" i="98"/>
  <c r="GM804" i="98"/>
  <c r="GP804" i="98"/>
  <c r="GM788" i="98"/>
  <c r="GP788" i="98"/>
  <c r="GM1079" i="98"/>
  <c r="FT1028" i="98"/>
  <c r="GD1028" i="98" s="1"/>
  <c r="GG1028" i="98"/>
  <c r="GM1028" i="98"/>
  <c r="FW1028" i="98"/>
  <c r="GP925" i="98"/>
  <c r="GJ925" i="98"/>
  <c r="GM925" i="98"/>
  <c r="GI917" i="98"/>
  <c r="GP893" i="98"/>
  <c r="GJ893" i="98"/>
  <c r="GM893" i="98"/>
  <c r="GI885" i="98"/>
  <c r="GP861" i="98"/>
  <c r="GJ861" i="98"/>
  <c r="GM861" i="98"/>
  <c r="GI853" i="98"/>
  <c r="GP829" i="98"/>
  <c r="GJ829" i="98"/>
  <c r="GM829" i="98"/>
  <c r="GI821" i="98"/>
  <c r="GP797" i="98"/>
  <c r="GJ797" i="98"/>
  <c r="GM797" i="98"/>
  <c r="GI789" i="98"/>
  <c r="GI911" i="98"/>
  <c r="GJ895" i="98"/>
  <c r="GG895" i="98"/>
  <c r="GJ879" i="98"/>
  <c r="GG879" i="98"/>
  <c r="GI831" i="98"/>
  <c r="GJ815" i="98"/>
  <c r="GG815" i="98"/>
  <c r="GJ509" i="98"/>
  <c r="GM509" i="98"/>
  <c r="GP509" i="98"/>
  <c r="GI481" i="98"/>
  <c r="GJ770" i="98"/>
  <c r="GG770" i="98"/>
  <c r="GI739" i="98"/>
  <c r="GI675" i="98"/>
  <c r="GI611" i="98"/>
  <c r="GI450" i="98"/>
  <c r="GI414" i="98"/>
  <c r="GJ383" i="98"/>
  <c r="GI383" i="98"/>
  <c r="GG383" i="98"/>
  <c r="GM248" i="98"/>
  <c r="GP248" i="98"/>
  <c r="GJ219" i="98"/>
  <c r="GI219" i="98"/>
  <c r="GP217" i="98"/>
  <c r="GG905" i="98"/>
  <c r="GI905" i="98"/>
  <c r="GM497" i="98"/>
  <c r="GI763" i="98"/>
  <c r="GP763" i="98"/>
  <c r="GM763" i="98"/>
  <c r="GJ763" i="98"/>
  <c r="GG763" i="98"/>
  <c r="GG1222" i="98"/>
  <c r="GM1549" i="98"/>
  <c r="GP1549" i="98"/>
  <c r="GJ1251" i="98"/>
  <c r="GG1251" i="98"/>
  <c r="GP1169" i="98"/>
  <c r="GG1095" i="98"/>
  <c r="GG1263" i="98"/>
  <c r="GJ1245" i="98"/>
  <c r="GG1245" i="98"/>
  <c r="GM1245" i="98"/>
  <c r="GM1238" i="98"/>
  <c r="GJ1238" i="98"/>
  <c r="GP1229" i="98"/>
  <c r="GI1229" i="98"/>
  <c r="GI1222" i="98"/>
  <c r="GJ1213" i="98"/>
  <c r="GG1213" i="98"/>
  <c r="GM1213" i="98"/>
  <c r="GP1197" i="98"/>
  <c r="GG1190" i="98"/>
  <c r="GP1174" i="98"/>
  <c r="GP1165" i="98"/>
  <c r="GI1165" i="98"/>
  <c r="GI1158" i="98"/>
  <c r="GJ1475" i="98"/>
  <c r="GM1475" i="98"/>
  <c r="GI1411" i="98"/>
  <c r="GG1379" i="98"/>
  <c r="GJ1347" i="98"/>
  <c r="GG1347" i="98"/>
  <c r="GJ1315" i="98"/>
  <c r="GM1315" i="98"/>
  <c r="GI1305" i="98"/>
  <c r="GG1273" i="98"/>
  <c r="GM1273" i="98"/>
  <c r="GG1241" i="98"/>
  <c r="GM1241" i="98"/>
  <c r="GI1179" i="98"/>
  <c r="GG994" i="98"/>
  <c r="GM978" i="98"/>
  <c r="GP978" i="98"/>
  <c r="GI932" i="98"/>
  <c r="GI900" i="98"/>
  <c r="GI884" i="98"/>
  <c r="GI868" i="98"/>
  <c r="GI852" i="98"/>
  <c r="GI820" i="98"/>
  <c r="GI804" i="98"/>
  <c r="GI788" i="98"/>
  <c r="GI1089" i="98"/>
  <c r="GG1089" i="98"/>
  <c r="GG1079" i="98"/>
  <c r="GJ1079" i="98"/>
  <c r="GI1079" i="98"/>
  <c r="GJ1021" i="98"/>
  <c r="GJ971" i="98"/>
  <c r="GM971" i="98"/>
  <c r="GP971" i="98"/>
  <c r="GP933" i="98"/>
  <c r="GJ933" i="98"/>
  <c r="GI925" i="98"/>
  <c r="GG917" i="98"/>
  <c r="GP901" i="98"/>
  <c r="GJ901" i="98"/>
  <c r="GI893" i="98"/>
  <c r="GG885" i="98"/>
  <c r="GP869" i="98"/>
  <c r="GJ869" i="98"/>
  <c r="GI861" i="98"/>
  <c r="GG853" i="98"/>
  <c r="GP837" i="98"/>
  <c r="GJ837" i="98"/>
  <c r="GI829" i="98"/>
  <c r="GG821" i="98"/>
  <c r="GP805" i="98"/>
  <c r="GJ805" i="98"/>
  <c r="GI797" i="98"/>
  <c r="GG789" i="98"/>
  <c r="FT934" i="98"/>
  <c r="GJ934" i="98" s="1"/>
  <c r="FW934" i="98"/>
  <c r="GI927" i="98"/>
  <c r="GJ911" i="98"/>
  <c r="GG911" i="98"/>
  <c r="GP895" i="98"/>
  <c r="GP879" i="98"/>
  <c r="GI847" i="98"/>
  <c r="GJ831" i="98"/>
  <c r="GG831" i="98"/>
  <c r="GP815" i="98"/>
  <c r="GI783" i="98"/>
  <c r="GG485" i="98"/>
  <c r="GJ347" i="98"/>
  <c r="GP347" i="98"/>
  <c r="GI509" i="98"/>
  <c r="GM770" i="98"/>
  <c r="GP770" i="98"/>
  <c r="GG505" i="98"/>
  <c r="GG771" i="98"/>
  <c r="GJ771" i="98"/>
  <c r="GM771" i="98"/>
  <c r="GP771" i="98"/>
  <c r="GI755" i="98"/>
  <c r="GG707" i="98"/>
  <c r="GJ707" i="98"/>
  <c r="GM707" i="98"/>
  <c r="GP707" i="98"/>
  <c r="GI691" i="98"/>
  <c r="GG643" i="98"/>
  <c r="GJ643" i="98"/>
  <c r="GM643" i="98"/>
  <c r="GP643" i="98"/>
  <c r="GI627" i="98"/>
  <c r="GG579" i="98"/>
  <c r="GJ579" i="98"/>
  <c r="GM579" i="98"/>
  <c r="GP579" i="98"/>
  <c r="GG524" i="98"/>
  <c r="GG567" i="98"/>
  <c r="GP567" i="98"/>
  <c r="GG414" i="98"/>
  <c r="GG402" i="98"/>
  <c r="GM383" i="98"/>
  <c r="GI248" i="98"/>
  <c r="GJ264" i="98"/>
  <c r="GM264" i="98"/>
  <c r="GM281" i="98"/>
  <c r="GI257" i="98"/>
  <c r="GG257" i="98"/>
  <c r="GI92" i="98"/>
  <c r="GI963" i="98"/>
  <c r="GM963" i="98"/>
  <c r="GP905" i="98"/>
  <c r="GM905" i="98"/>
  <c r="GI833" i="98"/>
  <c r="GM833" i="98"/>
  <c r="GJ833" i="98"/>
  <c r="GP833" i="98"/>
  <c r="GG919" i="98"/>
  <c r="GJ919" i="98"/>
  <c r="GI919" i="98"/>
  <c r="GJ798" i="98"/>
  <c r="GG798" i="98"/>
  <c r="GI798" i="98"/>
  <c r="GP798" i="98"/>
  <c r="GM798" i="98"/>
  <c r="GG333" i="98"/>
  <c r="GP333" i="98"/>
  <c r="GI333" i="98"/>
  <c r="GP1251" i="98"/>
  <c r="GJ1095" i="98"/>
  <c r="GM1095" i="98"/>
  <c r="GP1095" i="98"/>
  <c r="GP1245" i="98"/>
  <c r="GP1222" i="98"/>
  <c r="GP1213" i="98"/>
  <c r="GG1174" i="98"/>
  <c r="GP1158" i="98"/>
  <c r="GI1379" i="98"/>
  <c r="GI1347" i="98"/>
  <c r="GJ1273" i="98"/>
  <c r="GJ1241" i="98"/>
  <c r="GM994" i="98"/>
  <c r="GP994" i="98"/>
  <c r="GP1089" i="98"/>
  <c r="FT1012" i="98"/>
  <c r="FZ1012" i="98" s="1"/>
  <c r="FW1012" i="98"/>
  <c r="GG971" i="98"/>
  <c r="GI971" i="98"/>
  <c r="GG925" i="98"/>
  <c r="GG893" i="98"/>
  <c r="GG861" i="98"/>
  <c r="GG829" i="98"/>
  <c r="GG797" i="98"/>
  <c r="GP911" i="98"/>
  <c r="GP831" i="98"/>
  <c r="GJ485" i="98"/>
  <c r="GM485" i="98"/>
  <c r="GP485" i="98"/>
  <c r="GG481" i="98"/>
  <c r="GJ505" i="98"/>
  <c r="GM505" i="98"/>
  <c r="GP505" i="98"/>
  <c r="GI771" i="98"/>
  <c r="GG723" i="98"/>
  <c r="GJ723" i="98"/>
  <c r="GM723" i="98"/>
  <c r="GP723" i="98"/>
  <c r="GI707" i="98"/>
  <c r="GG659" i="98"/>
  <c r="GJ659" i="98"/>
  <c r="GM659" i="98"/>
  <c r="GP659" i="98"/>
  <c r="GI643" i="98"/>
  <c r="GG595" i="98"/>
  <c r="GJ595" i="98"/>
  <c r="GM595" i="98"/>
  <c r="GP595" i="98"/>
  <c r="GI579" i="98"/>
  <c r="GJ524" i="98"/>
  <c r="GM524" i="98"/>
  <c r="GP524" i="98"/>
  <c r="GM567" i="98"/>
  <c r="GG450" i="98"/>
  <c r="GG281" i="98"/>
  <c r="GJ281" i="98"/>
  <c r="GI255" i="98"/>
  <c r="GM217" i="98"/>
  <c r="GG92" i="98"/>
  <c r="GJ92" i="98"/>
  <c r="GM92" i="98"/>
  <c r="GG809" i="98"/>
  <c r="GI809" i="98"/>
  <c r="GJ862" i="98"/>
  <c r="GG862" i="98"/>
  <c r="GI862" i="98"/>
  <c r="GP862" i="98"/>
  <c r="GM862" i="98"/>
  <c r="GG497" i="98"/>
  <c r="GI497" i="98"/>
  <c r="GF246" i="98"/>
  <c r="GJ246" i="98"/>
  <c r="GN246" i="98"/>
  <c r="FT246" i="98"/>
  <c r="GG246" i="98"/>
  <c r="GK246" i="98"/>
  <c r="GO246" i="98"/>
  <c r="GI246" i="98"/>
  <c r="GQ246" i="98"/>
  <c r="GL246" i="98"/>
  <c r="GM246" i="98"/>
  <c r="GP246" i="98"/>
  <c r="GH246" i="98"/>
  <c r="FW246" i="98"/>
  <c r="GG227" i="98"/>
  <c r="GI227" i="98"/>
  <c r="GJ211" i="98"/>
  <c r="GM203" i="98"/>
  <c r="GG881" i="98"/>
  <c r="GG785" i="98"/>
  <c r="GG489" i="98"/>
  <c r="GP910" i="98"/>
  <c r="GI910" i="98"/>
  <c r="GG910" i="98"/>
  <c r="GJ910" i="98"/>
  <c r="GP782" i="98"/>
  <c r="GI782" i="98"/>
  <c r="GG782" i="98"/>
  <c r="GJ782" i="98"/>
  <c r="GG732" i="98"/>
  <c r="GJ732" i="98"/>
  <c r="GM732" i="98"/>
  <c r="GG752" i="98"/>
  <c r="GJ752" i="98"/>
  <c r="GM752" i="98"/>
  <c r="GG608" i="98"/>
  <c r="GJ608" i="98"/>
  <c r="GM608" i="98"/>
  <c r="GJ715" i="98"/>
  <c r="GM715" i="98"/>
  <c r="GP715" i="98"/>
  <c r="GI667" i="98"/>
  <c r="GG619" i="98"/>
  <c r="GG435" i="98"/>
  <c r="GJ435" i="98"/>
  <c r="GM435" i="98"/>
  <c r="GP464" i="98"/>
  <c r="GI412" i="98"/>
  <c r="GP412" i="98"/>
  <c r="GJ263" i="98"/>
  <c r="GI263" i="98"/>
  <c r="GI240" i="98"/>
  <c r="GG282" i="98"/>
  <c r="GJ282" i="98"/>
  <c r="GM282" i="98"/>
  <c r="GI233" i="98"/>
  <c r="GI254" i="98"/>
  <c r="GG254" i="98"/>
  <c r="GJ254" i="98"/>
  <c r="GI192" i="98"/>
  <c r="GJ209" i="98"/>
  <c r="GI209" i="98"/>
  <c r="GP180" i="98"/>
  <c r="GG180" i="98"/>
  <c r="GM185" i="98"/>
  <c r="GG185" i="98"/>
  <c r="GJ185" i="98"/>
  <c r="GG177" i="98"/>
  <c r="GJ177" i="98"/>
  <c r="GM150" i="98"/>
  <c r="GI1271" i="98"/>
  <c r="GI1678" i="98"/>
  <c r="GG1674" i="98"/>
  <c r="GM1674" i="98"/>
  <c r="GG1615" i="98"/>
  <c r="GJ1615" i="98"/>
  <c r="GM1615" i="98"/>
  <c r="GI1599" i="98"/>
  <c r="GG1531" i="98"/>
  <c r="GJ1531" i="98"/>
  <c r="GM1531" i="98"/>
  <c r="GI648" i="98"/>
  <c r="GM1105" i="98"/>
  <c r="GJ600" i="98"/>
  <c r="GI600" i="98"/>
  <c r="GI1223" i="98"/>
  <c r="GI1183" i="98"/>
  <c r="GJ1183" i="98"/>
  <c r="GI1355" i="98"/>
  <c r="GP1103" i="98"/>
  <c r="GM990" i="98"/>
  <c r="GG990" i="98"/>
  <c r="GM1033" i="98"/>
  <c r="GP1033" i="98"/>
  <c r="GI1008" i="98"/>
  <c r="GM1008" i="98"/>
  <c r="GI779" i="98"/>
  <c r="GG754" i="98"/>
  <c r="GJ679" i="98"/>
  <c r="GI583" i="98"/>
  <c r="GG583" i="98"/>
  <c r="GM583" i="98"/>
  <c r="GG490" i="98"/>
  <c r="GM439" i="98"/>
  <c r="GJ439" i="98"/>
  <c r="GG439" i="98"/>
  <c r="GP439" i="98"/>
  <c r="GI439" i="98"/>
  <c r="GG457" i="98"/>
  <c r="GI457" i="98"/>
  <c r="GM457" i="98"/>
  <c r="GP241" i="98"/>
  <c r="GJ241" i="98"/>
  <c r="GG203" i="98"/>
  <c r="GP138" i="98"/>
  <c r="GP163" i="98"/>
  <c r="GP155" i="98"/>
  <c r="GJ489" i="98"/>
  <c r="GM489" i="98"/>
  <c r="GP489" i="98"/>
  <c r="GP732" i="98"/>
  <c r="GI732" i="98"/>
  <c r="GI752" i="98"/>
  <c r="GI608" i="98"/>
  <c r="GI715" i="98"/>
  <c r="GI435" i="98"/>
  <c r="GG418" i="98"/>
  <c r="GJ418" i="98"/>
  <c r="GM418" i="98"/>
  <c r="GP418" i="98"/>
  <c r="GJ240" i="98"/>
  <c r="GG240" i="98"/>
  <c r="GI282" i="98"/>
  <c r="GJ180" i="98"/>
  <c r="GM180" i="98"/>
  <c r="GI185" i="98"/>
  <c r="GP185" i="98"/>
  <c r="GI177" i="98"/>
  <c r="GP1271" i="98"/>
  <c r="GG1271" i="98"/>
  <c r="GG1678" i="98"/>
  <c r="GM1678" i="98"/>
  <c r="GJ1674" i="98"/>
  <c r="GI1674" i="98"/>
  <c r="GP1674" i="98"/>
  <c r="GI1615" i="98"/>
  <c r="GI1531" i="98"/>
  <c r="GG1471" i="98"/>
  <c r="GI1471" i="98"/>
  <c r="GJ1471" i="98"/>
  <c r="GG600" i="98"/>
  <c r="GM1103" i="98"/>
  <c r="GG1103" i="98"/>
  <c r="GI990" i="98"/>
  <c r="GG1071" i="98"/>
  <c r="GG1033" i="98"/>
  <c r="GI827" i="98"/>
  <c r="GM779" i="98"/>
  <c r="GP779" i="98"/>
  <c r="GG631" i="98"/>
  <c r="GP562" i="98"/>
  <c r="GG562" i="98"/>
  <c r="GP490" i="98"/>
  <c r="GI418" i="98"/>
  <c r="GI180" i="98"/>
  <c r="FT119" i="98"/>
  <c r="GE119" i="98" s="1"/>
  <c r="GP119" i="98"/>
  <c r="GM119" i="98"/>
  <c r="FW119" i="98"/>
  <c r="FT103" i="98"/>
  <c r="GE103" i="98" s="1"/>
  <c r="GP103" i="98"/>
  <c r="GM103" i="98"/>
  <c r="FW103" i="98"/>
  <c r="GJ1678" i="98"/>
  <c r="GP1678" i="98"/>
  <c r="GP600" i="98"/>
  <c r="GG1355" i="98"/>
  <c r="GP1355" i="98"/>
  <c r="GI1103" i="98"/>
  <c r="GM1071" i="98"/>
  <c r="GI1071" i="98"/>
  <c r="GJ1008" i="98"/>
  <c r="GG1008" i="98"/>
  <c r="GG859" i="98"/>
  <c r="GJ859" i="98"/>
  <c r="GM827" i="98"/>
  <c r="GG779" i="98"/>
  <c r="GJ779" i="98"/>
  <c r="GJ523" i="98"/>
  <c r="GG523" i="98"/>
  <c r="GM523" i="98"/>
  <c r="GI523" i="98"/>
  <c r="GP523" i="98"/>
  <c r="GP754" i="98"/>
  <c r="GM679" i="98"/>
  <c r="GP631" i="98"/>
  <c r="GM631" i="98"/>
  <c r="GJ631" i="98"/>
  <c r="GI631" i="98"/>
  <c r="GI562" i="98"/>
  <c r="GM562" i="98"/>
  <c r="GI490" i="98"/>
  <c r="GJ490" i="98"/>
  <c r="GM460" i="98"/>
  <c r="GM240" i="98"/>
  <c r="GP240" i="98"/>
  <c r="GM600" i="98"/>
  <c r="GJ1103" i="98"/>
  <c r="GJ1033" i="98"/>
  <c r="GI1033" i="98"/>
  <c r="GP827" i="98"/>
  <c r="GJ827" i="98"/>
  <c r="GP679" i="98"/>
  <c r="GG679" i="98"/>
  <c r="GI679" i="98"/>
  <c r="GP445" i="98"/>
  <c r="GM445" i="98"/>
  <c r="GJ445" i="98"/>
  <c r="GG445" i="98"/>
  <c r="GI445" i="98"/>
  <c r="GJ460" i="98"/>
  <c r="GG460" i="98"/>
  <c r="GI460" i="98"/>
  <c r="GP460" i="98"/>
  <c r="GP1545" i="98"/>
  <c r="GM1545" i="98"/>
  <c r="GG1545" i="98"/>
  <c r="GJ1545" i="98"/>
  <c r="GI1545" i="98"/>
  <c r="GM1595" i="98"/>
  <c r="GJ1595" i="98"/>
  <c r="GG1595" i="98"/>
  <c r="GI1595" i="98"/>
  <c r="GM1217" i="98"/>
  <c r="GG1217" i="98"/>
  <c r="GP1217" i="98"/>
  <c r="GJ1217" i="98"/>
  <c r="GI1217" i="98"/>
  <c r="GG1111" i="98"/>
  <c r="GP1111" i="98"/>
  <c r="GJ1111" i="98"/>
  <c r="GI1111" i="98"/>
  <c r="GM1111" i="98"/>
  <c r="GP298" i="98"/>
  <c r="GP285" i="98"/>
  <c r="GI251" i="98"/>
  <c r="GP221" i="98"/>
  <c r="GI1579" i="98"/>
  <c r="GM1579" i="98"/>
  <c r="GJ1579" i="98"/>
  <c r="GG1579" i="98"/>
  <c r="GM1607" i="98"/>
  <c r="GJ1607" i="98"/>
  <c r="GG1607" i="98"/>
  <c r="GP1607" i="98"/>
  <c r="GM1495" i="98"/>
  <c r="GM1399" i="98"/>
  <c r="GG1367" i="98"/>
  <c r="GI1367" i="98"/>
  <c r="GJ1367" i="98"/>
  <c r="GP1367" i="98"/>
  <c r="GP1267" i="98"/>
  <c r="GI1185" i="98"/>
  <c r="GJ1185" i="98"/>
  <c r="GM1185" i="98"/>
  <c r="GG1185" i="98"/>
  <c r="GP1155" i="98"/>
  <c r="GI1002" i="98"/>
  <c r="GI1467" i="98"/>
  <c r="GP1467" i="98"/>
  <c r="GG1467" i="98"/>
  <c r="GI1403" i="98"/>
  <c r="GJ1403" i="98"/>
  <c r="GG1403" i="98"/>
  <c r="GM1193" i="98"/>
  <c r="GG1193" i="98"/>
  <c r="GG904" i="98"/>
  <c r="GJ904" i="98"/>
  <c r="GP904" i="98"/>
  <c r="GG888" i="98"/>
  <c r="GJ888" i="98"/>
  <c r="GI888" i="98"/>
  <c r="GP888" i="98"/>
  <c r="GM840" i="98"/>
  <c r="GM824" i="98"/>
  <c r="GG1065" i="98"/>
  <c r="GI1065" i="98"/>
  <c r="GP1065" i="98"/>
  <c r="GG947" i="98"/>
  <c r="GI947" i="98"/>
  <c r="GJ947" i="98"/>
  <c r="GM947" i="98"/>
  <c r="GP947" i="98"/>
  <c r="FT922" i="98"/>
  <c r="GD922" i="98" s="1"/>
  <c r="GM922" i="98"/>
  <c r="FW922" i="98"/>
  <c r="FT858" i="98"/>
  <c r="GE858" i="98" s="1"/>
  <c r="FW858" i="98"/>
  <c r="FT794" i="98"/>
  <c r="FZ794" i="98" s="1"/>
  <c r="FW794" i="98"/>
  <c r="GJ719" i="98"/>
  <c r="GP719" i="98"/>
  <c r="GJ655" i="98"/>
  <c r="GP655" i="98"/>
  <c r="GJ591" i="98"/>
  <c r="GP591" i="98"/>
  <c r="GI468" i="98"/>
  <c r="GP452" i="98"/>
  <c r="GJ452" i="98"/>
  <c r="GG452" i="98"/>
  <c r="GM452" i="98"/>
  <c r="GI452" i="98"/>
  <c r="FT346" i="98"/>
  <c r="GG346" i="98"/>
  <c r="GK346" i="98"/>
  <c r="GO346" i="98"/>
  <c r="GI346" i="98"/>
  <c r="GN346" i="98"/>
  <c r="GJ346" i="98"/>
  <c r="GP346" i="98"/>
  <c r="GF346" i="98"/>
  <c r="GQ346" i="98"/>
  <c r="GH346" i="98"/>
  <c r="GL346" i="98"/>
  <c r="GM346" i="98"/>
  <c r="FW346" i="98"/>
  <c r="GG252" i="98"/>
  <c r="GJ252" i="98"/>
  <c r="GP252" i="98"/>
  <c r="GI208" i="98"/>
  <c r="FT208" i="98"/>
  <c r="GE208" i="98" s="1"/>
  <c r="FW208" i="98"/>
  <c r="GG201" i="98"/>
  <c r="GI201" i="98"/>
  <c r="GP201" i="98"/>
  <c r="FT172" i="98"/>
  <c r="GM172" i="98" s="1"/>
  <c r="FW172" i="98"/>
  <c r="GJ161" i="98"/>
  <c r="GM145" i="98"/>
  <c r="GJ145" i="98"/>
  <c r="GI145" i="98"/>
  <c r="FT114" i="98"/>
  <c r="GJ114" i="98" s="1"/>
  <c r="FW114" i="98"/>
  <c r="GG115" i="98"/>
  <c r="GJ115" i="98"/>
  <c r="GG107" i="98"/>
  <c r="GJ107" i="98"/>
  <c r="GM107" i="98"/>
  <c r="GP107" i="98"/>
  <c r="GM892" i="98"/>
  <c r="GM780" i="98"/>
  <c r="GP1063" i="98"/>
  <c r="GI1020" i="98"/>
  <c r="GI998" i="98"/>
  <c r="GG979" i="98"/>
  <c r="GM979" i="98"/>
  <c r="GP897" i="98"/>
  <c r="GM897" i="98"/>
  <c r="GI825" i="98"/>
  <c r="GM825" i="98"/>
  <c r="GJ825" i="98"/>
  <c r="GP825" i="98"/>
  <c r="GG839" i="98"/>
  <c r="GJ839" i="98"/>
  <c r="GI839" i="98"/>
  <c r="GG758" i="98"/>
  <c r="GJ521" i="98"/>
  <c r="GP521" i="98"/>
  <c r="GI660" i="98"/>
  <c r="GM660" i="98"/>
  <c r="GJ660" i="98"/>
  <c r="GG660" i="98"/>
  <c r="GP559" i="98"/>
  <c r="GJ559" i="98"/>
  <c r="GG559" i="98"/>
  <c r="GI559" i="98"/>
  <c r="GI467" i="98"/>
  <c r="GM467" i="98"/>
  <c r="GJ467" i="98"/>
  <c r="GG467" i="98"/>
  <c r="GP467" i="98"/>
  <c r="GI225" i="98"/>
  <c r="GG225" i="98"/>
  <c r="GM225" i="98"/>
  <c r="GJ225" i="98"/>
  <c r="GI1330" i="98"/>
  <c r="GG1327" i="98"/>
  <c r="GI1327" i="98"/>
  <c r="GJ1327" i="98"/>
  <c r="GM1327" i="98"/>
  <c r="GP1327" i="98"/>
  <c r="GG1048" i="98"/>
  <c r="GI1048" i="98"/>
  <c r="GG784" i="98"/>
  <c r="GJ784" i="98"/>
  <c r="GI784" i="98"/>
  <c r="GJ898" i="98"/>
  <c r="GG898" i="98"/>
  <c r="GI898" i="98"/>
  <c r="GP898" i="98"/>
  <c r="GM898" i="98"/>
  <c r="GI750" i="98"/>
  <c r="GI674" i="98"/>
  <c r="GI334" i="98"/>
  <c r="GJ334" i="98"/>
  <c r="GG334" i="98"/>
  <c r="GP334" i="98"/>
  <c r="GM334" i="98"/>
  <c r="GI322" i="98"/>
  <c r="GM322" i="98"/>
  <c r="GJ322" i="98"/>
  <c r="GG322" i="98"/>
  <c r="GP322" i="98"/>
  <c r="GJ1394" i="98"/>
  <c r="GJ1667" i="98"/>
  <c r="GJ1370" i="98"/>
  <c r="GI970" i="98"/>
  <c r="GP1013" i="98"/>
  <c r="GG1013" i="98"/>
  <c r="GM1013" i="98"/>
  <c r="GI1013" i="98"/>
  <c r="GJ1013" i="98"/>
  <c r="GG913" i="98"/>
  <c r="GI913" i="98"/>
  <c r="GM913" i="98"/>
  <c r="GJ913" i="98"/>
  <c r="GP913" i="98"/>
  <c r="GG817" i="98"/>
  <c r="GI817" i="98"/>
  <c r="GM817" i="98"/>
  <c r="GJ817" i="98"/>
  <c r="GP817" i="98"/>
  <c r="GI668" i="98"/>
  <c r="GM668" i="98"/>
  <c r="GJ668" i="98"/>
  <c r="GG668" i="98"/>
  <c r="GG325" i="98"/>
  <c r="GP325" i="98"/>
  <c r="GI325" i="98"/>
  <c r="GI142" i="98"/>
  <c r="GG142" i="98"/>
  <c r="GG1662" i="98"/>
  <c r="GI1662" i="98"/>
  <c r="GP1662" i="98"/>
  <c r="GM1662" i="98"/>
  <c r="GJ1662" i="98"/>
  <c r="GM950" i="98"/>
  <c r="GM493" i="98"/>
  <c r="GM1080" i="98"/>
  <c r="GG843" i="98"/>
  <c r="GJ843" i="98"/>
  <c r="GM802" i="98"/>
  <c r="GP543" i="98"/>
  <c r="GI298" i="98"/>
  <c r="GJ298" i="98"/>
  <c r="GM285" i="98"/>
  <c r="GJ251" i="98"/>
  <c r="GP251" i="98"/>
  <c r="GM124" i="98"/>
  <c r="GP124" i="98"/>
  <c r="GJ124" i="98"/>
  <c r="FT1338" i="98"/>
  <c r="FZ1338" i="98" s="1"/>
  <c r="FW1338" i="98"/>
  <c r="GI1571" i="98"/>
  <c r="GM1571" i="98"/>
  <c r="GJ1571" i="98"/>
  <c r="GG1571" i="98"/>
  <c r="GI1514" i="98"/>
  <c r="GP1514" i="98"/>
  <c r="GM1514" i="98"/>
  <c r="GJ1514" i="98"/>
  <c r="GG1510" i="98"/>
  <c r="GM1510" i="98"/>
  <c r="GP1495" i="98"/>
  <c r="GG1447" i="98"/>
  <c r="GI1447" i="98"/>
  <c r="GJ1447" i="98"/>
  <c r="GP1447" i="98"/>
  <c r="GM1447" i="98"/>
  <c r="GP1399" i="98"/>
  <c r="GG1383" i="98"/>
  <c r="GI1383" i="98"/>
  <c r="GJ1383" i="98"/>
  <c r="GG1319" i="98"/>
  <c r="GI1319" i="98"/>
  <c r="GJ1319" i="98"/>
  <c r="GP1319" i="98"/>
  <c r="GP1185" i="98"/>
  <c r="GJ1002" i="98"/>
  <c r="GP1002" i="98"/>
  <c r="GM1309" i="98"/>
  <c r="GG1309" i="98"/>
  <c r="GJ1309" i="98"/>
  <c r="GM1499" i="98"/>
  <c r="GM1435" i="98"/>
  <c r="GP1403" i="98"/>
  <c r="GM1371" i="98"/>
  <c r="GG1243" i="98"/>
  <c r="GJ1243" i="98"/>
  <c r="GJ1193" i="98"/>
  <c r="GI1193" i="98"/>
  <c r="GI1145" i="98"/>
  <c r="GP1145" i="98"/>
  <c r="GM1145" i="98"/>
  <c r="GG1145" i="98"/>
  <c r="GJ1145" i="98"/>
  <c r="GP1135" i="98"/>
  <c r="GM1135" i="98"/>
  <c r="GG1135" i="98"/>
  <c r="FT1061" i="98"/>
  <c r="GD1061" i="98" s="1"/>
  <c r="GJ1061" i="98"/>
  <c r="GP1061" i="98"/>
  <c r="FW1061" i="98"/>
  <c r="GI1055" i="98"/>
  <c r="GJ1055" i="98"/>
  <c r="GG1055" i="98"/>
  <c r="GP1009" i="98"/>
  <c r="GG1009" i="98"/>
  <c r="GM1009" i="98"/>
  <c r="GI1009" i="98"/>
  <c r="GI982" i="98"/>
  <c r="GP999" i="98"/>
  <c r="GM999" i="98"/>
  <c r="GJ999" i="98"/>
  <c r="GG999" i="98"/>
  <c r="GI999" i="98"/>
  <c r="GP742" i="98"/>
  <c r="GM742" i="98"/>
  <c r="GJ742" i="98"/>
  <c r="GG742" i="98"/>
  <c r="FT874" i="98"/>
  <c r="GJ874" i="98" s="1"/>
  <c r="FW874" i="98"/>
  <c r="FT810" i="98"/>
  <c r="GJ810" i="98" s="1"/>
  <c r="FW810" i="98"/>
  <c r="GJ553" i="98"/>
  <c r="GP553" i="98"/>
  <c r="GI735" i="98"/>
  <c r="GM735" i="98"/>
  <c r="GI671" i="98"/>
  <c r="GM671" i="98"/>
  <c r="GI607" i="98"/>
  <c r="GM607" i="98"/>
  <c r="GG453" i="98"/>
  <c r="GP563" i="98"/>
  <c r="GG398" i="98"/>
  <c r="GI139" i="98"/>
  <c r="FT139" i="98"/>
  <c r="GM139" i="98" s="1"/>
  <c r="FW139" i="98"/>
  <c r="GM161" i="98"/>
  <c r="GJ153" i="98"/>
  <c r="GP153" i="98"/>
  <c r="GG153" i="98"/>
  <c r="GP105" i="98"/>
  <c r="GP115" i="98"/>
  <c r="GG940" i="98"/>
  <c r="GJ940" i="98"/>
  <c r="GI940" i="98"/>
  <c r="GP940" i="98"/>
  <c r="GG1073" i="98"/>
  <c r="GI1073" i="98"/>
  <c r="GJ1073" i="98"/>
  <c r="GP1073" i="98"/>
  <c r="GG1041" i="98"/>
  <c r="GI1041" i="98"/>
  <c r="GP1020" i="98"/>
  <c r="GI979" i="98"/>
  <c r="GG825" i="98"/>
  <c r="GG801" i="98"/>
  <c r="GI801" i="98"/>
  <c r="GP887" i="98"/>
  <c r="GG887" i="98"/>
  <c r="GJ887" i="98"/>
  <c r="GP823" i="98"/>
  <c r="GG823" i="98"/>
  <c r="GJ823" i="98"/>
  <c r="GM758" i="98"/>
  <c r="GP678" i="98"/>
  <c r="GM678" i="98"/>
  <c r="GJ678" i="98"/>
  <c r="GG678" i="98"/>
  <c r="GG501" i="98"/>
  <c r="GM501" i="98"/>
  <c r="GG521" i="98"/>
  <c r="GP738" i="98"/>
  <c r="GM738" i="98"/>
  <c r="GG738" i="98"/>
  <c r="GJ738" i="98"/>
  <c r="GP660" i="98"/>
  <c r="GI587" i="98"/>
  <c r="GP587" i="98"/>
  <c r="GM587" i="98"/>
  <c r="GJ587" i="98"/>
  <c r="GG587" i="98"/>
  <c r="GM559" i="98"/>
  <c r="GP444" i="98"/>
  <c r="GJ444" i="98"/>
  <c r="GG444" i="98"/>
  <c r="GM444" i="98"/>
  <c r="GI444" i="98"/>
  <c r="GI330" i="98"/>
  <c r="GM330" i="98"/>
  <c r="GJ330" i="98"/>
  <c r="GG330" i="98"/>
  <c r="GP330" i="98"/>
  <c r="FT111" i="98"/>
  <c r="GD111" i="98" s="1"/>
  <c r="FW111" i="98"/>
  <c r="GM1330" i="98"/>
  <c r="GM1048" i="98"/>
  <c r="GI1387" i="98"/>
  <c r="GG1387" i="98"/>
  <c r="GJ1387" i="98"/>
  <c r="GM1387" i="98"/>
  <c r="GP1387" i="98"/>
  <c r="GG541" i="98"/>
  <c r="GI541" i="98"/>
  <c r="GM784" i="98"/>
  <c r="GI1627" i="98"/>
  <c r="GM1627" i="98"/>
  <c r="GJ1627" i="98"/>
  <c r="GG1627" i="98"/>
  <c r="GP1627" i="98"/>
  <c r="GI1683" i="98"/>
  <c r="GP1683" i="98"/>
  <c r="GM1683" i="98"/>
  <c r="GG1683" i="98"/>
  <c r="GJ1683" i="98"/>
  <c r="GG1287" i="98"/>
  <c r="GP1287" i="98"/>
  <c r="GI1287" i="98"/>
  <c r="GM1239" i="98"/>
  <c r="GG1283" i="98"/>
  <c r="GJ1283" i="98"/>
  <c r="GI1283" i="98"/>
  <c r="GM1279" i="98"/>
  <c r="GI1459" i="98"/>
  <c r="GP1459" i="98"/>
  <c r="GG1459" i="98"/>
  <c r="GJ1459" i="98"/>
  <c r="GM1459" i="98"/>
  <c r="GM1259" i="98"/>
  <c r="GI1209" i="98"/>
  <c r="GJ1209" i="98"/>
  <c r="GM1209" i="98"/>
  <c r="GG1209" i="98"/>
  <c r="GP1209" i="98"/>
  <c r="GI443" i="98"/>
  <c r="GM443" i="98"/>
  <c r="GJ443" i="98"/>
  <c r="GG443" i="98"/>
  <c r="GM142" i="98"/>
  <c r="GI1490" i="98"/>
  <c r="GG1490" i="98"/>
  <c r="GM1255" i="98"/>
  <c r="GG1487" i="98"/>
  <c r="GI1487" i="98"/>
  <c r="GJ1487" i="98"/>
  <c r="GP1487" i="98"/>
  <c r="GG880" i="98"/>
  <c r="GJ880" i="98"/>
  <c r="GI880" i="98"/>
  <c r="GP907" i="98"/>
  <c r="GG907" i="98"/>
  <c r="GJ907" i="98"/>
  <c r="GI907" i="98"/>
  <c r="GG135" i="98"/>
  <c r="GP135" i="98"/>
  <c r="GM135" i="98"/>
  <c r="GG1495" i="98"/>
  <c r="GI1495" i="98"/>
  <c r="GJ1495" i="98"/>
  <c r="GG1399" i="98"/>
  <c r="GI1399" i="98"/>
  <c r="GJ1399" i="98"/>
  <c r="GG1267" i="98"/>
  <c r="GJ1267" i="98"/>
  <c r="GG1155" i="98"/>
  <c r="GJ1155" i="98"/>
  <c r="GI1155" i="98"/>
  <c r="GG1002" i="98"/>
  <c r="GI1277" i="98"/>
  <c r="GP1277" i="98"/>
  <c r="GM1277" i="98"/>
  <c r="GG1277" i="98"/>
  <c r="GJ1277" i="98"/>
  <c r="GI1499" i="98"/>
  <c r="GG1499" i="98"/>
  <c r="GI1435" i="98"/>
  <c r="GG1435" i="98"/>
  <c r="GJ1435" i="98"/>
  <c r="GI1371" i="98"/>
  <c r="GJ1371" i="98"/>
  <c r="GG1371" i="98"/>
  <c r="GP1371" i="98"/>
  <c r="GG840" i="98"/>
  <c r="GJ840" i="98"/>
  <c r="GP840" i="98"/>
  <c r="GG824" i="98"/>
  <c r="GJ824" i="98"/>
  <c r="GI824" i="98"/>
  <c r="GP824" i="98"/>
  <c r="GG955" i="98"/>
  <c r="GI955" i="98"/>
  <c r="GJ955" i="98"/>
  <c r="GP955" i="98"/>
  <c r="GM955" i="98"/>
  <c r="FT890" i="98"/>
  <c r="GC890" i="98" s="1"/>
  <c r="GG890" i="98"/>
  <c r="GI890" i="98"/>
  <c r="GM890" i="98"/>
  <c r="GP890" i="98"/>
  <c r="FW890" i="98"/>
  <c r="GF826" i="98"/>
  <c r="GJ826" i="98"/>
  <c r="GN826" i="98"/>
  <c r="FT826" i="98"/>
  <c r="GG826" i="98"/>
  <c r="GK826" i="98"/>
  <c r="GO826" i="98"/>
  <c r="GI826" i="98"/>
  <c r="GQ826" i="98"/>
  <c r="GL826" i="98"/>
  <c r="GM826" i="98"/>
  <c r="GH826" i="98"/>
  <c r="GP826" i="98"/>
  <c r="FW826" i="98"/>
  <c r="GG553" i="98"/>
  <c r="GG719" i="98"/>
  <c r="GM719" i="98"/>
  <c r="GG655" i="98"/>
  <c r="GM655" i="98"/>
  <c r="GG591" i="98"/>
  <c r="GM591" i="98"/>
  <c r="GJ563" i="98"/>
  <c r="GG563" i="98"/>
  <c r="GM563" i="98"/>
  <c r="GI563" i="98"/>
  <c r="GP398" i="98"/>
  <c r="GM398" i="98"/>
  <c r="GJ398" i="98"/>
  <c r="GP468" i="98"/>
  <c r="GG358" i="98"/>
  <c r="GI358" i="98"/>
  <c r="GM358" i="98"/>
  <c r="GM342" i="98"/>
  <c r="GG892" i="98"/>
  <c r="GJ892" i="98"/>
  <c r="GP892" i="98"/>
  <c r="GG780" i="98"/>
  <c r="GJ780" i="98"/>
  <c r="GP780" i="98"/>
  <c r="GI1063" i="98"/>
  <c r="GJ1063" i="98"/>
  <c r="GG1063" i="98"/>
  <c r="GP1029" i="98"/>
  <c r="GJ1020" i="98"/>
  <c r="GG1020" i="98"/>
  <c r="GP998" i="98"/>
  <c r="GM998" i="98"/>
  <c r="GG998" i="98"/>
  <c r="GJ998" i="98"/>
  <c r="GI921" i="98"/>
  <c r="GM921" i="98"/>
  <c r="GJ921" i="98"/>
  <c r="GP921" i="98"/>
  <c r="GI521" i="98"/>
  <c r="GM521" i="98"/>
  <c r="GI318" i="98"/>
  <c r="GJ318" i="98"/>
  <c r="GG318" i="98"/>
  <c r="GP318" i="98"/>
  <c r="GM318" i="98"/>
  <c r="GJ834" i="98"/>
  <c r="GG834" i="98"/>
  <c r="GI834" i="98"/>
  <c r="GP834" i="98"/>
  <c r="GM834" i="98"/>
  <c r="GI415" i="98"/>
  <c r="GP415" i="98"/>
  <c r="GM415" i="98"/>
  <c r="GJ415" i="98"/>
  <c r="GG415" i="98"/>
  <c r="GG1394" i="98"/>
  <c r="GI1394" i="98"/>
  <c r="GI1370" i="98"/>
  <c r="GG1370" i="98"/>
  <c r="GI1101" i="98"/>
  <c r="GM1101" i="98"/>
  <c r="GJ1101" i="98"/>
  <c r="GG1101" i="98"/>
  <c r="GP1101" i="98"/>
  <c r="GI1161" i="98"/>
  <c r="GP1161" i="98"/>
  <c r="GM1161" i="98"/>
  <c r="GG1161" i="98"/>
  <c r="GJ1161" i="98"/>
  <c r="GI1129" i="98"/>
  <c r="GM1129" i="98"/>
  <c r="GJ1129" i="98"/>
  <c r="GG1129" i="98"/>
  <c r="GP1129" i="98"/>
  <c r="GI992" i="98"/>
  <c r="GP992" i="98"/>
  <c r="GM992" i="98"/>
  <c r="GJ992" i="98"/>
  <c r="GG992" i="98"/>
  <c r="GG908" i="98"/>
  <c r="GJ908" i="98"/>
  <c r="GI908" i="98"/>
  <c r="GP668" i="98"/>
  <c r="GI628" i="98"/>
  <c r="GM628" i="98"/>
  <c r="GJ628" i="98"/>
  <c r="GG628" i="98"/>
  <c r="GP628" i="98"/>
  <c r="GI603" i="98"/>
  <c r="GP603" i="98"/>
  <c r="GM603" i="98"/>
  <c r="GJ603" i="98"/>
  <c r="GG603" i="98"/>
  <c r="GJ325" i="98"/>
  <c r="GP189" i="98"/>
  <c r="GJ189" i="98"/>
  <c r="GG189" i="98"/>
  <c r="GM189" i="98"/>
  <c r="GI189" i="98"/>
  <c r="GI88" i="98"/>
  <c r="GG88" i="98"/>
  <c r="GJ88" i="98"/>
  <c r="GM88" i="98"/>
  <c r="GP88" i="98"/>
  <c r="GJ1270" i="98"/>
  <c r="GM1270" i="98"/>
  <c r="GG1270" i="98"/>
  <c r="GI1270" i="98"/>
  <c r="GP1270" i="98"/>
  <c r="GM1490" i="98"/>
  <c r="GM880" i="98"/>
  <c r="GG493" i="98"/>
  <c r="GI493" i="98"/>
  <c r="GI711" i="98"/>
  <c r="GG711" i="98"/>
  <c r="GP711" i="98"/>
  <c r="GM711" i="98"/>
  <c r="GJ711" i="98"/>
  <c r="GP982" i="98"/>
  <c r="GM982" i="98"/>
  <c r="GG982" i="98"/>
  <c r="GJ982" i="98"/>
  <c r="GF906" i="98"/>
  <c r="GJ906" i="98"/>
  <c r="GN906" i="98"/>
  <c r="FT906" i="98"/>
  <c r="GG906" i="98"/>
  <c r="GK906" i="98"/>
  <c r="GO906" i="98"/>
  <c r="GI906" i="98"/>
  <c r="GQ906" i="98"/>
  <c r="GL906" i="98"/>
  <c r="GM906" i="98"/>
  <c r="GH906" i="98"/>
  <c r="GP906" i="98"/>
  <c r="FW906" i="98"/>
  <c r="GJ842" i="98"/>
  <c r="FT842" i="98"/>
  <c r="GE842" i="98" s="1"/>
  <c r="GM842" i="98"/>
  <c r="GP842" i="98"/>
  <c r="FW842" i="98"/>
  <c r="GI553" i="98"/>
  <c r="GM553" i="98"/>
  <c r="GJ468" i="98"/>
  <c r="GG468" i="98"/>
  <c r="GM468" i="98"/>
  <c r="GJ342" i="98"/>
  <c r="GP342" i="98"/>
  <c r="GG342" i="98"/>
  <c r="GI342" i="98"/>
  <c r="GP161" i="98"/>
  <c r="GI161" i="98"/>
  <c r="GG161" i="98"/>
  <c r="GI105" i="98"/>
  <c r="GJ105" i="98"/>
  <c r="GM105" i="98"/>
  <c r="GG105" i="98"/>
  <c r="GG1029" i="98"/>
  <c r="GM1029" i="98"/>
  <c r="GI1029" i="98"/>
  <c r="GJ1029" i="98"/>
  <c r="GG897" i="98"/>
  <c r="GI897" i="98"/>
  <c r="GG731" i="98"/>
  <c r="GI731" i="98"/>
  <c r="GP731" i="98"/>
  <c r="GM731" i="98"/>
  <c r="GJ731" i="98"/>
  <c r="GP750" i="98"/>
  <c r="GM750" i="98"/>
  <c r="GG750" i="98"/>
  <c r="GJ750" i="98"/>
  <c r="GP674" i="98"/>
  <c r="GM674" i="98"/>
  <c r="GG674" i="98"/>
  <c r="GJ674" i="98"/>
  <c r="GI647" i="98"/>
  <c r="GG647" i="98"/>
  <c r="GP647" i="98"/>
  <c r="GM647" i="98"/>
  <c r="GJ647" i="98"/>
  <c r="GI1547" i="98"/>
  <c r="GM1547" i="98"/>
  <c r="GJ1547" i="98"/>
  <c r="GG1547" i="98"/>
  <c r="GP1547" i="98"/>
  <c r="GI1667" i="98"/>
  <c r="GP1667" i="98"/>
  <c r="GM1667" i="98"/>
  <c r="GG1667" i="98"/>
  <c r="GI1635" i="98"/>
  <c r="GM1635" i="98"/>
  <c r="GJ1635" i="98"/>
  <c r="GG1635" i="98"/>
  <c r="GP1635" i="98"/>
  <c r="GG1239" i="98"/>
  <c r="GP1239" i="98"/>
  <c r="GI1239" i="98"/>
  <c r="GI1189" i="98"/>
  <c r="GM1189" i="98"/>
  <c r="FT1189" i="98"/>
  <c r="FZ1189" i="98" s="1"/>
  <c r="GP1189" i="98"/>
  <c r="GJ1189" i="98"/>
  <c r="FW1189" i="98"/>
  <c r="GP970" i="98"/>
  <c r="GM970" i="98"/>
  <c r="GJ970" i="98"/>
  <c r="GG970" i="98"/>
  <c r="GG1279" i="98"/>
  <c r="GP1279" i="98"/>
  <c r="GI1279" i="98"/>
  <c r="GJ1279" i="98"/>
  <c r="GI1427" i="98"/>
  <c r="GP1427" i="98"/>
  <c r="GG1427" i="98"/>
  <c r="GM1427" i="98"/>
  <c r="GJ1427" i="98"/>
  <c r="GG1259" i="98"/>
  <c r="GJ1259" i="98"/>
  <c r="GI1259" i="98"/>
  <c r="GG571" i="98"/>
  <c r="GI571" i="98"/>
  <c r="GP571" i="98"/>
  <c r="GM571" i="98"/>
  <c r="GJ571" i="98"/>
  <c r="GI387" i="98"/>
  <c r="GP387" i="98"/>
  <c r="GG387" i="98"/>
  <c r="GM387" i="98"/>
  <c r="GG1255" i="98"/>
  <c r="GP1255" i="98"/>
  <c r="GI1255" i="98"/>
  <c r="GI1483" i="98"/>
  <c r="GJ1483" i="98"/>
  <c r="GG1483" i="98"/>
  <c r="GP1483" i="98"/>
  <c r="GM1483" i="98"/>
  <c r="GG950" i="98"/>
  <c r="GI950" i="98"/>
  <c r="GP880" i="98"/>
  <c r="GJ493" i="98"/>
  <c r="GI305" i="98"/>
  <c r="GJ200" i="98"/>
  <c r="GM200" i="98"/>
  <c r="GM1450" i="98"/>
  <c r="GJ1450" i="98"/>
  <c r="GM1442" i="98"/>
  <c r="GJ1442" i="98"/>
  <c r="GJ561" i="98"/>
  <c r="GM561" i="98"/>
  <c r="GP561" i="98"/>
  <c r="GM235" i="98"/>
  <c r="GG99" i="98"/>
  <c r="GJ99" i="98"/>
  <c r="GM1362" i="98"/>
  <c r="GJ1362" i="98"/>
  <c r="GM800" i="98"/>
  <c r="GP800" i="98"/>
  <c r="GM1402" i="98"/>
  <c r="GJ1402" i="98"/>
  <c r="GM1410" i="98"/>
  <c r="GJ1410" i="98"/>
  <c r="FT1269" i="98"/>
  <c r="GM1269" i="98" s="1"/>
  <c r="FT1253" i="98"/>
  <c r="FZ1253" i="98" s="1"/>
  <c r="GM924" i="98"/>
  <c r="GP924" i="98"/>
  <c r="GM828" i="98"/>
  <c r="GP828" i="98"/>
  <c r="GP93" i="98"/>
  <c r="GM912" i="98"/>
  <c r="GP912" i="98"/>
  <c r="GM832" i="98"/>
  <c r="GP832" i="98"/>
  <c r="GI337" i="98"/>
  <c r="GP305" i="98"/>
  <c r="GG305" i="98"/>
  <c r="GM244" i="98"/>
  <c r="GP244" i="98"/>
  <c r="GP350" i="98"/>
  <c r="GM350" i="98"/>
  <c r="GP724" i="98"/>
  <c r="GP338" i="98"/>
  <c r="GM90" i="98"/>
  <c r="GI297" i="98"/>
  <c r="GM1458" i="98"/>
  <c r="GJ1458" i="98"/>
  <c r="GP612" i="98"/>
  <c r="GM310" i="98"/>
  <c r="GP310" i="98"/>
  <c r="GJ301" i="98"/>
  <c r="GM301" i="98"/>
  <c r="GP290" i="98"/>
  <c r="GI200" i="98"/>
  <c r="GJ1301" i="98"/>
  <c r="GP740" i="98"/>
  <c r="GG1442" i="98"/>
  <c r="GM958" i="98"/>
  <c r="GJ958" i="98"/>
  <c r="GM942" i="98"/>
  <c r="GJ942" i="98"/>
  <c r="GM938" i="98"/>
  <c r="GM854" i="98"/>
  <c r="GM822" i="98"/>
  <c r="GM790" i="98"/>
  <c r="GP427" i="98"/>
  <c r="GJ379" i="98"/>
  <c r="GM379" i="98"/>
  <c r="GF1346" i="98"/>
  <c r="GJ1346" i="98"/>
  <c r="GN1346" i="98"/>
  <c r="GH1346" i="98"/>
  <c r="GM1346" i="98"/>
  <c r="GI1346" i="98"/>
  <c r="GO1346" i="98"/>
  <c r="FT1346" i="98"/>
  <c r="GK1346" i="98"/>
  <c r="GP1346" i="98"/>
  <c r="GG1346" i="98"/>
  <c r="GL1346" i="98"/>
  <c r="GQ1346" i="98"/>
  <c r="GP1679" i="98"/>
  <c r="GI1679" i="98"/>
  <c r="GP1511" i="98"/>
  <c r="GI1511" i="98"/>
  <c r="GF1426" i="98"/>
  <c r="GJ1426" i="98"/>
  <c r="GN1426" i="98"/>
  <c r="GH1426" i="98"/>
  <c r="GM1426" i="98"/>
  <c r="GI1426" i="98"/>
  <c r="GO1426" i="98"/>
  <c r="FT1426" i="98"/>
  <c r="GK1426" i="98"/>
  <c r="GP1426" i="98"/>
  <c r="GQ1426" i="98"/>
  <c r="GL1426" i="98"/>
  <c r="GG1426" i="98"/>
  <c r="GM1463" i="98"/>
  <c r="GM1415" i="98"/>
  <c r="GJ1153" i="98"/>
  <c r="GI1153" i="98"/>
  <c r="GI972" i="98"/>
  <c r="GI1339" i="98"/>
  <c r="FT1077" i="98"/>
  <c r="GG1077" i="98" s="1"/>
  <c r="GM872" i="98"/>
  <c r="GP872" i="98"/>
  <c r="GM808" i="98"/>
  <c r="GP808" i="98"/>
  <c r="GP1025" i="98"/>
  <c r="GG983" i="98"/>
  <c r="GJ983" i="98"/>
  <c r="GM983" i="98"/>
  <c r="GP983" i="98"/>
  <c r="GI967" i="98"/>
  <c r="GP931" i="98"/>
  <c r="GP915" i="98"/>
  <c r="GP899" i="98"/>
  <c r="GP883" i="98"/>
  <c r="GP867" i="98"/>
  <c r="GP851" i="98"/>
  <c r="GP835" i="98"/>
  <c r="GP819" i="98"/>
  <c r="GP803" i="98"/>
  <c r="GP787" i="98"/>
  <c r="GM734" i="98"/>
  <c r="GP734" i="98"/>
  <c r="GG767" i="98"/>
  <c r="GJ751" i="98"/>
  <c r="GM751" i="98"/>
  <c r="GP751" i="98"/>
  <c r="GG703" i="98"/>
  <c r="GJ687" i="98"/>
  <c r="GM687" i="98"/>
  <c r="GP687" i="98"/>
  <c r="GG639" i="98"/>
  <c r="GJ623" i="98"/>
  <c r="GM623" i="98"/>
  <c r="GP623" i="98"/>
  <c r="GG575" i="98"/>
  <c r="GG438" i="98"/>
  <c r="GI438" i="98"/>
  <c r="GJ389" i="98"/>
  <c r="GP432" i="98"/>
  <c r="GP243" i="98"/>
  <c r="GI158" i="98"/>
  <c r="FT158" i="98"/>
  <c r="GJ158" i="98" s="1"/>
  <c r="GM860" i="98"/>
  <c r="GP860" i="98"/>
  <c r="GM812" i="98"/>
  <c r="GP812" i="98"/>
  <c r="GG873" i="98"/>
  <c r="GP871" i="98"/>
  <c r="GP807" i="98"/>
  <c r="GI748" i="98"/>
  <c r="GG533" i="98"/>
  <c r="GJ477" i="98"/>
  <c r="GM477" i="98"/>
  <c r="GP477" i="98"/>
  <c r="GG683" i="98"/>
  <c r="GI302" i="98"/>
  <c r="GI561" i="98"/>
  <c r="GG434" i="98"/>
  <c r="GG394" i="98"/>
  <c r="GJ394" i="98"/>
  <c r="GM394" i="98"/>
  <c r="GP394" i="98"/>
  <c r="GJ309" i="98"/>
  <c r="GP270" i="98"/>
  <c r="GI247" i="98"/>
  <c r="GG235" i="98"/>
  <c r="GI235" i="98"/>
  <c r="GG169" i="98"/>
  <c r="GI99" i="98"/>
  <c r="GI89" i="98"/>
  <c r="GG89" i="98"/>
  <c r="GM1439" i="98"/>
  <c r="GP1439" i="98"/>
  <c r="GP1423" i="98"/>
  <c r="GM1419" i="98"/>
  <c r="GP1177" i="98"/>
  <c r="GI800" i="98"/>
  <c r="GP1024" i="98"/>
  <c r="GM914" i="98"/>
  <c r="GM850" i="98"/>
  <c r="GI440" i="98"/>
  <c r="GP91" i="98"/>
  <c r="FT1285" i="98"/>
  <c r="GM1285" i="98" s="1"/>
  <c r="GM1482" i="98"/>
  <c r="GJ1482" i="98"/>
  <c r="GJ1578" i="98"/>
  <c r="GM1578" i="98"/>
  <c r="GP1578" i="98"/>
  <c r="GP1201" i="98"/>
  <c r="GM1040" i="98"/>
  <c r="GJ1040" i="98"/>
  <c r="GJ1311" i="98"/>
  <c r="GM1395" i="98"/>
  <c r="GI1195" i="98"/>
  <c r="GI1147" i="98"/>
  <c r="GI924" i="98"/>
  <c r="GM844" i="98"/>
  <c r="GP844" i="98"/>
  <c r="GI828" i="98"/>
  <c r="GP929" i="98"/>
  <c r="GJ929" i="98"/>
  <c r="GM929" i="98"/>
  <c r="GP841" i="98"/>
  <c r="GJ841" i="98"/>
  <c r="GM841" i="98"/>
  <c r="GI903" i="98"/>
  <c r="GJ670" i="98"/>
  <c r="GJ517" i="98"/>
  <c r="GM517" i="98"/>
  <c r="GP517" i="98"/>
  <c r="GI410" i="98"/>
  <c r="GG381" i="98"/>
  <c r="GI381" i="98"/>
  <c r="GI313" i="98"/>
  <c r="GJ151" i="98"/>
  <c r="GM151" i="98"/>
  <c r="GI123" i="98"/>
  <c r="GM93" i="98"/>
  <c r="GI1631" i="98"/>
  <c r="GI1643" i="98"/>
  <c r="GM1633" i="98"/>
  <c r="GP1633" i="98"/>
  <c r="GI1563" i="98"/>
  <c r="GJ1553" i="98"/>
  <c r="GM1553" i="98"/>
  <c r="GP1553" i="98"/>
  <c r="GI1587" i="98"/>
  <c r="GJ1670" i="98"/>
  <c r="GM1670" i="98"/>
  <c r="GP1670" i="98"/>
  <c r="GP1455" i="98"/>
  <c r="GP1297" i="98"/>
  <c r="GJ1199" i="98"/>
  <c r="GI1199" i="98"/>
  <c r="GJ1451" i="98"/>
  <c r="GI1451" i="98"/>
  <c r="GI1291" i="98"/>
  <c r="GP1225" i="98"/>
  <c r="GI1225" i="98"/>
  <c r="GI1113" i="98"/>
  <c r="GM928" i="98"/>
  <c r="GP928" i="98"/>
  <c r="GI912" i="98"/>
  <c r="GM848" i="98"/>
  <c r="GP848" i="98"/>
  <c r="GI832" i="98"/>
  <c r="GP1081" i="98"/>
  <c r="GP1017" i="98"/>
  <c r="GI968" i="98"/>
  <c r="GI923" i="98"/>
  <c r="GP891" i="98"/>
  <c r="GP959" i="98"/>
  <c r="GM959" i="98"/>
  <c r="GP620" i="98"/>
  <c r="GI620" i="98"/>
  <c r="GP588" i="98"/>
  <c r="GI588" i="98"/>
  <c r="GG513" i="98"/>
  <c r="GP580" i="98"/>
  <c r="GG663" i="98"/>
  <c r="GI663" i="98"/>
  <c r="GJ564" i="98"/>
  <c r="GM564" i="98"/>
  <c r="GP564" i="98"/>
  <c r="GG522" i="98"/>
  <c r="GJ522" i="98"/>
  <c r="GM522" i="98"/>
  <c r="GI463" i="98"/>
  <c r="GM441" i="98"/>
  <c r="GP441" i="98"/>
  <c r="GG470" i="98"/>
  <c r="GJ391" i="98"/>
  <c r="GM391" i="98"/>
  <c r="GJ373" i="98"/>
  <c r="GJ293" i="98"/>
  <c r="GP337" i="98"/>
  <c r="GG337" i="98"/>
  <c r="GI244" i="98"/>
  <c r="GJ350" i="98"/>
  <c r="GG350" i="98"/>
  <c r="GM268" i="98"/>
  <c r="GP268" i="98"/>
  <c r="GG269" i="98"/>
  <c r="GJ269" i="98"/>
  <c r="GM269" i="98"/>
  <c r="GP269" i="98"/>
  <c r="GM229" i="98"/>
  <c r="GP184" i="98"/>
  <c r="GG184" i="98"/>
  <c r="GI132" i="98"/>
  <c r="GP132" i="98"/>
  <c r="GP1555" i="98"/>
  <c r="GG1555" i="98"/>
  <c r="GJ1555" i="98"/>
  <c r="GM1555" i="98"/>
  <c r="GP1000" i="98"/>
  <c r="GM951" i="98"/>
  <c r="GP455" i="98"/>
  <c r="GG455" i="98"/>
  <c r="GJ455" i="98"/>
  <c r="GM455" i="98"/>
  <c r="GP632" i="98"/>
  <c r="GG632" i="98"/>
  <c r="GJ632" i="98"/>
  <c r="GM632" i="98"/>
  <c r="GP684" i="98"/>
  <c r="GI684" i="98"/>
  <c r="GG724" i="98"/>
  <c r="GJ724" i="98"/>
  <c r="GM724" i="98"/>
  <c r="GI692" i="98"/>
  <c r="GI498" i="98"/>
  <c r="GP371" i="98"/>
  <c r="GM371" i="98"/>
  <c r="GM362" i="98"/>
  <c r="GP362" i="98"/>
  <c r="GG338" i="98"/>
  <c r="GJ338" i="98"/>
  <c r="GI289" i="98"/>
  <c r="GG90" i="98"/>
  <c r="GI90" i="98"/>
  <c r="GI321" i="98"/>
  <c r="GP297" i="98"/>
  <c r="GG297" i="98"/>
  <c r="GP431" i="98"/>
  <c r="GG431" i="98"/>
  <c r="GJ431" i="98"/>
  <c r="GM431" i="98"/>
  <c r="GI510" i="98"/>
  <c r="GI365" i="98"/>
  <c r="GM1418" i="98"/>
  <c r="GM1322" i="98"/>
  <c r="GM1474" i="98"/>
  <c r="GI1137" i="98"/>
  <c r="GP1133" i="98"/>
  <c r="GG1133" i="98"/>
  <c r="GJ1133" i="98"/>
  <c r="GM1133" i="98"/>
  <c r="GG1141" i="98"/>
  <c r="GJ1141" i="98"/>
  <c r="GM1141" i="98"/>
  <c r="FW1253" i="98"/>
  <c r="GJ1027" i="98"/>
  <c r="GM1027" i="98"/>
  <c r="GP1011" i="98"/>
  <c r="GG1011" i="98"/>
  <c r="GI1011" i="98"/>
  <c r="GP984" i="98"/>
  <c r="GP558" i="98"/>
  <c r="GG558" i="98"/>
  <c r="GJ558" i="98"/>
  <c r="GM558" i="98"/>
  <c r="GG612" i="98"/>
  <c r="GJ612" i="98"/>
  <c r="GM612" i="98"/>
  <c r="GP530" i="98"/>
  <c r="GG530" i="98"/>
  <c r="GJ530" i="98"/>
  <c r="GM530" i="98"/>
  <c r="GP399" i="98"/>
  <c r="GG399" i="98"/>
  <c r="GJ399" i="98"/>
  <c r="GM399" i="98"/>
  <c r="GI494" i="98"/>
  <c r="GP403" i="98"/>
  <c r="GI403" i="98"/>
  <c r="GG310" i="98"/>
  <c r="GJ310" i="98"/>
  <c r="GI301" i="98"/>
  <c r="GG290" i="98"/>
  <c r="GJ290" i="98"/>
  <c r="GP200" i="98"/>
  <c r="GG200" i="98"/>
  <c r="GG1450" i="98"/>
  <c r="GI1450" i="98"/>
  <c r="GG1507" i="98"/>
  <c r="GJ1507" i="98"/>
  <c r="GM1507" i="98"/>
  <c r="GG1301" i="98"/>
  <c r="GM1301" i="98"/>
  <c r="GG1125" i="98"/>
  <c r="GJ1125" i="98"/>
  <c r="GM1125" i="98"/>
  <c r="GI1109" i="98"/>
  <c r="GJ1157" i="98"/>
  <c r="GP1157" i="98"/>
  <c r="GI1157" i="98"/>
  <c r="GP1023" i="98"/>
  <c r="GG1023" i="98"/>
  <c r="GI1023" i="98"/>
  <c r="GG1007" i="98"/>
  <c r="GI1007" i="98"/>
  <c r="GI760" i="98"/>
  <c r="GG740" i="98"/>
  <c r="GJ740" i="98"/>
  <c r="GM740" i="98"/>
  <c r="GG534" i="98"/>
  <c r="GJ534" i="98"/>
  <c r="GM534" i="98"/>
  <c r="GG514" i="98"/>
  <c r="GJ514" i="98"/>
  <c r="GM514" i="98"/>
  <c r="GG482" i="98"/>
  <c r="GJ482" i="98"/>
  <c r="GM482" i="98"/>
  <c r="GI423" i="98"/>
  <c r="GI451" i="98"/>
  <c r="GI411" i="98"/>
  <c r="GI367" i="98"/>
  <c r="GP274" i="98"/>
  <c r="GG274" i="98"/>
  <c r="GJ274" i="98"/>
  <c r="GM274" i="98"/>
  <c r="GI329" i="98"/>
  <c r="GI188" i="98"/>
  <c r="GG1647" i="98"/>
  <c r="GJ1647" i="98"/>
  <c r="GM1647" i="98"/>
  <c r="FW1285" i="98"/>
  <c r="GJ1675" i="98"/>
  <c r="GG1659" i="98"/>
  <c r="GJ1659" i="98"/>
  <c r="GM1659" i="98"/>
  <c r="GI1591" i="98"/>
  <c r="GM1354" i="98"/>
  <c r="GM1434" i="98"/>
  <c r="GP1527" i="98"/>
  <c r="GI1442" i="98"/>
  <c r="GP988" i="98"/>
  <c r="GG988" i="98"/>
  <c r="GJ988" i="98"/>
  <c r="GM988" i="98"/>
  <c r="GG1035" i="98"/>
  <c r="GI1035" i="98"/>
  <c r="GP744" i="98"/>
  <c r="GG744" i="98"/>
  <c r="GJ744" i="98"/>
  <c r="GM744" i="98"/>
  <c r="GP712" i="98"/>
  <c r="GG712" i="98"/>
  <c r="GJ712" i="98"/>
  <c r="GM712" i="98"/>
  <c r="GP938" i="98"/>
  <c r="GI938" i="98"/>
  <c r="GG938" i="98"/>
  <c r="GJ938" i="98"/>
  <c r="GP854" i="98"/>
  <c r="GI854" i="98"/>
  <c r="GG854" i="98"/>
  <c r="GJ854" i="98"/>
  <c r="GP822" i="98"/>
  <c r="GI822" i="98"/>
  <c r="GG822" i="98"/>
  <c r="GJ822" i="98"/>
  <c r="GP790" i="98"/>
  <c r="GI790" i="98"/>
  <c r="GG790" i="98"/>
  <c r="GJ790" i="98"/>
  <c r="GP652" i="98"/>
  <c r="GI652" i="98"/>
  <c r="GG427" i="98"/>
  <c r="GJ427" i="98"/>
  <c r="GM427" i="98"/>
  <c r="GG379" i="98"/>
  <c r="GG349" i="98"/>
  <c r="GM349" i="98"/>
  <c r="GJ349" i="98"/>
  <c r="FT1237" i="98"/>
  <c r="GM1237" i="98" s="1"/>
  <c r="FT1088" i="98"/>
  <c r="GD1088" i="98" s="1"/>
  <c r="FT1093" i="98"/>
  <c r="GE1093" i="98" s="1"/>
  <c r="GP1093" i="98"/>
  <c r="FT1045" i="98"/>
  <c r="GE1045" i="98" s="1"/>
  <c r="GM920" i="98"/>
  <c r="GP920" i="98"/>
  <c r="GM792" i="98"/>
  <c r="GP792" i="98"/>
  <c r="GI983" i="98"/>
  <c r="GJ767" i="98"/>
  <c r="GM767" i="98"/>
  <c r="GP767" i="98"/>
  <c r="GJ703" i="98"/>
  <c r="GM703" i="98"/>
  <c r="GP703" i="98"/>
  <c r="GJ639" i="98"/>
  <c r="GM639" i="98"/>
  <c r="GP639" i="98"/>
  <c r="GJ575" i="98"/>
  <c r="GM575" i="98"/>
  <c r="GP575" i="98"/>
  <c r="GF386" i="98"/>
  <c r="GJ386" i="98"/>
  <c r="GN386" i="98"/>
  <c r="GH386" i="98"/>
  <c r="GM386" i="98"/>
  <c r="GI386" i="98"/>
  <c r="GO386" i="98"/>
  <c r="FT386" i="98"/>
  <c r="GK386" i="98"/>
  <c r="GP386" i="98"/>
  <c r="GL386" i="98"/>
  <c r="GQ386" i="98"/>
  <c r="GG386" i="98"/>
  <c r="GJ953" i="98"/>
  <c r="GJ533" i="98"/>
  <c r="GM533" i="98"/>
  <c r="GP533" i="98"/>
  <c r="GG502" i="98"/>
  <c r="GJ502" i="98"/>
  <c r="GM378" i="98"/>
  <c r="GJ434" i="98"/>
  <c r="GM434" i="98"/>
  <c r="GP434" i="98"/>
  <c r="GI394" i="98"/>
  <c r="GJ317" i="98"/>
  <c r="GM341" i="98"/>
  <c r="GG270" i="98"/>
  <c r="GJ270" i="98"/>
  <c r="GJ247" i="98"/>
  <c r="GP235" i="98"/>
  <c r="GJ235" i="98"/>
  <c r="GI193" i="98"/>
  <c r="GM193" i="98"/>
  <c r="GG193" i="98"/>
  <c r="GM181" i="98"/>
  <c r="GG181" i="98"/>
  <c r="GP1543" i="98"/>
  <c r="GG1543" i="98"/>
  <c r="GJ1543" i="98"/>
  <c r="GI1362" i="98"/>
  <c r="GM1682" i="98"/>
  <c r="GJ1658" i="98"/>
  <c r="GM1658" i="98"/>
  <c r="GP1658" i="98"/>
  <c r="GJ1439" i="98"/>
  <c r="GI1439" i="98"/>
  <c r="GM1423" i="98"/>
  <c r="GJ1423" i="98"/>
  <c r="GI1423" i="98"/>
  <c r="GP1233" i="98"/>
  <c r="GJ1151" i="98"/>
  <c r="GI1151" i="98"/>
  <c r="GP1419" i="98"/>
  <c r="GG1177" i="98"/>
  <c r="GI1163" i="98"/>
  <c r="GJ800" i="98"/>
  <c r="GG800" i="98"/>
  <c r="GI1024" i="98"/>
  <c r="GG1024" i="98"/>
  <c r="GJ991" i="98"/>
  <c r="GM991" i="98"/>
  <c r="GP991" i="98"/>
  <c r="GM930" i="98"/>
  <c r="GP914" i="98"/>
  <c r="GI914" i="98"/>
  <c r="GG914" i="98"/>
  <c r="GP850" i="98"/>
  <c r="GI850" i="98"/>
  <c r="GG850" i="98"/>
  <c r="GI795" i="98"/>
  <c r="GP772" i="98"/>
  <c r="GJ695" i="98"/>
  <c r="GM695" i="98"/>
  <c r="GP695" i="98"/>
  <c r="GG440" i="98"/>
  <c r="GM213" i="98"/>
  <c r="GP213" i="98"/>
  <c r="GM128" i="98"/>
  <c r="GG128" i="98"/>
  <c r="GG1402" i="98"/>
  <c r="GI1402" i="98"/>
  <c r="GP1559" i="98"/>
  <c r="GI1410" i="98"/>
  <c r="GG1583" i="98"/>
  <c r="GJ1583" i="98"/>
  <c r="GJ1594" i="98"/>
  <c r="GM1594" i="98"/>
  <c r="GP1594" i="98"/>
  <c r="GI1578" i="98"/>
  <c r="GP1281" i="98"/>
  <c r="GG1201" i="98"/>
  <c r="GJ1395" i="98"/>
  <c r="GM1363" i="98"/>
  <c r="GJ1195" i="98"/>
  <c r="GJ1147" i="98"/>
  <c r="GJ1119" i="98"/>
  <c r="GM1064" i="98"/>
  <c r="GJ924" i="98"/>
  <c r="GG924" i="98"/>
  <c r="GI844" i="98"/>
  <c r="GJ828" i="98"/>
  <c r="GG828" i="98"/>
  <c r="GJ995" i="98"/>
  <c r="GM995" i="98"/>
  <c r="GP995" i="98"/>
  <c r="GP865" i="98"/>
  <c r="GJ865" i="98"/>
  <c r="GJ903" i="98"/>
  <c r="GG764" i="98"/>
  <c r="GJ764" i="98"/>
  <c r="GI517" i="98"/>
  <c r="GJ651" i="98"/>
  <c r="GM651" i="98"/>
  <c r="GP651" i="98"/>
  <c r="GG542" i="98"/>
  <c r="GJ542" i="98"/>
  <c r="GP253" i="98"/>
  <c r="GJ253" i="98"/>
  <c r="GI197" i="98"/>
  <c r="GM197" i="98"/>
  <c r="GG197" i="98"/>
  <c r="GI93" i="98"/>
  <c r="GJ93" i="98"/>
  <c r="GG93" i="98"/>
  <c r="GG1671" i="98"/>
  <c r="GJ1671" i="98"/>
  <c r="GP1539" i="98"/>
  <c r="GG1539" i="98"/>
  <c r="GJ1539" i="98"/>
  <c r="GI1670" i="98"/>
  <c r="GM1455" i="98"/>
  <c r="GJ1455" i="98"/>
  <c r="GI1455" i="98"/>
  <c r="GG1297" i="98"/>
  <c r="GP1199" i="98"/>
  <c r="GJ1291" i="98"/>
  <c r="GJ1031" i="98"/>
  <c r="GI928" i="98"/>
  <c r="GJ912" i="98"/>
  <c r="GG912" i="98"/>
  <c r="GM864" i="98"/>
  <c r="GP864" i="98"/>
  <c r="GI848" i="98"/>
  <c r="GJ832" i="98"/>
  <c r="GG832" i="98"/>
  <c r="GI1081" i="98"/>
  <c r="GJ923" i="98"/>
  <c r="GJ959" i="98"/>
  <c r="GJ513" i="98"/>
  <c r="GM513" i="98"/>
  <c r="GP513" i="98"/>
  <c r="GG580" i="98"/>
  <c r="GJ580" i="98"/>
  <c r="GI535" i="98"/>
  <c r="GM535" i="98"/>
  <c r="GG535" i="98"/>
  <c r="GJ759" i="98"/>
  <c r="GM759" i="98"/>
  <c r="GP759" i="98"/>
  <c r="GI424" i="98"/>
  <c r="GG424" i="98"/>
  <c r="GJ305" i="98"/>
  <c r="GJ244" i="98"/>
  <c r="GG244" i="98"/>
  <c r="GI269" i="98"/>
  <c r="GM224" i="98"/>
  <c r="GJ184" i="98"/>
  <c r="GM1498" i="98"/>
  <c r="GM1378" i="98"/>
  <c r="GG1205" i="98"/>
  <c r="GG1000" i="98"/>
  <c r="GJ1000" i="98"/>
  <c r="GP951" i="98"/>
  <c r="GJ362" i="98"/>
  <c r="GI362" i="98"/>
  <c r="GM338" i="98"/>
  <c r="GI338" i="98"/>
  <c r="GP289" i="98"/>
  <c r="GG289" i="98"/>
  <c r="GJ90" i="98"/>
  <c r="GP321" i="98"/>
  <c r="GG321" i="98"/>
  <c r="GG640" i="98"/>
  <c r="GJ640" i="98"/>
  <c r="GP447" i="98"/>
  <c r="GG447" i="98"/>
  <c r="GJ447" i="98"/>
  <c r="GI1458" i="98"/>
  <c r="GM1314" i="98"/>
  <c r="GP1004" i="98"/>
  <c r="GG1004" i="98"/>
  <c r="GJ1004" i="98"/>
  <c r="GP1141" i="98"/>
  <c r="GM1072" i="98"/>
  <c r="GP1027" i="98"/>
  <c r="GG1027" i="98"/>
  <c r="GG984" i="98"/>
  <c r="GJ984" i="98"/>
  <c r="GP584" i="98"/>
  <c r="GG584" i="98"/>
  <c r="GJ584" i="98"/>
  <c r="GG672" i="98"/>
  <c r="GJ672" i="98"/>
  <c r="GM357" i="98"/>
  <c r="GI310" i="98"/>
  <c r="GP301" i="98"/>
  <c r="GG301" i="98"/>
  <c r="GM290" i="98"/>
  <c r="GI290" i="98"/>
  <c r="GG1567" i="98"/>
  <c r="GJ1567" i="98"/>
  <c r="GP1507" i="98"/>
  <c r="GP1301" i="98"/>
  <c r="GG768" i="98"/>
  <c r="GJ768" i="98"/>
  <c r="GP329" i="98"/>
  <c r="GG329" i="98"/>
  <c r="FW1269" i="98"/>
  <c r="GG1675" i="98"/>
  <c r="GG1527" i="98"/>
  <c r="GJ1527" i="98"/>
  <c r="FW1088" i="98"/>
  <c r="GG958" i="98"/>
  <c r="GI958" i="98"/>
  <c r="GI942" i="98"/>
  <c r="GG688" i="98"/>
  <c r="GJ688" i="98"/>
  <c r="GG624" i="98"/>
  <c r="GJ624" i="98"/>
  <c r="GI379" i="98"/>
  <c r="GP349" i="98"/>
  <c r="GP1045" i="98" l="1"/>
  <c r="GJ1093" i="98"/>
  <c r="GP1088" i="98"/>
  <c r="GG158" i="98"/>
  <c r="GJ1253" i="98"/>
  <c r="GM1253" i="98"/>
  <c r="GG1189" i="98"/>
  <c r="GI842" i="98"/>
  <c r="GP139" i="98"/>
  <c r="GI1061" i="98"/>
  <c r="GP114" i="98"/>
  <c r="GG208" i="98"/>
  <c r="GP1182" i="98"/>
  <c r="GE1182" i="98"/>
  <c r="GD1098" i="98"/>
  <c r="GJ1262" i="98"/>
  <c r="GB1262" i="98"/>
  <c r="GC495" i="98"/>
  <c r="GD495" i="98"/>
  <c r="GJ1202" i="98"/>
  <c r="GD1202" i="98"/>
  <c r="FZ1202" i="98"/>
  <c r="GI202" i="98"/>
  <c r="GB202" i="98"/>
  <c r="GI295" i="98"/>
  <c r="GB295" i="98"/>
  <c r="GP952" i="98"/>
  <c r="GM952" i="98"/>
  <c r="GD952" i="98"/>
  <c r="FZ1082" i="98"/>
  <c r="GP404" i="98"/>
  <c r="GC404" i="98"/>
  <c r="GM1218" i="98"/>
  <c r="GE1218" i="98"/>
  <c r="GJ1294" i="98"/>
  <c r="GD1294" i="98"/>
  <c r="GB1404" i="98"/>
  <c r="GG1664" i="98"/>
  <c r="GI1664" i="98"/>
  <c r="GM1664" i="98"/>
  <c r="FZ1664" i="98"/>
  <c r="GM1230" i="98"/>
  <c r="GE1230" i="98"/>
  <c r="GM368" i="98"/>
  <c r="GG368" i="98"/>
  <c r="GI368" i="98"/>
  <c r="GJ368" i="98"/>
  <c r="GE368" i="98"/>
  <c r="GE1220" i="98"/>
  <c r="GB1672" i="98"/>
  <c r="GJ1620" i="98"/>
  <c r="GE1189" i="98"/>
  <c r="FZ1269" i="98"/>
  <c r="GB1077" i="98"/>
  <c r="GE1338" i="98"/>
  <c r="GD103" i="98"/>
  <c r="GM1170" i="98"/>
  <c r="GD1170" i="98"/>
  <c r="GM1304" i="98"/>
  <c r="GG1304" i="98"/>
  <c r="GI1304" i="98"/>
  <c r="FZ1304" i="98"/>
  <c r="GI1500" i="98"/>
  <c r="GE1500" i="98"/>
  <c r="GG271" i="98"/>
  <c r="GJ271" i="98"/>
  <c r="GI271" i="98"/>
  <c r="GP271" i="98"/>
  <c r="FZ271" i="98"/>
  <c r="GD1250" i="98"/>
  <c r="GJ1282" i="98"/>
  <c r="GM1282" i="98"/>
  <c r="GD1282" i="98"/>
  <c r="FZ114" i="98"/>
  <c r="FZ158" i="98"/>
  <c r="GC810" i="98"/>
  <c r="GD842" i="98"/>
  <c r="GE874" i="98"/>
  <c r="GD1093" i="98"/>
  <c r="GI633" i="98"/>
  <c r="GJ633" i="98"/>
  <c r="GM633" i="98"/>
  <c r="GG633" i="98"/>
  <c r="GD633" i="98"/>
  <c r="GC1214" i="98"/>
  <c r="GI1122" i="98"/>
  <c r="GM1122" i="98"/>
  <c r="GG1122" i="98"/>
  <c r="GJ1122" i="98"/>
  <c r="GP1122" i="98"/>
  <c r="GD1122" i="98"/>
  <c r="GP1298" i="98"/>
  <c r="GD1298" i="98"/>
  <c r="GI487" i="98"/>
  <c r="GM487" i="98"/>
  <c r="GG487" i="98"/>
  <c r="GJ487" i="98"/>
  <c r="FZ487" i="98"/>
  <c r="GD1660" i="98"/>
  <c r="GB111" i="98"/>
  <c r="FZ139" i="98"/>
  <c r="FZ1045" i="98"/>
  <c r="GP234" i="98"/>
  <c r="GB234" i="98"/>
  <c r="GJ1150" i="98"/>
  <c r="GG1150" i="98"/>
  <c r="GP1150" i="98"/>
  <c r="GI1150" i="98"/>
  <c r="GM1150" i="98"/>
  <c r="GD1150" i="98"/>
  <c r="GJ1632" i="98"/>
  <c r="GD1632" i="98"/>
  <c r="GD519" i="98"/>
  <c r="GI1444" i="98"/>
  <c r="GE1444" i="98"/>
  <c r="GE1253" i="98"/>
  <c r="GC1285" i="98"/>
  <c r="GD1285" i="98"/>
  <c r="GC172" i="98"/>
  <c r="GD172" i="98"/>
  <c r="GD208" i="98"/>
  <c r="GE794" i="98"/>
  <c r="GD858" i="98"/>
  <c r="GE890" i="98"/>
  <c r="GB922" i="98"/>
  <c r="GB1061" i="98"/>
  <c r="GB1088" i="98"/>
  <c r="FZ1237" i="98"/>
  <c r="GD119" i="98"/>
  <c r="FZ934" i="98"/>
  <c r="GE1012" i="98"/>
  <c r="GB1028" i="98"/>
  <c r="GI1093" i="98"/>
  <c r="GP158" i="98"/>
  <c r="GP1253" i="98"/>
  <c r="GI1253" i="98"/>
  <c r="GG842" i="98"/>
  <c r="GJ890" i="98"/>
  <c r="GG139" i="98"/>
  <c r="GM1061" i="98"/>
  <c r="GG1061" i="98"/>
  <c r="GI114" i="98"/>
  <c r="GP208" i="98"/>
  <c r="GM858" i="98"/>
  <c r="GI1012" i="98"/>
  <c r="GI1028" i="98"/>
  <c r="GJ1028" i="98"/>
  <c r="GD1182" i="98"/>
  <c r="GB1098" i="98"/>
  <c r="GI1138" i="98"/>
  <c r="GM1138" i="98"/>
  <c r="GJ1138" i="98"/>
  <c r="GG1138" i="98"/>
  <c r="GE1138" i="98"/>
  <c r="FZ1262" i="98"/>
  <c r="GG1310" i="98"/>
  <c r="GM1310" i="98"/>
  <c r="GP1310" i="98"/>
  <c r="GI1310" i="98"/>
  <c r="GE1310" i="98"/>
  <c r="GJ495" i="98"/>
  <c r="GI1202" i="98"/>
  <c r="GC1202" i="98"/>
  <c r="GJ202" i="98"/>
  <c r="FZ202" i="98"/>
  <c r="FZ295" i="98"/>
  <c r="GI597" i="98"/>
  <c r="GP597" i="98"/>
  <c r="GM597" i="98"/>
  <c r="GD597" i="98"/>
  <c r="GG952" i="98"/>
  <c r="GB952" i="98"/>
  <c r="GG1050" i="98"/>
  <c r="GI1050" i="98"/>
  <c r="GP1050" i="98"/>
  <c r="GJ1050" i="98"/>
  <c r="GM1050" i="98"/>
  <c r="GD1050" i="98"/>
  <c r="GE1082" i="98"/>
  <c r="GG404" i="98"/>
  <c r="GE404" i="98"/>
  <c r="GB404" i="98"/>
  <c r="GI1218" i="98"/>
  <c r="GD1218" i="98"/>
  <c r="GM1608" i="98"/>
  <c r="GI1608" i="98"/>
  <c r="GG1608" i="98"/>
  <c r="GE1608" i="98"/>
  <c r="GB1294" i="98"/>
  <c r="GC1294" i="98"/>
  <c r="GM1628" i="98"/>
  <c r="GJ1628" i="98"/>
  <c r="GI1628" i="98"/>
  <c r="GP1628" i="98"/>
  <c r="GG1628" i="98"/>
  <c r="GD1628" i="98"/>
  <c r="GI1404" i="98"/>
  <c r="GP1230" i="98"/>
  <c r="GM1220" i="98"/>
  <c r="GP1672" i="98"/>
  <c r="FZ1672" i="98"/>
  <c r="GI1620" i="98"/>
  <c r="GP1620" i="98"/>
  <c r="GG1620" i="98"/>
  <c r="GM1620" i="98"/>
  <c r="GE1620" i="98"/>
  <c r="GD1189" i="98"/>
  <c r="GE1269" i="98"/>
  <c r="FZ1077" i="98"/>
  <c r="GD1338" i="98"/>
  <c r="GB103" i="98"/>
  <c r="GI1170" i="98"/>
  <c r="GB1170" i="98"/>
  <c r="GD1500" i="98"/>
  <c r="GP1282" i="98"/>
  <c r="GB1282" i="98"/>
  <c r="GC1282" i="98"/>
  <c r="GE114" i="98"/>
  <c r="GD158" i="98"/>
  <c r="GB810" i="98"/>
  <c r="GB842" i="98"/>
  <c r="GD874" i="98"/>
  <c r="GB1093" i="98"/>
  <c r="GM1298" i="98"/>
  <c r="GB1298" i="98"/>
  <c r="GB1660" i="98"/>
  <c r="FZ111" i="98"/>
  <c r="GE139" i="98"/>
  <c r="GC1045" i="98"/>
  <c r="GD1045" i="98"/>
  <c r="FZ234" i="98"/>
  <c r="GG1198" i="98"/>
  <c r="GJ1198" i="98"/>
  <c r="GM1198" i="98"/>
  <c r="GI1198" i="98"/>
  <c r="GB1198" i="98"/>
  <c r="GB519" i="98"/>
  <c r="GD1444" i="98"/>
  <c r="GD1253" i="98"/>
  <c r="GB1285" i="98"/>
  <c r="GB172" i="98"/>
  <c r="GB208" i="98"/>
  <c r="GD794" i="98"/>
  <c r="GB858" i="98"/>
  <c r="FZ890" i="98"/>
  <c r="FZ922" i="98"/>
  <c r="FZ1061" i="98"/>
  <c r="FZ1088" i="98"/>
  <c r="GE1237" i="98"/>
  <c r="GB119" i="98"/>
  <c r="GE934" i="98"/>
  <c r="GD1012" i="98"/>
  <c r="FZ1028" i="98"/>
  <c r="GM1093" i="98"/>
  <c r="GG1093" i="98"/>
  <c r="GG1253" i="98"/>
  <c r="GP1338" i="98"/>
  <c r="GM794" i="98"/>
  <c r="GM1012" i="98"/>
  <c r="GI1182" i="98"/>
  <c r="GP1098" i="98"/>
  <c r="GI1262" i="98"/>
  <c r="GI495" i="98"/>
  <c r="GM495" i="98"/>
  <c r="GG495" i="98"/>
  <c r="GE495" i="98"/>
  <c r="GB1202" i="98"/>
  <c r="GP295" i="98"/>
  <c r="GJ404" i="98"/>
  <c r="GB1218" i="98"/>
  <c r="GM1404" i="98"/>
  <c r="GG1404" i="98"/>
  <c r="GP1404" i="98"/>
  <c r="GJ1404" i="98"/>
  <c r="GE1404" i="98"/>
  <c r="GJ1230" i="98"/>
  <c r="GG1230" i="98"/>
  <c r="GB1230" i="98"/>
  <c r="GG1220" i="98"/>
  <c r="GP1220" i="98"/>
  <c r="GJ1220" i="98"/>
  <c r="GI1220" i="98"/>
  <c r="GB1220" i="98"/>
  <c r="GJ1672" i="98"/>
  <c r="GB1189" i="98"/>
  <c r="GD1269" i="98"/>
  <c r="GE1077" i="98"/>
  <c r="GB1338" i="98"/>
  <c r="FZ103" i="98"/>
  <c r="FZ1170" i="98"/>
  <c r="GI1282" i="98"/>
  <c r="GE1282" i="98"/>
  <c r="GD114" i="98"/>
  <c r="GC158" i="98"/>
  <c r="GE810" i="98"/>
  <c r="FZ842" i="98"/>
  <c r="GB874" i="98"/>
  <c r="FZ1093" i="98"/>
  <c r="GM1214" i="98"/>
  <c r="GP1214" i="98"/>
  <c r="GJ1214" i="98"/>
  <c r="GI1214" i="98"/>
  <c r="GG1214" i="98"/>
  <c r="GE1214" i="98"/>
  <c r="GI1298" i="98"/>
  <c r="FZ1298" i="98"/>
  <c r="GE111" i="98"/>
  <c r="GD139" i="98"/>
  <c r="GB1045" i="98"/>
  <c r="GJ234" i="98"/>
  <c r="GM1632" i="98"/>
  <c r="GI1632" i="98"/>
  <c r="GG1632" i="98"/>
  <c r="FZ1632" i="98"/>
  <c r="GP519" i="98"/>
  <c r="GM1444" i="98"/>
  <c r="GG1444" i="98"/>
  <c r="GJ1444" i="98"/>
  <c r="GC1444" i="98"/>
  <c r="GB1253" i="98"/>
  <c r="GE1285" i="98"/>
  <c r="GE172" i="98"/>
  <c r="FZ208" i="98"/>
  <c r="GB794" i="98"/>
  <c r="FZ858" i="98"/>
  <c r="GD890" i="98"/>
  <c r="GE922" i="98"/>
  <c r="GE1061" i="98"/>
  <c r="GE1088" i="98"/>
  <c r="GD1237" i="98"/>
  <c r="FZ119" i="98"/>
  <c r="GD934" i="98"/>
  <c r="GB1012" i="98"/>
  <c r="GE1028" i="98"/>
  <c r="GJ1182" i="98"/>
  <c r="GG1182" i="98"/>
  <c r="GM1182" i="98"/>
  <c r="FZ1182" i="98"/>
  <c r="GM1098" i="98"/>
  <c r="GI1098" i="98"/>
  <c r="GG1098" i="98"/>
  <c r="GJ1098" i="98"/>
  <c r="GE1098" i="98"/>
  <c r="GG1262" i="98"/>
  <c r="GM1262" i="98"/>
  <c r="GP1262" i="98"/>
  <c r="GD1262" i="98"/>
  <c r="GG202" i="98"/>
  <c r="GP202" i="98"/>
  <c r="GM202" i="98"/>
  <c r="GD202" i="98"/>
  <c r="GG295" i="98"/>
  <c r="GJ295" i="98"/>
  <c r="GM295" i="98"/>
  <c r="GD295" i="98"/>
  <c r="GG1082" i="98"/>
  <c r="GM1082" i="98"/>
  <c r="GI1082" i="98"/>
  <c r="GP1082" i="98"/>
  <c r="GJ1082" i="98"/>
  <c r="GB1082" i="98"/>
  <c r="GI404" i="98"/>
  <c r="GM404" i="98"/>
  <c r="GD404" i="98"/>
  <c r="GG1294" i="98"/>
  <c r="GM1294" i="98"/>
  <c r="GP1294" i="98"/>
  <c r="GI1294" i="98"/>
  <c r="FZ1294" i="98"/>
  <c r="GI1672" i="98"/>
  <c r="GM1672" i="98"/>
  <c r="GG1672" i="98"/>
  <c r="GD1672" i="98"/>
  <c r="GB1269" i="98"/>
  <c r="GD1077" i="98"/>
  <c r="GJ1500" i="98"/>
  <c r="GM1500" i="98"/>
  <c r="GP1500" i="98"/>
  <c r="GG1500" i="98"/>
  <c r="FZ1500" i="98"/>
  <c r="FZ1282" i="98"/>
  <c r="GB114" i="98"/>
  <c r="GE158" i="98"/>
  <c r="GB158" i="98"/>
  <c r="GD810" i="98"/>
  <c r="FZ810" i="98"/>
  <c r="FZ874" i="98"/>
  <c r="GE1298" i="98"/>
  <c r="GP1660" i="98"/>
  <c r="GM1660" i="98"/>
  <c r="GJ1660" i="98"/>
  <c r="GG1660" i="98"/>
  <c r="GI1660" i="98"/>
  <c r="GE1660" i="98"/>
  <c r="GB139" i="98"/>
  <c r="GI234" i="98"/>
  <c r="GM234" i="98"/>
  <c r="GG234" i="98"/>
  <c r="GD234" i="98"/>
  <c r="GG519" i="98"/>
  <c r="GJ519" i="98"/>
  <c r="GI519" i="98"/>
  <c r="GM519" i="98"/>
  <c r="GE519" i="98"/>
  <c r="FZ1285" i="98"/>
  <c r="FZ172" i="98"/>
  <c r="GB890" i="98"/>
  <c r="GB1237" i="98"/>
  <c r="GB934" i="98"/>
  <c r="GP1237" i="98"/>
  <c r="GI1237" i="98"/>
  <c r="GP1285" i="98"/>
  <c r="GI1285" i="98"/>
  <c r="GM1077" i="98"/>
  <c r="GP1269" i="98"/>
  <c r="GI1269" i="98"/>
  <c r="GP172" i="98"/>
  <c r="GG172" i="98"/>
  <c r="GI172" i="98"/>
  <c r="GM1088" i="98"/>
  <c r="GJ1088" i="98"/>
  <c r="GM1338" i="98"/>
  <c r="GJ1338" i="98"/>
  <c r="GP1012" i="98"/>
  <c r="GJ1045" i="98"/>
  <c r="GI1045" i="98"/>
  <c r="GG1045" i="98"/>
  <c r="GJ1237" i="98"/>
  <c r="GJ1285" i="98"/>
  <c r="GP1077" i="98"/>
  <c r="GJ1269" i="98"/>
  <c r="GJ111" i="98"/>
  <c r="GM111" i="98"/>
  <c r="GI111" i="98"/>
  <c r="GG111" i="98"/>
  <c r="GM810" i="98"/>
  <c r="GM874" i="98"/>
  <c r="GG1338" i="98"/>
  <c r="GM208" i="98"/>
  <c r="GJ208" i="98"/>
  <c r="GP794" i="98"/>
  <c r="GI794" i="98"/>
  <c r="GG794" i="98"/>
  <c r="GJ794" i="98"/>
  <c r="GP858" i="98"/>
  <c r="GI858" i="98"/>
  <c r="GG858" i="98"/>
  <c r="GJ858" i="98"/>
  <c r="GP922" i="98"/>
  <c r="GI922" i="98"/>
  <c r="GG922" i="98"/>
  <c r="GJ922" i="98"/>
  <c r="GJ103" i="98"/>
  <c r="GI103" i="98"/>
  <c r="GG103" i="98"/>
  <c r="GJ119" i="98"/>
  <c r="GI119" i="98"/>
  <c r="GG119" i="98"/>
  <c r="GG1012" i="98"/>
  <c r="GJ1012" i="98"/>
  <c r="GM934" i="98"/>
  <c r="GM1045" i="98"/>
  <c r="GG1088" i="98"/>
  <c r="GI1088" i="98"/>
  <c r="GG1237" i="98"/>
  <c r="GG1285" i="98"/>
  <c r="GM158" i="98"/>
  <c r="GJ1077" i="98"/>
  <c r="GI1077" i="98"/>
  <c r="GG1269" i="98"/>
  <c r="GP111" i="98"/>
  <c r="GJ139" i="98"/>
  <c r="GP810" i="98"/>
  <c r="GI810" i="98"/>
  <c r="GG810" i="98"/>
  <c r="GP874" i="98"/>
  <c r="GI874" i="98"/>
  <c r="GG874" i="98"/>
  <c r="GI1338" i="98"/>
  <c r="GG114" i="98"/>
  <c r="GM114" i="98"/>
  <c r="GJ172" i="98"/>
  <c r="GP934" i="98"/>
  <c r="GI934" i="98"/>
  <c r="GG934" i="98"/>
  <c r="GP1028" i="98"/>
  <c r="FU7" i="98" l="1"/>
  <c r="FU8" i="98"/>
  <c r="FU9" i="98"/>
  <c r="FU10" i="98"/>
  <c r="FU11" i="98"/>
  <c r="FU12" i="98"/>
  <c r="FU13" i="98"/>
  <c r="FU14" i="98"/>
  <c r="FU15" i="98"/>
  <c r="FU16" i="98"/>
  <c r="FU17" i="98"/>
  <c r="FU18" i="98"/>
  <c r="FU19" i="98"/>
  <c r="FU20" i="98"/>
  <c r="FU21" i="98"/>
  <c r="FU22" i="98"/>
  <c r="FU23" i="98"/>
  <c r="FU24" i="98"/>
  <c r="FU25" i="98"/>
  <c r="FU26" i="98"/>
  <c r="FU27" i="98"/>
  <c r="FU28" i="98"/>
  <c r="FU29" i="98"/>
  <c r="FU30" i="98"/>
  <c r="FU31" i="98"/>
  <c r="FU32" i="98"/>
  <c r="FU33" i="98"/>
  <c r="FU34" i="98"/>
  <c r="FU35" i="98"/>
  <c r="FU36" i="98"/>
  <c r="FU37" i="98"/>
  <c r="FU38" i="98"/>
  <c r="FU39" i="98"/>
  <c r="FU40" i="98"/>
  <c r="FU41" i="98"/>
  <c r="FU42" i="98"/>
  <c r="FU43" i="98"/>
  <c r="FU44" i="98"/>
  <c r="FU45" i="98"/>
  <c r="FU46" i="98"/>
  <c r="FU47" i="98"/>
  <c r="FU48" i="98"/>
  <c r="FU49" i="98"/>
  <c r="FU50" i="98"/>
  <c r="FU51" i="98"/>
  <c r="FU52" i="98"/>
  <c r="FU53" i="98"/>
  <c r="FU54" i="98"/>
  <c r="FU55" i="98"/>
  <c r="FU56" i="98"/>
  <c r="FU57" i="98"/>
  <c r="FU58" i="98"/>
  <c r="FU59" i="98"/>
  <c r="FU60" i="98"/>
  <c r="FU61" i="98"/>
  <c r="FU62" i="98"/>
  <c r="FU63" i="98"/>
  <c r="FU64" i="98"/>
  <c r="FU65" i="98"/>
  <c r="FU66" i="98"/>
  <c r="FU67" i="98"/>
  <c r="FU68" i="98"/>
  <c r="FU69" i="98"/>
  <c r="FU70" i="98"/>
  <c r="FU71" i="98"/>
  <c r="FU72" i="98"/>
  <c r="FU73" i="98"/>
  <c r="FU74" i="98"/>
  <c r="FU75" i="98"/>
  <c r="FU76" i="98"/>
  <c r="FU77" i="98"/>
  <c r="FU78" i="98"/>
  <c r="FU79" i="98"/>
  <c r="FU80" i="98"/>
  <c r="FU81" i="98"/>
  <c r="FU82" i="98"/>
  <c r="FU83" i="98"/>
  <c r="FU84" i="98"/>
  <c r="FU85" i="98"/>
  <c r="FU6" i="98"/>
  <c r="FX6" i="98" l="1"/>
  <c r="FV6" i="98"/>
  <c r="FW6" i="98"/>
  <c r="FY6" i="98"/>
  <c r="FX82" i="98"/>
  <c r="FV82" i="98"/>
  <c r="FW82" i="98"/>
  <c r="FY82" i="98"/>
  <c r="FX78" i="98"/>
  <c r="FV78" i="98"/>
  <c r="FY78" i="98"/>
  <c r="FW78" i="98" s="1"/>
  <c r="FX74" i="98"/>
  <c r="FV74" i="98"/>
  <c r="FW74" i="98"/>
  <c r="FY74" i="98"/>
  <c r="FX70" i="98"/>
  <c r="FV70" i="98"/>
  <c r="FW70" i="98"/>
  <c r="FY70" i="98"/>
  <c r="FX66" i="98"/>
  <c r="FV66" i="98"/>
  <c r="FW66" i="98"/>
  <c r="FY66" i="98"/>
  <c r="FX62" i="98"/>
  <c r="FV62" i="98"/>
  <c r="FY62" i="98"/>
  <c r="FW62" i="98" s="1"/>
  <c r="FX58" i="98"/>
  <c r="FV58" i="98"/>
  <c r="FW58" i="98"/>
  <c r="FY58" i="98"/>
  <c r="FX54" i="98"/>
  <c r="FV54" i="98"/>
  <c r="FW54" i="98"/>
  <c r="FY54" i="98"/>
  <c r="FX50" i="98"/>
  <c r="FV50" i="98"/>
  <c r="FW50" i="98"/>
  <c r="FY50" i="98"/>
  <c r="FX46" i="98"/>
  <c r="FV46" i="98"/>
  <c r="FW46" i="98"/>
  <c r="FY46" i="98"/>
  <c r="FX42" i="98"/>
  <c r="FV42" i="98"/>
  <c r="FW42" i="98"/>
  <c r="FY42" i="98"/>
  <c r="FX38" i="98"/>
  <c r="FV38" i="98"/>
  <c r="FW38" i="98"/>
  <c r="FY38" i="98"/>
  <c r="FX34" i="98"/>
  <c r="FV34" i="98"/>
  <c r="FW34" i="98"/>
  <c r="FY34" i="98"/>
  <c r="FX30" i="98"/>
  <c r="FV30" i="98"/>
  <c r="FW30" i="98"/>
  <c r="FY30" i="98"/>
  <c r="FX26" i="98"/>
  <c r="FV26" i="98"/>
  <c r="FW26" i="98"/>
  <c r="FY26" i="98"/>
  <c r="FX22" i="98"/>
  <c r="FV22" i="98"/>
  <c r="FW22" i="98"/>
  <c r="FY22" i="98"/>
  <c r="FX18" i="98"/>
  <c r="FV18" i="98"/>
  <c r="FW18" i="98"/>
  <c r="FY18" i="98"/>
  <c r="FX14" i="98"/>
  <c r="FV14" i="98"/>
  <c r="FW14" i="98"/>
  <c r="FY14" i="98"/>
  <c r="FX10" i="98"/>
  <c r="FV10" i="98"/>
  <c r="FW10" i="98"/>
  <c r="FY10" i="98"/>
  <c r="FX85" i="98"/>
  <c r="FV85" i="98"/>
  <c r="FW85" i="98"/>
  <c r="FY85" i="98"/>
  <c r="FX81" i="98"/>
  <c r="FV81" i="98"/>
  <c r="FW81" i="98"/>
  <c r="FY81" i="98"/>
  <c r="FX77" i="98"/>
  <c r="FV77" i="98"/>
  <c r="FW77" i="98"/>
  <c r="FY77" i="98"/>
  <c r="FX73" i="98"/>
  <c r="FV73" i="98"/>
  <c r="FW73" i="98"/>
  <c r="FY73" i="98"/>
  <c r="FX69" i="98"/>
  <c r="FV69" i="98"/>
  <c r="FW69" i="98"/>
  <c r="FY69" i="98"/>
  <c r="FX65" i="98"/>
  <c r="FV65" i="98"/>
  <c r="FW65" i="98"/>
  <c r="FY65" i="98"/>
  <c r="FX61" i="98"/>
  <c r="FV61" i="98"/>
  <c r="FW61" i="98"/>
  <c r="FY61" i="98"/>
  <c r="FX57" i="98"/>
  <c r="FV57" i="98"/>
  <c r="FW57" i="98"/>
  <c r="FY57" i="98"/>
  <c r="FX53" i="98"/>
  <c r="FV53" i="98"/>
  <c r="FW53" i="98"/>
  <c r="FY53" i="98"/>
  <c r="FX49" i="98"/>
  <c r="FV49" i="98"/>
  <c r="FW49" i="98"/>
  <c r="FY49" i="98"/>
  <c r="FX45" i="98"/>
  <c r="FV45" i="98"/>
  <c r="FW45" i="98"/>
  <c r="FY45" i="98"/>
  <c r="FX41" i="98"/>
  <c r="FV41" i="98"/>
  <c r="FW41" i="98"/>
  <c r="FY41" i="98"/>
  <c r="FX37" i="98"/>
  <c r="FV37" i="98"/>
  <c r="FW37" i="98"/>
  <c r="FY37" i="98"/>
  <c r="FX33" i="98"/>
  <c r="FV33" i="98"/>
  <c r="FW33" i="98"/>
  <c r="FY33" i="98"/>
  <c r="FX29" i="98"/>
  <c r="FV29" i="98"/>
  <c r="FW29" i="98"/>
  <c r="FY29" i="98"/>
  <c r="FX25" i="98"/>
  <c r="FV25" i="98"/>
  <c r="FW25" i="98"/>
  <c r="FY25" i="98"/>
  <c r="FX21" i="98"/>
  <c r="FV21" i="98"/>
  <c r="FW21" i="98"/>
  <c r="FY21" i="98"/>
  <c r="FX17" i="98"/>
  <c r="FV17" i="98"/>
  <c r="FW17" i="98"/>
  <c r="FY17" i="98"/>
  <c r="FX13" i="98"/>
  <c r="FV13" i="98"/>
  <c r="FW13" i="98"/>
  <c r="FY13" i="98"/>
  <c r="FX9" i="98"/>
  <c r="FV9" i="98"/>
  <c r="FW9" i="98"/>
  <c r="FY9" i="98"/>
  <c r="FX84" i="98"/>
  <c r="FV84" i="98"/>
  <c r="FY84" i="98"/>
  <c r="FW84" i="98" s="1"/>
  <c r="FX72" i="98"/>
  <c r="FV72" i="98"/>
  <c r="FW72" i="98"/>
  <c r="FY72" i="98"/>
  <c r="FX64" i="98"/>
  <c r="FV64" i="98"/>
  <c r="FY64" i="98"/>
  <c r="FW64" i="98" s="1"/>
  <c r="FX52" i="98"/>
  <c r="FV52" i="98"/>
  <c r="FW52" i="98"/>
  <c r="FY52" i="98"/>
  <c r="FX40" i="98"/>
  <c r="FV40" i="98"/>
  <c r="FY40" i="98"/>
  <c r="FW40" i="98" s="1"/>
  <c r="FX32" i="98"/>
  <c r="FV32" i="98"/>
  <c r="FW32" i="98"/>
  <c r="FY32" i="98"/>
  <c r="FX28" i="98"/>
  <c r="FV28" i="98"/>
  <c r="FY28" i="98"/>
  <c r="FW28" i="98" s="1"/>
  <c r="FX24" i="98"/>
  <c r="FV24" i="98"/>
  <c r="FW24" i="98"/>
  <c r="FY24" i="98"/>
  <c r="FX16" i="98"/>
  <c r="FV16" i="98"/>
  <c r="FW16" i="98"/>
  <c r="FY16" i="98"/>
  <c r="FX12" i="98"/>
  <c r="FV12" i="98"/>
  <c r="FW12" i="98"/>
  <c r="FY12" i="98"/>
  <c r="FX8" i="98"/>
  <c r="FV8" i="98"/>
  <c r="FW8" i="98"/>
  <c r="FY8" i="98"/>
  <c r="FX80" i="98"/>
  <c r="FV80" i="98"/>
  <c r="FW80" i="98"/>
  <c r="FY80" i="98"/>
  <c r="FX76" i="98"/>
  <c r="FV76" i="98"/>
  <c r="FY76" i="98"/>
  <c r="FW76" i="98" s="1"/>
  <c r="FX68" i="98"/>
  <c r="FV68" i="98"/>
  <c r="FY68" i="98"/>
  <c r="FW68" i="98" s="1"/>
  <c r="FX60" i="98"/>
  <c r="FV60" i="98"/>
  <c r="FW60" i="98"/>
  <c r="FY60" i="98"/>
  <c r="FX56" i="98"/>
  <c r="FV56" i="98"/>
  <c r="FY56" i="98"/>
  <c r="FW56" i="98" s="1"/>
  <c r="FX48" i="98"/>
  <c r="FV48" i="98"/>
  <c r="FW48" i="98"/>
  <c r="FY48" i="98"/>
  <c r="FX44" i="98"/>
  <c r="FV44" i="98"/>
  <c r="FY44" i="98"/>
  <c r="FW44" i="98" s="1"/>
  <c r="FX36" i="98"/>
  <c r="FV36" i="98"/>
  <c r="FW36" i="98"/>
  <c r="FY36" i="98"/>
  <c r="FX20" i="98"/>
  <c r="FV20" i="98"/>
  <c r="FW20" i="98"/>
  <c r="FY20" i="98"/>
  <c r="FX83" i="98"/>
  <c r="FV83" i="98"/>
  <c r="FW83" i="98"/>
  <c r="FY83" i="98"/>
  <c r="FX79" i="98"/>
  <c r="FV79" i="98"/>
  <c r="FY79" i="98"/>
  <c r="FW79" i="98" s="1"/>
  <c r="FX75" i="98"/>
  <c r="FV75" i="98"/>
  <c r="FW75" i="98"/>
  <c r="FY75" i="98"/>
  <c r="FX71" i="98"/>
  <c r="FV71" i="98"/>
  <c r="FW71" i="98"/>
  <c r="FY71" i="98"/>
  <c r="FX67" i="98"/>
  <c r="FV67" i="98"/>
  <c r="FW67" i="98"/>
  <c r="FY67" i="98"/>
  <c r="FX63" i="98"/>
  <c r="FV63" i="98"/>
  <c r="FW63" i="98"/>
  <c r="FY63" i="98"/>
  <c r="FX59" i="98"/>
  <c r="FV59" i="98"/>
  <c r="FW59" i="98"/>
  <c r="FY59" i="98"/>
  <c r="FX55" i="98"/>
  <c r="FV55" i="98"/>
  <c r="FW55" i="98"/>
  <c r="FY55" i="98"/>
  <c r="FX51" i="98"/>
  <c r="FV51" i="98"/>
  <c r="FY51" i="98"/>
  <c r="FX47" i="98"/>
  <c r="FV47" i="98"/>
  <c r="FW47" i="98"/>
  <c r="FY47" i="98"/>
  <c r="FX43" i="98"/>
  <c r="FV43" i="98"/>
  <c r="FY43" i="98"/>
  <c r="FX39" i="98"/>
  <c r="FV39" i="98"/>
  <c r="FW39" i="98"/>
  <c r="FY39" i="98"/>
  <c r="FX35" i="98"/>
  <c r="FV35" i="98"/>
  <c r="FY35" i="98"/>
  <c r="FW35" i="98" s="1"/>
  <c r="FX31" i="98"/>
  <c r="FV31" i="98"/>
  <c r="FW31" i="98"/>
  <c r="FY31" i="98"/>
  <c r="FX27" i="98"/>
  <c r="FV27" i="98"/>
  <c r="FW27" i="98"/>
  <c r="FY27" i="98"/>
  <c r="FX23" i="98"/>
  <c r="FV23" i="98"/>
  <c r="FY23" i="98"/>
  <c r="FW23" i="98" s="1"/>
  <c r="FX19" i="98"/>
  <c r="FV19" i="98"/>
  <c r="FW19" i="98"/>
  <c r="FY19" i="98"/>
  <c r="FX15" i="98"/>
  <c r="FV15" i="98"/>
  <c r="FW15" i="98"/>
  <c r="FY15" i="98"/>
  <c r="FX11" i="98"/>
  <c r="FV11" i="98"/>
  <c r="FY11" i="98"/>
  <c r="FX7" i="98"/>
  <c r="FV7" i="98"/>
  <c r="FY7" i="98"/>
  <c r="FW7" i="98" s="1"/>
  <c r="S8" i="95"/>
  <c r="T8" i="95"/>
  <c r="U8" i="95"/>
  <c r="V8" i="95"/>
  <c r="W8" i="95" s="1"/>
  <c r="S9" i="95"/>
  <c r="T9" i="95"/>
  <c r="U9" i="95"/>
  <c r="V9" i="95"/>
  <c r="W9" i="95" s="1"/>
  <c r="S10" i="95"/>
  <c r="T10" i="95"/>
  <c r="U10" i="95"/>
  <c r="V10" i="95"/>
  <c r="W10" i="95" s="1"/>
  <c r="S11" i="95"/>
  <c r="T11" i="95"/>
  <c r="U11" i="95"/>
  <c r="V11" i="95"/>
  <c r="W11" i="95" s="1"/>
  <c r="S12" i="95"/>
  <c r="T12" i="95"/>
  <c r="U12" i="95"/>
  <c r="V12" i="95"/>
  <c r="W12" i="95" s="1"/>
  <c r="S13" i="95"/>
  <c r="T13" i="95"/>
  <c r="U13" i="95"/>
  <c r="V13" i="95"/>
  <c r="W13" i="95" s="1"/>
  <c r="S14" i="95"/>
  <c r="T14" i="95"/>
  <c r="U14" i="95"/>
  <c r="V14" i="95"/>
  <c r="W14" i="95" s="1"/>
  <c r="S15" i="95"/>
  <c r="T15" i="95"/>
  <c r="CD15" i="95" s="1"/>
  <c r="DB3" i="95" s="1"/>
  <c r="U15" i="95"/>
  <c r="V15" i="95"/>
  <c r="W15" i="95" s="1"/>
  <c r="S16" i="95"/>
  <c r="T16" i="95"/>
  <c r="CD16" i="95" s="1"/>
  <c r="DC3" i="95" s="1"/>
  <c r="U16" i="95"/>
  <c r="V16" i="95"/>
  <c r="W16" i="95" s="1"/>
  <c r="T7" i="95"/>
  <c r="U7" i="95"/>
  <c r="V7" i="95"/>
  <c r="W7" i="95" s="1"/>
  <c r="S7" i="95"/>
  <c r="CD14" i="95" l="1"/>
  <c r="DA3" i="95" s="1"/>
  <c r="GB11" i="98"/>
  <c r="GI11" i="98"/>
  <c r="GG11" i="98"/>
  <c r="FT11" i="98"/>
  <c r="FZ11" i="98" s="1"/>
  <c r="GM11" i="98"/>
  <c r="FT43" i="98"/>
  <c r="GB43" i="98" s="1"/>
  <c r="FT51" i="98"/>
  <c r="GD51" i="98" s="1"/>
  <c r="FW11" i="98"/>
  <c r="GE15" i="98"/>
  <c r="GB15" i="98"/>
  <c r="GC15" i="98"/>
  <c r="GP15" i="98"/>
  <c r="GI15" i="98"/>
  <c r="GG15" i="98"/>
  <c r="FT15" i="98"/>
  <c r="FZ15" i="98" s="1"/>
  <c r="GJ15" i="98"/>
  <c r="GM15" i="98"/>
  <c r="GD19" i="98"/>
  <c r="FZ19" i="98"/>
  <c r="GB19" i="98"/>
  <c r="GM19" i="98"/>
  <c r="FT19" i="98"/>
  <c r="GE19" i="98" s="1"/>
  <c r="GP19" i="98"/>
  <c r="GI19" i="98"/>
  <c r="GJ19" i="98"/>
  <c r="GG19" i="98"/>
  <c r="GD27" i="98"/>
  <c r="GM27" i="98"/>
  <c r="FT27" i="98"/>
  <c r="FZ27" i="98" s="1"/>
  <c r="GI27" i="98"/>
  <c r="GB31" i="98"/>
  <c r="GE31" i="98"/>
  <c r="FZ31" i="98"/>
  <c r="GJ31" i="98"/>
  <c r="FT31" i="98"/>
  <c r="GD31" i="98" s="1"/>
  <c r="GM31" i="98"/>
  <c r="GG31" i="98"/>
  <c r="GP31" i="98"/>
  <c r="GI31" i="98"/>
  <c r="GB39" i="98"/>
  <c r="GJ39" i="98"/>
  <c r="FT39" i="98"/>
  <c r="GE39" i="98" s="1"/>
  <c r="GG39" i="98"/>
  <c r="FW43" i="98"/>
  <c r="GB47" i="98"/>
  <c r="GD47" i="98"/>
  <c r="FT47" i="98"/>
  <c r="GE47" i="98" s="1"/>
  <c r="GI47" i="98"/>
  <c r="GG47" i="98"/>
  <c r="GM47" i="98"/>
  <c r="FW51" i="98"/>
  <c r="GD55" i="98"/>
  <c r="GJ55" i="98"/>
  <c r="FT55" i="98"/>
  <c r="FZ55" i="98" s="1"/>
  <c r="FT59" i="98"/>
  <c r="GB59" i="98" s="1"/>
  <c r="GG59" i="98"/>
  <c r="GD63" i="98"/>
  <c r="FZ63" i="98"/>
  <c r="GB63" i="98"/>
  <c r="GM63" i="98"/>
  <c r="GI63" i="98"/>
  <c r="GJ63" i="98"/>
  <c r="GG63" i="98"/>
  <c r="FT63" i="98"/>
  <c r="GE63" i="98" s="1"/>
  <c r="GD67" i="98"/>
  <c r="GE67" i="98"/>
  <c r="GM67" i="98"/>
  <c r="GG67" i="98"/>
  <c r="FT67" i="98"/>
  <c r="FZ67" i="98" s="1"/>
  <c r="GI67" i="98"/>
  <c r="GB71" i="98"/>
  <c r="GE71" i="98"/>
  <c r="FZ71" i="98"/>
  <c r="GJ71" i="98"/>
  <c r="FT71" i="98"/>
  <c r="GD71" i="98" s="1"/>
  <c r="GM71" i="98"/>
  <c r="GP71" i="98"/>
  <c r="GI71" i="98"/>
  <c r="GG71" i="98"/>
  <c r="GB75" i="98"/>
  <c r="GD75" i="98"/>
  <c r="GE75" i="98"/>
  <c r="GJ75" i="98"/>
  <c r="GM75" i="98"/>
  <c r="GG75" i="98"/>
  <c r="FT75" i="98"/>
  <c r="FZ75" i="98" s="1"/>
  <c r="GP75" i="98"/>
  <c r="GI75" i="98"/>
  <c r="GE83" i="98"/>
  <c r="GM83" i="98"/>
  <c r="FT83" i="98"/>
  <c r="GD83" i="98" s="1"/>
  <c r="FT20" i="98"/>
  <c r="FZ20" i="98" s="1"/>
  <c r="GA36" i="98"/>
  <c r="GB36" i="98"/>
  <c r="GC36" i="98"/>
  <c r="GD36" i="98"/>
  <c r="FZ36" i="98"/>
  <c r="GE36" i="98"/>
  <c r="GJ36" i="98"/>
  <c r="GN36" i="98"/>
  <c r="GH36" i="98"/>
  <c r="GK36" i="98"/>
  <c r="GO36" i="98"/>
  <c r="GL36" i="98"/>
  <c r="GP36" i="98"/>
  <c r="GF36" i="98"/>
  <c r="FT36" i="98"/>
  <c r="GI36" i="98"/>
  <c r="GM36" i="98"/>
  <c r="GQ36" i="98"/>
  <c r="GG36" i="98"/>
  <c r="GD48" i="98"/>
  <c r="GJ48" i="98"/>
  <c r="GG48" i="98"/>
  <c r="FT48" i="98"/>
  <c r="FZ48" i="98" s="1"/>
  <c r="GE60" i="98"/>
  <c r="GG60" i="98"/>
  <c r="FT60" i="98"/>
  <c r="GB60" i="98" s="1"/>
  <c r="GJ60" i="98"/>
  <c r="GB80" i="98"/>
  <c r="GD80" i="98"/>
  <c r="FZ80" i="98"/>
  <c r="GE80" i="98"/>
  <c r="GG80" i="98"/>
  <c r="GJ80" i="98"/>
  <c r="GM80" i="98"/>
  <c r="FT80" i="98"/>
  <c r="GC80" i="98" s="1"/>
  <c r="GP80" i="98"/>
  <c r="GD8" i="98"/>
  <c r="GB8" i="98"/>
  <c r="GC8" i="98"/>
  <c r="GJ8" i="98"/>
  <c r="GG8" i="98"/>
  <c r="FT8" i="98"/>
  <c r="GE8" i="98" s="1"/>
  <c r="FT12" i="98"/>
  <c r="GB12" i="98" s="1"/>
  <c r="GA16" i="98"/>
  <c r="GD16" i="98"/>
  <c r="FZ16" i="98"/>
  <c r="GE16" i="98"/>
  <c r="GB16" i="98"/>
  <c r="GC16" i="98"/>
  <c r="GL16" i="98"/>
  <c r="GP16" i="98"/>
  <c r="GH16" i="98"/>
  <c r="GI16" i="98"/>
  <c r="GM16" i="98"/>
  <c r="GQ16" i="98"/>
  <c r="GJ16" i="98"/>
  <c r="GN16" i="98"/>
  <c r="GF16" i="98"/>
  <c r="FT16" i="98"/>
  <c r="GK16" i="98"/>
  <c r="GO16" i="98"/>
  <c r="GG16" i="98"/>
  <c r="FZ24" i="98"/>
  <c r="GB24" i="98"/>
  <c r="GP24" i="98"/>
  <c r="GI24" i="98"/>
  <c r="FT24" i="98"/>
  <c r="GE24" i="98" s="1"/>
  <c r="GD32" i="98"/>
  <c r="GM32" i="98"/>
  <c r="FT32" i="98"/>
  <c r="FZ32" i="98" s="1"/>
  <c r="GI32" i="98"/>
  <c r="GB52" i="98"/>
  <c r="GD52" i="98"/>
  <c r="GJ52" i="98"/>
  <c r="GG52" i="98"/>
  <c r="FT52" i="98"/>
  <c r="FZ52" i="98" s="1"/>
  <c r="GD72" i="98"/>
  <c r="GM72" i="98"/>
  <c r="FT72" i="98"/>
  <c r="FZ72" i="98" s="1"/>
  <c r="GI72" i="98"/>
  <c r="GE9" i="98"/>
  <c r="GJ9" i="98"/>
  <c r="FT9" i="98"/>
  <c r="GD9" i="98" s="1"/>
  <c r="GC13" i="98"/>
  <c r="GD13" i="98"/>
  <c r="GE13" i="98"/>
  <c r="GB13" i="98"/>
  <c r="GP13" i="98"/>
  <c r="GJ13" i="98"/>
  <c r="GM13" i="98"/>
  <c r="GG13" i="98"/>
  <c r="FT13" i="98"/>
  <c r="FZ13" i="98" s="1"/>
  <c r="FT17" i="98"/>
  <c r="GB17" i="98" s="1"/>
  <c r="GD21" i="98"/>
  <c r="FZ21" i="98"/>
  <c r="GB21" i="98"/>
  <c r="GM21" i="98"/>
  <c r="GG21" i="98"/>
  <c r="GI21" i="98"/>
  <c r="GJ21" i="98"/>
  <c r="FT21" i="98"/>
  <c r="GE21" i="98" s="1"/>
  <c r="FT25" i="98"/>
  <c r="GB25" i="98" s="1"/>
  <c r="GB29" i="98"/>
  <c r="GE29" i="98"/>
  <c r="FZ29" i="98"/>
  <c r="GJ29" i="98"/>
  <c r="GP29" i="98"/>
  <c r="GI29" i="98"/>
  <c r="GG29" i="98"/>
  <c r="FT29" i="98"/>
  <c r="GD29" i="98" s="1"/>
  <c r="FT33" i="98"/>
  <c r="FZ33" i="98" s="1"/>
  <c r="FZ37" i="98"/>
  <c r="GD37" i="98"/>
  <c r="GE37" i="98"/>
  <c r="GI37" i="98"/>
  <c r="GG37" i="98"/>
  <c r="GM37" i="98"/>
  <c r="GP37" i="98"/>
  <c r="FT37" i="98"/>
  <c r="GB37" i="98" s="1"/>
  <c r="FT41" i="98"/>
  <c r="GE41" i="98" s="1"/>
  <c r="FZ45" i="98"/>
  <c r="GD45" i="98"/>
  <c r="GE45" i="98"/>
  <c r="GI45" i="98"/>
  <c r="GG45" i="98"/>
  <c r="GM45" i="98"/>
  <c r="GP45" i="98"/>
  <c r="FT45" i="98"/>
  <c r="GB45" i="98" s="1"/>
  <c r="FT49" i="98"/>
  <c r="GD49" i="98" s="1"/>
  <c r="GE53" i="98"/>
  <c r="GB53" i="98"/>
  <c r="GD53" i="98"/>
  <c r="GP53" i="98"/>
  <c r="GJ53" i="98"/>
  <c r="GM53" i="98"/>
  <c r="GG53" i="98"/>
  <c r="FT53" i="98"/>
  <c r="FZ53" i="98" s="1"/>
  <c r="FT57" i="98"/>
  <c r="GB57" i="98" s="1"/>
  <c r="GD61" i="98"/>
  <c r="FZ61" i="98"/>
  <c r="GB61" i="98"/>
  <c r="GM61" i="98"/>
  <c r="GG61" i="98"/>
  <c r="GI61" i="98"/>
  <c r="GJ61" i="98"/>
  <c r="FT61" i="98"/>
  <c r="GE61" i="98" s="1"/>
  <c r="FT65" i="98"/>
  <c r="GB65" i="98" s="1"/>
  <c r="GB69" i="98"/>
  <c r="GE69" i="98"/>
  <c r="FZ69" i="98"/>
  <c r="GJ69" i="98"/>
  <c r="GP69" i="98"/>
  <c r="GI69" i="98"/>
  <c r="GG69" i="98"/>
  <c r="FT69" i="98"/>
  <c r="GD69" i="98" s="1"/>
  <c r="FT73" i="98"/>
  <c r="FZ73" i="98" s="1"/>
  <c r="GC77" i="98"/>
  <c r="GM77" i="98"/>
  <c r="FT77" i="98"/>
  <c r="GE77" i="98" s="1"/>
  <c r="FZ81" i="98"/>
  <c r="GE81" i="98"/>
  <c r="GC81" i="98"/>
  <c r="GD81" i="98"/>
  <c r="GI81" i="98"/>
  <c r="GJ81" i="98"/>
  <c r="GM81" i="98"/>
  <c r="GP81" i="98"/>
  <c r="FT81" i="98"/>
  <c r="GB81" i="98" s="1"/>
  <c r="FZ85" i="98"/>
  <c r="GE85" i="98"/>
  <c r="GD85" i="98"/>
  <c r="GI85" i="98"/>
  <c r="GM85" i="98"/>
  <c r="GP85" i="98"/>
  <c r="FT85" i="98"/>
  <c r="GC85" i="98" s="1"/>
  <c r="GC10" i="98"/>
  <c r="GD10" i="98"/>
  <c r="GP10" i="98"/>
  <c r="GG10" i="98"/>
  <c r="FT10" i="98"/>
  <c r="GB10" i="98" s="1"/>
  <c r="GJ10" i="98"/>
  <c r="GM10" i="98"/>
  <c r="FT14" i="98"/>
  <c r="GC14" i="98" s="1"/>
  <c r="GD18" i="98"/>
  <c r="GB18" i="98"/>
  <c r="GM18" i="98"/>
  <c r="FT18" i="98"/>
  <c r="FZ18" i="98" s="1"/>
  <c r="GI18" i="98"/>
  <c r="GG18" i="98"/>
  <c r="GJ18" i="98"/>
  <c r="FZ22" i="98"/>
  <c r="FT22" i="98"/>
  <c r="GD22" i="98" s="1"/>
  <c r="GP22" i="98"/>
  <c r="GJ22" i="98"/>
  <c r="GA26" i="98"/>
  <c r="GC26" i="98"/>
  <c r="GD26" i="98"/>
  <c r="FZ26" i="98"/>
  <c r="GE26" i="98"/>
  <c r="GB26" i="98"/>
  <c r="GK26" i="98"/>
  <c r="GO26" i="98"/>
  <c r="GH26" i="98"/>
  <c r="FT26" i="98"/>
  <c r="GL26" i="98"/>
  <c r="GP26" i="98"/>
  <c r="GI26" i="98"/>
  <c r="GM26" i="98"/>
  <c r="GQ26" i="98"/>
  <c r="GF26" i="98"/>
  <c r="GJ26" i="98"/>
  <c r="GN26" i="98"/>
  <c r="GG26" i="98"/>
  <c r="GB30" i="98"/>
  <c r="GD30" i="98"/>
  <c r="GJ30" i="98"/>
  <c r="GG30" i="98"/>
  <c r="FT30" i="98"/>
  <c r="FZ30" i="98" s="1"/>
  <c r="GP30" i="98"/>
  <c r="GI30" i="98"/>
  <c r="FZ34" i="98"/>
  <c r="FT34" i="98"/>
  <c r="GD34" i="98" s="1"/>
  <c r="GM34" i="98"/>
  <c r="FT38" i="98"/>
  <c r="GE38" i="98" s="1"/>
  <c r="GP38" i="98"/>
  <c r="FZ42" i="98"/>
  <c r="GD42" i="98"/>
  <c r="GE42" i="98"/>
  <c r="GI42" i="98"/>
  <c r="FT42" i="98"/>
  <c r="GB42" i="98" s="1"/>
  <c r="GJ42" i="98"/>
  <c r="GM42" i="98"/>
  <c r="GG42" i="98"/>
  <c r="GP42" i="98"/>
  <c r="GA46" i="98"/>
  <c r="FZ46" i="98"/>
  <c r="GE46" i="98"/>
  <c r="GB46" i="98"/>
  <c r="GC46" i="98"/>
  <c r="GD46" i="98"/>
  <c r="GI46" i="98"/>
  <c r="GM46" i="98"/>
  <c r="GQ46" i="98"/>
  <c r="GH46" i="98"/>
  <c r="FT46" i="98"/>
  <c r="GJ46" i="98"/>
  <c r="GN46" i="98"/>
  <c r="GK46" i="98"/>
  <c r="GO46" i="98"/>
  <c r="GF46" i="98"/>
  <c r="GL46" i="98"/>
  <c r="GP46" i="98"/>
  <c r="GG46" i="98"/>
  <c r="FT50" i="98"/>
  <c r="GE50" i="98" s="1"/>
  <c r="GE54" i="98"/>
  <c r="FZ54" i="98"/>
  <c r="GD54" i="98"/>
  <c r="GP54" i="98"/>
  <c r="GG54" i="98"/>
  <c r="FT54" i="98"/>
  <c r="GB54" i="98" s="1"/>
  <c r="GI54" i="98"/>
  <c r="GJ54" i="98"/>
  <c r="GM54" i="98"/>
  <c r="FZ58" i="98"/>
  <c r="FT58" i="98"/>
  <c r="GD58" i="98" s="1"/>
  <c r="GP58" i="98"/>
  <c r="GJ58" i="98"/>
  <c r="GA66" i="98"/>
  <c r="GC66" i="98"/>
  <c r="GD66" i="98"/>
  <c r="FZ66" i="98"/>
  <c r="GE66" i="98"/>
  <c r="GB66" i="98"/>
  <c r="GK66" i="98"/>
  <c r="GO66" i="98"/>
  <c r="GH66" i="98"/>
  <c r="FT66" i="98"/>
  <c r="GL66" i="98"/>
  <c r="GP66" i="98"/>
  <c r="GI66" i="98"/>
  <c r="GM66" i="98"/>
  <c r="GQ66" i="98"/>
  <c r="GF66" i="98"/>
  <c r="GJ66" i="98"/>
  <c r="GN66" i="98"/>
  <c r="GG66" i="98"/>
  <c r="GB70" i="98"/>
  <c r="GD70" i="98"/>
  <c r="GJ70" i="98"/>
  <c r="GG70" i="98"/>
  <c r="FT70" i="98"/>
  <c r="FZ70" i="98" s="1"/>
  <c r="GP70" i="98"/>
  <c r="GI70" i="98"/>
  <c r="FZ74" i="98"/>
  <c r="FT74" i="98"/>
  <c r="GD74" i="98" s="1"/>
  <c r="GM74" i="98"/>
  <c r="GD82" i="98"/>
  <c r="FZ82" i="98"/>
  <c r="GC82" i="98"/>
  <c r="GI82" i="98"/>
  <c r="FT82" i="98"/>
  <c r="GB82" i="98" s="1"/>
  <c r="GM82" i="98"/>
  <c r="GG82" i="98"/>
  <c r="GP82" i="98"/>
  <c r="GA6" i="98"/>
  <c r="GB6" i="98"/>
  <c r="FZ6" i="98"/>
  <c r="GC6" i="98"/>
  <c r="GD6" i="98"/>
  <c r="GE6" i="98"/>
  <c r="GJ6" i="98"/>
  <c r="GN6" i="98"/>
  <c r="GI6" i="98"/>
  <c r="GH6" i="98"/>
  <c r="FT6" i="98"/>
  <c r="GK6" i="98"/>
  <c r="GO6" i="98"/>
  <c r="GL6" i="98"/>
  <c r="GP6" i="98"/>
  <c r="GF6" i="98"/>
  <c r="GM6" i="98"/>
  <c r="GQ6" i="98"/>
  <c r="GG6" i="98"/>
  <c r="GE79" i="98"/>
  <c r="GM79" i="98"/>
  <c r="FT79" i="98"/>
  <c r="GD79" i="98" s="1"/>
  <c r="FT44" i="98"/>
  <c r="GD44" i="98" s="1"/>
  <c r="GA56" i="98"/>
  <c r="GD56" i="98"/>
  <c r="FZ56" i="98"/>
  <c r="GE56" i="98"/>
  <c r="GB56" i="98"/>
  <c r="GC56" i="98"/>
  <c r="GL56" i="98"/>
  <c r="GP56" i="98"/>
  <c r="GH56" i="98"/>
  <c r="GI56" i="98"/>
  <c r="GM56" i="98"/>
  <c r="GQ56" i="98"/>
  <c r="GJ56" i="98"/>
  <c r="GN56" i="98"/>
  <c r="GF56" i="98"/>
  <c r="FT56" i="98"/>
  <c r="GK56" i="98"/>
  <c r="GO56" i="98"/>
  <c r="GG56" i="98"/>
  <c r="GE68" i="98"/>
  <c r="FZ68" i="98"/>
  <c r="GP68" i="98"/>
  <c r="GG68" i="98"/>
  <c r="FT68" i="98"/>
  <c r="GD68" i="98" s="1"/>
  <c r="GD28" i="98"/>
  <c r="GM28" i="98"/>
  <c r="FT28" i="98"/>
  <c r="FZ28" i="98" s="1"/>
  <c r="GI28" i="98"/>
  <c r="GD40" i="98"/>
  <c r="GE40" i="98"/>
  <c r="GJ40" i="98"/>
  <c r="GM40" i="98"/>
  <c r="FT40" i="98"/>
  <c r="GB40" i="98" s="1"/>
  <c r="GE64" i="98"/>
  <c r="GG64" i="98"/>
  <c r="FT64" i="98"/>
  <c r="GB64" i="98" s="1"/>
  <c r="GJ64" i="98"/>
  <c r="GB84" i="98"/>
  <c r="GD84" i="98"/>
  <c r="FZ84" i="98"/>
  <c r="GE84" i="98"/>
  <c r="GG84" i="98"/>
  <c r="GJ84" i="98"/>
  <c r="GM84" i="98"/>
  <c r="FT84" i="98"/>
  <c r="GC84" i="98" s="1"/>
  <c r="GP84" i="98"/>
  <c r="GD62" i="98"/>
  <c r="GB62" i="98"/>
  <c r="GM62" i="98"/>
  <c r="FT62" i="98"/>
  <c r="FZ62" i="98" s="1"/>
  <c r="GI62" i="98"/>
  <c r="GG62" i="98"/>
  <c r="GJ62" i="98"/>
  <c r="FT78" i="98"/>
  <c r="GD78" i="98" s="1"/>
  <c r="GP78" i="98"/>
  <c r="GC7" i="98"/>
  <c r="GG7" i="98"/>
  <c r="FT7" i="98"/>
  <c r="GE7" i="98" s="1"/>
  <c r="GD23" i="98"/>
  <c r="GB23" i="98"/>
  <c r="GM23" i="98"/>
  <c r="GJ23" i="98"/>
  <c r="GG23" i="98"/>
  <c r="FT23" i="98"/>
  <c r="FZ23" i="98" s="1"/>
  <c r="GE35" i="98"/>
  <c r="GG35" i="98"/>
  <c r="FT35" i="98"/>
  <c r="GB35" i="98" s="1"/>
  <c r="GA76" i="98"/>
  <c r="GB76" i="98"/>
  <c r="GC76" i="98"/>
  <c r="GD76" i="98"/>
  <c r="FZ76" i="98"/>
  <c r="GE76" i="98"/>
  <c r="GJ76" i="98"/>
  <c r="GN76" i="98"/>
  <c r="GH76" i="98"/>
  <c r="GK76" i="98"/>
  <c r="GO76" i="98"/>
  <c r="GL76" i="98"/>
  <c r="GP76" i="98"/>
  <c r="GF76" i="98"/>
  <c r="FT76" i="98"/>
  <c r="GI76" i="98"/>
  <c r="GM76" i="98"/>
  <c r="GQ76" i="98"/>
  <c r="GG76" i="98"/>
  <c r="CD13" i="95"/>
  <c r="CZ3" i="95" s="1"/>
  <c r="CD12" i="95"/>
  <c r="CY3" i="95" s="1"/>
  <c r="CD11" i="95"/>
  <c r="CX3" i="95" s="1"/>
  <c r="CD10" i="95"/>
  <c r="CW3" i="95" s="1"/>
  <c r="BA13" i="95"/>
  <c r="BN3" i="95" s="1"/>
  <c r="CD9" i="95"/>
  <c r="CV3" i="95" s="1"/>
  <c r="CD8" i="95"/>
  <c r="CU3" i="95" s="1"/>
  <c r="CD7" i="95"/>
  <c r="CT3" i="95" s="1"/>
  <c r="BA16" i="95"/>
  <c r="BQ3" i="95" s="1"/>
  <c r="BA15" i="95"/>
  <c r="BP3" i="95" s="1"/>
  <c r="BA14" i="95"/>
  <c r="BO3" i="95" s="1"/>
  <c r="BA12" i="95"/>
  <c r="BM3" i="95" s="1"/>
  <c r="BA11" i="95"/>
  <c r="BL3" i="95" s="1"/>
  <c r="BA10" i="95"/>
  <c r="BK3" i="95" s="1"/>
  <c r="BA9" i="95"/>
  <c r="BJ3" i="95" s="1"/>
  <c r="BA8" i="95"/>
  <c r="BI3" i="95" s="1"/>
  <c r="X7" i="95"/>
  <c r="BA7" i="95"/>
  <c r="BH3" i="95" s="1"/>
  <c r="X15" i="95"/>
  <c r="X14" i="95"/>
  <c r="X12" i="95"/>
  <c r="X10" i="95"/>
  <c r="X9" i="95"/>
  <c r="X16" i="95"/>
  <c r="X13" i="95"/>
  <c r="X11" i="95"/>
  <c r="X8" i="95"/>
  <c r="AY6" i="101"/>
  <c r="AY7" i="101"/>
  <c r="AY8" i="101"/>
  <c r="AY9" i="101"/>
  <c r="AY10" i="101"/>
  <c r="AY11" i="101"/>
  <c r="AY12" i="101"/>
  <c r="AY13" i="101"/>
  <c r="AY14" i="101"/>
  <c r="AY15" i="101"/>
  <c r="AY16" i="101"/>
  <c r="AY17" i="101"/>
  <c r="AY18" i="101"/>
  <c r="AY19" i="101"/>
  <c r="AY20" i="101"/>
  <c r="AY21" i="101"/>
  <c r="AY22" i="101"/>
  <c r="AY23" i="101"/>
  <c r="AY24" i="101"/>
  <c r="AY25" i="101"/>
  <c r="AY26" i="101"/>
  <c r="AY27" i="101"/>
  <c r="AY28" i="101"/>
  <c r="AY29" i="101"/>
  <c r="AY30" i="101"/>
  <c r="AY31" i="101"/>
  <c r="AY32" i="101"/>
  <c r="AY33" i="101"/>
  <c r="AY34" i="101"/>
  <c r="AY35" i="101"/>
  <c r="AY36" i="101"/>
  <c r="AY37" i="101"/>
  <c r="AY38" i="101"/>
  <c r="AY39" i="101"/>
  <c r="AY40" i="101"/>
  <c r="AY41" i="101"/>
  <c r="AY42" i="101"/>
  <c r="AY43" i="101"/>
  <c r="AY44" i="101"/>
  <c r="AY45" i="101"/>
  <c r="AY46" i="101"/>
  <c r="AY47" i="101"/>
  <c r="AY48" i="101"/>
  <c r="AY49" i="101"/>
  <c r="AY50" i="101"/>
  <c r="AY51" i="101"/>
  <c r="AY52" i="101"/>
  <c r="AY53" i="101"/>
  <c r="AY54" i="101"/>
  <c r="AY55" i="101"/>
  <c r="AY56" i="101"/>
  <c r="AY57" i="101"/>
  <c r="AY58" i="101"/>
  <c r="AY59" i="101"/>
  <c r="AY60" i="101"/>
  <c r="AY61" i="101"/>
  <c r="AY62" i="101"/>
  <c r="AY63" i="101"/>
  <c r="AY64" i="101"/>
  <c r="AY65" i="101"/>
  <c r="AY66" i="101"/>
  <c r="AY67" i="101"/>
  <c r="AY68" i="101"/>
  <c r="AY69" i="101"/>
  <c r="AY70" i="101"/>
  <c r="AY71" i="101"/>
  <c r="AY72" i="101"/>
  <c r="AY73" i="101"/>
  <c r="AY74" i="101"/>
  <c r="AY75" i="101"/>
  <c r="AY76" i="101"/>
  <c r="AY77" i="101"/>
  <c r="AY78" i="101"/>
  <c r="AY79" i="101"/>
  <c r="AY80" i="101"/>
  <c r="AY81" i="101"/>
  <c r="AY82" i="101"/>
  <c r="AY83" i="101"/>
  <c r="AY84" i="101"/>
  <c r="AY85" i="101"/>
  <c r="AY86" i="101"/>
  <c r="AY87" i="101"/>
  <c r="AY88" i="101"/>
  <c r="AY89" i="101"/>
  <c r="AY90" i="101"/>
  <c r="AY91" i="101"/>
  <c r="AY92" i="101"/>
  <c r="AY93" i="101"/>
  <c r="AY94" i="101"/>
  <c r="AY95" i="101"/>
  <c r="AY96" i="101"/>
  <c r="AY97" i="101"/>
  <c r="AY98" i="101"/>
  <c r="AY99" i="101"/>
  <c r="AY100" i="101"/>
  <c r="AY101" i="101"/>
  <c r="AY102" i="101"/>
  <c r="AY103" i="101"/>
  <c r="AY104" i="101"/>
  <c r="AY105" i="101"/>
  <c r="AY106" i="101"/>
  <c r="AY107" i="101"/>
  <c r="AY108" i="101"/>
  <c r="AY109" i="101"/>
  <c r="AY110" i="101"/>
  <c r="AY5" i="101"/>
  <c r="AX6" i="101"/>
  <c r="AX7" i="101"/>
  <c r="AX8" i="101"/>
  <c r="AX9" i="101"/>
  <c r="AX10" i="101"/>
  <c r="AX11" i="101"/>
  <c r="AX12" i="101"/>
  <c r="AX13" i="101"/>
  <c r="AX14" i="101"/>
  <c r="AX15" i="101"/>
  <c r="AX16" i="101"/>
  <c r="AX17" i="101"/>
  <c r="AX18" i="101"/>
  <c r="AX19" i="101"/>
  <c r="AX20" i="101"/>
  <c r="AX21" i="101"/>
  <c r="AX22" i="101"/>
  <c r="AX23" i="101"/>
  <c r="AX24" i="101"/>
  <c r="AX25" i="101"/>
  <c r="AX26" i="101"/>
  <c r="AX27" i="101"/>
  <c r="AX28" i="101"/>
  <c r="AX29" i="101"/>
  <c r="AX30" i="101"/>
  <c r="AX31" i="101"/>
  <c r="AX32" i="101"/>
  <c r="AX33" i="101"/>
  <c r="AX34" i="101"/>
  <c r="AX35" i="101"/>
  <c r="AX36" i="101"/>
  <c r="AX37" i="101"/>
  <c r="AX38" i="101"/>
  <c r="AX39" i="101"/>
  <c r="AX40" i="101"/>
  <c r="AX41" i="101"/>
  <c r="AX42" i="101"/>
  <c r="AX43" i="101"/>
  <c r="AX44" i="101"/>
  <c r="AX45" i="101"/>
  <c r="AX46" i="101"/>
  <c r="AX47" i="101"/>
  <c r="AX48" i="101"/>
  <c r="AX49" i="101"/>
  <c r="AX50" i="101"/>
  <c r="AX51" i="101"/>
  <c r="AX52" i="101"/>
  <c r="AX53" i="101"/>
  <c r="AX54" i="101"/>
  <c r="AX55" i="101"/>
  <c r="AX56" i="101"/>
  <c r="AX57" i="101"/>
  <c r="AX58" i="101"/>
  <c r="AX59" i="101"/>
  <c r="AX60" i="101"/>
  <c r="AX61" i="101"/>
  <c r="AX62" i="101"/>
  <c r="AX63" i="101"/>
  <c r="AX64" i="101"/>
  <c r="AX65" i="101"/>
  <c r="AX66" i="101"/>
  <c r="AX67" i="101"/>
  <c r="AX68" i="101"/>
  <c r="AX69" i="101"/>
  <c r="AX70" i="101"/>
  <c r="AX71" i="101"/>
  <c r="AX72" i="101"/>
  <c r="AX73" i="101"/>
  <c r="AX74" i="101"/>
  <c r="AX75" i="101"/>
  <c r="AX76" i="101"/>
  <c r="AX77" i="101"/>
  <c r="AX78" i="101"/>
  <c r="AX79" i="101"/>
  <c r="AX80" i="101"/>
  <c r="AX81" i="101"/>
  <c r="AX82" i="101"/>
  <c r="AX83" i="101"/>
  <c r="AX84" i="101"/>
  <c r="AX85" i="101"/>
  <c r="AX86" i="101"/>
  <c r="AX87" i="101"/>
  <c r="AX88" i="101"/>
  <c r="AX89" i="101"/>
  <c r="AX90" i="101"/>
  <c r="AX91" i="101"/>
  <c r="AX92" i="101"/>
  <c r="AX93" i="101"/>
  <c r="AX94" i="101"/>
  <c r="AX95" i="101"/>
  <c r="AX96" i="101"/>
  <c r="AX97" i="101"/>
  <c r="AX98" i="101"/>
  <c r="AX99" i="101"/>
  <c r="AX100" i="101"/>
  <c r="AX101" i="101"/>
  <c r="AX102" i="101"/>
  <c r="AX103" i="101"/>
  <c r="AX104" i="101"/>
  <c r="AX105" i="101"/>
  <c r="AX106" i="101"/>
  <c r="AX107" i="101"/>
  <c r="AX108" i="101"/>
  <c r="AX109" i="101"/>
  <c r="AX110" i="101"/>
  <c r="AX5" i="101"/>
  <c r="BN6" i="101"/>
  <c r="BO6" i="101"/>
  <c r="BP6" i="101"/>
  <c r="BN7" i="101"/>
  <c r="BO7" i="101"/>
  <c r="BP7" i="101"/>
  <c r="BN8" i="101"/>
  <c r="BO8" i="101"/>
  <c r="BP8" i="101"/>
  <c r="BN9" i="101"/>
  <c r="BO9" i="101"/>
  <c r="BP9" i="101"/>
  <c r="BN10" i="101"/>
  <c r="BO10" i="101"/>
  <c r="BP10" i="101"/>
  <c r="BN11" i="101"/>
  <c r="BO11" i="101"/>
  <c r="BP11" i="101"/>
  <c r="BN12" i="101"/>
  <c r="BO12" i="101"/>
  <c r="BP12" i="101"/>
  <c r="BN13" i="101"/>
  <c r="BO13" i="101"/>
  <c r="BP13" i="101"/>
  <c r="BN14" i="101"/>
  <c r="BO14" i="101"/>
  <c r="BP14" i="101"/>
  <c r="BN15" i="101"/>
  <c r="BO15" i="101"/>
  <c r="BP15" i="101"/>
  <c r="BN16" i="101"/>
  <c r="BO16" i="101"/>
  <c r="BP16" i="101"/>
  <c r="BN17" i="101"/>
  <c r="BO17" i="101"/>
  <c r="BP17" i="101"/>
  <c r="BN18" i="101"/>
  <c r="BO18" i="101"/>
  <c r="BP18" i="101"/>
  <c r="BN19" i="101"/>
  <c r="BO19" i="101"/>
  <c r="BP19" i="101"/>
  <c r="BN20" i="101"/>
  <c r="BO20" i="101"/>
  <c r="BP20" i="101"/>
  <c r="BN21" i="101"/>
  <c r="BO21" i="101"/>
  <c r="BP21" i="101"/>
  <c r="BN22" i="101"/>
  <c r="BO22" i="101"/>
  <c r="BP22" i="101"/>
  <c r="BN23" i="101"/>
  <c r="BO23" i="101"/>
  <c r="BP23" i="101"/>
  <c r="BN24" i="101"/>
  <c r="BO24" i="101"/>
  <c r="BP24" i="101"/>
  <c r="BN25" i="101"/>
  <c r="BO25" i="101"/>
  <c r="BP25" i="101"/>
  <c r="BN26" i="101"/>
  <c r="BO26" i="101"/>
  <c r="BP26" i="101"/>
  <c r="BN27" i="101"/>
  <c r="BO27" i="101"/>
  <c r="BP27" i="101"/>
  <c r="BN28" i="101"/>
  <c r="BO28" i="101"/>
  <c r="BP28" i="101"/>
  <c r="BN29" i="101"/>
  <c r="BO29" i="101"/>
  <c r="BP29" i="101"/>
  <c r="BN30" i="101"/>
  <c r="BO30" i="101"/>
  <c r="BP30" i="101"/>
  <c r="BN31" i="101"/>
  <c r="BO31" i="101"/>
  <c r="BP31" i="101"/>
  <c r="BN32" i="101"/>
  <c r="BO32" i="101"/>
  <c r="BP32" i="101"/>
  <c r="BN33" i="101"/>
  <c r="BO33" i="101"/>
  <c r="BP33" i="101"/>
  <c r="BN34" i="101"/>
  <c r="BO34" i="101"/>
  <c r="BP34" i="101"/>
  <c r="BN35" i="101"/>
  <c r="BO35" i="101"/>
  <c r="BP35" i="101"/>
  <c r="BN36" i="101"/>
  <c r="BO36" i="101"/>
  <c r="BP36" i="101"/>
  <c r="BN37" i="101"/>
  <c r="BO37" i="101"/>
  <c r="BP37" i="101"/>
  <c r="BN38" i="101"/>
  <c r="BO38" i="101"/>
  <c r="BP38" i="101"/>
  <c r="BN39" i="101"/>
  <c r="BO39" i="101"/>
  <c r="BP39" i="101"/>
  <c r="BN40" i="101"/>
  <c r="BO40" i="101"/>
  <c r="BP40" i="101"/>
  <c r="BN41" i="101"/>
  <c r="BO41" i="101"/>
  <c r="BP41" i="101"/>
  <c r="BN42" i="101"/>
  <c r="BO42" i="101"/>
  <c r="BP42" i="101"/>
  <c r="BN43" i="101"/>
  <c r="BO43" i="101"/>
  <c r="BP43" i="101"/>
  <c r="BN44" i="101"/>
  <c r="BO44" i="101"/>
  <c r="BP44" i="101"/>
  <c r="BN45" i="101"/>
  <c r="BO45" i="101"/>
  <c r="BP45" i="101"/>
  <c r="BN46" i="101"/>
  <c r="BO46" i="101"/>
  <c r="BP46" i="101"/>
  <c r="BN47" i="101"/>
  <c r="BO47" i="101"/>
  <c r="BP47" i="101"/>
  <c r="BN48" i="101"/>
  <c r="BO48" i="101"/>
  <c r="BP48" i="101"/>
  <c r="BN49" i="101"/>
  <c r="BO49" i="101"/>
  <c r="BP49" i="101"/>
  <c r="BN50" i="101"/>
  <c r="BO50" i="101"/>
  <c r="BP50" i="101"/>
  <c r="BN51" i="101"/>
  <c r="BO51" i="101"/>
  <c r="BP51" i="101"/>
  <c r="BN52" i="101"/>
  <c r="BO52" i="101"/>
  <c r="BP52" i="101"/>
  <c r="BN53" i="101"/>
  <c r="BO53" i="101"/>
  <c r="BP53" i="101"/>
  <c r="BN54" i="101"/>
  <c r="BO54" i="101"/>
  <c r="BP54" i="101"/>
  <c r="BN55" i="101"/>
  <c r="BO55" i="101"/>
  <c r="BP55" i="101"/>
  <c r="BN56" i="101"/>
  <c r="BO56" i="101"/>
  <c r="BP56" i="101"/>
  <c r="BN57" i="101"/>
  <c r="BO57" i="101"/>
  <c r="BP57" i="101"/>
  <c r="BN58" i="101"/>
  <c r="BO58" i="101"/>
  <c r="BP58" i="101"/>
  <c r="BN59" i="101"/>
  <c r="BO59" i="101"/>
  <c r="BP59" i="101"/>
  <c r="BN60" i="101"/>
  <c r="BO60" i="101"/>
  <c r="BP60" i="101"/>
  <c r="BN61" i="101"/>
  <c r="BO61" i="101"/>
  <c r="BP61" i="101"/>
  <c r="BN62" i="101"/>
  <c r="BO62" i="101"/>
  <c r="BP62" i="101"/>
  <c r="BN63" i="101"/>
  <c r="BO63" i="101"/>
  <c r="BP63" i="101"/>
  <c r="BN64" i="101"/>
  <c r="BO64" i="101"/>
  <c r="BP64" i="101"/>
  <c r="BN65" i="101"/>
  <c r="BO65" i="101"/>
  <c r="BP65" i="101"/>
  <c r="BN66" i="101"/>
  <c r="BO66" i="101"/>
  <c r="BP66" i="101"/>
  <c r="BN67" i="101"/>
  <c r="BO67" i="101"/>
  <c r="BP67" i="101"/>
  <c r="BN68" i="101"/>
  <c r="BO68" i="101"/>
  <c r="BP68" i="101"/>
  <c r="BN69" i="101"/>
  <c r="BO69" i="101"/>
  <c r="BP69" i="101"/>
  <c r="BN70" i="101"/>
  <c r="BO70" i="101"/>
  <c r="BP70" i="101"/>
  <c r="BN71" i="101"/>
  <c r="BO71" i="101"/>
  <c r="BP71" i="101"/>
  <c r="BN72" i="101"/>
  <c r="BO72" i="101"/>
  <c r="BP72" i="101"/>
  <c r="BN73" i="101"/>
  <c r="BO73" i="101"/>
  <c r="BP73" i="101"/>
  <c r="BN74" i="101"/>
  <c r="BO74" i="101"/>
  <c r="BP74" i="101"/>
  <c r="BN75" i="101"/>
  <c r="BO75" i="101"/>
  <c r="BP75" i="101"/>
  <c r="BN76" i="101"/>
  <c r="BO76" i="101"/>
  <c r="BP76" i="101"/>
  <c r="BN77" i="101"/>
  <c r="BO77" i="101"/>
  <c r="BP77" i="101"/>
  <c r="BN78" i="101"/>
  <c r="BO78" i="101"/>
  <c r="BP78" i="101"/>
  <c r="BN79" i="101"/>
  <c r="BO79" i="101"/>
  <c r="BP79" i="101"/>
  <c r="BN80" i="101"/>
  <c r="BO80" i="101"/>
  <c r="BP80" i="101"/>
  <c r="BN81" i="101"/>
  <c r="BO81" i="101"/>
  <c r="BP81" i="101"/>
  <c r="BN82" i="101"/>
  <c r="BO82" i="101"/>
  <c r="BP82" i="101"/>
  <c r="BN83" i="101"/>
  <c r="BO83" i="101"/>
  <c r="BP83" i="101"/>
  <c r="BN84" i="101"/>
  <c r="BO84" i="101"/>
  <c r="BP84" i="101"/>
  <c r="BN85" i="101"/>
  <c r="BO85" i="101"/>
  <c r="BP85" i="101"/>
  <c r="BN86" i="101"/>
  <c r="BO86" i="101"/>
  <c r="BP86" i="101"/>
  <c r="BN87" i="101"/>
  <c r="BO87" i="101"/>
  <c r="BP87" i="101"/>
  <c r="BN88" i="101"/>
  <c r="BO88" i="101"/>
  <c r="BP88" i="101"/>
  <c r="BN89" i="101"/>
  <c r="BO89" i="101"/>
  <c r="BP89" i="101"/>
  <c r="BN90" i="101"/>
  <c r="BO90" i="101"/>
  <c r="BP90" i="101"/>
  <c r="BN91" i="101"/>
  <c r="BO91" i="101"/>
  <c r="BP91" i="101"/>
  <c r="BN92" i="101"/>
  <c r="BO92" i="101"/>
  <c r="BP92" i="101"/>
  <c r="BN93" i="101"/>
  <c r="BO93" i="101"/>
  <c r="BP93" i="101"/>
  <c r="BN94" i="101"/>
  <c r="BO94" i="101"/>
  <c r="BP94" i="101"/>
  <c r="BN95" i="101"/>
  <c r="BO95" i="101"/>
  <c r="BP95" i="101"/>
  <c r="BN96" i="101"/>
  <c r="BO96" i="101"/>
  <c r="BP96" i="101"/>
  <c r="BN97" i="101"/>
  <c r="BO97" i="101"/>
  <c r="BP97" i="101"/>
  <c r="BN98" i="101"/>
  <c r="BO98" i="101"/>
  <c r="BP98" i="101"/>
  <c r="BN99" i="101"/>
  <c r="BO99" i="101"/>
  <c r="BP99" i="101"/>
  <c r="BN100" i="101"/>
  <c r="BO100" i="101"/>
  <c r="BP100" i="101"/>
  <c r="BN101" i="101"/>
  <c r="BO101" i="101"/>
  <c r="BP101" i="101"/>
  <c r="BN102" i="101"/>
  <c r="BO102" i="101"/>
  <c r="BP102" i="101"/>
  <c r="BN103" i="101"/>
  <c r="BO103" i="101"/>
  <c r="BP103" i="101"/>
  <c r="BN104" i="101"/>
  <c r="BO104" i="101"/>
  <c r="BP104" i="101"/>
  <c r="BN105" i="101"/>
  <c r="BO105" i="101"/>
  <c r="BP105" i="101"/>
  <c r="BN106" i="101"/>
  <c r="BO106" i="101"/>
  <c r="BP106" i="101"/>
  <c r="BN107" i="101"/>
  <c r="BO107" i="101"/>
  <c r="BP107" i="101"/>
  <c r="BN108" i="101"/>
  <c r="BO108" i="101"/>
  <c r="BP108" i="101"/>
  <c r="BN109" i="101"/>
  <c r="BO109" i="101"/>
  <c r="BP109" i="101"/>
  <c r="BN110" i="101"/>
  <c r="BO110" i="101"/>
  <c r="BP110" i="101"/>
  <c r="BN111" i="101"/>
  <c r="BO111" i="101"/>
  <c r="BP111" i="101"/>
  <c r="BN112" i="101"/>
  <c r="BO112" i="101"/>
  <c r="BP112" i="101"/>
  <c r="BN113" i="101"/>
  <c r="BO113" i="101"/>
  <c r="BP113" i="101"/>
  <c r="BN114" i="101"/>
  <c r="BO114" i="101"/>
  <c r="BP114" i="101"/>
  <c r="BN115" i="101"/>
  <c r="BO115" i="101"/>
  <c r="BP115" i="101"/>
  <c r="BN116" i="101"/>
  <c r="BO116" i="101"/>
  <c r="BP116" i="101"/>
  <c r="BN117" i="101"/>
  <c r="BO117" i="101"/>
  <c r="BP117" i="101"/>
  <c r="BN118" i="101"/>
  <c r="BO118" i="101"/>
  <c r="BP118" i="101"/>
  <c r="BN119" i="101"/>
  <c r="BO119" i="101"/>
  <c r="BP119" i="101"/>
  <c r="BN120" i="101"/>
  <c r="BO120" i="101"/>
  <c r="BP120" i="101"/>
  <c r="BN121" i="101"/>
  <c r="BO121" i="101"/>
  <c r="BP121" i="101"/>
  <c r="BN122" i="101"/>
  <c r="BO122" i="101"/>
  <c r="BP122" i="101"/>
  <c r="BN123" i="101"/>
  <c r="BO123" i="101"/>
  <c r="BP123" i="101"/>
  <c r="BN124" i="101"/>
  <c r="BO124" i="101"/>
  <c r="BP124" i="101"/>
  <c r="BN125" i="101"/>
  <c r="BO125" i="101"/>
  <c r="BP125" i="101"/>
  <c r="BN126" i="101"/>
  <c r="BO126" i="101"/>
  <c r="BP126" i="101"/>
  <c r="BN127" i="101"/>
  <c r="BO127" i="101"/>
  <c r="BP127" i="101"/>
  <c r="BN128" i="101"/>
  <c r="BO128" i="101"/>
  <c r="BP128" i="101"/>
  <c r="BN129" i="101"/>
  <c r="BO129" i="101"/>
  <c r="BP129" i="101"/>
  <c r="BN130" i="101"/>
  <c r="BO130" i="101"/>
  <c r="BP130" i="101"/>
  <c r="BN131" i="101"/>
  <c r="BO131" i="101"/>
  <c r="BP131" i="101"/>
  <c r="BN132" i="101"/>
  <c r="BO132" i="101"/>
  <c r="BP132" i="101"/>
  <c r="BN133" i="101"/>
  <c r="BO133" i="101"/>
  <c r="BP133" i="101"/>
  <c r="BN134" i="101"/>
  <c r="BO134" i="101"/>
  <c r="BP134" i="101"/>
  <c r="BN135" i="101"/>
  <c r="BO135" i="101"/>
  <c r="BP135" i="101"/>
  <c r="BN136" i="101"/>
  <c r="BO136" i="101"/>
  <c r="BP136" i="101"/>
  <c r="BN137" i="101"/>
  <c r="BO137" i="101"/>
  <c r="BP137" i="101"/>
  <c r="BN138" i="101"/>
  <c r="BO138" i="101"/>
  <c r="BP138" i="101"/>
  <c r="BN139" i="101"/>
  <c r="BO139" i="101"/>
  <c r="BP139" i="101"/>
  <c r="BN140" i="101"/>
  <c r="BO140" i="101"/>
  <c r="BP140" i="101"/>
  <c r="BN141" i="101"/>
  <c r="BO141" i="101"/>
  <c r="BP141" i="101"/>
  <c r="BP5" i="101"/>
  <c r="BO5" i="101"/>
  <c r="BN5" i="101"/>
  <c r="BH111" i="101"/>
  <c r="BK111" i="101" s="1"/>
  <c r="BM111" i="101" s="1"/>
  <c r="BI111" i="101"/>
  <c r="BJ111" i="101"/>
  <c r="BH112" i="101"/>
  <c r="BK112" i="101" s="1"/>
  <c r="BM112" i="101" s="1"/>
  <c r="BI112" i="101"/>
  <c r="BJ112" i="101"/>
  <c r="BH113" i="101"/>
  <c r="BK113" i="101" s="1"/>
  <c r="BM113" i="101" s="1"/>
  <c r="BI113" i="101"/>
  <c r="BJ113" i="101"/>
  <c r="BH114" i="101"/>
  <c r="BK114" i="101" s="1"/>
  <c r="BM114" i="101" s="1"/>
  <c r="BI114" i="101"/>
  <c r="BJ114" i="101"/>
  <c r="BH115" i="101"/>
  <c r="BK115" i="101" s="1"/>
  <c r="BM115" i="101" s="1"/>
  <c r="BI115" i="101"/>
  <c r="BJ115" i="101"/>
  <c r="BH116" i="101"/>
  <c r="BK116" i="101" s="1"/>
  <c r="BM116" i="101" s="1"/>
  <c r="BI116" i="101"/>
  <c r="BJ116" i="101"/>
  <c r="BH117" i="101"/>
  <c r="BK117" i="101" s="1"/>
  <c r="BM117" i="101" s="1"/>
  <c r="BI117" i="101"/>
  <c r="BJ117" i="101"/>
  <c r="BH118" i="101"/>
  <c r="BK118" i="101" s="1"/>
  <c r="BM118" i="101" s="1"/>
  <c r="BI118" i="101"/>
  <c r="BJ118" i="101"/>
  <c r="BH119" i="101"/>
  <c r="BK119" i="101" s="1"/>
  <c r="BM119" i="101" s="1"/>
  <c r="BI119" i="101"/>
  <c r="BJ119" i="101"/>
  <c r="BH120" i="101"/>
  <c r="BK120" i="101" s="1"/>
  <c r="BM120" i="101" s="1"/>
  <c r="BI120" i="101"/>
  <c r="BJ120" i="101"/>
  <c r="BH121" i="101"/>
  <c r="BK121" i="101" s="1"/>
  <c r="BM121" i="101" s="1"/>
  <c r="BI121" i="101"/>
  <c r="BJ121" i="101"/>
  <c r="BH122" i="101"/>
  <c r="BK122" i="101" s="1"/>
  <c r="BM122" i="101" s="1"/>
  <c r="BI122" i="101"/>
  <c r="BJ122" i="101"/>
  <c r="BH123" i="101"/>
  <c r="BK123" i="101" s="1"/>
  <c r="BM123" i="101" s="1"/>
  <c r="BI123" i="101"/>
  <c r="BJ123" i="101"/>
  <c r="BH124" i="101"/>
  <c r="BK124" i="101" s="1"/>
  <c r="BM124" i="101" s="1"/>
  <c r="BI124" i="101"/>
  <c r="BJ124" i="101"/>
  <c r="BH125" i="101"/>
  <c r="BK125" i="101" s="1"/>
  <c r="BM125" i="101" s="1"/>
  <c r="BI125" i="101"/>
  <c r="BJ125" i="101"/>
  <c r="BH126" i="101"/>
  <c r="BK126" i="101" s="1"/>
  <c r="BM126" i="101" s="1"/>
  <c r="BI126" i="101"/>
  <c r="BJ126" i="101"/>
  <c r="BH127" i="101"/>
  <c r="BK127" i="101" s="1"/>
  <c r="BM127" i="101" s="1"/>
  <c r="BI127" i="101"/>
  <c r="BJ127" i="101"/>
  <c r="BH128" i="101"/>
  <c r="BK128" i="101" s="1"/>
  <c r="BM128" i="101" s="1"/>
  <c r="BI128" i="101"/>
  <c r="BJ128" i="101"/>
  <c r="BH129" i="101"/>
  <c r="BK129" i="101" s="1"/>
  <c r="BM129" i="101" s="1"/>
  <c r="BI129" i="101"/>
  <c r="BJ129" i="101"/>
  <c r="BH130" i="101"/>
  <c r="BK130" i="101" s="1"/>
  <c r="BM130" i="101" s="1"/>
  <c r="BI130" i="101"/>
  <c r="BJ130" i="101"/>
  <c r="BH131" i="101"/>
  <c r="BK131" i="101" s="1"/>
  <c r="BM131" i="101" s="1"/>
  <c r="BI131" i="101"/>
  <c r="BJ131" i="101"/>
  <c r="BH132" i="101"/>
  <c r="BK132" i="101" s="1"/>
  <c r="BM132" i="101" s="1"/>
  <c r="BI132" i="101"/>
  <c r="BJ132" i="101"/>
  <c r="BH133" i="101"/>
  <c r="BK133" i="101" s="1"/>
  <c r="BM133" i="101" s="1"/>
  <c r="BI133" i="101"/>
  <c r="BJ133" i="101"/>
  <c r="BH134" i="101"/>
  <c r="BK134" i="101" s="1"/>
  <c r="BM134" i="101" s="1"/>
  <c r="BI134" i="101"/>
  <c r="BJ134" i="101"/>
  <c r="BH135" i="101"/>
  <c r="BK135" i="101" s="1"/>
  <c r="BM135" i="101" s="1"/>
  <c r="BI135" i="101"/>
  <c r="BJ135" i="101"/>
  <c r="BH136" i="101"/>
  <c r="BK136" i="101" s="1"/>
  <c r="BM136" i="101" s="1"/>
  <c r="BI136" i="101"/>
  <c r="BJ136" i="101"/>
  <c r="BH137" i="101"/>
  <c r="BK137" i="101" s="1"/>
  <c r="BM137" i="101" s="1"/>
  <c r="BI137" i="101"/>
  <c r="BJ137" i="101"/>
  <c r="BH138" i="101"/>
  <c r="BK138" i="101" s="1"/>
  <c r="BM138" i="101" s="1"/>
  <c r="BI138" i="101"/>
  <c r="BJ138" i="101"/>
  <c r="BH139" i="101"/>
  <c r="BK139" i="101" s="1"/>
  <c r="BM139" i="101" s="1"/>
  <c r="BI139" i="101"/>
  <c r="BJ139" i="101"/>
  <c r="BH140" i="101"/>
  <c r="BK140" i="101" s="1"/>
  <c r="BM140" i="101" s="1"/>
  <c r="BI140" i="101"/>
  <c r="BJ140" i="101"/>
  <c r="BH141" i="101"/>
  <c r="BK141" i="101" s="1"/>
  <c r="BM141" i="101" s="1"/>
  <c r="BI141" i="101"/>
  <c r="BJ141" i="101"/>
  <c r="BK6" i="101"/>
  <c r="BK7" i="101"/>
  <c r="BK8" i="101"/>
  <c r="BK9" i="101"/>
  <c r="BK10" i="101"/>
  <c r="BK11" i="101"/>
  <c r="BK12" i="101"/>
  <c r="BK13" i="101"/>
  <c r="BK14" i="101"/>
  <c r="BK15" i="101"/>
  <c r="BK16" i="101"/>
  <c r="BK17" i="101"/>
  <c r="BK18" i="101"/>
  <c r="BK19" i="101"/>
  <c r="BK20" i="101"/>
  <c r="BK21" i="101"/>
  <c r="BK22" i="101"/>
  <c r="BK23" i="101"/>
  <c r="BK24" i="101"/>
  <c r="BK25" i="101"/>
  <c r="BK26" i="101"/>
  <c r="BK27" i="101"/>
  <c r="BK28" i="101"/>
  <c r="BK29" i="101"/>
  <c r="BK30" i="101"/>
  <c r="BK31" i="101"/>
  <c r="BK32" i="101"/>
  <c r="BK33" i="101"/>
  <c r="BK34" i="101"/>
  <c r="BK35" i="101"/>
  <c r="BK36" i="101"/>
  <c r="BK37" i="101"/>
  <c r="BK38" i="101"/>
  <c r="BK39" i="101"/>
  <c r="BK40" i="101"/>
  <c r="BK41" i="101"/>
  <c r="BK42" i="101"/>
  <c r="BK43" i="101"/>
  <c r="BK44" i="101"/>
  <c r="BK45" i="101"/>
  <c r="BK46" i="101"/>
  <c r="BK47" i="101"/>
  <c r="BK48" i="101"/>
  <c r="BK49" i="101"/>
  <c r="BK50" i="101"/>
  <c r="BK51" i="101"/>
  <c r="BK52" i="101"/>
  <c r="BK53" i="101"/>
  <c r="BK54" i="101"/>
  <c r="BK55" i="101"/>
  <c r="BK56" i="101"/>
  <c r="BK57" i="101"/>
  <c r="BK58" i="101"/>
  <c r="BK59" i="101"/>
  <c r="BK60" i="101"/>
  <c r="BK61" i="101"/>
  <c r="BK62" i="101"/>
  <c r="BK63" i="101"/>
  <c r="BK64" i="101"/>
  <c r="BK65" i="101"/>
  <c r="BK66" i="101"/>
  <c r="BK67" i="101"/>
  <c r="BK68" i="101"/>
  <c r="BK69" i="101"/>
  <c r="BK70" i="101"/>
  <c r="BK71" i="101"/>
  <c r="BK72" i="101"/>
  <c r="BK73" i="101"/>
  <c r="BK74" i="101"/>
  <c r="BK75" i="101"/>
  <c r="BK76" i="101"/>
  <c r="BK77" i="101"/>
  <c r="BK78" i="101"/>
  <c r="BK79" i="101"/>
  <c r="BK80" i="101"/>
  <c r="BK81" i="101"/>
  <c r="BK82" i="101"/>
  <c r="BK83" i="101"/>
  <c r="BK84" i="101"/>
  <c r="BK85" i="101"/>
  <c r="BK86" i="101"/>
  <c r="BK87" i="101"/>
  <c r="BK88" i="101"/>
  <c r="BK89" i="101"/>
  <c r="BK90" i="101"/>
  <c r="BK91" i="101"/>
  <c r="BM91" i="101" s="1"/>
  <c r="BK92" i="101"/>
  <c r="BM92" i="101" s="1"/>
  <c r="BK93" i="101"/>
  <c r="BM93" i="101" s="1"/>
  <c r="BK94" i="101"/>
  <c r="BM94" i="101" s="1"/>
  <c r="BK95" i="101"/>
  <c r="BM95" i="101" s="1"/>
  <c r="BK96" i="101"/>
  <c r="BM96" i="101" s="1"/>
  <c r="BK97" i="101"/>
  <c r="BM97" i="101" s="1"/>
  <c r="BK98" i="101"/>
  <c r="BM98" i="101" s="1"/>
  <c r="BK99" i="101"/>
  <c r="BM99" i="101" s="1"/>
  <c r="BK100" i="101"/>
  <c r="BM100" i="101" s="1"/>
  <c r="BK101" i="101"/>
  <c r="BM101" i="101" s="1"/>
  <c r="BK102" i="101"/>
  <c r="BM102" i="101" s="1"/>
  <c r="BK103" i="101"/>
  <c r="BM103" i="101" s="1"/>
  <c r="BK104" i="101"/>
  <c r="BM104" i="101" s="1"/>
  <c r="BK105" i="101"/>
  <c r="BM105" i="101" s="1"/>
  <c r="BK106" i="101"/>
  <c r="BM106" i="101" s="1"/>
  <c r="BK107" i="101"/>
  <c r="BM107" i="101" s="1"/>
  <c r="BK108" i="101"/>
  <c r="BM108" i="101" s="1"/>
  <c r="BK109" i="101"/>
  <c r="BM109" i="101" s="1"/>
  <c r="BK110" i="101"/>
  <c r="BM110" i="101" s="1"/>
  <c r="BK5" i="101"/>
  <c r="BM5" i="101" s="1"/>
  <c r="BI6" i="101"/>
  <c r="BI7" i="101"/>
  <c r="BI8" i="101"/>
  <c r="BI9" i="101"/>
  <c r="BI10" i="101"/>
  <c r="BI11" i="101"/>
  <c r="BI12" i="101"/>
  <c r="BI13" i="101"/>
  <c r="BI14" i="101"/>
  <c r="BI15" i="101"/>
  <c r="BI16" i="101"/>
  <c r="BI17" i="101"/>
  <c r="BI18" i="101"/>
  <c r="BI19" i="101"/>
  <c r="BI20" i="101"/>
  <c r="BI21" i="101"/>
  <c r="BI22" i="101"/>
  <c r="BI23" i="101"/>
  <c r="BI24" i="101"/>
  <c r="BI25" i="101"/>
  <c r="BI26" i="101"/>
  <c r="BI27" i="101"/>
  <c r="BI28" i="101"/>
  <c r="BI29" i="101"/>
  <c r="BI30" i="101"/>
  <c r="BI31" i="101"/>
  <c r="BI32" i="101"/>
  <c r="BI33" i="101"/>
  <c r="BI34" i="101"/>
  <c r="BI35" i="101"/>
  <c r="BI36" i="101"/>
  <c r="BI37" i="101"/>
  <c r="BI38" i="101"/>
  <c r="BI39" i="101"/>
  <c r="BI40" i="101"/>
  <c r="BI41" i="101"/>
  <c r="BI42" i="101"/>
  <c r="BI43" i="101"/>
  <c r="BI44" i="101"/>
  <c r="BI45" i="101"/>
  <c r="BI46" i="101"/>
  <c r="BI47" i="101"/>
  <c r="BI48" i="101"/>
  <c r="BI49" i="101"/>
  <c r="BI50" i="101"/>
  <c r="BI51" i="101"/>
  <c r="BI52" i="101"/>
  <c r="BI53" i="101"/>
  <c r="BI54" i="101"/>
  <c r="BI55" i="101"/>
  <c r="BI56" i="101"/>
  <c r="BI57" i="101"/>
  <c r="BI58" i="101"/>
  <c r="BI59" i="101"/>
  <c r="BI60" i="101"/>
  <c r="BI61" i="101"/>
  <c r="BI62" i="101"/>
  <c r="BI63" i="101"/>
  <c r="BI64" i="101"/>
  <c r="BI65" i="101"/>
  <c r="BI66" i="101"/>
  <c r="BI67" i="101"/>
  <c r="BI68" i="101"/>
  <c r="BI69" i="101"/>
  <c r="BI70" i="101"/>
  <c r="BI71" i="101"/>
  <c r="BI72" i="101"/>
  <c r="BI73" i="101"/>
  <c r="BI74" i="101"/>
  <c r="BI75" i="101"/>
  <c r="BI76" i="101"/>
  <c r="BI77" i="101"/>
  <c r="BI78" i="101"/>
  <c r="BI79" i="101"/>
  <c r="BI80" i="101"/>
  <c r="BI81" i="101"/>
  <c r="BI82" i="101"/>
  <c r="BI83" i="101"/>
  <c r="BI84" i="101"/>
  <c r="BI85" i="101"/>
  <c r="BI86" i="101"/>
  <c r="BI87" i="101"/>
  <c r="BI88" i="101"/>
  <c r="BI89" i="101"/>
  <c r="BI90" i="101"/>
  <c r="BI91" i="101"/>
  <c r="BI92" i="101"/>
  <c r="BI93" i="101"/>
  <c r="BI94" i="101"/>
  <c r="BI95" i="101"/>
  <c r="BI96" i="101"/>
  <c r="BI97" i="101"/>
  <c r="BI98" i="101"/>
  <c r="BI99" i="101"/>
  <c r="BI100" i="101"/>
  <c r="BI101" i="101"/>
  <c r="BI102" i="101"/>
  <c r="BI103" i="101"/>
  <c r="BI104" i="101"/>
  <c r="BI105" i="101"/>
  <c r="BI106" i="101"/>
  <c r="BI107" i="101"/>
  <c r="BI108" i="101"/>
  <c r="BI109" i="101"/>
  <c r="BI110" i="101"/>
  <c r="BI5" i="101"/>
  <c r="BJ6" i="101"/>
  <c r="BJ7" i="101"/>
  <c r="BJ8" i="101"/>
  <c r="BJ9" i="101"/>
  <c r="BJ10" i="101"/>
  <c r="BJ11" i="101"/>
  <c r="BJ12" i="101"/>
  <c r="BJ13" i="101"/>
  <c r="BJ14" i="101"/>
  <c r="BJ15" i="101"/>
  <c r="BJ16" i="101"/>
  <c r="BJ17" i="101"/>
  <c r="BJ18" i="101"/>
  <c r="BJ19" i="101"/>
  <c r="BJ20" i="101"/>
  <c r="BJ21" i="101"/>
  <c r="BJ22" i="101"/>
  <c r="BJ23" i="101"/>
  <c r="BJ24" i="101"/>
  <c r="BJ25" i="101"/>
  <c r="BJ26" i="101"/>
  <c r="BJ27" i="101"/>
  <c r="BJ28" i="101"/>
  <c r="BJ29" i="101"/>
  <c r="BJ30" i="101"/>
  <c r="BJ31" i="101"/>
  <c r="BJ32" i="101"/>
  <c r="BJ33" i="101"/>
  <c r="BJ34" i="101"/>
  <c r="BJ35" i="101"/>
  <c r="BJ36" i="101"/>
  <c r="BJ37" i="101"/>
  <c r="BJ38" i="101"/>
  <c r="BJ39" i="101"/>
  <c r="BJ40" i="101"/>
  <c r="BJ41" i="101"/>
  <c r="BJ42" i="101"/>
  <c r="BJ43" i="101"/>
  <c r="BJ44" i="101"/>
  <c r="BJ45" i="101"/>
  <c r="BJ46" i="101"/>
  <c r="BJ47" i="101"/>
  <c r="BJ48" i="101"/>
  <c r="BJ49" i="101"/>
  <c r="BJ50" i="101"/>
  <c r="BJ51" i="101"/>
  <c r="BJ52" i="101"/>
  <c r="BJ53" i="101"/>
  <c r="BJ54" i="101"/>
  <c r="BJ55" i="101"/>
  <c r="BJ56" i="101"/>
  <c r="BJ57" i="101"/>
  <c r="BJ58" i="101"/>
  <c r="BJ59" i="101"/>
  <c r="BJ60" i="101"/>
  <c r="BJ61" i="101"/>
  <c r="BJ62" i="101"/>
  <c r="BJ63" i="101"/>
  <c r="BJ64" i="101"/>
  <c r="BJ65" i="101"/>
  <c r="BJ66" i="101"/>
  <c r="BJ67" i="101"/>
  <c r="BJ68" i="101"/>
  <c r="BJ69" i="101"/>
  <c r="BJ70" i="101"/>
  <c r="BJ71" i="101"/>
  <c r="BJ72" i="101"/>
  <c r="BJ73" i="101"/>
  <c r="BJ74" i="101"/>
  <c r="BJ75" i="101"/>
  <c r="BJ76" i="101"/>
  <c r="BJ77" i="101"/>
  <c r="BJ78" i="101"/>
  <c r="BJ79" i="101"/>
  <c r="BJ80" i="101"/>
  <c r="BJ81" i="101"/>
  <c r="BJ82" i="101"/>
  <c r="BJ83" i="101"/>
  <c r="BJ84" i="101"/>
  <c r="BJ85" i="101"/>
  <c r="BJ86" i="101"/>
  <c r="BJ87" i="101"/>
  <c r="BJ88" i="101"/>
  <c r="BJ89" i="101"/>
  <c r="BJ90" i="101"/>
  <c r="BJ91" i="101"/>
  <c r="BJ92" i="101"/>
  <c r="BJ93" i="101"/>
  <c r="BJ94" i="101"/>
  <c r="BJ95" i="101"/>
  <c r="BJ96" i="101"/>
  <c r="BJ97" i="101"/>
  <c r="BJ98" i="101"/>
  <c r="BJ99" i="101"/>
  <c r="BJ100" i="101"/>
  <c r="BJ101" i="101"/>
  <c r="BJ102" i="101"/>
  <c r="BJ103" i="101"/>
  <c r="BJ104" i="101"/>
  <c r="BJ105" i="101"/>
  <c r="BJ106" i="101"/>
  <c r="BJ107" i="101"/>
  <c r="BJ108" i="101"/>
  <c r="BJ109" i="101"/>
  <c r="BJ110" i="101"/>
  <c r="BJ5" i="101"/>
  <c r="GP35" i="98" l="1"/>
  <c r="FZ35" i="98"/>
  <c r="GP23" i="98"/>
  <c r="GE23" i="98"/>
  <c r="GJ7" i="98"/>
  <c r="GD7" i="98"/>
  <c r="FZ7" i="98"/>
  <c r="GJ78" i="98"/>
  <c r="GB78" i="98"/>
  <c r="GE62" i="98"/>
  <c r="GP64" i="98"/>
  <c r="FZ64" i="98"/>
  <c r="GI40" i="98"/>
  <c r="FZ40" i="98"/>
  <c r="GP28" i="98"/>
  <c r="GE28" i="98"/>
  <c r="GJ68" i="98"/>
  <c r="GB68" i="98"/>
  <c r="GP44" i="98"/>
  <c r="GG44" i="98"/>
  <c r="GB44" i="98"/>
  <c r="GP79" i="98"/>
  <c r="GB79" i="98"/>
  <c r="GC79" i="98"/>
  <c r="GE82" i="98"/>
  <c r="GP74" i="98"/>
  <c r="GJ74" i="98"/>
  <c r="GB74" i="98"/>
  <c r="GE70" i="98"/>
  <c r="GI58" i="98"/>
  <c r="GB58" i="98"/>
  <c r="GI50" i="98"/>
  <c r="GD50" i="98"/>
  <c r="GJ38" i="98"/>
  <c r="GD38" i="98"/>
  <c r="GP34" i="98"/>
  <c r="GJ34" i="98"/>
  <c r="GB34" i="98"/>
  <c r="GE30" i="98"/>
  <c r="GI22" i="98"/>
  <c r="GB22" i="98"/>
  <c r="GE18" i="98"/>
  <c r="GI14" i="98"/>
  <c r="GE14" i="98"/>
  <c r="GB14" i="98"/>
  <c r="FZ10" i="98"/>
  <c r="GJ85" i="98"/>
  <c r="GB85" i="98"/>
  <c r="GG77" i="98"/>
  <c r="GD77" i="98"/>
  <c r="FZ77" i="98"/>
  <c r="GP73" i="98"/>
  <c r="GE73" i="98"/>
  <c r="GG65" i="98"/>
  <c r="FZ65" i="98"/>
  <c r="GG57" i="98"/>
  <c r="FZ57" i="98"/>
  <c r="GJ49" i="98"/>
  <c r="GB49" i="98"/>
  <c r="GG41" i="98"/>
  <c r="GD41" i="98"/>
  <c r="GP33" i="98"/>
  <c r="GE33" i="98"/>
  <c r="GG25" i="98"/>
  <c r="FZ25" i="98"/>
  <c r="GG17" i="98"/>
  <c r="FZ17" i="98"/>
  <c r="GM9" i="98"/>
  <c r="GB9" i="98"/>
  <c r="GC9" i="98"/>
  <c r="GP72" i="98"/>
  <c r="GE72" i="98"/>
  <c r="GP52" i="98"/>
  <c r="GE52" i="98"/>
  <c r="GP32" i="98"/>
  <c r="GE32" i="98"/>
  <c r="GM24" i="98"/>
  <c r="GD24" i="98"/>
  <c r="GM12" i="98"/>
  <c r="GI12" i="98"/>
  <c r="GE12" i="98"/>
  <c r="GP8" i="98"/>
  <c r="FZ8" i="98"/>
  <c r="GP60" i="98"/>
  <c r="FZ60" i="98"/>
  <c r="GP48" i="98"/>
  <c r="GE48" i="98"/>
  <c r="GJ20" i="98"/>
  <c r="GG20" i="98"/>
  <c r="GE20" i="98"/>
  <c r="GB83" i="98"/>
  <c r="GC83" i="98"/>
  <c r="GP59" i="98"/>
  <c r="FZ59" i="98"/>
  <c r="GP55" i="98"/>
  <c r="GE55" i="98"/>
  <c r="GD39" i="98"/>
  <c r="GG27" i="98"/>
  <c r="GE27" i="98"/>
  <c r="GG51" i="98"/>
  <c r="GB51" i="98"/>
  <c r="GP43" i="98"/>
  <c r="GI43" i="98"/>
  <c r="FZ43" i="98"/>
  <c r="GC11" i="98"/>
  <c r="GE78" i="98"/>
  <c r="GI44" i="98"/>
  <c r="FZ44" i="98"/>
  <c r="GB50" i="98"/>
  <c r="GB38" i="98"/>
  <c r="FZ14" i="98"/>
  <c r="GM73" i="98"/>
  <c r="GD73" i="98"/>
  <c r="GP65" i="98"/>
  <c r="GE65" i="98"/>
  <c r="GP57" i="98"/>
  <c r="GE57" i="98"/>
  <c r="GI49" i="98"/>
  <c r="FZ49" i="98"/>
  <c r="GJ41" i="98"/>
  <c r="GB41" i="98"/>
  <c r="GM33" i="98"/>
  <c r="GD33" i="98"/>
  <c r="GP25" i="98"/>
  <c r="GE25" i="98"/>
  <c r="GP17" i="98"/>
  <c r="GE17" i="98"/>
  <c r="GP12" i="98"/>
  <c r="FZ12" i="98"/>
  <c r="GM20" i="98"/>
  <c r="GD20" i="98"/>
  <c r="GE59" i="98"/>
  <c r="GI51" i="98"/>
  <c r="FZ51" i="98"/>
  <c r="GE43" i="98"/>
  <c r="GM35" i="98"/>
  <c r="GD35" i="98"/>
  <c r="GI7" i="98"/>
  <c r="GB7" i="98"/>
  <c r="GG78" i="98"/>
  <c r="GI78" i="98"/>
  <c r="FZ78" i="98"/>
  <c r="GM64" i="98"/>
  <c r="GD64" i="98"/>
  <c r="GJ28" i="98"/>
  <c r="GB28" i="98"/>
  <c r="GM44" i="98"/>
  <c r="GE44" i="98"/>
  <c r="GJ79" i="98"/>
  <c r="FZ79" i="98"/>
  <c r="GE74" i="98"/>
  <c r="GE58" i="98"/>
  <c r="GM50" i="98"/>
  <c r="GG50" i="98"/>
  <c r="FZ50" i="98"/>
  <c r="GG38" i="98"/>
  <c r="GI38" i="98"/>
  <c r="FZ38" i="98"/>
  <c r="GE34" i="98"/>
  <c r="GE22" i="98"/>
  <c r="GM14" i="98"/>
  <c r="GG14" i="98"/>
  <c r="GD14" i="98"/>
  <c r="GJ77" i="98"/>
  <c r="GB77" i="98"/>
  <c r="GG73" i="98"/>
  <c r="GJ73" i="98"/>
  <c r="GB73" i="98"/>
  <c r="GJ65" i="98"/>
  <c r="GM65" i="98"/>
  <c r="GD65" i="98"/>
  <c r="GJ57" i="98"/>
  <c r="GM57" i="98"/>
  <c r="GD57" i="98"/>
  <c r="GG49" i="98"/>
  <c r="GP49" i="98"/>
  <c r="GE49" i="98"/>
  <c r="GP41" i="98"/>
  <c r="GI41" i="98"/>
  <c r="FZ41" i="98"/>
  <c r="GG33" i="98"/>
  <c r="GJ33" i="98"/>
  <c r="GB33" i="98"/>
  <c r="GJ25" i="98"/>
  <c r="GM25" i="98"/>
  <c r="GD25" i="98"/>
  <c r="GJ17" i="98"/>
  <c r="GM17" i="98"/>
  <c r="GD17" i="98"/>
  <c r="GI9" i="98"/>
  <c r="FZ9" i="98"/>
  <c r="GJ72" i="98"/>
  <c r="GB72" i="98"/>
  <c r="GJ32" i="98"/>
  <c r="GB32" i="98"/>
  <c r="GG12" i="98"/>
  <c r="GC12" i="98"/>
  <c r="GD12" i="98"/>
  <c r="GM60" i="98"/>
  <c r="GD60" i="98"/>
  <c r="GB48" i="98"/>
  <c r="GI20" i="98"/>
  <c r="GB20" i="98"/>
  <c r="GG83" i="98"/>
  <c r="GJ83" i="98"/>
  <c r="FZ83" i="98"/>
  <c r="GJ67" i="98"/>
  <c r="GB67" i="98"/>
  <c r="GJ59" i="98"/>
  <c r="GM59" i="98"/>
  <c r="GD59" i="98"/>
  <c r="GG55" i="98"/>
  <c r="GB55" i="98"/>
  <c r="FZ47" i="98"/>
  <c r="GP39" i="98"/>
  <c r="GI39" i="98"/>
  <c r="FZ39" i="98"/>
  <c r="GJ27" i="98"/>
  <c r="GB27" i="98"/>
  <c r="GM51" i="98"/>
  <c r="GP51" i="98"/>
  <c r="GE51" i="98"/>
  <c r="GM43" i="98"/>
  <c r="GD43" i="98"/>
  <c r="GP11" i="98"/>
  <c r="GE11" i="98"/>
  <c r="GI35" i="98"/>
  <c r="GJ35" i="98"/>
  <c r="GI23" i="98"/>
  <c r="GM7" i="98"/>
  <c r="GP7" i="98"/>
  <c r="GM78" i="98"/>
  <c r="GC78" i="98"/>
  <c r="GP62" i="98"/>
  <c r="GI84" i="98"/>
  <c r="GI64" i="98"/>
  <c r="GP40" i="98"/>
  <c r="GG40" i="98"/>
  <c r="GG28" i="98"/>
  <c r="GI68" i="98"/>
  <c r="GM68" i="98"/>
  <c r="GJ44" i="98"/>
  <c r="GG79" i="98"/>
  <c r="GI79" i="98"/>
  <c r="GJ82" i="98"/>
  <c r="GI74" i="98"/>
  <c r="GG74" i="98"/>
  <c r="GM70" i="98"/>
  <c r="GG58" i="98"/>
  <c r="GM58" i="98"/>
  <c r="GJ50" i="98"/>
  <c r="GP50" i="98"/>
  <c r="GM38" i="98"/>
  <c r="GI34" i="98"/>
  <c r="GG34" i="98"/>
  <c r="GM30" i="98"/>
  <c r="GG22" i="98"/>
  <c r="GM22" i="98"/>
  <c r="GP18" i="98"/>
  <c r="GJ14" i="98"/>
  <c r="GP14" i="98"/>
  <c r="GI10" i="98"/>
  <c r="GE10" i="98"/>
  <c r="GG85" i="98"/>
  <c r="GG81" i="98"/>
  <c r="GP77" i="98"/>
  <c r="GI77" i="98"/>
  <c r="GI73" i="98"/>
  <c r="GM69" i="98"/>
  <c r="GI65" i="98"/>
  <c r="GP61" i="98"/>
  <c r="GI57" i="98"/>
  <c r="GI53" i="98"/>
  <c r="GM49" i="98"/>
  <c r="GJ45" i="98"/>
  <c r="GM41" i="98"/>
  <c r="GJ37" i="98"/>
  <c r="GI33" i="98"/>
  <c r="GM29" i="98"/>
  <c r="GI25" i="98"/>
  <c r="GP21" i="98"/>
  <c r="GI17" i="98"/>
  <c r="GI13" i="98"/>
  <c r="GG9" i="98"/>
  <c r="GP9" i="98"/>
  <c r="GG72" i="98"/>
  <c r="GM52" i="98"/>
  <c r="GI52" i="98"/>
  <c r="GG32" i="98"/>
  <c r="GJ24" i="98"/>
  <c r="GG24" i="98"/>
  <c r="GJ12" i="98"/>
  <c r="GM8" i="98"/>
  <c r="GI8" i="98"/>
  <c r="GI80" i="98"/>
  <c r="GI60" i="98"/>
  <c r="GM48" i="98"/>
  <c r="GI48" i="98"/>
  <c r="GP20" i="98"/>
  <c r="GP83" i="98"/>
  <c r="GI83" i="98"/>
  <c r="GP67" i="98"/>
  <c r="GP63" i="98"/>
  <c r="GI59" i="98"/>
  <c r="GM55" i="98"/>
  <c r="GI55" i="98"/>
  <c r="GJ47" i="98"/>
  <c r="GP47" i="98"/>
  <c r="GM39" i="98"/>
  <c r="GP27" i="98"/>
  <c r="GD15" i="98"/>
  <c r="GJ51" i="98"/>
  <c r="GG43" i="98"/>
  <c r="GJ43" i="98"/>
  <c r="GJ11" i="98"/>
  <c r="GD11" i="98"/>
  <c r="DD9" i="95"/>
  <c r="DD13" i="95"/>
  <c r="DD17" i="95"/>
  <c r="DD21" i="95"/>
  <c r="DD25" i="95"/>
  <c r="DD10" i="95"/>
  <c r="DD14" i="95"/>
  <c r="DD18" i="95"/>
  <c r="DD22" i="95"/>
  <c r="DD26" i="95"/>
  <c r="DD7" i="95"/>
  <c r="DD11" i="95"/>
  <c r="DD15" i="95"/>
  <c r="DD19" i="95"/>
  <c r="DD23" i="95"/>
  <c r="DD6" i="95"/>
  <c r="DD8" i="95"/>
  <c r="DD12" i="95"/>
  <c r="DD16" i="95"/>
  <c r="DD20" i="95"/>
  <c r="DD24" i="95"/>
  <c r="BR7" i="95"/>
  <c r="BS7" i="95" s="1"/>
  <c r="BR11" i="95"/>
  <c r="BS11" i="95" s="1"/>
  <c r="BR15" i="95"/>
  <c r="BS15" i="95" s="1"/>
  <c r="BR19" i="95"/>
  <c r="BS19" i="95" s="1"/>
  <c r="BR23" i="95"/>
  <c r="BS23" i="95" s="1"/>
  <c r="BR27" i="95"/>
  <c r="BS27" i="95" s="1"/>
  <c r="BR31" i="95"/>
  <c r="BS31" i="95" s="1"/>
  <c r="BR35" i="95"/>
  <c r="BS35" i="95" s="1"/>
  <c r="BR18" i="95"/>
  <c r="BS18" i="95" s="1"/>
  <c r="BR30" i="95"/>
  <c r="BS30" i="95" s="1"/>
  <c r="BR8" i="95"/>
  <c r="BS8" i="95" s="1"/>
  <c r="BR12" i="95"/>
  <c r="BS12" i="95" s="1"/>
  <c r="BR16" i="95"/>
  <c r="BS16" i="95" s="1"/>
  <c r="BR20" i="95"/>
  <c r="BS20" i="95" s="1"/>
  <c r="BR24" i="95"/>
  <c r="BS24" i="95" s="1"/>
  <c r="BR28" i="95"/>
  <c r="BS28" i="95" s="1"/>
  <c r="BR32" i="95"/>
  <c r="BS32" i="95" s="1"/>
  <c r="BR6" i="95"/>
  <c r="BS6" i="95" s="1"/>
  <c r="BR14" i="95"/>
  <c r="BS14" i="95" s="1"/>
  <c r="BR26" i="95"/>
  <c r="BS26" i="95" s="1"/>
  <c r="BR9" i="95"/>
  <c r="BS9" i="95" s="1"/>
  <c r="BR13" i="95"/>
  <c r="BS13" i="95" s="1"/>
  <c r="BR17" i="95"/>
  <c r="BS17" i="95" s="1"/>
  <c r="BR21" i="95"/>
  <c r="BS21" i="95" s="1"/>
  <c r="BR25" i="95"/>
  <c r="BS25" i="95" s="1"/>
  <c r="BR29" i="95"/>
  <c r="BS29" i="95" s="1"/>
  <c r="BR33" i="95"/>
  <c r="BS33" i="95" s="1"/>
  <c r="BR10" i="95"/>
  <c r="BS10" i="95" s="1"/>
  <c r="BR22" i="95"/>
  <c r="BS22" i="95" s="1"/>
  <c r="BR34" i="95"/>
  <c r="BS34" i="95" s="1"/>
  <c r="BM79" i="101"/>
  <c r="BM67" i="101"/>
  <c r="BM59" i="101"/>
  <c r="BM47" i="101"/>
  <c r="BM35" i="101"/>
  <c r="BM23" i="101"/>
  <c r="BM15" i="101"/>
  <c r="BM83" i="101"/>
  <c r="BM71" i="101"/>
  <c r="BM63" i="101"/>
  <c r="BM51" i="101"/>
  <c r="BM43" i="101"/>
  <c r="BM27" i="101"/>
  <c r="BM7" i="101"/>
  <c r="BM87" i="101"/>
  <c r="BM75" i="101"/>
  <c r="BM55" i="101"/>
  <c r="BM39" i="101"/>
  <c r="BM31" i="101"/>
  <c r="BM19" i="101"/>
  <c r="BM11" i="101"/>
  <c r="BM88" i="101"/>
  <c r="BM84" i="101"/>
  <c r="BM80" i="101"/>
  <c r="BM76" i="101"/>
  <c r="BM72" i="101"/>
  <c r="BM68" i="101"/>
  <c r="BM64" i="101"/>
  <c r="BM60" i="101"/>
  <c r="BM56" i="101"/>
  <c r="BM52" i="101"/>
  <c r="BM48" i="101"/>
  <c r="BM44" i="101"/>
  <c r="BM40" i="101"/>
  <c r="BM36" i="101"/>
  <c r="BM32" i="101"/>
  <c r="BM28" i="101"/>
  <c r="BM24" i="101"/>
  <c r="BM20" i="101"/>
  <c r="BM16" i="101"/>
  <c r="BM12" i="101"/>
  <c r="BM8" i="101"/>
  <c r="BM89" i="101"/>
  <c r="BM85" i="101"/>
  <c r="BM81" i="101"/>
  <c r="BM77" i="101"/>
  <c r="BM73" i="101"/>
  <c r="BM69" i="101"/>
  <c r="BM65" i="101"/>
  <c r="BM61" i="101"/>
  <c r="BM57" i="101"/>
  <c r="BM53" i="101"/>
  <c r="BM49" i="101"/>
  <c r="BM45" i="101"/>
  <c r="BM41" i="101"/>
  <c r="BM37" i="101"/>
  <c r="BM33" i="101"/>
  <c r="BM29" i="101"/>
  <c r="BM25" i="101"/>
  <c r="BM21" i="101"/>
  <c r="BM17" i="101"/>
  <c r="BM13" i="101"/>
  <c r="BM9" i="101"/>
  <c r="BM90" i="101"/>
  <c r="BM86" i="101"/>
  <c r="BM82" i="101"/>
  <c r="BM78" i="101"/>
  <c r="BM74" i="101"/>
  <c r="BM70" i="101"/>
  <c r="BM66" i="101"/>
  <c r="BM62" i="101"/>
  <c r="BM58" i="101"/>
  <c r="BM54" i="101"/>
  <c r="BM50" i="101"/>
  <c r="BM46" i="101"/>
  <c r="BM42" i="101"/>
  <c r="BM38" i="101"/>
  <c r="BM34" i="101"/>
  <c r="BM30" i="101"/>
  <c r="BM26" i="101"/>
  <c r="BM22" i="101"/>
  <c r="BM18" i="101"/>
  <c r="BM14" i="101"/>
  <c r="BM10" i="101"/>
  <c r="BM6" i="101"/>
  <c r="BH6" i="101"/>
  <c r="BH7" i="101"/>
  <c r="BH8" i="101"/>
  <c r="BH9" i="101"/>
  <c r="BH10" i="101"/>
  <c r="BH11" i="101"/>
  <c r="BH12" i="101"/>
  <c r="BH13" i="101"/>
  <c r="BH14" i="101"/>
  <c r="BH15" i="101"/>
  <c r="BH16" i="101"/>
  <c r="BH17" i="101"/>
  <c r="BH18" i="101"/>
  <c r="BH19" i="101"/>
  <c r="BH20" i="101"/>
  <c r="BH21" i="101"/>
  <c r="BH22" i="101"/>
  <c r="BH23" i="101"/>
  <c r="BH24" i="101"/>
  <c r="BH25" i="101"/>
  <c r="BH26" i="101"/>
  <c r="BH27" i="101"/>
  <c r="BH28" i="101"/>
  <c r="BH29" i="101"/>
  <c r="BH30" i="101"/>
  <c r="BH31" i="101"/>
  <c r="BH32" i="101"/>
  <c r="BH33" i="101"/>
  <c r="BH34" i="101"/>
  <c r="BH35" i="101"/>
  <c r="BH36" i="101"/>
  <c r="BH37" i="101"/>
  <c r="BH38" i="101"/>
  <c r="BH39" i="101"/>
  <c r="BH40" i="101"/>
  <c r="BH41" i="101"/>
  <c r="BH42" i="101"/>
  <c r="BH43" i="101"/>
  <c r="BH44" i="101"/>
  <c r="BH45" i="101"/>
  <c r="BH46" i="101"/>
  <c r="BH47" i="101"/>
  <c r="BH48" i="101"/>
  <c r="BH49" i="101"/>
  <c r="BH50" i="101"/>
  <c r="BH51" i="101"/>
  <c r="BH52" i="101"/>
  <c r="BH53" i="101"/>
  <c r="BH54" i="101"/>
  <c r="BH55" i="101"/>
  <c r="BH56" i="101"/>
  <c r="BH57" i="101"/>
  <c r="BH58" i="101"/>
  <c r="BH59" i="101"/>
  <c r="BH60" i="101"/>
  <c r="BH61" i="101"/>
  <c r="BH62" i="101"/>
  <c r="BH63" i="101"/>
  <c r="BH64" i="101"/>
  <c r="BH65" i="101"/>
  <c r="BH66" i="101"/>
  <c r="BH67" i="101"/>
  <c r="BH68" i="101"/>
  <c r="BH69" i="101"/>
  <c r="BH70" i="101"/>
  <c r="BH71" i="101"/>
  <c r="BH72" i="101"/>
  <c r="BH73" i="101"/>
  <c r="BH74" i="101"/>
  <c r="BH75" i="101"/>
  <c r="BH76" i="101"/>
  <c r="BH77" i="101"/>
  <c r="BH78" i="101"/>
  <c r="BH79" i="101"/>
  <c r="BH80" i="101"/>
  <c r="BH81" i="101"/>
  <c r="BH82" i="101"/>
  <c r="BH83" i="101"/>
  <c r="BH84" i="101"/>
  <c r="BH85" i="101"/>
  <c r="BH86" i="101"/>
  <c r="BH87" i="101"/>
  <c r="BH88" i="101"/>
  <c r="BH89" i="101"/>
  <c r="BH90" i="101"/>
  <c r="BH91" i="101"/>
  <c r="BH92" i="101"/>
  <c r="BH93" i="101"/>
  <c r="BH94" i="101"/>
  <c r="BH95" i="101"/>
  <c r="BH96" i="101"/>
  <c r="BH97" i="101"/>
  <c r="BH98" i="101"/>
  <c r="BH99" i="101"/>
  <c r="BH100" i="101"/>
  <c r="BH101" i="101"/>
  <c r="BH102" i="101"/>
  <c r="BH103" i="101"/>
  <c r="BH104" i="101"/>
  <c r="BH105" i="101"/>
  <c r="BH106" i="101"/>
  <c r="BH107" i="101"/>
  <c r="BH108" i="101"/>
  <c r="BH109" i="101"/>
  <c r="BH110" i="101"/>
  <c r="BH5" i="101"/>
  <c r="J7" i="101"/>
  <c r="J8" i="101"/>
  <c r="J9" i="101"/>
  <c r="J10" i="101"/>
  <c r="J11" i="101"/>
  <c r="J12" i="101"/>
  <c r="J13" i="101"/>
  <c r="J14" i="101"/>
  <c r="J15" i="101"/>
  <c r="J16" i="101"/>
  <c r="J17" i="101"/>
  <c r="J18" i="101"/>
  <c r="J19" i="101"/>
  <c r="J20" i="101"/>
  <c r="J21" i="101"/>
  <c r="J22" i="101"/>
  <c r="J6" i="101"/>
  <c r="DN121" i="95" l="1"/>
  <c r="DN125" i="95"/>
  <c r="DN118" i="95"/>
  <c r="DN122" i="95"/>
  <c r="DN123" i="95"/>
  <c r="DN119" i="95"/>
  <c r="DN124" i="95"/>
  <c r="DN120" i="95"/>
  <c r="DN7" i="95"/>
  <c r="DN8" i="95"/>
  <c r="DN12" i="95"/>
  <c r="DN9" i="95"/>
  <c r="DN13" i="95"/>
  <c r="DN11" i="95"/>
  <c r="DN10" i="95"/>
  <c r="DN6" i="95"/>
  <c r="DN49" i="95"/>
  <c r="DN53" i="95"/>
  <c r="DN46" i="95"/>
  <c r="DN50" i="95"/>
  <c r="DN47" i="95"/>
  <c r="DN51" i="95"/>
  <c r="DN52" i="95"/>
  <c r="DN48" i="95"/>
  <c r="DN105" i="95"/>
  <c r="DN109" i="95"/>
  <c r="DN102" i="95"/>
  <c r="DN106" i="95"/>
  <c r="DN107" i="95"/>
  <c r="DN103" i="95"/>
  <c r="DN104" i="95"/>
  <c r="DN108" i="95"/>
  <c r="DN129" i="95"/>
  <c r="DN133" i="95"/>
  <c r="DN126" i="95"/>
  <c r="DN130" i="95"/>
  <c r="DN131" i="95"/>
  <c r="DN132" i="95"/>
  <c r="DN127" i="95"/>
  <c r="DN128" i="95"/>
  <c r="DN89" i="95"/>
  <c r="DN93" i="95"/>
  <c r="DN86" i="95"/>
  <c r="DN90" i="95"/>
  <c r="DN91" i="95"/>
  <c r="DN87" i="95"/>
  <c r="DN92" i="95"/>
  <c r="DN88" i="95"/>
  <c r="DN146" i="95"/>
  <c r="DN148" i="95"/>
  <c r="DN149" i="95"/>
  <c r="DN143" i="95"/>
  <c r="DN142" i="95"/>
  <c r="DN144" i="95"/>
  <c r="DN147" i="95"/>
  <c r="DN145" i="95"/>
  <c r="DN16" i="95"/>
  <c r="DN17" i="95"/>
  <c r="DN21" i="95"/>
  <c r="DN15" i="95"/>
  <c r="DN19" i="95"/>
  <c r="DN14" i="95"/>
  <c r="DN20" i="95"/>
  <c r="DN18" i="95"/>
  <c r="DN73" i="95"/>
  <c r="DN77" i="95"/>
  <c r="DN70" i="95"/>
  <c r="DN74" i="95"/>
  <c r="DN71" i="95"/>
  <c r="DN75" i="95"/>
  <c r="DN72" i="95"/>
  <c r="DN76" i="95"/>
  <c r="DN97" i="95"/>
  <c r="DN101" i="95"/>
  <c r="DN94" i="95"/>
  <c r="DN98" i="95"/>
  <c r="DN99" i="95"/>
  <c r="DN100" i="95"/>
  <c r="DN95" i="95"/>
  <c r="DN96" i="95"/>
  <c r="DN57" i="95"/>
  <c r="DN61" i="95"/>
  <c r="DN54" i="95"/>
  <c r="DN58" i="95"/>
  <c r="DN55" i="95"/>
  <c r="DN59" i="95"/>
  <c r="DN56" i="95"/>
  <c r="DN60" i="95"/>
  <c r="DN113" i="95"/>
  <c r="DN117" i="95"/>
  <c r="DN110" i="95"/>
  <c r="DN114" i="95"/>
  <c r="DN115" i="95"/>
  <c r="DN116" i="95"/>
  <c r="DN111" i="95"/>
  <c r="DN112" i="95"/>
  <c r="DN170" i="95"/>
  <c r="DN173" i="95"/>
  <c r="DN166" i="95"/>
  <c r="DN169" i="95"/>
  <c r="DN171" i="95"/>
  <c r="DN167" i="95"/>
  <c r="DN168" i="95"/>
  <c r="DN172" i="95"/>
  <c r="DN41" i="95"/>
  <c r="DN45" i="95"/>
  <c r="DN38" i="95"/>
  <c r="DN42" i="95"/>
  <c r="DN39" i="95"/>
  <c r="DN43" i="95"/>
  <c r="DN40" i="95"/>
  <c r="DN44" i="95"/>
  <c r="DN65" i="95"/>
  <c r="DN69" i="95"/>
  <c r="DN62" i="95"/>
  <c r="DN66" i="95"/>
  <c r="DN63" i="95"/>
  <c r="DN67" i="95"/>
  <c r="DN68" i="95"/>
  <c r="DN64" i="95"/>
  <c r="DN154" i="95"/>
  <c r="DN157" i="95"/>
  <c r="DN150" i="95"/>
  <c r="DN153" i="95"/>
  <c r="DN155" i="95"/>
  <c r="DN151" i="95"/>
  <c r="DN156" i="95"/>
  <c r="DN152" i="95"/>
  <c r="DN25" i="95"/>
  <c r="DN29" i="95"/>
  <c r="DN22" i="95"/>
  <c r="DN26" i="95"/>
  <c r="DN23" i="95"/>
  <c r="DN27" i="95"/>
  <c r="DN28" i="95"/>
  <c r="DN24" i="95"/>
  <c r="DN81" i="95"/>
  <c r="DN85" i="95"/>
  <c r="DN78" i="95"/>
  <c r="DN82" i="95"/>
  <c r="DN79" i="95"/>
  <c r="DN83" i="95"/>
  <c r="DN84" i="95"/>
  <c r="DN80" i="95"/>
  <c r="DN134" i="95"/>
  <c r="DN141" i="95"/>
  <c r="DN139" i="95"/>
  <c r="DN138" i="95"/>
  <c r="DN136" i="95"/>
  <c r="DN137" i="95"/>
  <c r="DN135" i="95"/>
  <c r="DN140" i="95"/>
  <c r="DN162" i="95"/>
  <c r="DN165" i="95"/>
  <c r="DN158" i="95"/>
  <c r="DN161" i="95"/>
  <c r="DN164" i="95"/>
  <c r="DN163" i="95"/>
  <c r="DN160" i="95"/>
  <c r="DN159" i="95"/>
  <c r="DN33" i="95"/>
  <c r="DN37" i="95"/>
  <c r="DN30" i="95"/>
  <c r="DN34" i="95"/>
  <c r="DN31" i="95"/>
  <c r="DN35" i="95"/>
  <c r="DN36" i="95"/>
  <c r="DN32" i="95"/>
  <c r="BT7" i="95"/>
  <c r="BT23" i="95"/>
  <c r="BT8" i="95"/>
  <c r="BT24" i="95"/>
  <c r="BT9" i="95"/>
  <c r="BT25" i="95"/>
  <c r="CG9" i="95" s="1"/>
  <c r="BT14" i="95"/>
  <c r="BT30" i="95"/>
  <c r="BT31" i="95"/>
  <c r="CG12" i="95" s="1"/>
  <c r="BT17" i="95"/>
  <c r="CG7" i="95" s="1"/>
  <c r="BT11" i="95"/>
  <c r="BT27" i="95"/>
  <c r="CG10" i="95" s="1"/>
  <c r="BT12" i="95"/>
  <c r="BT28" i="95"/>
  <c r="BT13" i="95"/>
  <c r="CG6" i="95" s="1"/>
  <c r="BT29" i="95"/>
  <c r="CG11" i="95" s="1"/>
  <c r="BT18" i="95"/>
  <c r="BT34" i="95"/>
  <c r="BT15" i="95"/>
  <c r="BT16" i="95"/>
  <c r="BT32" i="95"/>
  <c r="BT33" i="95"/>
  <c r="CG13" i="95" s="1"/>
  <c r="BT22" i="95"/>
  <c r="BT19" i="95"/>
  <c r="BT35" i="95"/>
  <c r="BT20" i="95"/>
  <c r="BT6" i="95"/>
  <c r="BT21" i="95"/>
  <c r="CG8" i="95" s="1"/>
  <c r="BT10" i="95"/>
  <c r="BT26" i="95"/>
  <c r="H7" i="101"/>
  <c r="H8" i="101"/>
  <c r="H9" i="101"/>
  <c r="H10" i="101"/>
  <c r="H11" i="101"/>
  <c r="H12" i="101"/>
  <c r="H13" i="101"/>
  <c r="AJ35" i="101" s="1"/>
  <c r="H14" i="101"/>
  <c r="H15" i="101"/>
  <c r="AJ67" i="101" s="1"/>
  <c r="H16" i="101"/>
  <c r="H17" i="101"/>
  <c r="H18" i="101"/>
  <c r="AJ99" i="101" s="1"/>
  <c r="H19" i="101"/>
  <c r="H20" i="101"/>
  <c r="H21" i="101"/>
  <c r="H22" i="101"/>
  <c r="H6" i="101"/>
  <c r="F7" i="101"/>
  <c r="F8" i="101"/>
  <c r="F9" i="101"/>
  <c r="F10" i="101"/>
  <c r="F11" i="101"/>
  <c r="F12" i="101"/>
  <c r="F13" i="101"/>
  <c r="F14" i="101"/>
  <c r="F15" i="101"/>
  <c r="F16" i="101"/>
  <c r="F17" i="101"/>
  <c r="F18" i="101"/>
  <c r="F19" i="101"/>
  <c r="F20" i="101"/>
  <c r="F21" i="101"/>
  <c r="F22" i="101"/>
  <c r="F6" i="101"/>
  <c r="E7" i="101"/>
  <c r="E8" i="101"/>
  <c r="E9" i="101"/>
  <c r="E10" i="101"/>
  <c r="E11" i="101"/>
  <c r="E12" i="101"/>
  <c r="E13" i="101"/>
  <c r="E14" i="101"/>
  <c r="E15" i="101"/>
  <c r="E16" i="101"/>
  <c r="E17" i="101"/>
  <c r="E18" i="101"/>
  <c r="E19" i="101"/>
  <c r="E20" i="101"/>
  <c r="E21" i="101"/>
  <c r="E22" i="101"/>
  <c r="E6" i="101"/>
  <c r="CG16" i="95" l="1"/>
  <c r="CG14" i="95"/>
  <c r="CG15" i="95"/>
  <c r="AW35" i="101"/>
  <c r="AV35" i="101"/>
  <c r="AW99" i="101"/>
  <c r="AV99" i="101"/>
  <c r="AJ15" i="101"/>
  <c r="AW67" i="101"/>
  <c r="AV67" i="101"/>
  <c r="AJ51" i="101"/>
  <c r="AL51" i="101" s="1"/>
  <c r="AJ79" i="101"/>
  <c r="AJ47" i="101"/>
  <c r="AN15" i="101"/>
  <c r="AL15" i="101"/>
  <c r="AK15" i="101" s="1"/>
  <c r="AN47" i="101"/>
  <c r="AP47" i="101" s="1"/>
  <c r="AQ47" i="101" s="1"/>
  <c r="AL47" i="101"/>
  <c r="AN67" i="101"/>
  <c r="AL67" i="101"/>
  <c r="AJ83" i="101"/>
  <c r="AJ19" i="101"/>
  <c r="AJ5" i="101"/>
  <c r="AJ95" i="101"/>
  <c r="AJ63" i="101"/>
  <c r="AJ31" i="101"/>
  <c r="AJ8" i="101"/>
  <c r="AJ12" i="101"/>
  <c r="AJ16" i="101"/>
  <c r="AJ20" i="101"/>
  <c r="AJ24" i="101"/>
  <c r="AJ28" i="101"/>
  <c r="AJ32" i="101"/>
  <c r="AJ36" i="101"/>
  <c r="AJ40" i="101"/>
  <c r="AJ44" i="101"/>
  <c r="AJ48" i="101"/>
  <c r="AJ52" i="101"/>
  <c r="AJ56" i="101"/>
  <c r="AJ60" i="101"/>
  <c r="AJ64" i="101"/>
  <c r="AJ68" i="101"/>
  <c r="AJ72" i="101"/>
  <c r="AJ76" i="101"/>
  <c r="AJ80" i="101"/>
  <c r="AJ84" i="101"/>
  <c r="AJ88" i="101"/>
  <c r="AJ92" i="101"/>
  <c r="AJ96" i="101"/>
  <c r="AJ100" i="101"/>
  <c r="AJ104" i="101"/>
  <c r="AJ108" i="101"/>
  <c r="AJ9" i="101"/>
  <c r="AJ13" i="101"/>
  <c r="AJ17" i="101"/>
  <c r="AJ21" i="101"/>
  <c r="AJ25" i="101"/>
  <c r="AJ29" i="101"/>
  <c r="AJ33" i="101"/>
  <c r="AJ37" i="101"/>
  <c r="AJ41" i="101"/>
  <c r="AJ45" i="101"/>
  <c r="AJ49" i="101"/>
  <c r="AJ53" i="101"/>
  <c r="AJ57" i="101"/>
  <c r="AJ61" i="101"/>
  <c r="AJ65" i="101"/>
  <c r="AJ69" i="101"/>
  <c r="AJ73" i="101"/>
  <c r="AJ77" i="101"/>
  <c r="AJ81" i="101"/>
  <c r="AJ85" i="101"/>
  <c r="AJ89" i="101"/>
  <c r="AJ93" i="101"/>
  <c r="AJ97" i="101"/>
  <c r="AJ101" i="101"/>
  <c r="AJ105" i="101"/>
  <c r="AJ109" i="101"/>
  <c r="AJ6" i="101"/>
  <c r="AJ10" i="101"/>
  <c r="AJ14" i="101"/>
  <c r="AJ18" i="101"/>
  <c r="AJ22" i="101"/>
  <c r="AJ26" i="101"/>
  <c r="AJ30" i="101"/>
  <c r="AJ34" i="101"/>
  <c r="AJ38" i="101"/>
  <c r="AJ42" i="101"/>
  <c r="AJ46" i="101"/>
  <c r="AJ50" i="101"/>
  <c r="AJ54" i="101"/>
  <c r="AJ58" i="101"/>
  <c r="AJ62" i="101"/>
  <c r="AJ66" i="101"/>
  <c r="AJ70" i="101"/>
  <c r="AJ74" i="101"/>
  <c r="AJ78" i="101"/>
  <c r="AJ82" i="101"/>
  <c r="AJ86" i="101"/>
  <c r="AJ90" i="101"/>
  <c r="AJ94" i="101"/>
  <c r="AJ98" i="101"/>
  <c r="AJ102" i="101"/>
  <c r="AJ106" i="101"/>
  <c r="AJ110" i="101"/>
  <c r="AJ107" i="101"/>
  <c r="AJ91" i="101"/>
  <c r="AJ75" i="101"/>
  <c r="AJ59" i="101"/>
  <c r="AJ43" i="101"/>
  <c r="AJ27" i="101"/>
  <c r="AJ11" i="101"/>
  <c r="AP99" i="101"/>
  <c r="AQ99" i="101" s="1"/>
  <c r="AN99" i="101"/>
  <c r="AL99" i="101"/>
  <c r="AK99" i="101" s="1"/>
  <c r="AO98" i="101" s="1"/>
  <c r="AN35" i="101"/>
  <c r="AZ35" i="101" s="1"/>
  <c r="AL35" i="101"/>
  <c r="AJ103" i="101"/>
  <c r="AJ87" i="101"/>
  <c r="AJ71" i="101"/>
  <c r="AJ55" i="101"/>
  <c r="AJ39" i="101"/>
  <c r="AJ23" i="101"/>
  <c r="AJ7" i="101"/>
  <c r="AK47" i="101"/>
  <c r="AP35" i="101" l="1"/>
  <c r="AQ35" i="101" s="1"/>
  <c r="AK67" i="101"/>
  <c r="AW75" i="101"/>
  <c r="AV75" i="101"/>
  <c r="AV90" i="101"/>
  <c r="AW90" i="101"/>
  <c r="AV58" i="101"/>
  <c r="AW58" i="101"/>
  <c r="AV26" i="101"/>
  <c r="AW26" i="101"/>
  <c r="AV101" i="101"/>
  <c r="AW101" i="101"/>
  <c r="AV69" i="101"/>
  <c r="AW69" i="101"/>
  <c r="AV37" i="101"/>
  <c r="AW37" i="101"/>
  <c r="AW108" i="101"/>
  <c r="AV108" i="101"/>
  <c r="AW76" i="101"/>
  <c r="AV76" i="101"/>
  <c r="AW44" i="101"/>
  <c r="AV44" i="101"/>
  <c r="AW12" i="101"/>
  <c r="AV12" i="101"/>
  <c r="AW79" i="101"/>
  <c r="AV79" i="101"/>
  <c r="AW103" i="101"/>
  <c r="AV103" i="101"/>
  <c r="AW27" i="101"/>
  <c r="AV27" i="101"/>
  <c r="AW91" i="101"/>
  <c r="AV91" i="101"/>
  <c r="AV102" i="101"/>
  <c r="AW102" i="101"/>
  <c r="AV86" i="101"/>
  <c r="AW86" i="101"/>
  <c r="AV70" i="101"/>
  <c r="AW70" i="101"/>
  <c r="AV54" i="101"/>
  <c r="AW54" i="101"/>
  <c r="AV38" i="101"/>
  <c r="AW38" i="101"/>
  <c r="AZ38" i="101"/>
  <c r="AV22" i="101"/>
  <c r="AW22" i="101"/>
  <c r="AV6" i="101"/>
  <c r="AW6" i="101"/>
  <c r="AV97" i="101"/>
  <c r="AW97" i="101"/>
  <c r="AV81" i="101"/>
  <c r="AW81" i="101"/>
  <c r="AV65" i="101"/>
  <c r="AW65" i="101"/>
  <c r="AV49" i="101"/>
  <c r="AW49" i="101"/>
  <c r="AV33" i="101"/>
  <c r="AW33" i="101"/>
  <c r="AV17" i="101"/>
  <c r="AW17" i="101"/>
  <c r="AW104" i="101"/>
  <c r="AV104" i="101"/>
  <c r="AW88" i="101"/>
  <c r="AV88" i="101"/>
  <c r="AW72" i="101"/>
  <c r="AV72" i="101"/>
  <c r="AW56" i="101"/>
  <c r="AV56" i="101"/>
  <c r="AW40" i="101"/>
  <c r="AV40" i="101"/>
  <c r="AW24" i="101"/>
  <c r="AV24" i="101"/>
  <c r="AW8" i="101"/>
  <c r="AV8" i="101"/>
  <c r="AW5" i="101"/>
  <c r="AV5" i="101"/>
  <c r="AR67" i="101"/>
  <c r="AS67" i="101"/>
  <c r="BC67" i="101"/>
  <c r="BB67" i="101"/>
  <c r="BA67" i="101"/>
  <c r="AR15" i="101"/>
  <c r="AS15" i="101"/>
  <c r="BC15" i="101"/>
  <c r="BA15" i="101"/>
  <c r="BB15" i="101"/>
  <c r="AW51" i="101"/>
  <c r="AV51" i="101"/>
  <c r="AW15" i="101"/>
  <c r="AV15" i="101"/>
  <c r="AZ15" i="101"/>
  <c r="AW55" i="101"/>
  <c r="AV55" i="101"/>
  <c r="AK35" i="101"/>
  <c r="AO34" i="101" s="1"/>
  <c r="AR99" i="101"/>
  <c r="AS99" i="101"/>
  <c r="BC99" i="101"/>
  <c r="BB99" i="101"/>
  <c r="BA99" i="101"/>
  <c r="AW43" i="101"/>
  <c r="AV43" i="101"/>
  <c r="AW107" i="101"/>
  <c r="AV107" i="101"/>
  <c r="AV98" i="101"/>
  <c r="AW98" i="101"/>
  <c r="AV82" i="101"/>
  <c r="AW82" i="101"/>
  <c r="AV66" i="101"/>
  <c r="AW66" i="101"/>
  <c r="AV50" i="101"/>
  <c r="AW50" i="101"/>
  <c r="AV34" i="101"/>
  <c r="AW34" i="101"/>
  <c r="AV18" i="101"/>
  <c r="AW18" i="101"/>
  <c r="AV109" i="101"/>
  <c r="AW109" i="101"/>
  <c r="AV93" i="101"/>
  <c r="AW93" i="101"/>
  <c r="AV77" i="101"/>
  <c r="AW77" i="101"/>
  <c r="AV61" i="101"/>
  <c r="AW61" i="101"/>
  <c r="AV45" i="101"/>
  <c r="AW45" i="101"/>
  <c r="AV29" i="101"/>
  <c r="AW29" i="101"/>
  <c r="AV13" i="101"/>
  <c r="AW13" i="101"/>
  <c r="AW100" i="101"/>
  <c r="AV100" i="101"/>
  <c r="AW84" i="101"/>
  <c r="AV84" i="101"/>
  <c r="AW68" i="101"/>
  <c r="AV68" i="101"/>
  <c r="AW52" i="101"/>
  <c r="AV52" i="101"/>
  <c r="AW36" i="101"/>
  <c r="AV36" i="101"/>
  <c r="AW20" i="101"/>
  <c r="AV20" i="101"/>
  <c r="AW31" i="101"/>
  <c r="AV31" i="101"/>
  <c r="AW19" i="101"/>
  <c r="AV19" i="101"/>
  <c r="AP67" i="101"/>
  <c r="AQ67" i="101" s="1"/>
  <c r="AL79" i="101"/>
  <c r="AK79" i="101" s="1"/>
  <c r="AO78" i="101" s="1"/>
  <c r="AN51" i="101"/>
  <c r="AP51" i="101" s="1"/>
  <c r="AQ51" i="101" s="1"/>
  <c r="AP15" i="101"/>
  <c r="AQ15" i="101" s="1"/>
  <c r="AZ67" i="101"/>
  <c r="AZ99" i="101"/>
  <c r="AW23" i="101"/>
  <c r="AV23" i="101"/>
  <c r="AW87" i="101"/>
  <c r="AV87" i="101"/>
  <c r="AW11" i="101"/>
  <c r="AV11" i="101"/>
  <c r="AZ11" i="101"/>
  <c r="AV106" i="101"/>
  <c r="AW106" i="101"/>
  <c r="AV74" i="101"/>
  <c r="AW74" i="101"/>
  <c r="AV42" i="101"/>
  <c r="AW42" i="101"/>
  <c r="AV10" i="101"/>
  <c r="AW10" i="101"/>
  <c r="AZ10" i="101"/>
  <c r="AV85" i="101"/>
  <c r="AW85" i="101"/>
  <c r="AV53" i="101"/>
  <c r="AW53" i="101"/>
  <c r="AV21" i="101"/>
  <c r="AZ21" i="101"/>
  <c r="AW21" i="101"/>
  <c r="AW92" i="101"/>
  <c r="AV92" i="101"/>
  <c r="AW60" i="101"/>
  <c r="AV60" i="101"/>
  <c r="AW28" i="101"/>
  <c r="AV28" i="101"/>
  <c r="AW95" i="101"/>
  <c r="AV95" i="101"/>
  <c r="AR47" i="101"/>
  <c r="AS47" i="101"/>
  <c r="BC47" i="101"/>
  <c r="BB47" i="101"/>
  <c r="BA47" i="101"/>
  <c r="AW39" i="101"/>
  <c r="AV39" i="101"/>
  <c r="AW7" i="101"/>
  <c r="AV7" i="101"/>
  <c r="AW71" i="101"/>
  <c r="AV71" i="101"/>
  <c r="AR35" i="101"/>
  <c r="AS35" i="101"/>
  <c r="BC35" i="101"/>
  <c r="BB35" i="101"/>
  <c r="BA35" i="101"/>
  <c r="AW59" i="101"/>
  <c r="AV59" i="101"/>
  <c r="AV110" i="101"/>
  <c r="AW110" i="101"/>
  <c r="AV94" i="101"/>
  <c r="AW94" i="101"/>
  <c r="AV78" i="101"/>
  <c r="AW78" i="101"/>
  <c r="AV62" i="101"/>
  <c r="AW62" i="101"/>
  <c r="AZ62" i="101"/>
  <c r="AO46" i="101"/>
  <c r="AV46" i="101"/>
  <c r="AW46" i="101"/>
  <c r="AV30" i="101"/>
  <c r="AW30" i="101"/>
  <c r="AO14" i="101"/>
  <c r="AV14" i="101"/>
  <c r="AW14" i="101"/>
  <c r="AV105" i="101"/>
  <c r="AW105" i="101"/>
  <c r="AV89" i="101"/>
  <c r="AW89" i="101"/>
  <c r="AV73" i="101"/>
  <c r="AW73" i="101"/>
  <c r="AV57" i="101"/>
  <c r="AW57" i="101"/>
  <c r="AV41" i="101"/>
  <c r="AW41" i="101"/>
  <c r="AV25" i="101"/>
  <c r="AW25" i="101"/>
  <c r="AV9" i="101"/>
  <c r="AW9" i="101"/>
  <c r="AZ9" i="101"/>
  <c r="AW96" i="101"/>
  <c r="AV96" i="101"/>
  <c r="AW80" i="101"/>
  <c r="AV80" i="101"/>
  <c r="AW64" i="101"/>
  <c r="AV64" i="101"/>
  <c r="AW48" i="101"/>
  <c r="AV48" i="101"/>
  <c r="AW32" i="101"/>
  <c r="AV32" i="101"/>
  <c r="AW16" i="101"/>
  <c r="AV16" i="101"/>
  <c r="AW63" i="101"/>
  <c r="AV63" i="101"/>
  <c r="AW83" i="101"/>
  <c r="AV83" i="101"/>
  <c r="AN79" i="101"/>
  <c r="AZ79" i="101" s="1"/>
  <c r="AW47" i="101"/>
  <c r="AV47" i="101"/>
  <c r="AZ47" i="101"/>
  <c r="AN11" i="101"/>
  <c r="AL11" i="101"/>
  <c r="AK11" i="101" s="1"/>
  <c r="AO10" i="101" s="1"/>
  <c r="AN106" i="101"/>
  <c r="AL106" i="101"/>
  <c r="AN74" i="101"/>
  <c r="AL74" i="101"/>
  <c r="AK74" i="101" s="1"/>
  <c r="AO73" i="101" s="1"/>
  <c r="AN42" i="101"/>
  <c r="AL42" i="101"/>
  <c r="AN10" i="101"/>
  <c r="AL10" i="101"/>
  <c r="AK10" i="101" s="1"/>
  <c r="AL85" i="101"/>
  <c r="AN85" i="101"/>
  <c r="AZ85" i="101" s="1"/>
  <c r="AL53" i="101"/>
  <c r="AN53" i="101"/>
  <c r="AL21" i="101"/>
  <c r="AN21" i="101"/>
  <c r="AN92" i="101"/>
  <c r="AP92" i="101" s="1"/>
  <c r="AQ92" i="101" s="1"/>
  <c r="AL92" i="101"/>
  <c r="AO59" i="101"/>
  <c r="AN60" i="101"/>
  <c r="AP60" i="101" s="1"/>
  <c r="AQ60" i="101" s="1"/>
  <c r="AL60" i="101"/>
  <c r="AN28" i="101"/>
  <c r="AL28" i="101"/>
  <c r="AN95" i="101"/>
  <c r="AP95" i="101" s="1"/>
  <c r="AQ95" i="101" s="1"/>
  <c r="AL95" i="101"/>
  <c r="AN71" i="101"/>
  <c r="AZ71" i="101" s="1"/>
  <c r="AL71" i="101"/>
  <c r="AN27" i="101"/>
  <c r="AL27" i="101"/>
  <c r="AN102" i="101"/>
  <c r="AZ102" i="101" s="1"/>
  <c r="AL102" i="101"/>
  <c r="AN86" i="101"/>
  <c r="AZ86" i="101" s="1"/>
  <c r="AL86" i="101"/>
  <c r="AN54" i="101"/>
  <c r="AP54" i="101" s="1"/>
  <c r="AQ54" i="101" s="1"/>
  <c r="AL54" i="101"/>
  <c r="AN38" i="101"/>
  <c r="AL38" i="101"/>
  <c r="AN22" i="101"/>
  <c r="AZ22" i="101" s="1"/>
  <c r="AL22" i="101"/>
  <c r="AN6" i="101"/>
  <c r="AZ6" i="101" s="1"/>
  <c r="AL6" i="101"/>
  <c r="AL97" i="101"/>
  <c r="AN97" i="101"/>
  <c r="AL81" i="101"/>
  <c r="AN81" i="101"/>
  <c r="AZ81" i="101" s="1"/>
  <c r="AO64" i="101"/>
  <c r="AL65" i="101"/>
  <c r="AN65" i="101"/>
  <c r="AZ65" i="101" s="1"/>
  <c r="AL49" i="101"/>
  <c r="AN49" i="101"/>
  <c r="AL33" i="101"/>
  <c r="AN33" i="101"/>
  <c r="AL17" i="101"/>
  <c r="AN17" i="101"/>
  <c r="AZ17" i="101" s="1"/>
  <c r="AN104" i="101"/>
  <c r="AZ104" i="101" s="1"/>
  <c r="AL104" i="101"/>
  <c r="AO87" i="101"/>
  <c r="AN88" i="101"/>
  <c r="AZ88" i="101" s="1"/>
  <c r="AL88" i="101"/>
  <c r="AN72" i="101"/>
  <c r="AP72" i="101" s="1"/>
  <c r="AQ72" i="101" s="1"/>
  <c r="AL72" i="101"/>
  <c r="AN56" i="101"/>
  <c r="AZ56" i="101" s="1"/>
  <c r="AL56" i="101"/>
  <c r="AN40" i="101"/>
  <c r="AL40" i="101"/>
  <c r="AN24" i="101"/>
  <c r="AL24" i="101"/>
  <c r="AN8" i="101"/>
  <c r="AL8" i="101"/>
  <c r="AN5" i="101"/>
  <c r="AS5" i="101" s="1"/>
  <c r="AL5" i="101"/>
  <c r="AN55" i="101"/>
  <c r="AL55" i="101"/>
  <c r="AK55" i="101" s="1"/>
  <c r="AO54" i="101" s="1"/>
  <c r="AP75" i="101"/>
  <c r="AQ75" i="101" s="1"/>
  <c r="AN75" i="101"/>
  <c r="AZ75" i="101" s="1"/>
  <c r="AL75" i="101"/>
  <c r="AK75" i="101" s="1"/>
  <c r="AO74" i="101" s="1"/>
  <c r="AN90" i="101"/>
  <c r="AP90" i="101" s="1"/>
  <c r="AQ90" i="101" s="1"/>
  <c r="AL90" i="101"/>
  <c r="AN58" i="101"/>
  <c r="AL58" i="101"/>
  <c r="AK58" i="101" s="1"/>
  <c r="AO57" i="101" s="1"/>
  <c r="AN26" i="101"/>
  <c r="AZ26" i="101" s="1"/>
  <c r="AL26" i="101"/>
  <c r="AK26" i="101" s="1"/>
  <c r="AO25" i="101" s="1"/>
  <c r="AL101" i="101"/>
  <c r="AN101" i="101"/>
  <c r="AZ101" i="101" s="1"/>
  <c r="AL69" i="101"/>
  <c r="AN69" i="101"/>
  <c r="AL37" i="101"/>
  <c r="AN37" i="101"/>
  <c r="AZ37" i="101" s="1"/>
  <c r="AN108" i="101"/>
  <c r="AZ108" i="101" s="1"/>
  <c r="AL108" i="101"/>
  <c r="AN76" i="101"/>
  <c r="AZ76" i="101" s="1"/>
  <c r="AL76" i="101"/>
  <c r="AO43" i="101"/>
  <c r="AN44" i="101"/>
  <c r="AZ44" i="101" s="1"/>
  <c r="AL44" i="101"/>
  <c r="AN12" i="101"/>
  <c r="AL12" i="101"/>
  <c r="AK12" i="101" s="1"/>
  <c r="AO11" i="101" s="1"/>
  <c r="AN7" i="101"/>
  <c r="AZ7" i="101" s="1"/>
  <c r="AL7" i="101"/>
  <c r="AK7" i="101" s="1"/>
  <c r="AO6" i="101" s="1"/>
  <c r="AN91" i="101"/>
  <c r="AP91" i="101" s="1"/>
  <c r="AQ91" i="101" s="1"/>
  <c r="AL91" i="101"/>
  <c r="AN70" i="101"/>
  <c r="AP70" i="101" s="1"/>
  <c r="AQ70" i="101" s="1"/>
  <c r="AL70" i="101"/>
  <c r="AK70" i="101" s="1"/>
  <c r="AO69" i="101" s="1"/>
  <c r="AO22" i="101"/>
  <c r="AN23" i="101"/>
  <c r="AP23" i="101" s="1"/>
  <c r="AQ23" i="101" s="1"/>
  <c r="AL23" i="101"/>
  <c r="AK23" i="101" s="1"/>
  <c r="AN87" i="101"/>
  <c r="AP87" i="101" s="1"/>
  <c r="AQ87" i="101" s="1"/>
  <c r="AL87" i="101"/>
  <c r="AK87" i="101" s="1"/>
  <c r="AO86" i="101" s="1"/>
  <c r="AP43" i="101"/>
  <c r="AQ43" i="101" s="1"/>
  <c r="AN43" i="101"/>
  <c r="AL43" i="101"/>
  <c r="AK43" i="101" s="1"/>
  <c r="AO42" i="101" s="1"/>
  <c r="AN107" i="101"/>
  <c r="AP107" i="101" s="1"/>
  <c r="AQ107" i="101" s="1"/>
  <c r="AL107" i="101"/>
  <c r="AO97" i="101"/>
  <c r="AN98" i="101"/>
  <c r="AP98" i="101" s="1"/>
  <c r="AQ98" i="101" s="1"/>
  <c r="AL98" i="101"/>
  <c r="AN82" i="101"/>
  <c r="AZ82" i="101" s="1"/>
  <c r="AL82" i="101"/>
  <c r="AK82" i="101" s="1"/>
  <c r="AO81" i="101" s="1"/>
  <c r="AN66" i="101"/>
  <c r="AZ66" i="101" s="1"/>
  <c r="AL66" i="101"/>
  <c r="AK66" i="101" s="1"/>
  <c r="AO65" i="101" s="1"/>
  <c r="AP50" i="101"/>
  <c r="AQ50" i="101" s="1"/>
  <c r="AN50" i="101"/>
  <c r="AL50" i="101"/>
  <c r="AK50" i="101" s="1"/>
  <c r="AO49" i="101" s="1"/>
  <c r="AN34" i="101"/>
  <c r="AP34" i="101" s="1"/>
  <c r="AQ34" i="101" s="1"/>
  <c r="AL34" i="101"/>
  <c r="AO17" i="101"/>
  <c r="AN18" i="101"/>
  <c r="AP18" i="101" s="1"/>
  <c r="AQ18" i="101" s="1"/>
  <c r="AL18" i="101"/>
  <c r="AL109" i="101"/>
  <c r="AN109" i="101"/>
  <c r="AZ109" i="101" s="1"/>
  <c r="AO92" i="101"/>
  <c r="AL93" i="101"/>
  <c r="AN93" i="101"/>
  <c r="AP93" i="101" s="1"/>
  <c r="AQ93" i="101" s="1"/>
  <c r="AL77" i="101"/>
  <c r="AN77" i="101"/>
  <c r="AP77" i="101" s="1"/>
  <c r="AQ77" i="101" s="1"/>
  <c r="AL61" i="101"/>
  <c r="AN61" i="101"/>
  <c r="AL45" i="101"/>
  <c r="AN45" i="101"/>
  <c r="AP29" i="101"/>
  <c r="AQ29" i="101" s="1"/>
  <c r="AL29" i="101"/>
  <c r="AN29" i="101"/>
  <c r="AP13" i="101"/>
  <c r="AQ13" i="101" s="1"/>
  <c r="AL13" i="101"/>
  <c r="AN13" i="101"/>
  <c r="AN100" i="101"/>
  <c r="AL100" i="101"/>
  <c r="AN84" i="101"/>
  <c r="AL84" i="101"/>
  <c r="AN68" i="101"/>
  <c r="AL68" i="101"/>
  <c r="AO51" i="101"/>
  <c r="AN52" i="101"/>
  <c r="AL52" i="101"/>
  <c r="AK52" i="101" s="1"/>
  <c r="AN36" i="101"/>
  <c r="AZ36" i="101" s="1"/>
  <c r="AL36" i="101"/>
  <c r="AN20" i="101"/>
  <c r="AZ20" i="101" s="1"/>
  <c r="AL20" i="101"/>
  <c r="AK20" i="101" s="1"/>
  <c r="AO19" i="101" s="1"/>
  <c r="AO30" i="101"/>
  <c r="AN31" i="101"/>
  <c r="AP31" i="101" s="1"/>
  <c r="AQ31" i="101" s="1"/>
  <c r="AL31" i="101"/>
  <c r="AK31" i="101" s="1"/>
  <c r="AN19" i="101"/>
  <c r="AP19" i="101" s="1"/>
  <c r="AQ19" i="101" s="1"/>
  <c r="AL19" i="101"/>
  <c r="AK19" i="101" s="1"/>
  <c r="AO18" i="101" s="1"/>
  <c r="AO66" i="101"/>
  <c r="AO38" i="101"/>
  <c r="AN39" i="101"/>
  <c r="AL39" i="101"/>
  <c r="AK39" i="101" s="1"/>
  <c r="AO102" i="101"/>
  <c r="AN103" i="101"/>
  <c r="AZ103" i="101" s="1"/>
  <c r="AL103" i="101"/>
  <c r="AK103" i="101" s="1"/>
  <c r="AN59" i="101"/>
  <c r="AL59" i="101"/>
  <c r="AO110" i="101"/>
  <c r="AN110" i="101"/>
  <c r="AL110" i="101"/>
  <c r="AN94" i="101"/>
  <c r="AL94" i="101"/>
  <c r="AO77" i="101"/>
  <c r="AN78" i="101"/>
  <c r="AL78" i="101"/>
  <c r="AN62" i="101"/>
  <c r="AL62" i="101"/>
  <c r="AN46" i="101"/>
  <c r="AL46" i="101"/>
  <c r="AN30" i="101"/>
  <c r="AZ30" i="101" s="1"/>
  <c r="AL30" i="101"/>
  <c r="AN14" i="101"/>
  <c r="AZ14" i="101" s="1"/>
  <c r="AL14" i="101"/>
  <c r="AL105" i="101"/>
  <c r="AN105" i="101"/>
  <c r="AZ105" i="101" s="1"/>
  <c r="AL89" i="101"/>
  <c r="AN89" i="101"/>
  <c r="AO72" i="101"/>
  <c r="AL73" i="101"/>
  <c r="AN73" i="101"/>
  <c r="AZ73" i="101" s="1"/>
  <c r="AP57" i="101"/>
  <c r="AQ57" i="101" s="1"/>
  <c r="AL57" i="101"/>
  <c r="AN57" i="101"/>
  <c r="AZ57" i="101" s="1"/>
  <c r="AP41" i="101"/>
  <c r="AQ41" i="101" s="1"/>
  <c r="AL41" i="101"/>
  <c r="AK41" i="101" s="1"/>
  <c r="AO40" i="101" s="1"/>
  <c r="AN41" i="101"/>
  <c r="AZ41" i="101" s="1"/>
  <c r="AL25" i="101"/>
  <c r="AN25" i="101"/>
  <c r="AL9" i="101"/>
  <c r="AN9" i="101"/>
  <c r="AN96" i="101"/>
  <c r="AZ96" i="101" s="1"/>
  <c r="AL96" i="101"/>
  <c r="AK96" i="101" s="1"/>
  <c r="AO95" i="101" s="1"/>
  <c r="AN80" i="101"/>
  <c r="AZ80" i="101" s="1"/>
  <c r="AL80" i="101"/>
  <c r="AN64" i="101"/>
  <c r="AL64" i="101"/>
  <c r="AK64" i="101" s="1"/>
  <c r="AO63" i="101" s="1"/>
  <c r="AN48" i="101"/>
  <c r="AZ48" i="101" s="1"/>
  <c r="AL48" i="101"/>
  <c r="AN32" i="101"/>
  <c r="AZ32" i="101" s="1"/>
  <c r="AL32" i="101"/>
  <c r="AK32" i="101" s="1"/>
  <c r="AO31" i="101" s="1"/>
  <c r="AN16" i="101"/>
  <c r="AZ16" i="101" s="1"/>
  <c r="AL16" i="101"/>
  <c r="AN63" i="101"/>
  <c r="AL63" i="101"/>
  <c r="AK63" i="101" s="1"/>
  <c r="AO62" i="101" s="1"/>
  <c r="AO82" i="101"/>
  <c r="AN83" i="101"/>
  <c r="AZ83" i="101" s="1"/>
  <c r="AL83" i="101"/>
  <c r="AK83" i="101" s="1"/>
  <c r="AP108" i="101" l="1"/>
  <c r="AQ108" i="101" s="1"/>
  <c r="AP6" i="101"/>
  <c r="AQ6" i="101" s="1"/>
  <c r="AZ18" i="101"/>
  <c r="AP109" i="101"/>
  <c r="AQ109" i="101" s="1"/>
  <c r="AP82" i="101"/>
  <c r="AQ82" i="101" s="1"/>
  <c r="AP88" i="101"/>
  <c r="AQ88" i="101" s="1"/>
  <c r="AP86" i="101"/>
  <c r="AQ86" i="101" s="1"/>
  <c r="AP104" i="101"/>
  <c r="AQ104" i="101" s="1"/>
  <c r="AK16" i="101"/>
  <c r="AO15" i="101" s="1"/>
  <c r="AK36" i="101"/>
  <c r="AO35" i="101" s="1"/>
  <c r="AK18" i="101"/>
  <c r="AK34" i="101"/>
  <c r="AO33" i="101" s="1"/>
  <c r="AP66" i="101"/>
  <c r="AQ66" i="101" s="1"/>
  <c r="AK98" i="101"/>
  <c r="AK107" i="101"/>
  <c r="AO106" i="101" s="1"/>
  <c r="AK91" i="101"/>
  <c r="AO90" i="101" s="1"/>
  <c r="AK24" i="101"/>
  <c r="AO23" i="101" s="1"/>
  <c r="AK88" i="101"/>
  <c r="AK6" i="101"/>
  <c r="AO5" i="101" s="1"/>
  <c r="AR25" i="101"/>
  <c r="BC25" i="101"/>
  <c r="BB25" i="101"/>
  <c r="AS25" i="101"/>
  <c r="BA25" i="101"/>
  <c r="AR46" i="101"/>
  <c r="BC46" i="101"/>
  <c r="AS46" i="101"/>
  <c r="BB46" i="101"/>
  <c r="BA46" i="101"/>
  <c r="AR59" i="101"/>
  <c r="AS59" i="101"/>
  <c r="BC59" i="101"/>
  <c r="BB59" i="101"/>
  <c r="BA59" i="101"/>
  <c r="AR100" i="101"/>
  <c r="AS100" i="101"/>
  <c r="BC100" i="101"/>
  <c r="BB100" i="101"/>
  <c r="BA100" i="101"/>
  <c r="AR61" i="101"/>
  <c r="AS61" i="101"/>
  <c r="BB61" i="101"/>
  <c r="BA61" i="101"/>
  <c r="BC61" i="101"/>
  <c r="AR106" i="101"/>
  <c r="BC106" i="101"/>
  <c r="BA106" i="101"/>
  <c r="BB106" i="101"/>
  <c r="AS106" i="101"/>
  <c r="AZ61" i="101"/>
  <c r="AZ51" i="101"/>
  <c r="AR63" i="101"/>
  <c r="AS63" i="101"/>
  <c r="BC63" i="101"/>
  <c r="BB63" i="101"/>
  <c r="BA63" i="101"/>
  <c r="AR64" i="101"/>
  <c r="AS64" i="101"/>
  <c r="BC64" i="101"/>
  <c r="BA64" i="101"/>
  <c r="BB64" i="101"/>
  <c r="AK25" i="101"/>
  <c r="AO24" i="101" s="1"/>
  <c r="AR73" i="101"/>
  <c r="BB73" i="101"/>
  <c r="AS73" i="101"/>
  <c r="BC73" i="101"/>
  <c r="BA73" i="101"/>
  <c r="AR89" i="101"/>
  <c r="BB89" i="101"/>
  <c r="AS89" i="101"/>
  <c r="BC89" i="101"/>
  <c r="BA89" i="101"/>
  <c r="AK105" i="101"/>
  <c r="AO104" i="101" s="1"/>
  <c r="AR39" i="101"/>
  <c r="AS39" i="101"/>
  <c r="BC39" i="101"/>
  <c r="BA39" i="101"/>
  <c r="BB39" i="101"/>
  <c r="AS84" i="101"/>
  <c r="BC84" i="101"/>
  <c r="BB84" i="101"/>
  <c r="BA84" i="101"/>
  <c r="AP100" i="101"/>
  <c r="AQ100" i="101" s="1"/>
  <c r="AR45" i="101"/>
  <c r="AS45" i="101"/>
  <c r="BB45" i="101"/>
  <c r="BC45" i="101"/>
  <c r="BA45" i="101"/>
  <c r="AR12" i="101"/>
  <c r="AS12" i="101"/>
  <c r="BC12" i="101"/>
  <c r="BB12" i="101"/>
  <c r="BA12" i="101"/>
  <c r="AP76" i="101"/>
  <c r="AQ76" i="101" s="1"/>
  <c r="AR37" i="101"/>
  <c r="AS37" i="101"/>
  <c r="BB37" i="101"/>
  <c r="BA37" i="101"/>
  <c r="BC37" i="101"/>
  <c r="AR58" i="101"/>
  <c r="BC58" i="101"/>
  <c r="BB58" i="101"/>
  <c r="BA58" i="101"/>
  <c r="AS58" i="101"/>
  <c r="AR24" i="101"/>
  <c r="AS24" i="101"/>
  <c r="BC24" i="101"/>
  <c r="BA24" i="101"/>
  <c r="BB24" i="101"/>
  <c r="AS40" i="101"/>
  <c r="BA40" i="101"/>
  <c r="BC40" i="101"/>
  <c r="BB40" i="101"/>
  <c r="AR17" i="101"/>
  <c r="BB17" i="101"/>
  <c r="AS17" i="101"/>
  <c r="BC17" i="101"/>
  <c r="BA17" i="101"/>
  <c r="AR49" i="101"/>
  <c r="BB49" i="101"/>
  <c r="AS49" i="101"/>
  <c r="BA49" i="101"/>
  <c r="BC49" i="101"/>
  <c r="AR38" i="101"/>
  <c r="BC38" i="101"/>
  <c r="AS38" i="101"/>
  <c r="BB38" i="101"/>
  <c r="BA38" i="101"/>
  <c r="AR27" i="101"/>
  <c r="AS27" i="101"/>
  <c r="BC27" i="101"/>
  <c r="BB27" i="101"/>
  <c r="BA27" i="101"/>
  <c r="AP71" i="101"/>
  <c r="AQ71" i="101" s="1"/>
  <c r="AS53" i="101"/>
  <c r="BB53" i="101"/>
  <c r="BC53" i="101"/>
  <c r="BA53" i="101"/>
  <c r="AZ59" i="101"/>
  <c r="AZ60" i="101"/>
  <c r="AZ106" i="101"/>
  <c r="AZ84" i="101"/>
  <c r="AZ45" i="101"/>
  <c r="AZ40" i="101"/>
  <c r="AR14" i="101"/>
  <c r="BC14" i="101"/>
  <c r="AS14" i="101"/>
  <c r="BB14" i="101"/>
  <c r="BA14" i="101"/>
  <c r="AR76" i="101"/>
  <c r="AS76" i="101"/>
  <c r="BC76" i="101"/>
  <c r="BB76" i="101"/>
  <c r="BA76" i="101"/>
  <c r="AR69" i="101"/>
  <c r="AS69" i="101"/>
  <c r="BB69" i="101"/>
  <c r="BA69" i="101"/>
  <c r="BC69" i="101"/>
  <c r="AR90" i="101"/>
  <c r="BC90" i="101"/>
  <c r="BA90" i="101"/>
  <c r="AS90" i="101"/>
  <c r="BB90" i="101"/>
  <c r="AR56" i="101"/>
  <c r="AS56" i="101"/>
  <c r="BA56" i="101"/>
  <c r="BB56" i="101"/>
  <c r="BC56" i="101"/>
  <c r="AS72" i="101"/>
  <c r="BA72" i="101"/>
  <c r="BB72" i="101"/>
  <c r="BC72" i="101"/>
  <c r="AR71" i="101"/>
  <c r="AS71" i="101"/>
  <c r="BC71" i="101"/>
  <c r="BA71" i="101"/>
  <c r="BB71" i="101"/>
  <c r="AS92" i="101"/>
  <c r="BC92" i="101"/>
  <c r="BB92" i="101"/>
  <c r="BA92" i="101"/>
  <c r="AZ46" i="101"/>
  <c r="AZ100" i="101"/>
  <c r="AR32" i="101"/>
  <c r="AS32" i="101"/>
  <c r="BC32" i="101"/>
  <c r="BA32" i="101"/>
  <c r="BB32" i="101"/>
  <c r="AR96" i="101"/>
  <c r="AS96" i="101"/>
  <c r="BC96" i="101"/>
  <c r="BA96" i="101"/>
  <c r="BB96" i="101"/>
  <c r="AR110" i="101"/>
  <c r="BC110" i="101"/>
  <c r="AS110" i="101"/>
  <c r="BA110" i="101"/>
  <c r="BB110" i="101"/>
  <c r="AR83" i="101"/>
  <c r="AS83" i="101"/>
  <c r="BC83" i="101"/>
  <c r="BA83" i="101"/>
  <c r="BB83" i="101"/>
  <c r="AR9" i="101"/>
  <c r="BB9" i="101"/>
  <c r="BC9" i="101"/>
  <c r="AS9" i="101"/>
  <c r="BA9" i="101"/>
  <c r="AP25" i="101"/>
  <c r="AQ25" i="101" s="1"/>
  <c r="AR57" i="101"/>
  <c r="BB57" i="101"/>
  <c r="BC57" i="101"/>
  <c r="AS57" i="101"/>
  <c r="BA57" i="101"/>
  <c r="AK73" i="101"/>
  <c r="AK89" i="101"/>
  <c r="AO88" i="101" s="1"/>
  <c r="AP105" i="101"/>
  <c r="AQ105" i="101" s="1"/>
  <c r="AR30" i="101"/>
  <c r="BC30" i="101"/>
  <c r="AS30" i="101"/>
  <c r="BB30" i="101"/>
  <c r="BA30" i="101"/>
  <c r="AR62" i="101"/>
  <c r="BC62" i="101"/>
  <c r="AS62" i="101"/>
  <c r="BB62" i="101"/>
  <c r="BA62" i="101"/>
  <c r="AR103" i="101"/>
  <c r="AS103" i="101"/>
  <c r="BC103" i="101"/>
  <c r="BB103" i="101"/>
  <c r="BA103" i="101"/>
  <c r="AR19" i="101"/>
  <c r="AS19" i="101"/>
  <c r="BC19" i="101"/>
  <c r="BB19" i="101"/>
  <c r="BA19" i="101"/>
  <c r="AR31" i="101"/>
  <c r="AS31" i="101"/>
  <c r="BC31" i="101"/>
  <c r="BB31" i="101"/>
  <c r="BA31" i="101"/>
  <c r="AR20" i="101"/>
  <c r="AS20" i="101"/>
  <c r="BC20" i="101"/>
  <c r="BB20" i="101"/>
  <c r="BA20" i="101"/>
  <c r="AR36" i="101"/>
  <c r="AS36" i="101"/>
  <c r="BC36" i="101"/>
  <c r="BB36" i="101"/>
  <c r="BA36" i="101"/>
  <c r="AR52" i="101"/>
  <c r="AS52" i="101"/>
  <c r="BC52" i="101"/>
  <c r="BB52" i="101"/>
  <c r="BA52" i="101"/>
  <c r="AS68" i="101"/>
  <c r="BC68" i="101"/>
  <c r="BB68" i="101"/>
  <c r="BA68" i="101"/>
  <c r="AP84" i="101"/>
  <c r="AQ84" i="101" s="1"/>
  <c r="AR29" i="101"/>
  <c r="AS29" i="101"/>
  <c r="BB29" i="101"/>
  <c r="BA29" i="101"/>
  <c r="BC29" i="101"/>
  <c r="AP61" i="101"/>
  <c r="AQ61" i="101" s="1"/>
  <c r="AR93" i="101"/>
  <c r="AS93" i="101"/>
  <c r="BC93" i="101"/>
  <c r="BB93" i="101"/>
  <c r="BA93" i="101"/>
  <c r="AR109" i="101"/>
  <c r="AS109" i="101"/>
  <c r="BC109" i="101"/>
  <c r="BB109" i="101"/>
  <c r="BA109" i="101"/>
  <c r="AR18" i="101"/>
  <c r="BC18" i="101"/>
  <c r="BB18" i="101"/>
  <c r="AS18" i="101"/>
  <c r="BA18" i="101"/>
  <c r="AR34" i="101"/>
  <c r="BC34" i="101"/>
  <c r="BB34" i="101"/>
  <c r="AS34" i="101"/>
  <c r="BA34" i="101"/>
  <c r="AR50" i="101"/>
  <c r="BC50" i="101"/>
  <c r="BB50" i="101"/>
  <c r="BA50" i="101"/>
  <c r="AS50" i="101"/>
  <c r="AR66" i="101"/>
  <c r="BC66" i="101"/>
  <c r="BB66" i="101"/>
  <c r="BA66" i="101"/>
  <c r="AS66" i="101"/>
  <c r="AR82" i="101"/>
  <c r="BC82" i="101"/>
  <c r="AS82" i="101"/>
  <c r="BA82" i="101"/>
  <c r="BB82" i="101"/>
  <c r="AR98" i="101"/>
  <c r="BC98" i="101"/>
  <c r="AS98" i="101"/>
  <c r="BA98" i="101"/>
  <c r="BB98" i="101"/>
  <c r="AR107" i="101"/>
  <c r="AS107" i="101"/>
  <c r="BC107" i="101"/>
  <c r="BB107" i="101"/>
  <c r="BA107" i="101"/>
  <c r="AR43" i="101"/>
  <c r="AS43" i="101"/>
  <c r="BC43" i="101"/>
  <c r="BB43" i="101"/>
  <c r="BA43" i="101"/>
  <c r="AR87" i="101"/>
  <c r="AS87" i="101"/>
  <c r="BC87" i="101"/>
  <c r="BB87" i="101"/>
  <c r="BA87" i="101"/>
  <c r="AR23" i="101"/>
  <c r="AS23" i="101"/>
  <c r="BC23" i="101"/>
  <c r="BA23" i="101"/>
  <c r="BB23" i="101"/>
  <c r="AR70" i="101"/>
  <c r="BC70" i="101"/>
  <c r="AS70" i="101"/>
  <c r="BB70" i="101"/>
  <c r="BA70" i="101"/>
  <c r="AR91" i="101"/>
  <c r="AS91" i="101"/>
  <c r="BC91" i="101"/>
  <c r="BB91" i="101"/>
  <c r="BA91" i="101"/>
  <c r="AR7" i="101"/>
  <c r="AS7" i="101"/>
  <c r="BC7" i="101"/>
  <c r="BB7" i="101"/>
  <c r="BA7" i="101"/>
  <c r="AP44" i="101"/>
  <c r="AQ44" i="101" s="1"/>
  <c r="AP69" i="101"/>
  <c r="AQ69" i="101" s="1"/>
  <c r="AR26" i="101"/>
  <c r="BC26" i="101"/>
  <c r="BB26" i="101"/>
  <c r="BA26" i="101"/>
  <c r="AS26" i="101"/>
  <c r="AP58" i="101"/>
  <c r="AQ58" i="101" s="1"/>
  <c r="AR55" i="101"/>
  <c r="AS55" i="101"/>
  <c r="BC55" i="101"/>
  <c r="BA55" i="101"/>
  <c r="BB55" i="101"/>
  <c r="AP24" i="101"/>
  <c r="AQ24" i="101" s="1"/>
  <c r="AP40" i="101"/>
  <c r="AQ40" i="101" s="1"/>
  <c r="AP56" i="101"/>
  <c r="AQ56" i="101" s="1"/>
  <c r="AR81" i="101"/>
  <c r="BB81" i="101"/>
  <c r="AS81" i="101"/>
  <c r="BC81" i="101"/>
  <c r="BA81" i="101"/>
  <c r="AR22" i="101"/>
  <c r="AS22" i="101"/>
  <c r="BB22" i="101"/>
  <c r="BA22" i="101"/>
  <c r="BC22" i="101"/>
  <c r="AP38" i="101"/>
  <c r="AQ38" i="101" s="1"/>
  <c r="AR102" i="101"/>
  <c r="BC102" i="101"/>
  <c r="AS102" i="101"/>
  <c r="BA102" i="101"/>
  <c r="BB102" i="101"/>
  <c r="AP27" i="101"/>
  <c r="AQ27" i="101" s="1"/>
  <c r="AR28" i="101"/>
  <c r="AS28" i="101"/>
  <c r="BC28" i="101"/>
  <c r="BB28" i="101"/>
  <c r="BA28" i="101"/>
  <c r="AR21" i="101"/>
  <c r="AS21" i="101"/>
  <c r="BB21" i="101"/>
  <c r="BC21" i="101"/>
  <c r="BA21" i="101"/>
  <c r="AR10" i="101"/>
  <c r="BC10" i="101"/>
  <c r="BB10" i="101"/>
  <c r="BA10" i="101"/>
  <c r="AS10" i="101"/>
  <c r="AR74" i="101"/>
  <c r="BC74" i="101"/>
  <c r="BB74" i="101"/>
  <c r="BA74" i="101"/>
  <c r="AS74" i="101"/>
  <c r="AR11" i="101"/>
  <c r="AS11" i="101"/>
  <c r="BC11" i="101"/>
  <c r="BB11" i="101"/>
  <c r="BA11" i="101"/>
  <c r="AZ110" i="101"/>
  <c r="AZ28" i="101"/>
  <c r="AZ74" i="101"/>
  <c r="AZ23" i="101"/>
  <c r="AZ31" i="101"/>
  <c r="AZ68" i="101"/>
  <c r="AZ29" i="101"/>
  <c r="AZ93" i="101"/>
  <c r="AZ50" i="101"/>
  <c r="AZ43" i="101"/>
  <c r="AZ55" i="101"/>
  <c r="AZ24" i="101"/>
  <c r="AZ49" i="101"/>
  <c r="AZ70" i="101"/>
  <c r="AZ27" i="101"/>
  <c r="AZ90" i="101"/>
  <c r="AR105" i="101"/>
  <c r="BC105" i="101"/>
  <c r="AS105" i="101"/>
  <c r="BB105" i="101"/>
  <c r="BA105" i="101"/>
  <c r="AR78" i="101"/>
  <c r="BC78" i="101"/>
  <c r="AS78" i="101"/>
  <c r="BA78" i="101"/>
  <c r="BB78" i="101"/>
  <c r="AS44" i="101"/>
  <c r="BC44" i="101"/>
  <c r="BB44" i="101"/>
  <c r="BA44" i="101"/>
  <c r="AR97" i="101"/>
  <c r="BB97" i="101"/>
  <c r="BC97" i="101"/>
  <c r="AS97" i="101"/>
  <c r="BA97" i="101"/>
  <c r="AR54" i="101"/>
  <c r="BC54" i="101"/>
  <c r="AS54" i="101"/>
  <c r="BB54" i="101"/>
  <c r="BA54" i="101"/>
  <c r="AR60" i="101"/>
  <c r="AS60" i="101"/>
  <c r="BC60" i="101"/>
  <c r="BB60" i="101"/>
  <c r="BA60" i="101"/>
  <c r="AR42" i="101"/>
  <c r="BC42" i="101"/>
  <c r="BB42" i="101"/>
  <c r="BA42" i="101"/>
  <c r="AS42" i="101"/>
  <c r="AZ92" i="101"/>
  <c r="AR51" i="101"/>
  <c r="AS51" i="101"/>
  <c r="BC51" i="101"/>
  <c r="BB51" i="101"/>
  <c r="BA51" i="101"/>
  <c r="AK51" i="101"/>
  <c r="AO50" i="101" s="1"/>
  <c r="AR16" i="101"/>
  <c r="AS16" i="101"/>
  <c r="BC16" i="101"/>
  <c r="BA16" i="101"/>
  <c r="BB16" i="101"/>
  <c r="AS48" i="101"/>
  <c r="BB48" i="101"/>
  <c r="BC48" i="101"/>
  <c r="BA48" i="101"/>
  <c r="AS80" i="101"/>
  <c r="BB80" i="101"/>
  <c r="BC80" i="101"/>
  <c r="BA80" i="101"/>
  <c r="AR41" i="101"/>
  <c r="BB41" i="101"/>
  <c r="BA41" i="101"/>
  <c r="AS41" i="101"/>
  <c r="BC41" i="101"/>
  <c r="AK57" i="101"/>
  <c r="AO56" i="101" s="1"/>
  <c r="AP73" i="101"/>
  <c r="AQ73" i="101" s="1"/>
  <c r="AP89" i="101"/>
  <c r="AQ89" i="101" s="1"/>
  <c r="AR94" i="101"/>
  <c r="BC94" i="101"/>
  <c r="AS94" i="101"/>
  <c r="BB94" i="101"/>
  <c r="BA94" i="101"/>
  <c r="AK59" i="101"/>
  <c r="AO58" i="101" s="1"/>
  <c r="AP20" i="101"/>
  <c r="AQ20" i="101" s="1"/>
  <c r="AP36" i="101"/>
  <c r="AQ36" i="101" s="1"/>
  <c r="AP52" i="101"/>
  <c r="AQ52" i="101" s="1"/>
  <c r="AP68" i="101"/>
  <c r="AQ68" i="101" s="1"/>
  <c r="AK100" i="101"/>
  <c r="AO99" i="101" s="1"/>
  <c r="AR13" i="101"/>
  <c r="AS13" i="101"/>
  <c r="BB13" i="101"/>
  <c r="BC13" i="101"/>
  <c r="BA13" i="101"/>
  <c r="AP45" i="101"/>
  <c r="AQ45" i="101" s="1"/>
  <c r="AR77" i="101"/>
  <c r="AS77" i="101"/>
  <c r="BB77" i="101"/>
  <c r="BC77" i="101"/>
  <c r="BA77" i="101"/>
  <c r="AP7" i="101"/>
  <c r="AQ7" i="101" s="1"/>
  <c r="AK76" i="101"/>
  <c r="AO75" i="101" s="1"/>
  <c r="AS108" i="101"/>
  <c r="BC108" i="101"/>
  <c r="BB108" i="101"/>
  <c r="BA108" i="101"/>
  <c r="AP37" i="101"/>
  <c r="AQ37" i="101" s="1"/>
  <c r="AR101" i="101"/>
  <c r="AS101" i="101"/>
  <c r="BC101" i="101"/>
  <c r="BB101" i="101"/>
  <c r="BA101" i="101"/>
  <c r="AK90" i="101"/>
  <c r="AO89" i="101" s="1"/>
  <c r="AR75" i="101"/>
  <c r="AS75" i="101"/>
  <c r="BC75" i="101"/>
  <c r="BB75" i="101"/>
  <c r="BA75" i="101"/>
  <c r="AP55" i="101"/>
  <c r="AQ55" i="101" s="1"/>
  <c r="AR8" i="101"/>
  <c r="AS8" i="101"/>
  <c r="BC8" i="101"/>
  <c r="BA8" i="101"/>
  <c r="BB8" i="101"/>
  <c r="AK56" i="101"/>
  <c r="AO55" i="101" s="1"/>
  <c r="AR88" i="101"/>
  <c r="AS88" i="101"/>
  <c r="BB88" i="101"/>
  <c r="BA88" i="101"/>
  <c r="BC88" i="101"/>
  <c r="AS104" i="101"/>
  <c r="BA104" i="101"/>
  <c r="BB104" i="101"/>
  <c r="BC104" i="101"/>
  <c r="AR33" i="101"/>
  <c r="BB33" i="101"/>
  <c r="AS33" i="101"/>
  <c r="BC33" i="101"/>
  <c r="BA33" i="101"/>
  <c r="AR65" i="101"/>
  <c r="BB65" i="101"/>
  <c r="BC65" i="101"/>
  <c r="AS65" i="101"/>
  <c r="BA65" i="101"/>
  <c r="AR6" i="101"/>
  <c r="BC6" i="101"/>
  <c r="AS6" i="101"/>
  <c r="BB6" i="101"/>
  <c r="BA6" i="101"/>
  <c r="AP22" i="101"/>
  <c r="AQ22" i="101" s="1"/>
  <c r="AR86" i="101"/>
  <c r="BC86" i="101"/>
  <c r="AS86" i="101"/>
  <c r="BB86" i="101"/>
  <c r="BA86" i="101"/>
  <c r="AP102" i="101"/>
  <c r="AQ102" i="101" s="1"/>
  <c r="AR95" i="101"/>
  <c r="AS95" i="101"/>
  <c r="BC95" i="101"/>
  <c r="BB95" i="101"/>
  <c r="BA95" i="101"/>
  <c r="AK21" i="101"/>
  <c r="AO20" i="101" s="1"/>
  <c r="AS85" i="101"/>
  <c r="BB85" i="101"/>
  <c r="BC85" i="101"/>
  <c r="BA85" i="101"/>
  <c r="AK42" i="101"/>
  <c r="AO41" i="101" s="1"/>
  <c r="AK106" i="101"/>
  <c r="AO105" i="101" s="1"/>
  <c r="AR79" i="101"/>
  <c r="AS79" i="101"/>
  <c r="BC79" i="101"/>
  <c r="BA79" i="101"/>
  <c r="BB79" i="101"/>
  <c r="AP79" i="101"/>
  <c r="AQ79" i="101" s="1"/>
  <c r="AZ63" i="101"/>
  <c r="AZ64" i="101"/>
  <c r="AZ25" i="101"/>
  <c r="AZ89" i="101"/>
  <c r="AZ78" i="101"/>
  <c r="AZ94" i="101"/>
  <c r="AZ39" i="101"/>
  <c r="AZ95" i="101"/>
  <c r="AZ53" i="101"/>
  <c r="AZ42" i="101"/>
  <c r="AZ87" i="101"/>
  <c r="AZ19" i="101"/>
  <c r="AZ52" i="101"/>
  <c r="AZ13" i="101"/>
  <c r="AZ77" i="101"/>
  <c r="AZ34" i="101"/>
  <c r="AZ98" i="101"/>
  <c r="AZ107" i="101"/>
  <c r="AZ8" i="101"/>
  <c r="AZ72" i="101"/>
  <c r="AZ33" i="101"/>
  <c r="AZ97" i="101"/>
  <c r="AZ54" i="101"/>
  <c r="AZ91" i="101"/>
  <c r="AZ12" i="101"/>
  <c r="AZ69" i="101"/>
  <c r="AZ58" i="101"/>
  <c r="AP5" i="101"/>
  <c r="AQ5" i="101" s="1"/>
  <c r="BB5" i="101"/>
  <c r="BC5" i="101"/>
  <c r="AZ5" i="101"/>
  <c r="BA5" i="101"/>
  <c r="AK5" i="101"/>
  <c r="AK48" i="101"/>
  <c r="AO47" i="101" s="1"/>
  <c r="AR48" i="101"/>
  <c r="AK80" i="101"/>
  <c r="AO79" i="101" s="1"/>
  <c r="AR80" i="101"/>
  <c r="AK9" i="101"/>
  <c r="AO8" i="101" s="1"/>
  <c r="AP14" i="101"/>
  <c r="AQ14" i="101" s="1"/>
  <c r="AP30" i="101"/>
  <c r="AQ30" i="101" s="1"/>
  <c r="AP8" i="101"/>
  <c r="AQ8" i="101" s="1"/>
  <c r="AP17" i="101"/>
  <c r="AQ17" i="101" s="1"/>
  <c r="AP33" i="101"/>
  <c r="AQ33" i="101" s="1"/>
  <c r="AP49" i="101"/>
  <c r="AQ49" i="101" s="1"/>
  <c r="AP65" i="101"/>
  <c r="AQ65" i="101" s="1"/>
  <c r="AP81" i="101"/>
  <c r="AQ81" i="101" s="1"/>
  <c r="AP97" i="101"/>
  <c r="AQ97" i="101" s="1"/>
  <c r="AK22" i="101"/>
  <c r="AO21" i="101" s="1"/>
  <c r="AK38" i="101"/>
  <c r="AO37" i="101" s="1"/>
  <c r="AK54" i="101"/>
  <c r="AO53" i="101" s="1"/>
  <c r="AK86" i="101"/>
  <c r="AO85" i="101" s="1"/>
  <c r="AK102" i="101"/>
  <c r="AO101" i="101" s="1"/>
  <c r="AK27" i="101"/>
  <c r="AO26" i="101" s="1"/>
  <c r="AK71" i="101"/>
  <c r="AO70" i="101" s="1"/>
  <c r="AK95" i="101"/>
  <c r="AO94" i="101" s="1"/>
  <c r="AK28" i="101"/>
  <c r="AO27" i="101" s="1"/>
  <c r="AK60" i="101"/>
  <c r="AK53" i="101"/>
  <c r="AO52" i="101" s="1"/>
  <c r="AR53" i="101"/>
  <c r="AK85" i="101"/>
  <c r="AO84" i="101" s="1"/>
  <c r="AR85" i="101"/>
  <c r="AP16" i="101"/>
  <c r="AQ16" i="101" s="1"/>
  <c r="AP32" i="101"/>
  <c r="AQ32" i="101" s="1"/>
  <c r="AP48" i="101"/>
  <c r="AQ48" i="101" s="1"/>
  <c r="AP64" i="101"/>
  <c r="AQ64" i="101" s="1"/>
  <c r="AP80" i="101"/>
  <c r="AQ80" i="101" s="1"/>
  <c r="AP96" i="101"/>
  <c r="AQ96" i="101" s="1"/>
  <c r="AP9" i="101"/>
  <c r="AQ9" i="101" s="1"/>
  <c r="AP46" i="101"/>
  <c r="AQ46" i="101" s="1"/>
  <c r="AP62" i="101"/>
  <c r="AQ62" i="101" s="1"/>
  <c r="AP78" i="101"/>
  <c r="AQ78" i="101" s="1"/>
  <c r="AP94" i="101"/>
  <c r="AQ94" i="101" s="1"/>
  <c r="AP110" i="101"/>
  <c r="AQ110" i="101" s="1"/>
  <c r="AK44" i="101"/>
  <c r="AR44" i="101"/>
  <c r="AK108" i="101"/>
  <c r="AO107" i="101" s="1"/>
  <c r="AR108" i="101"/>
  <c r="AK37" i="101"/>
  <c r="AO36" i="101" s="1"/>
  <c r="AK69" i="101"/>
  <c r="AO68" i="101" s="1"/>
  <c r="AK101" i="101"/>
  <c r="AO100" i="101" s="1"/>
  <c r="AR5" i="101"/>
  <c r="AK92" i="101"/>
  <c r="AO91" i="101" s="1"/>
  <c r="AR92" i="101"/>
  <c r="AP74" i="101"/>
  <c r="AQ74" i="101" s="1"/>
  <c r="AP106" i="101"/>
  <c r="AQ106" i="101" s="1"/>
  <c r="AP83" i="101"/>
  <c r="AQ83" i="101" s="1"/>
  <c r="AP63" i="101"/>
  <c r="AQ63" i="101" s="1"/>
  <c r="AK14" i="101"/>
  <c r="AO13" i="101" s="1"/>
  <c r="AK30" i="101"/>
  <c r="AO29" i="101" s="1"/>
  <c r="AK46" i="101"/>
  <c r="AO45" i="101" s="1"/>
  <c r="AK62" i="101"/>
  <c r="AO61" i="101" s="1"/>
  <c r="AK78" i="101"/>
  <c r="AK94" i="101"/>
  <c r="AO93" i="101" s="1"/>
  <c r="AK110" i="101"/>
  <c r="AO109" i="101" s="1"/>
  <c r="AP59" i="101"/>
  <c r="AQ59" i="101" s="1"/>
  <c r="AP103" i="101"/>
  <c r="AQ103" i="101" s="1"/>
  <c r="AP39" i="101"/>
  <c r="AQ39" i="101" s="1"/>
  <c r="AK68" i="101"/>
  <c r="AO67" i="101" s="1"/>
  <c r="AR68" i="101"/>
  <c r="AK84" i="101"/>
  <c r="AO83" i="101" s="1"/>
  <c r="AR84" i="101"/>
  <c r="AK13" i="101"/>
  <c r="AO12" i="101" s="1"/>
  <c r="AK29" i="101"/>
  <c r="AO28" i="101" s="1"/>
  <c r="AK45" i="101"/>
  <c r="AO44" i="101" s="1"/>
  <c r="AK61" i="101"/>
  <c r="AO60" i="101" s="1"/>
  <c r="AK77" i="101"/>
  <c r="AO76" i="101" s="1"/>
  <c r="AK93" i="101"/>
  <c r="AK109" i="101"/>
  <c r="AO108" i="101" s="1"/>
  <c r="AP12" i="101"/>
  <c r="AQ12" i="101" s="1"/>
  <c r="AP101" i="101"/>
  <c r="AQ101" i="101" s="1"/>
  <c r="AP26" i="101"/>
  <c r="AQ26" i="101" s="1"/>
  <c r="AK8" i="101"/>
  <c r="AO7" i="101" s="1"/>
  <c r="AK40" i="101"/>
  <c r="AO39" i="101" s="1"/>
  <c r="AR40" i="101"/>
  <c r="AK72" i="101"/>
  <c r="AO71" i="101" s="1"/>
  <c r="AR72" i="101"/>
  <c r="AK104" i="101"/>
  <c r="AO103" i="101" s="1"/>
  <c r="AR104" i="101"/>
  <c r="AK17" i="101"/>
  <c r="AO16" i="101" s="1"/>
  <c r="AK33" i="101"/>
  <c r="AO32" i="101" s="1"/>
  <c r="AK49" i="101"/>
  <c r="AO48" i="101" s="1"/>
  <c r="AK65" i="101"/>
  <c r="AK81" i="101"/>
  <c r="AO80" i="101" s="1"/>
  <c r="AK97" i="101"/>
  <c r="AO96" i="101" s="1"/>
  <c r="AP28" i="101"/>
  <c r="AQ28" i="101" s="1"/>
  <c r="AP21" i="101"/>
  <c r="AQ21" i="101" s="1"/>
  <c r="AP53" i="101"/>
  <c r="AQ53" i="101" s="1"/>
  <c r="AP85" i="101"/>
  <c r="AQ85" i="101" s="1"/>
  <c r="AP10" i="101"/>
  <c r="AQ10" i="101" s="1"/>
  <c r="AP42" i="101"/>
  <c r="AQ42" i="101" s="1"/>
  <c r="AP11" i="101"/>
  <c r="AQ11" i="101" s="1"/>
  <c r="DV7" i="98"/>
  <c r="EB7" i="98" s="1"/>
  <c r="DV8" i="98"/>
  <c r="DW8" i="98" s="1"/>
  <c r="DV9" i="98"/>
  <c r="EB9" i="98" s="1"/>
  <c r="DV10" i="98"/>
  <c r="EC10" i="98" s="1"/>
  <c r="DV11" i="98"/>
  <c r="EB11" i="98" s="1"/>
  <c r="DV12" i="98"/>
  <c r="DW12" i="98" s="1"/>
  <c r="DV13" i="98"/>
  <c r="EB13" i="98" s="1"/>
  <c r="DV14" i="98"/>
  <c r="DW14" i="98" s="1"/>
  <c r="DV15" i="98"/>
  <c r="EB15" i="98" s="1"/>
  <c r="DV16" i="98"/>
  <c r="DW16" i="98" s="1"/>
  <c r="DV17" i="98"/>
  <c r="EB17" i="98" s="1"/>
  <c r="DV18" i="98"/>
  <c r="EC18" i="98" s="1"/>
  <c r="DV19" i="98"/>
  <c r="EB19" i="98" s="1"/>
  <c r="DV20" i="98"/>
  <c r="DW20" i="98" s="1"/>
  <c r="DV21" i="98"/>
  <c r="EB21" i="98" s="1"/>
  <c r="DV22" i="98"/>
  <c r="EC22" i="98" s="1"/>
  <c r="DV23" i="98"/>
  <c r="EB23" i="98" s="1"/>
  <c r="DV24" i="98"/>
  <c r="DW24" i="98" s="1"/>
  <c r="DV25" i="98"/>
  <c r="EB25" i="98" s="1"/>
  <c r="DV26" i="98"/>
  <c r="DW26" i="98" s="1"/>
  <c r="DV27" i="98"/>
  <c r="EB27" i="98" s="1"/>
  <c r="DV28" i="98"/>
  <c r="DW28" i="98" s="1"/>
  <c r="DV29" i="98"/>
  <c r="EB29" i="98" s="1"/>
  <c r="DV30" i="98"/>
  <c r="EB30" i="98" s="1"/>
  <c r="DV31" i="98"/>
  <c r="EB31" i="98" s="1"/>
  <c r="DV32" i="98"/>
  <c r="DW32" i="98" s="1"/>
  <c r="DV33" i="98"/>
  <c r="EB33" i="98" s="1"/>
  <c r="DV34" i="98"/>
  <c r="DW34" i="98" s="1"/>
  <c r="DV35" i="98"/>
  <c r="EB35" i="98" s="1"/>
  <c r="DV36" i="98"/>
  <c r="DW36" i="98" s="1"/>
  <c r="DV37" i="98"/>
  <c r="EB37" i="98" s="1"/>
  <c r="DV38" i="98"/>
  <c r="EC38" i="98" s="1"/>
  <c r="DV39" i="98"/>
  <c r="EB39" i="98" s="1"/>
  <c r="DV40" i="98"/>
  <c r="DW40" i="98" s="1"/>
  <c r="DV41" i="98"/>
  <c r="EB41" i="98" s="1"/>
  <c r="DV42" i="98"/>
  <c r="EC42" i="98" s="1"/>
  <c r="DV43" i="98"/>
  <c r="EB43" i="98" s="1"/>
  <c r="DV44" i="98"/>
  <c r="DW44" i="98" s="1"/>
  <c r="DV45" i="98"/>
  <c r="EB45" i="98" s="1"/>
  <c r="DV46" i="98"/>
  <c r="EC46" i="98" s="1"/>
  <c r="DV47" i="98"/>
  <c r="EB47" i="98" s="1"/>
  <c r="DV48" i="98"/>
  <c r="DW48" i="98" s="1"/>
  <c r="DV49" i="98"/>
  <c r="EB49" i="98" s="1"/>
  <c r="DV50" i="98"/>
  <c r="DW50" i="98" s="1"/>
  <c r="DV51" i="98"/>
  <c r="EB51" i="98" s="1"/>
  <c r="DV52" i="98"/>
  <c r="DW52" i="98" s="1"/>
  <c r="DV53" i="98"/>
  <c r="EB53" i="98" s="1"/>
  <c r="DV54" i="98"/>
  <c r="EC54" i="98" s="1"/>
  <c r="DV55" i="98"/>
  <c r="EB55" i="98" s="1"/>
  <c r="DV56" i="98"/>
  <c r="DW56" i="98" s="1"/>
  <c r="DV57" i="98"/>
  <c r="EB57" i="98" s="1"/>
  <c r="DV58" i="98"/>
  <c r="EC58" i="98" s="1"/>
  <c r="DV59" i="98"/>
  <c r="EB59" i="98" s="1"/>
  <c r="DV60" i="98"/>
  <c r="DW60" i="98" s="1"/>
  <c r="DV61" i="98"/>
  <c r="EB61" i="98" s="1"/>
  <c r="DV62" i="98"/>
  <c r="DW62" i="98" s="1"/>
  <c r="DV63" i="98"/>
  <c r="EB63" i="98" s="1"/>
  <c r="DV64" i="98"/>
  <c r="DW64" i="98" s="1"/>
  <c r="DV65" i="98"/>
  <c r="EB65" i="98" s="1"/>
  <c r="DV66" i="98"/>
  <c r="DW66" i="98" s="1"/>
  <c r="DV67" i="98"/>
  <c r="EB67" i="98" s="1"/>
  <c r="DV68" i="98"/>
  <c r="DW68" i="98" s="1"/>
  <c r="DV69" i="98"/>
  <c r="EB69" i="98" s="1"/>
  <c r="DV70" i="98"/>
  <c r="EC70" i="98" s="1"/>
  <c r="DV71" i="98"/>
  <c r="EB71" i="98" s="1"/>
  <c r="DV72" i="98"/>
  <c r="DW72" i="98" s="1"/>
  <c r="DV73" i="98"/>
  <c r="EB73" i="98" s="1"/>
  <c r="DV74" i="98"/>
  <c r="DW74" i="98" s="1"/>
  <c r="DV75" i="98"/>
  <c r="EB75" i="98" s="1"/>
  <c r="DV76" i="98"/>
  <c r="DW76" i="98" s="1"/>
  <c r="DV77" i="98"/>
  <c r="EB77" i="98" s="1"/>
  <c r="DV6" i="98"/>
  <c r="EB6" i="98" s="1"/>
  <c r="EC68" i="98" l="1"/>
  <c r="EC20" i="98"/>
  <c r="EC64" i="98"/>
  <c r="EC48" i="98"/>
  <c r="EC32" i="98"/>
  <c r="EC16" i="98"/>
  <c r="EC76" i="98"/>
  <c r="EC60" i="98"/>
  <c r="EC44" i="98"/>
  <c r="EC28" i="98"/>
  <c r="EC12" i="98"/>
  <c r="EC52" i="98"/>
  <c r="EC36" i="98"/>
  <c r="EC72" i="98"/>
  <c r="EC56" i="98"/>
  <c r="EC40" i="98"/>
  <c r="EC24" i="98"/>
  <c r="EC8" i="98"/>
  <c r="DW70" i="98"/>
  <c r="DW54" i="98"/>
  <c r="DW42" i="98"/>
  <c r="DW30" i="98"/>
  <c r="DW18" i="98"/>
  <c r="DW10" i="98"/>
  <c r="EC66" i="98"/>
  <c r="EC62" i="98"/>
  <c r="EC50" i="98"/>
  <c r="EC30" i="98"/>
  <c r="DW77" i="98"/>
  <c r="DW73" i="98"/>
  <c r="DW69" i="98"/>
  <c r="DW65" i="98"/>
  <c r="DW61" i="98"/>
  <c r="DW57" i="98"/>
  <c r="DW53" i="98"/>
  <c r="DW49" i="98"/>
  <c r="DW45" i="98"/>
  <c r="DW41" i="98"/>
  <c r="DW37" i="98"/>
  <c r="DW33" i="98"/>
  <c r="DW29" i="98"/>
  <c r="DW25" i="98"/>
  <c r="DW21" i="98"/>
  <c r="DW17" i="98"/>
  <c r="DW13" i="98"/>
  <c r="DW9" i="98"/>
  <c r="EC6" i="98"/>
  <c r="EB76" i="98"/>
  <c r="EB74" i="98"/>
  <c r="EB72" i="98"/>
  <c r="EB70" i="98"/>
  <c r="EB68" i="98"/>
  <c r="EB66" i="98"/>
  <c r="EB64" i="98"/>
  <c r="EB62" i="98"/>
  <c r="EB60" i="98"/>
  <c r="EB58" i="98"/>
  <c r="EB56" i="98"/>
  <c r="EB54" i="98"/>
  <c r="EB52" i="98"/>
  <c r="EB50" i="98"/>
  <c r="EB48" i="98"/>
  <c r="EB46" i="98"/>
  <c r="EB44" i="98"/>
  <c r="EB42" i="98"/>
  <c r="EB40" i="98"/>
  <c r="EB38" i="98"/>
  <c r="EB36" i="98"/>
  <c r="EB34" i="98"/>
  <c r="EB32" i="98"/>
  <c r="EB28" i="98"/>
  <c r="EB26" i="98"/>
  <c r="EB24" i="98"/>
  <c r="EB22" i="98"/>
  <c r="EB20" i="98"/>
  <c r="EB18" i="98"/>
  <c r="EB16" i="98"/>
  <c r="EB14" i="98"/>
  <c r="EB12" i="98"/>
  <c r="EB10" i="98"/>
  <c r="EB8" i="98"/>
  <c r="DW6" i="98"/>
  <c r="DW58" i="98"/>
  <c r="DW46" i="98"/>
  <c r="DW38" i="98"/>
  <c r="DW22" i="98"/>
  <c r="EC74" i="98"/>
  <c r="EC34" i="98"/>
  <c r="EC26" i="98"/>
  <c r="EC14" i="98"/>
  <c r="EC77" i="98"/>
  <c r="EC75" i="98"/>
  <c r="EC73" i="98"/>
  <c r="EC71" i="98"/>
  <c r="EC69" i="98"/>
  <c r="EC67" i="98"/>
  <c r="EC65" i="98"/>
  <c r="EC63" i="98"/>
  <c r="EC61" i="98"/>
  <c r="EC59" i="98"/>
  <c r="EC57" i="98"/>
  <c r="EC55" i="98"/>
  <c r="EC53" i="98"/>
  <c r="EC51" i="98"/>
  <c r="EC49" i="98"/>
  <c r="EC47" i="98"/>
  <c r="EC45" i="98"/>
  <c r="EC43" i="98"/>
  <c r="EC41" i="98"/>
  <c r="EC39" i="98"/>
  <c r="EC37" i="98"/>
  <c r="EC35" i="98"/>
  <c r="EC33" i="98"/>
  <c r="EC31" i="98"/>
  <c r="EC29" i="98"/>
  <c r="EC27" i="98"/>
  <c r="EC25" i="98"/>
  <c r="EC23" i="98"/>
  <c r="EC21" i="98"/>
  <c r="EC19" i="98"/>
  <c r="EC17" i="98"/>
  <c r="EC15" i="98"/>
  <c r="EC13" i="98"/>
  <c r="EC11" i="98"/>
  <c r="EC9" i="98"/>
  <c r="EC7" i="98"/>
  <c r="DW75" i="98"/>
  <c r="DW71" i="98"/>
  <c r="DW67" i="98"/>
  <c r="DW63" i="98"/>
  <c r="DW59" i="98"/>
  <c r="DW55" i="98"/>
  <c r="DW51" i="98"/>
  <c r="DW47" i="98"/>
  <c r="DW43" i="98"/>
  <c r="DW39" i="98"/>
  <c r="DW35" i="98"/>
  <c r="DW31" i="98"/>
  <c r="DW27" i="98"/>
  <c r="DW23" i="98"/>
  <c r="DW19" i="98"/>
  <c r="DW15" i="98"/>
  <c r="DW11" i="98"/>
  <c r="DW7" i="98"/>
  <c r="R9" i="100" l="1"/>
  <c r="R10" i="100"/>
  <c r="R11" i="100"/>
  <c r="R12" i="100"/>
  <c r="R13" i="100"/>
  <c r="R14" i="100"/>
  <c r="R15" i="100"/>
  <c r="R16" i="100"/>
  <c r="R17" i="100"/>
  <c r="R18" i="100"/>
  <c r="R19" i="100"/>
  <c r="R20" i="100"/>
  <c r="R21" i="100"/>
  <c r="R22" i="100"/>
  <c r="R23" i="100"/>
  <c r="R24" i="100"/>
  <c r="R25" i="100"/>
  <c r="R26" i="100"/>
  <c r="R27" i="100"/>
  <c r="R28" i="100"/>
  <c r="GZ767" i="100" s="1"/>
  <c r="R29" i="100"/>
  <c r="R30" i="100"/>
  <c r="R31" i="100"/>
  <c r="R32" i="100"/>
  <c r="R33" i="100"/>
  <c r="R34" i="100"/>
  <c r="R35" i="100"/>
  <c r="R36" i="100"/>
  <c r="R37" i="100"/>
  <c r="R38" i="100"/>
  <c r="R39" i="100"/>
  <c r="R40" i="100"/>
  <c r="R41" i="100"/>
  <c r="R42" i="100"/>
  <c r="R43" i="100"/>
  <c r="R44" i="100"/>
  <c r="R45" i="100"/>
  <c r="R46" i="100"/>
  <c r="R47" i="100"/>
  <c r="R48" i="100"/>
  <c r="R49" i="100"/>
  <c r="R8" i="100"/>
  <c r="GZ768" i="100"/>
  <c r="GZ775" i="100"/>
  <c r="GZ780" i="100"/>
  <c r="HG767" i="100" l="1"/>
  <c r="HI767" i="100" s="1"/>
  <c r="HD768" i="100"/>
  <c r="GZ784" i="100"/>
  <c r="GZ778" i="100"/>
  <c r="GZ771" i="100"/>
  <c r="HD780" i="100"/>
  <c r="GZ766" i="100"/>
  <c r="GZ783" i="100"/>
  <c r="GZ777" i="100"/>
  <c r="GZ773" i="100"/>
  <c r="GZ770" i="100"/>
  <c r="HG775" i="100"/>
  <c r="HI775" i="100" s="1"/>
  <c r="GZ785" i="100"/>
  <c r="GZ782" i="100"/>
  <c r="GZ776" i="100"/>
  <c r="GZ772" i="100"/>
  <c r="GZ769" i="100"/>
  <c r="HD769" i="100" s="1"/>
  <c r="GZ786" i="100"/>
  <c r="HD783" i="100"/>
  <c r="GZ781" i="100"/>
  <c r="GZ779" i="100"/>
  <c r="GZ774" i="100"/>
  <c r="HD767" i="100"/>
  <c r="HD785" i="100"/>
  <c r="HD775" i="100"/>
  <c r="HG766" i="100"/>
  <c r="HI766" i="100" s="1"/>
  <c r="HG786" i="100"/>
  <c r="HI786" i="100" s="1"/>
  <c r="HG780" i="100"/>
  <c r="HI780" i="100" s="1"/>
  <c r="HG778" i="100"/>
  <c r="HI778" i="100" s="1"/>
  <c r="HG776" i="100"/>
  <c r="HI776" i="100" s="1"/>
  <c r="HG768" i="100"/>
  <c r="HI768" i="100" s="1"/>
  <c r="HG784" i="100"/>
  <c r="HI784" i="100" s="1"/>
  <c r="HG782" i="100"/>
  <c r="HI782" i="100" s="1"/>
  <c r="HG770" i="100"/>
  <c r="HI770" i="100" s="1"/>
  <c r="HD778" i="100"/>
  <c r="HD776" i="100"/>
  <c r="HD772" i="100" l="1"/>
  <c r="HG777" i="100"/>
  <c r="HI777" i="100" s="1"/>
  <c r="HD774" i="100"/>
  <c r="HG783" i="100"/>
  <c r="HI783" i="100" s="1"/>
  <c r="HG771" i="100"/>
  <c r="HI771" i="100" s="1"/>
  <c r="HD771" i="100"/>
  <c r="HG772" i="100"/>
  <c r="HI772" i="100" s="1"/>
  <c r="HD777" i="100"/>
  <c r="HD786" i="100"/>
  <c r="HD782" i="100"/>
  <c r="HD770" i="100"/>
  <c r="HD766" i="100"/>
  <c r="HG769" i="100"/>
  <c r="HG785" i="100"/>
  <c r="HI785" i="100" s="1"/>
  <c r="HG773" i="100"/>
  <c r="HD773" i="100"/>
  <c r="HD784" i="100"/>
  <c r="HG781" i="100"/>
  <c r="HI781" i="100" s="1"/>
  <c r="HD781" i="100"/>
  <c r="HG774" i="100"/>
  <c r="HI774" i="100" s="1"/>
  <c r="HG779" i="100"/>
  <c r="HI779" i="100" s="1"/>
  <c r="HD779" i="100"/>
  <c r="HG228" i="100"/>
  <c r="HI228" i="100" s="1"/>
  <c r="HG246" i="100"/>
  <c r="HI246" i="100" s="1"/>
  <c r="HG270" i="100"/>
  <c r="HI270" i="100" s="1"/>
  <c r="HG292" i="100"/>
  <c r="HI292" i="100" s="1"/>
  <c r="HG348" i="100"/>
  <c r="HI348" i="100" s="1"/>
  <c r="HG379" i="100"/>
  <c r="HI379" i="100" s="1"/>
  <c r="HG428" i="100"/>
  <c r="HI428" i="100" s="1"/>
  <c r="HG683" i="100"/>
  <c r="HI683" i="100" s="1"/>
  <c r="GZ216" i="100"/>
  <c r="GZ217" i="100"/>
  <c r="GZ218" i="100"/>
  <c r="GZ219" i="100"/>
  <c r="GZ220" i="100"/>
  <c r="GZ221" i="100"/>
  <c r="GZ222" i="100"/>
  <c r="GZ223" i="100"/>
  <c r="GZ224" i="100"/>
  <c r="GZ225" i="100"/>
  <c r="GZ226" i="100"/>
  <c r="GZ227" i="100"/>
  <c r="GZ228" i="100"/>
  <c r="GZ229" i="100"/>
  <c r="GZ230" i="100"/>
  <c r="GZ231" i="100"/>
  <c r="GZ232" i="100"/>
  <c r="GZ233" i="100"/>
  <c r="GZ234" i="100"/>
  <c r="GZ235" i="100"/>
  <c r="GZ236" i="100"/>
  <c r="GZ237" i="100"/>
  <c r="GZ238" i="100"/>
  <c r="GZ239" i="100"/>
  <c r="GZ240" i="100"/>
  <c r="GZ241" i="100"/>
  <c r="GZ242" i="100"/>
  <c r="GZ243" i="100"/>
  <c r="GZ244" i="100"/>
  <c r="HG244" i="100" s="1"/>
  <c r="HI244" i="100" s="1"/>
  <c r="GZ245" i="100"/>
  <c r="GZ246" i="100"/>
  <c r="GZ247" i="100"/>
  <c r="GZ248" i="100"/>
  <c r="GZ249" i="100"/>
  <c r="GZ250" i="100"/>
  <c r="GZ251" i="100"/>
  <c r="GZ252" i="100"/>
  <c r="GZ253" i="100"/>
  <c r="GZ254" i="100"/>
  <c r="GZ255" i="100"/>
  <c r="GZ256" i="100"/>
  <c r="GZ257" i="100"/>
  <c r="GZ258" i="100"/>
  <c r="GZ259" i="100"/>
  <c r="GZ260" i="100"/>
  <c r="GZ261" i="100"/>
  <c r="GZ262" i="100"/>
  <c r="GZ263" i="100"/>
  <c r="GZ264" i="100"/>
  <c r="GZ265" i="100"/>
  <c r="GZ266" i="100"/>
  <c r="GZ267" i="100"/>
  <c r="GZ268" i="100"/>
  <c r="GZ269" i="100"/>
  <c r="GZ270" i="100"/>
  <c r="GZ271" i="100"/>
  <c r="GZ272" i="100"/>
  <c r="GZ273" i="100"/>
  <c r="GZ274" i="100"/>
  <c r="GZ275" i="100"/>
  <c r="GZ276" i="100"/>
  <c r="GZ277" i="100"/>
  <c r="GZ278" i="100"/>
  <c r="GZ279" i="100"/>
  <c r="GZ280" i="100"/>
  <c r="GZ281" i="100"/>
  <c r="GZ282" i="100"/>
  <c r="GZ283" i="100"/>
  <c r="GZ284" i="100"/>
  <c r="GZ285" i="100"/>
  <c r="GZ286" i="100"/>
  <c r="GZ287" i="100"/>
  <c r="GZ288" i="100"/>
  <c r="GZ289" i="100"/>
  <c r="GZ290" i="100"/>
  <c r="GZ291" i="100"/>
  <c r="GZ292" i="100"/>
  <c r="GZ293" i="100"/>
  <c r="GZ294" i="100"/>
  <c r="GZ295" i="100"/>
  <c r="GZ296" i="100"/>
  <c r="GZ297" i="100"/>
  <c r="GZ298" i="100"/>
  <c r="GZ299" i="100"/>
  <c r="GZ300" i="100"/>
  <c r="GZ301" i="100"/>
  <c r="GZ302" i="100"/>
  <c r="GZ303" i="100"/>
  <c r="GZ304" i="100"/>
  <c r="GZ305" i="100"/>
  <c r="GZ306" i="100"/>
  <c r="GZ307" i="100"/>
  <c r="HG307" i="100" s="1"/>
  <c r="HI307" i="100" s="1"/>
  <c r="GZ308" i="100"/>
  <c r="GZ309" i="100"/>
  <c r="GZ310" i="100"/>
  <c r="GZ311" i="100"/>
  <c r="GZ312" i="100"/>
  <c r="HD312" i="100"/>
  <c r="GZ313" i="100"/>
  <c r="GZ314" i="100"/>
  <c r="HD314" i="100" s="1"/>
  <c r="GZ315" i="100"/>
  <c r="GZ316" i="100"/>
  <c r="HG316" i="100" s="1"/>
  <c r="HI316" i="100" s="1"/>
  <c r="GZ317" i="100"/>
  <c r="GZ318" i="100"/>
  <c r="GZ319" i="100"/>
  <c r="GZ320" i="100"/>
  <c r="GZ321" i="100"/>
  <c r="GZ322" i="100"/>
  <c r="GZ323" i="100"/>
  <c r="GZ324" i="100"/>
  <c r="GZ325" i="100"/>
  <c r="GZ326" i="100"/>
  <c r="GZ327" i="100"/>
  <c r="GZ328" i="100"/>
  <c r="HD328" i="100" s="1"/>
  <c r="GZ329" i="100"/>
  <c r="GZ330" i="100"/>
  <c r="GZ331" i="100"/>
  <c r="GZ332" i="100"/>
  <c r="HD332" i="100"/>
  <c r="GZ333" i="100"/>
  <c r="GZ334" i="100"/>
  <c r="GZ335" i="100"/>
  <c r="GZ336" i="100"/>
  <c r="GZ337" i="100"/>
  <c r="GZ338" i="100"/>
  <c r="GZ339" i="100"/>
  <c r="GZ340" i="100"/>
  <c r="GZ341" i="100"/>
  <c r="GZ342" i="100"/>
  <c r="GZ343" i="100"/>
  <c r="GZ344" i="100"/>
  <c r="GZ345" i="100"/>
  <c r="GZ346" i="100"/>
  <c r="HD346" i="100"/>
  <c r="GZ347" i="100"/>
  <c r="GZ348" i="100"/>
  <c r="HD348" i="100" s="1"/>
  <c r="GZ349" i="100"/>
  <c r="GZ350" i="100"/>
  <c r="GZ351" i="100"/>
  <c r="GZ352" i="100"/>
  <c r="GZ353" i="100"/>
  <c r="GZ354" i="100"/>
  <c r="GZ355" i="100"/>
  <c r="GZ356" i="100"/>
  <c r="GZ357" i="100"/>
  <c r="GZ358" i="100"/>
  <c r="GZ359" i="100"/>
  <c r="GZ360" i="100"/>
  <c r="HD360" i="100"/>
  <c r="GZ361" i="100"/>
  <c r="GZ362" i="100"/>
  <c r="HD362" i="100" s="1"/>
  <c r="GZ363" i="100"/>
  <c r="GZ364" i="100"/>
  <c r="HD364" i="100" s="1"/>
  <c r="GZ365" i="100"/>
  <c r="GZ366" i="100"/>
  <c r="GZ367" i="100"/>
  <c r="GZ368" i="100"/>
  <c r="GZ369" i="100"/>
  <c r="GZ370" i="100"/>
  <c r="GZ371" i="100"/>
  <c r="HG371" i="100" s="1"/>
  <c r="HI371" i="100" s="1"/>
  <c r="GZ372" i="100"/>
  <c r="GZ373" i="100"/>
  <c r="GZ374" i="100"/>
  <c r="GZ375" i="100"/>
  <c r="GZ376" i="100"/>
  <c r="HD376" i="100" s="1"/>
  <c r="GZ377" i="100"/>
  <c r="GZ378" i="100"/>
  <c r="HD378" i="100" s="1"/>
  <c r="GZ379" i="100"/>
  <c r="GZ380" i="100"/>
  <c r="GZ381" i="100"/>
  <c r="GZ382" i="100"/>
  <c r="GZ383" i="100"/>
  <c r="GZ384" i="100"/>
  <c r="GZ385" i="100"/>
  <c r="GZ386" i="100"/>
  <c r="GZ387" i="100"/>
  <c r="GZ388" i="100"/>
  <c r="GZ389" i="100"/>
  <c r="GZ390" i="100"/>
  <c r="GZ391" i="100"/>
  <c r="GZ392" i="100"/>
  <c r="HG392" i="100" s="1"/>
  <c r="HI392" i="100" s="1"/>
  <c r="GZ393" i="100"/>
  <c r="GZ394" i="100"/>
  <c r="GZ395" i="100"/>
  <c r="GZ396" i="100"/>
  <c r="HD396" i="100" s="1"/>
  <c r="GZ397" i="100"/>
  <c r="GZ398" i="100"/>
  <c r="GZ399" i="100"/>
  <c r="GZ400" i="100"/>
  <c r="GZ401" i="100"/>
  <c r="GZ402" i="100"/>
  <c r="GZ403" i="100"/>
  <c r="GZ404" i="100"/>
  <c r="GZ405" i="100"/>
  <c r="GZ406" i="100"/>
  <c r="GZ407" i="100"/>
  <c r="GZ408" i="100"/>
  <c r="HD408" i="100"/>
  <c r="GZ409" i="100"/>
  <c r="GZ410" i="100"/>
  <c r="GZ411" i="100"/>
  <c r="GZ412" i="100"/>
  <c r="GZ413" i="100"/>
  <c r="GZ414" i="100"/>
  <c r="GZ415" i="100"/>
  <c r="GZ416" i="100"/>
  <c r="HG416" i="100" s="1"/>
  <c r="HI416" i="100" s="1"/>
  <c r="GZ417" i="100"/>
  <c r="GZ418" i="100"/>
  <c r="GZ419" i="100"/>
  <c r="GZ420" i="100"/>
  <c r="GZ421" i="100"/>
  <c r="GZ422" i="100"/>
  <c r="GZ423" i="100"/>
  <c r="GZ424" i="100"/>
  <c r="HD424" i="100"/>
  <c r="GZ425" i="100"/>
  <c r="GZ426" i="100"/>
  <c r="GZ427" i="100"/>
  <c r="GZ428" i="100"/>
  <c r="HD428" i="100" s="1"/>
  <c r="GZ429" i="100"/>
  <c r="GZ430" i="100"/>
  <c r="GZ431" i="100"/>
  <c r="GZ432" i="100"/>
  <c r="GZ433" i="100"/>
  <c r="GZ434" i="100"/>
  <c r="GZ435" i="100"/>
  <c r="GZ436" i="100"/>
  <c r="GZ437" i="100"/>
  <c r="GZ438" i="100"/>
  <c r="GZ439" i="100"/>
  <c r="GZ440" i="100"/>
  <c r="HD440" i="100"/>
  <c r="GZ441" i="100"/>
  <c r="GZ442" i="100"/>
  <c r="GZ443" i="100"/>
  <c r="GZ444" i="100"/>
  <c r="GZ445" i="100"/>
  <c r="GZ446" i="100"/>
  <c r="GZ447" i="100"/>
  <c r="GZ448" i="100"/>
  <c r="GZ449" i="100"/>
  <c r="GZ450" i="100"/>
  <c r="GZ451" i="100"/>
  <c r="GZ452" i="100"/>
  <c r="GZ453" i="100"/>
  <c r="GZ454" i="100"/>
  <c r="GZ455" i="100"/>
  <c r="GZ456" i="100"/>
  <c r="GZ457" i="100"/>
  <c r="GZ458" i="100"/>
  <c r="GZ459" i="100"/>
  <c r="GZ460" i="100"/>
  <c r="HD460" i="100"/>
  <c r="GZ461" i="100"/>
  <c r="GZ462" i="100"/>
  <c r="GZ463" i="100"/>
  <c r="GZ464" i="100"/>
  <c r="GZ465" i="100"/>
  <c r="GZ466" i="100"/>
  <c r="GZ467" i="100"/>
  <c r="GZ468" i="100"/>
  <c r="GZ469" i="100"/>
  <c r="GZ470" i="100"/>
  <c r="GZ471" i="100"/>
  <c r="GZ472" i="100"/>
  <c r="HD472" i="100" s="1"/>
  <c r="GZ473" i="100"/>
  <c r="GZ474" i="100"/>
  <c r="GZ475" i="100"/>
  <c r="GZ476" i="100"/>
  <c r="GZ477" i="100"/>
  <c r="GZ478" i="100"/>
  <c r="GZ479" i="100"/>
  <c r="GZ480" i="100"/>
  <c r="GZ481" i="100"/>
  <c r="GZ482" i="100"/>
  <c r="GZ483" i="100"/>
  <c r="GZ484" i="100"/>
  <c r="HD484" i="100"/>
  <c r="GZ485" i="100"/>
  <c r="GZ486" i="100"/>
  <c r="GZ487" i="100"/>
  <c r="GZ488" i="100"/>
  <c r="GZ489" i="100"/>
  <c r="GZ490" i="100"/>
  <c r="GZ491" i="100"/>
  <c r="GZ492" i="100"/>
  <c r="GZ493" i="100"/>
  <c r="GZ494" i="100"/>
  <c r="GZ495" i="100"/>
  <c r="GZ496" i="100"/>
  <c r="GZ497" i="100"/>
  <c r="GZ498" i="100"/>
  <c r="GZ499" i="100"/>
  <c r="GZ500" i="100"/>
  <c r="GZ501" i="100"/>
  <c r="GZ502" i="100"/>
  <c r="GZ503" i="100"/>
  <c r="GZ504" i="100"/>
  <c r="HD504" i="100" s="1"/>
  <c r="GZ505" i="100"/>
  <c r="GZ506" i="100"/>
  <c r="GZ507" i="100"/>
  <c r="GZ508" i="100"/>
  <c r="GZ509" i="100"/>
  <c r="GZ510" i="100"/>
  <c r="GZ511" i="100"/>
  <c r="GZ512" i="100"/>
  <c r="GZ513" i="100"/>
  <c r="GZ514" i="100"/>
  <c r="GZ515" i="100"/>
  <c r="GZ516" i="100"/>
  <c r="GZ517" i="100"/>
  <c r="GZ518" i="100"/>
  <c r="GZ519" i="100"/>
  <c r="GZ520" i="100"/>
  <c r="HD520" i="100"/>
  <c r="GZ521" i="100"/>
  <c r="GZ522" i="100"/>
  <c r="GZ523" i="100"/>
  <c r="GZ524" i="100"/>
  <c r="GZ525" i="100"/>
  <c r="GZ526" i="100"/>
  <c r="GZ527" i="100"/>
  <c r="GZ528" i="100"/>
  <c r="GZ529" i="100"/>
  <c r="GZ530" i="100"/>
  <c r="GZ531" i="100"/>
  <c r="GZ532" i="100"/>
  <c r="GZ533" i="100"/>
  <c r="GZ534" i="100"/>
  <c r="GZ535" i="100"/>
  <c r="GZ536" i="100"/>
  <c r="HD536" i="100"/>
  <c r="GZ537" i="100"/>
  <c r="GZ538" i="100"/>
  <c r="GZ539" i="100"/>
  <c r="GZ540" i="100"/>
  <c r="GZ541" i="100"/>
  <c r="GZ542" i="100"/>
  <c r="GZ543" i="100"/>
  <c r="GZ544" i="100"/>
  <c r="GZ545" i="100"/>
  <c r="GZ546" i="100"/>
  <c r="GZ547" i="100"/>
  <c r="GZ548" i="100"/>
  <c r="GZ549" i="100"/>
  <c r="GZ550" i="100"/>
  <c r="GZ551" i="100"/>
  <c r="GZ552" i="100"/>
  <c r="HD552" i="100" s="1"/>
  <c r="GZ553" i="100"/>
  <c r="GZ554" i="100"/>
  <c r="GZ555" i="100"/>
  <c r="GZ556" i="100"/>
  <c r="GZ557" i="100"/>
  <c r="GZ558" i="100"/>
  <c r="GZ559" i="100"/>
  <c r="GZ560" i="100"/>
  <c r="GZ561" i="100"/>
  <c r="GZ562" i="100"/>
  <c r="GZ563" i="100"/>
  <c r="GZ564" i="100"/>
  <c r="GZ565" i="100"/>
  <c r="GZ566" i="100"/>
  <c r="GZ567" i="100"/>
  <c r="GZ568" i="100"/>
  <c r="HD568" i="100"/>
  <c r="GZ569" i="100"/>
  <c r="GZ570" i="100"/>
  <c r="GZ571" i="100"/>
  <c r="GZ572" i="100"/>
  <c r="GZ573" i="100"/>
  <c r="GZ574" i="100"/>
  <c r="GZ575" i="100"/>
  <c r="GZ576" i="100"/>
  <c r="GZ577" i="100"/>
  <c r="GZ578" i="100"/>
  <c r="GZ579" i="100"/>
  <c r="HD579" i="100"/>
  <c r="GZ580" i="100"/>
  <c r="GZ581" i="100"/>
  <c r="GZ582" i="100"/>
  <c r="GZ583" i="100"/>
  <c r="GZ584" i="100"/>
  <c r="HD584" i="100" s="1"/>
  <c r="GZ585" i="100"/>
  <c r="GZ586" i="100"/>
  <c r="GZ587" i="100"/>
  <c r="GZ588" i="100"/>
  <c r="GZ589" i="100"/>
  <c r="HD589" i="100"/>
  <c r="GZ590" i="100"/>
  <c r="GZ591" i="100"/>
  <c r="GZ592" i="100"/>
  <c r="HD592" i="100"/>
  <c r="GZ593" i="100"/>
  <c r="HD593" i="100" s="1"/>
  <c r="GZ594" i="100"/>
  <c r="GZ595" i="100"/>
  <c r="GZ596" i="100"/>
  <c r="GZ597" i="100"/>
  <c r="GZ598" i="100"/>
  <c r="GZ599" i="100"/>
  <c r="HD599" i="100" s="1"/>
  <c r="GZ600" i="100"/>
  <c r="GZ601" i="100"/>
  <c r="GZ602" i="100"/>
  <c r="GZ603" i="100"/>
  <c r="GZ604" i="100"/>
  <c r="HD604" i="100"/>
  <c r="GZ605" i="100"/>
  <c r="GZ606" i="100"/>
  <c r="GZ607" i="100"/>
  <c r="GZ608" i="100"/>
  <c r="GZ609" i="100"/>
  <c r="GZ610" i="100"/>
  <c r="GZ611" i="100"/>
  <c r="GZ612" i="100"/>
  <c r="GZ613" i="100"/>
  <c r="HD613" i="100"/>
  <c r="GZ614" i="100"/>
  <c r="GZ615" i="100"/>
  <c r="HD615" i="100" s="1"/>
  <c r="GZ616" i="100"/>
  <c r="GZ617" i="100"/>
  <c r="GZ618" i="100"/>
  <c r="GZ619" i="100"/>
  <c r="GZ620" i="100"/>
  <c r="GZ621" i="100"/>
  <c r="GZ622" i="100"/>
  <c r="GZ623" i="100"/>
  <c r="GZ624" i="100"/>
  <c r="GZ625" i="100"/>
  <c r="GZ626" i="100"/>
  <c r="GZ627" i="100"/>
  <c r="GZ628" i="100"/>
  <c r="HD628" i="100"/>
  <c r="GZ629" i="100"/>
  <c r="GZ630" i="100"/>
  <c r="GZ631" i="100"/>
  <c r="GZ632" i="100"/>
  <c r="GZ633" i="100"/>
  <c r="HD633" i="100"/>
  <c r="GZ634" i="100"/>
  <c r="GZ635" i="100"/>
  <c r="HD635" i="100" s="1"/>
  <c r="GZ636" i="100"/>
  <c r="GZ637" i="100"/>
  <c r="GZ638" i="100"/>
  <c r="GZ639" i="100"/>
  <c r="GZ640" i="100"/>
  <c r="GZ641" i="100"/>
  <c r="GZ642" i="100"/>
  <c r="GZ643" i="100"/>
  <c r="GZ644" i="100"/>
  <c r="GZ645" i="100"/>
  <c r="GZ646" i="100"/>
  <c r="GZ647" i="100"/>
  <c r="GZ648" i="100"/>
  <c r="HD648" i="100"/>
  <c r="GZ649" i="100"/>
  <c r="GZ650" i="100"/>
  <c r="GZ651" i="100"/>
  <c r="GZ652" i="100"/>
  <c r="GZ653" i="100"/>
  <c r="HD653" i="100"/>
  <c r="GZ654" i="100"/>
  <c r="GZ655" i="100"/>
  <c r="GZ656" i="100"/>
  <c r="GZ657" i="100"/>
  <c r="HD657" i="100"/>
  <c r="GZ658" i="100"/>
  <c r="GZ659" i="100"/>
  <c r="HD659" i="100"/>
  <c r="GZ660" i="100"/>
  <c r="GZ661" i="100"/>
  <c r="HD661" i="100" s="1"/>
  <c r="GZ662" i="100"/>
  <c r="GZ663" i="100"/>
  <c r="GZ664" i="100"/>
  <c r="GZ665" i="100"/>
  <c r="GZ666" i="100"/>
  <c r="GZ667" i="100"/>
  <c r="GZ668" i="100"/>
  <c r="HD668" i="100" s="1"/>
  <c r="GZ669" i="100"/>
  <c r="GZ670" i="100"/>
  <c r="GZ671" i="100"/>
  <c r="GZ672" i="100"/>
  <c r="HD672" i="100"/>
  <c r="GZ673" i="100"/>
  <c r="GZ674" i="100"/>
  <c r="GZ675" i="100"/>
  <c r="GZ676" i="100"/>
  <c r="HD676" i="100"/>
  <c r="GZ677" i="100"/>
  <c r="HD677" i="100" s="1"/>
  <c r="GZ678" i="100"/>
  <c r="GZ679" i="100"/>
  <c r="GZ680" i="100"/>
  <c r="GZ681" i="100"/>
  <c r="HD681" i="100"/>
  <c r="GZ682" i="100"/>
  <c r="GZ683" i="100"/>
  <c r="HD683" i="100"/>
  <c r="GZ684" i="100"/>
  <c r="GZ685" i="100"/>
  <c r="HD685" i="100" s="1"/>
  <c r="GZ686" i="100"/>
  <c r="GZ687" i="100"/>
  <c r="GZ688" i="100"/>
  <c r="GZ689" i="100"/>
  <c r="GZ690" i="100"/>
  <c r="GZ691" i="100"/>
  <c r="GZ692" i="100"/>
  <c r="HD692" i="100"/>
  <c r="GZ693" i="100"/>
  <c r="GZ694" i="100"/>
  <c r="GZ695" i="100"/>
  <c r="GZ696" i="100"/>
  <c r="GZ697" i="100"/>
  <c r="GZ698" i="100"/>
  <c r="GZ699" i="100"/>
  <c r="GZ700" i="100"/>
  <c r="GZ701" i="100"/>
  <c r="GZ702" i="100"/>
  <c r="GZ703" i="100"/>
  <c r="GZ704" i="100"/>
  <c r="GZ705" i="100"/>
  <c r="GZ706" i="100"/>
  <c r="GZ707" i="100"/>
  <c r="GZ708" i="100"/>
  <c r="GZ709" i="100"/>
  <c r="GZ710" i="100"/>
  <c r="GZ711" i="100"/>
  <c r="GZ712" i="100"/>
  <c r="GZ713" i="100"/>
  <c r="GZ714" i="100"/>
  <c r="GZ715" i="100"/>
  <c r="GZ716" i="100"/>
  <c r="GZ717" i="100"/>
  <c r="GZ718" i="100"/>
  <c r="GZ719" i="100"/>
  <c r="GZ720" i="100"/>
  <c r="GZ721" i="100"/>
  <c r="HD721" i="100" s="1"/>
  <c r="GZ722" i="100"/>
  <c r="GZ723" i="100"/>
  <c r="GZ724" i="100"/>
  <c r="GZ725" i="100"/>
  <c r="GZ726" i="100"/>
  <c r="GZ727" i="100"/>
  <c r="GZ728" i="100"/>
  <c r="GZ729" i="100"/>
  <c r="GZ730" i="100"/>
  <c r="GZ731" i="100"/>
  <c r="GZ732" i="100"/>
  <c r="GZ733" i="100"/>
  <c r="GZ734" i="100"/>
  <c r="GZ735" i="100"/>
  <c r="GZ736" i="100"/>
  <c r="GZ737" i="100"/>
  <c r="GZ738" i="100"/>
  <c r="GZ739" i="100"/>
  <c r="GZ740" i="100"/>
  <c r="GZ741" i="100"/>
  <c r="HD741" i="100"/>
  <c r="GZ742" i="100"/>
  <c r="GZ743" i="100"/>
  <c r="GZ744" i="100"/>
  <c r="GZ745" i="100"/>
  <c r="GZ746" i="100"/>
  <c r="GZ747" i="100"/>
  <c r="GZ748" i="100"/>
  <c r="GZ749" i="100"/>
  <c r="HD749" i="100"/>
  <c r="GZ750" i="100"/>
  <c r="GZ751" i="100"/>
  <c r="GZ752" i="100"/>
  <c r="GZ753" i="100"/>
  <c r="GZ754" i="100"/>
  <c r="GZ755" i="100"/>
  <c r="GZ756" i="100"/>
  <c r="GZ757" i="100"/>
  <c r="GZ758" i="100"/>
  <c r="GZ759" i="100"/>
  <c r="GZ760" i="100"/>
  <c r="GZ761" i="100"/>
  <c r="GZ762" i="100"/>
  <c r="GZ763" i="100"/>
  <c r="GZ764" i="100"/>
  <c r="GZ765" i="100"/>
  <c r="HD765" i="100" s="1"/>
  <c r="GZ8" i="100"/>
  <c r="GZ9" i="100"/>
  <c r="GZ10" i="100"/>
  <c r="HD10" i="100" s="1"/>
  <c r="GZ11" i="100"/>
  <c r="GZ12" i="100"/>
  <c r="GZ13" i="100"/>
  <c r="GZ14" i="100"/>
  <c r="GZ15" i="100"/>
  <c r="GZ16" i="100"/>
  <c r="GZ17" i="100"/>
  <c r="GZ18" i="100"/>
  <c r="GZ19" i="100"/>
  <c r="GZ20" i="100"/>
  <c r="GZ21" i="100"/>
  <c r="GZ22" i="100"/>
  <c r="GZ23" i="100"/>
  <c r="GZ24" i="100"/>
  <c r="GZ25" i="100"/>
  <c r="GZ26" i="100"/>
  <c r="GZ27" i="100"/>
  <c r="GZ28" i="100"/>
  <c r="GZ29" i="100"/>
  <c r="GZ30" i="100"/>
  <c r="HD30" i="100"/>
  <c r="GZ31" i="100"/>
  <c r="GZ32" i="100"/>
  <c r="GZ33" i="100"/>
  <c r="GZ34" i="100"/>
  <c r="GZ35" i="100"/>
  <c r="GZ36" i="100"/>
  <c r="GZ37" i="100"/>
  <c r="GZ38" i="100"/>
  <c r="HD38" i="100"/>
  <c r="GZ39" i="100"/>
  <c r="GZ40" i="100"/>
  <c r="GZ41" i="100"/>
  <c r="GZ42" i="100"/>
  <c r="GZ43" i="100"/>
  <c r="GZ44" i="100"/>
  <c r="GZ45" i="100"/>
  <c r="GZ46" i="100"/>
  <c r="GZ47" i="100"/>
  <c r="GZ48" i="100"/>
  <c r="GZ49" i="100"/>
  <c r="GZ50" i="100"/>
  <c r="GZ51" i="100"/>
  <c r="GZ52" i="100"/>
  <c r="GZ53" i="100"/>
  <c r="GZ54" i="100"/>
  <c r="GZ55" i="100"/>
  <c r="GZ56" i="100"/>
  <c r="GZ57" i="100"/>
  <c r="GZ58" i="100"/>
  <c r="HD58" i="100" s="1"/>
  <c r="GZ59" i="100"/>
  <c r="GZ60" i="100"/>
  <c r="GZ61" i="100"/>
  <c r="GZ62" i="100"/>
  <c r="GZ63" i="100"/>
  <c r="GZ64" i="100"/>
  <c r="GZ65" i="100"/>
  <c r="GZ66" i="100"/>
  <c r="GZ67" i="100"/>
  <c r="GZ68" i="100"/>
  <c r="GZ69" i="100"/>
  <c r="GZ70" i="100"/>
  <c r="GZ71" i="100"/>
  <c r="GZ72" i="100"/>
  <c r="GZ73" i="100"/>
  <c r="GZ74" i="100"/>
  <c r="HD74" i="100" s="1"/>
  <c r="GZ75" i="100"/>
  <c r="GZ76" i="100"/>
  <c r="GZ77" i="100"/>
  <c r="GZ78" i="100"/>
  <c r="HD78" i="100"/>
  <c r="GZ79" i="100"/>
  <c r="GZ80" i="100"/>
  <c r="GZ81" i="100"/>
  <c r="GZ82" i="100"/>
  <c r="GZ83" i="100"/>
  <c r="GZ84" i="100"/>
  <c r="GZ85" i="100"/>
  <c r="GZ86" i="100"/>
  <c r="GZ87" i="100"/>
  <c r="GZ88" i="100"/>
  <c r="GZ89" i="100"/>
  <c r="GZ90" i="100"/>
  <c r="GZ91" i="100"/>
  <c r="GZ92" i="100"/>
  <c r="GZ93" i="100"/>
  <c r="GZ94" i="100"/>
  <c r="GZ95" i="100"/>
  <c r="GZ96" i="100"/>
  <c r="GZ97" i="100"/>
  <c r="GZ98" i="100"/>
  <c r="GZ99" i="100"/>
  <c r="GZ100" i="100"/>
  <c r="GZ101" i="100"/>
  <c r="GZ102" i="100"/>
  <c r="GZ103" i="100"/>
  <c r="GZ104" i="100"/>
  <c r="GZ105" i="100"/>
  <c r="GZ106" i="100"/>
  <c r="GZ107" i="100"/>
  <c r="GZ108" i="100"/>
  <c r="GZ109" i="100"/>
  <c r="GZ110" i="100"/>
  <c r="GZ111" i="100"/>
  <c r="GZ112" i="100"/>
  <c r="HD112" i="100"/>
  <c r="GZ113" i="100"/>
  <c r="GZ114" i="100"/>
  <c r="GZ115" i="100"/>
  <c r="GZ116" i="100"/>
  <c r="GZ117" i="100"/>
  <c r="GZ118" i="100"/>
  <c r="HD118" i="100" s="1"/>
  <c r="GZ119" i="100"/>
  <c r="GZ120" i="100"/>
  <c r="HD120" i="100" s="1"/>
  <c r="GZ121" i="100"/>
  <c r="GZ122" i="100"/>
  <c r="GZ123" i="100"/>
  <c r="GZ124" i="100"/>
  <c r="GZ125" i="100"/>
  <c r="GZ126" i="100"/>
  <c r="GZ127" i="100"/>
  <c r="GZ128" i="100"/>
  <c r="HD128" i="100"/>
  <c r="GZ129" i="100"/>
  <c r="GZ130" i="100"/>
  <c r="GZ131" i="100"/>
  <c r="GZ132" i="100"/>
  <c r="GZ133" i="100"/>
  <c r="GZ134" i="100"/>
  <c r="HD134" i="100" s="1"/>
  <c r="GZ135" i="100"/>
  <c r="GZ136" i="100"/>
  <c r="GZ137" i="100"/>
  <c r="GZ138" i="100"/>
  <c r="GZ139" i="100"/>
  <c r="GZ140" i="100"/>
  <c r="GZ141" i="100"/>
  <c r="HD141" i="100"/>
  <c r="GZ142" i="100"/>
  <c r="GZ143" i="100"/>
  <c r="HD143" i="100" s="1"/>
  <c r="GZ144" i="100"/>
  <c r="GZ145" i="100"/>
  <c r="HD145" i="100" s="1"/>
  <c r="GZ146" i="100"/>
  <c r="GZ147" i="100"/>
  <c r="GZ148" i="100"/>
  <c r="GZ149" i="100"/>
  <c r="GZ150" i="100"/>
  <c r="GZ151" i="100"/>
  <c r="GZ152" i="100"/>
  <c r="GZ153" i="100"/>
  <c r="GZ154" i="100"/>
  <c r="GZ155" i="100"/>
  <c r="GZ156" i="100"/>
  <c r="GZ157" i="100"/>
  <c r="GZ158" i="100"/>
  <c r="HD158" i="100" s="1"/>
  <c r="GZ159" i="100"/>
  <c r="GZ160" i="100"/>
  <c r="GZ161" i="100"/>
  <c r="GZ162" i="100"/>
  <c r="GZ163" i="100"/>
  <c r="HD163" i="100"/>
  <c r="GZ164" i="100"/>
  <c r="GZ165" i="100"/>
  <c r="HD165" i="100" s="1"/>
  <c r="GZ166" i="100"/>
  <c r="GZ167" i="100"/>
  <c r="GZ168" i="100"/>
  <c r="GZ169" i="100"/>
  <c r="GZ170" i="100"/>
  <c r="GZ171" i="100"/>
  <c r="GZ172" i="100"/>
  <c r="GZ173" i="100"/>
  <c r="GZ174" i="100"/>
  <c r="HD174" i="100" s="1"/>
  <c r="GZ175" i="100"/>
  <c r="GZ176" i="100"/>
  <c r="GZ177" i="100"/>
  <c r="GZ178" i="100"/>
  <c r="GZ179" i="100"/>
  <c r="GZ180" i="100"/>
  <c r="GZ181" i="100"/>
  <c r="HD181" i="100" s="1"/>
  <c r="GZ182" i="100"/>
  <c r="GZ183" i="100"/>
  <c r="GZ184" i="100"/>
  <c r="GZ185" i="100"/>
  <c r="GZ186" i="100"/>
  <c r="HD186" i="100"/>
  <c r="GZ187" i="100"/>
  <c r="HD187" i="100" s="1"/>
  <c r="GZ188" i="100"/>
  <c r="GZ189" i="100"/>
  <c r="GZ190" i="100"/>
  <c r="GZ191" i="100"/>
  <c r="HD191" i="100"/>
  <c r="GZ192" i="100"/>
  <c r="GZ193" i="100"/>
  <c r="HD193" i="100" s="1"/>
  <c r="GZ194" i="100"/>
  <c r="GZ195" i="100"/>
  <c r="GZ196" i="100"/>
  <c r="GZ197" i="100"/>
  <c r="GZ198" i="100"/>
  <c r="GZ199" i="100"/>
  <c r="GZ200" i="100"/>
  <c r="GZ201" i="100"/>
  <c r="GZ202" i="100"/>
  <c r="GZ203" i="100"/>
  <c r="HD203" i="100" s="1"/>
  <c r="GZ204" i="100"/>
  <c r="GZ205" i="100"/>
  <c r="HD205" i="100" s="1"/>
  <c r="GZ206" i="100"/>
  <c r="GZ207" i="100"/>
  <c r="GZ208" i="100"/>
  <c r="GZ209" i="100"/>
  <c r="HD209" i="100"/>
  <c r="GZ210" i="100"/>
  <c r="GZ211" i="100"/>
  <c r="HD211" i="100" s="1"/>
  <c r="GZ212" i="100"/>
  <c r="GZ213" i="100"/>
  <c r="GZ214" i="100"/>
  <c r="HD214" i="100" s="1"/>
  <c r="GZ215" i="100"/>
  <c r="GZ7" i="100"/>
  <c r="HD206" i="100" l="1"/>
  <c r="HD197" i="100"/>
  <c r="HD182" i="100"/>
  <c r="HD175" i="100"/>
  <c r="HD159" i="100"/>
  <c r="HD149" i="100"/>
  <c r="HD138" i="100"/>
  <c r="HG78" i="100"/>
  <c r="HI78" i="100" s="1"/>
  <c r="HD745" i="100"/>
  <c r="HG726" i="100"/>
  <c r="HI726" i="100" s="1"/>
  <c r="HG712" i="100"/>
  <c r="HI712" i="100" s="1"/>
  <c r="HG696" i="100"/>
  <c r="HG678" i="100"/>
  <c r="HD669" i="100"/>
  <c r="HG662" i="100"/>
  <c r="HI662" i="100" s="1"/>
  <c r="HD651" i="100"/>
  <c r="HG651" i="100"/>
  <c r="HG648" i="100"/>
  <c r="HD644" i="100"/>
  <c r="HD631" i="100"/>
  <c r="HD620" i="100"/>
  <c r="HD585" i="100"/>
  <c r="HG582" i="100"/>
  <c r="HI582" i="100" s="1"/>
  <c r="HD572" i="100"/>
  <c r="HD565" i="100"/>
  <c r="HD561" i="100"/>
  <c r="HD553" i="100"/>
  <c r="HG550" i="100"/>
  <c r="HI550" i="100" s="1"/>
  <c r="HG539" i="100"/>
  <c r="HI539" i="100" s="1"/>
  <c r="HD532" i="100"/>
  <c r="HG528" i="100"/>
  <c r="HI528" i="100" s="1"/>
  <c r="HG524" i="100"/>
  <c r="HD517" i="100"/>
  <c r="HG470" i="100"/>
  <c r="HI470" i="100" s="1"/>
  <c r="HD374" i="100"/>
  <c r="HD370" i="100"/>
  <c r="HD366" i="100"/>
  <c r="HD344" i="100"/>
  <c r="HG336" i="100"/>
  <c r="HD310" i="100"/>
  <c r="HD306" i="100"/>
  <c r="HD302" i="100"/>
  <c r="HG298" i="100"/>
  <c r="HI298" i="100" s="1"/>
  <c r="HG294" i="100"/>
  <c r="HG286" i="100"/>
  <c r="HI286" i="100" s="1"/>
  <c r="HG278" i="100"/>
  <c r="HI278" i="100" s="1"/>
  <c r="HG266" i="100"/>
  <c r="HI266" i="100" s="1"/>
  <c r="HG262" i="100"/>
  <c r="HI262" i="100" s="1"/>
  <c r="HG254" i="100"/>
  <c r="HG238" i="100"/>
  <c r="HG234" i="100"/>
  <c r="HI234" i="100" s="1"/>
  <c r="HG230" i="100"/>
  <c r="HI230" i="100" s="1"/>
  <c r="HG222" i="100"/>
  <c r="HG572" i="100"/>
  <c r="HI572" i="100" s="1"/>
  <c r="HD157" i="100"/>
  <c r="HD122" i="100"/>
  <c r="HD116" i="100"/>
  <c r="HD42" i="100"/>
  <c r="HD705" i="100"/>
  <c r="HD697" i="100"/>
  <c r="HG684" i="100"/>
  <c r="HG679" i="100"/>
  <c r="HD663" i="100"/>
  <c r="HG614" i="100"/>
  <c r="HI614" i="100" s="1"/>
  <c r="HG608" i="100"/>
  <c r="HI608" i="100" s="1"/>
  <c r="HG598" i="100"/>
  <c r="HI598" i="100" s="1"/>
  <c r="HD569" i="100"/>
  <c r="HD529" i="100"/>
  <c r="HD521" i="100"/>
  <c r="HG518" i="100"/>
  <c r="HG444" i="100"/>
  <c r="HI444" i="100" s="1"/>
  <c r="HD444" i="100"/>
  <c r="HD437" i="100"/>
  <c r="HD330" i="100"/>
  <c r="HI773" i="100"/>
  <c r="HD190" i="100"/>
  <c r="HD171" i="100"/>
  <c r="HD155" i="100"/>
  <c r="HD130" i="100"/>
  <c r="HD124" i="100"/>
  <c r="HD114" i="100"/>
  <c r="HD108" i="100"/>
  <c r="HD70" i="100"/>
  <c r="HD62" i="100"/>
  <c r="HD26" i="100"/>
  <c r="HD22" i="100"/>
  <c r="HG14" i="100"/>
  <c r="HG758" i="100"/>
  <c r="HI758" i="100" s="1"/>
  <c r="HD737" i="100"/>
  <c r="HD733" i="100"/>
  <c r="HD729" i="100"/>
  <c r="HD725" i="100"/>
  <c r="HD675" i="100"/>
  <c r="HD656" i="100"/>
  <c r="HD647" i="100"/>
  <c r="HD643" i="100"/>
  <c r="HG630" i="100"/>
  <c r="HD627" i="100"/>
  <c r="HG619" i="100"/>
  <c r="HI619" i="100" s="1"/>
  <c r="HD609" i="100"/>
  <c r="HG571" i="100"/>
  <c r="HI571" i="100" s="1"/>
  <c r="HD564" i="100"/>
  <c r="HD549" i="100"/>
  <c r="HD488" i="100"/>
  <c r="HD481" i="100"/>
  <c r="HD473" i="100"/>
  <c r="HD412" i="100"/>
  <c r="HG405" i="100"/>
  <c r="HI405" i="100" s="1"/>
  <c r="HD401" i="100"/>
  <c r="HD316" i="100"/>
  <c r="HI769" i="100"/>
  <c r="HD173" i="100"/>
  <c r="HD166" i="100"/>
  <c r="HG135" i="100"/>
  <c r="HD90" i="100"/>
  <c r="HD86" i="100"/>
  <c r="HG68" i="100"/>
  <c r="HI68" i="100" s="1"/>
  <c r="HD46" i="100"/>
  <c r="HG9" i="100"/>
  <c r="HG760" i="100"/>
  <c r="HI760" i="100" s="1"/>
  <c r="HD753" i="100"/>
  <c r="HG742" i="100"/>
  <c r="HI742" i="100" s="1"/>
  <c r="HD709" i="100"/>
  <c r="HD701" i="100"/>
  <c r="HD693" i="100"/>
  <c r="HD673" i="100"/>
  <c r="HD611" i="100"/>
  <c r="HG566" i="100"/>
  <c r="HI566" i="100" s="1"/>
  <c r="HD540" i="100"/>
  <c r="HD533" i="100"/>
  <c r="HD213" i="100"/>
  <c r="HD207" i="100"/>
  <c r="HG202" i="100"/>
  <c r="HI202" i="100" s="1"/>
  <c r="HD198" i="100"/>
  <c r="HD189" i="100"/>
  <c r="HG187" i="100"/>
  <c r="HI187" i="100" s="1"/>
  <c r="HG181" i="100"/>
  <c r="HD177" i="100"/>
  <c r="HD170" i="100"/>
  <c r="HD161" i="100"/>
  <c r="HD154" i="100"/>
  <c r="HD150" i="100"/>
  <c r="HD147" i="100"/>
  <c r="HD139" i="100"/>
  <c r="HD126" i="100"/>
  <c r="HD110" i="100"/>
  <c r="HD54" i="100"/>
  <c r="HG36" i="100"/>
  <c r="HI36" i="100" s="1"/>
  <c r="HG13" i="100"/>
  <c r="HD761" i="100"/>
  <c r="HD757" i="100"/>
  <c r="HG728" i="100"/>
  <c r="HI728" i="100" s="1"/>
  <c r="HD717" i="100"/>
  <c r="HD713" i="100"/>
  <c r="HG710" i="100"/>
  <c r="HG694" i="100"/>
  <c r="HI694" i="100" s="1"/>
  <c r="HD691" i="100"/>
  <c r="HD679" i="100"/>
  <c r="HG668" i="100"/>
  <c r="HG664" i="100"/>
  <c r="HI664" i="100" s="1"/>
  <c r="HD652" i="100"/>
  <c r="HD649" i="100"/>
  <c r="HG646" i="100"/>
  <c r="HI646" i="100" s="1"/>
  <c r="HG635" i="100"/>
  <c r="HI635" i="100" s="1"/>
  <c r="HD632" i="100"/>
  <c r="HD629" i="100"/>
  <c r="HG615" i="100"/>
  <c r="HD608" i="100"/>
  <c r="HD605" i="100"/>
  <c r="HD595" i="100"/>
  <c r="HG587" i="100"/>
  <c r="HI587" i="100" s="1"/>
  <c r="HD577" i="100"/>
  <c r="HD548" i="100"/>
  <c r="HD545" i="100"/>
  <c r="HD537" i="100"/>
  <c r="HG534" i="100"/>
  <c r="HI534" i="100" s="1"/>
  <c r="HG380" i="100"/>
  <c r="HD380" i="100"/>
  <c r="HD516" i="100"/>
  <c r="HD513" i="100"/>
  <c r="HD505" i="100"/>
  <c r="HG502" i="100"/>
  <c r="HD469" i="100"/>
  <c r="HD465" i="100"/>
  <c r="HG454" i="100"/>
  <c r="HI454" i="100" s="1"/>
  <c r="HG443" i="100"/>
  <c r="HI443" i="100" s="1"/>
  <c r="HD425" i="100"/>
  <c r="HG422" i="100"/>
  <c r="HI422" i="100" s="1"/>
  <c r="HD393" i="100"/>
  <c r="HD390" i="100"/>
  <c r="HD386" i="100"/>
  <c r="HD382" i="100"/>
  <c r="HD326" i="100"/>
  <c r="HD322" i="100"/>
  <c r="HD318" i="100"/>
  <c r="HG245" i="100"/>
  <c r="HI245" i="100" s="1"/>
  <c r="HG339" i="100"/>
  <c r="HG315" i="100"/>
  <c r="HI315" i="100" s="1"/>
  <c r="HG508" i="100"/>
  <c r="HD501" i="100"/>
  <c r="HD497" i="100"/>
  <c r="HD489" i="100"/>
  <c r="HG486" i="100"/>
  <c r="HI486" i="100" s="1"/>
  <c r="HG475" i="100"/>
  <c r="HI475" i="100" s="1"/>
  <c r="HD468" i="100"/>
  <c r="HD457" i="100"/>
  <c r="HD453" i="100"/>
  <c r="HD449" i="100"/>
  <c r="HD421" i="100"/>
  <c r="HD417" i="100"/>
  <c r="HD392" i="100"/>
  <c r="HD342" i="100"/>
  <c r="HD338" i="100"/>
  <c r="HD334" i="100"/>
  <c r="HG224" i="100"/>
  <c r="HG476" i="100"/>
  <c r="HI476" i="100" s="1"/>
  <c r="HG360" i="100"/>
  <c r="HI360" i="100" s="1"/>
  <c r="HG260" i="100"/>
  <c r="HG507" i="100"/>
  <c r="HI507" i="100" s="1"/>
  <c r="HD500" i="100"/>
  <c r="HD492" i="100"/>
  <c r="HD485" i="100"/>
  <c r="HD452" i="100"/>
  <c r="HD441" i="100"/>
  <c r="HG438" i="100"/>
  <c r="HI438" i="100" s="1"/>
  <c r="HD409" i="100"/>
  <c r="HD358" i="100"/>
  <c r="HD354" i="100"/>
  <c r="HD350" i="100"/>
  <c r="HG287" i="100"/>
  <c r="HG356" i="100"/>
  <c r="HI356" i="100" s="1"/>
  <c r="HG328" i="100"/>
  <c r="HG276" i="100"/>
  <c r="HI276" i="100" s="1"/>
  <c r="HD616" i="100"/>
  <c r="HG496" i="100"/>
  <c r="HI496" i="100" s="1"/>
  <c r="HD496" i="100"/>
  <c r="HG464" i="100"/>
  <c r="HI464" i="100" s="1"/>
  <c r="HD464" i="100"/>
  <c r="HD436" i="100"/>
  <c r="HG308" i="100"/>
  <c r="HI308" i="100" s="1"/>
  <c r="HD308" i="100"/>
  <c r="HG110" i="100"/>
  <c r="HG744" i="100"/>
  <c r="HG667" i="100"/>
  <c r="HD667" i="100"/>
  <c r="HG636" i="100"/>
  <c r="HD636" i="100"/>
  <c r="HD601" i="100"/>
  <c r="HD596" i="100"/>
  <c r="HG592" i="100"/>
  <c r="HI592" i="100" s="1"/>
  <c r="HD573" i="100"/>
  <c r="HD541" i="100"/>
  <c r="HD509" i="100"/>
  <c r="HD477" i="100"/>
  <c r="HD445" i="100"/>
  <c r="HG46" i="100"/>
  <c r="HG132" i="100"/>
  <c r="HG89" i="100"/>
  <c r="HD645" i="100"/>
  <c r="HG640" i="100"/>
  <c r="HD640" i="100"/>
  <c r="HD621" i="100"/>
  <c r="HG588" i="100"/>
  <c r="HG560" i="100"/>
  <c r="HI560" i="100" s="1"/>
  <c r="HD560" i="100"/>
  <c r="HD528" i="100"/>
  <c r="HG413" i="100"/>
  <c r="HI413" i="100" s="1"/>
  <c r="HD397" i="100"/>
  <c r="HG372" i="100"/>
  <c r="HI372" i="100" s="1"/>
  <c r="HD372" i="100"/>
  <c r="HD363" i="100"/>
  <c r="HG363" i="100"/>
  <c r="HG331" i="100"/>
  <c r="HD195" i="100"/>
  <c r="HD142" i="100"/>
  <c r="HG743" i="100"/>
  <c r="HI743" i="100" s="1"/>
  <c r="HG700" i="100"/>
  <c r="HG688" i="100"/>
  <c r="HD688" i="100"/>
  <c r="HG680" i="100"/>
  <c r="HD680" i="100"/>
  <c r="HG676" i="100"/>
  <c r="HG652" i="100"/>
  <c r="HD641" i="100"/>
  <c r="HD617" i="100"/>
  <c r="HD581" i="100"/>
  <c r="HD576" i="100"/>
  <c r="HG544" i="100"/>
  <c r="HD544" i="100"/>
  <c r="HG512" i="100"/>
  <c r="HI512" i="100" s="1"/>
  <c r="HD512" i="100"/>
  <c r="HG480" i="100"/>
  <c r="HD480" i="100"/>
  <c r="HD448" i="100"/>
  <c r="HG448" i="100"/>
  <c r="HI448" i="100" s="1"/>
  <c r="HG736" i="100"/>
  <c r="HG576" i="100"/>
  <c r="HG45" i="100"/>
  <c r="HI45" i="100" s="1"/>
  <c r="HG25" i="100"/>
  <c r="HG583" i="100"/>
  <c r="HD583" i="100"/>
  <c r="HD429" i="100"/>
  <c r="HG340" i="100"/>
  <c r="HD340" i="100"/>
  <c r="HD202" i="100"/>
  <c r="HD179" i="100"/>
  <c r="HG171" i="100"/>
  <c r="HD132" i="100"/>
  <c r="HG130" i="100"/>
  <c r="HG764" i="100"/>
  <c r="HG711" i="100"/>
  <c r="HD689" i="100"/>
  <c r="HD665" i="100"/>
  <c r="HG660" i="100"/>
  <c r="HD660" i="100"/>
  <c r="HG656" i="100"/>
  <c r="HI656" i="100" s="1"/>
  <c r="HD637" i="100"/>
  <c r="HD625" i="100"/>
  <c r="HD619" i="100"/>
  <c r="HD612" i="100"/>
  <c r="HG603" i="100"/>
  <c r="HI603" i="100" s="1"/>
  <c r="HD603" i="100"/>
  <c r="HD597" i="100"/>
  <c r="HD588" i="100"/>
  <c r="HD557" i="100"/>
  <c r="HD525" i="100"/>
  <c r="HD493" i="100"/>
  <c r="HD456" i="100"/>
  <c r="HD433" i="100"/>
  <c r="HD420" i="100"/>
  <c r="HD404" i="100"/>
  <c r="HG384" i="100"/>
  <c r="HI384" i="100" s="1"/>
  <c r="HD384" i="100"/>
  <c r="HG352" i="100"/>
  <c r="HD352" i="100"/>
  <c r="HG320" i="100"/>
  <c r="HI320" i="100" s="1"/>
  <c r="HD320" i="100"/>
  <c r="HG732" i="100"/>
  <c r="HG647" i="100"/>
  <c r="HI647" i="100" s="1"/>
  <c r="HG203" i="100"/>
  <c r="HD684" i="100"/>
  <c r="HG672" i="100"/>
  <c r="HD664" i="100"/>
  <c r="HD624" i="100"/>
  <c r="HG604" i="100"/>
  <c r="HD600" i="100"/>
  <c r="HD587" i="100"/>
  <c r="HD580" i="100"/>
  <c r="HD556" i="100"/>
  <c r="HD524" i="100"/>
  <c r="HD508" i="100"/>
  <c r="HD476" i="100"/>
  <c r="HG432" i="100"/>
  <c r="HD432" i="100"/>
  <c r="HD416" i="100"/>
  <c r="HG400" i="100"/>
  <c r="HD400" i="100"/>
  <c r="HD368" i="100"/>
  <c r="HD336" i="100"/>
  <c r="HD304" i="100"/>
  <c r="HG288" i="100"/>
  <c r="HI288" i="100" s="1"/>
  <c r="HG272" i="100"/>
  <c r="HG256" i="100"/>
  <c r="HI256" i="100" s="1"/>
  <c r="HG240" i="100"/>
  <c r="HG704" i="100"/>
  <c r="HG556" i="100"/>
  <c r="HG271" i="100"/>
  <c r="HI271" i="100" s="1"/>
  <c r="HG255" i="100"/>
  <c r="HG239" i="100"/>
  <c r="HI239" i="100" s="1"/>
  <c r="HG223" i="100"/>
  <c r="HI223" i="100" s="1"/>
  <c r="HG644" i="100"/>
  <c r="HG620" i="100"/>
  <c r="HG540" i="100"/>
  <c r="HG492" i="100"/>
  <c r="HD461" i="100"/>
  <c r="HD388" i="100"/>
  <c r="HD356" i="100"/>
  <c r="HD324" i="100"/>
  <c r="HG299" i="100"/>
  <c r="HG283" i="100"/>
  <c r="HI283" i="100" s="1"/>
  <c r="HG267" i="100"/>
  <c r="HG251" i="100"/>
  <c r="HI251" i="100" s="1"/>
  <c r="HG235" i="100"/>
  <c r="HG219" i="100"/>
  <c r="HI219" i="100" s="1"/>
  <c r="HG624" i="100"/>
  <c r="HG388" i="100"/>
  <c r="HG368" i="100"/>
  <c r="HI368" i="100" s="1"/>
  <c r="HG347" i="100"/>
  <c r="HI347" i="100" s="1"/>
  <c r="HG324" i="100"/>
  <c r="HI324" i="100" s="1"/>
  <c r="HG304" i="100"/>
  <c r="HG408" i="100"/>
  <c r="HI408" i="100" s="1"/>
  <c r="HG387" i="100"/>
  <c r="HG376" i="100"/>
  <c r="HG364" i="100"/>
  <c r="HI364" i="100" s="1"/>
  <c r="HG355" i="100"/>
  <c r="HI355" i="100" s="1"/>
  <c r="HG344" i="100"/>
  <c r="HG332" i="100"/>
  <c r="HG323" i="100"/>
  <c r="HG312" i="100"/>
  <c r="HI312" i="100" s="1"/>
  <c r="HG290" i="100"/>
  <c r="HG274" i="100"/>
  <c r="HG258" i="100"/>
  <c r="HG242" i="100"/>
  <c r="HG226" i="100"/>
  <c r="HG460" i="100"/>
  <c r="HI460" i="100" s="1"/>
  <c r="HG282" i="100"/>
  <c r="HG250" i="100"/>
  <c r="HG218" i="100"/>
  <c r="HG7" i="100"/>
  <c r="HC7" i="100" s="1"/>
  <c r="HG215" i="100"/>
  <c r="HG210" i="100"/>
  <c r="HG201" i="100"/>
  <c r="HG199" i="100"/>
  <c r="HG194" i="100"/>
  <c r="HG185" i="100"/>
  <c r="HG183" i="100"/>
  <c r="HG178" i="100"/>
  <c r="HG169" i="100"/>
  <c r="HI169" i="100" s="1"/>
  <c r="HG167" i="100"/>
  <c r="HG156" i="100"/>
  <c r="HG151" i="100"/>
  <c r="HG146" i="100"/>
  <c r="HG140" i="100"/>
  <c r="HG137" i="100"/>
  <c r="HG133" i="100"/>
  <c r="HG131" i="100"/>
  <c r="HG129" i="100"/>
  <c r="HG127" i="100"/>
  <c r="HG125" i="100"/>
  <c r="HG123" i="100"/>
  <c r="HI123" i="100" s="1"/>
  <c r="HG386" i="100"/>
  <c r="HG378" i="100"/>
  <c r="HI378" i="100" s="1"/>
  <c r="HG370" i="100"/>
  <c r="HI370" i="100" s="1"/>
  <c r="HG362" i="100"/>
  <c r="HI362" i="100" s="1"/>
  <c r="HG354" i="100"/>
  <c r="HG346" i="100"/>
  <c r="HI346" i="100" s="1"/>
  <c r="HG338" i="100"/>
  <c r="HI338" i="100" s="1"/>
  <c r="HG330" i="100"/>
  <c r="HG322" i="100"/>
  <c r="HG314" i="100"/>
  <c r="HG306" i="100"/>
  <c r="HI306" i="100" s="1"/>
  <c r="HG763" i="100"/>
  <c r="HG752" i="100"/>
  <c r="HG731" i="100"/>
  <c r="HG720" i="100"/>
  <c r="HG699" i="100"/>
  <c r="HG212" i="100"/>
  <c r="HG196" i="100"/>
  <c r="HI196" i="100" s="1"/>
  <c r="HG180" i="100"/>
  <c r="HG164" i="100"/>
  <c r="HG142" i="100"/>
  <c r="HG121" i="100"/>
  <c r="HG100" i="100"/>
  <c r="HG57" i="100"/>
  <c r="HG119" i="100"/>
  <c r="HG117" i="100"/>
  <c r="HG115" i="100"/>
  <c r="HG113" i="100"/>
  <c r="HG111" i="100"/>
  <c r="HG107" i="100"/>
  <c r="HG103" i="100"/>
  <c r="HI103" i="100" s="1"/>
  <c r="HG99" i="100"/>
  <c r="HG95" i="100"/>
  <c r="HG91" i="100"/>
  <c r="HG85" i="100"/>
  <c r="HG82" i="100"/>
  <c r="HG75" i="100"/>
  <c r="HG72" i="100"/>
  <c r="HG69" i="100"/>
  <c r="HI69" i="100" s="1"/>
  <c r="HG59" i="100"/>
  <c r="HG53" i="100"/>
  <c r="HG50" i="100"/>
  <c r="HG43" i="100"/>
  <c r="HI43" i="100" s="1"/>
  <c r="HG40" i="100"/>
  <c r="HI40" i="100" s="1"/>
  <c r="HG37" i="100"/>
  <c r="HI37" i="100" s="1"/>
  <c r="HG27" i="100"/>
  <c r="HG21" i="100"/>
  <c r="HG17" i="100"/>
  <c r="HI17" i="100" s="1"/>
  <c r="HG755" i="100"/>
  <c r="HG739" i="100"/>
  <c r="HI739" i="100" s="1"/>
  <c r="HG723" i="100"/>
  <c r="HG707" i="100"/>
  <c r="HD690" i="100"/>
  <c r="HG687" i="100"/>
  <c r="HD674" i="100"/>
  <c r="HG671" i="100"/>
  <c r="HD658" i="100"/>
  <c r="HG655" i="100"/>
  <c r="HD642" i="100"/>
  <c r="HG639" i="100"/>
  <c r="HD626" i="100"/>
  <c r="HG623" i="100"/>
  <c r="HD610" i="100"/>
  <c r="HG607" i="100"/>
  <c r="HD594" i="100"/>
  <c r="HG591" i="100"/>
  <c r="HD578" i="100"/>
  <c r="HG575" i="100"/>
  <c r="HG563" i="100"/>
  <c r="HG559" i="100"/>
  <c r="HI559" i="100" s="1"/>
  <c r="HG547" i="100"/>
  <c r="HG543" i="100"/>
  <c r="HG531" i="100"/>
  <c r="HG527" i="100"/>
  <c r="HG515" i="100"/>
  <c r="HG511" i="100"/>
  <c r="HI511" i="100" s="1"/>
  <c r="HG499" i="100"/>
  <c r="HI499" i="100" s="1"/>
  <c r="HG495" i="100"/>
  <c r="HI495" i="100" s="1"/>
  <c r="HG483" i="100"/>
  <c r="HI483" i="100" s="1"/>
  <c r="HG479" i="100"/>
  <c r="HI479" i="100" s="1"/>
  <c r="HG467" i="100"/>
  <c r="HI467" i="100" s="1"/>
  <c r="HG463" i="100"/>
  <c r="HG451" i="100"/>
  <c r="HG447" i="100"/>
  <c r="HG435" i="100"/>
  <c r="HG431" i="100"/>
  <c r="HI431" i="100" s="1"/>
  <c r="HG419" i="100"/>
  <c r="HG415" i="100"/>
  <c r="HG407" i="100"/>
  <c r="HI407" i="100" s="1"/>
  <c r="HG399" i="100"/>
  <c r="HG391" i="100"/>
  <c r="HG383" i="100"/>
  <c r="HG375" i="100"/>
  <c r="HI375" i="100" s="1"/>
  <c r="HG367" i="100"/>
  <c r="HG359" i="100"/>
  <c r="HG351" i="100"/>
  <c r="HG343" i="100"/>
  <c r="HI343" i="100" s="1"/>
  <c r="HG335" i="100"/>
  <c r="HI335" i="100" s="1"/>
  <c r="HG327" i="100"/>
  <c r="HI327" i="100" s="1"/>
  <c r="HG319" i="100"/>
  <c r="HG311" i="100"/>
  <c r="HG303" i="100"/>
  <c r="HI303" i="100" s="1"/>
  <c r="HG747" i="100"/>
  <c r="HG715" i="100"/>
  <c r="HI715" i="100" s="1"/>
  <c r="HG555" i="100"/>
  <c r="HG523" i="100"/>
  <c r="HG491" i="100"/>
  <c r="HG459" i="100"/>
  <c r="HG427" i="100"/>
  <c r="HI427" i="100" s="1"/>
  <c r="HG204" i="100"/>
  <c r="HG188" i="100"/>
  <c r="HG172" i="100"/>
  <c r="HG153" i="100"/>
  <c r="HI153" i="100" s="1"/>
  <c r="HD7" i="100"/>
  <c r="HG213" i="100"/>
  <c r="HG206" i="100"/>
  <c r="HG200" i="100"/>
  <c r="HG197" i="100"/>
  <c r="HG190" i="100"/>
  <c r="HG184" i="100"/>
  <c r="HG174" i="100"/>
  <c r="HG168" i="100"/>
  <c r="HG165" i="100"/>
  <c r="HG163" i="100"/>
  <c r="HG158" i="100"/>
  <c r="HI158" i="100" s="1"/>
  <c r="HG149" i="100"/>
  <c r="HI149" i="100" s="1"/>
  <c r="HG147" i="100"/>
  <c r="HG136" i="100"/>
  <c r="HG106" i="100"/>
  <c r="HG102" i="100"/>
  <c r="HI102" i="100" s="1"/>
  <c r="HG94" i="100"/>
  <c r="HI94" i="100" s="1"/>
  <c r="HG87" i="100"/>
  <c r="HG84" i="100"/>
  <c r="HG81" i="100"/>
  <c r="HG71" i="100"/>
  <c r="HG65" i="100"/>
  <c r="HG62" i="100"/>
  <c r="HG55" i="100"/>
  <c r="HG52" i="100"/>
  <c r="HG49" i="100"/>
  <c r="HG39" i="100"/>
  <c r="HG33" i="100"/>
  <c r="HG30" i="100"/>
  <c r="HG23" i="100"/>
  <c r="HG20" i="100"/>
  <c r="HD762" i="100"/>
  <c r="HG762" i="100"/>
  <c r="HD754" i="100"/>
  <c r="HD746" i="100"/>
  <c r="HG746" i="100"/>
  <c r="HI746" i="100" s="1"/>
  <c r="HD738" i="100"/>
  <c r="HD730" i="100"/>
  <c r="HG730" i="100"/>
  <c r="HD722" i="100"/>
  <c r="HD714" i="100"/>
  <c r="HG714" i="100"/>
  <c r="HD706" i="100"/>
  <c r="HD698" i="100"/>
  <c r="HG698" i="100"/>
  <c r="HG686" i="100"/>
  <c r="HD686" i="100"/>
  <c r="HG670" i="100"/>
  <c r="HD670" i="100"/>
  <c r="HG654" i="100"/>
  <c r="HD654" i="100"/>
  <c r="HG638" i="100"/>
  <c r="HD638" i="100"/>
  <c r="HG622" i="100"/>
  <c r="HD622" i="100"/>
  <c r="HG606" i="100"/>
  <c r="HD606" i="100"/>
  <c r="HG590" i="100"/>
  <c r="HD590" i="100"/>
  <c r="HG574" i="100"/>
  <c r="HD574" i="100"/>
  <c r="HD570" i="100"/>
  <c r="HG570" i="100"/>
  <c r="HD566" i="100"/>
  <c r="HD562" i="100"/>
  <c r="HG558" i="100"/>
  <c r="HD558" i="100"/>
  <c r="HD554" i="100"/>
  <c r="HG554" i="100"/>
  <c r="HD550" i="100"/>
  <c r="HD546" i="100"/>
  <c r="HG542" i="100"/>
  <c r="HD542" i="100"/>
  <c r="HD538" i="100"/>
  <c r="HG538" i="100"/>
  <c r="HD534" i="100"/>
  <c r="HD530" i="100"/>
  <c r="HG526" i="100"/>
  <c r="HD526" i="100"/>
  <c r="HD522" i="100"/>
  <c r="HG522" i="100"/>
  <c r="HD518" i="100"/>
  <c r="HD514" i="100"/>
  <c r="HG510" i="100"/>
  <c r="HD510" i="100"/>
  <c r="HD506" i="100"/>
  <c r="HG506" i="100"/>
  <c r="HD502" i="100"/>
  <c r="HD498" i="100"/>
  <c r="HG494" i="100"/>
  <c r="HI494" i="100" s="1"/>
  <c r="HD494" i="100"/>
  <c r="HD490" i="100"/>
  <c r="HG490" i="100"/>
  <c r="HD486" i="100"/>
  <c r="HD482" i="100"/>
  <c r="HG478" i="100"/>
  <c r="HD478" i="100"/>
  <c r="HD474" i="100"/>
  <c r="HG474" i="100"/>
  <c r="HD470" i="100"/>
  <c r="HD466" i="100"/>
  <c r="HG462" i="100"/>
  <c r="HD462" i="100"/>
  <c r="HD458" i="100"/>
  <c r="HG458" i="100"/>
  <c r="HI458" i="100" s="1"/>
  <c r="HD454" i="100"/>
  <c r="HD450" i="100"/>
  <c r="HG446" i="100"/>
  <c r="HD446" i="100"/>
  <c r="HD442" i="100"/>
  <c r="HG442" i="100"/>
  <c r="HD438" i="100"/>
  <c r="HD434" i="100"/>
  <c r="HG430" i="100"/>
  <c r="HD430" i="100"/>
  <c r="HD426" i="100"/>
  <c r="HG426" i="100"/>
  <c r="HD422" i="100"/>
  <c r="HD418" i="100"/>
  <c r="HG414" i="100"/>
  <c r="HI414" i="100" s="1"/>
  <c r="HD414" i="100"/>
  <c r="HG410" i="100"/>
  <c r="HI410" i="100" s="1"/>
  <c r="HD410" i="100"/>
  <c r="HG406" i="100"/>
  <c r="HD406" i="100"/>
  <c r="HG402" i="100"/>
  <c r="HI402" i="100" s="1"/>
  <c r="HD402" i="100"/>
  <c r="HG398" i="100"/>
  <c r="HI398" i="100" s="1"/>
  <c r="HD398" i="100"/>
  <c r="HG394" i="100"/>
  <c r="HD394" i="100"/>
  <c r="HG754" i="100"/>
  <c r="HG722" i="100"/>
  <c r="HG690" i="100"/>
  <c r="HG658" i="100"/>
  <c r="HG626" i="100"/>
  <c r="HG594" i="100"/>
  <c r="HG562" i="100"/>
  <c r="HG551" i="100"/>
  <c r="HG530" i="100"/>
  <c r="HG519" i="100"/>
  <c r="HG498" i="100"/>
  <c r="HG487" i="100"/>
  <c r="HI487" i="100" s="1"/>
  <c r="HG466" i="100"/>
  <c r="HG455" i="100"/>
  <c r="HG434" i="100"/>
  <c r="HG423" i="100"/>
  <c r="HI423" i="100" s="1"/>
  <c r="HG411" i="100"/>
  <c r="HG395" i="100"/>
  <c r="HG152" i="100"/>
  <c r="HG109" i="100"/>
  <c r="HG88" i="100"/>
  <c r="HG66" i="100"/>
  <c r="HG24" i="100"/>
  <c r="HG209" i="100"/>
  <c r="HG207" i="100"/>
  <c r="HG193" i="100"/>
  <c r="HG191" i="100"/>
  <c r="HG186" i="100"/>
  <c r="HG177" i="100"/>
  <c r="HG175" i="100"/>
  <c r="HG170" i="100"/>
  <c r="HG161" i="100"/>
  <c r="HG159" i="100"/>
  <c r="HG154" i="100"/>
  <c r="HG148" i="100"/>
  <c r="HG145" i="100"/>
  <c r="HI145" i="100" s="1"/>
  <c r="HG143" i="100"/>
  <c r="HG138" i="100"/>
  <c r="HG134" i="100"/>
  <c r="HG128" i="100"/>
  <c r="HI128" i="100" s="1"/>
  <c r="HG126" i="100"/>
  <c r="HG124" i="100"/>
  <c r="HG122" i="100"/>
  <c r="HG118" i="100"/>
  <c r="HG116" i="100"/>
  <c r="HG114" i="100"/>
  <c r="HI114" i="100" s="1"/>
  <c r="HG112" i="100"/>
  <c r="HG108" i="100"/>
  <c r="HG105" i="100"/>
  <c r="HG101" i="100"/>
  <c r="HI101" i="100" s="1"/>
  <c r="HG97" i="100"/>
  <c r="HG93" i="100"/>
  <c r="HG90" i="100"/>
  <c r="HG83" i="100"/>
  <c r="HG80" i="100"/>
  <c r="HG74" i="100"/>
  <c r="HG67" i="100"/>
  <c r="HG64" i="100"/>
  <c r="HG61" i="100"/>
  <c r="HG58" i="100"/>
  <c r="HG51" i="100"/>
  <c r="HG48" i="100"/>
  <c r="HG42" i="100"/>
  <c r="HG35" i="100"/>
  <c r="HG32" i="100"/>
  <c r="HG29" i="100"/>
  <c r="HI29" i="100" s="1"/>
  <c r="HG26" i="100"/>
  <c r="HG751" i="100"/>
  <c r="HG735" i="100"/>
  <c r="HG719" i="100"/>
  <c r="HG703" i="100"/>
  <c r="HD682" i="100"/>
  <c r="HG682" i="100"/>
  <c r="HD666" i="100"/>
  <c r="HG666" i="100"/>
  <c r="HD650" i="100"/>
  <c r="HG650" i="100"/>
  <c r="HD634" i="100"/>
  <c r="HG634" i="100"/>
  <c r="HD618" i="100"/>
  <c r="HG618" i="100"/>
  <c r="HD602" i="100"/>
  <c r="HG602" i="100"/>
  <c r="HD586" i="100"/>
  <c r="HG586" i="100"/>
  <c r="HD215" i="100"/>
  <c r="HG214" i="100"/>
  <c r="HD210" i="100"/>
  <c r="HG208" i="100"/>
  <c r="HG205" i="100"/>
  <c r="HD201" i="100"/>
  <c r="HD199" i="100"/>
  <c r="HG198" i="100"/>
  <c r="HD194" i="100"/>
  <c r="HG192" i="100"/>
  <c r="HG189" i="100"/>
  <c r="HD185" i="100"/>
  <c r="HD183" i="100"/>
  <c r="HG182" i="100"/>
  <c r="HD178" i="100"/>
  <c r="HG176" i="100"/>
  <c r="HG173" i="100"/>
  <c r="HI173" i="100" s="1"/>
  <c r="HD169" i="100"/>
  <c r="HD167" i="100"/>
  <c r="HG166" i="100"/>
  <c r="HD162" i="100"/>
  <c r="HG160" i="100"/>
  <c r="HG157" i="100"/>
  <c r="HG155" i="100"/>
  <c r="HD153" i="100"/>
  <c r="HD151" i="100"/>
  <c r="HG150" i="100"/>
  <c r="HD146" i="100"/>
  <c r="HG144" i="100"/>
  <c r="HG139" i="100"/>
  <c r="HD137" i="100"/>
  <c r="HD135" i="100"/>
  <c r="HD133" i="100"/>
  <c r="HD131" i="100"/>
  <c r="HD129" i="100"/>
  <c r="HD127" i="100"/>
  <c r="HD125" i="100"/>
  <c r="HD123" i="100"/>
  <c r="HD121" i="100"/>
  <c r="HD119" i="100"/>
  <c r="HD117" i="100"/>
  <c r="HD115" i="100"/>
  <c r="HD113" i="100"/>
  <c r="HD111" i="100"/>
  <c r="HD109" i="100"/>
  <c r="HD107" i="100"/>
  <c r="HG104" i="100"/>
  <c r="HG96" i="100"/>
  <c r="HG92" i="100"/>
  <c r="HG86" i="100"/>
  <c r="HD82" i="100"/>
  <c r="HG79" i="100"/>
  <c r="HG76" i="100"/>
  <c r="HG73" i="100"/>
  <c r="HG70" i="100"/>
  <c r="HD66" i="100"/>
  <c r="HG63" i="100"/>
  <c r="HG60" i="100"/>
  <c r="HG54" i="100"/>
  <c r="HD50" i="100"/>
  <c r="HG47" i="100"/>
  <c r="HG44" i="100"/>
  <c r="HG41" i="100"/>
  <c r="HG38" i="100"/>
  <c r="HD34" i="100"/>
  <c r="HG31" i="100"/>
  <c r="HG18" i="100"/>
  <c r="HD18" i="100"/>
  <c r="HD14" i="100"/>
  <c r="HG11" i="100"/>
  <c r="HG8" i="100"/>
  <c r="HD758" i="100"/>
  <c r="HG756" i="100"/>
  <c r="HG750" i="100"/>
  <c r="HD750" i="100"/>
  <c r="HD742" i="100"/>
  <c r="HG740" i="100"/>
  <c r="HG734" i="100"/>
  <c r="HD734" i="100"/>
  <c r="HD726" i="100"/>
  <c r="HG724" i="100"/>
  <c r="HG718" i="100"/>
  <c r="HI718" i="100" s="1"/>
  <c r="HD718" i="100"/>
  <c r="HD710" i="100"/>
  <c r="HG708" i="100"/>
  <c r="HG702" i="100"/>
  <c r="HD702" i="100"/>
  <c r="HD694" i="100"/>
  <c r="HG691" i="100"/>
  <c r="HI691" i="100" s="1"/>
  <c r="HD687" i="100"/>
  <c r="HD678" i="100"/>
  <c r="HG675" i="100"/>
  <c r="HD671" i="100"/>
  <c r="HD662" i="100"/>
  <c r="HG659" i="100"/>
  <c r="HD655" i="100"/>
  <c r="HD646" i="100"/>
  <c r="HG643" i="100"/>
  <c r="HD639" i="100"/>
  <c r="HD630" i="100"/>
  <c r="HG627" i="100"/>
  <c r="HI627" i="100" s="1"/>
  <c r="HD623" i="100"/>
  <c r="HD614" i="100"/>
  <c r="HG611" i="100"/>
  <c r="HD607" i="100"/>
  <c r="HD598" i="100"/>
  <c r="HG595" i="100"/>
  <c r="HD591" i="100"/>
  <c r="HD582" i="100"/>
  <c r="HG579" i="100"/>
  <c r="HD575" i="100"/>
  <c r="HD571" i="100"/>
  <c r="HD567" i="100"/>
  <c r="HD563" i="100"/>
  <c r="HD559" i="100"/>
  <c r="HD555" i="100"/>
  <c r="HD551" i="100"/>
  <c r="HD547" i="100"/>
  <c r="HD543" i="100"/>
  <c r="HD539" i="100"/>
  <c r="HD535" i="100"/>
  <c r="HD531" i="100"/>
  <c r="HD527" i="100"/>
  <c r="HD523" i="100"/>
  <c r="HD519" i="100"/>
  <c r="HD515" i="100"/>
  <c r="HD511" i="100"/>
  <c r="HD507" i="100"/>
  <c r="HD503" i="100"/>
  <c r="HD499" i="100"/>
  <c r="HD495" i="100"/>
  <c r="HD491" i="100"/>
  <c r="HD487" i="100"/>
  <c r="HD483" i="100"/>
  <c r="HD479" i="100"/>
  <c r="HD475" i="100"/>
  <c r="HD471" i="100"/>
  <c r="HD467" i="100"/>
  <c r="HD463" i="100"/>
  <c r="HD459" i="100"/>
  <c r="HD455" i="100"/>
  <c r="HD451" i="100"/>
  <c r="HD447" i="100"/>
  <c r="HD443" i="100"/>
  <c r="HD439" i="100"/>
  <c r="HD435" i="100"/>
  <c r="HD431" i="100"/>
  <c r="HD427" i="100"/>
  <c r="HD423" i="100"/>
  <c r="HD419" i="100"/>
  <c r="HD415" i="100"/>
  <c r="HD411" i="100"/>
  <c r="HD407" i="100"/>
  <c r="HD403" i="100"/>
  <c r="HD399" i="100"/>
  <c r="HD395" i="100"/>
  <c r="HD391" i="100"/>
  <c r="HG389" i="100"/>
  <c r="HD389" i="100"/>
  <c r="HD383" i="100"/>
  <c r="HG381" i="100"/>
  <c r="HD381" i="100"/>
  <c r="HD375" i="100"/>
  <c r="HG373" i="100"/>
  <c r="HI373" i="100" s="1"/>
  <c r="HD373" i="100"/>
  <c r="HD367" i="100"/>
  <c r="HG365" i="100"/>
  <c r="HD365" i="100"/>
  <c r="HD359" i="100"/>
  <c r="HG357" i="100"/>
  <c r="HI357" i="100" s="1"/>
  <c r="HD357" i="100"/>
  <c r="HD351" i="100"/>
  <c r="HG349" i="100"/>
  <c r="HD349" i="100"/>
  <c r="HD343" i="100"/>
  <c r="HG341" i="100"/>
  <c r="HD341" i="100"/>
  <c r="HD335" i="100"/>
  <c r="HG333" i="100"/>
  <c r="HD333" i="100"/>
  <c r="HD327" i="100"/>
  <c r="HG325" i="100"/>
  <c r="HD325" i="100"/>
  <c r="HD319" i="100"/>
  <c r="HG317" i="100"/>
  <c r="HD317" i="100"/>
  <c r="HD311" i="100"/>
  <c r="HG309" i="100"/>
  <c r="HD309" i="100"/>
  <c r="HD303" i="100"/>
  <c r="HG301" i="100"/>
  <c r="HD301" i="100"/>
  <c r="HG297" i="100"/>
  <c r="HG293" i="100"/>
  <c r="HI293" i="100" s="1"/>
  <c r="HG289" i="100"/>
  <c r="HG285" i="100"/>
  <c r="HG281" i="100"/>
  <c r="HG277" i="100"/>
  <c r="HG273" i="100"/>
  <c r="HI273" i="100" s="1"/>
  <c r="HG269" i="100"/>
  <c r="HG265" i="100"/>
  <c r="HG261" i="100"/>
  <c r="HG257" i="100"/>
  <c r="HG253" i="100"/>
  <c r="HI253" i="100" s="1"/>
  <c r="HG249" i="100"/>
  <c r="HG241" i="100"/>
  <c r="HG237" i="100"/>
  <c r="HG233" i="100"/>
  <c r="HG229" i="100"/>
  <c r="HI229" i="100" s="1"/>
  <c r="HG225" i="100"/>
  <c r="HG221" i="100"/>
  <c r="HG217" i="100"/>
  <c r="HG759" i="100"/>
  <c r="HG748" i="100"/>
  <c r="HG738" i="100"/>
  <c r="HG727" i="100"/>
  <c r="HG716" i="100"/>
  <c r="HI716" i="100" s="1"/>
  <c r="HG706" i="100"/>
  <c r="HG695" i="100"/>
  <c r="HG674" i="100"/>
  <c r="HG663" i="100"/>
  <c r="HI663" i="100" s="1"/>
  <c r="HG642" i="100"/>
  <c r="HG631" i="100"/>
  <c r="HG610" i="100"/>
  <c r="HG599" i="100"/>
  <c r="HG578" i="100"/>
  <c r="HG567" i="100"/>
  <c r="HG546" i="100"/>
  <c r="HG535" i="100"/>
  <c r="HG514" i="100"/>
  <c r="HG503" i="100"/>
  <c r="HG482" i="100"/>
  <c r="HG471" i="100"/>
  <c r="HI471" i="100" s="1"/>
  <c r="HG450" i="100"/>
  <c r="HG439" i="100"/>
  <c r="HI439" i="100" s="1"/>
  <c r="HG418" i="100"/>
  <c r="HG403" i="100"/>
  <c r="HI403" i="100" s="1"/>
  <c r="HG211" i="100"/>
  <c r="HG195" i="100"/>
  <c r="HG179" i="100"/>
  <c r="HG162" i="100"/>
  <c r="HI162" i="100" s="1"/>
  <c r="HG141" i="100"/>
  <c r="HG120" i="100"/>
  <c r="HG98" i="100"/>
  <c r="HG77" i="100"/>
  <c r="HI77" i="100" s="1"/>
  <c r="HG56" i="100"/>
  <c r="HG34" i="100"/>
  <c r="HG19" i="100"/>
  <c r="HG16" i="100"/>
  <c r="HG10" i="100"/>
  <c r="HD413" i="100"/>
  <c r="HD405" i="100"/>
  <c r="HD387" i="100"/>
  <c r="HD379" i="100"/>
  <c r="HD371" i="100"/>
  <c r="HD355" i="100"/>
  <c r="HD347" i="100"/>
  <c r="HD339" i="100"/>
  <c r="HD331" i="100"/>
  <c r="HD323" i="100"/>
  <c r="HD315" i="100"/>
  <c r="HD307" i="100"/>
  <c r="HD216" i="100"/>
  <c r="HG692" i="100"/>
  <c r="HG628" i="100"/>
  <c r="HG612" i="100"/>
  <c r="HG596" i="100"/>
  <c r="HG580" i="100"/>
  <c r="HG564" i="100"/>
  <c r="HG548" i="100"/>
  <c r="HG532" i="100"/>
  <c r="HG516" i="100"/>
  <c r="HG500" i="100"/>
  <c r="HG484" i="100"/>
  <c r="HG468" i="100"/>
  <c r="HI468" i="100" s="1"/>
  <c r="HG452" i="100"/>
  <c r="HG436" i="100"/>
  <c r="HG420" i="100"/>
  <c r="HG296" i="100"/>
  <c r="HG291" i="100"/>
  <c r="HG280" i="100"/>
  <c r="HG275" i="100"/>
  <c r="HG264" i="100"/>
  <c r="HI264" i="100" s="1"/>
  <c r="HG259" i="100"/>
  <c r="HG248" i="100"/>
  <c r="HG243" i="100"/>
  <c r="HG232" i="100"/>
  <c r="HG227" i="100"/>
  <c r="HG216" i="100"/>
  <c r="HI216" i="100" s="1"/>
  <c r="HG28" i="100"/>
  <c r="HG22" i="100"/>
  <c r="HG15" i="100"/>
  <c r="HI15" i="100" s="1"/>
  <c r="HG12" i="100"/>
  <c r="HG765" i="100"/>
  <c r="HG761" i="100"/>
  <c r="HG757" i="100"/>
  <c r="HG753" i="100"/>
  <c r="HG749" i="100"/>
  <c r="HG745" i="100"/>
  <c r="HG741" i="100"/>
  <c r="HG737" i="100"/>
  <c r="HG733" i="100"/>
  <c r="HG729" i="100"/>
  <c r="HG725" i="100"/>
  <c r="HG721" i="100"/>
  <c r="HG717" i="100"/>
  <c r="HG713" i="100"/>
  <c r="HG709" i="100"/>
  <c r="HG705" i="100"/>
  <c r="HG701" i="100"/>
  <c r="HG697" i="100"/>
  <c r="HG693" i="100"/>
  <c r="HG689" i="100"/>
  <c r="HG685" i="100"/>
  <c r="HG681" i="100"/>
  <c r="HG677" i="100"/>
  <c r="HG673" i="100"/>
  <c r="HG669" i="100"/>
  <c r="HG665" i="100"/>
  <c r="HG661" i="100"/>
  <c r="HG657" i="100"/>
  <c r="HG653" i="100"/>
  <c r="HG649" i="100"/>
  <c r="HG645" i="100"/>
  <c r="HG641" i="100"/>
  <c r="HG637" i="100"/>
  <c r="HG633" i="100"/>
  <c r="HG629" i="100"/>
  <c r="HG625" i="100"/>
  <c r="HG621" i="100"/>
  <c r="HG617" i="100"/>
  <c r="HG613" i="100"/>
  <c r="HG609" i="100"/>
  <c r="HG605" i="100"/>
  <c r="HG601" i="100"/>
  <c r="HG597" i="100"/>
  <c r="HG593" i="100"/>
  <c r="HG589" i="100"/>
  <c r="HG585" i="100"/>
  <c r="HG581" i="100"/>
  <c r="HG577" i="100"/>
  <c r="HG573" i="100"/>
  <c r="HG569" i="100"/>
  <c r="HG565" i="100"/>
  <c r="HG561" i="100"/>
  <c r="HG557" i="100"/>
  <c r="HG553" i="100"/>
  <c r="HG549" i="100"/>
  <c r="HG545" i="100"/>
  <c r="HG541" i="100"/>
  <c r="HG537" i="100"/>
  <c r="HG533" i="100"/>
  <c r="HG529" i="100"/>
  <c r="HG525" i="100"/>
  <c r="HG521" i="100"/>
  <c r="HG517" i="100"/>
  <c r="HG513" i="100"/>
  <c r="HG509" i="100"/>
  <c r="HG505" i="100"/>
  <c r="HG501" i="100"/>
  <c r="HG497" i="100"/>
  <c r="HG493" i="100"/>
  <c r="HG489" i="100"/>
  <c r="HG485" i="100"/>
  <c r="HG481" i="100"/>
  <c r="HG477" i="100"/>
  <c r="HG473" i="100"/>
  <c r="HG469" i="100"/>
  <c r="HG465" i="100"/>
  <c r="HG461" i="100"/>
  <c r="HG457" i="100"/>
  <c r="HG453" i="100"/>
  <c r="HG449" i="100"/>
  <c r="HG445" i="100"/>
  <c r="HG441" i="100"/>
  <c r="HG437" i="100"/>
  <c r="HG433" i="100"/>
  <c r="HG429" i="100"/>
  <c r="HG425" i="100"/>
  <c r="HG421" i="100"/>
  <c r="HG417" i="100"/>
  <c r="HG409" i="100"/>
  <c r="HG401" i="100"/>
  <c r="HG397" i="100"/>
  <c r="HG393" i="100"/>
  <c r="HG390" i="100"/>
  <c r="HG385" i="100"/>
  <c r="HD385" i="100"/>
  <c r="HG382" i="100"/>
  <c r="HG377" i="100"/>
  <c r="HD377" i="100"/>
  <c r="HG374" i="100"/>
  <c r="HG369" i="100"/>
  <c r="HD369" i="100"/>
  <c r="HG366" i="100"/>
  <c r="HG361" i="100"/>
  <c r="HD361" i="100"/>
  <c r="HG358" i="100"/>
  <c r="HG353" i="100"/>
  <c r="HD353" i="100"/>
  <c r="HG350" i="100"/>
  <c r="HG345" i="100"/>
  <c r="HD345" i="100"/>
  <c r="HG342" i="100"/>
  <c r="HG337" i="100"/>
  <c r="HD337" i="100"/>
  <c r="HG334" i="100"/>
  <c r="HG329" i="100"/>
  <c r="HD329" i="100"/>
  <c r="HG326" i="100"/>
  <c r="HG321" i="100"/>
  <c r="HD321" i="100"/>
  <c r="HG318" i="100"/>
  <c r="HG313" i="100"/>
  <c r="HD313" i="100"/>
  <c r="HG310" i="100"/>
  <c r="HG305" i="100"/>
  <c r="HD305" i="100"/>
  <c r="HG302" i="100"/>
  <c r="HG632" i="100"/>
  <c r="HG616" i="100"/>
  <c r="HG600" i="100"/>
  <c r="HG584" i="100"/>
  <c r="HG568" i="100"/>
  <c r="HG552" i="100"/>
  <c r="HG536" i="100"/>
  <c r="HG520" i="100"/>
  <c r="HG504" i="100"/>
  <c r="HG488" i="100"/>
  <c r="HG472" i="100"/>
  <c r="HG456" i="100"/>
  <c r="HG440" i="100"/>
  <c r="HG424" i="100"/>
  <c r="HG412" i="100"/>
  <c r="HG404" i="100"/>
  <c r="HG396" i="100"/>
  <c r="HG300" i="100"/>
  <c r="HG295" i="100"/>
  <c r="HG284" i="100"/>
  <c r="HG279" i="100"/>
  <c r="HG268" i="100"/>
  <c r="HG263" i="100"/>
  <c r="HG252" i="100"/>
  <c r="HG247" i="100"/>
  <c r="HG236" i="100"/>
  <c r="HG231" i="100"/>
  <c r="HG220" i="100"/>
  <c r="HD763" i="100"/>
  <c r="HD759" i="100"/>
  <c r="HD755" i="100"/>
  <c r="HD751" i="100"/>
  <c r="HD747" i="100"/>
  <c r="HD743" i="100"/>
  <c r="HD739" i="100"/>
  <c r="HD735" i="100"/>
  <c r="HD731" i="100"/>
  <c r="HD727" i="100"/>
  <c r="HD723" i="100"/>
  <c r="HD719" i="100"/>
  <c r="HD715" i="100"/>
  <c r="HD711" i="100"/>
  <c r="HD707" i="100"/>
  <c r="HD703" i="100"/>
  <c r="HD699" i="100"/>
  <c r="HD695" i="100"/>
  <c r="HD764" i="100"/>
  <c r="HD760" i="100"/>
  <c r="HD756" i="100"/>
  <c r="HD752" i="100"/>
  <c r="HD748" i="100"/>
  <c r="HD744" i="100"/>
  <c r="HD740" i="100"/>
  <c r="HD736" i="100"/>
  <c r="HD732" i="100"/>
  <c r="HD728" i="100"/>
  <c r="HD724" i="100"/>
  <c r="HD720" i="100"/>
  <c r="HD716" i="100"/>
  <c r="HD712" i="100"/>
  <c r="HD708" i="100"/>
  <c r="HD704" i="100"/>
  <c r="HD700" i="100"/>
  <c r="HD696" i="100"/>
  <c r="HD299" i="100"/>
  <c r="HD297" i="100"/>
  <c r="HD295" i="100"/>
  <c r="HD293" i="100"/>
  <c r="HD291" i="100"/>
  <c r="HD289" i="100"/>
  <c r="HD287" i="100"/>
  <c r="HD285" i="100"/>
  <c r="HD283" i="100"/>
  <c r="HD281" i="100"/>
  <c r="HD279" i="100"/>
  <c r="HD277" i="100"/>
  <c r="HD275" i="100"/>
  <c r="HD273" i="100"/>
  <c r="HD271" i="100"/>
  <c r="HD269" i="100"/>
  <c r="HD267" i="100"/>
  <c r="HD265" i="100"/>
  <c r="HD263" i="100"/>
  <c r="HD261" i="100"/>
  <c r="HD259" i="100"/>
  <c r="HD257" i="100"/>
  <c r="HD255" i="100"/>
  <c r="HD253" i="100"/>
  <c r="HD251" i="100"/>
  <c r="HD249" i="100"/>
  <c r="HD247" i="100"/>
  <c r="HD245" i="100"/>
  <c r="HD243" i="100"/>
  <c r="HD241" i="100"/>
  <c r="HD239" i="100"/>
  <c r="HD237" i="100"/>
  <c r="HD235" i="100"/>
  <c r="HD233" i="100"/>
  <c r="HD231" i="100"/>
  <c r="HD229" i="100"/>
  <c r="HD227" i="100"/>
  <c r="HD225" i="100"/>
  <c r="HD223" i="100"/>
  <c r="HD221" i="100"/>
  <c r="HD219" i="100"/>
  <c r="HD217" i="100"/>
  <c r="HD300" i="100"/>
  <c r="HD298" i="100"/>
  <c r="HD296" i="100"/>
  <c r="HD294" i="100"/>
  <c r="HD292" i="100"/>
  <c r="HD290" i="100"/>
  <c r="HD288" i="100"/>
  <c r="HD286" i="100"/>
  <c r="HD284" i="100"/>
  <c r="HD282" i="100"/>
  <c r="HD280" i="100"/>
  <c r="HD278" i="100"/>
  <c r="HD276" i="100"/>
  <c r="HD274" i="100"/>
  <c r="HD272" i="100"/>
  <c r="HD270" i="100"/>
  <c r="HD268" i="100"/>
  <c r="HD266" i="100"/>
  <c r="HD264" i="100"/>
  <c r="HD262" i="100"/>
  <c r="HD260" i="100"/>
  <c r="HD258" i="100"/>
  <c r="HD256" i="100"/>
  <c r="HD254" i="100"/>
  <c r="HD252" i="100"/>
  <c r="HD250" i="100"/>
  <c r="HD248" i="100"/>
  <c r="HD246" i="100"/>
  <c r="HD244" i="100"/>
  <c r="HD242" i="100"/>
  <c r="HD240" i="100"/>
  <c r="HD238" i="100"/>
  <c r="HD236" i="100"/>
  <c r="HD234" i="100"/>
  <c r="HD232" i="100"/>
  <c r="HD230" i="100"/>
  <c r="HD228" i="100"/>
  <c r="HD226" i="100"/>
  <c r="HD224" i="100"/>
  <c r="HD222" i="100"/>
  <c r="HD220" i="100"/>
  <c r="HD218" i="100"/>
  <c r="HD104" i="100"/>
  <c r="HD100" i="100"/>
  <c r="HD96" i="100"/>
  <c r="HD81" i="100"/>
  <c r="HD65" i="100"/>
  <c r="HD49" i="100"/>
  <c r="HD33" i="100"/>
  <c r="HD212" i="100"/>
  <c r="HD208" i="100"/>
  <c r="HD204" i="100"/>
  <c r="HD200" i="100"/>
  <c r="HD196" i="100"/>
  <c r="HD192" i="100"/>
  <c r="HD188" i="100"/>
  <c r="HD184" i="100"/>
  <c r="HD180" i="100"/>
  <c r="HD176" i="100"/>
  <c r="HD172" i="100"/>
  <c r="HD168" i="100"/>
  <c r="HD164" i="100"/>
  <c r="HD160" i="100"/>
  <c r="HD156" i="100"/>
  <c r="HD152" i="100"/>
  <c r="HD148" i="100"/>
  <c r="HD144" i="100"/>
  <c r="HD140" i="100"/>
  <c r="HD136" i="100"/>
  <c r="HD103" i="100"/>
  <c r="HD99" i="100"/>
  <c r="HD95" i="100"/>
  <c r="HD85" i="100"/>
  <c r="HD69" i="100"/>
  <c r="HD53" i="100"/>
  <c r="HD37" i="100"/>
  <c r="HD21" i="100"/>
  <c r="HD106" i="100"/>
  <c r="HD102" i="100"/>
  <c r="HD98" i="100"/>
  <c r="HD94" i="100"/>
  <c r="HD89" i="100"/>
  <c r="HD73" i="100"/>
  <c r="HD57" i="100"/>
  <c r="HD41" i="100"/>
  <c r="HD25" i="100"/>
  <c r="HD105" i="100"/>
  <c r="HD101" i="100"/>
  <c r="HD97" i="100"/>
  <c r="HD93" i="100"/>
  <c r="HD77" i="100"/>
  <c r="HD61" i="100"/>
  <c r="HD45" i="100"/>
  <c r="HD29" i="100"/>
  <c r="HD91" i="100"/>
  <c r="HD87" i="100"/>
  <c r="HD83" i="100"/>
  <c r="HD79" i="100"/>
  <c r="HD75" i="100"/>
  <c r="HD71" i="100"/>
  <c r="HD67" i="100"/>
  <c r="HD63" i="100"/>
  <c r="HD59" i="100"/>
  <c r="HD55" i="100"/>
  <c r="HD51" i="100"/>
  <c r="HD47" i="100"/>
  <c r="HD43" i="100"/>
  <c r="HD39" i="100"/>
  <c r="HD35" i="100"/>
  <c r="HD31" i="100"/>
  <c r="HD27" i="100"/>
  <c r="HD23" i="100"/>
  <c r="HD19" i="100"/>
  <c r="HD15" i="100"/>
  <c r="HD11" i="100"/>
  <c r="HD92" i="100"/>
  <c r="HD88" i="100"/>
  <c r="HD84" i="100"/>
  <c r="HD80" i="100"/>
  <c r="HD76" i="100"/>
  <c r="HD72" i="100"/>
  <c r="HD68" i="100"/>
  <c r="HD64" i="100"/>
  <c r="HD60" i="100"/>
  <c r="HD56" i="100"/>
  <c r="HD52" i="100"/>
  <c r="HD48" i="100"/>
  <c r="HD44" i="100"/>
  <c r="HD40" i="100"/>
  <c r="HD36" i="100"/>
  <c r="HD32" i="100"/>
  <c r="HD28" i="100"/>
  <c r="HD24" i="100"/>
  <c r="HD20" i="100"/>
  <c r="HD16" i="100"/>
  <c r="HD12" i="100"/>
  <c r="HD8" i="100"/>
  <c r="HD17" i="100"/>
  <c r="HD13" i="100"/>
  <c r="HD9" i="100"/>
  <c r="HI7" i="100" l="1"/>
  <c r="HI263" i="100"/>
  <c r="HI412" i="100"/>
  <c r="HI536" i="100"/>
  <c r="HI342" i="100"/>
  <c r="HI374" i="100"/>
  <c r="HI385" i="100"/>
  <c r="HI401" i="100"/>
  <c r="HI425" i="100"/>
  <c r="HI433" i="100"/>
  <c r="HI449" i="100"/>
  <c r="HI465" i="100"/>
  <c r="HI481" i="100"/>
  <c r="HI501" i="100"/>
  <c r="HI513" i="100"/>
  <c r="HI533" i="100"/>
  <c r="HI577" i="100"/>
  <c r="HI597" i="100"/>
  <c r="HI641" i="100"/>
  <c r="HI291" i="100"/>
  <c r="HI236" i="100"/>
  <c r="HI268" i="100"/>
  <c r="HI300" i="100"/>
  <c r="HI424" i="100"/>
  <c r="HI488" i="100"/>
  <c r="HI552" i="100"/>
  <c r="HI616" i="100"/>
  <c r="HI318" i="100"/>
  <c r="HI329" i="100"/>
  <c r="HI350" i="100"/>
  <c r="HI361" i="100"/>
  <c r="HI382" i="100"/>
  <c r="HI493" i="100"/>
  <c r="HI505" i="100"/>
  <c r="HI525" i="100"/>
  <c r="HI537" i="100"/>
  <c r="HI557" i="100"/>
  <c r="HI569" i="100"/>
  <c r="HI589" i="100"/>
  <c r="HI601" i="100"/>
  <c r="HI621" i="100"/>
  <c r="HI633" i="100"/>
  <c r="HI653" i="100"/>
  <c r="HI665" i="100"/>
  <c r="HI685" i="100"/>
  <c r="HI697" i="100"/>
  <c r="HI717" i="100"/>
  <c r="HI729" i="100"/>
  <c r="HI749" i="100"/>
  <c r="HI761" i="100"/>
  <c r="HI12" i="100"/>
  <c r="HI22" i="100"/>
  <c r="HI19" i="100"/>
  <c r="HI221" i="100"/>
  <c r="HI233" i="100"/>
  <c r="HI257" i="100"/>
  <c r="HI281" i="100"/>
  <c r="HI247" i="100"/>
  <c r="HI279" i="100"/>
  <c r="HI396" i="100"/>
  <c r="HI440" i="100"/>
  <c r="HI504" i="100"/>
  <c r="HI568" i="100"/>
  <c r="HI632" i="100"/>
  <c r="HI305" i="100"/>
  <c r="HI326" i="100"/>
  <c r="HI337" i="100"/>
  <c r="HI358" i="100"/>
  <c r="HI369" i="100"/>
  <c r="HI390" i="100"/>
  <c r="HI397" i="100"/>
  <c r="HI409" i="100"/>
  <c r="HI421" i="100"/>
  <c r="HI429" i="100"/>
  <c r="HI437" i="100"/>
  <c r="HI445" i="100"/>
  <c r="HI453" i="100"/>
  <c r="HI461" i="100"/>
  <c r="HI469" i="100"/>
  <c r="HI477" i="100"/>
  <c r="HI485" i="100"/>
  <c r="HI497" i="100"/>
  <c r="HI517" i="100"/>
  <c r="HI529" i="100"/>
  <c r="HI549" i="100"/>
  <c r="HI561" i="100"/>
  <c r="HI581" i="100"/>
  <c r="HI593" i="100"/>
  <c r="HI613" i="100"/>
  <c r="HI625" i="100"/>
  <c r="HI645" i="100"/>
  <c r="HI657" i="100"/>
  <c r="HI677" i="100"/>
  <c r="HI689" i="100"/>
  <c r="HI709" i="100"/>
  <c r="HI721" i="100"/>
  <c r="HI741" i="100"/>
  <c r="HI753" i="100"/>
  <c r="HI243" i="100"/>
  <c r="HI275" i="100"/>
  <c r="HI420" i="100"/>
  <c r="HI484" i="100"/>
  <c r="HI548" i="100"/>
  <c r="HI612" i="100"/>
  <c r="HI10" i="100"/>
  <c r="HI56" i="100"/>
  <c r="HI141" i="100"/>
  <c r="HI211" i="100"/>
  <c r="HI450" i="100"/>
  <c r="HI514" i="100"/>
  <c r="HI578" i="100"/>
  <c r="HI642" i="100"/>
  <c r="HI706" i="100"/>
  <c r="HI748" i="100"/>
  <c r="HI225" i="100"/>
  <c r="HI249" i="100"/>
  <c r="HI47" i="100"/>
  <c r="HI157" i="100"/>
  <c r="HI220" i="100"/>
  <c r="HI252" i="100"/>
  <c r="HI284" i="100"/>
  <c r="HI404" i="100"/>
  <c r="HI456" i="100"/>
  <c r="HI520" i="100"/>
  <c r="HI584" i="100"/>
  <c r="HI302" i="100"/>
  <c r="HI313" i="100"/>
  <c r="HI334" i="100"/>
  <c r="HI345" i="100"/>
  <c r="HI366" i="100"/>
  <c r="HI377" i="100"/>
  <c r="HI489" i="100"/>
  <c r="HI509" i="100"/>
  <c r="HI521" i="100"/>
  <c r="HI541" i="100"/>
  <c r="HI553" i="100"/>
  <c r="HI573" i="100"/>
  <c r="HI585" i="100"/>
  <c r="HI605" i="100"/>
  <c r="HI617" i="100"/>
  <c r="HI637" i="100"/>
  <c r="HI649" i="100"/>
  <c r="HI669" i="100"/>
  <c r="HI681" i="100"/>
  <c r="HI701" i="100"/>
  <c r="HI713" i="100"/>
  <c r="HI733" i="100"/>
  <c r="HI745" i="100"/>
  <c r="HI765" i="100"/>
  <c r="HI16" i="100"/>
  <c r="HI309" i="100"/>
  <c r="HI38" i="100"/>
  <c r="HI231" i="100"/>
  <c r="HI295" i="100"/>
  <c r="HI472" i="100"/>
  <c r="HI600" i="100"/>
  <c r="HI310" i="100"/>
  <c r="HI321" i="100"/>
  <c r="HI353" i="100"/>
  <c r="HI393" i="100"/>
  <c r="HI417" i="100"/>
  <c r="HI441" i="100"/>
  <c r="HI457" i="100"/>
  <c r="HI473" i="100"/>
  <c r="HI545" i="100"/>
  <c r="HI565" i="100"/>
  <c r="HI609" i="100"/>
  <c r="HI629" i="100"/>
  <c r="HI661" i="100"/>
  <c r="HI673" i="100"/>
  <c r="HI693" i="100"/>
  <c r="HI705" i="100"/>
  <c r="HI725" i="100"/>
  <c r="HI737" i="100"/>
  <c r="HI757" i="100"/>
  <c r="HI227" i="100"/>
  <c r="HI259" i="100"/>
  <c r="HI452" i="100"/>
  <c r="HI516" i="100"/>
  <c r="HI580" i="100"/>
  <c r="HI692" i="100"/>
  <c r="HI98" i="100"/>
  <c r="HI179" i="100"/>
  <c r="HI418" i="100"/>
  <c r="HI482" i="100"/>
  <c r="HI546" i="100"/>
  <c r="HI610" i="100"/>
  <c r="HI674" i="100"/>
  <c r="HI727" i="100"/>
  <c r="HI217" i="100"/>
  <c r="HI241" i="100"/>
  <c r="HI301" i="100"/>
  <c r="HI675" i="100"/>
  <c r="HI248" i="100"/>
  <c r="HI280" i="100"/>
  <c r="HI436" i="100"/>
  <c r="HI500" i="100"/>
  <c r="HI564" i="100"/>
  <c r="HI628" i="100"/>
  <c r="HI34" i="100"/>
  <c r="HI120" i="100"/>
  <c r="HI195" i="100"/>
  <c r="HI503" i="100"/>
  <c r="HI567" i="100"/>
  <c r="HI631" i="100"/>
  <c r="HI695" i="100"/>
  <c r="HI738" i="100"/>
  <c r="HI237" i="100"/>
  <c r="HI261" i="100"/>
  <c r="HI285" i="100"/>
  <c r="HI349" i="100"/>
  <c r="HI381" i="100"/>
  <c r="HI579" i="100"/>
  <c r="HI595" i="100"/>
  <c r="HI702" i="100"/>
  <c r="HI724" i="100"/>
  <c r="HI41" i="100"/>
  <c r="HI60" i="100"/>
  <c r="HI76" i="100"/>
  <c r="HI160" i="100"/>
  <c r="HI182" i="100"/>
  <c r="HI189" i="100"/>
  <c r="HI198" i="100"/>
  <c r="HI205" i="100"/>
  <c r="HI586" i="100"/>
  <c r="HI602" i="100"/>
  <c r="HI618" i="100"/>
  <c r="HI634" i="100"/>
  <c r="HI32" i="100"/>
  <c r="HI67" i="100"/>
  <c r="HI105" i="100"/>
  <c r="HI126" i="100"/>
  <c r="HI159" i="100"/>
  <c r="HI207" i="100"/>
  <c r="HI406" i="100"/>
  <c r="HI430" i="100"/>
  <c r="HI446" i="100"/>
  <c r="HI522" i="100"/>
  <c r="HI590" i="100"/>
  <c r="HI622" i="100"/>
  <c r="HI654" i="100"/>
  <c r="HI686" i="100"/>
  <c r="HI39" i="100"/>
  <c r="HI62" i="100"/>
  <c r="HI204" i="100"/>
  <c r="HI523" i="100"/>
  <c r="HI367" i="100"/>
  <c r="HI399" i="100"/>
  <c r="HI419" i="100"/>
  <c r="HI755" i="100"/>
  <c r="HI27" i="100"/>
  <c r="HI99" i="100"/>
  <c r="HI113" i="100"/>
  <c r="HI314" i="100"/>
  <c r="HI167" i="100"/>
  <c r="HI185" i="100"/>
  <c r="HI210" i="100"/>
  <c r="HI250" i="100"/>
  <c r="HI644" i="100"/>
  <c r="HI203" i="100"/>
  <c r="HI711" i="100"/>
  <c r="HI25" i="100"/>
  <c r="HI680" i="100"/>
  <c r="HI331" i="100"/>
  <c r="HI339" i="100"/>
  <c r="HI265" i="100"/>
  <c r="HI297" i="100"/>
  <c r="HI333" i="100"/>
  <c r="HI341" i="100"/>
  <c r="HI611" i="100"/>
  <c r="HI734" i="100"/>
  <c r="HI70" i="100"/>
  <c r="HI79" i="100"/>
  <c r="HI150" i="100"/>
  <c r="HI155" i="100"/>
  <c r="HI176" i="100"/>
  <c r="HI214" i="100"/>
  <c r="HI682" i="100"/>
  <c r="HI26" i="100"/>
  <c r="HI61" i="100"/>
  <c r="HI97" i="100"/>
  <c r="HI122" i="100"/>
  <c r="HI148" i="100"/>
  <c r="HI191" i="100"/>
  <c r="HI24" i="100"/>
  <c r="HI152" i="100"/>
  <c r="HI434" i="100"/>
  <c r="HI498" i="100"/>
  <c r="HI562" i="100"/>
  <c r="HI690" i="100"/>
  <c r="HI394" i="100"/>
  <c r="HI426" i="100"/>
  <c r="HI442" i="100"/>
  <c r="HI607" i="100"/>
  <c r="HI142" i="100"/>
  <c r="HI212" i="100"/>
  <c r="HI752" i="100"/>
  <c r="HI125" i="100"/>
  <c r="HI133" i="100"/>
  <c r="HI235" i="100"/>
  <c r="HI299" i="100"/>
  <c r="HI272" i="100"/>
  <c r="HI652" i="100"/>
  <c r="HI46" i="100"/>
  <c r="HI287" i="100"/>
  <c r="HI269" i="100"/>
  <c r="HI277" i="100"/>
  <c r="HI289" i="100"/>
  <c r="HI317" i="100"/>
  <c r="HI325" i="100"/>
  <c r="HI643" i="100"/>
  <c r="HI659" i="100"/>
  <c r="HI708" i="100"/>
  <c r="HI740" i="100"/>
  <c r="HI750" i="100"/>
  <c r="HI11" i="100"/>
  <c r="HI18" i="100"/>
  <c r="HI44" i="100"/>
  <c r="HI73" i="100"/>
  <c r="HI92" i="100"/>
  <c r="HI104" i="100"/>
  <c r="HI144" i="100"/>
  <c r="HI192" i="100"/>
  <c r="HI666" i="100"/>
  <c r="HI735" i="100"/>
  <c r="HI51" i="100"/>
  <c r="HI90" i="100"/>
  <c r="HI116" i="100"/>
  <c r="HI143" i="100"/>
  <c r="HI177" i="100"/>
  <c r="HI66" i="100"/>
  <c r="HI395" i="100"/>
  <c r="HI455" i="100"/>
  <c r="HI519" i="100"/>
  <c r="HI594" i="100"/>
  <c r="HI722" i="100"/>
  <c r="HI478" i="100"/>
  <c r="HI558" i="100"/>
  <c r="HI574" i="100"/>
  <c r="HI606" i="100"/>
  <c r="HI638" i="100"/>
  <c r="HI670" i="100"/>
  <c r="HI52" i="100"/>
  <c r="HI163" i="100"/>
  <c r="HI197" i="100"/>
  <c r="HI319" i="100"/>
  <c r="HI351" i="100"/>
  <c r="HI383" i="100"/>
  <c r="HI723" i="100"/>
  <c r="HI91" i="100"/>
  <c r="HI107" i="100"/>
  <c r="HI117" i="100"/>
  <c r="HI330" i="100"/>
  <c r="HI178" i="100"/>
  <c r="HI199" i="100"/>
  <c r="HI304" i="100"/>
  <c r="HI388" i="100"/>
  <c r="HI508" i="100"/>
  <c r="HI380" i="100"/>
  <c r="HI650" i="100"/>
  <c r="HI703" i="100"/>
  <c r="HI42" i="100"/>
  <c r="HI80" i="100"/>
  <c r="HI112" i="100"/>
  <c r="HI134" i="100"/>
  <c r="HI170" i="100"/>
  <c r="HI474" i="100"/>
  <c r="HI526" i="100"/>
  <c r="HI554" i="100"/>
  <c r="HI570" i="100"/>
  <c r="HI33" i="100"/>
  <c r="HI87" i="100"/>
  <c r="HI623" i="100"/>
  <c r="HI386" i="100"/>
  <c r="HI129" i="100"/>
  <c r="HI140" i="100"/>
  <c r="HI274" i="100"/>
  <c r="HI332" i="100"/>
  <c r="HI376" i="100"/>
  <c r="HI267" i="100"/>
  <c r="HI255" i="100"/>
  <c r="HI240" i="100"/>
  <c r="HI432" i="100"/>
  <c r="HI736" i="100"/>
  <c r="HI9" i="100"/>
  <c r="HI135" i="100"/>
  <c r="HI648" i="100"/>
  <c r="HI696" i="100"/>
  <c r="HI23" i="100"/>
  <c r="HI71" i="100"/>
  <c r="HI84" i="100"/>
  <c r="HI106" i="100"/>
  <c r="HI147" i="100"/>
  <c r="HI165" i="100"/>
  <c r="HI174" i="100"/>
  <c r="HI190" i="100"/>
  <c r="HI200" i="100"/>
  <c r="HI555" i="100"/>
  <c r="HI435" i="100"/>
  <c r="HI447" i="100"/>
  <c r="HI531" i="100"/>
  <c r="HI543" i="100"/>
  <c r="HI563" i="100"/>
  <c r="HI575" i="100"/>
  <c r="HI591" i="100"/>
  <c r="HI21" i="100"/>
  <c r="HI50" i="100"/>
  <c r="HI75" i="100"/>
  <c r="HI85" i="100"/>
  <c r="HI57" i="100"/>
  <c r="HI164" i="100"/>
  <c r="HI699" i="100"/>
  <c r="HI763" i="100"/>
  <c r="HI354" i="100"/>
  <c r="HI151" i="100"/>
  <c r="HI282" i="100"/>
  <c r="HI226" i="100"/>
  <c r="HI290" i="100"/>
  <c r="HI344" i="100"/>
  <c r="HI387" i="100"/>
  <c r="HI624" i="100"/>
  <c r="HI492" i="100"/>
  <c r="HI620" i="100"/>
  <c r="HI604" i="100"/>
  <c r="HI672" i="100"/>
  <c r="HI764" i="100"/>
  <c r="HI171" i="100"/>
  <c r="HI480" i="100"/>
  <c r="HI363" i="100"/>
  <c r="HI89" i="100"/>
  <c r="HI260" i="100"/>
  <c r="HI502" i="100"/>
  <c r="HI615" i="100"/>
  <c r="HI181" i="100"/>
  <c r="HI28" i="100"/>
  <c r="HI232" i="100"/>
  <c r="HI296" i="100"/>
  <c r="HI532" i="100"/>
  <c r="HI596" i="100"/>
  <c r="HI535" i="100"/>
  <c r="HI599" i="100"/>
  <c r="HI759" i="100"/>
  <c r="HI365" i="100"/>
  <c r="HI389" i="100"/>
  <c r="HI756" i="100"/>
  <c r="HI8" i="100"/>
  <c r="HI31" i="100"/>
  <c r="HI54" i="100"/>
  <c r="HI63" i="100"/>
  <c r="HI86" i="100"/>
  <c r="HI96" i="100"/>
  <c r="HI139" i="100"/>
  <c r="HI166" i="100"/>
  <c r="HI208" i="100"/>
  <c r="HI719" i="100"/>
  <c r="HI751" i="100"/>
  <c r="HI35" i="100"/>
  <c r="HI48" i="100"/>
  <c r="HI58" i="100"/>
  <c r="HI64" i="100"/>
  <c r="HI74" i="100"/>
  <c r="HI83" i="100"/>
  <c r="HI93" i="100"/>
  <c r="HI108" i="100"/>
  <c r="HI118" i="100"/>
  <c r="HI124" i="100"/>
  <c r="HI138" i="100"/>
  <c r="HI154" i="100"/>
  <c r="HI161" i="100"/>
  <c r="HI175" i="100"/>
  <c r="HI186" i="100"/>
  <c r="HI193" i="100"/>
  <c r="HI209" i="100"/>
  <c r="HI88" i="100"/>
  <c r="HI411" i="100"/>
  <c r="HI466" i="100"/>
  <c r="HI530" i="100"/>
  <c r="HI626" i="100"/>
  <c r="HI754" i="100"/>
  <c r="HI490" i="100"/>
  <c r="HI538" i="100"/>
  <c r="HI542" i="100"/>
  <c r="HI20" i="100"/>
  <c r="HI30" i="100"/>
  <c r="HI49" i="100"/>
  <c r="HI65" i="100"/>
  <c r="HI213" i="100"/>
  <c r="HI172" i="100"/>
  <c r="HI459" i="100"/>
  <c r="HI311" i="100"/>
  <c r="HI359" i="100"/>
  <c r="HI391" i="100"/>
  <c r="HI415" i="100"/>
  <c r="HI707" i="100"/>
  <c r="HI59" i="100"/>
  <c r="HI95" i="100"/>
  <c r="HI111" i="100"/>
  <c r="HI115" i="100"/>
  <c r="HI100" i="100"/>
  <c r="HI180" i="100"/>
  <c r="HI720" i="100"/>
  <c r="HI322" i="100"/>
  <c r="HI127" i="100"/>
  <c r="HI131" i="100"/>
  <c r="HI137" i="100"/>
  <c r="HI146" i="100"/>
  <c r="HI156" i="100"/>
  <c r="HI183" i="100"/>
  <c r="HI194" i="100"/>
  <c r="HI201" i="100"/>
  <c r="HI215" i="100"/>
  <c r="HI242" i="100"/>
  <c r="HI556" i="100"/>
  <c r="HI732" i="100"/>
  <c r="HI340" i="100"/>
  <c r="HI544" i="100"/>
  <c r="HI676" i="100"/>
  <c r="HI688" i="100"/>
  <c r="HI588" i="100"/>
  <c r="HI640" i="100"/>
  <c r="HI636" i="100"/>
  <c r="HI744" i="100"/>
  <c r="HI668" i="100"/>
  <c r="HI238" i="100"/>
  <c r="HI336" i="100"/>
  <c r="HI109" i="100"/>
  <c r="HI551" i="100"/>
  <c r="HI658" i="100"/>
  <c r="HI462" i="100"/>
  <c r="HI506" i="100"/>
  <c r="HI510" i="100"/>
  <c r="HI698" i="100"/>
  <c r="HI714" i="100"/>
  <c r="HI730" i="100"/>
  <c r="HI762" i="100"/>
  <c r="HI55" i="100"/>
  <c r="HI81" i="100"/>
  <c r="HI136" i="100"/>
  <c r="HI168" i="100"/>
  <c r="HI184" i="100"/>
  <c r="HI206" i="100"/>
  <c r="HI188" i="100"/>
  <c r="HI491" i="100"/>
  <c r="HI747" i="100"/>
  <c r="HI451" i="100"/>
  <c r="HI463" i="100"/>
  <c r="HI515" i="100"/>
  <c r="HI527" i="100"/>
  <c r="HI547" i="100"/>
  <c r="HI639" i="100"/>
  <c r="HI655" i="100"/>
  <c r="HI671" i="100"/>
  <c r="HI687" i="100"/>
  <c r="HI53" i="100"/>
  <c r="HI72" i="100"/>
  <c r="HI82" i="100"/>
  <c r="HI119" i="100"/>
  <c r="HI121" i="100"/>
  <c r="HI731" i="100"/>
  <c r="HI218" i="100"/>
  <c r="HI258" i="100"/>
  <c r="HI323" i="100"/>
  <c r="HI540" i="100"/>
  <c r="HI704" i="100"/>
  <c r="HI400" i="100"/>
  <c r="HI352" i="100"/>
  <c r="HI130" i="100"/>
  <c r="HI576" i="100"/>
  <c r="HI700" i="100"/>
  <c r="HI132" i="100"/>
  <c r="HI110" i="100"/>
  <c r="HI328" i="100"/>
  <c r="HI224" i="100"/>
  <c r="HI710" i="100"/>
  <c r="HI684" i="100"/>
  <c r="HI294" i="100"/>
  <c r="HI678" i="100"/>
  <c r="HI660" i="100"/>
  <c r="HI583" i="100"/>
  <c r="HI667" i="100"/>
  <c r="HI630" i="100"/>
  <c r="HI518" i="100"/>
  <c r="HI222" i="100"/>
  <c r="HI254" i="100"/>
  <c r="HI651" i="100"/>
  <c r="HI13" i="100"/>
  <c r="HI14" i="100"/>
  <c r="HI679" i="100"/>
  <c r="HI524" i="100"/>
  <c r="T9" i="100" l="1"/>
  <c r="T10" i="100"/>
  <c r="T11" i="100"/>
  <c r="T12" i="100"/>
  <c r="T13" i="100"/>
  <c r="T14" i="100"/>
  <c r="T15" i="100"/>
  <c r="T16" i="100"/>
  <c r="T17" i="100"/>
  <c r="T18" i="100"/>
  <c r="T19" i="100"/>
  <c r="T20" i="100"/>
  <c r="T21" i="100"/>
  <c r="T22" i="100"/>
  <c r="T23" i="100"/>
  <c r="T24" i="100"/>
  <c r="T25" i="100"/>
  <c r="T26" i="100"/>
  <c r="T27" i="100"/>
  <c r="T28" i="100"/>
  <c r="T29" i="100"/>
  <c r="T30" i="100"/>
  <c r="T31" i="100"/>
  <c r="T32" i="100"/>
  <c r="T33" i="100"/>
  <c r="T34" i="100"/>
  <c r="T35" i="100"/>
  <c r="T36" i="100"/>
  <c r="T37" i="100"/>
  <c r="T38" i="100"/>
  <c r="T39" i="100"/>
  <c r="T40" i="100"/>
  <c r="T41" i="100"/>
  <c r="T42" i="100"/>
  <c r="T43" i="100"/>
  <c r="T44" i="100"/>
  <c r="T45" i="100"/>
  <c r="T46" i="100"/>
  <c r="T47" i="100"/>
  <c r="T48" i="100"/>
  <c r="T49" i="100"/>
  <c r="T7" i="100"/>
  <c r="HH624" i="100" l="1"/>
  <c r="HE619" i="100"/>
  <c r="HH628" i="100"/>
  <c r="HH636" i="100"/>
  <c r="HH635" i="100"/>
  <c r="HH619" i="100"/>
  <c r="HH634" i="100"/>
  <c r="HH620" i="100"/>
  <c r="HH638" i="100"/>
  <c r="HH622" i="100"/>
  <c r="HH637" i="100"/>
  <c r="HH629" i="100"/>
  <c r="HH621" i="100"/>
  <c r="HE635" i="100"/>
  <c r="HH623" i="100"/>
  <c r="HH631" i="100"/>
  <c r="HH639" i="100"/>
  <c r="HH627" i="100"/>
  <c r="HH632" i="100"/>
  <c r="HH626" i="100"/>
  <c r="HH630" i="100"/>
  <c r="HH625" i="100"/>
  <c r="HH633" i="100"/>
  <c r="HE623" i="100"/>
  <c r="HE633" i="100"/>
  <c r="HE632" i="100"/>
  <c r="HE625" i="100"/>
  <c r="HE629" i="100"/>
  <c r="HE634" i="100"/>
  <c r="HE622" i="100"/>
  <c r="HE638" i="100"/>
  <c r="HE621" i="100"/>
  <c r="HE637" i="100"/>
  <c r="HE628" i="100"/>
  <c r="HE631" i="100"/>
  <c r="HE626" i="100"/>
  <c r="HE636" i="100"/>
  <c r="HE639" i="100"/>
  <c r="HE630" i="100"/>
  <c r="HE624" i="100"/>
  <c r="HE620" i="100"/>
  <c r="HE627" i="100"/>
  <c r="HH387" i="100"/>
  <c r="HH392" i="100"/>
  <c r="HE392" i="100"/>
  <c r="HH395" i="100"/>
  <c r="HH388" i="100"/>
  <c r="HH380" i="100"/>
  <c r="HE379" i="100"/>
  <c r="HH396" i="100"/>
  <c r="HH384" i="100"/>
  <c r="HH386" i="100"/>
  <c r="HH383" i="100"/>
  <c r="HH394" i="100"/>
  <c r="HH381" i="100"/>
  <c r="HH379" i="100"/>
  <c r="HH389" i="100"/>
  <c r="HH390" i="100"/>
  <c r="HH391" i="100"/>
  <c r="HH382" i="100"/>
  <c r="HH393" i="100"/>
  <c r="HH385" i="100"/>
  <c r="HE394" i="100"/>
  <c r="HE380" i="100"/>
  <c r="HE382" i="100"/>
  <c r="HE396" i="100"/>
  <c r="HE390" i="100"/>
  <c r="HE393" i="100"/>
  <c r="HE381" i="100"/>
  <c r="HE388" i="100"/>
  <c r="HE386" i="100"/>
  <c r="HE385" i="100"/>
  <c r="HE395" i="100"/>
  <c r="HE383" i="100"/>
  <c r="HE389" i="100"/>
  <c r="HE391" i="100"/>
  <c r="HE387" i="100"/>
  <c r="HE384" i="100"/>
  <c r="HH246" i="100"/>
  <c r="HH238" i="100"/>
  <c r="HH242" i="100"/>
  <c r="HH248" i="100"/>
  <c r="HH243" i="100"/>
  <c r="HE246" i="100"/>
  <c r="HH247" i="100"/>
  <c r="HH251" i="100"/>
  <c r="HH244" i="100"/>
  <c r="HH249" i="100"/>
  <c r="HH237" i="100"/>
  <c r="HH252" i="100"/>
  <c r="HE244" i="100"/>
  <c r="HH240" i="100"/>
  <c r="HH235" i="100"/>
  <c r="HH245" i="100"/>
  <c r="HH250" i="100"/>
  <c r="HE251" i="100"/>
  <c r="HH236" i="100"/>
  <c r="HH239" i="100"/>
  <c r="HH241" i="100"/>
  <c r="HE247" i="100"/>
  <c r="HE249" i="100"/>
  <c r="HE252" i="100"/>
  <c r="HE248" i="100"/>
  <c r="HE237" i="100"/>
  <c r="HE250" i="100"/>
  <c r="HE235" i="100"/>
  <c r="HE240" i="100"/>
  <c r="HE245" i="100"/>
  <c r="HE236" i="100"/>
  <c r="HE243" i="100"/>
  <c r="HE241" i="100"/>
  <c r="HE242" i="100"/>
  <c r="HE238" i="100"/>
  <c r="HE239" i="100"/>
  <c r="HH49" i="100"/>
  <c r="HH39" i="100"/>
  <c r="HH48" i="100"/>
  <c r="HH50" i="100"/>
  <c r="HH40" i="100"/>
  <c r="HH44" i="100"/>
  <c r="HH38" i="100"/>
  <c r="HH45" i="100"/>
  <c r="HH46" i="100"/>
  <c r="HE40" i="100"/>
  <c r="HH51" i="100"/>
  <c r="HH37" i="100"/>
  <c r="HH43" i="100"/>
  <c r="HH41" i="100"/>
  <c r="HH42" i="100"/>
  <c r="HH47" i="100"/>
  <c r="HE38" i="100"/>
  <c r="HE46" i="100"/>
  <c r="HE42" i="100"/>
  <c r="HE47" i="100"/>
  <c r="HE41" i="100"/>
  <c r="HE39" i="100"/>
  <c r="HE44" i="100"/>
  <c r="HE51" i="100"/>
  <c r="HE48" i="100"/>
  <c r="HE37" i="100"/>
  <c r="HE49" i="100"/>
  <c r="HE45" i="100"/>
  <c r="HE50" i="100"/>
  <c r="HE43" i="100"/>
  <c r="HH684" i="100"/>
  <c r="HH695" i="100"/>
  <c r="HE694" i="100"/>
  <c r="HH692" i="100"/>
  <c r="HE683" i="100"/>
  <c r="HH688" i="100"/>
  <c r="HH683" i="100"/>
  <c r="HH682" i="100"/>
  <c r="HH696" i="100"/>
  <c r="HH686" i="100"/>
  <c r="HH701" i="100"/>
  <c r="HH693" i="100"/>
  <c r="HH685" i="100"/>
  <c r="HH699" i="100"/>
  <c r="HE691" i="100"/>
  <c r="HH687" i="100"/>
  <c r="HH698" i="100"/>
  <c r="HH694" i="100"/>
  <c r="HH702" i="100"/>
  <c r="HH700" i="100"/>
  <c r="HH690" i="100"/>
  <c r="HH691" i="100"/>
  <c r="HH689" i="100"/>
  <c r="HH697" i="100"/>
  <c r="HE697" i="100"/>
  <c r="HE689" i="100"/>
  <c r="HE695" i="100"/>
  <c r="HE686" i="100"/>
  <c r="HE696" i="100"/>
  <c r="HE682" i="100"/>
  <c r="HE690" i="100"/>
  <c r="HE685" i="100"/>
  <c r="HE701" i="100"/>
  <c r="HE693" i="100"/>
  <c r="HE692" i="100"/>
  <c r="HE702" i="100"/>
  <c r="HE700" i="100"/>
  <c r="HE699" i="100"/>
  <c r="HE698" i="100"/>
  <c r="HE687" i="100"/>
  <c r="HE688" i="100"/>
  <c r="HE684" i="100"/>
  <c r="HH524" i="100"/>
  <c r="HH522" i="100"/>
  <c r="HH520" i="100"/>
  <c r="HH528" i="100"/>
  <c r="HH531" i="100"/>
  <c r="HH523" i="100"/>
  <c r="HH526" i="100"/>
  <c r="HH533" i="100"/>
  <c r="HH525" i="100"/>
  <c r="HH517" i="100"/>
  <c r="HH519" i="100"/>
  <c r="HH530" i="100"/>
  <c r="HH527" i="100"/>
  <c r="HH518" i="100"/>
  <c r="HH534" i="100"/>
  <c r="HH516" i="100"/>
  <c r="HH532" i="100"/>
  <c r="HH515" i="100"/>
  <c r="HH514" i="100"/>
  <c r="HH521" i="100"/>
  <c r="HH529" i="100"/>
  <c r="HE533" i="100"/>
  <c r="HE529" i="100"/>
  <c r="HE514" i="100"/>
  <c r="HE520" i="100"/>
  <c r="HE521" i="100"/>
  <c r="HE522" i="100"/>
  <c r="HE523" i="100"/>
  <c r="HE526" i="100"/>
  <c r="HE525" i="100"/>
  <c r="HE517" i="100"/>
  <c r="HE516" i="100"/>
  <c r="HE519" i="100"/>
  <c r="HE531" i="100"/>
  <c r="HE532" i="100"/>
  <c r="HE524" i="100"/>
  <c r="HE530" i="100"/>
  <c r="HE528" i="100"/>
  <c r="HE527" i="100"/>
  <c r="HE515" i="100"/>
  <c r="HE534" i="100"/>
  <c r="HE518" i="100"/>
  <c r="HH378" i="100"/>
  <c r="HE371" i="100"/>
  <c r="HH375" i="100"/>
  <c r="HH371" i="100"/>
  <c r="HH372" i="100"/>
  <c r="HH363" i="100"/>
  <c r="HH368" i="100"/>
  <c r="HH370" i="100"/>
  <c r="HH367" i="100"/>
  <c r="HE373" i="100"/>
  <c r="HH376" i="100"/>
  <c r="HE378" i="100"/>
  <c r="HH364" i="100"/>
  <c r="HH362" i="100"/>
  <c r="HH373" i="100"/>
  <c r="HH365" i="100"/>
  <c r="HH377" i="100"/>
  <c r="HH366" i="100"/>
  <c r="HH369" i="100"/>
  <c r="HH361" i="100"/>
  <c r="HH374" i="100"/>
  <c r="HE376" i="100"/>
  <c r="HE374" i="100"/>
  <c r="HE366" i="100"/>
  <c r="HE362" i="100"/>
  <c r="HE361" i="100"/>
  <c r="HE369" i="100"/>
  <c r="HE377" i="100"/>
  <c r="HE367" i="100"/>
  <c r="HE370" i="100"/>
  <c r="HE365" i="100"/>
  <c r="HE368" i="100"/>
  <c r="HE364" i="100"/>
  <c r="HE375" i="100"/>
  <c r="HE363" i="100"/>
  <c r="HE372" i="100"/>
  <c r="HH222" i="100"/>
  <c r="HE234" i="100"/>
  <c r="HH234" i="100"/>
  <c r="HH230" i="100"/>
  <c r="HH226" i="100"/>
  <c r="HH223" i="100"/>
  <c r="HH219" i="100"/>
  <c r="HH232" i="100"/>
  <c r="HH220" i="100"/>
  <c r="HH231" i="100"/>
  <c r="HH221" i="100"/>
  <c r="HH218" i="100"/>
  <c r="HH228" i="100"/>
  <c r="HE219" i="100"/>
  <c r="HH224" i="100"/>
  <c r="HE228" i="100"/>
  <c r="HH227" i="100"/>
  <c r="HH229" i="100"/>
  <c r="HH217" i="100"/>
  <c r="HH225" i="100"/>
  <c r="HH233" i="100"/>
  <c r="HE221" i="100"/>
  <c r="HE227" i="100"/>
  <c r="HE217" i="100"/>
  <c r="HE233" i="100"/>
  <c r="HE225" i="100"/>
  <c r="HE220" i="100"/>
  <c r="HE231" i="100"/>
  <c r="HE224" i="100"/>
  <c r="HE218" i="100"/>
  <c r="HE229" i="100"/>
  <c r="HE222" i="100"/>
  <c r="HE223" i="100"/>
  <c r="HE226" i="100"/>
  <c r="HE232" i="100"/>
  <c r="HE230" i="100"/>
  <c r="HE36" i="100"/>
  <c r="HH24" i="100"/>
  <c r="HH30" i="100"/>
  <c r="HH35" i="100"/>
  <c r="HH29" i="100"/>
  <c r="HH34" i="100"/>
  <c r="HH36" i="100"/>
  <c r="HH25" i="100"/>
  <c r="HH27" i="100"/>
  <c r="HH33" i="100"/>
  <c r="HH26" i="100"/>
  <c r="HH32" i="100"/>
  <c r="HH31" i="100"/>
  <c r="HH23" i="100"/>
  <c r="HH28" i="100"/>
  <c r="HH22" i="100"/>
  <c r="HE26" i="100"/>
  <c r="HE24" i="100"/>
  <c r="HE33" i="100"/>
  <c r="HE22" i="100"/>
  <c r="HE34" i="100"/>
  <c r="HE25" i="100"/>
  <c r="HE32" i="100"/>
  <c r="HE27" i="100"/>
  <c r="HE23" i="100"/>
  <c r="HE28" i="100"/>
  <c r="HE31" i="100"/>
  <c r="HE35" i="100"/>
  <c r="HE29" i="100"/>
  <c r="HE30" i="100"/>
  <c r="HH747" i="100"/>
  <c r="HH763" i="100"/>
  <c r="HE760" i="100"/>
  <c r="HH754" i="100"/>
  <c r="HH751" i="100"/>
  <c r="HH759" i="100"/>
  <c r="HH764" i="100"/>
  <c r="HH765" i="100"/>
  <c r="HH757" i="100"/>
  <c r="HH749" i="100"/>
  <c r="HH752" i="100"/>
  <c r="HE758" i="100"/>
  <c r="HH755" i="100"/>
  <c r="HH762" i="100"/>
  <c r="HH748" i="100"/>
  <c r="HH746" i="100"/>
  <c r="HH760" i="100"/>
  <c r="HH756" i="100"/>
  <c r="HH745" i="100"/>
  <c r="HH753" i="100"/>
  <c r="HH750" i="100"/>
  <c r="HH761" i="100"/>
  <c r="HH758" i="100"/>
  <c r="HE752" i="100"/>
  <c r="HE761" i="100"/>
  <c r="HE753" i="100"/>
  <c r="HE748" i="100"/>
  <c r="HE745" i="100"/>
  <c r="HE755" i="100"/>
  <c r="HE750" i="100"/>
  <c r="HE746" i="100"/>
  <c r="HE749" i="100"/>
  <c r="HE765" i="100"/>
  <c r="HE757" i="100"/>
  <c r="HE764" i="100"/>
  <c r="HE756" i="100"/>
  <c r="HE754" i="100"/>
  <c r="HE747" i="100"/>
  <c r="HE762" i="100"/>
  <c r="HE763" i="100"/>
  <c r="HE759" i="100"/>
  <c r="HE751" i="100"/>
  <c r="HH668" i="100"/>
  <c r="HH667" i="100"/>
  <c r="HH666" i="100"/>
  <c r="HH672" i="100"/>
  <c r="HH674" i="100"/>
  <c r="HH670" i="100"/>
  <c r="HH675" i="100"/>
  <c r="HH664" i="100"/>
  <c r="HH677" i="100"/>
  <c r="HH669" i="100"/>
  <c r="HH661" i="100"/>
  <c r="HH676" i="100"/>
  <c r="HE662" i="100"/>
  <c r="HE663" i="100"/>
  <c r="HE664" i="100"/>
  <c r="HH663" i="100"/>
  <c r="HH678" i="100"/>
  <c r="HH662" i="100"/>
  <c r="HH671" i="100"/>
  <c r="HH679" i="100"/>
  <c r="HH681" i="100"/>
  <c r="HH680" i="100"/>
  <c r="HH665" i="100"/>
  <c r="HH673" i="100"/>
  <c r="HE665" i="100"/>
  <c r="HE681" i="100"/>
  <c r="HE673" i="100"/>
  <c r="HE674" i="100"/>
  <c r="HE677" i="100"/>
  <c r="HE669" i="100"/>
  <c r="HE661" i="100"/>
  <c r="HE675" i="100"/>
  <c r="HE680" i="100"/>
  <c r="HE666" i="100"/>
  <c r="HE670" i="100"/>
  <c r="HE678" i="100"/>
  <c r="HE676" i="100"/>
  <c r="HE671" i="100"/>
  <c r="HE672" i="100"/>
  <c r="HE679" i="100"/>
  <c r="HE668" i="100"/>
  <c r="HE667" i="100"/>
  <c r="HH594" i="100"/>
  <c r="HH580" i="100"/>
  <c r="HE587" i="100"/>
  <c r="HH584" i="100"/>
  <c r="HH588" i="100"/>
  <c r="HH578" i="100"/>
  <c r="HH587" i="100"/>
  <c r="HH596" i="100"/>
  <c r="HH591" i="100"/>
  <c r="HH590" i="100"/>
  <c r="HH582" i="100"/>
  <c r="HH597" i="100"/>
  <c r="HH589" i="100"/>
  <c r="HH581" i="100"/>
  <c r="HH583" i="100"/>
  <c r="HH586" i="100"/>
  <c r="HH592" i="100"/>
  <c r="HH595" i="100"/>
  <c r="HH579" i="100"/>
  <c r="HH585" i="100"/>
  <c r="HH593" i="100"/>
  <c r="HH577" i="100"/>
  <c r="HE597" i="100"/>
  <c r="HE593" i="100"/>
  <c r="HE585" i="100"/>
  <c r="HE580" i="100"/>
  <c r="HE595" i="100"/>
  <c r="HE594" i="100"/>
  <c r="HE577" i="100"/>
  <c r="HE589" i="100"/>
  <c r="HE581" i="100"/>
  <c r="HE578" i="100"/>
  <c r="HE584" i="100"/>
  <c r="HE579" i="100"/>
  <c r="HE586" i="100"/>
  <c r="HE590" i="100"/>
  <c r="HE591" i="100"/>
  <c r="HE596" i="100"/>
  <c r="HE588" i="100"/>
  <c r="HE592" i="100"/>
  <c r="HE582" i="100"/>
  <c r="HE583" i="100"/>
  <c r="HE507" i="100"/>
  <c r="HH496" i="100"/>
  <c r="HH503" i="100"/>
  <c r="HH494" i="100"/>
  <c r="HH504" i="100"/>
  <c r="HH500" i="100"/>
  <c r="HH511" i="100"/>
  <c r="HH499" i="100"/>
  <c r="HH502" i="100"/>
  <c r="HH509" i="100"/>
  <c r="HH501" i="100"/>
  <c r="HH493" i="100"/>
  <c r="HH508" i="100"/>
  <c r="HE495" i="100"/>
  <c r="HH510" i="100"/>
  <c r="HH498" i="100"/>
  <c r="HH512" i="100"/>
  <c r="HH507" i="100"/>
  <c r="HH495" i="100"/>
  <c r="HH506" i="100"/>
  <c r="HH497" i="100"/>
  <c r="HH505" i="100"/>
  <c r="HH513" i="100"/>
  <c r="HE501" i="100"/>
  <c r="HE505" i="100"/>
  <c r="HE504" i="100"/>
  <c r="HE497" i="100"/>
  <c r="HE498" i="100"/>
  <c r="HE508" i="100"/>
  <c r="HE511" i="100"/>
  <c r="HE502" i="100"/>
  <c r="HE513" i="100"/>
  <c r="HE493" i="100"/>
  <c r="HE509" i="100"/>
  <c r="HE500" i="100"/>
  <c r="HE503" i="100"/>
  <c r="HE512" i="100"/>
  <c r="HE510" i="100"/>
  <c r="HE494" i="100"/>
  <c r="HE506" i="100"/>
  <c r="HE499" i="100"/>
  <c r="HE496" i="100"/>
  <c r="HH424" i="100"/>
  <c r="HH420" i="100"/>
  <c r="HH415" i="100"/>
  <c r="HH422" i="100"/>
  <c r="HH428" i="100"/>
  <c r="HH416" i="100"/>
  <c r="HH427" i="100"/>
  <c r="HH426" i="100"/>
  <c r="HE422" i="100"/>
  <c r="HE428" i="100"/>
  <c r="HE416" i="100"/>
  <c r="HH432" i="100"/>
  <c r="HH423" i="100"/>
  <c r="HH418" i="100"/>
  <c r="HH431" i="100"/>
  <c r="HH430" i="100"/>
  <c r="HE427" i="100"/>
  <c r="HH419" i="100"/>
  <c r="HH429" i="100"/>
  <c r="HH421" i="100"/>
  <c r="HH425" i="100"/>
  <c r="HH417" i="100"/>
  <c r="HE432" i="100"/>
  <c r="HE424" i="100"/>
  <c r="HE429" i="100"/>
  <c r="HE418" i="100"/>
  <c r="HE430" i="100"/>
  <c r="HE426" i="100"/>
  <c r="HE425" i="100"/>
  <c r="HE421" i="100"/>
  <c r="HE420" i="100"/>
  <c r="HE417" i="100"/>
  <c r="HE419" i="100"/>
  <c r="HE415" i="100"/>
  <c r="HE423" i="100"/>
  <c r="HE431" i="100"/>
  <c r="HH349" i="100"/>
  <c r="HH344" i="100"/>
  <c r="HH348" i="100"/>
  <c r="HE355" i="100"/>
  <c r="HH356" i="100"/>
  <c r="HH359" i="100"/>
  <c r="HH343" i="100"/>
  <c r="HH360" i="100"/>
  <c r="HH354" i="100"/>
  <c r="HE360" i="100"/>
  <c r="HE348" i="100"/>
  <c r="HE347" i="100"/>
  <c r="HH347" i="100"/>
  <c r="HH351" i="100"/>
  <c r="HH352" i="100"/>
  <c r="HH346" i="100"/>
  <c r="HE356" i="100"/>
  <c r="HH355" i="100"/>
  <c r="HH357" i="100"/>
  <c r="HH358" i="100"/>
  <c r="HH350" i="100"/>
  <c r="HH353" i="100"/>
  <c r="HH345" i="100"/>
  <c r="HE350" i="100"/>
  <c r="HE358" i="100"/>
  <c r="HE351" i="100"/>
  <c r="HE357" i="100"/>
  <c r="HE345" i="100"/>
  <c r="HE353" i="100"/>
  <c r="HE349" i="100"/>
  <c r="HE354" i="100"/>
  <c r="HE343" i="100"/>
  <c r="HE359" i="100"/>
  <c r="HE352" i="100"/>
  <c r="HE344" i="100"/>
  <c r="HE346" i="100"/>
  <c r="HH287" i="100"/>
  <c r="HH282" i="100"/>
  <c r="HH286" i="100"/>
  <c r="HH274" i="100"/>
  <c r="HE286" i="100"/>
  <c r="HH284" i="100"/>
  <c r="HH276" i="100"/>
  <c r="HH279" i="100"/>
  <c r="HH271" i="100"/>
  <c r="HE278" i="100"/>
  <c r="HH288" i="100"/>
  <c r="HH283" i="100"/>
  <c r="HH280" i="100"/>
  <c r="HH281" i="100"/>
  <c r="HH273" i="100"/>
  <c r="HH272" i="100"/>
  <c r="HH278" i="100"/>
  <c r="HE288" i="100"/>
  <c r="HH285" i="100"/>
  <c r="HH277" i="100"/>
  <c r="HE276" i="100"/>
  <c r="HH275" i="100"/>
  <c r="HE273" i="100"/>
  <c r="HE287" i="100"/>
  <c r="HE274" i="100"/>
  <c r="HE275" i="100"/>
  <c r="HE285" i="100"/>
  <c r="HE277" i="100"/>
  <c r="HE272" i="100"/>
  <c r="HE283" i="100"/>
  <c r="HE281" i="100"/>
  <c r="HE279" i="100"/>
  <c r="HE284" i="100"/>
  <c r="HE280" i="100"/>
  <c r="HE282" i="100"/>
  <c r="HE271" i="100"/>
  <c r="HH211" i="100"/>
  <c r="HH212" i="100"/>
  <c r="HE202" i="100"/>
  <c r="HH203" i="100"/>
  <c r="HH215" i="100"/>
  <c r="HH201" i="100"/>
  <c r="HH209" i="100"/>
  <c r="HH200" i="100"/>
  <c r="HH214" i="100"/>
  <c r="HH216" i="100"/>
  <c r="HH204" i="100"/>
  <c r="HH210" i="100"/>
  <c r="HH199" i="100"/>
  <c r="HH213" i="100"/>
  <c r="HH202" i="100"/>
  <c r="HH208" i="100"/>
  <c r="HH206" i="100"/>
  <c r="HH207" i="100"/>
  <c r="HH205" i="100"/>
  <c r="HE214" i="100"/>
  <c r="HE216" i="100"/>
  <c r="HE211" i="100"/>
  <c r="HE205" i="100"/>
  <c r="HE207" i="100"/>
  <c r="HE203" i="100"/>
  <c r="HE199" i="100"/>
  <c r="HE212" i="100"/>
  <c r="HE204" i="100"/>
  <c r="HE210" i="100"/>
  <c r="HE200" i="100"/>
  <c r="HE209" i="100"/>
  <c r="HE213" i="100"/>
  <c r="HE215" i="100"/>
  <c r="HE208" i="100"/>
  <c r="HE201" i="100"/>
  <c r="HE206" i="100"/>
  <c r="HH142" i="100"/>
  <c r="HH141" i="100"/>
  <c r="HH132" i="100"/>
  <c r="HH130" i="100"/>
  <c r="HH137" i="100"/>
  <c r="HH131" i="100"/>
  <c r="HH127" i="100"/>
  <c r="HH138" i="100"/>
  <c r="HH128" i="100"/>
  <c r="HH140" i="100"/>
  <c r="HH133" i="100"/>
  <c r="HH129" i="100"/>
  <c r="HE128" i="100"/>
  <c r="HH135" i="100"/>
  <c r="HH143" i="100"/>
  <c r="HH136" i="100"/>
  <c r="HH139" i="100"/>
  <c r="HH134" i="100"/>
  <c r="HH144" i="100"/>
  <c r="HE142" i="100"/>
  <c r="HE133" i="100"/>
  <c r="HE134" i="100"/>
  <c r="HE129" i="100"/>
  <c r="HE135" i="100"/>
  <c r="HE143" i="100"/>
  <c r="HE140" i="100"/>
  <c r="HE141" i="100"/>
  <c r="HE144" i="100"/>
  <c r="HE139" i="100"/>
  <c r="HE131" i="100"/>
  <c r="HE138" i="100"/>
  <c r="HE127" i="100"/>
  <c r="HE137" i="100"/>
  <c r="HE136" i="100"/>
  <c r="HE132" i="100"/>
  <c r="HE130" i="100"/>
  <c r="HE78" i="100"/>
  <c r="HH74" i="100"/>
  <c r="HH75" i="100"/>
  <c r="HH69" i="100"/>
  <c r="HH78" i="100"/>
  <c r="HH76" i="100"/>
  <c r="HH70" i="100"/>
  <c r="HH77" i="100"/>
  <c r="HE77" i="100"/>
  <c r="HH68" i="100"/>
  <c r="HH79" i="100"/>
  <c r="HH72" i="100"/>
  <c r="HH81" i="100"/>
  <c r="HH67" i="100"/>
  <c r="HH80" i="100"/>
  <c r="HH71" i="100"/>
  <c r="HH73" i="100"/>
  <c r="HE79" i="100"/>
  <c r="HE80" i="100"/>
  <c r="HE67" i="100"/>
  <c r="HE73" i="100"/>
  <c r="HE71" i="100"/>
  <c r="HE70" i="100"/>
  <c r="HE76" i="100"/>
  <c r="HE81" i="100"/>
  <c r="HE72" i="100"/>
  <c r="HE75" i="100"/>
  <c r="HE74" i="100"/>
  <c r="HE69" i="100"/>
  <c r="HE68" i="100"/>
  <c r="HE550" i="100"/>
  <c r="HE539" i="100"/>
  <c r="HH552" i="100"/>
  <c r="HH548" i="100"/>
  <c r="HH544" i="100"/>
  <c r="HH535" i="100"/>
  <c r="HH550" i="100"/>
  <c r="HH542" i="100"/>
  <c r="HH555" i="100"/>
  <c r="HH543" i="100"/>
  <c r="HH554" i="100"/>
  <c r="HH549" i="100"/>
  <c r="HH541" i="100"/>
  <c r="HH536" i="100"/>
  <c r="HH551" i="100"/>
  <c r="HH540" i="100"/>
  <c r="HH539" i="100"/>
  <c r="HH538" i="100"/>
  <c r="HH547" i="100"/>
  <c r="HH546" i="100"/>
  <c r="HH537" i="100"/>
  <c r="HH545" i="100"/>
  <c r="HH553" i="100"/>
  <c r="HE554" i="100"/>
  <c r="HE536" i="100"/>
  <c r="HE552" i="100"/>
  <c r="HE537" i="100"/>
  <c r="HE553" i="100"/>
  <c r="HE546" i="100"/>
  <c r="HE555" i="100"/>
  <c r="HE543" i="100"/>
  <c r="HE549" i="100"/>
  <c r="HE548" i="100"/>
  <c r="HE541" i="100"/>
  <c r="HE545" i="100"/>
  <c r="HE542" i="100"/>
  <c r="HE544" i="100"/>
  <c r="HE551" i="100"/>
  <c r="HE547" i="100"/>
  <c r="HE538" i="100"/>
  <c r="HE540" i="100"/>
  <c r="HE535" i="100"/>
  <c r="HE316" i="100"/>
  <c r="HH309" i="100"/>
  <c r="HH308" i="100"/>
  <c r="HH323" i="100"/>
  <c r="HE312" i="100"/>
  <c r="HH322" i="100"/>
  <c r="HH311" i="100"/>
  <c r="HH307" i="100"/>
  <c r="HH315" i="100"/>
  <c r="HH316" i="100"/>
  <c r="HE307" i="100"/>
  <c r="HH320" i="100"/>
  <c r="HH314" i="100"/>
  <c r="HH319" i="100"/>
  <c r="HH312" i="100"/>
  <c r="HE320" i="100"/>
  <c r="HH324" i="100"/>
  <c r="HE315" i="100"/>
  <c r="HH317" i="100"/>
  <c r="HH318" i="100"/>
  <c r="HH321" i="100"/>
  <c r="HH310" i="100"/>
  <c r="HH313" i="100"/>
  <c r="HE318" i="100"/>
  <c r="HE321" i="100"/>
  <c r="HE314" i="100"/>
  <c r="HE317" i="100"/>
  <c r="HE324" i="100"/>
  <c r="HE308" i="100"/>
  <c r="HE313" i="100"/>
  <c r="HE309" i="100"/>
  <c r="HE310" i="100"/>
  <c r="HE319" i="100"/>
  <c r="HE323" i="100"/>
  <c r="HE311" i="100"/>
  <c r="HE322" i="100"/>
  <c r="HH179" i="100"/>
  <c r="HH172" i="100"/>
  <c r="HH180" i="100"/>
  <c r="HH169" i="100"/>
  <c r="HH163" i="100"/>
  <c r="HH175" i="100"/>
  <c r="HH164" i="100"/>
  <c r="HH171" i="100"/>
  <c r="HH174" i="100"/>
  <c r="HH165" i="100"/>
  <c r="HH178" i="100"/>
  <c r="HH167" i="100"/>
  <c r="HH177" i="100"/>
  <c r="HH176" i="100"/>
  <c r="HH168" i="100"/>
  <c r="HH170" i="100"/>
  <c r="HH173" i="100"/>
  <c r="HH166" i="100"/>
  <c r="HE165" i="100"/>
  <c r="HE176" i="100"/>
  <c r="HE170" i="100"/>
  <c r="HE179" i="100"/>
  <c r="HE167" i="100"/>
  <c r="HE177" i="100"/>
  <c r="HE163" i="100"/>
  <c r="HE178" i="100"/>
  <c r="HE174" i="100"/>
  <c r="HE180" i="100"/>
  <c r="HE166" i="100"/>
  <c r="HE173" i="100"/>
  <c r="HE164" i="100"/>
  <c r="HE171" i="100"/>
  <c r="HE169" i="100"/>
  <c r="HE175" i="100"/>
  <c r="HE172" i="100"/>
  <c r="HE168" i="100"/>
  <c r="HH109" i="100"/>
  <c r="HH110" i="100"/>
  <c r="HH98" i="100"/>
  <c r="HH111" i="100"/>
  <c r="HH108" i="100"/>
  <c r="HH101" i="100"/>
  <c r="HH100" i="100"/>
  <c r="HH103" i="100"/>
  <c r="HH106" i="100"/>
  <c r="HH107" i="100"/>
  <c r="HH99" i="100"/>
  <c r="HH102" i="100"/>
  <c r="HH97" i="100"/>
  <c r="HH105" i="100"/>
  <c r="HH104" i="100"/>
  <c r="HE97" i="100"/>
  <c r="HE98" i="100"/>
  <c r="HE99" i="100"/>
  <c r="HE104" i="100"/>
  <c r="HE107" i="100"/>
  <c r="HE106" i="100"/>
  <c r="HE101" i="100"/>
  <c r="HE103" i="100"/>
  <c r="HE105" i="100"/>
  <c r="HE102" i="100"/>
  <c r="HE111" i="100"/>
  <c r="HE100" i="100"/>
  <c r="HE109" i="100"/>
  <c r="HE108" i="100"/>
  <c r="HE110" i="100"/>
  <c r="HH768" i="100"/>
  <c r="HH785" i="100"/>
  <c r="HH766" i="100"/>
  <c r="HH774" i="100"/>
  <c r="HH783" i="100"/>
  <c r="HH775" i="100"/>
  <c r="HH786" i="100"/>
  <c r="HH771" i="100"/>
  <c r="HH770" i="100"/>
  <c r="HH780" i="100"/>
  <c r="HE775" i="100"/>
  <c r="HH767" i="100"/>
  <c r="HH782" i="100"/>
  <c r="HH773" i="100"/>
  <c r="HH769" i="100"/>
  <c r="HH779" i="100"/>
  <c r="HE786" i="100"/>
  <c r="HE770" i="100"/>
  <c r="HE778" i="100"/>
  <c r="HE784" i="100"/>
  <c r="HH777" i="100"/>
  <c r="HE767" i="100"/>
  <c r="HH784" i="100"/>
  <c r="HH781" i="100"/>
  <c r="HH776" i="100"/>
  <c r="HE768" i="100"/>
  <c r="HE782" i="100"/>
  <c r="HE766" i="100"/>
  <c r="HE785" i="100"/>
  <c r="HE780" i="100"/>
  <c r="HE776" i="100"/>
  <c r="HH778" i="100"/>
  <c r="HH772" i="100"/>
  <c r="HE771" i="100"/>
  <c r="HE777" i="100"/>
  <c r="HE769" i="100"/>
  <c r="HE783" i="100"/>
  <c r="HE774" i="100"/>
  <c r="HE773" i="100"/>
  <c r="HE779" i="100"/>
  <c r="HE772" i="100"/>
  <c r="HE781" i="100"/>
  <c r="HH600" i="100"/>
  <c r="HH616" i="100"/>
  <c r="HH612" i="100"/>
  <c r="HH603" i="100"/>
  <c r="HH604" i="100"/>
  <c r="HH610" i="100"/>
  <c r="HH606" i="100"/>
  <c r="HH611" i="100"/>
  <c r="HH613" i="100"/>
  <c r="HH605" i="100"/>
  <c r="HE614" i="100"/>
  <c r="HE598" i="100"/>
  <c r="HH607" i="100"/>
  <c r="HH608" i="100"/>
  <c r="HH615" i="100"/>
  <c r="HH599" i="100"/>
  <c r="HH618" i="100"/>
  <c r="HH602" i="100"/>
  <c r="HH614" i="100"/>
  <c r="HH598" i="100"/>
  <c r="HH601" i="100"/>
  <c r="HH609" i="100"/>
  <c r="HH617" i="100"/>
  <c r="HE601" i="100"/>
  <c r="HE612" i="100"/>
  <c r="HE617" i="100"/>
  <c r="HE600" i="100"/>
  <c r="HE602" i="100"/>
  <c r="HE611" i="100"/>
  <c r="HE607" i="100"/>
  <c r="HE616" i="100"/>
  <c r="HE613" i="100"/>
  <c r="HE605" i="100"/>
  <c r="HE609" i="100"/>
  <c r="HE610" i="100"/>
  <c r="HE618" i="100"/>
  <c r="HE606" i="100"/>
  <c r="HE615" i="100"/>
  <c r="HE604" i="100"/>
  <c r="HE599" i="100"/>
  <c r="HE608" i="100"/>
  <c r="HE603" i="100"/>
  <c r="HH434" i="100"/>
  <c r="HH444" i="100"/>
  <c r="HH440" i="100"/>
  <c r="HH448" i="100"/>
  <c r="HH439" i="100"/>
  <c r="HH450" i="100"/>
  <c r="HH442" i="100"/>
  <c r="HH447" i="100"/>
  <c r="HH435" i="100"/>
  <c r="HH446" i="100"/>
  <c r="HH436" i="100"/>
  <c r="HE444" i="100"/>
  <c r="HE443" i="100"/>
  <c r="HH443" i="100"/>
  <c r="HH438" i="100"/>
  <c r="HH445" i="100"/>
  <c r="HH437" i="100"/>
  <c r="HH449" i="100"/>
  <c r="HH441" i="100"/>
  <c r="HH433" i="100"/>
  <c r="HE434" i="100"/>
  <c r="HE442" i="100"/>
  <c r="HE433" i="100"/>
  <c r="HE445" i="100"/>
  <c r="HE441" i="100"/>
  <c r="HE436" i="100"/>
  <c r="HE447" i="100"/>
  <c r="HE449" i="100"/>
  <c r="HE440" i="100"/>
  <c r="HE437" i="100"/>
  <c r="HE450" i="100"/>
  <c r="HE446" i="100"/>
  <c r="HE439" i="100"/>
  <c r="HE435" i="100"/>
  <c r="HE438" i="100"/>
  <c r="HE448" i="100"/>
  <c r="HH294" i="100"/>
  <c r="HH296" i="100"/>
  <c r="HH295" i="100"/>
  <c r="HH306" i="100"/>
  <c r="HH290" i="100"/>
  <c r="HH292" i="100"/>
  <c r="HH297" i="100"/>
  <c r="HH289" i="100"/>
  <c r="HH300" i="100"/>
  <c r="HE292" i="100"/>
  <c r="HH291" i="100"/>
  <c r="HH304" i="100"/>
  <c r="HH299" i="100"/>
  <c r="HH303" i="100"/>
  <c r="HH298" i="100"/>
  <c r="HH301" i="100"/>
  <c r="HH293" i="100"/>
  <c r="HH305" i="100"/>
  <c r="HH302" i="100"/>
  <c r="HE297" i="100"/>
  <c r="HE299" i="100"/>
  <c r="HE291" i="100"/>
  <c r="HE302" i="100"/>
  <c r="HE295" i="100"/>
  <c r="HE301" i="100"/>
  <c r="HE293" i="100"/>
  <c r="HE303" i="100"/>
  <c r="HE300" i="100"/>
  <c r="HE305" i="100"/>
  <c r="HE289" i="100"/>
  <c r="HE304" i="100"/>
  <c r="HE306" i="100"/>
  <c r="HE290" i="100"/>
  <c r="HE296" i="100"/>
  <c r="HE298" i="100"/>
  <c r="HE294" i="100"/>
  <c r="HH95" i="100"/>
  <c r="HH88" i="100"/>
  <c r="HH87" i="100"/>
  <c r="HH93" i="100"/>
  <c r="HH83" i="100"/>
  <c r="HH89" i="100"/>
  <c r="HH85" i="100"/>
  <c r="HH94" i="100"/>
  <c r="HH84" i="100"/>
  <c r="HH91" i="100"/>
  <c r="HH90" i="100"/>
  <c r="HH96" i="100"/>
  <c r="HH86" i="100"/>
  <c r="HH82" i="100"/>
  <c r="HH92" i="100"/>
  <c r="HE90" i="100"/>
  <c r="HE94" i="100"/>
  <c r="HE87" i="100"/>
  <c r="HE92" i="100"/>
  <c r="HE91" i="100"/>
  <c r="HE84" i="100"/>
  <c r="HE83" i="100"/>
  <c r="HE95" i="100"/>
  <c r="HE89" i="100"/>
  <c r="HE96" i="100"/>
  <c r="HE93" i="100"/>
  <c r="HE82" i="100"/>
  <c r="HE85" i="100"/>
  <c r="HE86" i="100"/>
  <c r="HE88" i="100"/>
  <c r="HH731" i="100"/>
  <c r="HH736" i="100"/>
  <c r="HE728" i="100"/>
  <c r="HH727" i="100"/>
  <c r="HE742" i="100"/>
  <c r="HH732" i="100"/>
  <c r="HH743" i="100"/>
  <c r="HH728" i="100"/>
  <c r="HH739" i="100"/>
  <c r="HH742" i="100"/>
  <c r="HH734" i="100"/>
  <c r="HH741" i="100"/>
  <c r="HH733" i="100"/>
  <c r="HH725" i="100"/>
  <c r="HH744" i="100"/>
  <c r="HE739" i="100"/>
  <c r="HH730" i="100"/>
  <c r="HH735" i="100"/>
  <c r="HH724" i="100"/>
  <c r="HH738" i="100"/>
  <c r="HH740" i="100"/>
  <c r="HH726" i="100"/>
  <c r="HH729" i="100"/>
  <c r="HH737" i="100"/>
  <c r="HE734" i="100"/>
  <c r="HE729" i="100"/>
  <c r="HE737" i="100"/>
  <c r="HE724" i="100"/>
  <c r="HE735" i="100"/>
  <c r="HE736" i="100"/>
  <c r="HE743" i="100"/>
  <c r="HE741" i="100"/>
  <c r="HE733" i="100"/>
  <c r="HE725" i="100"/>
  <c r="HE727" i="100"/>
  <c r="HE738" i="100"/>
  <c r="HE740" i="100"/>
  <c r="HE744" i="100"/>
  <c r="HE730" i="100"/>
  <c r="HE731" i="100"/>
  <c r="HE732" i="100"/>
  <c r="HE726" i="100"/>
  <c r="HH660" i="100"/>
  <c r="HH652" i="100"/>
  <c r="HE646" i="100"/>
  <c r="HH640" i="100"/>
  <c r="HH656" i="100"/>
  <c r="HH644" i="100"/>
  <c r="HH651" i="100"/>
  <c r="HH650" i="100"/>
  <c r="HH658" i="100"/>
  <c r="HH642" i="100"/>
  <c r="HH654" i="100"/>
  <c r="HH646" i="100"/>
  <c r="HH653" i="100"/>
  <c r="HH645" i="100"/>
  <c r="HE656" i="100"/>
  <c r="HH647" i="100"/>
  <c r="HH655" i="100"/>
  <c r="HH649" i="100"/>
  <c r="HH657" i="100"/>
  <c r="HH659" i="100"/>
  <c r="HH643" i="100"/>
  <c r="HH648" i="100"/>
  <c r="HH641" i="100"/>
  <c r="HE652" i="100"/>
  <c r="HE657" i="100"/>
  <c r="HE642" i="100"/>
  <c r="HE649" i="100"/>
  <c r="HE643" i="100"/>
  <c r="HE650" i="100"/>
  <c r="HE641" i="100"/>
  <c r="HE653" i="100"/>
  <c r="HE645" i="100"/>
  <c r="HE654" i="100"/>
  <c r="HE644" i="100"/>
  <c r="HE659" i="100"/>
  <c r="HE648" i="100"/>
  <c r="HE658" i="100"/>
  <c r="HE660" i="100"/>
  <c r="HE651" i="100"/>
  <c r="HE640" i="100"/>
  <c r="HE647" i="100"/>
  <c r="HE655" i="100"/>
  <c r="HH572" i="100"/>
  <c r="HH556" i="100"/>
  <c r="HH562" i="100"/>
  <c r="HE566" i="100"/>
  <c r="HE572" i="100"/>
  <c r="HE571" i="100"/>
  <c r="HH576" i="100"/>
  <c r="HH564" i="100"/>
  <c r="HH568" i="100"/>
  <c r="HH567" i="100"/>
  <c r="HH570" i="100"/>
  <c r="HH575" i="100"/>
  <c r="HH563" i="100"/>
  <c r="HH574" i="100"/>
  <c r="HH573" i="100"/>
  <c r="HH565" i="100"/>
  <c r="HH557" i="100"/>
  <c r="HH560" i="100"/>
  <c r="HH558" i="100"/>
  <c r="HH559" i="100"/>
  <c r="HH566" i="100"/>
  <c r="HH571" i="100"/>
  <c r="HH561" i="100"/>
  <c r="HH569" i="100"/>
  <c r="HE562" i="100"/>
  <c r="HE569" i="100"/>
  <c r="HE561" i="100"/>
  <c r="HE565" i="100"/>
  <c r="HE564" i="100"/>
  <c r="HE567" i="100"/>
  <c r="HE574" i="100"/>
  <c r="HE575" i="100"/>
  <c r="HE570" i="100"/>
  <c r="HE557" i="100"/>
  <c r="HE568" i="100"/>
  <c r="HE573" i="100"/>
  <c r="HE558" i="100"/>
  <c r="HE563" i="100"/>
  <c r="HE560" i="100"/>
  <c r="HE556" i="100"/>
  <c r="HE576" i="100"/>
  <c r="HE559" i="100"/>
  <c r="HH476" i="100"/>
  <c r="HH488" i="100"/>
  <c r="HH484" i="100"/>
  <c r="HH480" i="100"/>
  <c r="HH472" i="100"/>
  <c r="HH492" i="100"/>
  <c r="HH491" i="100"/>
  <c r="HH479" i="100"/>
  <c r="HH482" i="100"/>
  <c r="HH474" i="100"/>
  <c r="HH485" i="100"/>
  <c r="HH487" i="100"/>
  <c r="HH475" i="100"/>
  <c r="HH478" i="100"/>
  <c r="HE475" i="100"/>
  <c r="HH483" i="100"/>
  <c r="HH486" i="100"/>
  <c r="HE476" i="100"/>
  <c r="HH490" i="100"/>
  <c r="HE486" i="100"/>
  <c r="HH489" i="100"/>
  <c r="HH477" i="100"/>
  <c r="HH481" i="100"/>
  <c r="HH473" i="100"/>
  <c r="HE474" i="100"/>
  <c r="HE477" i="100"/>
  <c r="HE484" i="100"/>
  <c r="HE489" i="100"/>
  <c r="HE473" i="100"/>
  <c r="HE478" i="100"/>
  <c r="HE481" i="100"/>
  <c r="HE488" i="100"/>
  <c r="HE485" i="100"/>
  <c r="HE472" i="100"/>
  <c r="HE482" i="100"/>
  <c r="HE479" i="100"/>
  <c r="HE491" i="100"/>
  <c r="HE483" i="100"/>
  <c r="HE492" i="100"/>
  <c r="HE480" i="100"/>
  <c r="HE487" i="100"/>
  <c r="HE490" i="100"/>
  <c r="HH406" i="100"/>
  <c r="HE405" i="100"/>
  <c r="HH404" i="100"/>
  <c r="HH414" i="100"/>
  <c r="HH402" i="100"/>
  <c r="HH398" i="100"/>
  <c r="HH412" i="100"/>
  <c r="HH408" i="100"/>
  <c r="HH405" i="100"/>
  <c r="HH403" i="100"/>
  <c r="HH411" i="100"/>
  <c r="HH399" i="100"/>
  <c r="HH410" i="100"/>
  <c r="HH407" i="100"/>
  <c r="HE410" i="100"/>
  <c r="HH400" i="100"/>
  <c r="HH413" i="100"/>
  <c r="HH409" i="100"/>
  <c r="HH397" i="100"/>
  <c r="HH401" i="100"/>
  <c r="HE401" i="100"/>
  <c r="HE409" i="100"/>
  <c r="HE404" i="100"/>
  <c r="HE399" i="100"/>
  <c r="HE412" i="100"/>
  <c r="HE397" i="100"/>
  <c r="HE406" i="100"/>
  <c r="HE398" i="100"/>
  <c r="HE411" i="100"/>
  <c r="HE407" i="100"/>
  <c r="HE413" i="100"/>
  <c r="HE414" i="100"/>
  <c r="HE408" i="100"/>
  <c r="HE402" i="100"/>
  <c r="HE403" i="100"/>
  <c r="HE400" i="100"/>
  <c r="HH331" i="100"/>
  <c r="HH340" i="100"/>
  <c r="HH332" i="100"/>
  <c r="HH336" i="100"/>
  <c r="HH327" i="100"/>
  <c r="HH330" i="100"/>
  <c r="HH328" i="100"/>
  <c r="HH338" i="100"/>
  <c r="HH341" i="100"/>
  <c r="HH325" i="100"/>
  <c r="HH339" i="100"/>
  <c r="HH335" i="100"/>
  <c r="HE335" i="100"/>
  <c r="HH333" i="100"/>
  <c r="HE327" i="100"/>
  <c r="HH334" i="100"/>
  <c r="HH337" i="100"/>
  <c r="HH326" i="100"/>
  <c r="HH329" i="100"/>
  <c r="HH342" i="100"/>
  <c r="HE341" i="100"/>
  <c r="HE326" i="100"/>
  <c r="HE334" i="100"/>
  <c r="HE331" i="100"/>
  <c r="HE330" i="100"/>
  <c r="HE333" i="100"/>
  <c r="HE332" i="100"/>
  <c r="HE336" i="100"/>
  <c r="HE342" i="100"/>
  <c r="HE329" i="100"/>
  <c r="HE337" i="100"/>
  <c r="HE339" i="100"/>
  <c r="HE325" i="100"/>
  <c r="HE340" i="100"/>
  <c r="HE328" i="100"/>
  <c r="HE338" i="100"/>
  <c r="HE270" i="100"/>
  <c r="HH254" i="100"/>
  <c r="HE266" i="100"/>
  <c r="HH262" i="100"/>
  <c r="HH260" i="100"/>
  <c r="HH259" i="100"/>
  <c r="HH256" i="100"/>
  <c r="HH266" i="100"/>
  <c r="HH258" i="100"/>
  <c r="HH268" i="100"/>
  <c r="HH265" i="100"/>
  <c r="HH257" i="100"/>
  <c r="HH270" i="100"/>
  <c r="HH264" i="100"/>
  <c r="HH255" i="100"/>
  <c r="HH267" i="100"/>
  <c r="HE264" i="100"/>
  <c r="HH263" i="100"/>
  <c r="HH253" i="100"/>
  <c r="HH269" i="100"/>
  <c r="HH261" i="100"/>
  <c r="HE255" i="100"/>
  <c r="HE253" i="100"/>
  <c r="HE263" i="100"/>
  <c r="HE268" i="100"/>
  <c r="HE257" i="100"/>
  <c r="HE265" i="100"/>
  <c r="HE267" i="100"/>
  <c r="HE259" i="100"/>
  <c r="HE261" i="100"/>
  <c r="HE269" i="100"/>
  <c r="HE258" i="100"/>
  <c r="HE256" i="100"/>
  <c r="HE260" i="100"/>
  <c r="HE262" i="100"/>
  <c r="HE254" i="100"/>
  <c r="HH188" i="100"/>
  <c r="HH195" i="100"/>
  <c r="HH187" i="100"/>
  <c r="HH194" i="100"/>
  <c r="HH183" i="100"/>
  <c r="HH197" i="100"/>
  <c r="HH193" i="100"/>
  <c r="HH186" i="100"/>
  <c r="HH190" i="100"/>
  <c r="HH192" i="100"/>
  <c r="HH185" i="100"/>
  <c r="HH196" i="100"/>
  <c r="HH191" i="100"/>
  <c r="HH198" i="100"/>
  <c r="HH189" i="100"/>
  <c r="HH182" i="100"/>
  <c r="HH181" i="100"/>
  <c r="HH184" i="100"/>
  <c r="HE195" i="100"/>
  <c r="HE189" i="100"/>
  <c r="HE185" i="100"/>
  <c r="HE192" i="100"/>
  <c r="HE197" i="100"/>
  <c r="HE190" i="100"/>
  <c r="HE191" i="100"/>
  <c r="HE182" i="100"/>
  <c r="HE198" i="100"/>
  <c r="HE193" i="100"/>
  <c r="HE183" i="100"/>
  <c r="HE181" i="100"/>
  <c r="HE186" i="100"/>
  <c r="HE194" i="100"/>
  <c r="HE184" i="100"/>
  <c r="HE188" i="100"/>
  <c r="HE196" i="100"/>
  <c r="HE187" i="100"/>
  <c r="HH121" i="100"/>
  <c r="HH120" i="100"/>
  <c r="HH123" i="100"/>
  <c r="HH115" i="100"/>
  <c r="HH124" i="100"/>
  <c r="HH118" i="100"/>
  <c r="HH114" i="100"/>
  <c r="HH119" i="100"/>
  <c r="HH125" i="100"/>
  <c r="HH117" i="100"/>
  <c r="HH113" i="100"/>
  <c r="HH116" i="100"/>
  <c r="HH122" i="100"/>
  <c r="HH126" i="100"/>
  <c r="HH112" i="100"/>
  <c r="HE126" i="100"/>
  <c r="HE122" i="100"/>
  <c r="HE125" i="100"/>
  <c r="HE112" i="100"/>
  <c r="HE120" i="100"/>
  <c r="HE113" i="100"/>
  <c r="HE116" i="100"/>
  <c r="HE117" i="100"/>
  <c r="HE114" i="100"/>
  <c r="HE118" i="100"/>
  <c r="HE121" i="100"/>
  <c r="HE123" i="100"/>
  <c r="HE124" i="100"/>
  <c r="HE115" i="100"/>
  <c r="HE119" i="100"/>
  <c r="HH57" i="100"/>
  <c r="HH59" i="100"/>
  <c r="HH65" i="100"/>
  <c r="HH64" i="100"/>
  <c r="HH58" i="100"/>
  <c r="HH55" i="100"/>
  <c r="HH56" i="100"/>
  <c r="HH62" i="100"/>
  <c r="HH52" i="100"/>
  <c r="HH66" i="100"/>
  <c r="HH61" i="100"/>
  <c r="HH60" i="100"/>
  <c r="HH53" i="100"/>
  <c r="HH63" i="100"/>
  <c r="HH54" i="100"/>
  <c r="HE56" i="100"/>
  <c r="HE60" i="100"/>
  <c r="HE62" i="100"/>
  <c r="HE66" i="100"/>
  <c r="HE52" i="100"/>
  <c r="HE61" i="100"/>
  <c r="HE54" i="100"/>
  <c r="HE65" i="100"/>
  <c r="HE57" i="100"/>
  <c r="HE63" i="100"/>
  <c r="HE58" i="100"/>
  <c r="HE59" i="100"/>
  <c r="HE55" i="100"/>
  <c r="HE53" i="100"/>
  <c r="HE64" i="100"/>
  <c r="HH720" i="100"/>
  <c r="HE712" i="100"/>
  <c r="HH716" i="100"/>
  <c r="HH711" i="100"/>
  <c r="HH712" i="100"/>
  <c r="HH707" i="100"/>
  <c r="HH719" i="100"/>
  <c r="HH722" i="100"/>
  <c r="HH708" i="100"/>
  <c r="HH706" i="100"/>
  <c r="HH717" i="100"/>
  <c r="HH709" i="100"/>
  <c r="HH704" i="100"/>
  <c r="HH723" i="100"/>
  <c r="HH715" i="100"/>
  <c r="HE716" i="100"/>
  <c r="HH714" i="100"/>
  <c r="HH703" i="100"/>
  <c r="HH710" i="100"/>
  <c r="HH713" i="100"/>
  <c r="HH718" i="100"/>
  <c r="HH721" i="100"/>
  <c r="HH705" i="100"/>
  <c r="HE703" i="100"/>
  <c r="HE721" i="100"/>
  <c r="HE713" i="100"/>
  <c r="HE705" i="100"/>
  <c r="HE708" i="100"/>
  <c r="HE723" i="100"/>
  <c r="HE717" i="100"/>
  <c r="HE709" i="100"/>
  <c r="HE706" i="100"/>
  <c r="HE711" i="100"/>
  <c r="HE722" i="100"/>
  <c r="HE719" i="100"/>
  <c r="HE720" i="100"/>
  <c r="HE704" i="100"/>
  <c r="HE715" i="100"/>
  <c r="HE718" i="100"/>
  <c r="HE710" i="100"/>
  <c r="HE707" i="100"/>
  <c r="HE714" i="100"/>
  <c r="HH466" i="100"/>
  <c r="HH456" i="100"/>
  <c r="HH452" i="100"/>
  <c r="HH471" i="100"/>
  <c r="HH470" i="100"/>
  <c r="HE470" i="100"/>
  <c r="HH460" i="100"/>
  <c r="HH467" i="100"/>
  <c r="HH459" i="100"/>
  <c r="HH454" i="100"/>
  <c r="HE460" i="100"/>
  <c r="HH455" i="100"/>
  <c r="HH451" i="100"/>
  <c r="HH468" i="100"/>
  <c r="HE471" i="100"/>
  <c r="HH464" i="100"/>
  <c r="HH463" i="100"/>
  <c r="HH458" i="100"/>
  <c r="HE454" i="100"/>
  <c r="HE468" i="100"/>
  <c r="HH462" i="100"/>
  <c r="HH469" i="100"/>
  <c r="HH461" i="100"/>
  <c r="HH453" i="100"/>
  <c r="HH465" i="100"/>
  <c r="HH457" i="100"/>
  <c r="HE465" i="100"/>
  <c r="HE461" i="100"/>
  <c r="HE452" i="100"/>
  <c r="HE455" i="100"/>
  <c r="HE453" i="100"/>
  <c r="HE469" i="100"/>
  <c r="HE456" i="100"/>
  <c r="HE457" i="100"/>
  <c r="HE459" i="100"/>
  <c r="HE458" i="100"/>
  <c r="HE463" i="100"/>
  <c r="HE467" i="100"/>
  <c r="HE466" i="100"/>
  <c r="HE462" i="100"/>
  <c r="HE451" i="100"/>
  <c r="HE464" i="100"/>
  <c r="HH152" i="100"/>
  <c r="HH162" i="100"/>
  <c r="HH153" i="100"/>
  <c r="HH156" i="100"/>
  <c r="HH146" i="100"/>
  <c r="HH161" i="100"/>
  <c r="HH154" i="100"/>
  <c r="HH145" i="100"/>
  <c r="HH158" i="100"/>
  <c r="HH147" i="100"/>
  <c r="HH157" i="100"/>
  <c r="HE158" i="100"/>
  <c r="HE145" i="100"/>
  <c r="HH148" i="100"/>
  <c r="HH155" i="100"/>
  <c r="HH150" i="100"/>
  <c r="HH151" i="100"/>
  <c r="HH159" i="100"/>
  <c r="HH160" i="100"/>
  <c r="HH149" i="100"/>
  <c r="HE155" i="100"/>
  <c r="HE148" i="100"/>
  <c r="HE157" i="100"/>
  <c r="HE160" i="100"/>
  <c r="HE150" i="100"/>
  <c r="HE152" i="100"/>
  <c r="HE159" i="100"/>
  <c r="HE147" i="100"/>
  <c r="HE154" i="100"/>
  <c r="HE161" i="100"/>
  <c r="HE156" i="100"/>
  <c r="HE162" i="100"/>
  <c r="HE151" i="100"/>
  <c r="HE153" i="100"/>
  <c r="HE146" i="100"/>
  <c r="HE149" i="100"/>
  <c r="T8" i="100"/>
  <c r="HH20" i="100" l="1"/>
  <c r="HH21" i="100"/>
  <c r="HH14" i="100"/>
  <c r="HH19" i="100"/>
  <c r="HH13" i="100"/>
  <c r="HH7" i="100"/>
  <c r="HH17" i="100"/>
  <c r="HH8" i="100"/>
  <c r="HH10" i="100"/>
  <c r="HH18" i="100"/>
  <c r="HH11" i="100"/>
  <c r="HH16" i="100"/>
  <c r="HH15" i="100"/>
  <c r="HH9" i="100"/>
  <c r="HH12" i="100"/>
  <c r="HE16" i="100"/>
  <c r="HE18" i="100"/>
  <c r="HE9" i="100"/>
  <c r="HE12" i="100"/>
  <c r="HE19" i="100"/>
  <c r="HE10" i="100"/>
  <c r="HE11" i="100"/>
  <c r="HE14" i="100"/>
  <c r="HE21" i="100"/>
  <c r="HE17" i="100"/>
  <c r="HE20" i="100"/>
  <c r="HE13" i="100"/>
  <c r="HE15" i="100"/>
  <c r="HE7" i="100"/>
  <c r="HE8" i="100"/>
  <c r="BA293" i="100"/>
  <c r="AZ293" i="100"/>
  <c r="BA292" i="100"/>
  <c r="AZ292" i="100"/>
  <c r="BA291" i="100"/>
  <c r="AZ291" i="100"/>
  <c r="BA290" i="100"/>
  <c r="AZ290" i="100"/>
  <c r="BA289" i="100"/>
  <c r="AZ289" i="100"/>
  <c r="BA288" i="100"/>
  <c r="AZ288" i="100"/>
  <c r="BA263" i="100"/>
  <c r="AZ263" i="100"/>
  <c r="BA262" i="100"/>
  <c r="AZ262" i="100"/>
  <c r="BA261" i="100"/>
  <c r="AZ261" i="100"/>
  <c r="BA260" i="100"/>
  <c r="AZ260" i="100"/>
  <c r="BA259" i="100"/>
  <c r="AZ259" i="100"/>
  <c r="BA258" i="100"/>
  <c r="AZ258" i="100"/>
  <c r="BA231" i="100"/>
  <c r="BA232" i="100"/>
  <c r="BA233" i="100"/>
  <c r="BA234" i="100"/>
  <c r="BB234" i="100"/>
  <c r="BA235" i="100"/>
  <c r="BA236" i="100"/>
  <c r="AZ231" i="100"/>
  <c r="AZ232" i="100"/>
  <c r="AZ233" i="100"/>
  <c r="AZ234" i="100"/>
  <c r="AZ235" i="100"/>
  <c r="AZ236" i="100"/>
  <c r="BA8" i="100"/>
  <c r="BA9" i="100"/>
  <c r="BA10" i="100"/>
  <c r="BA11" i="100"/>
  <c r="BA12" i="100"/>
  <c r="BA13" i="100"/>
  <c r="BA14" i="100"/>
  <c r="BA15" i="100"/>
  <c r="BA16" i="100"/>
  <c r="BA17" i="100"/>
  <c r="BA18" i="100"/>
  <c r="BA19" i="100"/>
  <c r="BA20" i="100"/>
  <c r="BA21" i="100"/>
  <c r="BA22" i="100"/>
  <c r="BA23" i="100"/>
  <c r="BA24" i="100"/>
  <c r="BA25" i="100"/>
  <c r="BA26" i="100"/>
  <c r="BA27" i="100"/>
  <c r="BA28" i="100"/>
  <c r="BA29" i="100"/>
  <c r="BA30" i="100"/>
  <c r="BA31" i="100"/>
  <c r="BA32" i="100"/>
  <c r="BA33" i="100"/>
  <c r="BA34" i="100"/>
  <c r="BA35" i="100"/>
  <c r="BA36" i="100"/>
  <c r="BA37" i="100"/>
  <c r="BA38" i="100"/>
  <c r="BA39" i="100"/>
  <c r="BA40" i="100"/>
  <c r="BA41" i="100"/>
  <c r="BA42" i="100"/>
  <c r="BA43" i="100"/>
  <c r="BA44" i="100"/>
  <c r="BA45" i="100"/>
  <c r="BA46" i="100"/>
  <c r="BA47" i="100"/>
  <c r="BA48" i="100"/>
  <c r="BA49" i="100"/>
  <c r="BA50" i="100"/>
  <c r="BA51" i="100"/>
  <c r="BA52" i="100"/>
  <c r="BA53" i="100"/>
  <c r="BA54" i="100"/>
  <c r="BA55" i="100"/>
  <c r="BA56" i="100"/>
  <c r="BA57" i="100"/>
  <c r="BA58" i="100"/>
  <c r="BA59" i="100"/>
  <c r="BA60" i="100"/>
  <c r="BA61" i="100"/>
  <c r="BA62" i="100"/>
  <c r="BA63" i="100"/>
  <c r="BA64" i="100"/>
  <c r="BA65" i="100"/>
  <c r="BA66" i="100"/>
  <c r="BA67" i="100"/>
  <c r="BA68" i="100"/>
  <c r="BA69" i="100"/>
  <c r="BA70" i="100"/>
  <c r="BA71" i="100"/>
  <c r="BA72" i="100"/>
  <c r="BA73" i="100"/>
  <c r="BA74" i="100"/>
  <c r="BA75" i="100"/>
  <c r="BA76" i="100"/>
  <c r="BA77" i="100"/>
  <c r="BA78" i="100"/>
  <c r="BA79" i="100"/>
  <c r="BA80" i="100"/>
  <c r="BA81" i="100"/>
  <c r="BA82" i="100"/>
  <c r="BA83" i="100"/>
  <c r="BA84" i="100"/>
  <c r="BA85" i="100"/>
  <c r="BA86" i="100"/>
  <c r="BA87" i="100"/>
  <c r="BA88" i="100"/>
  <c r="BA89" i="100"/>
  <c r="BA90" i="100"/>
  <c r="BA91" i="100"/>
  <c r="BA92" i="100"/>
  <c r="BA93" i="100"/>
  <c r="BA94" i="100"/>
  <c r="BA95" i="100"/>
  <c r="BA96" i="100"/>
  <c r="BA97" i="100"/>
  <c r="BA98" i="100"/>
  <c r="BA99" i="100"/>
  <c r="BA100" i="100"/>
  <c r="BA101" i="100"/>
  <c r="BA102" i="100"/>
  <c r="BA103" i="100"/>
  <c r="BA104" i="100"/>
  <c r="BA105" i="100"/>
  <c r="BA106" i="100"/>
  <c r="BA107" i="100"/>
  <c r="BA108" i="100"/>
  <c r="BA109" i="100"/>
  <c r="BA110" i="100"/>
  <c r="BA111" i="100"/>
  <c r="BA112" i="100"/>
  <c r="BA113" i="100"/>
  <c r="BA114" i="100"/>
  <c r="BA115" i="100"/>
  <c r="BA116" i="100"/>
  <c r="BA117" i="100"/>
  <c r="BA118" i="100"/>
  <c r="BA119" i="100"/>
  <c r="BA120" i="100"/>
  <c r="BA121" i="100"/>
  <c r="BA122" i="100"/>
  <c r="BA123" i="100"/>
  <c r="BA124" i="100"/>
  <c r="BA125" i="100"/>
  <c r="BA126" i="100"/>
  <c r="BA127" i="100"/>
  <c r="BA128" i="100"/>
  <c r="BA129" i="100"/>
  <c r="BA130" i="100"/>
  <c r="BA131" i="100"/>
  <c r="BA132" i="100"/>
  <c r="BA133" i="100"/>
  <c r="BA134" i="100"/>
  <c r="BA135" i="100"/>
  <c r="BA136" i="100"/>
  <c r="BA137" i="100"/>
  <c r="BA138" i="100"/>
  <c r="BA139" i="100"/>
  <c r="BA140" i="100"/>
  <c r="BA141" i="100"/>
  <c r="BA142" i="100"/>
  <c r="BA143" i="100"/>
  <c r="BA144" i="100"/>
  <c r="BA145" i="100"/>
  <c r="BA146" i="100"/>
  <c r="BA147" i="100"/>
  <c r="BA148" i="100"/>
  <c r="BA149" i="100"/>
  <c r="BA150" i="100"/>
  <c r="BA151" i="100"/>
  <c r="BA152" i="100"/>
  <c r="BA153" i="100"/>
  <c r="BA154" i="100"/>
  <c r="BA155" i="100"/>
  <c r="BA156" i="100"/>
  <c r="BA157" i="100"/>
  <c r="BA158" i="100"/>
  <c r="BA159" i="100"/>
  <c r="BA160" i="100"/>
  <c r="BA161" i="100"/>
  <c r="BA162" i="100"/>
  <c r="BA163" i="100"/>
  <c r="BA164" i="100"/>
  <c r="BA165" i="100"/>
  <c r="BA166" i="100"/>
  <c r="BA167" i="100"/>
  <c r="BA168" i="100"/>
  <c r="BA169" i="100"/>
  <c r="BA170" i="100"/>
  <c r="BA171" i="100"/>
  <c r="BA172" i="100"/>
  <c r="BA173" i="100"/>
  <c r="BA174" i="100"/>
  <c r="BA175" i="100"/>
  <c r="BA176" i="100"/>
  <c r="BA177" i="100"/>
  <c r="BA178" i="100"/>
  <c r="BA179" i="100"/>
  <c r="BA180" i="100"/>
  <c r="BA181" i="100"/>
  <c r="BA182" i="100"/>
  <c r="BA183" i="100"/>
  <c r="BA184" i="100"/>
  <c r="BA185" i="100"/>
  <c r="BA186" i="100"/>
  <c r="BA187" i="100"/>
  <c r="BA188" i="100"/>
  <c r="BA189" i="100"/>
  <c r="BA190" i="100"/>
  <c r="BA191" i="100"/>
  <c r="BA192" i="100"/>
  <c r="BA193" i="100"/>
  <c r="BA194" i="100"/>
  <c r="BA195" i="100"/>
  <c r="BA196" i="100"/>
  <c r="BA197" i="100"/>
  <c r="BA198" i="100"/>
  <c r="BA199" i="100"/>
  <c r="BA200" i="100"/>
  <c r="BA201" i="100"/>
  <c r="BA202" i="100"/>
  <c r="BA203" i="100"/>
  <c r="BA204" i="100"/>
  <c r="BA205" i="100"/>
  <c r="BA206" i="100"/>
  <c r="BA207" i="100"/>
  <c r="BA208" i="100"/>
  <c r="BA209" i="100"/>
  <c r="BA210" i="100"/>
  <c r="BA211" i="100"/>
  <c r="BA212" i="100"/>
  <c r="BA213" i="100"/>
  <c r="BA214" i="100"/>
  <c r="BA215" i="100"/>
  <c r="BA216" i="100"/>
  <c r="BA217" i="100"/>
  <c r="BA218" i="100"/>
  <c r="BA219" i="100"/>
  <c r="BA220" i="100"/>
  <c r="BA221" i="100"/>
  <c r="BA222" i="100"/>
  <c r="BA223" i="100"/>
  <c r="BA224" i="100"/>
  <c r="BA225" i="100"/>
  <c r="BA226" i="100"/>
  <c r="BA227" i="100"/>
  <c r="BA228" i="100"/>
  <c r="BA229" i="100"/>
  <c r="BA230" i="100"/>
  <c r="BA237" i="100"/>
  <c r="BA238" i="100"/>
  <c r="BA239" i="100"/>
  <c r="BA240" i="100"/>
  <c r="BA241" i="100"/>
  <c r="BA242" i="100"/>
  <c r="BA243" i="100"/>
  <c r="BA244" i="100"/>
  <c r="BA245" i="100"/>
  <c r="BA246" i="100"/>
  <c r="BA247" i="100"/>
  <c r="BA248" i="100"/>
  <c r="BA249" i="100"/>
  <c r="BA250" i="100"/>
  <c r="BA251" i="100"/>
  <c r="BA252" i="100"/>
  <c r="BA253" i="100"/>
  <c r="BA254" i="100"/>
  <c r="BA255" i="100"/>
  <c r="BA256" i="100"/>
  <c r="BA257" i="100"/>
  <c r="BA264" i="100"/>
  <c r="BA265" i="100"/>
  <c r="BA266" i="100"/>
  <c r="BA267" i="100"/>
  <c r="BA268" i="100"/>
  <c r="BA269" i="100"/>
  <c r="BA270" i="100"/>
  <c r="BA271" i="100"/>
  <c r="BA272" i="100"/>
  <c r="BA273" i="100"/>
  <c r="BA274" i="100"/>
  <c r="BA275" i="100"/>
  <c r="BA276" i="100"/>
  <c r="BA277" i="100"/>
  <c r="BA278" i="100"/>
  <c r="BA279" i="100"/>
  <c r="BA280" i="100"/>
  <c r="BA281" i="100"/>
  <c r="BA282" i="100"/>
  <c r="BA283" i="100"/>
  <c r="BA284" i="100"/>
  <c r="BA285" i="100"/>
  <c r="BA286" i="100"/>
  <c r="BA287" i="100"/>
  <c r="BA294" i="100"/>
  <c r="BA295" i="100"/>
  <c r="BA296" i="100"/>
  <c r="BA297" i="100"/>
  <c r="BA298" i="100"/>
  <c r="BA299" i="100"/>
  <c r="BA300" i="100"/>
  <c r="BA301" i="100"/>
  <c r="BA7" i="100"/>
  <c r="L28" i="100"/>
  <c r="L27" i="100"/>
  <c r="L26" i="100"/>
  <c r="L25" i="100"/>
  <c r="L24" i="100"/>
  <c r="L23" i="100"/>
  <c r="L22" i="100"/>
  <c r="L21" i="100"/>
  <c r="L20" i="100"/>
  <c r="L19" i="100"/>
  <c r="L18" i="100"/>
  <c r="L17" i="100"/>
  <c r="L16" i="100"/>
  <c r="L15" i="100"/>
  <c r="L14" i="100"/>
  <c r="L13" i="100"/>
  <c r="L12" i="100"/>
  <c r="L11" i="100"/>
  <c r="L10" i="100"/>
  <c r="L9" i="100"/>
  <c r="L8" i="100"/>
  <c r="BB12" i="100"/>
  <c r="BB16" i="100"/>
  <c r="BB26" i="100"/>
  <c r="BB30" i="100"/>
  <c r="BB34" i="100"/>
  <c r="BB38" i="100"/>
  <c r="BB39" i="100"/>
  <c r="BB43" i="100"/>
  <c r="BB47" i="100"/>
  <c r="BB51" i="100"/>
  <c r="BB52" i="100"/>
  <c r="BB55" i="100"/>
  <c r="BB56" i="100"/>
  <c r="BB59" i="100"/>
  <c r="BB60" i="100"/>
  <c r="BB63" i="100"/>
  <c r="BB65" i="100"/>
  <c r="BB69" i="100"/>
  <c r="BB77" i="100"/>
  <c r="BB78" i="100"/>
  <c r="BB81" i="100"/>
  <c r="BB82" i="100"/>
  <c r="BB90" i="100"/>
  <c r="BB91" i="100"/>
  <c r="BB94" i="100"/>
  <c r="BB95" i="100"/>
  <c r="BB104" i="100"/>
  <c r="BB108" i="100"/>
  <c r="BB112" i="100"/>
  <c r="BB116" i="100"/>
  <c r="BB117" i="100"/>
  <c r="BB120" i="100"/>
  <c r="BB121" i="100"/>
  <c r="BB124" i="100"/>
  <c r="BB125" i="100"/>
  <c r="BB129" i="100"/>
  <c r="BB130" i="100"/>
  <c r="BB133" i="100"/>
  <c r="BB134" i="100"/>
  <c r="BB137" i="100"/>
  <c r="BB138" i="100"/>
  <c r="BB141" i="100"/>
  <c r="BB167" i="100"/>
  <c r="BB214" i="100"/>
  <c r="BB215" i="100"/>
  <c r="BB218" i="100"/>
  <c r="BB219" i="100"/>
  <c r="BB222" i="100"/>
  <c r="BB223" i="100"/>
  <c r="BB226" i="100"/>
  <c r="BB227" i="100"/>
  <c r="BB230" i="100"/>
  <c r="BB237" i="100"/>
  <c r="BB241" i="100"/>
  <c r="BB245" i="100"/>
  <c r="BB249" i="100"/>
  <c r="BB253" i="100"/>
  <c r="BB257" i="100"/>
  <c r="BB267" i="100"/>
  <c r="BB271" i="100"/>
  <c r="BB275" i="100"/>
  <c r="BB279" i="100"/>
  <c r="BB283" i="100"/>
  <c r="BB287" i="100"/>
  <c r="BB297" i="100"/>
  <c r="BB301" i="100"/>
  <c r="AL8" i="100"/>
  <c r="BB11" i="100" s="1"/>
  <c r="AL9" i="100"/>
  <c r="BB27" i="100" s="1"/>
  <c r="AL10" i="100"/>
  <c r="BB20" i="100" s="1"/>
  <c r="AL11" i="100"/>
  <c r="BB29" i="100" s="1"/>
  <c r="AL12" i="100"/>
  <c r="BB15" i="100" s="1"/>
  <c r="AL13" i="100"/>
  <c r="BB31" i="100" s="1"/>
  <c r="AL14" i="100"/>
  <c r="BB24" i="100" s="1"/>
  <c r="AL15" i="100"/>
  <c r="BB33" i="100" s="1"/>
  <c r="AL16" i="100"/>
  <c r="BB46" i="100" s="1"/>
  <c r="AL17" i="100"/>
  <c r="BB165" i="100" s="1"/>
  <c r="AL18" i="100"/>
  <c r="BB145" i="100" s="1"/>
  <c r="AL19" i="100"/>
  <c r="BB217" i="100" s="1"/>
  <c r="AL20" i="100"/>
  <c r="BB147" i="100" s="1"/>
  <c r="AL21" i="100"/>
  <c r="BB72" i="100" s="1"/>
  <c r="AL22" i="100"/>
  <c r="BB85" i="100" s="1"/>
  <c r="AL23" i="100"/>
  <c r="BB221" i="100" s="1"/>
  <c r="AL24" i="100"/>
  <c r="BB87" i="100" s="1"/>
  <c r="AL25" i="100"/>
  <c r="BB173" i="100" s="1"/>
  <c r="AL26" i="100"/>
  <c r="BB102" i="100" s="1"/>
  <c r="AL27" i="100"/>
  <c r="BB111" i="100" s="1"/>
  <c r="AL28" i="100"/>
  <c r="BB155" i="100" s="1"/>
  <c r="AL29" i="100"/>
  <c r="BB177" i="100" s="1"/>
  <c r="AL30" i="100"/>
  <c r="BB157" i="100" s="1"/>
  <c r="AL31" i="100"/>
  <c r="BB229" i="100" s="1"/>
  <c r="AL32" i="100"/>
  <c r="BB159" i="100" s="1"/>
  <c r="AL33" i="100"/>
  <c r="BB181" i="100" s="1"/>
  <c r="AL34" i="100"/>
  <c r="BB259" i="100" s="1"/>
  <c r="AL35" i="100"/>
  <c r="BB260" i="100" s="1"/>
  <c r="AL36" i="100"/>
  <c r="BB291" i="100" s="1"/>
  <c r="AL37" i="100"/>
  <c r="BB185" i="100" s="1"/>
  <c r="AL38" i="100"/>
  <c r="BB263" i="100" s="1"/>
  <c r="AL39" i="100"/>
  <c r="BB211" i="100" s="1"/>
  <c r="AL40" i="100"/>
  <c r="BB212" i="100" s="1"/>
  <c r="AL41" i="100"/>
  <c r="BB264" i="100" s="1"/>
  <c r="AL42" i="100"/>
  <c r="BB265" i="100" s="1"/>
  <c r="AL43" i="100"/>
  <c r="BB239" i="100" s="1"/>
  <c r="AL44" i="100"/>
  <c r="AL45" i="100"/>
  <c r="BB268" i="100" s="1"/>
  <c r="AL46" i="100"/>
  <c r="BB269" i="100" s="1"/>
  <c r="AL47" i="100"/>
  <c r="BB300" i="100" s="1"/>
  <c r="AL48" i="100"/>
  <c r="AL7" i="100"/>
  <c r="BB103" i="100" s="1"/>
  <c r="AZ8" i="100"/>
  <c r="AZ9" i="100"/>
  <c r="AZ10" i="100"/>
  <c r="AZ11" i="100"/>
  <c r="AZ12" i="100"/>
  <c r="AZ13" i="100"/>
  <c r="AZ14" i="100"/>
  <c r="AZ15" i="100"/>
  <c r="AZ16" i="100"/>
  <c r="AZ17" i="100"/>
  <c r="AZ18" i="100"/>
  <c r="AZ19" i="100"/>
  <c r="AZ20" i="100"/>
  <c r="AZ21" i="100"/>
  <c r="AZ22" i="100"/>
  <c r="AZ23" i="100"/>
  <c r="AZ24" i="100"/>
  <c r="AZ25" i="100"/>
  <c r="AZ26" i="100"/>
  <c r="AZ27" i="100"/>
  <c r="AZ28" i="100"/>
  <c r="AZ29" i="100"/>
  <c r="AZ30" i="100"/>
  <c r="AZ31" i="100"/>
  <c r="AZ32" i="100"/>
  <c r="AZ33" i="100"/>
  <c r="AZ34" i="100"/>
  <c r="AZ35" i="100"/>
  <c r="AZ36" i="100"/>
  <c r="AZ37" i="100"/>
  <c r="AZ38" i="100"/>
  <c r="AZ39" i="100"/>
  <c r="AZ40" i="100"/>
  <c r="AZ41" i="100"/>
  <c r="AZ42" i="100"/>
  <c r="AZ43" i="100"/>
  <c r="AZ44" i="100"/>
  <c r="AZ45" i="100"/>
  <c r="AZ46" i="100"/>
  <c r="AZ47" i="100"/>
  <c r="AZ48" i="100"/>
  <c r="AZ49" i="100"/>
  <c r="AZ50" i="100"/>
  <c r="AZ51" i="100"/>
  <c r="AZ52" i="100"/>
  <c r="AZ53" i="100"/>
  <c r="AZ54" i="100"/>
  <c r="AZ55" i="100"/>
  <c r="AZ56" i="100"/>
  <c r="AZ57" i="100"/>
  <c r="AZ58" i="100"/>
  <c r="AZ59" i="100"/>
  <c r="AZ60" i="100"/>
  <c r="AZ61" i="100"/>
  <c r="AZ62" i="100"/>
  <c r="AZ63" i="100"/>
  <c r="AZ64" i="100"/>
  <c r="AZ65" i="100"/>
  <c r="AZ66" i="100"/>
  <c r="AZ67" i="100"/>
  <c r="AZ68" i="100"/>
  <c r="AZ69" i="100"/>
  <c r="AZ70" i="100"/>
  <c r="AZ71" i="100"/>
  <c r="AZ72" i="100"/>
  <c r="AZ73" i="100"/>
  <c r="AZ74" i="100"/>
  <c r="AZ75" i="100"/>
  <c r="AZ76" i="100"/>
  <c r="AZ77" i="100"/>
  <c r="AZ78" i="100"/>
  <c r="AZ79" i="100"/>
  <c r="AZ80" i="100"/>
  <c r="AZ81" i="100"/>
  <c r="AZ82" i="100"/>
  <c r="AZ83" i="100"/>
  <c r="AZ84" i="100"/>
  <c r="AZ85" i="100"/>
  <c r="AZ86" i="100"/>
  <c r="AZ87" i="100"/>
  <c r="AZ88" i="100"/>
  <c r="AZ89" i="100"/>
  <c r="AZ90" i="100"/>
  <c r="AZ91" i="100"/>
  <c r="AZ92" i="100"/>
  <c r="AZ93" i="100"/>
  <c r="AZ94" i="100"/>
  <c r="AZ95" i="100"/>
  <c r="AZ96" i="100"/>
  <c r="AZ97" i="100"/>
  <c r="AZ98" i="100"/>
  <c r="AZ99" i="100"/>
  <c r="AZ100" i="100"/>
  <c r="AZ101" i="100"/>
  <c r="AZ102" i="100"/>
  <c r="AZ103" i="100"/>
  <c r="AZ104" i="100"/>
  <c r="AZ105" i="100"/>
  <c r="AZ106" i="100"/>
  <c r="AZ107" i="100"/>
  <c r="AZ108" i="100"/>
  <c r="AZ109" i="100"/>
  <c r="AZ110" i="100"/>
  <c r="AZ111" i="100"/>
  <c r="AZ112" i="100"/>
  <c r="AZ113" i="100"/>
  <c r="AZ114" i="100"/>
  <c r="AZ115" i="100"/>
  <c r="AZ116" i="100"/>
  <c r="AZ117" i="100"/>
  <c r="AZ118" i="100"/>
  <c r="AZ119" i="100"/>
  <c r="AZ120" i="100"/>
  <c r="AZ121" i="100"/>
  <c r="AZ122" i="100"/>
  <c r="AZ123" i="100"/>
  <c r="AZ124" i="100"/>
  <c r="AZ125" i="100"/>
  <c r="AZ126" i="100"/>
  <c r="AZ127" i="100"/>
  <c r="AZ128" i="100"/>
  <c r="AZ129" i="100"/>
  <c r="AZ130" i="100"/>
  <c r="AZ131" i="100"/>
  <c r="AZ132" i="100"/>
  <c r="AZ133" i="100"/>
  <c r="AZ134" i="100"/>
  <c r="AZ135" i="100"/>
  <c r="AZ136" i="100"/>
  <c r="AZ137" i="100"/>
  <c r="AZ138" i="100"/>
  <c r="AZ139" i="100"/>
  <c r="AZ140" i="100"/>
  <c r="AZ141" i="100"/>
  <c r="AZ142" i="100"/>
  <c r="AZ143" i="100"/>
  <c r="AZ144" i="100"/>
  <c r="AZ145" i="100"/>
  <c r="AZ146" i="100"/>
  <c r="AZ147" i="100"/>
  <c r="AZ148" i="100"/>
  <c r="AZ149" i="100"/>
  <c r="AZ150" i="100"/>
  <c r="AZ151" i="100"/>
  <c r="AZ152" i="100"/>
  <c r="AZ153" i="100"/>
  <c r="AZ154" i="100"/>
  <c r="AZ155" i="100"/>
  <c r="AZ156" i="100"/>
  <c r="AZ157" i="100"/>
  <c r="AZ158" i="100"/>
  <c r="AZ159" i="100"/>
  <c r="AZ160" i="100"/>
  <c r="AZ161" i="100"/>
  <c r="AZ162" i="100"/>
  <c r="AZ163" i="100"/>
  <c r="AZ164" i="100"/>
  <c r="AZ165" i="100"/>
  <c r="AZ166" i="100"/>
  <c r="AZ167" i="100"/>
  <c r="AZ168" i="100"/>
  <c r="AZ169" i="100"/>
  <c r="AZ170" i="100"/>
  <c r="AZ171" i="100"/>
  <c r="AZ172" i="100"/>
  <c r="AZ173" i="100"/>
  <c r="AZ174" i="100"/>
  <c r="AZ175" i="100"/>
  <c r="AZ176" i="100"/>
  <c r="AZ177" i="100"/>
  <c r="AZ178" i="100"/>
  <c r="AZ179" i="100"/>
  <c r="AZ180" i="100"/>
  <c r="AZ181" i="100"/>
  <c r="AZ182" i="100"/>
  <c r="AZ183" i="100"/>
  <c r="AZ184" i="100"/>
  <c r="AZ185" i="100"/>
  <c r="AZ186" i="100"/>
  <c r="AZ187" i="100"/>
  <c r="AZ188" i="100"/>
  <c r="AZ189" i="100"/>
  <c r="AZ190" i="100"/>
  <c r="AZ191" i="100"/>
  <c r="AZ192" i="100"/>
  <c r="AZ193" i="100"/>
  <c r="AZ194" i="100"/>
  <c r="AZ195" i="100"/>
  <c r="AZ196" i="100"/>
  <c r="AZ197" i="100"/>
  <c r="AZ198" i="100"/>
  <c r="AZ199" i="100"/>
  <c r="AZ200" i="100"/>
  <c r="AZ201" i="100"/>
  <c r="AZ202" i="100"/>
  <c r="AZ203" i="100"/>
  <c r="AZ204" i="100"/>
  <c r="AZ205" i="100"/>
  <c r="AZ206" i="100"/>
  <c r="AZ207" i="100"/>
  <c r="AZ208" i="100"/>
  <c r="AZ209" i="100"/>
  <c r="AZ210" i="100"/>
  <c r="AZ211" i="100"/>
  <c r="AZ212" i="100"/>
  <c r="AZ213" i="100"/>
  <c r="AZ214" i="100"/>
  <c r="AZ215" i="100"/>
  <c r="AZ216" i="100"/>
  <c r="AZ217" i="100"/>
  <c r="AZ218" i="100"/>
  <c r="AZ219" i="100"/>
  <c r="AZ220" i="100"/>
  <c r="AZ221" i="100"/>
  <c r="AZ222" i="100"/>
  <c r="AZ223" i="100"/>
  <c r="AZ224" i="100"/>
  <c r="AZ225" i="100"/>
  <c r="AZ226" i="100"/>
  <c r="AZ227" i="100"/>
  <c r="AZ228" i="100"/>
  <c r="AZ229" i="100"/>
  <c r="AZ230" i="100"/>
  <c r="AZ237" i="100"/>
  <c r="AZ238" i="100"/>
  <c r="AZ239" i="100"/>
  <c r="AZ240" i="100"/>
  <c r="AZ241" i="100"/>
  <c r="AZ242" i="100"/>
  <c r="AZ243" i="100"/>
  <c r="AZ244" i="100"/>
  <c r="AZ245" i="100"/>
  <c r="AZ246" i="100"/>
  <c r="AZ247" i="100"/>
  <c r="AZ248" i="100"/>
  <c r="AZ249" i="100"/>
  <c r="AZ250" i="100"/>
  <c r="AZ251" i="100"/>
  <c r="AZ252" i="100"/>
  <c r="AZ253" i="100"/>
  <c r="AZ254" i="100"/>
  <c r="AZ255" i="100"/>
  <c r="AZ256" i="100"/>
  <c r="AZ257" i="100"/>
  <c r="AZ264" i="100"/>
  <c r="AZ265" i="100"/>
  <c r="AZ266" i="100"/>
  <c r="AZ267" i="100"/>
  <c r="AZ268" i="100"/>
  <c r="AZ269" i="100"/>
  <c r="AZ270" i="100"/>
  <c r="AZ271" i="100"/>
  <c r="AZ272" i="100"/>
  <c r="AZ273" i="100"/>
  <c r="AZ274" i="100"/>
  <c r="AZ275" i="100"/>
  <c r="AZ276" i="100"/>
  <c r="AZ277" i="100"/>
  <c r="AZ278" i="100"/>
  <c r="AZ279" i="100"/>
  <c r="AZ280" i="100"/>
  <c r="AZ281" i="100"/>
  <c r="AZ282" i="100"/>
  <c r="AZ283" i="100"/>
  <c r="AZ284" i="100"/>
  <c r="AZ285" i="100"/>
  <c r="AZ286" i="100"/>
  <c r="AZ287" i="100"/>
  <c r="AZ294" i="100"/>
  <c r="AZ295" i="100"/>
  <c r="AZ296" i="100"/>
  <c r="AZ297" i="100"/>
  <c r="AZ298" i="100"/>
  <c r="AZ299" i="100"/>
  <c r="AZ300" i="100"/>
  <c r="AZ301" i="100"/>
  <c r="AZ7" i="100"/>
  <c r="BB203" i="100" l="1"/>
  <c r="BB191" i="100"/>
  <c r="BB171" i="100"/>
  <c r="BB286" i="100"/>
  <c r="BB278" i="100"/>
  <c r="BB266" i="100"/>
  <c r="BB248" i="100"/>
  <c r="BB210" i="100"/>
  <c r="BB198" i="100"/>
  <c r="BB186" i="100"/>
  <c r="BB174" i="100"/>
  <c r="BB162" i="100"/>
  <c r="BB154" i="100"/>
  <c r="BB142" i="100"/>
  <c r="BB298" i="100"/>
  <c r="BB294" i="100"/>
  <c r="BB284" i="100"/>
  <c r="BB280" i="100"/>
  <c r="BB276" i="100"/>
  <c r="BB272" i="100"/>
  <c r="BB254" i="100"/>
  <c r="BB250" i="100"/>
  <c r="BB246" i="100"/>
  <c r="BB242" i="100"/>
  <c r="BB238" i="100"/>
  <c r="BB228" i="100"/>
  <c r="BB224" i="100"/>
  <c r="BB220" i="100"/>
  <c r="BG22" i="100" s="1"/>
  <c r="BB216" i="100"/>
  <c r="BB208" i="100"/>
  <c r="BB204" i="100"/>
  <c r="BB200" i="100"/>
  <c r="BB196" i="100"/>
  <c r="BB192" i="100"/>
  <c r="BB188" i="100"/>
  <c r="BB184" i="100"/>
  <c r="BB180" i="100"/>
  <c r="BB176" i="100"/>
  <c r="BB172" i="100"/>
  <c r="BB168" i="100"/>
  <c r="BB164" i="100"/>
  <c r="BB160" i="100"/>
  <c r="BB156" i="100"/>
  <c r="BB152" i="100"/>
  <c r="BB148" i="100"/>
  <c r="BB144" i="100"/>
  <c r="BB140" i="100"/>
  <c r="BB136" i="100"/>
  <c r="BB132" i="100"/>
  <c r="BB127" i="100"/>
  <c r="BB123" i="100"/>
  <c r="BB119" i="100"/>
  <c r="BB114" i="100"/>
  <c r="BB110" i="100"/>
  <c r="BB106" i="100"/>
  <c r="BB101" i="100"/>
  <c r="BB97" i="100"/>
  <c r="BB93" i="100"/>
  <c r="BB88" i="100"/>
  <c r="BB84" i="100"/>
  <c r="BB80" i="100"/>
  <c r="BB75" i="100"/>
  <c r="BB71" i="100"/>
  <c r="BB67" i="100"/>
  <c r="BB62" i="100"/>
  <c r="BB58" i="100"/>
  <c r="BB54" i="100"/>
  <c r="BB49" i="100"/>
  <c r="BB45" i="100"/>
  <c r="BB41" i="100"/>
  <c r="BB36" i="100"/>
  <c r="BB32" i="100"/>
  <c r="BB28" i="100"/>
  <c r="BB23" i="100"/>
  <c r="BB19" i="100"/>
  <c r="BB14" i="100"/>
  <c r="BB9" i="100"/>
  <c r="BB235" i="100"/>
  <c r="BB233" i="100"/>
  <c r="BB231" i="100"/>
  <c r="BB258" i="100"/>
  <c r="BB262" i="100"/>
  <c r="BB290" i="100"/>
  <c r="BB163" i="100"/>
  <c r="BG20" i="100" s="1"/>
  <c r="BB151" i="100"/>
  <c r="BB143" i="100"/>
  <c r="BB139" i="100"/>
  <c r="BB135" i="100"/>
  <c r="BB131" i="100"/>
  <c r="BB126" i="100"/>
  <c r="BB122" i="100"/>
  <c r="BB118" i="100"/>
  <c r="BB113" i="100"/>
  <c r="BB109" i="100"/>
  <c r="BB105" i="100"/>
  <c r="BB100" i="100"/>
  <c r="BB96" i="100"/>
  <c r="BB92" i="100"/>
  <c r="BB83" i="100"/>
  <c r="BB79" i="100"/>
  <c r="BB74" i="100"/>
  <c r="BB70" i="100"/>
  <c r="BB66" i="100"/>
  <c r="BB61" i="100"/>
  <c r="BB57" i="100"/>
  <c r="BB53" i="100"/>
  <c r="BB48" i="100"/>
  <c r="BB44" i="100"/>
  <c r="BB40" i="100"/>
  <c r="BB35" i="100"/>
  <c r="BB22" i="100"/>
  <c r="BB18" i="100"/>
  <c r="BB13" i="100"/>
  <c r="BB8" i="100"/>
  <c r="BB261" i="100"/>
  <c r="BB289" i="100"/>
  <c r="BB293" i="100"/>
  <c r="BB207" i="100"/>
  <c r="BB195" i="100"/>
  <c r="BB183" i="100"/>
  <c r="BB179" i="100"/>
  <c r="BB296" i="100"/>
  <c r="BB274" i="100"/>
  <c r="BB256" i="100"/>
  <c r="BB244" i="100"/>
  <c r="BB206" i="100"/>
  <c r="BB194" i="100"/>
  <c r="BB182" i="100"/>
  <c r="BB170" i="100"/>
  <c r="BB150" i="100"/>
  <c r="BB21" i="100"/>
  <c r="BB236" i="100"/>
  <c r="BB232" i="100"/>
  <c r="BB288" i="100"/>
  <c r="BB292" i="100"/>
  <c r="BB199" i="100"/>
  <c r="BB187" i="100"/>
  <c r="BB175" i="100"/>
  <c r="BB282" i="100"/>
  <c r="BB270" i="100"/>
  <c r="BG24" i="100" s="1"/>
  <c r="BB252" i="100"/>
  <c r="BB240" i="100"/>
  <c r="BB202" i="100"/>
  <c r="BB190" i="100"/>
  <c r="BG21" i="100" s="1"/>
  <c r="BB178" i="100"/>
  <c r="BB166" i="100"/>
  <c r="BB158" i="100"/>
  <c r="BB146" i="100"/>
  <c r="BG19" i="100" s="1"/>
  <c r="BB99" i="100"/>
  <c r="BB86" i="100"/>
  <c r="BB73" i="100"/>
  <c r="BB299" i="100"/>
  <c r="BB295" i="100"/>
  <c r="BB285" i="100"/>
  <c r="BB281" i="100"/>
  <c r="BB277" i="100"/>
  <c r="BB273" i="100"/>
  <c r="BB255" i="100"/>
  <c r="BB251" i="100"/>
  <c r="BB247" i="100"/>
  <c r="BB243" i="100"/>
  <c r="BB225" i="100"/>
  <c r="BB213" i="100"/>
  <c r="BB209" i="100"/>
  <c r="BB205" i="100"/>
  <c r="BB201" i="100"/>
  <c r="BB197" i="100"/>
  <c r="BB193" i="100"/>
  <c r="BB189" i="100"/>
  <c r="BB169" i="100"/>
  <c r="BB161" i="100"/>
  <c r="BB153" i="100"/>
  <c r="BB149" i="100"/>
  <c r="BB107" i="100"/>
  <c r="BG16" i="100" s="1"/>
  <c r="BB98" i="100"/>
  <c r="BB68" i="100"/>
  <c r="BB42" i="100"/>
  <c r="BB89" i="100"/>
  <c r="BB37" i="100"/>
  <c r="BB25" i="100"/>
  <c r="BB17" i="100"/>
  <c r="BB50" i="100"/>
  <c r="BB10" i="100"/>
  <c r="BB7" i="100"/>
  <c r="BG7" i="100" s="1"/>
  <c r="BB128" i="100"/>
  <c r="BB76" i="100"/>
  <c r="BB64" i="100"/>
  <c r="BB115" i="100"/>
  <c r="AJ48" i="100"/>
  <c r="AJ47" i="100"/>
  <c r="AJ46" i="100"/>
  <c r="AJ45" i="100"/>
  <c r="AJ44" i="100"/>
  <c r="AJ43" i="100"/>
  <c r="AJ42" i="100"/>
  <c r="AJ41" i="100"/>
  <c r="AJ40" i="100"/>
  <c r="AJ39" i="100"/>
  <c r="AJ38" i="100"/>
  <c r="AJ37" i="100"/>
  <c r="AJ36" i="100"/>
  <c r="AJ35" i="100"/>
  <c r="AJ34" i="100"/>
  <c r="AJ33" i="100"/>
  <c r="AJ32" i="100"/>
  <c r="AJ31" i="100"/>
  <c r="AJ30" i="100"/>
  <c r="AJ29" i="100"/>
  <c r="AJ28" i="100"/>
  <c r="AJ27" i="100"/>
  <c r="AJ26" i="100"/>
  <c r="AJ25" i="100"/>
  <c r="AJ24" i="100"/>
  <c r="AJ23" i="100"/>
  <c r="AJ22" i="100"/>
  <c r="AJ21" i="100"/>
  <c r="AJ20" i="100"/>
  <c r="AJ19" i="100"/>
  <c r="AJ18" i="100"/>
  <c r="AJ17" i="100"/>
  <c r="AJ16" i="100"/>
  <c r="AJ15" i="100"/>
  <c r="AJ14" i="100"/>
  <c r="AJ13" i="100"/>
  <c r="AJ12" i="100"/>
  <c r="AJ11" i="100"/>
  <c r="AJ10" i="100"/>
  <c r="AJ9" i="100"/>
  <c r="AJ8" i="100"/>
  <c r="AJ7" i="100"/>
  <c r="BG23" i="100" l="1"/>
  <c r="BG18" i="100"/>
  <c r="BG9" i="100"/>
  <c r="BG17" i="100"/>
  <c r="BG10" i="100"/>
  <c r="BG11" i="100"/>
  <c r="BG13" i="100"/>
  <c r="BG8" i="100"/>
  <c r="BG14" i="100"/>
  <c r="BG12" i="100"/>
  <c r="BG15" i="100"/>
  <c r="AO6" i="83"/>
  <c r="AO7" i="83"/>
  <c r="AO8" i="83"/>
  <c r="AO9" i="83"/>
  <c r="AO10" i="83"/>
  <c r="AO11" i="83"/>
  <c r="AO12" i="83"/>
  <c r="AO13" i="83"/>
  <c r="AO14" i="83"/>
  <c r="AO15" i="83"/>
  <c r="AO16" i="83"/>
  <c r="AO17" i="83"/>
  <c r="AO18" i="83"/>
  <c r="AO19" i="83"/>
  <c r="AO20" i="83"/>
  <c r="AO21" i="83"/>
  <c r="AO22" i="83"/>
  <c r="AO23" i="83"/>
  <c r="AO24" i="83"/>
  <c r="AO25" i="83"/>
  <c r="AO26" i="83"/>
  <c r="AO27" i="83"/>
  <c r="AO28" i="83"/>
  <c r="AO29" i="83"/>
  <c r="AO30" i="83"/>
  <c r="AO31" i="83"/>
  <c r="AO32" i="83"/>
  <c r="AO33" i="83"/>
  <c r="AO34" i="83"/>
  <c r="AO35" i="83"/>
  <c r="AO36" i="83"/>
  <c r="AO37" i="83"/>
  <c r="AO38" i="83"/>
  <c r="AO39" i="83"/>
  <c r="AO40" i="83"/>
  <c r="AO41" i="83"/>
  <c r="AO42" i="83"/>
  <c r="AO43" i="83"/>
  <c r="AO44" i="83"/>
  <c r="AO45" i="83"/>
  <c r="AO46" i="83"/>
  <c r="AO47" i="83"/>
  <c r="AO48" i="83"/>
  <c r="AO49" i="83"/>
  <c r="AO50" i="83"/>
  <c r="AO51" i="83"/>
  <c r="AO52" i="83"/>
  <c r="AO53" i="83"/>
  <c r="AO54" i="83"/>
  <c r="AO55" i="83"/>
  <c r="AO56" i="83"/>
  <c r="AO57" i="83"/>
  <c r="AO58" i="83"/>
  <c r="AO59" i="83"/>
  <c r="AO60" i="83"/>
  <c r="AO61" i="83"/>
  <c r="AO62" i="83"/>
  <c r="AO63" i="83"/>
  <c r="AO64" i="83"/>
  <c r="AO65" i="83"/>
  <c r="AO66" i="83"/>
  <c r="AO67" i="83"/>
  <c r="AO68" i="83"/>
  <c r="AO69" i="83"/>
  <c r="AO70" i="83"/>
  <c r="AO71" i="83"/>
  <c r="AO72" i="83"/>
  <c r="AO73" i="83"/>
  <c r="AO74" i="83"/>
  <c r="AO75" i="83"/>
  <c r="AO76" i="83"/>
  <c r="AO77" i="83"/>
  <c r="AO78" i="83"/>
  <c r="AO79" i="83"/>
  <c r="AO80" i="83"/>
  <c r="AO81" i="83"/>
  <c r="AO82" i="83"/>
  <c r="AO83" i="83"/>
  <c r="AO84" i="83"/>
  <c r="AO85" i="83"/>
  <c r="AO86" i="83"/>
  <c r="AO87" i="83"/>
  <c r="AO88" i="83"/>
  <c r="AO89" i="83"/>
  <c r="AO90" i="83"/>
  <c r="AO91" i="83"/>
  <c r="AO92" i="83"/>
  <c r="AO93" i="83"/>
  <c r="AO94" i="83"/>
  <c r="AO95" i="83"/>
  <c r="AO96" i="83"/>
  <c r="AO97" i="83"/>
  <c r="AO98" i="83"/>
  <c r="AO99" i="83"/>
  <c r="AO100" i="83"/>
  <c r="AO101" i="83"/>
  <c r="AO102" i="83"/>
  <c r="AO103" i="83"/>
  <c r="AO104" i="83"/>
  <c r="AO5" i="83"/>
  <c r="AD6" i="83"/>
  <c r="AD7" i="83"/>
  <c r="AD8" i="83"/>
  <c r="AD9" i="83"/>
  <c r="AD10" i="83"/>
  <c r="AD11" i="83"/>
  <c r="AD12" i="83"/>
  <c r="AD13" i="83"/>
  <c r="AD14" i="83"/>
  <c r="AD15" i="83"/>
  <c r="AD16" i="83"/>
  <c r="AD17" i="83"/>
  <c r="AD18" i="83"/>
  <c r="AD19" i="83"/>
  <c r="AD20" i="83"/>
  <c r="AD21" i="83"/>
  <c r="AD22" i="83"/>
  <c r="AD23" i="83"/>
  <c r="AD24" i="83"/>
  <c r="AD25" i="83"/>
  <c r="AD26" i="83"/>
  <c r="AD27" i="83"/>
  <c r="AD28" i="83"/>
  <c r="AD29" i="83"/>
  <c r="AD30" i="83"/>
  <c r="AD31" i="83"/>
  <c r="AD32" i="83"/>
  <c r="AD33" i="83"/>
  <c r="AD34" i="83"/>
  <c r="AD35" i="83"/>
  <c r="AD36" i="83"/>
  <c r="AD37" i="83"/>
  <c r="AD38" i="83"/>
  <c r="AD39" i="83"/>
  <c r="AD40" i="83"/>
  <c r="AD41" i="83"/>
  <c r="AD42" i="83"/>
  <c r="AD43" i="83"/>
  <c r="AD44" i="83"/>
  <c r="AD45" i="83"/>
  <c r="AD46" i="83"/>
  <c r="AD47" i="83"/>
  <c r="AD48" i="83"/>
  <c r="AD49" i="83"/>
  <c r="AD50" i="83"/>
  <c r="AD51" i="83"/>
  <c r="AD52" i="83"/>
  <c r="AD53" i="83"/>
  <c r="AD54" i="83"/>
  <c r="AD55" i="83"/>
  <c r="AD56" i="83"/>
  <c r="AD57" i="83"/>
  <c r="AD58" i="83"/>
  <c r="AD59" i="83"/>
  <c r="AD60" i="83"/>
  <c r="AD61" i="83"/>
  <c r="AD62" i="83"/>
  <c r="AD63" i="83"/>
  <c r="AD64" i="83"/>
  <c r="AD65" i="83"/>
  <c r="AD66" i="83"/>
  <c r="AD67" i="83"/>
  <c r="AD68" i="83"/>
  <c r="AD69" i="83"/>
  <c r="AD70" i="83"/>
  <c r="AD71" i="83"/>
  <c r="AD72" i="83"/>
  <c r="AD73" i="83"/>
  <c r="AD74" i="83"/>
  <c r="AD75" i="83"/>
  <c r="AD76" i="83"/>
  <c r="AD77" i="83"/>
  <c r="AD78" i="83"/>
  <c r="AD79" i="83"/>
  <c r="AD80" i="83"/>
  <c r="AD81" i="83"/>
  <c r="AD82" i="83"/>
  <c r="AD83" i="83"/>
  <c r="AD84" i="83"/>
  <c r="AD85" i="83"/>
  <c r="AD86" i="83"/>
  <c r="AD87" i="83"/>
  <c r="AD88" i="83"/>
  <c r="AD89" i="83"/>
  <c r="AD90" i="83"/>
  <c r="AD91" i="83"/>
  <c r="AD92" i="83"/>
  <c r="AD93" i="83"/>
  <c r="AD94" i="83"/>
  <c r="AD95" i="83"/>
  <c r="AD96" i="83"/>
  <c r="AD97" i="83"/>
  <c r="AD98" i="83"/>
  <c r="AD99" i="83"/>
  <c r="AD100" i="83"/>
  <c r="AD101" i="83"/>
  <c r="AD102" i="83"/>
  <c r="AD103" i="83"/>
  <c r="AD104" i="83"/>
  <c r="AD5" i="83"/>
  <c r="AL6" i="83"/>
  <c r="AL7" i="83"/>
  <c r="AL8" i="83"/>
  <c r="AL9" i="83"/>
  <c r="AL10" i="83"/>
  <c r="AL11" i="83"/>
  <c r="AL12" i="83"/>
  <c r="AL13" i="83"/>
  <c r="AL14" i="83"/>
  <c r="AL15" i="83"/>
  <c r="AL16" i="83"/>
  <c r="AL17" i="83"/>
  <c r="AL18" i="83"/>
  <c r="AL19" i="83"/>
  <c r="AL20" i="83"/>
  <c r="AL21" i="83"/>
  <c r="AL22" i="83"/>
  <c r="AL23" i="83"/>
  <c r="AL24" i="83"/>
  <c r="AL25" i="83"/>
  <c r="AL26" i="83"/>
  <c r="AL27" i="83"/>
  <c r="AL28" i="83"/>
  <c r="AL29" i="83"/>
  <c r="AL30" i="83"/>
  <c r="AL31" i="83"/>
  <c r="AL32" i="83"/>
  <c r="AL33" i="83"/>
  <c r="AL34" i="83"/>
  <c r="AL35" i="83"/>
  <c r="AL36" i="83"/>
  <c r="AL37" i="83"/>
  <c r="AL38" i="83"/>
  <c r="AL39" i="83"/>
  <c r="AL40" i="83"/>
  <c r="AL41" i="83"/>
  <c r="AL42" i="83"/>
  <c r="AL43" i="83"/>
  <c r="AL44" i="83"/>
  <c r="AL45" i="83"/>
  <c r="AL46" i="83"/>
  <c r="AL47" i="83"/>
  <c r="AL48" i="83"/>
  <c r="AL49" i="83"/>
  <c r="AL50" i="83"/>
  <c r="AL51" i="83"/>
  <c r="AL52" i="83"/>
  <c r="AL53" i="83"/>
  <c r="AL54" i="83"/>
  <c r="AL55" i="83"/>
  <c r="AL56" i="83"/>
  <c r="AL57" i="83"/>
  <c r="AL58" i="83"/>
  <c r="AL59" i="83"/>
  <c r="AL60" i="83"/>
  <c r="AL61" i="83"/>
  <c r="AL62" i="83"/>
  <c r="AL63" i="83"/>
  <c r="AL64" i="83"/>
  <c r="AL65" i="83"/>
  <c r="AL66" i="83"/>
  <c r="AL67" i="83"/>
  <c r="AL68" i="83"/>
  <c r="AL69" i="83"/>
  <c r="AL70" i="83"/>
  <c r="AL71" i="83"/>
  <c r="AL72" i="83"/>
  <c r="AL73" i="83"/>
  <c r="AL74" i="83"/>
  <c r="AL75" i="83"/>
  <c r="AL76" i="83"/>
  <c r="AL77" i="83"/>
  <c r="AL78" i="83"/>
  <c r="AL79" i="83"/>
  <c r="AL80" i="83"/>
  <c r="AL81" i="83"/>
  <c r="AL82" i="83"/>
  <c r="AL83" i="83"/>
  <c r="AL84" i="83"/>
  <c r="AL85" i="83"/>
  <c r="AL86" i="83"/>
  <c r="AL87" i="83"/>
  <c r="AL88" i="83"/>
  <c r="AL89" i="83"/>
  <c r="AL90" i="83"/>
  <c r="AL91" i="83"/>
  <c r="AL92" i="83"/>
  <c r="AL93" i="83"/>
  <c r="AL94" i="83"/>
  <c r="AL95" i="83"/>
  <c r="AL96" i="83"/>
  <c r="AL97" i="83"/>
  <c r="AL98" i="83"/>
  <c r="AL99" i="83"/>
  <c r="AL100" i="83"/>
  <c r="AL101" i="83"/>
  <c r="AL102" i="83"/>
  <c r="AL103" i="83"/>
  <c r="AL104" i="83"/>
  <c r="AL5" i="83"/>
  <c r="AA6" i="83"/>
  <c r="AA7" i="83"/>
  <c r="AA8" i="83"/>
  <c r="AA9" i="83"/>
  <c r="AA10" i="83"/>
  <c r="AA11" i="83"/>
  <c r="AA12" i="83"/>
  <c r="AA13" i="83"/>
  <c r="AA14" i="83"/>
  <c r="AA15" i="83"/>
  <c r="AA16" i="83"/>
  <c r="AA17" i="83"/>
  <c r="AA18" i="83"/>
  <c r="AA19" i="83"/>
  <c r="AA20" i="83"/>
  <c r="AA21" i="83"/>
  <c r="AA22" i="83"/>
  <c r="AA23" i="83"/>
  <c r="AA24" i="83"/>
  <c r="AA25" i="83"/>
  <c r="AA26" i="83"/>
  <c r="AA27" i="83"/>
  <c r="AA28" i="83"/>
  <c r="AA29" i="83"/>
  <c r="AA30" i="83"/>
  <c r="AA31" i="83"/>
  <c r="AA32" i="83"/>
  <c r="AA33" i="83"/>
  <c r="AA34" i="83"/>
  <c r="AA35" i="83"/>
  <c r="AA36" i="83"/>
  <c r="AA37" i="83"/>
  <c r="AA38" i="83"/>
  <c r="AA39" i="83"/>
  <c r="AA40" i="83"/>
  <c r="AA41" i="83"/>
  <c r="AA42" i="83"/>
  <c r="AA43" i="83"/>
  <c r="AA44" i="83"/>
  <c r="AA45" i="83"/>
  <c r="AA46" i="83"/>
  <c r="AA47" i="83"/>
  <c r="AA48" i="83"/>
  <c r="AA49" i="83"/>
  <c r="AA50" i="83"/>
  <c r="AA51" i="83"/>
  <c r="AA52" i="83"/>
  <c r="AA53" i="83"/>
  <c r="AA54" i="83"/>
  <c r="AA55" i="83"/>
  <c r="AA56" i="83"/>
  <c r="AA57" i="83"/>
  <c r="AA58" i="83"/>
  <c r="AA59" i="83"/>
  <c r="AA60" i="83"/>
  <c r="AA61" i="83"/>
  <c r="AA62" i="83"/>
  <c r="AA63" i="83"/>
  <c r="AA64" i="83"/>
  <c r="AA65" i="83"/>
  <c r="AA66" i="83"/>
  <c r="AA67" i="83"/>
  <c r="AA68" i="83"/>
  <c r="AA69" i="83"/>
  <c r="AA70" i="83"/>
  <c r="AA71" i="83"/>
  <c r="AA72" i="83"/>
  <c r="AA73" i="83"/>
  <c r="AA74" i="83"/>
  <c r="AA75" i="83"/>
  <c r="AA76" i="83"/>
  <c r="AA77" i="83"/>
  <c r="AA78" i="83"/>
  <c r="AA79" i="83"/>
  <c r="AA80" i="83"/>
  <c r="AA81" i="83"/>
  <c r="AA82" i="83"/>
  <c r="AA83" i="83"/>
  <c r="AA84" i="83"/>
  <c r="AA85" i="83"/>
  <c r="AA86" i="83"/>
  <c r="AA87" i="83"/>
  <c r="AA88" i="83"/>
  <c r="AA89" i="83"/>
  <c r="AA90" i="83"/>
  <c r="AA91" i="83"/>
  <c r="AA92" i="83"/>
  <c r="AA93" i="83"/>
  <c r="AA94" i="83"/>
  <c r="AA95" i="83"/>
  <c r="AA96" i="83"/>
  <c r="AA97" i="83"/>
  <c r="AA98" i="83"/>
  <c r="AA99" i="83"/>
  <c r="AA100" i="83"/>
  <c r="AA101" i="83"/>
  <c r="AA102" i="83"/>
  <c r="AA103" i="83"/>
  <c r="AA104" i="83"/>
  <c r="AA5" i="83"/>
  <c r="E6" i="83"/>
  <c r="E7" i="83"/>
  <c r="E8" i="83"/>
  <c r="E9" i="83"/>
  <c r="E10" i="83"/>
  <c r="E11" i="83"/>
  <c r="E12" i="83"/>
  <c r="E13" i="83"/>
  <c r="E14" i="83"/>
  <c r="E15" i="83"/>
  <c r="E16" i="83"/>
  <c r="E17" i="83"/>
  <c r="E18" i="83"/>
  <c r="E19" i="83"/>
  <c r="E20" i="83"/>
  <c r="E21" i="83"/>
  <c r="E22" i="83"/>
  <c r="E23" i="83"/>
  <c r="E24" i="83"/>
  <c r="E25" i="83"/>
  <c r="E26" i="83"/>
  <c r="E27" i="83"/>
  <c r="E28" i="83"/>
  <c r="E29" i="83"/>
  <c r="E30" i="83"/>
  <c r="E31" i="83"/>
  <c r="E32" i="83"/>
  <c r="E33" i="83"/>
  <c r="E34" i="83"/>
  <c r="E35" i="83"/>
  <c r="E36" i="83"/>
  <c r="E37" i="83"/>
  <c r="E38" i="83"/>
  <c r="E39" i="83"/>
  <c r="E40" i="83"/>
  <c r="E41" i="83"/>
  <c r="E42" i="83"/>
  <c r="E43" i="83"/>
  <c r="E44" i="83"/>
  <c r="E45" i="83"/>
  <c r="E46" i="83"/>
  <c r="E47" i="83"/>
  <c r="E48" i="83"/>
  <c r="E49" i="83"/>
  <c r="E50" i="83"/>
  <c r="E51" i="83"/>
  <c r="E52" i="83"/>
  <c r="E53" i="83"/>
  <c r="E54" i="83"/>
  <c r="E55" i="83"/>
  <c r="E56" i="83"/>
  <c r="E57" i="83"/>
  <c r="E58" i="83"/>
  <c r="E59" i="83"/>
  <c r="E60" i="83"/>
  <c r="E61" i="83"/>
  <c r="E62" i="83"/>
  <c r="E63" i="83"/>
  <c r="E64" i="83"/>
  <c r="E65" i="83"/>
  <c r="E66" i="83"/>
  <c r="E67" i="83"/>
  <c r="E68" i="83"/>
  <c r="E69" i="83"/>
  <c r="E70" i="83"/>
  <c r="E71" i="83"/>
  <c r="E72" i="83"/>
  <c r="E73" i="83"/>
  <c r="E74" i="83"/>
  <c r="E75" i="83"/>
  <c r="E76" i="83"/>
  <c r="E77" i="83"/>
  <c r="E78" i="83"/>
  <c r="E79" i="83"/>
  <c r="E80" i="83"/>
  <c r="E81" i="83"/>
  <c r="E82" i="83"/>
  <c r="E83" i="83"/>
  <c r="E84" i="83"/>
  <c r="E85" i="83"/>
  <c r="E86" i="83"/>
  <c r="E87" i="83"/>
  <c r="E88" i="83"/>
  <c r="E89" i="83"/>
  <c r="E90" i="83"/>
  <c r="E91" i="83"/>
  <c r="E92" i="83"/>
  <c r="E93" i="83"/>
  <c r="E94" i="83"/>
  <c r="E95" i="83"/>
  <c r="E96" i="83"/>
  <c r="E97" i="83"/>
  <c r="E98" i="83"/>
  <c r="E99" i="83"/>
  <c r="E100" i="83"/>
  <c r="E101" i="83"/>
  <c r="E102" i="83"/>
  <c r="E103" i="83"/>
  <c r="E104" i="83"/>
  <c r="L26" i="88" l="1"/>
  <c r="M26" i="88"/>
  <c r="L25" i="88"/>
  <c r="M25" i="88"/>
  <c r="L24" i="88"/>
  <c r="M24" i="88"/>
  <c r="L22" i="88"/>
  <c r="M22" i="88"/>
  <c r="L21" i="88"/>
  <c r="M21" i="88"/>
  <c r="L20" i="88"/>
  <c r="M20" i="88"/>
  <c r="L23" i="88"/>
  <c r="L19" i="88"/>
  <c r="M23" i="88"/>
  <c r="M19" i="88"/>
  <c r="AD7" i="93" l="1"/>
  <c r="AD8" i="93"/>
  <c r="AD9" i="93"/>
  <c r="AD10" i="93"/>
  <c r="AD11" i="93"/>
  <c r="AD12" i="93"/>
  <c r="AD13" i="93"/>
  <c r="AD14" i="93"/>
  <c r="AD15" i="93"/>
  <c r="AD16" i="93"/>
  <c r="AD17" i="93"/>
  <c r="AD18" i="93"/>
  <c r="AD19" i="93"/>
  <c r="AD20" i="93"/>
  <c r="AD21" i="93"/>
  <c r="AD22" i="93"/>
  <c r="AD23" i="93"/>
  <c r="AD24" i="93"/>
  <c r="AD25" i="93"/>
  <c r="AD26" i="93"/>
  <c r="AD6" i="93"/>
  <c r="AV6" i="93" l="1"/>
  <c r="AV7" i="93"/>
  <c r="AV8" i="93"/>
  <c r="AV9" i="93"/>
  <c r="AV10" i="93"/>
  <c r="AV11" i="93"/>
  <c r="AV12" i="93"/>
  <c r="AV13" i="93"/>
  <c r="AV14" i="93"/>
  <c r="AV15" i="93"/>
  <c r="AV16" i="93"/>
  <c r="AV17" i="93"/>
  <c r="AV18" i="93"/>
  <c r="AV19" i="93"/>
  <c r="AV20" i="93"/>
  <c r="AV21" i="93"/>
  <c r="AV22" i="93"/>
  <c r="AV23" i="93"/>
  <c r="AV24" i="93"/>
  <c r="AV25" i="93"/>
  <c r="AV26" i="93"/>
  <c r="AV27" i="93"/>
  <c r="AV28" i="93"/>
  <c r="AV29" i="93"/>
  <c r="AV30" i="93"/>
  <c r="AV31" i="93"/>
  <c r="AV32" i="93"/>
  <c r="AV33" i="93"/>
  <c r="AV34" i="93"/>
  <c r="AV35" i="93"/>
  <c r="AV36" i="93"/>
  <c r="AV37" i="93"/>
  <c r="AV38" i="93"/>
  <c r="AV39" i="93"/>
  <c r="AV40" i="93"/>
  <c r="AV41" i="93"/>
  <c r="AV42" i="93"/>
  <c r="AV43" i="93"/>
  <c r="AV44" i="93"/>
  <c r="AV45" i="93"/>
  <c r="AV46" i="93"/>
  <c r="AV47" i="93"/>
  <c r="AV48" i="93"/>
  <c r="AV49" i="93"/>
  <c r="AV50" i="93"/>
  <c r="AV51" i="93"/>
  <c r="AV52" i="93"/>
  <c r="AV53" i="93"/>
  <c r="AV54" i="93"/>
  <c r="AV55" i="93"/>
  <c r="AV56" i="93"/>
  <c r="AV57" i="93"/>
  <c r="AV58" i="93"/>
  <c r="AV59" i="93"/>
  <c r="AV60" i="93"/>
  <c r="AV61" i="93"/>
  <c r="AV62" i="93"/>
  <c r="AV63" i="93"/>
  <c r="AV64" i="93"/>
  <c r="AV65" i="93"/>
  <c r="AV66" i="93"/>
  <c r="AV67" i="93"/>
  <c r="AV68" i="93"/>
  <c r="AV69" i="93"/>
  <c r="AV70" i="93"/>
  <c r="AV71" i="93"/>
  <c r="AV72" i="93"/>
  <c r="AV73" i="93"/>
  <c r="AV74" i="93"/>
  <c r="AV75" i="93"/>
  <c r="AV76" i="93"/>
  <c r="AV77" i="93"/>
  <c r="AV78" i="93"/>
  <c r="AV79" i="93"/>
  <c r="AV80" i="93"/>
  <c r="AV81" i="93"/>
  <c r="AV82" i="93"/>
  <c r="AV83" i="93"/>
  <c r="AV84" i="93"/>
  <c r="AV85" i="93"/>
  <c r="AV86" i="93"/>
  <c r="AV87" i="93"/>
  <c r="AV88" i="93"/>
  <c r="AV89" i="93"/>
  <c r="AV90" i="93"/>
  <c r="AV91" i="93"/>
  <c r="AV92" i="93"/>
  <c r="AV93" i="93"/>
  <c r="AV94" i="93"/>
  <c r="AV95" i="93"/>
  <c r="AV96" i="93"/>
  <c r="AV97" i="93"/>
  <c r="AV98" i="93"/>
  <c r="AV99" i="93"/>
  <c r="AV100" i="93"/>
  <c r="AV101" i="93"/>
  <c r="AV102" i="93"/>
  <c r="AV103" i="93"/>
  <c r="AV104" i="93"/>
  <c r="AV105" i="93"/>
  <c r="AV106" i="93"/>
  <c r="AV107" i="93"/>
  <c r="AV108" i="93"/>
  <c r="AV109" i="93"/>
  <c r="AV110" i="93"/>
  <c r="AV111" i="93"/>
  <c r="AV112" i="93"/>
  <c r="AV113" i="93"/>
  <c r="AV114" i="93"/>
  <c r="AV115" i="93"/>
  <c r="AV116" i="93"/>
  <c r="AV117" i="93"/>
  <c r="AV118" i="93"/>
  <c r="AV119" i="93"/>
  <c r="AV120" i="93"/>
  <c r="AV121" i="93"/>
  <c r="AV122" i="93"/>
  <c r="AV5" i="93"/>
  <c r="AU6" i="93"/>
  <c r="AU7" i="93"/>
  <c r="AU8" i="93"/>
  <c r="AU9" i="93"/>
  <c r="AU10" i="93"/>
  <c r="AU11" i="93"/>
  <c r="AU12" i="93"/>
  <c r="AU13" i="93"/>
  <c r="AU14" i="93"/>
  <c r="AU15" i="93"/>
  <c r="AU16" i="93"/>
  <c r="AU17" i="93"/>
  <c r="AU18" i="93"/>
  <c r="AU19" i="93"/>
  <c r="AU20" i="93"/>
  <c r="AU21" i="93"/>
  <c r="AU22" i="93"/>
  <c r="AU23" i="93"/>
  <c r="AU24" i="93"/>
  <c r="AU25" i="93"/>
  <c r="AU26" i="93"/>
  <c r="AU27" i="93"/>
  <c r="AU28" i="93"/>
  <c r="AU29" i="93"/>
  <c r="AU30" i="93"/>
  <c r="AU31" i="93"/>
  <c r="AU32" i="93"/>
  <c r="AU33" i="93"/>
  <c r="AU34" i="93"/>
  <c r="AU35" i="93"/>
  <c r="AU36" i="93"/>
  <c r="AU37" i="93"/>
  <c r="AU38" i="93"/>
  <c r="AU39" i="93"/>
  <c r="AU40" i="93"/>
  <c r="AU41" i="93"/>
  <c r="AU42" i="93"/>
  <c r="AU43" i="93"/>
  <c r="AU44" i="93"/>
  <c r="AU45" i="93"/>
  <c r="AU46" i="93"/>
  <c r="AU47" i="93"/>
  <c r="AU48" i="93"/>
  <c r="AU49" i="93"/>
  <c r="AU50" i="93"/>
  <c r="AU51" i="93"/>
  <c r="AU52" i="93"/>
  <c r="AU53" i="93"/>
  <c r="AU54" i="93"/>
  <c r="AU55" i="93"/>
  <c r="AU56" i="93"/>
  <c r="AU57" i="93"/>
  <c r="AU58" i="93"/>
  <c r="AU59" i="93"/>
  <c r="AU60" i="93"/>
  <c r="AU61" i="93"/>
  <c r="AU62" i="93"/>
  <c r="AU63" i="93"/>
  <c r="AU64" i="93"/>
  <c r="AU65" i="93"/>
  <c r="AU66" i="93"/>
  <c r="AU67" i="93"/>
  <c r="AU68" i="93"/>
  <c r="AU69" i="93"/>
  <c r="AU70" i="93"/>
  <c r="AU71" i="93"/>
  <c r="AU72" i="93"/>
  <c r="AU73" i="93"/>
  <c r="AU74" i="93"/>
  <c r="AU75" i="93"/>
  <c r="AU76" i="93"/>
  <c r="AU77" i="93"/>
  <c r="AU78" i="93"/>
  <c r="AU79" i="93"/>
  <c r="AU80" i="93"/>
  <c r="AU81" i="93"/>
  <c r="AU82" i="93"/>
  <c r="AU83" i="93"/>
  <c r="AU84" i="93"/>
  <c r="AU85" i="93"/>
  <c r="AU86" i="93"/>
  <c r="AU87" i="93"/>
  <c r="AU88" i="93"/>
  <c r="AU89" i="93"/>
  <c r="AU90" i="93"/>
  <c r="AU91" i="93"/>
  <c r="AU92" i="93"/>
  <c r="AU93" i="93"/>
  <c r="AU94" i="93"/>
  <c r="AU95" i="93"/>
  <c r="AU96" i="93"/>
  <c r="AU97" i="93"/>
  <c r="AU98" i="93"/>
  <c r="AU99" i="93"/>
  <c r="AU100" i="93"/>
  <c r="AU101" i="93"/>
  <c r="AU102" i="93"/>
  <c r="AU103" i="93"/>
  <c r="AU104" i="93"/>
  <c r="AU105" i="93"/>
  <c r="AU106" i="93"/>
  <c r="AU107" i="93"/>
  <c r="AU108" i="93"/>
  <c r="AU109" i="93"/>
  <c r="AU110" i="93"/>
  <c r="AU111" i="93"/>
  <c r="AU112" i="93"/>
  <c r="AU113" i="93"/>
  <c r="AU114" i="93"/>
  <c r="AU115" i="93"/>
  <c r="AU116" i="93"/>
  <c r="AU117" i="93"/>
  <c r="AU118" i="93"/>
  <c r="AU119" i="93"/>
  <c r="AU120" i="93"/>
  <c r="AU121" i="93"/>
  <c r="AU122" i="93"/>
  <c r="AU5" i="93"/>
  <c r="AT12" i="93"/>
  <c r="AW12" i="93" s="1"/>
  <c r="AT13" i="93"/>
  <c r="AT14" i="93"/>
  <c r="AT15" i="93"/>
  <c r="AW15" i="93" s="1"/>
  <c r="AT16" i="93"/>
  <c r="AW16" i="93" s="1"/>
  <c r="AT17" i="93"/>
  <c r="AT18" i="93"/>
  <c r="AT19" i="93"/>
  <c r="AW19" i="93" s="1"/>
  <c r="AT20" i="93"/>
  <c r="AW20" i="93" s="1"/>
  <c r="AT21" i="93"/>
  <c r="AT22" i="93"/>
  <c r="AT23" i="93"/>
  <c r="AW23" i="93" s="1"/>
  <c r="AT24" i="93"/>
  <c r="AW24" i="93" s="1"/>
  <c r="AT25" i="93"/>
  <c r="AT26" i="93"/>
  <c r="AT27" i="93"/>
  <c r="AW27" i="93" s="1"/>
  <c r="AT28" i="93"/>
  <c r="AW28" i="93" s="1"/>
  <c r="AT29" i="93"/>
  <c r="AT30" i="93"/>
  <c r="AT31" i="93"/>
  <c r="AW31" i="93" s="1"/>
  <c r="AT32" i="93"/>
  <c r="AW32" i="93" s="1"/>
  <c r="AT33" i="93"/>
  <c r="AT34" i="93"/>
  <c r="AT35" i="93"/>
  <c r="AW35" i="93" s="1"/>
  <c r="AT36" i="93"/>
  <c r="AW36" i="93" s="1"/>
  <c r="AT37" i="93"/>
  <c r="AT38" i="93"/>
  <c r="AT39" i="93"/>
  <c r="AW39" i="93" s="1"/>
  <c r="AT40" i="93"/>
  <c r="AW40" i="93" s="1"/>
  <c r="AT41" i="93"/>
  <c r="AT42" i="93"/>
  <c r="AT43" i="93"/>
  <c r="AW43" i="93" s="1"/>
  <c r="AT44" i="93"/>
  <c r="AW44" i="93" s="1"/>
  <c r="AT45" i="93"/>
  <c r="AT46" i="93"/>
  <c r="AT47" i="93"/>
  <c r="AW47" i="93" s="1"/>
  <c r="AT48" i="93"/>
  <c r="AW48" i="93" s="1"/>
  <c r="AT49" i="93"/>
  <c r="AT50" i="93"/>
  <c r="AT51" i="93"/>
  <c r="AW51" i="93" s="1"/>
  <c r="AT52" i="93"/>
  <c r="AW52" i="93" s="1"/>
  <c r="AT53" i="93"/>
  <c r="AT54" i="93"/>
  <c r="AT55" i="93"/>
  <c r="AW55" i="93" s="1"/>
  <c r="AT56" i="93"/>
  <c r="AW56" i="93" s="1"/>
  <c r="AT57" i="93"/>
  <c r="AT58" i="93"/>
  <c r="AT59" i="93"/>
  <c r="AW59" i="93" s="1"/>
  <c r="AT60" i="93"/>
  <c r="AW60" i="93" s="1"/>
  <c r="AT61" i="93"/>
  <c r="AT62" i="93"/>
  <c r="AT63" i="93"/>
  <c r="AW63" i="93" s="1"/>
  <c r="AT64" i="93"/>
  <c r="AW64" i="93" s="1"/>
  <c r="AT65" i="93"/>
  <c r="AT66" i="93"/>
  <c r="AT67" i="93"/>
  <c r="AW67" i="93" s="1"/>
  <c r="AT68" i="93"/>
  <c r="AW68" i="93" s="1"/>
  <c r="AT69" i="93"/>
  <c r="AT70" i="93"/>
  <c r="AT71" i="93"/>
  <c r="AW71" i="93" s="1"/>
  <c r="AT72" i="93"/>
  <c r="AW72" i="93" s="1"/>
  <c r="AT73" i="93"/>
  <c r="AT74" i="93"/>
  <c r="AT75" i="93"/>
  <c r="AW75" i="93" s="1"/>
  <c r="AT76" i="93"/>
  <c r="AW76" i="93" s="1"/>
  <c r="AT77" i="93"/>
  <c r="AT78" i="93"/>
  <c r="AT79" i="93"/>
  <c r="AW79" i="93" s="1"/>
  <c r="AT80" i="93"/>
  <c r="AW80" i="93" s="1"/>
  <c r="AT81" i="93"/>
  <c r="AT82" i="93"/>
  <c r="AT83" i="93"/>
  <c r="AW83" i="93" s="1"/>
  <c r="AT84" i="93"/>
  <c r="AW84" i="93" s="1"/>
  <c r="AT85" i="93"/>
  <c r="AT86" i="93"/>
  <c r="AT87" i="93"/>
  <c r="AW87" i="93" s="1"/>
  <c r="AT88" i="93"/>
  <c r="AW88" i="93" s="1"/>
  <c r="AT89" i="93"/>
  <c r="AT90" i="93"/>
  <c r="AT91" i="93"/>
  <c r="AW91" i="93" s="1"/>
  <c r="AT92" i="93"/>
  <c r="AW92" i="93" s="1"/>
  <c r="AT93" i="93"/>
  <c r="AT94" i="93"/>
  <c r="AT95" i="93"/>
  <c r="AW95" i="93" s="1"/>
  <c r="AT96" i="93"/>
  <c r="AW96" i="93" s="1"/>
  <c r="AT97" i="93"/>
  <c r="AT98" i="93"/>
  <c r="AT99" i="93"/>
  <c r="AW99" i="93" s="1"/>
  <c r="AT100" i="93"/>
  <c r="AW100" i="93" s="1"/>
  <c r="AT101" i="93"/>
  <c r="AT102" i="93"/>
  <c r="AT103" i="93"/>
  <c r="AW103" i="93" s="1"/>
  <c r="AT104" i="93"/>
  <c r="AW104" i="93" s="1"/>
  <c r="AT105" i="93"/>
  <c r="AT106" i="93"/>
  <c r="AT107" i="93"/>
  <c r="AW107" i="93" s="1"/>
  <c r="AT108" i="93"/>
  <c r="AW108" i="93" s="1"/>
  <c r="AT109" i="93"/>
  <c r="AT110" i="93"/>
  <c r="AT111" i="93"/>
  <c r="AW111" i="93" s="1"/>
  <c r="AT112" i="93"/>
  <c r="AW112" i="93" s="1"/>
  <c r="AT113" i="93"/>
  <c r="AT114" i="93"/>
  <c r="AT115" i="93"/>
  <c r="AW115" i="93" s="1"/>
  <c r="AT116" i="93"/>
  <c r="AW116" i="93" s="1"/>
  <c r="AT117" i="93"/>
  <c r="AT118" i="93"/>
  <c r="AT119" i="93"/>
  <c r="AW119" i="93" s="1"/>
  <c r="AT120" i="93"/>
  <c r="AW120" i="93" s="1"/>
  <c r="AT121" i="93"/>
  <c r="AT122" i="93"/>
  <c r="AT8" i="93"/>
  <c r="AT9" i="93"/>
  <c r="AW9" i="93" s="1"/>
  <c r="AT10" i="93"/>
  <c r="AT11" i="93"/>
  <c r="AT6" i="93"/>
  <c r="AT7" i="93"/>
  <c r="AW7" i="93" s="1"/>
  <c r="AT5" i="93"/>
  <c r="AW8" i="93" l="1"/>
  <c r="AW11" i="93"/>
  <c r="AW118" i="93"/>
  <c r="AW110" i="93"/>
  <c r="AW106" i="93"/>
  <c r="AW102" i="93"/>
  <c r="AW98" i="93"/>
  <c r="AW94" i="93"/>
  <c r="AW90" i="93"/>
  <c r="AW86" i="93"/>
  <c r="AW82" i="93"/>
  <c r="AW78" i="93"/>
  <c r="AW74" i="93"/>
  <c r="AW70" i="93"/>
  <c r="AW66" i="93"/>
  <c r="AW62" i="93"/>
  <c r="AW58" i="93"/>
  <c r="AW54" i="93"/>
  <c r="AW50" i="93"/>
  <c r="AW46" i="93"/>
  <c r="AW42" i="93"/>
  <c r="AW38" i="93"/>
  <c r="AW34" i="93"/>
  <c r="AW30" i="93"/>
  <c r="AW26" i="93"/>
  <c r="AW22" i="93"/>
  <c r="AW18" i="93"/>
  <c r="AW14" i="93"/>
  <c r="AW6" i="93"/>
  <c r="AW122" i="93"/>
  <c r="AW114" i="93"/>
  <c r="AW5" i="93"/>
  <c r="AW10" i="93"/>
  <c r="AW121" i="93"/>
  <c r="AW117" i="93"/>
  <c r="AW113" i="93"/>
  <c r="AW109" i="93"/>
  <c r="AW105" i="93"/>
  <c r="AW101" i="93"/>
  <c r="AW97" i="93"/>
  <c r="AW93" i="93"/>
  <c r="AW89" i="93"/>
  <c r="AW85" i="93"/>
  <c r="AW81" i="93"/>
  <c r="AW77" i="93"/>
  <c r="AW73" i="93"/>
  <c r="AW69" i="93"/>
  <c r="AW65" i="93"/>
  <c r="AW61" i="93"/>
  <c r="AW57" i="93"/>
  <c r="AW53" i="93"/>
  <c r="AW49" i="93"/>
  <c r="AW45" i="93"/>
  <c r="AW41" i="93"/>
  <c r="AW37" i="93"/>
  <c r="AW33" i="93"/>
  <c r="AW29" i="93"/>
  <c r="AW25" i="93"/>
  <c r="AW21" i="93"/>
  <c r="AW17" i="93"/>
  <c r="AW13" i="93"/>
  <c r="N6" i="93"/>
  <c r="N7" i="93"/>
  <c r="N8" i="93"/>
  <c r="N9" i="93"/>
  <c r="N10" i="93"/>
  <c r="N11" i="93"/>
  <c r="N12" i="93"/>
  <c r="N13" i="93"/>
  <c r="N14" i="93"/>
  <c r="N15" i="93"/>
  <c r="N16" i="93"/>
  <c r="N17" i="93"/>
  <c r="N18" i="93"/>
  <c r="N19" i="93"/>
  <c r="N20" i="93"/>
  <c r="N21" i="93"/>
  <c r="N22" i="93"/>
  <c r="N23" i="93"/>
  <c r="N24" i="93"/>
  <c r="N25" i="93"/>
  <c r="N26" i="93"/>
  <c r="N27" i="93"/>
  <c r="N28" i="93"/>
  <c r="N29" i="93"/>
  <c r="N30" i="93"/>
  <c r="N31" i="93"/>
  <c r="N32" i="93"/>
  <c r="N33" i="93"/>
  <c r="N34" i="93"/>
  <c r="N35" i="93"/>
  <c r="N36" i="93"/>
  <c r="N37" i="93"/>
  <c r="N38" i="93"/>
  <c r="N39" i="93"/>
  <c r="N40" i="93"/>
  <c r="N41" i="93"/>
  <c r="N42" i="93"/>
  <c r="N43" i="93"/>
  <c r="N44" i="93"/>
  <c r="N45" i="93"/>
  <c r="N46" i="93"/>
  <c r="N5" i="93"/>
  <c r="P6" i="93"/>
  <c r="AX6" i="93" s="1"/>
  <c r="P7" i="93"/>
  <c r="AX10" i="93" s="1"/>
  <c r="P8" i="93"/>
  <c r="AX30" i="93" s="1"/>
  <c r="P9" i="93"/>
  <c r="AX12" i="93" s="1"/>
  <c r="P10" i="93"/>
  <c r="AX32" i="93" s="1"/>
  <c r="P11" i="93"/>
  <c r="AX14" i="93" s="1"/>
  <c r="P12" i="93"/>
  <c r="AX23" i="93" s="1"/>
  <c r="P13" i="93"/>
  <c r="AX35" i="93" s="1"/>
  <c r="P14" i="93"/>
  <c r="AX25" i="93" s="1"/>
  <c r="P15" i="93"/>
  <c r="AX26" i="93" s="1"/>
  <c r="P16" i="93"/>
  <c r="AX38" i="93" s="1"/>
  <c r="P17" i="93"/>
  <c r="AX28" i="93" s="1"/>
  <c r="P18" i="93"/>
  <c r="AX52" i="93" s="1"/>
  <c r="P19" i="93"/>
  <c r="AX53" i="93" s="1"/>
  <c r="P20" i="93"/>
  <c r="AX66" i="93" s="1"/>
  <c r="P21" i="93"/>
  <c r="AX67" i="93" s="1"/>
  <c r="P22" i="93"/>
  <c r="AX68" i="93" s="1"/>
  <c r="P23" i="93"/>
  <c r="AX69" i="93" s="1"/>
  <c r="P24" i="93"/>
  <c r="AX46" i="93" s="1"/>
  <c r="P25" i="93"/>
  <c r="AX85" i="93" s="1"/>
  <c r="P26" i="93"/>
  <c r="AX86" i="93" s="1"/>
  <c r="P27" i="93"/>
  <c r="AX73" i="93" s="1"/>
  <c r="P28" i="93"/>
  <c r="AX62" i="93" s="1"/>
  <c r="P29" i="93"/>
  <c r="AX89" i="93" s="1"/>
  <c r="P30" i="93"/>
  <c r="AX76" i="93" s="1"/>
  <c r="P31" i="93"/>
  <c r="AX77" i="93" s="1"/>
  <c r="P32" i="93"/>
  <c r="AX78" i="93" s="1"/>
  <c r="P33" i="93"/>
  <c r="AX79" i="93" s="1"/>
  <c r="P34" i="93"/>
  <c r="AX110" i="93" s="1"/>
  <c r="P35" i="93"/>
  <c r="AX111" i="93" s="1"/>
  <c r="P36" i="93"/>
  <c r="AX82" i="93" s="1"/>
  <c r="P37" i="93"/>
  <c r="AX83" i="93" s="1"/>
  <c r="P38" i="93"/>
  <c r="AX84" i="93" s="1"/>
  <c r="P39" i="93"/>
  <c r="AX99" i="93" s="1"/>
  <c r="P40" i="93"/>
  <c r="AX100" i="93" s="1"/>
  <c r="P41" i="93"/>
  <c r="AX117" i="93" s="1"/>
  <c r="P42" i="93"/>
  <c r="AX102" i="93" s="1"/>
  <c r="P43" i="93"/>
  <c r="AX103" i="93" s="1"/>
  <c r="P44" i="93"/>
  <c r="AX120" i="93" s="1"/>
  <c r="P45" i="93"/>
  <c r="AX121" i="93" s="1"/>
  <c r="P46" i="93"/>
  <c r="AX106" i="93" s="1"/>
  <c r="P5" i="93"/>
  <c r="AX16" i="93" s="1"/>
  <c r="AX87" i="93" l="1"/>
  <c r="AX107" i="93"/>
  <c r="AX41" i="93"/>
  <c r="AX61" i="93"/>
  <c r="AX81" i="93"/>
  <c r="AX91" i="93"/>
  <c r="AX115" i="93"/>
  <c r="AX45" i="93"/>
  <c r="AX65" i="93"/>
  <c r="AX119" i="93"/>
  <c r="AX49" i="93"/>
  <c r="AX27" i="93"/>
  <c r="AX33" i="93"/>
  <c r="AX57" i="93"/>
  <c r="AX5" i="93"/>
  <c r="AX39" i="93"/>
  <c r="AX55" i="93"/>
  <c r="AX71" i="93"/>
  <c r="AX13" i="93"/>
  <c r="AX29" i="93"/>
  <c r="AX93" i="93"/>
  <c r="AX109" i="93"/>
  <c r="AX9" i="93"/>
  <c r="AX17" i="93"/>
  <c r="AX20" i="93"/>
  <c r="AX48" i="93"/>
  <c r="AX64" i="93"/>
  <c r="AX80" i="93"/>
  <c r="AX88" i="93"/>
  <c r="AX104" i="93"/>
  <c r="AX112" i="93"/>
  <c r="AX118" i="93"/>
  <c r="AX98" i="93"/>
  <c r="AX18" i="93"/>
  <c r="AX58" i="93"/>
  <c r="AX74" i="93"/>
  <c r="AX90" i="93"/>
  <c r="AX15" i="93"/>
  <c r="AX11" i="93"/>
  <c r="AX43" i="93"/>
  <c r="AX59" i="93"/>
  <c r="AX75" i="93"/>
  <c r="AX97" i="93"/>
  <c r="AX113" i="93"/>
  <c r="AX19" i="93"/>
  <c r="AX31" i="93"/>
  <c r="AX47" i="93"/>
  <c r="AX63" i="93"/>
  <c r="AX95" i="93"/>
  <c r="AX7" i="93"/>
  <c r="AH6" i="93" s="1"/>
  <c r="AX21" i="93"/>
  <c r="AX37" i="93"/>
  <c r="AX101" i="93"/>
  <c r="AX122" i="93"/>
  <c r="AX24" i="93"/>
  <c r="AX36" i="93"/>
  <c r="AX44" i="93"/>
  <c r="AX60" i="93"/>
  <c r="AX92" i="93"/>
  <c r="AX22" i="93"/>
  <c r="AX34" i="93"/>
  <c r="AX42" i="93"/>
  <c r="AX54" i="93"/>
  <c r="AX70" i="93"/>
  <c r="AX94" i="93"/>
  <c r="AX51" i="93"/>
  <c r="AX105" i="93"/>
  <c r="AX56" i="93"/>
  <c r="AX72" i="93"/>
  <c r="AX96" i="93"/>
  <c r="AX108" i="93"/>
  <c r="AX116" i="93"/>
  <c r="AX114" i="93"/>
  <c r="AX50" i="93"/>
  <c r="AX8" i="93"/>
  <c r="AX40" i="93"/>
  <c r="DJ22" i="98"/>
  <c r="DJ24" i="98"/>
  <c r="DJ27" i="98"/>
  <c r="DJ32" i="98"/>
  <c r="DJ33" i="98"/>
  <c r="DJ37" i="98"/>
  <c r="DJ39" i="98"/>
  <c r="DJ41" i="98"/>
  <c r="DJ42" i="98"/>
  <c r="DJ45" i="98"/>
  <c r="DJ48" i="98"/>
  <c r="DJ49" i="98"/>
  <c r="DJ52" i="98"/>
  <c r="DJ54" i="98"/>
  <c r="DJ56" i="98"/>
  <c r="DJ57" i="98"/>
  <c r="DJ58" i="98"/>
  <c r="DJ61" i="98"/>
  <c r="DJ62" i="98"/>
  <c r="DJ63" i="98"/>
  <c r="DJ64" i="98"/>
  <c r="DJ66" i="98"/>
  <c r="DJ68" i="98"/>
  <c r="DJ69" i="98"/>
  <c r="DJ70" i="98"/>
  <c r="DJ71" i="98"/>
  <c r="DJ73" i="98"/>
  <c r="DJ74" i="98"/>
  <c r="DJ76" i="98"/>
  <c r="DI22" i="98"/>
  <c r="DI24" i="98"/>
  <c r="DI27" i="98"/>
  <c r="DI32" i="98"/>
  <c r="DI33" i="98"/>
  <c r="DI37" i="98"/>
  <c r="DI39" i="98"/>
  <c r="DI41" i="98"/>
  <c r="DI42" i="98"/>
  <c r="DI45" i="98"/>
  <c r="DI48" i="98"/>
  <c r="DI49" i="98"/>
  <c r="DI52" i="98"/>
  <c r="DI54" i="98"/>
  <c r="DI56" i="98"/>
  <c r="DI57" i="98"/>
  <c r="DI58" i="98"/>
  <c r="DI61" i="98"/>
  <c r="DI62" i="98"/>
  <c r="DI63" i="98"/>
  <c r="DI64" i="98"/>
  <c r="DI66" i="98"/>
  <c r="DI68" i="98"/>
  <c r="DI69" i="98"/>
  <c r="DI70" i="98"/>
  <c r="DI71" i="98"/>
  <c r="DI73" i="98"/>
  <c r="DI74" i="98"/>
  <c r="DI76" i="98"/>
  <c r="DH22" i="98"/>
  <c r="DH24" i="98"/>
  <c r="DH27" i="98"/>
  <c r="DH32" i="98"/>
  <c r="DH33" i="98"/>
  <c r="DH37" i="98"/>
  <c r="DH39" i="98"/>
  <c r="DH41" i="98"/>
  <c r="DH42" i="98"/>
  <c r="DH45" i="98"/>
  <c r="DH48" i="98"/>
  <c r="DH49" i="98"/>
  <c r="DH52" i="98"/>
  <c r="DH54" i="98"/>
  <c r="DH56" i="98"/>
  <c r="DH57" i="98"/>
  <c r="DH58" i="98"/>
  <c r="DH61" i="98"/>
  <c r="DH62" i="98"/>
  <c r="DH63" i="98"/>
  <c r="DH64" i="98"/>
  <c r="DH66" i="98"/>
  <c r="DH68" i="98"/>
  <c r="DH69" i="98"/>
  <c r="DH70" i="98"/>
  <c r="DH71" i="98"/>
  <c r="DH73" i="98"/>
  <c r="DH74" i="98"/>
  <c r="DH76" i="98"/>
  <c r="DG22" i="98"/>
  <c r="DG24" i="98"/>
  <c r="DG27" i="98"/>
  <c r="DG32" i="98"/>
  <c r="DG33" i="98"/>
  <c r="DG37" i="98"/>
  <c r="DG39" i="98"/>
  <c r="DG41" i="98"/>
  <c r="DG42" i="98"/>
  <c r="DG45" i="98"/>
  <c r="DG48" i="98"/>
  <c r="DG49" i="98"/>
  <c r="DG52" i="98"/>
  <c r="DG54" i="98"/>
  <c r="DG56" i="98"/>
  <c r="DG57" i="98"/>
  <c r="DG58" i="98"/>
  <c r="DG61" i="98"/>
  <c r="DG62" i="98"/>
  <c r="DG63" i="98"/>
  <c r="DG64" i="98"/>
  <c r="DG66" i="98"/>
  <c r="DG68" i="98"/>
  <c r="DG69" i="98"/>
  <c r="DG70" i="98"/>
  <c r="DG71" i="98"/>
  <c r="DG73" i="98"/>
  <c r="DG74" i="98"/>
  <c r="DG76" i="98"/>
  <c r="DJ17" i="98"/>
  <c r="DI17" i="98"/>
  <c r="DH17" i="98"/>
  <c r="DG17" i="98"/>
  <c r="AH7" i="93" l="1"/>
  <c r="AH13" i="93"/>
  <c r="AH11" i="93"/>
  <c r="AH9" i="93"/>
  <c r="AH12" i="93"/>
  <c r="AH8" i="93"/>
  <c r="AH10" i="93"/>
  <c r="AR6" i="98" l="1"/>
  <c r="I20" i="98" l="1"/>
  <c r="H20" i="98"/>
  <c r="G20" i="98"/>
  <c r="F20" i="98"/>
  <c r="E20" i="98"/>
  <c r="D20" i="98"/>
  <c r="C20" i="98"/>
  <c r="B20" i="98"/>
  <c r="AC8" i="98"/>
  <c r="AE8" i="98" s="1"/>
  <c r="AC9" i="98"/>
  <c r="AG9" i="98" s="1"/>
  <c r="AC10" i="98"/>
  <c r="AE10" i="98" s="1"/>
  <c r="AC11" i="98"/>
  <c r="AE11" i="98" s="1"/>
  <c r="AC12" i="98"/>
  <c r="AG12" i="98" s="1"/>
  <c r="AC13" i="98"/>
  <c r="AG13" i="98" s="1"/>
  <c r="AC14" i="98"/>
  <c r="AF14" i="98" s="1"/>
  <c r="AC15" i="98"/>
  <c r="AG15" i="98" s="1"/>
  <c r="AC7" i="98"/>
  <c r="AH7" i="98" s="1"/>
  <c r="S8" i="98"/>
  <c r="U8" i="98" s="1"/>
  <c r="S9" i="98"/>
  <c r="W9" i="98" s="1"/>
  <c r="S10" i="98"/>
  <c r="U10" i="98" s="1"/>
  <c r="S11" i="98"/>
  <c r="V11" i="98" s="1"/>
  <c r="S12" i="98"/>
  <c r="W12" i="98" s="1"/>
  <c r="S13" i="98"/>
  <c r="U13" i="98" s="1"/>
  <c r="S14" i="98"/>
  <c r="U14" i="98" s="1"/>
  <c r="S15" i="98"/>
  <c r="W15" i="98" s="1"/>
  <c r="S7" i="98"/>
  <c r="V7" i="98" s="1"/>
  <c r="K8" i="98"/>
  <c r="L8" i="98"/>
  <c r="M8" i="98"/>
  <c r="N8" i="98"/>
  <c r="K9" i="98"/>
  <c r="L9" i="98"/>
  <c r="M9" i="98"/>
  <c r="N9" i="98"/>
  <c r="K10" i="98"/>
  <c r="L10" i="98"/>
  <c r="M10" i="98"/>
  <c r="N10" i="98"/>
  <c r="K11" i="98"/>
  <c r="L11" i="98"/>
  <c r="M11" i="98"/>
  <c r="N11" i="98"/>
  <c r="K12" i="98"/>
  <c r="L12" i="98"/>
  <c r="M12" i="98"/>
  <c r="N12" i="98"/>
  <c r="K13" i="98"/>
  <c r="L13" i="98"/>
  <c r="M13" i="98"/>
  <c r="N13" i="98"/>
  <c r="K14" i="98"/>
  <c r="L14" i="98"/>
  <c r="M14" i="98"/>
  <c r="N14" i="98"/>
  <c r="K15" i="98"/>
  <c r="L15" i="98"/>
  <c r="M15" i="98"/>
  <c r="N15" i="98"/>
  <c r="K16" i="98"/>
  <c r="L16" i="98"/>
  <c r="M16" i="98"/>
  <c r="N16" i="98"/>
  <c r="L7" i="98"/>
  <c r="M7" i="98"/>
  <c r="N7" i="98"/>
  <c r="K7" i="98"/>
  <c r="AU4" i="98"/>
  <c r="AV7" i="98" s="1"/>
  <c r="X15" i="98" l="1"/>
  <c r="AH11" i="98"/>
  <c r="W14" i="98"/>
  <c r="V9" i="98"/>
  <c r="AH10" i="98"/>
  <c r="AE9" i="98"/>
  <c r="U15" i="98"/>
  <c r="AG11" i="98"/>
  <c r="X14" i="98"/>
  <c r="AF11" i="98"/>
  <c r="V14" i="98"/>
  <c r="AF9" i="98"/>
  <c r="AH8" i="98"/>
  <c r="AG8" i="98"/>
  <c r="AF8" i="98"/>
  <c r="AF15" i="98"/>
  <c r="AF12" i="98"/>
  <c r="AE12" i="98"/>
  <c r="AV8" i="98"/>
  <c r="U9" i="98"/>
  <c r="AE15" i="98"/>
  <c r="W8" i="98"/>
  <c r="AG14" i="98"/>
  <c r="AE14" i="98"/>
  <c r="AH13" i="98"/>
  <c r="AG7" i="98"/>
  <c r="AF13" i="98"/>
  <c r="AF10" i="98"/>
  <c r="AE7" i="98"/>
  <c r="AG10" i="98"/>
  <c r="W11" i="98"/>
  <c r="AF7" i="98"/>
  <c r="AE13" i="98"/>
  <c r="U11" i="98"/>
  <c r="AH15" i="98"/>
  <c r="AH12" i="98"/>
  <c r="AH9" i="98"/>
  <c r="AH14" i="98"/>
  <c r="X9" i="98"/>
  <c r="X12" i="98"/>
  <c r="V15" i="98"/>
  <c r="V12" i="98"/>
  <c r="U12" i="98"/>
  <c r="X11" i="98"/>
  <c r="X8" i="98"/>
  <c r="V8" i="98"/>
  <c r="U7" i="98"/>
  <c r="X13" i="98"/>
  <c r="X10" i="98"/>
  <c r="X7" i="98"/>
  <c r="W13" i="98"/>
  <c r="W10" i="98"/>
  <c r="W7" i="98"/>
  <c r="V13" i="98"/>
  <c r="V10" i="98"/>
  <c r="AV6" i="98"/>
  <c r="AW7" i="98" s="1"/>
  <c r="AW8" i="98" l="1"/>
  <c r="F10" i="98" l="1"/>
  <c r="F13" i="98"/>
  <c r="F9" i="98"/>
  <c r="F12" i="98"/>
  <c r="F8" i="98"/>
  <c r="F15" i="98"/>
  <c r="F11" i="98"/>
  <c r="F14" i="98"/>
  <c r="F7" i="98"/>
  <c r="M6" i="83" l="1"/>
  <c r="S6" i="83" s="1"/>
  <c r="M7" i="83"/>
  <c r="P7" i="83" s="1"/>
  <c r="M8" i="83"/>
  <c r="P8" i="83" s="1"/>
  <c r="M9" i="83"/>
  <c r="S9" i="83" s="1"/>
  <c r="M10" i="83"/>
  <c r="S10" i="83" s="1"/>
  <c r="M11" i="83"/>
  <c r="S11" i="83" s="1"/>
  <c r="M12" i="83"/>
  <c r="S12" i="83" s="1"/>
  <c r="M13" i="83"/>
  <c r="S13" i="83" s="1"/>
  <c r="M14" i="83"/>
  <c r="P14" i="83" s="1"/>
  <c r="M15" i="83"/>
  <c r="S15" i="83" s="1"/>
  <c r="M16" i="83"/>
  <c r="S16" i="83" s="1"/>
  <c r="M17" i="83"/>
  <c r="P17" i="83" s="1"/>
  <c r="M18" i="83"/>
  <c r="S18" i="83" s="1"/>
  <c r="M19" i="83"/>
  <c r="P19" i="83" s="1"/>
  <c r="M20" i="83"/>
  <c r="P20" i="83" s="1"/>
  <c r="M21" i="83"/>
  <c r="S21" i="83" s="1"/>
  <c r="M22" i="83"/>
  <c r="S22" i="83" s="1"/>
  <c r="M23" i="83"/>
  <c r="S23" i="83" s="1"/>
  <c r="M24" i="83"/>
  <c r="S24" i="83" s="1"/>
  <c r="M25" i="83"/>
  <c r="S25" i="83" s="1"/>
  <c r="M26" i="83"/>
  <c r="P26" i="83" s="1"/>
  <c r="M27" i="83"/>
  <c r="S27" i="83" s="1"/>
  <c r="M28" i="83"/>
  <c r="S28" i="83" s="1"/>
  <c r="M29" i="83"/>
  <c r="P29" i="83" s="1"/>
  <c r="M30" i="83"/>
  <c r="S30" i="83" s="1"/>
  <c r="M31" i="83"/>
  <c r="P31" i="83" s="1"/>
  <c r="M32" i="83"/>
  <c r="S32" i="83" s="1"/>
  <c r="M33" i="83"/>
  <c r="S33" i="83" s="1"/>
  <c r="M34" i="83"/>
  <c r="S34" i="83" s="1"/>
  <c r="M35" i="83"/>
  <c r="S35" i="83" s="1"/>
  <c r="M36" i="83"/>
  <c r="S36" i="83" s="1"/>
  <c r="M37" i="83"/>
  <c r="P37" i="83" s="1"/>
  <c r="M38" i="83"/>
  <c r="P38" i="83" s="1"/>
  <c r="M39" i="83"/>
  <c r="S39" i="83" s="1"/>
  <c r="M40" i="83"/>
  <c r="S40" i="83" s="1"/>
  <c r="M41" i="83"/>
  <c r="P41" i="83" s="1"/>
  <c r="M42" i="83"/>
  <c r="S42" i="83" s="1"/>
  <c r="M43" i="83"/>
  <c r="P43" i="83" s="1"/>
  <c r="M44" i="83"/>
  <c r="S44" i="83" s="1"/>
  <c r="M45" i="83"/>
  <c r="S45" i="83" s="1"/>
  <c r="M46" i="83"/>
  <c r="S46" i="83" s="1"/>
  <c r="M47" i="83"/>
  <c r="S47" i="83" s="1"/>
  <c r="M48" i="83"/>
  <c r="S48" i="83" s="1"/>
  <c r="M49" i="83"/>
  <c r="S49" i="83" s="1"/>
  <c r="M50" i="83"/>
  <c r="P50" i="83" s="1"/>
  <c r="M51" i="83"/>
  <c r="S51" i="83" s="1"/>
  <c r="M52" i="83"/>
  <c r="S52" i="83" s="1"/>
  <c r="M53" i="83"/>
  <c r="P53" i="83" s="1"/>
  <c r="M54" i="83"/>
  <c r="S54" i="83" s="1"/>
  <c r="M55" i="83"/>
  <c r="P55" i="83" s="1"/>
  <c r="M56" i="83"/>
  <c r="P56" i="83" s="1"/>
  <c r="M57" i="83"/>
  <c r="S57" i="83" s="1"/>
  <c r="M58" i="83"/>
  <c r="S58" i="83" s="1"/>
  <c r="M59" i="83"/>
  <c r="S59" i="83" s="1"/>
  <c r="M60" i="83"/>
  <c r="S60" i="83" s="1"/>
  <c r="M61" i="83"/>
  <c r="S61" i="83" s="1"/>
  <c r="M62" i="83"/>
  <c r="P62" i="83" s="1"/>
  <c r="M63" i="83"/>
  <c r="S63" i="83" s="1"/>
  <c r="M64" i="83"/>
  <c r="S64" i="83" s="1"/>
  <c r="M65" i="83"/>
  <c r="P65" i="83" s="1"/>
  <c r="M66" i="83"/>
  <c r="S66" i="83" s="1"/>
  <c r="M67" i="83"/>
  <c r="P67" i="83" s="1"/>
  <c r="M68" i="83"/>
  <c r="P68" i="83" s="1"/>
  <c r="M69" i="83"/>
  <c r="S69" i="83" s="1"/>
  <c r="M70" i="83"/>
  <c r="S70" i="83" s="1"/>
  <c r="M71" i="83"/>
  <c r="S71" i="83" s="1"/>
  <c r="M72" i="83"/>
  <c r="S72" i="83" s="1"/>
  <c r="M73" i="83"/>
  <c r="S73" i="83" s="1"/>
  <c r="M74" i="83"/>
  <c r="P74" i="83" s="1"/>
  <c r="M75" i="83"/>
  <c r="S75" i="83" s="1"/>
  <c r="M76" i="83"/>
  <c r="S76" i="83" s="1"/>
  <c r="M77" i="83"/>
  <c r="P77" i="83" s="1"/>
  <c r="M78" i="83"/>
  <c r="S78" i="83" s="1"/>
  <c r="M79" i="83"/>
  <c r="P79" i="83" s="1"/>
  <c r="M80" i="83"/>
  <c r="S80" i="83" s="1"/>
  <c r="M81" i="83"/>
  <c r="S81" i="83" s="1"/>
  <c r="M82" i="83"/>
  <c r="S82" i="83" s="1"/>
  <c r="M83" i="83"/>
  <c r="S83" i="83" s="1"/>
  <c r="M84" i="83"/>
  <c r="S84" i="83" s="1"/>
  <c r="M85" i="83"/>
  <c r="P85" i="83" s="1"/>
  <c r="M86" i="83"/>
  <c r="P86" i="83" s="1"/>
  <c r="M87" i="83"/>
  <c r="S87" i="83" s="1"/>
  <c r="M88" i="83"/>
  <c r="S88" i="83" s="1"/>
  <c r="M89" i="83"/>
  <c r="P89" i="83" s="1"/>
  <c r="M90" i="83"/>
  <c r="S90" i="83" s="1"/>
  <c r="M91" i="83"/>
  <c r="P91" i="83" s="1"/>
  <c r="M92" i="83"/>
  <c r="S92" i="83" s="1"/>
  <c r="M93" i="83"/>
  <c r="S93" i="83" s="1"/>
  <c r="M94" i="83"/>
  <c r="S94" i="83" s="1"/>
  <c r="M95" i="83"/>
  <c r="S95" i="83" s="1"/>
  <c r="M96" i="83"/>
  <c r="S96" i="83" s="1"/>
  <c r="M97" i="83"/>
  <c r="S97" i="83" s="1"/>
  <c r="M98" i="83"/>
  <c r="P98" i="83" s="1"/>
  <c r="M99" i="83"/>
  <c r="S99" i="83" s="1"/>
  <c r="M100" i="83"/>
  <c r="S100" i="83" s="1"/>
  <c r="M101" i="83"/>
  <c r="P101" i="83" s="1"/>
  <c r="M102" i="83"/>
  <c r="S102" i="83" s="1"/>
  <c r="M103" i="83"/>
  <c r="P103" i="83" s="1"/>
  <c r="M104" i="83"/>
  <c r="P104" i="83" s="1"/>
  <c r="M5" i="83"/>
  <c r="S5" i="83" s="1"/>
  <c r="H6" i="83"/>
  <c r="H7" i="83"/>
  <c r="H8" i="83"/>
  <c r="H9" i="83"/>
  <c r="H10" i="83"/>
  <c r="H11" i="83"/>
  <c r="H12" i="83"/>
  <c r="H13" i="83"/>
  <c r="H14" i="83"/>
  <c r="H15" i="83"/>
  <c r="H16" i="83"/>
  <c r="H17" i="83"/>
  <c r="H18" i="83"/>
  <c r="H19" i="83"/>
  <c r="H20" i="83"/>
  <c r="H21" i="83"/>
  <c r="H22" i="83"/>
  <c r="H23" i="83"/>
  <c r="H24" i="83"/>
  <c r="H25" i="83"/>
  <c r="H26" i="83"/>
  <c r="H27" i="83"/>
  <c r="H28" i="83"/>
  <c r="H29" i="83"/>
  <c r="H30" i="83"/>
  <c r="H31" i="83"/>
  <c r="H32" i="83"/>
  <c r="H33" i="83"/>
  <c r="H34" i="83"/>
  <c r="H35" i="83"/>
  <c r="H36" i="83"/>
  <c r="H37" i="83"/>
  <c r="H38" i="83"/>
  <c r="H39" i="83"/>
  <c r="H40" i="83"/>
  <c r="H41" i="83"/>
  <c r="H42" i="83"/>
  <c r="H43" i="83"/>
  <c r="H44" i="83"/>
  <c r="H45" i="83"/>
  <c r="H46" i="83"/>
  <c r="H47" i="83"/>
  <c r="H48" i="83"/>
  <c r="H49" i="83"/>
  <c r="H50" i="83"/>
  <c r="H51" i="83"/>
  <c r="H52" i="83"/>
  <c r="H53" i="83"/>
  <c r="H54" i="83"/>
  <c r="H55" i="83"/>
  <c r="H56" i="83"/>
  <c r="H57" i="83"/>
  <c r="H58" i="83"/>
  <c r="H59" i="83"/>
  <c r="H60" i="83"/>
  <c r="H61" i="83"/>
  <c r="H62" i="83"/>
  <c r="H63" i="83"/>
  <c r="H64" i="83"/>
  <c r="H65" i="83"/>
  <c r="H66" i="83"/>
  <c r="H67" i="83"/>
  <c r="H68" i="83"/>
  <c r="H69" i="83"/>
  <c r="H70" i="83"/>
  <c r="H71" i="83"/>
  <c r="H72" i="83"/>
  <c r="H73" i="83"/>
  <c r="H74" i="83"/>
  <c r="H75" i="83"/>
  <c r="H76" i="83"/>
  <c r="H77" i="83"/>
  <c r="H78" i="83"/>
  <c r="H79" i="83"/>
  <c r="H80" i="83"/>
  <c r="H81" i="83"/>
  <c r="H82" i="83"/>
  <c r="H83" i="83"/>
  <c r="H84" i="83"/>
  <c r="H85" i="83"/>
  <c r="H86" i="83"/>
  <c r="H87" i="83"/>
  <c r="H88" i="83"/>
  <c r="H89" i="83"/>
  <c r="H90" i="83"/>
  <c r="H91" i="83"/>
  <c r="H92" i="83"/>
  <c r="H93" i="83"/>
  <c r="H94" i="83"/>
  <c r="H95" i="83"/>
  <c r="H96" i="83"/>
  <c r="H97" i="83"/>
  <c r="H98" i="83"/>
  <c r="H99" i="83"/>
  <c r="H100" i="83"/>
  <c r="H101" i="83"/>
  <c r="H102" i="83"/>
  <c r="H103" i="83"/>
  <c r="H104" i="83"/>
  <c r="H5" i="83"/>
  <c r="J25" i="88" l="1"/>
  <c r="J24" i="88"/>
  <c r="J23" i="88"/>
  <c r="J20" i="88"/>
  <c r="J19" i="88"/>
  <c r="J22" i="88"/>
  <c r="J21" i="88"/>
  <c r="K22" i="88"/>
  <c r="P100" i="83"/>
  <c r="P92" i="83"/>
  <c r="P81" i="83"/>
  <c r="P73" i="83"/>
  <c r="P63" i="83"/>
  <c r="P52" i="83"/>
  <c r="P44" i="83"/>
  <c r="P33" i="83"/>
  <c r="P25" i="83"/>
  <c r="P15" i="83"/>
  <c r="S104" i="83"/>
  <c r="S91" i="83"/>
  <c r="K24" i="88" s="1"/>
  <c r="S56" i="83"/>
  <c r="S43" i="83"/>
  <c r="S8" i="83"/>
  <c r="P99" i="83"/>
  <c r="P88" i="83"/>
  <c r="P80" i="83"/>
  <c r="P69" i="83"/>
  <c r="P61" i="83"/>
  <c r="P51" i="83"/>
  <c r="P40" i="83"/>
  <c r="P32" i="83"/>
  <c r="P21" i="83"/>
  <c r="P13" i="83"/>
  <c r="S103" i="83"/>
  <c r="S85" i="83"/>
  <c r="S68" i="83"/>
  <c r="S55" i="83"/>
  <c r="S37" i="83"/>
  <c r="S20" i="83"/>
  <c r="S7" i="83"/>
  <c r="P5" i="83"/>
  <c r="P97" i="83"/>
  <c r="P87" i="83"/>
  <c r="P76" i="83"/>
  <c r="P57" i="83"/>
  <c r="P49" i="83"/>
  <c r="P39" i="83"/>
  <c r="P28" i="83"/>
  <c r="P9" i="83"/>
  <c r="S67" i="83"/>
  <c r="S19" i="83"/>
  <c r="P93" i="83"/>
  <c r="P75" i="83"/>
  <c r="P64" i="83"/>
  <c r="P45" i="83"/>
  <c r="P27" i="83"/>
  <c r="P16" i="83"/>
  <c r="S79" i="83"/>
  <c r="S31" i="83"/>
  <c r="S89" i="83"/>
  <c r="S17" i="83"/>
  <c r="P96" i="83"/>
  <c r="P84" i="83"/>
  <c r="P72" i="83"/>
  <c r="P60" i="83"/>
  <c r="P48" i="83"/>
  <c r="P36" i="83"/>
  <c r="P24" i="83"/>
  <c r="P12" i="83"/>
  <c r="S101" i="83"/>
  <c r="S65" i="83"/>
  <c r="S29" i="83"/>
  <c r="P95" i="83"/>
  <c r="P83" i="83"/>
  <c r="P71" i="83"/>
  <c r="P59" i="83"/>
  <c r="P47" i="83"/>
  <c r="P35" i="83"/>
  <c r="P23" i="83"/>
  <c r="P11" i="83"/>
  <c r="S77" i="83"/>
  <c r="S53" i="83"/>
  <c r="S41" i="83"/>
  <c r="P94" i="83"/>
  <c r="P82" i="83"/>
  <c r="P70" i="83"/>
  <c r="P58" i="83"/>
  <c r="P46" i="83"/>
  <c r="P34" i="83"/>
  <c r="P22" i="83"/>
  <c r="P10" i="83"/>
  <c r="S98" i="83"/>
  <c r="K25" i="88" s="1"/>
  <c r="S86" i="83"/>
  <c r="S74" i="83"/>
  <c r="K20" i="88" s="1"/>
  <c r="S62" i="83"/>
  <c r="S50" i="83"/>
  <c r="S38" i="83"/>
  <c r="S26" i="83"/>
  <c r="S14" i="83"/>
  <c r="P102" i="83"/>
  <c r="P90" i="83"/>
  <c r="P78" i="83"/>
  <c r="P66" i="83"/>
  <c r="P54" i="83"/>
  <c r="P42" i="83"/>
  <c r="P30" i="83"/>
  <c r="P18" i="83"/>
  <c r="P6" i="83"/>
  <c r="AI26" i="82"/>
  <c r="AI27" i="82"/>
  <c r="AI28" i="82"/>
  <c r="AI29" i="82"/>
  <c r="AI30" i="82"/>
  <c r="AI31" i="82"/>
  <c r="AI32" i="82"/>
  <c r="AI33" i="82"/>
  <c r="AI34" i="82"/>
  <c r="K26" i="88" l="1"/>
  <c r="K21" i="88"/>
  <c r="K19" i="88"/>
  <c r="K23" i="88"/>
  <c r="R26" i="82" l="1"/>
  <c r="R27" i="82"/>
  <c r="R28" i="82"/>
  <c r="R29" i="82"/>
  <c r="R30" i="82"/>
  <c r="R31" i="82"/>
  <c r="R32" i="82"/>
  <c r="R33" i="82"/>
  <c r="R34" i="82"/>
  <c r="L26" i="82"/>
  <c r="L27" i="82"/>
  <c r="L28" i="82"/>
  <c r="L29" i="82"/>
  <c r="L30" i="82"/>
  <c r="L31" i="82"/>
  <c r="L32" i="82"/>
  <c r="L33" i="82"/>
  <c r="L34" i="82"/>
  <c r="J26" i="82"/>
  <c r="J27" i="82"/>
  <c r="J28" i="82"/>
  <c r="J29" i="82"/>
  <c r="J30" i="82"/>
  <c r="J31" i="82"/>
  <c r="J32" i="82"/>
  <c r="J33" i="82"/>
  <c r="J34" i="82"/>
  <c r="FC78" i="82" l="1"/>
  <c r="FC79" i="82"/>
  <c r="FC77" i="82"/>
  <c r="ED84" i="82"/>
  <c r="DW84" i="82" s="1"/>
  <c r="ED85" i="82"/>
  <c r="ED83" i="82"/>
  <c r="FC74" i="82"/>
  <c r="FC75" i="82"/>
  <c r="FC76" i="82"/>
  <c r="ED80" i="82"/>
  <c r="ED81" i="82"/>
  <c r="ED82" i="82"/>
  <c r="DW82" i="82" s="1"/>
  <c r="FC62" i="82"/>
  <c r="FC63" i="82"/>
  <c r="FC64" i="82"/>
  <c r="ED70" i="82"/>
  <c r="DW70" i="82" s="1"/>
  <c r="ED69" i="82"/>
  <c r="ED68" i="82"/>
  <c r="AF20" i="103"/>
  <c r="N25" i="88" s="1"/>
  <c r="FC60" i="82"/>
  <c r="FC61" i="82"/>
  <c r="FC59" i="82"/>
  <c r="ED67" i="82"/>
  <c r="ED66" i="82"/>
  <c r="DW66" i="82" s="1"/>
  <c r="ED65" i="82"/>
  <c r="AF21" i="103"/>
  <c r="N27" i="88" s="1"/>
  <c r="FC66" i="82"/>
  <c r="FC67" i="82"/>
  <c r="FC65" i="82"/>
  <c r="ED72" i="82"/>
  <c r="ED73" i="82"/>
  <c r="DW73" i="82" s="1"/>
  <c r="ED71" i="82"/>
  <c r="DW71" i="82" s="1"/>
  <c r="FC85" i="82"/>
  <c r="FC83" i="82"/>
  <c r="FC84" i="82"/>
  <c r="ED91" i="82"/>
  <c r="DW91" i="82" s="1"/>
  <c r="ED89" i="82"/>
  <c r="ED90" i="82"/>
  <c r="DW90" i="82" s="1"/>
  <c r="AF22" i="103"/>
  <c r="N31" i="88" s="1"/>
  <c r="FC71" i="82"/>
  <c r="FC72" i="82"/>
  <c r="FC73" i="82"/>
  <c r="ED77" i="82"/>
  <c r="ED79" i="82"/>
  <c r="DW79" i="82" s="1"/>
  <c r="ED78" i="82"/>
  <c r="FC82" i="82"/>
  <c r="FC81" i="82"/>
  <c r="FC80" i="82"/>
  <c r="ED88" i="82"/>
  <c r="ED87" i="82"/>
  <c r="DW87" i="82" s="1"/>
  <c r="ED86" i="82"/>
  <c r="FC70" i="82"/>
  <c r="FC69" i="82"/>
  <c r="FC68" i="82"/>
  <c r="ED75" i="82"/>
  <c r="DW75" i="82" s="1"/>
  <c r="ED76" i="82"/>
  <c r="DW76" i="82" s="1"/>
  <c r="ED74" i="82"/>
  <c r="N33" i="88"/>
  <c r="N30" i="88"/>
  <c r="DW72" i="82"/>
  <c r="DW81" i="82"/>
  <c r="DW80" i="82"/>
  <c r="DW69" i="82"/>
  <c r="DW68" i="82"/>
  <c r="DW89" i="82"/>
  <c r="DW67" i="82"/>
  <c r="DW65" i="82"/>
  <c r="DW85" i="82"/>
  <c r="DW83" i="82"/>
  <c r="DW77" i="82"/>
  <c r="DW78" i="82"/>
  <c r="DW88" i="82"/>
  <c r="DW86" i="82"/>
  <c r="DW74" i="82"/>
  <c r="AW97" i="82"/>
  <c r="AW100" i="82"/>
  <c r="AW98" i="82"/>
  <c r="AW99" i="82"/>
  <c r="Q32" i="89"/>
  <c r="AE32" i="89" s="1"/>
  <c r="AP30" i="82"/>
  <c r="I29" i="88" s="1"/>
  <c r="Z30" i="82"/>
  <c r="G28" i="88" s="1"/>
  <c r="AN30" i="82"/>
  <c r="AP26" i="82"/>
  <c r="I25" i="88" s="1"/>
  <c r="Z26" i="82"/>
  <c r="G24" i="88" s="1"/>
  <c r="AN26" i="82"/>
  <c r="AW94" i="82"/>
  <c r="AW96" i="82"/>
  <c r="AW93" i="82"/>
  <c r="AW95" i="82"/>
  <c r="AP29" i="82"/>
  <c r="I28" i="88" s="1"/>
  <c r="Z29" i="82"/>
  <c r="G27" i="88" s="1"/>
  <c r="AN29" i="82"/>
  <c r="M31" i="82"/>
  <c r="AX107" i="82" s="1"/>
  <c r="AP34" i="82"/>
  <c r="I33" i="88" s="1"/>
  <c r="Z34" i="82"/>
  <c r="G32" i="88" s="1"/>
  <c r="AN34" i="82"/>
  <c r="M35" i="82"/>
  <c r="AX124" i="82" s="1"/>
  <c r="AW112" i="82"/>
  <c r="AW111" i="82"/>
  <c r="AW110" i="82"/>
  <c r="AW109" i="82"/>
  <c r="AP33" i="82"/>
  <c r="I32" i="88" s="1"/>
  <c r="Z33" i="82"/>
  <c r="G31" i="88" s="1"/>
  <c r="AN33" i="82"/>
  <c r="AW108" i="82"/>
  <c r="AW105" i="82"/>
  <c r="AW107" i="82"/>
  <c r="AW106" i="82"/>
  <c r="AW89" i="82"/>
  <c r="AW92" i="82"/>
  <c r="AW91" i="82"/>
  <c r="AW90" i="82"/>
  <c r="Q34" i="89"/>
  <c r="AE34" i="89" s="1"/>
  <c r="Z32" i="82"/>
  <c r="G30" i="88" s="1"/>
  <c r="AN32" i="82"/>
  <c r="AP32" i="82"/>
  <c r="I31" i="88" s="1"/>
  <c r="Z28" i="82"/>
  <c r="G26" i="88" s="1"/>
  <c r="AN28" i="82"/>
  <c r="AP28" i="82"/>
  <c r="I27" i="88" s="1"/>
  <c r="M30" i="82"/>
  <c r="AX104" i="82" s="1"/>
  <c r="AW116" i="82"/>
  <c r="AW113" i="82"/>
  <c r="AW115" i="82"/>
  <c r="AW114" i="82"/>
  <c r="AW117" i="82"/>
  <c r="AW120" i="82"/>
  <c r="AW118" i="82"/>
  <c r="AW119" i="82"/>
  <c r="AW101" i="82"/>
  <c r="AW104" i="82"/>
  <c r="AW103" i="82"/>
  <c r="AW102" i="82"/>
  <c r="AW85" i="82"/>
  <c r="AW87" i="82"/>
  <c r="AW88" i="82"/>
  <c r="AW86" i="82"/>
  <c r="Q33" i="89"/>
  <c r="AE33" i="89" s="1"/>
  <c r="AN31" i="82"/>
  <c r="AP31" i="82"/>
  <c r="I30" i="88" s="1"/>
  <c r="Z31" i="82"/>
  <c r="G29" i="88" s="1"/>
  <c r="AN27" i="82"/>
  <c r="AP27" i="82"/>
  <c r="I26" i="88" s="1"/>
  <c r="Z27" i="82"/>
  <c r="G25" i="88" s="1"/>
  <c r="X27" i="82"/>
  <c r="Q29" i="89"/>
  <c r="AE29" i="89" s="1"/>
  <c r="X31" i="82"/>
  <c r="M28" i="82"/>
  <c r="AX96" i="82" s="1"/>
  <c r="Q30" i="89"/>
  <c r="AE30" i="89" s="1"/>
  <c r="Q36" i="89"/>
  <c r="AE36" i="89" s="1"/>
  <c r="Q28" i="89"/>
  <c r="AE28" i="89" s="1"/>
  <c r="M29" i="82"/>
  <c r="AX97" i="82" s="1"/>
  <c r="Q35" i="89"/>
  <c r="AE35" i="89" s="1"/>
  <c r="Q31" i="89"/>
  <c r="AE31" i="89" s="1"/>
  <c r="M32" i="82"/>
  <c r="AX110" i="82" s="1"/>
  <c r="X33" i="82"/>
  <c r="X34" i="82"/>
  <c r="M27" i="82"/>
  <c r="AX89" i="82" s="1"/>
  <c r="X32" i="82"/>
  <c r="X30" i="82"/>
  <c r="X29" i="82"/>
  <c r="X28" i="82"/>
  <c r="M34" i="82"/>
  <c r="AX120" i="82" s="1"/>
  <c r="M33" i="82"/>
  <c r="AX116" i="82" s="1"/>
  <c r="X26" i="82"/>
  <c r="N29" i="88" l="1"/>
  <c r="N32" i="88"/>
  <c r="N28" i="88"/>
  <c r="N26" i="88"/>
  <c r="P147" i="89"/>
  <c r="P149" i="89"/>
  <c r="P146" i="89"/>
  <c r="P148" i="89"/>
  <c r="P155" i="89"/>
  <c r="P157" i="89"/>
  <c r="P154" i="89"/>
  <c r="P156" i="89"/>
  <c r="P135" i="89"/>
  <c r="P137" i="89"/>
  <c r="P134" i="89"/>
  <c r="P136" i="89"/>
  <c r="P139" i="89"/>
  <c r="P141" i="89"/>
  <c r="P138" i="89"/>
  <c r="P140" i="89"/>
  <c r="P143" i="89"/>
  <c r="P145" i="89"/>
  <c r="P144" i="89"/>
  <c r="P142" i="89"/>
  <c r="P167" i="89"/>
  <c r="P169" i="89"/>
  <c r="P168" i="89"/>
  <c r="P166" i="89"/>
  <c r="P159" i="89"/>
  <c r="P161" i="89"/>
  <c r="P160" i="89"/>
  <c r="P158" i="89"/>
  <c r="P163" i="89"/>
  <c r="P165" i="89"/>
  <c r="P162" i="89"/>
  <c r="P164" i="89"/>
  <c r="P151" i="89"/>
  <c r="P153" i="89"/>
  <c r="P152" i="89"/>
  <c r="P150" i="89"/>
  <c r="AX111" i="82"/>
  <c r="AX118" i="82"/>
  <c r="AX102" i="82"/>
  <c r="AX90" i="82"/>
  <c r="AX106" i="82"/>
  <c r="AX93" i="82"/>
  <c r="AX115" i="82"/>
  <c r="AX95" i="82"/>
  <c r="AX112" i="82"/>
  <c r="AX100" i="82"/>
  <c r="AX114" i="82"/>
  <c r="AX119" i="82"/>
  <c r="AX123" i="82"/>
  <c r="AX103" i="82"/>
  <c r="AX91" i="82"/>
  <c r="AX105" i="82"/>
  <c r="AX99" i="82"/>
  <c r="AX94" i="82"/>
  <c r="AX109" i="82"/>
  <c r="AX98" i="82"/>
  <c r="AX113" i="82"/>
  <c r="AX117" i="82"/>
  <c r="AX122" i="82"/>
  <c r="AX121" i="82"/>
  <c r="AX101" i="82"/>
  <c r="AX92" i="82"/>
  <c r="AX108" i="82"/>
  <c r="CW7" i="89" l="1"/>
  <c r="CW9" i="89"/>
  <c r="CW11" i="89"/>
  <c r="CW13" i="89"/>
  <c r="CW15" i="89"/>
  <c r="CW17" i="89"/>
  <c r="CW19" i="89"/>
  <c r="CW21" i="89"/>
  <c r="CW22" i="89"/>
  <c r="CW24" i="89"/>
  <c r="CW25" i="89"/>
  <c r="CW27" i="89"/>
  <c r="CW28" i="89"/>
  <c r="CW30" i="89"/>
  <c r="CW31" i="89"/>
  <c r="CW33" i="89"/>
  <c r="CW34" i="89"/>
  <c r="CW36" i="89"/>
  <c r="CW37" i="89"/>
  <c r="CW39" i="89"/>
  <c r="CW40" i="89"/>
  <c r="CW42" i="89"/>
  <c r="CW43" i="89"/>
  <c r="CW45" i="89"/>
  <c r="CW46" i="89"/>
  <c r="CW48" i="89"/>
  <c r="CW49" i="89"/>
  <c r="CW51" i="89"/>
  <c r="CW52" i="89"/>
  <c r="CW54" i="89"/>
  <c r="CW55" i="89"/>
  <c r="CW56" i="89"/>
  <c r="AU11" i="85"/>
  <c r="AU8" i="85"/>
  <c r="AU9" i="85"/>
  <c r="AU10" i="85"/>
  <c r="AU5" i="85"/>
  <c r="AU6" i="85"/>
  <c r="AU7" i="85"/>
  <c r="AU4" i="85"/>
  <c r="CW6" i="89" l="1"/>
  <c r="CW50" i="89"/>
  <c r="DP50" i="89" s="1"/>
  <c r="CW38" i="89"/>
  <c r="CW26" i="89"/>
  <c r="DP26" i="89" s="1"/>
  <c r="CW18" i="89"/>
  <c r="CW14" i="89"/>
  <c r="DP14" i="89" s="1"/>
  <c r="CW10" i="89"/>
  <c r="DP10" i="89" s="1"/>
  <c r="CW57" i="89"/>
  <c r="DP57" i="89" s="1"/>
  <c r="CW53" i="89"/>
  <c r="DP53" i="89" s="1"/>
  <c r="CW41" i="89"/>
  <c r="DP41" i="89" s="1"/>
  <c r="CW29" i="89"/>
  <c r="DP29" i="89" s="1"/>
  <c r="CW44" i="89"/>
  <c r="DP44" i="89" s="1"/>
  <c r="CW32" i="89"/>
  <c r="DP32" i="89" s="1"/>
  <c r="CW20" i="89"/>
  <c r="DP20" i="89" s="1"/>
  <c r="CW16" i="89"/>
  <c r="DP16" i="89" s="1"/>
  <c r="CW12" i="89"/>
  <c r="DP12" i="89" s="1"/>
  <c r="CW8" i="89"/>
  <c r="DP8" i="89" s="1"/>
  <c r="CW47" i="89"/>
  <c r="DP47" i="89" s="1"/>
  <c r="CW35" i="89"/>
  <c r="DP35" i="89" s="1"/>
  <c r="CW23" i="89"/>
  <c r="DP23" i="89" s="1"/>
  <c r="DP6" i="89"/>
  <c r="DP54" i="89"/>
  <c r="DP46" i="89"/>
  <c r="DP42" i="89"/>
  <c r="DP38" i="89"/>
  <c r="DP34" i="89"/>
  <c r="DP30" i="89"/>
  <c r="DP22" i="89"/>
  <c r="DP18" i="89"/>
  <c r="DP51" i="89"/>
  <c r="DP39" i="89"/>
  <c r="DP49" i="89"/>
  <c r="DP45" i="89"/>
  <c r="DP37" i="89"/>
  <c r="DP33" i="89"/>
  <c r="DP25" i="89"/>
  <c r="DP21" i="89"/>
  <c r="DP17" i="89"/>
  <c r="DP13" i="89"/>
  <c r="DP9" i="89"/>
  <c r="DP55" i="89"/>
  <c r="DP43" i="89"/>
  <c r="DP56" i="89"/>
  <c r="DP52" i="89"/>
  <c r="DP48" i="89"/>
  <c r="DP40" i="89"/>
  <c r="DP36" i="89"/>
  <c r="DP28" i="89"/>
  <c r="DP24" i="89"/>
  <c r="DP31" i="89"/>
  <c r="DP27" i="89"/>
  <c r="DP19" i="89"/>
  <c r="DP15" i="89"/>
  <c r="DP11" i="89"/>
  <c r="DP7" i="89"/>
  <c r="CU10" i="89"/>
  <c r="CU22" i="89"/>
  <c r="CU34" i="89"/>
  <c r="CU46" i="89"/>
  <c r="CU6" i="89"/>
  <c r="CU41" i="89"/>
  <c r="CU20" i="89"/>
  <c r="CU11" i="89"/>
  <c r="CU23" i="89"/>
  <c r="CU35" i="89"/>
  <c r="CU47" i="89"/>
  <c r="CU45" i="89"/>
  <c r="CU12" i="89"/>
  <c r="CU24" i="89"/>
  <c r="CU36" i="89"/>
  <c r="CU48" i="89"/>
  <c r="CU21" i="89"/>
  <c r="CU13" i="89"/>
  <c r="CU25" i="89"/>
  <c r="CU37" i="89"/>
  <c r="CU49" i="89"/>
  <c r="CU8" i="89"/>
  <c r="CU14" i="89"/>
  <c r="CU26" i="89"/>
  <c r="CU38" i="89"/>
  <c r="CU50" i="89"/>
  <c r="CU44" i="89"/>
  <c r="CU9" i="89"/>
  <c r="CU15" i="89"/>
  <c r="CU27" i="89"/>
  <c r="CU39" i="89"/>
  <c r="CU51" i="89"/>
  <c r="CU53" i="89"/>
  <c r="CU32" i="89"/>
  <c r="CU16" i="89"/>
  <c r="CU28" i="89"/>
  <c r="CU40" i="89"/>
  <c r="CU52" i="89"/>
  <c r="CU17" i="89"/>
  <c r="CU33" i="89"/>
  <c r="CU29" i="89"/>
  <c r="CU18" i="89"/>
  <c r="CU30" i="89"/>
  <c r="CU42" i="89"/>
  <c r="CU54" i="89"/>
  <c r="CU7" i="89"/>
  <c r="CU19" i="89"/>
  <c r="CU31" i="89"/>
  <c r="CU43" i="89"/>
  <c r="CU55" i="89"/>
  <c r="CU56" i="89"/>
  <c r="CU57" i="89"/>
  <c r="T27" i="85" l="1"/>
  <c r="V27" i="85"/>
  <c r="T28" i="85"/>
  <c r="V28" i="85"/>
  <c r="T29" i="85"/>
  <c r="V29" i="85"/>
  <c r="T30" i="85"/>
  <c r="V30" i="85"/>
  <c r="T31" i="85"/>
  <c r="V31" i="85"/>
  <c r="T32" i="85"/>
  <c r="U33" i="85" s="1"/>
  <c r="V32" i="85"/>
  <c r="W33" i="85" s="1"/>
  <c r="V23" i="85"/>
  <c r="V24" i="85"/>
  <c r="V25" i="85"/>
  <c r="V26" i="85"/>
  <c r="T23" i="85"/>
  <c r="T24" i="85"/>
  <c r="T25" i="85"/>
  <c r="T26" i="85"/>
  <c r="V6" i="85"/>
  <c r="V9" i="85"/>
  <c r="V10" i="85"/>
  <c r="V11" i="85"/>
  <c r="V12" i="85"/>
  <c r="V13" i="85"/>
  <c r="V14" i="85"/>
  <c r="V15" i="85"/>
  <c r="V16" i="85"/>
  <c r="V17" i="85"/>
  <c r="V18" i="85"/>
  <c r="V19" i="85"/>
  <c r="V20" i="85"/>
  <c r="V21" i="85"/>
  <c r="V22" i="85"/>
  <c r="V5" i="85"/>
  <c r="T6" i="85"/>
  <c r="T9" i="85"/>
  <c r="T10" i="85"/>
  <c r="T11" i="85"/>
  <c r="T12" i="85"/>
  <c r="T13" i="85"/>
  <c r="T14" i="85"/>
  <c r="T15" i="85"/>
  <c r="T16" i="85"/>
  <c r="T17" i="85"/>
  <c r="T18" i="85"/>
  <c r="T19" i="85"/>
  <c r="T20" i="85"/>
  <c r="T21" i="85"/>
  <c r="T22" i="85"/>
  <c r="T5" i="85"/>
  <c r="B11" i="85"/>
  <c r="B8" i="85"/>
  <c r="U6" i="85" l="1"/>
  <c r="AN11" i="85" s="1"/>
  <c r="U7" i="85"/>
  <c r="AN19" i="85" s="1"/>
  <c r="W6" i="85"/>
  <c r="AN12" i="85" s="1"/>
  <c r="W7" i="85"/>
  <c r="AN20" i="85" s="1"/>
  <c r="Y28" i="85"/>
  <c r="Y29" i="85"/>
  <c r="U28" i="85"/>
  <c r="AN129" i="85" s="1"/>
  <c r="W28" i="85"/>
  <c r="AN130" i="85" s="1"/>
  <c r="W27" i="85"/>
  <c r="U27" i="85"/>
  <c r="Y27" i="85"/>
  <c r="AD14" i="98" s="1"/>
  <c r="W32" i="85"/>
  <c r="AN150" i="85" s="1"/>
  <c r="U31" i="85"/>
  <c r="AN144" i="85" s="1"/>
  <c r="W29" i="85"/>
  <c r="Y30" i="85"/>
  <c r="U32" i="85"/>
  <c r="AN149" i="85" s="1"/>
  <c r="Y31" i="85"/>
  <c r="W30" i="85"/>
  <c r="AN140" i="85" s="1"/>
  <c r="U29" i="85"/>
  <c r="Y32" i="85"/>
  <c r="W31" i="85"/>
  <c r="AN145" i="85" s="1"/>
  <c r="U30" i="85"/>
  <c r="AN139" i="85" s="1"/>
  <c r="Y26" i="85"/>
  <c r="W25" i="85"/>
  <c r="AN115" i="85" s="1"/>
  <c r="U25" i="85"/>
  <c r="Y25" i="85"/>
  <c r="Y23" i="85"/>
  <c r="U24" i="85"/>
  <c r="AN109" i="85" s="1"/>
  <c r="U26" i="85"/>
  <c r="AN119" i="85" s="1"/>
  <c r="W23" i="85"/>
  <c r="AN105" i="85" s="1"/>
  <c r="U23" i="85"/>
  <c r="AN104" i="85" s="1"/>
  <c r="W24" i="85"/>
  <c r="AN110" i="85" s="1"/>
  <c r="W26" i="85"/>
  <c r="AN120" i="85" s="1"/>
  <c r="Y24" i="85"/>
  <c r="AD13" i="98" l="1"/>
  <c r="T15" i="98"/>
  <c r="AN135" i="85"/>
  <c r="D14" i="98"/>
  <c r="AN124" i="85"/>
  <c r="D15" i="98"/>
  <c r="AN134" i="85"/>
  <c r="D13" i="98"/>
  <c r="AN114" i="85"/>
  <c r="T14" i="98"/>
  <c r="AN125" i="85"/>
  <c r="T13" i="98"/>
  <c r="AD15" i="98"/>
  <c r="O28" i="88"/>
  <c r="P28" i="88"/>
  <c r="O26" i="88"/>
  <c r="P26" i="88"/>
  <c r="O25" i="88"/>
  <c r="P25" i="88"/>
  <c r="P32" i="88"/>
  <c r="O32" i="88"/>
  <c r="P33" i="88"/>
  <c r="O29" i="88"/>
  <c r="P29" i="88"/>
  <c r="O30" i="88"/>
  <c r="P30" i="88"/>
  <c r="O24" i="88"/>
  <c r="P24" i="88"/>
  <c r="O33" i="88" l="1"/>
  <c r="O27" i="88"/>
  <c r="P27" i="88"/>
  <c r="O31" i="88"/>
  <c r="P31" i="88"/>
  <c r="O10" i="81"/>
  <c r="N9" i="81"/>
  <c r="N8" i="81"/>
  <c r="N7" i="81"/>
  <c r="N6" i="81"/>
  <c r="O270" i="81"/>
  <c r="N269" i="81"/>
  <c r="N268" i="81"/>
  <c r="N267" i="81"/>
  <c r="N266" i="81"/>
  <c r="O256" i="81"/>
  <c r="N255" i="81"/>
  <c r="N254" i="81"/>
  <c r="N253" i="81"/>
  <c r="N252" i="81"/>
  <c r="O242" i="81"/>
  <c r="N240" i="81"/>
  <c r="N239" i="81"/>
  <c r="N238" i="81"/>
  <c r="O228" i="81"/>
  <c r="N225" i="81"/>
  <c r="N224" i="81"/>
  <c r="O214" i="81"/>
  <c r="N211" i="81"/>
  <c r="N210" i="81"/>
  <c r="AI6" i="82"/>
  <c r="AI7" i="82"/>
  <c r="AI8" i="82"/>
  <c r="AI9" i="82"/>
  <c r="AI10" i="82"/>
  <c r="AI11" i="82"/>
  <c r="AI12" i="82"/>
  <c r="AI13" i="82"/>
  <c r="AI14" i="82"/>
  <c r="AI15" i="82"/>
  <c r="AI16" i="82"/>
  <c r="AI17" i="82"/>
  <c r="AI18" i="82"/>
  <c r="AI19" i="82"/>
  <c r="AI20" i="82"/>
  <c r="AI21" i="82"/>
  <c r="AI22" i="82"/>
  <c r="AI23" i="82"/>
  <c r="AI24" i="82"/>
  <c r="AI25" i="82"/>
  <c r="AI5" i="82"/>
  <c r="R6" i="82"/>
  <c r="R7" i="82"/>
  <c r="R8" i="82"/>
  <c r="R9" i="82"/>
  <c r="R10" i="82"/>
  <c r="R11" i="82"/>
  <c r="R12" i="82"/>
  <c r="R13" i="82"/>
  <c r="R14" i="82"/>
  <c r="R15" i="82"/>
  <c r="R16" i="82"/>
  <c r="R17" i="82"/>
  <c r="R18" i="82"/>
  <c r="R19" i="82"/>
  <c r="R20" i="82"/>
  <c r="R21" i="82"/>
  <c r="R22" i="82"/>
  <c r="R23" i="82"/>
  <c r="R24" i="82"/>
  <c r="R25" i="82"/>
  <c r="R5" i="82"/>
  <c r="BB6" i="82" l="1"/>
  <c r="BC6" i="82" s="1"/>
  <c r="BB10" i="82"/>
  <c r="BC10" i="82" s="1"/>
  <c r="BB14" i="82"/>
  <c r="BC14" i="82" s="1"/>
  <c r="BB18" i="82"/>
  <c r="BC18" i="82" s="1"/>
  <c r="BB22" i="82"/>
  <c r="BC22" i="82" s="1"/>
  <c r="BB26" i="82"/>
  <c r="BC26" i="82" s="1"/>
  <c r="BB30" i="82"/>
  <c r="BC30" i="82" s="1"/>
  <c r="BB34" i="82"/>
  <c r="BC34" i="82" s="1"/>
  <c r="BB38" i="82"/>
  <c r="BC38" i="82" s="1"/>
  <c r="BB42" i="82"/>
  <c r="BC42" i="82" s="1"/>
  <c r="BB46" i="82"/>
  <c r="BC46" i="82" s="1"/>
  <c r="BB50" i="82"/>
  <c r="BC50" i="82" s="1"/>
  <c r="BB54" i="82"/>
  <c r="BC54" i="82" s="1"/>
  <c r="BB58" i="82"/>
  <c r="BC58" i="82" s="1"/>
  <c r="BB62" i="82"/>
  <c r="BC62" i="82" s="1"/>
  <c r="BB66" i="82"/>
  <c r="BC66" i="82" s="1"/>
  <c r="BB70" i="82"/>
  <c r="BC70" i="82" s="1"/>
  <c r="BB74" i="82"/>
  <c r="BC74" i="82" s="1"/>
  <c r="BB78" i="82"/>
  <c r="BC78" i="82" s="1"/>
  <c r="BB82" i="82"/>
  <c r="BC82" i="82" s="1"/>
  <c r="BB86" i="82"/>
  <c r="BC86" i="82" s="1"/>
  <c r="BB90" i="82"/>
  <c r="BC90" i="82" s="1"/>
  <c r="BB94" i="82"/>
  <c r="BC94" i="82" s="1"/>
  <c r="BB98" i="82"/>
  <c r="BC98" i="82" s="1"/>
  <c r="BB102" i="82"/>
  <c r="BC102" i="82" s="1"/>
  <c r="BB106" i="82"/>
  <c r="BC106" i="82" s="1"/>
  <c r="BB110" i="82"/>
  <c r="BC110" i="82" s="1"/>
  <c r="BB114" i="82"/>
  <c r="BC114" i="82" s="1"/>
  <c r="BB118" i="82"/>
  <c r="BC118" i="82" s="1"/>
  <c r="BB122" i="82"/>
  <c r="BC122" i="82" s="1"/>
  <c r="BB126" i="82"/>
  <c r="BC126" i="82" s="1"/>
  <c r="BB130" i="82"/>
  <c r="BC130" i="82" s="1"/>
  <c r="BB134" i="82"/>
  <c r="BC134" i="82" s="1"/>
  <c r="BB138" i="82"/>
  <c r="BC138" i="82" s="1"/>
  <c r="BB142" i="82"/>
  <c r="BC142" i="82" s="1"/>
  <c r="BB146" i="82"/>
  <c r="BC146" i="82" s="1"/>
  <c r="BB150" i="82"/>
  <c r="BC150" i="82" s="1"/>
  <c r="BB154" i="82"/>
  <c r="BC154" i="82" s="1"/>
  <c r="BB158" i="82"/>
  <c r="BC158" i="82" s="1"/>
  <c r="BB162" i="82"/>
  <c r="BC162" i="82" s="1"/>
  <c r="BB166" i="82"/>
  <c r="BC166" i="82" s="1"/>
  <c r="BB170" i="82"/>
  <c r="BC170" i="82" s="1"/>
  <c r="BB174" i="82"/>
  <c r="BC174" i="82" s="1"/>
  <c r="BB178" i="82"/>
  <c r="BC178" i="82" s="1"/>
  <c r="BB182" i="82"/>
  <c r="BC182" i="82" s="1"/>
  <c r="BB186" i="82"/>
  <c r="BC186" i="82" s="1"/>
  <c r="BB190" i="82"/>
  <c r="BC190" i="82" s="1"/>
  <c r="BB194" i="82"/>
  <c r="BC194" i="82" s="1"/>
  <c r="BB198" i="82"/>
  <c r="BC198" i="82" s="1"/>
  <c r="BB202" i="82"/>
  <c r="BC202" i="82" s="1"/>
  <c r="BB206" i="82"/>
  <c r="BC206" i="82" s="1"/>
  <c r="BB210" i="82"/>
  <c r="BC210" i="82" s="1"/>
  <c r="BB214" i="82"/>
  <c r="BC214" i="82" s="1"/>
  <c r="BB218" i="82"/>
  <c r="BC218" i="82" s="1"/>
  <c r="BB222" i="82"/>
  <c r="BC222" i="82" s="1"/>
  <c r="BB226" i="82"/>
  <c r="BC226" i="82" s="1"/>
  <c r="BB7" i="82"/>
  <c r="BC7" i="82" s="1"/>
  <c r="BB11" i="82"/>
  <c r="BC11" i="82" s="1"/>
  <c r="BB15" i="82"/>
  <c r="BC15" i="82" s="1"/>
  <c r="BB19" i="82"/>
  <c r="BC19" i="82" s="1"/>
  <c r="BB23" i="82"/>
  <c r="BC23" i="82" s="1"/>
  <c r="BB27" i="82"/>
  <c r="BC27" i="82" s="1"/>
  <c r="BB31" i="82"/>
  <c r="BC31" i="82" s="1"/>
  <c r="BB35" i="82"/>
  <c r="BC35" i="82" s="1"/>
  <c r="BB39" i="82"/>
  <c r="BC39" i="82" s="1"/>
  <c r="BB43" i="82"/>
  <c r="BC43" i="82" s="1"/>
  <c r="BB47" i="82"/>
  <c r="BC47" i="82" s="1"/>
  <c r="BB51" i="82"/>
  <c r="BC51" i="82" s="1"/>
  <c r="BB55" i="82"/>
  <c r="BC55" i="82" s="1"/>
  <c r="BB59" i="82"/>
  <c r="BC59" i="82" s="1"/>
  <c r="BB63" i="82"/>
  <c r="BC63" i="82" s="1"/>
  <c r="BB67" i="82"/>
  <c r="BC67" i="82" s="1"/>
  <c r="BB71" i="82"/>
  <c r="BC71" i="82" s="1"/>
  <c r="BB75" i="82"/>
  <c r="BC75" i="82" s="1"/>
  <c r="BB79" i="82"/>
  <c r="BC79" i="82" s="1"/>
  <c r="BB83" i="82"/>
  <c r="BC83" i="82" s="1"/>
  <c r="BB87" i="82"/>
  <c r="BC87" i="82" s="1"/>
  <c r="BB91" i="82"/>
  <c r="BC91" i="82" s="1"/>
  <c r="BB95" i="82"/>
  <c r="BC95" i="82" s="1"/>
  <c r="BB99" i="82"/>
  <c r="BC99" i="82" s="1"/>
  <c r="BB103" i="82"/>
  <c r="BC103" i="82" s="1"/>
  <c r="BB107" i="82"/>
  <c r="BC107" i="82" s="1"/>
  <c r="BB111" i="82"/>
  <c r="BC111" i="82" s="1"/>
  <c r="BB115" i="82"/>
  <c r="BC115" i="82" s="1"/>
  <c r="BB119" i="82"/>
  <c r="BC119" i="82" s="1"/>
  <c r="BB123" i="82"/>
  <c r="BC123" i="82" s="1"/>
  <c r="BB127" i="82"/>
  <c r="BC127" i="82" s="1"/>
  <c r="BB131" i="82"/>
  <c r="BC131" i="82" s="1"/>
  <c r="BB135" i="82"/>
  <c r="BC135" i="82" s="1"/>
  <c r="BB139" i="82"/>
  <c r="BC139" i="82" s="1"/>
  <c r="BB143" i="82"/>
  <c r="BC143" i="82" s="1"/>
  <c r="BB8" i="82"/>
  <c r="BC8" i="82" s="1"/>
  <c r="BB12" i="82"/>
  <c r="BC12" i="82" s="1"/>
  <c r="BB16" i="82"/>
  <c r="BC16" i="82" s="1"/>
  <c r="BB20" i="82"/>
  <c r="BC20" i="82" s="1"/>
  <c r="BB24" i="82"/>
  <c r="BC24" i="82" s="1"/>
  <c r="BB28" i="82"/>
  <c r="BC28" i="82" s="1"/>
  <c r="BB32" i="82"/>
  <c r="BC32" i="82" s="1"/>
  <c r="BB36" i="82"/>
  <c r="BC36" i="82" s="1"/>
  <c r="BB40" i="82"/>
  <c r="BC40" i="82" s="1"/>
  <c r="BB44" i="82"/>
  <c r="BC44" i="82" s="1"/>
  <c r="BB48" i="82"/>
  <c r="BC48" i="82" s="1"/>
  <c r="BB52" i="82"/>
  <c r="BC52" i="82" s="1"/>
  <c r="BB56" i="82"/>
  <c r="BC56" i="82" s="1"/>
  <c r="BB60" i="82"/>
  <c r="BC60" i="82" s="1"/>
  <c r="BB64" i="82"/>
  <c r="BC64" i="82" s="1"/>
  <c r="BB68" i="82"/>
  <c r="BC68" i="82" s="1"/>
  <c r="BB72" i="82"/>
  <c r="BC72" i="82" s="1"/>
  <c r="BB76" i="82"/>
  <c r="BC76" i="82" s="1"/>
  <c r="BB80" i="82"/>
  <c r="BC80" i="82" s="1"/>
  <c r="BB84" i="82"/>
  <c r="BC84" i="82" s="1"/>
  <c r="BB88" i="82"/>
  <c r="BC88" i="82" s="1"/>
  <c r="BB92" i="82"/>
  <c r="BC92" i="82" s="1"/>
  <c r="BB96" i="82"/>
  <c r="BC96" i="82" s="1"/>
  <c r="BB100" i="82"/>
  <c r="BC100" i="82" s="1"/>
  <c r="BB104" i="82"/>
  <c r="BC104" i="82" s="1"/>
  <c r="BB108" i="82"/>
  <c r="BC108" i="82" s="1"/>
  <c r="BB112" i="82"/>
  <c r="BC112" i="82" s="1"/>
  <c r="BB116" i="82"/>
  <c r="BC116" i="82" s="1"/>
  <c r="BB120" i="82"/>
  <c r="BC120" i="82" s="1"/>
  <c r="BB124" i="82"/>
  <c r="BC124" i="82" s="1"/>
  <c r="BB128" i="82"/>
  <c r="BC128" i="82" s="1"/>
  <c r="BB132" i="82"/>
  <c r="BC132" i="82" s="1"/>
  <c r="BB136" i="82"/>
  <c r="BC136" i="82" s="1"/>
  <c r="BB140" i="82"/>
  <c r="BC140" i="82" s="1"/>
  <c r="BB144" i="82"/>
  <c r="BC144" i="82" s="1"/>
  <c r="BB148" i="82"/>
  <c r="BC148" i="82" s="1"/>
  <c r="BB152" i="82"/>
  <c r="BC152" i="82" s="1"/>
  <c r="BB156" i="82"/>
  <c r="BC156" i="82" s="1"/>
  <c r="BB160" i="82"/>
  <c r="BC160" i="82" s="1"/>
  <c r="BB164" i="82"/>
  <c r="BC164" i="82" s="1"/>
  <c r="BB168" i="82"/>
  <c r="BC168" i="82" s="1"/>
  <c r="BB172" i="82"/>
  <c r="BC172" i="82" s="1"/>
  <c r="BB176" i="82"/>
  <c r="BC176" i="82" s="1"/>
  <c r="BB180" i="82"/>
  <c r="BC180" i="82" s="1"/>
  <c r="BB184" i="82"/>
  <c r="BC184" i="82" s="1"/>
  <c r="BB188" i="82"/>
  <c r="BC188" i="82" s="1"/>
  <c r="BB192" i="82"/>
  <c r="BC192" i="82" s="1"/>
  <c r="BB196" i="82"/>
  <c r="BC196" i="82" s="1"/>
  <c r="BB200" i="82"/>
  <c r="BC200" i="82" s="1"/>
  <c r="BB204" i="82"/>
  <c r="BC204" i="82" s="1"/>
  <c r="BB208" i="82"/>
  <c r="BC208" i="82" s="1"/>
  <c r="BB212" i="82"/>
  <c r="BC212" i="82" s="1"/>
  <c r="BB216" i="82"/>
  <c r="BC216" i="82" s="1"/>
  <c r="BB220" i="82"/>
  <c r="BC220" i="82" s="1"/>
  <c r="BB224" i="82"/>
  <c r="BC224" i="82" s="1"/>
  <c r="BB228" i="82"/>
  <c r="BC228" i="82" s="1"/>
  <c r="BB232" i="82"/>
  <c r="BC232" i="82" s="1"/>
  <c r="BB236" i="82"/>
  <c r="BC236" i="82" s="1"/>
  <c r="BB240" i="82"/>
  <c r="BC240" i="82" s="1"/>
  <c r="BB244" i="82"/>
  <c r="BC244" i="82" s="1"/>
  <c r="BB248" i="82"/>
  <c r="BC248" i="82" s="1"/>
  <c r="BB252" i="82"/>
  <c r="BC252" i="82" s="1"/>
  <c r="BB256" i="82"/>
  <c r="BC256" i="82" s="1"/>
  <c r="BB260" i="82"/>
  <c r="BC260" i="82" s="1"/>
  <c r="BB264" i="82"/>
  <c r="BC264" i="82" s="1"/>
  <c r="BB268" i="82"/>
  <c r="BC268" i="82" s="1"/>
  <c r="BB272" i="82"/>
  <c r="BC272" i="82" s="1"/>
  <c r="BB276" i="82"/>
  <c r="BC276" i="82" s="1"/>
  <c r="BB280" i="82"/>
  <c r="BC280" i="82" s="1"/>
  <c r="BB284" i="82"/>
  <c r="BC284" i="82" s="1"/>
  <c r="BB17" i="82"/>
  <c r="BC17" i="82" s="1"/>
  <c r="BB33" i="82"/>
  <c r="BC33" i="82" s="1"/>
  <c r="BB49" i="82"/>
  <c r="BC49" i="82" s="1"/>
  <c r="BB65" i="82"/>
  <c r="BC65" i="82" s="1"/>
  <c r="BB81" i="82"/>
  <c r="BC81" i="82" s="1"/>
  <c r="BB97" i="82"/>
  <c r="BC97" i="82" s="1"/>
  <c r="BB113" i="82"/>
  <c r="BC113" i="82" s="1"/>
  <c r="BB129" i="82"/>
  <c r="BC129" i="82" s="1"/>
  <c r="BB145" i="82"/>
  <c r="BC145" i="82" s="1"/>
  <c r="BB153" i="82"/>
  <c r="BC153" i="82" s="1"/>
  <c r="BB161" i="82"/>
  <c r="BC161" i="82" s="1"/>
  <c r="BB169" i="82"/>
  <c r="BC169" i="82" s="1"/>
  <c r="BB177" i="82"/>
  <c r="BC177" i="82" s="1"/>
  <c r="BB185" i="82"/>
  <c r="BC185" i="82" s="1"/>
  <c r="BB193" i="82"/>
  <c r="BC193" i="82" s="1"/>
  <c r="BB201" i="82"/>
  <c r="BC201" i="82" s="1"/>
  <c r="BB209" i="82"/>
  <c r="BC209" i="82" s="1"/>
  <c r="BB217" i="82"/>
  <c r="BC217" i="82" s="1"/>
  <c r="BB225" i="82"/>
  <c r="BC225" i="82" s="1"/>
  <c r="BB231" i="82"/>
  <c r="BC231" i="82" s="1"/>
  <c r="BB237" i="82"/>
  <c r="BC237" i="82" s="1"/>
  <c r="BB242" i="82"/>
  <c r="BC242" i="82" s="1"/>
  <c r="BB247" i="82"/>
  <c r="BC247" i="82" s="1"/>
  <c r="BB253" i="82"/>
  <c r="BC253" i="82" s="1"/>
  <c r="BB258" i="82"/>
  <c r="BC258" i="82" s="1"/>
  <c r="BB263" i="82"/>
  <c r="BC263" i="82" s="1"/>
  <c r="BB269" i="82"/>
  <c r="BC269" i="82" s="1"/>
  <c r="BB274" i="82"/>
  <c r="BC274" i="82" s="1"/>
  <c r="BB279" i="82"/>
  <c r="BC279" i="82" s="1"/>
  <c r="BB285" i="82"/>
  <c r="BC285" i="82" s="1"/>
  <c r="BB289" i="82"/>
  <c r="BC289" i="82" s="1"/>
  <c r="BB293" i="82"/>
  <c r="BC293" i="82" s="1"/>
  <c r="BB297" i="82"/>
  <c r="BC297" i="82" s="1"/>
  <c r="BB301" i="82"/>
  <c r="BC301" i="82" s="1"/>
  <c r="BB5" i="82"/>
  <c r="BB21" i="82"/>
  <c r="BC21" i="82" s="1"/>
  <c r="BB37" i="82"/>
  <c r="BC37" i="82" s="1"/>
  <c r="BB53" i="82"/>
  <c r="BC53" i="82" s="1"/>
  <c r="BB69" i="82"/>
  <c r="BC69" i="82" s="1"/>
  <c r="BB85" i="82"/>
  <c r="BC85" i="82" s="1"/>
  <c r="BB101" i="82"/>
  <c r="BC101" i="82" s="1"/>
  <c r="BB117" i="82"/>
  <c r="BC117" i="82" s="1"/>
  <c r="BB133" i="82"/>
  <c r="BC133" i="82" s="1"/>
  <c r="BB147" i="82"/>
  <c r="BC147" i="82" s="1"/>
  <c r="BB155" i="82"/>
  <c r="BC155" i="82" s="1"/>
  <c r="BB163" i="82"/>
  <c r="BC163" i="82" s="1"/>
  <c r="BB171" i="82"/>
  <c r="BC171" i="82" s="1"/>
  <c r="BB179" i="82"/>
  <c r="BC179" i="82" s="1"/>
  <c r="BB187" i="82"/>
  <c r="BC187" i="82" s="1"/>
  <c r="BB195" i="82"/>
  <c r="BC195" i="82" s="1"/>
  <c r="BB203" i="82"/>
  <c r="BC203" i="82" s="1"/>
  <c r="BB211" i="82"/>
  <c r="BC211" i="82" s="1"/>
  <c r="BB219" i="82"/>
  <c r="BC219" i="82" s="1"/>
  <c r="BB227" i="82"/>
  <c r="BC227" i="82" s="1"/>
  <c r="BB233" i="82"/>
  <c r="BC233" i="82" s="1"/>
  <c r="BB238" i="82"/>
  <c r="BC238" i="82" s="1"/>
  <c r="BB243" i="82"/>
  <c r="BC243" i="82" s="1"/>
  <c r="BB249" i="82"/>
  <c r="BC249" i="82" s="1"/>
  <c r="BB254" i="82"/>
  <c r="BC254" i="82" s="1"/>
  <c r="BB259" i="82"/>
  <c r="BC259" i="82" s="1"/>
  <c r="BB265" i="82"/>
  <c r="BC265" i="82" s="1"/>
  <c r="BB270" i="82"/>
  <c r="BC270" i="82" s="1"/>
  <c r="BB275" i="82"/>
  <c r="BC275" i="82" s="1"/>
  <c r="BB281" i="82"/>
  <c r="BC281" i="82" s="1"/>
  <c r="BB286" i="82"/>
  <c r="BC286" i="82" s="1"/>
  <c r="BB290" i="82"/>
  <c r="BC290" i="82" s="1"/>
  <c r="BB294" i="82"/>
  <c r="BC294" i="82" s="1"/>
  <c r="BB298" i="82"/>
  <c r="BC298" i="82" s="1"/>
  <c r="BB302" i="82"/>
  <c r="BC302" i="82" s="1"/>
  <c r="BB141" i="82"/>
  <c r="BC141" i="82" s="1"/>
  <c r="BB304" i="82"/>
  <c r="BC304" i="82" s="1"/>
  <c r="BB25" i="82"/>
  <c r="BC25" i="82" s="1"/>
  <c r="BB57" i="82"/>
  <c r="BC57" i="82" s="1"/>
  <c r="BB89" i="82"/>
  <c r="BC89" i="82" s="1"/>
  <c r="BB121" i="82"/>
  <c r="BC121" i="82" s="1"/>
  <c r="BB149" i="82"/>
  <c r="BC149" i="82" s="1"/>
  <c r="BB165" i="82"/>
  <c r="BC165" i="82" s="1"/>
  <c r="BB181" i="82"/>
  <c r="BC181" i="82" s="1"/>
  <c r="BB197" i="82"/>
  <c r="BC197" i="82" s="1"/>
  <c r="BB213" i="82"/>
  <c r="BC213" i="82" s="1"/>
  <c r="BB229" i="82"/>
  <c r="BC229" i="82" s="1"/>
  <c r="BB239" i="82"/>
  <c r="BC239" i="82" s="1"/>
  <c r="BB250" i="82"/>
  <c r="BC250" i="82" s="1"/>
  <c r="BB261" i="82"/>
  <c r="BC261" i="82" s="1"/>
  <c r="BB271" i="82"/>
  <c r="BC271" i="82" s="1"/>
  <c r="BB282" i="82"/>
  <c r="BC282" i="82" s="1"/>
  <c r="BB291" i="82"/>
  <c r="BC291" i="82" s="1"/>
  <c r="BB299" i="82"/>
  <c r="BC299" i="82" s="1"/>
  <c r="BB13" i="82"/>
  <c r="BC13" i="82" s="1"/>
  <c r="BB77" i="82"/>
  <c r="BC77" i="82" s="1"/>
  <c r="BB175" i="82"/>
  <c r="BC175" i="82" s="1"/>
  <c r="BB207" i="82"/>
  <c r="BC207" i="82" s="1"/>
  <c r="BB235" i="82"/>
  <c r="BC235" i="82" s="1"/>
  <c r="BB257" i="82"/>
  <c r="BC257" i="82" s="1"/>
  <c r="BB278" i="82"/>
  <c r="BC278" i="82" s="1"/>
  <c r="BB296" i="82"/>
  <c r="BC296" i="82" s="1"/>
  <c r="BB29" i="82"/>
  <c r="BC29" i="82" s="1"/>
  <c r="BB61" i="82"/>
  <c r="BC61" i="82" s="1"/>
  <c r="BB93" i="82"/>
  <c r="BC93" i="82" s="1"/>
  <c r="BB125" i="82"/>
  <c r="BC125" i="82" s="1"/>
  <c r="BB151" i="82"/>
  <c r="BC151" i="82" s="1"/>
  <c r="BB167" i="82"/>
  <c r="BC167" i="82" s="1"/>
  <c r="BB183" i="82"/>
  <c r="BC183" i="82" s="1"/>
  <c r="BB199" i="82"/>
  <c r="BC199" i="82" s="1"/>
  <c r="BB215" i="82"/>
  <c r="BC215" i="82" s="1"/>
  <c r="BB230" i="82"/>
  <c r="BC230" i="82" s="1"/>
  <c r="BB241" i="82"/>
  <c r="BC241" i="82" s="1"/>
  <c r="BB251" i="82"/>
  <c r="BC251" i="82" s="1"/>
  <c r="BB262" i="82"/>
  <c r="BC262" i="82" s="1"/>
  <c r="BB273" i="82"/>
  <c r="BC273" i="82" s="1"/>
  <c r="BB283" i="82"/>
  <c r="BC283" i="82" s="1"/>
  <c r="BB292" i="82"/>
  <c r="BC292" i="82" s="1"/>
  <c r="BB300" i="82"/>
  <c r="BC300" i="82" s="1"/>
  <c r="BB9" i="82"/>
  <c r="BC9" i="82" s="1"/>
  <c r="BB41" i="82"/>
  <c r="BC41" i="82" s="1"/>
  <c r="BB73" i="82"/>
  <c r="BC73" i="82" s="1"/>
  <c r="BB105" i="82"/>
  <c r="BC105" i="82" s="1"/>
  <c r="BB137" i="82"/>
  <c r="BC137" i="82" s="1"/>
  <c r="BB157" i="82"/>
  <c r="BC157" i="82" s="1"/>
  <c r="BB173" i="82"/>
  <c r="BC173" i="82" s="1"/>
  <c r="BB189" i="82"/>
  <c r="BC189" i="82" s="1"/>
  <c r="BB205" i="82"/>
  <c r="BC205" i="82" s="1"/>
  <c r="BB221" i="82"/>
  <c r="BC221" i="82" s="1"/>
  <c r="BB234" i="82"/>
  <c r="BC234" i="82" s="1"/>
  <c r="BB245" i="82"/>
  <c r="BC245" i="82" s="1"/>
  <c r="BB255" i="82"/>
  <c r="BC255" i="82" s="1"/>
  <c r="BB266" i="82"/>
  <c r="BC266" i="82" s="1"/>
  <c r="BB277" i="82"/>
  <c r="BC277" i="82" s="1"/>
  <c r="BB287" i="82"/>
  <c r="BC287" i="82" s="1"/>
  <c r="BB295" i="82"/>
  <c r="BC295" i="82" s="1"/>
  <c r="BB303" i="82"/>
  <c r="BC303" i="82" s="1"/>
  <c r="BB45" i="82"/>
  <c r="BC45" i="82" s="1"/>
  <c r="BB109" i="82"/>
  <c r="BC109" i="82" s="1"/>
  <c r="BB159" i="82"/>
  <c r="BC159" i="82" s="1"/>
  <c r="BB191" i="82"/>
  <c r="BC191" i="82" s="1"/>
  <c r="BB223" i="82"/>
  <c r="BC223" i="82" s="1"/>
  <c r="BB246" i="82"/>
  <c r="BC246" i="82" s="1"/>
  <c r="BB267" i="82"/>
  <c r="BC267" i="82" s="1"/>
  <c r="BB288" i="82"/>
  <c r="BC288" i="82" s="1"/>
  <c r="BL208" i="82"/>
  <c r="BL209" i="82"/>
  <c r="BL211" i="82"/>
  <c r="BL218" i="82"/>
  <c r="BL220" i="82"/>
  <c r="BL221" i="82"/>
  <c r="BL223" i="82"/>
  <c r="BL234" i="82"/>
  <c r="BL236" i="82"/>
  <c r="BL237" i="82"/>
  <c r="BL239" i="82"/>
  <c r="BL250" i="82"/>
  <c r="BL252" i="82"/>
  <c r="BL253" i="82"/>
  <c r="BL255" i="82"/>
  <c r="BL266" i="82"/>
  <c r="BL268" i="82"/>
  <c r="BL269" i="82"/>
  <c r="BL271" i="82"/>
  <c r="BL282" i="82"/>
  <c r="BL284" i="82"/>
  <c r="BL285" i="82"/>
  <c r="BL287" i="82"/>
  <c r="BL298" i="82"/>
  <c r="BL300" i="82"/>
  <c r="BL301" i="82"/>
  <c r="BL303" i="82"/>
  <c r="BL210" i="82"/>
  <c r="BL222" i="82"/>
  <c r="BL224" i="82"/>
  <c r="BL225" i="82"/>
  <c r="BL227" i="82"/>
  <c r="BL238" i="82"/>
  <c r="BL240" i="82"/>
  <c r="BL241" i="82"/>
  <c r="BL243" i="82"/>
  <c r="BL254" i="82"/>
  <c r="BL256" i="82"/>
  <c r="BL257" i="82"/>
  <c r="BL259" i="82"/>
  <c r="BL270" i="82"/>
  <c r="BL272" i="82"/>
  <c r="BL273" i="82"/>
  <c r="BL275" i="82"/>
  <c r="BL286" i="82"/>
  <c r="BL288" i="82"/>
  <c r="BL289" i="82"/>
  <c r="BL291" i="82"/>
  <c r="BL302" i="82"/>
  <c r="BL304" i="82"/>
  <c r="BL213" i="82"/>
  <c r="BL215" i="82"/>
  <c r="BL228" i="82"/>
  <c r="BL242" i="82"/>
  <c r="BL245" i="82"/>
  <c r="BL247" i="82"/>
  <c r="BL260" i="82"/>
  <c r="BL216" i="82"/>
  <c r="BL230" i="82"/>
  <c r="BL233" i="82"/>
  <c r="BL235" i="82"/>
  <c r="BL248" i="82"/>
  <c r="BL262" i="82"/>
  <c r="BL265" i="82"/>
  <c r="BL267" i="82"/>
  <c r="BL280" i="82"/>
  <c r="BL294" i="82"/>
  <c r="BL297" i="82"/>
  <c r="BL299" i="82"/>
  <c r="BL7" i="82"/>
  <c r="BL11" i="82"/>
  <c r="BL15" i="82"/>
  <c r="BL19" i="82"/>
  <c r="BL23" i="82"/>
  <c r="BL27" i="82"/>
  <c r="BL31" i="82"/>
  <c r="BL35" i="82"/>
  <c r="BL39" i="82"/>
  <c r="BL229" i="82"/>
  <c r="BL244" i="82"/>
  <c r="BL258" i="82"/>
  <c r="BL276" i="82"/>
  <c r="BL278" i="82"/>
  <c r="BL292" i="82"/>
  <c r="BL295" i="82"/>
  <c r="BL9" i="82"/>
  <c r="BL14" i="82"/>
  <c r="BL20" i="82"/>
  <c r="BL25" i="82"/>
  <c r="BL30" i="82"/>
  <c r="BL36" i="82"/>
  <c r="BL41" i="82"/>
  <c r="BL45" i="82"/>
  <c r="BL49" i="82"/>
  <c r="BL53" i="82"/>
  <c r="BL57" i="82"/>
  <c r="BL61" i="82"/>
  <c r="BL65" i="82"/>
  <c r="BL69" i="82"/>
  <c r="BL73" i="82"/>
  <c r="BL77" i="82"/>
  <c r="BL81" i="82"/>
  <c r="BL85" i="82"/>
  <c r="BL89" i="82"/>
  <c r="BL93" i="82"/>
  <c r="BL97" i="82"/>
  <c r="BL101" i="82"/>
  <c r="BL105" i="82"/>
  <c r="BL109" i="82"/>
  <c r="BL113" i="82"/>
  <c r="BL117" i="82"/>
  <c r="BL121" i="82"/>
  <c r="BL125" i="82"/>
  <c r="BL129" i="82"/>
  <c r="BL133" i="82"/>
  <c r="BL137" i="82"/>
  <c r="BL141" i="82"/>
  <c r="BL145" i="82"/>
  <c r="BL149" i="82"/>
  <c r="BL153" i="82"/>
  <c r="BL157" i="82"/>
  <c r="BL161" i="82"/>
  <c r="BL165" i="82"/>
  <c r="BL169" i="82"/>
  <c r="BL173" i="82"/>
  <c r="BL177" i="82"/>
  <c r="BL181" i="82"/>
  <c r="BL185" i="82"/>
  <c r="BL189" i="82"/>
  <c r="BL193" i="82"/>
  <c r="BL197" i="82"/>
  <c r="BL201" i="82"/>
  <c r="BL205" i="82"/>
  <c r="BL214" i="82"/>
  <c r="BL219" i="82"/>
  <c r="BL249" i="82"/>
  <c r="BL263" i="82"/>
  <c r="BL279" i="82"/>
  <c r="BL293" i="82"/>
  <c r="BL296" i="82"/>
  <c r="BL10" i="82"/>
  <c r="BL16" i="82"/>
  <c r="BL21" i="82"/>
  <c r="BL26" i="82"/>
  <c r="BL32" i="82"/>
  <c r="BL37" i="82"/>
  <c r="BL42" i="82"/>
  <c r="BL46" i="82"/>
  <c r="BL50" i="82"/>
  <c r="BL54" i="82"/>
  <c r="BL58" i="82"/>
  <c r="BL62" i="82"/>
  <c r="BL66" i="82"/>
  <c r="BL70" i="82"/>
  <c r="BL74" i="82"/>
  <c r="BL78" i="82"/>
  <c r="BL82" i="82"/>
  <c r="BL86" i="82"/>
  <c r="BL90" i="82"/>
  <c r="BL94" i="82"/>
  <c r="BL98" i="82"/>
  <c r="BL102" i="82"/>
  <c r="BL106" i="82"/>
  <c r="BL110" i="82"/>
  <c r="BL114" i="82"/>
  <c r="BL118" i="82"/>
  <c r="BL122" i="82"/>
  <c r="BL126" i="82"/>
  <c r="BL130" i="82"/>
  <c r="BL134" i="82"/>
  <c r="BL138" i="82"/>
  <c r="BL142" i="82"/>
  <c r="BL146" i="82"/>
  <c r="BL150" i="82"/>
  <c r="BL154" i="82"/>
  <c r="BL158" i="82"/>
  <c r="BL162" i="82"/>
  <c r="BL166" i="82"/>
  <c r="BL170" i="82"/>
  <c r="BL174" i="82"/>
  <c r="BL178" i="82"/>
  <c r="BL182" i="82"/>
  <c r="BL186" i="82"/>
  <c r="BL190" i="82"/>
  <c r="BL194" i="82"/>
  <c r="BL198" i="82"/>
  <c r="BL202" i="82"/>
  <c r="BL206" i="82"/>
  <c r="BL212" i="82"/>
  <c r="BL231" i="82"/>
  <c r="BL261" i="82"/>
  <c r="BL232" i="82"/>
  <c r="BL251" i="82"/>
  <c r="BL274" i="82"/>
  <c r="BL281" i="82"/>
  <c r="BL13" i="82"/>
  <c r="BL24" i="82"/>
  <c r="BL34" i="82"/>
  <c r="BL44" i="82"/>
  <c r="BL52" i="82"/>
  <c r="BL60" i="82"/>
  <c r="BL68" i="82"/>
  <c r="BL76" i="82"/>
  <c r="BL84" i="82"/>
  <c r="BL92" i="82"/>
  <c r="BL100" i="82"/>
  <c r="BL108" i="82"/>
  <c r="BL116" i="82"/>
  <c r="BL124" i="82"/>
  <c r="BL132" i="82"/>
  <c r="BL140" i="82"/>
  <c r="BL148" i="82"/>
  <c r="BL156" i="82"/>
  <c r="BL164" i="82"/>
  <c r="BL172" i="82"/>
  <c r="BL180" i="82"/>
  <c r="BL188" i="82"/>
  <c r="BL196" i="82"/>
  <c r="BL204" i="82"/>
  <c r="BL226" i="82"/>
  <c r="BL264" i="82"/>
  <c r="BL277" i="82"/>
  <c r="BL283" i="82"/>
  <c r="BL290" i="82"/>
  <c r="BL6" i="82"/>
  <c r="BL17" i="82"/>
  <c r="BL28" i="82"/>
  <c r="BL38" i="82"/>
  <c r="BL47" i="82"/>
  <c r="BL55" i="82"/>
  <c r="BL63" i="82"/>
  <c r="BL71" i="82"/>
  <c r="BL79" i="82"/>
  <c r="BL87" i="82"/>
  <c r="BL95" i="82"/>
  <c r="BL103" i="82"/>
  <c r="BL111" i="82"/>
  <c r="BL119" i="82"/>
  <c r="BL127" i="82"/>
  <c r="BL135" i="82"/>
  <c r="BL143" i="82"/>
  <c r="BL151" i="82"/>
  <c r="BL159" i="82"/>
  <c r="BL167" i="82"/>
  <c r="BL175" i="82"/>
  <c r="BL183" i="82"/>
  <c r="BL191" i="82"/>
  <c r="BL199" i="82"/>
  <c r="BL207" i="82"/>
  <c r="BL217" i="82"/>
  <c r="BL8" i="82"/>
  <c r="BL29" i="82"/>
  <c r="BL48" i="82"/>
  <c r="BL64" i="82"/>
  <c r="BL80" i="82"/>
  <c r="BL96" i="82"/>
  <c r="BL112" i="82"/>
  <c r="BL128" i="82"/>
  <c r="BL144" i="82"/>
  <c r="BL160" i="82"/>
  <c r="BL176" i="82"/>
  <c r="BL192" i="82"/>
  <c r="BL5" i="82"/>
  <c r="BL18" i="82"/>
  <c r="BL43" i="82"/>
  <c r="BL67" i="82"/>
  <c r="BL88" i="82"/>
  <c r="BL107" i="82"/>
  <c r="BL131" i="82"/>
  <c r="BL152" i="82"/>
  <c r="BL171" i="82"/>
  <c r="BL195" i="82"/>
  <c r="BL246" i="82"/>
  <c r="BL22" i="82"/>
  <c r="BL51" i="82"/>
  <c r="BL72" i="82"/>
  <c r="BL91" i="82"/>
  <c r="BL115" i="82"/>
  <c r="BL136" i="82"/>
  <c r="BL155" i="82"/>
  <c r="BL179" i="82"/>
  <c r="BL200" i="82"/>
  <c r="BL33" i="82"/>
  <c r="BL56" i="82"/>
  <c r="BL75" i="82"/>
  <c r="BL99" i="82"/>
  <c r="BL120" i="82"/>
  <c r="BL139" i="82"/>
  <c r="BL163" i="82"/>
  <c r="BL184" i="82"/>
  <c r="BL203" i="82"/>
  <c r="BL83" i="82"/>
  <c r="BL168" i="82"/>
  <c r="BL12" i="82"/>
  <c r="BL104" i="82"/>
  <c r="BL187" i="82"/>
  <c r="BL40" i="82"/>
  <c r="BL123" i="82"/>
  <c r="BL59" i="82"/>
  <c r="BL147" i="82"/>
  <c r="BN5" i="82" l="1"/>
  <c r="CK20" i="90"/>
  <c r="CN20" i="90" s="1"/>
  <c r="CP20" i="90" s="1"/>
  <c r="CU90" i="90" s="1"/>
  <c r="CK24" i="90"/>
  <c r="CN24" i="90" s="1"/>
  <c r="CP24" i="90" s="1"/>
  <c r="CU110" i="90" s="1"/>
  <c r="CK28" i="90"/>
  <c r="CN28" i="90" s="1"/>
  <c r="CP28" i="90" s="1"/>
  <c r="CU130" i="90" s="1"/>
  <c r="CK32" i="90"/>
  <c r="CN32" i="90" s="1"/>
  <c r="CP32" i="90" s="1"/>
  <c r="CU150" i="90" s="1"/>
  <c r="CK22" i="90"/>
  <c r="CN22" i="90" s="1"/>
  <c r="CP22" i="90" s="1"/>
  <c r="CU100" i="90" s="1"/>
  <c r="CK21" i="90"/>
  <c r="CN21" i="90" s="1"/>
  <c r="CP21" i="90" s="1"/>
  <c r="CU95" i="90" s="1"/>
  <c r="CK25" i="90"/>
  <c r="CN25" i="90" s="1"/>
  <c r="CP25" i="90" s="1"/>
  <c r="CU115" i="90" s="1"/>
  <c r="CK29" i="90"/>
  <c r="CN29" i="90" s="1"/>
  <c r="CP29" i="90" s="1"/>
  <c r="CU135" i="90" s="1"/>
  <c r="CK26" i="90"/>
  <c r="CN26" i="90" s="1"/>
  <c r="CP26" i="90" s="1"/>
  <c r="CU120" i="90" s="1"/>
  <c r="CK30" i="90"/>
  <c r="CN30" i="90" s="1"/>
  <c r="CP30" i="90" s="1"/>
  <c r="CU140" i="90" s="1"/>
  <c r="CK23" i="90"/>
  <c r="CN23" i="90" s="1"/>
  <c r="CP23" i="90" s="1"/>
  <c r="CU105" i="90" s="1"/>
  <c r="CK27" i="90"/>
  <c r="CN27" i="90" s="1"/>
  <c r="CP27" i="90" s="1"/>
  <c r="CU125" i="90" s="1"/>
  <c r="CK31" i="90"/>
  <c r="CN31" i="90" s="1"/>
  <c r="CP31" i="90" s="1"/>
  <c r="CU145" i="90" s="1"/>
  <c r="N5" i="81"/>
  <c r="P5" i="81"/>
  <c r="BC5" i="82"/>
  <c r="BE12" i="82"/>
  <c r="BE165" i="82"/>
  <c r="BD165" i="82"/>
  <c r="BD113" i="82"/>
  <c r="BE113" i="82"/>
  <c r="BE27" i="82"/>
  <c r="BD27" i="82"/>
  <c r="BE107" i="82"/>
  <c r="BD107" i="82"/>
  <c r="BD24" i="82"/>
  <c r="BE24" i="82"/>
  <c r="BE82" i="82"/>
  <c r="BD82" i="82"/>
  <c r="BE69" i="82"/>
  <c r="BD69" i="82"/>
  <c r="BE127" i="82"/>
  <c r="BD127" i="82"/>
  <c r="BD138" i="82"/>
  <c r="BE138" i="82"/>
  <c r="BN40" i="82"/>
  <c r="BM40" i="82"/>
  <c r="BO40" i="82"/>
  <c r="BM168" i="82"/>
  <c r="BO168" i="82"/>
  <c r="BN168" i="82"/>
  <c r="BO163" i="82"/>
  <c r="BM163" i="82"/>
  <c r="BN163" i="82"/>
  <c r="BN75" i="82"/>
  <c r="BM75" i="82"/>
  <c r="BO75" i="82"/>
  <c r="BO131" i="82"/>
  <c r="BM131" i="82"/>
  <c r="BN131" i="82"/>
  <c r="BN43" i="82"/>
  <c r="BO43" i="82"/>
  <c r="BM43" i="82"/>
  <c r="BN176" i="82"/>
  <c r="BM176" i="82"/>
  <c r="BO176" i="82"/>
  <c r="BM112" i="82"/>
  <c r="BN112" i="82"/>
  <c r="BO112" i="82"/>
  <c r="BM48" i="82"/>
  <c r="BO48" i="82"/>
  <c r="BN48" i="82"/>
  <c r="BM207" i="82"/>
  <c r="BO207" i="82"/>
  <c r="BN207" i="82"/>
  <c r="BP207" i="82"/>
  <c r="BM175" i="82"/>
  <c r="BO175" i="82"/>
  <c r="BN175" i="82"/>
  <c r="BM143" i="82"/>
  <c r="BN143" i="82"/>
  <c r="BO143" i="82"/>
  <c r="BN111" i="82"/>
  <c r="BM111" i="82"/>
  <c r="BO111" i="82"/>
  <c r="BM79" i="82"/>
  <c r="BO79" i="82"/>
  <c r="BN79" i="82"/>
  <c r="BM47" i="82"/>
  <c r="BO47" i="82"/>
  <c r="BN47" i="82"/>
  <c r="BO6" i="82"/>
  <c r="BN6" i="82"/>
  <c r="BM6" i="82"/>
  <c r="BM264" i="82"/>
  <c r="BN264" i="82"/>
  <c r="BO264" i="82"/>
  <c r="BP264" i="82"/>
  <c r="BN188" i="82"/>
  <c r="BO188" i="82"/>
  <c r="BM188" i="82"/>
  <c r="BO156" i="82"/>
  <c r="BM156" i="82"/>
  <c r="BN156" i="82"/>
  <c r="BN124" i="82"/>
  <c r="BM124" i="82"/>
  <c r="BO124" i="82"/>
  <c r="BM92" i="82"/>
  <c r="BO92" i="82"/>
  <c r="BN92" i="82"/>
  <c r="BM60" i="82"/>
  <c r="BO60" i="82"/>
  <c r="BN60" i="82"/>
  <c r="BM24" i="82"/>
  <c r="BO24" i="82"/>
  <c r="BN24" i="82"/>
  <c r="BM251" i="82"/>
  <c r="BP251" i="82"/>
  <c r="BO251" i="82"/>
  <c r="BN251" i="82"/>
  <c r="BM212" i="82"/>
  <c r="BO212" i="82"/>
  <c r="BP212" i="82"/>
  <c r="BN212" i="82"/>
  <c r="BO194" i="82"/>
  <c r="BM194" i="82"/>
  <c r="BN194" i="82"/>
  <c r="BM178" i="82"/>
  <c r="BO178" i="82"/>
  <c r="BN178" i="82"/>
  <c r="BO162" i="82"/>
  <c r="BN162" i="82"/>
  <c r="BM162" i="82"/>
  <c r="BO146" i="82"/>
  <c r="BN146" i="82"/>
  <c r="BM146" i="82"/>
  <c r="BM130" i="82"/>
  <c r="BO130" i="82"/>
  <c r="BN130" i="82"/>
  <c r="BM114" i="82"/>
  <c r="BN114" i="82"/>
  <c r="BO114" i="82"/>
  <c r="BN98" i="82"/>
  <c r="BM98" i="82"/>
  <c r="BO98" i="82"/>
  <c r="BN82" i="82"/>
  <c r="BO82" i="82"/>
  <c r="BM82" i="82"/>
  <c r="BO66" i="82"/>
  <c r="BN66" i="82"/>
  <c r="BM66" i="82"/>
  <c r="BO50" i="82"/>
  <c r="BM50" i="82"/>
  <c r="BN50" i="82"/>
  <c r="BM32" i="82"/>
  <c r="BN32" i="82"/>
  <c r="BO32" i="82"/>
  <c r="BN10" i="82"/>
  <c r="BO10" i="82"/>
  <c r="BM10" i="82"/>
  <c r="BM263" i="82"/>
  <c r="BP263" i="82"/>
  <c r="BO263" i="82"/>
  <c r="BN263" i="82"/>
  <c r="BM205" i="82"/>
  <c r="BO205" i="82"/>
  <c r="BP205" i="82"/>
  <c r="BN205" i="82"/>
  <c r="BM189" i="82"/>
  <c r="BO189" i="82"/>
  <c r="BN189" i="82"/>
  <c r="BM173" i="82"/>
  <c r="BN173" i="82"/>
  <c r="BO173" i="82"/>
  <c r="BM157" i="82"/>
  <c r="BO157" i="82"/>
  <c r="BN157" i="82"/>
  <c r="BM141" i="82"/>
  <c r="BO141" i="82"/>
  <c r="BN141" i="82"/>
  <c r="BO125" i="82"/>
  <c r="BM125" i="82"/>
  <c r="BN125" i="82"/>
  <c r="BM109" i="82"/>
  <c r="BN109" i="82"/>
  <c r="BO109" i="82"/>
  <c r="BM93" i="82"/>
  <c r="BO93" i="82"/>
  <c r="BN93" i="82"/>
  <c r="BM77" i="82"/>
  <c r="BO77" i="82"/>
  <c r="BN77" i="82"/>
  <c r="BM61" i="82"/>
  <c r="BO61" i="82"/>
  <c r="BN61" i="82"/>
  <c r="BM45" i="82"/>
  <c r="BO45" i="82"/>
  <c r="BN45" i="82"/>
  <c r="BO25" i="82"/>
  <c r="BN25" i="82"/>
  <c r="BM25" i="82"/>
  <c r="BM295" i="82"/>
  <c r="BP295" i="82"/>
  <c r="BO295" i="82"/>
  <c r="BN295" i="82"/>
  <c r="BN258" i="82"/>
  <c r="BP258" i="82"/>
  <c r="BM258" i="82"/>
  <c r="BO258" i="82"/>
  <c r="BO35" i="82"/>
  <c r="BM35" i="82"/>
  <c r="BN35" i="82"/>
  <c r="BM19" i="82"/>
  <c r="BO19" i="82"/>
  <c r="BN19" i="82"/>
  <c r="BM299" i="82"/>
  <c r="BO299" i="82"/>
  <c r="BP299" i="82"/>
  <c r="BN299" i="82"/>
  <c r="BM267" i="82"/>
  <c r="BO267" i="82"/>
  <c r="BP267" i="82"/>
  <c r="BN267" i="82"/>
  <c r="BM235" i="82"/>
  <c r="BO235" i="82"/>
  <c r="BP235" i="82"/>
  <c r="BN235" i="82"/>
  <c r="BM260" i="82"/>
  <c r="BO260" i="82"/>
  <c r="BP260" i="82"/>
  <c r="BN260" i="82"/>
  <c r="BM228" i="82"/>
  <c r="BO228" i="82"/>
  <c r="BP228" i="82"/>
  <c r="BN228" i="82"/>
  <c r="BN302" i="82"/>
  <c r="BM302" i="82"/>
  <c r="BP302" i="82"/>
  <c r="BO302" i="82"/>
  <c r="BN286" i="82"/>
  <c r="BP286" i="82"/>
  <c r="BM286" i="82"/>
  <c r="BO286" i="82"/>
  <c r="BN270" i="82"/>
  <c r="BM270" i="82"/>
  <c r="BP270" i="82"/>
  <c r="BO270" i="82"/>
  <c r="BN254" i="82"/>
  <c r="BM254" i="82"/>
  <c r="BP254" i="82"/>
  <c r="BO254" i="82"/>
  <c r="BN238" i="82"/>
  <c r="BM238" i="82"/>
  <c r="BP238" i="82"/>
  <c r="BO238" i="82"/>
  <c r="BN222" i="82"/>
  <c r="BM222" i="82"/>
  <c r="BP222" i="82"/>
  <c r="BO222" i="82"/>
  <c r="BM300" i="82"/>
  <c r="BN300" i="82"/>
  <c r="BO300" i="82"/>
  <c r="BP300" i="82"/>
  <c r="BM284" i="82"/>
  <c r="BN284" i="82"/>
  <c r="BP284" i="82"/>
  <c r="BO284" i="82"/>
  <c r="BM268" i="82"/>
  <c r="BN268" i="82"/>
  <c r="BP268" i="82"/>
  <c r="BO268" i="82"/>
  <c r="BM252" i="82"/>
  <c r="BN252" i="82"/>
  <c r="BO252" i="82"/>
  <c r="BP252" i="82"/>
  <c r="BM236" i="82"/>
  <c r="BN236" i="82"/>
  <c r="BO236" i="82"/>
  <c r="BP236" i="82"/>
  <c r="BM220" i="82"/>
  <c r="BN220" i="82"/>
  <c r="BO220" i="82"/>
  <c r="BP220" i="82"/>
  <c r="BM208" i="82"/>
  <c r="BN208" i="82"/>
  <c r="BO208" i="82"/>
  <c r="BP208" i="82"/>
  <c r="BF282" i="82"/>
  <c r="BE282" i="82"/>
  <c r="BD282" i="82"/>
  <c r="BF265" i="82"/>
  <c r="BE265" i="82"/>
  <c r="BD265" i="82"/>
  <c r="BF206" i="82"/>
  <c r="BD206" i="82"/>
  <c r="BE206" i="82"/>
  <c r="BE287" i="82"/>
  <c r="BF287" i="82"/>
  <c r="BD287" i="82"/>
  <c r="BF264" i="82"/>
  <c r="BE264" i="82"/>
  <c r="BD264" i="82"/>
  <c r="BF296" i="82"/>
  <c r="BE296" i="82"/>
  <c r="BD296" i="82"/>
  <c r="BF270" i="82"/>
  <c r="BE270" i="82"/>
  <c r="BD270" i="82"/>
  <c r="BF257" i="82"/>
  <c r="BD257" i="82"/>
  <c r="BE257" i="82"/>
  <c r="BF222" i="82"/>
  <c r="BE222" i="82"/>
  <c r="BD222" i="82"/>
  <c r="BE292" i="82"/>
  <c r="BF292" i="82"/>
  <c r="BD292" i="82"/>
  <c r="BF272" i="82"/>
  <c r="BE272" i="82"/>
  <c r="BD272" i="82"/>
  <c r="BF231" i="82"/>
  <c r="BD231" i="82"/>
  <c r="BE231" i="82"/>
  <c r="BF291" i="82"/>
  <c r="BE291" i="82"/>
  <c r="BD291" i="82"/>
  <c r="BF276" i="82"/>
  <c r="BE276" i="82"/>
  <c r="BD276" i="82"/>
  <c r="BF259" i="82"/>
  <c r="BE259" i="82"/>
  <c r="BD259" i="82"/>
  <c r="BF246" i="82"/>
  <c r="BD246" i="82"/>
  <c r="BE246" i="82"/>
  <c r="BD230" i="82"/>
  <c r="BF230" i="82"/>
  <c r="BE230" i="82"/>
  <c r="BF219" i="82"/>
  <c r="BE219" i="82"/>
  <c r="BD219" i="82"/>
  <c r="BF208" i="82"/>
  <c r="BE208" i="82"/>
  <c r="BD208" i="82"/>
  <c r="BE197" i="82"/>
  <c r="BD197" i="82"/>
  <c r="BE248" i="82"/>
  <c r="BF248" i="82"/>
  <c r="BD248" i="82"/>
  <c r="BE232" i="82"/>
  <c r="BD232" i="82"/>
  <c r="BF232" i="82"/>
  <c r="BD210" i="82"/>
  <c r="BF210" i="82"/>
  <c r="BE210" i="82"/>
  <c r="BD241" i="82"/>
  <c r="BE241" i="82"/>
  <c r="BF241" i="82"/>
  <c r="BF225" i="82"/>
  <c r="BD225" i="82"/>
  <c r="BE225" i="82"/>
  <c r="BF215" i="82"/>
  <c r="BD215" i="82"/>
  <c r="BE215" i="82"/>
  <c r="BE204" i="82"/>
  <c r="BD204" i="82"/>
  <c r="BE87" i="82"/>
  <c r="BD87" i="82"/>
  <c r="BD151" i="82"/>
  <c r="BE151" i="82"/>
  <c r="BD161" i="82"/>
  <c r="BE161" i="82"/>
  <c r="BE97" i="82"/>
  <c r="BD97" i="82"/>
  <c r="BD189" i="82"/>
  <c r="BE189" i="82"/>
  <c r="BE123" i="82"/>
  <c r="BD123" i="82"/>
  <c r="BE62" i="82"/>
  <c r="BD62" i="82"/>
  <c r="BE14" i="82"/>
  <c r="BE49" i="82"/>
  <c r="BD49" i="82"/>
  <c r="BD178" i="82"/>
  <c r="BE178" i="82"/>
  <c r="BE60" i="82"/>
  <c r="BD60" i="82"/>
  <c r="BD95" i="82"/>
  <c r="BE95" i="82"/>
  <c r="BE74" i="82"/>
  <c r="BD74" i="82"/>
  <c r="BD15" i="82"/>
  <c r="BE15" i="82"/>
  <c r="BM91" i="82"/>
  <c r="BN91" i="82"/>
  <c r="BO91" i="82"/>
  <c r="BE64" i="82"/>
  <c r="BD64" i="82"/>
  <c r="BE92" i="82"/>
  <c r="BD92" i="82"/>
  <c r="BE124" i="82"/>
  <c r="BD124" i="82"/>
  <c r="BE156" i="82"/>
  <c r="BD156" i="82"/>
  <c r="BE188" i="82"/>
  <c r="BD188" i="82"/>
  <c r="BD190" i="82"/>
  <c r="BE190" i="82"/>
  <c r="BD174" i="82"/>
  <c r="BE174" i="82"/>
  <c r="BD158" i="82"/>
  <c r="BE158" i="82"/>
  <c r="BD142" i="82"/>
  <c r="BE142" i="82"/>
  <c r="BD126" i="82"/>
  <c r="BE126" i="82"/>
  <c r="BD110" i="82"/>
  <c r="BE110" i="82"/>
  <c r="BE94" i="82"/>
  <c r="BD94" i="82"/>
  <c r="BE78" i="82"/>
  <c r="BD78" i="82"/>
  <c r="BE59" i="82"/>
  <c r="BD59" i="82"/>
  <c r="BE43" i="82"/>
  <c r="BD43" i="82"/>
  <c r="BE19" i="82"/>
  <c r="BD19" i="82"/>
  <c r="BE184" i="82"/>
  <c r="BD184" i="82"/>
  <c r="BE168" i="82"/>
  <c r="BD168" i="82"/>
  <c r="BE152" i="82"/>
  <c r="BD152" i="82"/>
  <c r="BE136" i="82"/>
  <c r="BD136" i="82"/>
  <c r="BE120" i="82"/>
  <c r="BD120" i="82"/>
  <c r="BE104" i="82"/>
  <c r="BD104" i="82"/>
  <c r="BD88" i="82"/>
  <c r="BE88" i="82"/>
  <c r="BD72" i="82"/>
  <c r="BE72" i="82"/>
  <c r="BE58" i="82"/>
  <c r="BD58" i="82"/>
  <c r="BE42" i="82"/>
  <c r="BD42" i="82"/>
  <c r="BE16" i="82"/>
  <c r="BD16" i="82"/>
  <c r="BE26" i="82"/>
  <c r="BD26" i="82"/>
  <c r="BE10" i="82"/>
  <c r="BE25" i="82"/>
  <c r="BD25" i="82"/>
  <c r="BE9" i="82"/>
  <c r="BE57" i="82"/>
  <c r="BD57" i="82"/>
  <c r="BD93" i="82"/>
  <c r="BE93" i="82"/>
  <c r="BD125" i="82"/>
  <c r="BE125" i="82"/>
  <c r="BD157" i="82"/>
  <c r="BE157" i="82"/>
  <c r="BE23" i="82"/>
  <c r="BD23" i="82"/>
  <c r="BE90" i="82"/>
  <c r="BD90" i="82"/>
  <c r="BD154" i="82"/>
  <c r="BE154" i="82"/>
  <c r="BE36" i="82"/>
  <c r="BD36" i="82"/>
  <c r="BE68" i="82"/>
  <c r="BD68" i="82"/>
  <c r="BE100" i="82"/>
  <c r="BD100" i="82"/>
  <c r="BE132" i="82"/>
  <c r="BD132" i="82"/>
  <c r="BE164" i="82"/>
  <c r="BD164" i="82"/>
  <c r="BE7" i="82"/>
  <c r="BE85" i="82"/>
  <c r="BD85" i="82"/>
  <c r="BE149" i="82"/>
  <c r="BD149" i="82"/>
  <c r="BM147" i="82"/>
  <c r="BO147" i="82"/>
  <c r="BN147" i="82"/>
  <c r="BM187" i="82"/>
  <c r="BN187" i="82"/>
  <c r="BO187" i="82"/>
  <c r="BN83" i="82"/>
  <c r="BO83" i="82"/>
  <c r="BM83" i="82"/>
  <c r="BM139" i="82"/>
  <c r="BO139" i="82"/>
  <c r="BN139" i="82"/>
  <c r="BN56" i="82"/>
  <c r="BM56" i="82"/>
  <c r="BO56" i="82"/>
  <c r="BM155" i="82"/>
  <c r="BN155" i="82"/>
  <c r="BO155" i="82"/>
  <c r="BN72" i="82"/>
  <c r="BM72" i="82"/>
  <c r="BO72" i="82"/>
  <c r="BO195" i="82"/>
  <c r="BM195" i="82"/>
  <c r="BN195" i="82"/>
  <c r="BO107" i="82"/>
  <c r="BN107" i="82"/>
  <c r="BM107" i="82"/>
  <c r="BM18" i="82"/>
  <c r="BN18" i="82"/>
  <c r="BO18" i="82"/>
  <c r="BM160" i="82"/>
  <c r="BO160" i="82"/>
  <c r="BN160" i="82"/>
  <c r="BM96" i="82"/>
  <c r="BO96" i="82"/>
  <c r="BN96" i="82"/>
  <c r="BN29" i="82"/>
  <c r="BM29" i="82"/>
  <c r="BO29" i="82"/>
  <c r="BM199" i="82"/>
  <c r="BN199" i="82"/>
  <c r="BO199" i="82"/>
  <c r="BM167" i="82"/>
  <c r="BN167" i="82"/>
  <c r="BO167" i="82"/>
  <c r="BM135" i="82"/>
  <c r="BO135" i="82"/>
  <c r="BN135" i="82"/>
  <c r="BO103" i="82"/>
  <c r="BN103" i="82"/>
  <c r="BM103" i="82"/>
  <c r="BN71" i="82"/>
  <c r="BM71" i="82"/>
  <c r="BO71" i="82"/>
  <c r="BN38" i="82"/>
  <c r="BM38" i="82"/>
  <c r="BO38" i="82"/>
  <c r="BN290" i="82"/>
  <c r="BP290" i="82"/>
  <c r="BM290" i="82"/>
  <c r="BO290" i="82"/>
  <c r="BN226" i="82"/>
  <c r="BP226" i="82"/>
  <c r="BM226" i="82"/>
  <c r="BO226" i="82"/>
  <c r="BN180" i="82"/>
  <c r="BO180" i="82"/>
  <c r="BM180" i="82"/>
  <c r="BN148" i="82"/>
  <c r="BM148" i="82"/>
  <c r="BO148" i="82"/>
  <c r="BN116" i="82"/>
  <c r="BO116" i="82"/>
  <c r="BM116" i="82"/>
  <c r="BO84" i="82"/>
  <c r="BN84" i="82"/>
  <c r="BM84" i="82"/>
  <c r="BO52" i="82"/>
  <c r="BM52" i="82"/>
  <c r="BN52" i="82"/>
  <c r="BM13" i="82"/>
  <c r="BO13" i="82"/>
  <c r="BN13" i="82"/>
  <c r="BM232" i="82"/>
  <c r="BN232" i="82"/>
  <c r="BO232" i="82"/>
  <c r="BP232" i="82"/>
  <c r="BP206" i="82"/>
  <c r="BO206" i="82"/>
  <c r="BN206" i="82"/>
  <c r="BM206" i="82"/>
  <c r="BM190" i="82"/>
  <c r="BN190" i="82"/>
  <c r="BO190" i="82"/>
  <c r="BO174" i="82"/>
  <c r="BM174" i="82"/>
  <c r="BN174" i="82"/>
  <c r="BO158" i="82"/>
  <c r="BN158" i="82"/>
  <c r="BM158" i="82"/>
  <c r="BM142" i="82"/>
  <c r="BO142" i="82"/>
  <c r="BN142" i="82"/>
  <c r="BN126" i="82"/>
  <c r="BO126" i="82"/>
  <c r="BM126" i="82"/>
  <c r="BM110" i="82"/>
  <c r="BO110" i="82"/>
  <c r="BN110" i="82"/>
  <c r="BM94" i="82"/>
  <c r="BN94" i="82"/>
  <c r="BO94" i="82"/>
  <c r="BO78" i="82"/>
  <c r="BM78" i="82"/>
  <c r="BN78" i="82"/>
  <c r="BO62" i="82"/>
  <c r="BN62" i="82"/>
  <c r="BM62" i="82"/>
  <c r="BM46" i="82"/>
  <c r="BO46" i="82"/>
  <c r="BN46" i="82"/>
  <c r="BM26" i="82"/>
  <c r="BN26" i="82"/>
  <c r="BO26" i="82"/>
  <c r="BM296" i="82"/>
  <c r="BN296" i="82"/>
  <c r="BO296" i="82"/>
  <c r="BP296" i="82"/>
  <c r="BM249" i="82"/>
  <c r="BN249" i="82"/>
  <c r="BO249" i="82"/>
  <c r="BP249" i="82"/>
  <c r="BM201" i="82"/>
  <c r="BO201" i="82"/>
  <c r="BN201" i="82"/>
  <c r="BM185" i="82"/>
  <c r="BN185" i="82"/>
  <c r="BO185" i="82"/>
  <c r="BM169" i="82"/>
  <c r="BO169" i="82"/>
  <c r="BN169" i="82"/>
  <c r="BM153" i="82"/>
  <c r="BN153" i="82"/>
  <c r="BO153" i="82"/>
  <c r="BM137" i="82"/>
  <c r="BO137" i="82"/>
  <c r="BN137" i="82"/>
  <c r="BM121" i="82"/>
  <c r="BO121" i="82"/>
  <c r="BN121" i="82"/>
  <c r="BM105" i="82"/>
  <c r="BO105" i="82"/>
  <c r="BN105" i="82"/>
  <c r="BO89" i="82"/>
  <c r="BM89" i="82"/>
  <c r="BN89" i="82"/>
  <c r="BM73" i="82"/>
  <c r="BN73" i="82"/>
  <c r="BO73" i="82"/>
  <c r="BO57" i="82"/>
  <c r="BM57" i="82"/>
  <c r="BN57" i="82"/>
  <c r="BM41" i="82"/>
  <c r="BN41" i="82"/>
  <c r="BO41" i="82"/>
  <c r="BM20" i="82"/>
  <c r="BN20" i="82"/>
  <c r="BO20" i="82"/>
  <c r="BM292" i="82"/>
  <c r="BO292" i="82"/>
  <c r="BP292" i="82"/>
  <c r="BN292" i="82"/>
  <c r="BM244" i="82"/>
  <c r="BO244" i="82"/>
  <c r="BP244" i="82"/>
  <c r="BN244" i="82"/>
  <c r="BO31" i="82"/>
  <c r="BM31" i="82"/>
  <c r="BN31" i="82"/>
  <c r="BO15" i="82"/>
  <c r="BM15" i="82"/>
  <c r="BN15" i="82"/>
  <c r="BM297" i="82"/>
  <c r="BN297" i="82"/>
  <c r="BP297" i="82"/>
  <c r="BO297" i="82"/>
  <c r="BM265" i="82"/>
  <c r="BN265" i="82"/>
  <c r="BO265" i="82"/>
  <c r="BP265" i="82"/>
  <c r="BM233" i="82"/>
  <c r="BN233" i="82"/>
  <c r="BO233" i="82"/>
  <c r="BP233" i="82"/>
  <c r="BM247" i="82"/>
  <c r="BP247" i="82"/>
  <c r="BO247" i="82"/>
  <c r="BN247" i="82"/>
  <c r="BM215" i="82"/>
  <c r="BO215" i="82"/>
  <c r="BN215" i="82"/>
  <c r="BP215" i="82"/>
  <c r="BM291" i="82"/>
  <c r="BP291" i="82"/>
  <c r="BO291" i="82"/>
  <c r="BN291" i="82"/>
  <c r="BM275" i="82"/>
  <c r="BP275" i="82"/>
  <c r="BN275" i="82"/>
  <c r="BO275" i="82"/>
  <c r="BM259" i="82"/>
  <c r="BN259" i="82"/>
  <c r="BO259" i="82"/>
  <c r="BP259" i="82"/>
  <c r="BM243" i="82"/>
  <c r="BN243" i="82"/>
  <c r="BP243" i="82"/>
  <c r="BO243" i="82"/>
  <c r="BM227" i="82"/>
  <c r="BN227" i="82"/>
  <c r="BO227" i="82"/>
  <c r="BP227" i="82"/>
  <c r="BN210" i="82"/>
  <c r="BM210" i="82"/>
  <c r="BP210" i="82"/>
  <c r="BO210" i="82"/>
  <c r="BN298" i="82"/>
  <c r="BM298" i="82"/>
  <c r="BP298" i="82"/>
  <c r="BO298" i="82"/>
  <c r="BN282" i="82"/>
  <c r="BM282" i="82"/>
  <c r="BP282" i="82"/>
  <c r="BO282" i="82"/>
  <c r="BN266" i="82"/>
  <c r="BM266" i="82"/>
  <c r="BP266" i="82"/>
  <c r="BO266" i="82"/>
  <c r="BN250" i="82"/>
  <c r="BM250" i="82"/>
  <c r="BP250" i="82"/>
  <c r="BO250" i="82"/>
  <c r="BN234" i="82"/>
  <c r="BM234" i="82"/>
  <c r="BP234" i="82"/>
  <c r="BO234" i="82"/>
  <c r="BN218" i="82"/>
  <c r="BM218" i="82"/>
  <c r="BP218" i="82"/>
  <c r="BO218" i="82"/>
  <c r="BE304" i="82"/>
  <c r="BF304" i="82"/>
  <c r="BD304" i="82"/>
  <c r="BF278" i="82"/>
  <c r="BD278" i="82"/>
  <c r="BE278" i="82"/>
  <c r="BF262" i="82"/>
  <c r="BD262" i="82"/>
  <c r="BE262" i="82"/>
  <c r="BE300" i="82"/>
  <c r="BF300" i="82"/>
  <c r="BD300" i="82"/>
  <c r="BE284" i="82"/>
  <c r="BF284" i="82"/>
  <c r="BD284" i="82"/>
  <c r="BD258" i="82"/>
  <c r="BF258" i="82"/>
  <c r="BE258" i="82"/>
  <c r="BF290" i="82"/>
  <c r="BD290" i="82"/>
  <c r="BE290" i="82"/>
  <c r="BF267" i="82"/>
  <c r="BE267" i="82"/>
  <c r="BD267" i="82"/>
  <c r="BE252" i="82"/>
  <c r="BF252" i="82"/>
  <c r="BD252" i="82"/>
  <c r="BF302" i="82"/>
  <c r="BE302" i="82"/>
  <c r="BD302" i="82"/>
  <c r="BF289" i="82"/>
  <c r="BD289" i="82"/>
  <c r="BE289" i="82"/>
  <c r="BD269" i="82"/>
  <c r="BF269" i="82"/>
  <c r="BE269" i="82"/>
  <c r="BD198" i="82"/>
  <c r="BE198" i="82"/>
  <c r="BE288" i="82"/>
  <c r="BF288" i="82"/>
  <c r="BD288" i="82"/>
  <c r="BF274" i="82"/>
  <c r="BD274" i="82"/>
  <c r="BE274" i="82"/>
  <c r="BE256" i="82"/>
  <c r="BF256" i="82"/>
  <c r="BD256" i="82"/>
  <c r="BF243" i="82"/>
  <c r="BE243" i="82"/>
  <c r="BD243" i="82"/>
  <c r="BF227" i="82"/>
  <c r="BE227" i="82"/>
  <c r="BD227" i="82"/>
  <c r="BE216" i="82"/>
  <c r="BF216" i="82"/>
  <c r="BD216" i="82"/>
  <c r="BF205" i="82"/>
  <c r="BD205" i="82"/>
  <c r="BE205" i="82"/>
  <c r="BE195" i="82"/>
  <c r="BD195" i="82"/>
  <c r="BF245" i="82"/>
  <c r="BD245" i="82"/>
  <c r="BE245" i="82"/>
  <c r="BF229" i="82"/>
  <c r="BD229" i="82"/>
  <c r="BE229" i="82"/>
  <c r="BD202" i="82"/>
  <c r="BE202" i="82"/>
  <c r="BF238" i="82"/>
  <c r="BE238" i="82"/>
  <c r="BD238" i="82"/>
  <c r="BF223" i="82"/>
  <c r="BE223" i="82"/>
  <c r="BD223" i="82"/>
  <c r="BF212" i="82"/>
  <c r="BE212" i="82"/>
  <c r="BD212" i="82"/>
  <c r="BE201" i="82"/>
  <c r="BD201" i="82"/>
  <c r="BD119" i="82"/>
  <c r="BE119" i="82"/>
  <c r="BD177" i="82"/>
  <c r="BE177" i="82"/>
  <c r="BD129" i="82"/>
  <c r="BE129" i="82"/>
  <c r="BE63" i="82"/>
  <c r="BD63" i="82"/>
  <c r="BE171" i="82"/>
  <c r="BD171" i="82"/>
  <c r="BE139" i="82"/>
  <c r="BD139" i="82"/>
  <c r="BE75" i="82"/>
  <c r="BD75" i="82"/>
  <c r="BE30" i="82"/>
  <c r="BD30" i="82"/>
  <c r="BE13" i="82"/>
  <c r="BD146" i="82"/>
  <c r="BE146" i="82"/>
  <c r="BE133" i="82"/>
  <c r="BD133" i="82"/>
  <c r="BE159" i="82"/>
  <c r="BD159" i="82"/>
  <c r="BN246" i="82"/>
  <c r="BM246" i="82"/>
  <c r="BP246" i="82"/>
  <c r="BO246" i="82"/>
  <c r="BE28" i="82"/>
  <c r="BD28" i="82"/>
  <c r="BE40" i="82"/>
  <c r="BD40" i="82"/>
  <c r="BE71" i="82"/>
  <c r="BD71" i="82"/>
  <c r="BE103" i="82"/>
  <c r="BD103" i="82"/>
  <c r="BD135" i="82"/>
  <c r="BE135" i="82"/>
  <c r="BD167" i="82"/>
  <c r="BE167" i="82"/>
  <c r="BD193" i="82"/>
  <c r="BE193" i="82"/>
  <c r="BE187" i="82"/>
  <c r="BD187" i="82"/>
  <c r="BE169" i="82"/>
  <c r="BD169" i="82"/>
  <c r="BE153" i="82"/>
  <c r="BD153" i="82"/>
  <c r="BE137" i="82"/>
  <c r="BD137" i="82"/>
  <c r="BE121" i="82"/>
  <c r="BD121" i="82"/>
  <c r="BE105" i="82"/>
  <c r="BD105" i="82"/>
  <c r="BE89" i="82"/>
  <c r="BD89" i="82"/>
  <c r="BD73" i="82"/>
  <c r="BE73" i="82"/>
  <c r="BE55" i="82"/>
  <c r="BD55" i="82"/>
  <c r="BE39" i="82"/>
  <c r="BD39" i="82"/>
  <c r="BE11" i="82"/>
  <c r="BE179" i="82"/>
  <c r="BD179" i="82"/>
  <c r="BE163" i="82"/>
  <c r="BD163" i="82"/>
  <c r="BE147" i="82"/>
  <c r="BD147" i="82"/>
  <c r="BE131" i="82"/>
  <c r="BD131" i="82"/>
  <c r="BE115" i="82"/>
  <c r="BD115" i="82"/>
  <c r="BE99" i="82"/>
  <c r="BD99" i="82"/>
  <c r="BE83" i="82"/>
  <c r="BD83" i="82"/>
  <c r="BE70" i="82"/>
  <c r="BD70" i="82"/>
  <c r="BE54" i="82"/>
  <c r="BD54" i="82"/>
  <c r="BE38" i="82"/>
  <c r="BD38" i="82"/>
  <c r="BE8" i="82"/>
  <c r="BE22" i="82"/>
  <c r="BD22" i="82"/>
  <c r="BE6" i="82"/>
  <c r="BE21" i="82"/>
  <c r="BD21" i="82"/>
  <c r="BD31" i="82"/>
  <c r="BE31" i="82"/>
  <c r="BE65" i="82"/>
  <c r="BD65" i="82"/>
  <c r="BE98" i="82"/>
  <c r="BD98" i="82"/>
  <c r="BD130" i="82"/>
  <c r="BE130" i="82"/>
  <c r="BD162" i="82"/>
  <c r="BE162" i="82"/>
  <c r="BD37" i="82"/>
  <c r="BE37" i="82"/>
  <c r="BE101" i="82"/>
  <c r="BD101" i="82"/>
  <c r="BD170" i="82"/>
  <c r="BE170" i="82"/>
  <c r="BE44" i="82"/>
  <c r="BD44" i="82"/>
  <c r="BE79" i="82"/>
  <c r="BD79" i="82"/>
  <c r="BE111" i="82"/>
  <c r="BD111" i="82"/>
  <c r="BE143" i="82"/>
  <c r="BD143" i="82"/>
  <c r="BE175" i="82"/>
  <c r="BD175" i="82"/>
  <c r="BD45" i="82"/>
  <c r="BE45" i="82"/>
  <c r="BE106" i="82"/>
  <c r="BD106" i="82"/>
  <c r="BE181" i="82"/>
  <c r="BD181" i="82"/>
  <c r="BM59" i="82"/>
  <c r="BN59" i="82"/>
  <c r="BO59" i="82"/>
  <c r="BN104" i="82"/>
  <c r="BM104" i="82"/>
  <c r="BO104" i="82"/>
  <c r="BM203" i="82"/>
  <c r="BN203" i="82"/>
  <c r="BO203" i="82"/>
  <c r="BN120" i="82"/>
  <c r="BM120" i="82"/>
  <c r="BO120" i="82"/>
  <c r="BN33" i="82"/>
  <c r="BM33" i="82"/>
  <c r="BO33" i="82"/>
  <c r="BO136" i="82"/>
  <c r="BN136" i="82"/>
  <c r="BM136" i="82"/>
  <c r="BO51" i="82"/>
  <c r="BN51" i="82"/>
  <c r="BM51" i="82"/>
  <c r="BM171" i="82"/>
  <c r="BN171" i="82"/>
  <c r="BO171" i="82"/>
  <c r="BN88" i="82"/>
  <c r="BO88" i="82"/>
  <c r="BM88" i="82"/>
  <c r="BM5" i="82"/>
  <c r="BO5" i="82"/>
  <c r="BM144" i="82"/>
  <c r="BO144" i="82"/>
  <c r="BN144" i="82"/>
  <c r="BM80" i="82"/>
  <c r="BO80" i="82"/>
  <c r="BN80" i="82"/>
  <c r="BM8" i="82"/>
  <c r="BN8" i="82"/>
  <c r="BO8" i="82"/>
  <c r="BM191" i="82"/>
  <c r="BO191" i="82"/>
  <c r="BN191" i="82"/>
  <c r="BM159" i="82"/>
  <c r="BO159" i="82"/>
  <c r="BN159" i="82"/>
  <c r="BM127" i="82"/>
  <c r="BO127" i="82"/>
  <c r="BN127" i="82"/>
  <c r="BM95" i="82"/>
  <c r="BO95" i="82"/>
  <c r="BN95" i="82"/>
  <c r="BM63" i="82"/>
  <c r="BO63" i="82"/>
  <c r="BN63" i="82"/>
  <c r="BM28" i="82"/>
  <c r="BO28" i="82"/>
  <c r="BN28" i="82"/>
  <c r="BM283" i="82"/>
  <c r="BO283" i="82"/>
  <c r="BP283" i="82"/>
  <c r="BN283" i="82"/>
  <c r="BO204" i="82"/>
  <c r="BM204" i="82"/>
  <c r="BN204" i="82"/>
  <c r="BM172" i="82"/>
  <c r="BN172" i="82"/>
  <c r="BO172" i="82"/>
  <c r="BN140" i="82"/>
  <c r="BM140" i="82"/>
  <c r="BO140" i="82"/>
  <c r="BN108" i="82"/>
  <c r="BM108" i="82"/>
  <c r="BO108" i="82"/>
  <c r="BM76" i="82"/>
  <c r="BO76" i="82"/>
  <c r="BN76" i="82"/>
  <c r="BM44" i="82"/>
  <c r="BO44" i="82"/>
  <c r="BN44" i="82"/>
  <c r="BM281" i="82"/>
  <c r="BN281" i="82"/>
  <c r="BP281" i="82"/>
  <c r="BO281" i="82"/>
  <c r="BN261" i="82"/>
  <c r="BO261" i="82"/>
  <c r="BP261" i="82"/>
  <c r="BM261" i="82"/>
  <c r="BN202" i="82"/>
  <c r="BO202" i="82"/>
  <c r="BM202" i="82"/>
  <c r="BM186" i="82"/>
  <c r="BO186" i="82"/>
  <c r="BN186" i="82"/>
  <c r="BO170" i="82"/>
  <c r="BN170" i="82"/>
  <c r="BM170" i="82"/>
  <c r="BM154" i="82"/>
  <c r="BN154" i="82"/>
  <c r="BO154" i="82"/>
  <c r="BN138" i="82"/>
  <c r="BO138" i="82"/>
  <c r="BM138" i="82"/>
  <c r="BO122" i="82"/>
  <c r="BM122" i="82"/>
  <c r="BN122" i="82"/>
  <c r="BO106" i="82"/>
  <c r="BM106" i="82"/>
  <c r="BN106" i="82"/>
  <c r="BM90" i="82"/>
  <c r="BO90" i="82"/>
  <c r="BN90" i="82"/>
  <c r="BM74" i="82"/>
  <c r="BO74" i="82"/>
  <c r="BN74" i="82"/>
  <c r="BO58" i="82"/>
  <c r="BN58" i="82"/>
  <c r="BM58" i="82"/>
  <c r="BN42" i="82"/>
  <c r="BO42" i="82"/>
  <c r="BM42" i="82"/>
  <c r="BO21" i="82"/>
  <c r="BN21" i="82"/>
  <c r="BM21" i="82"/>
  <c r="BN293" i="82"/>
  <c r="BO293" i="82"/>
  <c r="BM293" i="82"/>
  <c r="BP293" i="82"/>
  <c r="BM219" i="82"/>
  <c r="BO219" i="82"/>
  <c r="BP219" i="82"/>
  <c r="BN219" i="82"/>
  <c r="BN197" i="82"/>
  <c r="BM197" i="82"/>
  <c r="BO197" i="82"/>
  <c r="BO181" i="82"/>
  <c r="BN181" i="82"/>
  <c r="BM181" i="82"/>
  <c r="BN165" i="82"/>
  <c r="BM165" i="82"/>
  <c r="BO165" i="82"/>
  <c r="BO149" i="82"/>
  <c r="BM149" i="82"/>
  <c r="BN149" i="82"/>
  <c r="BN133" i="82"/>
  <c r="BO133" i="82"/>
  <c r="BM133" i="82"/>
  <c r="BO117" i="82"/>
  <c r="BN117" i="82"/>
  <c r="BM117" i="82"/>
  <c r="BO101" i="82"/>
  <c r="BM101" i="82"/>
  <c r="BN101" i="82"/>
  <c r="BN85" i="82"/>
  <c r="BM85" i="82"/>
  <c r="BO85" i="82"/>
  <c r="BO69" i="82"/>
  <c r="BN69" i="82"/>
  <c r="BM69" i="82"/>
  <c r="BO53" i="82"/>
  <c r="BM53" i="82"/>
  <c r="BN53" i="82"/>
  <c r="BM36" i="82"/>
  <c r="BO36" i="82"/>
  <c r="BN36" i="82"/>
  <c r="BO14" i="82"/>
  <c r="BN14" i="82"/>
  <c r="BM14" i="82"/>
  <c r="BN278" i="82"/>
  <c r="BM278" i="82"/>
  <c r="BP278" i="82"/>
  <c r="BO278" i="82"/>
  <c r="BN229" i="82"/>
  <c r="BO229" i="82"/>
  <c r="BP229" i="82"/>
  <c r="BM229" i="82"/>
  <c r="BN27" i="82"/>
  <c r="BM27" i="82"/>
  <c r="BO27" i="82"/>
  <c r="BO11" i="82"/>
  <c r="BN11" i="82"/>
  <c r="BM11" i="82"/>
  <c r="BN294" i="82"/>
  <c r="BM294" i="82"/>
  <c r="BP294" i="82"/>
  <c r="BO294" i="82"/>
  <c r="BN262" i="82"/>
  <c r="BM262" i="82"/>
  <c r="BP262" i="82"/>
  <c r="BO262" i="82"/>
  <c r="BN230" i="82"/>
  <c r="BM230" i="82"/>
  <c r="BP230" i="82"/>
  <c r="BO230" i="82"/>
  <c r="BN245" i="82"/>
  <c r="BO245" i="82"/>
  <c r="BM245" i="82"/>
  <c r="BP245" i="82"/>
  <c r="BN213" i="82"/>
  <c r="BO213" i="82"/>
  <c r="BM213" i="82"/>
  <c r="BP213" i="82"/>
  <c r="BO289" i="82"/>
  <c r="BP289" i="82"/>
  <c r="BN289" i="82"/>
  <c r="BM289" i="82"/>
  <c r="BO273" i="82"/>
  <c r="BP273" i="82"/>
  <c r="BM273" i="82"/>
  <c r="BN273" i="82"/>
  <c r="BO257" i="82"/>
  <c r="BP257" i="82"/>
  <c r="BM257" i="82"/>
  <c r="BN257" i="82"/>
  <c r="BO241" i="82"/>
  <c r="BP241" i="82"/>
  <c r="BM241" i="82"/>
  <c r="BN241" i="82"/>
  <c r="BO225" i="82"/>
  <c r="BP225" i="82"/>
  <c r="BM225" i="82"/>
  <c r="BN225" i="82"/>
  <c r="BM303" i="82"/>
  <c r="BN303" i="82"/>
  <c r="BO303" i="82"/>
  <c r="BP303" i="82"/>
  <c r="BM287" i="82"/>
  <c r="BN287" i="82"/>
  <c r="BO287" i="82"/>
  <c r="BP287" i="82"/>
  <c r="BM271" i="82"/>
  <c r="BO271" i="82"/>
  <c r="BP271" i="82"/>
  <c r="BN271" i="82"/>
  <c r="BM255" i="82"/>
  <c r="BP255" i="82"/>
  <c r="BN255" i="82"/>
  <c r="BO255" i="82"/>
  <c r="BM239" i="82"/>
  <c r="BP239" i="82"/>
  <c r="BN239" i="82"/>
  <c r="BO239" i="82"/>
  <c r="BM223" i="82"/>
  <c r="BO223" i="82"/>
  <c r="BN223" i="82"/>
  <c r="BP223" i="82"/>
  <c r="BM211" i="82"/>
  <c r="BP211" i="82"/>
  <c r="BN211" i="82"/>
  <c r="BO211" i="82"/>
  <c r="BF301" i="82"/>
  <c r="BD301" i="82"/>
  <c r="BE301" i="82"/>
  <c r="BF275" i="82"/>
  <c r="BE275" i="82"/>
  <c r="BD275" i="82"/>
  <c r="BF250" i="82"/>
  <c r="BE250" i="82"/>
  <c r="BD250" i="82"/>
  <c r="BF297" i="82"/>
  <c r="BE297" i="82"/>
  <c r="BD297" i="82"/>
  <c r="BE280" i="82"/>
  <c r="BD280" i="82"/>
  <c r="BF280" i="82"/>
  <c r="BD237" i="82"/>
  <c r="BF237" i="82"/>
  <c r="BE237" i="82"/>
  <c r="BF283" i="82"/>
  <c r="BE283" i="82"/>
  <c r="BD283" i="82"/>
  <c r="BF263" i="82"/>
  <c r="BD263" i="82"/>
  <c r="BE263" i="82"/>
  <c r="BF247" i="82"/>
  <c r="BD247" i="82"/>
  <c r="BE247" i="82"/>
  <c r="BF299" i="82"/>
  <c r="BE299" i="82"/>
  <c r="BD299" i="82"/>
  <c r="BF285" i="82"/>
  <c r="BD285" i="82"/>
  <c r="BE285" i="82"/>
  <c r="BF266" i="82"/>
  <c r="BE266" i="82"/>
  <c r="BD266" i="82"/>
  <c r="BE303" i="82"/>
  <c r="BD303" i="82"/>
  <c r="BF303" i="82"/>
  <c r="BF286" i="82"/>
  <c r="BE286" i="82"/>
  <c r="BD286" i="82"/>
  <c r="BF271" i="82"/>
  <c r="BE271" i="82"/>
  <c r="BD271" i="82"/>
  <c r="BF254" i="82"/>
  <c r="BE254" i="82"/>
  <c r="BD254" i="82"/>
  <c r="BF236" i="82"/>
  <c r="BE236" i="82"/>
  <c r="BD236" i="82"/>
  <c r="BE224" i="82"/>
  <c r="BF224" i="82"/>
  <c r="BD224" i="82"/>
  <c r="BD213" i="82"/>
  <c r="BE213" i="82"/>
  <c r="BF213" i="82"/>
  <c r="BE203" i="82"/>
  <c r="BD203" i="82"/>
  <c r="BF253" i="82"/>
  <c r="BD253" i="82"/>
  <c r="BE253" i="82"/>
  <c r="BF242" i="82"/>
  <c r="BD242" i="82"/>
  <c r="BE242" i="82"/>
  <c r="BF226" i="82"/>
  <c r="BD226" i="82"/>
  <c r="BE226" i="82"/>
  <c r="BD194" i="82"/>
  <c r="BE194" i="82"/>
  <c r="BF235" i="82"/>
  <c r="BE235" i="82"/>
  <c r="BD235" i="82"/>
  <c r="BE220" i="82"/>
  <c r="BF220" i="82"/>
  <c r="BD220" i="82"/>
  <c r="BD209" i="82"/>
  <c r="BF209" i="82"/>
  <c r="BE209" i="82"/>
  <c r="BD199" i="82"/>
  <c r="BE199" i="82"/>
  <c r="BE56" i="82"/>
  <c r="BD56" i="82"/>
  <c r="BD183" i="82"/>
  <c r="BE183" i="82"/>
  <c r="BD145" i="82"/>
  <c r="BE145" i="82"/>
  <c r="BE81" i="82"/>
  <c r="BD81" i="82"/>
  <c r="BE47" i="82"/>
  <c r="BD47" i="82"/>
  <c r="BE155" i="82"/>
  <c r="BD155" i="82"/>
  <c r="BE91" i="82"/>
  <c r="BD91" i="82"/>
  <c r="BE46" i="82"/>
  <c r="BD46" i="82"/>
  <c r="BD29" i="82"/>
  <c r="BE29" i="82"/>
  <c r="BD114" i="82"/>
  <c r="BE114" i="82"/>
  <c r="BE20" i="82"/>
  <c r="BD20" i="82"/>
  <c r="BE185" i="82"/>
  <c r="BD185" i="82"/>
  <c r="BM179" i="82"/>
  <c r="BO179" i="82"/>
  <c r="BN179" i="82"/>
  <c r="BE48" i="82"/>
  <c r="BD48" i="82"/>
  <c r="BE76" i="82"/>
  <c r="BD76" i="82"/>
  <c r="BE108" i="82"/>
  <c r="BD108" i="82"/>
  <c r="BE140" i="82"/>
  <c r="BD140" i="82"/>
  <c r="BE172" i="82"/>
  <c r="BD172" i="82"/>
  <c r="BE5" i="82"/>
  <c r="BD182" i="82"/>
  <c r="BE182" i="82"/>
  <c r="BD166" i="82"/>
  <c r="BE166" i="82"/>
  <c r="BD150" i="82"/>
  <c r="BE150" i="82"/>
  <c r="BD134" i="82"/>
  <c r="BE134" i="82"/>
  <c r="BD118" i="82"/>
  <c r="BE118" i="82"/>
  <c r="BE102" i="82"/>
  <c r="BD102" i="82"/>
  <c r="BE86" i="82"/>
  <c r="BD86" i="82"/>
  <c r="BD67" i="82"/>
  <c r="BE67" i="82"/>
  <c r="BD51" i="82"/>
  <c r="BE51" i="82"/>
  <c r="BE35" i="82"/>
  <c r="BD35" i="82"/>
  <c r="BE192" i="82"/>
  <c r="BD192" i="82"/>
  <c r="BE176" i="82"/>
  <c r="BD176" i="82"/>
  <c r="BE160" i="82"/>
  <c r="BD160" i="82"/>
  <c r="BE144" i="82"/>
  <c r="BD144" i="82"/>
  <c r="BE128" i="82"/>
  <c r="BD128" i="82"/>
  <c r="BE112" i="82"/>
  <c r="BD112" i="82"/>
  <c r="BE96" i="82"/>
  <c r="BD96" i="82"/>
  <c r="BE80" i="82"/>
  <c r="BD80" i="82"/>
  <c r="BE66" i="82"/>
  <c r="BD66" i="82"/>
  <c r="BE50" i="82"/>
  <c r="BD50" i="82"/>
  <c r="BE32" i="82"/>
  <c r="BD32" i="82"/>
  <c r="BE34" i="82"/>
  <c r="BD34" i="82"/>
  <c r="BE18" i="82"/>
  <c r="BD18" i="82"/>
  <c r="BE33" i="82"/>
  <c r="BD33" i="82"/>
  <c r="BE17" i="82"/>
  <c r="BD17" i="82"/>
  <c r="BE41" i="82"/>
  <c r="BD41" i="82"/>
  <c r="BE77" i="82"/>
  <c r="BD77" i="82"/>
  <c r="BD109" i="82"/>
  <c r="BE109" i="82"/>
  <c r="BD141" i="82"/>
  <c r="BE141" i="82"/>
  <c r="BD173" i="82"/>
  <c r="BE173" i="82"/>
  <c r="BE53" i="82"/>
  <c r="BD53" i="82"/>
  <c r="BD122" i="82"/>
  <c r="BE122" i="82"/>
  <c r="BD186" i="82"/>
  <c r="BE186" i="82"/>
  <c r="BD52" i="82"/>
  <c r="BE52" i="82"/>
  <c r="BE84" i="82"/>
  <c r="BD84" i="82"/>
  <c r="BE116" i="82"/>
  <c r="BD116" i="82"/>
  <c r="BE148" i="82"/>
  <c r="BD148" i="82"/>
  <c r="BE180" i="82"/>
  <c r="BD180" i="82"/>
  <c r="BE61" i="82"/>
  <c r="BD61" i="82"/>
  <c r="BE117" i="82"/>
  <c r="BD117" i="82"/>
  <c r="BE191" i="82"/>
  <c r="BD191" i="82"/>
  <c r="BM123" i="82"/>
  <c r="BN123" i="82"/>
  <c r="BO123" i="82"/>
  <c r="BM12" i="82"/>
  <c r="BO12" i="82"/>
  <c r="BN12" i="82"/>
  <c r="BN184" i="82"/>
  <c r="BO184" i="82"/>
  <c r="BM184" i="82"/>
  <c r="BO99" i="82"/>
  <c r="BM99" i="82"/>
  <c r="BN99" i="82"/>
  <c r="BN200" i="82"/>
  <c r="BM200" i="82"/>
  <c r="BO200" i="82"/>
  <c r="BM115" i="82"/>
  <c r="BO115" i="82"/>
  <c r="BN115" i="82"/>
  <c r="BO22" i="82"/>
  <c r="BN22" i="82"/>
  <c r="BM22" i="82"/>
  <c r="BN152" i="82"/>
  <c r="BM152" i="82"/>
  <c r="BO152" i="82"/>
  <c r="BO67" i="82"/>
  <c r="BN67" i="82"/>
  <c r="BM67" i="82"/>
  <c r="BN192" i="82"/>
  <c r="BM192" i="82"/>
  <c r="BO192" i="82"/>
  <c r="BM128" i="82"/>
  <c r="BN128" i="82"/>
  <c r="BO128" i="82"/>
  <c r="BM64" i="82"/>
  <c r="BO64" i="82"/>
  <c r="BN64" i="82"/>
  <c r="BM217" i="82"/>
  <c r="BN217" i="82"/>
  <c r="BO217" i="82"/>
  <c r="BP217" i="82"/>
  <c r="BM183" i="82"/>
  <c r="BN183" i="82"/>
  <c r="BO183" i="82"/>
  <c r="BM151" i="82"/>
  <c r="BN151" i="82"/>
  <c r="BO151" i="82"/>
  <c r="BM119" i="82"/>
  <c r="BN119" i="82"/>
  <c r="BO119" i="82"/>
  <c r="BN87" i="82"/>
  <c r="BM87" i="82"/>
  <c r="BO87" i="82"/>
  <c r="BO55" i="82"/>
  <c r="BN55" i="82"/>
  <c r="BM55" i="82"/>
  <c r="BN17" i="82"/>
  <c r="BM17" i="82"/>
  <c r="BO17" i="82"/>
  <c r="BN277" i="82"/>
  <c r="BO277" i="82"/>
  <c r="BM277" i="82"/>
  <c r="BP277" i="82"/>
  <c r="BN196" i="82"/>
  <c r="BO196" i="82"/>
  <c r="BM196" i="82"/>
  <c r="BN164" i="82"/>
  <c r="BO164" i="82"/>
  <c r="BM164" i="82"/>
  <c r="BN132" i="82"/>
  <c r="BO132" i="82"/>
  <c r="BM132" i="82"/>
  <c r="BM100" i="82"/>
  <c r="BO100" i="82"/>
  <c r="BN100" i="82"/>
  <c r="BM68" i="82"/>
  <c r="BO68" i="82"/>
  <c r="BN68" i="82"/>
  <c r="BN34" i="82"/>
  <c r="BM34" i="82"/>
  <c r="BO34" i="82"/>
  <c r="BN274" i="82"/>
  <c r="BP274" i="82"/>
  <c r="BM274" i="82"/>
  <c r="BO274" i="82"/>
  <c r="BM231" i="82"/>
  <c r="BO231" i="82"/>
  <c r="BN231" i="82"/>
  <c r="BP231" i="82"/>
  <c r="BO198" i="82"/>
  <c r="BM198" i="82"/>
  <c r="BN198" i="82"/>
  <c r="BM182" i="82"/>
  <c r="BN182" i="82"/>
  <c r="BO182" i="82"/>
  <c r="BM166" i="82"/>
  <c r="BO166" i="82"/>
  <c r="BN166" i="82"/>
  <c r="BN150" i="82"/>
  <c r="BM150" i="82"/>
  <c r="BO150" i="82"/>
  <c r="BO134" i="82"/>
  <c r="BM134" i="82"/>
  <c r="BN134" i="82"/>
  <c r="BM118" i="82"/>
  <c r="BN118" i="82"/>
  <c r="BO118" i="82"/>
  <c r="BO102" i="82"/>
  <c r="BM102" i="82"/>
  <c r="BN102" i="82"/>
  <c r="BO86" i="82"/>
  <c r="BN86" i="82"/>
  <c r="BM86" i="82"/>
  <c r="BN70" i="82"/>
  <c r="BO70" i="82"/>
  <c r="BM70" i="82"/>
  <c r="BN54" i="82"/>
  <c r="BM54" i="82"/>
  <c r="BO54" i="82"/>
  <c r="BM37" i="82"/>
  <c r="BO37" i="82"/>
  <c r="BN37" i="82"/>
  <c r="BM16" i="82"/>
  <c r="BO16" i="82"/>
  <c r="BN16" i="82"/>
  <c r="BM279" i="82"/>
  <c r="BO279" i="82"/>
  <c r="BN279" i="82"/>
  <c r="BP279" i="82"/>
  <c r="BN214" i="82"/>
  <c r="BM214" i="82"/>
  <c r="BP214" i="82"/>
  <c r="BO214" i="82"/>
  <c r="BO193" i="82"/>
  <c r="BM193" i="82"/>
  <c r="BN193" i="82"/>
  <c r="BM177" i="82"/>
  <c r="BN177" i="82"/>
  <c r="BO177" i="82"/>
  <c r="BO161" i="82"/>
  <c r="BM161" i="82"/>
  <c r="BN161" i="82"/>
  <c r="BO145" i="82"/>
  <c r="BM145" i="82"/>
  <c r="BN145" i="82"/>
  <c r="BM129" i="82"/>
  <c r="BO129" i="82"/>
  <c r="BN129" i="82"/>
  <c r="BM113" i="82"/>
  <c r="BO113" i="82"/>
  <c r="BN113" i="82"/>
  <c r="BN97" i="82"/>
  <c r="BM97" i="82"/>
  <c r="BO97" i="82"/>
  <c r="BM81" i="82"/>
  <c r="BN81" i="82"/>
  <c r="BO81" i="82"/>
  <c r="BM65" i="82"/>
  <c r="BN65" i="82"/>
  <c r="BO65" i="82"/>
  <c r="BM49" i="82"/>
  <c r="BO49" i="82"/>
  <c r="BN49" i="82"/>
  <c r="BM30" i="82"/>
  <c r="BN30" i="82"/>
  <c r="BO30" i="82"/>
  <c r="BM9" i="82"/>
  <c r="BN9" i="82"/>
  <c r="BO9" i="82"/>
  <c r="BM276" i="82"/>
  <c r="BO276" i="82"/>
  <c r="BP276" i="82"/>
  <c r="BN276" i="82"/>
  <c r="BN39" i="82"/>
  <c r="BM39" i="82"/>
  <c r="BO39" i="82"/>
  <c r="BO23" i="82"/>
  <c r="BM23" i="82"/>
  <c r="BN23" i="82"/>
  <c r="BN7" i="82"/>
  <c r="BM7" i="82"/>
  <c r="BO7" i="82"/>
  <c r="BM280" i="82"/>
  <c r="BN280" i="82"/>
  <c r="BO280" i="82"/>
  <c r="BP280" i="82"/>
  <c r="BM248" i="82"/>
  <c r="BN248" i="82"/>
  <c r="BO248" i="82"/>
  <c r="BP248" i="82"/>
  <c r="BM216" i="82"/>
  <c r="BN216" i="82"/>
  <c r="BO216" i="82"/>
  <c r="BP216" i="82"/>
  <c r="BN242" i="82"/>
  <c r="BP242" i="82"/>
  <c r="BM242" i="82"/>
  <c r="BO242" i="82"/>
  <c r="BM304" i="82"/>
  <c r="BP304" i="82"/>
  <c r="BO304" i="82"/>
  <c r="BN304" i="82"/>
  <c r="BM288" i="82"/>
  <c r="BP288" i="82"/>
  <c r="BO288" i="82"/>
  <c r="BN288" i="82"/>
  <c r="BM272" i="82"/>
  <c r="BP272" i="82"/>
  <c r="BO272" i="82"/>
  <c r="BN272" i="82"/>
  <c r="BM256" i="82"/>
  <c r="BP256" i="82"/>
  <c r="BN256" i="82"/>
  <c r="BO256" i="82"/>
  <c r="BM240" i="82"/>
  <c r="BP240" i="82"/>
  <c r="BN240" i="82"/>
  <c r="BO240" i="82"/>
  <c r="BM224" i="82"/>
  <c r="BP224" i="82"/>
  <c r="BN224" i="82"/>
  <c r="BO224" i="82"/>
  <c r="BP301" i="82"/>
  <c r="BM301" i="82"/>
  <c r="BO301" i="82"/>
  <c r="BN301" i="82"/>
  <c r="BP285" i="82"/>
  <c r="BM285" i="82"/>
  <c r="BN285" i="82"/>
  <c r="BO285" i="82"/>
  <c r="BP269" i="82"/>
  <c r="BM269" i="82"/>
  <c r="BO269" i="82"/>
  <c r="BN269" i="82"/>
  <c r="BP253" i="82"/>
  <c r="BM253" i="82"/>
  <c r="BN253" i="82"/>
  <c r="BO253" i="82"/>
  <c r="BP237" i="82"/>
  <c r="BM237" i="82"/>
  <c r="BN237" i="82"/>
  <c r="BO237" i="82"/>
  <c r="BP221" i="82"/>
  <c r="BM221" i="82"/>
  <c r="BN221" i="82"/>
  <c r="BO221" i="82"/>
  <c r="BP209" i="82"/>
  <c r="BM209" i="82"/>
  <c r="BN209" i="82"/>
  <c r="BO209" i="82"/>
  <c r="BF298" i="82"/>
  <c r="BE298" i="82"/>
  <c r="BD298" i="82"/>
  <c r="BE268" i="82"/>
  <c r="BF268" i="82"/>
  <c r="BD268" i="82"/>
  <c r="BE240" i="82"/>
  <c r="BF240" i="82"/>
  <c r="BD240" i="82"/>
  <c r="BF294" i="82"/>
  <c r="BD294" i="82"/>
  <c r="BE294" i="82"/>
  <c r="BD277" i="82"/>
  <c r="BE277" i="82"/>
  <c r="BF277" i="82"/>
  <c r="BF214" i="82"/>
  <c r="BD214" i="82"/>
  <c r="BE214" i="82"/>
  <c r="BF273" i="82"/>
  <c r="BD273" i="82"/>
  <c r="BE273" i="82"/>
  <c r="BF260" i="82"/>
  <c r="BE260" i="82"/>
  <c r="BD260" i="82"/>
  <c r="BF234" i="82"/>
  <c r="BE234" i="82"/>
  <c r="BD234" i="82"/>
  <c r="BD295" i="82"/>
  <c r="BE295" i="82"/>
  <c r="BF295" i="82"/>
  <c r="BF279" i="82"/>
  <c r="BD279" i="82"/>
  <c r="BE279" i="82"/>
  <c r="BF255" i="82"/>
  <c r="BE255" i="82"/>
  <c r="BD255" i="82"/>
  <c r="BD293" i="82"/>
  <c r="BE293" i="82"/>
  <c r="BF293" i="82"/>
  <c r="BF281" i="82"/>
  <c r="BE281" i="82"/>
  <c r="BD281" i="82"/>
  <c r="BD261" i="82"/>
  <c r="BE261" i="82"/>
  <c r="BF261" i="82"/>
  <c r="BF249" i="82"/>
  <c r="BE249" i="82"/>
  <c r="BD249" i="82"/>
  <c r="BF233" i="82"/>
  <c r="BE233" i="82"/>
  <c r="BD233" i="82"/>
  <c r="BF221" i="82"/>
  <c r="BD221" i="82"/>
  <c r="BE221" i="82"/>
  <c r="BF211" i="82"/>
  <c r="BE211" i="82"/>
  <c r="BD211" i="82"/>
  <c r="BE200" i="82"/>
  <c r="BD200" i="82"/>
  <c r="BF251" i="82"/>
  <c r="BE251" i="82"/>
  <c r="BD251" i="82"/>
  <c r="BF239" i="82"/>
  <c r="BE239" i="82"/>
  <c r="BD239" i="82"/>
  <c r="BF218" i="82"/>
  <c r="BE218" i="82"/>
  <c r="BD218" i="82"/>
  <c r="BF244" i="82"/>
  <c r="BE244" i="82"/>
  <c r="BD244" i="82"/>
  <c r="BF228" i="82"/>
  <c r="BE228" i="82"/>
  <c r="BD228" i="82"/>
  <c r="BF217" i="82"/>
  <c r="BE217" i="82"/>
  <c r="BD217" i="82"/>
  <c r="BF207" i="82"/>
  <c r="BE207" i="82"/>
  <c r="BD207" i="82"/>
  <c r="BE196" i="82"/>
  <c r="BD196" i="82"/>
  <c r="CZ50" i="82"/>
  <c r="CZ51" i="82"/>
  <c r="CZ52" i="82"/>
  <c r="CZ53" i="82"/>
  <c r="CZ54" i="82"/>
  <c r="CZ55" i="82"/>
  <c r="CZ56" i="82"/>
  <c r="CZ57" i="82"/>
  <c r="CZ58" i="82"/>
  <c r="CZ59" i="82"/>
  <c r="CY130" i="90" l="1"/>
  <c r="CY131" i="90"/>
  <c r="CY133" i="90"/>
  <c r="CY129" i="90"/>
  <c r="CY132" i="90"/>
  <c r="CY104" i="90"/>
  <c r="CY106" i="90"/>
  <c r="CY107" i="90"/>
  <c r="CY105" i="90"/>
  <c r="CY108" i="90"/>
  <c r="CY97" i="90"/>
  <c r="CY95" i="90"/>
  <c r="CY94" i="90"/>
  <c r="CY98" i="90"/>
  <c r="CY96" i="90"/>
  <c r="CY110" i="90"/>
  <c r="CY111" i="90"/>
  <c r="CY113" i="90"/>
  <c r="CY109" i="90"/>
  <c r="CY112" i="90"/>
  <c r="CY139" i="90"/>
  <c r="CY140" i="90"/>
  <c r="CY141" i="90"/>
  <c r="CY143" i="90"/>
  <c r="CY142" i="90"/>
  <c r="CY148" i="90"/>
  <c r="CY144" i="90"/>
  <c r="CY146" i="90"/>
  <c r="CY147" i="90"/>
  <c r="CY145" i="90"/>
  <c r="CY121" i="90"/>
  <c r="CY119" i="90"/>
  <c r="CY123" i="90"/>
  <c r="CY120" i="90"/>
  <c r="CY122" i="90"/>
  <c r="CY101" i="90"/>
  <c r="CY103" i="90"/>
  <c r="CY100" i="90"/>
  <c r="CY99" i="90"/>
  <c r="CY102" i="90"/>
  <c r="CY93" i="90"/>
  <c r="CY89" i="90"/>
  <c r="CY92" i="90"/>
  <c r="CY90" i="90"/>
  <c r="CY91" i="90"/>
  <c r="CY117" i="90"/>
  <c r="CY115" i="90"/>
  <c r="CY116" i="90"/>
  <c r="CY118" i="90"/>
  <c r="CY114" i="90"/>
  <c r="CY124" i="90"/>
  <c r="CY126" i="90"/>
  <c r="CY127" i="90"/>
  <c r="CY125" i="90"/>
  <c r="CY128" i="90"/>
  <c r="CY138" i="90"/>
  <c r="CY136" i="90"/>
  <c r="CY137" i="90"/>
  <c r="CY135" i="90"/>
  <c r="CY134" i="90"/>
  <c r="CY153" i="90"/>
  <c r="CY149" i="90"/>
  <c r="CY154" i="90"/>
  <c r="CY152" i="90"/>
  <c r="CY150" i="90"/>
  <c r="CY151" i="90"/>
  <c r="H22" i="88"/>
  <c r="H16" i="88"/>
  <c r="H19" i="88"/>
  <c r="H21" i="88"/>
  <c r="H24" i="88"/>
  <c r="H23" i="88"/>
  <c r="H20" i="88"/>
  <c r="H7" i="88"/>
  <c r="H25" i="88"/>
  <c r="H33" i="88"/>
  <c r="H10" i="88"/>
  <c r="H29" i="88"/>
  <c r="H13" i="88"/>
  <c r="H31" i="88"/>
  <c r="H8" i="88"/>
  <c r="H32" i="88"/>
  <c r="H27" i="88"/>
  <c r="H14" i="88"/>
  <c r="H26" i="88"/>
  <c r="H6" i="88"/>
  <c r="H15" i="88"/>
  <c r="H28" i="88"/>
  <c r="H9" i="88"/>
  <c r="H17" i="88"/>
  <c r="H12" i="88"/>
  <c r="H11" i="88"/>
  <c r="F22" i="88"/>
  <c r="H30" i="88"/>
  <c r="F21" i="88"/>
  <c r="H18" i="88"/>
  <c r="H5" i="88"/>
  <c r="F29" i="88"/>
  <c r="Q29" i="88" s="1"/>
  <c r="F17" i="88"/>
  <c r="F11" i="88"/>
  <c r="F25" i="88"/>
  <c r="Q25" i="88" s="1"/>
  <c r="F30" i="88"/>
  <c r="F20" i="88"/>
  <c r="F19" i="88"/>
  <c r="F33" i="88"/>
  <c r="Q33" i="88" s="1"/>
  <c r="F4" i="88"/>
  <c r="F18" i="88"/>
  <c r="F8" i="88"/>
  <c r="F14" i="88"/>
  <c r="F28" i="88"/>
  <c r="F23" i="88"/>
  <c r="F27" i="88"/>
  <c r="Q27" i="88" s="1"/>
  <c r="N349" i="81"/>
  <c r="F7" i="88"/>
  <c r="N194" i="81"/>
  <c r="F10" i="88"/>
  <c r="F15" i="88"/>
  <c r="F24" i="88"/>
  <c r="F12" i="88"/>
  <c r="F16" i="88"/>
  <c r="F6" i="88"/>
  <c r="F32" i="88"/>
  <c r="Q32" i="88" s="1"/>
  <c r="F31" i="88"/>
  <c r="Q31" i="88" s="1"/>
  <c r="F9" i="88"/>
  <c r="F5" i="88"/>
  <c r="F13" i="88"/>
  <c r="F26" i="88"/>
  <c r="Q26" i="88" s="1"/>
  <c r="N378" i="81"/>
  <c r="N57" i="81"/>
  <c r="N71" i="81"/>
  <c r="N335" i="81"/>
  <c r="N251" i="81"/>
  <c r="N209" i="81"/>
  <c r="N237" i="81"/>
  <c r="N98" i="81"/>
  <c r="N279" i="81"/>
  <c r="N166" i="81"/>
  <c r="N363" i="81"/>
  <c r="N223" i="81"/>
  <c r="N321" i="81"/>
  <c r="N138" i="81"/>
  <c r="N265" i="81"/>
  <c r="N18" i="81"/>
  <c r="N124" i="81"/>
  <c r="N307" i="81"/>
  <c r="N44" i="81"/>
  <c r="N85" i="81"/>
  <c r="N152" i="81"/>
  <c r="N180" i="81"/>
  <c r="N111" i="81"/>
  <c r="N31" i="81"/>
  <c r="N293" i="81"/>
  <c r="P98" i="81"/>
  <c r="N106" i="81" s="1"/>
  <c r="O105" i="81" s="1"/>
  <c r="P85" i="81"/>
  <c r="P166" i="81"/>
  <c r="N174" i="81" s="1"/>
  <c r="O173" i="81" s="1"/>
  <c r="P363" i="81"/>
  <c r="P31" i="81"/>
  <c r="P335" i="81"/>
  <c r="N343" i="81" s="1"/>
  <c r="O342" i="81" s="1"/>
  <c r="P180" i="81"/>
  <c r="P251" i="81"/>
  <c r="P111" i="81"/>
  <c r="P138" i="81"/>
  <c r="P307" i="81"/>
  <c r="P152" i="81"/>
  <c r="P265" i="81"/>
  <c r="P223" i="81"/>
  <c r="P71" i="81"/>
  <c r="N79" i="81" s="1"/>
  <c r="O78" i="81" s="1"/>
  <c r="P209" i="81"/>
  <c r="P237" i="81"/>
  <c r="P18" i="81"/>
  <c r="N26" i="81" s="1"/>
  <c r="O25" i="81" s="1"/>
  <c r="P378" i="81"/>
  <c r="N386" i="81" s="1"/>
  <c r="P194" i="81"/>
  <c r="N202" i="81" s="1"/>
  <c r="O201" i="81" s="1"/>
  <c r="P279" i="81"/>
  <c r="N287" i="81" s="1"/>
  <c r="O286" i="81" s="1"/>
  <c r="P349" i="81"/>
  <c r="N357" i="81" s="1"/>
  <c r="O356" i="81" s="1"/>
  <c r="P321" i="81"/>
  <c r="N329" i="81" s="1"/>
  <c r="O328" i="81" s="1"/>
  <c r="P124" i="81"/>
  <c r="N132" i="81" s="1"/>
  <c r="O131" i="81" s="1"/>
  <c r="P57" i="81"/>
  <c r="N65" i="81" s="1"/>
  <c r="O64" i="81" s="1"/>
  <c r="P44" i="81"/>
  <c r="P293" i="81"/>
  <c r="BV64" i="82"/>
  <c r="BV63" i="82"/>
  <c r="BV62" i="82"/>
  <c r="BV61" i="82"/>
  <c r="BV60" i="82"/>
  <c r="BV59" i="82"/>
  <c r="BV58" i="82"/>
  <c r="BV57" i="82"/>
  <c r="BV56" i="82"/>
  <c r="BV55" i="82"/>
  <c r="BV54" i="82"/>
  <c r="BV53" i="82"/>
  <c r="BV52" i="82"/>
  <c r="BV51" i="82"/>
  <c r="BV50" i="82"/>
  <c r="E19" i="88"/>
  <c r="E20" i="88"/>
  <c r="E21" i="88"/>
  <c r="E22" i="88"/>
  <c r="E23" i="88"/>
  <c r="DB152" i="90" l="1"/>
  <c r="DC152" i="90"/>
  <c r="DD152" i="90"/>
  <c r="DE152" i="90"/>
  <c r="DF152" i="90"/>
  <c r="DB134" i="90"/>
  <c r="DE134" i="90"/>
  <c r="DC134" i="90"/>
  <c r="DD134" i="90"/>
  <c r="DF134" i="90"/>
  <c r="DC138" i="90"/>
  <c r="DB138" i="90"/>
  <c r="DD138" i="90"/>
  <c r="DE138" i="90"/>
  <c r="DF138" i="90"/>
  <c r="DE126" i="90"/>
  <c r="DC126" i="90"/>
  <c r="DB126" i="90"/>
  <c r="DF126" i="90"/>
  <c r="DD126" i="90"/>
  <c r="DE116" i="90"/>
  <c r="DD116" i="90"/>
  <c r="DF116" i="90"/>
  <c r="DB116" i="90"/>
  <c r="DC116" i="90"/>
  <c r="DC90" i="90"/>
  <c r="DE90" i="90"/>
  <c r="DD90" i="90"/>
  <c r="DB90" i="90"/>
  <c r="DF90" i="90"/>
  <c r="DE102" i="90"/>
  <c r="DD102" i="90"/>
  <c r="DB102" i="90"/>
  <c r="DF102" i="90"/>
  <c r="DC102" i="90"/>
  <c r="DC101" i="90"/>
  <c r="DD101" i="90"/>
  <c r="DB101" i="90"/>
  <c r="DE101" i="90"/>
  <c r="DF101" i="90"/>
  <c r="DD119" i="90"/>
  <c r="DB119" i="90"/>
  <c r="DE119" i="90"/>
  <c r="DF119" i="90"/>
  <c r="DC119" i="90"/>
  <c r="DB146" i="90"/>
  <c r="DE146" i="90"/>
  <c r="DF146" i="90"/>
  <c r="DC146" i="90"/>
  <c r="DD146" i="90"/>
  <c r="DE143" i="90"/>
  <c r="DD143" i="90"/>
  <c r="DB143" i="90"/>
  <c r="DF143" i="90"/>
  <c r="DC143" i="90"/>
  <c r="DE112" i="90"/>
  <c r="DD112" i="90"/>
  <c r="DB112" i="90"/>
  <c r="DF112" i="90"/>
  <c r="DC112" i="90"/>
  <c r="DE110" i="90"/>
  <c r="DC110" i="90"/>
  <c r="DF110" i="90"/>
  <c r="DD110" i="90"/>
  <c r="DB110" i="90"/>
  <c r="DE95" i="90"/>
  <c r="DC95" i="90"/>
  <c r="DD95" i="90"/>
  <c r="DF95" i="90"/>
  <c r="DB95" i="90"/>
  <c r="DD107" i="90"/>
  <c r="DB107" i="90"/>
  <c r="DE107" i="90"/>
  <c r="DF107" i="90"/>
  <c r="DC107" i="90"/>
  <c r="DB129" i="90"/>
  <c r="DF129" i="90"/>
  <c r="DD129" i="90"/>
  <c r="DE129" i="90"/>
  <c r="DC129" i="90"/>
  <c r="DB154" i="90"/>
  <c r="DE154" i="90"/>
  <c r="DF154" i="90"/>
  <c r="DC154" i="90"/>
  <c r="DD154" i="90"/>
  <c r="DF135" i="90"/>
  <c r="DC135" i="90"/>
  <c r="DD135" i="90"/>
  <c r="DE135" i="90"/>
  <c r="DB135" i="90"/>
  <c r="DB128" i="90"/>
  <c r="DF128" i="90"/>
  <c r="DE128" i="90"/>
  <c r="DD128" i="90"/>
  <c r="DC128" i="90"/>
  <c r="DB124" i="90"/>
  <c r="DC124" i="90"/>
  <c r="DF124" i="90"/>
  <c r="DE124" i="90"/>
  <c r="DD124" i="90"/>
  <c r="DF115" i="90"/>
  <c r="DB115" i="90"/>
  <c r="DE115" i="90"/>
  <c r="DD115" i="90"/>
  <c r="DC115" i="90"/>
  <c r="DB92" i="90"/>
  <c r="DE92" i="90"/>
  <c r="DC92" i="90"/>
  <c r="DF92" i="90"/>
  <c r="DD92" i="90"/>
  <c r="DD99" i="90"/>
  <c r="DC99" i="90"/>
  <c r="DE99" i="90"/>
  <c r="DF99" i="90"/>
  <c r="DB99" i="90"/>
  <c r="DE122" i="90"/>
  <c r="DB122" i="90"/>
  <c r="DF122" i="90"/>
  <c r="DC122" i="90"/>
  <c r="DD122" i="90"/>
  <c r="DE121" i="90"/>
  <c r="DB121" i="90"/>
  <c r="DC121" i="90"/>
  <c r="DD121" i="90"/>
  <c r="DF121" i="90"/>
  <c r="DE144" i="90"/>
  <c r="DD144" i="90"/>
  <c r="DF144" i="90"/>
  <c r="DB144" i="90"/>
  <c r="DC144" i="90"/>
  <c r="DB141" i="90"/>
  <c r="DD141" i="90"/>
  <c r="DF141" i="90"/>
  <c r="DC141" i="90"/>
  <c r="DE141" i="90"/>
  <c r="DF109" i="90"/>
  <c r="DB109" i="90"/>
  <c r="DC109" i="90"/>
  <c r="DD109" i="90"/>
  <c r="DE109" i="90"/>
  <c r="DF96" i="90"/>
  <c r="DC96" i="90"/>
  <c r="DB96" i="90"/>
  <c r="DD96" i="90"/>
  <c r="DE96" i="90"/>
  <c r="DB97" i="90"/>
  <c r="DE97" i="90"/>
  <c r="DF97" i="90"/>
  <c r="DC97" i="90"/>
  <c r="DD97" i="90"/>
  <c r="DB106" i="90"/>
  <c r="DC106" i="90"/>
  <c r="DF106" i="90"/>
  <c r="DD106" i="90"/>
  <c r="DE106" i="90"/>
  <c r="DD133" i="90"/>
  <c r="DC133" i="90"/>
  <c r="DE133" i="90"/>
  <c r="DF133" i="90"/>
  <c r="DB133" i="90"/>
  <c r="DC151" i="90"/>
  <c r="DE151" i="90"/>
  <c r="DD151" i="90"/>
  <c r="DB151" i="90"/>
  <c r="DF151" i="90"/>
  <c r="DD149" i="90"/>
  <c r="DC149" i="90"/>
  <c r="DE149" i="90"/>
  <c r="DF149" i="90"/>
  <c r="DB149" i="90"/>
  <c r="DE137" i="90"/>
  <c r="DC137" i="90"/>
  <c r="DB137" i="90"/>
  <c r="DF137" i="90"/>
  <c r="DD137" i="90"/>
  <c r="DC125" i="90"/>
  <c r="DD125" i="90"/>
  <c r="DB125" i="90"/>
  <c r="DE125" i="90"/>
  <c r="DF125" i="90"/>
  <c r="DC114" i="90"/>
  <c r="DF114" i="90"/>
  <c r="DE114" i="90"/>
  <c r="DD114" i="90"/>
  <c r="DB114" i="90"/>
  <c r="DE117" i="90"/>
  <c r="DF117" i="90"/>
  <c r="DB117" i="90"/>
  <c r="DD117" i="90"/>
  <c r="DC117" i="90"/>
  <c r="DB89" i="90"/>
  <c r="DE89" i="90"/>
  <c r="DC89" i="90"/>
  <c r="DF89" i="90"/>
  <c r="DD89" i="90"/>
  <c r="DB100" i="90"/>
  <c r="DF100" i="90"/>
  <c r="DE100" i="90"/>
  <c r="DC100" i="90"/>
  <c r="DD100" i="90"/>
  <c r="DE120" i="90"/>
  <c r="DD120" i="90"/>
  <c r="DB120" i="90"/>
  <c r="DF120" i="90"/>
  <c r="DC120" i="90"/>
  <c r="DF145" i="90"/>
  <c r="DD145" i="90"/>
  <c r="DC145" i="90"/>
  <c r="DE145" i="90"/>
  <c r="DB145" i="90"/>
  <c r="DE148" i="90"/>
  <c r="DC148" i="90"/>
  <c r="DB148" i="90"/>
  <c r="DD148" i="90"/>
  <c r="DF148" i="90"/>
  <c r="DF140" i="90"/>
  <c r="DE140" i="90"/>
  <c r="DB140" i="90"/>
  <c r="DD140" i="90"/>
  <c r="DC140" i="90"/>
  <c r="DB113" i="90"/>
  <c r="DC113" i="90"/>
  <c r="DF113" i="90"/>
  <c r="DD113" i="90"/>
  <c r="DE113" i="90"/>
  <c r="DB98" i="90"/>
  <c r="DF98" i="90"/>
  <c r="DC98" i="90"/>
  <c r="DD98" i="90"/>
  <c r="DE98" i="90"/>
  <c r="DB108" i="90"/>
  <c r="DF108" i="90"/>
  <c r="DC108" i="90"/>
  <c r="DE108" i="90"/>
  <c r="DD108" i="90"/>
  <c r="DD104" i="90"/>
  <c r="DE104" i="90"/>
  <c r="DF104" i="90"/>
  <c r="DB104" i="90"/>
  <c r="DC104" i="90"/>
  <c r="DB131" i="90"/>
  <c r="DE131" i="90"/>
  <c r="DF131" i="90"/>
  <c r="DC131" i="90"/>
  <c r="DD131" i="90"/>
  <c r="DD150" i="90"/>
  <c r="DE150" i="90"/>
  <c r="DC150" i="90"/>
  <c r="DF150" i="90"/>
  <c r="DB150" i="90"/>
  <c r="DF153" i="90"/>
  <c r="DC153" i="90"/>
  <c r="DD153" i="90"/>
  <c r="DB153" i="90"/>
  <c r="DE153" i="90"/>
  <c r="DB136" i="90"/>
  <c r="DC136" i="90"/>
  <c r="DF136" i="90"/>
  <c r="DD136" i="90"/>
  <c r="DE136" i="90"/>
  <c r="DF127" i="90"/>
  <c r="DC127" i="90"/>
  <c r="DD127" i="90"/>
  <c r="DE127" i="90"/>
  <c r="DB127" i="90"/>
  <c r="DB118" i="90"/>
  <c r="DC118" i="90"/>
  <c r="DE118" i="90"/>
  <c r="DD118" i="90"/>
  <c r="DF118" i="90"/>
  <c r="DD91" i="90"/>
  <c r="DC91" i="90"/>
  <c r="DE91" i="90"/>
  <c r="DF91" i="90"/>
  <c r="DB91" i="90"/>
  <c r="DD93" i="90"/>
  <c r="DF93" i="90"/>
  <c r="DB93" i="90"/>
  <c r="DE93" i="90"/>
  <c r="DC93" i="90"/>
  <c r="DE103" i="90"/>
  <c r="DB103" i="90"/>
  <c r="DC103" i="90"/>
  <c r="DF103" i="90"/>
  <c r="DD103" i="90"/>
  <c r="DD123" i="90"/>
  <c r="DB123" i="90"/>
  <c r="DE123" i="90"/>
  <c r="DF123" i="90"/>
  <c r="DC123" i="90"/>
  <c r="DC147" i="90"/>
  <c r="DD147" i="90"/>
  <c r="DB147" i="90"/>
  <c r="DE147" i="90"/>
  <c r="DF147" i="90"/>
  <c r="DE142" i="90"/>
  <c r="DB142" i="90"/>
  <c r="DC142" i="90"/>
  <c r="DF142" i="90"/>
  <c r="DD142" i="90"/>
  <c r="DB139" i="90"/>
  <c r="DF139" i="90"/>
  <c r="DE139" i="90"/>
  <c r="DC139" i="90"/>
  <c r="DD139" i="90"/>
  <c r="DB111" i="90"/>
  <c r="DE111" i="90"/>
  <c r="DC111" i="90"/>
  <c r="DF111" i="90"/>
  <c r="DD111" i="90"/>
  <c r="DB94" i="90"/>
  <c r="DF94" i="90"/>
  <c r="DC94" i="90"/>
  <c r="DD94" i="90"/>
  <c r="DE94" i="90"/>
  <c r="DF105" i="90"/>
  <c r="DD105" i="90"/>
  <c r="DC105" i="90"/>
  <c r="DE105" i="90"/>
  <c r="DB105" i="90"/>
  <c r="DE132" i="90"/>
  <c r="DD132" i="90"/>
  <c r="DB132" i="90"/>
  <c r="DF132" i="90"/>
  <c r="DC132" i="90"/>
  <c r="DF130" i="90"/>
  <c r="DD130" i="90"/>
  <c r="DC130" i="90"/>
  <c r="DB130" i="90"/>
  <c r="DE130" i="90"/>
  <c r="N315" i="81"/>
  <c r="O314" i="81" s="1"/>
  <c r="N371" i="81"/>
  <c r="O370" i="81" s="1"/>
  <c r="Q28" i="88"/>
  <c r="Q30" i="88"/>
  <c r="N301" i="81"/>
  <c r="O300" i="81" s="1"/>
  <c r="N160" i="81"/>
  <c r="O159" i="81" s="1"/>
  <c r="N52" i="81"/>
  <c r="O51" i="81" s="1"/>
  <c r="N119" i="81"/>
  <c r="O118" i="81" s="1"/>
  <c r="N93" i="81"/>
  <c r="O92" i="81" s="1"/>
  <c r="N39" i="81"/>
  <c r="N188" i="81"/>
  <c r="O187" i="81" s="1"/>
  <c r="N146" i="81"/>
  <c r="O145" i="81" s="1"/>
  <c r="O385" i="81"/>
  <c r="CD57" i="82"/>
  <c r="CF57" i="82" s="1"/>
  <c r="BZ57" i="82"/>
  <c r="CD54" i="82"/>
  <c r="CF54" i="82" s="1"/>
  <c r="BZ54" i="82"/>
  <c r="CD62" i="82"/>
  <c r="CF62" i="82" s="1"/>
  <c r="BZ62" i="82"/>
  <c r="CD53" i="82"/>
  <c r="CF53" i="82" s="1"/>
  <c r="BZ53" i="82"/>
  <c r="CD63" i="82"/>
  <c r="CF63" i="82" s="1"/>
  <c r="BZ63" i="82"/>
  <c r="CD61" i="82"/>
  <c r="CF61" i="82" s="1"/>
  <c r="BZ61" i="82"/>
  <c r="CD50" i="82"/>
  <c r="CF50" i="82" s="1"/>
  <c r="BZ50" i="82"/>
  <c r="CD58" i="82"/>
  <c r="CF58" i="82" s="1"/>
  <c r="BZ58" i="82"/>
  <c r="CD51" i="82"/>
  <c r="CF51" i="82" s="1"/>
  <c r="BZ51" i="82"/>
  <c r="CD55" i="82"/>
  <c r="CF55" i="82" s="1"/>
  <c r="BZ55" i="82"/>
  <c r="CD59" i="82"/>
  <c r="CF59" i="82" s="1"/>
  <c r="BZ59" i="82"/>
  <c r="CD52" i="82"/>
  <c r="CF52" i="82" s="1"/>
  <c r="BZ52" i="82"/>
  <c r="CD56" i="82"/>
  <c r="CF56" i="82" s="1"/>
  <c r="BZ56" i="82"/>
  <c r="CD60" i="82"/>
  <c r="CF60" i="82" s="1"/>
  <c r="BZ60" i="82"/>
  <c r="CD64" i="82"/>
  <c r="CF64" i="82" s="1"/>
  <c r="BZ64" i="82"/>
  <c r="BF7" i="89"/>
  <c r="BB7" i="89"/>
  <c r="R23" i="89"/>
  <c r="AF23" i="89" s="1"/>
  <c r="R24" i="89"/>
  <c r="AF24" i="89" s="1"/>
  <c r="R25" i="89"/>
  <c r="AF25" i="89" s="1"/>
  <c r="R26" i="89"/>
  <c r="AF26" i="89" s="1"/>
  <c r="R27" i="89"/>
  <c r="AF27" i="89" s="1"/>
  <c r="J21" i="82"/>
  <c r="L21" i="82"/>
  <c r="J22" i="82"/>
  <c r="L22" i="82"/>
  <c r="J23" i="82"/>
  <c r="L23" i="82"/>
  <c r="J24" i="82"/>
  <c r="L24" i="82"/>
  <c r="J25" i="82"/>
  <c r="L25" i="82"/>
  <c r="K2" i="89"/>
  <c r="AF18" i="103" l="1"/>
  <c r="FC54" i="82"/>
  <c r="FC55" i="82"/>
  <c r="FC53" i="82"/>
  <c r="ED61" i="82"/>
  <c r="ED60" i="82"/>
  <c r="DW60" i="82" s="1"/>
  <c r="ED59" i="82"/>
  <c r="DW59" i="82" s="1"/>
  <c r="AF16" i="103"/>
  <c r="FC49" i="82"/>
  <c r="FC47" i="82"/>
  <c r="FC48" i="82"/>
  <c r="ED54" i="82"/>
  <c r="DW54" i="82" s="1"/>
  <c r="ED55" i="82"/>
  <c r="ED53" i="82"/>
  <c r="AF19" i="103"/>
  <c r="N24" i="88" s="1"/>
  <c r="FC58" i="82"/>
  <c r="FC57" i="82"/>
  <c r="FC56" i="82"/>
  <c r="ED63" i="82"/>
  <c r="DW63" i="82" s="1"/>
  <c r="ED62" i="82"/>
  <c r="DW62" i="82" s="1"/>
  <c r="ED64" i="82"/>
  <c r="AF17" i="103"/>
  <c r="FC50" i="82"/>
  <c r="FC51" i="82"/>
  <c r="FC52" i="82"/>
  <c r="ED56" i="82"/>
  <c r="DW56" i="82" s="1"/>
  <c r="ED58" i="82"/>
  <c r="ED57" i="82"/>
  <c r="FC46" i="82"/>
  <c r="FC44" i="82"/>
  <c r="FC45" i="82"/>
  <c r="ED52" i="82"/>
  <c r="DW52" i="82" s="1"/>
  <c r="ED51" i="82"/>
  <c r="ED50" i="82"/>
  <c r="DW50" i="82" s="1"/>
  <c r="N22" i="88"/>
  <c r="O38" i="81"/>
  <c r="T39" i="81"/>
  <c r="T37" i="81"/>
  <c r="T38" i="81"/>
  <c r="T40" i="81"/>
  <c r="T36" i="81"/>
  <c r="Z11" i="88"/>
  <c r="Z12" i="88"/>
  <c r="DW51" i="82"/>
  <c r="DW64" i="82"/>
  <c r="DW58" i="82"/>
  <c r="DW57" i="82"/>
  <c r="DW61" i="82"/>
  <c r="DW53" i="82"/>
  <c r="DW55" i="82"/>
  <c r="Q127" i="89"/>
  <c r="Q129" i="89"/>
  <c r="Q126" i="89"/>
  <c r="Q128" i="89"/>
  <c r="Q123" i="89"/>
  <c r="Q125" i="89"/>
  <c r="Q124" i="89"/>
  <c r="Q122" i="89"/>
  <c r="Q119" i="89"/>
  <c r="Q121" i="89"/>
  <c r="Q120" i="89"/>
  <c r="Q118" i="89"/>
  <c r="Q131" i="89"/>
  <c r="Q133" i="89"/>
  <c r="Q130" i="89"/>
  <c r="Q132" i="89"/>
  <c r="Q115" i="89"/>
  <c r="Q117" i="89"/>
  <c r="Q116" i="89"/>
  <c r="Q114" i="89"/>
  <c r="AP25" i="82"/>
  <c r="I24" i="88" s="1"/>
  <c r="Z25" i="82"/>
  <c r="G23" i="88" s="1"/>
  <c r="AN25" i="82"/>
  <c r="AN23" i="82"/>
  <c r="AP23" i="82"/>
  <c r="I22" i="88" s="1"/>
  <c r="Z23" i="82"/>
  <c r="G21" i="88" s="1"/>
  <c r="AP21" i="82"/>
  <c r="I20" i="88" s="1"/>
  <c r="Z21" i="82"/>
  <c r="G19" i="88" s="1"/>
  <c r="AN21" i="82"/>
  <c r="AW81" i="82"/>
  <c r="AW82" i="82"/>
  <c r="AW83" i="82"/>
  <c r="AW84" i="82"/>
  <c r="AW73" i="82"/>
  <c r="AW76" i="82"/>
  <c r="AW75" i="82"/>
  <c r="AW74" i="82"/>
  <c r="AW65" i="82"/>
  <c r="AW68" i="82"/>
  <c r="AW66" i="82"/>
  <c r="AW67" i="82"/>
  <c r="Z24" i="82"/>
  <c r="G22" i="88" s="1"/>
  <c r="AN24" i="82"/>
  <c r="AP24" i="82"/>
  <c r="I23" i="88" s="1"/>
  <c r="AP22" i="82"/>
  <c r="I21" i="88" s="1"/>
  <c r="Z22" i="82"/>
  <c r="G20" i="88" s="1"/>
  <c r="AN22" i="82"/>
  <c r="AW79" i="82"/>
  <c r="AW78" i="82"/>
  <c r="AW80" i="82"/>
  <c r="AW77" i="82"/>
  <c r="AW69" i="82"/>
  <c r="AW72" i="82"/>
  <c r="AW71" i="82"/>
  <c r="AW70" i="82"/>
  <c r="X22" i="82"/>
  <c r="Q23" i="89"/>
  <c r="AE23" i="89" s="1"/>
  <c r="X21" i="82"/>
  <c r="M26" i="82"/>
  <c r="AX87" i="82" s="1"/>
  <c r="X25" i="82"/>
  <c r="X24" i="82"/>
  <c r="X23" i="82"/>
  <c r="M25" i="82"/>
  <c r="AX81" i="82" s="1"/>
  <c r="M23" i="82"/>
  <c r="AX73" i="82" s="1"/>
  <c r="Q27" i="89"/>
  <c r="AE27" i="89" s="1"/>
  <c r="Q25" i="89"/>
  <c r="AE25" i="89" s="1"/>
  <c r="M24" i="82"/>
  <c r="AX77" i="82" s="1"/>
  <c r="M22" i="82"/>
  <c r="AX72" i="82" s="1"/>
  <c r="Q26" i="89"/>
  <c r="AE26" i="89" s="1"/>
  <c r="Q24" i="89"/>
  <c r="AE24" i="89" s="1"/>
  <c r="N13" i="81"/>
  <c r="AK147" i="95" l="1"/>
  <c r="AP147" i="95" s="1"/>
  <c r="AI142" i="95"/>
  <c r="AI145" i="95"/>
  <c r="AI146" i="95"/>
  <c r="AI144" i="95"/>
  <c r="AI154" i="95"/>
  <c r="AI143" i="95"/>
  <c r="AI148" i="95"/>
  <c r="AI141" i="95"/>
  <c r="AI155" i="95"/>
  <c r="AI149" i="95"/>
  <c r="AI153" i="95"/>
  <c r="AI152" i="95"/>
  <c r="AI151" i="95"/>
  <c r="AI150" i="95"/>
  <c r="AI147" i="95"/>
  <c r="AK120" i="95"/>
  <c r="AI129" i="95"/>
  <c r="AI128" i="95"/>
  <c r="AI127" i="95"/>
  <c r="AI133" i="95"/>
  <c r="AI131" i="95"/>
  <c r="AI130" i="95"/>
  <c r="AI125" i="95"/>
  <c r="AI134" i="95"/>
  <c r="AI140" i="95"/>
  <c r="AI124" i="95"/>
  <c r="AI138" i="95"/>
  <c r="AI139" i="95"/>
  <c r="AI123" i="95"/>
  <c r="AI116" i="95"/>
  <c r="AI118" i="95"/>
  <c r="AI137" i="95"/>
  <c r="AI121" i="95"/>
  <c r="AI122" i="95"/>
  <c r="AI136" i="95"/>
  <c r="AI120" i="95"/>
  <c r="AI126" i="95"/>
  <c r="AI135" i="95"/>
  <c r="AI119" i="95"/>
  <c r="AI117" i="95"/>
  <c r="AI132" i="95"/>
  <c r="Q24" i="88"/>
  <c r="N21" i="88"/>
  <c r="N23" i="88"/>
  <c r="AM11" i="88"/>
  <c r="AR11" i="88"/>
  <c r="AT11" i="88"/>
  <c r="EF11" i="98" s="1"/>
  <c r="EG11" i="98" s="1"/>
  <c r="AK130" i="95"/>
  <c r="AO130" i="95" s="1"/>
  <c r="AK139" i="95"/>
  <c r="AN139" i="95" s="1"/>
  <c r="AP11" i="88"/>
  <c r="O12" i="81"/>
  <c r="AS11" i="88"/>
  <c r="AK128" i="95"/>
  <c r="AO128" i="95" s="1"/>
  <c r="AO11" i="88"/>
  <c r="CP13" i="89" s="1"/>
  <c r="DJ47" i="89" s="1"/>
  <c r="AK129" i="95"/>
  <c r="AO129" i="95" s="1"/>
  <c r="AK116" i="95"/>
  <c r="AN116" i="95" s="1"/>
  <c r="AK140" i="95"/>
  <c r="AN140" i="95" s="1"/>
  <c r="AK138" i="95"/>
  <c r="AP138" i="95" s="1"/>
  <c r="AK136" i="95"/>
  <c r="AN136" i="95" s="1"/>
  <c r="AK122" i="95"/>
  <c r="AP122" i="95" s="1"/>
  <c r="AQ11" i="88"/>
  <c r="AK127" i="95"/>
  <c r="AP127" i="95" s="1"/>
  <c r="AK126" i="95"/>
  <c r="AP126" i="95" s="1"/>
  <c r="AN11" i="88"/>
  <c r="EV22" i="89" s="1"/>
  <c r="AK123" i="95"/>
  <c r="AO123" i="95" s="1"/>
  <c r="AK134" i="95"/>
  <c r="AN134" i="95" s="1"/>
  <c r="AK133" i="95"/>
  <c r="AO133" i="95" s="1"/>
  <c r="AK131" i="95"/>
  <c r="AO131" i="95" s="1"/>
  <c r="AU11" i="88"/>
  <c r="AR11" i="103" s="1"/>
  <c r="AT11" i="103" s="1"/>
  <c r="AK124" i="95"/>
  <c r="AN124" i="95" s="1"/>
  <c r="AV11" i="88"/>
  <c r="AK119" i="95"/>
  <c r="AM119" i="95" s="1"/>
  <c r="AK132" i="95"/>
  <c r="AN132" i="95" s="1"/>
  <c r="AK121" i="95"/>
  <c r="AN121" i="95" s="1"/>
  <c r="AK117" i="95"/>
  <c r="AP117" i="95" s="1"/>
  <c r="AK135" i="95"/>
  <c r="AP135" i="95" s="1"/>
  <c r="AK125" i="95"/>
  <c r="AO125" i="95" s="1"/>
  <c r="AK137" i="95"/>
  <c r="AN137" i="95" s="1"/>
  <c r="AK118" i="95"/>
  <c r="AN118" i="95" s="1"/>
  <c r="AO147" i="95"/>
  <c r="AN147" i="95"/>
  <c r="AM147" i="95"/>
  <c r="AK149" i="95"/>
  <c r="AR12" i="88"/>
  <c r="AK153" i="95"/>
  <c r="AN153" i="95" s="1"/>
  <c r="AK150" i="95"/>
  <c r="AN150" i="95" s="1"/>
  <c r="AK152" i="95"/>
  <c r="AP152" i="95" s="1"/>
  <c r="AV12" i="88"/>
  <c r="AK148" i="95"/>
  <c r="AM148" i="95" s="1"/>
  <c r="AS12" i="88"/>
  <c r="AM12" i="88"/>
  <c r="AK144" i="95"/>
  <c r="AK142" i="95"/>
  <c r="AO142" i="95" s="1"/>
  <c r="AP12" i="88"/>
  <c r="AT12" i="88"/>
  <c r="AO12" i="88"/>
  <c r="CP14" i="89" s="1"/>
  <c r="DJ56" i="89" s="1"/>
  <c r="AK154" i="95"/>
  <c r="AO154" i="95" s="1"/>
  <c r="AK151" i="95"/>
  <c r="AP151" i="95" s="1"/>
  <c r="AK141" i="95"/>
  <c r="AN141" i="95" s="1"/>
  <c r="AK145" i="95"/>
  <c r="AN145" i="95" s="1"/>
  <c r="AM153" i="95"/>
  <c r="AU12" i="88"/>
  <c r="AQ12" i="88"/>
  <c r="AK143" i="95"/>
  <c r="AM143" i="95" s="1"/>
  <c r="AN12" i="88"/>
  <c r="AK155" i="95"/>
  <c r="AO155" i="95" s="1"/>
  <c r="AK146" i="95"/>
  <c r="AO146" i="95" s="1"/>
  <c r="AP144" i="95"/>
  <c r="AP128" i="95"/>
  <c r="AM120" i="95"/>
  <c r="AO120" i="95"/>
  <c r="AN120" i="95"/>
  <c r="AP120" i="95"/>
  <c r="AM129" i="95"/>
  <c r="AO116" i="95"/>
  <c r="AM133" i="95"/>
  <c r="AO119" i="95"/>
  <c r="P119" i="89"/>
  <c r="P121" i="89"/>
  <c r="P118" i="89"/>
  <c r="P120" i="89"/>
  <c r="P127" i="89"/>
  <c r="P129" i="89"/>
  <c r="P126" i="89"/>
  <c r="P128" i="89"/>
  <c r="P115" i="89"/>
  <c r="P117" i="89"/>
  <c r="P116" i="89"/>
  <c r="P114" i="89"/>
  <c r="P123" i="89"/>
  <c r="P125" i="89"/>
  <c r="P122" i="89"/>
  <c r="P124" i="89"/>
  <c r="P131" i="89"/>
  <c r="P133" i="89"/>
  <c r="P132" i="89"/>
  <c r="P130" i="89"/>
  <c r="BF178" i="82"/>
  <c r="BF177" i="82"/>
  <c r="BF175" i="82"/>
  <c r="BF181" i="82"/>
  <c r="BF184" i="82"/>
  <c r="BF179" i="82"/>
  <c r="BF176" i="82"/>
  <c r="BF180" i="82"/>
  <c r="BF183" i="82"/>
  <c r="BF182" i="82"/>
  <c r="BF164" i="82"/>
  <c r="BF162" i="82"/>
  <c r="BF161" i="82"/>
  <c r="BF157" i="82"/>
  <c r="BF163" i="82"/>
  <c r="BF156" i="82"/>
  <c r="BF158" i="82"/>
  <c r="BF159" i="82"/>
  <c r="BF160" i="82"/>
  <c r="BF155" i="82"/>
  <c r="AX75" i="82"/>
  <c r="AX83" i="82"/>
  <c r="AX70" i="82"/>
  <c r="AX79" i="82"/>
  <c r="BP175" i="82"/>
  <c r="BP178" i="82"/>
  <c r="BP180" i="82"/>
  <c r="BP176" i="82"/>
  <c r="BP179" i="82"/>
  <c r="BP184" i="82"/>
  <c r="BP183" i="82"/>
  <c r="BP181" i="82"/>
  <c r="BP177" i="82"/>
  <c r="BP182" i="82"/>
  <c r="AX85" i="82"/>
  <c r="BF189" i="82"/>
  <c r="BF188" i="82"/>
  <c r="BF190" i="82"/>
  <c r="BF193" i="82"/>
  <c r="BF187" i="82"/>
  <c r="BF192" i="82"/>
  <c r="BF186" i="82"/>
  <c r="BF191" i="82"/>
  <c r="BF185" i="82"/>
  <c r="BF194" i="82"/>
  <c r="AX74" i="82"/>
  <c r="BP167" i="82"/>
  <c r="BP174" i="82"/>
  <c r="BP169" i="82"/>
  <c r="BP171" i="82"/>
  <c r="BP173" i="82"/>
  <c r="BP170" i="82"/>
  <c r="BP168" i="82"/>
  <c r="BP172" i="82"/>
  <c r="BP166" i="82"/>
  <c r="BP165" i="82"/>
  <c r="AX82" i="82"/>
  <c r="BP194" i="82"/>
  <c r="BP189" i="82"/>
  <c r="BP187" i="82"/>
  <c r="BP190" i="82"/>
  <c r="BP191" i="82"/>
  <c r="BP188" i="82"/>
  <c r="BP185" i="82"/>
  <c r="BP186" i="82"/>
  <c r="BP192" i="82"/>
  <c r="BP193" i="82"/>
  <c r="AX71" i="82"/>
  <c r="AX78" i="82"/>
  <c r="AX88" i="82"/>
  <c r="BP199" i="82"/>
  <c r="BP201" i="82"/>
  <c r="BP197" i="82"/>
  <c r="BP203" i="82"/>
  <c r="BP195" i="82"/>
  <c r="BP204" i="82"/>
  <c r="BP202" i="82"/>
  <c r="BP200" i="82"/>
  <c r="BP196" i="82"/>
  <c r="BP198" i="82"/>
  <c r="BF198" i="82"/>
  <c r="BF202" i="82"/>
  <c r="BF204" i="82"/>
  <c r="BF197" i="82"/>
  <c r="BF195" i="82"/>
  <c r="BF201" i="82"/>
  <c r="BF203" i="82"/>
  <c r="BF199" i="82"/>
  <c r="BF200" i="82"/>
  <c r="BF196" i="82"/>
  <c r="BF165" i="82"/>
  <c r="BF168" i="82"/>
  <c r="BF171" i="82"/>
  <c r="BF170" i="82"/>
  <c r="BF174" i="82"/>
  <c r="BF167" i="82"/>
  <c r="BF169" i="82"/>
  <c r="BF166" i="82"/>
  <c r="BF173" i="82"/>
  <c r="BF172" i="82"/>
  <c r="AX76" i="82"/>
  <c r="AX84" i="82"/>
  <c r="AX69" i="82"/>
  <c r="AX80" i="82"/>
  <c r="AX86" i="82"/>
  <c r="BP160" i="82"/>
  <c r="BP155" i="82"/>
  <c r="BP159" i="82"/>
  <c r="BP157" i="82"/>
  <c r="BP158" i="82"/>
  <c r="BP163" i="82"/>
  <c r="BP156" i="82"/>
  <c r="BP162" i="82"/>
  <c r="BP161" i="82"/>
  <c r="BP164" i="82"/>
  <c r="AY7" i="89"/>
  <c r="AZ7" i="89"/>
  <c r="BA7" i="89"/>
  <c r="BC7" i="89"/>
  <c r="BD7" i="89"/>
  <c r="BE7" i="89"/>
  <c r="AX7" i="89"/>
  <c r="AM126" i="95" l="1"/>
  <c r="AO118" i="95"/>
  <c r="AO117" i="95"/>
  <c r="AP136" i="95"/>
  <c r="EY51" i="98"/>
  <c r="EY55" i="98"/>
  <c r="EY59" i="98"/>
  <c r="EY52" i="98"/>
  <c r="EY56" i="98"/>
  <c r="EY53" i="98"/>
  <c r="EY57" i="98"/>
  <c r="EY54" i="98"/>
  <c r="EY58" i="98"/>
  <c r="Y14" i="100"/>
  <c r="Y13" i="100"/>
  <c r="AM117" i="95"/>
  <c r="AN133" i="95"/>
  <c r="AO126" i="95"/>
  <c r="AM136" i="95"/>
  <c r="AP129" i="95"/>
  <c r="AM118" i="95"/>
  <c r="AN117" i="95"/>
  <c r="AP133" i="95"/>
  <c r="AN126" i="95"/>
  <c r="AO136" i="95"/>
  <c r="AN129" i="95"/>
  <c r="AV1398" i="90"/>
  <c r="AV1502" i="90"/>
  <c r="AV1450" i="90"/>
  <c r="AV306" i="90"/>
  <c r="AV1554" i="90"/>
  <c r="AV1242" i="90"/>
  <c r="AV1190" i="90"/>
  <c r="AV930" i="90"/>
  <c r="AV826" i="90"/>
  <c r="AV878" i="90"/>
  <c r="AV1346" i="90"/>
  <c r="AV774" i="90"/>
  <c r="AV982" i="90"/>
  <c r="AV462" i="90"/>
  <c r="AV670" i="90"/>
  <c r="AV1138" i="90"/>
  <c r="AV1034" i="90"/>
  <c r="AV722" i="90"/>
  <c r="AV618" i="90"/>
  <c r="AV358" i="90"/>
  <c r="AV566" i="90"/>
  <c r="AV514" i="90"/>
  <c r="AV410" i="90"/>
  <c r="AV202" i="90"/>
  <c r="AV98" i="90"/>
  <c r="AV1658" i="90"/>
  <c r="AV150" i="90"/>
  <c r="AV1086" i="90"/>
  <c r="AV1606" i="90"/>
  <c r="AV46" i="90"/>
  <c r="AV254" i="90"/>
  <c r="AV1294" i="90"/>
  <c r="V55" i="90"/>
  <c r="AV1303" i="90"/>
  <c r="AV159" i="90"/>
  <c r="AV1563" i="90"/>
  <c r="AV1459" i="90"/>
  <c r="AV991" i="90"/>
  <c r="AV1251" i="90"/>
  <c r="AV1199" i="90"/>
  <c r="AV627" i="90"/>
  <c r="AV523" i="90"/>
  <c r="AV1043" i="90"/>
  <c r="AV55" i="90"/>
  <c r="AV107" i="90"/>
  <c r="AV263" i="90"/>
  <c r="AV1355" i="90"/>
  <c r="AV211" i="90"/>
  <c r="AV471" i="90"/>
  <c r="AV783" i="90"/>
  <c r="AV1511" i="90"/>
  <c r="AV1615" i="90"/>
  <c r="AV731" i="90"/>
  <c r="AV367" i="90"/>
  <c r="AV1147" i="90"/>
  <c r="AV679" i="90"/>
  <c r="AV315" i="90"/>
  <c r="AV887" i="90"/>
  <c r="AV419" i="90"/>
  <c r="AV1407" i="90"/>
  <c r="AV1667" i="90"/>
  <c r="AV835" i="90"/>
  <c r="AV939" i="90"/>
  <c r="AV575" i="90"/>
  <c r="AV1095" i="90"/>
  <c r="BI20" i="90"/>
  <c r="BI40" i="90"/>
  <c r="BI60" i="90"/>
  <c r="BI80" i="90"/>
  <c r="BV100" i="90"/>
  <c r="BV40" i="90"/>
  <c r="BV220" i="90"/>
  <c r="BV260" i="90"/>
  <c r="BV300" i="90"/>
  <c r="BV60" i="90"/>
  <c r="BV80" i="90"/>
  <c r="BV280" i="90"/>
  <c r="BV120" i="90"/>
  <c r="BV160" i="90"/>
  <c r="BV400" i="90"/>
  <c r="BV340" i="90"/>
  <c r="BV240" i="90"/>
  <c r="BV20" i="90"/>
  <c r="BV540" i="90"/>
  <c r="BV600" i="90"/>
  <c r="BV580" i="90"/>
  <c r="BV560" i="90"/>
  <c r="BV620" i="90"/>
  <c r="BV320" i="90"/>
  <c r="BV200" i="90"/>
  <c r="BV180" i="90"/>
  <c r="BV500" i="90"/>
  <c r="BV420" i="90"/>
  <c r="BV360" i="90"/>
  <c r="BV460" i="90"/>
  <c r="BV640" i="90"/>
  <c r="BV440" i="90"/>
  <c r="BV380" i="90"/>
  <c r="BV520" i="90"/>
  <c r="BV140" i="90"/>
  <c r="BV480" i="90"/>
  <c r="AP132" i="95"/>
  <c r="AO139" i="95"/>
  <c r="AP123" i="95"/>
  <c r="AN122" i="95"/>
  <c r="AP139" i="95"/>
  <c r="AM131" i="95"/>
  <c r="AO140" i="95"/>
  <c r="AM139" i="95"/>
  <c r="AN135" i="95"/>
  <c r="AN123" i="95"/>
  <c r="AM140" i="95"/>
  <c r="AM128" i="95"/>
  <c r="DJ52" i="89"/>
  <c r="AP116" i="95"/>
  <c r="AM135" i="95"/>
  <c r="AP119" i="95"/>
  <c r="AP131" i="95"/>
  <c r="EV24" i="89"/>
  <c r="AO122" i="95"/>
  <c r="AO135" i="95"/>
  <c r="AN119" i="95"/>
  <c r="AN131" i="95"/>
  <c r="EV23" i="89"/>
  <c r="AM122" i="95"/>
  <c r="AM116" i="95"/>
  <c r="AP118" i="95"/>
  <c r="AP145" i="95"/>
  <c r="DJ54" i="89"/>
  <c r="AU11" i="103"/>
  <c r="BJ41" i="103" s="1"/>
  <c r="AV11" i="103"/>
  <c r="AM132" i="95"/>
  <c r="AW11" i="103"/>
  <c r="BJ11" i="103" s="1"/>
  <c r="AN125" i="95"/>
  <c r="AO132" i="95"/>
  <c r="AS11" i="103"/>
  <c r="BJ113" i="103" s="1"/>
  <c r="AM123" i="95"/>
  <c r="AP140" i="95"/>
  <c r="AP125" i="95"/>
  <c r="AN128" i="95"/>
  <c r="AO150" i="95"/>
  <c r="DJ48" i="89"/>
  <c r="AM125" i="95"/>
  <c r="AP134" i="95"/>
  <c r="AN127" i="95"/>
  <c r="DJ51" i="89"/>
  <c r="AM121" i="95"/>
  <c r="AM138" i="95"/>
  <c r="AP130" i="95"/>
  <c r="AM151" i="95"/>
  <c r="AO124" i="95"/>
  <c r="DJ45" i="89"/>
  <c r="AM137" i="95"/>
  <c r="AP121" i="95"/>
  <c r="AP124" i="95"/>
  <c r="AM134" i="95"/>
  <c r="AO127" i="95"/>
  <c r="AN138" i="95"/>
  <c r="DJ43" i="89"/>
  <c r="DJ50" i="89"/>
  <c r="AM130" i="95"/>
  <c r="AO137" i="95"/>
  <c r="AO151" i="95"/>
  <c r="AO121" i="95"/>
  <c r="AM124" i="95"/>
  <c r="AO134" i="95"/>
  <c r="AM127" i="95"/>
  <c r="AO138" i="95"/>
  <c r="DJ44" i="89"/>
  <c r="DJ46" i="89"/>
  <c r="AN130" i="95"/>
  <c r="AP137" i="95"/>
  <c r="AP148" i="95"/>
  <c r="DJ49" i="89"/>
  <c r="AN151" i="95"/>
  <c r="AN154" i="95"/>
  <c r="AP154" i="95"/>
  <c r="AN142" i="95"/>
  <c r="AO141" i="95"/>
  <c r="ED56" i="89"/>
  <c r="AP146" i="95"/>
  <c r="AN149" i="95"/>
  <c r="AP149" i="95"/>
  <c r="AM152" i="95"/>
  <c r="AO152" i="95"/>
  <c r="AO149" i="95"/>
  <c r="AM149" i="95"/>
  <c r="AN152" i="95"/>
  <c r="AM150" i="95"/>
  <c r="AP150" i="95"/>
  <c r="AP153" i="95"/>
  <c r="AO153" i="95"/>
  <c r="AO148" i="95"/>
  <c r="AN148" i="95"/>
  <c r="AM145" i="95"/>
  <c r="AO145" i="95"/>
  <c r="DJ57" i="89"/>
  <c r="DJ55" i="89"/>
  <c r="AN144" i="95"/>
  <c r="AM144" i="95"/>
  <c r="DJ53" i="89"/>
  <c r="AM154" i="95"/>
  <c r="AM142" i="95"/>
  <c r="AP142" i="95"/>
  <c r="AO144" i="95"/>
  <c r="AP141" i="95"/>
  <c r="AM141" i="95"/>
  <c r="EF12" i="98"/>
  <c r="EG12" i="98" s="1"/>
  <c r="EF13" i="98"/>
  <c r="EG13" i="98" s="1"/>
  <c r="EV25" i="89"/>
  <c r="EV26" i="89"/>
  <c r="AP143" i="95"/>
  <c r="AO143" i="95"/>
  <c r="AN155" i="95"/>
  <c r="AP155" i="95"/>
  <c r="AM155" i="95"/>
  <c r="U55" i="90"/>
  <c r="W55" i="90"/>
  <c r="X55" i="90"/>
  <c r="AN143" i="95"/>
  <c r="AN146" i="95"/>
  <c r="AM146" i="95"/>
  <c r="BJ89" i="103"/>
  <c r="BJ77" i="103"/>
  <c r="BJ53" i="103"/>
  <c r="BJ95" i="103"/>
  <c r="BJ29" i="103"/>
  <c r="BJ125" i="103"/>
  <c r="BJ59" i="103"/>
  <c r="BJ65" i="103"/>
  <c r="BJ47" i="103"/>
  <c r="BJ131" i="103"/>
  <c r="ED47" i="89"/>
  <c r="V46" i="90"/>
  <c r="U46" i="90"/>
  <c r="X46" i="90"/>
  <c r="W46" i="90"/>
  <c r="BJ83" i="103"/>
  <c r="N273" i="81"/>
  <c r="N259" i="81"/>
  <c r="O258" i="81" s="1"/>
  <c r="U20" i="85"/>
  <c r="AN89" i="85" s="1"/>
  <c r="Y22" i="85"/>
  <c r="AD12" i="98" s="1"/>
  <c r="EY71" i="98" l="1"/>
  <c r="EY75" i="98"/>
  <c r="EY72" i="98"/>
  <c r="EY76" i="98"/>
  <c r="EY69" i="98"/>
  <c r="EY73" i="98"/>
  <c r="EY77" i="98"/>
  <c r="EY70" i="98"/>
  <c r="EY74" i="98"/>
  <c r="HK454" i="100"/>
  <c r="HK458" i="100"/>
  <c r="HK462" i="100"/>
  <c r="HK466" i="100"/>
  <c r="HK470" i="100"/>
  <c r="HK474" i="100"/>
  <c r="HK478" i="100"/>
  <c r="HK482" i="100"/>
  <c r="HK486" i="100"/>
  <c r="HK490" i="100"/>
  <c r="HK494" i="100"/>
  <c r="HK498" i="100"/>
  <c r="HK502" i="100"/>
  <c r="HK506" i="100"/>
  <c r="HK510" i="100"/>
  <c r="HK514" i="100"/>
  <c r="HK518" i="100"/>
  <c r="HK522" i="100"/>
  <c r="HK526" i="100"/>
  <c r="HK530" i="100"/>
  <c r="HK534" i="100"/>
  <c r="HK538" i="100"/>
  <c r="HK542" i="100"/>
  <c r="HK546" i="100"/>
  <c r="HK550" i="100"/>
  <c r="HK554" i="100"/>
  <c r="HK558" i="100"/>
  <c r="HK562" i="100"/>
  <c r="HK566" i="100"/>
  <c r="HK570" i="100"/>
  <c r="HK574" i="100"/>
  <c r="HK578" i="100"/>
  <c r="HK582" i="100"/>
  <c r="HK586" i="100"/>
  <c r="HK590" i="100"/>
  <c r="HK594" i="100"/>
  <c r="HK598" i="100"/>
  <c r="HK602" i="100"/>
  <c r="HK606" i="100"/>
  <c r="HK610" i="100"/>
  <c r="HK614" i="100"/>
  <c r="HK618" i="100"/>
  <c r="HK451" i="100"/>
  <c r="HK455" i="100"/>
  <c r="HK459" i="100"/>
  <c r="HK463" i="100"/>
  <c r="HK467" i="100"/>
  <c r="HK471" i="100"/>
  <c r="HK475" i="100"/>
  <c r="HK479" i="100"/>
  <c r="HK483" i="100"/>
  <c r="HK487" i="100"/>
  <c r="HK491" i="100"/>
  <c r="HK495" i="100"/>
  <c r="HK499" i="100"/>
  <c r="HK503" i="100"/>
  <c r="HK507" i="100"/>
  <c r="HK511" i="100"/>
  <c r="HK515" i="100"/>
  <c r="HK519" i="100"/>
  <c r="HK523" i="100"/>
  <c r="HK527" i="100"/>
  <c r="HK531" i="100"/>
  <c r="HK535" i="100"/>
  <c r="HK539" i="100"/>
  <c r="HK543" i="100"/>
  <c r="HK547" i="100"/>
  <c r="HK551" i="100"/>
  <c r="HK555" i="100"/>
  <c r="HK559" i="100"/>
  <c r="HK563" i="100"/>
  <c r="HK567" i="100"/>
  <c r="HK571" i="100"/>
  <c r="HK575" i="100"/>
  <c r="HK579" i="100"/>
  <c r="HK583" i="100"/>
  <c r="HK587" i="100"/>
  <c r="HK591" i="100"/>
  <c r="HK595" i="100"/>
  <c r="HK599" i="100"/>
  <c r="HK603" i="100"/>
  <c r="HK607" i="100"/>
  <c r="HK611" i="100"/>
  <c r="HK615" i="100"/>
  <c r="HK453" i="100"/>
  <c r="HK461" i="100"/>
  <c r="HK469" i="100"/>
  <c r="HK477" i="100"/>
  <c r="HK485" i="100"/>
  <c r="HK493" i="100"/>
  <c r="HK501" i="100"/>
  <c r="HK509" i="100"/>
  <c r="HK517" i="100"/>
  <c r="HK525" i="100"/>
  <c r="HK533" i="100"/>
  <c r="HK541" i="100"/>
  <c r="HK549" i="100"/>
  <c r="HK557" i="100"/>
  <c r="HK565" i="100"/>
  <c r="HK573" i="100"/>
  <c r="HK581" i="100"/>
  <c r="HK589" i="100"/>
  <c r="HK597" i="100"/>
  <c r="HK605" i="100"/>
  <c r="HK613" i="100"/>
  <c r="HK456" i="100"/>
  <c r="HK464" i="100"/>
  <c r="HK472" i="100"/>
  <c r="HK480" i="100"/>
  <c r="HK488" i="100"/>
  <c r="HK496" i="100"/>
  <c r="HK504" i="100"/>
  <c r="HK512" i="100"/>
  <c r="HK520" i="100"/>
  <c r="HK528" i="100"/>
  <c r="HK536" i="100"/>
  <c r="HK544" i="100"/>
  <c r="HK552" i="100"/>
  <c r="HK560" i="100"/>
  <c r="HK568" i="100"/>
  <c r="HK576" i="100"/>
  <c r="HK584" i="100"/>
  <c r="HK592" i="100"/>
  <c r="HK600" i="100"/>
  <c r="HK608" i="100"/>
  <c r="HK616" i="100"/>
  <c r="HK460" i="100"/>
  <c r="HK484" i="100"/>
  <c r="HK516" i="100"/>
  <c r="HK540" i="100"/>
  <c r="HK564" i="100"/>
  <c r="HK588" i="100"/>
  <c r="HK612" i="100"/>
  <c r="HK468" i="100"/>
  <c r="HK500" i="100"/>
  <c r="HK524" i="100"/>
  <c r="HK548" i="100"/>
  <c r="HK572" i="100"/>
  <c r="HK596" i="100"/>
  <c r="HK457" i="100"/>
  <c r="HK465" i="100"/>
  <c r="HK473" i="100"/>
  <c r="HK481" i="100"/>
  <c r="HK489" i="100"/>
  <c r="HK497" i="100"/>
  <c r="HK505" i="100"/>
  <c r="HK513" i="100"/>
  <c r="HK521" i="100"/>
  <c r="HK529" i="100"/>
  <c r="HK537" i="100"/>
  <c r="HK545" i="100"/>
  <c r="HK553" i="100"/>
  <c r="HK561" i="100"/>
  <c r="HK569" i="100"/>
  <c r="HK577" i="100"/>
  <c r="HK585" i="100"/>
  <c r="HK593" i="100"/>
  <c r="HK601" i="100"/>
  <c r="HK609" i="100"/>
  <c r="HK617" i="100"/>
  <c r="HK452" i="100"/>
  <c r="HK476" i="100"/>
  <c r="HK492" i="100"/>
  <c r="HK508" i="100"/>
  <c r="HK532" i="100"/>
  <c r="HK556" i="100"/>
  <c r="HK580" i="100"/>
  <c r="HK604" i="100"/>
  <c r="EY63" i="98"/>
  <c r="EY67" i="98"/>
  <c r="EY60" i="98"/>
  <c r="EY64" i="98"/>
  <c r="EY68" i="98"/>
  <c r="EY61" i="98"/>
  <c r="EY65" i="98"/>
  <c r="EY62" i="98"/>
  <c r="EY66" i="98"/>
  <c r="HK622" i="100"/>
  <c r="HK626" i="100"/>
  <c r="HK630" i="100"/>
  <c r="HK634" i="100"/>
  <c r="HK638" i="100"/>
  <c r="HK642" i="100"/>
  <c r="HK646" i="100"/>
  <c r="HK650" i="100"/>
  <c r="HK654" i="100"/>
  <c r="HK658" i="100"/>
  <c r="HK662" i="100"/>
  <c r="HK666" i="100"/>
  <c r="HK670" i="100"/>
  <c r="HK674" i="100"/>
  <c r="HK678" i="100"/>
  <c r="HK682" i="100"/>
  <c r="HK686" i="100"/>
  <c r="HK690" i="100"/>
  <c r="HK694" i="100"/>
  <c r="HK698" i="100"/>
  <c r="HK702" i="100"/>
  <c r="HK706" i="100"/>
  <c r="HK710" i="100"/>
  <c r="HK714" i="100"/>
  <c r="HK718" i="100"/>
  <c r="HK722" i="100"/>
  <c r="HK726" i="100"/>
  <c r="HK730" i="100"/>
  <c r="HK734" i="100"/>
  <c r="HK738" i="100"/>
  <c r="HK742" i="100"/>
  <c r="HK746" i="100"/>
  <c r="HK750" i="100"/>
  <c r="HK754" i="100"/>
  <c r="HK758" i="100"/>
  <c r="HK762" i="100"/>
  <c r="HK766" i="100"/>
  <c r="HK770" i="100"/>
  <c r="HK774" i="100"/>
  <c r="HK778" i="100"/>
  <c r="HK782" i="100"/>
  <c r="HK786" i="100"/>
  <c r="HK619" i="100"/>
  <c r="HK623" i="100"/>
  <c r="HK627" i="100"/>
  <c r="HK631" i="100"/>
  <c r="HK635" i="100"/>
  <c r="HK639" i="100"/>
  <c r="HK643" i="100"/>
  <c r="HK647" i="100"/>
  <c r="HK651" i="100"/>
  <c r="HK655" i="100"/>
  <c r="HK659" i="100"/>
  <c r="HK663" i="100"/>
  <c r="HK667" i="100"/>
  <c r="HK671" i="100"/>
  <c r="HK675" i="100"/>
  <c r="HK679" i="100"/>
  <c r="HK683" i="100"/>
  <c r="HK687" i="100"/>
  <c r="HK691" i="100"/>
  <c r="HK695" i="100"/>
  <c r="HK699" i="100"/>
  <c r="HK703" i="100"/>
  <c r="HK707" i="100"/>
  <c r="HK711" i="100"/>
  <c r="HK715" i="100"/>
  <c r="HK719" i="100"/>
  <c r="HK723" i="100"/>
  <c r="HK727" i="100"/>
  <c r="HK731" i="100"/>
  <c r="HK735" i="100"/>
  <c r="HK739" i="100"/>
  <c r="HK743" i="100"/>
  <c r="HK747" i="100"/>
  <c r="HK751" i="100"/>
  <c r="HK755" i="100"/>
  <c r="HK759" i="100"/>
  <c r="HK763" i="100"/>
  <c r="HK767" i="100"/>
  <c r="HK771" i="100"/>
  <c r="HK775" i="100"/>
  <c r="HK779" i="100"/>
  <c r="HK783" i="100"/>
  <c r="HK621" i="100"/>
  <c r="HK629" i="100"/>
  <c r="HK637" i="100"/>
  <c r="HK645" i="100"/>
  <c r="HK653" i="100"/>
  <c r="HK661" i="100"/>
  <c r="HK669" i="100"/>
  <c r="HK677" i="100"/>
  <c r="HK685" i="100"/>
  <c r="HK693" i="100"/>
  <c r="HK701" i="100"/>
  <c r="HK709" i="100"/>
  <c r="HK717" i="100"/>
  <c r="HK725" i="100"/>
  <c r="HK733" i="100"/>
  <c r="HK741" i="100"/>
  <c r="HK749" i="100"/>
  <c r="HK757" i="100"/>
  <c r="HK765" i="100"/>
  <c r="HK773" i="100"/>
  <c r="HK781" i="100"/>
  <c r="HK624" i="100"/>
  <c r="HK632" i="100"/>
  <c r="HK640" i="100"/>
  <c r="HK648" i="100"/>
  <c r="HK656" i="100"/>
  <c r="HK664" i="100"/>
  <c r="HK680" i="100"/>
  <c r="HK688" i="100"/>
  <c r="HK696" i="100"/>
  <c r="HK704" i="100"/>
  <c r="HK712" i="100"/>
  <c r="HK720" i="100"/>
  <c r="HK728" i="100"/>
  <c r="HK736" i="100"/>
  <c r="HK744" i="100"/>
  <c r="HK752" i="100"/>
  <c r="HK760" i="100"/>
  <c r="HK768" i="100"/>
  <c r="HK784" i="100"/>
  <c r="HK673" i="100"/>
  <c r="HK697" i="100"/>
  <c r="HK713" i="100"/>
  <c r="HK737" i="100"/>
  <c r="HK761" i="100"/>
  <c r="HK777" i="100"/>
  <c r="HK644" i="100"/>
  <c r="HK676" i="100"/>
  <c r="HK700" i="100"/>
  <c r="HK708" i="100"/>
  <c r="HK732" i="100"/>
  <c r="HK756" i="100"/>
  <c r="HK780" i="100"/>
  <c r="HK672" i="100"/>
  <c r="HK776" i="100"/>
  <c r="HK665" i="100"/>
  <c r="HK705" i="100"/>
  <c r="HK729" i="100"/>
  <c r="HK745" i="100"/>
  <c r="HK769" i="100"/>
  <c r="HK620" i="100"/>
  <c r="HK652" i="100"/>
  <c r="HK668" i="100"/>
  <c r="HK692" i="100"/>
  <c r="HK724" i="100"/>
  <c r="HK740" i="100"/>
  <c r="HK764" i="100"/>
  <c r="HK625" i="100"/>
  <c r="HK633" i="100"/>
  <c r="HK641" i="100"/>
  <c r="HK649" i="100"/>
  <c r="HK657" i="100"/>
  <c r="HK681" i="100"/>
  <c r="HK689" i="100"/>
  <c r="HK721" i="100"/>
  <c r="HK753" i="100"/>
  <c r="HK785" i="100"/>
  <c r="HK628" i="100"/>
  <c r="HK636" i="100"/>
  <c r="HK660" i="100"/>
  <c r="HK684" i="100"/>
  <c r="HK716" i="100"/>
  <c r="HK748" i="100"/>
  <c r="HK772" i="100"/>
  <c r="BJ101" i="103"/>
  <c r="BJ107" i="103"/>
  <c r="BJ17" i="103"/>
  <c r="BI24" i="90"/>
  <c r="BI44" i="90"/>
  <c r="BI64" i="90"/>
  <c r="BI84" i="90"/>
  <c r="BV24" i="90"/>
  <c r="BV264" i="90"/>
  <c r="BV284" i="90"/>
  <c r="BV104" i="90"/>
  <c r="BV224" i="90"/>
  <c r="BV84" i="90"/>
  <c r="BV244" i="90"/>
  <c r="BV64" i="90"/>
  <c r="BV124" i="90"/>
  <c r="BV424" i="90"/>
  <c r="BV304" i="90"/>
  <c r="BV404" i="90"/>
  <c r="BV624" i="90"/>
  <c r="BV204" i="90"/>
  <c r="BV364" i="90"/>
  <c r="BV344" i="90"/>
  <c r="BV604" i="90"/>
  <c r="BV384" i="90"/>
  <c r="BV44" i="90"/>
  <c r="BV444" i="90"/>
  <c r="BV324" i="90"/>
  <c r="BV564" i="90"/>
  <c r="BV644" i="90"/>
  <c r="BV584" i="90"/>
  <c r="BV544" i="90"/>
  <c r="BV144" i="90"/>
  <c r="BV524" i="90"/>
  <c r="BV164" i="90"/>
  <c r="BV464" i="90"/>
  <c r="BV484" i="90"/>
  <c r="BV504" i="90"/>
  <c r="BV184" i="90"/>
  <c r="AV250" i="90"/>
  <c r="AV302" i="90"/>
  <c r="AV1602" i="90"/>
  <c r="AV1498" i="90"/>
  <c r="AV1238" i="90"/>
  <c r="AV1186" i="90"/>
  <c r="AV978" i="90"/>
  <c r="AV1446" i="90"/>
  <c r="AV1082" i="90"/>
  <c r="AV926" i="90"/>
  <c r="AV1394" i="90"/>
  <c r="AV1290" i="90"/>
  <c r="AV1030" i="90"/>
  <c r="AV510" i="90"/>
  <c r="AV718" i="90"/>
  <c r="AV874" i="90"/>
  <c r="AV1134" i="90"/>
  <c r="AV770" i="90"/>
  <c r="AV666" i="90"/>
  <c r="AV406" i="90"/>
  <c r="AV562" i="90"/>
  <c r="AV354" i="90"/>
  <c r="AV458" i="90"/>
  <c r="AV42" i="90"/>
  <c r="AV94" i="90"/>
  <c r="AV614" i="90"/>
  <c r="AV1654" i="90"/>
  <c r="AV1550" i="90"/>
  <c r="AV146" i="90"/>
  <c r="AV822" i="90"/>
  <c r="AV198" i="90"/>
  <c r="AV1342" i="90"/>
  <c r="BI22" i="90"/>
  <c r="BI42" i="90"/>
  <c r="BI62" i="90"/>
  <c r="BI82" i="90"/>
  <c r="BV462" i="90"/>
  <c r="BV442" i="90"/>
  <c r="BV382" i="90"/>
  <c r="BV502" i="90"/>
  <c r="BV522" i="90"/>
  <c r="BV202" i="90"/>
  <c r="BV342" i="90"/>
  <c r="BV562" i="90"/>
  <c r="BV402" i="90"/>
  <c r="BV262" i="90"/>
  <c r="BV142" i="90"/>
  <c r="BV322" i="90"/>
  <c r="BV162" i="90"/>
  <c r="BV62" i="90"/>
  <c r="BV282" i="90"/>
  <c r="BV622" i="90"/>
  <c r="BV602" i="90"/>
  <c r="BV22" i="90"/>
  <c r="BV102" i="90"/>
  <c r="BV422" i="90"/>
  <c r="BV542" i="90"/>
  <c r="BV582" i="90"/>
  <c r="BV182" i="90"/>
  <c r="BV642" i="90"/>
  <c r="BV122" i="90"/>
  <c r="BV222" i="90"/>
  <c r="BV362" i="90"/>
  <c r="BV482" i="90"/>
  <c r="BV82" i="90"/>
  <c r="BV242" i="90"/>
  <c r="BV42" i="90"/>
  <c r="BV302" i="90"/>
  <c r="BI23" i="90"/>
  <c r="BI43" i="90"/>
  <c r="BI63" i="90"/>
  <c r="BI83" i="90"/>
  <c r="BV403" i="90"/>
  <c r="BV103" i="90"/>
  <c r="BV423" i="90"/>
  <c r="BV383" i="90"/>
  <c r="BV323" i="90"/>
  <c r="BV143" i="90"/>
  <c r="BV563" i="90"/>
  <c r="BV123" i="90"/>
  <c r="BV23" i="90"/>
  <c r="BV583" i="90"/>
  <c r="BV43" i="90"/>
  <c r="BV543" i="90"/>
  <c r="BV503" i="90"/>
  <c r="BV623" i="90"/>
  <c r="BV83" i="90"/>
  <c r="BV183" i="90"/>
  <c r="BV263" i="90"/>
  <c r="BV523" i="90"/>
  <c r="BV603" i="90"/>
  <c r="BV643" i="90"/>
  <c r="BV63" i="90"/>
  <c r="BV443" i="90"/>
  <c r="BV343" i="90"/>
  <c r="BV303" i="90"/>
  <c r="BV363" i="90"/>
  <c r="BV243" i="90"/>
  <c r="BV463" i="90"/>
  <c r="BV223" i="90"/>
  <c r="BV203" i="90"/>
  <c r="BV163" i="90"/>
  <c r="BV283" i="90"/>
  <c r="BV483" i="90"/>
  <c r="AV314" i="90"/>
  <c r="AV106" i="90"/>
  <c r="AV54" i="90"/>
  <c r="AV1406" i="90"/>
  <c r="AV1510" i="90"/>
  <c r="AV1458" i="90"/>
  <c r="AV1354" i="90"/>
  <c r="AV1250" i="90"/>
  <c r="AV1198" i="90"/>
  <c r="AV990" i="90"/>
  <c r="AV834" i="90"/>
  <c r="AV1042" i="90"/>
  <c r="AV782" i="90"/>
  <c r="AV886" i="90"/>
  <c r="AV938" i="90"/>
  <c r="AV678" i="90"/>
  <c r="AV522" i="90"/>
  <c r="AV1146" i="90"/>
  <c r="AV730" i="90"/>
  <c r="AV626" i="90"/>
  <c r="AV470" i="90"/>
  <c r="AV366" i="90"/>
  <c r="AV418" i="90"/>
  <c r="AV210" i="90"/>
  <c r="AV158" i="90"/>
  <c r="AV1666" i="90"/>
  <c r="AV1614" i="90"/>
  <c r="AV1094" i="90"/>
  <c r="AV574" i="90"/>
  <c r="AV1302" i="90"/>
  <c r="AV262" i="90"/>
  <c r="AV1562" i="90"/>
  <c r="ED49" i="89"/>
  <c r="AV100" i="90"/>
  <c r="AV308" i="90"/>
  <c r="AV1504" i="90"/>
  <c r="AV1452" i="90"/>
  <c r="AV1088" i="90"/>
  <c r="AV1244" i="90"/>
  <c r="AV1192" i="90"/>
  <c r="AV1400" i="90"/>
  <c r="AV1036" i="90"/>
  <c r="AV932" i="90"/>
  <c r="AV828" i="90"/>
  <c r="AV776" i="90"/>
  <c r="AV984" i="90"/>
  <c r="AV880" i="90"/>
  <c r="AV724" i="90"/>
  <c r="AV568" i="90"/>
  <c r="AV1140" i="90"/>
  <c r="AV672" i="90"/>
  <c r="AV360" i="90"/>
  <c r="AV256" i="90"/>
  <c r="AV464" i="90"/>
  <c r="AV516" i="90"/>
  <c r="AV412" i="90"/>
  <c r="AV48" i="90"/>
  <c r="AV152" i="90"/>
  <c r="AV1660" i="90"/>
  <c r="AV1608" i="90"/>
  <c r="AV1556" i="90"/>
  <c r="AV204" i="90"/>
  <c r="AV620" i="90"/>
  <c r="AV1296" i="90"/>
  <c r="AV1348" i="90"/>
  <c r="ED46" i="89"/>
  <c r="AV1293" i="90"/>
  <c r="AV45" i="90"/>
  <c r="AV1137" i="90"/>
  <c r="AV1605" i="90"/>
  <c r="AV1449" i="90"/>
  <c r="AV1241" i="90"/>
  <c r="AV1189" i="90"/>
  <c r="AV1033" i="90"/>
  <c r="AV825" i="90"/>
  <c r="AV1085" i="90"/>
  <c r="AV461" i="90"/>
  <c r="AV149" i="90"/>
  <c r="AV97" i="90"/>
  <c r="AV253" i="90"/>
  <c r="AV721" i="90"/>
  <c r="AV409" i="90"/>
  <c r="AV513" i="90"/>
  <c r="AV669" i="90"/>
  <c r="AV773" i="90"/>
  <c r="AV357" i="90"/>
  <c r="AV201" i="90"/>
  <c r="AV981" i="90"/>
  <c r="AV565" i="90"/>
  <c r="AV1657" i="90"/>
  <c r="AV1397" i="90"/>
  <c r="AV929" i="90"/>
  <c r="AV1345" i="90"/>
  <c r="AV1553" i="90"/>
  <c r="AV1501" i="90"/>
  <c r="AV617" i="90"/>
  <c r="AV877" i="90"/>
  <c r="AV305" i="90"/>
  <c r="U50" i="90"/>
  <c r="AV310" i="90"/>
  <c r="AV1506" i="90"/>
  <c r="AV102" i="90"/>
  <c r="AV1246" i="90"/>
  <c r="AV1194" i="90"/>
  <c r="AV1090" i="90"/>
  <c r="AV882" i="90"/>
  <c r="AV986" i="90"/>
  <c r="AV726" i="90"/>
  <c r="AV1298" i="90"/>
  <c r="AV1402" i="90"/>
  <c r="AV1038" i="90"/>
  <c r="AV1454" i="90"/>
  <c r="AV414" i="90"/>
  <c r="AV258" i="90"/>
  <c r="AV1142" i="90"/>
  <c r="AV934" i="90"/>
  <c r="AV778" i="90"/>
  <c r="AV674" i="90"/>
  <c r="AV466" i="90"/>
  <c r="AV362" i="90"/>
  <c r="AV518" i="90"/>
  <c r="AV570" i="90"/>
  <c r="AV622" i="90"/>
  <c r="AV1610" i="90"/>
  <c r="AV1662" i="90"/>
  <c r="AV830" i="90"/>
  <c r="AV50" i="90"/>
  <c r="AV1558" i="90"/>
  <c r="AV206" i="90"/>
  <c r="AV154" i="90"/>
  <c r="AV1350" i="90"/>
  <c r="AV1295" i="90"/>
  <c r="AV1139" i="90"/>
  <c r="AV671" i="90"/>
  <c r="AV1035" i="90"/>
  <c r="AV1243" i="90"/>
  <c r="AV1191" i="90"/>
  <c r="AV1451" i="90"/>
  <c r="AV619" i="90"/>
  <c r="AV99" i="90"/>
  <c r="AV255" i="90"/>
  <c r="AV1347" i="90"/>
  <c r="AV775" i="90"/>
  <c r="AV151" i="90"/>
  <c r="AV1607" i="90"/>
  <c r="AV723" i="90"/>
  <c r="AV463" i="90"/>
  <c r="AV359" i="90"/>
  <c r="AV1503" i="90"/>
  <c r="AV1659" i="90"/>
  <c r="AV567" i="90"/>
  <c r="AV1555" i="90"/>
  <c r="AV411" i="90"/>
  <c r="AV931" i="90"/>
  <c r="AV1399" i="90"/>
  <c r="AV983" i="90"/>
  <c r="AV47" i="90"/>
  <c r="AV1087" i="90"/>
  <c r="AV515" i="90"/>
  <c r="AV827" i="90"/>
  <c r="AV879" i="90"/>
  <c r="AV203" i="90"/>
  <c r="AV307" i="90"/>
  <c r="V51" i="90"/>
  <c r="AV1351" i="90"/>
  <c r="AV259" i="90"/>
  <c r="AV155" i="90"/>
  <c r="AV1559" i="90"/>
  <c r="AV1039" i="90"/>
  <c r="AV1403" i="90"/>
  <c r="AV311" i="90"/>
  <c r="AV1247" i="90"/>
  <c r="AV1195" i="90"/>
  <c r="AV987" i="90"/>
  <c r="AV1091" i="90"/>
  <c r="AV831" i="90"/>
  <c r="AV1455" i="90"/>
  <c r="AV51" i="90"/>
  <c r="AV519" i="90"/>
  <c r="AV207" i="90"/>
  <c r="AV103" i="90"/>
  <c r="AV779" i="90"/>
  <c r="AV1299" i="90"/>
  <c r="AV363" i="90"/>
  <c r="AV415" i="90"/>
  <c r="AV675" i="90"/>
  <c r="AV727" i="90"/>
  <c r="AV1143" i="90"/>
  <c r="AV1507" i="90"/>
  <c r="AV1611" i="90"/>
  <c r="AV935" i="90"/>
  <c r="AV623" i="90"/>
  <c r="AV1663" i="90"/>
  <c r="AV571" i="90"/>
  <c r="AV883" i="90"/>
  <c r="AV467" i="90"/>
  <c r="AH46" i="90"/>
  <c r="AH98" i="90"/>
  <c r="AH150" i="90"/>
  <c r="AH202" i="90"/>
  <c r="ED53" i="89"/>
  <c r="AV624" i="90"/>
  <c r="AV312" i="90"/>
  <c r="AV52" i="90"/>
  <c r="AV1560" i="90"/>
  <c r="AV1508" i="90"/>
  <c r="AV936" i="90"/>
  <c r="AV1248" i="90"/>
  <c r="AV1196" i="90"/>
  <c r="AV1144" i="90"/>
  <c r="AV1040" i="90"/>
  <c r="AV884" i="90"/>
  <c r="AV988" i="90"/>
  <c r="AV728" i="90"/>
  <c r="AV832" i="90"/>
  <c r="AV676" i="90"/>
  <c r="AV416" i="90"/>
  <c r="AV780" i="90"/>
  <c r="AV572" i="90"/>
  <c r="AV364" i="90"/>
  <c r="AV520" i="90"/>
  <c r="AV156" i="90"/>
  <c r="AV468" i="90"/>
  <c r="AV260" i="90"/>
  <c r="AV208" i="90"/>
  <c r="AV1404" i="90"/>
  <c r="AV104" i="90"/>
  <c r="AV1612" i="90"/>
  <c r="AV1664" i="90"/>
  <c r="AV1456" i="90"/>
  <c r="AV1300" i="90"/>
  <c r="AV1352" i="90"/>
  <c r="AV1092" i="90"/>
  <c r="AV576" i="90"/>
  <c r="AV1096" i="90"/>
  <c r="AV524" i="90"/>
  <c r="AV108" i="90"/>
  <c r="AV316" i="90"/>
  <c r="AV1512" i="90"/>
  <c r="AV1564" i="90"/>
  <c r="AV1460" i="90"/>
  <c r="AV992" i="90"/>
  <c r="AV1252" i="90"/>
  <c r="AV1200" i="90"/>
  <c r="AV1148" i="90"/>
  <c r="AV1044" i="90"/>
  <c r="AV836" i="90"/>
  <c r="AV888" i="90"/>
  <c r="AV1356" i="90"/>
  <c r="AV940" i="90"/>
  <c r="AV784" i="90"/>
  <c r="AV732" i="90"/>
  <c r="AV680" i="90"/>
  <c r="AV472" i="90"/>
  <c r="AV420" i="90"/>
  <c r="AV368" i="90"/>
  <c r="AV264" i="90"/>
  <c r="AV56" i="90"/>
  <c r="AV1408" i="90"/>
  <c r="AV1668" i="90"/>
  <c r="AV1616" i="90"/>
  <c r="AV160" i="90"/>
  <c r="AV212" i="90"/>
  <c r="AV1304" i="90"/>
  <c r="AV628" i="90"/>
  <c r="AV251" i="90"/>
  <c r="AV147" i="90"/>
  <c r="AV1551" i="90"/>
  <c r="AV1395" i="90"/>
  <c r="AV1031" i="90"/>
  <c r="AV1239" i="90"/>
  <c r="AV1187" i="90"/>
  <c r="AV1083" i="90"/>
  <c r="AV1447" i="90"/>
  <c r="AV823" i="90"/>
  <c r="AV199" i="90"/>
  <c r="AV303" i="90"/>
  <c r="AV95" i="90"/>
  <c r="AV43" i="90"/>
  <c r="AV1291" i="90"/>
  <c r="AV719" i="90"/>
  <c r="AV355" i="90"/>
  <c r="AV511" i="90"/>
  <c r="AV1499" i="90"/>
  <c r="AV1135" i="90"/>
  <c r="AV1343" i="90"/>
  <c r="AV667" i="90"/>
  <c r="AV771" i="90"/>
  <c r="AV407" i="90"/>
  <c r="AV459" i="90"/>
  <c r="AV1603" i="90"/>
  <c r="AV1655" i="90"/>
  <c r="AV615" i="90"/>
  <c r="AV927" i="90"/>
  <c r="AV875" i="90"/>
  <c r="AV979" i="90"/>
  <c r="AV563" i="90"/>
  <c r="AV1301" i="90"/>
  <c r="AV1457" i="90"/>
  <c r="AV1093" i="90"/>
  <c r="AV989" i="90"/>
  <c r="AV1249" i="90"/>
  <c r="AV1197" i="90"/>
  <c r="AV1041" i="90"/>
  <c r="AV833" i="90"/>
  <c r="AV677" i="90"/>
  <c r="AV469" i="90"/>
  <c r="AV261" i="90"/>
  <c r="AV105" i="90"/>
  <c r="AV521" i="90"/>
  <c r="AV157" i="90"/>
  <c r="AV365" i="90"/>
  <c r="AV1145" i="90"/>
  <c r="AV1613" i="90"/>
  <c r="AV417" i="90"/>
  <c r="AV729" i="90"/>
  <c r="AV1665" i="90"/>
  <c r="AV781" i="90"/>
  <c r="AV1405" i="90"/>
  <c r="AV625" i="90"/>
  <c r="AV573" i="90"/>
  <c r="AV313" i="90"/>
  <c r="AV1353" i="90"/>
  <c r="AV1509" i="90"/>
  <c r="AV937" i="90"/>
  <c r="AV53" i="90"/>
  <c r="AV1561" i="90"/>
  <c r="AV209" i="90"/>
  <c r="AV885" i="90"/>
  <c r="AH211" i="90"/>
  <c r="AH55" i="90"/>
  <c r="AH107" i="90"/>
  <c r="AH159" i="90"/>
  <c r="ED50" i="89"/>
  <c r="AV829" i="90"/>
  <c r="AV205" i="90"/>
  <c r="AV673" i="90"/>
  <c r="AV1141" i="90"/>
  <c r="AV153" i="90"/>
  <c r="AV1401" i="90"/>
  <c r="AV1453" i="90"/>
  <c r="AV985" i="90"/>
  <c r="AV1245" i="90"/>
  <c r="AV1193" i="90"/>
  <c r="AV621" i="90"/>
  <c r="AV1037" i="90"/>
  <c r="AV257" i="90"/>
  <c r="AV101" i="90"/>
  <c r="AV517" i="90"/>
  <c r="AV413" i="90"/>
  <c r="AV361" i="90"/>
  <c r="AV465" i="90"/>
  <c r="AV725" i="90"/>
  <c r="AV1557" i="90"/>
  <c r="AV49" i="90"/>
  <c r="AV1505" i="90"/>
  <c r="AV777" i="90"/>
  <c r="AV1349" i="90"/>
  <c r="AV569" i="90"/>
  <c r="AV1609" i="90"/>
  <c r="AV933" i="90"/>
  <c r="AV1089" i="90"/>
  <c r="AV1661" i="90"/>
  <c r="AV309" i="90"/>
  <c r="AV881" i="90"/>
  <c r="AV1297" i="90"/>
  <c r="AV304" i="90"/>
  <c r="AV1604" i="90"/>
  <c r="AV96" i="90"/>
  <c r="AV1552" i="90"/>
  <c r="AV1500" i="90"/>
  <c r="AV1032" i="90"/>
  <c r="AV1136" i="90"/>
  <c r="AV1240" i="90"/>
  <c r="AV1188" i="90"/>
  <c r="AV1448" i="90"/>
  <c r="AV928" i="90"/>
  <c r="AV980" i="90"/>
  <c r="AV876" i="90"/>
  <c r="AV720" i="90"/>
  <c r="AV668" i="90"/>
  <c r="AV408" i="90"/>
  <c r="AV772" i="90"/>
  <c r="AV564" i="90"/>
  <c r="AV824" i="90"/>
  <c r="AV356" i="90"/>
  <c r="AV512" i="90"/>
  <c r="AV460" i="90"/>
  <c r="AV148" i="90"/>
  <c r="AV44" i="90"/>
  <c r="AV1656" i="90"/>
  <c r="AV616" i="90"/>
  <c r="AV252" i="90"/>
  <c r="AV1344" i="90"/>
  <c r="AV1084" i="90"/>
  <c r="AV1292" i="90"/>
  <c r="AV200" i="90"/>
  <c r="AV1396" i="90"/>
  <c r="BI81" i="90"/>
  <c r="BI61" i="90"/>
  <c r="BI21" i="90"/>
  <c r="BI41" i="90"/>
  <c r="BV101" i="90"/>
  <c r="BV541" i="90"/>
  <c r="BV181" i="90"/>
  <c r="BV501" i="90"/>
  <c r="BV281" i="90"/>
  <c r="BV221" i="90"/>
  <c r="BV41" i="90"/>
  <c r="BV461" i="90"/>
  <c r="BV301" i="90"/>
  <c r="BV561" i="90"/>
  <c r="BV81" i="90"/>
  <c r="BV241" i="90"/>
  <c r="BV161" i="90"/>
  <c r="BV581" i="90"/>
  <c r="BV121" i="90"/>
  <c r="BV201" i="90"/>
  <c r="BV641" i="90"/>
  <c r="BV141" i="90"/>
  <c r="BV601" i="90"/>
  <c r="BV521" i="90"/>
  <c r="BV441" i="90"/>
  <c r="BV481" i="90"/>
  <c r="BV261" i="90"/>
  <c r="BV401" i="90"/>
  <c r="BV381" i="90"/>
  <c r="BV61" i="90"/>
  <c r="BV21" i="90"/>
  <c r="BV341" i="90"/>
  <c r="BV361" i="90"/>
  <c r="BV621" i="90"/>
  <c r="BV321" i="90"/>
  <c r="BV421" i="90"/>
  <c r="BJ35" i="103"/>
  <c r="X51" i="90"/>
  <c r="ED44" i="89"/>
  <c r="U51" i="90"/>
  <c r="BJ23" i="103"/>
  <c r="W51" i="90"/>
  <c r="ED52" i="89"/>
  <c r="BJ71" i="103"/>
  <c r="BJ119" i="103"/>
  <c r="V53" i="90"/>
  <c r="W53" i="90"/>
  <c r="V45" i="90"/>
  <c r="W42" i="90"/>
  <c r="X53" i="90"/>
  <c r="U53" i="90"/>
  <c r="ED54" i="89"/>
  <c r="X45" i="90"/>
  <c r="U45" i="90"/>
  <c r="ED43" i="89"/>
  <c r="U48" i="90"/>
  <c r="ED48" i="89"/>
  <c r="V42" i="90"/>
  <c r="X42" i="90"/>
  <c r="U47" i="90"/>
  <c r="W45" i="90"/>
  <c r="V44" i="90"/>
  <c r="V48" i="90"/>
  <c r="X49" i="90"/>
  <c r="W47" i="90"/>
  <c r="V47" i="90"/>
  <c r="X47" i="90"/>
  <c r="ED51" i="89"/>
  <c r="X44" i="90"/>
  <c r="W48" i="90"/>
  <c r="U42" i="90"/>
  <c r="U43" i="90"/>
  <c r="V43" i="90"/>
  <c r="W43" i="90"/>
  <c r="X43" i="90"/>
  <c r="X48" i="90"/>
  <c r="W49" i="90"/>
  <c r="U44" i="90"/>
  <c r="ED45" i="89"/>
  <c r="V49" i="90"/>
  <c r="U49" i="90"/>
  <c r="X50" i="90"/>
  <c r="W50" i="90"/>
  <c r="V50" i="90"/>
  <c r="W44" i="90"/>
  <c r="X52" i="90"/>
  <c r="U52" i="90"/>
  <c r="ED57" i="89"/>
  <c r="V52" i="90"/>
  <c r="W52" i="90"/>
  <c r="ED55" i="89"/>
  <c r="V54" i="90"/>
  <c r="W54" i="90"/>
  <c r="X54" i="90"/>
  <c r="U54" i="90"/>
  <c r="O272" i="81"/>
  <c r="Y21" i="85"/>
  <c r="U21" i="85"/>
  <c r="AN94" i="85" s="1"/>
  <c r="W21" i="85"/>
  <c r="AN95" i="85" s="1"/>
  <c r="W22" i="85"/>
  <c r="U22" i="85"/>
  <c r="Y20" i="85"/>
  <c r="W20" i="85"/>
  <c r="AN90" i="85" s="1"/>
  <c r="H2" i="89"/>
  <c r="I2" i="89"/>
  <c r="J2" i="89"/>
  <c r="L2" i="89"/>
  <c r="M2" i="89"/>
  <c r="N2" i="89"/>
  <c r="G2" i="89"/>
  <c r="AH42" i="90" l="1"/>
  <c r="AH94" i="90"/>
  <c r="AH146" i="90"/>
  <c r="AH198" i="90"/>
  <c r="AH51" i="90"/>
  <c r="AH103" i="90"/>
  <c r="AH155" i="90"/>
  <c r="AH207" i="90"/>
  <c r="AH54" i="90"/>
  <c r="AH106" i="90"/>
  <c r="AH158" i="90"/>
  <c r="AH210" i="90"/>
  <c r="AH203" i="90"/>
  <c r="AH47" i="90"/>
  <c r="AH99" i="90"/>
  <c r="AH151" i="90"/>
  <c r="AH56" i="90"/>
  <c r="AH108" i="90"/>
  <c r="AH160" i="90"/>
  <c r="AH212" i="90"/>
  <c r="AH50" i="90"/>
  <c r="AH102" i="90"/>
  <c r="AH154" i="90"/>
  <c r="AH206" i="90"/>
  <c r="AH157" i="90"/>
  <c r="AH53" i="90"/>
  <c r="AH105" i="90"/>
  <c r="AH209" i="90"/>
  <c r="AH205" i="90"/>
  <c r="AH101" i="90"/>
  <c r="AH153" i="90"/>
  <c r="AH49" i="90"/>
  <c r="AH201" i="90"/>
  <c r="AH45" i="90"/>
  <c r="AH97" i="90"/>
  <c r="AH149" i="90"/>
  <c r="AH44" i="90"/>
  <c r="AH96" i="90"/>
  <c r="AH148" i="90"/>
  <c r="AH200" i="90"/>
  <c r="AH43" i="90"/>
  <c r="AH95" i="90"/>
  <c r="AH147" i="90"/>
  <c r="AH199" i="90"/>
  <c r="AH52" i="90"/>
  <c r="AH104" i="90"/>
  <c r="AH156" i="90"/>
  <c r="AH208" i="90"/>
  <c r="AH48" i="90"/>
  <c r="AH100" i="90"/>
  <c r="AH152" i="90"/>
  <c r="AH204" i="90"/>
  <c r="D12" i="98"/>
  <c r="AN99" i="85"/>
  <c r="T12" i="98"/>
  <c r="AN100" i="85"/>
  <c r="O21" i="88"/>
  <c r="O23" i="88"/>
  <c r="P23" i="88"/>
  <c r="P21" i="88"/>
  <c r="O20" i="88"/>
  <c r="P20" i="88"/>
  <c r="O22" i="88"/>
  <c r="P22" i="88"/>
  <c r="Q21" i="88" l="1"/>
  <c r="Q22" i="88"/>
  <c r="Q23" i="88"/>
  <c r="C2" i="84"/>
  <c r="Z10" i="88" l="1"/>
  <c r="AI113" i="95" l="1"/>
  <c r="AI97" i="95"/>
  <c r="AI98" i="95"/>
  <c r="AI112" i="95"/>
  <c r="AI96" i="95"/>
  <c r="AI102" i="95"/>
  <c r="AI111" i="95"/>
  <c r="AI100" i="95"/>
  <c r="AI110" i="95"/>
  <c r="AI109" i="95"/>
  <c r="AI108" i="95"/>
  <c r="AI107" i="95"/>
  <c r="AI106" i="95"/>
  <c r="AI101" i="95"/>
  <c r="AI115" i="95"/>
  <c r="AI105" i="95"/>
  <c r="AI104" i="95"/>
  <c r="AI103" i="95"/>
  <c r="AI114" i="95"/>
  <c r="AI99" i="95"/>
  <c r="AK105" i="95"/>
  <c r="AK114" i="95"/>
  <c r="AK100" i="95"/>
  <c r="AK107" i="95"/>
  <c r="AK106" i="95"/>
  <c r="AK101" i="95"/>
  <c r="AK102" i="95"/>
  <c r="AK112" i="95"/>
  <c r="AK96" i="95"/>
  <c r="AK103" i="95"/>
  <c r="AK113" i="95"/>
  <c r="AK97" i="95"/>
  <c r="AK108" i="95"/>
  <c r="AK110" i="95"/>
  <c r="AK115" i="95"/>
  <c r="AK99" i="95"/>
  <c r="AK98" i="95"/>
  <c r="AK111" i="95"/>
  <c r="AK109" i="95"/>
  <c r="AK104" i="95"/>
  <c r="AO10" i="88"/>
  <c r="CP12" i="89" s="1"/>
  <c r="AP10" i="88"/>
  <c r="J17" i="90" s="1"/>
  <c r="AR10" i="88"/>
  <c r="AM10" i="88"/>
  <c r="AN10" i="88"/>
  <c r="AS10" i="88"/>
  <c r="Y12" i="100" s="1"/>
  <c r="AV10" i="88"/>
  <c r="AU10" i="88"/>
  <c r="AR10" i="103" s="1"/>
  <c r="AT10" i="88"/>
  <c r="EF10" i="98" s="1"/>
  <c r="EG10" i="98" s="1"/>
  <c r="AQ10" i="88"/>
  <c r="CA47" i="83"/>
  <c r="CA46" i="83"/>
  <c r="CA45" i="83"/>
  <c r="CA44" i="83"/>
  <c r="CA43" i="83"/>
  <c r="CA42" i="83"/>
  <c r="CA41" i="83"/>
  <c r="CA40" i="83"/>
  <c r="CA39" i="83"/>
  <c r="CA38" i="83"/>
  <c r="CA37" i="83"/>
  <c r="CA36" i="83"/>
  <c r="CA35" i="83"/>
  <c r="CA34" i="83"/>
  <c r="CA33" i="83"/>
  <c r="CA32" i="83"/>
  <c r="CA31" i="83"/>
  <c r="CA30" i="83"/>
  <c r="CA29" i="83"/>
  <c r="CA28" i="83"/>
  <c r="CA27" i="83"/>
  <c r="CA26" i="83"/>
  <c r="CA25" i="83"/>
  <c r="CA24" i="83"/>
  <c r="CA23" i="83"/>
  <c r="CA22" i="83"/>
  <c r="CA21" i="83"/>
  <c r="CA20" i="83"/>
  <c r="CA19" i="83"/>
  <c r="CA18" i="83"/>
  <c r="CA17" i="83"/>
  <c r="CA16" i="83"/>
  <c r="CA15" i="83"/>
  <c r="CA14" i="83"/>
  <c r="CA13" i="83"/>
  <c r="CA12" i="83"/>
  <c r="CA11" i="83"/>
  <c r="CA10" i="83"/>
  <c r="CA9" i="83"/>
  <c r="CA8" i="83"/>
  <c r="CA7" i="83"/>
  <c r="CA6" i="83"/>
  <c r="HK344" i="100" l="1"/>
  <c r="HK346" i="100"/>
  <c r="HK350" i="100"/>
  <c r="HK354" i="100"/>
  <c r="HK358" i="100"/>
  <c r="HK362" i="100"/>
  <c r="HK366" i="100"/>
  <c r="HK370" i="100"/>
  <c r="HK374" i="100"/>
  <c r="HK378" i="100"/>
  <c r="HK382" i="100"/>
  <c r="HK386" i="100"/>
  <c r="HK390" i="100"/>
  <c r="HK394" i="100"/>
  <c r="HK398" i="100"/>
  <c r="HK402" i="100"/>
  <c r="HK406" i="100"/>
  <c r="HK410" i="100"/>
  <c r="HK414" i="100"/>
  <c r="HK418" i="100"/>
  <c r="HK422" i="100"/>
  <c r="HK426" i="100"/>
  <c r="HK430" i="100"/>
  <c r="HK434" i="100"/>
  <c r="HK438" i="100"/>
  <c r="HK442" i="100"/>
  <c r="HK446" i="100"/>
  <c r="HK450" i="100"/>
  <c r="HK347" i="100"/>
  <c r="HK351" i="100"/>
  <c r="HK355" i="100"/>
  <c r="HK359" i="100"/>
  <c r="HK363" i="100"/>
  <c r="HK367" i="100"/>
  <c r="HK371" i="100"/>
  <c r="HK375" i="100"/>
  <c r="HK379" i="100"/>
  <c r="HK383" i="100"/>
  <c r="HK387" i="100"/>
  <c r="HK391" i="100"/>
  <c r="HK395" i="100"/>
  <c r="HK399" i="100"/>
  <c r="HK403" i="100"/>
  <c r="HK407" i="100"/>
  <c r="HK411" i="100"/>
  <c r="HK415" i="100"/>
  <c r="HK419" i="100"/>
  <c r="HK423" i="100"/>
  <c r="HK427" i="100"/>
  <c r="HK431" i="100"/>
  <c r="HK435" i="100"/>
  <c r="HK439" i="100"/>
  <c r="HK443" i="100"/>
  <c r="HK447" i="100"/>
  <c r="HK349" i="100"/>
  <c r="HK357" i="100"/>
  <c r="HK365" i="100"/>
  <c r="HK373" i="100"/>
  <c r="HK381" i="100"/>
  <c r="HK389" i="100"/>
  <c r="HK397" i="100"/>
  <c r="HK405" i="100"/>
  <c r="HK413" i="100"/>
  <c r="HK421" i="100"/>
  <c r="HK429" i="100"/>
  <c r="HK437" i="100"/>
  <c r="HK445" i="100"/>
  <c r="HK343" i="100"/>
  <c r="HK352" i="100"/>
  <c r="HK360" i="100"/>
  <c r="HK368" i="100"/>
  <c r="HK376" i="100"/>
  <c r="HK384" i="100"/>
  <c r="HK392" i="100"/>
  <c r="HK400" i="100"/>
  <c r="HK408" i="100"/>
  <c r="HK416" i="100"/>
  <c r="HK424" i="100"/>
  <c r="HK432" i="100"/>
  <c r="HK440" i="100"/>
  <c r="HK448" i="100"/>
  <c r="HK409" i="100"/>
  <c r="HK348" i="100"/>
  <c r="HK364" i="100"/>
  <c r="HK380" i="100"/>
  <c r="HK396" i="100"/>
  <c r="HK412" i="100"/>
  <c r="HK436" i="100"/>
  <c r="HK417" i="100"/>
  <c r="HK356" i="100"/>
  <c r="HK372" i="100"/>
  <c r="HK404" i="100"/>
  <c r="HK420" i="100"/>
  <c r="HK444" i="100"/>
  <c r="HK345" i="100"/>
  <c r="HK353" i="100"/>
  <c r="HK361" i="100"/>
  <c r="HK369" i="100"/>
  <c r="HK377" i="100"/>
  <c r="HK385" i="100"/>
  <c r="HK393" i="100"/>
  <c r="HK401" i="100"/>
  <c r="HK425" i="100"/>
  <c r="HK433" i="100"/>
  <c r="HK441" i="100"/>
  <c r="HK449" i="100"/>
  <c r="HK388" i="100"/>
  <c r="HK428" i="100"/>
  <c r="EY43" i="98"/>
  <c r="EY47" i="98"/>
  <c r="EY44" i="98"/>
  <c r="EY48" i="98"/>
  <c r="EY45" i="98"/>
  <c r="EY49" i="98"/>
  <c r="EY42" i="98"/>
  <c r="EY46" i="98"/>
  <c r="EY50" i="98"/>
  <c r="Y11" i="100"/>
  <c r="AS10" i="103"/>
  <c r="AW10" i="103"/>
  <c r="AT10" i="103"/>
  <c r="AU10" i="103"/>
  <c r="AV10" i="103"/>
  <c r="AM104" i="95"/>
  <c r="AN104" i="95"/>
  <c r="AO104" i="95"/>
  <c r="AP104" i="95"/>
  <c r="AM99" i="95"/>
  <c r="AN99" i="95"/>
  <c r="AO99" i="95"/>
  <c r="AP99" i="95"/>
  <c r="AM97" i="95"/>
  <c r="AN97" i="95"/>
  <c r="AO97" i="95"/>
  <c r="AP97" i="95"/>
  <c r="AM112" i="95"/>
  <c r="AN112" i="95"/>
  <c r="AO112" i="95"/>
  <c r="AP112" i="95"/>
  <c r="AM107" i="95"/>
  <c r="AN107" i="95"/>
  <c r="AO107" i="95"/>
  <c r="AP107" i="95"/>
  <c r="AM109" i="95"/>
  <c r="AN109" i="95"/>
  <c r="AO109" i="95"/>
  <c r="AP109" i="95"/>
  <c r="AM115" i="95"/>
  <c r="AN115" i="95"/>
  <c r="AO115" i="95"/>
  <c r="AP115" i="95"/>
  <c r="AN113" i="95"/>
  <c r="AO113" i="95"/>
  <c r="AM113" i="95"/>
  <c r="AP113" i="95"/>
  <c r="AP102" i="95"/>
  <c r="AM102" i="95"/>
  <c r="AN102" i="95"/>
  <c r="AO102" i="95"/>
  <c r="AM100" i="95"/>
  <c r="AN100" i="95"/>
  <c r="AO100" i="95"/>
  <c r="AP100" i="95"/>
  <c r="K17" i="90"/>
  <c r="L17" i="90"/>
  <c r="N17" i="90"/>
  <c r="M17" i="90"/>
  <c r="AM111" i="95"/>
  <c r="AN111" i="95"/>
  <c r="AO111" i="95"/>
  <c r="AP111" i="95"/>
  <c r="AP110" i="95"/>
  <c r="AM110" i="95"/>
  <c r="AN110" i="95"/>
  <c r="AO110" i="95"/>
  <c r="AM103" i="95"/>
  <c r="AN103" i="95"/>
  <c r="AO103" i="95"/>
  <c r="AP103" i="95"/>
  <c r="AN101" i="95"/>
  <c r="AO101" i="95"/>
  <c r="AP101" i="95"/>
  <c r="AM101" i="95"/>
  <c r="AP114" i="95"/>
  <c r="AM114" i="95"/>
  <c r="AN114" i="95"/>
  <c r="AO114" i="95"/>
  <c r="EV20" i="89"/>
  <c r="EV21" i="89"/>
  <c r="EV19" i="89"/>
  <c r="DJ36" i="89"/>
  <c r="DJ40" i="89"/>
  <c r="DJ37" i="89"/>
  <c r="DJ42" i="89"/>
  <c r="DJ38" i="89"/>
  <c r="DJ41" i="89"/>
  <c r="DJ34" i="89"/>
  <c r="DJ39" i="89"/>
  <c r="DJ35" i="89"/>
  <c r="AP98" i="95"/>
  <c r="AM98" i="95"/>
  <c r="AN98" i="95"/>
  <c r="AO98" i="95"/>
  <c r="AM108" i="95"/>
  <c r="AN108" i="95"/>
  <c r="AO108" i="95"/>
  <c r="AP108" i="95"/>
  <c r="AM96" i="95"/>
  <c r="AN96" i="95"/>
  <c r="AO96" i="95"/>
  <c r="AP96" i="95"/>
  <c r="AP106" i="95"/>
  <c r="AM106" i="95"/>
  <c r="AN106" i="95"/>
  <c r="AO106" i="95"/>
  <c r="AM105" i="95"/>
  <c r="AN105" i="95"/>
  <c r="AO105" i="95"/>
  <c r="AP105" i="95"/>
  <c r="HK236" i="100" l="1"/>
  <c r="HK240" i="100"/>
  <c r="HK244" i="100"/>
  <c r="HK248" i="100"/>
  <c r="HK252" i="100"/>
  <c r="HK256" i="100"/>
  <c r="HK260" i="100"/>
  <c r="HK264" i="100"/>
  <c r="HK268" i="100"/>
  <c r="HK272" i="100"/>
  <c r="HK276" i="100"/>
  <c r="HK280" i="100"/>
  <c r="HK284" i="100"/>
  <c r="HK288" i="100"/>
  <c r="HK292" i="100"/>
  <c r="HK296" i="100"/>
  <c r="HK300" i="100"/>
  <c r="HK304" i="100"/>
  <c r="HK308" i="100"/>
  <c r="HK312" i="100"/>
  <c r="HK316" i="100"/>
  <c r="HK320" i="100"/>
  <c r="HK324" i="100"/>
  <c r="HK328" i="100"/>
  <c r="HK332" i="100"/>
  <c r="HK336" i="100"/>
  <c r="HK340" i="100"/>
  <c r="HK237" i="100"/>
  <c r="HK241" i="100"/>
  <c r="HK245" i="100"/>
  <c r="HK249" i="100"/>
  <c r="HK253" i="100"/>
  <c r="HK257" i="100"/>
  <c r="HK261" i="100"/>
  <c r="HK265" i="100"/>
  <c r="HK269" i="100"/>
  <c r="HK273" i="100"/>
  <c r="HK277" i="100"/>
  <c r="HK281" i="100"/>
  <c r="HK242" i="100"/>
  <c r="HK250" i="100"/>
  <c r="HK258" i="100"/>
  <c r="HK266" i="100"/>
  <c r="HK274" i="100"/>
  <c r="HK282" i="100"/>
  <c r="HK287" i="100"/>
  <c r="HK293" i="100"/>
  <c r="HK298" i="100"/>
  <c r="HK303" i="100"/>
  <c r="HK309" i="100"/>
  <c r="HK314" i="100"/>
  <c r="HK319" i="100"/>
  <c r="HK325" i="100"/>
  <c r="HK330" i="100"/>
  <c r="HK335" i="100"/>
  <c r="HK341" i="100"/>
  <c r="HK235" i="100"/>
  <c r="HK243" i="100"/>
  <c r="HK251" i="100"/>
  <c r="HK259" i="100"/>
  <c r="HK267" i="100"/>
  <c r="HK275" i="100"/>
  <c r="HK283" i="100"/>
  <c r="HK289" i="100"/>
  <c r="HK294" i="100"/>
  <c r="HK299" i="100"/>
  <c r="HK305" i="100"/>
  <c r="HK310" i="100"/>
  <c r="HK315" i="100"/>
  <c r="HK321" i="100"/>
  <c r="HK326" i="100"/>
  <c r="HK331" i="100"/>
  <c r="HK337" i="100"/>
  <c r="HK342" i="100"/>
  <c r="HK239" i="100"/>
  <c r="HK255" i="100"/>
  <c r="HK271" i="100"/>
  <c r="HK286" i="100"/>
  <c r="HK297" i="100"/>
  <c r="HK307" i="100"/>
  <c r="HK318" i="100"/>
  <c r="HK329" i="100"/>
  <c r="HK339" i="100"/>
  <c r="HK246" i="100"/>
  <c r="HK262" i="100"/>
  <c r="HK278" i="100"/>
  <c r="HK290" i="100"/>
  <c r="HK301" i="100"/>
  <c r="HK311" i="100"/>
  <c r="HK322" i="100"/>
  <c r="HK333" i="100"/>
  <c r="HK238" i="100"/>
  <c r="HK270" i="100"/>
  <c r="HK295" i="100"/>
  <c r="HK317" i="100"/>
  <c r="HK254" i="100"/>
  <c r="HK285" i="100"/>
  <c r="HK306" i="100"/>
  <c r="HK327" i="100"/>
  <c r="HK338" i="100"/>
  <c r="HK247" i="100"/>
  <c r="HK263" i="100"/>
  <c r="HK279" i="100"/>
  <c r="HK291" i="100"/>
  <c r="HK302" i="100"/>
  <c r="HK313" i="100"/>
  <c r="HK323" i="100"/>
  <c r="HK334" i="100"/>
  <c r="AV350" i="90"/>
  <c r="AV1598" i="90"/>
  <c r="AV298" i="90"/>
  <c r="AV1546" i="90"/>
  <c r="AV1442" i="90"/>
  <c r="AV1026" i="90"/>
  <c r="AV1234" i="90"/>
  <c r="AV1182" i="90"/>
  <c r="AV766" i="90"/>
  <c r="AV818" i="90"/>
  <c r="AV1338" i="90"/>
  <c r="AV974" i="90"/>
  <c r="AV1390" i="90"/>
  <c r="AV922" i="90"/>
  <c r="AV610" i="90"/>
  <c r="AV662" i="90"/>
  <c r="AV1130" i="90"/>
  <c r="AV870" i="90"/>
  <c r="AV714" i="90"/>
  <c r="AV454" i="90"/>
  <c r="AV402" i="90"/>
  <c r="AV558" i="90"/>
  <c r="AV506" i="90"/>
  <c r="AV38" i="90"/>
  <c r="AV1650" i="90"/>
  <c r="AV1078" i="90"/>
  <c r="AV194" i="90"/>
  <c r="AV90" i="90"/>
  <c r="AV1494" i="90"/>
  <c r="AV246" i="90"/>
  <c r="AV142" i="90"/>
  <c r="AV1286" i="90"/>
  <c r="AV1080" i="90"/>
  <c r="AV300" i="90"/>
  <c r="AV1600" i="90"/>
  <c r="AV1548" i="90"/>
  <c r="AV1444" i="90"/>
  <c r="AV1496" i="90"/>
  <c r="AV872" i="90"/>
  <c r="AV1236" i="90"/>
  <c r="AV1184" i="90"/>
  <c r="AV976" i="90"/>
  <c r="AV664" i="90"/>
  <c r="AV1132" i="90"/>
  <c r="AV1028" i="90"/>
  <c r="AV924" i="90"/>
  <c r="AV768" i="90"/>
  <c r="AV820" i="90"/>
  <c r="AV716" i="90"/>
  <c r="AV456" i="90"/>
  <c r="AV560" i="90"/>
  <c r="AV508" i="90"/>
  <c r="AV352" i="90"/>
  <c r="AV404" i="90"/>
  <c r="AV40" i="90"/>
  <c r="AV248" i="90"/>
  <c r="AV1652" i="90"/>
  <c r="AV1340" i="90"/>
  <c r="AV196" i="90"/>
  <c r="AV92" i="90"/>
  <c r="AV1392" i="90"/>
  <c r="AV612" i="90"/>
  <c r="AV144" i="90"/>
  <c r="AV1288" i="90"/>
  <c r="AV663" i="90"/>
  <c r="AV1287" i="90"/>
  <c r="AV1131" i="90"/>
  <c r="AV1495" i="90"/>
  <c r="AV1599" i="90"/>
  <c r="AV1027" i="90"/>
  <c r="AV1235" i="90"/>
  <c r="AV1183" i="90"/>
  <c r="AV611" i="90"/>
  <c r="AV1443" i="90"/>
  <c r="AV195" i="90"/>
  <c r="AV247" i="90"/>
  <c r="AV39" i="90"/>
  <c r="AV91" i="90"/>
  <c r="AV143" i="90"/>
  <c r="AV715" i="90"/>
  <c r="AV1391" i="90"/>
  <c r="AV455" i="90"/>
  <c r="AV767" i="90"/>
  <c r="AV1339" i="90"/>
  <c r="AV559" i="90"/>
  <c r="AV507" i="90"/>
  <c r="AV1079" i="90"/>
  <c r="AV871" i="90"/>
  <c r="AV923" i="90"/>
  <c r="AV1651" i="90"/>
  <c r="AV299" i="90"/>
  <c r="AV351" i="90"/>
  <c r="AV1547" i="90"/>
  <c r="AV975" i="90"/>
  <c r="AV403" i="90"/>
  <c r="AV819" i="90"/>
  <c r="BI18" i="90"/>
  <c r="BI38" i="90"/>
  <c r="BI58" i="90"/>
  <c r="BI78" i="90"/>
  <c r="BV438" i="90"/>
  <c r="BV118" i="90"/>
  <c r="BV518" i="90"/>
  <c r="BV158" i="90"/>
  <c r="BV578" i="90"/>
  <c r="BV598" i="90"/>
  <c r="BV638" i="90"/>
  <c r="BV458" i="90"/>
  <c r="BV38" i="90"/>
  <c r="BV358" i="90"/>
  <c r="BV78" i="90"/>
  <c r="BV178" i="90"/>
  <c r="BV618" i="90"/>
  <c r="BV218" i="90"/>
  <c r="BV558" i="90"/>
  <c r="BV98" i="90"/>
  <c r="BV418" i="90"/>
  <c r="BV138" i="90"/>
  <c r="BV298" i="90"/>
  <c r="BV338" i="90"/>
  <c r="BV538" i="90"/>
  <c r="BV258" i="90"/>
  <c r="BV238" i="90"/>
  <c r="BV198" i="90"/>
  <c r="BV378" i="90"/>
  <c r="BV58" i="90"/>
  <c r="BV318" i="90"/>
  <c r="BV498" i="90"/>
  <c r="BV478" i="90"/>
  <c r="BV18" i="90"/>
  <c r="BV398" i="90"/>
  <c r="BV278" i="90"/>
  <c r="AV346" i="90"/>
  <c r="AV86" i="90"/>
  <c r="AV1594" i="90"/>
  <c r="AV294" i="90"/>
  <c r="AV814" i="90"/>
  <c r="AV1386" i="90"/>
  <c r="AV1230" i="90"/>
  <c r="AV1178" i="90"/>
  <c r="AV1022" i="90"/>
  <c r="AV710" i="90"/>
  <c r="AV866" i="90"/>
  <c r="AV1438" i="90"/>
  <c r="AV1282" i="90"/>
  <c r="AV918" i="90"/>
  <c r="AV1074" i="90"/>
  <c r="AV970" i="90"/>
  <c r="AV762" i="90"/>
  <c r="AV658" i="90"/>
  <c r="AV502" i="90"/>
  <c r="AV398" i="90"/>
  <c r="AV34" i="90"/>
  <c r="AV554" i="90"/>
  <c r="AV450" i="90"/>
  <c r="AV606" i="90"/>
  <c r="AV138" i="90"/>
  <c r="AV1126" i="90"/>
  <c r="AV1646" i="90"/>
  <c r="AV1490" i="90"/>
  <c r="AV1542" i="90"/>
  <c r="AV190" i="90"/>
  <c r="AV1334" i="90"/>
  <c r="AV242" i="90"/>
  <c r="AV1389" i="90"/>
  <c r="AV245" i="90"/>
  <c r="AV1285" i="90"/>
  <c r="AV1545" i="90"/>
  <c r="AV1493" i="90"/>
  <c r="AV1597" i="90"/>
  <c r="AV1025" i="90"/>
  <c r="AV661" i="90"/>
  <c r="AV1077" i="90"/>
  <c r="AV1441" i="90"/>
  <c r="AV1233" i="90"/>
  <c r="AV1181" i="90"/>
  <c r="AV817" i="90"/>
  <c r="AV89" i="90"/>
  <c r="AV453" i="90"/>
  <c r="AV193" i="90"/>
  <c r="AV37" i="90"/>
  <c r="AV141" i="90"/>
  <c r="AV505" i="90"/>
  <c r="AV765" i="90"/>
  <c r="AV401" i="90"/>
  <c r="AV713" i="90"/>
  <c r="AV349" i="90"/>
  <c r="AV1649" i="90"/>
  <c r="AV1337" i="90"/>
  <c r="AV1129" i="90"/>
  <c r="AV557" i="90"/>
  <c r="AV297" i="90"/>
  <c r="AV921" i="90"/>
  <c r="AV869" i="90"/>
  <c r="AV973" i="90"/>
  <c r="AV609" i="90"/>
  <c r="AV1283" i="90"/>
  <c r="AV1335" i="90"/>
  <c r="AV1491" i="90"/>
  <c r="AV1543" i="90"/>
  <c r="AV1439" i="90"/>
  <c r="AV1595" i="90"/>
  <c r="AV1023" i="90"/>
  <c r="AV1231" i="90"/>
  <c r="AV1179" i="90"/>
  <c r="AV1075" i="90"/>
  <c r="AV295" i="90"/>
  <c r="AV347" i="90"/>
  <c r="AV87" i="90"/>
  <c r="AV35" i="90"/>
  <c r="AV191" i="90"/>
  <c r="AV139" i="90"/>
  <c r="AV711" i="90"/>
  <c r="AV815" i="90"/>
  <c r="AV399" i="90"/>
  <c r="AV763" i="90"/>
  <c r="AV659" i="90"/>
  <c r="AV503" i="90"/>
  <c r="AV1387" i="90"/>
  <c r="AV243" i="90"/>
  <c r="AV919" i="90"/>
  <c r="AV971" i="90"/>
  <c r="AV451" i="90"/>
  <c r="AV1647" i="90"/>
  <c r="AV607" i="90"/>
  <c r="AV867" i="90"/>
  <c r="AV1127" i="90"/>
  <c r="AV555" i="90"/>
  <c r="AV665" i="90"/>
  <c r="AV821" i="90"/>
  <c r="AV1445" i="90"/>
  <c r="AV1029" i="90"/>
  <c r="AV1237" i="90"/>
  <c r="AV1185" i="90"/>
  <c r="AV613" i="90"/>
  <c r="AV249" i="90"/>
  <c r="AV509" i="90"/>
  <c r="AV405" i="90"/>
  <c r="AV41" i="90"/>
  <c r="AV197" i="90"/>
  <c r="AV93" i="90"/>
  <c r="AV717" i="90"/>
  <c r="AV1341" i="90"/>
  <c r="AV1133" i="90"/>
  <c r="AV1497" i="90"/>
  <c r="AV457" i="90"/>
  <c r="AV769" i="90"/>
  <c r="AV353" i="90"/>
  <c r="AV145" i="90"/>
  <c r="AV1549" i="90"/>
  <c r="AV1653" i="90"/>
  <c r="AV1393" i="90"/>
  <c r="AV301" i="90"/>
  <c r="AV1601" i="90"/>
  <c r="AV873" i="90"/>
  <c r="AV977" i="90"/>
  <c r="AV561" i="90"/>
  <c r="AV1081" i="90"/>
  <c r="AV1289" i="90"/>
  <c r="AV925" i="90"/>
  <c r="BI17" i="90"/>
  <c r="BI57" i="90"/>
  <c r="BI37" i="90"/>
  <c r="BI77" i="90"/>
  <c r="BV277" i="90"/>
  <c r="BV437" i="90"/>
  <c r="BV37" i="90"/>
  <c r="BV457" i="90"/>
  <c r="BV517" i="90"/>
  <c r="BV477" i="90"/>
  <c r="BV197" i="90"/>
  <c r="BV157" i="90"/>
  <c r="BV217" i="90"/>
  <c r="BV297" i="90"/>
  <c r="BV177" i="90"/>
  <c r="BV557" i="90"/>
  <c r="BV137" i="90"/>
  <c r="BV577" i="90"/>
  <c r="BV257" i="90"/>
  <c r="BV57" i="90"/>
  <c r="BV497" i="90"/>
  <c r="BV117" i="90"/>
  <c r="BV17" i="90"/>
  <c r="BV637" i="90"/>
  <c r="BV237" i="90"/>
  <c r="BV317" i="90"/>
  <c r="BV77" i="90"/>
  <c r="BV537" i="90"/>
  <c r="BV337" i="90"/>
  <c r="BV417" i="90"/>
  <c r="BV377" i="90"/>
  <c r="BV617" i="90"/>
  <c r="BV357" i="90"/>
  <c r="BV597" i="90"/>
  <c r="BV97" i="90"/>
  <c r="BV397" i="90"/>
  <c r="AV1541" i="90"/>
  <c r="AV1593" i="90"/>
  <c r="AV1489" i="90"/>
  <c r="AV1021" i="90"/>
  <c r="AV33" i="90"/>
  <c r="AV1437" i="90"/>
  <c r="AV1229" i="90"/>
  <c r="AV1177" i="90"/>
  <c r="AV1125" i="90"/>
  <c r="AV345" i="90"/>
  <c r="AV605" i="90"/>
  <c r="AV501" i="90"/>
  <c r="AV85" i="90"/>
  <c r="AV241" i="90"/>
  <c r="AV189" i="90"/>
  <c r="AV137" i="90"/>
  <c r="AV657" i="90"/>
  <c r="AV761" i="90"/>
  <c r="AV1333" i="90"/>
  <c r="AV449" i="90"/>
  <c r="AV397" i="90"/>
  <c r="AV709" i="90"/>
  <c r="AV813" i="90"/>
  <c r="AV1385" i="90"/>
  <c r="AV553" i="90"/>
  <c r="AV1073" i="90"/>
  <c r="AV1645" i="90"/>
  <c r="AV865" i="90"/>
  <c r="AV969" i="90"/>
  <c r="AV293" i="90"/>
  <c r="AV917" i="90"/>
  <c r="AV1281" i="90"/>
  <c r="AV608" i="90"/>
  <c r="AV1128" i="90"/>
  <c r="AV296" i="90"/>
  <c r="AV1596" i="90"/>
  <c r="AV1544" i="90"/>
  <c r="AV1232" i="90"/>
  <c r="AV1180" i="90"/>
  <c r="AV920" i="90"/>
  <c r="AV972" i="90"/>
  <c r="AV868" i="90"/>
  <c r="AV816" i="90"/>
  <c r="AV1024" i="90"/>
  <c r="AV712" i="90"/>
  <c r="AV764" i="90"/>
  <c r="AV504" i="90"/>
  <c r="AV556" i="90"/>
  <c r="AV660" i="90"/>
  <c r="AV348" i="90"/>
  <c r="AV452" i="90"/>
  <c r="AV400" i="90"/>
  <c r="AV36" i="90"/>
  <c r="AV192" i="90"/>
  <c r="AV1648" i="90"/>
  <c r="AV140" i="90"/>
  <c r="AV88" i="90"/>
  <c r="AV1492" i="90"/>
  <c r="AV1284" i="90"/>
  <c r="AV1076" i="90"/>
  <c r="AV1388" i="90"/>
  <c r="AV244" i="90"/>
  <c r="AV1336" i="90"/>
  <c r="AV1440" i="90"/>
  <c r="BI19" i="90"/>
  <c r="BI39" i="90"/>
  <c r="BI59" i="90"/>
  <c r="BI79" i="90"/>
  <c r="BV139" i="90"/>
  <c r="BV79" i="90"/>
  <c r="BV359" i="90"/>
  <c r="BV339" i="90"/>
  <c r="BV539" i="90"/>
  <c r="BV119" i="90"/>
  <c r="BV519" i="90"/>
  <c r="BV599" i="90"/>
  <c r="BV259" i="90"/>
  <c r="BV499" i="90"/>
  <c r="BV379" i="90"/>
  <c r="BV39" i="90"/>
  <c r="BV559" i="90"/>
  <c r="BV59" i="90"/>
  <c r="BV579" i="90"/>
  <c r="BV619" i="90"/>
  <c r="BV639" i="90"/>
  <c r="BV319" i="90"/>
  <c r="BV399" i="90"/>
  <c r="BV439" i="90"/>
  <c r="BV19" i="90"/>
  <c r="BV99" i="90"/>
  <c r="BV279" i="90"/>
  <c r="BV239" i="90"/>
  <c r="BV299" i="90"/>
  <c r="BV159" i="90"/>
  <c r="BV179" i="90"/>
  <c r="BV419" i="90"/>
  <c r="BV199" i="90"/>
  <c r="BV479" i="90"/>
  <c r="BV459" i="90"/>
  <c r="BV219" i="90"/>
  <c r="BJ94" i="103"/>
  <c r="BJ28" i="103"/>
  <c r="BJ124" i="103"/>
  <c r="BJ76" i="103"/>
  <c r="BJ52" i="103"/>
  <c r="BJ82" i="103"/>
  <c r="BJ40" i="103"/>
  <c r="BJ22" i="103"/>
  <c r="BJ70" i="103"/>
  <c r="BJ118" i="103"/>
  <c r="BJ34" i="103"/>
  <c r="BJ10" i="103"/>
  <c r="BJ64" i="103"/>
  <c r="BJ46" i="103"/>
  <c r="BJ58" i="103"/>
  <c r="BJ130" i="103"/>
  <c r="BJ106" i="103"/>
  <c r="BJ16" i="103"/>
  <c r="BJ88" i="103"/>
  <c r="BJ100" i="103"/>
  <c r="BJ112" i="103"/>
  <c r="U34" i="90"/>
  <c r="W34" i="90"/>
  <c r="V34" i="90"/>
  <c r="X34" i="90"/>
  <c r="U37" i="90"/>
  <c r="V37" i="90"/>
  <c r="W37" i="90"/>
  <c r="X37" i="90"/>
  <c r="U35" i="90"/>
  <c r="V35" i="90"/>
  <c r="W35" i="90"/>
  <c r="X35" i="90"/>
  <c r="U38" i="90"/>
  <c r="W38" i="90"/>
  <c r="V38" i="90"/>
  <c r="X38" i="90"/>
  <c r="U41" i="90"/>
  <c r="V41" i="90"/>
  <c r="W41" i="90"/>
  <c r="X41" i="90"/>
  <c r="U33" i="90"/>
  <c r="V33" i="90"/>
  <c r="W33" i="90"/>
  <c r="X33" i="90"/>
  <c r="U36" i="90"/>
  <c r="W36" i="90"/>
  <c r="V36" i="90"/>
  <c r="X36" i="90"/>
  <c r="U40" i="90"/>
  <c r="W40" i="90"/>
  <c r="V40" i="90"/>
  <c r="X40" i="90"/>
  <c r="U39" i="90"/>
  <c r="V39" i="90"/>
  <c r="W39" i="90"/>
  <c r="X39" i="90"/>
  <c r="ED36" i="89"/>
  <c r="ED34" i="89"/>
  <c r="ED38" i="89"/>
  <c r="ED42" i="89"/>
  <c r="ED41" i="89"/>
  <c r="ED40" i="89"/>
  <c r="ED39" i="89"/>
  <c r="ED37" i="89"/>
  <c r="ED35" i="89"/>
  <c r="AH38" i="90" l="1"/>
  <c r="AH90" i="90"/>
  <c r="AH142" i="90"/>
  <c r="AH194" i="90"/>
  <c r="AH193" i="90"/>
  <c r="AH89" i="90"/>
  <c r="AH141" i="90"/>
  <c r="AH37" i="90"/>
  <c r="AH195" i="90"/>
  <c r="AH39" i="90"/>
  <c r="AH91" i="90"/>
  <c r="AH143" i="90"/>
  <c r="AH137" i="90"/>
  <c r="AH189" i="90"/>
  <c r="AH33" i="90"/>
  <c r="AH85" i="90"/>
  <c r="AH34" i="90"/>
  <c r="AH86" i="90"/>
  <c r="AH138" i="90"/>
  <c r="AH190" i="90"/>
  <c r="AH40" i="90"/>
  <c r="AH92" i="90"/>
  <c r="AH144" i="90"/>
  <c r="AH196" i="90"/>
  <c r="AH35" i="90"/>
  <c r="AH87" i="90"/>
  <c r="AH139" i="90"/>
  <c r="AH191" i="90"/>
  <c r="AH36" i="90"/>
  <c r="AH88" i="90"/>
  <c r="AH140" i="90"/>
  <c r="AH192" i="90"/>
  <c r="AH145" i="90"/>
  <c r="AH41" i="90"/>
  <c r="AH93" i="90"/>
  <c r="AH197" i="90"/>
  <c r="CZ6" i="82"/>
  <c r="CZ10" i="82"/>
  <c r="CZ14" i="82"/>
  <c r="CZ18" i="82"/>
  <c r="CZ26" i="82"/>
  <c r="CZ30" i="82"/>
  <c r="CZ34" i="82"/>
  <c r="CZ38" i="82"/>
  <c r="CZ42" i="82"/>
  <c r="CZ46" i="82"/>
  <c r="CZ7" i="82"/>
  <c r="CZ8" i="82"/>
  <c r="CZ9" i="82"/>
  <c r="CZ11" i="82"/>
  <c r="CZ12" i="82"/>
  <c r="CZ13" i="82"/>
  <c r="CZ15" i="82"/>
  <c r="CZ16" i="82"/>
  <c r="CZ17" i="82"/>
  <c r="CZ19" i="82"/>
  <c r="CZ20" i="82"/>
  <c r="CZ21" i="82"/>
  <c r="CZ23" i="82"/>
  <c r="CZ24" i="82"/>
  <c r="CZ25" i="82"/>
  <c r="CZ27" i="82"/>
  <c r="CZ28" i="82"/>
  <c r="CZ29" i="82"/>
  <c r="CZ31" i="82"/>
  <c r="CZ32" i="82"/>
  <c r="CZ33" i="82"/>
  <c r="CZ35" i="82"/>
  <c r="CZ36" i="82"/>
  <c r="CZ37" i="82"/>
  <c r="CZ39" i="82"/>
  <c r="CZ40" i="82"/>
  <c r="CZ41" i="82"/>
  <c r="CZ43" i="82"/>
  <c r="CZ44" i="82"/>
  <c r="CZ45" i="82"/>
  <c r="CZ47" i="82"/>
  <c r="CZ48" i="82"/>
  <c r="CZ49" i="82"/>
  <c r="CZ5" i="82"/>
  <c r="BV6" i="82"/>
  <c r="BV7" i="82"/>
  <c r="BV8" i="82"/>
  <c r="BV9" i="82"/>
  <c r="BV10" i="82"/>
  <c r="BV11" i="82"/>
  <c r="BV12" i="82"/>
  <c r="BV13" i="82"/>
  <c r="BV14" i="82"/>
  <c r="BV15" i="82"/>
  <c r="BV16" i="82"/>
  <c r="BV17" i="82"/>
  <c r="BV18" i="82"/>
  <c r="BV19" i="82"/>
  <c r="BV20" i="82"/>
  <c r="BV21" i="82"/>
  <c r="BV22" i="82"/>
  <c r="BV23" i="82"/>
  <c r="BV24" i="82"/>
  <c r="BV25" i="82"/>
  <c r="BV26" i="82"/>
  <c r="BV27" i="82"/>
  <c r="BV28" i="82"/>
  <c r="BV29" i="82"/>
  <c r="BV30" i="82"/>
  <c r="BV31" i="82"/>
  <c r="BV32" i="82"/>
  <c r="BV33" i="82"/>
  <c r="BV34" i="82"/>
  <c r="BV35" i="82"/>
  <c r="BV36" i="82"/>
  <c r="BV37" i="82"/>
  <c r="BV38" i="82"/>
  <c r="BV39" i="82"/>
  <c r="BV40" i="82"/>
  <c r="BV41" i="82"/>
  <c r="BV42" i="82"/>
  <c r="BV43" i="82"/>
  <c r="BV44" i="82"/>
  <c r="BV45" i="82"/>
  <c r="BV46" i="82"/>
  <c r="BV47" i="82"/>
  <c r="BV48" i="82"/>
  <c r="BV49" i="82"/>
  <c r="BV5" i="82"/>
  <c r="CD49" i="82" l="1"/>
  <c r="CF49" i="82" s="1"/>
  <c r="BZ49" i="82"/>
  <c r="CD41" i="82"/>
  <c r="CF41" i="82" s="1"/>
  <c r="BZ41" i="82"/>
  <c r="CD37" i="82"/>
  <c r="CF37" i="82" s="1"/>
  <c r="BZ37" i="82"/>
  <c r="CD33" i="82"/>
  <c r="CF33" i="82" s="1"/>
  <c r="BZ33" i="82"/>
  <c r="CD29" i="82"/>
  <c r="CF29" i="82" s="1"/>
  <c r="BZ29" i="82"/>
  <c r="CD25" i="82"/>
  <c r="CF25" i="82" s="1"/>
  <c r="BZ25" i="82"/>
  <c r="CD21" i="82"/>
  <c r="CF21" i="82" s="1"/>
  <c r="BZ21" i="82"/>
  <c r="CD17" i="82"/>
  <c r="CF17" i="82" s="1"/>
  <c r="BZ17" i="82"/>
  <c r="CD13" i="82"/>
  <c r="CF13" i="82" s="1"/>
  <c r="BZ13" i="82"/>
  <c r="CD9" i="82"/>
  <c r="CF9" i="82" s="1"/>
  <c r="BZ9" i="82"/>
  <c r="CD45" i="82"/>
  <c r="CF45" i="82" s="1"/>
  <c r="BZ45" i="82"/>
  <c r="CD48" i="82"/>
  <c r="CF48" i="82" s="1"/>
  <c r="BZ48" i="82"/>
  <c r="CD44" i="82"/>
  <c r="CF44" i="82" s="1"/>
  <c r="BZ44" i="82"/>
  <c r="CD40" i="82"/>
  <c r="CF40" i="82" s="1"/>
  <c r="BZ40" i="82"/>
  <c r="CD36" i="82"/>
  <c r="CF36" i="82" s="1"/>
  <c r="BZ36" i="82"/>
  <c r="CD32" i="82"/>
  <c r="CF32" i="82" s="1"/>
  <c r="BZ32" i="82"/>
  <c r="CD28" i="82"/>
  <c r="CF28" i="82" s="1"/>
  <c r="BZ28" i="82"/>
  <c r="CD24" i="82"/>
  <c r="CF24" i="82" s="1"/>
  <c r="BZ24" i="82"/>
  <c r="CD20" i="82"/>
  <c r="CF20" i="82" s="1"/>
  <c r="BZ20" i="82"/>
  <c r="CD16" i="82"/>
  <c r="CF16" i="82" s="1"/>
  <c r="BZ16" i="82"/>
  <c r="CD12" i="82"/>
  <c r="CF12" i="82" s="1"/>
  <c r="BZ12" i="82"/>
  <c r="CD8" i="82"/>
  <c r="CF8" i="82" s="1"/>
  <c r="BZ8" i="82"/>
  <c r="CD47" i="82"/>
  <c r="CF47" i="82" s="1"/>
  <c r="BZ47" i="82"/>
  <c r="CD43" i="82"/>
  <c r="CF43" i="82" s="1"/>
  <c r="BZ43" i="82"/>
  <c r="CD39" i="82"/>
  <c r="CF39" i="82" s="1"/>
  <c r="BZ39" i="82"/>
  <c r="CD35" i="82"/>
  <c r="CF35" i="82" s="1"/>
  <c r="BZ35" i="82"/>
  <c r="CD31" i="82"/>
  <c r="CF31" i="82" s="1"/>
  <c r="BZ31" i="82"/>
  <c r="CD27" i="82"/>
  <c r="CF27" i="82" s="1"/>
  <c r="BZ27" i="82"/>
  <c r="CD23" i="82"/>
  <c r="CF23" i="82" s="1"/>
  <c r="BZ23" i="82"/>
  <c r="CD19" i="82"/>
  <c r="CF19" i="82" s="1"/>
  <c r="BZ19" i="82"/>
  <c r="CD15" i="82"/>
  <c r="CF15" i="82" s="1"/>
  <c r="BZ15" i="82"/>
  <c r="CD11" i="82"/>
  <c r="CF11" i="82" s="1"/>
  <c r="BZ11" i="82"/>
  <c r="CD7" i="82"/>
  <c r="CF7" i="82" s="1"/>
  <c r="BZ7" i="82"/>
  <c r="CD5" i="82"/>
  <c r="CF5" i="82" s="1"/>
  <c r="BZ5" i="82"/>
  <c r="CD46" i="82"/>
  <c r="CF46" i="82" s="1"/>
  <c r="BZ46" i="82"/>
  <c r="CD42" i="82"/>
  <c r="CF42" i="82" s="1"/>
  <c r="BZ42" i="82"/>
  <c r="CD38" i="82"/>
  <c r="CF38" i="82" s="1"/>
  <c r="BZ38" i="82"/>
  <c r="CD34" i="82"/>
  <c r="CF34" i="82" s="1"/>
  <c r="BZ34" i="82"/>
  <c r="CD30" i="82"/>
  <c r="CF30" i="82" s="1"/>
  <c r="BZ30" i="82"/>
  <c r="CD26" i="82"/>
  <c r="CF26" i="82" s="1"/>
  <c r="BZ26" i="82"/>
  <c r="CD22" i="82"/>
  <c r="CF22" i="82" s="1"/>
  <c r="BZ22" i="82"/>
  <c r="CD18" i="82"/>
  <c r="CF18" i="82" s="1"/>
  <c r="BZ18" i="82"/>
  <c r="CD14" i="82"/>
  <c r="CF14" i="82" s="1"/>
  <c r="BZ14" i="82"/>
  <c r="CD10" i="82"/>
  <c r="CF10" i="82" s="1"/>
  <c r="BZ10" i="82"/>
  <c r="CD6" i="82"/>
  <c r="CF6" i="82" s="1"/>
  <c r="BZ6" i="82"/>
  <c r="CZ22" i="82"/>
  <c r="R8" i="89" l="1"/>
  <c r="AF8" i="89" s="1"/>
  <c r="R9" i="89"/>
  <c r="AF9" i="89" s="1"/>
  <c r="R10" i="89"/>
  <c r="AF10" i="89" s="1"/>
  <c r="R11" i="89"/>
  <c r="AF11" i="89" s="1"/>
  <c r="R12" i="89"/>
  <c r="AF12" i="89" s="1"/>
  <c r="R13" i="89"/>
  <c r="AF13" i="89" s="1"/>
  <c r="R14" i="89"/>
  <c r="AF14" i="89" s="1"/>
  <c r="R15" i="89"/>
  <c r="AF15" i="89" s="1"/>
  <c r="R16" i="89"/>
  <c r="AF16" i="89" s="1"/>
  <c r="R17" i="89"/>
  <c r="AF17" i="89" s="1"/>
  <c r="R18" i="89"/>
  <c r="AF18" i="89" s="1"/>
  <c r="R19" i="89"/>
  <c r="AF19" i="89" s="1"/>
  <c r="R20" i="89"/>
  <c r="AF20" i="89" s="1"/>
  <c r="R21" i="89"/>
  <c r="AF21" i="89" s="1"/>
  <c r="R22" i="89"/>
  <c r="AF22" i="89" s="1"/>
  <c r="R7" i="89"/>
  <c r="Q7" i="89"/>
  <c r="AE7" i="89" s="1"/>
  <c r="AF7" i="89" l="1"/>
  <c r="Q51" i="89"/>
  <c r="Q53" i="89"/>
  <c r="Q52" i="89"/>
  <c r="Q50" i="89"/>
  <c r="Q99" i="89"/>
  <c r="Q101" i="89"/>
  <c r="Q100" i="89"/>
  <c r="Q98" i="89"/>
  <c r="Q67" i="89"/>
  <c r="Q69" i="89"/>
  <c r="Q68" i="89"/>
  <c r="Q66" i="89"/>
  <c r="Q95" i="89"/>
  <c r="Q97" i="89"/>
  <c r="Q96" i="89"/>
  <c r="Q94" i="89"/>
  <c r="Q91" i="89"/>
  <c r="Q93" i="89"/>
  <c r="Q92" i="89"/>
  <c r="Q90" i="89"/>
  <c r="Q59" i="89"/>
  <c r="Q61" i="89"/>
  <c r="Q60" i="89"/>
  <c r="Q58" i="89"/>
  <c r="Q83" i="89"/>
  <c r="Q85" i="89"/>
  <c r="Q84" i="89"/>
  <c r="Q82" i="89"/>
  <c r="Q111" i="89"/>
  <c r="Q113" i="89"/>
  <c r="Q110" i="89"/>
  <c r="Q112" i="89"/>
  <c r="Q79" i="89"/>
  <c r="Q81" i="89"/>
  <c r="Q80" i="89"/>
  <c r="Q78" i="89"/>
  <c r="Q63" i="89"/>
  <c r="Q65" i="89"/>
  <c r="Q64" i="89"/>
  <c r="Q62" i="89"/>
  <c r="Q107" i="89"/>
  <c r="Q109" i="89"/>
  <c r="Q108" i="89"/>
  <c r="Q106" i="89"/>
  <c r="Q75" i="89"/>
  <c r="Q77" i="89"/>
  <c r="Q76" i="89"/>
  <c r="Q74" i="89"/>
  <c r="Q103" i="89"/>
  <c r="Q105" i="89"/>
  <c r="Q104" i="89"/>
  <c r="Q102" i="89"/>
  <c r="Q87" i="89"/>
  <c r="Q89" i="89"/>
  <c r="Q86" i="89"/>
  <c r="Q88" i="89"/>
  <c r="Q71" i="89"/>
  <c r="Q73" i="89"/>
  <c r="Q70" i="89"/>
  <c r="Q72" i="89"/>
  <c r="Q55" i="89"/>
  <c r="Q57" i="89"/>
  <c r="Q54" i="89"/>
  <c r="Q56" i="89"/>
  <c r="BE38" i="89" l="1"/>
  <c r="BC38" i="89"/>
  <c r="BD38" i="89"/>
  <c r="AZ38" i="89"/>
  <c r="BA38" i="89"/>
  <c r="BB38" i="89"/>
  <c r="AY38" i="89"/>
  <c r="BF38" i="89"/>
  <c r="EC8" i="89"/>
  <c r="EC12" i="89"/>
  <c r="EC16" i="89"/>
  <c r="EC20" i="89"/>
  <c r="EC24" i="89"/>
  <c r="EC28" i="89"/>
  <c r="EC32" i="89"/>
  <c r="EC36" i="89"/>
  <c r="EC40" i="89"/>
  <c r="EC44" i="89"/>
  <c r="EC48" i="89"/>
  <c r="EC52" i="89"/>
  <c r="EC56" i="89"/>
  <c r="EC19" i="89"/>
  <c r="EC27" i="89"/>
  <c r="EC35" i="89"/>
  <c r="EC9" i="89"/>
  <c r="EC13" i="89"/>
  <c r="EC17" i="89"/>
  <c r="EC21" i="89"/>
  <c r="EC25" i="89"/>
  <c r="EC29" i="89"/>
  <c r="EC33" i="89"/>
  <c r="EC37" i="89"/>
  <c r="EC41" i="89"/>
  <c r="EC45" i="89"/>
  <c r="EC49" i="89"/>
  <c r="EC53" i="89"/>
  <c r="EC57" i="89"/>
  <c r="EC6" i="89"/>
  <c r="EC7" i="89"/>
  <c r="EC11" i="89"/>
  <c r="EC31" i="89"/>
  <c r="EC39" i="89"/>
  <c r="EC47" i="89"/>
  <c r="EC10" i="89"/>
  <c r="EC14" i="89"/>
  <c r="EC18" i="89"/>
  <c r="EC22" i="89"/>
  <c r="EC26" i="89"/>
  <c r="EC30" i="89"/>
  <c r="EC34" i="89"/>
  <c r="EC38" i="89"/>
  <c r="EC42" i="89"/>
  <c r="EC46" i="89"/>
  <c r="EC50" i="89"/>
  <c r="EC54" i="89"/>
  <c r="EC15" i="89"/>
  <c r="EC23" i="89"/>
  <c r="EC43" i="89"/>
  <c r="EC51" i="89"/>
  <c r="EC55" i="89"/>
  <c r="M5" i="88"/>
  <c r="M6" i="88"/>
  <c r="M7" i="88"/>
  <c r="M8" i="88"/>
  <c r="M9" i="88"/>
  <c r="M10" i="88"/>
  <c r="M11" i="88"/>
  <c r="M12" i="88"/>
  <c r="M13" i="88"/>
  <c r="M14" i="88"/>
  <c r="M15" i="88"/>
  <c r="M16" i="88"/>
  <c r="M17" i="88"/>
  <c r="M18" i="88"/>
  <c r="M4" i="88"/>
  <c r="L5" i="88"/>
  <c r="L6" i="88"/>
  <c r="L7" i="88"/>
  <c r="L8" i="88"/>
  <c r="L9" i="88"/>
  <c r="L10" i="88"/>
  <c r="L11" i="88"/>
  <c r="L12" i="88"/>
  <c r="L13" i="88"/>
  <c r="L14" i="88"/>
  <c r="L15" i="88"/>
  <c r="L16" i="88"/>
  <c r="L17" i="88"/>
  <c r="L18" i="88"/>
  <c r="L4" i="88"/>
  <c r="K5" i="88"/>
  <c r="K6" i="88"/>
  <c r="K7" i="88"/>
  <c r="K8" i="88"/>
  <c r="K9" i="88"/>
  <c r="K10" i="88"/>
  <c r="K11" i="88"/>
  <c r="K12" i="88"/>
  <c r="K13" i="88"/>
  <c r="K14" i="88"/>
  <c r="K15" i="88"/>
  <c r="K16" i="88"/>
  <c r="K17" i="88"/>
  <c r="K18" i="88"/>
  <c r="K4" i="88"/>
  <c r="J5" i="88"/>
  <c r="J6" i="88"/>
  <c r="J7" i="88"/>
  <c r="J8" i="88"/>
  <c r="J9" i="88"/>
  <c r="J10" i="88"/>
  <c r="J11" i="88"/>
  <c r="J12" i="88"/>
  <c r="J13" i="88"/>
  <c r="J14" i="88"/>
  <c r="J15" i="88"/>
  <c r="J16" i="88"/>
  <c r="J17" i="88"/>
  <c r="J18" i="88"/>
  <c r="J4" i="88"/>
  <c r="E5" i="88"/>
  <c r="E6" i="88"/>
  <c r="E7" i="88"/>
  <c r="E8" i="88"/>
  <c r="E9" i="88"/>
  <c r="E10" i="88"/>
  <c r="E11" i="88"/>
  <c r="E12" i="88"/>
  <c r="E13" i="88"/>
  <c r="E14" i="88"/>
  <c r="E15" i="88"/>
  <c r="E16" i="88"/>
  <c r="E17" i="88"/>
  <c r="E18" i="88"/>
  <c r="D4" i="88"/>
  <c r="E4" i="88" s="1"/>
  <c r="AG54" i="90" l="1"/>
  <c r="AG106" i="90"/>
  <c r="AG158" i="90"/>
  <c r="AG210" i="90"/>
  <c r="AZ366" i="90"/>
  <c r="AZ678" i="90"/>
  <c r="AZ54" i="90"/>
  <c r="AZ1198" i="90"/>
  <c r="AZ1666" i="90"/>
  <c r="AZ574" i="90"/>
  <c r="AZ834" i="90"/>
  <c r="AZ1250" i="90"/>
  <c r="AZ626" i="90"/>
  <c r="AZ1042" i="90"/>
  <c r="AZ210" i="90"/>
  <c r="AZ1510" i="90"/>
  <c r="AZ886" i="90"/>
  <c r="AZ1354" i="90"/>
  <c r="AZ1146" i="90"/>
  <c r="AZ470" i="90"/>
  <c r="AZ1458" i="90"/>
  <c r="AZ106" i="90"/>
  <c r="AZ1094" i="90"/>
  <c r="AZ938" i="90"/>
  <c r="AZ730" i="90"/>
  <c r="AZ418" i="90"/>
  <c r="AZ1406" i="90"/>
  <c r="AZ314" i="90"/>
  <c r="AZ990" i="90"/>
  <c r="AZ782" i="90"/>
  <c r="AZ158" i="90"/>
  <c r="AZ262" i="90"/>
  <c r="AZ1302" i="90"/>
  <c r="AZ522" i="90"/>
  <c r="AZ1562" i="90"/>
  <c r="AZ1614" i="90"/>
  <c r="AG14" i="90"/>
  <c r="AG66" i="90"/>
  <c r="AG118" i="90"/>
  <c r="AG170" i="90"/>
  <c r="AG41" i="90"/>
  <c r="AG197" i="90"/>
  <c r="AG93" i="90"/>
  <c r="AG145" i="90"/>
  <c r="AG25" i="90"/>
  <c r="AG181" i="90"/>
  <c r="AG77" i="90"/>
  <c r="AG129" i="90"/>
  <c r="AG113" i="90"/>
  <c r="AG61" i="90"/>
  <c r="AG9" i="90"/>
  <c r="AG165" i="90"/>
  <c r="AG10" i="90"/>
  <c r="AG62" i="90"/>
  <c r="AG114" i="90"/>
  <c r="AG166" i="90"/>
  <c r="AG52" i="90"/>
  <c r="AG104" i="90"/>
  <c r="AG156" i="90"/>
  <c r="AG208" i="90"/>
  <c r="AZ1196" i="90"/>
  <c r="AZ676" i="90"/>
  <c r="AZ1560" i="90"/>
  <c r="AZ364" i="90"/>
  <c r="AZ1248" i="90"/>
  <c r="AZ520" i="90"/>
  <c r="AZ156" i="90"/>
  <c r="AZ832" i="90"/>
  <c r="AZ312" i="90"/>
  <c r="AZ1612" i="90"/>
  <c r="AZ416" i="90"/>
  <c r="AZ1404" i="90"/>
  <c r="AZ1508" i="90"/>
  <c r="AZ884" i="90"/>
  <c r="AZ572" i="90"/>
  <c r="AZ1040" i="90"/>
  <c r="AZ260" i="90"/>
  <c r="AZ468" i="90"/>
  <c r="AZ728" i="90"/>
  <c r="AZ1144" i="90"/>
  <c r="AZ52" i="90"/>
  <c r="AZ208" i="90"/>
  <c r="AZ1664" i="90"/>
  <c r="AZ104" i="90"/>
  <c r="AZ988" i="90"/>
  <c r="AZ624" i="90"/>
  <c r="AZ936" i="90"/>
  <c r="AZ780" i="90"/>
  <c r="AZ1456" i="90"/>
  <c r="AZ1300" i="90"/>
  <c r="AZ1352" i="90"/>
  <c r="AZ1092" i="90"/>
  <c r="AG36" i="90"/>
  <c r="AG88" i="90"/>
  <c r="AG140" i="90"/>
  <c r="AG192" i="90"/>
  <c r="AG20" i="90"/>
  <c r="AG72" i="90"/>
  <c r="AG124" i="90"/>
  <c r="AG176" i="90"/>
  <c r="AG34" i="90"/>
  <c r="AG86" i="90"/>
  <c r="AG138" i="90"/>
  <c r="AG190" i="90"/>
  <c r="AG51" i="90"/>
  <c r="AG103" i="90"/>
  <c r="AG155" i="90"/>
  <c r="AG207" i="90"/>
  <c r="AZ259" i="90"/>
  <c r="AZ155" i="90"/>
  <c r="AZ103" i="90"/>
  <c r="AZ1507" i="90"/>
  <c r="AZ207" i="90"/>
  <c r="AZ519" i="90"/>
  <c r="AZ1091" i="90"/>
  <c r="AZ1247" i="90"/>
  <c r="AZ1143" i="90"/>
  <c r="AZ1559" i="90"/>
  <c r="AZ831" i="90"/>
  <c r="AZ727" i="90"/>
  <c r="AZ1455" i="90"/>
  <c r="AZ51" i="90"/>
  <c r="AZ363" i="90"/>
  <c r="AZ311" i="90"/>
  <c r="AZ1039" i="90"/>
  <c r="AZ987" i="90"/>
  <c r="AZ1299" i="90"/>
  <c r="AZ415" i="90"/>
  <c r="AZ675" i="90"/>
  <c r="AZ1351" i="90"/>
  <c r="AZ1403" i="90"/>
  <c r="AZ779" i="90"/>
  <c r="AZ1195" i="90"/>
  <c r="AZ467" i="90"/>
  <c r="AZ1611" i="90"/>
  <c r="AZ1663" i="90"/>
  <c r="AZ935" i="90"/>
  <c r="AZ571" i="90"/>
  <c r="AZ623" i="90"/>
  <c r="AZ883" i="90"/>
  <c r="AG35" i="90"/>
  <c r="AG87" i="90"/>
  <c r="AG139" i="90"/>
  <c r="AG191" i="90"/>
  <c r="AG19" i="90"/>
  <c r="AG71" i="90"/>
  <c r="AG123" i="90"/>
  <c r="AG175" i="90"/>
  <c r="AG50" i="90"/>
  <c r="AG102" i="90"/>
  <c r="AG154" i="90"/>
  <c r="AG206" i="90"/>
  <c r="AZ362" i="90"/>
  <c r="AZ310" i="90"/>
  <c r="AZ1662" i="90"/>
  <c r="AZ258" i="90"/>
  <c r="AZ518" i="90"/>
  <c r="AZ1246" i="90"/>
  <c r="AZ934" i="90"/>
  <c r="AZ570" i="90"/>
  <c r="AZ1402" i="90"/>
  <c r="AZ102" i="90"/>
  <c r="AZ778" i="90"/>
  <c r="AZ726" i="90"/>
  <c r="AZ986" i="90"/>
  <c r="AZ1454" i="90"/>
  <c r="AZ1506" i="90"/>
  <c r="AZ1090" i="90"/>
  <c r="AZ414" i="90"/>
  <c r="AZ674" i="90"/>
  <c r="AZ1038" i="90"/>
  <c r="AZ1142" i="90"/>
  <c r="AZ466" i="90"/>
  <c r="AZ622" i="90"/>
  <c r="AZ1298" i="90"/>
  <c r="AZ882" i="90"/>
  <c r="AZ1194" i="90"/>
  <c r="AZ1610" i="90"/>
  <c r="AZ50" i="90"/>
  <c r="AZ154" i="90"/>
  <c r="AZ830" i="90"/>
  <c r="AZ1350" i="90"/>
  <c r="AZ206" i="90"/>
  <c r="AZ1558" i="90"/>
  <c r="AG53" i="90"/>
  <c r="AG157" i="90"/>
  <c r="AG209" i="90"/>
  <c r="AG105" i="90"/>
  <c r="AZ261" i="90"/>
  <c r="AZ105" i="90"/>
  <c r="AZ1041" i="90"/>
  <c r="AZ469" i="90"/>
  <c r="AZ157" i="90"/>
  <c r="AZ1093" i="90"/>
  <c r="AZ1457" i="90"/>
  <c r="AZ833" i="90"/>
  <c r="AZ1145" i="90"/>
  <c r="AZ1197" i="90"/>
  <c r="AZ521" i="90"/>
  <c r="AZ677" i="90"/>
  <c r="AZ1249" i="90"/>
  <c r="AZ365" i="90"/>
  <c r="AZ781" i="90"/>
  <c r="AZ417" i="90"/>
  <c r="AZ729" i="90"/>
  <c r="AZ989" i="90"/>
  <c r="AZ1301" i="90"/>
  <c r="AZ1665" i="90"/>
  <c r="AZ1405" i="90"/>
  <c r="AZ937" i="90"/>
  <c r="AZ313" i="90"/>
  <c r="AZ885" i="90"/>
  <c r="AZ1353" i="90"/>
  <c r="AZ573" i="90"/>
  <c r="AZ209" i="90"/>
  <c r="AZ1613" i="90"/>
  <c r="AZ1561" i="90"/>
  <c r="AZ1509" i="90"/>
  <c r="AZ625" i="90"/>
  <c r="AZ53" i="90"/>
  <c r="AG141" i="90"/>
  <c r="AG37" i="90"/>
  <c r="AG193" i="90"/>
  <c r="AG89" i="90"/>
  <c r="AG73" i="90"/>
  <c r="AG125" i="90"/>
  <c r="AG21" i="90"/>
  <c r="AG177" i="90"/>
  <c r="AG46" i="90"/>
  <c r="AG98" i="90"/>
  <c r="AG150" i="90"/>
  <c r="AG202" i="90"/>
  <c r="AZ826" i="90"/>
  <c r="AZ670" i="90"/>
  <c r="AZ150" i="90"/>
  <c r="AZ1138" i="90"/>
  <c r="AZ358" i="90"/>
  <c r="AZ1190" i="90"/>
  <c r="AZ1606" i="90"/>
  <c r="AZ1502" i="90"/>
  <c r="AZ1658" i="90"/>
  <c r="AZ878" i="90"/>
  <c r="AZ1346" i="90"/>
  <c r="AZ306" i="90"/>
  <c r="AZ722" i="90"/>
  <c r="AZ1242" i="90"/>
  <c r="AZ410" i="90"/>
  <c r="AZ982" i="90"/>
  <c r="AZ1034" i="90"/>
  <c r="AZ98" i="90"/>
  <c r="AZ1086" i="90"/>
  <c r="AZ930" i="90"/>
  <c r="AZ462" i="90"/>
  <c r="AZ1450" i="90"/>
  <c r="AZ514" i="90"/>
  <c r="AZ566" i="90"/>
  <c r="AZ618" i="90"/>
  <c r="AZ774" i="90"/>
  <c r="AZ1398" i="90"/>
  <c r="AZ202" i="90"/>
  <c r="AZ46" i="90"/>
  <c r="AZ1294" i="90"/>
  <c r="AZ254" i="90"/>
  <c r="AZ1554" i="90"/>
  <c r="AG6" i="90"/>
  <c r="AG58" i="90"/>
  <c r="AG110" i="90"/>
  <c r="AG162" i="90"/>
  <c r="AG48" i="90"/>
  <c r="AG100" i="90"/>
  <c r="AG152" i="90"/>
  <c r="AG204" i="90"/>
  <c r="AZ1244" i="90"/>
  <c r="AZ464" i="90"/>
  <c r="AZ308" i="90"/>
  <c r="AZ1192" i="90"/>
  <c r="AZ256" i="90"/>
  <c r="AZ1660" i="90"/>
  <c r="AZ412" i="90"/>
  <c r="AZ1140" i="90"/>
  <c r="AZ1608" i="90"/>
  <c r="AZ1504" i="90"/>
  <c r="AZ1556" i="90"/>
  <c r="AZ100" i="90"/>
  <c r="AZ880" i="90"/>
  <c r="AZ48" i="90"/>
  <c r="AZ828" i="90"/>
  <c r="AZ1036" i="90"/>
  <c r="AZ1348" i="90"/>
  <c r="AZ672" i="90"/>
  <c r="AZ724" i="90"/>
  <c r="AZ516" i="90"/>
  <c r="AZ360" i="90"/>
  <c r="AZ204" i="90"/>
  <c r="AZ1088" i="90"/>
  <c r="AZ776" i="90"/>
  <c r="AZ932" i="90"/>
  <c r="AZ984" i="90"/>
  <c r="AZ1400" i="90"/>
  <c r="AZ152" i="90"/>
  <c r="AZ568" i="90"/>
  <c r="AZ1452" i="90"/>
  <c r="AZ620" i="90"/>
  <c r="AZ1296" i="90"/>
  <c r="AG32" i="90"/>
  <c r="AG84" i="90"/>
  <c r="AG136" i="90"/>
  <c r="AG188" i="90"/>
  <c r="AG16" i="90"/>
  <c r="AG68" i="90"/>
  <c r="AG120" i="90"/>
  <c r="AG172" i="90"/>
  <c r="AG26" i="90"/>
  <c r="AG78" i="90"/>
  <c r="AG130" i="90"/>
  <c r="AG182" i="90"/>
  <c r="AG47" i="90"/>
  <c r="AG99" i="90"/>
  <c r="AG151" i="90"/>
  <c r="AG203" i="90"/>
  <c r="AZ619" i="90"/>
  <c r="AZ151" i="90"/>
  <c r="AZ99" i="90"/>
  <c r="AZ1503" i="90"/>
  <c r="AZ1607" i="90"/>
  <c r="AZ671" i="90"/>
  <c r="AZ775" i="90"/>
  <c r="AZ1139" i="90"/>
  <c r="AZ1191" i="90"/>
  <c r="AZ1035" i="90"/>
  <c r="AZ1347" i="90"/>
  <c r="AZ463" i="90"/>
  <c r="AZ1451" i="90"/>
  <c r="AZ723" i="90"/>
  <c r="AZ1295" i="90"/>
  <c r="AZ1243" i="90"/>
  <c r="AZ359" i="90"/>
  <c r="AZ827" i="90"/>
  <c r="AZ515" i="90"/>
  <c r="AZ1399" i="90"/>
  <c r="AZ255" i="90"/>
  <c r="AZ1659" i="90"/>
  <c r="AZ47" i="90"/>
  <c r="AZ983" i="90"/>
  <c r="AZ567" i="90"/>
  <c r="AZ307" i="90"/>
  <c r="AZ1555" i="90"/>
  <c r="AZ411" i="90"/>
  <c r="AZ203" i="90"/>
  <c r="AZ931" i="90"/>
  <c r="AZ1087" i="90"/>
  <c r="AZ879" i="90"/>
  <c r="AG31" i="90"/>
  <c r="AG83" i="90"/>
  <c r="AG135" i="90"/>
  <c r="AG187" i="90"/>
  <c r="AG15" i="90"/>
  <c r="AG67" i="90"/>
  <c r="AG119" i="90"/>
  <c r="AG171" i="90"/>
  <c r="AG42" i="90"/>
  <c r="AG94" i="90"/>
  <c r="AG146" i="90"/>
  <c r="AG198" i="90"/>
  <c r="AG101" i="90"/>
  <c r="AG49" i="90"/>
  <c r="AG153" i="90"/>
  <c r="AG205" i="90"/>
  <c r="AZ1401" i="90"/>
  <c r="AZ465" i="90"/>
  <c r="AZ1453" i="90"/>
  <c r="AZ153" i="90"/>
  <c r="AZ829" i="90"/>
  <c r="AZ1557" i="90"/>
  <c r="AZ1505" i="90"/>
  <c r="AZ361" i="90"/>
  <c r="AZ1193" i="90"/>
  <c r="AZ101" i="90"/>
  <c r="AZ517" i="90"/>
  <c r="AZ673" i="90"/>
  <c r="AZ725" i="90"/>
  <c r="AZ1037" i="90"/>
  <c r="AZ1141" i="90"/>
  <c r="AZ1245" i="90"/>
  <c r="AZ1349" i="90"/>
  <c r="AZ413" i="90"/>
  <c r="AZ985" i="90"/>
  <c r="AZ621" i="90"/>
  <c r="AZ777" i="90"/>
  <c r="AZ49" i="90"/>
  <c r="AZ205" i="90"/>
  <c r="AZ257" i="90"/>
  <c r="AZ1661" i="90"/>
  <c r="AZ309" i="90"/>
  <c r="AZ933" i="90"/>
  <c r="AZ1297" i="90"/>
  <c r="AZ881" i="90"/>
  <c r="AZ1609" i="90"/>
  <c r="AZ569" i="90"/>
  <c r="AZ1089" i="90"/>
  <c r="AG85" i="90"/>
  <c r="AG137" i="90"/>
  <c r="AG33" i="90"/>
  <c r="AG189" i="90"/>
  <c r="AG17" i="90"/>
  <c r="AG69" i="90"/>
  <c r="AG121" i="90"/>
  <c r="AG173" i="90"/>
  <c r="AG38" i="90"/>
  <c r="AG90" i="90"/>
  <c r="AG142" i="90"/>
  <c r="AG194" i="90"/>
  <c r="AG161" i="90"/>
  <c r="AG5" i="90"/>
  <c r="AG57" i="90"/>
  <c r="AG109" i="90"/>
  <c r="AG44" i="90"/>
  <c r="AG96" i="90"/>
  <c r="AG148" i="90"/>
  <c r="AG200" i="90"/>
  <c r="AG28" i="90"/>
  <c r="AG80" i="90"/>
  <c r="AG132" i="90"/>
  <c r="AG184" i="90"/>
  <c r="AG12" i="90"/>
  <c r="AG64" i="90"/>
  <c r="AG116" i="90"/>
  <c r="AG168" i="90"/>
  <c r="AG18" i="90"/>
  <c r="AG70" i="90"/>
  <c r="AG122" i="90"/>
  <c r="AG174" i="90"/>
  <c r="AG43" i="90"/>
  <c r="AG95" i="90"/>
  <c r="AG147" i="90"/>
  <c r="AG199" i="90"/>
  <c r="AG27" i="90"/>
  <c r="AG79" i="90"/>
  <c r="AG131" i="90"/>
  <c r="AG183" i="90"/>
  <c r="AG11" i="90"/>
  <c r="AG63" i="90"/>
  <c r="AG115" i="90"/>
  <c r="AG167" i="90"/>
  <c r="AG22" i="90"/>
  <c r="AG74" i="90"/>
  <c r="AG126" i="90"/>
  <c r="AG178" i="90"/>
  <c r="AG149" i="90"/>
  <c r="AG201" i="90"/>
  <c r="AG45" i="90"/>
  <c r="AG97" i="90"/>
  <c r="AZ149" i="90"/>
  <c r="AZ97" i="90"/>
  <c r="AZ1033" i="90"/>
  <c r="AZ45" i="90"/>
  <c r="AZ1605" i="90"/>
  <c r="AZ1241" i="90"/>
  <c r="AZ357" i="90"/>
  <c r="AZ773" i="90"/>
  <c r="AZ669" i="90"/>
  <c r="AZ1449" i="90"/>
  <c r="AZ461" i="90"/>
  <c r="AZ1085" i="90"/>
  <c r="AZ1189" i="90"/>
  <c r="AZ825" i="90"/>
  <c r="AZ721" i="90"/>
  <c r="AZ1293" i="90"/>
  <c r="AZ1137" i="90"/>
  <c r="AZ409" i="90"/>
  <c r="AZ513" i="90"/>
  <c r="AZ1501" i="90"/>
  <c r="AZ253" i="90"/>
  <c r="AZ1657" i="90"/>
  <c r="AZ1553" i="90"/>
  <c r="AZ929" i="90"/>
  <c r="AZ617" i="90"/>
  <c r="AZ981" i="90"/>
  <c r="AZ877" i="90"/>
  <c r="AZ201" i="90"/>
  <c r="AZ305" i="90"/>
  <c r="AZ1345" i="90"/>
  <c r="AZ565" i="90"/>
  <c r="AZ1397" i="90"/>
  <c r="AG29" i="90"/>
  <c r="AG133" i="90"/>
  <c r="AG185" i="90"/>
  <c r="AG81" i="90"/>
  <c r="AG65" i="90"/>
  <c r="AG169" i="90"/>
  <c r="AG13" i="90"/>
  <c r="AG117" i="90"/>
  <c r="AG30" i="90"/>
  <c r="AG82" i="90"/>
  <c r="AG134" i="90"/>
  <c r="AG186" i="90"/>
  <c r="AG56" i="90"/>
  <c r="AG108" i="90"/>
  <c r="AG160" i="90"/>
  <c r="AG212" i="90"/>
  <c r="AZ1252" i="90"/>
  <c r="AZ316" i="90"/>
  <c r="AZ1200" i="90"/>
  <c r="AZ368" i="90"/>
  <c r="AZ264" i="90"/>
  <c r="AZ576" i="90"/>
  <c r="AZ732" i="90"/>
  <c r="AZ1148" i="90"/>
  <c r="AZ1564" i="90"/>
  <c r="AZ1668" i="90"/>
  <c r="AZ1096" i="90"/>
  <c r="AZ680" i="90"/>
  <c r="AZ992" i="90"/>
  <c r="AZ1616" i="90"/>
  <c r="AZ836" i="90"/>
  <c r="AZ472" i="90"/>
  <c r="AZ108" i="90"/>
  <c r="AZ784" i="90"/>
  <c r="AZ1044" i="90"/>
  <c r="AZ1460" i="90"/>
  <c r="AZ1356" i="90"/>
  <c r="AZ1408" i="90"/>
  <c r="AZ1512" i="90"/>
  <c r="AZ524" i="90"/>
  <c r="AZ940" i="90"/>
  <c r="AZ160" i="90"/>
  <c r="AZ888" i="90"/>
  <c r="AZ420" i="90"/>
  <c r="AZ56" i="90"/>
  <c r="AZ628" i="90"/>
  <c r="AZ212" i="90"/>
  <c r="AZ1304" i="90"/>
  <c r="AG40" i="90"/>
  <c r="AG92" i="90"/>
  <c r="AG144" i="90"/>
  <c r="AG196" i="90"/>
  <c r="AG24" i="90"/>
  <c r="AG76" i="90"/>
  <c r="AG128" i="90"/>
  <c r="AG180" i="90"/>
  <c r="AG8" i="90"/>
  <c r="AG60" i="90"/>
  <c r="AG112" i="90"/>
  <c r="AG164" i="90"/>
  <c r="AG55" i="90"/>
  <c r="AG107" i="90"/>
  <c r="AG159" i="90"/>
  <c r="AG211" i="90"/>
  <c r="AZ159" i="90"/>
  <c r="AZ263" i="90"/>
  <c r="AZ627" i="90"/>
  <c r="AZ367" i="90"/>
  <c r="AZ1511" i="90"/>
  <c r="AZ1563" i="90"/>
  <c r="AZ783" i="90"/>
  <c r="AZ1199" i="90"/>
  <c r="AZ1615" i="90"/>
  <c r="AZ1043" i="90"/>
  <c r="AZ1303" i="90"/>
  <c r="AZ55" i="90"/>
  <c r="AZ991" i="90"/>
  <c r="AZ1355" i="90"/>
  <c r="AZ1147" i="90"/>
  <c r="AZ523" i="90"/>
  <c r="AZ1251" i="90"/>
  <c r="AZ471" i="90"/>
  <c r="AZ211" i="90"/>
  <c r="AZ679" i="90"/>
  <c r="AZ1459" i="90"/>
  <c r="AZ107" i="90"/>
  <c r="AZ731" i="90"/>
  <c r="AZ887" i="90"/>
  <c r="AZ315" i="90"/>
  <c r="AZ575" i="90"/>
  <c r="AZ1095" i="90"/>
  <c r="AZ419" i="90"/>
  <c r="AZ835" i="90"/>
  <c r="AZ1407" i="90"/>
  <c r="AZ939" i="90"/>
  <c r="AZ1667" i="90"/>
  <c r="AG39" i="90"/>
  <c r="AG91" i="90"/>
  <c r="AG143" i="90"/>
  <c r="AG195" i="90"/>
  <c r="AG23" i="90"/>
  <c r="AG75" i="90"/>
  <c r="AG127" i="90"/>
  <c r="AG179" i="90"/>
  <c r="AG7" i="90"/>
  <c r="AG59" i="90"/>
  <c r="AG111" i="90"/>
  <c r="AG163" i="90"/>
  <c r="ED3" i="89"/>
  <c r="S113" i="81"/>
  <c r="S101" i="81"/>
  <c r="S60" i="81"/>
  <c r="J16" i="82"/>
  <c r="L7" i="82"/>
  <c r="L8" i="82"/>
  <c r="L9" i="82"/>
  <c r="L10" i="82"/>
  <c r="L11" i="82"/>
  <c r="L12" i="82"/>
  <c r="L13" i="82"/>
  <c r="L14" i="82"/>
  <c r="L15" i="82"/>
  <c r="L16" i="82"/>
  <c r="L17" i="82"/>
  <c r="L18" i="82"/>
  <c r="L19" i="82"/>
  <c r="L20" i="82"/>
  <c r="L6" i="82"/>
  <c r="ED7" i="82" l="1"/>
  <c r="ED6" i="82"/>
  <c r="AF13" i="103"/>
  <c r="FC34" i="82"/>
  <c r="FC32" i="82"/>
  <c r="FC33" i="82"/>
  <c r="ED40" i="82"/>
  <c r="DW40" i="82" s="1"/>
  <c r="ED39" i="82"/>
  <c r="ED38" i="82"/>
  <c r="AF9" i="103"/>
  <c r="FC22" i="82"/>
  <c r="FC21" i="82"/>
  <c r="FC20" i="82"/>
  <c r="ED26" i="82"/>
  <c r="DW26" i="82" s="1"/>
  <c r="ED28" i="82"/>
  <c r="DW28" i="82" s="1"/>
  <c r="ED27" i="82"/>
  <c r="DW27" i="82" s="1"/>
  <c r="FC10" i="82"/>
  <c r="FC8" i="82"/>
  <c r="FC9" i="82"/>
  <c r="ED15" i="82"/>
  <c r="DW15" i="82" s="1"/>
  <c r="ED14" i="82"/>
  <c r="ED16" i="82"/>
  <c r="AF15" i="103"/>
  <c r="N18" i="88" s="1"/>
  <c r="FC42" i="82"/>
  <c r="FC43" i="82"/>
  <c r="FC41" i="82"/>
  <c r="ED47" i="82"/>
  <c r="DW47" i="82" s="1"/>
  <c r="ED48" i="82"/>
  <c r="ED49" i="82"/>
  <c r="AF12" i="103"/>
  <c r="FC30" i="82"/>
  <c r="FC31" i="82"/>
  <c r="FC29" i="82"/>
  <c r="ED37" i="82"/>
  <c r="DW37" i="82" s="1"/>
  <c r="ED35" i="82"/>
  <c r="DW35" i="82" s="1"/>
  <c r="ED36" i="82"/>
  <c r="DW36" i="82" s="1"/>
  <c r="AF8" i="103"/>
  <c r="FC18" i="82"/>
  <c r="FC19" i="82"/>
  <c r="FC17" i="82"/>
  <c r="ED24" i="82"/>
  <c r="ED25" i="82"/>
  <c r="DW25" i="82" s="1"/>
  <c r="ED23" i="82"/>
  <c r="FC6" i="82"/>
  <c r="FC7" i="82"/>
  <c r="FC5" i="82"/>
  <c r="ED12" i="82"/>
  <c r="DW12" i="82" s="1"/>
  <c r="ED13" i="82"/>
  <c r="ED11" i="82"/>
  <c r="FC38" i="82"/>
  <c r="FC39" i="82"/>
  <c r="FC40" i="82"/>
  <c r="ED44" i="82"/>
  <c r="ED45" i="82"/>
  <c r="ED46" i="82"/>
  <c r="DW46" i="82" s="1"/>
  <c r="AF11" i="103"/>
  <c r="FC26" i="82"/>
  <c r="FC27" i="82"/>
  <c r="FC28" i="82"/>
  <c r="ED33" i="82"/>
  <c r="DW33" i="82" s="1"/>
  <c r="ED34" i="82"/>
  <c r="ED32" i="82"/>
  <c r="AF7" i="103"/>
  <c r="N9" i="88" s="1"/>
  <c r="FC14" i="82"/>
  <c r="FC16" i="82"/>
  <c r="FC15" i="82"/>
  <c r="ED20" i="82"/>
  <c r="DW20" i="82" s="1"/>
  <c r="ED21" i="82"/>
  <c r="ED22" i="82"/>
  <c r="ED8" i="82"/>
  <c r="ED9" i="82"/>
  <c r="DW9" i="82" s="1"/>
  <c r="ED10" i="82"/>
  <c r="DW10" i="82" s="1"/>
  <c r="AF14" i="103"/>
  <c r="FC37" i="82"/>
  <c r="FC35" i="82"/>
  <c r="FC36" i="82"/>
  <c r="ED42" i="82"/>
  <c r="ED41" i="82"/>
  <c r="DW41" i="82" s="1"/>
  <c r="ED43" i="82"/>
  <c r="AF10" i="103"/>
  <c r="N13" i="88" s="1"/>
  <c r="FC23" i="82"/>
  <c r="FC24" i="82"/>
  <c r="FC25" i="82"/>
  <c r="ED31" i="82"/>
  <c r="ED30" i="82"/>
  <c r="ED29" i="82"/>
  <c r="DW29" i="82" s="1"/>
  <c r="FC12" i="82"/>
  <c r="FC13" i="82"/>
  <c r="FC11" i="82"/>
  <c r="ED18" i="82"/>
  <c r="DW18" i="82" s="1"/>
  <c r="ED17" i="82"/>
  <c r="ED19" i="82"/>
  <c r="DW19" i="82" s="1"/>
  <c r="N10" i="88"/>
  <c r="N20" i="88"/>
  <c r="Q20" i="88" s="1"/>
  <c r="N19" i="88"/>
  <c r="N17" i="88"/>
  <c r="ED5" i="82"/>
  <c r="DW7" i="82"/>
  <c r="DW6" i="82"/>
  <c r="DW24" i="82"/>
  <c r="DW23" i="82"/>
  <c r="DW45" i="82"/>
  <c r="DW44" i="82"/>
  <c r="DW34" i="82"/>
  <c r="DW32" i="82"/>
  <c r="DW21" i="82"/>
  <c r="DW22" i="82"/>
  <c r="DW8" i="82"/>
  <c r="DW38" i="82"/>
  <c r="DW39" i="82"/>
  <c r="DW14" i="82"/>
  <c r="DW16" i="82"/>
  <c r="DW48" i="82"/>
  <c r="DW49" i="82"/>
  <c r="DW11" i="82"/>
  <c r="DW13" i="82"/>
  <c r="DW42" i="82"/>
  <c r="DW43" i="82"/>
  <c r="DW31" i="82"/>
  <c r="DW30" i="82"/>
  <c r="DW17" i="82"/>
  <c r="S381" i="81"/>
  <c r="T381" i="81" s="1"/>
  <c r="S364" i="81"/>
  <c r="T364" i="81" s="1"/>
  <c r="S349" i="81"/>
  <c r="T349" i="81" s="1"/>
  <c r="S336" i="81"/>
  <c r="T336" i="81" s="1"/>
  <c r="S378" i="81"/>
  <c r="T378" i="81" s="1"/>
  <c r="S367" i="81"/>
  <c r="T367" i="81" s="1"/>
  <c r="S352" i="81"/>
  <c r="T352" i="81" s="1"/>
  <c r="S350" i="81"/>
  <c r="T350" i="81" s="1"/>
  <c r="S339" i="81"/>
  <c r="T339" i="81" s="1"/>
  <c r="S335" i="81"/>
  <c r="T335" i="81" s="1"/>
  <c r="S382" i="81"/>
  <c r="T382" i="81" s="1"/>
  <c r="S379" i="81"/>
  <c r="T379" i="81" s="1"/>
  <c r="S365" i="81"/>
  <c r="T365" i="81" s="1"/>
  <c r="S337" i="81"/>
  <c r="T337" i="81" s="1"/>
  <c r="S380" i="81"/>
  <c r="T380" i="81" s="1"/>
  <c r="S366" i="81"/>
  <c r="T366" i="81" s="1"/>
  <c r="S363" i="81"/>
  <c r="T363" i="81" s="1"/>
  <c r="S353" i="81"/>
  <c r="T353" i="81" s="1"/>
  <c r="S351" i="81"/>
  <c r="T351" i="81" s="1"/>
  <c r="S338" i="81"/>
  <c r="T338" i="81" s="1"/>
  <c r="S323" i="81"/>
  <c r="T323" i="81" s="1"/>
  <c r="S309" i="81"/>
  <c r="T309" i="81" s="1"/>
  <c r="S296" i="81"/>
  <c r="T296" i="81" s="1"/>
  <c r="S293" i="81"/>
  <c r="T293" i="81" s="1"/>
  <c r="S324" i="81"/>
  <c r="T324" i="81" s="1"/>
  <c r="S310" i="81"/>
  <c r="T310" i="81" s="1"/>
  <c r="S307" i="81"/>
  <c r="T307" i="81" s="1"/>
  <c r="S294" i="81"/>
  <c r="T294" i="81" s="1"/>
  <c r="S282" i="81"/>
  <c r="T282" i="81" s="1"/>
  <c r="S279" i="81"/>
  <c r="T279" i="81" s="1"/>
  <c r="S281" i="81"/>
  <c r="T281" i="81" s="1"/>
  <c r="S321" i="81"/>
  <c r="T321" i="81" s="1"/>
  <c r="S308" i="81"/>
  <c r="T308" i="81" s="1"/>
  <c r="S297" i="81"/>
  <c r="T297" i="81" s="1"/>
  <c r="S280" i="81"/>
  <c r="T280" i="81" s="1"/>
  <c r="S325" i="81"/>
  <c r="T325" i="81" s="1"/>
  <c r="S322" i="81"/>
  <c r="T322" i="81" s="1"/>
  <c r="S311" i="81"/>
  <c r="T311" i="81" s="1"/>
  <c r="S295" i="81"/>
  <c r="T295" i="81" s="1"/>
  <c r="S283" i="81"/>
  <c r="T283" i="81" s="1"/>
  <c r="AW45" i="82"/>
  <c r="AW47" i="82"/>
  <c r="AW48" i="82"/>
  <c r="AW46" i="82"/>
  <c r="AP18" i="82"/>
  <c r="I17" i="88" s="1"/>
  <c r="Z18" i="82"/>
  <c r="G16" i="88" s="1"/>
  <c r="AN18" i="82"/>
  <c r="Z6" i="82"/>
  <c r="AN6" i="82"/>
  <c r="AP6" i="82"/>
  <c r="I5" i="88" s="1"/>
  <c r="AP17" i="82"/>
  <c r="Z17" i="82"/>
  <c r="G15" i="88" s="1"/>
  <c r="AN17" i="82"/>
  <c r="AP13" i="82"/>
  <c r="I12" i="88" s="1"/>
  <c r="Z13" i="82"/>
  <c r="AN13" i="82"/>
  <c r="AP9" i="82"/>
  <c r="I8" i="88" s="1"/>
  <c r="Z9" i="82"/>
  <c r="G7" i="88" s="1"/>
  <c r="AN9" i="82"/>
  <c r="AP10" i="82"/>
  <c r="I9" i="88" s="1"/>
  <c r="Z10" i="82"/>
  <c r="G8" i="88" s="1"/>
  <c r="AN10" i="82"/>
  <c r="Z20" i="82"/>
  <c r="AN20" i="82"/>
  <c r="AP20" i="82"/>
  <c r="I19" i="88" s="1"/>
  <c r="Z16" i="82"/>
  <c r="G14" i="88" s="1"/>
  <c r="AN16" i="82"/>
  <c r="AP16" i="82"/>
  <c r="I15" i="88" s="1"/>
  <c r="Z12" i="82"/>
  <c r="G10" i="88" s="1"/>
  <c r="AN12" i="82"/>
  <c r="AP12" i="82"/>
  <c r="Z8" i="82"/>
  <c r="AN8" i="82"/>
  <c r="AP8" i="82"/>
  <c r="I7" i="88" s="1"/>
  <c r="AP14" i="82"/>
  <c r="Z14" i="82"/>
  <c r="G12" i="88" s="1"/>
  <c r="AN14" i="82"/>
  <c r="AN19" i="82"/>
  <c r="AP19" i="82"/>
  <c r="Z19" i="82"/>
  <c r="G17" i="88" s="1"/>
  <c r="AN15" i="82"/>
  <c r="AP15" i="82"/>
  <c r="Z15" i="82"/>
  <c r="AN11" i="82"/>
  <c r="AP11" i="82"/>
  <c r="Z11" i="82"/>
  <c r="G9" i="88" s="1"/>
  <c r="AN7" i="82"/>
  <c r="AP7" i="82"/>
  <c r="I6" i="88" s="1"/>
  <c r="Z7" i="82"/>
  <c r="G5" i="88" s="1"/>
  <c r="X11" i="82"/>
  <c r="X10" i="82"/>
  <c r="X13" i="82"/>
  <c r="X6" i="82"/>
  <c r="X9" i="82"/>
  <c r="X12" i="82"/>
  <c r="X20" i="82"/>
  <c r="X8" i="82"/>
  <c r="X7" i="82"/>
  <c r="I16" i="88"/>
  <c r="X17" i="82"/>
  <c r="X16" i="82"/>
  <c r="I14" i="88"/>
  <c r="X15" i="82"/>
  <c r="X19" i="82"/>
  <c r="X18" i="82"/>
  <c r="X14" i="82"/>
  <c r="N213" i="81"/>
  <c r="N241" i="81"/>
  <c r="N245" i="81" s="1"/>
  <c r="G4" i="88"/>
  <c r="G11" i="88"/>
  <c r="G18" i="88"/>
  <c r="M21" i="82"/>
  <c r="AX68" i="82" s="1"/>
  <c r="G6" i="88"/>
  <c r="I18" i="88"/>
  <c r="I10" i="88"/>
  <c r="N226" i="81"/>
  <c r="N227" i="81"/>
  <c r="N212" i="81"/>
  <c r="S269" i="81"/>
  <c r="T269" i="81" s="1"/>
  <c r="S267" i="81"/>
  <c r="T267" i="81" s="1"/>
  <c r="S265" i="81"/>
  <c r="T265" i="81" s="1"/>
  <c r="S255" i="81"/>
  <c r="T255" i="81" s="1"/>
  <c r="S253" i="81"/>
  <c r="T253" i="81" s="1"/>
  <c r="S251" i="81"/>
  <c r="T251" i="81" s="1"/>
  <c r="S254" i="81"/>
  <c r="T254" i="81" s="1"/>
  <c r="S252" i="81"/>
  <c r="T252" i="81" s="1"/>
  <c r="S268" i="81"/>
  <c r="T268" i="81" s="1"/>
  <c r="S266" i="81"/>
  <c r="T266" i="81" s="1"/>
  <c r="S128" i="81"/>
  <c r="S226" i="81"/>
  <c r="S223" i="81"/>
  <c r="S213" i="81"/>
  <c r="S240" i="81"/>
  <c r="S237" i="81"/>
  <c r="S224" i="81"/>
  <c r="S211" i="81"/>
  <c r="S238" i="81"/>
  <c r="S227" i="81"/>
  <c r="S212" i="81"/>
  <c r="S209" i="81"/>
  <c r="S241" i="81"/>
  <c r="S239" i="81"/>
  <c r="S225" i="81"/>
  <c r="S210" i="81"/>
  <c r="S89" i="81"/>
  <c r="I13" i="88"/>
  <c r="S88" i="81"/>
  <c r="S74" i="81"/>
  <c r="S99" i="81"/>
  <c r="S73" i="81"/>
  <c r="S72" i="81"/>
  <c r="S125" i="81"/>
  <c r="S184" i="81"/>
  <c r="S182" i="81"/>
  <c r="S180" i="81"/>
  <c r="S167" i="81"/>
  <c r="S156" i="81"/>
  <c r="S154" i="81"/>
  <c r="S153" i="81"/>
  <c r="S142" i="81"/>
  <c r="S155" i="81"/>
  <c r="S152" i="81"/>
  <c r="S139" i="81"/>
  <c r="S138" i="81"/>
  <c r="S198" i="81"/>
  <c r="S196" i="81"/>
  <c r="S194" i="81"/>
  <c r="S181" i="81"/>
  <c r="S169" i="81"/>
  <c r="S166" i="81"/>
  <c r="S140" i="81"/>
  <c r="S195" i="81"/>
  <c r="S183" i="81"/>
  <c r="S141" i="81"/>
  <c r="S197" i="81"/>
  <c r="S170" i="81"/>
  <c r="S168" i="81"/>
  <c r="S75" i="81"/>
  <c r="S100" i="81"/>
  <c r="S111" i="81"/>
  <c r="S112" i="81"/>
  <c r="S124" i="81"/>
  <c r="S61" i="81"/>
  <c r="S87" i="81"/>
  <c r="S86" i="81"/>
  <c r="S59" i="81"/>
  <c r="S98" i="81"/>
  <c r="S71" i="81"/>
  <c r="S85" i="81"/>
  <c r="S115" i="81"/>
  <c r="S127" i="81"/>
  <c r="S102" i="81"/>
  <c r="S114" i="81"/>
  <c r="S126" i="81"/>
  <c r="S57" i="81"/>
  <c r="Q16" i="89"/>
  <c r="AE16" i="89" s="1"/>
  <c r="Q19" i="89"/>
  <c r="AE19" i="89" s="1"/>
  <c r="Q15" i="89"/>
  <c r="AE15" i="89" s="1"/>
  <c r="Q11" i="89"/>
  <c r="AE11" i="89" s="1"/>
  <c r="Q20" i="89"/>
  <c r="AE20" i="89" s="1"/>
  <c r="Q22" i="89"/>
  <c r="AE22" i="89" s="1"/>
  <c r="Q18" i="89"/>
  <c r="AE18" i="89" s="1"/>
  <c r="I11" i="88"/>
  <c r="Q14" i="89"/>
  <c r="AE14" i="89" s="1"/>
  <c r="Q10" i="89"/>
  <c r="AE10" i="89" s="1"/>
  <c r="Q12" i="89"/>
  <c r="AE12" i="89" s="1"/>
  <c r="Q8" i="89"/>
  <c r="AE8" i="89" s="1"/>
  <c r="Q21" i="89"/>
  <c r="AE21" i="89" s="1"/>
  <c r="G13" i="88"/>
  <c r="Q17" i="89"/>
  <c r="AE17" i="89" s="1"/>
  <c r="Q13" i="89"/>
  <c r="AE13" i="89" s="1"/>
  <c r="Q9" i="89"/>
  <c r="AE9" i="89" s="1"/>
  <c r="S58" i="81"/>
  <c r="M20" i="82"/>
  <c r="AX61" i="82" s="1"/>
  <c r="J18" i="82"/>
  <c r="J10" i="82"/>
  <c r="J12" i="82"/>
  <c r="M18" i="82"/>
  <c r="AX55" i="82" s="1"/>
  <c r="M14" i="82"/>
  <c r="AX37" i="82" s="1"/>
  <c r="M10" i="82"/>
  <c r="AX23" i="82" s="1"/>
  <c r="J17" i="82"/>
  <c r="J9" i="82"/>
  <c r="M16" i="82"/>
  <c r="AX48" i="82" s="1"/>
  <c r="M8" i="82"/>
  <c r="AX15" i="82" s="1"/>
  <c r="J14" i="82"/>
  <c r="J20" i="82"/>
  <c r="M19" i="82"/>
  <c r="AX59" i="82" s="1"/>
  <c r="M11" i="82"/>
  <c r="AX25" i="82" s="1"/>
  <c r="M6" i="82"/>
  <c r="M17" i="82"/>
  <c r="AX49" i="82" s="1"/>
  <c r="M13" i="82"/>
  <c r="AX34" i="82" s="1"/>
  <c r="M9" i="82"/>
  <c r="AX19" i="82" s="1"/>
  <c r="J8" i="82"/>
  <c r="M15" i="82"/>
  <c r="AX44" i="82" s="1"/>
  <c r="M7" i="82"/>
  <c r="AX12" i="82" s="1"/>
  <c r="J19" i="82"/>
  <c r="J15" i="82"/>
  <c r="J11" i="82"/>
  <c r="J7" i="82"/>
  <c r="J6" i="82"/>
  <c r="J13" i="82"/>
  <c r="M12" i="82"/>
  <c r="AX31" i="82" s="1"/>
  <c r="CL6" i="90" l="1"/>
  <c r="CN6" i="90" s="1"/>
  <c r="DW5" i="82"/>
  <c r="CL5" i="90"/>
  <c r="N14" i="88"/>
  <c r="N11" i="88"/>
  <c r="N15" i="88"/>
  <c r="N16" i="88"/>
  <c r="N12" i="88"/>
  <c r="P99" i="89"/>
  <c r="P101" i="89"/>
  <c r="P98" i="89"/>
  <c r="P100" i="89"/>
  <c r="P75" i="89"/>
  <c r="P77" i="89"/>
  <c r="P76" i="89"/>
  <c r="P74" i="89"/>
  <c r="P63" i="89"/>
  <c r="P65" i="89"/>
  <c r="P64" i="89"/>
  <c r="P62" i="89"/>
  <c r="P55" i="89"/>
  <c r="P57" i="89"/>
  <c r="P56" i="89"/>
  <c r="P54" i="89"/>
  <c r="P51" i="89"/>
  <c r="P53" i="89"/>
  <c r="P50" i="89"/>
  <c r="P52" i="89"/>
  <c r="P67" i="89"/>
  <c r="P69" i="89"/>
  <c r="P68" i="89"/>
  <c r="P66" i="89"/>
  <c r="P87" i="89"/>
  <c r="P89" i="89"/>
  <c r="P86" i="89"/>
  <c r="P88" i="89"/>
  <c r="P59" i="89"/>
  <c r="P61" i="89"/>
  <c r="P60" i="89"/>
  <c r="P58" i="89"/>
  <c r="P91" i="89"/>
  <c r="P93" i="89"/>
  <c r="P90" i="89"/>
  <c r="P92" i="89"/>
  <c r="P71" i="89"/>
  <c r="P73" i="89"/>
  <c r="P72" i="89"/>
  <c r="P70" i="89"/>
  <c r="P79" i="89"/>
  <c r="P81" i="89"/>
  <c r="P78" i="89"/>
  <c r="P80" i="89"/>
  <c r="P111" i="89"/>
  <c r="P113" i="89"/>
  <c r="P112" i="89"/>
  <c r="P110" i="89"/>
  <c r="P107" i="89"/>
  <c r="P109" i="89"/>
  <c r="P108" i="89"/>
  <c r="P106" i="89"/>
  <c r="P95" i="89"/>
  <c r="P97" i="89"/>
  <c r="P94" i="89"/>
  <c r="P96" i="89"/>
  <c r="P103" i="89"/>
  <c r="P105" i="89"/>
  <c r="P104" i="89"/>
  <c r="P102" i="89"/>
  <c r="P83" i="89"/>
  <c r="P85" i="89"/>
  <c r="P82" i="89"/>
  <c r="P84" i="89"/>
  <c r="N217" i="81"/>
  <c r="T213" i="81" s="1"/>
  <c r="AW25" i="82"/>
  <c r="AW28" i="82"/>
  <c r="AW26" i="82"/>
  <c r="AW27" i="82"/>
  <c r="BF138" i="82"/>
  <c r="BF136" i="82"/>
  <c r="BF139" i="82"/>
  <c r="BF143" i="82"/>
  <c r="BF142" i="82"/>
  <c r="BF135" i="82"/>
  <c r="BF137" i="82"/>
  <c r="BF144" i="82"/>
  <c r="BF141" i="82"/>
  <c r="BF140" i="82"/>
  <c r="BF123" i="82"/>
  <c r="BF120" i="82"/>
  <c r="BF119" i="82"/>
  <c r="BF115" i="82"/>
  <c r="BF124" i="82"/>
  <c r="BF121" i="82"/>
  <c r="BF122" i="82"/>
  <c r="BF116" i="82"/>
  <c r="BF117" i="82"/>
  <c r="BF118" i="82"/>
  <c r="BF151" i="82"/>
  <c r="BF152" i="82"/>
  <c r="BF149" i="82"/>
  <c r="BF154" i="82"/>
  <c r="BF146" i="82"/>
  <c r="BF147" i="82"/>
  <c r="BF153" i="82"/>
  <c r="BF148" i="82"/>
  <c r="BF145" i="82"/>
  <c r="BF150" i="82"/>
  <c r="BF75" i="82"/>
  <c r="BF79" i="82"/>
  <c r="BF82" i="82"/>
  <c r="BF83" i="82"/>
  <c r="BF78" i="82"/>
  <c r="BF80" i="82"/>
  <c r="BF77" i="82"/>
  <c r="BF84" i="82"/>
  <c r="BF81" i="82"/>
  <c r="BF76" i="82"/>
  <c r="AX16" i="82"/>
  <c r="AX30" i="82"/>
  <c r="BP60" i="82"/>
  <c r="BP58" i="82"/>
  <c r="BP61" i="82"/>
  <c r="BP56" i="82"/>
  <c r="BP62" i="82"/>
  <c r="BP57" i="82"/>
  <c r="BP59" i="82"/>
  <c r="BP63" i="82"/>
  <c r="BP64" i="82"/>
  <c r="BP55" i="82"/>
  <c r="AX45" i="82"/>
  <c r="AX63" i="82"/>
  <c r="AX41" i="82"/>
  <c r="AX18" i="82"/>
  <c r="AX33" i="82"/>
  <c r="AX51" i="82"/>
  <c r="AX67" i="82"/>
  <c r="BP146" i="82"/>
  <c r="BP148" i="82"/>
  <c r="BP154" i="82"/>
  <c r="BP147" i="82"/>
  <c r="BP153" i="82"/>
  <c r="BP152" i="82"/>
  <c r="BP151" i="82"/>
  <c r="BP149" i="82"/>
  <c r="BP145" i="82"/>
  <c r="BP150" i="82"/>
  <c r="AX27" i="82"/>
  <c r="AX21" i="82"/>
  <c r="AX40" i="82"/>
  <c r="BP84" i="82"/>
  <c r="BP78" i="82"/>
  <c r="BP76" i="82"/>
  <c r="BP80" i="82"/>
  <c r="BP77" i="82"/>
  <c r="BP75" i="82"/>
  <c r="BP79" i="82"/>
  <c r="BP82" i="82"/>
  <c r="BP83" i="82"/>
  <c r="BP81" i="82"/>
  <c r="AX56" i="82"/>
  <c r="AX10" i="82"/>
  <c r="AX58" i="82"/>
  <c r="BF101" i="82"/>
  <c r="BF104" i="82"/>
  <c r="BF100" i="82"/>
  <c r="BF97" i="82"/>
  <c r="BF99" i="82"/>
  <c r="BF98" i="82"/>
  <c r="BF95" i="82"/>
  <c r="BF103" i="82"/>
  <c r="BF96" i="82"/>
  <c r="BF102" i="82"/>
  <c r="BF69" i="82"/>
  <c r="BF74" i="82"/>
  <c r="BF72" i="82"/>
  <c r="BF68" i="82"/>
  <c r="BF65" i="82"/>
  <c r="BF71" i="82"/>
  <c r="BF73" i="82"/>
  <c r="BF70" i="82"/>
  <c r="BF67" i="82"/>
  <c r="BF66" i="82"/>
  <c r="BF54" i="82"/>
  <c r="BF45" i="82"/>
  <c r="BF49" i="82"/>
  <c r="BF51" i="82"/>
  <c r="BF53" i="82"/>
  <c r="BF52" i="82"/>
  <c r="BF47" i="82"/>
  <c r="BF46" i="82"/>
  <c r="BF48" i="82"/>
  <c r="BF50" i="82"/>
  <c r="AX14" i="82"/>
  <c r="BP24" i="82"/>
  <c r="BP21" i="82"/>
  <c r="BP20" i="82"/>
  <c r="BP19" i="82"/>
  <c r="BP18" i="82"/>
  <c r="BP15" i="82"/>
  <c r="BP22" i="82"/>
  <c r="BP17" i="82"/>
  <c r="BP16" i="82"/>
  <c r="BP23" i="82"/>
  <c r="AX29" i="82"/>
  <c r="AX47" i="82"/>
  <c r="AX62" i="82"/>
  <c r="AX43" i="82"/>
  <c r="AX17" i="82"/>
  <c r="AX35" i="82"/>
  <c r="AX50" i="82"/>
  <c r="BP114" i="82"/>
  <c r="BP112" i="82"/>
  <c r="BP111" i="82"/>
  <c r="BP110" i="82"/>
  <c r="BP105" i="82"/>
  <c r="BP109" i="82"/>
  <c r="BP108" i="82"/>
  <c r="BP107" i="82"/>
  <c r="BP106" i="82"/>
  <c r="BP113" i="82"/>
  <c r="AX66" i="82"/>
  <c r="AX26" i="82"/>
  <c r="AX22" i="82"/>
  <c r="BP44" i="82"/>
  <c r="BP40" i="82"/>
  <c r="BP41" i="82"/>
  <c r="BP43" i="82"/>
  <c r="BP35" i="82"/>
  <c r="BP38" i="82"/>
  <c r="BP36" i="82"/>
  <c r="BP42" i="82"/>
  <c r="BP37" i="82"/>
  <c r="BP39" i="82"/>
  <c r="AX38" i="82"/>
  <c r="AX54" i="82"/>
  <c r="AX9" i="82"/>
  <c r="AX60" i="82"/>
  <c r="BP125" i="82"/>
  <c r="BP126" i="82"/>
  <c r="BP127" i="82"/>
  <c r="BP130" i="82"/>
  <c r="BP131" i="82"/>
  <c r="BP133" i="82"/>
  <c r="BP132" i="82"/>
  <c r="BP128" i="82"/>
  <c r="BP134" i="82"/>
  <c r="BP129" i="82"/>
  <c r="AW33" i="82"/>
  <c r="AW35" i="82"/>
  <c r="AW36" i="82"/>
  <c r="AW34" i="82"/>
  <c r="AW44" i="82"/>
  <c r="AW42" i="82"/>
  <c r="AW43" i="82"/>
  <c r="AW41" i="82"/>
  <c r="AW13" i="82"/>
  <c r="AW15" i="82"/>
  <c r="AW14" i="82"/>
  <c r="AW16" i="82"/>
  <c r="AX6" i="82"/>
  <c r="AX8" i="82"/>
  <c r="AX5" i="82"/>
  <c r="AX7" i="82"/>
  <c r="AW38" i="82"/>
  <c r="AW40" i="82"/>
  <c r="AW39" i="82"/>
  <c r="AW37" i="82"/>
  <c r="AW52" i="82"/>
  <c r="AW49" i="82"/>
  <c r="AW50" i="82"/>
  <c r="AW51" i="82"/>
  <c r="AW30" i="82"/>
  <c r="AW31" i="82"/>
  <c r="AW29" i="82"/>
  <c r="AW32" i="82"/>
  <c r="BF87" i="82"/>
  <c r="BF85" i="82"/>
  <c r="BF88" i="82"/>
  <c r="BF93" i="82"/>
  <c r="BF90" i="82"/>
  <c r="BF92" i="82"/>
  <c r="BF94" i="82"/>
  <c r="BF89" i="82"/>
  <c r="BF91" i="82"/>
  <c r="BF86" i="82"/>
  <c r="BF21" i="82"/>
  <c r="BF24" i="82"/>
  <c r="BF23" i="82"/>
  <c r="BF22" i="82"/>
  <c r="BF15" i="82"/>
  <c r="BF19" i="82"/>
  <c r="BF16" i="82"/>
  <c r="BF18" i="82"/>
  <c r="BF17" i="82"/>
  <c r="BF20" i="82"/>
  <c r="BF42" i="82"/>
  <c r="BF40" i="82"/>
  <c r="BF37" i="82"/>
  <c r="BF36" i="82"/>
  <c r="BF38" i="82"/>
  <c r="BF44" i="82"/>
  <c r="BF43" i="82"/>
  <c r="BF39" i="82"/>
  <c r="BF35" i="82"/>
  <c r="BF41" i="82"/>
  <c r="BF62" i="82"/>
  <c r="BF58" i="82"/>
  <c r="BF63" i="82"/>
  <c r="BF57" i="82"/>
  <c r="BF60" i="82"/>
  <c r="BF64" i="82"/>
  <c r="BF59" i="82"/>
  <c r="BF55" i="82"/>
  <c r="BF61" i="82"/>
  <c r="BF56" i="82"/>
  <c r="AX13" i="82"/>
  <c r="AX32" i="82"/>
  <c r="AX46" i="82"/>
  <c r="AX64" i="82"/>
  <c r="BP143" i="82"/>
  <c r="BP137" i="82"/>
  <c r="BP141" i="82"/>
  <c r="BP144" i="82"/>
  <c r="BP140" i="82"/>
  <c r="BP139" i="82"/>
  <c r="BP135" i="82"/>
  <c r="BP142" i="82"/>
  <c r="BP136" i="82"/>
  <c r="BP138" i="82"/>
  <c r="AX42" i="82"/>
  <c r="AX20" i="82"/>
  <c r="AX36" i="82"/>
  <c r="BP72" i="82"/>
  <c r="BP73" i="82"/>
  <c r="BP66" i="82"/>
  <c r="BP71" i="82"/>
  <c r="BP69" i="82"/>
  <c r="BP68" i="82"/>
  <c r="BP65" i="82"/>
  <c r="BP70" i="82"/>
  <c r="BP74" i="82"/>
  <c r="BP67" i="82"/>
  <c r="AX52" i="82"/>
  <c r="AX65" i="82"/>
  <c r="AX28" i="82"/>
  <c r="BP48" i="82"/>
  <c r="BP50" i="82"/>
  <c r="BP45" i="82"/>
  <c r="BP52" i="82"/>
  <c r="BP46" i="82"/>
  <c r="BP53" i="82"/>
  <c r="BP47" i="82"/>
  <c r="BP51" i="82"/>
  <c r="BP49" i="82"/>
  <c r="BP54" i="82"/>
  <c r="AX24" i="82"/>
  <c r="AX39" i="82"/>
  <c r="AX53" i="82"/>
  <c r="AX11" i="82"/>
  <c r="AX57" i="82"/>
  <c r="AW64" i="82"/>
  <c r="AW63" i="82"/>
  <c r="AW61" i="82"/>
  <c r="AW62" i="82"/>
  <c r="AW17" i="82"/>
  <c r="AW19" i="82"/>
  <c r="AW18" i="82"/>
  <c r="AW20" i="82"/>
  <c r="AW7" i="82"/>
  <c r="AW5" i="82"/>
  <c r="AW8" i="82"/>
  <c r="AW6" i="82"/>
  <c r="AW60" i="82"/>
  <c r="AW59" i="82"/>
  <c r="AW58" i="82"/>
  <c r="AW57" i="82"/>
  <c r="AW21" i="82"/>
  <c r="AW22" i="82"/>
  <c r="AW24" i="82"/>
  <c r="AW23" i="82"/>
  <c r="AW9" i="82"/>
  <c r="AW10" i="82"/>
  <c r="AW12" i="82"/>
  <c r="AW11" i="82"/>
  <c r="AW56" i="82"/>
  <c r="AW53" i="82"/>
  <c r="AW55" i="82"/>
  <c r="AW54" i="82"/>
  <c r="BF127" i="82"/>
  <c r="BF125" i="82"/>
  <c r="BF132" i="82"/>
  <c r="BF129" i="82"/>
  <c r="BF131" i="82"/>
  <c r="BF130" i="82"/>
  <c r="BF126" i="82"/>
  <c r="BF133" i="82"/>
  <c r="BF134" i="82"/>
  <c r="BF128" i="82"/>
  <c r="BF113" i="82"/>
  <c r="BF107" i="82"/>
  <c r="BF111" i="82"/>
  <c r="BF106" i="82"/>
  <c r="BF110" i="82"/>
  <c r="BF105" i="82"/>
  <c r="BF112" i="82"/>
  <c r="BF109" i="82"/>
  <c r="BF114" i="82"/>
  <c r="BF108" i="82"/>
  <c r="BF27" i="82"/>
  <c r="BF30" i="82"/>
  <c r="BF31" i="82"/>
  <c r="BF25" i="82"/>
  <c r="BF26" i="82"/>
  <c r="BF28" i="82"/>
  <c r="BF32" i="82"/>
  <c r="BF34" i="82"/>
  <c r="BF33" i="82"/>
  <c r="BF29" i="82"/>
  <c r="BF14" i="82"/>
  <c r="BF13" i="82"/>
  <c r="BF12" i="82"/>
  <c r="BF7" i="82"/>
  <c r="BF6" i="82"/>
  <c r="BF9" i="82"/>
  <c r="BF10" i="82"/>
  <c r="BF11" i="82"/>
  <c r="BF8" i="82"/>
  <c r="BF5" i="82"/>
  <c r="CI5" i="90" s="1"/>
  <c r="CN5" i="90" s="1"/>
  <c r="BP96" i="82"/>
  <c r="BP98" i="82"/>
  <c r="BP104" i="82"/>
  <c r="BP103" i="82"/>
  <c r="BP95" i="82"/>
  <c r="BP101" i="82"/>
  <c r="BP100" i="82"/>
  <c r="BP97" i="82"/>
  <c r="BP102" i="82"/>
  <c r="BP99" i="82"/>
  <c r="BP92" i="82"/>
  <c r="BP89" i="82"/>
  <c r="BP88" i="82"/>
  <c r="BP90" i="82"/>
  <c r="BP93" i="82"/>
  <c r="BP94" i="82"/>
  <c r="BP91" i="82"/>
  <c r="BP85" i="82"/>
  <c r="BP86" i="82"/>
  <c r="BP87" i="82"/>
  <c r="BP29" i="82"/>
  <c r="BP26" i="82"/>
  <c r="BP32" i="82"/>
  <c r="BP25" i="82"/>
  <c r="BP33" i="82"/>
  <c r="BP28" i="82"/>
  <c r="BP31" i="82"/>
  <c r="BP27" i="82"/>
  <c r="BP34" i="82"/>
  <c r="BP30" i="82"/>
  <c r="BP121" i="82"/>
  <c r="BP116" i="82"/>
  <c r="BP120" i="82"/>
  <c r="BP124" i="82"/>
  <c r="BP122" i="82"/>
  <c r="BP118" i="82"/>
  <c r="BP117" i="82"/>
  <c r="BP123" i="82"/>
  <c r="BP115" i="82"/>
  <c r="BP119" i="82"/>
  <c r="BP5" i="82"/>
  <c r="BP10" i="82"/>
  <c r="BP8" i="82"/>
  <c r="BP6" i="82"/>
  <c r="BP13" i="82"/>
  <c r="BP11" i="82"/>
  <c r="BP12" i="82"/>
  <c r="BP14" i="82"/>
  <c r="BP9" i="82"/>
  <c r="BP7" i="82"/>
  <c r="T239" i="81"/>
  <c r="T238" i="81"/>
  <c r="T237" i="81"/>
  <c r="T241" i="81"/>
  <c r="T240" i="81"/>
  <c r="O244" i="81"/>
  <c r="N231" i="81"/>
  <c r="T227" i="81" s="1"/>
  <c r="T139" i="81"/>
  <c r="T195" i="81"/>
  <c r="T184" i="81"/>
  <c r="T156" i="81"/>
  <c r="T99" i="81"/>
  <c r="T125" i="81"/>
  <c r="CK8" i="90" l="1"/>
  <c r="CN8" i="90" s="1"/>
  <c r="CK17" i="90"/>
  <c r="CN17" i="90" s="1"/>
  <c r="CK12" i="90"/>
  <c r="CN12" i="90" s="1"/>
  <c r="CK16" i="90"/>
  <c r="CN16" i="90" s="1"/>
  <c r="CK7" i="90"/>
  <c r="CN7" i="90" s="1"/>
  <c r="CK13" i="90"/>
  <c r="CN13" i="90" s="1"/>
  <c r="CK10" i="90"/>
  <c r="CN10" i="90" s="1"/>
  <c r="CK9" i="90"/>
  <c r="CN9" i="90" s="1"/>
  <c r="CK14" i="90"/>
  <c r="CN14" i="90" s="1"/>
  <c r="CK19" i="90"/>
  <c r="CN19" i="90" s="1"/>
  <c r="CK18" i="90"/>
  <c r="CN18" i="90" s="1"/>
  <c r="CK15" i="90"/>
  <c r="CN15" i="90" s="1"/>
  <c r="CK11" i="90"/>
  <c r="CN11" i="90" s="1"/>
  <c r="T212" i="81"/>
  <c r="T211" i="81"/>
  <c r="T210" i="81"/>
  <c r="O216" i="81"/>
  <c r="T209" i="81"/>
  <c r="T226" i="81"/>
  <c r="O230" i="81"/>
  <c r="T141" i="81"/>
  <c r="T142" i="81"/>
  <c r="T224" i="81"/>
  <c r="T225" i="81"/>
  <c r="T223" i="81"/>
  <c r="T166" i="81"/>
  <c r="T170" i="81"/>
  <c r="T196" i="81"/>
  <c r="T168" i="81"/>
  <c r="T197" i="81"/>
  <c r="T169" i="81"/>
  <c r="T167" i="81"/>
  <c r="T140" i="81"/>
  <c r="T138" i="81"/>
  <c r="T194" i="81"/>
  <c r="T198" i="81"/>
  <c r="T181" i="81"/>
  <c r="T180" i="81"/>
  <c r="T183" i="81"/>
  <c r="T182" i="81"/>
  <c r="T111" i="81"/>
  <c r="T114" i="81"/>
  <c r="T153" i="81"/>
  <c r="T155" i="81"/>
  <c r="T152" i="81"/>
  <c r="T112" i="81"/>
  <c r="T154" i="81"/>
  <c r="T115" i="81"/>
  <c r="T113" i="81"/>
  <c r="T89" i="81"/>
  <c r="T128" i="81"/>
  <c r="T87" i="81"/>
  <c r="T88" i="81"/>
  <c r="T86" i="81"/>
  <c r="T85" i="81"/>
  <c r="T102" i="81"/>
  <c r="T101" i="81"/>
  <c r="T126" i="81"/>
  <c r="T100" i="81"/>
  <c r="T98" i="81"/>
  <c r="T127" i="81"/>
  <c r="T124" i="81"/>
  <c r="Y5" i="85"/>
  <c r="U5" i="85"/>
  <c r="AN4" i="85" s="1"/>
  <c r="CP9" i="90" l="1"/>
  <c r="CU35" i="90" s="1"/>
  <c r="CP16" i="90"/>
  <c r="CU70" i="90" s="1"/>
  <c r="CP18" i="90"/>
  <c r="CU80" i="90" s="1"/>
  <c r="W10" i="85"/>
  <c r="U11" i="85"/>
  <c r="AN44" i="85" s="1"/>
  <c r="Y17" i="85"/>
  <c r="Y13" i="85"/>
  <c r="W16" i="85"/>
  <c r="AN70" i="85" s="1"/>
  <c r="Y11" i="85"/>
  <c r="W12" i="85"/>
  <c r="AN50" i="85" s="1"/>
  <c r="U13" i="85"/>
  <c r="AN54" i="85" s="1"/>
  <c r="U15" i="85"/>
  <c r="AN64" i="85" s="1"/>
  <c r="Y9" i="85"/>
  <c r="AD7" i="98" s="1"/>
  <c r="W11" i="85"/>
  <c r="AN45" i="85" s="1"/>
  <c r="U12" i="85"/>
  <c r="AN49" i="85" s="1"/>
  <c r="W17" i="85"/>
  <c r="AN75" i="85" s="1"/>
  <c r="U16" i="85"/>
  <c r="AN69" i="85" s="1"/>
  <c r="Y10" i="85"/>
  <c r="Y18" i="85"/>
  <c r="Y19" i="85"/>
  <c r="AD11" i="98" s="1"/>
  <c r="Y14" i="85"/>
  <c r="W5" i="85"/>
  <c r="AN5" i="85" s="1"/>
  <c r="U9" i="85"/>
  <c r="W18" i="85"/>
  <c r="AN80" i="85" s="1"/>
  <c r="W19" i="85"/>
  <c r="U17" i="85"/>
  <c r="AN74" i="85" s="1"/>
  <c r="Y15" i="85"/>
  <c r="W14" i="85"/>
  <c r="AN60" i="85" s="1"/>
  <c r="W9" i="85"/>
  <c r="AN35" i="85" s="1"/>
  <c r="U10" i="85"/>
  <c r="AN39" i="85" s="1"/>
  <c r="Y12" i="85"/>
  <c r="W13" i="85"/>
  <c r="U18" i="85"/>
  <c r="AN79" i="85" s="1"/>
  <c r="U19" i="85"/>
  <c r="Y16" i="85"/>
  <c r="W15" i="85"/>
  <c r="AN65" i="85" s="1"/>
  <c r="U14" i="85"/>
  <c r="AN59" i="85" s="1"/>
  <c r="CP5" i="90"/>
  <c r="CU6" i="90" s="1"/>
  <c r="CY82" i="90" l="1"/>
  <c r="CY81" i="90"/>
  <c r="CY80" i="90"/>
  <c r="CY83" i="90"/>
  <c r="CY79" i="90"/>
  <c r="CY70" i="90"/>
  <c r="CY73" i="90"/>
  <c r="CY69" i="90"/>
  <c r="CY72" i="90"/>
  <c r="CY71" i="90"/>
  <c r="CY6" i="90"/>
  <c r="CY10" i="90"/>
  <c r="CY7" i="90"/>
  <c r="CY8" i="90"/>
  <c r="CY9" i="90"/>
  <c r="CY38" i="90"/>
  <c r="CY34" i="90"/>
  <c r="CY37" i="90"/>
  <c r="CY36" i="90"/>
  <c r="CY35" i="90"/>
  <c r="AD10" i="98"/>
  <c r="D11" i="98"/>
  <c r="AN84" i="85"/>
  <c r="T11" i="98"/>
  <c r="AN85" i="85"/>
  <c r="T9" i="98"/>
  <c r="AN55" i="85"/>
  <c r="T8" i="98"/>
  <c r="AN40" i="85"/>
  <c r="D7" i="98"/>
  <c r="AN34" i="85"/>
  <c r="T10" i="98"/>
  <c r="D9" i="98"/>
  <c r="AD9" i="98"/>
  <c r="D8" i="98"/>
  <c r="T7" i="98"/>
  <c r="AD8" i="98"/>
  <c r="D10" i="98"/>
  <c r="P16" i="88"/>
  <c r="P18" i="88"/>
  <c r="P13" i="88"/>
  <c r="P17" i="88"/>
  <c r="P8" i="88"/>
  <c r="AD8" i="85"/>
  <c r="E11" i="89" s="1"/>
  <c r="C4" i="88"/>
  <c r="CY5" i="90"/>
  <c r="CP8" i="90"/>
  <c r="CU30" i="90" s="1"/>
  <c r="CP11" i="90"/>
  <c r="CU45" i="90" s="1"/>
  <c r="CP14" i="90"/>
  <c r="CU60" i="90" s="1"/>
  <c r="CP7" i="90"/>
  <c r="CU20" i="90" s="1"/>
  <c r="CP17" i="90"/>
  <c r="CU75" i="90" s="1"/>
  <c r="CP19" i="90"/>
  <c r="CU85" i="90" s="1"/>
  <c r="CP15" i="90"/>
  <c r="CU65" i="90" s="1"/>
  <c r="CP13" i="90"/>
  <c r="CU55" i="90" s="1"/>
  <c r="CP10" i="90"/>
  <c r="CU40" i="90" s="1"/>
  <c r="CP12" i="90"/>
  <c r="CU50" i="90" s="1"/>
  <c r="CP6" i="90"/>
  <c r="CU12" i="90" s="1"/>
  <c r="P7" i="88"/>
  <c r="P14" i="88"/>
  <c r="P9" i="88"/>
  <c r="DE35" i="90" l="1"/>
  <c r="DC35" i="90"/>
  <c r="DD35" i="90"/>
  <c r="DF35" i="90"/>
  <c r="DB35" i="90"/>
  <c r="DB38" i="90"/>
  <c r="DF38" i="90"/>
  <c r="DD38" i="90"/>
  <c r="DE38" i="90"/>
  <c r="DC38" i="90"/>
  <c r="DB10" i="90"/>
  <c r="DF10" i="90"/>
  <c r="DD10" i="90"/>
  <c r="DC10" i="90"/>
  <c r="DE10" i="90"/>
  <c r="DE69" i="90"/>
  <c r="DD69" i="90"/>
  <c r="DF69" i="90"/>
  <c r="DB69" i="90"/>
  <c r="DC69" i="90"/>
  <c r="DD83" i="90"/>
  <c r="DE83" i="90"/>
  <c r="DF83" i="90"/>
  <c r="DB83" i="90"/>
  <c r="DC83" i="90"/>
  <c r="DD36" i="90"/>
  <c r="DB36" i="90"/>
  <c r="DF36" i="90"/>
  <c r="DC36" i="90"/>
  <c r="DE36" i="90"/>
  <c r="DC9" i="90"/>
  <c r="DE9" i="90"/>
  <c r="DF9" i="90"/>
  <c r="DB9" i="90"/>
  <c r="DD9" i="90"/>
  <c r="DB6" i="90"/>
  <c r="DF6" i="90"/>
  <c r="DC6" i="90"/>
  <c r="DD6" i="90"/>
  <c r="DE6" i="90"/>
  <c r="DE73" i="90"/>
  <c r="DF73" i="90"/>
  <c r="DB73" i="90"/>
  <c r="DC73" i="90"/>
  <c r="DD73" i="90"/>
  <c r="DC80" i="90"/>
  <c r="DD80" i="90"/>
  <c r="DE80" i="90"/>
  <c r="DF80" i="90"/>
  <c r="DB80" i="90"/>
  <c r="DC37" i="90"/>
  <c r="DE37" i="90"/>
  <c r="DB37" i="90"/>
  <c r="DD37" i="90"/>
  <c r="DF37" i="90"/>
  <c r="DD8" i="90"/>
  <c r="DB8" i="90"/>
  <c r="DF8" i="90"/>
  <c r="DC8" i="90"/>
  <c r="DE8" i="90"/>
  <c r="DC71" i="90"/>
  <c r="DE71" i="90"/>
  <c r="DF71" i="90"/>
  <c r="DD71" i="90"/>
  <c r="DB71" i="90"/>
  <c r="DD70" i="90"/>
  <c r="DE70" i="90"/>
  <c r="DF70" i="90"/>
  <c r="DB70" i="90"/>
  <c r="DC70" i="90"/>
  <c r="DB81" i="90"/>
  <c r="DF81" i="90"/>
  <c r="DC81" i="90"/>
  <c r="DD81" i="90"/>
  <c r="DE81" i="90"/>
  <c r="DF5" i="90"/>
  <c r="DD5" i="90"/>
  <c r="DE5" i="90"/>
  <c r="DC5" i="90"/>
  <c r="DB5" i="90"/>
  <c r="DB34" i="90"/>
  <c r="DF34" i="90"/>
  <c r="DD34" i="90"/>
  <c r="DC34" i="90"/>
  <c r="DE34" i="90"/>
  <c r="DE7" i="90"/>
  <c r="DC7" i="90"/>
  <c r="DB7" i="90"/>
  <c r="DD7" i="90"/>
  <c r="DF7" i="90"/>
  <c r="DB72" i="90"/>
  <c r="DF72" i="90"/>
  <c r="DE72" i="90"/>
  <c r="DC72" i="90"/>
  <c r="DD72" i="90"/>
  <c r="DD79" i="90"/>
  <c r="DE79" i="90"/>
  <c r="DB79" i="90"/>
  <c r="DC79" i="90"/>
  <c r="DF79" i="90"/>
  <c r="DE82" i="90"/>
  <c r="DB82" i="90"/>
  <c r="DF82" i="90"/>
  <c r="DC82" i="90"/>
  <c r="DD82" i="90"/>
  <c r="CY86" i="90"/>
  <c r="CY85" i="90"/>
  <c r="CY88" i="90"/>
  <c r="CY84" i="90"/>
  <c r="CY87" i="90"/>
  <c r="CY46" i="90"/>
  <c r="CY45" i="90"/>
  <c r="CY48" i="90"/>
  <c r="CY44" i="90"/>
  <c r="CY47" i="90"/>
  <c r="CY78" i="90"/>
  <c r="CY74" i="90"/>
  <c r="CY77" i="90"/>
  <c r="CY76" i="90"/>
  <c r="CY75" i="90"/>
  <c r="CY30" i="90"/>
  <c r="CY33" i="90"/>
  <c r="CY29" i="90"/>
  <c r="CY32" i="90"/>
  <c r="CY31" i="90"/>
  <c r="CY42" i="90"/>
  <c r="CY41" i="90"/>
  <c r="CY40" i="90"/>
  <c r="CY43" i="90"/>
  <c r="CY39" i="90"/>
  <c r="CY58" i="90"/>
  <c r="CY54" i="90"/>
  <c r="CY57" i="90"/>
  <c r="CY56" i="90"/>
  <c r="CY55" i="90"/>
  <c r="CY22" i="90"/>
  <c r="CY26" i="90"/>
  <c r="CY23" i="90"/>
  <c r="CY27" i="90"/>
  <c r="CY20" i="90"/>
  <c r="CY24" i="90"/>
  <c r="CY28" i="90"/>
  <c r="CY19" i="90"/>
  <c r="CY21" i="90"/>
  <c r="CY25" i="90"/>
  <c r="CZ5" i="90"/>
  <c r="CY50" i="90"/>
  <c r="CY53" i="90"/>
  <c r="CY49" i="90"/>
  <c r="CY52" i="90"/>
  <c r="CY51" i="90"/>
  <c r="CY12" i="90"/>
  <c r="CY16" i="90"/>
  <c r="CY13" i="90"/>
  <c r="CY17" i="90"/>
  <c r="CY14" i="90"/>
  <c r="CY18" i="90"/>
  <c r="CY11" i="90"/>
  <c r="CY15" i="90"/>
  <c r="CY66" i="90"/>
  <c r="CY65" i="90"/>
  <c r="CY68" i="90"/>
  <c r="CY64" i="90"/>
  <c r="CY67" i="90"/>
  <c r="CY62" i="90"/>
  <c r="CY61" i="90"/>
  <c r="CY60" i="90"/>
  <c r="CY59" i="90"/>
  <c r="CY63" i="90"/>
  <c r="P11" i="88"/>
  <c r="AD24" i="85"/>
  <c r="E27" i="89" s="1"/>
  <c r="AD9" i="85"/>
  <c r="E12" i="89" s="1"/>
  <c r="AD30" i="85"/>
  <c r="E33" i="89" s="1"/>
  <c r="AD13" i="85"/>
  <c r="E16" i="89" s="1"/>
  <c r="AD25" i="85"/>
  <c r="E28" i="89" s="1"/>
  <c r="AD17" i="85"/>
  <c r="E20" i="89" s="1"/>
  <c r="AD15" i="85"/>
  <c r="E18" i="89" s="1"/>
  <c r="AD19" i="85"/>
  <c r="E22" i="89" s="1"/>
  <c r="AD23" i="85"/>
  <c r="E26" i="89" s="1"/>
  <c r="AD18" i="85"/>
  <c r="E21" i="89" s="1"/>
  <c r="AD12" i="85"/>
  <c r="E15" i="89" s="1"/>
  <c r="AD11" i="85"/>
  <c r="E14" i="89" s="1"/>
  <c r="AD28" i="85"/>
  <c r="E31" i="89" s="1"/>
  <c r="AD27" i="85"/>
  <c r="E30" i="89" s="1"/>
  <c r="AD14" i="85"/>
  <c r="E17" i="89" s="1"/>
  <c r="AD10" i="85"/>
  <c r="E13" i="89" s="1"/>
  <c r="AD29" i="85"/>
  <c r="E32" i="89" s="1"/>
  <c r="AD22" i="85"/>
  <c r="E25" i="89" s="1"/>
  <c r="AD20" i="85"/>
  <c r="E23" i="89" s="1"/>
  <c r="AD16" i="85"/>
  <c r="E19" i="89" s="1"/>
  <c r="AD32" i="85"/>
  <c r="E35" i="89" s="1"/>
  <c r="AD26" i="85"/>
  <c r="E29" i="89" s="1"/>
  <c r="AD21" i="85"/>
  <c r="E24" i="89" s="1"/>
  <c r="AD31" i="85"/>
  <c r="E34" i="89" s="1"/>
  <c r="AD7" i="85"/>
  <c r="E10" i="89" s="1"/>
  <c r="P15" i="88"/>
  <c r="C7" i="97"/>
  <c r="P10" i="88"/>
  <c r="P12" i="88"/>
  <c r="C6" i="97"/>
  <c r="C5" i="97"/>
  <c r="P6" i="88"/>
  <c r="Q6" i="88" s="1"/>
  <c r="P5" i="88"/>
  <c r="Q5" i="88" s="1"/>
  <c r="AD6" i="85"/>
  <c r="E9" i="89" s="1"/>
  <c r="C8" i="97"/>
  <c r="O19" i="88"/>
  <c r="P19" i="88"/>
  <c r="P4" i="88"/>
  <c r="Q4" i="88" s="1"/>
  <c r="D8" i="89"/>
  <c r="AD5" i="85"/>
  <c r="E8" i="89" s="1"/>
  <c r="CZ6" i="90"/>
  <c r="CZ9" i="90"/>
  <c r="CZ7" i="90"/>
  <c r="CZ8" i="90"/>
  <c r="CZ10" i="90"/>
  <c r="O8" i="88"/>
  <c r="Q8" i="88" s="1"/>
  <c r="O17" i="88"/>
  <c r="Q17" i="88" s="1"/>
  <c r="O9" i="88"/>
  <c r="Q9" i="88" s="1"/>
  <c r="O7" i="88"/>
  <c r="Q7" i="88" s="1"/>
  <c r="O13" i="88"/>
  <c r="Q13" i="88" s="1"/>
  <c r="O11" i="88"/>
  <c r="O18" i="88"/>
  <c r="Q18" i="88" s="1"/>
  <c r="O14" i="88"/>
  <c r="Q14" i="88" s="1"/>
  <c r="O16" i="88"/>
  <c r="Q16" i="88" s="1"/>
  <c r="Z6" i="88" l="1"/>
  <c r="DE59" i="90"/>
  <c r="DC59" i="90"/>
  <c r="DD59" i="90"/>
  <c r="DF59" i="90"/>
  <c r="DB59" i="90"/>
  <c r="DC67" i="90"/>
  <c r="DD67" i="90"/>
  <c r="DE67" i="90"/>
  <c r="DF67" i="90"/>
  <c r="DB67" i="90"/>
  <c r="DD66" i="90"/>
  <c r="DC66" i="90"/>
  <c r="DE66" i="90"/>
  <c r="DB66" i="90"/>
  <c r="DF66" i="90"/>
  <c r="DB14" i="90"/>
  <c r="DF14" i="90"/>
  <c r="DD14" i="90"/>
  <c r="DE14" i="90"/>
  <c r="DC14" i="90"/>
  <c r="DD12" i="90"/>
  <c r="DB12" i="90"/>
  <c r="DF12" i="90"/>
  <c r="DC12" i="90"/>
  <c r="DE12" i="90"/>
  <c r="DC53" i="90"/>
  <c r="DE53" i="90"/>
  <c r="DB53" i="90"/>
  <c r="DD53" i="90"/>
  <c r="DF53" i="90"/>
  <c r="DC21" i="90"/>
  <c r="DE21" i="90"/>
  <c r="DB21" i="90"/>
  <c r="DD21" i="90"/>
  <c r="DF21" i="90"/>
  <c r="DD20" i="90"/>
  <c r="DB20" i="90"/>
  <c r="DF20" i="90"/>
  <c r="DC20" i="90"/>
  <c r="DE20" i="90"/>
  <c r="DB22" i="90"/>
  <c r="DF22" i="90"/>
  <c r="DD22" i="90"/>
  <c r="DE22" i="90"/>
  <c r="DC22" i="90"/>
  <c r="DB54" i="90"/>
  <c r="DF54" i="90"/>
  <c r="DD54" i="90"/>
  <c r="DE54" i="90"/>
  <c r="DC54" i="90"/>
  <c r="DD40" i="90"/>
  <c r="DB40" i="90"/>
  <c r="DF40" i="90"/>
  <c r="DC40" i="90"/>
  <c r="DE40" i="90"/>
  <c r="DD32" i="90"/>
  <c r="DB32" i="90"/>
  <c r="DF32" i="90"/>
  <c r="DC32" i="90"/>
  <c r="DE32" i="90"/>
  <c r="DD75" i="90"/>
  <c r="DE75" i="90"/>
  <c r="DF75" i="90"/>
  <c r="DB75" i="90"/>
  <c r="DC75" i="90"/>
  <c r="DE78" i="90"/>
  <c r="DB78" i="90"/>
  <c r="DF78" i="90"/>
  <c r="DD78" i="90"/>
  <c r="DC78" i="90"/>
  <c r="DC45" i="90"/>
  <c r="DE45" i="90"/>
  <c r="DB45" i="90"/>
  <c r="DD45" i="90"/>
  <c r="DF45" i="90"/>
  <c r="DC88" i="90"/>
  <c r="DD88" i="90"/>
  <c r="DE88" i="90"/>
  <c r="DF88" i="90"/>
  <c r="DB88" i="90"/>
  <c r="DD60" i="90"/>
  <c r="DB60" i="90"/>
  <c r="DF60" i="90"/>
  <c r="DC60" i="90"/>
  <c r="DE60" i="90"/>
  <c r="DB64" i="90"/>
  <c r="DF64" i="90"/>
  <c r="DC64" i="90"/>
  <c r="DD64" i="90"/>
  <c r="DE64" i="90"/>
  <c r="DE15" i="90"/>
  <c r="DC15" i="90"/>
  <c r="DB15" i="90"/>
  <c r="DD15" i="90"/>
  <c r="DF15" i="90"/>
  <c r="DC17" i="90"/>
  <c r="DE17" i="90"/>
  <c r="DF17" i="90"/>
  <c r="DB17" i="90"/>
  <c r="DD17" i="90"/>
  <c r="DE51" i="90"/>
  <c r="DC51" i="90"/>
  <c r="DD51" i="90"/>
  <c r="DF51" i="90"/>
  <c r="DB51" i="90"/>
  <c r="DB50" i="90"/>
  <c r="DF50" i="90"/>
  <c r="DD50" i="90"/>
  <c r="DC50" i="90"/>
  <c r="DE50" i="90"/>
  <c r="DE19" i="90"/>
  <c r="DC19" i="90"/>
  <c r="DD19" i="90"/>
  <c r="DF19" i="90"/>
  <c r="DB19" i="90"/>
  <c r="DE27" i="90"/>
  <c r="DC27" i="90"/>
  <c r="DD27" i="90"/>
  <c r="DF27" i="90"/>
  <c r="DB27" i="90"/>
  <c r="DE55" i="90"/>
  <c r="DC55" i="90"/>
  <c r="DB55" i="90"/>
  <c r="DD55" i="90"/>
  <c r="DF55" i="90"/>
  <c r="DB58" i="90"/>
  <c r="DF58" i="90"/>
  <c r="DD58" i="90"/>
  <c r="DC58" i="90"/>
  <c r="DE58" i="90"/>
  <c r="DC41" i="90"/>
  <c r="DE41" i="90"/>
  <c r="DF41" i="90"/>
  <c r="DB41" i="90"/>
  <c r="DD41" i="90"/>
  <c r="DC29" i="90"/>
  <c r="DE29" i="90"/>
  <c r="DB29" i="90"/>
  <c r="DD29" i="90"/>
  <c r="DF29" i="90"/>
  <c r="DC76" i="90"/>
  <c r="DD76" i="90"/>
  <c r="DB76" i="90"/>
  <c r="DE76" i="90"/>
  <c r="DF76" i="90"/>
  <c r="DE47" i="90"/>
  <c r="DC47" i="90"/>
  <c r="DB47" i="90"/>
  <c r="DD47" i="90"/>
  <c r="DF47" i="90"/>
  <c r="DB46" i="90"/>
  <c r="DF46" i="90"/>
  <c r="DD46" i="90"/>
  <c r="DE46" i="90"/>
  <c r="DC46" i="90"/>
  <c r="DB85" i="90"/>
  <c r="DF85" i="90"/>
  <c r="DC85" i="90"/>
  <c r="DD85" i="90"/>
  <c r="DE85" i="90"/>
  <c r="DE61" i="90"/>
  <c r="DB61" i="90"/>
  <c r="DC61" i="90"/>
  <c r="DD61" i="90"/>
  <c r="DF61" i="90"/>
  <c r="DB68" i="90"/>
  <c r="DF68" i="90"/>
  <c r="DD68" i="90"/>
  <c r="DE68" i="90"/>
  <c r="DC68" i="90"/>
  <c r="DE11" i="90"/>
  <c r="DC11" i="90"/>
  <c r="DD11" i="90"/>
  <c r="DF11" i="90"/>
  <c r="DB11" i="90"/>
  <c r="DC13" i="90"/>
  <c r="DE13" i="90"/>
  <c r="DB13" i="90"/>
  <c r="DD13" i="90"/>
  <c r="DF13" i="90"/>
  <c r="DD52" i="90"/>
  <c r="DB52" i="90"/>
  <c r="DF52" i="90"/>
  <c r="DC52" i="90"/>
  <c r="DE52" i="90"/>
  <c r="DD28" i="90"/>
  <c r="DB28" i="90"/>
  <c r="DF28" i="90"/>
  <c r="DC28" i="90"/>
  <c r="DE28" i="90"/>
  <c r="DE23" i="90"/>
  <c r="DC23" i="90"/>
  <c r="DB23" i="90"/>
  <c r="DD23" i="90"/>
  <c r="DF23" i="90"/>
  <c r="DD56" i="90"/>
  <c r="DB56" i="90"/>
  <c r="DF56" i="90"/>
  <c r="DC56" i="90"/>
  <c r="DE56" i="90"/>
  <c r="DE39" i="90"/>
  <c r="DC39" i="90"/>
  <c r="DB39" i="90"/>
  <c r="DD39" i="90"/>
  <c r="DF39" i="90"/>
  <c r="DB42" i="90"/>
  <c r="DF42" i="90"/>
  <c r="DD42" i="90"/>
  <c r="DC42" i="90"/>
  <c r="DE42" i="90"/>
  <c r="DC33" i="90"/>
  <c r="DE33" i="90"/>
  <c r="DF33" i="90"/>
  <c r="DB33" i="90"/>
  <c r="DD33" i="90"/>
  <c r="DB77" i="90"/>
  <c r="DF77" i="90"/>
  <c r="DC77" i="90"/>
  <c r="DD77" i="90"/>
  <c r="DE77" i="90"/>
  <c r="DD44" i="90"/>
  <c r="DB44" i="90"/>
  <c r="DF44" i="90"/>
  <c r="DC44" i="90"/>
  <c r="DE44" i="90"/>
  <c r="DD87" i="90"/>
  <c r="DE87" i="90"/>
  <c r="DB87" i="90"/>
  <c r="DC87" i="90"/>
  <c r="DF87" i="90"/>
  <c r="DE86" i="90"/>
  <c r="DB86" i="90"/>
  <c r="DF86" i="90"/>
  <c r="DC86" i="90"/>
  <c r="DD86" i="90"/>
  <c r="DC63" i="90"/>
  <c r="DB63" i="90"/>
  <c r="DD63" i="90"/>
  <c r="DE63" i="90"/>
  <c r="DF63" i="90"/>
  <c r="DD62" i="90"/>
  <c r="DB62" i="90"/>
  <c r="DC62" i="90"/>
  <c r="DF62" i="90"/>
  <c r="DE62" i="90"/>
  <c r="DE65" i="90"/>
  <c r="DC65" i="90"/>
  <c r="DD65" i="90"/>
  <c r="DF65" i="90"/>
  <c r="DB65" i="90"/>
  <c r="DB18" i="90"/>
  <c r="DF18" i="90"/>
  <c r="DD18" i="90"/>
  <c r="DC18" i="90"/>
  <c r="DE18" i="90"/>
  <c r="DD16" i="90"/>
  <c r="DB16" i="90"/>
  <c r="DF16" i="90"/>
  <c r="DC16" i="90"/>
  <c r="DE16" i="90"/>
  <c r="DC49" i="90"/>
  <c r="DE49" i="90"/>
  <c r="DF49" i="90"/>
  <c r="DB49" i="90"/>
  <c r="DD49" i="90"/>
  <c r="DC25" i="90"/>
  <c r="DE25" i="90"/>
  <c r="DF25" i="90"/>
  <c r="DB25" i="90"/>
  <c r="DD25" i="90"/>
  <c r="DD24" i="90"/>
  <c r="DB24" i="90"/>
  <c r="DF24" i="90"/>
  <c r="DC24" i="90"/>
  <c r="DE24" i="90"/>
  <c r="DB26" i="90"/>
  <c r="DF26" i="90"/>
  <c r="DD26" i="90"/>
  <c r="DC26" i="90"/>
  <c r="DE26" i="90"/>
  <c r="DC57" i="90"/>
  <c r="DE57" i="90"/>
  <c r="DF57" i="90"/>
  <c r="DB57" i="90"/>
  <c r="DD57" i="90"/>
  <c r="DE43" i="90"/>
  <c r="DC43" i="90"/>
  <c r="DD43" i="90"/>
  <c r="DF43" i="90"/>
  <c r="DB43" i="90"/>
  <c r="DE31" i="90"/>
  <c r="DC31" i="90"/>
  <c r="DB31" i="90"/>
  <c r="DF31" i="90"/>
  <c r="DD31" i="90"/>
  <c r="DB30" i="90"/>
  <c r="DF30" i="90"/>
  <c r="DD30" i="90"/>
  <c r="DE30" i="90"/>
  <c r="DC30" i="90"/>
  <c r="DE74" i="90"/>
  <c r="DB74" i="90"/>
  <c r="DF74" i="90"/>
  <c r="DC74" i="90"/>
  <c r="DD74" i="90"/>
  <c r="DD48" i="90"/>
  <c r="DB48" i="90"/>
  <c r="DF48" i="90"/>
  <c r="DC48" i="90"/>
  <c r="DE48" i="90"/>
  <c r="DC84" i="90"/>
  <c r="DD84" i="90"/>
  <c r="DB84" i="90"/>
  <c r="DF84" i="90"/>
  <c r="DE84" i="90"/>
  <c r="CZ14" i="90"/>
  <c r="CZ15" i="90"/>
  <c r="CZ13" i="90"/>
  <c r="CZ12" i="90"/>
  <c r="CZ11" i="90"/>
  <c r="CZ46" i="90"/>
  <c r="CZ133" i="90"/>
  <c r="CZ69" i="90"/>
  <c r="CZ125" i="90"/>
  <c r="CZ61" i="90"/>
  <c r="CZ121" i="90"/>
  <c r="CZ57" i="90"/>
  <c r="CZ113" i="90"/>
  <c r="CZ49" i="90"/>
  <c r="CZ144" i="90"/>
  <c r="CZ128" i="90"/>
  <c r="CZ112" i="90"/>
  <c r="CZ96" i="90"/>
  <c r="CZ80" i="90"/>
  <c r="CZ64" i="90"/>
  <c r="CZ48" i="90"/>
  <c r="CZ32" i="90"/>
  <c r="CZ139" i="90"/>
  <c r="CZ123" i="90"/>
  <c r="CZ107" i="90"/>
  <c r="CZ91" i="90"/>
  <c r="CZ75" i="90"/>
  <c r="CZ59" i="90"/>
  <c r="CZ43" i="90"/>
  <c r="CZ154" i="90"/>
  <c r="CZ138" i="90"/>
  <c r="CZ122" i="90"/>
  <c r="CZ106" i="90"/>
  <c r="CZ90" i="90"/>
  <c r="CZ74" i="90"/>
  <c r="CZ58" i="90"/>
  <c r="CZ42" i="90"/>
  <c r="CZ117" i="90"/>
  <c r="CZ53" i="90"/>
  <c r="CZ109" i="90"/>
  <c r="CZ45" i="90"/>
  <c r="CZ105" i="90"/>
  <c r="CZ41" i="90"/>
  <c r="CZ97" i="90"/>
  <c r="CZ33" i="90"/>
  <c r="CZ140" i="90"/>
  <c r="CZ124" i="90"/>
  <c r="CZ108" i="90"/>
  <c r="CZ92" i="90"/>
  <c r="CZ76" i="90"/>
  <c r="CZ60" i="90"/>
  <c r="CZ44" i="90"/>
  <c r="CZ151" i="90"/>
  <c r="CZ135" i="90"/>
  <c r="CZ119" i="90"/>
  <c r="CZ103" i="90"/>
  <c r="CZ87" i="90"/>
  <c r="CZ71" i="90"/>
  <c r="CZ55" i="90"/>
  <c r="CZ39" i="90"/>
  <c r="CZ150" i="90"/>
  <c r="CZ134" i="90"/>
  <c r="CZ118" i="90"/>
  <c r="CZ102" i="90"/>
  <c r="CZ86" i="90"/>
  <c r="CZ70" i="90"/>
  <c r="CZ54" i="90"/>
  <c r="CZ38" i="90"/>
  <c r="CZ101" i="90"/>
  <c r="CZ37" i="90"/>
  <c r="CZ93" i="90"/>
  <c r="CZ153" i="90"/>
  <c r="CZ89" i="90"/>
  <c r="CZ145" i="90"/>
  <c r="CZ81" i="90"/>
  <c r="CZ152" i="90"/>
  <c r="CZ136" i="90"/>
  <c r="CZ120" i="90"/>
  <c r="CZ104" i="90"/>
  <c r="CZ88" i="90"/>
  <c r="CZ72" i="90"/>
  <c r="CZ56" i="90"/>
  <c r="CZ40" i="90"/>
  <c r="CZ147" i="90"/>
  <c r="CZ131" i="90"/>
  <c r="CZ115" i="90"/>
  <c r="CZ99" i="90"/>
  <c r="CZ83" i="90"/>
  <c r="CZ67" i="90"/>
  <c r="CZ51" i="90"/>
  <c r="CZ35" i="90"/>
  <c r="CZ146" i="90"/>
  <c r="CZ130" i="90"/>
  <c r="CZ114" i="90"/>
  <c r="CZ98" i="90"/>
  <c r="CZ82" i="90"/>
  <c r="CZ66" i="90"/>
  <c r="CZ50" i="90"/>
  <c r="CZ34" i="90"/>
  <c r="CZ149" i="90"/>
  <c r="CZ85" i="90"/>
  <c r="CZ141" i="90"/>
  <c r="CZ77" i="90"/>
  <c r="CZ137" i="90"/>
  <c r="CZ73" i="90"/>
  <c r="CZ129" i="90"/>
  <c r="CZ65" i="90"/>
  <c r="CZ148" i="90"/>
  <c r="CZ132" i="90"/>
  <c r="CZ116" i="90"/>
  <c r="CZ100" i="90"/>
  <c r="CZ84" i="90"/>
  <c r="CZ68" i="90"/>
  <c r="CZ52" i="90"/>
  <c r="CZ36" i="90"/>
  <c r="CZ143" i="90"/>
  <c r="CZ127" i="90"/>
  <c r="CZ111" i="90"/>
  <c r="CZ95" i="90"/>
  <c r="CZ79" i="90"/>
  <c r="CZ63" i="90"/>
  <c r="CZ47" i="90"/>
  <c r="CZ31" i="90"/>
  <c r="CZ142" i="90"/>
  <c r="CZ126" i="90"/>
  <c r="CZ110" i="90"/>
  <c r="CZ94" i="90"/>
  <c r="CZ78" i="90"/>
  <c r="CZ62" i="90"/>
  <c r="Q11" i="88"/>
  <c r="S11" i="88" s="1"/>
  <c r="T11" i="88" s="1"/>
  <c r="O15" i="88"/>
  <c r="Q15" i="88" s="1"/>
  <c r="S15" i="88" s="1"/>
  <c r="T15" i="88" s="1"/>
  <c r="O12" i="88"/>
  <c r="Q12" i="88" s="1"/>
  <c r="S12" i="88" s="1"/>
  <c r="T12" i="88" s="1"/>
  <c r="O10" i="88"/>
  <c r="Q10" i="88" s="1"/>
  <c r="Z5" i="88"/>
  <c r="AO5" i="88" s="1"/>
  <c r="CP7" i="89" s="1"/>
  <c r="DJ6" i="89" s="1"/>
  <c r="S6" i="88"/>
  <c r="T6" i="88" s="1"/>
  <c r="Q19" i="88"/>
  <c r="Z9" i="88" s="1"/>
  <c r="S4" i="88"/>
  <c r="T4" i="88" s="1"/>
  <c r="S5" i="88"/>
  <c r="T5" i="88" s="1"/>
  <c r="T59" i="81"/>
  <c r="T60" i="81"/>
  <c r="CZ28" i="90"/>
  <c r="CZ30" i="90"/>
  <c r="CZ17" i="90"/>
  <c r="CZ16" i="90"/>
  <c r="CZ18" i="90"/>
  <c r="CZ27" i="90"/>
  <c r="CZ26" i="90"/>
  <c r="CZ20" i="90"/>
  <c r="CZ25" i="90"/>
  <c r="CZ29" i="90"/>
  <c r="CZ23" i="90"/>
  <c r="CZ24" i="90"/>
  <c r="CZ21" i="90"/>
  <c r="CZ19" i="90"/>
  <c r="CZ22" i="90"/>
  <c r="T57" i="81"/>
  <c r="T58" i="81"/>
  <c r="T61" i="81"/>
  <c r="S16" i="88"/>
  <c r="T16" i="88" s="1"/>
  <c r="S18" i="88"/>
  <c r="T18" i="88" s="1"/>
  <c r="S13" i="88"/>
  <c r="T13" i="88" s="1"/>
  <c r="S9" i="88"/>
  <c r="T9" i="88" s="1"/>
  <c r="S17" i="88"/>
  <c r="T17" i="88" s="1"/>
  <c r="S8" i="88"/>
  <c r="T8" i="88" s="1"/>
  <c r="AQ6" i="88" l="1"/>
  <c r="AI9" i="95"/>
  <c r="AI6" i="95"/>
  <c r="AI15" i="95"/>
  <c r="AI13" i="95"/>
  <c r="AI10" i="95"/>
  <c r="AI12" i="95"/>
  <c r="AI7" i="95"/>
  <c r="AI11" i="95"/>
  <c r="AI14" i="95"/>
  <c r="AI8" i="95"/>
  <c r="AI26" i="95"/>
  <c r="AI33" i="95"/>
  <c r="AI24" i="95"/>
  <c r="AI30" i="95"/>
  <c r="AI23" i="95"/>
  <c r="AI34" i="95"/>
  <c r="AI22" i="95"/>
  <c r="AI20" i="95"/>
  <c r="AI18" i="95"/>
  <c r="AI19" i="95"/>
  <c r="AI25" i="95"/>
  <c r="AI29" i="95"/>
  <c r="AI16" i="95"/>
  <c r="AI21" i="95"/>
  <c r="AI35" i="95"/>
  <c r="AI17" i="95"/>
  <c r="AI28" i="95"/>
  <c r="AI32" i="95"/>
  <c r="AI27" i="95"/>
  <c r="AI31" i="95"/>
  <c r="AI94" i="95"/>
  <c r="AI81" i="95"/>
  <c r="AI80" i="95"/>
  <c r="AI95" i="95"/>
  <c r="AI79" i="95"/>
  <c r="AI85" i="95"/>
  <c r="AI83" i="95"/>
  <c r="AI82" i="95"/>
  <c r="AI93" i="95"/>
  <c r="AI77" i="95"/>
  <c r="AI86" i="95"/>
  <c r="AI92" i="95"/>
  <c r="AI76" i="95"/>
  <c r="AI90" i="95"/>
  <c r="AI91" i="95"/>
  <c r="AI89" i="95"/>
  <c r="AI88" i="95"/>
  <c r="AI78" i="95"/>
  <c r="AI87" i="95"/>
  <c r="AI84" i="95"/>
  <c r="AV1357" i="90"/>
  <c r="AV161" i="90"/>
  <c r="AV1617" i="90"/>
  <c r="AV1565" i="90"/>
  <c r="AV1461" i="90"/>
  <c r="AV993" i="90"/>
  <c r="AV629" i="90"/>
  <c r="AV1253" i="90"/>
  <c r="AV1201" i="90"/>
  <c r="AV1409" i="90"/>
  <c r="AV1045" i="90"/>
  <c r="AV525" i="90"/>
  <c r="AV421" i="90"/>
  <c r="AV265" i="90"/>
  <c r="AV109" i="90"/>
  <c r="AV785" i="90"/>
  <c r="AV733" i="90"/>
  <c r="AV369" i="90"/>
  <c r="AV1513" i="90"/>
  <c r="AV681" i="90"/>
  <c r="AV213" i="90"/>
  <c r="AV473" i="90"/>
  <c r="AV1149" i="90"/>
  <c r="AV837" i="90"/>
  <c r="AV1305" i="90"/>
  <c r="AV577" i="90"/>
  <c r="AV889" i="90"/>
  <c r="AV1097" i="90"/>
  <c r="AV57" i="90"/>
  <c r="AV317" i="90"/>
  <c r="AV941" i="90"/>
  <c r="DV10" i="89"/>
  <c r="DV14" i="89"/>
  <c r="DV18" i="89"/>
  <c r="DV22" i="89"/>
  <c r="DV26" i="89"/>
  <c r="DV30" i="89"/>
  <c r="DV34" i="89"/>
  <c r="DV38" i="89"/>
  <c r="DV42" i="89"/>
  <c r="DV46" i="89"/>
  <c r="DV50" i="89"/>
  <c r="DV54" i="89"/>
  <c r="DV7" i="89"/>
  <c r="DV11" i="89"/>
  <c r="DV15" i="89"/>
  <c r="DV19" i="89"/>
  <c r="DV23" i="89"/>
  <c r="DV27" i="89"/>
  <c r="DV31" i="89"/>
  <c r="DV35" i="89"/>
  <c r="DV39" i="89"/>
  <c r="DV43" i="89"/>
  <c r="DV47" i="89"/>
  <c r="DV51" i="89"/>
  <c r="DV55" i="89"/>
  <c r="DV8" i="89"/>
  <c r="DV12" i="89"/>
  <c r="DV16" i="89"/>
  <c r="DV20" i="89"/>
  <c r="DV24" i="89"/>
  <c r="DV28" i="89"/>
  <c r="DV32" i="89"/>
  <c r="DV36" i="89"/>
  <c r="DV40" i="89"/>
  <c r="DV44" i="89"/>
  <c r="DV48" i="89"/>
  <c r="DV52" i="89"/>
  <c r="DV56" i="89"/>
  <c r="DV21" i="89"/>
  <c r="DV37" i="89"/>
  <c r="DV53" i="89"/>
  <c r="DV45" i="89"/>
  <c r="DV6" i="89"/>
  <c r="DV17" i="89"/>
  <c r="DV33" i="89"/>
  <c r="DV9" i="89"/>
  <c r="DV25" i="89"/>
  <c r="DV41" i="89"/>
  <c r="DV57" i="89"/>
  <c r="DV13" i="89"/>
  <c r="DV29" i="89"/>
  <c r="DV49" i="89"/>
  <c r="DW9" i="89"/>
  <c r="DW13" i="89"/>
  <c r="DW17" i="89"/>
  <c r="DW21" i="89"/>
  <c r="DW25" i="89"/>
  <c r="DW29" i="89"/>
  <c r="DW33" i="89"/>
  <c r="DW37" i="89"/>
  <c r="DW41" i="89"/>
  <c r="DW45" i="89"/>
  <c r="DW49" i="89"/>
  <c r="DW53" i="89"/>
  <c r="DW57" i="89"/>
  <c r="DW6" i="89"/>
  <c r="DW10" i="89"/>
  <c r="DW14" i="89"/>
  <c r="DW18" i="89"/>
  <c r="DW22" i="89"/>
  <c r="DW26" i="89"/>
  <c r="DW30" i="89"/>
  <c r="DW34" i="89"/>
  <c r="DW38" i="89"/>
  <c r="DW42" i="89"/>
  <c r="DW46" i="89"/>
  <c r="DW50" i="89"/>
  <c r="DW54" i="89"/>
  <c r="DW7" i="89"/>
  <c r="DW11" i="89"/>
  <c r="DW15" i="89"/>
  <c r="DW19" i="89"/>
  <c r="DW23" i="89"/>
  <c r="DW27" i="89"/>
  <c r="DW31" i="89"/>
  <c r="DW35" i="89"/>
  <c r="DW39" i="89"/>
  <c r="DW43" i="89"/>
  <c r="DW47" i="89"/>
  <c r="DW51" i="89"/>
  <c r="DW55" i="89"/>
  <c r="DW8" i="89"/>
  <c r="DW24" i="89"/>
  <c r="DW40" i="89"/>
  <c r="DW56" i="89"/>
  <c r="DW16" i="89"/>
  <c r="DW32" i="89"/>
  <c r="DW52" i="89"/>
  <c r="DW12" i="89"/>
  <c r="DW28" i="89"/>
  <c r="DW44" i="89"/>
  <c r="DW48" i="89"/>
  <c r="DW20" i="89"/>
  <c r="DW36" i="89"/>
  <c r="DU7" i="89"/>
  <c r="DU11" i="89"/>
  <c r="DU15" i="89"/>
  <c r="DU19" i="89"/>
  <c r="DU23" i="89"/>
  <c r="DU27" i="89"/>
  <c r="DU31" i="89"/>
  <c r="DU35" i="89"/>
  <c r="DU39" i="89"/>
  <c r="DU43" i="89"/>
  <c r="DU47" i="89"/>
  <c r="DU51" i="89"/>
  <c r="DU55" i="89"/>
  <c r="DU8" i="89"/>
  <c r="DU12" i="89"/>
  <c r="DU16" i="89"/>
  <c r="DU20" i="89"/>
  <c r="DU24" i="89"/>
  <c r="DU28" i="89"/>
  <c r="DU32" i="89"/>
  <c r="DU36" i="89"/>
  <c r="DU40" i="89"/>
  <c r="DU44" i="89"/>
  <c r="DU48" i="89"/>
  <c r="DU52" i="89"/>
  <c r="DU56" i="89"/>
  <c r="DU9" i="89"/>
  <c r="DU13" i="89"/>
  <c r="DU17" i="89"/>
  <c r="DU21" i="89"/>
  <c r="DU25" i="89"/>
  <c r="DU29" i="89"/>
  <c r="DU33" i="89"/>
  <c r="DU37" i="89"/>
  <c r="DU41" i="89"/>
  <c r="DU45" i="89"/>
  <c r="DU49" i="89"/>
  <c r="DU53" i="89"/>
  <c r="DU57" i="89"/>
  <c r="DU6" i="89"/>
  <c r="DU18" i="89"/>
  <c r="DU34" i="89"/>
  <c r="DU50" i="89"/>
  <c r="DU54" i="89"/>
  <c r="DU10" i="89"/>
  <c r="DU26" i="89"/>
  <c r="DU46" i="89"/>
  <c r="DU22" i="89"/>
  <c r="DU38" i="89"/>
  <c r="DU42" i="89"/>
  <c r="DU14" i="89"/>
  <c r="DU30" i="89"/>
  <c r="DT8" i="89"/>
  <c r="DT12" i="89"/>
  <c r="DT16" i="89"/>
  <c r="DT20" i="89"/>
  <c r="DT24" i="89"/>
  <c r="DT28" i="89"/>
  <c r="DT32" i="89"/>
  <c r="DT36" i="89"/>
  <c r="DT40" i="89"/>
  <c r="DT44" i="89"/>
  <c r="DT48" i="89"/>
  <c r="DT52" i="89"/>
  <c r="DT56" i="89"/>
  <c r="DT7" i="89"/>
  <c r="DT9" i="89"/>
  <c r="DT13" i="89"/>
  <c r="DT17" i="89"/>
  <c r="DT21" i="89"/>
  <c r="DT25" i="89"/>
  <c r="DT29" i="89"/>
  <c r="DT33" i="89"/>
  <c r="DT37" i="89"/>
  <c r="DT41" i="89"/>
  <c r="DT45" i="89"/>
  <c r="DT49" i="89"/>
  <c r="DT53" i="89"/>
  <c r="DT57" i="89"/>
  <c r="DT10" i="89"/>
  <c r="DT14" i="89"/>
  <c r="DT18" i="89"/>
  <c r="DT22" i="89"/>
  <c r="DT26" i="89"/>
  <c r="DT30" i="89"/>
  <c r="DT34" i="89"/>
  <c r="DT38" i="89"/>
  <c r="DT42" i="89"/>
  <c r="DT46" i="89"/>
  <c r="DT50" i="89"/>
  <c r="DT54" i="89"/>
  <c r="DT6" i="89"/>
  <c r="DT15" i="89"/>
  <c r="DT31" i="89"/>
  <c r="DT47" i="89"/>
  <c r="DT39" i="89"/>
  <c r="DT27" i="89"/>
  <c r="DT19" i="89"/>
  <c r="DT35" i="89"/>
  <c r="DT51" i="89"/>
  <c r="DT23" i="89"/>
  <c r="DT55" i="89"/>
  <c r="DT11" i="89"/>
  <c r="DT43" i="89"/>
  <c r="DX8" i="89"/>
  <c r="DX12" i="89"/>
  <c r="DX16" i="89"/>
  <c r="DX20" i="89"/>
  <c r="DX24" i="89"/>
  <c r="DX28" i="89"/>
  <c r="DX32" i="89"/>
  <c r="DX36" i="89"/>
  <c r="DX40" i="89"/>
  <c r="DX44" i="89"/>
  <c r="DX48" i="89"/>
  <c r="DX52" i="89"/>
  <c r="DX56" i="89"/>
  <c r="DX9" i="89"/>
  <c r="DX13" i="89"/>
  <c r="DX17" i="89"/>
  <c r="DX21" i="89"/>
  <c r="DX25" i="89"/>
  <c r="DX29" i="89"/>
  <c r="DX33" i="89"/>
  <c r="DX37" i="89"/>
  <c r="DX41" i="89"/>
  <c r="DX45" i="89"/>
  <c r="DX49" i="89"/>
  <c r="DX53" i="89"/>
  <c r="DX57" i="89"/>
  <c r="DX6" i="89"/>
  <c r="DX10" i="89"/>
  <c r="DX14" i="89"/>
  <c r="DX18" i="89"/>
  <c r="DX22" i="89"/>
  <c r="DX26" i="89"/>
  <c r="DX30" i="89"/>
  <c r="DX34" i="89"/>
  <c r="DX38" i="89"/>
  <c r="DX42" i="89"/>
  <c r="DX46" i="89"/>
  <c r="DX50" i="89"/>
  <c r="DX54" i="89"/>
  <c r="DX7" i="89"/>
  <c r="DX11" i="89"/>
  <c r="DX27" i="89"/>
  <c r="DX43" i="89"/>
  <c r="DX19" i="89"/>
  <c r="DX51" i="89"/>
  <c r="DX39" i="89"/>
  <c r="DX15" i="89"/>
  <c r="DX31" i="89"/>
  <c r="DX47" i="89"/>
  <c r="DX35" i="89"/>
  <c r="DX23" i="89"/>
  <c r="DX55" i="89"/>
  <c r="AK89" i="95"/>
  <c r="AK84" i="95"/>
  <c r="AK86" i="95"/>
  <c r="AK91" i="95"/>
  <c r="AK85" i="95"/>
  <c r="AK80" i="95"/>
  <c r="AK87" i="95"/>
  <c r="AK94" i="95"/>
  <c r="AK81" i="95"/>
  <c r="AK90" i="95"/>
  <c r="AK92" i="95"/>
  <c r="AK76" i="95"/>
  <c r="AK83" i="95"/>
  <c r="AK77" i="95"/>
  <c r="AK82" i="95"/>
  <c r="AK78" i="95"/>
  <c r="AK95" i="95"/>
  <c r="AK88" i="95"/>
  <c r="AK93" i="95"/>
  <c r="AK79" i="95"/>
  <c r="AO9" i="88"/>
  <c r="CP11" i="89" s="1"/>
  <c r="V5" i="90"/>
  <c r="W5" i="90"/>
  <c r="U5" i="90"/>
  <c r="X5" i="90"/>
  <c r="AV5" i="90"/>
  <c r="AK7" i="95"/>
  <c r="AK11" i="95"/>
  <c r="AK15" i="95"/>
  <c r="AK10" i="95"/>
  <c r="AK8" i="95"/>
  <c r="AK12" i="95"/>
  <c r="AK6" i="95"/>
  <c r="AK13" i="95"/>
  <c r="AK14" i="95"/>
  <c r="AK9" i="95"/>
  <c r="AK26" i="95"/>
  <c r="AK29" i="95"/>
  <c r="AK18" i="95"/>
  <c r="AK24" i="95"/>
  <c r="AK34" i="95"/>
  <c r="AK25" i="95"/>
  <c r="AK20" i="95"/>
  <c r="AK32" i="95"/>
  <c r="AK27" i="95"/>
  <c r="AK21" i="95"/>
  <c r="AK33" i="95"/>
  <c r="AK16" i="95"/>
  <c r="AK22" i="95"/>
  <c r="AK23" i="95"/>
  <c r="AK35" i="95"/>
  <c r="AK28" i="95"/>
  <c r="AK19" i="95"/>
  <c r="AK31" i="95"/>
  <c r="AK17" i="95"/>
  <c r="AK30" i="95"/>
  <c r="AO6" i="88"/>
  <c r="CP8" i="89" s="1"/>
  <c r="ED6" i="89"/>
  <c r="Z7" i="88"/>
  <c r="Z8" i="88"/>
  <c r="AJ14" i="98"/>
  <c r="Z13" i="98"/>
  <c r="S10" i="88"/>
  <c r="T10" i="88" s="1"/>
  <c r="AA11" i="98"/>
  <c r="P9" i="98"/>
  <c r="AP5" i="88"/>
  <c r="AT5" i="88"/>
  <c r="AV5" i="88"/>
  <c r="AS5" i="88"/>
  <c r="AQ5" i="88"/>
  <c r="AU5" i="88"/>
  <c r="AR5" i="88"/>
  <c r="AN5" i="88"/>
  <c r="EV7" i="89" s="1"/>
  <c r="AM5" i="88"/>
  <c r="AP9" i="88"/>
  <c r="J16" i="90" s="1"/>
  <c r="AT9" i="88"/>
  <c r="EF9" i="98" s="1"/>
  <c r="EG9" i="98" s="1"/>
  <c r="AR9" i="88"/>
  <c r="AS9" i="88"/>
  <c r="Y10" i="100" s="1"/>
  <c r="AQ9" i="88"/>
  <c r="AU9" i="88"/>
  <c r="AR9" i="103" s="1"/>
  <c r="AM9" i="88"/>
  <c r="AV9" i="88"/>
  <c r="AN9" i="88"/>
  <c r="AN6" i="88"/>
  <c r="AS6" i="88"/>
  <c r="AU6" i="88"/>
  <c r="AM6" i="88"/>
  <c r="AV6" i="88"/>
  <c r="AP6" i="88"/>
  <c r="AT6" i="88"/>
  <c r="AR6" i="88"/>
  <c r="AI7" i="98"/>
  <c r="Z15" i="98"/>
  <c r="P10" i="98"/>
  <c r="R7" i="98"/>
  <c r="AJ11" i="98"/>
  <c r="R14" i="98"/>
  <c r="R12" i="98"/>
  <c r="Z7" i="98"/>
  <c r="Y7" i="98"/>
  <c r="AB7" i="98"/>
  <c r="AA7" i="98"/>
  <c r="Y14" i="98"/>
  <c r="AA14" i="98"/>
  <c r="AB14" i="98"/>
  <c r="Z14" i="98"/>
  <c r="AI10" i="98"/>
  <c r="AJ10" i="98"/>
  <c r="AK10" i="98"/>
  <c r="AL10" i="98"/>
  <c r="CJ7" i="98"/>
  <c r="CJ11" i="98"/>
  <c r="CJ15" i="98"/>
  <c r="CJ19" i="98"/>
  <c r="CJ23" i="98"/>
  <c r="CJ27" i="98"/>
  <c r="CJ31" i="98"/>
  <c r="CJ35" i="98"/>
  <c r="CJ39" i="98"/>
  <c r="CJ43" i="98"/>
  <c r="CJ47" i="98"/>
  <c r="CJ51" i="98"/>
  <c r="CJ55" i="98"/>
  <c r="CJ59" i="98"/>
  <c r="CJ63" i="98"/>
  <c r="CJ54" i="98"/>
  <c r="CJ6" i="98"/>
  <c r="CJ8" i="98"/>
  <c r="CJ12" i="98"/>
  <c r="CJ16" i="98"/>
  <c r="CJ20" i="98"/>
  <c r="CJ24" i="98"/>
  <c r="CJ28" i="98"/>
  <c r="CJ32" i="98"/>
  <c r="CJ36" i="98"/>
  <c r="CJ40" i="98"/>
  <c r="CJ44" i="98"/>
  <c r="CJ48" i="98"/>
  <c r="CJ52" i="98"/>
  <c r="CJ56" i="98"/>
  <c r="CJ60" i="98"/>
  <c r="CJ64" i="98"/>
  <c r="CJ50" i="98"/>
  <c r="CJ62" i="98"/>
  <c r="CJ9" i="98"/>
  <c r="CJ13" i="98"/>
  <c r="CJ17" i="98"/>
  <c r="CJ21" i="98"/>
  <c r="CJ25" i="98"/>
  <c r="CJ29" i="98"/>
  <c r="CJ33" i="98"/>
  <c r="CJ37" i="98"/>
  <c r="CJ41" i="98"/>
  <c r="CJ45" i="98"/>
  <c r="CJ49" i="98"/>
  <c r="CJ53" i="98"/>
  <c r="CJ57" i="98"/>
  <c r="CJ61" i="98"/>
  <c r="CJ65" i="98"/>
  <c r="CJ46" i="98"/>
  <c r="CJ10" i="98"/>
  <c r="CJ14" i="98"/>
  <c r="CJ18" i="98"/>
  <c r="CJ22" i="98"/>
  <c r="CJ26" i="98"/>
  <c r="CJ30" i="98"/>
  <c r="CJ34" i="98"/>
  <c r="CJ38" i="98"/>
  <c r="CJ42" i="98"/>
  <c r="CJ58" i="98"/>
  <c r="S7" i="88"/>
  <c r="T7" i="88" s="1"/>
  <c r="EY5" i="89"/>
  <c r="S14" i="88"/>
  <c r="T14" i="88" s="1"/>
  <c r="N34" i="88"/>
  <c r="O34" i="88"/>
  <c r="K34" i="88"/>
  <c r="H34" i="88"/>
  <c r="I34" i="88"/>
  <c r="L34" i="88"/>
  <c r="G34" i="88"/>
  <c r="J34" i="88"/>
  <c r="M34" i="88"/>
  <c r="HK128" i="100" l="1"/>
  <c r="HK132" i="100"/>
  <c r="HK136" i="100"/>
  <c r="HK140" i="100"/>
  <c r="HK144" i="100"/>
  <c r="HK148" i="100"/>
  <c r="HK152" i="100"/>
  <c r="HK156" i="100"/>
  <c r="HK160" i="100"/>
  <c r="HK164" i="100"/>
  <c r="HK168" i="100"/>
  <c r="HK172" i="100"/>
  <c r="HK176" i="100"/>
  <c r="HK180" i="100"/>
  <c r="HK184" i="100"/>
  <c r="HK188" i="100"/>
  <c r="HK192" i="100"/>
  <c r="HK196" i="100"/>
  <c r="HK200" i="100"/>
  <c r="HK204" i="100"/>
  <c r="HK208" i="100"/>
  <c r="HK212" i="100"/>
  <c r="HK216" i="100"/>
  <c r="HK220" i="100"/>
  <c r="HK224" i="100"/>
  <c r="HK228" i="100"/>
  <c r="HK232" i="100"/>
  <c r="HK129" i="100"/>
  <c r="HK133" i="100"/>
  <c r="HK137" i="100"/>
  <c r="HK141" i="100"/>
  <c r="HK145" i="100"/>
  <c r="HK149" i="100"/>
  <c r="HK153" i="100"/>
  <c r="HK157" i="100"/>
  <c r="HK161" i="100"/>
  <c r="HK165" i="100"/>
  <c r="HK169" i="100"/>
  <c r="HK173" i="100"/>
  <c r="HK177" i="100"/>
  <c r="HK181" i="100"/>
  <c r="HK185" i="100"/>
  <c r="HK189" i="100"/>
  <c r="HK193" i="100"/>
  <c r="HK197" i="100"/>
  <c r="HK201" i="100"/>
  <c r="HK205" i="100"/>
  <c r="HK209" i="100"/>
  <c r="HK213" i="100"/>
  <c r="HK217" i="100"/>
  <c r="HK221" i="100"/>
  <c r="HK225" i="100"/>
  <c r="HK229" i="100"/>
  <c r="HK233" i="100"/>
  <c r="HK130" i="100"/>
  <c r="HK138" i="100"/>
  <c r="HK146" i="100"/>
  <c r="HK154" i="100"/>
  <c r="HK162" i="100"/>
  <c r="HK170" i="100"/>
  <c r="HK178" i="100"/>
  <c r="HK186" i="100"/>
  <c r="HK194" i="100"/>
  <c r="HK202" i="100"/>
  <c r="HK210" i="100"/>
  <c r="HK218" i="100"/>
  <c r="HK226" i="100"/>
  <c r="HK234" i="100"/>
  <c r="HK134" i="100"/>
  <c r="HK131" i="100"/>
  <c r="HK139" i="100"/>
  <c r="HK147" i="100"/>
  <c r="HK155" i="100"/>
  <c r="HK163" i="100"/>
  <c r="HK171" i="100"/>
  <c r="HK179" i="100"/>
  <c r="HK187" i="100"/>
  <c r="HK195" i="100"/>
  <c r="HK203" i="100"/>
  <c r="HK211" i="100"/>
  <c r="HK219" i="100"/>
  <c r="HK227" i="100"/>
  <c r="HK142" i="100"/>
  <c r="HK143" i="100"/>
  <c r="HK159" i="100"/>
  <c r="HK175" i="100"/>
  <c r="HK191" i="100"/>
  <c r="HK207" i="100"/>
  <c r="HK223" i="100"/>
  <c r="HK150" i="100"/>
  <c r="HK166" i="100"/>
  <c r="HK182" i="100"/>
  <c r="HK198" i="100"/>
  <c r="HK214" i="100"/>
  <c r="HK230" i="100"/>
  <c r="HK158" i="100"/>
  <c r="HK190" i="100"/>
  <c r="HK222" i="100"/>
  <c r="HK135" i="100"/>
  <c r="HK174" i="100"/>
  <c r="HK206" i="100"/>
  <c r="HK127" i="100"/>
  <c r="HK151" i="100"/>
  <c r="HK167" i="100"/>
  <c r="HK183" i="100"/>
  <c r="HK199" i="100"/>
  <c r="HK215" i="100"/>
  <c r="HK231" i="100"/>
  <c r="EY35" i="98"/>
  <c r="EY39" i="98"/>
  <c r="EY36" i="98"/>
  <c r="EY40" i="98"/>
  <c r="EY33" i="98"/>
  <c r="EY37" i="98"/>
  <c r="EY41" i="98"/>
  <c r="EY34" i="98"/>
  <c r="EY38" i="98"/>
  <c r="AN8" i="88"/>
  <c r="AI65" i="95"/>
  <c r="AI64" i="95"/>
  <c r="AI63" i="95"/>
  <c r="AI58" i="95"/>
  <c r="AI61" i="95"/>
  <c r="AI60" i="95"/>
  <c r="AI75" i="95"/>
  <c r="AI59" i="95"/>
  <c r="AI62" i="95"/>
  <c r="AI68" i="95"/>
  <c r="AI66" i="95"/>
  <c r="AI67" i="95"/>
  <c r="AI70" i="95"/>
  <c r="AI73" i="95"/>
  <c r="AI57" i="95"/>
  <c r="AI74" i="95"/>
  <c r="AI72" i="95"/>
  <c r="AI56" i="95"/>
  <c r="AI71" i="95"/>
  <c r="AI69" i="95"/>
  <c r="BI25" i="90"/>
  <c r="BI45" i="90"/>
  <c r="BI65" i="90"/>
  <c r="BI5" i="90"/>
  <c r="AI46" i="95"/>
  <c r="AI49" i="95"/>
  <c r="AI50" i="95"/>
  <c r="AI48" i="95"/>
  <c r="AI54" i="95"/>
  <c r="AI47" i="95"/>
  <c r="AI37" i="95"/>
  <c r="AI52" i="95"/>
  <c r="AI38" i="95"/>
  <c r="AI45" i="95"/>
  <c r="AI42" i="95"/>
  <c r="AI44" i="95"/>
  <c r="AI43" i="95"/>
  <c r="AI53" i="95"/>
  <c r="AI41" i="95"/>
  <c r="AI40" i="95"/>
  <c r="AI55" i="95"/>
  <c r="AI39" i="95"/>
  <c r="AI36" i="95"/>
  <c r="AI51" i="95"/>
  <c r="AH109" i="90"/>
  <c r="AH5" i="90"/>
  <c r="AH57" i="90"/>
  <c r="AH161" i="90"/>
  <c r="AF18" i="90"/>
  <c r="AF70" i="90"/>
  <c r="AF122" i="90"/>
  <c r="AF174" i="90"/>
  <c r="AF25" i="90"/>
  <c r="AF77" i="90"/>
  <c r="AF129" i="90"/>
  <c r="AF181" i="90"/>
  <c r="AF16" i="90"/>
  <c r="AF68" i="90"/>
  <c r="AF120" i="90"/>
  <c r="AF172" i="90"/>
  <c r="AB57" i="90"/>
  <c r="AB161" i="90"/>
  <c r="AB109" i="90"/>
  <c r="AB5" i="90"/>
  <c r="AX837" i="90"/>
  <c r="AX161" i="90"/>
  <c r="AX1409" i="90"/>
  <c r="AX1565" i="90"/>
  <c r="AX1357" i="90"/>
  <c r="AX1461" i="90"/>
  <c r="AX1513" i="90"/>
  <c r="AX733" i="90"/>
  <c r="AX681" i="90"/>
  <c r="AX993" i="90"/>
  <c r="AX421" i="90"/>
  <c r="AX1253" i="90"/>
  <c r="AX1045" i="90"/>
  <c r="AX1149" i="90"/>
  <c r="AX525" i="90"/>
  <c r="AX109" i="90"/>
  <c r="AX369" i="90"/>
  <c r="AX785" i="90"/>
  <c r="AX1201" i="90"/>
  <c r="AX265" i="90"/>
  <c r="AX473" i="90"/>
  <c r="AX629" i="90"/>
  <c r="AX1097" i="90"/>
  <c r="AX1617" i="90"/>
  <c r="AX577" i="90"/>
  <c r="AX57" i="90"/>
  <c r="AX889" i="90"/>
  <c r="AX941" i="90"/>
  <c r="AX317" i="90"/>
  <c r="AX213" i="90"/>
  <c r="AX1305" i="90"/>
  <c r="AB25" i="90"/>
  <c r="AB77" i="90"/>
  <c r="AB129" i="90"/>
  <c r="AB181" i="90"/>
  <c r="AB51" i="90"/>
  <c r="AB103" i="90"/>
  <c r="AB155" i="90"/>
  <c r="AB207" i="90"/>
  <c r="AC29" i="90"/>
  <c r="AC81" i="90"/>
  <c r="AC133" i="90"/>
  <c r="AC185" i="90"/>
  <c r="AC53" i="90"/>
  <c r="AC105" i="90"/>
  <c r="AC157" i="90"/>
  <c r="AC209" i="90"/>
  <c r="AC57" i="90"/>
  <c r="AC109" i="90"/>
  <c r="AC161" i="90"/>
  <c r="AC5" i="90"/>
  <c r="AC44" i="90"/>
  <c r="AC96" i="90"/>
  <c r="AC148" i="90"/>
  <c r="AC200" i="90"/>
  <c r="AC28" i="90"/>
  <c r="AC80" i="90"/>
  <c r="AC132" i="90"/>
  <c r="AC184" i="90"/>
  <c r="AC12" i="90"/>
  <c r="AC64" i="90"/>
  <c r="AC116" i="90"/>
  <c r="AC168" i="90"/>
  <c r="AX1104" i="90"/>
  <c r="AX740" i="90"/>
  <c r="AX428" i="90"/>
  <c r="AX844" i="90"/>
  <c r="AX64" i="90"/>
  <c r="AX272" i="90"/>
  <c r="AX1260" i="90"/>
  <c r="AX168" i="90"/>
  <c r="AX896" i="90"/>
  <c r="AX1520" i="90"/>
  <c r="AX1468" i="90"/>
  <c r="AX1416" i="90"/>
  <c r="AX792" i="90"/>
  <c r="AX324" i="90"/>
  <c r="AX948" i="90"/>
  <c r="AX532" i="90"/>
  <c r="AX1572" i="90"/>
  <c r="AX584" i="90"/>
  <c r="AX220" i="90"/>
  <c r="AX116" i="90"/>
  <c r="AX480" i="90"/>
  <c r="AX1000" i="90"/>
  <c r="AX1624" i="90"/>
  <c r="AX688" i="90"/>
  <c r="AX1364" i="90"/>
  <c r="AX376" i="90"/>
  <c r="AX1156" i="90"/>
  <c r="AX1208" i="90"/>
  <c r="AX12" i="90"/>
  <c r="AX636" i="90"/>
  <c r="AX1052" i="90"/>
  <c r="AX1312" i="90"/>
  <c r="AC15" i="90"/>
  <c r="AC67" i="90"/>
  <c r="AC119" i="90"/>
  <c r="AC171" i="90"/>
  <c r="AX223" i="90"/>
  <c r="AX847" i="90"/>
  <c r="AX1263" i="90"/>
  <c r="AX1523" i="90"/>
  <c r="AX1367" i="90"/>
  <c r="AX1159" i="90"/>
  <c r="AX587" i="90"/>
  <c r="AX171" i="90"/>
  <c r="AX1107" i="90"/>
  <c r="AX1471" i="90"/>
  <c r="AX1575" i="90"/>
  <c r="AX1003" i="90"/>
  <c r="AX691" i="90"/>
  <c r="AX743" i="90"/>
  <c r="AX1627" i="90"/>
  <c r="AX1211" i="90"/>
  <c r="AX275" i="90"/>
  <c r="AX1315" i="90"/>
  <c r="AX119" i="90"/>
  <c r="AX795" i="90"/>
  <c r="AX1419" i="90"/>
  <c r="AX431" i="90"/>
  <c r="AX535" i="90"/>
  <c r="AX379" i="90"/>
  <c r="AX327" i="90"/>
  <c r="AX1055" i="90"/>
  <c r="AX639" i="90"/>
  <c r="AX483" i="90"/>
  <c r="AX951" i="90"/>
  <c r="AX67" i="90"/>
  <c r="AX899" i="90"/>
  <c r="AX15" i="90"/>
  <c r="AC50" i="90"/>
  <c r="AC102" i="90"/>
  <c r="AC154" i="90"/>
  <c r="AC206" i="90"/>
  <c r="AC34" i="90"/>
  <c r="AC86" i="90"/>
  <c r="AC138" i="90"/>
  <c r="AC190" i="90"/>
  <c r="AC18" i="90"/>
  <c r="AC70" i="90"/>
  <c r="AC122" i="90"/>
  <c r="AC174" i="90"/>
  <c r="AE35" i="90"/>
  <c r="AE87" i="90"/>
  <c r="AE191" i="90"/>
  <c r="AE139" i="90"/>
  <c r="AX1335" i="90"/>
  <c r="AX659" i="90"/>
  <c r="AX399" i="90"/>
  <c r="AX1231" i="90"/>
  <c r="AX503" i="90"/>
  <c r="AX1075" i="90"/>
  <c r="AX243" i="90"/>
  <c r="AX1595" i="90"/>
  <c r="AX711" i="90"/>
  <c r="AX1491" i="90"/>
  <c r="AX1283" i="90"/>
  <c r="AX1023" i="90"/>
  <c r="AX815" i="90"/>
  <c r="AX295" i="90"/>
  <c r="AX191" i="90"/>
  <c r="AX1179" i="90"/>
  <c r="AX1439" i="90"/>
  <c r="AX87" i="90"/>
  <c r="AX35" i="90"/>
  <c r="AX1387" i="90"/>
  <c r="AX763" i="90"/>
  <c r="AX139" i="90"/>
  <c r="AX555" i="90"/>
  <c r="AX607" i="90"/>
  <c r="AX1543" i="90"/>
  <c r="AX867" i="90"/>
  <c r="AX1647" i="90"/>
  <c r="AX919" i="90"/>
  <c r="AX451" i="90"/>
  <c r="AX347" i="90"/>
  <c r="AX971" i="90"/>
  <c r="AX1127" i="90"/>
  <c r="AE27" i="90"/>
  <c r="AE79" i="90"/>
  <c r="AE131" i="90"/>
  <c r="AE183" i="90"/>
  <c r="AX1327" i="90"/>
  <c r="AX339" i="90"/>
  <c r="AX131" i="90"/>
  <c r="AX183" i="90"/>
  <c r="AX1015" i="90"/>
  <c r="AX1535" i="90"/>
  <c r="AX79" i="90"/>
  <c r="AX1379" i="90"/>
  <c r="AX807" i="90"/>
  <c r="AX1431" i="90"/>
  <c r="AX391" i="90"/>
  <c r="AX651" i="90"/>
  <c r="AX1223" i="90"/>
  <c r="AX703" i="90"/>
  <c r="AX1587" i="90"/>
  <c r="AX1067" i="90"/>
  <c r="AX1275" i="90"/>
  <c r="AX1171" i="90"/>
  <c r="AX287" i="90"/>
  <c r="AX495" i="90"/>
  <c r="AX755" i="90"/>
  <c r="AX547" i="90"/>
  <c r="AX1119" i="90"/>
  <c r="AX859" i="90"/>
  <c r="AX27" i="90"/>
  <c r="AX963" i="90"/>
  <c r="AX911" i="90"/>
  <c r="AX1483" i="90"/>
  <c r="AX599" i="90"/>
  <c r="AX443" i="90"/>
  <c r="AX1639" i="90"/>
  <c r="AX235" i="90"/>
  <c r="AE15" i="90"/>
  <c r="AE67" i="90"/>
  <c r="AE119" i="90"/>
  <c r="AE171" i="90"/>
  <c r="AE7" i="90"/>
  <c r="AE59" i="90"/>
  <c r="AE111" i="90"/>
  <c r="AE163" i="90"/>
  <c r="AE42" i="90"/>
  <c r="AE94" i="90"/>
  <c r="AE146" i="90"/>
  <c r="AE198" i="90"/>
  <c r="AE26" i="90"/>
  <c r="AE78" i="90"/>
  <c r="AE182" i="90"/>
  <c r="AE130" i="90"/>
  <c r="AE10" i="90"/>
  <c r="AE62" i="90"/>
  <c r="AE114" i="90"/>
  <c r="AE166" i="90"/>
  <c r="AE45" i="90"/>
  <c r="AE97" i="90"/>
  <c r="AE201" i="90"/>
  <c r="AE149" i="90"/>
  <c r="AE29" i="90"/>
  <c r="AE81" i="90"/>
  <c r="AE185" i="90"/>
  <c r="AE133" i="90"/>
  <c r="AX341" i="90"/>
  <c r="AX1537" i="90"/>
  <c r="AX237" i="90"/>
  <c r="AX1069" i="90"/>
  <c r="AX497" i="90"/>
  <c r="AX1173" i="90"/>
  <c r="AX757" i="90"/>
  <c r="AX1277" i="90"/>
  <c r="AX1589" i="90"/>
  <c r="AX81" i="90"/>
  <c r="AX1485" i="90"/>
  <c r="AX185" i="90"/>
  <c r="AX1381" i="90"/>
  <c r="AX133" i="90"/>
  <c r="AX1017" i="90"/>
  <c r="AX393" i="90"/>
  <c r="AX809" i="90"/>
  <c r="AX653" i="90"/>
  <c r="AX1225" i="90"/>
  <c r="AX705" i="90"/>
  <c r="AX1433" i="90"/>
  <c r="AX445" i="90"/>
  <c r="AX1121" i="90"/>
  <c r="AX289" i="90"/>
  <c r="AX601" i="90"/>
  <c r="AX861" i="90"/>
  <c r="AX29" i="90"/>
  <c r="AX549" i="90"/>
  <c r="AX1641" i="90"/>
  <c r="AX1329" i="90"/>
  <c r="AX965" i="90"/>
  <c r="AX913" i="90"/>
  <c r="AE13" i="90"/>
  <c r="AE65" i="90"/>
  <c r="AE117" i="90"/>
  <c r="AE169" i="90"/>
  <c r="AE52" i="90"/>
  <c r="AE156" i="90"/>
  <c r="AE104" i="90"/>
  <c r="AE208" i="90"/>
  <c r="AE36" i="90"/>
  <c r="AE88" i="90"/>
  <c r="AE140" i="90"/>
  <c r="AE192" i="90"/>
  <c r="AX452" i="90"/>
  <c r="AX88" i="90"/>
  <c r="AX608" i="90"/>
  <c r="AX816" i="90"/>
  <c r="AX1128" i="90"/>
  <c r="AX1596" i="90"/>
  <c r="AX36" i="90"/>
  <c r="AX1388" i="90"/>
  <c r="AX296" i="90"/>
  <c r="AX1544" i="90"/>
  <c r="AX1648" i="90"/>
  <c r="AX504" i="90"/>
  <c r="AX920" i="90"/>
  <c r="AX140" i="90"/>
  <c r="AX712" i="90"/>
  <c r="AX764" i="90"/>
  <c r="AX868" i="90"/>
  <c r="AX192" i="90"/>
  <c r="AX660" i="90"/>
  <c r="AX400" i="90"/>
  <c r="AX348" i="90"/>
  <c r="AX972" i="90"/>
  <c r="AX1024" i="90"/>
  <c r="AX1232" i="90"/>
  <c r="AX1180" i="90"/>
  <c r="AX556" i="90"/>
  <c r="AX1284" i="90"/>
  <c r="AX1492" i="90"/>
  <c r="AX244" i="90"/>
  <c r="AX1440" i="90"/>
  <c r="AX1336" i="90"/>
  <c r="AX1076" i="90"/>
  <c r="AE20" i="90"/>
  <c r="AE72" i="90"/>
  <c r="AE124" i="90"/>
  <c r="AE176" i="90"/>
  <c r="AD48" i="90"/>
  <c r="AD100" i="90"/>
  <c r="AD152" i="90"/>
  <c r="AD204" i="90"/>
  <c r="AD40" i="90"/>
  <c r="AD92" i="90"/>
  <c r="AD144" i="90"/>
  <c r="AD196" i="90"/>
  <c r="AD16" i="90"/>
  <c r="AD68" i="90"/>
  <c r="AD120" i="90"/>
  <c r="AD172" i="90"/>
  <c r="AD36" i="90"/>
  <c r="AD88" i="90"/>
  <c r="AD140" i="90"/>
  <c r="AD192" i="90"/>
  <c r="AD47" i="90"/>
  <c r="AD99" i="90"/>
  <c r="AD151" i="90"/>
  <c r="AD203" i="90"/>
  <c r="AD31" i="90"/>
  <c r="AD83" i="90"/>
  <c r="AD135" i="90"/>
  <c r="AD187" i="90"/>
  <c r="AD15" i="90"/>
  <c r="AD67" i="90"/>
  <c r="AD119" i="90"/>
  <c r="AD171" i="90"/>
  <c r="AD50" i="90"/>
  <c r="AD102" i="90"/>
  <c r="AD154" i="90"/>
  <c r="AD206" i="90"/>
  <c r="AD34" i="90"/>
  <c r="AD86" i="90"/>
  <c r="AD138" i="90"/>
  <c r="AD190" i="90"/>
  <c r="AD18" i="90"/>
  <c r="AD70" i="90"/>
  <c r="AD122" i="90"/>
  <c r="AD174" i="90"/>
  <c r="AX1110" i="90"/>
  <c r="AX434" i="90"/>
  <c r="AX1370" i="90"/>
  <c r="AX70" i="90"/>
  <c r="AX902" i="90"/>
  <c r="AX746" i="90"/>
  <c r="AX122" i="90"/>
  <c r="AX330" i="90"/>
  <c r="AX1526" i="90"/>
  <c r="AX1630" i="90"/>
  <c r="AX226" i="90"/>
  <c r="AX1006" i="90"/>
  <c r="AX1058" i="90"/>
  <c r="AX954" i="90"/>
  <c r="AX1422" i="90"/>
  <c r="AX382" i="90"/>
  <c r="AX850" i="90"/>
  <c r="AX1266" i="90"/>
  <c r="AX538" i="90"/>
  <c r="AX1474" i="90"/>
  <c r="AX694" i="90"/>
  <c r="AX18" i="90"/>
  <c r="AX486" i="90"/>
  <c r="AX642" i="90"/>
  <c r="AX1162" i="90"/>
  <c r="AX1214" i="90"/>
  <c r="AX798" i="90"/>
  <c r="AX1578" i="90"/>
  <c r="AX1318" i="90"/>
  <c r="AX278" i="90"/>
  <c r="AX174" i="90"/>
  <c r="AX590" i="90"/>
  <c r="AD53" i="90"/>
  <c r="AD105" i="90"/>
  <c r="AD157" i="90"/>
  <c r="AD209" i="90"/>
  <c r="AD37" i="90"/>
  <c r="AD89" i="90"/>
  <c r="AD141" i="90"/>
  <c r="AD193" i="90"/>
  <c r="AD21" i="90"/>
  <c r="AD73" i="90"/>
  <c r="AD125" i="90"/>
  <c r="AD177" i="90"/>
  <c r="AX853" i="90"/>
  <c r="AX229" i="90"/>
  <c r="AX1373" i="90"/>
  <c r="AX333" i="90"/>
  <c r="AX21" i="90"/>
  <c r="AX1061" i="90"/>
  <c r="AX1477" i="90"/>
  <c r="AX1425" i="90"/>
  <c r="AX1165" i="90"/>
  <c r="AX437" i="90"/>
  <c r="AX1269" i="90"/>
  <c r="AX489" i="90"/>
  <c r="AX541" i="90"/>
  <c r="AX1529" i="90"/>
  <c r="AX697" i="90"/>
  <c r="AX1581" i="90"/>
  <c r="AX645" i="90"/>
  <c r="AX125" i="90"/>
  <c r="AX385" i="90"/>
  <c r="AX801" i="90"/>
  <c r="AX1217" i="90"/>
  <c r="AX749" i="90"/>
  <c r="AX177" i="90"/>
  <c r="AX1009" i="90"/>
  <c r="AX1113" i="90"/>
  <c r="AX593" i="90"/>
  <c r="AX905" i="90"/>
  <c r="AX1633" i="90"/>
  <c r="AX73" i="90"/>
  <c r="AX957" i="90"/>
  <c r="AX1321" i="90"/>
  <c r="AX281" i="90"/>
  <c r="AF22" i="90"/>
  <c r="AF74" i="90"/>
  <c r="AF126" i="90"/>
  <c r="AF178" i="90"/>
  <c r="AF14" i="90"/>
  <c r="AF66" i="90"/>
  <c r="AF118" i="90"/>
  <c r="AF170" i="90"/>
  <c r="AF42" i="90"/>
  <c r="AF94" i="90"/>
  <c r="AF146" i="90"/>
  <c r="AF198" i="90"/>
  <c r="AX458" i="90"/>
  <c r="AX1290" i="90"/>
  <c r="AX874" i="90"/>
  <c r="AX614" i="90"/>
  <c r="AX978" i="90"/>
  <c r="AX926" i="90"/>
  <c r="AX1082" i="90"/>
  <c r="AX770" i="90"/>
  <c r="AX562" i="90"/>
  <c r="AX302" i="90"/>
  <c r="AX1602" i="90"/>
  <c r="AX250" i="90"/>
  <c r="AX1446" i="90"/>
  <c r="AX1186" i="90"/>
  <c r="AX1238" i="90"/>
  <c r="AX1654" i="90"/>
  <c r="AX1498" i="90"/>
  <c r="AX510" i="90"/>
  <c r="AX1394" i="90"/>
  <c r="AX666" i="90"/>
  <c r="AX718" i="90"/>
  <c r="AX42" i="90"/>
  <c r="AX1134" i="90"/>
  <c r="AX354" i="90"/>
  <c r="AX406" i="90"/>
  <c r="AX1030" i="90"/>
  <c r="AX1550" i="90"/>
  <c r="AX1342" i="90"/>
  <c r="AX822" i="90"/>
  <c r="AX146" i="90"/>
  <c r="AX94" i="90"/>
  <c r="AX198" i="90"/>
  <c r="AF53" i="90"/>
  <c r="AF105" i="90"/>
  <c r="AF157" i="90"/>
  <c r="AF209" i="90"/>
  <c r="AX1301" i="90"/>
  <c r="AX261" i="90"/>
  <c r="AX1197" i="90"/>
  <c r="AX469" i="90"/>
  <c r="AX1093" i="90"/>
  <c r="AX157" i="90"/>
  <c r="AX365" i="90"/>
  <c r="AX1145" i="90"/>
  <c r="AX833" i="90"/>
  <c r="AX521" i="90"/>
  <c r="AX989" i="90"/>
  <c r="AX781" i="90"/>
  <c r="AX105" i="90"/>
  <c r="AX417" i="90"/>
  <c r="AX1041" i="90"/>
  <c r="AX1249" i="90"/>
  <c r="AX1457" i="90"/>
  <c r="AX677" i="90"/>
  <c r="AX729" i="90"/>
  <c r="AX1561" i="90"/>
  <c r="AX625" i="90"/>
  <c r="AX937" i="90"/>
  <c r="AX1509" i="90"/>
  <c r="AX1613" i="90"/>
  <c r="AX1405" i="90"/>
  <c r="AX1665" i="90"/>
  <c r="AX209" i="90"/>
  <c r="AX573" i="90"/>
  <c r="AX313" i="90"/>
  <c r="AX53" i="90"/>
  <c r="AX1353" i="90"/>
  <c r="AX885" i="90"/>
  <c r="AF37" i="90"/>
  <c r="AF89" i="90"/>
  <c r="AF141" i="90"/>
  <c r="AF193" i="90"/>
  <c r="AF21" i="90"/>
  <c r="AF73" i="90"/>
  <c r="AF125" i="90"/>
  <c r="AF177" i="90"/>
  <c r="AF57" i="90"/>
  <c r="AF109" i="90"/>
  <c r="AF161" i="90"/>
  <c r="AF5" i="90"/>
  <c r="AF44" i="90"/>
  <c r="AF96" i="90"/>
  <c r="AF148" i="90"/>
  <c r="AF200" i="90"/>
  <c r="AX1500" i="90"/>
  <c r="AX96" i="90"/>
  <c r="AX720" i="90"/>
  <c r="AX772" i="90"/>
  <c r="AX460" i="90"/>
  <c r="AX304" i="90"/>
  <c r="AX512" i="90"/>
  <c r="AX980" i="90"/>
  <c r="AX356" i="90"/>
  <c r="AX1136" i="90"/>
  <c r="AX668" i="90"/>
  <c r="AX1604" i="90"/>
  <c r="AX200" i="90"/>
  <c r="AX1032" i="90"/>
  <c r="AX1552" i="90"/>
  <c r="AX1656" i="90"/>
  <c r="AX616" i="90"/>
  <c r="AX1240" i="90"/>
  <c r="AX44" i="90"/>
  <c r="AX252" i="90"/>
  <c r="AX148" i="90"/>
  <c r="AX876" i="90"/>
  <c r="AX928" i="90"/>
  <c r="AX1188" i="90"/>
  <c r="AX408" i="90"/>
  <c r="AX564" i="90"/>
  <c r="AX1448" i="90"/>
  <c r="AX824" i="90"/>
  <c r="AX1344" i="90"/>
  <c r="AX1292" i="90"/>
  <c r="AX1396" i="90"/>
  <c r="AX1084" i="90"/>
  <c r="AF28" i="90"/>
  <c r="AF80" i="90"/>
  <c r="AF132" i="90"/>
  <c r="AF184" i="90"/>
  <c r="AF12" i="90"/>
  <c r="AF64" i="90"/>
  <c r="AF116" i="90"/>
  <c r="AF168" i="90"/>
  <c r="AF47" i="90"/>
  <c r="AF99" i="90"/>
  <c r="AF151" i="90"/>
  <c r="AF203" i="90"/>
  <c r="AX1451" i="90"/>
  <c r="AX1295" i="90"/>
  <c r="AX619" i="90"/>
  <c r="AX775" i="90"/>
  <c r="AX1035" i="90"/>
  <c r="AX151" i="90"/>
  <c r="AX1503" i="90"/>
  <c r="AX359" i="90"/>
  <c r="AX1139" i="90"/>
  <c r="AX1191" i="90"/>
  <c r="AX1347" i="90"/>
  <c r="AX1243" i="90"/>
  <c r="AX463" i="90"/>
  <c r="AX671" i="90"/>
  <c r="AX99" i="90"/>
  <c r="AX723" i="90"/>
  <c r="AX1607" i="90"/>
  <c r="AX203" i="90"/>
  <c r="AX515" i="90"/>
  <c r="AX931" i="90"/>
  <c r="AX1087" i="90"/>
  <c r="AX1399" i="90"/>
  <c r="AX567" i="90"/>
  <c r="AX1555" i="90"/>
  <c r="AX411" i="90"/>
  <c r="AX827" i="90"/>
  <c r="AX255" i="90"/>
  <c r="AX47" i="90"/>
  <c r="AX1659" i="90"/>
  <c r="AX983" i="90"/>
  <c r="AX307" i="90"/>
  <c r="AX879" i="90"/>
  <c r="AF31" i="90"/>
  <c r="AF83" i="90"/>
  <c r="AF135" i="90"/>
  <c r="AF187" i="90"/>
  <c r="AF15" i="90"/>
  <c r="AF67" i="90"/>
  <c r="AF119" i="90"/>
  <c r="AF171" i="90"/>
  <c r="AB10" i="90"/>
  <c r="AB62" i="90"/>
  <c r="AB114" i="90"/>
  <c r="AB166" i="90"/>
  <c r="AB34" i="90"/>
  <c r="AB138" i="90"/>
  <c r="AB190" i="90"/>
  <c r="AB86" i="90"/>
  <c r="AB46" i="90"/>
  <c r="AB150" i="90"/>
  <c r="AB202" i="90"/>
  <c r="AB98" i="90"/>
  <c r="AB53" i="90"/>
  <c r="AB209" i="90"/>
  <c r="AB105" i="90"/>
  <c r="AB157" i="90"/>
  <c r="AB37" i="90"/>
  <c r="AB89" i="90"/>
  <c r="AB141" i="90"/>
  <c r="AB193" i="90"/>
  <c r="AB21" i="90"/>
  <c r="AB177" i="90"/>
  <c r="AB73" i="90"/>
  <c r="AB125" i="90"/>
  <c r="AB56" i="90"/>
  <c r="AB212" i="90"/>
  <c r="AB108" i="90"/>
  <c r="AB160" i="90"/>
  <c r="AB40" i="90"/>
  <c r="AB92" i="90"/>
  <c r="AB196" i="90"/>
  <c r="AB144" i="90"/>
  <c r="AB24" i="90"/>
  <c r="AB76" i="90"/>
  <c r="AB180" i="90"/>
  <c r="AB128" i="90"/>
  <c r="AB8" i="90"/>
  <c r="AB60" i="90"/>
  <c r="AB112" i="90"/>
  <c r="AB164" i="90"/>
  <c r="AX736" i="90"/>
  <c r="AX788" i="90"/>
  <c r="AX476" i="90"/>
  <c r="AX1516" i="90"/>
  <c r="AX1048" i="90"/>
  <c r="AX8" i="90"/>
  <c r="AX1412" i="90"/>
  <c r="AX216" i="90"/>
  <c r="AX372" i="90"/>
  <c r="AX528" i="90"/>
  <c r="AX1568" i="90"/>
  <c r="AX1204" i="90"/>
  <c r="AX684" i="90"/>
  <c r="AX632" i="90"/>
  <c r="AX1308" i="90"/>
  <c r="AX320" i="90"/>
  <c r="AX996" i="90"/>
  <c r="AX1464" i="90"/>
  <c r="AX892" i="90"/>
  <c r="AX1152" i="90"/>
  <c r="AX164" i="90"/>
  <c r="AX268" i="90"/>
  <c r="AX1256" i="90"/>
  <c r="AX424" i="90"/>
  <c r="AX944" i="90"/>
  <c r="AX840" i="90"/>
  <c r="AX112" i="90"/>
  <c r="AX580" i="90"/>
  <c r="AX60" i="90"/>
  <c r="AX1620" i="90"/>
  <c r="AX1100" i="90"/>
  <c r="AX1360" i="90"/>
  <c r="AB47" i="90"/>
  <c r="AB151" i="90"/>
  <c r="AB203" i="90"/>
  <c r="AB99" i="90"/>
  <c r="AB31" i="90"/>
  <c r="AB83" i="90"/>
  <c r="AB135" i="90"/>
  <c r="AB187" i="90"/>
  <c r="AB15" i="90"/>
  <c r="AB67" i="90"/>
  <c r="AB119" i="90"/>
  <c r="AB171" i="90"/>
  <c r="AC13" i="90"/>
  <c r="AC65" i="90"/>
  <c r="AC117" i="90"/>
  <c r="AC169" i="90"/>
  <c r="AX13" i="90"/>
  <c r="AX325" i="90"/>
  <c r="AX169" i="90"/>
  <c r="AX1053" i="90"/>
  <c r="AX845" i="90"/>
  <c r="AX637" i="90"/>
  <c r="AX1625" i="90"/>
  <c r="AX1521" i="90"/>
  <c r="AX1261" i="90"/>
  <c r="AX1001" i="90"/>
  <c r="AX1365" i="90"/>
  <c r="AX689" i="90"/>
  <c r="AX1573" i="90"/>
  <c r="AX533" i="90"/>
  <c r="AX221" i="90"/>
  <c r="AX1157" i="90"/>
  <c r="AX1469" i="90"/>
  <c r="AX741" i="90"/>
  <c r="AX1417" i="90"/>
  <c r="AX273" i="90"/>
  <c r="AX429" i="90"/>
  <c r="AX481" i="90"/>
  <c r="AX377" i="90"/>
  <c r="AX793" i="90"/>
  <c r="AX1209" i="90"/>
  <c r="AX897" i="90"/>
  <c r="AX65" i="90"/>
  <c r="AX1105" i="90"/>
  <c r="AX585" i="90"/>
  <c r="AX117" i="90"/>
  <c r="AX1313" i="90"/>
  <c r="AX949" i="90"/>
  <c r="AC45" i="90"/>
  <c r="AC97" i="90"/>
  <c r="AC149" i="90"/>
  <c r="AC201" i="90"/>
  <c r="AC49" i="90"/>
  <c r="AC101" i="90"/>
  <c r="AC153" i="90"/>
  <c r="AC205" i="90"/>
  <c r="AC56" i="90"/>
  <c r="AC108" i="90"/>
  <c r="AC160" i="90"/>
  <c r="AC212" i="90"/>
  <c r="AC40" i="90"/>
  <c r="AC92" i="90"/>
  <c r="AC144" i="90"/>
  <c r="AC196" i="90"/>
  <c r="AC24" i="90"/>
  <c r="AC76" i="90"/>
  <c r="AC128" i="90"/>
  <c r="AC180" i="90"/>
  <c r="AC8" i="90"/>
  <c r="AC60" i="90"/>
  <c r="AC112" i="90"/>
  <c r="AC164" i="90"/>
  <c r="AC43" i="90"/>
  <c r="AC95" i="90"/>
  <c r="AC147" i="90"/>
  <c r="AC199" i="90"/>
  <c r="AC27" i="90"/>
  <c r="AC79" i="90"/>
  <c r="AC131" i="90"/>
  <c r="AC183" i="90"/>
  <c r="AC11" i="90"/>
  <c r="AC63" i="90"/>
  <c r="AC115" i="90"/>
  <c r="AC167" i="90"/>
  <c r="AX115" i="90"/>
  <c r="AX11" i="90"/>
  <c r="AX1571" i="90"/>
  <c r="AX1311" i="90"/>
  <c r="AX323" i="90"/>
  <c r="AX1207" i="90"/>
  <c r="AX1623" i="90"/>
  <c r="AX271" i="90"/>
  <c r="AX687" i="90"/>
  <c r="AX791" i="90"/>
  <c r="AX1363" i="90"/>
  <c r="AX635" i="90"/>
  <c r="AX1467" i="90"/>
  <c r="AX531" i="90"/>
  <c r="AX1519" i="90"/>
  <c r="AX1051" i="90"/>
  <c r="AX167" i="90"/>
  <c r="AX375" i="90"/>
  <c r="AX739" i="90"/>
  <c r="AX479" i="90"/>
  <c r="AX1259" i="90"/>
  <c r="AX999" i="90"/>
  <c r="AX1415" i="90"/>
  <c r="AX1155" i="90"/>
  <c r="AX843" i="90"/>
  <c r="AX219" i="90"/>
  <c r="AX427" i="90"/>
  <c r="AX1103" i="90"/>
  <c r="AX583" i="90"/>
  <c r="AX63" i="90"/>
  <c r="AX895" i="90"/>
  <c r="AX947" i="90"/>
  <c r="AC46" i="90"/>
  <c r="AC98" i="90"/>
  <c r="AC150" i="90"/>
  <c r="AC202" i="90"/>
  <c r="AC30" i="90"/>
  <c r="AC82" i="90"/>
  <c r="AC134" i="90"/>
  <c r="AC186" i="90"/>
  <c r="AC14" i="90"/>
  <c r="AC66" i="90"/>
  <c r="AC118" i="90"/>
  <c r="AC170" i="90"/>
  <c r="AX794" i="90"/>
  <c r="AX898" i="90"/>
  <c r="AX638" i="90"/>
  <c r="AX118" i="90"/>
  <c r="AX66" i="90"/>
  <c r="AX950" i="90"/>
  <c r="AX170" i="90"/>
  <c r="AX1522" i="90"/>
  <c r="AX1158" i="90"/>
  <c r="AX274" i="90"/>
  <c r="AX1626" i="90"/>
  <c r="AX1470" i="90"/>
  <c r="AX1054" i="90"/>
  <c r="AX14" i="90"/>
  <c r="AX1002" i="90"/>
  <c r="AX1418" i="90"/>
  <c r="AX1210" i="90"/>
  <c r="AX482" i="90"/>
  <c r="AX326" i="90"/>
  <c r="AX1314" i="90"/>
  <c r="AX430" i="90"/>
  <c r="AX690" i="90"/>
  <c r="AX534" i="90"/>
  <c r="AX1366" i="90"/>
  <c r="AX742" i="90"/>
  <c r="AX586" i="90"/>
  <c r="AX378" i="90"/>
  <c r="AX1106" i="90"/>
  <c r="AX1262" i="90"/>
  <c r="AX222" i="90"/>
  <c r="AX1574" i="90"/>
  <c r="AX846" i="90"/>
  <c r="AE19" i="90"/>
  <c r="AE71" i="90"/>
  <c r="AE123" i="90"/>
  <c r="AE175" i="90"/>
  <c r="AE11" i="90"/>
  <c r="AE63" i="90"/>
  <c r="AE115" i="90"/>
  <c r="AE167" i="90"/>
  <c r="AE55" i="90"/>
  <c r="AE107" i="90"/>
  <c r="AE211" i="90"/>
  <c r="AE159" i="90"/>
  <c r="AE54" i="90"/>
  <c r="AE210" i="90"/>
  <c r="AE106" i="90"/>
  <c r="AE158" i="90"/>
  <c r="AE38" i="90"/>
  <c r="AE90" i="90"/>
  <c r="AE194" i="90"/>
  <c r="AE142" i="90"/>
  <c r="AX974" i="90"/>
  <c r="AX922" i="90"/>
  <c r="AX714" i="90"/>
  <c r="AX1598" i="90"/>
  <c r="AX870" i="90"/>
  <c r="AX1390" i="90"/>
  <c r="AX194" i="90"/>
  <c r="AX1546" i="90"/>
  <c r="AX1182" i="90"/>
  <c r="AX558" i="90"/>
  <c r="AX1026" i="90"/>
  <c r="AX38" i="90"/>
  <c r="AX818" i="90"/>
  <c r="AX662" i="90"/>
  <c r="AX506" i="90"/>
  <c r="AX766" i="90"/>
  <c r="AX298" i="90"/>
  <c r="AX1650" i="90"/>
  <c r="AX610" i="90"/>
  <c r="AX402" i="90"/>
  <c r="AX1130" i="90"/>
  <c r="AX1442" i="90"/>
  <c r="AX1234" i="90"/>
  <c r="AX454" i="90"/>
  <c r="AX350" i="90"/>
  <c r="AX90" i="90"/>
  <c r="AX1078" i="90"/>
  <c r="AX246" i="90"/>
  <c r="AX1286" i="90"/>
  <c r="AX1338" i="90"/>
  <c r="AX142" i="90"/>
  <c r="AX1494" i="90"/>
  <c r="AE22" i="90"/>
  <c r="AE74" i="90"/>
  <c r="AE126" i="90"/>
  <c r="AE178" i="90"/>
  <c r="AE6" i="90"/>
  <c r="AE58" i="90"/>
  <c r="AE110" i="90"/>
  <c r="AE162" i="90"/>
  <c r="AE41" i="90"/>
  <c r="AE93" i="90"/>
  <c r="AE145" i="90"/>
  <c r="AE197" i="90"/>
  <c r="AX821" i="90"/>
  <c r="AX1341" i="90"/>
  <c r="AX1445" i="90"/>
  <c r="AX1237" i="90"/>
  <c r="AX1497" i="90"/>
  <c r="AX41" i="90"/>
  <c r="AX405" i="90"/>
  <c r="AX249" i="90"/>
  <c r="AX457" i="90"/>
  <c r="AX665" i="90"/>
  <c r="AX1029" i="90"/>
  <c r="AX145" i="90"/>
  <c r="AX197" i="90"/>
  <c r="AX717" i="90"/>
  <c r="AX353" i="90"/>
  <c r="AX769" i="90"/>
  <c r="AX1185" i="90"/>
  <c r="AX613" i="90"/>
  <c r="AX1133" i="90"/>
  <c r="AX93" i="90"/>
  <c r="AX509" i="90"/>
  <c r="AX301" i="90"/>
  <c r="AX977" i="90"/>
  <c r="AX1549" i="90"/>
  <c r="AX925" i="90"/>
  <c r="AX1289" i="90"/>
  <c r="AX561" i="90"/>
  <c r="AX1081" i="90"/>
  <c r="AX873" i="90"/>
  <c r="AX1393" i="90"/>
  <c r="AX1601" i="90"/>
  <c r="AX1653" i="90"/>
  <c r="AE25" i="90"/>
  <c r="AE77" i="90"/>
  <c r="AE129" i="90"/>
  <c r="AE181" i="90"/>
  <c r="AE9" i="90"/>
  <c r="AE61" i="90"/>
  <c r="AE113" i="90"/>
  <c r="AE165" i="90"/>
  <c r="AE48" i="90"/>
  <c r="AE100" i="90"/>
  <c r="AE152" i="90"/>
  <c r="AE204" i="90"/>
  <c r="AE32" i="90"/>
  <c r="AE84" i="90"/>
  <c r="AE136" i="90"/>
  <c r="AE188" i="90"/>
  <c r="AX760" i="90"/>
  <c r="AX708" i="90"/>
  <c r="AX500" i="90"/>
  <c r="AX344" i="90"/>
  <c r="AX84" i="90"/>
  <c r="AX292" i="90"/>
  <c r="AX864" i="90"/>
  <c r="AX396" i="90"/>
  <c r="AX1228" i="90"/>
  <c r="AX1592" i="90"/>
  <c r="AX916" i="90"/>
  <c r="AX1332" i="90"/>
  <c r="AX812" i="90"/>
  <c r="AX1644" i="90"/>
  <c r="AX448" i="90"/>
  <c r="AX968" i="90"/>
  <c r="AX188" i="90"/>
  <c r="AX1176" i="90"/>
  <c r="AX32" i="90"/>
  <c r="AX552" i="90"/>
  <c r="AX656" i="90"/>
  <c r="AX1020" i="90"/>
  <c r="AX1436" i="90"/>
  <c r="AX1072" i="90"/>
  <c r="AX1384" i="90"/>
  <c r="AX1124" i="90"/>
  <c r="AX136" i="90"/>
  <c r="AX1280" i="90"/>
  <c r="AX604" i="90"/>
  <c r="AX1540" i="90"/>
  <c r="AX240" i="90"/>
  <c r="AX1488" i="90"/>
  <c r="AE16" i="90"/>
  <c r="AE68" i="90"/>
  <c r="AE172" i="90"/>
  <c r="AE120" i="90"/>
  <c r="AD28" i="90"/>
  <c r="AD80" i="90"/>
  <c r="AD132" i="90"/>
  <c r="AD184" i="90"/>
  <c r="AD24" i="90"/>
  <c r="AD76" i="90"/>
  <c r="AD128" i="90"/>
  <c r="AD180" i="90"/>
  <c r="AX804" i="90"/>
  <c r="AX232" i="90"/>
  <c r="AX76" i="90"/>
  <c r="AX1064" i="90"/>
  <c r="AX648" i="90"/>
  <c r="AX284" i="90"/>
  <c r="AX1480" i="90"/>
  <c r="AX752" i="90"/>
  <c r="AX336" i="90"/>
  <c r="AX24" i="90"/>
  <c r="AX1012" i="90"/>
  <c r="AX440" i="90"/>
  <c r="AX960" i="90"/>
  <c r="AX388" i="90"/>
  <c r="AX1272" i="90"/>
  <c r="AX1584" i="90"/>
  <c r="AX544" i="90"/>
  <c r="AX856" i="90"/>
  <c r="AX700" i="90"/>
  <c r="AX492" i="90"/>
  <c r="AX1636" i="90"/>
  <c r="AX1428" i="90"/>
  <c r="AX180" i="90"/>
  <c r="AX128" i="90"/>
  <c r="AX1168" i="90"/>
  <c r="AX1220" i="90"/>
  <c r="AX908" i="90"/>
  <c r="AX1532" i="90"/>
  <c r="AX1376" i="90"/>
  <c r="AX1116" i="90"/>
  <c r="AX1324" i="90"/>
  <c r="AX596" i="90"/>
  <c r="AD57" i="90"/>
  <c r="AD109" i="90"/>
  <c r="AD161" i="90"/>
  <c r="AD5" i="90"/>
  <c r="AD20" i="90"/>
  <c r="AD72" i="90"/>
  <c r="AD124" i="90"/>
  <c r="AD176" i="90"/>
  <c r="AX592" i="90"/>
  <c r="AX72" i="90"/>
  <c r="AX1476" i="90"/>
  <c r="AX436" i="90"/>
  <c r="AX1112" i="90"/>
  <c r="AX800" i="90"/>
  <c r="AX852" i="90"/>
  <c r="AX1372" i="90"/>
  <c r="AX748" i="90"/>
  <c r="AX1424" i="90"/>
  <c r="AX124" i="90"/>
  <c r="AX1632" i="90"/>
  <c r="AX1216" i="90"/>
  <c r="AX280" i="90"/>
  <c r="AX176" i="90"/>
  <c r="AX1008" i="90"/>
  <c r="AX1528" i="90"/>
  <c r="AX956" i="90"/>
  <c r="AX696" i="90"/>
  <c r="AX1164" i="90"/>
  <c r="AX904" i="90"/>
  <c r="AX540" i="90"/>
  <c r="AX332" i="90"/>
  <c r="AX1268" i="90"/>
  <c r="AX488" i="90"/>
  <c r="AX384" i="90"/>
  <c r="AX1320" i="90"/>
  <c r="AX228" i="90"/>
  <c r="AX20" i="90"/>
  <c r="AX1060" i="90"/>
  <c r="AX644" i="90"/>
  <c r="AX1580" i="90"/>
  <c r="AD43" i="90"/>
  <c r="AD95" i="90"/>
  <c r="AD147" i="90"/>
  <c r="AD199" i="90"/>
  <c r="AD27" i="90"/>
  <c r="AD79" i="90"/>
  <c r="AD131" i="90"/>
  <c r="AD183" i="90"/>
  <c r="AD11" i="90"/>
  <c r="AD63" i="90"/>
  <c r="AD115" i="90"/>
  <c r="AD167" i="90"/>
  <c r="AD46" i="90"/>
  <c r="AD98" i="90"/>
  <c r="AD150" i="90"/>
  <c r="AD202" i="90"/>
  <c r="AD30" i="90"/>
  <c r="AD82" i="90"/>
  <c r="AD134" i="90"/>
  <c r="AD186" i="90"/>
  <c r="AD14" i="90"/>
  <c r="AD66" i="90"/>
  <c r="AD118" i="90"/>
  <c r="AD170" i="90"/>
  <c r="AD49" i="90"/>
  <c r="AD101" i="90"/>
  <c r="AD153" i="90"/>
  <c r="AD205" i="90"/>
  <c r="AD33" i="90"/>
  <c r="AD85" i="90"/>
  <c r="AD137" i="90"/>
  <c r="AD189" i="90"/>
  <c r="AD17" i="90"/>
  <c r="AD69" i="90"/>
  <c r="AD121" i="90"/>
  <c r="AD173" i="90"/>
  <c r="AF30" i="90"/>
  <c r="AF82" i="90"/>
  <c r="AF134" i="90"/>
  <c r="AF186" i="90"/>
  <c r="AF41" i="90"/>
  <c r="AF93" i="90"/>
  <c r="AF145" i="90"/>
  <c r="AF197" i="90"/>
  <c r="AF9" i="90"/>
  <c r="AF61" i="90"/>
  <c r="AF113" i="90"/>
  <c r="AF165" i="90"/>
  <c r="AF51" i="90"/>
  <c r="AF103" i="90"/>
  <c r="AF155" i="90"/>
  <c r="AF207" i="90"/>
  <c r="AX1559" i="90"/>
  <c r="AX1455" i="90"/>
  <c r="AX207" i="90"/>
  <c r="AX1143" i="90"/>
  <c r="AX519" i="90"/>
  <c r="AX727" i="90"/>
  <c r="AX831" i="90"/>
  <c r="AX155" i="90"/>
  <c r="AX259" i="90"/>
  <c r="AX1351" i="90"/>
  <c r="AX51" i="90"/>
  <c r="AX1091" i="90"/>
  <c r="AX1247" i="90"/>
  <c r="AX1299" i="90"/>
  <c r="AX1403" i="90"/>
  <c r="AX1507" i="90"/>
  <c r="AX779" i="90"/>
  <c r="AX675" i="90"/>
  <c r="AX363" i="90"/>
  <c r="AX1039" i="90"/>
  <c r="AX415" i="90"/>
  <c r="AX311" i="90"/>
  <c r="AX1195" i="90"/>
  <c r="AX987" i="90"/>
  <c r="AX103" i="90"/>
  <c r="AX1663" i="90"/>
  <c r="AX1611" i="90"/>
  <c r="AX883" i="90"/>
  <c r="AX935" i="90"/>
  <c r="AX623" i="90"/>
  <c r="AX467" i="90"/>
  <c r="AX571" i="90"/>
  <c r="AF19" i="90"/>
  <c r="AF71" i="90"/>
  <c r="AF123" i="90"/>
  <c r="AF175" i="90"/>
  <c r="AB50" i="90"/>
  <c r="AB154" i="90"/>
  <c r="AB206" i="90"/>
  <c r="AB102" i="90"/>
  <c r="AB9" i="90"/>
  <c r="AB61" i="90"/>
  <c r="AB165" i="90"/>
  <c r="AB113" i="90"/>
  <c r="AX1101" i="90"/>
  <c r="AX425" i="90"/>
  <c r="AX269" i="90"/>
  <c r="AX789" i="90"/>
  <c r="AX1569" i="90"/>
  <c r="AX1309" i="90"/>
  <c r="AX373" i="90"/>
  <c r="AX529" i="90"/>
  <c r="AX1205" i="90"/>
  <c r="AX1621" i="90"/>
  <c r="AX321" i="90"/>
  <c r="AX9" i="90"/>
  <c r="AX113" i="90"/>
  <c r="AX1465" i="90"/>
  <c r="AX581" i="90"/>
  <c r="AX841" i="90"/>
  <c r="AX165" i="90"/>
  <c r="AX477" i="90"/>
  <c r="AX1257" i="90"/>
  <c r="AX997" i="90"/>
  <c r="AX737" i="90"/>
  <c r="AX1153" i="90"/>
  <c r="AX685" i="90"/>
  <c r="AX217" i="90"/>
  <c r="AX633" i="90"/>
  <c r="AX945" i="90"/>
  <c r="AX893" i="90"/>
  <c r="AX61" i="90"/>
  <c r="AX1517" i="90"/>
  <c r="AX1361" i="90"/>
  <c r="AX1413" i="90"/>
  <c r="AX1049" i="90"/>
  <c r="AB28" i="90"/>
  <c r="AB80" i="90"/>
  <c r="AB132" i="90"/>
  <c r="AB184" i="90"/>
  <c r="AB35" i="90"/>
  <c r="AB139" i="90"/>
  <c r="AB191" i="90"/>
  <c r="AB87" i="90"/>
  <c r="AC31" i="90"/>
  <c r="AC83" i="90"/>
  <c r="AC135" i="90"/>
  <c r="AC187" i="90"/>
  <c r="AF34" i="90"/>
  <c r="AF86" i="90"/>
  <c r="AF138" i="90"/>
  <c r="AF190" i="90"/>
  <c r="AF38" i="90"/>
  <c r="AF90" i="90"/>
  <c r="AF142" i="90"/>
  <c r="AF194" i="90"/>
  <c r="AF26" i="90"/>
  <c r="AF78" i="90"/>
  <c r="AF130" i="90"/>
  <c r="AF182" i="90"/>
  <c r="AF49" i="90"/>
  <c r="AF101" i="90"/>
  <c r="AF153" i="90"/>
  <c r="AF205" i="90"/>
  <c r="AX205" i="90"/>
  <c r="AX1557" i="90"/>
  <c r="AX829" i="90"/>
  <c r="AX153" i="90"/>
  <c r="AX1349" i="90"/>
  <c r="AX673" i="90"/>
  <c r="AX1141" i="90"/>
  <c r="AX101" i="90"/>
  <c r="AX465" i="90"/>
  <c r="AX725" i="90"/>
  <c r="AX1245" i="90"/>
  <c r="AX49" i="90"/>
  <c r="AX257" i="90"/>
  <c r="AX1453" i="90"/>
  <c r="AX517" i="90"/>
  <c r="AX1505" i="90"/>
  <c r="AX985" i="90"/>
  <c r="AX1037" i="90"/>
  <c r="AX413" i="90"/>
  <c r="AX361" i="90"/>
  <c r="AX621" i="90"/>
  <c r="AX777" i="90"/>
  <c r="AX1193" i="90"/>
  <c r="AX1401" i="90"/>
  <c r="AX309" i="90"/>
  <c r="AX1297" i="90"/>
  <c r="AX1089" i="90"/>
  <c r="AX1661" i="90"/>
  <c r="AX1609" i="90"/>
  <c r="AX881" i="90"/>
  <c r="AX933" i="90"/>
  <c r="AX569" i="90"/>
  <c r="AF33" i="90"/>
  <c r="AF85" i="90"/>
  <c r="AF137" i="90"/>
  <c r="AF189" i="90"/>
  <c r="AF17" i="90"/>
  <c r="AF69" i="90"/>
  <c r="AF121" i="90"/>
  <c r="AF173" i="90"/>
  <c r="AF56" i="90"/>
  <c r="AF108" i="90"/>
  <c r="AF160" i="90"/>
  <c r="AF212" i="90"/>
  <c r="AX420" i="90"/>
  <c r="AX784" i="90"/>
  <c r="AX108" i="90"/>
  <c r="AX1096" i="90"/>
  <c r="AX576" i="90"/>
  <c r="AX1356" i="90"/>
  <c r="AX1668" i="90"/>
  <c r="AX1044" i="90"/>
  <c r="AX524" i="90"/>
  <c r="AX888" i="90"/>
  <c r="AX1460" i="90"/>
  <c r="AX992" i="90"/>
  <c r="AX1252" i="90"/>
  <c r="AX316" i="90"/>
  <c r="AX732" i="90"/>
  <c r="AX1616" i="90"/>
  <c r="AX1512" i="90"/>
  <c r="AX1564" i="90"/>
  <c r="AX1200" i="90"/>
  <c r="AX368" i="90"/>
  <c r="AX836" i="90"/>
  <c r="AX1148" i="90"/>
  <c r="AX1408" i="90"/>
  <c r="AX940" i="90"/>
  <c r="AX264" i="90"/>
  <c r="AX472" i="90"/>
  <c r="AX680" i="90"/>
  <c r="AX160" i="90"/>
  <c r="AX628" i="90"/>
  <c r="AX1304" i="90"/>
  <c r="AX212" i="90"/>
  <c r="AX56" i="90"/>
  <c r="AF40" i="90"/>
  <c r="AF92" i="90"/>
  <c r="AF144" i="90"/>
  <c r="AF196" i="90"/>
  <c r="AF24" i="90"/>
  <c r="AF76" i="90"/>
  <c r="AF128" i="90"/>
  <c r="AF180" i="90"/>
  <c r="AF8" i="90"/>
  <c r="AF60" i="90"/>
  <c r="AF112" i="90"/>
  <c r="AF164" i="90"/>
  <c r="AF43" i="90"/>
  <c r="AF95" i="90"/>
  <c r="AF147" i="90"/>
  <c r="AF199" i="90"/>
  <c r="AX823" i="90"/>
  <c r="AX1083" i="90"/>
  <c r="AX719" i="90"/>
  <c r="AX1499" i="90"/>
  <c r="AX407" i="90"/>
  <c r="AX1447" i="90"/>
  <c r="AX199" i="90"/>
  <c r="AX1239" i="90"/>
  <c r="AX1291" i="90"/>
  <c r="AX147" i="90"/>
  <c r="AX1343" i="90"/>
  <c r="AX43" i="90"/>
  <c r="AX251" i="90"/>
  <c r="AX1395" i="90"/>
  <c r="AX1031" i="90"/>
  <c r="AX1135" i="90"/>
  <c r="AX303" i="90"/>
  <c r="AX771" i="90"/>
  <c r="AX355" i="90"/>
  <c r="AX667" i="90"/>
  <c r="AX95" i="90"/>
  <c r="AX1187" i="90"/>
  <c r="AX511" i="90"/>
  <c r="AX927" i="90"/>
  <c r="AX979" i="90"/>
  <c r="AX1603" i="90"/>
  <c r="AX875" i="90"/>
  <c r="AX1551" i="90"/>
  <c r="AX459" i="90"/>
  <c r="AX1655" i="90"/>
  <c r="AX563" i="90"/>
  <c r="AX615" i="90"/>
  <c r="AF27" i="90"/>
  <c r="AF79" i="90"/>
  <c r="AF131" i="90"/>
  <c r="AF183" i="90"/>
  <c r="AF11" i="90"/>
  <c r="AF63" i="90"/>
  <c r="AF115" i="90"/>
  <c r="AF167" i="90"/>
  <c r="AB54" i="90"/>
  <c r="AB106" i="90"/>
  <c r="AB158" i="90"/>
  <c r="AB210" i="90"/>
  <c r="AB18" i="90"/>
  <c r="AB122" i="90"/>
  <c r="AB174" i="90"/>
  <c r="AB70" i="90"/>
  <c r="AB30" i="90"/>
  <c r="AB134" i="90"/>
  <c r="AB186" i="90"/>
  <c r="AB82" i="90"/>
  <c r="AB49" i="90"/>
  <c r="AB101" i="90"/>
  <c r="AB153" i="90"/>
  <c r="AB205" i="90"/>
  <c r="AB33" i="90"/>
  <c r="AB137" i="90"/>
  <c r="AB189" i="90"/>
  <c r="AB85" i="90"/>
  <c r="AB17" i="90"/>
  <c r="AB121" i="90"/>
  <c r="AB173" i="90"/>
  <c r="AB69" i="90"/>
  <c r="AB52" i="90"/>
  <c r="AB104" i="90"/>
  <c r="AB156" i="90"/>
  <c r="AB208" i="90"/>
  <c r="AB36" i="90"/>
  <c r="AB88" i="90"/>
  <c r="AB140" i="90"/>
  <c r="AB192" i="90"/>
  <c r="AB20" i="90"/>
  <c r="AB72" i="90"/>
  <c r="AB124" i="90"/>
  <c r="AB176" i="90"/>
  <c r="AB6" i="90"/>
  <c r="AB58" i="90"/>
  <c r="AB110" i="90"/>
  <c r="AB162" i="90"/>
  <c r="AX890" i="90"/>
  <c r="AX630" i="90"/>
  <c r="AX1358" i="90"/>
  <c r="AX942" i="90"/>
  <c r="AX1046" i="90"/>
  <c r="AX1462" i="90"/>
  <c r="AX1150" i="90"/>
  <c r="AX578" i="90"/>
  <c r="AX474" i="90"/>
  <c r="AX1618" i="90"/>
  <c r="AX786" i="90"/>
  <c r="AX6" i="90"/>
  <c r="AX318" i="90"/>
  <c r="AX58" i="90"/>
  <c r="AX266" i="90"/>
  <c r="AX994" i="90"/>
  <c r="AX1566" i="90"/>
  <c r="AX1514" i="90"/>
  <c r="AX526" i="90"/>
  <c r="AX1098" i="90"/>
  <c r="AX1410" i="90"/>
  <c r="AX422" i="90"/>
  <c r="AX682" i="90"/>
  <c r="AX1202" i="90"/>
  <c r="AX162" i="90"/>
  <c r="AX110" i="90"/>
  <c r="AX370" i="90"/>
  <c r="AX1254" i="90"/>
  <c r="AX734" i="90"/>
  <c r="AX214" i="90"/>
  <c r="AX1306" i="90"/>
  <c r="AX838" i="90"/>
  <c r="AB43" i="90"/>
  <c r="AB95" i="90"/>
  <c r="AB147" i="90"/>
  <c r="AB199" i="90"/>
  <c r="AB27" i="90"/>
  <c r="AB79" i="90"/>
  <c r="AB131" i="90"/>
  <c r="AB183" i="90"/>
  <c r="AB11" i="90"/>
  <c r="AB63" i="90"/>
  <c r="AB115" i="90"/>
  <c r="AB167" i="90"/>
  <c r="AC41" i="90"/>
  <c r="AC93" i="90"/>
  <c r="AC145" i="90"/>
  <c r="AC197" i="90"/>
  <c r="AC25" i="90"/>
  <c r="AC77" i="90"/>
  <c r="AC129" i="90"/>
  <c r="AC181" i="90"/>
  <c r="AC33" i="90"/>
  <c r="AC85" i="90"/>
  <c r="AC137" i="90"/>
  <c r="AC189" i="90"/>
  <c r="AC52" i="90"/>
  <c r="AC104" i="90"/>
  <c r="AC156" i="90"/>
  <c r="AC208" i="90"/>
  <c r="AC36" i="90"/>
  <c r="AC88" i="90"/>
  <c r="AC140" i="90"/>
  <c r="AC192" i="90"/>
  <c r="AC20" i="90"/>
  <c r="AC72" i="90"/>
  <c r="AC124" i="90"/>
  <c r="AC176" i="90"/>
  <c r="AC55" i="90"/>
  <c r="AC107" i="90"/>
  <c r="AC159" i="90"/>
  <c r="AC211" i="90"/>
  <c r="AC39" i="90"/>
  <c r="AC91" i="90"/>
  <c r="AC143" i="90"/>
  <c r="AC195" i="90"/>
  <c r="AC23" i="90"/>
  <c r="AC75" i="90"/>
  <c r="AC127" i="90"/>
  <c r="AC179" i="90"/>
  <c r="AC7" i="90"/>
  <c r="AC59" i="90"/>
  <c r="AC111" i="90"/>
  <c r="AC163" i="90"/>
  <c r="AC42" i="90"/>
  <c r="AC94" i="90"/>
  <c r="AC146" i="90"/>
  <c r="AC198" i="90"/>
  <c r="AC26" i="90"/>
  <c r="AC78" i="90"/>
  <c r="AC130" i="90"/>
  <c r="AC182" i="90"/>
  <c r="AC10" i="90"/>
  <c r="AC62" i="90"/>
  <c r="AC114" i="90"/>
  <c r="AC166" i="90"/>
  <c r="AX1102" i="90"/>
  <c r="AX426" i="90"/>
  <c r="AX894" i="90"/>
  <c r="AX582" i="90"/>
  <c r="AX166" i="90"/>
  <c r="AX62" i="90"/>
  <c r="AX374" i="90"/>
  <c r="AX1466" i="90"/>
  <c r="AX946" i="90"/>
  <c r="AX1518" i="90"/>
  <c r="AX1414" i="90"/>
  <c r="AX634" i="90"/>
  <c r="AX530" i="90"/>
  <c r="AX738" i="90"/>
  <c r="AX1050" i="90"/>
  <c r="AX1622" i="90"/>
  <c r="AX478" i="90"/>
  <c r="AX270" i="90"/>
  <c r="AX1154" i="90"/>
  <c r="AX1258" i="90"/>
  <c r="AX686" i="90"/>
  <c r="AX114" i="90"/>
  <c r="AX842" i="90"/>
  <c r="AX790" i="90"/>
  <c r="AX998" i="90"/>
  <c r="AX1362" i="90"/>
  <c r="AX1206" i="90"/>
  <c r="AX218" i="90"/>
  <c r="AX322" i="90"/>
  <c r="AX1570" i="90"/>
  <c r="AX10" i="90"/>
  <c r="AX1310" i="90"/>
  <c r="AE47" i="90"/>
  <c r="AE99" i="90"/>
  <c r="AE203" i="90"/>
  <c r="AE151" i="90"/>
  <c r="AE51" i="90"/>
  <c r="AE103" i="90"/>
  <c r="AE207" i="90"/>
  <c r="AE155" i="90"/>
  <c r="AE39" i="90"/>
  <c r="AE91" i="90"/>
  <c r="AE195" i="90"/>
  <c r="AE143" i="90"/>
  <c r="AX1391" i="90"/>
  <c r="AX1287" i="90"/>
  <c r="AX143" i="90"/>
  <c r="AX1443" i="90"/>
  <c r="AX247" i="90"/>
  <c r="AX767" i="90"/>
  <c r="AX1495" i="90"/>
  <c r="AX1183" i="90"/>
  <c r="AX611" i="90"/>
  <c r="AX455" i="90"/>
  <c r="AX1599" i="90"/>
  <c r="AX39" i="90"/>
  <c r="AX195" i="90"/>
  <c r="AX715" i="90"/>
  <c r="AX1027" i="90"/>
  <c r="AX1235" i="90"/>
  <c r="AX1131" i="90"/>
  <c r="AX91" i="90"/>
  <c r="AX1339" i="90"/>
  <c r="AX663" i="90"/>
  <c r="AX507" i="90"/>
  <c r="AX1547" i="90"/>
  <c r="AX871" i="90"/>
  <c r="AX351" i="90"/>
  <c r="AX299" i="90"/>
  <c r="AX403" i="90"/>
  <c r="AX559" i="90"/>
  <c r="AX923" i="90"/>
  <c r="AX1651" i="90"/>
  <c r="AX1079" i="90"/>
  <c r="AX819" i="90"/>
  <c r="AX975" i="90"/>
  <c r="AE50" i="90"/>
  <c r="AE102" i="90"/>
  <c r="AE154" i="90"/>
  <c r="AE206" i="90"/>
  <c r="AE34" i="90"/>
  <c r="AE86" i="90"/>
  <c r="AE138" i="90"/>
  <c r="AE190" i="90"/>
  <c r="AX450" i="90"/>
  <c r="AX1386" i="90"/>
  <c r="AX866" i="90"/>
  <c r="AX762" i="90"/>
  <c r="AX1282" i="90"/>
  <c r="AX918" i="90"/>
  <c r="AX1126" i="90"/>
  <c r="AX86" i="90"/>
  <c r="AX346" i="90"/>
  <c r="AX710" i="90"/>
  <c r="AX1646" i="90"/>
  <c r="AX1022" i="90"/>
  <c r="AX970" i="90"/>
  <c r="AX1594" i="90"/>
  <c r="AX138" i="90"/>
  <c r="AX294" i="90"/>
  <c r="AX398" i="90"/>
  <c r="AX1178" i="90"/>
  <c r="AX1438" i="90"/>
  <c r="AX554" i="90"/>
  <c r="AX658" i="90"/>
  <c r="AX34" i="90"/>
  <c r="AX502" i="90"/>
  <c r="AX814" i="90"/>
  <c r="AX1230" i="90"/>
  <c r="AX1074" i="90"/>
  <c r="AX190" i="90"/>
  <c r="AX242" i="90"/>
  <c r="AX1334" i="90"/>
  <c r="AX1542" i="90"/>
  <c r="AX1490" i="90"/>
  <c r="AX606" i="90"/>
  <c r="AE18" i="90"/>
  <c r="AE70" i="90"/>
  <c r="AE122" i="90"/>
  <c r="AE174" i="90"/>
  <c r="AE53" i="90"/>
  <c r="AE105" i="90"/>
  <c r="AE209" i="90"/>
  <c r="AE157" i="90"/>
  <c r="AE37" i="90"/>
  <c r="AE89" i="90"/>
  <c r="AE193" i="90"/>
  <c r="AE141" i="90"/>
  <c r="AX1389" i="90"/>
  <c r="AX141" i="90"/>
  <c r="AX37" i="90"/>
  <c r="AX661" i="90"/>
  <c r="AX453" i="90"/>
  <c r="AX1025" i="90"/>
  <c r="AX1545" i="90"/>
  <c r="AX1493" i="90"/>
  <c r="AX1285" i="90"/>
  <c r="AX1181" i="90"/>
  <c r="AX1597" i="90"/>
  <c r="AX245" i="90"/>
  <c r="AX1441" i="90"/>
  <c r="AX765" i="90"/>
  <c r="AX401" i="90"/>
  <c r="AX505" i="90"/>
  <c r="AX817" i="90"/>
  <c r="AX1233" i="90"/>
  <c r="AX89" i="90"/>
  <c r="AX713" i="90"/>
  <c r="AX1077" i="90"/>
  <c r="AX193" i="90"/>
  <c r="AX349" i="90"/>
  <c r="AX869" i="90"/>
  <c r="AX1337" i="90"/>
  <c r="AX557" i="90"/>
  <c r="AX1129" i="90"/>
  <c r="AX609" i="90"/>
  <c r="AX1649" i="90"/>
  <c r="AX973" i="90"/>
  <c r="AX921" i="90"/>
  <c r="AX297" i="90"/>
  <c r="AE21" i="90"/>
  <c r="AE73" i="90"/>
  <c r="AE125" i="90"/>
  <c r="AE177" i="90"/>
  <c r="AE57" i="90"/>
  <c r="AE109" i="90"/>
  <c r="AE161" i="90"/>
  <c r="AE5" i="90"/>
  <c r="AE44" i="90"/>
  <c r="AE148" i="90"/>
  <c r="AE96" i="90"/>
  <c r="AE200" i="90"/>
  <c r="AE28" i="90"/>
  <c r="AE80" i="90"/>
  <c r="AE132" i="90"/>
  <c r="AE184" i="90"/>
  <c r="AX1120" i="90"/>
  <c r="AX444" i="90"/>
  <c r="AX704" i="90"/>
  <c r="AX756" i="90"/>
  <c r="AX1640" i="90"/>
  <c r="AX1172" i="90"/>
  <c r="AX652" i="90"/>
  <c r="AX912" i="90"/>
  <c r="AX860" i="90"/>
  <c r="AX964" i="90"/>
  <c r="AX288" i="90"/>
  <c r="AX600" i="90"/>
  <c r="AX132" i="90"/>
  <c r="AX496" i="90"/>
  <c r="AX808" i="90"/>
  <c r="AX236" i="90"/>
  <c r="AX392" i="90"/>
  <c r="AX1224" i="90"/>
  <c r="AX340" i="90"/>
  <c r="AX1432" i="90"/>
  <c r="AX184" i="90"/>
  <c r="AX548" i="90"/>
  <c r="AX1016" i="90"/>
  <c r="AX1276" i="90"/>
  <c r="AX28" i="90"/>
  <c r="AX1588" i="90"/>
  <c r="AX1068" i="90"/>
  <c r="AX80" i="90"/>
  <c r="AX1536" i="90"/>
  <c r="AX1484" i="90"/>
  <c r="AX1328" i="90"/>
  <c r="AX1380" i="90"/>
  <c r="AE12" i="90"/>
  <c r="AE64" i="90"/>
  <c r="AE116" i="90"/>
  <c r="AE168" i="90"/>
  <c r="AD12" i="90"/>
  <c r="AD64" i="90"/>
  <c r="AD116" i="90"/>
  <c r="AD168" i="90"/>
  <c r="AD8" i="90"/>
  <c r="AD60" i="90"/>
  <c r="AD112" i="90"/>
  <c r="AD164" i="90"/>
  <c r="AD44" i="90"/>
  <c r="AD96" i="90"/>
  <c r="AD148" i="90"/>
  <c r="AD200" i="90"/>
  <c r="AD55" i="90"/>
  <c r="AD107" i="90"/>
  <c r="AD159" i="90"/>
  <c r="AD211" i="90"/>
  <c r="AD39" i="90"/>
  <c r="AD91" i="90"/>
  <c r="AD143" i="90"/>
  <c r="AD195" i="90"/>
  <c r="AD23" i="90"/>
  <c r="AD75" i="90"/>
  <c r="AD127" i="90"/>
  <c r="AD179" i="90"/>
  <c r="AX75" i="90"/>
  <c r="AX855" i="90"/>
  <c r="AX231" i="90"/>
  <c r="AX1375" i="90"/>
  <c r="AX1167" i="90"/>
  <c r="AX179" i="90"/>
  <c r="AX1115" i="90"/>
  <c r="AX1271" i="90"/>
  <c r="AX1531" i="90"/>
  <c r="AX1583" i="90"/>
  <c r="AX543" i="90"/>
  <c r="AX1011" i="90"/>
  <c r="AX751" i="90"/>
  <c r="AX439" i="90"/>
  <c r="AX1427" i="90"/>
  <c r="AX699" i="90"/>
  <c r="AX803" i="90"/>
  <c r="AX1323" i="90"/>
  <c r="AX595" i="90"/>
  <c r="AX387" i="90"/>
  <c r="AX1219" i="90"/>
  <c r="AX335" i="90"/>
  <c r="AX1635" i="90"/>
  <c r="AX1063" i="90"/>
  <c r="AX283" i="90"/>
  <c r="AX127" i="90"/>
  <c r="AX1479" i="90"/>
  <c r="AX959" i="90"/>
  <c r="AX23" i="90"/>
  <c r="AX907" i="90"/>
  <c r="AX647" i="90"/>
  <c r="AX491" i="90"/>
  <c r="AD7" i="90"/>
  <c r="AD59" i="90"/>
  <c r="AD111" i="90"/>
  <c r="AD163" i="90"/>
  <c r="AD42" i="90"/>
  <c r="AD94" i="90"/>
  <c r="AD146" i="90"/>
  <c r="AD198" i="90"/>
  <c r="AD26" i="90"/>
  <c r="AD78" i="90"/>
  <c r="AD130" i="90"/>
  <c r="AD182" i="90"/>
  <c r="AX78" i="90"/>
  <c r="AX858" i="90"/>
  <c r="AX1118" i="90"/>
  <c r="AX442" i="90"/>
  <c r="AX1482" i="90"/>
  <c r="AX910" i="90"/>
  <c r="AX754" i="90"/>
  <c r="AX286" i="90"/>
  <c r="AX1014" i="90"/>
  <c r="AX338" i="90"/>
  <c r="AX546" i="90"/>
  <c r="AX598" i="90"/>
  <c r="AX1430" i="90"/>
  <c r="AX130" i="90"/>
  <c r="AX1638" i="90"/>
  <c r="AX1222" i="90"/>
  <c r="AX962" i="90"/>
  <c r="AX390" i="90"/>
  <c r="AX702" i="90"/>
  <c r="AX494" i="90"/>
  <c r="AX650" i="90"/>
  <c r="AX26" i="90"/>
  <c r="AX1066" i="90"/>
  <c r="AX806" i="90"/>
  <c r="AX1170" i="90"/>
  <c r="AX1274" i="90"/>
  <c r="AX1378" i="90"/>
  <c r="AX182" i="90"/>
  <c r="AX234" i="90"/>
  <c r="AX1586" i="90"/>
  <c r="AX1326" i="90"/>
  <c r="AX1534" i="90"/>
  <c r="AD10" i="90"/>
  <c r="AD62" i="90"/>
  <c r="AD114" i="90"/>
  <c r="AD166" i="90"/>
  <c r="AD45" i="90"/>
  <c r="AD97" i="90"/>
  <c r="AD149" i="90"/>
  <c r="AD201" i="90"/>
  <c r="AD29" i="90"/>
  <c r="AD81" i="90"/>
  <c r="AD133" i="90"/>
  <c r="AD185" i="90"/>
  <c r="AD13" i="90"/>
  <c r="AD65" i="90"/>
  <c r="AD117" i="90"/>
  <c r="AD169" i="90"/>
  <c r="AF54" i="90"/>
  <c r="AF106" i="90"/>
  <c r="AF158" i="90"/>
  <c r="AF210" i="90"/>
  <c r="AX314" i="90"/>
  <c r="AX730" i="90"/>
  <c r="AX54" i="90"/>
  <c r="AX938" i="90"/>
  <c r="AX886" i="90"/>
  <c r="AX1094" i="90"/>
  <c r="AX106" i="90"/>
  <c r="AX1354" i="90"/>
  <c r="AX210" i="90"/>
  <c r="AX834" i="90"/>
  <c r="AX1146" i="90"/>
  <c r="AX990" i="90"/>
  <c r="AX418" i="90"/>
  <c r="AX1666" i="90"/>
  <c r="AX366" i="90"/>
  <c r="AX1510" i="90"/>
  <c r="AX1198" i="90"/>
  <c r="AX1406" i="90"/>
  <c r="AX782" i="90"/>
  <c r="AX1458" i="90"/>
  <c r="AX1250" i="90"/>
  <c r="AX262" i="90"/>
  <c r="AX626" i="90"/>
  <c r="AX1042" i="90"/>
  <c r="AX678" i="90"/>
  <c r="AX470" i="90"/>
  <c r="AX522" i="90"/>
  <c r="AX1614" i="90"/>
  <c r="AX1562" i="90"/>
  <c r="AX158" i="90"/>
  <c r="AX574" i="90"/>
  <c r="AX1302" i="90"/>
  <c r="AF6" i="90"/>
  <c r="AF58" i="90"/>
  <c r="AF110" i="90"/>
  <c r="AF162" i="90"/>
  <c r="AF48" i="90"/>
  <c r="AF100" i="90"/>
  <c r="AF152" i="90"/>
  <c r="AF204" i="90"/>
  <c r="AX1088" i="90"/>
  <c r="AX724" i="90"/>
  <c r="AX516" i="90"/>
  <c r="AX412" i="90"/>
  <c r="AX100" i="90"/>
  <c r="AX1036" i="90"/>
  <c r="AX672" i="90"/>
  <c r="AX1192" i="90"/>
  <c r="AX1244" i="90"/>
  <c r="AX984" i="90"/>
  <c r="AX1608" i="90"/>
  <c r="AX1504" i="90"/>
  <c r="AX1556" i="90"/>
  <c r="AX1140" i="90"/>
  <c r="AX308" i="90"/>
  <c r="AX204" i="90"/>
  <c r="AX1660" i="90"/>
  <c r="AX48" i="90"/>
  <c r="AX776" i="90"/>
  <c r="AX464" i="90"/>
  <c r="AX932" i="90"/>
  <c r="AX1348" i="90"/>
  <c r="AX360" i="90"/>
  <c r="AX1452" i="90"/>
  <c r="AX880" i="90"/>
  <c r="AX828" i="90"/>
  <c r="AX1400" i="90"/>
  <c r="AX568" i="90"/>
  <c r="AX152" i="90"/>
  <c r="AX256" i="90"/>
  <c r="AX1296" i="90"/>
  <c r="AX620" i="90"/>
  <c r="AF32" i="90"/>
  <c r="AF84" i="90"/>
  <c r="AF136" i="90"/>
  <c r="AF188" i="90"/>
  <c r="AF35" i="90"/>
  <c r="AF87" i="90"/>
  <c r="AF139" i="90"/>
  <c r="AF191" i="90"/>
  <c r="AB42" i="90"/>
  <c r="AB146" i="90"/>
  <c r="AB198" i="90"/>
  <c r="AB94" i="90"/>
  <c r="AB38" i="90"/>
  <c r="AB90" i="90"/>
  <c r="AB142" i="90"/>
  <c r="AB194" i="90"/>
  <c r="AB41" i="90"/>
  <c r="AB93" i="90"/>
  <c r="AB145" i="90"/>
  <c r="AB197" i="90"/>
  <c r="AB44" i="90"/>
  <c r="AB96" i="90"/>
  <c r="AB148" i="90"/>
  <c r="AB200" i="90"/>
  <c r="AB12" i="90"/>
  <c r="AB64" i="90"/>
  <c r="AB116" i="90"/>
  <c r="AB168" i="90"/>
  <c r="AB19" i="90"/>
  <c r="AB71" i="90"/>
  <c r="AB123" i="90"/>
  <c r="AB175" i="90"/>
  <c r="AC21" i="90"/>
  <c r="AC73" i="90"/>
  <c r="AC125" i="90"/>
  <c r="AC177" i="90"/>
  <c r="AC47" i="90"/>
  <c r="AC99" i="90"/>
  <c r="AC151" i="90"/>
  <c r="AC203" i="90"/>
  <c r="AF46" i="90"/>
  <c r="AF98" i="90"/>
  <c r="AF150" i="90"/>
  <c r="AF202" i="90"/>
  <c r="AX150" i="90"/>
  <c r="AX306" i="90"/>
  <c r="AX982" i="90"/>
  <c r="AX930" i="90"/>
  <c r="AX410" i="90"/>
  <c r="AX1086" i="90"/>
  <c r="AX98" i="90"/>
  <c r="AX1398" i="90"/>
  <c r="AX878" i="90"/>
  <c r="AX722" i="90"/>
  <c r="AX1658" i="90"/>
  <c r="AX358" i="90"/>
  <c r="AX1450" i="90"/>
  <c r="AX1346" i="90"/>
  <c r="AX1502" i="90"/>
  <c r="AX514" i="90"/>
  <c r="AX774" i="90"/>
  <c r="AX826" i="90"/>
  <c r="AX1034" i="90"/>
  <c r="AX462" i="90"/>
  <c r="AX566" i="90"/>
  <c r="AX670" i="90"/>
  <c r="AX1190" i="90"/>
  <c r="AX1242" i="90"/>
  <c r="AX618" i="90"/>
  <c r="AX1138" i="90"/>
  <c r="AX202" i="90"/>
  <c r="AX1554" i="90"/>
  <c r="AX254" i="90"/>
  <c r="AX1294" i="90"/>
  <c r="AX46" i="90"/>
  <c r="AX1606" i="90"/>
  <c r="AF50" i="90"/>
  <c r="AF102" i="90"/>
  <c r="AF154" i="90"/>
  <c r="AF206" i="90"/>
  <c r="AX882" i="90"/>
  <c r="AX778" i="90"/>
  <c r="AX934" i="90"/>
  <c r="AX1506" i="90"/>
  <c r="AX310" i="90"/>
  <c r="AX1038" i="90"/>
  <c r="AX1142" i="90"/>
  <c r="AX986" i="90"/>
  <c r="AX466" i="90"/>
  <c r="AX1662" i="90"/>
  <c r="AX414" i="90"/>
  <c r="AX570" i="90"/>
  <c r="AX726" i="90"/>
  <c r="AX362" i="90"/>
  <c r="AX258" i="90"/>
  <c r="AX1454" i="90"/>
  <c r="AX1090" i="90"/>
  <c r="AX1194" i="90"/>
  <c r="AX1246" i="90"/>
  <c r="AX1402" i="90"/>
  <c r="AX1298" i="90"/>
  <c r="AX518" i="90"/>
  <c r="AX674" i="90"/>
  <c r="AX102" i="90"/>
  <c r="AX830" i="90"/>
  <c r="AX1350" i="90"/>
  <c r="AX622" i="90"/>
  <c r="AX206" i="90"/>
  <c r="AX50" i="90"/>
  <c r="AX1610" i="90"/>
  <c r="AX1558" i="90"/>
  <c r="AX154" i="90"/>
  <c r="AF10" i="90"/>
  <c r="AF62" i="90"/>
  <c r="AF114" i="90"/>
  <c r="AF166" i="90"/>
  <c r="AF45" i="90"/>
  <c r="AF97" i="90"/>
  <c r="AF149" i="90"/>
  <c r="AF201" i="90"/>
  <c r="AX1449" i="90"/>
  <c r="AX1085" i="90"/>
  <c r="AX45" i="90"/>
  <c r="AX1293" i="90"/>
  <c r="AX1189" i="90"/>
  <c r="AX357" i="90"/>
  <c r="AX1137" i="90"/>
  <c r="AX825" i="90"/>
  <c r="AX1605" i="90"/>
  <c r="AX149" i="90"/>
  <c r="AX1033" i="90"/>
  <c r="AX669" i="90"/>
  <c r="AX773" i="90"/>
  <c r="AX513" i="90"/>
  <c r="AX461" i="90"/>
  <c r="AX721" i="90"/>
  <c r="AX409" i="90"/>
  <c r="AX97" i="90"/>
  <c r="AX1241" i="90"/>
  <c r="AX1501" i="90"/>
  <c r="AX617" i="90"/>
  <c r="AX1345" i="90"/>
  <c r="AX565" i="90"/>
  <c r="AX201" i="90"/>
  <c r="AX877" i="90"/>
  <c r="AX1657" i="90"/>
  <c r="AX981" i="90"/>
  <c r="AX1397" i="90"/>
  <c r="AX253" i="90"/>
  <c r="AX929" i="90"/>
  <c r="AX305" i="90"/>
  <c r="AX1553" i="90"/>
  <c r="AF29" i="90"/>
  <c r="AF81" i="90"/>
  <c r="AF133" i="90"/>
  <c r="AF185" i="90"/>
  <c r="AF13" i="90"/>
  <c r="AF65" i="90"/>
  <c r="AF117" i="90"/>
  <c r="AF169" i="90"/>
  <c r="AF52" i="90"/>
  <c r="AF104" i="90"/>
  <c r="AF156" i="90"/>
  <c r="AF208" i="90"/>
  <c r="AX468" i="90"/>
  <c r="AX624" i="90"/>
  <c r="AX52" i="90"/>
  <c r="AX1508" i="90"/>
  <c r="AX1404" i="90"/>
  <c r="AX780" i="90"/>
  <c r="AX1664" i="90"/>
  <c r="AX1560" i="90"/>
  <c r="AX832" i="90"/>
  <c r="AX416" i="90"/>
  <c r="AX728" i="90"/>
  <c r="AX936" i="90"/>
  <c r="AX312" i="90"/>
  <c r="AX364" i="90"/>
  <c r="AX1612" i="90"/>
  <c r="AX884" i="90"/>
  <c r="AX676" i="90"/>
  <c r="AX260" i="90"/>
  <c r="AX208" i="90"/>
  <c r="AX988" i="90"/>
  <c r="AX1040" i="90"/>
  <c r="AX520" i="90"/>
  <c r="AX1144" i="90"/>
  <c r="AX1196" i="90"/>
  <c r="AX1248" i="90"/>
  <c r="AX156" i="90"/>
  <c r="AX572" i="90"/>
  <c r="AX104" i="90"/>
  <c r="AX1092" i="90"/>
  <c r="AX1456" i="90"/>
  <c r="AX1352" i="90"/>
  <c r="AX1300" i="90"/>
  <c r="AF36" i="90"/>
  <c r="AF88" i="90"/>
  <c r="AF140" i="90"/>
  <c r="AF192" i="90"/>
  <c r="AF20" i="90"/>
  <c r="AF72" i="90"/>
  <c r="AF124" i="90"/>
  <c r="AF176" i="90"/>
  <c r="AF55" i="90"/>
  <c r="AF107" i="90"/>
  <c r="AF159" i="90"/>
  <c r="AF211" i="90"/>
  <c r="AX263" i="90"/>
  <c r="AX783" i="90"/>
  <c r="AX1563" i="90"/>
  <c r="AX1043" i="90"/>
  <c r="AX211" i="90"/>
  <c r="AX159" i="90"/>
  <c r="AX107" i="90"/>
  <c r="AX991" i="90"/>
  <c r="AX1147" i="90"/>
  <c r="AX1511" i="90"/>
  <c r="AX1303" i="90"/>
  <c r="AX1459" i="90"/>
  <c r="AX367" i="90"/>
  <c r="AX1199" i="90"/>
  <c r="AX471" i="90"/>
  <c r="AX679" i="90"/>
  <c r="AX1355" i="90"/>
  <c r="AX627" i="90"/>
  <c r="AX523" i="90"/>
  <c r="AX55" i="90"/>
  <c r="AX731" i="90"/>
  <c r="AX1251" i="90"/>
  <c r="AX1407" i="90"/>
  <c r="AX1667" i="90"/>
  <c r="AX419" i="90"/>
  <c r="AX835" i="90"/>
  <c r="AX939" i="90"/>
  <c r="AX1615" i="90"/>
  <c r="AX887" i="90"/>
  <c r="AX315" i="90"/>
  <c r="AX1095" i="90"/>
  <c r="AX575" i="90"/>
  <c r="AF39" i="90"/>
  <c r="AF91" i="90"/>
  <c r="AF143" i="90"/>
  <c r="AF195" i="90"/>
  <c r="AF23" i="90"/>
  <c r="AF75" i="90"/>
  <c r="AF127" i="90"/>
  <c r="AF179" i="90"/>
  <c r="AF7" i="90"/>
  <c r="AF59" i="90"/>
  <c r="AF111" i="90"/>
  <c r="AF163" i="90"/>
  <c r="AB22" i="90"/>
  <c r="AB74" i="90"/>
  <c r="AB126" i="90"/>
  <c r="AB178" i="90"/>
  <c r="AB26" i="90"/>
  <c r="AB130" i="90"/>
  <c r="AB182" i="90"/>
  <c r="AB78" i="90"/>
  <c r="AB14" i="90"/>
  <c r="AB66" i="90"/>
  <c r="AB118" i="90"/>
  <c r="AB170" i="90"/>
  <c r="AB45" i="90"/>
  <c r="AB97" i="90"/>
  <c r="AB149" i="90"/>
  <c r="AB201" i="90"/>
  <c r="AB29" i="90"/>
  <c r="AB133" i="90"/>
  <c r="AB185" i="90"/>
  <c r="AB81" i="90"/>
  <c r="AB13" i="90"/>
  <c r="AB65" i="90"/>
  <c r="AB117" i="90"/>
  <c r="AB169" i="90"/>
  <c r="AB48" i="90"/>
  <c r="AB100" i="90"/>
  <c r="AB204" i="90"/>
  <c r="AB152" i="90"/>
  <c r="AB32" i="90"/>
  <c r="AB84" i="90"/>
  <c r="AB188" i="90"/>
  <c r="AB136" i="90"/>
  <c r="AB16" i="90"/>
  <c r="AB68" i="90"/>
  <c r="AB120" i="90"/>
  <c r="AB172" i="90"/>
  <c r="AB55" i="90"/>
  <c r="AB107" i="90"/>
  <c r="AB159" i="90"/>
  <c r="AB211" i="90"/>
  <c r="AB39" i="90"/>
  <c r="AB91" i="90"/>
  <c r="AB143" i="90"/>
  <c r="AB195" i="90"/>
  <c r="AB23" i="90"/>
  <c r="AB75" i="90"/>
  <c r="AB127" i="90"/>
  <c r="AB179" i="90"/>
  <c r="AB7" i="90"/>
  <c r="AB59" i="90"/>
  <c r="AB111" i="90"/>
  <c r="AB163" i="90"/>
  <c r="AX839" i="90"/>
  <c r="AX215" i="90"/>
  <c r="AX1359" i="90"/>
  <c r="AX111" i="90"/>
  <c r="AX267" i="90"/>
  <c r="AX579" i="90"/>
  <c r="AX7" i="90"/>
  <c r="AX1463" i="90"/>
  <c r="AX1151" i="90"/>
  <c r="AX423" i="90"/>
  <c r="AX1411" i="90"/>
  <c r="AX1255" i="90"/>
  <c r="AX319" i="90"/>
  <c r="AX1567" i="90"/>
  <c r="AX1515" i="90"/>
  <c r="AX735" i="90"/>
  <c r="AX683" i="90"/>
  <c r="AX1099" i="90"/>
  <c r="AX1307" i="90"/>
  <c r="AX371" i="90"/>
  <c r="AX1203" i="90"/>
  <c r="AX1047" i="90"/>
  <c r="AX527" i="90"/>
  <c r="AX787" i="90"/>
  <c r="AX995" i="90"/>
  <c r="AX1619" i="90"/>
  <c r="AX163" i="90"/>
  <c r="AX475" i="90"/>
  <c r="AX59" i="90"/>
  <c r="AX891" i="90"/>
  <c r="AX631" i="90"/>
  <c r="AX943" i="90"/>
  <c r="AC37" i="90"/>
  <c r="AC89" i="90"/>
  <c r="AC141" i="90"/>
  <c r="AC193" i="90"/>
  <c r="AC9" i="90"/>
  <c r="AC61" i="90"/>
  <c r="AC113" i="90"/>
  <c r="AC165" i="90"/>
  <c r="AC17" i="90"/>
  <c r="AC69" i="90"/>
  <c r="AC121" i="90"/>
  <c r="AC173" i="90"/>
  <c r="AX589" i="90"/>
  <c r="AX1317" i="90"/>
  <c r="AX329" i="90"/>
  <c r="AX381" i="90"/>
  <c r="AX173" i="90"/>
  <c r="AX1473" i="90"/>
  <c r="AX1525" i="90"/>
  <c r="AX537" i="90"/>
  <c r="AX1213" i="90"/>
  <c r="AX693" i="90"/>
  <c r="AX485" i="90"/>
  <c r="AX1629" i="90"/>
  <c r="AX433" i="90"/>
  <c r="AX1577" i="90"/>
  <c r="AX1265" i="90"/>
  <c r="AX17" i="90"/>
  <c r="AX121" i="90"/>
  <c r="AX1421" i="90"/>
  <c r="AX745" i="90"/>
  <c r="AX1161" i="90"/>
  <c r="AX1005" i="90"/>
  <c r="AX1109" i="90"/>
  <c r="AX797" i="90"/>
  <c r="AX849" i="90"/>
  <c r="AX1057" i="90"/>
  <c r="AX953" i="90"/>
  <c r="AX1369" i="90"/>
  <c r="AX277" i="90"/>
  <c r="AX69" i="90"/>
  <c r="AX641" i="90"/>
  <c r="AX225" i="90"/>
  <c r="AX901" i="90"/>
  <c r="AC48" i="90"/>
  <c r="AC100" i="90"/>
  <c r="AC152" i="90"/>
  <c r="AC204" i="90"/>
  <c r="AC32" i="90"/>
  <c r="AC84" i="90"/>
  <c r="AC136" i="90"/>
  <c r="AC188" i="90"/>
  <c r="AC16" i="90"/>
  <c r="AC68" i="90"/>
  <c r="AC120" i="90"/>
  <c r="AC172" i="90"/>
  <c r="AX484" i="90"/>
  <c r="AX68" i="90"/>
  <c r="AX16" i="90"/>
  <c r="AX1524" i="90"/>
  <c r="AX1576" i="90"/>
  <c r="AX1472" i="90"/>
  <c r="AX640" i="90"/>
  <c r="AX328" i="90"/>
  <c r="AX224" i="90"/>
  <c r="AX744" i="90"/>
  <c r="AX848" i="90"/>
  <c r="AX380" i="90"/>
  <c r="AX432" i="90"/>
  <c r="AX1316" i="90"/>
  <c r="AX172" i="90"/>
  <c r="AX1004" i="90"/>
  <c r="AX276" i="90"/>
  <c r="AX120" i="90"/>
  <c r="AX796" i="90"/>
  <c r="AX952" i="90"/>
  <c r="AX900" i="90"/>
  <c r="AX1212" i="90"/>
  <c r="AX536" i="90"/>
  <c r="AX1420" i="90"/>
  <c r="AX1160" i="90"/>
  <c r="AX1264" i="90"/>
  <c r="AX692" i="90"/>
  <c r="AX1628" i="90"/>
  <c r="AX1108" i="90"/>
  <c r="AX1368" i="90"/>
  <c r="AX588" i="90"/>
  <c r="AX1056" i="90"/>
  <c r="AC51" i="90"/>
  <c r="AC103" i="90"/>
  <c r="AC155" i="90"/>
  <c r="AC207" i="90"/>
  <c r="AC35" i="90"/>
  <c r="AC87" i="90"/>
  <c r="AC139" i="90"/>
  <c r="AC191" i="90"/>
  <c r="AC19" i="90"/>
  <c r="AC71" i="90"/>
  <c r="AC123" i="90"/>
  <c r="AC175" i="90"/>
  <c r="AC54" i="90"/>
  <c r="AC106" i="90"/>
  <c r="AC158" i="90"/>
  <c r="AC210" i="90"/>
  <c r="AC38" i="90"/>
  <c r="AC90" i="90"/>
  <c r="AC142" i="90"/>
  <c r="AC194" i="90"/>
  <c r="AC22" i="90"/>
  <c r="AC74" i="90"/>
  <c r="AC126" i="90"/>
  <c r="AC178" i="90"/>
  <c r="AC6" i="90"/>
  <c r="AC58" i="90"/>
  <c r="AC110" i="90"/>
  <c r="AC162" i="90"/>
  <c r="AE43" i="90"/>
  <c r="AE95" i="90"/>
  <c r="AE199" i="90"/>
  <c r="AE147" i="90"/>
  <c r="AE31" i="90"/>
  <c r="AE83" i="90"/>
  <c r="AE187" i="90"/>
  <c r="AE135" i="90"/>
  <c r="AX135" i="90"/>
  <c r="AX1383" i="90"/>
  <c r="AX1487" i="90"/>
  <c r="AX239" i="90"/>
  <c r="AX1279" i="90"/>
  <c r="AX603" i="90"/>
  <c r="AX655" i="90"/>
  <c r="AX759" i="90"/>
  <c r="AX1175" i="90"/>
  <c r="AX1331" i="90"/>
  <c r="AX1123" i="90"/>
  <c r="AX1539" i="90"/>
  <c r="AX1591" i="90"/>
  <c r="AX811" i="90"/>
  <c r="AX1019" i="90"/>
  <c r="AX395" i="90"/>
  <c r="AX707" i="90"/>
  <c r="AX31" i="90"/>
  <c r="AX1227" i="90"/>
  <c r="AX1435" i="90"/>
  <c r="AX83" i="90"/>
  <c r="AX187" i="90"/>
  <c r="AX447" i="90"/>
  <c r="AX1643" i="90"/>
  <c r="AX291" i="90"/>
  <c r="AX863" i="90"/>
  <c r="AX551" i="90"/>
  <c r="AX915" i="90"/>
  <c r="AX343" i="90"/>
  <c r="AX1071" i="90"/>
  <c r="AX499" i="90"/>
  <c r="AX967" i="90"/>
  <c r="AE23" i="90"/>
  <c r="AE75" i="90"/>
  <c r="AE127" i="90"/>
  <c r="AE179" i="90"/>
  <c r="AE46" i="90"/>
  <c r="AE202" i="90"/>
  <c r="AE98" i="90"/>
  <c r="AE150" i="90"/>
  <c r="AE30" i="90"/>
  <c r="AE82" i="90"/>
  <c r="AE186" i="90"/>
  <c r="AE134" i="90"/>
  <c r="AX290" i="90"/>
  <c r="AX914" i="90"/>
  <c r="AX810" i="90"/>
  <c r="AX862" i="90"/>
  <c r="AX1590" i="90"/>
  <c r="AX1070" i="90"/>
  <c r="AX706" i="90"/>
  <c r="AX1018" i="90"/>
  <c r="AX966" i="90"/>
  <c r="AX1278" i="90"/>
  <c r="AX1642" i="90"/>
  <c r="AX342" i="90"/>
  <c r="AX602" i="90"/>
  <c r="AX654" i="90"/>
  <c r="AX550" i="90"/>
  <c r="AX758" i="90"/>
  <c r="AX186" i="90"/>
  <c r="AX446" i="90"/>
  <c r="AX1122" i="90"/>
  <c r="AX1434" i="90"/>
  <c r="AX394" i="90"/>
  <c r="AX1174" i="90"/>
  <c r="AX1226" i="90"/>
  <c r="AX30" i="90"/>
  <c r="AX498" i="90"/>
  <c r="AX1330" i="90"/>
  <c r="AX238" i="90"/>
  <c r="AX1486" i="90"/>
  <c r="AX82" i="90"/>
  <c r="AX1382" i="90"/>
  <c r="AX134" i="90"/>
  <c r="AX1538" i="90"/>
  <c r="AE14" i="90"/>
  <c r="AE66" i="90"/>
  <c r="AE118" i="90"/>
  <c r="AE170" i="90"/>
  <c r="AE49" i="90"/>
  <c r="AE101" i="90"/>
  <c r="AE153" i="90"/>
  <c r="AE205" i="90"/>
  <c r="AE33" i="90"/>
  <c r="AE85" i="90"/>
  <c r="AE137" i="90"/>
  <c r="AE189" i="90"/>
  <c r="AX1541" i="90"/>
  <c r="AX241" i="90"/>
  <c r="AX605" i="90"/>
  <c r="AX1333" i="90"/>
  <c r="AX1593" i="90"/>
  <c r="AX1229" i="90"/>
  <c r="AX1437" i="90"/>
  <c r="AX189" i="90"/>
  <c r="AX397" i="90"/>
  <c r="AX1125" i="90"/>
  <c r="AX657" i="90"/>
  <c r="AX85" i="90"/>
  <c r="AX345" i="90"/>
  <c r="AX501" i="90"/>
  <c r="AX709" i="90"/>
  <c r="AX137" i="90"/>
  <c r="AX33" i="90"/>
  <c r="AX449" i="90"/>
  <c r="AX1021" i="90"/>
  <c r="AX813" i="90"/>
  <c r="AX761" i="90"/>
  <c r="AX1177" i="90"/>
  <c r="AX1489" i="90"/>
  <c r="AX553" i="90"/>
  <c r="AX865" i="90"/>
  <c r="AX917" i="90"/>
  <c r="AX293" i="90"/>
  <c r="AX1281" i="90"/>
  <c r="AX1385" i="90"/>
  <c r="AX969" i="90"/>
  <c r="AX1645" i="90"/>
  <c r="AX1073" i="90"/>
  <c r="AE17" i="90"/>
  <c r="AE69" i="90"/>
  <c r="AE121" i="90"/>
  <c r="AE173" i="90"/>
  <c r="AE56" i="90"/>
  <c r="AE108" i="90"/>
  <c r="AE160" i="90"/>
  <c r="AE212" i="90"/>
  <c r="AE40" i="90"/>
  <c r="AE92" i="90"/>
  <c r="AE144" i="90"/>
  <c r="AE196" i="90"/>
  <c r="AX508" i="90"/>
  <c r="AX404" i="90"/>
  <c r="AX768" i="90"/>
  <c r="AX92" i="90"/>
  <c r="AX1080" i="90"/>
  <c r="AX1652" i="90"/>
  <c r="AX1444" i="90"/>
  <c r="AX924" i="90"/>
  <c r="AX1548" i="90"/>
  <c r="AX820" i="90"/>
  <c r="AX1496" i="90"/>
  <c r="AX196" i="90"/>
  <c r="AX300" i="90"/>
  <c r="AX1340" i="90"/>
  <c r="AX1600" i="90"/>
  <c r="AX1028" i="90"/>
  <c r="AX40" i="90"/>
  <c r="AX716" i="90"/>
  <c r="AX248" i="90"/>
  <c r="AX456" i="90"/>
  <c r="AX560" i="90"/>
  <c r="AX976" i="90"/>
  <c r="AX872" i="90"/>
  <c r="AX664" i="90"/>
  <c r="AX1184" i="90"/>
  <c r="AX1236" i="90"/>
  <c r="AX352" i="90"/>
  <c r="AX1132" i="90"/>
  <c r="AX1392" i="90"/>
  <c r="AX612" i="90"/>
  <c r="AX144" i="90"/>
  <c r="AX1288" i="90"/>
  <c r="AE24" i="90"/>
  <c r="AE76" i="90"/>
  <c r="AE128" i="90"/>
  <c r="AE180" i="90"/>
  <c r="AE8" i="90"/>
  <c r="AE60" i="90"/>
  <c r="AE164" i="90"/>
  <c r="AE112" i="90"/>
  <c r="AD56" i="90"/>
  <c r="AD108" i="90"/>
  <c r="AD160" i="90"/>
  <c r="AD212" i="90"/>
  <c r="AD32" i="90"/>
  <c r="AD84" i="90"/>
  <c r="AD136" i="90"/>
  <c r="AD188" i="90"/>
  <c r="AD52" i="90"/>
  <c r="AD104" i="90"/>
  <c r="AD156" i="90"/>
  <c r="AD208" i="90"/>
  <c r="AD51" i="90"/>
  <c r="AD103" i="90"/>
  <c r="AD155" i="90"/>
  <c r="AD207" i="90"/>
  <c r="AD35" i="90"/>
  <c r="AD87" i="90"/>
  <c r="AD139" i="90"/>
  <c r="AD191" i="90"/>
  <c r="AD19" i="90"/>
  <c r="AD71" i="90"/>
  <c r="AD123" i="90"/>
  <c r="AD175" i="90"/>
  <c r="AX123" i="90"/>
  <c r="AX1475" i="90"/>
  <c r="AX279" i="90"/>
  <c r="AX383" i="90"/>
  <c r="AX643" i="90"/>
  <c r="AX1319" i="90"/>
  <c r="AX799" i="90"/>
  <c r="AX1579" i="90"/>
  <c r="AX19" i="90"/>
  <c r="AX1215" i="90"/>
  <c r="AX1059" i="90"/>
  <c r="AX1423" i="90"/>
  <c r="AX487" i="90"/>
  <c r="AX175" i="90"/>
  <c r="AX695" i="90"/>
  <c r="AX747" i="90"/>
  <c r="AX1007" i="90"/>
  <c r="AX1371" i="90"/>
  <c r="AX539" i="90"/>
  <c r="AX1267" i="90"/>
  <c r="AX227" i="90"/>
  <c r="AX1163" i="90"/>
  <c r="AX591" i="90"/>
  <c r="AX331" i="90"/>
  <c r="AX71" i="90"/>
  <c r="AX1527" i="90"/>
  <c r="AX1631" i="90"/>
  <c r="AX903" i="90"/>
  <c r="AX955" i="90"/>
  <c r="AX435" i="90"/>
  <c r="AX1111" i="90"/>
  <c r="AX851" i="90"/>
  <c r="AD54" i="90"/>
  <c r="AD106" i="90"/>
  <c r="AD158" i="90"/>
  <c r="AD210" i="90"/>
  <c r="AD38" i="90"/>
  <c r="AD90" i="90"/>
  <c r="AD142" i="90"/>
  <c r="AD194" i="90"/>
  <c r="AD22" i="90"/>
  <c r="AD74" i="90"/>
  <c r="AD126" i="90"/>
  <c r="AD178" i="90"/>
  <c r="AX1374" i="90"/>
  <c r="AX906" i="90"/>
  <c r="AX282" i="90"/>
  <c r="AX490" i="90"/>
  <c r="AX958" i="90"/>
  <c r="AX802" i="90"/>
  <c r="AX646" i="90"/>
  <c r="AX126" i="90"/>
  <c r="AX1322" i="90"/>
  <c r="AX22" i="90"/>
  <c r="AX1478" i="90"/>
  <c r="AX1426" i="90"/>
  <c r="AX1634" i="90"/>
  <c r="AX750" i="90"/>
  <c r="AX1114" i="90"/>
  <c r="AX1166" i="90"/>
  <c r="AX1270" i="90"/>
  <c r="AX438" i="90"/>
  <c r="AX1010" i="90"/>
  <c r="AX542" i="90"/>
  <c r="AX334" i="90"/>
  <c r="AX698" i="90"/>
  <c r="AX1218" i="90"/>
  <c r="AX178" i="90"/>
  <c r="AX594" i="90"/>
  <c r="AX386" i="90"/>
  <c r="AX74" i="90"/>
  <c r="AX1582" i="90"/>
  <c r="AX854" i="90"/>
  <c r="AX230" i="90"/>
  <c r="AX1530" i="90"/>
  <c r="AX1062" i="90"/>
  <c r="AD6" i="90"/>
  <c r="AD58" i="90"/>
  <c r="AD110" i="90"/>
  <c r="AD162" i="90"/>
  <c r="AD41" i="90"/>
  <c r="AD93" i="90"/>
  <c r="AD145" i="90"/>
  <c r="AD197" i="90"/>
  <c r="AD25" i="90"/>
  <c r="AD77" i="90"/>
  <c r="AD129" i="90"/>
  <c r="AD181" i="90"/>
  <c r="AX1117" i="90"/>
  <c r="AX337" i="90"/>
  <c r="AX701" i="90"/>
  <c r="AX1325" i="90"/>
  <c r="AX545" i="90"/>
  <c r="AX1429" i="90"/>
  <c r="AX1585" i="90"/>
  <c r="AX389" i="90"/>
  <c r="AX857" i="90"/>
  <c r="AX1533" i="90"/>
  <c r="AX1221" i="90"/>
  <c r="AX805" i="90"/>
  <c r="AX597" i="90"/>
  <c r="AX1013" i="90"/>
  <c r="AX129" i="90"/>
  <c r="AX753" i="90"/>
  <c r="AX1169" i="90"/>
  <c r="AX493" i="90"/>
  <c r="AX441" i="90"/>
  <c r="AX181" i="90"/>
  <c r="AX1273" i="90"/>
  <c r="AX1637" i="90"/>
  <c r="AX909" i="90"/>
  <c r="AX77" i="90"/>
  <c r="AX1377" i="90"/>
  <c r="AX25" i="90"/>
  <c r="AX1065" i="90"/>
  <c r="AX285" i="90"/>
  <c r="AX233" i="90"/>
  <c r="AX1481" i="90"/>
  <c r="AX961" i="90"/>
  <c r="AX649" i="90"/>
  <c r="AD9" i="90"/>
  <c r="AD61" i="90"/>
  <c r="AD113" i="90"/>
  <c r="AD165" i="90"/>
  <c r="AX5" i="90"/>
  <c r="O10" i="98"/>
  <c r="AB13" i="98"/>
  <c r="Y13" i="98"/>
  <c r="P12" i="98"/>
  <c r="AI11" i="98"/>
  <c r="P7" i="98"/>
  <c r="Z11" i="98"/>
  <c r="AT9" i="103"/>
  <c r="AU9" i="103"/>
  <c r="AV9" i="103"/>
  <c r="AS9" i="103"/>
  <c r="AW9" i="103"/>
  <c r="AQ8" i="88"/>
  <c r="ET9" i="89"/>
  <c r="ET13" i="89"/>
  <c r="ET17" i="89"/>
  <c r="ET21" i="89"/>
  <c r="ET25" i="89"/>
  <c r="ET10" i="89"/>
  <c r="ET14" i="89"/>
  <c r="ET18" i="89"/>
  <c r="ET22" i="89"/>
  <c r="ET26" i="89"/>
  <c r="ET11" i="89"/>
  <c r="ET15" i="89"/>
  <c r="ET19" i="89"/>
  <c r="ET23" i="89"/>
  <c r="ET7" i="89"/>
  <c r="ET8" i="89"/>
  <c r="ET24" i="89"/>
  <c r="ET16" i="89"/>
  <c r="ET20" i="89"/>
  <c r="ET12" i="89"/>
  <c r="EA10" i="89"/>
  <c r="EA14" i="89"/>
  <c r="EA18" i="89"/>
  <c r="EA22" i="89"/>
  <c r="EA26" i="89"/>
  <c r="EA30" i="89"/>
  <c r="EA34" i="89"/>
  <c r="EA38" i="89"/>
  <c r="EA42" i="89"/>
  <c r="EA46" i="89"/>
  <c r="EA50" i="89"/>
  <c r="EA54" i="89"/>
  <c r="EA17" i="89"/>
  <c r="EA25" i="89"/>
  <c r="EA53" i="89"/>
  <c r="EA7" i="89"/>
  <c r="EA11" i="89"/>
  <c r="EA15" i="89"/>
  <c r="EA19" i="89"/>
  <c r="EA23" i="89"/>
  <c r="EA27" i="89"/>
  <c r="EA31" i="89"/>
  <c r="EA35" i="89"/>
  <c r="EA39" i="89"/>
  <c r="EA43" i="89"/>
  <c r="EA47" i="89"/>
  <c r="EA51" i="89"/>
  <c r="EA55" i="89"/>
  <c r="EA21" i="89"/>
  <c r="EA29" i="89"/>
  <c r="EA37" i="89"/>
  <c r="EA6" i="89"/>
  <c r="EA8" i="89"/>
  <c r="EA12" i="89"/>
  <c r="EA16" i="89"/>
  <c r="EA20" i="89"/>
  <c r="EA24" i="89"/>
  <c r="EA28" i="89"/>
  <c r="EA32" i="89"/>
  <c r="EA36" i="89"/>
  <c r="EA40" i="89"/>
  <c r="EA44" i="89"/>
  <c r="EA48" i="89"/>
  <c r="EA52" i="89"/>
  <c r="EA56" i="89"/>
  <c r="EA9" i="89"/>
  <c r="EA13" i="89"/>
  <c r="EA33" i="89"/>
  <c r="EA41" i="89"/>
  <c r="EA49" i="89"/>
  <c r="EA57" i="89"/>
  <c r="EA45" i="89"/>
  <c r="EU9" i="89"/>
  <c r="EU13" i="89"/>
  <c r="EU17" i="89"/>
  <c r="EU21" i="89"/>
  <c r="EU25" i="89"/>
  <c r="EU10" i="89"/>
  <c r="EU14" i="89"/>
  <c r="EU18" i="89"/>
  <c r="EU22" i="89"/>
  <c r="EU26" i="89"/>
  <c r="EU11" i="89"/>
  <c r="EU15" i="89"/>
  <c r="EU19" i="89"/>
  <c r="EU23" i="89"/>
  <c r="EU7" i="89"/>
  <c r="EU12" i="89"/>
  <c r="EU16" i="89"/>
  <c r="EU8" i="89"/>
  <c r="EU20" i="89"/>
  <c r="EU24" i="89"/>
  <c r="EB9" i="89"/>
  <c r="EB13" i="89"/>
  <c r="EB17" i="89"/>
  <c r="EB21" i="89"/>
  <c r="EB25" i="89"/>
  <c r="EB29" i="89"/>
  <c r="EB33" i="89"/>
  <c r="EB37" i="89"/>
  <c r="EB41" i="89"/>
  <c r="EB45" i="89"/>
  <c r="EB49" i="89"/>
  <c r="EB53" i="89"/>
  <c r="EB57" i="89"/>
  <c r="EB6" i="89"/>
  <c r="EB8" i="89"/>
  <c r="EB12" i="89"/>
  <c r="EB32" i="89"/>
  <c r="EB40" i="89"/>
  <c r="EB48" i="89"/>
  <c r="EB56" i="89"/>
  <c r="EB10" i="89"/>
  <c r="EB14" i="89"/>
  <c r="EB18" i="89"/>
  <c r="EB22" i="89"/>
  <c r="EB26" i="89"/>
  <c r="EB30" i="89"/>
  <c r="EB34" i="89"/>
  <c r="EB38" i="89"/>
  <c r="EB42" i="89"/>
  <c r="EB46" i="89"/>
  <c r="EB50" i="89"/>
  <c r="EB54" i="89"/>
  <c r="EB16" i="89"/>
  <c r="EB24" i="89"/>
  <c r="EB44" i="89"/>
  <c r="EB52" i="89"/>
  <c r="EB7" i="89"/>
  <c r="EB11" i="89"/>
  <c r="EB15" i="89"/>
  <c r="EB19" i="89"/>
  <c r="EB23" i="89"/>
  <c r="EB27" i="89"/>
  <c r="EB31" i="89"/>
  <c r="EB35" i="89"/>
  <c r="EB39" i="89"/>
  <c r="EB43" i="89"/>
  <c r="EB47" i="89"/>
  <c r="EB51" i="89"/>
  <c r="EB55" i="89"/>
  <c r="EB20" i="89"/>
  <c r="EB28" i="89"/>
  <c r="EB36" i="89"/>
  <c r="ER9" i="89"/>
  <c r="ER13" i="89"/>
  <c r="ER17" i="89"/>
  <c r="ER21" i="89"/>
  <c r="ER25" i="89"/>
  <c r="ER10" i="89"/>
  <c r="ER14" i="89"/>
  <c r="ER18" i="89"/>
  <c r="ER22" i="89"/>
  <c r="ER26" i="89"/>
  <c r="ER11" i="89"/>
  <c r="ER15" i="89"/>
  <c r="ER19" i="89"/>
  <c r="ER23" i="89"/>
  <c r="ER7" i="89"/>
  <c r="ER16" i="89"/>
  <c r="ER20" i="89"/>
  <c r="ER8" i="89"/>
  <c r="ER12" i="89"/>
  <c r="ER24" i="89"/>
  <c r="ES9" i="89"/>
  <c r="ES13" i="89"/>
  <c r="ES17" i="89"/>
  <c r="ES21" i="89"/>
  <c r="ES25" i="89"/>
  <c r="ES10" i="89"/>
  <c r="ES14" i="89"/>
  <c r="ES18" i="89"/>
  <c r="ES22" i="89"/>
  <c r="ES26" i="89"/>
  <c r="ES11" i="89"/>
  <c r="ES15" i="89"/>
  <c r="ES19" i="89"/>
  <c r="ES23" i="89"/>
  <c r="ES7" i="89"/>
  <c r="ES20" i="89"/>
  <c r="ES8" i="89"/>
  <c r="ES24" i="89"/>
  <c r="ES12" i="89"/>
  <c r="ES16" i="89"/>
  <c r="DY8" i="89"/>
  <c r="DY12" i="89"/>
  <c r="DY16" i="89"/>
  <c r="DY20" i="89"/>
  <c r="DY24" i="89"/>
  <c r="DY28" i="89"/>
  <c r="DY32" i="89"/>
  <c r="DY36" i="89"/>
  <c r="DY40" i="89"/>
  <c r="DY44" i="89"/>
  <c r="DY48" i="89"/>
  <c r="DY52" i="89"/>
  <c r="DY56" i="89"/>
  <c r="DY15" i="89"/>
  <c r="DY23" i="89"/>
  <c r="DY43" i="89"/>
  <c r="DY51" i="89"/>
  <c r="DY9" i="89"/>
  <c r="DY13" i="89"/>
  <c r="DY17" i="89"/>
  <c r="DY21" i="89"/>
  <c r="DY25" i="89"/>
  <c r="DY29" i="89"/>
  <c r="DY33" i="89"/>
  <c r="DY37" i="89"/>
  <c r="DY41" i="89"/>
  <c r="DY45" i="89"/>
  <c r="DY49" i="89"/>
  <c r="DY53" i="89"/>
  <c r="DY57" i="89"/>
  <c r="DY7" i="89"/>
  <c r="DY11" i="89"/>
  <c r="DY19" i="89"/>
  <c r="DY27" i="89"/>
  <c r="DY35" i="89"/>
  <c r="DY55" i="89"/>
  <c r="DY10" i="89"/>
  <c r="DY14" i="89"/>
  <c r="DY18" i="89"/>
  <c r="DY22" i="89"/>
  <c r="DY26" i="89"/>
  <c r="DY30" i="89"/>
  <c r="DY34" i="89"/>
  <c r="DY38" i="89"/>
  <c r="DY42" i="89"/>
  <c r="DY46" i="89"/>
  <c r="DY50" i="89"/>
  <c r="DY54" i="89"/>
  <c r="DY6" i="89"/>
  <c r="DY31" i="89"/>
  <c r="DY39" i="89"/>
  <c r="DY47" i="89"/>
  <c r="DZ7" i="89"/>
  <c r="DZ11" i="89"/>
  <c r="DZ15" i="89"/>
  <c r="DZ19" i="89"/>
  <c r="DZ23" i="89"/>
  <c r="DZ27" i="89"/>
  <c r="DZ31" i="89"/>
  <c r="DZ35" i="89"/>
  <c r="DZ39" i="89"/>
  <c r="DZ43" i="89"/>
  <c r="DZ47" i="89"/>
  <c r="DZ51" i="89"/>
  <c r="DZ55" i="89"/>
  <c r="DZ30" i="89"/>
  <c r="DZ38" i="89"/>
  <c r="DZ46" i="89"/>
  <c r="DZ8" i="89"/>
  <c r="DZ12" i="89"/>
  <c r="DZ16" i="89"/>
  <c r="DZ20" i="89"/>
  <c r="DZ24" i="89"/>
  <c r="DZ28" i="89"/>
  <c r="DZ32" i="89"/>
  <c r="DZ36" i="89"/>
  <c r="DZ40" i="89"/>
  <c r="DZ44" i="89"/>
  <c r="DZ48" i="89"/>
  <c r="DZ52" i="89"/>
  <c r="DZ56" i="89"/>
  <c r="DZ14" i="89"/>
  <c r="DZ42" i="89"/>
  <c r="DZ50" i="89"/>
  <c r="DZ9" i="89"/>
  <c r="DZ13" i="89"/>
  <c r="DZ17" i="89"/>
  <c r="DZ21" i="89"/>
  <c r="DZ25" i="89"/>
  <c r="DZ29" i="89"/>
  <c r="DZ33" i="89"/>
  <c r="DZ37" i="89"/>
  <c r="DZ41" i="89"/>
  <c r="DZ45" i="89"/>
  <c r="DZ49" i="89"/>
  <c r="DZ53" i="89"/>
  <c r="DZ57" i="89"/>
  <c r="DZ6" i="89"/>
  <c r="DZ18" i="89"/>
  <c r="DZ26" i="89"/>
  <c r="DZ54" i="89"/>
  <c r="DZ10" i="89"/>
  <c r="DZ22" i="89"/>
  <c r="DZ34" i="89"/>
  <c r="EV14" i="89"/>
  <c r="EV13" i="89"/>
  <c r="EV15" i="89"/>
  <c r="DJ8" i="89"/>
  <c r="DJ10" i="89"/>
  <c r="DJ7" i="89"/>
  <c r="DJ9" i="89"/>
  <c r="AO19" i="95"/>
  <c r="AP19" i="95"/>
  <c r="AM19" i="95"/>
  <c r="AN19" i="95"/>
  <c r="AN22" i="95"/>
  <c r="AO22" i="95"/>
  <c r="AP22" i="95"/>
  <c r="AM22" i="95"/>
  <c r="AO27" i="95"/>
  <c r="AP27" i="95"/>
  <c r="AM27" i="95"/>
  <c r="AN27" i="95"/>
  <c r="AN34" i="95"/>
  <c r="AO34" i="95"/>
  <c r="AP34" i="95"/>
  <c r="AM34" i="95"/>
  <c r="AP26" i="95"/>
  <c r="AN26" i="95"/>
  <c r="AO26" i="95"/>
  <c r="AM26" i="95"/>
  <c r="AM6" i="95"/>
  <c r="AN6" i="95"/>
  <c r="AP6" i="95"/>
  <c r="AO6" i="95"/>
  <c r="AO15" i="95"/>
  <c r="AN15" i="95"/>
  <c r="AP15" i="95"/>
  <c r="AM15" i="95"/>
  <c r="AP79" i="95"/>
  <c r="AM79" i="95"/>
  <c r="AN79" i="95"/>
  <c r="AO79" i="95"/>
  <c r="AN78" i="95"/>
  <c r="AO78" i="95"/>
  <c r="AP78" i="95"/>
  <c r="AM78" i="95"/>
  <c r="AO76" i="95"/>
  <c r="AP76" i="95"/>
  <c r="AM76" i="95"/>
  <c r="AN76" i="95"/>
  <c r="AP94" i="95"/>
  <c r="AM94" i="95"/>
  <c r="AN94" i="95"/>
  <c r="AO94" i="95"/>
  <c r="AP91" i="95"/>
  <c r="AM91" i="95"/>
  <c r="AO91" i="95"/>
  <c r="AN91" i="95"/>
  <c r="AT8" i="88"/>
  <c r="EF8" i="98" s="1"/>
  <c r="EG8" i="98" s="1"/>
  <c r="AK70" i="95"/>
  <c r="AK73" i="95"/>
  <c r="AK57" i="95"/>
  <c r="AK66" i="95"/>
  <c r="AK68" i="95"/>
  <c r="AK75" i="95"/>
  <c r="AK59" i="95"/>
  <c r="AK62" i="95"/>
  <c r="AK69" i="95"/>
  <c r="AK64" i="95"/>
  <c r="AK74" i="95"/>
  <c r="AK71" i="95"/>
  <c r="AK65" i="95"/>
  <c r="AK60" i="95"/>
  <c r="AK58" i="95"/>
  <c r="AK67" i="95"/>
  <c r="AK72" i="95"/>
  <c r="AK63" i="95"/>
  <c r="AK61" i="95"/>
  <c r="AK56" i="95"/>
  <c r="AO8" i="88"/>
  <c r="CP10" i="89" s="1"/>
  <c r="AP30" i="95"/>
  <c r="AM30" i="95"/>
  <c r="AN30" i="95"/>
  <c r="AO30" i="95"/>
  <c r="AO28" i="95"/>
  <c r="AP28" i="95"/>
  <c r="AM28" i="95"/>
  <c r="AN28" i="95"/>
  <c r="AO16" i="95"/>
  <c r="AP16" i="95"/>
  <c r="AM16" i="95"/>
  <c r="AN16" i="95"/>
  <c r="AM32" i="95"/>
  <c r="AO32" i="95"/>
  <c r="AP32" i="95"/>
  <c r="AN32" i="95"/>
  <c r="AO24" i="95"/>
  <c r="AP24" i="95"/>
  <c r="AM24" i="95"/>
  <c r="AN24" i="95"/>
  <c r="AO9" i="95"/>
  <c r="AN9" i="95"/>
  <c r="AP9" i="95"/>
  <c r="AM9" i="95"/>
  <c r="AO12" i="95"/>
  <c r="AP12" i="95"/>
  <c r="AM12" i="95"/>
  <c r="AN12" i="95"/>
  <c r="AO11" i="95"/>
  <c r="AM11" i="95"/>
  <c r="AN11" i="95"/>
  <c r="AP11" i="95"/>
  <c r="AM93" i="95"/>
  <c r="AN93" i="95"/>
  <c r="AO93" i="95"/>
  <c r="AP93" i="95"/>
  <c r="AN82" i="95"/>
  <c r="AO82" i="95"/>
  <c r="AP82" i="95"/>
  <c r="AM82" i="95"/>
  <c r="AM92" i="95"/>
  <c r="AN92" i="95"/>
  <c r="AO92" i="95"/>
  <c r="AP92" i="95"/>
  <c r="AP87" i="95"/>
  <c r="AM87" i="95"/>
  <c r="AN87" i="95"/>
  <c r="AO87" i="95"/>
  <c r="AN86" i="95"/>
  <c r="AO86" i="95"/>
  <c r="AP86" i="95"/>
  <c r="AM86" i="95"/>
  <c r="EV18" i="89"/>
  <c r="EV16" i="89"/>
  <c r="EV17" i="89"/>
  <c r="K16" i="90"/>
  <c r="L16" i="90"/>
  <c r="N16" i="90"/>
  <c r="M16" i="90"/>
  <c r="AK41" i="95"/>
  <c r="AK52" i="95"/>
  <c r="AK36" i="95"/>
  <c r="AK43" i="95"/>
  <c r="AK53" i="95"/>
  <c r="AK37" i="95"/>
  <c r="AK54" i="95"/>
  <c r="AK48" i="95"/>
  <c r="AK55" i="95"/>
  <c r="AK39" i="95"/>
  <c r="AK50" i="95"/>
  <c r="AK49" i="95"/>
  <c r="AK42" i="95"/>
  <c r="AK44" i="95"/>
  <c r="AK51" i="95"/>
  <c r="AK46" i="95"/>
  <c r="AK47" i="95"/>
  <c r="AK38" i="95"/>
  <c r="AK45" i="95"/>
  <c r="AK40" i="95"/>
  <c r="AO7" i="88"/>
  <c r="CP9" i="89" s="1"/>
  <c r="AP17" i="95"/>
  <c r="AM17" i="95"/>
  <c r="AN17" i="95"/>
  <c r="AO17" i="95"/>
  <c r="AP35" i="95"/>
  <c r="AM35" i="95"/>
  <c r="AO35" i="95"/>
  <c r="AN35" i="95"/>
  <c r="AO33" i="95"/>
  <c r="AP33" i="95"/>
  <c r="AM33" i="95"/>
  <c r="AN33" i="95"/>
  <c r="AO20" i="95"/>
  <c r="AP20" i="95"/>
  <c r="AM20" i="95"/>
  <c r="AN20" i="95"/>
  <c r="AN18" i="95"/>
  <c r="AO18" i="95"/>
  <c r="AP18" i="95"/>
  <c r="AM18" i="95"/>
  <c r="AO14" i="95"/>
  <c r="AM14" i="95"/>
  <c r="AP14" i="95"/>
  <c r="AN14" i="95"/>
  <c r="AO8" i="95"/>
  <c r="AM8" i="95"/>
  <c r="AN8" i="95"/>
  <c r="AP8" i="95"/>
  <c r="AO7" i="95"/>
  <c r="AM7" i="95"/>
  <c r="AP7" i="95"/>
  <c r="AN7" i="95"/>
  <c r="AO88" i="95"/>
  <c r="AP88" i="95"/>
  <c r="AM88" i="95"/>
  <c r="AN88" i="95"/>
  <c r="AP77" i="95"/>
  <c r="AM77" i="95"/>
  <c r="AN77" i="95"/>
  <c r="AO77" i="95"/>
  <c r="AN90" i="95"/>
  <c r="AO90" i="95"/>
  <c r="AP90" i="95"/>
  <c r="AM90" i="95"/>
  <c r="AO80" i="95"/>
  <c r="AP80" i="95"/>
  <c r="AM80" i="95"/>
  <c r="AN80" i="95"/>
  <c r="AO84" i="95"/>
  <c r="AP84" i="95"/>
  <c r="AM84" i="95"/>
  <c r="AN84" i="95"/>
  <c r="AP8" i="88"/>
  <c r="J15" i="90" s="1"/>
  <c r="AP31" i="95"/>
  <c r="AN31" i="95"/>
  <c r="AM31" i="95"/>
  <c r="AO31" i="95"/>
  <c r="AO23" i="95"/>
  <c r="AP23" i="95"/>
  <c r="AN23" i="95"/>
  <c r="AM23" i="95"/>
  <c r="AM21" i="95"/>
  <c r="AP21" i="95"/>
  <c r="AN21" i="95"/>
  <c r="AO21" i="95"/>
  <c r="AO25" i="95"/>
  <c r="AP25" i="95"/>
  <c r="AM25" i="95"/>
  <c r="AN25" i="95"/>
  <c r="AP29" i="95"/>
  <c r="AM29" i="95"/>
  <c r="AO29" i="95"/>
  <c r="AN29" i="95"/>
  <c r="AO13" i="95"/>
  <c r="AP13" i="95"/>
  <c r="AM13" i="95"/>
  <c r="AN13" i="95"/>
  <c r="AO10" i="95"/>
  <c r="AM10" i="95"/>
  <c r="AN10" i="95"/>
  <c r="AP10" i="95"/>
  <c r="DJ28" i="89"/>
  <c r="DJ32" i="89"/>
  <c r="DJ26" i="89"/>
  <c r="DJ31" i="89"/>
  <c r="DJ27" i="89"/>
  <c r="DJ33" i="89"/>
  <c r="DJ25" i="89"/>
  <c r="DJ30" i="89"/>
  <c r="DJ29" i="89"/>
  <c r="AN95" i="95"/>
  <c r="AO95" i="95"/>
  <c r="AP95" i="95"/>
  <c r="AM95" i="95"/>
  <c r="AP83" i="95"/>
  <c r="AM83" i="95"/>
  <c r="AO83" i="95"/>
  <c r="AN83" i="95"/>
  <c r="AO81" i="95"/>
  <c r="AP81" i="95"/>
  <c r="AM81" i="95"/>
  <c r="AN81" i="95"/>
  <c r="AO85" i="95"/>
  <c r="AP85" i="95"/>
  <c r="AM85" i="95"/>
  <c r="AN85" i="95"/>
  <c r="AP89" i="95"/>
  <c r="AM89" i="95"/>
  <c r="AO89" i="95"/>
  <c r="AN89" i="95"/>
  <c r="O9" i="98"/>
  <c r="AA13" i="98"/>
  <c r="AL14" i="98"/>
  <c r="R9" i="98"/>
  <c r="AI14" i="98"/>
  <c r="Q9" i="98"/>
  <c r="AK14" i="98"/>
  <c r="EV8" i="89"/>
  <c r="EV9" i="89"/>
  <c r="AR7" i="88"/>
  <c r="AQ7" i="88"/>
  <c r="AU7" i="88"/>
  <c r="AR7" i="103" s="1"/>
  <c r="AM7" i="88"/>
  <c r="AM8" i="88"/>
  <c r="AP7" i="88"/>
  <c r="J14" i="90" s="1"/>
  <c r="AT7" i="88"/>
  <c r="AN7" i="88"/>
  <c r="AS7" i="88"/>
  <c r="AV7" i="88"/>
  <c r="AU8" i="88"/>
  <c r="AR8" i="103" s="1"/>
  <c r="AV8" i="88"/>
  <c r="AS8" i="88"/>
  <c r="AR8" i="88"/>
  <c r="P14" i="98"/>
  <c r="Q14" i="98"/>
  <c r="Y11" i="98"/>
  <c r="O14" i="98"/>
  <c r="Y15" i="98"/>
  <c r="AB11" i="98"/>
  <c r="R10" i="98"/>
  <c r="Q10" i="98"/>
  <c r="AA15" i="98"/>
  <c r="AB15" i="98"/>
  <c r="AJ7" i="98"/>
  <c r="J13" i="90"/>
  <c r="AK7" i="98"/>
  <c r="AL11" i="98"/>
  <c r="AL7" i="98"/>
  <c r="AK11" i="98"/>
  <c r="O7" i="98"/>
  <c r="Q7" i="98"/>
  <c r="BN57" i="100"/>
  <c r="BB55" i="93"/>
  <c r="BC55" i="93" s="1"/>
  <c r="BN53" i="100"/>
  <c r="BB51" i="93"/>
  <c r="BC51" i="93" s="1"/>
  <c r="BN43" i="100"/>
  <c r="BB41" i="93"/>
  <c r="BC41" i="93" s="1"/>
  <c r="BN21" i="100"/>
  <c r="BB19" i="93"/>
  <c r="BC19" i="93" s="1"/>
  <c r="BN52" i="100"/>
  <c r="BB50" i="93"/>
  <c r="BC50" i="93" s="1"/>
  <c r="BN47" i="100"/>
  <c r="BB45" i="93"/>
  <c r="BC45" i="93" s="1"/>
  <c r="BN39" i="100"/>
  <c r="BB37" i="93"/>
  <c r="BC37" i="93" s="1"/>
  <c r="BN9" i="100"/>
  <c r="BB7" i="93"/>
  <c r="BC7" i="93" s="1"/>
  <c r="BN12" i="100"/>
  <c r="BB10" i="93"/>
  <c r="BC10" i="93" s="1"/>
  <c r="BN15" i="100"/>
  <c r="BB13" i="93"/>
  <c r="BC13" i="93" s="1"/>
  <c r="BN26" i="100"/>
  <c r="BB24" i="93"/>
  <c r="BC24" i="93" s="1"/>
  <c r="BN19" i="100"/>
  <c r="BB17" i="93"/>
  <c r="BC17" i="93" s="1"/>
  <c r="BN29" i="100"/>
  <c r="BB27" i="93"/>
  <c r="BC27" i="93" s="1"/>
  <c r="BN24" i="100"/>
  <c r="BB22" i="93"/>
  <c r="BC22" i="93" s="1"/>
  <c r="BN50" i="100"/>
  <c r="BB48" i="93"/>
  <c r="BC48" i="93" s="1"/>
  <c r="O12" i="98"/>
  <c r="CN38" i="98"/>
  <c r="CM38" i="98"/>
  <c r="CL38" i="98"/>
  <c r="CK38" i="98"/>
  <c r="CN22" i="98"/>
  <c r="CK22" i="98"/>
  <c r="CM22" i="98"/>
  <c r="CL22" i="98"/>
  <c r="CM46" i="98"/>
  <c r="CN46" i="98"/>
  <c r="CK46" i="98"/>
  <c r="CL46" i="98"/>
  <c r="CM53" i="98"/>
  <c r="CN53" i="98"/>
  <c r="CK53" i="98"/>
  <c r="CL53" i="98"/>
  <c r="CK37" i="98"/>
  <c r="CN37" i="98"/>
  <c r="CL37" i="98"/>
  <c r="CM37" i="98"/>
  <c r="CK21" i="98"/>
  <c r="CL21" i="98"/>
  <c r="CM21" i="98"/>
  <c r="CN21" i="98"/>
  <c r="CM62" i="98"/>
  <c r="CL62" i="98"/>
  <c r="CK62" i="98"/>
  <c r="CN62" i="98"/>
  <c r="CM56" i="98"/>
  <c r="CL56" i="98"/>
  <c r="CK56" i="98"/>
  <c r="CN56" i="98"/>
  <c r="CK40" i="98"/>
  <c r="CM40" i="98"/>
  <c r="CL40" i="98"/>
  <c r="CN40" i="98"/>
  <c r="CN24" i="98"/>
  <c r="CM24" i="98"/>
  <c r="CL24" i="98"/>
  <c r="CK24" i="98"/>
  <c r="CK8" i="98"/>
  <c r="CM8" i="98"/>
  <c r="CN8" i="98"/>
  <c r="CL8" i="98"/>
  <c r="CM59" i="98"/>
  <c r="CL59" i="98"/>
  <c r="CN59" i="98"/>
  <c r="CK59" i="98"/>
  <c r="CN43" i="98"/>
  <c r="CM43" i="98"/>
  <c r="CL43" i="98"/>
  <c r="CK43" i="98"/>
  <c r="CN27" i="98"/>
  <c r="CL27" i="98"/>
  <c r="CK27" i="98"/>
  <c r="CM27" i="98"/>
  <c r="CN11" i="98"/>
  <c r="CL11" i="98"/>
  <c r="CM11" i="98"/>
  <c r="CK11" i="98"/>
  <c r="AA9" i="98"/>
  <c r="AB9" i="98"/>
  <c r="Y9" i="98"/>
  <c r="Z9" i="98"/>
  <c r="AI8" i="98"/>
  <c r="AJ8" i="98"/>
  <c r="AK8" i="98"/>
  <c r="AL8" i="98"/>
  <c r="BN36" i="100"/>
  <c r="BB34" i="93"/>
  <c r="BC34" i="93" s="1"/>
  <c r="BN31" i="100"/>
  <c r="BB29" i="93"/>
  <c r="BC29" i="93" s="1"/>
  <c r="BN58" i="100"/>
  <c r="BB56" i="93"/>
  <c r="BC56" i="93" s="1"/>
  <c r="BN38" i="100"/>
  <c r="BB36" i="93"/>
  <c r="BC36" i="93" s="1"/>
  <c r="BN54" i="100"/>
  <c r="BB52" i="93"/>
  <c r="BC52" i="93" s="1"/>
  <c r="BN42" i="100"/>
  <c r="BB40" i="93"/>
  <c r="BC40" i="93" s="1"/>
  <c r="BN34" i="100"/>
  <c r="BB32" i="93"/>
  <c r="BC32" i="93" s="1"/>
  <c r="BN49" i="100"/>
  <c r="BB47" i="93"/>
  <c r="BC47" i="93" s="1"/>
  <c r="BN35" i="100"/>
  <c r="BB33" i="93"/>
  <c r="BC33" i="93" s="1"/>
  <c r="BN25" i="100"/>
  <c r="BB23" i="93"/>
  <c r="BC23" i="93" s="1"/>
  <c r="BN14" i="100"/>
  <c r="BB12" i="93"/>
  <c r="BC12" i="93" s="1"/>
  <c r="BN33" i="100"/>
  <c r="BB31" i="93"/>
  <c r="BC31" i="93" s="1"/>
  <c r="BN51" i="100"/>
  <c r="BB49" i="93"/>
  <c r="BC49" i="93" s="1"/>
  <c r="BN45" i="100"/>
  <c r="BB43" i="93"/>
  <c r="BC43" i="93" s="1"/>
  <c r="BN13" i="100"/>
  <c r="BB11" i="93"/>
  <c r="BC11" i="93" s="1"/>
  <c r="BN10" i="100"/>
  <c r="BB8" i="93"/>
  <c r="BC8" i="93" s="1"/>
  <c r="Q12" i="98"/>
  <c r="CM34" i="98"/>
  <c r="CL34" i="98"/>
  <c r="CN34" i="98"/>
  <c r="CK34" i="98"/>
  <c r="CK18" i="98"/>
  <c r="CL18" i="98"/>
  <c r="CN18" i="98"/>
  <c r="CM18" i="98"/>
  <c r="CM65" i="98"/>
  <c r="CL65" i="98"/>
  <c r="CK65" i="98"/>
  <c r="CN65" i="98"/>
  <c r="CL49" i="98"/>
  <c r="CN49" i="98"/>
  <c r="CK49" i="98"/>
  <c r="CM49" i="98"/>
  <c r="CM33" i="98"/>
  <c r="CN33" i="98"/>
  <c r="CL33" i="98"/>
  <c r="CK33" i="98"/>
  <c r="CK17" i="98"/>
  <c r="CN17" i="98"/>
  <c r="CL17" i="98"/>
  <c r="CM17" i="98"/>
  <c r="CL50" i="98"/>
  <c r="CM50" i="98"/>
  <c r="CN50" i="98"/>
  <c r="CK50" i="98"/>
  <c r="CK52" i="98"/>
  <c r="CL52" i="98"/>
  <c r="CM52" i="98"/>
  <c r="CN52" i="98"/>
  <c r="CN36" i="98"/>
  <c r="CM36" i="98"/>
  <c r="CL36" i="98"/>
  <c r="CK36" i="98"/>
  <c r="CK20" i="98"/>
  <c r="CL20" i="98"/>
  <c r="CN20" i="98"/>
  <c r="CM20" i="98"/>
  <c r="CN6" i="98"/>
  <c r="CK6" i="98"/>
  <c r="CL6" i="98"/>
  <c r="CM6" i="98"/>
  <c r="CM55" i="98"/>
  <c r="CN55" i="98"/>
  <c r="CL55" i="98"/>
  <c r="CK55" i="98"/>
  <c r="CM39" i="98"/>
  <c r="CK39" i="98"/>
  <c r="CN39" i="98"/>
  <c r="CL39" i="98"/>
  <c r="CN23" i="98"/>
  <c r="CM23" i="98"/>
  <c r="CL23" i="98"/>
  <c r="CK23" i="98"/>
  <c r="CL7" i="98"/>
  <c r="CK7" i="98"/>
  <c r="CS7" i="98" s="1"/>
  <c r="CM7" i="98"/>
  <c r="CN7" i="98"/>
  <c r="AK12" i="98"/>
  <c r="AJ12" i="98"/>
  <c r="AL12" i="98"/>
  <c r="AI12" i="98"/>
  <c r="AK15" i="98"/>
  <c r="AL15" i="98"/>
  <c r="AI15" i="98"/>
  <c r="AJ15" i="98"/>
  <c r="BN48" i="100"/>
  <c r="BB46" i="93"/>
  <c r="BC46" i="93" s="1"/>
  <c r="BN28" i="100"/>
  <c r="BB26" i="93"/>
  <c r="BC26" i="93" s="1"/>
  <c r="BN22" i="100"/>
  <c r="BB20" i="93"/>
  <c r="BC20" i="93" s="1"/>
  <c r="BN46" i="100"/>
  <c r="BB44" i="93"/>
  <c r="BC44" i="93" s="1"/>
  <c r="BN30" i="100"/>
  <c r="BB28" i="93"/>
  <c r="BC28" i="93" s="1"/>
  <c r="BN61" i="100"/>
  <c r="BB59" i="93"/>
  <c r="BC59" i="93" s="1"/>
  <c r="BN23" i="100"/>
  <c r="BB21" i="93"/>
  <c r="BC21" i="93" s="1"/>
  <c r="BN27" i="100"/>
  <c r="BB25" i="93"/>
  <c r="BC25" i="93" s="1"/>
  <c r="BN7" i="100"/>
  <c r="BB5" i="93"/>
  <c r="BC5" i="93" s="1"/>
  <c r="BN20" i="100"/>
  <c r="BB18" i="93"/>
  <c r="BC18" i="93" s="1"/>
  <c r="BN66" i="100"/>
  <c r="BB64" i="93"/>
  <c r="BC64" i="93" s="1"/>
  <c r="BN64" i="100"/>
  <c r="BB62" i="93"/>
  <c r="BC62" i="93" s="1"/>
  <c r="BN11" i="100"/>
  <c r="BB9" i="93"/>
  <c r="BC9" i="93" s="1"/>
  <c r="BN60" i="100"/>
  <c r="BB58" i="93"/>
  <c r="BC58" i="93" s="1"/>
  <c r="CM58" i="98"/>
  <c r="CK58" i="98"/>
  <c r="CL58" i="98"/>
  <c r="CN58" i="98"/>
  <c r="CM30" i="98"/>
  <c r="CK30" i="98"/>
  <c r="CN30" i="98"/>
  <c r="CL30" i="98"/>
  <c r="CK14" i="98"/>
  <c r="CL14" i="98"/>
  <c r="CN14" i="98"/>
  <c r="CM14" i="98"/>
  <c r="CM61" i="98"/>
  <c r="CN61" i="98"/>
  <c r="CK61" i="98"/>
  <c r="CL61" i="98"/>
  <c r="CL45" i="98"/>
  <c r="CM45" i="98"/>
  <c r="CK45" i="98"/>
  <c r="CN45" i="98"/>
  <c r="CM29" i="98"/>
  <c r="CL29" i="98"/>
  <c r="CN29" i="98"/>
  <c r="CK29" i="98"/>
  <c r="CM13" i="98"/>
  <c r="CK13" i="98"/>
  <c r="CN13" i="98"/>
  <c r="CL13" i="98"/>
  <c r="CM64" i="98"/>
  <c r="CN64" i="98"/>
  <c r="CL64" i="98"/>
  <c r="CK64" i="98"/>
  <c r="CL48" i="98"/>
  <c r="CN48" i="98"/>
  <c r="CK48" i="98"/>
  <c r="CM48" i="98"/>
  <c r="CM32" i="98"/>
  <c r="CL32" i="98"/>
  <c r="CK32" i="98"/>
  <c r="CN32" i="98"/>
  <c r="CK16" i="98"/>
  <c r="CN16" i="98"/>
  <c r="CM16" i="98"/>
  <c r="CL16" i="98"/>
  <c r="CM54" i="98"/>
  <c r="CK54" i="98"/>
  <c r="CL54" i="98"/>
  <c r="CN54" i="98"/>
  <c r="CN51" i="98"/>
  <c r="CK51" i="98"/>
  <c r="CM51" i="98"/>
  <c r="CL51" i="98"/>
  <c r="CK35" i="98"/>
  <c r="CL35" i="98"/>
  <c r="CN35" i="98"/>
  <c r="CM35" i="98"/>
  <c r="CK19" i="98"/>
  <c r="CL19" i="98"/>
  <c r="CN19" i="98"/>
  <c r="CM19" i="98"/>
  <c r="Y10" i="98"/>
  <c r="AB10" i="98"/>
  <c r="AA10" i="98"/>
  <c r="Z10" i="98"/>
  <c r="Y8" i="98"/>
  <c r="AB8" i="98"/>
  <c r="Z8" i="98"/>
  <c r="AA8" i="98"/>
  <c r="AA12" i="98"/>
  <c r="Y12" i="98"/>
  <c r="AB12" i="98"/>
  <c r="Z12" i="98"/>
  <c r="BN44" i="100"/>
  <c r="BB42" i="93"/>
  <c r="BC42" i="93" s="1"/>
  <c r="BN55" i="100"/>
  <c r="BB53" i="93"/>
  <c r="BC53" i="93" s="1"/>
  <c r="BN16" i="100"/>
  <c r="BB14" i="93"/>
  <c r="BC14" i="93" s="1"/>
  <c r="BN65" i="100"/>
  <c r="BB63" i="93"/>
  <c r="BC63" i="93" s="1"/>
  <c r="BN17" i="100"/>
  <c r="BB15" i="93"/>
  <c r="BC15" i="93" s="1"/>
  <c r="BN63" i="100"/>
  <c r="BB61" i="93"/>
  <c r="BC61" i="93" s="1"/>
  <c r="BN59" i="100"/>
  <c r="BB57" i="93"/>
  <c r="BC57" i="93" s="1"/>
  <c r="BN56" i="100"/>
  <c r="BB54" i="93"/>
  <c r="BC54" i="93" s="1"/>
  <c r="BN32" i="100"/>
  <c r="BB30" i="93"/>
  <c r="BC30" i="93" s="1"/>
  <c r="BN18" i="100"/>
  <c r="BB16" i="93"/>
  <c r="BC16" i="93" s="1"/>
  <c r="BN41" i="100"/>
  <c r="BB39" i="93"/>
  <c r="BC39" i="93" s="1"/>
  <c r="BN8" i="100"/>
  <c r="BB6" i="93"/>
  <c r="BC6" i="93" s="1"/>
  <c r="BN40" i="100"/>
  <c r="BB38" i="93"/>
  <c r="BC38" i="93" s="1"/>
  <c r="BN62" i="100"/>
  <c r="BB60" i="93"/>
  <c r="BC60" i="93" s="1"/>
  <c r="BN37" i="100"/>
  <c r="BB35" i="93"/>
  <c r="BC35" i="93" s="1"/>
  <c r="CK42" i="98"/>
  <c r="CM42" i="98"/>
  <c r="CN42" i="98"/>
  <c r="CL42" i="98"/>
  <c r="CM26" i="98"/>
  <c r="CN26" i="98"/>
  <c r="CL26" i="98"/>
  <c r="CK26" i="98"/>
  <c r="CN10" i="98"/>
  <c r="CL10" i="98"/>
  <c r="CM10" i="98"/>
  <c r="CK10" i="98"/>
  <c r="CM57" i="98"/>
  <c r="CK57" i="98"/>
  <c r="CL57" i="98"/>
  <c r="CN57" i="98"/>
  <c r="CL41" i="98"/>
  <c r="CM41" i="98"/>
  <c r="CN41" i="98"/>
  <c r="CK41" i="98"/>
  <c r="CL25" i="98"/>
  <c r="CN25" i="98"/>
  <c r="CM25" i="98"/>
  <c r="CK25" i="98"/>
  <c r="CL9" i="98"/>
  <c r="CK9" i="98"/>
  <c r="CM9" i="98"/>
  <c r="CN9" i="98"/>
  <c r="CM60" i="98"/>
  <c r="CL60" i="98"/>
  <c r="CK60" i="98"/>
  <c r="CN60" i="98"/>
  <c r="CL44" i="98"/>
  <c r="CK44" i="98"/>
  <c r="CM44" i="98"/>
  <c r="CN44" i="98"/>
  <c r="CN28" i="98"/>
  <c r="CK28" i="98"/>
  <c r="CM28" i="98"/>
  <c r="CL28" i="98"/>
  <c r="CK12" i="98"/>
  <c r="CM12" i="98"/>
  <c r="CL12" i="98"/>
  <c r="CN12" i="98"/>
  <c r="CM63" i="98"/>
  <c r="CL63" i="98"/>
  <c r="CK63" i="98"/>
  <c r="CN63" i="98"/>
  <c r="CM47" i="98"/>
  <c r="CK47" i="98"/>
  <c r="CL47" i="98"/>
  <c r="CN47" i="98"/>
  <c r="CM31" i="98"/>
  <c r="CL31" i="98"/>
  <c r="CK31" i="98"/>
  <c r="CN31" i="98"/>
  <c r="CK15" i="98"/>
  <c r="CM15" i="98"/>
  <c r="CL15" i="98"/>
  <c r="CN15" i="98"/>
  <c r="AK9" i="98"/>
  <c r="AJ9" i="98"/>
  <c r="AL9" i="98"/>
  <c r="AI9" i="98"/>
  <c r="AK13" i="98"/>
  <c r="AI13" i="98"/>
  <c r="AL13" i="98"/>
  <c r="AJ13" i="98"/>
  <c r="O8" i="98"/>
  <c r="P8" i="98"/>
  <c r="Q8" i="98"/>
  <c r="R8" i="98"/>
  <c r="O11" i="98"/>
  <c r="P11" i="98"/>
  <c r="Q11" i="98"/>
  <c r="R11" i="98"/>
  <c r="O13" i="98"/>
  <c r="P13" i="98"/>
  <c r="Q13" i="98"/>
  <c r="R13" i="98"/>
  <c r="O15" i="98"/>
  <c r="Q15" i="98"/>
  <c r="P15" i="98"/>
  <c r="R15" i="98"/>
  <c r="EY20" i="89"/>
  <c r="FA20" i="89" s="1"/>
  <c r="FC20" i="89" s="1"/>
  <c r="EY8" i="89"/>
  <c r="FA8" i="89" s="1"/>
  <c r="FC8" i="89" s="1"/>
  <c r="EY12" i="89"/>
  <c r="FA13" i="89" s="1"/>
  <c r="FC13" i="89" s="1"/>
  <c r="EY16" i="89"/>
  <c r="FA17" i="89" s="1"/>
  <c r="FC17" i="89" s="1"/>
  <c r="FA7" i="89"/>
  <c r="FC7" i="89" s="1"/>
  <c r="FA5" i="89"/>
  <c r="FC5" i="89" s="1"/>
  <c r="FA6" i="89"/>
  <c r="FC6" i="89" s="1"/>
  <c r="AM6" i="83"/>
  <c r="AM7" i="83"/>
  <c r="AM8" i="83"/>
  <c r="AM9" i="83"/>
  <c r="AM10" i="83"/>
  <c r="AM11" i="83"/>
  <c r="AM12" i="83"/>
  <c r="AM13" i="83"/>
  <c r="AM14" i="83"/>
  <c r="AM15" i="83"/>
  <c r="AM16" i="83"/>
  <c r="AM17" i="83"/>
  <c r="AM18" i="83"/>
  <c r="AM19" i="83"/>
  <c r="AM20" i="83"/>
  <c r="AM21" i="83"/>
  <c r="AM22" i="83"/>
  <c r="AM23" i="83"/>
  <c r="AM24" i="83"/>
  <c r="AM25" i="83"/>
  <c r="AM26" i="83"/>
  <c r="AM27" i="83"/>
  <c r="AM28" i="83"/>
  <c r="AM29" i="83"/>
  <c r="AM30" i="83"/>
  <c r="AM31" i="83"/>
  <c r="AM32" i="83"/>
  <c r="AM33" i="83"/>
  <c r="AM34" i="83"/>
  <c r="AM35" i="83"/>
  <c r="AM36" i="83"/>
  <c r="AM37" i="83"/>
  <c r="AM38" i="83"/>
  <c r="AM39" i="83"/>
  <c r="AM40" i="83"/>
  <c r="AM41" i="83"/>
  <c r="AM42" i="83"/>
  <c r="AM43" i="83"/>
  <c r="AM44" i="83"/>
  <c r="AM45" i="83"/>
  <c r="AM46" i="83"/>
  <c r="AM47" i="83"/>
  <c r="AM48" i="83"/>
  <c r="AM49" i="83"/>
  <c r="AM50" i="83"/>
  <c r="AM51" i="83"/>
  <c r="AM52" i="83"/>
  <c r="AM53" i="83"/>
  <c r="AM54" i="83"/>
  <c r="AM55" i="83"/>
  <c r="AM56" i="83"/>
  <c r="AM57" i="83"/>
  <c r="AM58" i="83"/>
  <c r="AM59" i="83"/>
  <c r="AM60" i="83"/>
  <c r="AM61" i="83"/>
  <c r="AM62" i="83"/>
  <c r="AM63" i="83"/>
  <c r="AM64" i="83"/>
  <c r="AM65" i="83"/>
  <c r="AM66" i="83"/>
  <c r="AM67" i="83"/>
  <c r="AM68" i="83"/>
  <c r="AM69" i="83"/>
  <c r="AM70" i="83"/>
  <c r="AM71" i="83"/>
  <c r="AM72" i="83"/>
  <c r="AM73" i="83"/>
  <c r="AM74" i="83"/>
  <c r="AM75" i="83"/>
  <c r="AM76" i="83"/>
  <c r="AM77" i="83"/>
  <c r="AM78" i="83"/>
  <c r="AM79" i="83"/>
  <c r="AM80" i="83"/>
  <c r="AM81" i="83"/>
  <c r="AM82" i="83"/>
  <c r="AM83" i="83"/>
  <c r="AM84" i="83"/>
  <c r="AM85" i="83"/>
  <c r="AM86" i="83"/>
  <c r="AM87" i="83"/>
  <c r="AM88" i="83"/>
  <c r="AM89" i="83"/>
  <c r="AM90" i="83"/>
  <c r="AM91" i="83"/>
  <c r="AM92" i="83"/>
  <c r="AM93" i="83"/>
  <c r="AM94" i="83"/>
  <c r="AM95" i="83"/>
  <c r="AM96" i="83"/>
  <c r="AM97" i="83"/>
  <c r="AM98" i="83"/>
  <c r="AM99" i="83"/>
  <c r="AM100" i="83"/>
  <c r="AM101" i="83"/>
  <c r="AM102" i="83"/>
  <c r="AM103" i="83"/>
  <c r="AM104" i="83"/>
  <c r="AM5" i="83"/>
  <c r="AB6" i="83"/>
  <c r="AB7" i="83"/>
  <c r="AB8" i="83"/>
  <c r="AB9" i="83"/>
  <c r="AB10" i="83"/>
  <c r="AB11" i="83"/>
  <c r="AB12" i="83"/>
  <c r="AB13" i="83"/>
  <c r="AB14" i="83"/>
  <c r="AB15" i="83"/>
  <c r="AB16" i="83"/>
  <c r="AB17" i="83"/>
  <c r="AB18" i="83"/>
  <c r="AB19" i="83"/>
  <c r="AB20" i="83"/>
  <c r="AB21" i="83"/>
  <c r="AB22" i="83"/>
  <c r="AB23" i="83"/>
  <c r="AB24" i="83"/>
  <c r="AB25" i="83"/>
  <c r="AB26" i="83"/>
  <c r="AB27" i="83"/>
  <c r="AB28" i="83"/>
  <c r="AB29" i="83"/>
  <c r="AB30" i="83"/>
  <c r="AB31" i="83"/>
  <c r="AB32" i="83"/>
  <c r="AB33" i="83"/>
  <c r="AB34" i="83"/>
  <c r="AB35" i="83"/>
  <c r="AB36" i="83"/>
  <c r="AB37" i="83"/>
  <c r="AB38" i="83"/>
  <c r="AB39" i="83"/>
  <c r="AB40" i="83"/>
  <c r="AB41" i="83"/>
  <c r="AB42" i="83"/>
  <c r="AB43" i="83"/>
  <c r="AB44" i="83"/>
  <c r="AB45" i="83"/>
  <c r="AB46" i="83"/>
  <c r="AB47" i="83"/>
  <c r="AB48" i="83"/>
  <c r="AB49" i="83"/>
  <c r="AB50" i="83"/>
  <c r="AB51" i="83"/>
  <c r="AB52" i="83"/>
  <c r="AB53" i="83"/>
  <c r="AB54" i="83"/>
  <c r="AB55" i="83"/>
  <c r="AB56" i="83"/>
  <c r="AB57" i="83"/>
  <c r="AB58" i="83"/>
  <c r="AB59" i="83"/>
  <c r="AB60" i="83"/>
  <c r="AB61" i="83"/>
  <c r="AB62" i="83"/>
  <c r="AB63" i="83"/>
  <c r="AB64" i="83"/>
  <c r="AB65" i="83"/>
  <c r="AB66" i="83"/>
  <c r="AB67" i="83"/>
  <c r="AB68" i="83"/>
  <c r="AB69" i="83"/>
  <c r="AB70" i="83"/>
  <c r="AB71" i="83"/>
  <c r="AB72" i="83"/>
  <c r="AB73" i="83"/>
  <c r="AB74" i="83"/>
  <c r="AB75" i="83"/>
  <c r="AB76" i="83"/>
  <c r="AB77" i="83"/>
  <c r="AB78" i="83"/>
  <c r="AB79" i="83"/>
  <c r="AB80" i="83"/>
  <c r="AB81" i="83"/>
  <c r="AB82" i="83"/>
  <c r="AB83" i="83"/>
  <c r="AB84" i="83"/>
  <c r="AB85" i="83"/>
  <c r="AB86" i="83"/>
  <c r="AB87" i="83"/>
  <c r="AB88" i="83"/>
  <c r="AB89" i="83"/>
  <c r="AB90" i="83"/>
  <c r="AB91" i="83"/>
  <c r="AB92" i="83"/>
  <c r="AB93" i="83"/>
  <c r="AB94" i="83"/>
  <c r="AB95" i="83"/>
  <c r="AB96" i="83"/>
  <c r="AB97" i="83"/>
  <c r="AB98" i="83"/>
  <c r="AB99" i="83"/>
  <c r="AB100" i="83"/>
  <c r="AB101" i="83"/>
  <c r="AB102" i="83"/>
  <c r="AB103" i="83"/>
  <c r="AB104" i="83"/>
  <c r="AB5" i="83"/>
  <c r="Q6" i="83"/>
  <c r="Q7" i="83"/>
  <c r="Q8" i="83"/>
  <c r="Q9" i="83"/>
  <c r="Q10" i="83"/>
  <c r="Q11" i="83"/>
  <c r="Q12" i="83"/>
  <c r="Q13" i="83"/>
  <c r="Q14" i="83"/>
  <c r="Q15" i="83"/>
  <c r="Q16" i="83"/>
  <c r="Q17" i="83"/>
  <c r="Q18" i="83"/>
  <c r="Q19" i="83"/>
  <c r="Q20" i="83"/>
  <c r="Q21" i="83"/>
  <c r="Q22" i="83"/>
  <c r="Q23" i="83"/>
  <c r="Q24" i="83"/>
  <c r="Q25" i="83"/>
  <c r="Q26" i="83"/>
  <c r="Q27" i="83"/>
  <c r="Q28" i="83"/>
  <c r="Q29" i="83"/>
  <c r="Q30" i="83"/>
  <c r="Q31" i="83"/>
  <c r="Q32" i="83"/>
  <c r="Q33" i="83"/>
  <c r="Q34" i="83"/>
  <c r="Q35" i="83"/>
  <c r="Q36" i="83"/>
  <c r="Q37" i="83"/>
  <c r="Q38" i="83"/>
  <c r="Q39" i="83"/>
  <c r="Q40" i="83"/>
  <c r="Q41" i="83"/>
  <c r="Q42" i="83"/>
  <c r="Q43" i="83"/>
  <c r="Q44" i="83"/>
  <c r="Q45" i="83"/>
  <c r="Q46" i="83"/>
  <c r="Q47" i="83"/>
  <c r="Q48" i="83"/>
  <c r="Q49" i="83"/>
  <c r="Q50" i="83"/>
  <c r="Q51" i="83"/>
  <c r="Q52" i="83"/>
  <c r="Q53" i="83"/>
  <c r="Q54" i="83"/>
  <c r="Q55" i="83"/>
  <c r="Q56" i="83"/>
  <c r="Q57" i="83"/>
  <c r="Q58" i="83"/>
  <c r="Q59" i="83"/>
  <c r="Q60" i="83"/>
  <c r="Q61" i="83"/>
  <c r="Q62" i="83"/>
  <c r="Q63" i="83"/>
  <c r="Q64" i="83"/>
  <c r="Q65" i="83"/>
  <c r="Q66" i="83"/>
  <c r="Q67" i="83"/>
  <c r="Q68" i="83"/>
  <c r="Q69" i="83"/>
  <c r="Q70" i="83"/>
  <c r="Q71" i="83"/>
  <c r="Q72" i="83"/>
  <c r="Q73" i="83"/>
  <c r="Q74" i="83"/>
  <c r="Q75" i="83"/>
  <c r="Q76" i="83"/>
  <c r="Q77" i="83"/>
  <c r="Q78" i="83"/>
  <c r="Q79" i="83"/>
  <c r="Q80" i="83"/>
  <c r="Q81" i="83"/>
  <c r="Q82" i="83"/>
  <c r="Q83" i="83"/>
  <c r="Q84" i="83"/>
  <c r="Q85" i="83"/>
  <c r="Q86" i="83"/>
  <c r="Q87" i="83"/>
  <c r="Q88" i="83"/>
  <c r="Q89" i="83"/>
  <c r="Q90" i="83"/>
  <c r="Q91" i="83"/>
  <c r="Q92" i="83"/>
  <c r="Q93" i="83"/>
  <c r="Q94" i="83"/>
  <c r="Q95" i="83"/>
  <c r="Q96" i="83"/>
  <c r="Q97" i="83"/>
  <c r="Q98" i="83"/>
  <c r="Q99" i="83"/>
  <c r="Q100" i="83"/>
  <c r="Q101" i="83"/>
  <c r="Q102" i="83"/>
  <c r="Q103" i="83"/>
  <c r="Q104" i="83"/>
  <c r="Q5" i="83"/>
  <c r="F6" i="83"/>
  <c r="F7" i="83"/>
  <c r="F8" i="83"/>
  <c r="F9" i="83"/>
  <c r="F10" i="83"/>
  <c r="F11" i="83"/>
  <c r="F12" i="83"/>
  <c r="F13" i="83"/>
  <c r="F14" i="83"/>
  <c r="F15" i="83"/>
  <c r="F16" i="83"/>
  <c r="F17" i="83"/>
  <c r="F18" i="83"/>
  <c r="F19" i="83"/>
  <c r="F20" i="83"/>
  <c r="F21" i="83"/>
  <c r="F22" i="83"/>
  <c r="F23" i="83"/>
  <c r="F24" i="83"/>
  <c r="F25" i="83"/>
  <c r="F26" i="83"/>
  <c r="F27" i="83"/>
  <c r="F28" i="83"/>
  <c r="F29" i="83"/>
  <c r="F30" i="83"/>
  <c r="F31" i="83"/>
  <c r="F32" i="83"/>
  <c r="F33" i="83"/>
  <c r="F34" i="83"/>
  <c r="F35" i="83"/>
  <c r="F36" i="83"/>
  <c r="F37" i="83"/>
  <c r="F38" i="83"/>
  <c r="F39" i="83"/>
  <c r="F40" i="83"/>
  <c r="F41" i="83"/>
  <c r="F42" i="83"/>
  <c r="F43" i="83"/>
  <c r="F44" i="83"/>
  <c r="F45" i="83"/>
  <c r="F46" i="83"/>
  <c r="F47" i="83"/>
  <c r="F48" i="83"/>
  <c r="F49" i="83"/>
  <c r="F50" i="83"/>
  <c r="F51" i="83"/>
  <c r="F52" i="83"/>
  <c r="F53" i="83"/>
  <c r="F54" i="83"/>
  <c r="F55" i="83"/>
  <c r="F56" i="83"/>
  <c r="F57" i="83"/>
  <c r="F58" i="83"/>
  <c r="F59" i="83"/>
  <c r="F60" i="83"/>
  <c r="F61" i="83"/>
  <c r="F62" i="83"/>
  <c r="F63" i="83"/>
  <c r="F64" i="83"/>
  <c r="F65" i="83"/>
  <c r="F66" i="83"/>
  <c r="F67" i="83"/>
  <c r="F68" i="83"/>
  <c r="F69" i="83"/>
  <c r="F70" i="83"/>
  <c r="F71" i="83"/>
  <c r="F72" i="83"/>
  <c r="F73" i="83"/>
  <c r="F74" i="83"/>
  <c r="F75" i="83"/>
  <c r="F76" i="83"/>
  <c r="F77" i="83"/>
  <c r="F78" i="83"/>
  <c r="F79" i="83"/>
  <c r="F80" i="83"/>
  <c r="F81" i="83"/>
  <c r="F82" i="83"/>
  <c r="F83" i="83"/>
  <c r="F84" i="83"/>
  <c r="F85" i="83"/>
  <c r="F86" i="83"/>
  <c r="F87" i="83"/>
  <c r="F88" i="83"/>
  <c r="F89" i="83"/>
  <c r="F90" i="83"/>
  <c r="F91" i="83"/>
  <c r="F92" i="83"/>
  <c r="F93" i="83"/>
  <c r="F94" i="83"/>
  <c r="F95" i="83"/>
  <c r="F96" i="83"/>
  <c r="F97" i="83"/>
  <c r="F98" i="83"/>
  <c r="F99" i="83"/>
  <c r="F100" i="83"/>
  <c r="F101" i="83"/>
  <c r="F102" i="83"/>
  <c r="F103" i="83"/>
  <c r="F104" i="83"/>
  <c r="F5" i="83"/>
  <c r="BF6" i="90" l="1"/>
  <c r="BF26" i="90"/>
  <c r="BF46" i="90"/>
  <c r="BF66" i="90"/>
  <c r="BF17" i="90"/>
  <c r="BF37" i="90"/>
  <c r="BF57" i="90"/>
  <c r="BF77" i="90"/>
  <c r="BF20" i="90"/>
  <c r="BF40" i="90"/>
  <c r="BF60" i="90"/>
  <c r="BF80" i="90"/>
  <c r="BF23" i="90"/>
  <c r="BF43" i="90"/>
  <c r="BF63" i="90"/>
  <c r="BF83" i="90"/>
  <c r="BF7" i="90"/>
  <c r="BF27" i="90"/>
  <c r="BF47" i="90"/>
  <c r="BF67" i="90"/>
  <c r="BE18" i="90"/>
  <c r="BE38" i="90"/>
  <c r="BE58" i="90"/>
  <c r="BE78" i="90"/>
  <c r="BE17" i="90"/>
  <c r="BE37" i="90"/>
  <c r="BE57" i="90"/>
  <c r="BE77" i="90"/>
  <c r="BE20" i="90"/>
  <c r="BE40" i="90"/>
  <c r="BE60" i="90"/>
  <c r="BE80" i="90"/>
  <c r="BE23" i="90"/>
  <c r="BE43" i="90"/>
  <c r="BE63" i="90"/>
  <c r="BE83" i="90"/>
  <c r="BE7" i="90"/>
  <c r="BE27" i="90"/>
  <c r="BE47" i="90"/>
  <c r="BE67" i="90"/>
  <c r="BX207" i="90"/>
  <c r="BX587" i="90"/>
  <c r="BX287" i="90"/>
  <c r="BX527" i="90"/>
  <c r="BX27" i="90"/>
  <c r="BX507" i="90"/>
  <c r="BX567" i="90"/>
  <c r="BX67" i="90"/>
  <c r="BX367" i="90"/>
  <c r="BX427" i="90"/>
  <c r="BX247" i="90"/>
  <c r="BX347" i="90"/>
  <c r="BX107" i="90"/>
  <c r="BX167" i="90"/>
  <c r="BX387" i="90"/>
  <c r="BX187" i="90"/>
  <c r="BX87" i="90"/>
  <c r="BX547" i="90"/>
  <c r="BX627" i="90"/>
  <c r="BX7" i="90"/>
  <c r="BX227" i="90"/>
  <c r="BX127" i="90"/>
  <c r="BX607" i="90"/>
  <c r="BX327" i="90"/>
  <c r="BX307" i="90"/>
  <c r="BX487" i="90"/>
  <c r="BX447" i="90"/>
  <c r="BX267" i="90"/>
  <c r="BX147" i="90"/>
  <c r="BX47" i="90"/>
  <c r="BX407" i="90"/>
  <c r="BX467" i="90"/>
  <c r="BH14" i="90"/>
  <c r="BH74" i="90"/>
  <c r="BH34" i="90"/>
  <c r="BH54" i="90"/>
  <c r="BH17" i="90"/>
  <c r="BH77" i="90"/>
  <c r="BH37" i="90"/>
  <c r="BH57" i="90"/>
  <c r="BH20" i="90"/>
  <c r="BH40" i="90"/>
  <c r="BH60" i="90"/>
  <c r="BH80" i="90"/>
  <c r="BH43" i="90"/>
  <c r="BH23" i="90"/>
  <c r="BH63" i="90"/>
  <c r="BH83" i="90"/>
  <c r="BX83" i="90"/>
  <c r="BX323" i="90"/>
  <c r="BX383" i="90"/>
  <c r="BX623" i="90"/>
  <c r="BX23" i="90"/>
  <c r="BX423" i="90"/>
  <c r="BX403" i="90"/>
  <c r="BX583" i="90"/>
  <c r="BX643" i="90"/>
  <c r="BX143" i="90"/>
  <c r="BX43" i="90"/>
  <c r="BX523" i="90"/>
  <c r="BX263" i="90"/>
  <c r="BX603" i="90"/>
  <c r="BX123" i="90"/>
  <c r="BX183" i="90"/>
  <c r="BX543" i="90"/>
  <c r="BX503" i="90"/>
  <c r="BX563" i="90"/>
  <c r="BX103" i="90"/>
  <c r="BX203" i="90"/>
  <c r="BX463" i="90"/>
  <c r="BX483" i="90"/>
  <c r="BX303" i="90"/>
  <c r="BX443" i="90"/>
  <c r="BX363" i="90"/>
  <c r="BX223" i="90"/>
  <c r="BX63" i="90"/>
  <c r="BX243" i="90"/>
  <c r="BX283" i="90"/>
  <c r="BX163" i="90"/>
  <c r="BX343" i="90"/>
  <c r="BH7" i="90"/>
  <c r="BH27" i="90"/>
  <c r="BH67" i="90"/>
  <c r="BH47" i="90"/>
  <c r="BG22" i="90"/>
  <c r="BG42" i="90"/>
  <c r="BG62" i="90"/>
  <c r="BG82" i="90"/>
  <c r="BG17" i="90"/>
  <c r="BG37" i="90"/>
  <c r="BG57" i="90"/>
  <c r="BG77" i="90"/>
  <c r="BX117" i="90"/>
  <c r="BX137" i="90"/>
  <c r="BX637" i="90"/>
  <c r="BX277" i="90"/>
  <c r="BX557" i="90"/>
  <c r="BX497" i="90"/>
  <c r="BX457" i="90"/>
  <c r="BX297" i="90"/>
  <c r="BX617" i="90"/>
  <c r="BX257" i="90"/>
  <c r="BX577" i="90"/>
  <c r="BX197" i="90"/>
  <c r="BX157" i="90"/>
  <c r="BX37" i="90"/>
  <c r="BX517" i="90"/>
  <c r="BX437" i="90"/>
  <c r="BX57" i="90"/>
  <c r="BX477" i="90"/>
  <c r="BX217" i="90"/>
  <c r="BX17" i="90"/>
  <c r="BX597" i="90"/>
  <c r="BX177" i="90"/>
  <c r="BX417" i="90"/>
  <c r="BX237" i="90"/>
  <c r="BX77" i="90"/>
  <c r="BX397" i="90"/>
  <c r="BX97" i="90"/>
  <c r="BX357" i="90"/>
  <c r="BX317" i="90"/>
  <c r="BX337" i="90"/>
  <c r="BX537" i="90"/>
  <c r="BX377" i="90"/>
  <c r="BG20" i="90"/>
  <c r="BG40" i="90"/>
  <c r="BG60" i="90"/>
  <c r="BG80" i="90"/>
  <c r="BX460" i="90"/>
  <c r="BX540" i="90"/>
  <c r="BX40" i="90"/>
  <c r="BX500" i="90"/>
  <c r="BX440" i="90"/>
  <c r="BX420" i="90"/>
  <c r="BX260" i="90"/>
  <c r="BX240" i="90"/>
  <c r="BX180" i="90"/>
  <c r="BX200" i="90"/>
  <c r="BX320" i="90"/>
  <c r="BX560" i="90"/>
  <c r="BX340" i="90"/>
  <c r="BX280" i="90"/>
  <c r="BX80" i="90"/>
  <c r="BX640" i="90"/>
  <c r="BX580" i="90"/>
  <c r="BX400" i="90"/>
  <c r="BX360" i="90"/>
  <c r="BX300" i="90"/>
  <c r="BX100" i="90"/>
  <c r="BX120" i="90"/>
  <c r="BX160" i="90"/>
  <c r="BX20" i="90"/>
  <c r="BX620" i="90"/>
  <c r="BX380" i="90"/>
  <c r="BX220" i="90"/>
  <c r="BX600" i="90"/>
  <c r="BX60" i="90"/>
  <c r="BX480" i="90"/>
  <c r="BX140" i="90"/>
  <c r="BX520" i="90"/>
  <c r="BG23" i="90"/>
  <c r="BG43" i="90"/>
  <c r="BG63" i="90"/>
  <c r="BG83" i="90"/>
  <c r="BG7" i="90"/>
  <c r="BG27" i="90"/>
  <c r="BG47" i="90"/>
  <c r="BG67" i="90"/>
  <c r="EY27" i="98"/>
  <c r="EY31" i="98"/>
  <c r="EY24" i="98"/>
  <c r="EY28" i="98"/>
  <c r="EY32" i="98"/>
  <c r="EY25" i="98"/>
  <c r="EY29" i="98"/>
  <c r="EY26" i="98"/>
  <c r="EY30" i="98"/>
  <c r="BF14" i="90"/>
  <c r="BF34" i="90"/>
  <c r="BF54" i="90"/>
  <c r="BF74" i="90"/>
  <c r="BX134" i="90"/>
  <c r="BX414" i="90"/>
  <c r="BX314" i="90"/>
  <c r="BX174" i="90"/>
  <c r="BX534" i="90"/>
  <c r="BX94" i="90"/>
  <c r="BX294" i="90"/>
  <c r="BX574" i="90"/>
  <c r="BX614" i="90"/>
  <c r="BX374" i="90"/>
  <c r="BX114" i="90"/>
  <c r="BX34" i="90"/>
  <c r="BX14" i="90"/>
  <c r="BX454" i="90"/>
  <c r="BX354" i="90"/>
  <c r="BX554" i="90"/>
  <c r="BX634" i="90"/>
  <c r="BX474" i="90"/>
  <c r="BX514" i="90"/>
  <c r="BX594" i="90"/>
  <c r="BX494" i="90"/>
  <c r="BX234" i="90"/>
  <c r="BX434" i="90"/>
  <c r="BX194" i="90"/>
  <c r="BX394" i="90"/>
  <c r="BX154" i="90"/>
  <c r="BX254" i="90"/>
  <c r="BX54" i="90"/>
  <c r="BX74" i="90"/>
  <c r="BX274" i="90"/>
  <c r="BX334" i="90"/>
  <c r="BX214" i="90"/>
  <c r="BF18" i="90"/>
  <c r="BF38" i="90"/>
  <c r="BF58" i="90"/>
  <c r="BF78" i="90"/>
  <c r="BF13" i="90"/>
  <c r="BF33" i="90"/>
  <c r="BF53" i="90"/>
  <c r="BF73" i="90"/>
  <c r="BX213" i="90"/>
  <c r="BX553" i="90"/>
  <c r="BX73" i="90"/>
  <c r="BX193" i="90"/>
  <c r="BX293" i="90"/>
  <c r="BX153" i="90"/>
  <c r="BX633" i="90"/>
  <c r="BX273" i="90"/>
  <c r="BX493" i="90"/>
  <c r="BX593" i="90"/>
  <c r="BX233" i="90"/>
  <c r="BX573" i="90"/>
  <c r="BX253" i="90"/>
  <c r="BX513" i="90"/>
  <c r="BX433" i="90"/>
  <c r="BX313" i="90"/>
  <c r="BX473" i="90"/>
  <c r="BX173" i="90"/>
  <c r="BX113" i="90"/>
  <c r="BX613" i="90"/>
  <c r="BX413" i="90"/>
  <c r="BX93" i="90"/>
  <c r="BX13" i="90"/>
  <c r="BX353" i="90"/>
  <c r="BX333" i="90"/>
  <c r="BX133" i="90"/>
  <c r="BX453" i="90"/>
  <c r="BX373" i="90"/>
  <c r="BX33" i="90"/>
  <c r="BX393" i="90"/>
  <c r="BX53" i="90"/>
  <c r="BX533" i="90"/>
  <c r="BF16" i="90"/>
  <c r="BF36" i="90"/>
  <c r="BF56" i="90"/>
  <c r="BF76" i="90"/>
  <c r="BX456" i="90"/>
  <c r="BX536" i="90"/>
  <c r="BX516" i="90"/>
  <c r="BX476" i="90"/>
  <c r="BX436" i="90"/>
  <c r="BX136" i="90"/>
  <c r="BX636" i="90"/>
  <c r="BX616" i="90"/>
  <c r="BX576" i="90"/>
  <c r="BX176" i="90"/>
  <c r="BX416" i="90"/>
  <c r="BX76" i="90"/>
  <c r="BX396" i="90"/>
  <c r="BX36" i="90"/>
  <c r="BX96" i="90"/>
  <c r="BX316" i="90"/>
  <c r="BX496" i="90"/>
  <c r="BX376" i="90"/>
  <c r="BX56" i="90"/>
  <c r="BX196" i="90"/>
  <c r="BX16" i="90"/>
  <c r="BX276" i="90"/>
  <c r="BX296" i="90"/>
  <c r="BX236" i="90"/>
  <c r="BX596" i="90"/>
  <c r="BX336" i="90"/>
  <c r="BX256" i="90"/>
  <c r="BX356" i="90"/>
  <c r="BX216" i="90"/>
  <c r="BX556" i="90"/>
  <c r="BX116" i="90"/>
  <c r="BX156" i="90"/>
  <c r="BF19" i="90"/>
  <c r="BF39" i="90"/>
  <c r="BF59" i="90"/>
  <c r="BF79" i="90"/>
  <c r="BE22" i="90"/>
  <c r="BE42" i="90"/>
  <c r="BE62" i="90"/>
  <c r="BE82" i="90"/>
  <c r="BE14" i="90"/>
  <c r="BE34" i="90"/>
  <c r="BE54" i="90"/>
  <c r="BE74" i="90"/>
  <c r="BE13" i="90"/>
  <c r="BE33" i="90"/>
  <c r="BE53" i="90"/>
  <c r="BE73" i="90"/>
  <c r="BE16" i="90"/>
  <c r="BE36" i="90"/>
  <c r="BE56" i="90"/>
  <c r="BE76" i="90"/>
  <c r="BE19" i="90"/>
  <c r="BE39" i="90"/>
  <c r="BE59" i="90"/>
  <c r="BE79" i="90"/>
  <c r="BH42" i="90"/>
  <c r="BH82" i="90"/>
  <c r="BH22" i="90"/>
  <c r="BH62" i="90"/>
  <c r="BX342" i="90"/>
  <c r="BX462" i="90"/>
  <c r="BX382" i="90"/>
  <c r="BX582" i="90"/>
  <c r="BX162" i="90"/>
  <c r="BX262" i="90"/>
  <c r="BX62" i="90"/>
  <c r="BX562" i="90"/>
  <c r="BX602" i="90"/>
  <c r="BX522" i="90"/>
  <c r="BX102" i="90"/>
  <c r="BX502" i="90"/>
  <c r="BX282" i="90"/>
  <c r="BX402" i="90"/>
  <c r="BX542" i="90"/>
  <c r="BX322" i="90"/>
  <c r="BX202" i="90"/>
  <c r="BX622" i="90"/>
  <c r="BX422" i="90"/>
  <c r="BX22" i="90"/>
  <c r="BX142" i="90"/>
  <c r="BX442" i="90"/>
  <c r="BX122" i="90"/>
  <c r="BX302" i="90"/>
  <c r="BX182" i="90"/>
  <c r="BX42" i="90"/>
  <c r="BX482" i="90"/>
  <c r="BX222" i="90"/>
  <c r="BX242" i="90"/>
  <c r="BX362" i="90"/>
  <c r="BX82" i="90"/>
  <c r="BX642" i="90"/>
  <c r="BH10" i="90"/>
  <c r="BH50" i="90"/>
  <c r="BH30" i="90"/>
  <c r="BH70" i="90"/>
  <c r="BH13" i="90"/>
  <c r="BH33" i="90"/>
  <c r="BH53" i="90"/>
  <c r="BH73" i="90"/>
  <c r="BH16" i="90"/>
  <c r="BH36" i="90"/>
  <c r="BH56" i="90"/>
  <c r="BH76" i="90"/>
  <c r="BH19" i="90"/>
  <c r="BH59" i="90"/>
  <c r="BH79" i="90"/>
  <c r="BH39" i="90"/>
  <c r="BG10" i="90"/>
  <c r="BG30" i="90"/>
  <c r="BG50" i="90"/>
  <c r="BG70" i="90"/>
  <c r="BG6" i="90"/>
  <c r="BG26" i="90"/>
  <c r="BG46" i="90"/>
  <c r="BG66" i="90"/>
  <c r="BG13" i="90"/>
  <c r="BG33" i="90"/>
  <c r="BG53" i="90"/>
  <c r="BG73" i="90"/>
  <c r="BG16" i="90"/>
  <c r="BG36" i="90"/>
  <c r="BG56" i="90"/>
  <c r="BG76" i="90"/>
  <c r="BG19" i="90"/>
  <c r="BG39" i="90"/>
  <c r="BG59" i="90"/>
  <c r="BG79" i="90"/>
  <c r="BX79" i="90"/>
  <c r="BX559" i="90"/>
  <c r="BX499" i="90"/>
  <c r="BX379" i="90"/>
  <c r="BX119" i="90"/>
  <c r="BX39" i="90"/>
  <c r="BX259" i="90"/>
  <c r="BX639" i="90"/>
  <c r="BX139" i="90"/>
  <c r="BX619" i="90"/>
  <c r="BX519" i="90"/>
  <c r="BX59" i="90"/>
  <c r="BX579" i="90"/>
  <c r="BX339" i="90"/>
  <c r="BX539" i="90"/>
  <c r="BX359" i="90"/>
  <c r="BX599" i="90"/>
  <c r="BX399" i="90"/>
  <c r="BX419" i="90"/>
  <c r="BX239" i="90"/>
  <c r="BX199" i="90"/>
  <c r="BX279" i="90"/>
  <c r="BX319" i="90"/>
  <c r="BX439" i="90"/>
  <c r="BX219" i="90"/>
  <c r="BX479" i="90"/>
  <c r="BX99" i="90"/>
  <c r="BX19" i="90"/>
  <c r="BX179" i="90"/>
  <c r="BX159" i="90"/>
  <c r="BX299" i="90"/>
  <c r="BX459" i="90"/>
  <c r="BF10" i="90"/>
  <c r="BF30" i="90"/>
  <c r="BF50" i="90"/>
  <c r="BF70" i="90"/>
  <c r="BF5" i="90"/>
  <c r="BF25" i="90"/>
  <c r="BF45" i="90"/>
  <c r="BF65" i="90"/>
  <c r="BF9" i="90"/>
  <c r="BF29" i="90"/>
  <c r="BF49" i="90"/>
  <c r="BF69" i="90"/>
  <c r="BF12" i="90"/>
  <c r="BF32" i="90"/>
  <c r="BF52" i="90"/>
  <c r="BF72" i="90"/>
  <c r="BF15" i="90"/>
  <c r="BF35" i="90"/>
  <c r="BF55" i="90"/>
  <c r="BF75" i="90"/>
  <c r="BX215" i="90"/>
  <c r="BX55" i="90"/>
  <c r="BX555" i="90"/>
  <c r="BX535" i="90"/>
  <c r="BX595" i="90"/>
  <c r="BX155" i="90"/>
  <c r="BX575" i="90"/>
  <c r="BX515" i="90"/>
  <c r="BX275" i="90"/>
  <c r="BX635" i="90"/>
  <c r="BX75" i="90"/>
  <c r="BX415" i="90"/>
  <c r="BX375" i="90"/>
  <c r="BX115" i="90"/>
  <c r="BX335" i="90"/>
  <c r="BX135" i="90"/>
  <c r="BX395" i="90"/>
  <c r="BX355" i="90"/>
  <c r="BX255" i="90"/>
  <c r="BX35" i="90"/>
  <c r="BX495" i="90"/>
  <c r="BX15" i="90"/>
  <c r="BX315" i="90"/>
  <c r="BX435" i="90"/>
  <c r="BX95" i="90"/>
  <c r="BX295" i="90"/>
  <c r="BX195" i="90"/>
  <c r="BX475" i="90"/>
  <c r="BX175" i="90"/>
  <c r="BX615" i="90"/>
  <c r="BX455" i="90"/>
  <c r="BX235" i="90"/>
  <c r="BE10" i="90"/>
  <c r="BE30" i="90"/>
  <c r="BE50" i="90"/>
  <c r="BE70" i="90"/>
  <c r="BX150" i="90"/>
  <c r="BX90" i="90"/>
  <c r="BX250" i="90"/>
  <c r="BX310" i="90"/>
  <c r="BX110" i="90"/>
  <c r="BX30" i="90"/>
  <c r="BX610" i="90"/>
  <c r="BX590" i="90"/>
  <c r="BX630" i="90"/>
  <c r="BX350" i="90"/>
  <c r="BX390" i="90"/>
  <c r="BX370" i="90"/>
  <c r="BX50" i="90"/>
  <c r="BX530" i="90"/>
  <c r="BX170" i="90"/>
  <c r="BX130" i="90"/>
  <c r="BX450" i="90"/>
  <c r="BX330" i="90"/>
  <c r="BX570" i="90"/>
  <c r="BX210" i="90"/>
  <c r="BX430" i="90"/>
  <c r="BX550" i="90"/>
  <c r="BX490" i="90"/>
  <c r="BX270" i="90"/>
  <c r="BX410" i="90"/>
  <c r="BX470" i="90"/>
  <c r="BX290" i="90"/>
  <c r="BX230" i="90"/>
  <c r="BX10" i="90"/>
  <c r="BX190" i="90"/>
  <c r="BX70" i="90"/>
  <c r="BX510" i="90"/>
  <c r="BE25" i="90"/>
  <c r="BE45" i="90"/>
  <c r="BE65" i="90"/>
  <c r="BE5" i="90"/>
  <c r="BE9" i="90"/>
  <c r="BE29" i="90"/>
  <c r="BE49" i="90"/>
  <c r="BE69" i="90"/>
  <c r="BX549" i="90"/>
  <c r="BX249" i="90"/>
  <c r="BX189" i="90"/>
  <c r="BX129" i="90"/>
  <c r="BX509" i="90"/>
  <c r="BX489" i="90"/>
  <c r="BX609" i="90"/>
  <c r="BX309" i="90"/>
  <c r="BX209" i="90"/>
  <c r="BX289" i="90"/>
  <c r="BX89" i="90"/>
  <c r="BX49" i="90"/>
  <c r="BX589" i="90"/>
  <c r="BX29" i="90"/>
  <c r="BX569" i="90"/>
  <c r="BX109" i="90"/>
  <c r="BX9" i="90"/>
  <c r="BX529" i="90"/>
  <c r="BX329" i="90"/>
  <c r="BX149" i="90"/>
  <c r="BX629" i="90"/>
  <c r="BX349" i="90"/>
  <c r="BX69" i="90"/>
  <c r="BX409" i="90"/>
  <c r="BX429" i="90"/>
  <c r="BX269" i="90"/>
  <c r="BX229" i="90"/>
  <c r="BX369" i="90"/>
  <c r="BX389" i="90"/>
  <c r="BX449" i="90"/>
  <c r="BX469" i="90"/>
  <c r="BX169" i="90"/>
  <c r="BE12" i="90"/>
  <c r="BE32" i="90"/>
  <c r="BE52" i="90"/>
  <c r="BE72" i="90"/>
  <c r="BX472" i="90"/>
  <c r="BX432" i="90"/>
  <c r="BX512" i="90"/>
  <c r="BX492" i="90"/>
  <c r="BX212" i="90"/>
  <c r="BX332" i="90"/>
  <c r="BX372" i="90"/>
  <c r="BX292" i="90"/>
  <c r="BX572" i="90"/>
  <c r="BX12" i="90"/>
  <c r="BX232" i="90"/>
  <c r="BX92" i="90"/>
  <c r="BX592" i="90"/>
  <c r="BX272" i="90"/>
  <c r="BX252" i="90"/>
  <c r="BX632" i="90"/>
  <c r="BX192" i="90"/>
  <c r="BX552" i="90"/>
  <c r="BX532" i="90"/>
  <c r="BX352" i="90"/>
  <c r="BX412" i="90"/>
  <c r="BX32" i="90"/>
  <c r="BX392" i="90"/>
  <c r="BX52" i="90"/>
  <c r="BX312" i="90"/>
  <c r="BX612" i="90"/>
  <c r="BX112" i="90"/>
  <c r="BX152" i="90"/>
  <c r="BX172" i="90"/>
  <c r="BX72" i="90"/>
  <c r="BX452" i="90"/>
  <c r="BX132" i="90"/>
  <c r="BE15" i="90"/>
  <c r="BE35" i="90"/>
  <c r="BE55" i="90"/>
  <c r="BE75" i="90"/>
  <c r="BH18" i="90"/>
  <c r="BH58" i="90"/>
  <c r="BH38" i="90"/>
  <c r="BH78" i="90"/>
  <c r="BH5" i="90"/>
  <c r="BH25" i="90"/>
  <c r="BH45" i="90"/>
  <c r="BH65" i="90"/>
  <c r="BH9" i="90"/>
  <c r="BH69" i="90"/>
  <c r="BH29" i="90"/>
  <c r="BH49" i="90"/>
  <c r="BH12" i="90"/>
  <c r="BH32" i="90"/>
  <c r="BH52" i="90"/>
  <c r="BH72" i="90"/>
  <c r="BH15" i="90"/>
  <c r="BH35" i="90"/>
  <c r="BH55" i="90"/>
  <c r="BH75" i="90"/>
  <c r="BG18" i="90"/>
  <c r="BG38" i="90"/>
  <c r="BG58" i="90"/>
  <c r="BG78" i="90"/>
  <c r="BX538" i="90"/>
  <c r="BX358" i="90"/>
  <c r="BX118" i="90"/>
  <c r="BX418" i="90"/>
  <c r="BX38" i="90"/>
  <c r="BX338" i="90"/>
  <c r="BX138" i="90"/>
  <c r="BX178" i="90"/>
  <c r="BX78" i="90"/>
  <c r="BX298" i="90"/>
  <c r="BX578" i="90"/>
  <c r="BX438" i="90"/>
  <c r="BX458" i="90"/>
  <c r="BX558" i="90"/>
  <c r="BX598" i="90"/>
  <c r="BX638" i="90"/>
  <c r="BX98" i="90"/>
  <c r="BX158" i="90"/>
  <c r="BX218" i="90"/>
  <c r="BX518" i="90"/>
  <c r="BX618" i="90"/>
  <c r="BX278" i="90"/>
  <c r="BX198" i="90"/>
  <c r="BX318" i="90"/>
  <c r="BX58" i="90"/>
  <c r="BX238" i="90"/>
  <c r="BX18" i="90"/>
  <c r="BX258" i="90"/>
  <c r="BX398" i="90"/>
  <c r="BX498" i="90"/>
  <c r="BX478" i="90"/>
  <c r="BX378" i="90"/>
  <c r="BG5" i="90"/>
  <c r="BG25" i="90"/>
  <c r="BG45" i="90"/>
  <c r="BG65" i="90"/>
  <c r="BG9" i="90"/>
  <c r="BG29" i="90"/>
  <c r="BG49" i="90"/>
  <c r="BG69" i="90"/>
  <c r="BG12" i="90"/>
  <c r="BG32" i="90"/>
  <c r="BG52" i="90"/>
  <c r="BG72" i="90"/>
  <c r="BG15" i="90"/>
  <c r="BG35" i="90"/>
  <c r="BG55" i="90"/>
  <c r="BG75" i="90"/>
  <c r="BF22" i="90"/>
  <c r="BF42" i="90"/>
  <c r="BF62" i="90"/>
  <c r="BF82" i="90"/>
  <c r="BF21" i="90"/>
  <c r="BF41" i="90"/>
  <c r="BF61" i="90"/>
  <c r="BF81" i="90"/>
  <c r="BF24" i="90"/>
  <c r="BF44" i="90"/>
  <c r="BF64" i="90"/>
  <c r="BF84" i="90"/>
  <c r="BF8" i="90"/>
  <c r="BF28" i="90"/>
  <c r="BF48" i="90"/>
  <c r="BF68" i="90"/>
  <c r="BF11" i="90"/>
  <c r="BF31" i="90"/>
  <c r="BF51" i="90"/>
  <c r="BF71" i="90"/>
  <c r="BE6" i="90"/>
  <c r="BE26" i="90"/>
  <c r="BE46" i="90"/>
  <c r="BE66" i="90"/>
  <c r="BX466" i="90"/>
  <c r="BX146" i="90"/>
  <c r="BX446" i="90"/>
  <c r="BX126" i="90"/>
  <c r="BX626" i="90"/>
  <c r="BX266" i="90"/>
  <c r="BX526" i="90"/>
  <c r="BX406" i="90"/>
  <c r="BX546" i="90"/>
  <c r="BX166" i="90"/>
  <c r="BX106" i="90"/>
  <c r="BX226" i="90"/>
  <c r="BX386" i="90"/>
  <c r="BX586" i="90"/>
  <c r="BX506" i="90"/>
  <c r="BX326" i="90"/>
  <c r="BX566" i="90"/>
  <c r="BX606" i="90"/>
  <c r="BX246" i="90"/>
  <c r="BX366" i="90"/>
  <c r="BX46" i="90"/>
  <c r="BX426" i="90"/>
  <c r="BX26" i="90"/>
  <c r="BX486" i="90"/>
  <c r="BX306" i="90"/>
  <c r="BX6" i="90"/>
  <c r="BX286" i="90"/>
  <c r="BX346" i="90"/>
  <c r="BX186" i="90"/>
  <c r="BX66" i="90"/>
  <c r="BX206" i="90"/>
  <c r="BX86" i="90"/>
  <c r="BE21" i="90"/>
  <c r="BE41" i="90"/>
  <c r="BE61" i="90"/>
  <c r="BE81" i="90"/>
  <c r="BE24" i="90"/>
  <c r="BE44" i="90"/>
  <c r="BE64" i="90"/>
  <c r="BE84" i="90"/>
  <c r="BE8" i="90"/>
  <c r="BE28" i="90"/>
  <c r="BE48" i="90"/>
  <c r="BE68" i="90"/>
  <c r="BX488" i="90"/>
  <c r="BX528" i="90"/>
  <c r="BX28" i="90"/>
  <c r="BX88" i="90"/>
  <c r="BX208" i="90"/>
  <c r="BX308" i="90"/>
  <c r="BX108" i="90"/>
  <c r="BX388" i="90"/>
  <c r="BX8" i="90"/>
  <c r="BX148" i="90"/>
  <c r="BX368" i="90"/>
  <c r="BX348" i="90"/>
  <c r="BX568" i="90"/>
  <c r="BX548" i="90"/>
  <c r="BX288" i="90"/>
  <c r="BX328" i="90"/>
  <c r="BX248" i="90"/>
  <c r="BX188" i="90"/>
  <c r="BX228" i="90"/>
  <c r="BX268" i="90"/>
  <c r="BX588" i="90"/>
  <c r="BX48" i="90"/>
  <c r="BX608" i="90"/>
  <c r="BX628" i="90"/>
  <c r="BX168" i="90"/>
  <c r="BX128" i="90"/>
  <c r="BX448" i="90"/>
  <c r="BX508" i="90"/>
  <c r="BX68" i="90"/>
  <c r="BX468" i="90"/>
  <c r="BX408" i="90"/>
  <c r="BX428" i="90"/>
  <c r="BE11" i="90"/>
  <c r="BE31" i="90"/>
  <c r="BE51" i="90"/>
  <c r="BE71" i="90"/>
  <c r="BX391" i="90"/>
  <c r="BX91" i="90"/>
  <c r="BX511" i="90"/>
  <c r="BX571" i="90"/>
  <c r="BX611" i="90"/>
  <c r="BX11" i="90"/>
  <c r="BX131" i="90"/>
  <c r="BX351" i="90"/>
  <c r="BX331" i="90"/>
  <c r="BX531" i="90"/>
  <c r="BX271" i="90"/>
  <c r="BX291" i="90"/>
  <c r="BX411" i="90"/>
  <c r="BX151" i="90"/>
  <c r="BX51" i="90"/>
  <c r="BX171" i="90"/>
  <c r="BX591" i="90"/>
  <c r="BX551" i="90"/>
  <c r="BX31" i="90"/>
  <c r="BX371" i="90"/>
  <c r="BX111" i="90"/>
  <c r="BX631" i="90"/>
  <c r="BX231" i="90"/>
  <c r="BX471" i="90"/>
  <c r="BX311" i="90"/>
  <c r="BX71" i="90"/>
  <c r="BX491" i="90"/>
  <c r="BX191" i="90"/>
  <c r="BX211" i="90"/>
  <c r="BX251" i="90"/>
  <c r="BX451" i="90"/>
  <c r="BX431" i="90"/>
  <c r="BH6" i="90"/>
  <c r="BH26" i="90"/>
  <c r="BH66" i="90"/>
  <c r="BH46" i="90"/>
  <c r="BH21" i="90"/>
  <c r="BH41" i="90"/>
  <c r="BH61" i="90"/>
  <c r="BH81" i="90"/>
  <c r="BX101" i="90"/>
  <c r="BX221" i="90"/>
  <c r="BX561" i="90"/>
  <c r="BX461" i="90"/>
  <c r="BX121" i="90"/>
  <c r="BX161" i="90"/>
  <c r="BX141" i="90"/>
  <c r="BX41" i="90"/>
  <c r="BX581" i="90"/>
  <c r="BX201" i="90"/>
  <c r="BX541" i="90"/>
  <c r="BX241" i="90"/>
  <c r="BX621" i="90"/>
  <c r="BX181" i="90"/>
  <c r="BX281" i="90"/>
  <c r="BX501" i="90"/>
  <c r="BX641" i="90"/>
  <c r="BX301" i="90"/>
  <c r="BX81" i="90"/>
  <c r="BX601" i="90"/>
  <c r="BX401" i="90"/>
  <c r="BX381" i="90"/>
  <c r="BX361" i="90"/>
  <c r="BX261" i="90"/>
  <c r="BX521" i="90"/>
  <c r="BX441" i="90"/>
  <c r="BX321" i="90"/>
  <c r="BX21" i="90"/>
  <c r="BX481" i="90"/>
  <c r="BX341" i="90"/>
  <c r="BX421" i="90"/>
  <c r="BX61" i="90"/>
  <c r="BH24" i="90"/>
  <c r="BH44" i="90"/>
  <c r="BH64" i="90"/>
  <c r="BH84" i="90"/>
  <c r="BX444" i="90"/>
  <c r="BX644" i="90"/>
  <c r="BX324" i="90"/>
  <c r="BX364" i="90"/>
  <c r="BX564" i="90"/>
  <c r="BX344" i="90"/>
  <c r="BX624" i="90"/>
  <c r="BX244" i="90"/>
  <c r="BX284" i="90"/>
  <c r="BX44" i="90"/>
  <c r="BX24" i="90"/>
  <c r="BX604" i="90"/>
  <c r="BX204" i="90"/>
  <c r="BX384" i="90"/>
  <c r="BX124" i="90"/>
  <c r="BX584" i="90"/>
  <c r="BX544" i="90"/>
  <c r="BX404" i="90"/>
  <c r="BX304" i="90"/>
  <c r="BX64" i="90"/>
  <c r="BX224" i="90"/>
  <c r="BX424" i="90"/>
  <c r="BX264" i="90"/>
  <c r="BX84" i="90"/>
  <c r="BX104" i="90"/>
  <c r="BX164" i="90"/>
  <c r="BX504" i="90"/>
  <c r="BX484" i="90"/>
  <c r="BX144" i="90"/>
  <c r="BX184" i="90"/>
  <c r="BX524" i="90"/>
  <c r="BX464" i="90"/>
  <c r="BH8" i="90"/>
  <c r="BH28" i="90"/>
  <c r="BH48" i="90"/>
  <c r="BH68" i="90"/>
  <c r="BH11" i="90"/>
  <c r="BH51" i="90"/>
  <c r="BH31" i="90"/>
  <c r="BH71" i="90"/>
  <c r="BG14" i="90"/>
  <c r="BG34" i="90"/>
  <c r="BG54" i="90"/>
  <c r="BG74" i="90"/>
  <c r="BG21" i="90"/>
  <c r="BG41" i="90"/>
  <c r="BG61" i="90"/>
  <c r="BG81" i="90"/>
  <c r="BG24" i="90"/>
  <c r="BG44" i="90"/>
  <c r="BG64" i="90"/>
  <c r="BG84" i="90"/>
  <c r="BG8" i="90"/>
  <c r="BG28" i="90"/>
  <c r="BG48" i="90"/>
  <c r="BG68" i="90"/>
  <c r="BG11" i="90"/>
  <c r="BG31" i="90"/>
  <c r="BG51" i="90"/>
  <c r="BG71" i="90"/>
  <c r="ED30" i="89"/>
  <c r="AV341" i="90"/>
  <c r="AV237" i="90"/>
  <c r="AV1537" i="90"/>
  <c r="AV1485" i="90"/>
  <c r="AV1589" i="90"/>
  <c r="AV1069" i="90"/>
  <c r="AV1017" i="90"/>
  <c r="AV1433" i="90"/>
  <c r="AV1277" i="90"/>
  <c r="AV1225" i="90"/>
  <c r="AV1173" i="90"/>
  <c r="AV1381" i="90"/>
  <c r="AV653" i="90"/>
  <c r="AV185" i="90"/>
  <c r="AV81" i="90"/>
  <c r="AV133" i="90"/>
  <c r="AV445" i="90"/>
  <c r="AV29" i="90"/>
  <c r="AV757" i="90"/>
  <c r="AV393" i="90"/>
  <c r="AV497" i="90"/>
  <c r="AV705" i="90"/>
  <c r="AV809" i="90"/>
  <c r="AV549" i="90"/>
  <c r="AV861" i="90"/>
  <c r="AV289" i="90"/>
  <c r="AV1641" i="90"/>
  <c r="AV1329" i="90"/>
  <c r="AV913" i="90"/>
  <c r="AV965" i="90"/>
  <c r="AV601" i="90"/>
  <c r="AV1121" i="90"/>
  <c r="ED31" i="89"/>
  <c r="AV290" i="90"/>
  <c r="AV1590" i="90"/>
  <c r="AV1070" i="90"/>
  <c r="AV30" i="90"/>
  <c r="AV758" i="90"/>
  <c r="AV1278" i="90"/>
  <c r="AV1226" i="90"/>
  <c r="AV1174" i="90"/>
  <c r="AV1122" i="90"/>
  <c r="AV914" i="90"/>
  <c r="AV1330" i="90"/>
  <c r="AV1018" i="90"/>
  <c r="AV862" i="90"/>
  <c r="AV1434" i="90"/>
  <c r="AV446" i="90"/>
  <c r="AV654" i="90"/>
  <c r="AV602" i="90"/>
  <c r="AV966" i="90"/>
  <c r="AV810" i="90"/>
  <c r="AV706" i="90"/>
  <c r="AV498" i="90"/>
  <c r="AV394" i="90"/>
  <c r="AV550" i="90"/>
  <c r="AV1642" i="90"/>
  <c r="AV82" i="90"/>
  <c r="AV186" i="90"/>
  <c r="AV342" i="90"/>
  <c r="AV1486" i="90"/>
  <c r="AV1538" i="90"/>
  <c r="AV1382" i="90"/>
  <c r="AV238" i="90"/>
  <c r="AV134" i="90"/>
  <c r="BI16" i="90"/>
  <c r="BI36" i="90"/>
  <c r="BI56" i="90"/>
  <c r="BI76" i="90"/>
  <c r="BV36" i="90"/>
  <c r="BV436" i="90"/>
  <c r="BV276" i="90"/>
  <c r="BV96" i="90"/>
  <c r="BV296" i="90"/>
  <c r="BV236" i="90"/>
  <c r="BV116" i="90"/>
  <c r="BV336" i="90"/>
  <c r="BV516" i="90"/>
  <c r="BV476" i="90"/>
  <c r="BV76" i="90"/>
  <c r="BV456" i="90"/>
  <c r="BV596" i="90"/>
  <c r="BV536" i="90"/>
  <c r="BV636" i="90"/>
  <c r="BV396" i="90"/>
  <c r="BV556" i="90"/>
  <c r="BV416" i="90"/>
  <c r="BV256" i="90"/>
  <c r="BV136" i="90"/>
  <c r="BV196" i="90"/>
  <c r="BV56" i="90"/>
  <c r="BV16" i="90"/>
  <c r="BV376" i="90"/>
  <c r="BV356" i="90"/>
  <c r="BV496" i="90"/>
  <c r="BV216" i="90"/>
  <c r="BV316" i="90"/>
  <c r="BV616" i="90"/>
  <c r="BV576" i="90"/>
  <c r="BV176" i="90"/>
  <c r="BV156" i="90"/>
  <c r="ED7" i="89"/>
  <c r="AV266" i="90"/>
  <c r="AV318" i="90"/>
  <c r="AV1566" i="90"/>
  <c r="AV1514" i="90"/>
  <c r="AV1462" i="90"/>
  <c r="AV994" i="90"/>
  <c r="AV1254" i="90"/>
  <c r="AV1202" i="90"/>
  <c r="AV1150" i="90"/>
  <c r="AV682" i="90"/>
  <c r="AV1358" i="90"/>
  <c r="AV1306" i="90"/>
  <c r="AV734" i="90"/>
  <c r="AV1046" i="90"/>
  <c r="AV942" i="90"/>
  <c r="AV890" i="90"/>
  <c r="AV1098" i="90"/>
  <c r="AV578" i="90"/>
  <c r="AV786" i="90"/>
  <c r="AV422" i="90"/>
  <c r="AV370" i="90"/>
  <c r="AV162" i="90"/>
  <c r="AV474" i="90"/>
  <c r="AV6" i="90"/>
  <c r="AV110" i="90"/>
  <c r="AV1410" i="90"/>
  <c r="AV630" i="90"/>
  <c r="AV58" i="90"/>
  <c r="AV526" i="90"/>
  <c r="AV1618" i="90"/>
  <c r="AV214" i="90"/>
  <c r="AV838" i="90"/>
  <c r="BI11" i="90"/>
  <c r="BI31" i="90"/>
  <c r="BI51" i="90"/>
  <c r="BI71" i="90"/>
  <c r="BV351" i="90"/>
  <c r="BV111" i="90"/>
  <c r="BV391" i="90"/>
  <c r="BV91" i="90"/>
  <c r="BV411" i="90"/>
  <c r="BV331" i="90"/>
  <c r="BV131" i="90"/>
  <c r="BV11" i="90"/>
  <c r="BV31" i="90"/>
  <c r="BV291" i="90"/>
  <c r="BV271" i="90"/>
  <c r="BV591" i="90"/>
  <c r="BV511" i="90"/>
  <c r="BV571" i="90"/>
  <c r="BV51" i="90"/>
  <c r="BV171" i="90"/>
  <c r="BV531" i="90"/>
  <c r="BV371" i="90"/>
  <c r="BV151" i="90"/>
  <c r="BV551" i="90"/>
  <c r="BV611" i="90"/>
  <c r="BV631" i="90"/>
  <c r="BV231" i="90"/>
  <c r="BV311" i="90"/>
  <c r="BV211" i="90"/>
  <c r="BV471" i="90"/>
  <c r="BV251" i="90"/>
  <c r="BV491" i="90"/>
  <c r="BV191" i="90"/>
  <c r="BV71" i="90"/>
  <c r="BV451" i="90"/>
  <c r="BV431" i="90"/>
  <c r="Y8" i="100"/>
  <c r="Y9" i="100"/>
  <c r="ED25" i="89"/>
  <c r="AV648" i="90"/>
  <c r="AV1584" i="90"/>
  <c r="AV76" i="90"/>
  <c r="AV336" i="90"/>
  <c r="AV128" i="90"/>
  <c r="AV284" i="90"/>
  <c r="AV1272" i="90"/>
  <c r="AV1220" i="90"/>
  <c r="AV1168" i="90"/>
  <c r="AV1012" i="90"/>
  <c r="AV856" i="90"/>
  <c r="AV1428" i="90"/>
  <c r="AV960" i="90"/>
  <c r="AV908" i="90"/>
  <c r="AV752" i="90"/>
  <c r="AV440" i="90"/>
  <c r="AV804" i="90"/>
  <c r="AV700" i="90"/>
  <c r="AV388" i="90"/>
  <c r="AV24" i="90"/>
  <c r="AV232" i="90"/>
  <c r="AV492" i="90"/>
  <c r="AV544" i="90"/>
  <c r="AV180" i="90"/>
  <c r="AV1636" i="90"/>
  <c r="AV1480" i="90"/>
  <c r="AV1064" i="90"/>
  <c r="AV1532" i="90"/>
  <c r="AV1116" i="90"/>
  <c r="AV1324" i="90"/>
  <c r="AV596" i="90"/>
  <c r="AV1376" i="90"/>
  <c r="ED26" i="89"/>
  <c r="AV1585" i="90"/>
  <c r="AV1013" i="90"/>
  <c r="AV597" i="90"/>
  <c r="AV857" i="90"/>
  <c r="AV1533" i="90"/>
  <c r="AV1429" i="90"/>
  <c r="AV1273" i="90"/>
  <c r="AV1221" i="90"/>
  <c r="AV1169" i="90"/>
  <c r="AV545" i="90"/>
  <c r="AV1117" i="90"/>
  <c r="AV181" i="90"/>
  <c r="AV493" i="90"/>
  <c r="AV337" i="90"/>
  <c r="AV129" i="90"/>
  <c r="AV753" i="90"/>
  <c r="AV389" i="90"/>
  <c r="AV1325" i="90"/>
  <c r="AV1637" i="90"/>
  <c r="AV441" i="90"/>
  <c r="AV701" i="90"/>
  <c r="AV805" i="90"/>
  <c r="AV25" i="90"/>
  <c r="AV285" i="90"/>
  <c r="AV1065" i="90"/>
  <c r="AV233" i="90"/>
  <c r="AV909" i="90"/>
  <c r="AV649" i="90"/>
  <c r="AV77" i="90"/>
  <c r="AV1377" i="90"/>
  <c r="AV961" i="90"/>
  <c r="AV1481" i="90"/>
  <c r="ED10" i="89"/>
  <c r="AV1309" i="90"/>
  <c r="AV1101" i="90"/>
  <c r="AV997" i="90"/>
  <c r="AV1257" i="90"/>
  <c r="AV1205" i="90"/>
  <c r="AV1153" i="90"/>
  <c r="AV1569" i="90"/>
  <c r="AV529" i="90"/>
  <c r="AV841" i="90"/>
  <c r="AV269" i="90"/>
  <c r="AV1465" i="90"/>
  <c r="AV581" i="90"/>
  <c r="AV113" i="90"/>
  <c r="AV321" i="90"/>
  <c r="AV61" i="90"/>
  <c r="AV477" i="90"/>
  <c r="AV165" i="90"/>
  <c r="AV425" i="90"/>
  <c r="AV789" i="90"/>
  <c r="AV685" i="90"/>
  <c r="AV9" i="90"/>
  <c r="AV737" i="90"/>
  <c r="AV1621" i="90"/>
  <c r="AV373" i="90"/>
  <c r="AV217" i="90"/>
  <c r="AV1517" i="90"/>
  <c r="AV1049" i="90"/>
  <c r="AV1413" i="90"/>
  <c r="AV633" i="90"/>
  <c r="AV945" i="90"/>
  <c r="AV893" i="90"/>
  <c r="AV1361" i="90"/>
  <c r="BI12" i="90"/>
  <c r="BI32" i="90"/>
  <c r="BI52" i="90"/>
  <c r="BI72" i="90"/>
  <c r="BV12" i="90"/>
  <c r="BV52" i="90"/>
  <c r="BV272" i="90"/>
  <c r="BV92" i="90"/>
  <c r="BV212" i="90"/>
  <c r="BV432" i="90"/>
  <c r="BV292" i="90"/>
  <c r="BV252" i="90"/>
  <c r="BV512" i="90"/>
  <c r="BV192" i="90"/>
  <c r="BV492" i="90"/>
  <c r="BV232" i="90"/>
  <c r="BV332" i="90"/>
  <c r="BV392" i="90"/>
  <c r="BV572" i="90"/>
  <c r="BV32" i="90"/>
  <c r="BV352" i="90"/>
  <c r="BV532" i="90"/>
  <c r="BV472" i="90"/>
  <c r="BV412" i="90"/>
  <c r="BV552" i="90"/>
  <c r="BV592" i="90"/>
  <c r="BV372" i="90"/>
  <c r="BV632" i="90"/>
  <c r="BV612" i="90"/>
  <c r="BV72" i="90"/>
  <c r="BV452" i="90"/>
  <c r="BV152" i="90"/>
  <c r="BV312" i="90"/>
  <c r="BV172" i="90"/>
  <c r="BV132" i="90"/>
  <c r="BV112" i="90"/>
  <c r="BI7" i="90"/>
  <c r="BI27" i="90"/>
  <c r="BI47" i="90"/>
  <c r="BI67" i="90"/>
  <c r="BV367" i="90"/>
  <c r="BV387" i="90"/>
  <c r="BV427" i="90"/>
  <c r="BV347" i="90"/>
  <c r="BV107" i="90"/>
  <c r="BV187" i="90"/>
  <c r="BV207" i="90"/>
  <c r="BV547" i="90"/>
  <c r="BV67" i="90"/>
  <c r="BV87" i="90"/>
  <c r="BV287" i="90"/>
  <c r="BV247" i="90"/>
  <c r="BV167" i="90"/>
  <c r="BV27" i="90"/>
  <c r="BV507" i="90"/>
  <c r="BV567" i="90"/>
  <c r="BV627" i="90"/>
  <c r="BV607" i="90"/>
  <c r="BV7" i="90"/>
  <c r="BV527" i="90"/>
  <c r="BV587" i="90"/>
  <c r="BV127" i="90"/>
  <c r="BV447" i="90"/>
  <c r="BV47" i="90"/>
  <c r="BV307" i="90"/>
  <c r="BV467" i="90"/>
  <c r="BV327" i="90"/>
  <c r="BV407" i="90"/>
  <c r="BV267" i="90"/>
  <c r="BV147" i="90"/>
  <c r="BV487" i="90"/>
  <c r="BV227" i="90"/>
  <c r="ED33" i="89"/>
  <c r="AV344" i="90"/>
  <c r="AV292" i="90"/>
  <c r="AV1592" i="90"/>
  <c r="AV1332" i="90"/>
  <c r="AV1228" i="90"/>
  <c r="AV1176" i="90"/>
  <c r="AV1436" i="90"/>
  <c r="AV968" i="90"/>
  <c r="AV916" i="90"/>
  <c r="AV760" i="90"/>
  <c r="AV864" i="90"/>
  <c r="AV1020" i="90"/>
  <c r="AV812" i="90"/>
  <c r="AV708" i="90"/>
  <c r="AV552" i="90"/>
  <c r="AV448" i="90"/>
  <c r="AV656" i="90"/>
  <c r="AV396" i="90"/>
  <c r="AV500" i="90"/>
  <c r="AV32" i="90"/>
  <c r="AV1644" i="90"/>
  <c r="AV84" i="90"/>
  <c r="AV188" i="90"/>
  <c r="AV1072" i="90"/>
  <c r="AV1488" i="90"/>
  <c r="AV136" i="90"/>
  <c r="AV1280" i="90"/>
  <c r="AV1540" i="90"/>
  <c r="AV604" i="90"/>
  <c r="AV240" i="90"/>
  <c r="AV1124" i="90"/>
  <c r="AV1384" i="90"/>
  <c r="ED32" i="89"/>
  <c r="AV1279" i="90"/>
  <c r="AV1487" i="90"/>
  <c r="AV1591" i="90"/>
  <c r="AV1539" i="90"/>
  <c r="AV1383" i="90"/>
  <c r="AV1435" i="90"/>
  <c r="AV1227" i="90"/>
  <c r="AV1175" i="90"/>
  <c r="AV1019" i="90"/>
  <c r="AV1123" i="90"/>
  <c r="AV603" i="90"/>
  <c r="AV239" i="90"/>
  <c r="AV135" i="90"/>
  <c r="AV187" i="90"/>
  <c r="AV83" i="90"/>
  <c r="AV31" i="90"/>
  <c r="AV811" i="90"/>
  <c r="AV655" i="90"/>
  <c r="AV759" i="90"/>
  <c r="AV447" i="90"/>
  <c r="AV395" i="90"/>
  <c r="AV1643" i="90"/>
  <c r="AV707" i="90"/>
  <c r="AV1331" i="90"/>
  <c r="AV1071" i="90"/>
  <c r="AV863" i="90"/>
  <c r="AV967" i="90"/>
  <c r="AV291" i="90"/>
  <c r="AV343" i="90"/>
  <c r="AV915" i="90"/>
  <c r="AV551" i="90"/>
  <c r="AV499" i="90"/>
  <c r="BI15" i="90"/>
  <c r="BI35" i="90"/>
  <c r="BI55" i="90"/>
  <c r="BI75" i="90"/>
  <c r="BV395" i="90"/>
  <c r="BV115" i="90"/>
  <c r="BV535" i="90"/>
  <c r="BV415" i="90"/>
  <c r="BV375" i="90"/>
  <c r="BV355" i="90"/>
  <c r="BV215" i="90"/>
  <c r="BV275" i="90"/>
  <c r="BV135" i="90"/>
  <c r="BV335" i="90"/>
  <c r="BV75" i="90"/>
  <c r="BV515" i="90"/>
  <c r="BV595" i="90"/>
  <c r="BV15" i="90"/>
  <c r="BV555" i="90"/>
  <c r="BV635" i="90"/>
  <c r="BV55" i="90"/>
  <c r="BV315" i="90"/>
  <c r="BV255" i="90"/>
  <c r="BV35" i="90"/>
  <c r="BV155" i="90"/>
  <c r="BV575" i="90"/>
  <c r="BV495" i="90"/>
  <c r="BV295" i="90"/>
  <c r="BV175" i="90"/>
  <c r="BV435" i="90"/>
  <c r="BV235" i="90"/>
  <c r="BV475" i="90"/>
  <c r="BV195" i="90"/>
  <c r="BV615" i="90"/>
  <c r="BV455" i="90"/>
  <c r="BV95" i="90"/>
  <c r="ED8" i="89"/>
  <c r="AV111" i="90"/>
  <c r="AV423" i="90"/>
  <c r="AV1359" i="90"/>
  <c r="AV163" i="90"/>
  <c r="AV1567" i="90"/>
  <c r="AV1411" i="90"/>
  <c r="AV995" i="90"/>
  <c r="AV1047" i="90"/>
  <c r="AV1255" i="90"/>
  <c r="AV1203" i="90"/>
  <c r="AV1151" i="90"/>
  <c r="AV1099" i="90"/>
  <c r="AV839" i="90"/>
  <c r="AV579" i="90"/>
  <c r="AV527" i="90"/>
  <c r="AV319" i="90"/>
  <c r="AV1463" i="90"/>
  <c r="AV267" i="90"/>
  <c r="AV7" i="90"/>
  <c r="AV215" i="90"/>
  <c r="AV1515" i="90"/>
  <c r="AV1619" i="90"/>
  <c r="AV787" i="90"/>
  <c r="AV1307" i="90"/>
  <c r="AV371" i="90"/>
  <c r="AV735" i="90"/>
  <c r="AV683" i="90"/>
  <c r="AV631" i="90"/>
  <c r="AV475" i="90"/>
  <c r="AV59" i="90"/>
  <c r="AV891" i="90"/>
  <c r="AV943" i="90"/>
  <c r="BI6" i="90"/>
  <c r="BI26" i="90"/>
  <c r="BI46" i="90"/>
  <c r="BI66" i="90"/>
  <c r="BV526" i="90"/>
  <c r="BV446" i="90"/>
  <c r="BV466" i="90"/>
  <c r="BV506" i="90"/>
  <c r="BV106" i="90"/>
  <c r="BV166" i="90"/>
  <c r="BV146" i="90"/>
  <c r="BV606" i="90"/>
  <c r="BV326" i="90"/>
  <c r="BV546" i="90"/>
  <c r="BV566" i="90"/>
  <c r="BV226" i="90"/>
  <c r="BV406" i="90"/>
  <c r="BV386" i="90"/>
  <c r="BV126" i="90"/>
  <c r="BV266" i="90"/>
  <c r="BV246" i="90"/>
  <c r="BV586" i="90"/>
  <c r="BV626" i="90"/>
  <c r="BV486" i="90"/>
  <c r="BV346" i="90"/>
  <c r="BV6" i="90"/>
  <c r="BV66" i="90"/>
  <c r="BV426" i="90"/>
  <c r="BV186" i="90"/>
  <c r="BV46" i="90"/>
  <c r="BV206" i="90"/>
  <c r="BV306" i="90"/>
  <c r="BV26" i="90"/>
  <c r="BV86" i="90"/>
  <c r="BV366" i="90"/>
  <c r="BV286" i="90"/>
  <c r="ED29" i="89"/>
  <c r="AV288" i="90"/>
  <c r="AV80" i="90"/>
  <c r="AV1120" i="90"/>
  <c r="AV1276" i="90"/>
  <c r="AV1224" i="90"/>
  <c r="AV1172" i="90"/>
  <c r="AV1016" i="90"/>
  <c r="AV964" i="90"/>
  <c r="AV860" i="90"/>
  <c r="AV808" i="90"/>
  <c r="AV1432" i="90"/>
  <c r="AV704" i="90"/>
  <c r="AV756" i="90"/>
  <c r="AV652" i="90"/>
  <c r="AV548" i="90"/>
  <c r="AV912" i="90"/>
  <c r="AV496" i="90"/>
  <c r="AV392" i="90"/>
  <c r="AV444" i="90"/>
  <c r="AV340" i="90"/>
  <c r="AV132" i="90"/>
  <c r="AV236" i="90"/>
  <c r="AV184" i="90"/>
  <c r="AV600" i="90"/>
  <c r="AV1640" i="90"/>
  <c r="AV1588" i="90"/>
  <c r="AV1536" i="90"/>
  <c r="AV1380" i="90"/>
  <c r="AV1328" i="90"/>
  <c r="AV1484" i="90"/>
  <c r="AV28" i="90"/>
  <c r="AV1068" i="90"/>
  <c r="ED27" i="89"/>
  <c r="AV338" i="90"/>
  <c r="AV286" i="90"/>
  <c r="AV1482" i="90"/>
  <c r="AV1430" i="90"/>
  <c r="AV1274" i="90"/>
  <c r="AV1222" i="90"/>
  <c r="AV1170" i="90"/>
  <c r="AV962" i="90"/>
  <c r="AV1378" i="90"/>
  <c r="AV1014" i="90"/>
  <c r="AV806" i="90"/>
  <c r="AV910" i="90"/>
  <c r="AV702" i="90"/>
  <c r="AV858" i="90"/>
  <c r="AV494" i="90"/>
  <c r="AV1066" i="90"/>
  <c r="AV754" i="90"/>
  <c r="AV546" i="90"/>
  <c r="AV390" i="90"/>
  <c r="AV130" i="90"/>
  <c r="AV78" i="90"/>
  <c r="AV650" i="90"/>
  <c r="AV442" i="90"/>
  <c r="AV234" i="90"/>
  <c r="AV26" i="90"/>
  <c r="AV1638" i="90"/>
  <c r="AV598" i="90"/>
  <c r="AV1118" i="90"/>
  <c r="AV1586" i="90"/>
  <c r="AV182" i="90"/>
  <c r="AV1534" i="90"/>
  <c r="AV1326" i="90"/>
  <c r="ED28" i="89"/>
  <c r="AV1327" i="90"/>
  <c r="AV1587" i="90"/>
  <c r="AV131" i="90"/>
  <c r="AV1431" i="90"/>
  <c r="AV1379" i="90"/>
  <c r="AV1275" i="90"/>
  <c r="AV1223" i="90"/>
  <c r="AV1171" i="90"/>
  <c r="AV1067" i="90"/>
  <c r="AV651" i="90"/>
  <c r="AV1535" i="90"/>
  <c r="AV287" i="90"/>
  <c r="AV1015" i="90"/>
  <c r="AV183" i="90"/>
  <c r="AV339" i="90"/>
  <c r="AV79" i="90"/>
  <c r="AV807" i="90"/>
  <c r="AV391" i="90"/>
  <c r="AV755" i="90"/>
  <c r="AV27" i="90"/>
  <c r="AV703" i="90"/>
  <c r="AV495" i="90"/>
  <c r="AV1483" i="90"/>
  <c r="AV443" i="90"/>
  <c r="AV1639" i="90"/>
  <c r="AV599" i="90"/>
  <c r="AV547" i="90"/>
  <c r="AV235" i="90"/>
  <c r="AV1119" i="90"/>
  <c r="AV963" i="90"/>
  <c r="AV859" i="90"/>
  <c r="AV911" i="90"/>
  <c r="BI14" i="90"/>
  <c r="BI34" i="90"/>
  <c r="BI54" i="90"/>
  <c r="BI74" i="90"/>
  <c r="BV474" i="90"/>
  <c r="BV414" i="90"/>
  <c r="BV434" i="90"/>
  <c r="BV534" i="90"/>
  <c r="BV454" i="90"/>
  <c r="BV174" i="90"/>
  <c r="BV14" i="90"/>
  <c r="BV94" i="90"/>
  <c r="BV514" i="90"/>
  <c r="BV494" i="90"/>
  <c r="BV134" i="90"/>
  <c r="BV34" i="90"/>
  <c r="BV314" i="90"/>
  <c r="BV614" i="90"/>
  <c r="BV574" i="90"/>
  <c r="BV294" i="90"/>
  <c r="BV394" i="90"/>
  <c r="BV634" i="90"/>
  <c r="BV114" i="90"/>
  <c r="BV594" i="90"/>
  <c r="BV354" i="90"/>
  <c r="BV194" i="90"/>
  <c r="BV234" i="90"/>
  <c r="BV374" i="90"/>
  <c r="BV554" i="90"/>
  <c r="BV154" i="90"/>
  <c r="BV334" i="90"/>
  <c r="BV274" i="90"/>
  <c r="BV74" i="90"/>
  <c r="BV254" i="90"/>
  <c r="BV54" i="90"/>
  <c r="BV214" i="90"/>
  <c r="ED9" i="89"/>
  <c r="AV1048" i="90"/>
  <c r="AV632" i="90"/>
  <c r="AV1516" i="90"/>
  <c r="AV112" i="90"/>
  <c r="AV1464" i="90"/>
  <c r="AV1256" i="90"/>
  <c r="AV1204" i="90"/>
  <c r="AV1152" i="90"/>
  <c r="AV996" i="90"/>
  <c r="AV892" i="90"/>
  <c r="AV736" i="90"/>
  <c r="AV840" i="90"/>
  <c r="AV944" i="90"/>
  <c r="AV424" i="90"/>
  <c r="AV788" i="90"/>
  <c r="AV684" i="90"/>
  <c r="AV372" i="90"/>
  <c r="AV476" i="90"/>
  <c r="AV164" i="90"/>
  <c r="AV216" i="90"/>
  <c r="AV8" i="90"/>
  <c r="AV1308" i="90"/>
  <c r="AV1568" i="90"/>
  <c r="AV60" i="90"/>
  <c r="AV528" i="90"/>
  <c r="AV268" i="90"/>
  <c r="AV320" i="90"/>
  <c r="AV1412" i="90"/>
  <c r="AV1620" i="90"/>
  <c r="AV1100" i="90"/>
  <c r="AV580" i="90"/>
  <c r="AV1360" i="90"/>
  <c r="BI33" i="90"/>
  <c r="BI13" i="90"/>
  <c r="BI73" i="90"/>
  <c r="BI53" i="90"/>
  <c r="BV293" i="90"/>
  <c r="BV493" i="90"/>
  <c r="BV473" i="90"/>
  <c r="BV313" i="90"/>
  <c r="BV513" i="90"/>
  <c r="BV433" i="90"/>
  <c r="BV253" i="90"/>
  <c r="BV153" i="90"/>
  <c r="BV213" i="90"/>
  <c r="BV173" i="90"/>
  <c r="BV113" i="90"/>
  <c r="BV573" i="90"/>
  <c r="BV553" i="90"/>
  <c r="BV73" i="90"/>
  <c r="BV273" i="90"/>
  <c r="BV233" i="90"/>
  <c r="BV193" i="90"/>
  <c r="BV33" i="90"/>
  <c r="BV93" i="90"/>
  <c r="BV593" i="90"/>
  <c r="BV53" i="90"/>
  <c r="BV13" i="90"/>
  <c r="BV373" i="90"/>
  <c r="BV353" i="90"/>
  <c r="BV393" i="90"/>
  <c r="BV613" i="90"/>
  <c r="BV633" i="90"/>
  <c r="BV533" i="90"/>
  <c r="BV133" i="90"/>
  <c r="BV453" i="90"/>
  <c r="BV413" i="90"/>
  <c r="BV333" i="90"/>
  <c r="BJ15" i="103"/>
  <c r="BJ105" i="103"/>
  <c r="BJ87" i="103"/>
  <c r="BJ99" i="103"/>
  <c r="BJ111" i="103"/>
  <c r="BJ45" i="103"/>
  <c r="BJ57" i="103"/>
  <c r="BJ63" i="103"/>
  <c r="BJ129" i="103"/>
  <c r="BJ81" i="103"/>
  <c r="BJ21" i="103"/>
  <c r="BJ39" i="103"/>
  <c r="AS7" i="103"/>
  <c r="AW7" i="103"/>
  <c r="AT7" i="103"/>
  <c r="AU7" i="103"/>
  <c r="AV7" i="103"/>
  <c r="BJ33" i="103"/>
  <c r="BJ69" i="103"/>
  <c r="BJ9" i="103"/>
  <c r="BJ117" i="103"/>
  <c r="BJ27" i="103"/>
  <c r="BJ123" i="103"/>
  <c r="BJ93" i="103"/>
  <c r="BJ75" i="103"/>
  <c r="BJ51" i="103"/>
  <c r="AU8" i="103"/>
  <c r="AV8" i="103"/>
  <c r="AS8" i="103"/>
  <c r="AW8" i="103"/>
  <c r="AT8" i="103"/>
  <c r="K14" i="90"/>
  <c r="L14" i="90"/>
  <c r="N14" i="90"/>
  <c r="M14" i="90"/>
  <c r="U32" i="90"/>
  <c r="W32" i="90"/>
  <c r="V32" i="90"/>
  <c r="X32" i="90"/>
  <c r="U31" i="90"/>
  <c r="V31" i="90"/>
  <c r="W31" i="90"/>
  <c r="X31" i="90"/>
  <c r="AM40" i="95"/>
  <c r="AN40" i="95"/>
  <c r="AO40" i="95"/>
  <c r="AP40" i="95"/>
  <c r="AN46" i="95"/>
  <c r="AO46" i="95"/>
  <c r="AP46" i="95"/>
  <c r="AM46" i="95"/>
  <c r="AO49" i="95"/>
  <c r="AP49" i="95"/>
  <c r="AM49" i="95"/>
  <c r="AN49" i="95"/>
  <c r="AM48" i="95"/>
  <c r="AO48" i="95"/>
  <c r="AP48" i="95"/>
  <c r="AN48" i="95"/>
  <c r="AP43" i="95"/>
  <c r="AM43" i="95"/>
  <c r="AO43" i="95"/>
  <c r="AN43" i="95"/>
  <c r="AM56" i="95"/>
  <c r="AN56" i="95"/>
  <c r="AO56" i="95"/>
  <c r="AP56" i="95"/>
  <c r="AP67" i="95"/>
  <c r="AM67" i="95"/>
  <c r="AO67" i="95"/>
  <c r="AN67" i="95"/>
  <c r="AP71" i="95"/>
  <c r="AM71" i="95"/>
  <c r="AN71" i="95"/>
  <c r="AO71" i="95"/>
  <c r="AN62" i="95"/>
  <c r="AO62" i="95"/>
  <c r="AP62" i="95"/>
  <c r="AM62" i="95"/>
  <c r="AN66" i="95"/>
  <c r="AO66" i="95"/>
  <c r="AP66" i="95"/>
  <c r="AM66" i="95"/>
  <c r="U7" i="90"/>
  <c r="W7" i="90"/>
  <c r="V7" i="90"/>
  <c r="X7" i="90"/>
  <c r="L13" i="90"/>
  <c r="M13" i="90"/>
  <c r="K13" i="90"/>
  <c r="N13" i="90"/>
  <c r="U28" i="90"/>
  <c r="W28" i="90"/>
  <c r="V28" i="90"/>
  <c r="X28" i="90"/>
  <c r="U26" i="90"/>
  <c r="W26" i="90"/>
  <c r="V26" i="90"/>
  <c r="X26" i="90"/>
  <c r="U27" i="90"/>
  <c r="V27" i="90"/>
  <c r="W27" i="90"/>
  <c r="X27" i="90"/>
  <c r="AO45" i="95"/>
  <c r="AP45" i="95"/>
  <c r="AM45" i="95"/>
  <c r="AN45" i="95"/>
  <c r="AP51" i="95"/>
  <c r="AM51" i="95"/>
  <c r="AO51" i="95"/>
  <c r="AN51" i="95"/>
  <c r="AN50" i="95"/>
  <c r="AO50" i="95"/>
  <c r="AP50" i="95"/>
  <c r="AM50" i="95"/>
  <c r="AN54" i="95"/>
  <c r="AO54" i="95"/>
  <c r="AP54" i="95"/>
  <c r="AM54" i="95"/>
  <c r="AM36" i="95"/>
  <c r="AO36" i="95"/>
  <c r="AP36" i="95"/>
  <c r="AN36" i="95"/>
  <c r="AO61" i="95"/>
  <c r="AP61" i="95"/>
  <c r="AM61" i="95"/>
  <c r="AN61" i="95"/>
  <c r="AN58" i="95"/>
  <c r="AO58" i="95"/>
  <c r="AP58" i="95"/>
  <c r="AM58" i="95"/>
  <c r="AN74" i="95"/>
  <c r="AO74" i="95"/>
  <c r="AP74" i="95"/>
  <c r="AM74" i="95"/>
  <c r="AP59" i="95"/>
  <c r="AM59" i="95"/>
  <c r="AO59" i="95"/>
  <c r="AN59" i="95"/>
  <c r="AO57" i="95"/>
  <c r="AP57" i="95"/>
  <c r="AM57" i="95"/>
  <c r="AN57" i="95"/>
  <c r="U8" i="90"/>
  <c r="V8" i="90"/>
  <c r="W8" i="90"/>
  <c r="X8" i="90"/>
  <c r="U29" i="90"/>
  <c r="V29" i="90"/>
  <c r="W29" i="90"/>
  <c r="X29" i="90"/>
  <c r="U30" i="90"/>
  <c r="W30" i="90"/>
  <c r="V30" i="90"/>
  <c r="X30" i="90"/>
  <c r="K15" i="90"/>
  <c r="L15" i="90"/>
  <c r="M15" i="90"/>
  <c r="N15" i="90"/>
  <c r="AN38" i="95"/>
  <c r="AO38" i="95"/>
  <c r="AP38" i="95"/>
  <c r="AM38" i="95"/>
  <c r="AM44" i="95"/>
  <c r="AP44" i="95"/>
  <c r="AN44" i="95"/>
  <c r="AO44" i="95"/>
  <c r="AP39" i="95"/>
  <c r="AN39" i="95"/>
  <c r="AM39" i="95"/>
  <c r="AO39" i="95"/>
  <c r="AO37" i="95"/>
  <c r="AP37" i="95"/>
  <c r="AM37" i="95"/>
  <c r="AN37" i="95"/>
  <c r="AM52" i="95"/>
  <c r="AO52" i="95"/>
  <c r="AP52" i="95"/>
  <c r="AN52" i="95"/>
  <c r="AP63" i="95"/>
  <c r="AN63" i="95"/>
  <c r="AM63" i="95"/>
  <c r="AO63" i="95"/>
  <c r="AM60" i="95"/>
  <c r="AP60" i="95"/>
  <c r="AN60" i="95"/>
  <c r="AO60" i="95"/>
  <c r="AM64" i="95"/>
  <c r="AO64" i="95"/>
  <c r="AP64" i="95"/>
  <c r="AN64" i="95"/>
  <c r="AP75" i="95"/>
  <c r="AM75" i="95"/>
  <c r="AO75" i="95"/>
  <c r="AN75" i="95"/>
  <c r="AO73" i="95"/>
  <c r="AP73" i="95"/>
  <c r="AM73" i="95"/>
  <c r="AN73" i="95"/>
  <c r="U6" i="90"/>
  <c r="V6" i="90"/>
  <c r="W6" i="90"/>
  <c r="X6" i="90"/>
  <c r="EV10" i="89"/>
  <c r="EV12" i="89"/>
  <c r="EV11" i="89"/>
  <c r="EF7" i="98"/>
  <c r="EG7" i="98" s="1"/>
  <c r="EF6" i="98"/>
  <c r="EG6" i="98" s="1"/>
  <c r="U24" i="90"/>
  <c r="W24" i="90"/>
  <c r="V24" i="90"/>
  <c r="X24" i="90"/>
  <c r="U25" i="90"/>
  <c r="V25" i="90"/>
  <c r="W25" i="90"/>
  <c r="X25" i="90"/>
  <c r="DJ12" i="89"/>
  <c r="DJ16" i="89"/>
  <c r="DJ15" i="89"/>
  <c r="DJ11" i="89"/>
  <c r="DJ14" i="89"/>
  <c r="DJ13" i="89"/>
  <c r="AP47" i="95"/>
  <c r="AN47" i="95"/>
  <c r="AM47" i="95"/>
  <c r="AO47" i="95"/>
  <c r="AN42" i="95"/>
  <c r="AO42" i="95"/>
  <c r="AP42" i="95"/>
  <c r="AM42" i="95"/>
  <c r="AP55" i="95"/>
  <c r="AN55" i="95"/>
  <c r="AM55" i="95"/>
  <c r="AO55" i="95"/>
  <c r="AP53" i="95"/>
  <c r="AM53" i="95"/>
  <c r="AN53" i="95"/>
  <c r="AO53" i="95"/>
  <c r="AP41" i="95"/>
  <c r="AM41" i="95"/>
  <c r="AO41" i="95"/>
  <c r="AN41" i="95"/>
  <c r="DJ20" i="89"/>
  <c r="DJ24" i="89"/>
  <c r="DJ21" i="89"/>
  <c r="DJ17" i="89"/>
  <c r="DJ22" i="89"/>
  <c r="DJ18" i="89"/>
  <c r="DJ23" i="89"/>
  <c r="DJ19" i="89"/>
  <c r="AO72" i="95"/>
  <c r="AM72" i="95"/>
  <c r="AN72" i="95"/>
  <c r="AP72" i="95"/>
  <c r="AP65" i="95"/>
  <c r="AM65" i="95"/>
  <c r="AO65" i="95"/>
  <c r="AN65" i="95"/>
  <c r="AO69" i="95"/>
  <c r="AP69" i="95"/>
  <c r="AM69" i="95"/>
  <c r="AN69" i="95"/>
  <c r="AM68" i="95"/>
  <c r="AO68" i="95"/>
  <c r="AP68" i="95"/>
  <c r="AN68" i="95"/>
  <c r="AN70" i="95"/>
  <c r="AO70" i="95"/>
  <c r="AP70" i="95"/>
  <c r="AM70" i="95"/>
  <c r="U9" i="90"/>
  <c r="W9" i="90"/>
  <c r="V9" i="90"/>
  <c r="X9" i="90"/>
  <c r="Z16" i="98"/>
  <c r="BS8" i="98" s="1"/>
  <c r="Y16" i="98"/>
  <c r="BR10" i="98" s="1"/>
  <c r="AB16" i="98"/>
  <c r="BU10" i="98" s="1"/>
  <c r="AA16" i="98"/>
  <c r="BT13" i="98" s="1"/>
  <c r="CT7" i="98"/>
  <c r="DB9" i="98" s="1"/>
  <c r="CU7" i="98"/>
  <c r="DC7" i="98" s="1"/>
  <c r="AK16" i="98"/>
  <c r="BY11" i="98" s="1"/>
  <c r="AI16" i="98"/>
  <c r="BX8" i="98" s="1"/>
  <c r="CB8" i="98" s="1"/>
  <c r="CV7" i="98"/>
  <c r="DD7" i="98" s="1"/>
  <c r="AL16" i="98"/>
  <c r="BZ10" i="98" s="1"/>
  <c r="CD10" i="98" s="1"/>
  <c r="AJ16" i="98"/>
  <c r="BW9" i="98"/>
  <c r="CA9" i="98" s="1"/>
  <c r="BR37" i="100"/>
  <c r="DC37" i="100"/>
  <c r="BV37" i="100"/>
  <c r="BS37" i="100"/>
  <c r="CI37" i="100"/>
  <c r="BX37" i="100"/>
  <c r="DA37" i="100"/>
  <c r="BY37" i="100"/>
  <c r="DB37" i="100"/>
  <c r="CS37" i="100"/>
  <c r="CQ37" i="100"/>
  <c r="CT37" i="100"/>
  <c r="CL37" i="100"/>
  <c r="BZ37" i="100"/>
  <c r="BW37" i="100"/>
  <c r="CZ37" i="100"/>
  <c r="CB37" i="100"/>
  <c r="DE37" i="100"/>
  <c r="CC37" i="100"/>
  <c r="DF37" i="100"/>
  <c r="CV37" i="100"/>
  <c r="CN37" i="100"/>
  <c r="CM37" i="100"/>
  <c r="CA37" i="100"/>
  <c r="DD37" i="100"/>
  <c r="CF37" i="100"/>
  <c r="BQ37" i="100"/>
  <c r="CG37" i="100"/>
  <c r="CW37" i="100"/>
  <c r="CO37" i="100"/>
  <c r="CX37" i="100"/>
  <c r="CP37" i="100"/>
  <c r="CY37" i="100"/>
  <c r="CH37" i="100"/>
  <c r="CE37" i="100"/>
  <c r="BT37" i="100"/>
  <c r="CJ37" i="100"/>
  <c r="BU37" i="100"/>
  <c r="CK37" i="100"/>
  <c r="CD37" i="100"/>
  <c r="CR37" i="100"/>
  <c r="CU37" i="100"/>
  <c r="BH16" i="93"/>
  <c r="BL16" i="93"/>
  <c r="BP16" i="93"/>
  <c r="BT16" i="93"/>
  <c r="BX16" i="93"/>
  <c r="CB16" i="93"/>
  <c r="CF16" i="93"/>
  <c r="CJ16" i="93"/>
  <c r="CN16" i="93"/>
  <c r="CR16" i="93"/>
  <c r="BG16" i="93"/>
  <c r="BS16" i="93"/>
  <c r="CE16" i="93"/>
  <c r="CQ16" i="93"/>
  <c r="BI16" i="93"/>
  <c r="BM16" i="93"/>
  <c r="BQ16" i="93"/>
  <c r="BU16" i="93"/>
  <c r="BY16" i="93"/>
  <c r="CC16" i="93"/>
  <c r="CG16" i="93"/>
  <c r="CK16" i="93"/>
  <c r="CO16" i="93"/>
  <c r="CS16" i="93"/>
  <c r="BO16" i="93"/>
  <c r="CA16" i="93"/>
  <c r="CM16" i="93"/>
  <c r="BF16" i="93"/>
  <c r="BJ16" i="93"/>
  <c r="BN16" i="93"/>
  <c r="BR16" i="93"/>
  <c r="BV16" i="93"/>
  <c r="BZ16" i="93"/>
  <c r="CD16" i="93"/>
  <c r="CH16" i="93"/>
  <c r="CL16" i="93"/>
  <c r="CP16" i="93"/>
  <c r="CT16" i="93"/>
  <c r="BK16" i="93"/>
  <c r="BW16" i="93"/>
  <c r="CI16" i="93"/>
  <c r="CU16" i="93"/>
  <c r="BT32" i="100"/>
  <c r="CE32" i="100"/>
  <c r="CA32" i="100"/>
  <c r="DC32" i="100"/>
  <c r="BZ32" i="100"/>
  <c r="CG32" i="100"/>
  <c r="BQ32" i="100"/>
  <c r="DA32" i="100"/>
  <c r="BX32" i="100"/>
  <c r="CR32" i="100"/>
  <c r="CU32" i="100"/>
  <c r="CY32" i="100"/>
  <c r="BV32" i="100"/>
  <c r="DF32" i="100"/>
  <c r="CC32" i="100"/>
  <c r="CJ32" i="100"/>
  <c r="CW32" i="100"/>
  <c r="CO32" i="100"/>
  <c r="CQ32" i="100"/>
  <c r="CX32" i="100"/>
  <c r="CP32" i="100"/>
  <c r="CZ32" i="100"/>
  <c r="CI32" i="100"/>
  <c r="CH32" i="100"/>
  <c r="BR32" i="100"/>
  <c r="DB32" i="100"/>
  <c r="BY32" i="100"/>
  <c r="CF32" i="100"/>
  <c r="CV32" i="100"/>
  <c r="CN32" i="100"/>
  <c r="CM32" i="100"/>
  <c r="BW32" i="100"/>
  <c r="BS32" i="100"/>
  <c r="DD32" i="100"/>
  <c r="CD32" i="100"/>
  <c r="CK32" i="100"/>
  <c r="BU32" i="100"/>
  <c r="DE32" i="100"/>
  <c r="CB32" i="100"/>
  <c r="CS32" i="100"/>
  <c r="CT32" i="100"/>
  <c r="CL32" i="100"/>
  <c r="BF61" i="93"/>
  <c r="BJ61" i="93"/>
  <c r="BN61" i="93"/>
  <c r="BR61" i="93"/>
  <c r="BV61" i="93"/>
  <c r="BZ61" i="93"/>
  <c r="CD61" i="93"/>
  <c r="CH61" i="93"/>
  <c r="CL61" i="93"/>
  <c r="CP61" i="93"/>
  <c r="CT61" i="93"/>
  <c r="BQ61" i="93"/>
  <c r="CC61" i="93"/>
  <c r="CO61" i="93"/>
  <c r="BG61" i="93"/>
  <c r="BK61" i="93"/>
  <c r="BO61" i="93"/>
  <c r="BS61" i="93"/>
  <c r="BW61" i="93"/>
  <c r="CA61" i="93"/>
  <c r="CE61" i="93"/>
  <c r="CI61" i="93"/>
  <c r="CM61" i="93"/>
  <c r="CQ61" i="93"/>
  <c r="CU61" i="93"/>
  <c r="BI61" i="93"/>
  <c r="BU61" i="93"/>
  <c r="CG61" i="93"/>
  <c r="CS61" i="93"/>
  <c r="BH61" i="93"/>
  <c r="BL61" i="93"/>
  <c r="BP61" i="93"/>
  <c r="BT61" i="93"/>
  <c r="BX61" i="93"/>
  <c r="CB61" i="93"/>
  <c r="CF61" i="93"/>
  <c r="CJ61" i="93"/>
  <c r="CN61" i="93"/>
  <c r="CR61" i="93"/>
  <c r="BM61" i="93"/>
  <c r="BY61" i="93"/>
  <c r="CK61" i="93"/>
  <c r="BR17" i="100"/>
  <c r="CR17" i="100"/>
  <c r="BS17" i="100"/>
  <c r="CM17" i="100"/>
  <c r="DC17" i="100"/>
  <c r="CN17" i="100"/>
  <c r="BU17" i="100"/>
  <c r="CT17" i="100"/>
  <c r="BV17" i="100"/>
  <c r="CV17" i="100"/>
  <c r="CW17" i="100"/>
  <c r="BZ17" i="100"/>
  <c r="BW17" i="100"/>
  <c r="CQ17" i="100"/>
  <c r="BT17" i="100"/>
  <c r="CS17" i="100"/>
  <c r="CD17" i="100"/>
  <c r="CZ17" i="100"/>
  <c r="CF17" i="100"/>
  <c r="DA17" i="100"/>
  <c r="CG17" i="100"/>
  <c r="BY17" i="100"/>
  <c r="CE17" i="100"/>
  <c r="CU17" i="100"/>
  <c r="CC17" i="100"/>
  <c r="CX17" i="100"/>
  <c r="CJ17" i="100"/>
  <c r="DE17" i="100"/>
  <c r="CK17" i="100"/>
  <c r="DF17" i="100"/>
  <c r="DB17" i="100"/>
  <c r="CB17" i="100"/>
  <c r="CA17" i="100"/>
  <c r="CI17" i="100"/>
  <c r="CY17" i="100"/>
  <c r="CH17" i="100"/>
  <c r="DD17" i="100"/>
  <c r="CO17" i="100"/>
  <c r="BQ17" i="100"/>
  <c r="CP17" i="100"/>
  <c r="BX17" i="100"/>
  <c r="CL17" i="100"/>
  <c r="BF53" i="93"/>
  <c r="BJ53" i="93"/>
  <c r="BN53" i="93"/>
  <c r="BR53" i="93"/>
  <c r="BV53" i="93"/>
  <c r="BZ53" i="93"/>
  <c r="CD53" i="93"/>
  <c r="CH53" i="93"/>
  <c r="CL53" i="93"/>
  <c r="CP53" i="93"/>
  <c r="CT53" i="93"/>
  <c r="BI53" i="93"/>
  <c r="BU53" i="93"/>
  <c r="CG53" i="93"/>
  <c r="CO53" i="93"/>
  <c r="BG53" i="93"/>
  <c r="BK53" i="93"/>
  <c r="BO53" i="93"/>
  <c r="BS53" i="93"/>
  <c r="BW53" i="93"/>
  <c r="CA53" i="93"/>
  <c r="CE53" i="93"/>
  <c r="CI53" i="93"/>
  <c r="CM53" i="93"/>
  <c r="CQ53" i="93"/>
  <c r="CU53" i="93"/>
  <c r="BQ53" i="93"/>
  <c r="CC53" i="93"/>
  <c r="CS53" i="93"/>
  <c r="BH53" i="93"/>
  <c r="BL53" i="93"/>
  <c r="BP53" i="93"/>
  <c r="BT53" i="93"/>
  <c r="BX53" i="93"/>
  <c r="CB53" i="93"/>
  <c r="CF53" i="93"/>
  <c r="CJ53" i="93"/>
  <c r="CN53" i="93"/>
  <c r="CR53" i="93"/>
  <c r="BM53" i="93"/>
  <c r="BY53" i="93"/>
  <c r="CK53" i="93"/>
  <c r="BR44" i="100"/>
  <c r="BU44" i="100"/>
  <c r="BX44" i="100"/>
  <c r="BW44" i="100"/>
  <c r="BV44" i="100"/>
  <c r="CL44" i="100"/>
  <c r="CO44" i="100"/>
  <c r="CG44" i="100"/>
  <c r="BY44" i="100"/>
  <c r="CY44" i="100"/>
  <c r="CM44" i="100"/>
  <c r="CA44" i="100"/>
  <c r="BT44" i="100"/>
  <c r="BS44" i="100"/>
  <c r="CP44" i="100"/>
  <c r="BZ44" i="100"/>
  <c r="CF44" i="100"/>
  <c r="CB44" i="100"/>
  <c r="CI44" i="100"/>
  <c r="CU44" i="100"/>
  <c r="CX44" i="100"/>
  <c r="CW44" i="100"/>
  <c r="CV44" i="100"/>
  <c r="DB44" i="100"/>
  <c r="CD44" i="100"/>
  <c r="DE44" i="100"/>
  <c r="CK44" i="100"/>
  <c r="CC44" i="100"/>
  <c r="CJ44" i="100"/>
  <c r="CZ44" i="100"/>
  <c r="CN44" i="100"/>
  <c r="DC44" i="100"/>
  <c r="CE44" i="100"/>
  <c r="BQ44" i="100"/>
  <c r="CQ44" i="100"/>
  <c r="CT44" i="100"/>
  <c r="CS44" i="100"/>
  <c r="CR44" i="100"/>
  <c r="DF44" i="100"/>
  <c r="CH44" i="100"/>
  <c r="DA44" i="100"/>
  <c r="DD44" i="100"/>
  <c r="BH58" i="93"/>
  <c r="BL58" i="93"/>
  <c r="BP58" i="93"/>
  <c r="BT58" i="93"/>
  <c r="BX58" i="93"/>
  <c r="CB58" i="93"/>
  <c r="CF58" i="93"/>
  <c r="CJ58" i="93"/>
  <c r="CN58" i="93"/>
  <c r="CR58" i="93"/>
  <c r="BO58" i="93"/>
  <c r="CA58" i="93"/>
  <c r="CM58" i="93"/>
  <c r="BI58" i="93"/>
  <c r="BM58" i="93"/>
  <c r="BQ58" i="93"/>
  <c r="BU58" i="93"/>
  <c r="BY58" i="93"/>
  <c r="CC58" i="93"/>
  <c r="CG58" i="93"/>
  <c r="CK58" i="93"/>
  <c r="CO58" i="93"/>
  <c r="CS58" i="93"/>
  <c r="BK58" i="93"/>
  <c r="BS58" i="93"/>
  <c r="CE58" i="93"/>
  <c r="CQ58" i="93"/>
  <c r="BF58" i="93"/>
  <c r="BJ58" i="93"/>
  <c r="BN58" i="93"/>
  <c r="BR58" i="93"/>
  <c r="BV58" i="93"/>
  <c r="BZ58" i="93"/>
  <c r="CD58" i="93"/>
  <c r="CH58" i="93"/>
  <c r="CL58" i="93"/>
  <c r="CP58" i="93"/>
  <c r="CT58" i="93"/>
  <c r="BG58" i="93"/>
  <c r="BW58" i="93"/>
  <c r="CI58" i="93"/>
  <c r="CU58" i="93"/>
  <c r="CF11" i="100"/>
  <c r="BW11" i="100"/>
  <c r="CM11" i="100"/>
  <c r="DC11" i="100"/>
  <c r="CG11" i="100"/>
  <c r="DB11" i="100"/>
  <c r="CH11" i="100"/>
  <c r="DD11" i="100"/>
  <c r="CJ11" i="100"/>
  <c r="DE11" i="100"/>
  <c r="BZ11" i="100"/>
  <c r="CP11" i="100"/>
  <c r="CA11" i="100"/>
  <c r="CQ11" i="100"/>
  <c r="BQ11" i="100"/>
  <c r="CL11" i="100"/>
  <c r="BR11" i="100"/>
  <c r="CN11" i="100"/>
  <c r="BT11" i="100"/>
  <c r="CO11" i="100"/>
  <c r="BU11" i="100"/>
  <c r="DF11" i="100"/>
  <c r="CE11" i="100"/>
  <c r="CU11" i="100"/>
  <c r="BV11" i="100"/>
  <c r="CR11" i="100"/>
  <c r="BX11" i="100"/>
  <c r="CS11" i="100"/>
  <c r="BY11" i="100"/>
  <c r="CT11" i="100"/>
  <c r="CK11" i="100"/>
  <c r="DA11" i="100"/>
  <c r="BS11" i="100"/>
  <c r="CI11" i="100"/>
  <c r="CY11" i="100"/>
  <c r="CB11" i="100"/>
  <c r="CW11" i="100"/>
  <c r="CC11" i="100"/>
  <c r="CX11" i="100"/>
  <c r="CD11" i="100"/>
  <c r="CZ11" i="100"/>
  <c r="CV11" i="100"/>
  <c r="BH18" i="93"/>
  <c r="BL18" i="93"/>
  <c r="BP18" i="93"/>
  <c r="BT18" i="93"/>
  <c r="BX18" i="93"/>
  <c r="CB18" i="93"/>
  <c r="CF18" i="93"/>
  <c r="CJ18" i="93"/>
  <c r="CN18" i="93"/>
  <c r="CR18" i="93"/>
  <c r="BK18" i="93"/>
  <c r="BW18" i="93"/>
  <c r="CI18" i="93"/>
  <c r="CU18" i="93"/>
  <c r="BI18" i="93"/>
  <c r="BM18" i="93"/>
  <c r="BQ18" i="93"/>
  <c r="BU18" i="93"/>
  <c r="BY18" i="93"/>
  <c r="CC18" i="93"/>
  <c r="CG18" i="93"/>
  <c r="CK18" i="93"/>
  <c r="CO18" i="93"/>
  <c r="CS18" i="93"/>
  <c r="BG18" i="93"/>
  <c r="BS18" i="93"/>
  <c r="CE18" i="93"/>
  <c r="CQ18" i="93"/>
  <c r="BF18" i="93"/>
  <c r="BJ18" i="93"/>
  <c r="BN18" i="93"/>
  <c r="BR18" i="93"/>
  <c r="BV18" i="93"/>
  <c r="BZ18" i="93"/>
  <c r="CD18" i="93"/>
  <c r="CH18" i="93"/>
  <c r="CL18" i="93"/>
  <c r="CP18" i="93"/>
  <c r="CT18" i="93"/>
  <c r="BO18" i="93"/>
  <c r="CA18" i="93"/>
  <c r="CM18" i="93"/>
  <c r="BS7" i="100"/>
  <c r="CT7" i="100"/>
  <c r="DB7" i="100"/>
  <c r="CX7" i="100"/>
  <c r="BZ7" i="100"/>
  <c r="DE7" i="100"/>
  <c r="CO7" i="100"/>
  <c r="BY7" i="100"/>
  <c r="DD7" i="100"/>
  <c r="CN7" i="100"/>
  <c r="BX7" i="100"/>
  <c r="CY7" i="100"/>
  <c r="CI7" i="100"/>
  <c r="CL7" i="100"/>
  <c r="CH7" i="100"/>
  <c r="DA7" i="100"/>
  <c r="CK7" i="100"/>
  <c r="BU7" i="100"/>
  <c r="CZ7" i="100"/>
  <c r="CJ7" i="100"/>
  <c r="BT7" i="100"/>
  <c r="CU7" i="100"/>
  <c r="CE7" i="100"/>
  <c r="CD7" i="100"/>
  <c r="BV7" i="100"/>
  <c r="BR7" i="100"/>
  <c r="DF7" i="100"/>
  <c r="CW7" i="100"/>
  <c r="CG7" i="100"/>
  <c r="CV7" i="100"/>
  <c r="CF7" i="100"/>
  <c r="BQ7" i="100"/>
  <c r="CQ7" i="100"/>
  <c r="CA7" i="100"/>
  <c r="CP7" i="100"/>
  <c r="CS7" i="100"/>
  <c r="CC7" i="100"/>
  <c r="CR7" i="100"/>
  <c r="CB7" i="100"/>
  <c r="DC7" i="100"/>
  <c r="CM7" i="100"/>
  <c r="BW7" i="100"/>
  <c r="BH28" i="93"/>
  <c r="BL28" i="93"/>
  <c r="BP28" i="93"/>
  <c r="BT28" i="93"/>
  <c r="BX28" i="93"/>
  <c r="CB28" i="93"/>
  <c r="CF28" i="93"/>
  <c r="CJ28" i="93"/>
  <c r="CN28" i="93"/>
  <c r="CR28" i="93"/>
  <c r="BG28" i="93"/>
  <c r="BS28" i="93"/>
  <c r="CE28" i="93"/>
  <c r="CQ28" i="93"/>
  <c r="BI28" i="93"/>
  <c r="BM28" i="93"/>
  <c r="BQ28" i="93"/>
  <c r="BU28" i="93"/>
  <c r="BY28" i="93"/>
  <c r="CC28" i="93"/>
  <c r="CG28" i="93"/>
  <c r="CK28" i="93"/>
  <c r="CO28" i="93"/>
  <c r="CS28" i="93"/>
  <c r="BK28" i="93"/>
  <c r="BW28" i="93"/>
  <c r="CI28" i="93"/>
  <c r="CU28" i="93"/>
  <c r="BF28" i="93"/>
  <c r="BJ28" i="93"/>
  <c r="BN28" i="93"/>
  <c r="BR28" i="93"/>
  <c r="BV28" i="93"/>
  <c r="BZ28" i="93"/>
  <c r="CD28" i="93"/>
  <c r="CH28" i="93"/>
  <c r="CL28" i="93"/>
  <c r="CP28" i="93"/>
  <c r="CT28" i="93"/>
  <c r="BO28" i="93"/>
  <c r="CA28" i="93"/>
  <c r="CM28" i="93"/>
  <c r="BU46" i="100"/>
  <c r="BR46" i="100"/>
  <c r="BS46" i="100"/>
  <c r="BT46" i="100"/>
  <c r="DF46" i="100"/>
  <c r="CH46" i="100"/>
  <c r="DA46" i="100"/>
  <c r="DD46" i="100"/>
  <c r="DC46" i="100"/>
  <c r="CE46" i="100"/>
  <c r="BV46" i="100"/>
  <c r="BW46" i="100"/>
  <c r="BX46" i="100"/>
  <c r="CL46" i="100"/>
  <c r="CO46" i="100"/>
  <c r="CG46" i="100"/>
  <c r="BY46" i="100"/>
  <c r="CY46" i="100"/>
  <c r="CA46" i="100"/>
  <c r="CQ46" i="100"/>
  <c r="CR46" i="100"/>
  <c r="CS46" i="100"/>
  <c r="CT46" i="100"/>
  <c r="BQ46" i="100"/>
  <c r="CP46" i="100"/>
  <c r="BZ46" i="100"/>
  <c r="CF46" i="100"/>
  <c r="CB46" i="100"/>
  <c r="CM46" i="100"/>
  <c r="CU46" i="100"/>
  <c r="CV46" i="100"/>
  <c r="CW46" i="100"/>
  <c r="CX46" i="100"/>
  <c r="DB46" i="100"/>
  <c r="CD46" i="100"/>
  <c r="DE46" i="100"/>
  <c r="CK46" i="100"/>
  <c r="CC46" i="100"/>
  <c r="CJ46" i="100"/>
  <c r="CZ46" i="100"/>
  <c r="CN46" i="100"/>
  <c r="CI46" i="100"/>
  <c r="CU6" i="98"/>
  <c r="DC6" i="98" s="1"/>
  <c r="CU8" i="98"/>
  <c r="CU61" i="98"/>
  <c r="DC72" i="98" s="1"/>
  <c r="CU28" i="98"/>
  <c r="DC37" i="98" s="1"/>
  <c r="CU12" i="98"/>
  <c r="DC17" i="98" s="1"/>
  <c r="CU15" i="98"/>
  <c r="DC22" i="98" s="1"/>
  <c r="CU25" i="98"/>
  <c r="DC33" i="98" s="1"/>
  <c r="CU56" i="98"/>
  <c r="DC67" i="98" s="1"/>
  <c r="CU50" i="98"/>
  <c r="DC61" i="98" s="1"/>
  <c r="CU38" i="98"/>
  <c r="DC48" i="98" s="1"/>
  <c r="CU31" i="98"/>
  <c r="DC40" i="98" s="1"/>
  <c r="CU62" i="98"/>
  <c r="DC73" i="98" s="1"/>
  <c r="CU22" i="98"/>
  <c r="CU26" i="98"/>
  <c r="DC34" i="98" s="1"/>
  <c r="CU13" i="98"/>
  <c r="DC18" i="98" s="1"/>
  <c r="CU14" i="98"/>
  <c r="CU18" i="98"/>
  <c r="DC25" i="98" s="1"/>
  <c r="CU11" i="98"/>
  <c r="CU39" i="98"/>
  <c r="DC49" i="98" s="1"/>
  <c r="CU24" i="98"/>
  <c r="DC32" i="98" s="1"/>
  <c r="CU9" i="98"/>
  <c r="CU42" i="98"/>
  <c r="DC52" i="98" s="1"/>
  <c r="CU43" i="98"/>
  <c r="DC53" i="98" s="1"/>
  <c r="CU59" i="98"/>
  <c r="DC70" i="98" s="1"/>
  <c r="CU16" i="98"/>
  <c r="CU20" i="98"/>
  <c r="DC27" i="98" s="1"/>
  <c r="CU52" i="98"/>
  <c r="DC63" i="98" s="1"/>
  <c r="CU57" i="98"/>
  <c r="DC68" i="98" s="1"/>
  <c r="CU23" i="98"/>
  <c r="DC31" i="98" s="1"/>
  <c r="CU40" i="98"/>
  <c r="DC50" i="98" s="1"/>
  <c r="CU53" i="98"/>
  <c r="DC64" i="98" s="1"/>
  <c r="CU21" i="98"/>
  <c r="CU64" i="98"/>
  <c r="DC75" i="98" s="1"/>
  <c r="CU32" i="98"/>
  <c r="DC41" i="98" s="1"/>
  <c r="CU55" i="98"/>
  <c r="DC66" i="98" s="1"/>
  <c r="CU46" i="98"/>
  <c r="DC56" i="98" s="1"/>
  <c r="CU35" i="98"/>
  <c r="DC45" i="98" s="1"/>
  <c r="CU10" i="98"/>
  <c r="DC14" i="98" s="1"/>
  <c r="CU63" i="98"/>
  <c r="DC74" i="98" s="1"/>
  <c r="CU17" i="98"/>
  <c r="DC24" i="98" s="1"/>
  <c r="CU51" i="98"/>
  <c r="DC62" i="98" s="1"/>
  <c r="CU19" i="98"/>
  <c r="DC26" i="98" s="1"/>
  <c r="CU29" i="98"/>
  <c r="DC38" i="98" s="1"/>
  <c r="CU27" i="98"/>
  <c r="CU33" i="98"/>
  <c r="CU58" i="98"/>
  <c r="DC69" i="98" s="1"/>
  <c r="CU60" i="98"/>
  <c r="DC71" i="98" s="1"/>
  <c r="CU44" i="98"/>
  <c r="DC54" i="98" s="1"/>
  <c r="CU36" i="98"/>
  <c r="DC46" i="98" s="1"/>
  <c r="CU37" i="98"/>
  <c r="CU30" i="98"/>
  <c r="DC39" i="98" s="1"/>
  <c r="CU41" i="98"/>
  <c r="CU48" i="98"/>
  <c r="DC58" i="98" s="1"/>
  <c r="CU47" i="98"/>
  <c r="DC57" i="98" s="1"/>
  <c r="CU45" i="98"/>
  <c r="CU65" i="98"/>
  <c r="DC76" i="98" s="1"/>
  <c r="CU34" i="98"/>
  <c r="DC44" i="98" s="1"/>
  <c r="CU54" i="98"/>
  <c r="DC65" i="98" s="1"/>
  <c r="CU49" i="98"/>
  <c r="BH8" i="93"/>
  <c r="BL8" i="93"/>
  <c r="BP8" i="93"/>
  <c r="BT8" i="93"/>
  <c r="BX8" i="93"/>
  <c r="CB8" i="93"/>
  <c r="CF8" i="93"/>
  <c r="CJ8" i="93"/>
  <c r="CN8" i="93"/>
  <c r="CR8" i="93"/>
  <c r="BG8" i="93"/>
  <c r="BS8" i="93"/>
  <c r="CE8" i="93"/>
  <c r="CQ8" i="93"/>
  <c r="BI8" i="93"/>
  <c r="BM8" i="93"/>
  <c r="BQ8" i="93"/>
  <c r="BU8" i="93"/>
  <c r="BY8" i="93"/>
  <c r="CC8" i="93"/>
  <c r="CG8" i="93"/>
  <c r="CK8" i="93"/>
  <c r="CO8" i="93"/>
  <c r="CS8" i="93"/>
  <c r="BO8" i="93"/>
  <c r="CA8" i="93"/>
  <c r="CM8" i="93"/>
  <c r="BF8" i="93"/>
  <c r="BJ8" i="93"/>
  <c r="BN8" i="93"/>
  <c r="BR8" i="93"/>
  <c r="BV8" i="93"/>
  <c r="BZ8" i="93"/>
  <c r="CD8" i="93"/>
  <c r="CH8" i="93"/>
  <c r="CL8" i="93"/>
  <c r="CP8" i="93"/>
  <c r="CT8" i="93"/>
  <c r="BK8" i="93"/>
  <c r="BW8" i="93"/>
  <c r="CI8" i="93"/>
  <c r="CU8" i="93"/>
  <c r="BY13" i="100"/>
  <c r="BS13" i="100"/>
  <c r="CM13" i="100"/>
  <c r="DC13" i="100"/>
  <c r="CK13" i="100"/>
  <c r="DF13" i="100"/>
  <c r="CL13" i="100"/>
  <c r="BX13" i="100"/>
  <c r="CS13" i="100"/>
  <c r="CZ13" i="100"/>
  <c r="CA13" i="100"/>
  <c r="CQ13" i="100"/>
  <c r="BQ13" i="100"/>
  <c r="CP13" i="100"/>
  <c r="BR13" i="100"/>
  <c r="CR13" i="100"/>
  <c r="CC13" i="100"/>
  <c r="CX13" i="100"/>
  <c r="CJ13" i="100"/>
  <c r="BW13" i="100"/>
  <c r="BV13" i="100"/>
  <c r="CE13" i="100"/>
  <c r="CU13" i="100"/>
  <c r="BZ13" i="100"/>
  <c r="CV13" i="100"/>
  <c r="CB13" i="100"/>
  <c r="CW13" i="100"/>
  <c r="CH13" i="100"/>
  <c r="DD13" i="100"/>
  <c r="DE13" i="100"/>
  <c r="CT13" i="100"/>
  <c r="CI13" i="100"/>
  <c r="CY13" i="100"/>
  <c r="CF13" i="100"/>
  <c r="DA13" i="100"/>
  <c r="CG13" i="100"/>
  <c r="DB13" i="100"/>
  <c r="CN13" i="100"/>
  <c r="CD13" i="100"/>
  <c r="CO13" i="100"/>
  <c r="BU13" i="100"/>
  <c r="BT13" i="100"/>
  <c r="BF31" i="93"/>
  <c r="BJ31" i="93"/>
  <c r="BN31" i="93"/>
  <c r="BR31" i="93"/>
  <c r="BV31" i="93"/>
  <c r="BZ31" i="93"/>
  <c r="CD31" i="93"/>
  <c r="CH31" i="93"/>
  <c r="CL31" i="93"/>
  <c r="CP31" i="93"/>
  <c r="CT31" i="93"/>
  <c r="BQ31" i="93"/>
  <c r="CC31" i="93"/>
  <c r="CO31" i="93"/>
  <c r="BG31" i="93"/>
  <c r="BK31" i="93"/>
  <c r="BO31" i="93"/>
  <c r="BS31" i="93"/>
  <c r="BW31" i="93"/>
  <c r="CA31" i="93"/>
  <c r="CE31" i="93"/>
  <c r="CI31" i="93"/>
  <c r="CM31" i="93"/>
  <c r="CQ31" i="93"/>
  <c r="CU31" i="93"/>
  <c r="BI31" i="93"/>
  <c r="BU31" i="93"/>
  <c r="CG31" i="93"/>
  <c r="BH31" i="93"/>
  <c r="BL31" i="93"/>
  <c r="BP31" i="93"/>
  <c r="BT31" i="93"/>
  <c r="BX31" i="93"/>
  <c r="CB31" i="93"/>
  <c r="CF31" i="93"/>
  <c r="CJ31" i="93"/>
  <c r="CN31" i="93"/>
  <c r="CR31" i="93"/>
  <c r="BM31" i="93"/>
  <c r="BY31" i="93"/>
  <c r="CK31" i="93"/>
  <c r="CS31" i="93"/>
  <c r="CD14" i="100"/>
  <c r="BQ14" i="100"/>
  <c r="CK14" i="100"/>
  <c r="DA14" i="100"/>
  <c r="CJ14" i="100"/>
  <c r="DF14" i="100"/>
  <c r="CL14" i="100"/>
  <c r="BS14" i="100"/>
  <c r="CR14" i="100"/>
  <c r="DD14" i="100"/>
  <c r="BV14" i="100"/>
  <c r="BY14" i="100"/>
  <c r="CO14" i="100"/>
  <c r="DE14" i="100"/>
  <c r="CP14" i="100"/>
  <c r="BR14" i="100"/>
  <c r="CQ14" i="100"/>
  <c r="CB14" i="100"/>
  <c r="CX14" i="100"/>
  <c r="CN14" i="100"/>
  <c r="BT14" i="100"/>
  <c r="CC14" i="100"/>
  <c r="CS14" i="100"/>
  <c r="BZ14" i="100"/>
  <c r="CU14" i="100"/>
  <c r="CA14" i="100"/>
  <c r="CV14" i="100"/>
  <c r="CH14" i="100"/>
  <c r="DC14" i="100"/>
  <c r="BX14" i="100"/>
  <c r="BW14" i="100"/>
  <c r="BU14" i="100"/>
  <c r="CY14" i="100"/>
  <c r="CG14" i="100"/>
  <c r="CW14" i="100"/>
  <c r="CE14" i="100"/>
  <c r="CZ14" i="100"/>
  <c r="CF14" i="100"/>
  <c r="DB14" i="100"/>
  <c r="CM14" i="100"/>
  <c r="CI14" i="100"/>
  <c r="CT14" i="100"/>
  <c r="BF47" i="93"/>
  <c r="BJ47" i="93"/>
  <c r="BN47" i="93"/>
  <c r="BR47" i="93"/>
  <c r="BV47" i="93"/>
  <c r="BZ47" i="93"/>
  <c r="CD47" i="93"/>
  <c r="CH47" i="93"/>
  <c r="CL47" i="93"/>
  <c r="CP47" i="93"/>
  <c r="CT47" i="93"/>
  <c r="BQ47" i="93"/>
  <c r="CC47" i="93"/>
  <c r="CO47" i="93"/>
  <c r="BG47" i="93"/>
  <c r="BK47" i="93"/>
  <c r="BO47" i="93"/>
  <c r="BS47" i="93"/>
  <c r="BW47" i="93"/>
  <c r="CA47" i="93"/>
  <c r="CE47" i="93"/>
  <c r="CI47" i="93"/>
  <c r="CM47" i="93"/>
  <c r="CQ47" i="93"/>
  <c r="CU47" i="93"/>
  <c r="BM47" i="93"/>
  <c r="BY47" i="93"/>
  <c r="CK47" i="93"/>
  <c r="BH47" i="93"/>
  <c r="BL47" i="93"/>
  <c r="BP47" i="93"/>
  <c r="BT47" i="93"/>
  <c r="BX47" i="93"/>
  <c r="CB47" i="93"/>
  <c r="CF47" i="93"/>
  <c r="CJ47" i="93"/>
  <c r="CN47" i="93"/>
  <c r="CR47" i="93"/>
  <c r="BI47" i="93"/>
  <c r="BU47" i="93"/>
  <c r="CG47" i="93"/>
  <c r="CS47" i="93"/>
  <c r="BH32" i="93"/>
  <c r="BL32" i="93"/>
  <c r="BP32" i="93"/>
  <c r="BT32" i="93"/>
  <c r="BX32" i="93"/>
  <c r="CB32" i="93"/>
  <c r="CF32" i="93"/>
  <c r="CJ32" i="93"/>
  <c r="CN32" i="93"/>
  <c r="CR32" i="93"/>
  <c r="BK32" i="93"/>
  <c r="BW32" i="93"/>
  <c r="CI32" i="93"/>
  <c r="CU32" i="93"/>
  <c r="BI32" i="93"/>
  <c r="BM32" i="93"/>
  <c r="BQ32" i="93"/>
  <c r="BU32" i="93"/>
  <c r="BY32" i="93"/>
  <c r="CC32" i="93"/>
  <c r="CG32" i="93"/>
  <c r="CK32" i="93"/>
  <c r="CO32" i="93"/>
  <c r="CS32" i="93"/>
  <c r="BG32" i="93"/>
  <c r="BS32" i="93"/>
  <c r="CE32" i="93"/>
  <c r="CQ32" i="93"/>
  <c r="BF32" i="93"/>
  <c r="BJ32" i="93"/>
  <c r="BN32" i="93"/>
  <c r="BR32" i="93"/>
  <c r="BV32" i="93"/>
  <c r="BZ32" i="93"/>
  <c r="CD32" i="93"/>
  <c r="CH32" i="93"/>
  <c r="CL32" i="93"/>
  <c r="CP32" i="93"/>
  <c r="CT32" i="93"/>
  <c r="BO32" i="93"/>
  <c r="CA32" i="93"/>
  <c r="CM32" i="93"/>
  <c r="BU42" i="100"/>
  <c r="CQ42" i="100"/>
  <c r="BV42" i="100"/>
  <c r="BW42" i="100"/>
  <c r="BX42" i="100"/>
  <c r="BQ42" i="100"/>
  <c r="CP42" i="100"/>
  <c r="BZ42" i="100"/>
  <c r="CF42" i="100"/>
  <c r="CB42" i="100"/>
  <c r="CI42" i="100"/>
  <c r="CU42" i="100"/>
  <c r="CR42" i="100"/>
  <c r="CS42" i="100"/>
  <c r="CT42" i="100"/>
  <c r="DB42" i="100"/>
  <c r="CD42" i="100"/>
  <c r="DE42" i="100"/>
  <c r="CK42" i="100"/>
  <c r="CC42" i="100"/>
  <c r="CJ42" i="100"/>
  <c r="CZ42" i="100"/>
  <c r="CN42" i="100"/>
  <c r="CV42" i="100"/>
  <c r="CW42" i="100"/>
  <c r="CX42" i="100"/>
  <c r="DF42" i="100"/>
  <c r="CH42" i="100"/>
  <c r="DA42" i="100"/>
  <c r="DD42" i="100"/>
  <c r="DC42" i="100"/>
  <c r="CE42" i="100"/>
  <c r="BR42" i="100"/>
  <c r="BS42" i="100"/>
  <c r="BT42" i="100"/>
  <c r="CL42" i="100"/>
  <c r="CO42" i="100"/>
  <c r="CG42" i="100"/>
  <c r="BY42" i="100"/>
  <c r="CY42" i="100"/>
  <c r="CM42" i="100"/>
  <c r="CA42" i="100"/>
  <c r="BH56" i="93"/>
  <c r="BL56" i="93"/>
  <c r="BP56" i="93"/>
  <c r="BT56" i="93"/>
  <c r="BX56" i="93"/>
  <c r="CB56" i="93"/>
  <c r="CF56" i="93"/>
  <c r="CJ56" i="93"/>
  <c r="CN56" i="93"/>
  <c r="CR56" i="93"/>
  <c r="BG56" i="93"/>
  <c r="BS56" i="93"/>
  <c r="CA56" i="93"/>
  <c r="CM56" i="93"/>
  <c r="BI56" i="93"/>
  <c r="BM56" i="93"/>
  <c r="BQ56" i="93"/>
  <c r="BU56" i="93"/>
  <c r="BY56" i="93"/>
  <c r="CC56" i="93"/>
  <c r="CG56" i="93"/>
  <c r="CK56" i="93"/>
  <c r="CO56" i="93"/>
  <c r="CS56" i="93"/>
  <c r="BK56" i="93"/>
  <c r="BW56" i="93"/>
  <c r="CI56" i="93"/>
  <c r="CU56" i="93"/>
  <c r="BF56" i="93"/>
  <c r="BJ56" i="93"/>
  <c r="BN56" i="93"/>
  <c r="BR56" i="93"/>
  <c r="BV56" i="93"/>
  <c r="BZ56" i="93"/>
  <c r="CD56" i="93"/>
  <c r="CH56" i="93"/>
  <c r="CL56" i="93"/>
  <c r="CP56" i="93"/>
  <c r="CT56" i="93"/>
  <c r="BO56" i="93"/>
  <c r="CE56" i="93"/>
  <c r="CQ56" i="93"/>
  <c r="BR31" i="100"/>
  <c r="CW31" i="100"/>
  <c r="CS31" i="100"/>
  <c r="CZ31" i="100"/>
  <c r="CF31" i="100"/>
  <c r="CQ31" i="100"/>
  <c r="BS31" i="100"/>
  <c r="CT31" i="100"/>
  <c r="BZ31" i="100"/>
  <c r="CL31" i="100"/>
  <c r="CK31" i="100"/>
  <c r="BQ31" i="100"/>
  <c r="DE31" i="100"/>
  <c r="CC31" i="100"/>
  <c r="BY31" i="100"/>
  <c r="DA31" i="100"/>
  <c r="CV31" i="100"/>
  <c r="CB31" i="100"/>
  <c r="DC31" i="100"/>
  <c r="CI31" i="100"/>
  <c r="DF31" i="100"/>
  <c r="CP31" i="100"/>
  <c r="CN31" i="100"/>
  <c r="BU31" i="100"/>
  <c r="BT31" i="100"/>
  <c r="CG31" i="100"/>
  <c r="CR31" i="100"/>
  <c r="BX31" i="100"/>
  <c r="CY31" i="100"/>
  <c r="CE31" i="100"/>
  <c r="DB31" i="100"/>
  <c r="CH31" i="100"/>
  <c r="BW31" i="100"/>
  <c r="CO31" i="100"/>
  <c r="DD31" i="100"/>
  <c r="CJ31" i="100"/>
  <c r="CU31" i="100"/>
  <c r="CA31" i="100"/>
  <c r="CX31" i="100"/>
  <c r="CD31" i="100"/>
  <c r="CM31" i="100"/>
  <c r="BV31" i="100"/>
  <c r="BH48" i="93"/>
  <c r="BL48" i="93"/>
  <c r="BP48" i="93"/>
  <c r="BT48" i="93"/>
  <c r="BX48" i="93"/>
  <c r="CB48" i="93"/>
  <c r="CF48" i="93"/>
  <c r="CJ48" i="93"/>
  <c r="CN48" i="93"/>
  <c r="CR48" i="93"/>
  <c r="BK48" i="93"/>
  <c r="BW48" i="93"/>
  <c r="CM48" i="93"/>
  <c r="BI48" i="93"/>
  <c r="BM48" i="93"/>
  <c r="BQ48" i="93"/>
  <c r="BU48" i="93"/>
  <c r="BY48" i="93"/>
  <c r="CC48" i="93"/>
  <c r="CG48" i="93"/>
  <c r="CK48" i="93"/>
  <c r="CO48" i="93"/>
  <c r="CS48" i="93"/>
  <c r="BG48" i="93"/>
  <c r="BS48" i="93"/>
  <c r="CE48" i="93"/>
  <c r="CQ48" i="93"/>
  <c r="BF48" i="93"/>
  <c r="BJ48" i="93"/>
  <c r="BN48" i="93"/>
  <c r="BR48" i="93"/>
  <c r="BV48" i="93"/>
  <c r="BZ48" i="93"/>
  <c r="CD48" i="93"/>
  <c r="CH48" i="93"/>
  <c r="CL48" i="93"/>
  <c r="CP48" i="93"/>
  <c r="CT48" i="93"/>
  <c r="BO48" i="93"/>
  <c r="CA48" i="93"/>
  <c r="CI48" i="93"/>
  <c r="CU48" i="93"/>
  <c r="BT24" i="100"/>
  <c r="BS24" i="100"/>
  <c r="CQ24" i="100"/>
  <c r="DF24" i="100"/>
  <c r="CP24" i="100"/>
  <c r="BV24" i="100"/>
  <c r="CW24" i="100"/>
  <c r="CC24" i="100"/>
  <c r="DD24" i="100"/>
  <c r="CN24" i="100"/>
  <c r="BW24" i="100"/>
  <c r="DB24" i="100"/>
  <c r="CL24" i="100"/>
  <c r="BR24" i="100"/>
  <c r="CS24" i="100"/>
  <c r="BY24" i="100"/>
  <c r="CZ24" i="100"/>
  <c r="CJ24" i="100"/>
  <c r="CF24" i="100"/>
  <c r="CE24" i="100"/>
  <c r="DC24" i="100"/>
  <c r="CY24" i="100"/>
  <c r="CU24" i="100"/>
  <c r="CX24" i="100"/>
  <c r="CD24" i="100"/>
  <c r="DE24" i="100"/>
  <c r="CO24" i="100"/>
  <c r="BU24" i="100"/>
  <c r="CV24" i="100"/>
  <c r="CB24" i="100"/>
  <c r="CH24" i="100"/>
  <c r="CM24" i="100"/>
  <c r="CI24" i="100"/>
  <c r="CA24" i="100"/>
  <c r="CT24" i="100"/>
  <c r="BZ24" i="100"/>
  <c r="DA24" i="100"/>
  <c r="CK24" i="100"/>
  <c r="BQ24" i="100"/>
  <c r="CR24" i="100"/>
  <c r="BX24" i="100"/>
  <c r="CG24" i="100"/>
  <c r="BH24" i="93"/>
  <c r="BL24" i="93"/>
  <c r="BP24" i="93"/>
  <c r="BT24" i="93"/>
  <c r="BX24" i="93"/>
  <c r="CB24" i="93"/>
  <c r="CF24" i="93"/>
  <c r="CJ24" i="93"/>
  <c r="CN24" i="93"/>
  <c r="CR24" i="93"/>
  <c r="BK24" i="93"/>
  <c r="BW24" i="93"/>
  <c r="CI24" i="93"/>
  <c r="CU24" i="93"/>
  <c r="BI24" i="93"/>
  <c r="BM24" i="93"/>
  <c r="BQ24" i="93"/>
  <c r="BU24" i="93"/>
  <c r="BY24" i="93"/>
  <c r="CC24" i="93"/>
  <c r="CG24" i="93"/>
  <c r="CK24" i="93"/>
  <c r="CO24" i="93"/>
  <c r="CS24" i="93"/>
  <c r="BG24" i="93"/>
  <c r="BS24" i="93"/>
  <c r="CE24" i="93"/>
  <c r="CQ24" i="93"/>
  <c r="BF24" i="93"/>
  <c r="BJ24" i="93"/>
  <c r="BN24" i="93"/>
  <c r="BR24" i="93"/>
  <c r="BV24" i="93"/>
  <c r="BZ24" i="93"/>
  <c r="CD24" i="93"/>
  <c r="CH24" i="93"/>
  <c r="CL24" i="93"/>
  <c r="CP24" i="93"/>
  <c r="CT24" i="93"/>
  <c r="BO24" i="93"/>
  <c r="CA24" i="93"/>
  <c r="CM24" i="93"/>
  <c r="BF37" i="93"/>
  <c r="BJ37" i="93"/>
  <c r="BN37" i="93"/>
  <c r="BR37" i="93"/>
  <c r="BV37" i="93"/>
  <c r="BZ37" i="93"/>
  <c r="CD37" i="93"/>
  <c r="CH37" i="93"/>
  <c r="CL37" i="93"/>
  <c r="CP37" i="93"/>
  <c r="CT37" i="93"/>
  <c r="BM37" i="93"/>
  <c r="CC37" i="93"/>
  <c r="CS37" i="93"/>
  <c r="BG37" i="93"/>
  <c r="BK37" i="93"/>
  <c r="BO37" i="93"/>
  <c r="BS37" i="93"/>
  <c r="BW37" i="93"/>
  <c r="CA37" i="93"/>
  <c r="CE37" i="93"/>
  <c r="CI37" i="93"/>
  <c r="CM37" i="93"/>
  <c r="CQ37" i="93"/>
  <c r="CU37" i="93"/>
  <c r="BQ37" i="93"/>
  <c r="BY37" i="93"/>
  <c r="CK37" i="93"/>
  <c r="BH37" i="93"/>
  <c r="BL37" i="93"/>
  <c r="BP37" i="93"/>
  <c r="BT37" i="93"/>
  <c r="BX37" i="93"/>
  <c r="CB37" i="93"/>
  <c r="CF37" i="93"/>
  <c r="CJ37" i="93"/>
  <c r="CN37" i="93"/>
  <c r="CR37" i="93"/>
  <c r="BI37" i="93"/>
  <c r="BU37" i="93"/>
  <c r="CG37" i="93"/>
  <c r="CO37" i="93"/>
  <c r="BR47" i="100"/>
  <c r="BX47" i="100"/>
  <c r="BW47" i="100"/>
  <c r="CR47" i="100"/>
  <c r="DB47" i="100"/>
  <c r="CD47" i="100"/>
  <c r="CC47" i="100"/>
  <c r="CZ47" i="100"/>
  <c r="CU47" i="100"/>
  <c r="BT47" i="100"/>
  <c r="BS47" i="100"/>
  <c r="BV47" i="100"/>
  <c r="CH47" i="100"/>
  <c r="CO47" i="100"/>
  <c r="BY47" i="100"/>
  <c r="DD47" i="100"/>
  <c r="CF47" i="100"/>
  <c r="CB47" i="100"/>
  <c r="DC47" i="100"/>
  <c r="CM47" i="100"/>
  <c r="CE47" i="100"/>
  <c r="CQ47" i="100"/>
  <c r="BQ47" i="100"/>
  <c r="CX47" i="100"/>
  <c r="CW47" i="100"/>
  <c r="DF47" i="100"/>
  <c r="CL47" i="100"/>
  <c r="DA47" i="100"/>
  <c r="CK47" i="100"/>
  <c r="CJ47" i="100"/>
  <c r="CN47" i="100"/>
  <c r="BU47" i="100"/>
  <c r="CT47" i="100"/>
  <c r="CS47" i="100"/>
  <c r="CV47" i="100"/>
  <c r="CP47" i="100"/>
  <c r="BZ47" i="100"/>
  <c r="DE47" i="100"/>
  <c r="CG47" i="100"/>
  <c r="CY47" i="100"/>
  <c r="CI47" i="100"/>
  <c r="CA47" i="100"/>
  <c r="BF41" i="93"/>
  <c r="BJ41" i="93"/>
  <c r="BN41" i="93"/>
  <c r="BR41" i="93"/>
  <c r="BV41" i="93"/>
  <c r="BZ41" i="93"/>
  <c r="CD41" i="93"/>
  <c r="CH41" i="93"/>
  <c r="CL41" i="93"/>
  <c r="CP41" i="93"/>
  <c r="CT41" i="93"/>
  <c r="BM41" i="93"/>
  <c r="BY41" i="93"/>
  <c r="CK41" i="93"/>
  <c r="BG41" i="93"/>
  <c r="BK41" i="93"/>
  <c r="BO41" i="93"/>
  <c r="BS41" i="93"/>
  <c r="BW41" i="93"/>
  <c r="CA41" i="93"/>
  <c r="CE41" i="93"/>
  <c r="CI41" i="93"/>
  <c r="CM41" i="93"/>
  <c r="CQ41" i="93"/>
  <c r="CU41" i="93"/>
  <c r="BI41" i="93"/>
  <c r="BU41" i="93"/>
  <c r="CG41" i="93"/>
  <c r="CS41" i="93"/>
  <c r="BH41" i="93"/>
  <c r="BL41" i="93"/>
  <c r="BP41" i="93"/>
  <c r="BT41" i="93"/>
  <c r="BX41" i="93"/>
  <c r="CB41" i="93"/>
  <c r="CF41" i="93"/>
  <c r="CJ41" i="93"/>
  <c r="CN41" i="93"/>
  <c r="CR41" i="93"/>
  <c r="BQ41" i="93"/>
  <c r="CC41" i="93"/>
  <c r="CO41" i="93"/>
  <c r="CQ53" i="100"/>
  <c r="CU53" i="100"/>
  <c r="BR53" i="100"/>
  <c r="BS53" i="100"/>
  <c r="BT53" i="100"/>
  <c r="DB53" i="100"/>
  <c r="CD53" i="100"/>
  <c r="CO53" i="100"/>
  <c r="CG53" i="100"/>
  <c r="BY53" i="100"/>
  <c r="DD53" i="100"/>
  <c r="CY53" i="100"/>
  <c r="CA53" i="100"/>
  <c r="BV53" i="100"/>
  <c r="BW53" i="100"/>
  <c r="BX53" i="100"/>
  <c r="DF53" i="100"/>
  <c r="CH53" i="100"/>
  <c r="CC53" i="100"/>
  <c r="CF53" i="100"/>
  <c r="CB53" i="100"/>
  <c r="DC53" i="100"/>
  <c r="CM53" i="100"/>
  <c r="CE53" i="100"/>
  <c r="BU53" i="100"/>
  <c r="CR53" i="100"/>
  <c r="CS53" i="100"/>
  <c r="CT53" i="100"/>
  <c r="CL53" i="100"/>
  <c r="DE53" i="100"/>
  <c r="CK53" i="100"/>
  <c r="CJ53" i="100"/>
  <c r="CZ53" i="100"/>
  <c r="CN53" i="100"/>
  <c r="CV53" i="100"/>
  <c r="CW53" i="100"/>
  <c r="CX53" i="100"/>
  <c r="BQ53" i="100"/>
  <c r="CP53" i="100"/>
  <c r="BZ53" i="100"/>
  <c r="DA53" i="100"/>
  <c r="CI53" i="100"/>
  <c r="BH38" i="93"/>
  <c r="BL38" i="93"/>
  <c r="BP38" i="93"/>
  <c r="BT38" i="93"/>
  <c r="BX38" i="93"/>
  <c r="CB38" i="93"/>
  <c r="CF38" i="93"/>
  <c r="CJ38" i="93"/>
  <c r="CN38" i="93"/>
  <c r="CR38" i="93"/>
  <c r="BO38" i="93"/>
  <c r="CA38" i="93"/>
  <c r="CM38" i="93"/>
  <c r="BI38" i="93"/>
  <c r="BM38" i="93"/>
  <c r="BQ38" i="93"/>
  <c r="BU38" i="93"/>
  <c r="BY38" i="93"/>
  <c r="CC38" i="93"/>
  <c r="CG38" i="93"/>
  <c r="CK38" i="93"/>
  <c r="CO38" i="93"/>
  <c r="CS38" i="93"/>
  <c r="BG38" i="93"/>
  <c r="BS38" i="93"/>
  <c r="CE38" i="93"/>
  <c r="CQ38" i="93"/>
  <c r="BF38" i="93"/>
  <c r="BJ38" i="93"/>
  <c r="BN38" i="93"/>
  <c r="BR38" i="93"/>
  <c r="BV38" i="93"/>
  <c r="BZ38" i="93"/>
  <c r="CD38" i="93"/>
  <c r="CH38" i="93"/>
  <c r="CL38" i="93"/>
  <c r="CP38" i="93"/>
  <c r="CT38" i="93"/>
  <c r="BK38" i="93"/>
  <c r="BW38" i="93"/>
  <c r="CI38" i="93"/>
  <c r="CU38" i="93"/>
  <c r="BF39" i="93"/>
  <c r="BJ39" i="93"/>
  <c r="BN39" i="93"/>
  <c r="BR39" i="93"/>
  <c r="BV39" i="93"/>
  <c r="BZ39" i="93"/>
  <c r="CD39" i="93"/>
  <c r="CH39" i="93"/>
  <c r="CL39" i="93"/>
  <c r="CP39" i="93"/>
  <c r="CT39" i="93"/>
  <c r="BM39" i="93"/>
  <c r="BY39" i="93"/>
  <c r="CK39" i="93"/>
  <c r="BG39" i="93"/>
  <c r="BK39" i="93"/>
  <c r="BO39" i="93"/>
  <c r="BS39" i="93"/>
  <c r="BW39" i="93"/>
  <c r="CA39" i="93"/>
  <c r="CE39" i="93"/>
  <c r="CI39" i="93"/>
  <c r="CM39" i="93"/>
  <c r="CQ39" i="93"/>
  <c r="CU39" i="93"/>
  <c r="BI39" i="93"/>
  <c r="BU39" i="93"/>
  <c r="CG39" i="93"/>
  <c r="CS39" i="93"/>
  <c r="BH39" i="93"/>
  <c r="BL39" i="93"/>
  <c r="BP39" i="93"/>
  <c r="BT39" i="93"/>
  <c r="BX39" i="93"/>
  <c r="CB39" i="93"/>
  <c r="CF39" i="93"/>
  <c r="CJ39" i="93"/>
  <c r="CN39" i="93"/>
  <c r="CR39" i="93"/>
  <c r="BQ39" i="93"/>
  <c r="CC39" i="93"/>
  <c r="CO39" i="93"/>
  <c r="CT18" i="100"/>
  <c r="CC18" i="100"/>
  <c r="BX18" i="100"/>
  <c r="CU18" i="100"/>
  <c r="CD18" i="100"/>
  <c r="CV18" i="100"/>
  <c r="CE18" i="100"/>
  <c r="CW18" i="100"/>
  <c r="CX18" i="100"/>
  <c r="CP18" i="100"/>
  <c r="BY18" i="100"/>
  <c r="CG18" i="100"/>
  <c r="CH18" i="100"/>
  <c r="CY18" i="100"/>
  <c r="CI18" i="100"/>
  <c r="CZ18" i="100"/>
  <c r="CJ18" i="100"/>
  <c r="DA18" i="100"/>
  <c r="CL18" i="100"/>
  <c r="DF18" i="100"/>
  <c r="BW18" i="100"/>
  <c r="BQ18" i="100"/>
  <c r="CK18" i="100"/>
  <c r="CM18" i="100"/>
  <c r="DC18" i="100"/>
  <c r="CN18" i="100"/>
  <c r="DD18" i="100"/>
  <c r="CO18" i="100"/>
  <c r="DE18" i="100"/>
  <c r="DB18" i="100"/>
  <c r="CB18" i="100"/>
  <c r="BZ18" i="100"/>
  <c r="BU18" i="100"/>
  <c r="BS18" i="100"/>
  <c r="CQ18" i="100"/>
  <c r="BT18" i="100"/>
  <c r="CR18" i="100"/>
  <c r="BV18" i="100"/>
  <c r="CS18" i="100"/>
  <c r="CF18" i="100"/>
  <c r="BR18" i="100"/>
  <c r="CA18" i="100"/>
  <c r="BF57" i="93"/>
  <c r="BJ57" i="93"/>
  <c r="BN57" i="93"/>
  <c r="BR57" i="93"/>
  <c r="BV57" i="93"/>
  <c r="BZ57" i="93"/>
  <c r="CD57" i="93"/>
  <c r="CH57" i="93"/>
  <c r="CL57" i="93"/>
  <c r="CP57" i="93"/>
  <c r="CT57" i="93"/>
  <c r="BI57" i="93"/>
  <c r="BU57" i="93"/>
  <c r="CG57" i="93"/>
  <c r="CS57" i="93"/>
  <c r="BG57" i="93"/>
  <c r="BK57" i="93"/>
  <c r="BO57" i="93"/>
  <c r="BS57" i="93"/>
  <c r="BW57" i="93"/>
  <c r="CA57" i="93"/>
  <c r="CE57" i="93"/>
  <c r="CI57" i="93"/>
  <c r="CM57" i="93"/>
  <c r="CQ57" i="93"/>
  <c r="CU57" i="93"/>
  <c r="BQ57" i="93"/>
  <c r="CC57" i="93"/>
  <c r="CO57" i="93"/>
  <c r="BH57" i="93"/>
  <c r="BL57" i="93"/>
  <c r="BP57" i="93"/>
  <c r="BT57" i="93"/>
  <c r="BX57" i="93"/>
  <c r="CB57" i="93"/>
  <c r="CF57" i="93"/>
  <c r="CJ57" i="93"/>
  <c r="CN57" i="93"/>
  <c r="CR57" i="93"/>
  <c r="BM57" i="93"/>
  <c r="BY57" i="93"/>
  <c r="CK57" i="93"/>
  <c r="BR63" i="100"/>
  <c r="CU63" i="100"/>
  <c r="BX63" i="100"/>
  <c r="BW63" i="100"/>
  <c r="CR63" i="100"/>
  <c r="CL63" i="100"/>
  <c r="DE63" i="100"/>
  <c r="CG63" i="100"/>
  <c r="DD63" i="100"/>
  <c r="CF63" i="100"/>
  <c r="CI63" i="100"/>
  <c r="BQ63" i="100"/>
  <c r="BT63" i="100"/>
  <c r="BS63" i="100"/>
  <c r="BV63" i="100"/>
  <c r="DF63" i="100"/>
  <c r="CH63" i="100"/>
  <c r="DA63" i="100"/>
  <c r="CC63" i="100"/>
  <c r="CZ63" i="100"/>
  <c r="CB63" i="100"/>
  <c r="DC63" i="100"/>
  <c r="CE63" i="100"/>
  <c r="CQ63" i="100"/>
  <c r="BU63" i="100"/>
  <c r="CX63" i="100"/>
  <c r="CW63" i="100"/>
  <c r="DB63" i="100"/>
  <c r="CD63" i="100"/>
  <c r="CO63" i="100"/>
  <c r="BY63" i="100"/>
  <c r="CN63" i="100"/>
  <c r="CY63" i="100"/>
  <c r="CA63" i="100"/>
  <c r="CT63" i="100"/>
  <c r="CS63" i="100"/>
  <c r="CV63" i="100"/>
  <c r="CP63" i="100"/>
  <c r="BZ63" i="100"/>
  <c r="CK63" i="100"/>
  <c r="CJ63" i="100"/>
  <c r="CM63" i="100"/>
  <c r="BH14" i="93"/>
  <c r="BL14" i="93"/>
  <c r="BP14" i="93"/>
  <c r="BT14" i="93"/>
  <c r="BX14" i="93"/>
  <c r="CB14" i="93"/>
  <c r="CF14" i="93"/>
  <c r="CJ14" i="93"/>
  <c r="CN14" i="93"/>
  <c r="CR14" i="93"/>
  <c r="BO14" i="93"/>
  <c r="BW14" i="93"/>
  <c r="CI14" i="93"/>
  <c r="CU14" i="93"/>
  <c r="BI14" i="93"/>
  <c r="BM14" i="93"/>
  <c r="BQ14" i="93"/>
  <c r="BU14" i="93"/>
  <c r="BY14" i="93"/>
  <c r="CC14" i="93"/>
  <c r="CG14" i="93"/>
  <c r="CK14" i="93"/>
  <c r="CO14" i="93"/>
  <c r="CS14" i="93"/>
  <c r="BK14" i="93"/>
  <c r="CA14" i="93"/>
  <c r="CM14" i="93"/>
  <c r="BF14" i="93"/>
  <c r="BJ14" i="93"/>
  <c r="BN14" i="93"/>
  <c r="BR14" i="93"/>
  <c r="BV14" i="93"/>
  <c r="BZ14" i="93"/>
  <c r="CD14" i="93"/>
  <c r="CH14" i="93"/>
  <c r="CL14" i="93"/>
  <c r="CP14" i="93"/>
  <c r="CT14" i="93"/>
  <c r="BG14" i="93"/>
  <c r="BS14" i="93"/>
  <c r="CE14" i="93"/>
  <c r="CQ14" i="93"/>
  <c r="BR55" i="100"/>
  <c r="BX55" i="100"/>
  <c r="BW55" i="100"/>
  <c r="CR55" i="100"/>
  <c r="CP55" i="100"/>
  <c r="BZ55" i="100"/>
  <c r="CI55" i="100"/>
  <c r="BU55" i="100"/>
  <c r="CU55" i="100"/>
  <c r="CQ55" i="100"/>
  <c r="BT55" i="100"/>
  <c r="BS55" i="100"/>
  <c r="BV55" i="100"/>
  <c r="DB55" i="100"/>
  <c r="CD55" i="100"/>
  <c r="CO55" i="100"/>
  <c r="CG55" i="100"/>
  <c r="BY55" i="100"/>
  <c r="DA55" i="100"/>
  <c r="DD55" i="100"/>
  <c r="CY55" i="100"/>
  <c r="CA55" i="100"/>
  <c r="DE55" i="100"/>
  <c r="CX55" i="100"/>
  <c r="CW55" i="100"/>
  <c r="DF55" i="100"/>
  <c r="CH55" i="100"/>
  <c r="CC55" i="100"/>
  <c r="CF55" i="100"/>
  <c r="CB55" i="100"/>
  <c r="DC55" i="100"/>
  <c r="CM55" i="100"/>
  <c r="CE55" i="100"/>
  <c r="BQ55" i="100"/>
  <c r="CT55" i="100"/>
  <c r="CS55" i="100"/>
  <c r="CV55" i="100"/>
  <c r="CL55" i="100"/>
  <c r="CK55" i="100"/>
  <c r="CJ55" i="100"/>
  <c r="CZ55" i="100"/>
  <c r="CN55" i="100"/>
  <c r="BR60" i="100"/>
  <c r="BX60" i="100"/>
  <c r="BW60" i="100"/>
  <c r="BV60" i="100"/>
  <c r="CJ60" i="100"/>
  <c r="DC60" i="100"/>
  <c r="CE60" i="100"/>
  <c r="DB60" i="100"/>
  <c r="CD60" i="100"/>
  <c r="DE60" i="100"/>
  <c r="CG60" i="100"/>
  <c r="BT60" i="100"/>
  <c r="BS60" i="100"/>
  <c r="DD60" i="100"/>
  <c r="CF60" i="100"/>
  <c r="CY60" i="100"/>
  <c r="CA60" i="100"/>
  <c r="CP60" i="100"/>
  <c r="BZ60" i="100"/>
  <c r="DA60" i="100"/>
  <c r="CC60" i="100"/>
  <c r="CQ60" i="100"/>
  <c r="BU60" i="100"/>
  <c r="BQ60" i="100"/>
  <c r="CX60" i="100"/>
  <c r="CW60" i="100"/>
  <c r="CV60" i="100"/>
  <c r="CZ60" i="100"/>
  <c r="CB60" i="100"/>
  <c r="CM60" i="100"/>
  <c r="CL60" i="100"/>
  <c r="CO60" i="100"/>
  <c r="BY60" i="100"/>
  <c r="CU60" i="100"/>
  <c r="CT60" i="100"/>
  <c r="CS60" i="100"/>
  <c r="CR60" i="100"/>
  <c r="CN60" i="100"/>
  <c r="CI60" i="100"/>
  <c r="DF60" i="100"/>
  <c r="CH60" i="100"/>
  <c r="CK60" i="100"/>
  <c r="BH64" i="93"/>
  <c r="BL64" i="93"/>
  <c r="BP64" i="93"/>
  <c r="BT64" i="93"/>
  <c r="BX64" i="93"/>
  <c r="CB64" i="93"/>
  <c r="CF64" i="93"/>
  <c r="CJ64" i="93"/>
  <c r="CN64" i="93"/>
  <c r="CR64" i="93"/>
  <c r="BG64" i="93"/>
  <c r="BS64" i="93"/>
  <c r="CE64" i="93"/>
  <c r="CQ64" i="93"/>
  <c r="BI64" i="93"/>
  <c r="BM64" i="93"/>
  <c r="BQ64" i="93"/>
  <c r="BU64" i="93"/>
  <c r="BY64" i="93"/>
  <c r="CC64" i="93"/>
  <c r="CG64" i="93"/>
  <c r="CK64" i="93"/>
  <c r="CO64" i="93"/>
  <c r="CS64" i="93"/>
  <c r="BO64" i="93"/>
  <c r="CA64" i="93"/>
  <c r="CM64" i="93"/>
  <c r="BF64" i="93"/>
  <c r="BJ64" i="93"/>
  <c r="BN64" i="93"/>
  <c r="BR64" i="93"/>
  <c r="BV64" i="93"/>
  <c r="BZ64" i="93"/>
  <c r="CD64" i="93"/>
  <c r="CH64" i="93"/>
  <c r="CL64" i="93"/>
  <c r="CP64" i="93"/>
  <c r="CT64" i="93"/>
  <c r="BK64" i="93"/>
  <c r="BW64" i="93"/>
  <c r="CI64" i="93"/>
  <c r="CU64" i="93"/>
  <c r="CD20" i="100"/>
  <c r="BU20" i="100"/>
  <c r="DE20" i="100"/>
  <c r="CZ20" i="100"/>
  <c r="BS20" i="100"/>
  <c r="CM20" i="100"/>
  <c r="DC20" i="100"/>
  <c r="CS20" i="100"/>
  <c r="BT20" i="100"/>
  <c r="DB20" i="100"/>
  <c r="CG20" i="100"/>
  <c r="CP20" i="100"/>
  <c r="BQ20" i="100"/>
  <c r="CB20" i="100"/>
  <c r="BZ20" i="100"/>
  <c r="CJ20" i="100"/>
  <c r="BW20" i="100"/>
  <c r="CQ20" i="100"/>
  <c r="CN20" i="100"/>
  <c r="CW20" i="100"/>
  <c r="BX20" i="100"/>
  <c r="DF20" i="100"/>
  <c r="CK20" i="100"/>
  <c r="CA20" i="100"/>
  <c r="CE20" i="100"/>
  <c r="CU20" i="100"/>
  <c r="DD20" i="100"/>
  <c r="CH20" i="100"/>
  <c r="CR20" i="100"/>
  <c r="BR20" i="100"/>
  <c r="DA20" i="100"/>
  <c r="CF20" i="100"/>
  <c r="CT20" i="100"/>
  <c r="CO20" i="100"/>
  <c r="CI20" i="100"/>
  <c r="CY20" i="100"/>
  <c r="CX20" i="100"/>
  <c r="CC20" i="100"/>
  <c r="CL20" i="100"/>
  <c r="CV20" i="100"/>
  <c r="BV20" i="100"/>
  <c r="BY20" i="100"/>
  <c r="BF59" i="93"/>
  <c r="BJ59" i="93"/>
  <c r="BN59" i="93"/>
  <c r="BR59" i="93"/>
  <c r="BV59" i="93"/>
  <c r="BZ59" i="93"/>
  <c r="CD59" i="93"/>
  <c r="CH59" i="93"/>
  <c r="CL59" i="93"/>
  <c r="CP59" i="93"/>
  <c r="CT59" i="93"/>
  <c r="BI59" i="93"/>
  <c r="BQ59" i="93"/>
  <c r="CC59" i="93"/>
  <c r="CO59" i="93"/>
  <c r="BG59" i="93"/>
  <c r="BK59" i="93"/>
  <c r="BO59" i="93"/>
  <c r="BS59" i="93"/>
  <c r="BW59" i="93"/>
  <c r="CA59" i="93"/>
  <c r="CE59" i="93"/>
  <c r="CI59" i="93"/>
  <c r="CM59" i="93"/>
  <c r="CQ59" i="93"/>
  <c r="CU59" i="93"/>
  <c r="BM59" i="93"/>
  <c r="BY59" i="93"/>
  <c r="CG59" i="93"/>
  <c r="CS59" i="93"/>
  <c r="BH59" i="93"/>
  <c r="BL59" i="93"/>
  <c r="BP59" i="93"/>
  <c r="BT59" i="93"/>
  <c r="BX59" i="93"/>
  <c r="CB59" i="93"/>
  <c r="CF59" i="93"/>
  <c r="CJ59" i="93"/>
  <c r="CN59" i="93"/>
  <c r="CR59" i="93"/>
  <c r="BU59" i="93"/>
  <c r="CK59" i="93"/>
  <c r="CI30" i="100"/>
  <c r="CJ30" i="100"/>
  <c r="DD30" i="100"/>
  <c r="CG30" i="100"/>
  <c r="DA30" i="100"/>
  <c r="CD30" i="100"/>
  <c r="CX30" i="100"/>
  <c r="CQ30" i="100"/>
  <c r="CM30" i="100"/>
  <c r="BW30" i="100"/>
  <c r="BV30" i="100"/>
  <c r="BT30" i="100"/>
  <c r="DC30" i="100"/>
  <c r="BX30" i="100"/>
  <c r="CR30" i="100"/>
  <c r="BQ30" i="100"/>
  <c r="CO30" i="100"/>
  <c r="DE30" i="100"/>
  <c r="CH30" i="100"/>
  <c r="DB30" i="100"/>
  <c r="CY30" i="100"/>
  <c r="BS30" i="100"/>
  <c r="CK30" i="100"/>
  <c r="CB30" i="100"/>
  <c r="CV30" i="100"/>
  <c r="BY30" i="100"/>
  <c r="CS30" i="100"/>
  <c r="BR30" i="100"/>
  <c r="CP30" i="100"/>
  <c r="DF30" i="100"/>
  <c r="CE30" i="100"/>
  <c r="CU30" i="100"/>
  <c r="CL30" i="100"/>
  <c r="CF30" i="100"/>
  <c r="CZ30" i="100"/>
  <c r="CC30" i="100"/>
  <c r="CW30" i="100"/>
  <c r="BZ30" i="100"/>
  <c r="CT30" i="100"/>
  <c r="CA30" i="100"/>
  <c r="CN30" i="100"/>
  <c r="BU30" i="100"/>
  <c r="BH46" i="93"/>
  <c r="BL46" i="93"/>
  <c r="BP46" i="93"/>
  <c r="BT46" i="93"/>
  <c r="BX46" i="93"/>
  <c r="CB46" i="93"/>
  <c r="CF46" i="93"/>
  <c r="CJ46" i="93"/>
  <c r="CN46" i="93"/>
  <c r="CR46" i="93"/>
  <c r="BK46" i="93"/>
  <c r="BW46" i="93"/>
  <c r="CI46" i="93"/>
  <c r="CU46" i="93"/>
  <c r="BI46" i="93"/>
  <c r="BM46" i="93"/>
  <c r="BQ46" i="93"/>
  <c r="BU46" i="93"/>
  <c r="BY46" i="93"/>
  <c r="CC46" i="93"/>
  <c r="CG46" i="93"/>
  <c r="CK46" i="93"/>
  <c r="CO46" i="93"/>
  <c r="CS46" i="93"/>
  <c r="BG46" i="93"/>
  <c r="BS46" i="93"/>
  <c r="CE46" i="93"/>
  <c r="CQ46" i="93"/>
  <c r="BF46" i="93"/>
  <c r="BJ46" i="93"/>
  <c r="BN46" i="93"/>
  <c r="BR46" i="93"/>
  <c r="BV46" i="93"/>
  <c r="BZ46" i="93"/>
  <c r="CD46" i="93"/>
  <c r="CH46" i="93"/>
  <c r="CL46" i="93"/>
  <c r="CP46" i="93"/>
  <c r="CT46" i="93"/>
  <c r="BO46" i="93"/>
  <c r="CA46" i="93"/>
  <c r="CM46" i="93"/>
  <c r="CT6" i="98"/>
  <c r="DB6" i="98" s="1"/>
  <c r="CT12" i="98"/>
  <c r="DB17" i="98" s="1"/>
  <c r="CT59" i="98"/>
  <c r="DB70" i="98" s="1"/>
  <c r="CT35" i="98"/>
  <c r="DB45" i="98" s="1"/>
  <c r="CT43" i="98"/>
  <c r="DB53" i="98" s="1"/>
  <c r="CT46" i="98"/>
  <c r="DB56" i="98" s="1"/>
  <c r="CT47" i="98"/>
  <c r="DB57" i="98" s="1"/>
  <c r="CT22" i="98"/>
  <c r="CT27" i="98"/>
  <c r="CT15" i="98"/>
  <c r="DB22" i="98" s="1"/>
  <c r="CT19" i="98"/>
  <c r="DB26" i="98" s="1"/>
  <c r="CT14" i="98"/>
  <c r="CT40" i="98"/>
  <c r="CT39" i="98"/>
  <c r="DB49" i="98" s="1"/>
  <c r="CT48" i="98"/>
  <c r="CT49" i="98"/>
  <c r="CT16" i="98"/>
  <c r="DB23" i="98" s="1"/>
  <c r="CT57" i="98"/>
  <c r="DB68" i="98" s="1"/>
  <c r="CT44" i="98"/>
  <c r="DB54" i="98" s="1"/>
  <c r="CT52" i="98"/>
  <c r="DB63" i="98" s="1"/>
  <c r="CT45" i="98"/>
  <c r="DB55" i="98" s="1"/>
  <c r="CT33" i="98"/>
  <c r="CT38" i="98"/>
  <c r="DB48" i="98" s="1"/>
  <c r="CT31" i="98"/>
  <c r="DB40" i="98" s="1"/>
  <c r="CT18" i="98"/>
  <c r="DB25" i="98" s="1"/>
  <c r="CT23" i="98"/>
  <c r="DB31" i="98" s="1"/>
  <c r="CT63" i="98"/>
  <c r="DB74" i="98" s="1"/>
  <c r="CT62" i="98"/>
  <c r="DB73" i="98" s="1"/>
  <c r="CT20" i="98"/>
  <c r="DB27" i="98" s="1"/>
  <c r="CT65" i="98"/>
  <c r="DB76" i="98" s="1"/>
  <c r="CT61" i="98"/>
  <c r="DB72" i="98" s="1"/>
  <c r="CT26" i="98"/>
  <c r="DB34" i="98" s="1"/>
  <c r="CT51" i="98"/>
  <c r="DB62" i="98" s="1"/>
  <c r="CT56" i="98"/>
  <c r="DB67" i="98" s="1"/>
  <c r="CT42" i="98"/>
  <c r="DB52" i="98" s="1"/>
  <c r="CT32" i="98"/>
  <c r="DB41" i="98" s="1"/>
  <c r="CT24" i="98"/>
  <c r="DB32" i="98" s="1"/>
  <c r="CT37" i="98"/>
  <c r="DB47" i="98" s="1"/>
  <c r="CT17" i="98"/>
  <c r="DB24" i="98" s="1"/>
  <c r="CT25" i="98"/>
  <c r="DB33" i="98" s="1"/>
  <c r="CT29" i="98"/>
  <c r="DB38" i="98" s="1"/>
  <c r="CT64" i="98"/>
  <c r="DB75" i="98" s="1"/>
  <c r="CT53" i="98"/>
  <c r="DB64" i="98" s="1"/>
  <c r="CT11" i="98"/>
  <c r="CT8" i="98"/>
  <c r="CT9" i="98"/>
  <c r="CT21" i="98"/>
  <c r="DB28" i="98" s="1"/>
  <c r="CT55" i="98"/>
  <c r="DB66" i="98" s="1"/>
  <c r="CT50" i="98"/>
  <c r="DB61" i="98" s="1"/>
  <c r="CT54" i="98"/>
  <c r="DB65" i="98" s="1"/>
  <c r="CT41" i="98"/>
  <c r="DB51" i="98" s="1"/>
  <c r="CT36" i="98"/>
  <c r="DB46" i="98" s="1"/>
  <c r="CT28" i="98"/>
  <c r="DB37" i="98" s="1"/>
  <c r="CT34" i="98"/>
  <c r="DB44" i="98" s="1"/>
  <c r="CT13" i="98"/>
  <c r="DB18" i="98" s="1"/>
  <c r="CT60" i="98"/>
  <c r="DB71" i="98" s="1"/>
  <c r="CT30" i="98"/>
  <c r="DB39" i="98" s="1"/>
  <c r="CT58" i="98"/>
  <c r="DB69" i="98" s="1"/>
  <c r="CT10" i="98"/>
  <c r="DB14" i="98" s="1"/>
  <c r="BZ10" i="100"/>
  <c r="CZ10" i="100"/>
  <c r="BQ10" i="100"/>
  <c r="CG10" i="100"/>
  <c r="CW10" i="100"/>
  <c r="CA10" i="100"/>
  <c r="CV10" i="100"/>
  <c r="CB10" i="100"/>
  <c r="CX10" i="100"/>
  <c r="CD10" i="100"/>
  <c r="CY10" i="100"/>
  <c r="CE10" i="100"/>
  <c r="CU10" i="100"/>
  <c r="BU10" i="100"/>
  <c r="CK10" i="100"/>
  <c r="DA10" i="100"/>
  <c r="CF10" i="100"/>
  <c r="DB10" i="100"/>
  <c r="CH10" i="100"/>
  <c r="DC10" i="100"/>
  <c r="CI10" i="100"/>
  <c r="DD10" i="100"/>
  <c r="BY10" i="100"/>
  <c r="CO10" i="100"/>
  <c r="DE10" i="100"/>
  <c r="CL10" i="100"/>
  <c r="BR10" i="100"/>
  <c r="CM10" i="100"/>
  <c r="BS10" i="100"/>
  <c r="CN10" i="100"/>
  <c r="CP10" i="100"/>
  <c r="DF10" i="100"/>
  <c r="CJ10" i="100"/>
  <c r="CC10" i="100"/>
  <c r="CS10" i="100"/>
  <c r="BV10" i="100"/>
  <c r="CQ10" i="100"/>
  <c r="BW10" i="100"/>
  <c r="CR10" i="100"/>
  <c r="BX10" i="100"/>
  <c r="CT10" i="100"/>
  <c r="BT10" i="100"/>
  <c r="BF49" i="93"/>
  <c r="BJ49" i="93"/>
  <c r="BN49" i="93"/>
  <c r="BR49" i="93"/>
  <c r="BV49" i="93"/>
  <c r="BZ49" i="93"/>
  <c r="CD49" i="93"/>
  <c r="CH49" i="93"/>
  <c r="CL49" i="93"/>
  <c r="CP49" i="93"/>
  <c r="CT49" i="93"/>
  <c r="BI49" i="93"/>
  <c r="BY49" i="93"/>
  <c r="CO49" i="93"/>
  <c r="BG49" i="93"/>
  <c r="BK49" i="93"/>
  <c r="BO49" i="93"/>
  <c r="BS49" i="93"/>
  <c r="BW49" i="93"/>
  <c r="CA49" i="93"/>
  <c r="CE49" i="93"/>
  <c r="CI49" i="93"/>
  <c r="CM49" i="93"/>
  <c r="CQ49" i="93"/>
  <c r="CU49" i="93"/>
  <c r="BM49" i="93"/>
  <c r="BU49" i="93"/>
  <c r="CG49" i="93"/>
  <c r="CS49" i="93"/>
  <c r="BH49" i="93"/>
  <c r="BL49" i="93"/>
  <c r="BP49" i="93"/>
  <c r="BT49" i="93"/>
  <c r="BX49" i="93"/>
  <c r="CB49" i="93"/>
  <c r="CF49" i="93"/>
  <c r="CJ49" i="93"/>
  <c r="CN49" i="93"/>
  <c r="CR49" i="93"/>
  <c r="BQ49" i="93"/>
  <c r="CC49" i="93"/>
  <c r="CK49" i="93"/>
  <c r="BV33" i="100"/>
  <c r="CD33" i="100"/>
  <c r="BZ33" i="100"/>
  <c r="CA33" i="100"/>
  <c r="DD33" i="100"/>
  <c r="CF33" i="100"/>
  <c r="BQ33" i="100"/>
  <c r="CG33" i="100"/>
  <c r="CW33" i="100"/>
  <c r="CO33" i="100"/>
  <c r="CX33" i="100"/>
  <c r="CP33" i="100"/>
  <c r="CY33" i="100"/>
  <c r="CE33" i="100"/>
  <c r="BT33" i="100"/>
  <c r="CJ33" i="100"/>
  <c r="BU33" i="100"/>
  <c r="CK33" i="100"/>
  <c r="CR33" i="100"/>
  <c r="CU33" i="100"/>
  <c r="BS33" i="100"/>
  <c r="CI33" i="100"/>
  <c r="BX33" i="100"/>
  <c r="DA33" i="100"/>
  <c r="BY33" i="100"/>
  <c r="DB33" i="100"/>
  <c r="CH33" i="100"/>
  <c r="CS33" i="100"/>
  <c r="CQ33" i="100"/>
  <c r="CT33" i="100"/>
  <c r="CL33" i="100"/>
  <c r="DC33" i="100"/>
  <c r="BW33" i="100"/>
  <c r="CZ33" i="100"/>
  <c r="CB33" i="100"/>
  <c r="DE33" i="100"/>
  <c r="CC33" i="100"/>
  <c r="DF33" i="100"/>
  <c r="BR33" i="100"/>
  <c r="CV33" i="100"/>
  <c r="CN33" i="100"/>
  <c r="CM33" i="100"/>
  <c r="BF33" i="93"/>
  <c r="BJ33" i="93"/>
  <c r="BN33" i="93"/>
  <c r="BR33" i="93"/>
  <c r="BV33" i="93"/>
  <c r="BZ33" i="93"/>
  <c r="CD33" i="93"/>
  <c r="CH33" i="93"/>
  <c r="CL33" i="93"/>
  <c r="CP33" i="93"/>
  <c r="CT33" i="93"/>
  <c r="BM33" i="93"/>
  <c r="BY33" i="93"/>
  <c r="CK33" i="93"/>
  <c r="BG33" i="93"/>
  <c r="BK33" i="93"/>
  <c r="BO33" i="93"/>
  <c r="BS33" i="93"/>
  <c r="BW33" i="93"/>
  <c r="CA33" i="93"/>
  <c r="CE33" i="93"/>
  <c r="CI33" i="93"/>
  <c r="CM33" i="93"/>
  <c r="CQ33" i="93"/>
  <c r="CU33" i="93"/>
  <c r="BQ33" i="93"/>
  <c r="CC33" i="93"/>
  <c r="CO33" i="93"/>
  <c r="BH33" i="93"/>
  <c r="BL33" i="93"/>
  <c r="BP33" i="93"/>
  <c r="BT33" i="93"/>
  <c r="BX33" i="93"/>
  <c r="CB33" i="93"/>
  <c r="CF33" i="93"/>
  <c r="CJ33" i="93"/>
  <c r="CN33" i="93"/>
  <c r="CR33" i="93"/>
  <c r="BI33" i="93"/>
  <c r="BU33" i="93"/>
  <c r="CG33" i="93"/>
  <c r="CS33" i="93"/>
  <c r="BU49" i="100"/>
  <c r="BR49" i="100"/>
  <c r="BS49" i="100"/>
  <c r="BT49" i="100"/>
  <c r="CL49" i="100"/>
  <c r="DE49" i="100"/>
  <c r="CK49" i="100"/>
  <c r="CJ49" i="100"/>
  <c r="CZ49" i="100"/>
  <c r="CN49" i="100"/>
  <c r="CQ49" i="100"/>
  <c r="BV49" i="100"/>
  <c r="BW49" i="100"/>
  <c r="BX49" i="100"/>
  <c r="BQ49" i="100"/>
  <c r="CP49" i="100"/>
  <c r="BZ49" i="100"/>
  <c r="DA49" i="100"/>
  <c r="CI49" i="100"/>
  <c r="CU49" i="100"/>
  <c r="CR49" i="100"/>
  <c r="CS49" i="100"/>
  <c r="CT49" i="100"/>
  <c r="DB49" i="100"/>
  <c r="CD49" i="100"/>
  <c r="CO49" i="100"/>
  <c r="CG49" i="100"/>
  <c r="BY49" i="100"/>
  <c r="DD49" i="100"/>
  <c r="CY49" i="100"/>
  <c r="CA49" i="100"/>
  <c r="CV49" i="100"/>
  <c r="CW49" i="100"/>
  <c r="CX49" i="100"/>
  <c r="DF49" i="100"/>
  <c r="CH49" i="100"/>
  <c r="CC49" i="100"/>
  <c r="CF49" i="100"/>
  <c r="CB49" i="100"/>
  <c r="DC49" i="100"/>
  <c r="CM49" i="100"/>
  <c r="CE49" i="100"/>
  <c r="BY34" i="100"/>
  <c r="DB34" i="100"/>
  <c r="BV34" i="100"/>
  <c r="CY34" i="100"/>
  <c r="CA34" i="100"/>
  <c r="DD34" i="100"/>
  <c r="CF34" i="100"/>
  <c r="CK34" i="100"/>
  <c r="CS34" i="100"/>
  <c r="CT34" i="100"/>
  <c r="CL34" i="100"/>
  <c r="DF34" i="100"/>
  <c r="BZ34" i="100"/>
  <c r="DC34" i="100"/>
  <c r="CE34" i="100"/>
  <c r="BT34" i="100"/>
  <c r="CJ34" i="100"/>
  <c r="BU34" i="100"/>
  <c r="CR34" i="100"/>
  <c r="CU34" i="100"/>
  <c r="CG34" i="100"/>
  <c r="CC34" i="100"/>
  <c r="CD34" i="100"/>
  <c r="BS34" i="100"/>
  <c r="CI34" i="100"/>
  <c r="BX34" i="100"/>
  <c r="DA34" i="100"/>
  <c r="CW34" i="100"/>
  <c r="CO34" i="100"/>
  <c r="CQ34" i="100"/>
  <c r="CX34" i="100"/>
  <c r="CP34" i="100"/>
  <c r="BQ34" i="100"/>
  <c r="BR34" i="100"/>
  <c r="CH34" i="100"/>
  <c r="BW34" i="100"/>
  <c r="CZ34" i="100"/>
  <c r="CB34" i="100"/>
  <c r="DE34" i="100"/>
  <c r="CV34" i="100"/>
  <c r="CN34" i="100"/>
  <c r="CM34" i="100"/>
  <c r="BH36" i="93"/>
  <c r="BL36" i="93"/>
  <c r="BP36" i="93"/>
  <c r="BT36" i="93"/>
  <c r="BX36" i="93"/>
  <c r="CB36" i="93"/>
  <c r="CF36" i="93"/>
  <c r="CJ36" i="93"/>
  <c r="CN36" i="93"/>
  <c r="CR36" i="93"/>
  <c r="BG36" i="93"/>
  <c r="BS36" i="93"/>
  <c r="CE36" i="93"/>
  <c r="CQ36" i="93"/>
  <c r="BI36" i="93"/>
  <c r="BM36" i="93"/>
  <c r="BQ36" i="93"/>
  <c r="BU36" i="93"/>
  <c r="BY36" i="93"/>
  <c r="CC36" i="93"/>
  <c r="CG36" i="93"/>
  <c r="CK36" i="93"/>
  <c r="CO36" i="93"/>
  <c r="CS36" i="93"/>
  <c r="BK36" i="93"/>
  <c r="BW36" i="93"/>
  <c r="CI36" i="93"/>
  <c r="CU36" i="93"/>
  <c r="BF36" i="93"/>
  <c r="BJ36" i="93"/>
  <c r="BN36" i="93"/>
  <c r="BR36" i="93"/>
  <c r="BV36" i="93"/>
  <c r="BZ36" i="93"/>
  <c r="CD36" i="93"/>
  <c r="CH36" i="93"/>
  <c r="CL36" i="93"/>
  <c r="CP36" i="93"/>
  <c r="CT36" i="93"/>
  <c r="BO36" i="93"/>
  <c r="CA36" i="93"/>
  <c r="CM36" i="93"/>
  <c r="CQ58" i="100"/>
  <c r="BV58" i="100"/>
  <c r="BW58" i="100"/>
  <c r="BX58" i="100"/>
  <c r="BQ58" i="100"/>
  <c r="CJ58" i="100"/>
  <c r="CZ58" i="100"/>
  <c r="CA58" i="100"/>
  <c r="CP58" i="100"/>
  <c r="BZ58" i="100"/>
  <c r="CK58" i="100"/>
  <c r="CU58" i="100"/>
  <c r="CR58" i="100"/>
  <c r="CS58" i="100"/>
  <c r="CT58" i="100"/>
  <c r="DC58" i="100"/>
  <c r="CN58" i="100"/>
  <c r="CY58" i="100"/>
  <c r="CL58" i="100"/>
  <c r="DE58" i="100"/>
  <c r="CG58" i="100"/>
  <c r="CV58" i="100"/>
  <c r="CW58" i="100"/>
  <c r="CX58" i="100"/>
  <c r="CF58" i="100"/>
  <c r="CI58" i="100"/>
  <c r="DF58" i="100"/>
  <c r="CH58" i="100"/>
  <c r="DA58" i="100"/>
  <c r="CC58" i="100"/>
  <c r="BR58" i="100"/>
  <c r="BS58" i="100"/>
  <c r="BT58" i="100"/>
  <c r="BU58" i="100"/>
  <c r="CM58" i="100"/>
  <c r="DD58" i="100"/>
  <c r="CB58" i="100"/>
  <c r="CE58" i="100"/>
  <c r="DB58" i="100"/>
  <c r="CD58" i="100"/>
  <c r="CO58" i="100"/>
  <c r="BY58" i="100"/>
  <c r="BU50" i="100"/>
  <c r="CQ50" i="100"/>
  <c r="BV50" i="100"/>
  <c r="BW50" i="100"/>
  <c r="BX50" i="100"/>
  <c r="BQ50" i="100"/>
  <c r="CL50" i="100"/>
  <c r="DA50" i="100"/>
  <c r="CO50" i="100"/>
  <c r="BY50" i="100"/>
  <c r="CU50" i="100"/>
  <c r="CR50" i="100"/>
  <c r="CS50" i="100"/>
  <c r="CT50" i="100"/>
  <c r="CP50" i="100"/>
  <c r="BZ50" i="100"/>
  <c r="CG50" i="100"/>
  <c r="CN50" i="100"/>
  <c r="CF50" i="100"/>
  <c r="CB50" i="100"/>
  <c r="CY50" i="100"/>
  <c r="CI50" i="100"/>
  <c r="CA50" i="100"/>
  <c r="CV50" i="100"/>
  <c r="CW50" i="100"/>
  <c r="CX50" i="100"/>
  <c r="DF50" i="100"/>
  <c r="DB50" i="100"/>
  <c r="CD50" i="100"/>
  <c r="DE50" i="100"/>
  <c r="CK50" i="100"/>
  <c r="CC50" i="100"/>
  <c r="CJ50" i="100"/>
  <c r="CZ50" i="100"/>
  <c r="CM50" i="100"/>
  <c r="BR50" i="100"/>
  <c r="BS50" i="100"/>
  <c r="BT50" i="100"/>
  <c r="CH50" i="100"/>
  <c r="DD50" i="100"/>
  <c r="DC50" i="100"/>
  <c r="CE50" i="100"/>
  <c r="BF17" i="93"/>
  <c r="BJ17" i="93"/>
  <c r="BN17" i="93"/>
  <c r="BR17" i="93"/>
  <c r="BV17" i="93"/>
  <c r="BZ17" i="93"/>
  <c r="CD17" i="93"/>
  <c r="CH17" i="93"/>
  <c r="CL17" i="93"/>
  <c r="CP17" i="93"/>
  <c r="CT17" i="93"/>
  <c r="BM17" i="93"/>
  <c r="BY17" i="93"/>
  <c r="CO17" i="93"/>
  <c r="BG17" i="93"/>
  <c r="BK17" i="93"/>
  <c r="BO17" i="93"/>
  <c r="BS17" i="93"/>
  <c r="BW17" i="93"/>
  <c r="CA17" i="93"/>
  <c r="CE17" i="93"/>
  <c r="CI17" i="93"/>
  <c r="CM17" i="93"/>
  <c r="CQ17" i="93"/>
  <c r="CU17" i="93"/>
  <c r="BI17" i="93"/>
  <c r="BU17" i="93"/>
  <c r="CK17" i="93"/>
  <c r="BH17" i="93"/>
  <c r="BL17" i="93"/>
  <c r="BP17" i="93"/>
  <c r="BT17" i="93"/>
  <c r="BX17" i="93"/>
  <c r="CB17" i="93"/>
  <c r="CF17" i="93"/>
  <c r="CJ17" i="93"/>
  <c r="CN17" i="93"/>
  <c r="CR17" i="93"/>
  <c r="BQ17" i="93"/>
  <c r="CC17" i="93"/>
  <c r="CG17" i="93"/>
  <c r="CS17" i="93"/>
  <c r="CI26" i="100"/>
  <c r="BX26" i="100"/>
  <c r="CR26" i="100"/>
  <c r="BQ26" i="100"/>
  <c r="CO26" i="100"/>
  <c r="DE26" i="100"/>
  <c r="CH26" i="100"/>
  <c r="DB26" i="100"/>
  <c r="CY26" i="100"/>
  <c r="BV26" i="100"/>
  <c r="CN26" i="100"/>
  <c r="BU26" i="100"/>
  <c r="CU26" i="100"/>
  <c r="CQ26" i="100"/>
  <c r="DC26" i="100"/>
  <c r="CB26" i="100"/>
  <c r="CV26" i="100"/>
  <c r="BY26" i="100"/>
  <c r="CS26" i="100"/>
  <c r="BR26" i="100"/>
  <c r="CP26" i="100"/>
  <c r="DF26" i="100"/>
  <c r="CE26" i="100"/>
  <c r="BW26" i="100"/>
  <c r="CA26" i="100"/>
  <c r="BS26" i="100"/>
  <c r="CF26" i="100"/>
  <c r="CZ26" i="100"/>
  <c r="CC26" i="100"/>
  <c r="CW26" i="100"/>
  <c r="BZ26" i="100"/>
  <c r="CT26" i="100"/>
  <c r="BT26" i="100"/>
  <c r="CM26" i="100"/>
  <c r="CJ26" i="100"/>
  <c r="DD26" i="100"/>
  <c r="CG26" i="100"/>
  <c r="DA26" i="100"/>
  <c r="CD26" i="100"/>
  <c r="CX26" i="100"/>
  <c r="CL26" i="100"/>
  <c r="CK26" i="100"/>
  <c r="BF13" i="93"/>
  <c r="BJ13" i="93"/>
  <c r="BN13" i="93"/>
  <c r="BR13" i="93"/>
  <c r="BV13" i="93"/>
  <c r="BZ13" i="93"/>
  <c r="CD13" i="93"/>
  <c r="CH13" i="93"/>
  <c r="CL13" i="93"/>
  <c r="CP13" i="93"/>
  <c r="CT13" i="93"/>
  <c r="BI13" i="93"/>
  <c r="BU13" i="93"/>
  <c r="CG13" i="93"/>
  <c r="CS13" i="93"/>
  <c r="BG13" i="93"/>
  <c r="BK13" i="93"/>
  <c r="BO13" i="93"/>
  <c r="BS13" i="93"/>
  <c r="BW13" i="93"/>
  <c r="CA13" i="93"/>
  <c r="CE13" i="93"/>
  <c r="CI13" i="93"/>
  <c r="CM13" i="93"/>
  <c r="CQ13" i="93"/>
  <c r="CU13" i="93"/>
  <c r="BM13" i="93"/>
  <c r="BY13" i="93"/>
  <c r="CK13" i="93"/>
  <c r="BH13" i="93"/>
  <c r="BL13" i="93"/>
  <c r="BP13" i="93"/>
  <c r="BT13" i="93"/>
  <c r="BX13" i="93"/>
  <c r="CB13" i="93"/>
  <c r="CF13" i="93"/>
  <c r="CJ13" i="93"/>
  <c r="CN13" i="93"/>
  <c r="CR13" i="93"/>
  <c r="BQ13" i="93"/>
  <c r="CC13" i="93"/>
  <c r="CO13" i="93"/>
  <c r="BH10" i="93"/>
  <c r="BL10" i="93"/>
  <c r="BP10" i="93"/>
  <c r="BT10" i="93"/>
  <c r="BX10" i="93"/>
  <c r="CB10" i="93"/>
  <c r="CF10" i="93"/>
  <c r="CJ10" i="93"/>
  <c r="CN10" i="93"/>
  <c r="CR10" i="93"/>
  <c r="BG10" i="93"/>
  <c r="BS10" i="93"/>
  <c r="CE10" i="93"/>
  <c r="CQ10" i="93"/>
  <c r="BI10" i="93"/>
  <c r="BM10" i="93"/>
  <c r="BQ10" i="93"/>
  <c r="BU10" i="93"/>
  <c r="BY10" i="93"/>
  <c r="CC10" i="93"/>
  <c r="CG10" i="93"/>
  <c r="CK10" i="93"/>
  <c r="CO10" i="93"/>
  <c r="CS10" i="93"/>
  <c r="BO10" i="93"/>
  <c r="CA10" i="93"/>
  <c r="CM10" i="93"/>
  <c r="BF10" i="93"/>
  <c r="BJ10" i="93"/>
  <c r="BN10" i="93"/>
  <c r="BR10" i="93"/>
  <c r="BV10" i="93"/>
  <c r="BZ10" i="93"/>
  <c r="CD10" i="93"/>
  <c r="CH10" i="93"/>
  <c r="CL10" i="93"/>
  <c r="CP10" i="93"/>
  <c r="CT10" i="93"/>
  <c r="BK10" i="93"/>
  <c r="BW10" i="93"/>
  <c r="CI10" i="93"/>
  <c r="CU10" i="93"/>
  <c r="BF7" i="93"/>
  <c r="BJ7" i="93"/>
  <c r="BN7" i="93"/>
  <c r="BR7" i="93"/>
  <c r="BV7" i="93"/>
  <c r="BZ7" i="93"/>
  <c r="CD7" i="93"/>
  <c r="CH7" i="93"/>
  <c r="CL7" i="93"/>
  <c r="CP7" i="93"/>
  <c r="CT7" i="93"/>
  <c r="BM7" i="93"/>
  <c r="BY7" i="93"/>
  <c r="CK7" i="93"/>
  <c r="BG7" i="93"/>
  <c r="BK7" i="93"/>
  <c r="BO7" i="93"/>
  <c r="BS7" i="93"/>
  <c r="BW7" i="93"/>
  <c r="CA7" i="93"/>
  <c r="CE7" i="93"/>
  <c r="CI7" i="93"/>
  <c r="CM7" i="93"/>
  <c r="CQ7" i="93"/>
  <c r="CU7" i="93"/>
  <c r="BI7" i="93"/>
  <c r="BU7" i="93"/>
  <c r="CG7" i="93"/>
  <c r="CS7" i="93"/>
  <c r="BH7" i="93"/>
  <c r="BL7" i="93"/>
  <c r="BP7" i="93"/>
  <c r="BT7" i="93"/>
  <c r="BX7" i="93"/>
  <c r="CB7" i="93"/>
  <c r="CF7" i="93"/>
  <c r="CJ7" i="93"/>
  <c r="CN7" i="93"/>
  <c r="CR7" i="93"/>
  <c r="BQ7" i="93"/>
  <c r="CC7" i="93"/>
  <c r="CO7" i="93"/>
  <c r="BR39" i="100"/>
  <c r="BX39" i="100"/>
  <c r="BW39" i="100"/>
  <c r="CR39" i="100"/>
  <c r="DB39" i="100"/>
  <c r="CD39" i="100"/>
  <c r="DE39" i="100"/>
  <c r="DA39" i="100"/>
  <c r="CO39" i="100"/>
  <c r="BY39" i="100"/>
  <c r="DD39" i="100"/>
  <c r="CU39" i="100"/>
  <c r="BT39" i="100"/>
  <c r="BS39" i="100"/>
  <c r="BV39" i="100"/>
  <c r="DF39" i="100"/>
  <c r="CH39" i="100"/>
  <c r="CK39" i="100"/>
  <c r="CF39" i="100"/>
  <c r="CB39" i="100"/>
  <c r="DC39" i="100"/>
  <c r="CM39" i="100"/>
  <c r="CE39" i="100"/>
  <c r="CQ39" i="100"/>
  <c r="BQ39" i="100"/>
  <c r="CX39" i="100"/>
  <c r="CW39" i="100"/>
  <c r="CL39" i="100"/>
  <c r="CG39" i="100"/>
  <c r="CJ39" i="100"/>
  <c r="CN39" i="100"/>
  <c r="BU39" i="100"/>
  <c r="CT39" i="100"/>
  <c r="CS39" i="100"/>
  <c r="CV39" i="100"/>
  <c r="CP39" i="100"/>
  <c r="BZ39" i="100"/>
  <c r="CC39" i="100"/>
  <c r="CZ39" i="100"/>
  <c r="CY39" i="100"/>
  <c r="CI39" i="100"/>
  <c r="CA39" i="100"/>
  <c r="BF19" i="93"/>
  <c r="BJ19" i="93"/>
  <c r="BN19" i="93"/>
  <c r="BR19" i="93"/>
  <c r="BV19" i="93"/>
  <c r="BZ19" i="93"/>
  <c r="CD19" i="93"/>
  <c r="CH19" i="93"/>
  <c r="CL19" i="93"/>
  <c r="CP19" i="93"/>
  <c r="CT19" i="93"/>
  <c r="BQ19" i="93"/>
  <c r="CC19" i="93"/>
  <c r="CO19" i="93"/>
  <c r="BG19" i="93"/>
  <c r="BK19" i="93"/>
  <c r="BO19" i="93"/>
  <c r="BS19" i="93"/>
  <c r="BW19" i="93"/>
  <c r="CA19" i="93"/>
  <c r="CE19" i="93"/>
  <c r="CI19" i="93"/>
  <c r="CM19" i="93"/>
  <c r="CQ19" i="93"/>
  <c r="CU19" i="93"/>
  <c r="BM19" i="93"/>
  <c r="BY19" i="93"/>
  <c r="CK19" i="93"/>
  <c r="BH19" i="93"/>
  <c r="BL19" i="93"/>
  <c r="BP19" i="93"/>
  <c r="BT19" i="93"/>
  <c r="BX19" i="93"/>
  <c r="CB19" i="93"/>
  <c r="CF19" i="93"/>
  <c r="CJ19" i="93"/>
  <c r="CN19" i="93"/>
  <c r="CR19" i="93"/>
  <c r="BI19" i="93"/>
  <c r="BU19" i="93"/>
  <c r="CG19" i="93"/>
  <c r="CS19" i="93"/>
  <c r="BR43" i="100"/>
  <c r="CQ43" i="100"/>
  <c r="BQ43" i="100"/>
  <c r="BX43" i="100"/>
  <c r="BW43" i="100"/>
  <c r="CL43" i="100"/>
  <c r="CK43" i="100"/>
  <c r="CJ43" i="100"/>
  <c r="CN43" i="100"/>
  <c r="BU43" i="100"/>
  <c r="BT43" i="100"/>
  <c r="BS43" i="100"/>
  <c r="CV43" i="100"/>
  <c r="CP43" i="100"/>
  <c r="BZ43" i="100"/>
  <c r="CG43" i="100"/>
  <c r="CC43" i="100"/>
  <c r="CZ43" i="100"/>
  <c r="CY43" i="100"/>
  <c r="CI43" i="100"/>
  <c r="CA43" i="100"/>
  <c r="CX43" i="100"/>
  <c r="CW43" i="100"/>
  <c r="CR43" i="100"/>
  <c r="DB43" i="100"/>
  <c r="CD43" i="100"/>
  <c r="DE43" i="100"/>
  <c r="CO43" i="100"/>
  <c r="BY43" i="100"/>
  <c r="DD43" i="100"/>
  <c r="CU43" i="100"/>
  <c r="CT43" i="100"/>
  <c r="CS43" i="100"/>
  <c r="BV43" i="100"/>
  <c r="DF43" i="100"/>
  <c r="CH43" i="100"/>
  <c r="DA43" i="100"/>
  <c r="CF43" i="100"/>
  <c r="CB43" i="100"/>
  <c r="DC43" i="100"/>
  <c r="CM43" i="100"/>
  <c r="CE43" i="100"/>
  <c r="BH60" i="93"/>
  <c r="BL60" i="93"/>
  <c r="BP60" i="93"/>
  <c r="BT60" i="93"/>
  <c r="BX60" i="93"/>
  <c r="CB60" i="93"/>
  <c r="CF60" i="93"/>
  <c r="CJ60" i="93"/>
  <c r="CN60" i="93"/>
  <c r="CR60" i="93"/>
  <c r="BK60" i="93"/>
  <c r="BW60" i="93"/>
  <c r="CI60" i="93"/>
  <c r="CU60" i="93"/>
  <c r="BI60" i="93"/>
  <c r="BM60" i="93"/>
  <c r="BQ60" i="93"/>
  <c r="BU60" i="93"/>
  <c r="BY60" i="93"/>
  <c r="CC60" i="93"/>
  <c r="CG60" i="93"/>
  <c r="CK60" i="93"/>
  <c r="CO60" i="93"/>
  <c r="CS60" i="93"/>
  <c r="BO60" i="93"/>
  <c r="CA60" i="93"/>
  <c r="CM60" i="93"/>
  <c r="BF60" i="93"/>
  <c r="BJ60" i="93"/>
  <c r="BN60" i="93"/>
  <c r="BR60" i="93"/>
  <c r="BV60" i="93"/>
  <c r="BZ60" i="93"/>
  <c r="CD60" i="93"/>
  <c r="CH60" i="93"/>
  <c r="CL60" i="93"/>
  <c r="CP60" i="93"/>
  <c r="CT60" i="93"/>
  <c r="BG60" i="93"/>
  <c r="BS60" i="93"/>
  <c r="CE60" i="93"/>
  <c r="CQ60" i="93"/>
  <c r="BR40" i="100"/>
  <c r="CU40" i="100"/>
  <c r="BX40" i="100"/>
  <c r="BW40" i="100"/>
  <c r="CV40" i="100"/>
  <c r="DB40" i="100"/>
  <c r="CD40" i="100"/>
  <c r="DE40" i="100"/>
  <c r="CK40" i="100"/>
  <c r="CC40" i="100"/>
  <c r="CJ40" i="100"/>
  <c r="CZ40" i="100"/>
  <c r="CN40" i="100"/>
  <c r="CI40" i="100"/>
  <c r="BQ40" i="100"/>
  <c r="CQ40" i="100"/>
  <c r="BT40" i="100"/>
  <c r="BS40" i="100"/>
  <c r="CR40" i="100"/>
  <c r="DF40" i="100"/>
  <c r="CH40" i="100"/>
  <c r="DA40" i="100"/>
  <c r="DD40" i="100"/>
  <c r="DC40" i="100"/>
  <c r="CE40" i="100"/>
  <c r="BU40" i="100"/>
  <c r="CX40" i="100"/>
  <c r="CW40" i="100"/>
  <c r="BV40" i="100"/>
  <c r="CL40" i="100"/>
  <c r="CO40" i="100"/>
  <c r="CG40" i="100"/>
  <c r="BY40" i="100"/>
  <c r="CY40" i="100"/>
  <c r="CM40" i="100"/>
  <c r="CA40" i="100"/>
  <c r="CT40" i="100"/>
  <c r="CS40" i="100"/>
  <c r="CP40" i="100"/>
  <c r="BZ40" i="100"/>
  <c r="CF40" i="100"/>
  <c r="CB40" i="100"/>
  <c r="BH6" i="93"/>
  <c r="BL6" i="93"/>
  <c r="BP6" i="93"/>
  <c r="BT6" i="93"/>
  <c r="BX6" i="93"/>
  <c r="CB6" i="93"/>
  <c r="CF6" i="93"/>
  <c r="CJ6" i="93"/>
  <c r="CN6" i="93"/>
  <c r="CR6" i="93"/>
  <c r="BG6" i="93"/>
  <c r="CE6" i="93"/>
  <c r="CQ6" i="93"/>
  <c r="BI6" i="93"/>
  <c r="BM6" i="93"/>
  <c r="BQ6" i="93"/>
  <c r="BU6" i="93"/>
  <c r="BY6" i="93"/>
  <c r="CC6" i="93"/>
  <c r="CG6" i="93"/>
  <c r="CK6" i="93"/>
  <c r="CO6" i="93"/>
  <c r="CS6" i="93"/>
  <c r="BO6" i="93"/>
  <c r="CA6" i="93"/>
  <c r="CM6" i="93"/>
  <c r="BF6" i="93"/>
  <c r="BJ6" i="93"/>
  <c r="BN6" i="93"/>
  <c r="BR6" i="93"/>
  <c r="BV6" i="93"/>
  <c r="BZ6" i="93"/>
  <c r="CD6" i="93"/>
  <c r="CH6" i="93"/>
  <c r="CL6" i="93"/>
  <c r="CP6" i="93"/>
  <c r="CT6" i="93"/>
  <c r="BK6" i="93"/>
  <c r="BS6" i="93"/>
  <c r="BW6" i="93"/>
  <c r="CI6" i="93"/>
  <c r="CU6" i="93"/>
  <c r="BU41" i="100"/>
  <c r="BR41" i="100"/>
  <c r="BS41" i="100"/>
  <c r="BT41" i="100"/>
  <c r="CP41" i="100"/>
  <c r="BZ41" i="100"/>
  <c r="CG41" i="100"/>
  <c r="CC41" i="100"/>
  <c r="CZ41" i="100"/>
  <c r="CY41" i="100"/>
  <c r="CI41" i="100"/>
  <c r="CA41" i="100"/>
  <c r="CQ41" i="100"/>
  <c r="BV41" i="100"/>
  <c r="BW41" i="100"/>
  <c r="BX41" i="100"/>
  <c r="BQ41" i="100"/>
  <c r="DB41" i="100"/>
  <c r="CD41" i="100"/>
  <c r="DE41" i="100"/>
  <c r="DA41" i="100"/>
  <c r="DD41" i="100"/>
  <c r="CU41" i="100"/>
  <c r="CR41" i="100"/>
  <c r="CS41" i="100"/>
  <c r="CT41" i="100"/>
  <c r="DF41" i="100"/>
  <c r="CH41" i="100"/>
  <c r="CO41" i="100"/>
  <c r="BY41" i="100"/>
  <c r="CF41" i="100"/>
  <c r="CB41" i="100"/>
  <c r="DC41" i="100"/>
  <c r="CM41" i="100"/>
  <c r="CE41" i="100"/>
  <c r="CV41" i="100"/>
  <c r="CW41" i="100"/>
  <c r="CX41" i="100"/>
  <c r="CL41" i="100"/>
  <c r="CK41" i="100"/>
  <c r="CJ41" i="100"/>
  <c r="CN41" i="100"/>
  <c r="BH54" i="93"/>
  <c r="BL54" i="93"/>
  <c r="BP54" i="93"/>
  <c r="BT54" i="93"/>
  <c r="BX54" i="93"/>
  <c r="CB54" i="93"/>
  <c r="CF54" i="93"/>
  <c r="CJ54" i="93"/>
  <c r="CN54" i="93"/>
  <c r="CR54" i="93"/>
  <c r="BK54" i="93"/>
  <c r="BW54" i="93"/>
  <c r="CI54" i="93"/>
  <c r="CU54" i="93"/>
  <c r="BI54" i="93"/>
  <c r="BM54" i="93"/>
  <c r="BQ54" i="93"/>
  <c r="BU54" i="93"/>
  <c r="BY54" i="93"/>
  <c r="CC54" i="93"/>
  <c r="CG54" i="93"/>
  <c r="CK54" i="93"/>
  <c r="CO54" i="93"/>
  <c r="CS54" i="93"/>
  <c r="BO54" i="93"/>
  <c r="CA54" i="93"/>
  <c r="CM54" i="93"/>
  <c r="BF54" i="93"/>
  <c r="BJ54" i="93"/>
  <c r="BN54" i="93"/>
  <c r="BR54" i="93"/>
  <c r="BV54" i="93"/>
  <c r="BZ54" i="93"/>
  <c r="CD54" i="93"/>
  <c r="CH54" i="93"/>
  <c r="CL54" i="93"/>
  <c r="CP54" i="93"/>
  <c r="CT54" i="93"/>
  <c r="BG54" i="93"/>
  <c r="BS54" i="93"/>
  <c r="CE54" i="93"/>
  <c r="CQ54" i="93"/>
  <c r="BR59" i="100"/>
  <c r="CU59" i="100"/>
  <c r="BX59" i="100"/>
  <c r="BW59" i="100"/>
  <c r="BZ59" i="100"/>
  <c r="DB59" i="100"/>
  <c r="CO59" i="100"/>
  <c r="BY59" i="100"/>
  <c r="CN59" i="100"/>
  <c r="CY59" i="100"/>
  <c r="CA59" i="100"/>
  <c r="CF59" i="100"/>
  <c r="BT59" i="100"/>
  <c r="BS59" i="100"/>
  <c r="CV59" i="100"/>
  <c r="CP59" i="100"/>
  <c r="CK59" i="100"/>
  <c r="CJ59" i="100"/>
  <c r="CM59" i="100"/>
  <c r="CB59" i="100"/>
  <c r="CX59" i="100"/>
  <c r="CW59" i="100"/>
  <c r="CH59" i="100"/>
  <c r="CR59" i="100"/>
  <c r="CL59" i="100"/>
  <c r="DE59" i="100"/>
  <c r="CG59" i="100"/>
  <c r="DD59" i="100"/>
  <c r="CI59" i="100"/>
  <c r="BQ59" i="100"/>
  <c r="CQ59" i="100"/>
  <c r="BU59" i="100"/>
  <c r="CT59" i="100"/>
  <c r="CS59" i="100"/>
  <c r="CD59" i="100"/>
  <c r="BV59" i="100"/>
  <c r="DF59" i="100"/>
  <c r="DA59" i="100"/>
  <c r="CC59" i="100"/>
  <c r="CZ59" i="100"/>
  <c r="DC59" i="100"/>
  <c r="CE59" i="100"/>
  <c r="BF63" i="93"/>
  <c r="BJ63" i="93"/>
  <c r="BN63" i="93"/>
  <c r="BR63" i="93"/>
  <c r="BV63" i="93"/>
  <c r="BZ63" i="93"/>
  <c r="CD63" i="93"/>
  <c r="CH63" i="93"/>
  <c r="CL63" i="93"/>
  <c r="CP63" i="93"/>
  <c r="CT63" i="93"/>
  <c r="BM63" i="93"/>
  <c r="BY63" i="93"/>
  <c r="CK63" i="93"/>
  <c r="BG63" i="93"/>
  <c r="BK63" i="93"/>
  <c r="BO63" i="93"/>
  <c r="BS63" i="93"/>
  <c r="BW63" i="93"/>
  <c r="CA63" i="93"/>
  <c r="CE63" i="93"/>
  <c r="CI63" i="93"/>
  <c r="CM63" i="93"/>
  <c r="CQ63" i="93"/>
  <c r="CU63" i="93"/>
  <c r="BI63" i="93"/>
  <c r="BU63" i="93"/>
  <c r="CG63" i="93"/>
  <c r="CS63" i="93"/>
  <c r="BH63" i="93"/>
  <c r="BL63" i="93"/>
  <c r="BP63" i="93"/>
  <c r="BT63" i="93"/>
  <c r="BX63" i="93"/>
  <c r="CB63" i="93"/>
  <c r="CF63" i="93"/>
  <c r="CJ63" i="93"/>
  <c r="CN63" i="93"/>
  <c r="CR63" i="93"/>
  <c r="BQ63" i="93"/>
  <c r="CC63" i="93"/>
  <c r="CO63" i="93"/>
  <c r="CM16" i="100"/>
  <c r="CG16" i="100"/>
  <c r="CW16" i="100"/>
  <c r="CD16" i="100"/>
  <c r="CY16" i="100"/>
  <c r="CJ16" i="100"/>
  <c r="DF16" i="100"/>
  <c r="CL16" i="100"/>
  <c r="BS16" i="100"/>
  <c r="BW16" i="100"/>
  <c r="BU16" i="100"/>
  <c r="BT16" i="100"/>
  <c r="BQ16" i="100"/>
  <c r="CK16" i="100"/>
  <c r="DA16" i="100"/>
  <c r="CI16" i="100"/>
  <c r="DD16" i="100"/>
  <c r="CP16" i="100"/>
  <c r="BR16" i="100"/>
  <c r="CQ16" i="100"/>
  <c r="CX16" i="100"/>
  <c r="BY16" i="100"/>
  <c r="CO16" i="100"/>
  <c r="DE16" i="100"/>
  <c r="CN16" i="100"/>
  <c r="BZ16" i="100"/>
  <c r="CU16" i="100"/>
  <c r="CA16" i="100"/>
  <c r="CV16" i="100"/>
  <c r="DC16" i="100"/>
  <c r="CB16" i="100"/>
  <c r="BV16" i="100"/>
  <c r="CC16" i="100"/>
  <c r="CS16" i="100"/>
  <c r="BX16" i="100"/>
  <c r="CT16" i="100"/>
  <c r="CE16" i="100"/>
  <c r="CZ16" i="100"/>
  <c r="CF16" i="100"/>
  <c r="DB16" i="100"/>
  <c r="CH16" i="100"/>
  <c r="CR16" i="100"/>
  <c r="BH62" i="93"/>
  <c r="BL62" i="93"/>
  <c r="BP62" i="93"/>
  <c r="BT62" i="93"/>
  <c r="BX62" i="93"/>
  <c r="CB62" i="93"/>
  <c r="CF62" i="93"/>
  <c r="CJ62" i="93"/>
  <c r="CN62" i="93"/>
  <c r="CR62" i="93"/>
  <c r="BK62" i="93"/>
  <c r="BW62" i="93"/>
  <c r="CI62" i="93"/>
  <c r="CU62" i="93"/>
  <c r="BI62" i="93"/>
  <c r="BM62" i="93"/>
  <c r="BQ62" i="93"/>
  <c r="BU62" i="93"/>
  <c r="BY62" i="93"/>
  <c r="CC62" i="93"/>
  <c r="CG62" i="93"/>
  <c r="CK62" i="93"/>
  <c r="CO62" i="93"/>
  <c r="CS62" i="93"/>
  <c r="BO62" i="93"/>
  <c r="CA62" i="93"/>
  <c r="CM62" i="93"/>
  <c r="BF62" i="93"/>
  <c r="BJ62" i="93"/>
  <c r="BN62" i="93"/>
  <c r="BR62" i="93"/>
  <c r="BV62" i="93"/>
  <c r="BZ62" i="93"/>
  <c r="CD62" i="93"/>
  <c r="CH62" i="93"/>
  <c r="CL62" i="93"/>
  <c r="CP62" i="93"/>
  <c r="CT62" i="93"/>
  <c r="BG62" i="93"/>
  <c r="BS62" i="93"/>
  <c r="CE62" i="93"/>
  <c r="CQ62" i="93"/>
  <c r="CQ66" i="100"/>
  <c r="CU66" i="100"/>
  <c r="BV66" i="100"/>
  <c r="BW66" i="100"/>
  <c r="BX66" i="100"/>
  <c r="BQ66" i="100"/>
  <c r="CN66" i="100"/>
  <c r="CI66" i="100"/>
  <c r="DF66" i="100"/>
  <c r="CH66" i="100"/>
  <c r="CK66" i="100"/>
  <c r="CR66" i="100"/>
  <c r="CS66" i="100"/>
  <c r="CT66" i="100"/>
  <c r="CJ66" i="100"/>
  <c r="DC66" i="100"/>
  <c r="CE66" i="100"/>
  <c r="DB66" i="100"/>
  <c r="CD66" i="100"/>
  <c r="DE66" i="100"/>
  <c r="CG66" i="100"/>
  <c r="CV66" i="100"/>
  <c r="CW66" i="100"/>
  <c r="CX66" i="100"/>
  <c r="BU66" i="100"/>
  <c r="DD66" i="100"/>
  <c r="CF66" i="100"/>
  <c r="CY66" i="100"/>
  <c r="CA66" i="100"/>
  <c r="CP66" i="100"/>
  <c r="BZ66" i="100"/>
  <c r="DA66" i="100"/>
  <c r="CC66" i="100"/>
  <c r="BR66" i="100"/>
  <c r="BS66" i="100"/>
  <c r="BT66" i="100"/>
  <c r="CZ66" i="100"/>
  <c r="CB66" i="100"/>
  <c r="CM66" i="100"/>
  <c r="CL66" i="100"/>
  <c r="CO66" i="100"/>
  <c r="BY66" i="100"/>
  <c r="BF25" i="93"/>
  <c r="BJ25" i="93"/>
  <c r="BN25" i="93"/>
  <c r="BR25" i="93"/>
  <c r="BV25" i="93"/>
  <c r="BZ25" i="93"/>
  <c r="CD25" i="93"/>
  <c r="CH25" i="93"/>
  <c r="CL25" i="93"/>
  <c r="CP25" i="93"/>
  <c r="CT25" i="93"/>
  <c r="BQ25" i="93"/>
  <c r="CC25" i="93"/>
  <c r="CO25" i="93"/>
  <c r="BG25" i="93"/>
  <c r="BK25" i="93"/>
  <c r="BO25" i="93"/>
  <c r="BS25" i="93"/>
  <c r="BW25" i="93"/>
  <c r="CA25" i="93"/>
  <c r="CE25" i="93"/>
  <c r="CI25" i="93"/>
  <c r="CM25" i="93"/>
  <c r="CQ25" i="93"/>
  <c r="CU25" i="93"/>
  <c r="BM25" i="93"/>
  <c r="BY25" i="93"/>
  <c r="CK25" i="93"/>
  <c r="BH25" i="93"/>
  <c r="BL25" i="93"/>
  <c r="BP25" i="93"/>
  <c r="BT25" i="93"/>
  <c r="BX25" i="93"/>
  <c r="CB25" i="93"/>
  <c r="CF25" i="93"/>
  <c r="CJ25" i="93"/>
  <c r="CN25" i="93"/>
  <c r="CR25" i="93"/>
  <c r="BI25" i="93"/>
  <c r="BU25" i="93"/>
  <c r="CG25" i="93"/>
  <c r="CS25" i="93"/>
  <c r="BF21" i="93"/>
  <c r="BJ21" i="93"/>
  <c r="BN21" i="93"/>
  <c r="BR21" i="93"/>
  <c r="BV21" i="93"/>
  <c r="BZ21" i="93"/>
  <c r="CD21" i="93"/>
  <c r="CH21" i="93"/>
  <c r="CL21" i="93"/>
  <c r="CP21" i="93"/>
  <c r="CT21" i="93"/>
  <c r="BQ21" i="93"/>
  <c r="CC21" i="93"/>
  <c r="CO21" i="93"/>
  <c r="BG21" i="93"/>
  <c r="BK21" i="93"/>
  <c r="BO21" i="93"/>
  <c r="BS21" i="93"/>
  <c r="BW21" i="93"/>
  <c r="CA21" i="93"/>
  <c r="CE21" i="93"/>
  <c r="CI21" i="93"/>
  <c r="CM21" i="93"/>
  <c r="CQ21" i="93"/>
  <c r="CU21" i="93"/>
  <c r="BM21" i="93"/>
  <c r="BY21" i="93"/>
  <c r="CK21" i="93"/>
  <c r="BH21" i="93"/>
  <c r="BL21" i="93"/>
  <c r="BP21" i="93"/>
  <c r="BT21" i="93"/>
  <c r="BX21" i="93"/>
  <c r="CB21" i="93"/>
  <c r="CF21" i="93"/>
  <c r="CJ21" i="93"/>
  <c r="CN21" i="93"/>
  <c r="CR21" i="93"/>
  <c r="BI21" i="93"/>
  <c r="BU21" i="93"/>
  <c r="CG21" i="93"/>
  <c r="CS21" i="93"/>
  <c r="CU61" i="100"/>
  <c r="BR61" i="100"/>
  <c r="BS61" i="100"/>
  <c r="BT61" i="100"/>
  <c r="CP61" i="100"/>
  <c r="BZ61" i="100"/>
  <c r="CK61" i="100"/>
  <c r="CJ61" i="100"/>
  <c r="CM61" i="100"/>
  <c r="BU61" i="100"/>
  <c r="CQ61" i="100"/>
  <c r="BV61" i="100"/>
  <c r="BW61" i="100"/>
  <c r="BX61" i="100"/>
  <c r="CL61" i="100"/>
  <c r="DE61" i="100"/>
  <c r="CG61" i="100"/>
  <c r="DD61" i="100"/>
  <c r="CF61" i="100"/>
  <c r="CI61" i="100"/>
  <c r="CR61" i="100"/>
  <c r="CS61" i="100"/>
  <c r="CT61" i="100"/>
  <c r="DF61" i="100"/>
  <c r="CH61" i="100"/>
  <c r="DA61" i="100"/>
  <c r="CC61" i="100"/>
  <c r="CZ61" i="100"/>
  <c r="CB61" i="100"/>
  <c r="DC61" i="100"/>
  <c r="CE61" i="100"/>
  <c r="CV61" i="100"/>
  <c r="CW61" i="100"/>
  <c r="CX61" i="100"/>
  <c r="BQ61" i="100"/>
  <c r="DB61" i="100"/>
  <c r="CD61" i="100"/>
  <c r="CO61" i="100"/>
  <c r="BY61" i="100"/>
  <c r="CN61" i="100"/>
  <c r="CY61" i="100"/>
  <c r="CA61" i="100"/>
  <c r="BH20" i="93"/>
  <c r="BL20" i="93"/>
  <c r="BP20" i="93"/>
  <c r="BT20" i="93"/>
  <c r="BX20" i="93"/>
  <c r="CB20" i="93"/>
  <c r="CF20" i="93"/>
  <c r="CJ20" i="93"/>
  <c r="CN20" i="93"/>
  <c r="CR20" i="93"/>
  <c r="BK20" i="93"/>
  <c r="BW20" i="93"/>
  <c r="CI20" i="93"/>
  <c r="CU20" i="93"/>
  <c r="BI20" i="93"/>
  <c r="BM20" i="93"/>
  <c r="BQ20" i="93"/>
  <c r="BU20" i="93"/>
  <c r="BY20" i="93"/>
  <c r="CC20" i="93"/>
  <c r="CG20" i="93"/>
  <c r="CK20" i="93"/>
  <c r="CO20" i="93"/>
  <c r="CS20" i="93"/>
  <c r="BG20" i="93"/>
  <c r="BS20" i="93"/>
  <c r="CE20" i="93"/>
  <c r="CQ20" i="93"/>
  <c r="BF20" i="93"/>
  <c r="BJ20" i="93"/>
  <c r="BN20" i="93"/>
  <c r="BR20" i="93"/>
  <c r="BV20" i="93"/>
  <c r="BZ20" i="93"/>
  <c r="CD20" i="93"/>
  <c r="CH20" i="93"/>
  <c r="CL20" i="93"/>
  <c r="CP20" i="93"/>
  <c r="CT20" i="93"/>
  <c r="BO20" i="93"/>
  <c r="CA20" i="93"/>
  <c r="CM20" i="93"/>
  <c r="BH26" i="93"/>
  <c r="BL26" i="93"/>
  <c r="BP26" i="93"/>
  <c r="BT26" i="93"/>
  <c r="BX26" i="93"/>
  <c r="CB26" i="93"/>
  <c r="CF26" i="93"/>
  <c r="CJ26" i="93"/>
  <c r="CN26" i="93"/>
  <c r="CR26" i="93"/>
  <c r="BK26" i="93"/>
  <c r="BW26" i="93"/>
  <c r="CI26" i="93"/>
  <c r="CU26" i="93"/>
  <c r="BI26" i="93"/>
  <c r="BM26" i="93"/>
  <c r="BQ26" i="93"/>
  <c r="BU26" i="93"/>
  <c r="BY26" i="93"/>
  <c r="CC26" i="93"/>
  <c r="CG26" i="93"/>
  <c r="CK26" i="93"/>
  <c r="CO26" i="93"/>
  <c r="CS26" i="93"/>
  <c r="BG26" i="93"/>
  <c r="BS26" i="93"/>
  <c r="CE26" i="93"/>
  <c r="CQ26" i="93"/>
  <c r="BF26" i="93"/>
  <c r="BJ26" i="93"/>
  <c r="BN26" i="93"/>
  <c r="BR26" i="93"/>
  <c r="BV26" i="93"/>
  <c r="BZ26" i="93"/>
  <c r="CD26" i="93"/>
  <c r="CH26" i="93"/>
  <c r="CL26" i="93"/>
  <c r="CP26" i="93"/>
  <c r="CT26" i="93"/>
  <c r="BO26" i="93"/>
  <c r="CA26" i="93"/>
  <c r="CM26" i="93"/>
  <c r="BR48" i="100"/>
  <c r="CQ48" i="100"/>
  <c r="CU48" i="100"/>
  <c r="BX48" i="100"/>
  <c r="BW48" i="100"/>
  <c r="CV48" i="100"/>
  <c r="CP48" i="100"/>
  <c r="BZ48" i="100"/>
  <c r="CG48" i="100"/>
  <c r="CN48" i="100"/>
  <c r="CF48" i="100"/>
  <c r="CB48" i="100"/>
  <c r="CY48" i="100"/>
  <c r="CI48" i="100"/>
  <c r="CA48" i="100"/>
  <c r="BQ48" i="100"/>
  <c r="BT48" i="100"/>
  <c r="BS48" i="100"/>
  <c r="CR48" i="100"/>
  <c r="DF48" i="100"/>
  <c r="DB48" i="100"/>
  <c r="CD48" i="100"/>
  <c r="DE48" i="100"/>
  <c r="CK48" i="100"/>
  <c r="CC48" i="100"/>
  <c r="CJ48" i="100"/>
  <c r="CZ48" i="100"/>
  <c r="CM48" i="100"/>
  <c r="BU48" i="100"/>
  <c r="CX48" i="100"/>
  <c r="CW48" i="100"/>
  <c r="BV48" i="100"/>
  <c r="CH48" i="100"/>
  <c r="DD48" i="100"/>
  <c r="DC48" i="100"/>
  <c r="CE48" i="100"/>
  <c r="CT48" i="100"/>
  <c r="CS48" i="100"/>
  <c r="CL48" i="100"/>
  <c r="DA48" i="100"/>
  <c r="CO48" i="100"/>
  <c r="BY48" i="100"/>
  <c r="DA7" i="98"/>
  <c r="DA8" i="98"/>
  <c r="DA9" i="98"/>
  <c r="CS6" i="98"/>
  <c r="DA6" i="98" s="1"/>
  <c r="CS9" i="98"/>
  <c r="CS49" i="98"/>
  <c r="CS14" i="98"/>
  <c r="CS19" i="98"/>
  <c r="DA26" i="98" s="1"/>
  <c r="CS60" i="98"/>
  <c r="DA71" i="98" s="1"/>
  <c r="CS51" i="98"/>
  <c r="DA62" i="98" s="1"/>
  <c r="CS47" i="98"/>
  <c r="DA57" i="98" s="1"/>
  <c r="CS50" i="98"/>
  <c r="DA61" i="98" s="1"/>
  <c r="CS12" i="98"/>
  <c r="DA17" i="98" s="1"/>
  <c r="CS35" i="98"/>
  <c r="DA45" i="98" s="1"/>
  <c r="CS53" i="98"/>
  <c r="DA64" i="98" s="1"/>
  <c r="CS13" i="98"/>
  <c r="DA18" i="98" s="1"/>
  <c r="CS65" i="98"/>
  <c r="DA76" i="98" s="1"/>
  <c r="CS20" i="98"/>
  <c r="DA27" i="98" s="1"/>
  <c r="CS15" i="98"/>
  <c r="DA22" i="98" s="1"/>
  <c r="CS64" i="98"/>
  <c r="DA75" i="98" s="1"/>
  <c r="CS63" i="98"/>
  <c r="DA74" i="98" s="1"/>
  <c r="CS55" i="98"/>
  <c r="DA66" i="98" s="1"/>
  <c r="CS57" i="98"/>
  <c r="DA68" i="98" s="1"/>
  <c r="CS42" i="98"/>
  <c r="DA52" i="98" s="1"/>
  <c r="CS21" i="98"/>
  <c r="DA28" i="98" s="1"/>
  <c r="CS36" i="98"/>
  <c r="DA46" i="98" s="1"/>
  <c r="CS38" i="98"/>
  <c r="DA48" i="98" s="1"/>
  <c r="CS58" i="98"/>
  <c r="DA69" i="98" s="1"/>
  <c r="CS23" i="98"/>
  <c r="DA31" i="98" s="1"/>
  <c r="CS44" i="98"/>
  <c r="DA54" i="98" s="1"/>
  <c r="CS16" i="98"/>
  <c r="DA23" i="98" s="1"/>
  <c r="CS17" i="98"/>
  <c r="CS8" i="98"/>
  <c r="CS11" i="98"/>
  <c r="CS18" i="98"/>
  <c r="DA25" i="98" s="1"/>
  <c r="CS48" i="98"/>
  <c r="DA58" i="98" s="1"/>
  <c r="CS46" i="98"/>
  <c r="DA56" i="98" s="1"/>
  <c r="CS52" i="98"/>
  <c r="DA63" i="98" s="1"/>
  <c r="CS33" i="98"/>
  <c r="CS43" i="98"/>
  <c r="DA53" i="98" s="1"/>
  <c r="CS24" i="98"/>
  <c r="DA32" i="98" s="1"/>
  <c r="CS32" i="98"/>
  <c r="DA41" i="98" s="1"/>
  <c r="CS61" i="98"/>
  <c r="DA72" i="98" s="1"/>
  <c r="CS29" i="98"/>
  <c r="DA38" i="98" s="1"/>
  <c r="CS22" i="98"/>
  <c r="CS34" i="98"/>
  <c r="DA44" i="98" s="1"/>
  <c r="CS26" i="98"/>
  <c r="DA34" i="98" s="1"/>
  <c r="CS62" i="98"/>
  <c r="DA73" i="98" s="1"/>
  <c r="CS40" i="98"/>
  <c r="DA50" i="98" s="1"/>
  <c r="CS10" i="98"/>
  <c r="DA14" i="98" s="1"/>
  <c r="CS56" i="98"/>
  <c r="DA67" i="98" s="1"/>
  <c r="CS54" i="98"/>
  <c r="DA65" i="98" s="1"/>
  <c r="CS31" i="98"/>
  <c r="DA40" i="98" s="1"/>
  <c r="CS30" i="98"/>
  <c r="DA39" i="98" s="1"/>
  <c r="CS39" i="98"/>
  <c r="DA49" i="98" s="1"/>
  <c r="CS45" i="98"/>
  <c r="DA55" i="98" s="1"/>
  <c r="CS41" i="98"/>
  <c r="DA51" i="98" s="1"/>
  <c r="CS27" i="98"/>
  <c r="CS37" i="98"/>
  <c r="DA47" i="98" s="1"/>
  <c r="CS28" i="98"/>
  <c r="DA37" i="98" s="1"/>
  <c r="CS59" i="98"/>
  <c r="DA70" i="98" s="1"/>
  <c r="CS25" i="98"/>
  <c r="DA33" i="98" s="1"/>
  <c r="BF43" i="93"/>
  <c r="BJ43" i="93"/>
  <c r="BN43" i="93"/>
  <c r="BR43" i="93"/>
  <c r="BV43" i="93"/>
  <c r="BZ43" i="93"/>
  <c r="CD43" i="93"/>
  <c r="CH43" i="93"/>
  <c r="CL43" i="93"/>
  <c r="CP43" i="93"/>
  <c r="CT43" i="93"/>
  <c r="BI43" i="93"/>
  <c r="BU43" i="93"/>
  <c r="CG43" i="93"/>
  <c r="CS43" i="93"/>
  <c r="BG43" i="93"/>
  <c r="BK43" i="93"/>
  <c r="BO43" i="93"/>
  <c r="BS43" i="93"/>
  <c r="BW43" i="93"/>
  <c r="CA43" i="93"/>
  <c r="CE43" i="93"/>
  <c r="CI43" i="93"/>
  <c r="CM43" i="93"/>
  <c r="CQ43" i="93"/>
  <c r="CU43" i="93"/>
  <c r="BM43" i="93"/>
  <c r="BY43" i="93"/>
  <c r="CK43" i="93"/>
  <c r="BH43" i="93"/>
  <c r="BL43" i="93"/>
  <c r="BP43" i="93"/>
  <c r="BT43" i="93"/>
  <c r="BX43" i="93"/>
  <c r="CB43" i="93"/>
  <c r="CF43" i="93"/>
  <c r="CJ43" i="93"/>
  <c r="CN43" i="93"/>
  <c r="CR43" i="93"/>
  <c r="BQ43" i="93"/>
  <c r="CC43" i="93"/>
  <c r="CO43" i="93"/>
  <c r="BR51" i="100"/>
  <c r="BQ51" i="100"/>
  <c r="BX51" i="100"/>
  <c r="BW51" i="100"/>
  <c r="DF51" i="100"/>
  <c r="CH51" i="100"/>
  <c r="CC51" i="100"/>
  <c r="CF51" i="100"/>
  <c r="CB51" i="100"/>
  <c r="DC51" i="100"/>
  <c r="CM51" i="100"/>
  <c r="CE51" i="100"/>
  <c r="BU51" i="100"/>
  <c r="BT51" i="100"/>
  <c r="BS51" i="100"/>
  <c r="CV51" i="100"/>
  <c r="CL51" i="100"/>
  <c r="DE51" i="100"/>
  <c r="CK51" i="100"/>
  <c r="CJ51" i="100"/>
  <c r="CZ51" i="100"/>
  <c r="CN51" i="100"/>
  <c r="CX51" i="100"/>
  <c r="CW51" i="100"/>
  <c r="CR51" i="100"/>
  <c r="CP51" i="100"/>
  <c r="BZ51" i="100"/>
  <c r="DA51" i="100"/>
  <c r="CI51" i="100"/>
  <c r="CQ51" i="100"/>
  <c r="CU51" i="100"/>
  <c r="CT51" i="100"/>
  <c r="CS51" i="100"/>
  <c r="BV51" i="100"/>
  <c r="DB51" i="100"/>
  <c r="CD51" i="100"/>
  <c r="CO51" i="100"/>
  <c r="CG51" i="100"/>
  <c r="BY51" i="100"/>
  <c r="DD51" i="100"/>
  <c r="CY51" i="100"/>
  <c r="CA51" i="100"/>
  <c r="BF23" i="93"/>
  <c r="BJ23" i="93"/>
  <c r="BN23" i="93"/>
  <c r="BR23" i="93"/>
  <c r="BV23" i="93"/>
  <c r="BZ23" i="93"/>
  <c r="CD23" i="93"/>
  <c r="CH23" i="93"/>
  <c r="CL23" i="93"/>
  <c r="CP23" i="93"/>
  <c r="CT23" i="93"/>
  <c r="BQ23" i="93"/>
  <c r="CC23" i="93"/>
  <c r="CO23" i="93"/>
  <c r="BG23" i="93"/>
  <c r="BK23" i="93"/>
  <c r="BO23" i="93"/>
  <c r="BS23" i="93"/>
  <c r="BW23" i="93"/>
  <c r="CA23" i="93"/>
  <c r="CE23" i="93"/>
  <c r="CI23" i="93"/>
  <c r="CM23" i="93"/>
  <c r="CQ23" i="93"/>
  <c r="CU23" i="93"/>
  <c r="BM23" i="93"/>
  <c r="BY23" i="93"/>
  <c r="CK23" i="93"/>
  <c r="BH23" i="93"/>
  <c r="BL23" i="93"/>
  <c r="BP23" i="93"/>
  <c r="BT23" i="93"/>
  <c r="BX23" i="93"/>
  <c r="CB23" i="93"/>
  <c r="CF23" i="93"/>
  <c r="CJ23" i="93"/>
  <c r="CN23" i="93"/>
  <c r="CR23" i="93"/>
  <c r="BI23" i="93"/>
  <c r="BU23" i="93"/>
  <c r="CG23" i="93"/>
  <c r="CS23" i="93"/>
  <c r="BQ35" i="100"/>
  <c r="CJ35" i="100"/>
  <c r="DE35" i="100"/>
  <c r="DA35" i="100"/>
  <c r="CE35" i="100"/>
  <c r="CH35" i="100"/>
  <c r="BR35" i="100"/>
  <c r="DF35" i="100"/>
  <c r="CC35" i="100"/>
  <c r="CV35" i="100"/>
  <c r="CN35" i="100"/>
  <c r="CM35" i="100"/>
  <c r="CB35" i="100"/>
  <c r="BX35" i="100"/>
  <c r="DD35" i="100"/>
  <c r="CA35" i="100"/>
  <c r="CD35" i="100"/>
  <c r="DB35" i="100"/>
  <c r="BY35" i="100"/>
  <c r="CW35" i="100"/>
  <c r="CO35" i="100"/>
  <c r="CX35" i="100"/>
  <c r="CP35" i="100"/>
  <c r="CF35" i="100"/>
  <c r="CZ35" i="100"/>
  <c r="BW35" i="100"/>
  <c r="DC35" i="100"/>
  <c r="BZ35" i="100"/>
  <c r="CK35" i="100"/>
  <c r="BU35" i="100"/>
  <c r="CR35" i="100"/>
  <c r="CU35" i="100"/>
  <c r="BT35" i="100"/>
  <c r="CI35" i="100"/>
  <c r="BS35" i="100"/>
  <c r="CY35" i="100"/>
  <c r="BV35" i="100"/>
  <c r="CG35" i="100"/>
  <c r="CS35" i="100"/>
  <c r="CQ35" i="100"/>
  <c r="CT35" i="100"/>
  <c r="CL35" i="100"/>
  <c r="BH52" i="93"/>
  <c r="BL52" i="93"/>
  <c r="BP52" i="93"/>
  <c r="BT52" i="93"/>
  <c r="BX52" i="93"/>
  <c r="CB52" i="93"/>
  <c r="CF52" i="93"/>
  <c r="CJ52" i="93"/>
  <c r="CN52" i="93"/>
  <c r="CR52" i="93"/>
  <c r="BO52" i="93"/>
  <c r="CA52" i="93"/>
  <c r="CM52" i="93"/>
  <c r="BI52" i="93"/>
  <c r="BM52" i="93"/>
  <c r="BQ52" i="93"/>
  <c r="BU52" i="93"/>
  <c r="BY52" i="93"/>
  <c r="CC52" i="93"/>
  <c r="CG52" i="93"/>
  <c r="CK52" i="93"/>
  <c r="CO52" i="93"/>
  <c r="CS52" i="93"/>
  <c r="BK52" i="93"/>
  <c r="BW52" i="93"/>
  <c r="CI52" i="93"/>
  <c r="CU52" i="93"/>
  <c r="BF52" i="93"/>
  <c r="BJ52" i="93"/>
  <c r="BN52" i="93"/>
  <c r="BR52" i="93"/>
  <c r="BV52" i="93"/>
  <c r="BZ52" i="93"/>
  <c r="CD52" i="93"/>
  <c r="CH52" i="93"/>
  <c r="CL52" i="93"/>
  <c r="CP52" i="93"/>
  <c r="CT52" i="93"/>
  <c r="BG52" i="93"/>
  <c r="BS52" i="93"/>
  <c r="CE52" i="93"/>
  <c r="CQ52" i="93"/>
  <c r="BR38" i="100"/>
  <c r="BS38" i="100"/>
  <c r="BT38" i="100"/>
  <c r="DF38" i="100"/>
  <c r="CH38" i="100"/>
  <c r="DA38" i="100"/>
  <c r="DD38" i="100"/>
  <c r="CY38" i="100"/>
  <c r="CA38" i="100"/>
  <c r="BV38" i="100"/>
  <c r="BW38" i="100"/>
  <c r="BX38" i="100"/>
  <c r="CL38" i="100"/>
  <c r="CO38" i="100"/>
  <c r="CG38" i="100"/>
  <c r="BY38" i="100"/>
  <c r="CM38" i="100"/>
  <c r="CR38" i="100"/>
  <c r="CS38" i="100"/>
  <c r="CT38" i="100"/>
  <c r="CQ38" i="100"/>
  <c r="BU38" i="100"/>
  <c r="BQ38" i="100"/>
  <c r="CP38" i="100"/>
  <c r="BZ38" i="100"/>
  <c r="CF38" i="100"/>
  <c r="CB38" i="100"/>
  <c r="CI38" i="100"/>
  <c r="CV38" i="100"/>
  <c r="CW38" i="100"/>
  <c r="CX38" i="100"/>
  <c r="CU38" i="100"/>
  <c r="DB38" i="100"/>
  <c r="CD38" i="100"/>
  <c r="DE38" i="100"/>
  <c r="CK38" i="100"/>
  <c r="CC38" i="100"/>
  <c r="CJ38" i="100"/>
  <c r="CZ38" i="100"/>
  <c r="CN38" i="100"/>
  <c r="DC38" i="100"/>
  <c r="CE38" i="100"/>
  <c r="BH34" i="93"/>
  <c r="BL34" i="93"/>
  <c r="BP34" i="93"/>
  <c r="BT34" i="93"/>
  <c r="BX34" i="93"/>
  <c r="CB34" i="93"/>
  <c r="CF34" i="93"/>
  <c r="CJ34" i="93"/>
  <c r="CN34" i="93"/>
  <c r="CR34" i="93"/>
  <c r="BG34" i="93"/>
  <c r="BS34" i="93"/>
  <c r="CE34" i="93"/>
  <c r="CQ34" i="93"/>
  <c r="BI34" i="93"/>
  <c r="BM34" i="93"/>
  <c r="BQ34" i="93"/>
  <c r="BU34" i="93"/>
  <c r="BY34" i="93"/>
  <c r="CC34" i="93"/>
  <c r="CG34" i="93"/>
  <c r="CK34" i="93"/>
  <c r="CO34" i="93"/>
  <c r="CS34" i="93"/>
  <c r="BK34" i="93"/>
  <c r="BW34" i="93"/>
  <c r="CI34" i="93"/>
  <c r="CU34" i="93"/>
  <c r="BF34" i="93"/>
  <c r="BJ34" i="93"/>
  <c r="BN34" i="93"/>
  <c r="BR34" i="93"/>
  <c r="BV34" i="93"/>
  <c r="BZ34" i="93"/>
  <c r="CD34" i="93"/>
  <c r="CH34" i="93"/>
  <c r="CL34" i="93"/>
  <c r="CP34" i="93"/>
  <c r="CT34" i="93"/>
  <c r="BO34" i="93"/>
  <c r="CA34" i="93"/>
  <c r="CM34" i="93"/>
  <c r="BF27" i="93"/>
  <c r="BJ27" i="93"/>
  <c r="BN27" i="93"/>
  <c r="BR27" i="93"/>
  <c r="BV27" i="93"/>
  <c r="BZ27" i="93"/>
  <c r="CD27" i="93"/>
  <c r="CH27" i="93"/>
  <c r="CL27" i="93"/>
  <c r="CP27" i="93"/>
  <c r="CT27" i="93"/>
  <c r="BQ27" i="93"/>
  <c r="CC27" i="93"/>
  <c r="CO27" i="93"/>
  <c r="BG27" i="93"/>
  <c r="BK27" i="93"/>
  <c r="BO27" i="93"/>
  <c r="BS27" i="93"/>
  <c r="BW27" i="93"/>
  <c r="CA27" i="93"/>
  <c r="CE27" i="93"/>
  <c r="CI27" i="93"/>
  <c r="CM27" i="93"/>
  <c r="CQ27" i="93"/>
  <c r="CU27" i="93"/>
  <c r="BM27" i="93"/>
  <c r="BY27" i="93"/>
  <c r="CK27" i="93"/>
  <c r="BH27" i="93"/>
  <c r="BL27" i="93"/>
  <c r="BP27" i="93"/>
  <c r="BT27" i="93"/>
  <c r="BX27" i="93"/>
  <c r="CB27" i="93"/>
  <c r="CF27" i="93"/>
  <c r="CJ27" i="93"/>
  <c r="CN27" i="93"/>
  <c r="CR27" i="93"/>
  <c r="BI27" i="93"/>
  <c r="BU27" i="93"/>
  <c r="CG27" i="93"/>
  <c r="CS27" i="93"/>
  <c r="CD19" i="100"/>
  <c r="DF19" i="100"/>
  <c r="CN19" i="100"/>
  <c r="BU19" i="100"/>
  <c r="CO19" i="100"/>
  <c r="DE19" i="100"/>
  <c r="CX19" i="100"/>
  <c r="BX19" i="100"/>
  <c r="CL19" i="100"/>
  <c r="CZ19" i="100"/>
  <c r="CP19" i="100"/>
  <c r="CJ19" i="100"/>
  <c r="CU19" i="100"/>
  <c r="DD19" i="100"/>
  <c r="CI19" i="100"/>
  <c r="CC19" i="100"/>
  <c r="CS19" i="100"/>
  <c r="BR19" i="100"/>
  <c r="CR19" i="100"/>
  <c r="DB19" i="100"/>
  <c r="CF19" i="100"/>
  <c r="BZ19" i="100"/>
  <c r="BY19" i="100"/>
  <c r="BT19" i="100"/>
  <c r="CY19" i="100"/>
  <c r="CG19" i="100"/>
  <c r="CW19" i="100"/>
  <c r="BV19" i="100"/>
  <c r="CM19" i="100"/>
  <c r="CV19" i="100"/>
  <c r="BW19" i="100"/>
  <c r="CA19" i="100"/>
  <c r="CE19" i="100"/>
  <c r="CT19" i="100"/>
  <c r="BQ19" i="100"/>
  <c r="CK19" i="100"/>
  <c r="DA19" i="100"/>
  <c r="BS19" i="100"/>
  <c r="DC19" i="100"/>
  <c r="CH19" i="100"/>
  <c r="CQ19" i="100"/>
  <c r="CB19" i="100"/>
  <c r="CC15" i="100"/>
  <c r="CX15" i="100"/>
  <c r="BS15" i="100"/>
  <c r="CM15" i="100"/>
  <c r="DC15" i="100"/>
  <c r="CO15" i="100"/>
  <c r="BQ15" i="100"/>
  <c r="CP15" i="100"/>
  <c r="BR15" i="100"/>
  <c r="CR15" i="100"/>
  <c r="BX15" i="100"/>
  <c r="CH15" i="100"/>
  <c r="CA15" i="100"/>
  <c r="CQ15" i="100"/>
  <c r="BY15" i="100"/>
  <c r="CT15" i="100"/>
  <c r="BZ15" i="100"/>
  <c r="CV15" i="100"/>
  <c r="CB15" i="100"/>
  <c r="CW15" i="100"/>
  <c r="CN15" i="100"/>
  <c r="DD15" i="100"/>
  <c r="CE15" i="100"/>
  <c r="CU15" i="100"/>
  <c r="CD15" i="100"/>
  <c r="CZ15" i="100"/>
  <c r="CF15" i="100"/>
  <c r="DA15" i="100"/>
  <c r="CG15" i="100"/>
  <c r="DB15" i="100"/>
  <c r="BT15" i="100"/>
  <c r="BU15" i="100"/>
  <c r="CI15" i="100"/>
  <c r="CY15" i="100"/>
  <c r="CJ15" i="100"/>
  <c r="DE15" i="100"/>
  <c r="CK15" i="100"/>
  <c r="DF15" i="100"/>
  <c r="CL15" i="100"/>
  <c r="CS15" i="100"/>
  <c r="BW15" i="100"/>
  <c r="BV15" i="100"/>
  <c r="CP12" i="100"/>
  <c r="BQ12" i="100"/>
  <c r="CK12" i="100"/>
  <c r="DA12" i="100"/>
  <c r="CF12" i="100"/>
  <c r="DB12" i="100"/>
  <c r="CM12" i="100"/>
  <c r="BX12" i="100"/>
  <c r="CT12" i="100"/>
  <c r="BY12" i="100"/>
  <c r="CO12" i="100"/>
  <c r="DE12" i="100"/>
  <c r="CL12" i="100"/>
  <c r="BS12" i="100"/>
  <c r="CR12" i="100"/>
  <c r="CD12" i="100"/>
  <c r="CY12" i="100"/>
  <c r="DF12" i="100"/>
  <c r="CZ12" i="100"/>
  <c r="BW12" i="100"/>
  <c r="BU12" i="100"/>
  <c r="CC12" i="100"/>
  <c r="CS12" i="100"/>
  <c r="BR12" i="100"/>
  <c r="CQ12" i="100"/>
  <c r="CB12" i="100"/>
  <c r="CX12" i="100"/>
  <c r="CI12" i="100"/>
  <c r="DD12" i="100"/>
  <c r="CJ12" i="100"/>
  <c r="CE12" i="100"/>
  <c r="CU12" i="100"/>
  <c r="BV12" i="100"/>
  <c r="CG12" i="100"/>
  <c r="CW12" i="100"/>
  <c r="CA12" i="100"/>
  <c r="CV12" i="100"/>
  <c r="CH12" i="100"/>
  <c r="DC12" i="100"/>
  <c r="CN12" i="100"/>
  <c r="BT12" i="100"/>
  <c r="BZ12" i="100"/>
  <c r="DE9" i="100"/>
  <c r="BS9" i="100"/>
  <c r="CI9" i="100"/>
  <c r="CY9" i="100"/>
  <c r="CF9" i="100"/>
  <c r="DA9" i="100"/>
  <c r="CB9" i="100"/>
  <c r="CW9" i="100"/>
  <c r="CC9" i="100"/>
  <c r="CX9" i="100"/>
  <c r="BY9" i="100"/>
  <c r="BW9" i="100"/>
  <c r="CM9" i="100"/>
  <c r="DC9" i="100"/>
  <c r="CK9" i="100"/>
  <c r="DF9" i="100"/>
  <c r="CG9" i="100"/>
  <c r="DB9" i="100"/>
  <c r="CH9" i="100"/>
  <c r="DD9" i="100"/>
  <c r="CT9" i="100"/>
  <c r="CA9" i="100"/>
  <c r="CQ9" i="100"/>
  <c r="BU9" i="100"/>
  <c r="CP9" i="100"/>
  <c r="BQ9" i="100"/>
  <c r="CL9" i="100"/>
  <c r="BR9" i="100"/>
  <c r="CN9" i="100"/>
  <c r="BT9" i="100"/>
  <c r="CD9" i="100"/>
  <c r="CE9" i="100"/>
  <c r="CU9" i="100"/>
  <c r="BZ9" i="100"/>
  <c r="CV9" i="100"/>
  <c r="BV9" i="100"/>
  <c r="CR9" i="100"/>
  <c r="BX9" i="100"/>
  <c r="CS9" i="100"/>
  <c r="CO9" i="100"/>
  <c r="CZ9" i="100"/>
  <c r="CJ9" i="100"/>
  <c r="BH50" i="93"/>
  <c r="BL50" i="93"/>
  <c r="BP50" i="93"/>
  <c r="BT50" i="93"/>
  <c r="BX50" i="93"/>
  <c r="CB50" i="93"/>
  <c r="CF50" i="93"/>
  <c r="CJ50" i="93"/>
  <c r="CN50" i="93"/>
  <c r="CR50" i="93"/>
  <c r="BK50" i="93"/>
  <c r="CA50" i="93"/>
  <c r="CM50" i="93"/>
  <c r="BI50" i="93"/>
  <c r="BM50" i="93"/>
  <c r="BQ50" i="93"/>
  <c r="BU50" i="93"/>
  <c r="BY50" i="93"/>
  <c r="CC50" i="93"/>
  <c r="CG50" i="93"/>
  <c r="CK50" i="93"/>
  <c r="CO50" i="93"/>
  <c r="CS50" i="93"/>
  <c r="BO50" i="93"/>
  <c r="BW50" i="93"/>
  <c r="CI50" i="93"/>
  <c r="CU50" i="93"/>
  <c r="BF50" i="93"/>
  <c r="BJ50" i="93"/>
  <c r="BN50" i="93"/>
  <c r="BR50" i="93"/>
  <c r="BV50" i="93"/>
  <c r="BZ50" i="93"/>
  <c r="CD50" i="93"/>
  <c r="CH50" i="93"/>
  <c r="CL50" i="93"/>
  <c r="CP50" i="93"/>
  <c r="CT50" i="93"/>
  <c r="BG50" i="93"/>
  <c r="BS50" i="93"/>
  <c r="CE50" i="93"/>
  <c r="CQ50" i="93"/>
  <c r="BZ21" i="100"/>
  <c r="CC21" i="100"/>
  <c r="CW21" i="100"/>
  <c r="CA21" i="100"/>
  <c r="CZ21" i="100"/>
  <c r="CB21" i="100"/>
  <c r="DB21" i="100"/>
  <c r="CM21" i="100"/>
  <c r="BT21" i="100"/>
  <c r="CH21" i="100"/>
  <c r="CF21" i="100"/>
  <c r="CE21" i="100"/>
  <c r="DD21" i="100"/>
  <c r="BQ21" i="100"/>
  <c r="CK21" i="100"/>
  <c r="DA21" i="100"/>
  <c r="CJ21" i="100"/>
  <c r="DF21" i="100"/>
  <c r="CL21" i="100"/>
  <c r="BS21" i="100"/>
  <c r="CR21" i="100"/>
  <c r="CI21" i="100"/>
  <c r="CY21" i="100"/>
  <c r="BU21" i="100"/>
  <c r="CO21" i="100"/>
  <c r="DE21" i="100"/>
  <c r="CP21" i="100"/>
  <c r="BR21" i="100"/>
  <c r="CQ21" i="100"/>
  <c r="BX21" i="100"/>
  <c r="CX21" i="100"/>
  <c r="CN21" i="100"/>
  <c r="BY21" i="100"/>
  <c r="CS21" i="100"/>
  <c r="BV21" i="100"/>
  <c r="CU21" i="100"/>
  <c r="BW21" i="100"/>
  <c r="CV21" i="100"/>
  <c r="CD21" i="100"/>
  <c r="DC21" i="100"/>
  <c r="CT21" i="100"/>
  <c r="CG21" i="100"/>
  <c r="BF55" i="93"/>
  <c r="BJ55" i="93"/>
  <c r="BN55" i="93"/>
  <c r="BR55" i="93"/>
  <c r="BV55" i="93"/>
  <c r="BZ55" i="93"/>
  <c r="CD55" i="93"/>
  <c r="CH55" i="93"/>
  <c r="CL55" i="93"/>
  <c r="CP55" i="93"/>
  <c r="CT55" i="93"/>
  <c r="BQ55" i="93"/>
  <c r="BY55" i="93"/>
  <c r="CK55" i="93"/>
  <c r="BG55" i="93"/>
  <c r="BK55" i="93"/>
  <c r="BO55" i="93"/>
  <c r="BS55" i="93"/>
  <c r="BW55" i="93"/>
  <c r="CA55" i="93"/>
  <c r="CE55" i="93"/>
  <c r="CI55" i="93"/>
  <c r="CM55" i="93"/>
  <c r="CQ55" i="93"/>
  <c r="CU55" i="93"/>
  <c r="BI55" i="93"/>
  <c r="BU55" i="93"/>
  <c r="CG55" i="93"/>
  <c r="CO55" i="93"/>
  <c r="BH55" i="93"/>
  <c r="BL55" i="93"/>
  <c r="BP55" i="93"/>
  <c r="BT55" i="93"/>
  <c r="BX55" i="93"/>
  <c r="CB55" i="93"/>
  <c r="CF55" i="93"/>
  <c r="CJ55" i="93"/>
  <c r="CN55" i="93"/>
  <c r="CR55" i="93"/>
  <c r="BM55" i="93"/>
  <c r="CC55" i="93"/>
  <c r="CS55" i="93"/>
  <c r="BF35" i="93"/>
  <c r="BJ35" i="93"/>
  <c r="BN35" i="93"/>
  <c r="BR35" i="93"/>
  <c r="BV35" i="93"/>
  <c r="BZ35" i="93"/>
  <c r="CD35" i="93"/>
  <c r="CH35" i="93"/>
  <c r="CL35" i="93"/>
  <c r="CP35" i="93"/>
  <c r="CT35" i="93"/>
  <c r="BM35" i="93"/>
  <c r="BY35" i="93"/>
  <c r="CK35" i="93"/>
  <c r="BG35" i="93"/>
  <c r="BK35" i="93"/>
  <c r="BO35" i="93"/>
  <c r="BS35" i="93"/>
  <c r="BW35" i="93"/>
  <c r="CA35" i="93"/>
  <c r="CE35" i="93"/>
  <c r="CI35" i="93"/>
  <c r="CM35" i="93"/>
  <c r="CQ35" i="93"/>
  <c r="CU35" i="93"/>
  <c r="BQ35" i="93"/>
  <c r="CC35" i="93"/>
  <c r="CO35" i="93"/>
  <c r="BH35" i="93"/>
  <c r="BL35" i="93"/>
  <c r="BP35" i="93"/>
  <c r="BT35" i="93"/>
  <c r="BX35" i="93"/>
  <c r="CB35" i="93"/>
  <c r="CF35" i="93"/>
  <c r="CJ35" i="93"/>
  <c r="CN35" i="93"/>
  <c r="CR35" i="93"/>
  <c r="BI35" i="93"/>
  <c r="BU35" i="93"/>
  <c r="CG35" i="93"/>
  <c r="CS35" i="93"/>
  <c r="CU62" i="100"/>
  <c r="CV62" i="100"/>
  <c r="CW62" i="100"/>
  <c r="CX62" i="100"/>
  <c r="BU62" i="100"/>
  <c r="DD62" i="100"/>
  <c r="CF62" i="100"/>
  <c r="CY62" i="100"/>
  <c r="CA62" i="100"/>
  <c r="CP62" i="100"/>
  <c r="BZ62" i="100"/>
  <c r="DA62" i="100"/>
  <c r="CC62" i="100"/>
  <c r="BR62" i="100"/>
  <c r="BS62" i="100"/>
  <c r="BT62" i="100"/>
  <c r="CZ62" i="100"/>
  <c r="CB62" i="100"/>
  <c r="CM62" i="100"/>
  <c r="CL62" i="100"/>
  <c r="CO62" i="100"/>
  <c r="BY62" i="100"/>
  <c r="BV62" i="100"/>
  <c r="BW62" i="100"/>
  <c r="BX62" i="100"/>
  <c r="BQ62" i="100"/>
  <c r="CN62" i="100"/>
  <c r="CI62" i="100"/>
  <c r="DF62" i="100"/>
  <c r="CH62" i="100"/>
  <c r="CK62" i="100"/>
  <c r="CR62" i="100"/>
  <c r="CS62" i="100"/>
  <c r="CT62" i="100"/>
  <c r="CQ62" i="100"/>
  <c r="CJ62" i="100"/>
  <c r="DC62" i="100"/>
  <c r="CE62" i="100"/>
  <c r="DB62" i="100"/>
  <c r="CD62" i="100"/>
  <c r="DE62" i="100"/>
  <c r="CG62" i="100"/>
  <c r="CI8" i="100"/>
  <c r="BU8" i="100"/>
  <c r="CK8" i="100"/>
  <c r="DA8" i="100"/>
  <c r="CE8" i="100"/>
  <c r="CZ8" i="100"/>
  <c r="CF8" i="100"/>
  <c r="DB8" i="100"/>
  <c r="ES8" i="100" s="1"/>
  <c r="GR8" i="100" s="1"/>
  <c r="CH8" i="100"/>
  <c r="DY8" i="100" s="1"/>
  <c r="FU8" i="100" s="1"/>
  <c r="DC8" i="100"/>
  <c r="CN8" i="100"/>
  <c r="BY8" i="100"/>
  <c r="CO8" i="100"/>
  <c r="DE8" i="100"/>
  <c r="CJ8" i="100"/>
  <c r="DF8" i="100"/>
  <c r="CL8" i="100"/>
  <c r="BR8" i="100"/>
  <c r="CM8" i="100"/>
  <c r="BS8" i="100"/>
  <c r="CC8" i="100"/>
  <c r="CS8" i="100"/>
  <c r="BT8" i="100"/>
  <c r="CP8" i="100"/>
  <c r="BV8" i="100"/>
  <c r="CQ8" i="100"/>
  <c r="BW8" i="100"/>
  <c r="CR8" i="100"/>
  <c r="CY8" i="100"/>
  <c r="CT8" i="100"/>
  <c r="DD8" i="100"/>
  <c r="BQ8" i="100"/>
  <c r="CG8" i="100"/>
  <c r="CW8" i="100"/>
  <c r="BZ8" i="100"/>
  <c r="CU8" i="100"/>
  <c r="CA8" i="100"/>
  <c r="CV8" i="100"/>
  <c r="CB8" i="100"/>
  <c r="CX8" i="100"/>
  <c r="CD8" i="100"/>
  <c r="BX8" i="100"/>
  <c r="DO9" i="100" s="1"/>
  <c r="FI9" i="100" s="1"/>
  <c r="BH30" i="93"/>
  <c r="BL30" i="93"/>
  <c r="BP30" i="93"/>
  <c r="BT30" i="93"/>
  <c r="BX30" i="93"/>
  <c r="CB30" i="93"/>
  <c r="CF30" i="93"/>
  <c r="CJ30" i="93"/>
  <c r="CN30" i="93"/>
  <c r="CR30" i="93"/>
  <c r="BG30" i="93"/>
  <c r="BO30" i="93"/>
  <c r="CA30" i="93"/>
  <c r="CM30" i="93"/>
  <c r="CU30" i="93"/>
  <c r="BI30" i="93"/>
  <c r="BM30" i="93"/>
  <c r="BQ30" i="93"/>
  <c r="BU30" i="93"/>
  <c r="BY30" i="93"/>
  <c r="CC30" i="93"/>
  <c r="CG30" i="93"/>
  <c r="CK30" i="93"/>
  <c r="CO30" i="93"/>
  <c r="CS30" i="93"/>
  <c r="BK30" i="93"/>
  <c r="BW30" i="93"/>
  <c r="CI30" i="93"/>
  <c r="BF30" i="93"/>
  <c r="BJ30" i="93"/>
  <c r="BN30" i="93"/>
  <c r="BR30" i="93"/>
  <c r="BV30" i="93"/>
  <c r="BZ30" i="93"/>
  <c r="CD30" i="93"/>
  <c r="CH30" i="93"/>
  <c r="CL30" i="93"/>
  <c r="CP30" i="93"/>
  <c r="CT30" i="93"/>
  <c r="BS30" i="93"/>
  <c r="CE30" i="93"/>
  <c r="CQ30" i="93"/>
  <c r="BR56" i="100"/>
  <c r="CU56" i="100"/>
  <c r="BU56" i="100"/>
  <c r="CQ56" i="100"/>
  <c r="BX56" i="100"/>
  <c r="CI56" i="100"/>
  <c r="BW56" i="100"/>
  <c r="CV56" i="100"/>
  <c r="CP56" i="100"/>
  <c r="BZ56" i="100"/>
  <c r="CC56" i="100"/>
  <c r="CN56" i="100"/>
  <c r="CF56" i="100"/>
  <c r="CB56" i="100"/>
  <c r="BY56" i="100"/>
  <c r="BT56" i="100"/>
  <c r="BS56" i="100"/>
  <c r="CR56" i="100"/>
  <c r="DC56" i="100"/>
  <c r="DF56" i="100"/>
  <c r="DB56" i="100"/>
  <c r="CD56" i="100"/>
  <c r="CJ56" i="100"/>
  <c r="CZ56" i="100"/>
  <c r="DE56" i="100"/>
  <c r="BQ56" i="100"/>
  <c r="CX56" i="100"/>
  <c r="CY56" i="100"/>
  <c r="CA56" i="100"/>
  <c r="CW56" i="100"/>
  <c r="BV56" i="100"/>
  <c r="CM56" i="100"/>
  <c r="CH56" i="100"/>
  <c r="DA56" i="100"/>
  <c r="DD56" i="100"/>
  <c r="CO56" i="100"/>
  <c r="CT56" i="100"/>
  <c r="CS56" i="100"/>
  <c r="CE56" i="100"/>
  <c r="CL56" i="100"/>
  <c r="CK56" i="100"/>
  <c r="CG56" i="100"/>
  <c r="BF15" i="93"/>
  <c r="BJ15" i="93"/>
  <c r="BN15" i="93"/>
  <c r="BR15" i="93"/>
  <c r="BV15" i="93"/>
  <c r="BZ15" i="93"/>
  <c r="CD15" i="93"/>
  <c r="CH15" i="93"/>
  <c r="CL15" i="93"/>
  <c r="CP15" i="93"/>
  <c r="CT15" i="93"/>
  <c r="BQ15" i="93"/>
  <c r="CC15" i="93"/>
  <c r="CO15" i="93"/>
  <c r="BG15" i="93"/>
  <c r="BK15" i="93"/>
  <c r="BO15" i="93"/>
  <c r="BS15" i="93"/>
  <c r="BW15" i="93"/>
  <c r="CA15" i="93"/>
  <c r="CE15" i="93"/>
  <c r="CI15" i="93"/>
  <c r="CM15" i="93"/>
  <c r="CQ15" i="93"/>
  <c r="CU15" i="93"/>
  <c r="BI15" i="93"/>
  <c r="BU15" i="93"/>
  <c r="CG15" i="93"/>
  <c r="CS15" i="93"/>
  <c r="BH15" i="93"/>
  <c r="BL15" i="93"/>
  <c r="BP15" i="93"/>
  <c r="BT15" i="93"/>
  <c r="BX15" i="93"/>
  <c r="CB15" i="93"/>
  <c r="CF15" i="93"/>
  <c r="CJ15" i="93"/>
  <c r="CN15" i="93"/>
  <c r="CR15" i="93"/>
  <c r="BM15" i="93"/>
  <c r="BY15" i="93"/>
  <c r="CK15" i="93"/>
  <c r="CQ65" i="100"/>
  <c r="CU65" i="100"/>
  <c r="BR65" i="100"/>
  <c r="BS65" i="100"/>
  <c r="BT65" i="100"/>
  <c r="DF65" i="100"/>
  <c r="CH65" i="100"/>
  <c r="DA65" i="100"/>
  <c r="CC65" i="100"/>
  <c r="CZ65" i="100"/>
  <c r="CB65" i="100"/>
  <c r="DC65" i="100"/>
  <c r="CE65" i="100"/>
  <c r="BV65" i="100"/>
  <c r="BW65" i="100"/>
  <c r="BX65" i="100"/>
  <c r="BQ65" i="100"/>
  <c r="DB65" i="100"/>
  <c r="CD65" i="100"/>
  <c r="CO65" i="100"/>
  <c r="BY65" i="100"/>
  <c r="CN65" i="100"/>
  <c r="CY65" i="100"/>
  <c r="CA65" i="100"/>
  <c r="CR65" i="100"/>
  <c r="CS65" i="100"/>
  <c r="CT65" i="100"/>
  <c r="CP65" i="100"/>
  <c r="BZ65" i="100"/>
  <c r="CK65" i="100"/>
  <c r="CJ65" i="100"/>
  <c r="CM65" i="100"/>
  <c r="BU65" i="100"/>
  <c r="CV65" i="100"/>
  <c r="CW65" i="100"/>
  <c r="CX65" i="100"/>
  <c r="CL65" i="100"/>
  <c r="DE65" i="100"/>
  <c r="CG65" i="100"/>
  <c r="DD65" i="100"/>
  <c r="CF65" i="100"/>
  <c r="CI65" i="100"/>
  <c r="BH42" i="93"/>
  <c r="BL42" i="93"/>
  <c r="BP42" i="93"/>
  <c r="BT42" i="93"/>
  <c r="BX42" i="93"/>
  <c r="CB42" i="93"/>
  <c r="CF42" i="93"/>
  <c r="CJ42" i="93"/>
  <c r="CN42" i="93"/>
  <c r="CR42" i="93"/>
  <c r="BG42" i="93"/>
  <c r="BS42" i="93"/>
  <c r="CA42" i="93"/>
  <c r="CM42" i="93"/>
  <c r="BI42" i="93"/>
  <c r="BM42" i="93"/>
  <c r="BQ42" i="93"/>
  <c r="BU42" i="93"/>
  <c r="BY42" i="93"/>
  <c r="CC42" i="93"/>
  <c r="CG42" i="93"/>
  <c r="CK42" i="93"/>
  <c r="CO42" i="93"/>
  <c r="CS42" i="93"/>
  <c r="BO42" i="93"/>
  <c r="CE42" i="93"/>
  <c r="CQ42" i="93"/>
  <c r="BF42" i="93"/>
  <c r="BJ42" i="93"/>
  <c r="BN42" i="93"/>
  <c r="BR42" i="93"/>
  <c r="BV42" i="93"/>
  <c r="BZ42" i="93"/>
  <c r="CD42" i="93"/>
  <c r="CH42" i="93"/>
  <c r="CL42" i="93"/>
  <c r="CP42" i="93"/>
  <c r="CT42" i="93"/>
  <c r="BK42" i="93"/>
  <c r="BW42" i="93"/>
  <c r="CI42" i="93"/>
  <c r="CU42" i="93"/>
  <c r="BF9" i="93"/>
  <c r="BJ9" i="93"/>
  <c r="BN9" i="93"/>
  <c r="BR9" i="93"/>
  <c r="BV9" i="93"/>
  <c r="BZ9" i="93"/>
  <c r="CD9" i="93"/>
  <c r="CH9" i="93"/>
  <c r="CL9" i="93"/>
  <c r="CP9" i="93"/>
  <c r="CT9" i="93"/>
  <c r="BM9" i="93"/>
  <c r="BY9" i="93"/>
  <c r="CK9" i="93"/>
  <c r="BG9" i="93"/>
  <c r="BK9" i="93"/>
  <c r="BO9" i="93"/>
  <c r="BS9" i="93"/>
  <c r="BW9" i="93"/>
  <c r="CA9" i="93"/>
  <c r="CE9" i="93"/>
  <c r="CI9" i="93"/>
  <c r="CM9" i="93"/>
  <c r="CQ9" i="93"/>
  <c r="CU9" i="93"/>
  <c r="BI9" i="93"/>
  <c r="BU9" i="93"/>
  <c r="CG9" i="93"/>
  <c r="CS9" i="93"/>
  <c r="BH9" i="93"/>
  <c r="BL9" i="93"/>
  <c r="BP9" i="93"/>
  <c r="BT9" i="93"/>
  <c r="BX9" i="93"/>
  <c r="CB9" i="93"/>
  <c r="CF9" i="93"/>
  <c r="CJ9" i="93"/>
  <c r="CN9" i="93"/>
  <c r="CR9" i="93"/>
  <c r="BQ9" i="93"/>
  <c r="CC9" i="93"/>
  <c r="CO9" i="93"/>
  <c r="BR64" i="100"/>
  <c r="BQ64" i="100"/>
  <c r="CQ64" i="100"/>
  <c r="BX64" i="100"/>
  <c r="BW64" i="100"/>
  <c r="CV64" i="100"/>
  <c r="CZ64" i="100"/>
  <c r="CB64" i="100"/>
  <c r="CM64" i="100"/>
  <c r="CL64" i="100"/>
  <c r="CO64" i="100"/>
  <c r="BY64" i="100"/>
  <c r="BU64" i="100"/>
  <c r="BT64" i="100"/>
  <c r="BS64" i="100"/>
  <c r="CR64" i="100"/>
  <c r="CN64" i="100"/>
  <c r="CI64" i="100"/>
  <c r="DF64" i="100"/>
  <c r="CH64" i="100"/>
  <c r="CK64" i="100"/>
  <c r="CX64" i="100"/>
  <c r="CW64" i="100"/>
  <c r="BV64" i="100"/>
  <c r="CJ64" i="100"/>
  <c r="DC64" i="100"/>
  <c r="CE64" i="100"/>
  <c r="DB64" i="100"/>
  <c r="CD64" i="100"/>
  <c r="DE64" i="100"/>
  <c r="CG64" i="100"/>
  <c r="CU64" i="100"/>
  <c r="CT64" i="100"/>
  <c r="CS64" i="100"/>
  <c r="DD64" i="100"/>
  <c r="CF64" i="100"/>
  <c r="CY64" i="100"/>
  <c r="CA64" i="100"/>
  <c r="CP64" i="100"/>
  <c r="BZ64" i="100"/>
  <c r="DA64" i="100"/>
  <c r="CC64" i="100"/>
  <c r="BG5" i="93"/>
  <c r="BK5" i="93"/>
  <c r="BO5" i="93"/>
  <c r="BS5" i="93"/>
  <c r="BW5" i="93"/>
  <c r="CA5" i="93"/>
  <c r="CE5" i="93"/>
  <c r="CI5" i="93"/>
  <c r="CM5" i="93"/>
  <c r="CQ5" i="93"/>
  <c r="CU5" i="93"/>
  <c r="BN5" i="93"/>
  <c r="BZ5" i="93"/>
  <c r="CL5" i="93"/>
  <c r="BH5" i="93"/>
  <c r="BL5" i="93"/>
  <c r="BP5" i="93"/>
  <c r="BT5" i="93"/>
  <c r="BX5" i="93"/>
  <c r="CB5" i="93"/>
  <c r="CF5" i="93"/>
  <c r="CJ5" i="93"/>
  <c r="CN5" i="93"/>
  <c r="CR5" i="93"/>
  <c r="BF5" i="93"/>
  <c r="BJ5" i="93"/>
  <c r="BV5" i="93"/>
  <c r="CH5" i="93"/>
  <c r="CT5" i="93"/>
  <c r="BI5" i="93"/>
  <c r="BM5" i="93"/>
  <c r="BQ5" i="93"/>
  <c r="BU5" i="93"/>
  <c r="BY5" i="93"/>
  <c r="CC5" i="93"/>
  <c r="CG5" i="93"/>
  <c r="CK5" i="93"/>
  <c r="CO5" i="93"/>
  <c r="CS5" i="93"/>
  <c r="BR5" i="93"/>
  <c r="CD5" i="93"/>
  <c r="CP5" i="93"/>
  <c r="BR27" i="100"/>
  <c r="CS27" i="100"/>
  <c r="BW27" i="100"/>
  <c r="DA27" i="100"/>
  <c r="CW27" i="100"/>
  <c r="DD27" i="100"/>
  <c r="CJ27" i="100"/>
  <c r="CU27" i="100"/>
  <c r="CA27" i="100"/>
  <c r="DF27" i="100"/>
  <c r="CP27" i="100"/>
  <c r="CG27" i="100"/>
  <c r="CC27" i="100"/>
  <c r="DE27" i="100"/>
  <c r="CZ27" i="100"/>
  <c r="CF27" i="100"/>
  <c r="CQ27" i="100"/>
  <c r="BS27" i="100"/>
  <c r="DB27" i="100"/>
  <c r="CH27" i="100"/>
  <c r="CL27" i="100"/>
  <c r="BY27" i="100"/>
  <c r="CO27" i="100"/>
  <c r="CV27" i="100"/>
  <c r="CB27" i="100"/>
  <c r="DC27" i="100"/>
  <c r="CI27" i="100"/>
  <c r="CX27" i="100"/>
  <c r="CD27" i="100"/>
  <c r="CN27" i="100"/>
  <c r="BU27" i="100"/>
  <c r="BQ27" i="100"/>
  <c r="CR27" i="100"/>
  <c r="BX27" i="100"/>
  <c r="CK27" i="100"/>
  <c r="CY27" i="100"/>
  <c r="CE27" i="100"/>
  <c r="CT27" i="100"/>
  <c r="BZ27" i="100"/>
  <c r="CM27" i="100"/>
  <c r="BV27" i="100"/>
  <c r="BT27" i="100"/>
  <c r="BR23" i="100"/>
  <c r="DA23" i="100"/>
  <c r="DE23" i="100"/>
  <c r="CV23" i="100"/>
  <c r="CB23" i="100"/>
  <c r="BQ23" i="100"/>
  <c r="DC23" i="100"/>
  <c r="CM23" i="100"/>
  <c r="DF23" i="100"/>
  <c r="CP23" i="100"/>
  <c r="BT23" i="100"/>
  <c r="CG23" i="100"/>
  <c r="CF23" i="100"/>
  <c r="CS23" i="100"/>
  <c r="CO23" i="100"/>
  <c r="CR23" i="100"/>
  <c r="BW23" i="100"/>
  <c r="BU23" i="100"/>
  <c r="CH23" i="100"/>
  <c r="CY23" i="100"/>
  <c r="CI23" i="100"/>
  <c r="DB23" i="100"/>
  <c r="CL23" i="100"/>
  <c r="CK23" i="100"/>
  <c r="BX23" i="100"/>
  <c r="BS23" i="100"/>
  <c r="CW23" i="100"/>
  <c r="DD23" i="100"/>
  <c r="CN23" i="100"/>
  <c r="BY23" i="100"/>
  <c r="CU23" i="100"/>
  <c r="CA23" i="100"/>
  <c r="CX23" i="100"/>
  <c r="CD23" i="100"/>
  <c r="CC23" i="100"/>
  <c r="CZ23" i="100"/>
  <c r="CJ23" i="100"/>
  <c r="CQ23" i="100"/>
  <c r="BV23" i="100"/>
  <c r="CT23" i="100"/>
  <c r="BZ23" i="100"/>
  <c r="CE23" i="100"/>
  <c r="BH44" i="93"/>
  <c r="BL44" i="93"/>
  <c r="BP44" i="93"/>
  <c r="BT44" i="93"/>
  <c r="BX44" i="93"/>
  <c r="CB44" i="93"/>
  <c r="CF44" i="93"/>
  <c r="CJ44" i="93"/>
  <c r="CN44" i="93"/>
  <c r="CR44" i="93"/>
  <c r="BO44" i="93"/>
  <c r="CE44" i="93"/>
  <c r="CU44" i="93"/>
  <c r="BI44" i="93"/>
  <c r="BM44" i="93"/>
  <c r="BQ44" i="93"/>
  <c r="BU44" i="93"/>
  <c r="BY44" i="93"/>
  <c r="CC44" i="93"/>
  <c r="CG44" i="93"/>
  <c r="CK44" i="93"/>
  <c r="CO44" i="93"/>
  <c r="CS44" i="93"/>
  <c r="BG44" i="93"/>
  <c r="BS44" i="93"/>
  <c r="CA44" i="93"/>
  <c r="CM44" i="93"/>
  <c r="BF44" i="93"/>
  <c r="BJ44" i="93"/>
  <c r="BN44" i="93"/>
  <c r="BR44" i="93"/>
  <c r="BV44" i="93"/>
  <c r="BZ44" i="93"/>
  <c r="CD44" i="93"/>
  <c r="CH44" i="93"/>
  <c r="CL44" i="93"/>
  <c r="CP44" i="93"/>
  <c r="CT44" i="93"/>
  <c r="BK44" i="93"/>
  <c r="BW44" i="93"/>
  <c r="CI44" i="93"/>
  <c r="CQ44" i="93"/>
  <c r="CN22" i="100"/>
  <c r="BS22" i="100"/>
  <c r="CM22" i="100"/>
  <c r="DC22" i="100"/>
  <c r="CO22" i="100"/>
  <c r="BQ22" i="100"/>
  <c r="CP22" i="100"/>
  <c r="BR22" i="100"/>
  <c r="CR22" i="100"/>
  <c r="DD22" i="100"/>
  <c r="CS22" i="100"/>
  <c r="BW22" i="100"/>
  <c r="CQ22" i="100"/>
  <c r="BU22" i="100"/>
  <c r="CT22" i="100"/>
  <c r="BV22" i="100"/>
  <c r="CV22" i="100"/>
  <c r="BX22" i="100"/>
  <c r="CW22" i="100"/>
  <c r="CD22" i="100"/>
  <c r="CX22" i="100"/>
  <c r="CE22" i="100"/>
  <c r="CH22" i="100"/>
  <c r="CG22" i="100"/>
  <c r="BT22" i="100"/>
  <c r="CA22" i="100"/>
  <c r="CU22" i="100"/>
  <c r="BZ22" i="100"/>
  <c r="CZ22" i="100"/>
  <c r="CB22" i="100"/>
  <c r="DA22" i="100"/>
  <c r="CC22" i="100"/>
  <c r="DB22" i="100"/>
  <c r="BY22" i="100"/>
  <c r="CF22" i="100"/>
  <c r="CI22" i="100"/>
  <c r="CY22" i="100"/>
  <c r="CJ22" i="100"/>
  <c r="DE22" i="100"/>
  <c r="CK22" i="100"/>
  <c r="DF22" i="100"/>
  <c r="CL22" i="100"/>
  <c r="BX28" i="100"/>
  <c r="CI28" i="100"/>
  <c r="DB28" i="100"/>
  <c r="CH28" i="100"/>
  <c r="CS28" i="100"/>
  <c r="BY28" i="100"/>
  <c r="CR28" i="100"/>
  <c r="BU28" i="100"/>
  <c r="CQ28" i="100"/>
  <c r="BS28" i="100"/>
  <c r="CX28" i="100"/>
  <c r="CD28" i="100"/>
  <c r="DE28" i="100"/>
  <c r="CO28" i="100"/>
  <c r="BQ28" i="100"/>
  <c r="CN28" i="100"/>
  <c r="DD28" i="100"/>
  <c r="CJ28" i="100"/>
  <c r="BT28" i="100"/>
  <c r="CY28" i="100"/>
  <c r="CU28" i="100"/>
  <c r="CT28" i="100"/>
  <c r="BZ28" i="100"/>
  <c r="DA28" i="100"/>
  <c r="CG28" i="100"/>
  <c r="CZ28" i="100"/>
  <c r="CF28" i="100"/>
  <c r="CM28" i="100"/>
  <c r="CK28" i="100"/>
  <c r="BW28" i="100"/>
  <c r="BV28" i="100"/>
  <c r="CE28" i="100"/>
  <c r="CA28" i="100"/>
  <c r="DC28" i="100"/>
  <c r="CL28" i="100"/>
  <c r="DF28" i="100"/>
  <c r="CP28" i="100"/>
  <c r="BR28" i="100"/>
  <c r="CW28" i="100"/>
  <c r="CC28" i="100"/>
  <c r="CV28" i="100"/>
  <c r="CB28" i="100"/>
  <c r="DB7" i="98"/>
  <c r="DB8" i="98"/>
  <c r="CV6" i="98"/>
  <c r="DD6" i="98" s="1"/>
  <c r="CV11" i="98"/>
  <c r="CV9" i="98"/>
  <c r="CV60" i="98"/>
  <c r="DD71" i="98" s="1"/>
  <c r="CV28" i="98"/>
  <c r="DD37" i="98" s="1"/>
  <c r="CV65" i="98"/>
  <c r="DD76" i="98" s="1"/>
  <c r="CV61" i="98"/>
  <c r="DD72" i="98" s="1"/>
  <c r="CV18" i="98"/>
  <c r="DD25" i="98" s="1"/>
  <c r="CV36" i="98"/>
  <c r="DD46" i="98" s="1"/>
  <c r="CV37" i="98"/>
  <c r="DD47" i="98" s="1"/>
  <c r="CV48" i="98"/>
  <c r="DD58" i="98" s="1"/>
  <c r="CV34" i="98"/>
  <c r="DD44" i="98" s="1"/>
  <c r="CV20" i="98"/>
  <c r="DD27" i="98" s="1"/>
  <c r="CV31" i="98"/>
  <c r="DD40" i="98" s="1"/>
  <c r="CV62" i="98"/>
  <c r="DD73" i="98" s="1"/>
  <c r="CV44" i="98"/>
  <c r="DD54" i="98" s="1"/>
  <c r="CV51" i="98"/>
  <c r="DD62" i="98" s="1"/>
  <c r="CV25" i="98"/>
  <c r="DD33" i="98" s="1"/>
  <c r="CV30" i="98"/>
  <c r="DD39" i="98" s="1"/>
  <c r="CV54" i="98"/>
  <c r="DD65" i="98" s="1"/>
  <c r="CV19" i="98"/>
  <c r="DD26" i="98" s="1"/>
  <c r="CV29" i="98"/>
  <c r="DD38" i="98" s="1"/>
  <c r="CV38" i="98"/>
  <c r="DD48" i="98" s="1"/>
  <c r="CV16" i="98"/>
  <c r="DD23" i="98" s="1"/>
  <c r="CV52" i="98"/>
  <c r="DD63" i="98" s="1"/>
  <c r="CV35" i="98"/>
  <c r="DD45" i="98" s="1"/>
  <c r="CV33" i="98"/>
  <c r="CV49" i="98"/>
  <c r="CV53" i="98"/>
  <c r="DD64" i="98" s="1"/>
  <c r="CV8" i="98"/>
  <c r="CV46" i="98"/>
  <c r="DD56" i="98" s="1"/>
  <c r="CV50" i="98"/>
  <c r="DD61" i="98" s="1"/>
  <c r="CV24" i="98"/>
  <c r="DD32" i="98" s="1"/>
  <c r="CV12" i="98"/>
  <c r="DD17" i="98" s="1"/>
  <c r="CV26" i="98"/>
  <c r="DD34" i="98" s="1"/>
  <c r="CV41" i="98"/>
  <c r="DD51" i="98" s="1"/>
  <c r="CV13" i="98"/>
  <c r="DD18" i="98" s="1"/>
  <c r="CV27" i="98"/>
  <c r="CV42" i="98"/>
  <c r="DD52" i="98" s="1"/>
  <c r="CV15" i="98"/>
  <c r="DD22" i="98" s="1"/>
  <c r="CV63" i="98"/>
  <c r="DD74" i="98" s="1"/>
  <c r="CV58" i="98"/>
  <c r="DD69" i="98" s="1"/>
  <c r="CV59" i="98"/>
  <c r="DD70" i="98" s="1"/>
  <c r="CV55" i="98"/>
  <c r="DD66" i="98" s="1"/>
  <c r="CV23" i="98"/>
  <c r="DD31" i="98" s="1"/>
  <c r="CV57" i="98"/>
  <c r="DD68" i="98" s="1"/>
  <c r="CV40" i="98"/>
  <c r="DD50" i="98" s="1"/>
  <c r="CV21" i="98"/>
  <c r="DD28" i="98" s="1"/>
  <c r="CV22" i="98"/>
  <c r="CV47" i="98"/>
  <c r="DD57" i="98" s="1"/>
  <c r="CV10" i="98"/>
  <c r="DD14" i="98" s="1"/>
  <c r="CV39" i="98"/>
  <c r="DD49" i="98" s="1"/>
  <c r="CV32" i="98"/>
  <c r="DD41" i="98" s="1"/>
  <c r="CV56" i="98"/>
  <c r="DD67" i="98" s="1"/>
  <c r="CV14" i="98"/>
  <c r="CV45" i="98"/>
  <c r="DD55" i="98" s="1"/>
  <c r="CV43" i="98"/>
  <c r="DD53" i="98" s="1"/>
  <c r="CV64" i="98"/>
  <c r="DD75" i="98" s="1"/>
  <c r="CV17" i="98"/>
  <c r="BF11" i="93"/>
  <c r="BJ11" i="93"/>
  <c r="BN11" i="93"/>
  <c r="BR11" i="93"/>
  <c r="BV11" i="93"/>
  <c r="BZ11" i="93"/>
  <c r="CD11" i="93"/>
  <c r="CH11" i="93"/>
  <c r="CL11" i="93"/>
  <c r="CP11" i="93"/>
  <c r="CT11" i="93"/>
  <c r="BM11" i="93"/>
  <c r="BY11" i="93"/>
  <c r="CK11" i="93"/>
  <c r="BG11" i="93"/>
  <c r="BK11" i="93"/>
  <c r="BO11" i="93"/>
  <c r="BS11" i="93"/>
  <c r="BW11" i="93"/>
  <c r="CA11" i="93"/>
  <c r="CE11" i="93"/>
  <c r="CI11" i="93"/>
  <c r="CM11" i="93"/>
  <c r="CQ11" i="93"/>
  <c r="CU11" i="93"/>
  <c r="BI11" i="93"/>
  <c r="BU11" i="93"/>
  <c r="CG11" i="93"/>
  <c r="CS11" i="93"/>
  <c r="BH11" i="93"/>
  <c r="BL11" i="93"/>
  <c r="BP11" i="93"/>
  <c r="BT11" i="93"/>
  <c r="BX11" i="93"/>
  <c r="CB11" i="93"/>
  <c r="CF11" i="93"/>
  <c r="CJ11" i="93"/>
  <c r="CN11" i="93"/>
  <c r="CR11" i="93"/>
  <c r="BQ11" i="93"/>
  <c r="CC11" i="93"/>
  <c r="CO11" i="93"/>
  <c r="BU45" i="100"/>
  <c r="CU45" i="100"/>
  <c r="BR45" i="100"/>
  <c r="BS45" i="100"/>
  <c r="BT45" i="100"/>
  <c r="DF45" i="100"/>
  <c r="CH45" i="100"/>
  <c r="DA45" i="100"/>
  <c r="CK45" i="100"/>
  <c r="CF45" i="100"/>
  <c r="CB45" i="100"/>
  <c r="DC45" i="100"/>
  <c r="CM45" i="100"/>
  <c r="CE45" i="100"/>
  <c r="BV45" i="100"/>
  <c r="BW45" i="100"/>
  <c r="BX45" i="100"/>
  <c r="CL45" i="100"/>
  <c r="CJ45" i="100"/>
  <c r="CN45" i="100"/>
  <c r="CR45" i="100"/>
  <c r="CS45" i="100"/>
  <c r="CT45" i="100"/>
  <c r="CP45" i="100"/>
  <c r="BZ45" i="100"/>
  <c r="CG45" i="100"/>
  <c r="CC45" i="100"/>
  <c r="CZ45" i="100"/>
  <c r="CY45" i="100"/>
  <c r="CI45" i="100"/>
  <c r="CA45" i="100"/>
  <c r="CQ45" i="100"/>
  <c r="CV45" i="100"/>
  <c r="CW45" i="100"/>
  <c r="CX45" i="100"/>
  <c r="BQ45" i="100"/>
  <c r="DB45" i="100"/>
  <c r="CD45" i="100"/>
  <c r="DE45" i="100"/>
  <c r="CO45" i="100"/>
  <c r="BY45" i="100"/>
  <c r="DD45" i="100"/>
  <c r="BH12" i="93"/>
  <c r="BL12" i="93"/>
  <c r="BP12" i="93"/>
  <c r="BT12" i="93"/>
  <c r="BX12" i="93"/>
  <c r="CB12" i="93"/>
  <c r="CF12" i="93"/>
  <c r="CJ12" i="93"/>
  <c r="CN12" i="93"/>
  <c r="CR12" i="93"/>
  <c r="BG12" i="93"/>
  <c r="BS12" i="93"/>
  <c r="CE12" i="93"/>
  <c r="CM12" i="93"/>
  <c r="BI12" i="93"/>
  <c r="BM12" i="93"/>
  <c r="BQ12" i="93"/>
  <c r="BU12" i="93"/>
  <c r="BY12" i="93"/>
  <c r="CC12" i="93"/>
  <c r="CG12" i="93"/>
  <c r="CK12" i="93"/>
  <c r="CO12" i="93"/>
  <c r="CS12" i="93"/>
  <c r="BO12" i="93"/>
  <c r="CA12" i="93"/>
  <c r="CQ12" i="93"/>
  <c r="BF12" i="93"/>
  <c r="BJ12" i="93"/>
  <c r="BN12" i="93"/>
  <c r="BR12" i="93"/>
  <c r="BV12" i="93"/>
  <c r="BZ12" i="93"/>
  <c r="CD12" i="93"/>
  <c r="CH12" i="93"/>
  <c r="CL12" i="93"/>
  <c r="CP12" i="93"/>
  <c r="CT12" i="93"/>
  <c r="BK12" i="93"/>
  <c r="BW12" i="93"/>
  <c r="CI12" i="93"/>
  <c r="CU12" i="93"/>
  <c r="BU25" i="100"/>
  <c r="CC25" i="100"/>
  <c r="BY25" i="100"/>
  <c r="CD25" i="100"/>
  <c r="CX25" i="100"/>
  <c r="BW25" i="100"/>
  <c r="CQ25" i="100"/>
  <c r="BT25" i="100"/>
  <c r="CN25" i="100"/>
  <c r="DD25" i="100"/>
  <c r="BQ25" i="100"/>
  <c r="BR25" i="100"/>
  <c r="CL25" i="100"/>
  <c r="DB25" i="100"/>
  <c r="CA25" i="100"/>
  <c r="CU25" i="100"/>
  <c r="BX25" i="100"/>
  <c r="CR25" i="100"/>
  <c r="DE25" i="100"/>
  <c r="BV25" i="100"/>
  <c r="CP25" i="100"/>
  <c r="DF25" i="100"/>
  <c r="CI25" i="100"/>
  <c r="CY25" i="100"/>
  <c r="CB25" i="100"/>
  <c r="CV25" i="100"/>
  <c r="DA25" i="100"/>
  <c r="CG25" i="100"/>
  <c r="CE25" i="100"/>
  <c r="CW25" i="100"/>
  <c r="CS25" i="100"/>
  <c r="CO25" i="100"/>
  <c r="BZ25" i="100"/>
  <c r="CT25" i="100"/>
  <c r="BS25" i="100"/>
  <c r="CM25" i="100"/>
  <c r="DC25" i="100"/>
  <c r="CJ25" i="100"/>
  <c r="CZ25" i="100"/>
  <c r="CK25" i="100"/>
  <c r="CH25" i="100"/>
  <c r="CF25" i="100"/>
  <c r="BH40" i="93"/>
  <c r="BL40" i="93"/>
  <c r="BP40" i="93"/>
  <c r="BT40" i="93"/>
  <c r="BX40" i="93"/>
  <c r="CB40" i="93"/>
  <c r="CF40" i="93"/>
  <c r="CJ40" i="93"/>
  <c r="CN40" i="93"/>
  <c r="CR40" i="93"/>
  <c r="BG40" i="93"/>
  <c r="BS40" i="93"/>
  <c r="CE40" i="93"/>
  <c r="CQ40" i="93"/>
  <c r="BI40" i="93"/>
  <c r="BM40" i="93"/>
  <c r="BQ40" i="93"/>
  <c r="BU40" i="93"/>
  <c r="BY40" i="93"/>
  <c r="CC40" i="93"/>
  <c r="CG40" i="93"/>
  <c r="CK40" i="93"/>
  <c r="CO40" i="93"/>
  <c r="CS40" i="93"/>
  <c r="BO40" i="93"/>
  <c r="CA40" i="93"/>
  <c r="CM40" i="93"/>
  <c r="BF40" i="93"/>
  <c r="BJ40" i="93"/>
  <c r="BN40" i="93"/>
  <c r="BR40" i="93"/>
  <c r="BV40" i="93"/>
  <c r="BZ40" i="93"/>
  <c r="CD40" i="93"/>
  <c r="CH40" i="93"/>
  <c r="CL40" i="93"/>
  <c r="CP40" i="93"/>
  <c r="CT40" i="93"/>
  <c r="BK40" i="93"/>
  <c r="BW40" i="93"/>
  <c r="CI40" i="93"/>
  <c r="CU40" i="93"/>
  <c r="CQ54" i="100"/>
  <c r="BR54" i="100"/>
  <c r="BS54" i="100"/>
  <c r="BT54" i="100"/>
  <c r="DF54" i="100"/>
  <c r="DB54" i="100"/>
  <c r="CD54" i="100"/>
  <c r="DE54" i="100"/>
  <c r="CK54" i="100"/>
  <c r="CC54" i="100"/>
  <c r="CJ54" i="100"/>
  <c r="CZ54" i="100"/>
  <c r="CM54" i="100"/>
  <c r="BV54" i="100"/>
  <c r="BW54" i="100"/>
  <c r="BX54" i="100"/>
  <c r="BU54" i="100"/>
  <c r="CH54" i="100"/>
  <c r="DD54" i="100"/>
  <c r="DC54" i="100"/>
  <c r="CE54" i="100"/>
  <c r="CR54" i="100"/>
  <c r="CS54" i="100"/>
  <c r="CT54" i="100"/>
  <c r="BQ54" i="100"/>
  <c r="CL54" i="100"/>
  <c r="DA54" i="100"/>
  <c r="CO54" i="100"/>
  <c r="BY54" i="100"/>
  <c r="CU54" i="100"/>
  <c r="CV54" i="100"/>
  <c r="CW54" i="100"/>
  <c r="CX54" i="100"/>
  <c r="CP54" i="100"/>
  <c r="BZ54" i="100"/>
  <c r="CG54" i="100"/>
  <c r="CN54" i="100"/>
  <c r="CF54" i="100"/>
  <c r="CB54" i="100"/>
  <c r="CY54" i="100"/>
  <c r="CI54" i="100"/>
  <c r="CA54" i="100"/>
  <c r="BF29" i="93"/>
  <c r="BJ29" i="93"/>
  <c r="BN29" i="93"/>
  <c r="BR29" i="93"/>
  <c r="BV29" i="93"/>
  <c r="BZ29" i="93"/>
  <c r="CD29" i="93"/>
  <c r="CH29" i="93"/>
  <c r="CL29" i="93"/>
  <c r="CP29" i="93"/>
  <c r="CT29" i="93"/>
  <c r="BM29" i="93"/>
  <c r="BY29" i="93"/>
  <c r="CK29" i="93"/>
  <c r="BG29" i="93"/>
  <c r="BK29" i="93"/>
  <c r="BO29" i="93"/>
  <c r="BS29" i="93"/>
  <c r="BW29" i="93"/>
  <c r="CA29" i="93"/>
  <c r="CE29" i="93"/>
  <c r="CI29" i="93"/>
  <c r="CM29" i="93"/>
  <c r="CQ29" i="93"/>
  <c r="CU29" i="93"/>
  <c r="BQ29" i="93"/>
  <c r="CC29" i="93"/>
  <c r="CO29" i="93"/>
  <c r="BH29" i="93"/>
  <c r="BL29" i="93"/>
  <c r="BP29" i="93"/>
  <c r="BT29" i="93"/>
  <c r="BX29" i="93"/>
  <c r="CB29" i="93"/>
  <c r="CF29" i="93"/>
  <c r="CJ29" i="93"/>
  <c r="CN29" i="93"/>
  <c r="CR29" i="93"/>
  <c r="BI29" i="93"/>
  <c r="BU29" i="93"/>
  <c r="CG29" i="93"/>
  <c r="CS29" i="93"/>
  <c r="BT36" i="100"/>
  <c r="CI36" i="100"/>
  <c r="CH36" i="100"/>
  <c r="BR36" i="100"/>
  <c r="CK36" i="100"/>
  <c r="BU36" i="100"/>
  <c r="CJ36" i="100"/>
  <c r="CV36" i="100"/>
  <c r="CN36" i="100"/>
  <c r="CM36" i="100"/>
  <c r="BS36" i="100"/>
  <c r="CD36" i="100"/>
  <c r="CG36" i="100"/>
  <c r="BQ36" i="100"/>
  <c r="CF36" i="100"/>
  <c r="CS36" i="100"/>
  <c r="CT36" i="100"/>
  <c r="CL36" i="100"/>
  <c r="CZ36" i="100"/>
  <c r="DD36" i="100"/>
  <c r="DC36" i="100"/>
  <c r="BZ36" i="100"/>
  <c r="DF36" i="100"/>
  <c r="CC36" i="100"/>
  <c r="DE36" i="100"/>
  <c r="CB36" i="100"/>
  <c r="CR36" i="100"/>
  <c r="CU36" i="100"/>
  <c r="CE36" i="100"/>
  <c r="BW36" i="100"/>
  <c r="CA36" i="100"/>
  <c r="CY36" i="100"/>
  <c r="BV36" i="100"/>
  <c r="DB36" i="100"/>
  <c r="BY36" i="100"/>
  <c r="DA36" i="100"/>
  <c r="BX36" i="100"/>
  <c r="CW36" i="100"/>
  <c r="CO36" i="100"/>
  <c r="CQ36" i="100"/>
  <c r="CX36" i="100"/>
  <c r="CP36" i="100"/>
  <c r="BH22" i="93"/>
  <c r="BL22" i="93"/>
  <c r="BP22" i="93"/>
  <c r="BT22" i="93"/>
  <c r="BX22" i="93"/>
  <c r="CB22" i="93"/>
  <c r="CF22" i="93"/>
  <c r="CJ22" i="93"/>
  <c r="CN22" i="93"/>
  <c r="CR22" i="93"/>
  <c r="BK22" i="93"/>
  <c r="BW22" i="93"/>
  <c r="CI22" i="93"/>
  <c r="CU22" i="93"/>
  <c r="BI22" i="93"/>
  <c r="BM22" i="93"/>
  <c r="BQ22" i="93"/>
  <c r="BU22" i="93"/>
  <c r="BY22" i="93"/>
  <c r="CC22" i="93"/>
  <c r="CG22" i="93"/>
  <c r="CK22" i="93"/>
  <c r="CO22" i="93"/>
  <c r="CS22" i="93"/>
  <c r="BG22" i="93"/>
  <c r="BS22" i="93"/>
  <c r="CE22" i="93"/>
  <c r="CQ22" i="93"/>
  <c r="BF22" i="93"/>
  <c r="BJ22" i="93"/>
  <c r="BN22" i="93"/>
  <c r="BR22" i="93"/>
  <c r="BV22" i="93"/>
  <c r="BZ22" i="93"/>
  <c r="CD22" i="93"/>
  <c r="CH22" i="93"/>
  <c r="CL22" i="93"/>
  <c r="CP22" i="93"/>
  <c r="CT22" i="93"/>
  <c r="BO22" i="93"/>
  <c r="CA22" i="93"/>
  <c r="CM22" i="93"/>
  <c r="CC29" i="100"/>
  <c r="BQ29" i="100"/>
  <c r="CG29" i="100"/>
  <c r="CW29" i="100"/>
  <c r="BR29" i="100"/>
  <c r="CP29" i="100"/>
  <c r="DF29" i="100"/>
  <c r="CI29" i="100"/>
  <c r="DC29" i="100"/>
  <c r="CJ29" i="100"/>
  <c r="DD29" i="100"/>
  <c r="BU29" i="100"/>
  <c r="CL29" i="100"/>
  <c r="BZ29" i="100"/>
  <c r="CT29" i="100"/>
  <c r="BS29" i="100"/>
  <c r="CQ29" i="100"/>
  <c r="BX29" i="100"/>
  <c r="CR29" i="100"/>
  <c r="CM29" i="100"/>
  <c r="CK29" i="100"/>
  <c r="BV29" i="100"/>
  <c r="DE29" i="100"/>
  <c r="CD29" i="100"/>
  <c r="CX29" i="100"/>
  <c r="CA29" i="100"/>
  <c r="CU29" i="100"/>
  <c r="CB29" i="100"/>
  <c r="CV29" i="100"/>
  <c r="CS29" i="100"/>
  <c r="CN29" i="100"/>
  <c r="BT29" i="100"/>
  <c r="CO29" i="100"/>
  <c r="DA29" i="100"/>
  <c r="CH29" i="100"/>
  <c r="DB29" i="100"/>
  <c r="CE29" i="100"/>
  <c r="CY29" i="100"/>
  <c r="CF29" i="100"/>
  <c r="CZ29" i="100"/>
  <c r="BY29" i="100"/>
  <c r="BW29" i="100"/>
  <c r="BF45" i="93"/>
  <c r="BJ45" i="93"/>
  <c r="BN45" i="93"/>
  <c r="BR45" i="93"/>
  <c r="BV45" i="93"/>
  <c r="BZ45" i="93"/>
  <c r="CD45" i="93"/>
  <c r="CH45" i="93"/>
  <c r="CL45" i="93"/>
  <c r="CP45" i="93"/>
  <c r="CT45" i="93"/>
  <c r="BQ45" i="93"/>
  <c r="CC45" i="93"/>
  <c r="CO45" i="93"/>
  <c r="BG45" i="93"/>
  <c r="BK45" i="93"/>
  <c r="BO45" i="93"/>
  <c r="BS45" i="93"/>
  <c r="BW45" i="93"/>
  <c r="CA45" i="93"/>
  <c r="CE45" i="93"/>
  <c r="CI45" i="93"/>
  <c r="CM45" i="93"/>
  <c r="CQ45" i="93"/>
  <c r="CU45" i="93"/>
  <c r="BM45" i="93"/>
  <c r="BY45" i="93"/>
  <c r="CK45" i="93"/>
  <c r="BH45" i="93"/>
  <c r="BL45" i="93"/>
  <c r="BP45" i="93"/>
  <c r="BT45" i="93"/>
  <c r="BX45" i="93"/>
  <c r="CB45" i="93"/>
  <c r="CF45" i="93"/>
  <c r="CJ45" i="93"/>
  <c r="CN45" i="93"/>
  <c r="CR45" i="93"/>
  <c r="BI45" i="93"/>
  <c r="BU45" i="93"/>
  <c r="CG45" i="93"/>
  <c r="CS45" i="93"/>
  <c r="BR52" i="100"/>
  <c r="BU52" i="100"/>
  <c r="BX52" i="100"/>
  <c r="BW52" i="100"/>
  <c r="BV52" i="100"/>
  <c r="CH52" i="100"/>
  <c r="DD52" i="100"/>
  <c r="DC52" i="100"/>
  <c r="CE52" i="100"/>
  <c r="CQ52" i="100"/>
  <c r="BT52" i="100"/>
  <c r="BS52" i="100"/>
  <c r="CL52" i="100"/>
  <c r="DA52" i="100"/>
  <c r="CO52" i="100"/>
  <c r="BY52" i="100"/>
  <c r="CU52" i="100"/>
  <c r="CX52" i="100"/>
  <c r="CW52" i="100"/>
  <c r="CV52" i="100"/>
  <c r="CP52" i="100"/>
  <c r="BZ52" i="100"/>
  <c r="CG52" i="100"/>
  <c r="CN52" i="100"/>
  <c r="CF52" i="100"/>
  <c r="CB52" i="100"/>
  <c r="CY52" i="100"/>
  <c r="CI52" i="100"/>
  <c r="CA52" i="100"/>
  <c r="BQ52" i="100"/>
  <c r="CT52" i="100"/>
  <c r="CS52" i="100"/>
  <c r="CR52" i="100"/>
  <c r="DF52" i="100"/>
  <c r="DB52" i="100"/>
  <c r="CD52" i="100"/>
  <c r="DE52" i="100"/>
  <c r="CK52" i="100"/>
  <c r="CC52" i="100"/>
  <c r="CJ52" i="100"/>
  <c r="CZ52" i="100"/>
  <c r="CM52" i="100"/>
  <c r="BF51" i="93"/>
  <c r="BJ51" i="93"/>
  <c r="BN51" i="93"/>
  <c r="BR51" i="93"/>
  <c r="BV51" i="93"/>
  <c r="BZ51" i="93"/>
  <c r="CD51" i="93"/>
  <c r="CH51" i="93"/>
  <c r="CL51" i="93"/>
  <c r="CP51" i="93"/>
  <c r="CT51" i="93"/>
  <c r="BM51" i="93"/>
  <c r="BU51" i="93"/>
  <c r="CG51" i="93"/>
  <c r="CS51" i="93"/>
  <c r="BG51" i="93"/>
  <c r="BK51" i="93"/>
  <c r="BO51" i="93"/>
  <c r="BS51" i="93"/>
  <c r="BW51" i="93"/>
  <c r="CA51" i="93"/>
  <c r="CE51" i="93"/>
  <c r="CI51" i="93"/>
  <c r="CM51" i="93"/>
  <c r="CQ51" i="93"/>
  <c r="CU51" i="93"/>
  <c r="BQ51" i="93"/>
  <c r="CC51" i="93"/>
  <c r="CO51" i="93"/>
  <c r="BH51" i="93"/>
  <c r="BL51" i="93"/>
  <c r="BP51" i="93"/>
  <c r="BT51" i="93"/>
  <c r="BX51" i="93"/>
  <c r="CB51" i="93"/>
  <c r="CF51" i="93"/>
  <c r="CJ51" i="93"/>
  <c r="CN51" i="93"/>
  <c r="CR51" i="93"/>
  <c r="BI51" i="93"/>
  <c r="BY51" i="93"/>
  <c r="CK51" i="93"/>
  <c r="CQ57" i="100"/>
  <c r="BR57" i="100"/>
  <c r="BS57" i="100"/>
  <c r="BT57" i="100"/>
  <c r="CP57" i="100"/>
  <c r="CA57" i="100"/>
  <c r="CK57" i="100"/>
  <c r="CJ57" i="100"/>
  <c r="DC57" i="100"/>
  <c r="CC57" i="100"/>
  <c r="BU57" i="100"/>
  <c r="BV57" i="100"/>
  <c r="BW57" i="100"/>
  <c r="BX57" i="100"/>
  <c r="BQ57" i="100"/>
  <c r="DD57" i="100"/>
  <c r="CE57" i="100"/>
  <c r="CL57" i="100"/>
  <c r="DE57" i="100"/>
  <c r="BZ57" i="100"/>
  <c r="CI57" i="100"/>
  <c r="CY57" i="100"/>
  <c r="CU57" i="100"/>
  <c r="CR57" i="100"/>
  <c r="CS57" i="100"/>
  <c r="CT57" i="100"/>
  <c r="CZ57" i="100"/>
  <c r="DF57" i="100"/>
  <c r="DA57" i="100"/>
  <c r="CD57" i="100"/>
  <c r="CM57" i="100"/>
  <c r="CG57" i="100"/>
  <c r="CV57" i="100"/>
  <c r="CW57" i="100"/>
  <c r="CX57" i="100"/>
  <c r="CN57" i="100"/>
  <c r="DB57" i="100"/>
  <c r="CO57" i="100"/>
  <c r="BY57" i="100"/>
  <c r="CF57" i="100"/>
  <c r="CB57" i="100"/>
  <c r="CH57" i="100"/>
  <c r="BS12" i="98"/>
  <c r="BS9" i="98"/>
  <c r="BS13" i="98"/>
  <c r="BT8" i="98"/>
  <c r="BT10" i="98"/>
  <c r="O16" i="98"/>
  <c r="Q16" i="98"/>
  <c r="P16" i="98"/>
  <c r="R16" i="98"/>
  <c r="B6" i="97"/>
  <c r="E6" i="97" s="1"/>
  <c r="B5" i="97"/>
  <c r="D5" i="97" s="1"/>
  <c r="B7" i="97"/>
  <c r="B8" i="97"/>
  <c r="FA21" i="89"/>
  <c r="FC21" i="89" s="1"/>
  <c r="FA22" i="89"/>
  <c r="FC22" i="89" s="1"/>
  <c r="FA38" i="89"/>
  <c r="FC38" i="89" s="1"/>
  <c r="FA39" i="89"/>
  <c r="FC39" i="89" s="1"/>
  <c r="FA15" i="89"/>
  <c r="FC15" i="89" s="1"/>
  <c r="FA12" i="89"/>
  <c r="FC12" i="89" s="1"/>
  <c r="FA16" i="89"/>
  <c r="FC16" i="89" s="1"/>
  <c r="FA14" i="89"/>
  <c r="FC14" i="89" s="1"/>
  <c r="FA19" i="89"/>
  <c r="FC19" i="89" s="1"/>
  <c r="FA18" i="89"/>
  <c r="FC18" i="89" s="1"/>
  <c r="FA9" i="89"/>
  <c r="FC9" i="89" s="1"/>
  <c r="FA11" i="89"/>
  <c r="FC11" i="89" s="1"/>
  <c r="FA10" i="89"/>
  <c r="FC10" i="89" s="1"/>
  <c r="AN6" i="83"/>
  <c r="AN7" i="83"/>
  <c r="AN8" i="83"/>
  <c r="AN9" i="83"/>
  <c r="AN10" i="83"/>
  <c r="AN11" i="83"/>
  <c r="AN12" i="83"/>
  <c r="AN13" i="83"/>
  <c r="AN14" i="83"/>
  <c r="AN15" i="83"/>
  <c r="AN16" i="83"/>
  <c r="AN17" i="83"/>
  <c r="AN18" i="83"/>
  <c r="AN19" i="83"/>
  <c r="AN20" i="83"/>
  <c r="AN21" i="83"/>
  <c r="AN22" i="83"/>
  <c r="AN23" i="83"/>
  <c r="AN24" i="83"/>
  <c r="AN25" i="83"/>
  <c r="AN26" i="83"/>
  <c r="AN27" i="83"/>
  <c r="AN28" i="83"/>
  <c r="AN29" i="83"/>
  <c r="AN30" i="83"/>
  <c r="AN31" i="83"/>
  <c r="AN32" i="83"/>
  <c r="AN33" i="83"/>
  <c r="AN34" i="83"/>
  <c r="AN35" i="83"/>
  <c r="AN36" i="83"/>
  <c r="AN37" i="83"/>
  <c r="AN38" i="83"/>
  <c r="AN39" i="83"/>
  <c r="AN40" i="83"/>
  <c r="AN41" i="83"/>
  <c r="AN42" i="83"/>
  <c r="AN43" i="83"/>
  <c r="AN44" i="83"/>
  <c r="AN45" i="83"/>
  <c r="AN46" i="83"/>
  <c r="AN47" i="83"/>
  <c r="AN48" i="83"/>
  <c r="AN49" i="83"/>
  <c r="AN50" i="83"/>
  <c r="AN51" i="83"/>
  <c r="AN52" i="83"/>
  <c r="AN53" i="83"/>
  <c r="AN54" i="83"/>
  <c r="AN55" i="83"/>
  <c r="AN56" i="83"/>
  <c r="AN57" i="83"/>
  <c r="AN58" i="83"/>
  <c r="AN59" i="83"/>
  <c r="AN60" i="83"/>
  <c r="AN61" i="83"/>
  <c r="AN62" i="83"/>
  <c r="AN63" i="83"/>
  <c r="AN64" i="83"/>
  <c r="AN65" i="83"/>
  <c r="AN66" i="83"/>
  <c r="AN67" i="83"/>
  <c r="AN68" i="83"/>
  <c r="AN69" i="83"/>
  <c r="AN70" i="83"/>
  <c r="AN71" i="83"/>
  <c r="AN72" i="83"/>
  <c r="AN73" i="83"/>
  <c r="AN74" i="83"/>
  <c r="AN75" i="83"/>
  <c r="AN76" i="83"/>
  <c r="AN77" i="83"/>
  <c r="AN78" i="83"/>
  <c r="AN79" i="83"/>
  <c r="AN80" i="83"/>
  <c r="AN81" i="83"/>
  <c r="AN82" i="83"/>
  <c r="AN83" i="83"/>
  <c r="AN84" i="83"/>
  <c r="AN85" i="83"/>
  <c r="AN86" i="83"/>
  <c r="AN87" i="83"/>
  <c r="AN88" i="83"/>
  <c r="AN89" i="83"/>
  <c r="AN90" i="83"/>
  <c r="AN91" i="83"/>
  <c r="AN92" i="83"/>
  <c r="AN93" i="83"/>
  <c r="AN94" i="83"/>
  <c r="AN95" i="83"/>
  <c r="AN96" i="83"/>
  <c r="AN97" i="83"/>
  <c r="AN98" i="83"/>
  <c r="AN99" i="83"/>
  <c r="AN100" i="83"/>
  <c r="AN101" i="83"/>
  <c r="AN102" i="83"/>
  <c r="AN103" i="83"/>
  <c r="AN104" i="83"/>
  <c r="AN5" i="83"/>
  <c r="AC6" i="83"/>
  <c r="AC7" i="83"/>
  <c r="AC8" i="83"/>
  <c r="AC9" i="83"/>
  <c r="AC10" i="83"/>
  <c r="AC11" i="83"/>
  <c r="AC12" i="83"/>
  <c r="AC13" i="83"/>
  <c r="AC14" i="83"/>
  <c r="AC15" i="83"/>
  <c r="AC16" i="83"/>
  <c r="AC17" i="83"/>
  <c r="AC18" i="83"/>
  <c r="AC19" i="83"/>
  <c r="AC20" i="83"/>
  <c r="AC21" i="83"/>
  <c r="AC22" i="83"/>
  <c r="AC23" i="83"/>
  <c r="AC24" i="83"/>
  <c r="AC25" i="83"/>
  <c r="AC26" i="83"/>
  <c r="AC27" i="83"/>
  <c r="AC28" i="83"/>
  <c r="AC29" i="83"/>
  <c r="AC30" i="83"/>
  <c r="AC31" i="83"/>
  <c r="AC32" i="83"/>
  <c r="AC33" i="83"/>
  <c r="AC34" i="83"/>
  <c r="AC35" i="83"/>
  <c r="AC36" i="83"/>
  <c r="AC37" i="83"/>
  <c r="AC38" i="83"/>
  <c r="AC39" i="83"/>
  <c r="AC40" i="83"/>
  <c r="AC41" i="83"/>
  <c r="AC42" i="83"/>
  <c r="AC43" i="83"/>
  <c r="AC44" i="83"/>
  <c r="AC45" i="83"/>
  <c r="AC46" i="83"/>
  <c r="AC47" i="83"/>
  <c r="AC48" i="83"/>
  <c r="AC49" i="83"/>
  <c r="AC50" i="83"/>
  <c r="AC51" i="83"/>
  <c r="AC52" i="83"/>
  <c r="AC53" i="83"/>
  <c r="AC54" i="83"/>
  <c r="AC55" i="83"/>
  <c r="AC56" i="83"/>
  <c r="AC57" i="83"/>
  <c r="AC58" i="83"/>
  <c r="AC59" i="83"/>
  <c r="AC60" i="83"/>
  <c r="AC61" i="83"/>
  <c r="AC62" i="83"/>
  <c r="AC63" i="83"/>
  <c r="AC64" i="83"/>
  <c r="AC65" i="83"/>
  <c r="AC66" i="83"/>
  <c r="AC67" i="83"/>
  <c r="AC68" i="83"/>
  <c r="AC69" i="83"/>
  <c r="AC70" i="83"/>
  <c r="AC71" i="83"/>
  <c r="AC72" i="83"/>
  <c r="AC73" i="83"/>
  <c r="AC74" i="83"/>
  <c r="AC75" i="83"/>
  <c r="AC76" i="83"/>
  <c r="AC77" i="83"/>
  <c r="AC78" i="83"/>
  <c r="AC79" i="83"/>
  <c r="AC80" i="83"/>
  <c r="AC81" i="83"/>
  <c r="AC82" i="83"/>
  <c r="AC83" i="83"/>
  <c r="AC84" i="83"/>
  <c r="AC85" i="83"/>
  <c r="AC86" i="83"/>
  <c r="AC87" i="83"/>
  <c r="AC88" i="83"/>
  <c r="AC89" i="83"/>
  <c r="AC90" i="83"/>
  <c r="AC91" i="83"/>
  <c r="AC92" i="83"/>
  <c r="AC93" i="83"/>
  <c r="AC94" i="83"/>
  <c r="AC95" i="83"/>
  <c r="AC96" i="83"/>
  <c r="AC97" i="83"/>
  <c r="AC98" i="83"/>
  <c r="AC99" i="83"/>
  <c r="AC100" i="83"/>
  <c r="AC101" i="83"/>
  <c r="AC102" i="83"/>
  <c r="AC103" i="83"/>
  <c r="AC104" i="83"/>
  <c r="AC5" i="83"/>
  <c r="R6" i="83"/>
  <c r="R7" i="83"/>
  <c r="R8" i="83"/>
  <c r="R9" i="83"/>
  <c r="R10" i="83"/>
  <c r="R11" i="83"/>
  <c r="R12" i="83"/>
  <c r="R13" i="83"/>
  <c r="R14" i="83"/>
  <c r="R15" i="83"/>
  <c r="R16" i="83"/>
  <c r="R17" i="83"/>
  <c r="R18" i="83"/>
  <c r="R19" i="83"/>
  <c r="R20" i="83"/>
  <c r="R21" i="83"/>
  <c r="R22" i="83"/>
  <c r="R23" i="83"/>
  <c r="R24" i="83"/>
  <c r="R25" i="83"/>
  <c r="R26" i="83"/>
  <c r="R27" i="83"/>
  <c r="R28" i="83"/>
  <c r="R29" i="83"/>
  <c r="R30" i="83"/>
  <c r="R31" i="83"/>
  <c r="R32" i="83"/>
  <c r="R33" i="83"/>
  <c r="R34" i="83"/>
  <c r="R35" i="83"/>
  <c r="R36" i="83"/>
  <c r="R37" i="83"/>
  <c r="R38" i="83"/>
  <c r="R39" i="83"/>
  <c r="R40" i="83"/>
  <c r="R41" i="83"/>
  <c r="R42" i="83"/>
  <c r="R43" i="83"/>
  <c r="R44" i="83"/>
  <c r="R45" i="83"/>
  <c r="R46" i="83"/>
  <c r="R47" i="83"/>
  <c r="R48" i="83"/>
  <c r="R49" i="83"/>
  <c r="R50" i="83"/>
  <c r="R51" i="83"/>
  <c r="R52" i="83"/>
  <c r="R53" i="83"/>
  <c r="R54" i="83"/>
  <c r="R55" i="83"/>
  <c r="R56" i="83"/>
  <c r="R57" i="83"/>
  <c r="R58" i="83"/>
  <c r="R59" i="83"/>
  <c r="R60" i="83"/>
  <c r="R61" i="83"/>
  <c r="R62" i="83"/>
  <c r="R63" i="83"/>
  <c r="R64" i="83"/>
  <c r="R65" i="83"/>
  <c r="R66" i="83"/>
  <c r="R67" i="83"/>
  <c r="R68" i="83"/>
  <c r="R69" i="83"/>
  <c r="R70" i="83"/>
  <c r="R71" i="83"/>
  <c r="R72" i="83"/>
  <c r="R73" i="83"/>
  <c r="R74" i="83"/>
  <c r="R75" i="83"/>
  <c r="R76" i="83"/>
  <c r="R77" i="83"/>
  <c r="R78" i="83"/>
  <c r="R79" i="83"/>
  <c r="R80" i="83"/>
  <c r="R81" i="83"/>
  <c r="R82" i="83"/>
  <c r="R83" i="83"/>
  <c r="R84" i="83"/>
  <c r="R85" i="83"/>
  <c r="R86" i="83"/>
  <c r="R87" i="83"/>
  <c r="R88" i="83"/>
  <c r="R89" i="83"/>
  <c r="R90" i="83"/>
  <c r="R91" i="83"/>
  <c r="R92" i="83"/>
  <c r="R93" i="83"/>
  <c r="R94" i="83"/>
  <c r="R95" i="83"/>
  <c r="R96" i="83"/>
  <c r="R97" i="83"/>
  <c r="R98" i="83"/>
  <c r="R99" i="83"/>
  <c r="R100" i="83"/>
  <c r="R101" i="83"/>
  <c r="R102" i="83"/>
  <c r="R103" i="83"/>
  <c r="R104" i="83"/>
  <c r="R5" i="83"/>
  <c r="G6" i="83"/>
  <c r="G7" i="83"/>
  <c r="G8" i="83"/>
  <c r="G9" i="83"/>
  <c r="G10" i="83"/>
  <c r="G11" i="83"/>
  <c r="G12" i="83"/>
  <c r="G13" i="83"/>
  <c r="G14" i="83"/>
  <c r="G15" i="83"/>
  <c r="G16" i="83"/>
  <c r="G17" i="83"/>
  <c r="G18" i="83"/>
  <c r="G19" i="83"/>
  <c r="G20" i="83"/>
  <c r="G21" i="83"/>
  <c r="G22" i="83"/>
  <c r="G23" i="83"/>
  <c r="G24" i="83"/>
  <c r="G25" i="83"/>
  <c r="G26" i="83"/>
  <c r="G27" i="83"/>
  <c r="G28" i="83"/>
  <c r="G29" i="83"/>
  <c r="G30" i="83"/>
  <c r="G31" i="83"/>
  <c r="G32" i="83"/>
  <c r="G33" i="83"/>
  <c r="G34" i="83"/>
  <c r="G35" i="83"/>
  <c r="G36" i="83"/>
  <c r="G37" i="83"/>
  <c r="G38" i="83"/>
  <c r="G39" i="83"/>
  <c r="G40" i="83"/>
  <c r="G41" i="83"/>
  <c r="G42" i="83"/>
  <c r="G43" i="83"/>
  <c r="G44" i="83"/>
  <c r="G45" i="83"/>
  <c r="G46" i="83"/>
  <c r="G47" i="83"/>
  <c r="G48" i="83"/>
  <c r="G49" i="83"/>
  <c r="G50" i="83"/>
  <c r="G51" i="83"/>
  <c r="G52" i="83"/>
  <c r="G53" i="83"/>
  <c r="G54" i="83"/>
  <c r="G55" i="83"/>
  <c r="G56" i="83"/>
  <c r="G57" i="83"/>
  <c r="G58" i="83"/>
  <c r="G59" i="83"/>
  <c r="G60" i="83"/>
  <c r="G61" i="83"/>
  <c r="G62" i="83"/>
  <c r="G63" i="83"/>
  <c r="G64" i="83"/>
  <c r="G65" i="83"/>
  <c r="G66" i="83"/>
  <c r="G67" i="83"/>
  <c r="G68" i="83"/>
  <c r="G69" i="83"/>
  <c r="G70" i="83"/>
  <c r="G71" i="83"/>
  <c r="G72" i="83"/>
  <c r="G73" i="83"/>
  <c r="G74" i="83"/>
  <c r="G75" i="83"/>
  <c r="G76" i="83"/>
  <c r="G77" i="83"/>
  <c r="G78" i="83"/>
  <c r="G79" i="83"/>
  <c r="G80" i="83"/>
  <c r="G81" i="83"/>
  <c r="G82" i="83"/>
  <c r="G83" i="83"/>
  <c r="G84" i="83"/>
  <c r="G85" i="83"/>
  <c r="G86" i="83"/>
  <c r="G87" i="83"/>
  <c r="G88" i="83"/>
  <c r="G89" i="83"/>
  <c r="G90" i="83"/>
  <c r="G91" i="83"/>
  <c r="G92" i="83"/>
  <c r="G93" i="83"/>
  <c r="G94" i="83"/>
  <c r="G95" i="83"/>
  <c r="G96" i="83"/>
  <c r="G97" i="83"/>
  <c r="G98" i="83"/>
  <c r="G99" i="83"/>
  <c r="G100" i="83"/>
  <c r="G101" i="83"/>
  <c r="G102" i="83"/>
  <c r="G103" i="83"/>
  <c r="G104" i="83"/>
  <c r="G5" i="83"/>
  <c r="EY7" i="98" l="1"/>
  <c r="EY11" i="98"/>
  <c r="EY8" i="98"/>
  <c r="EY12" i="98"/>
  <c r="EY9" i="98"/>
  <c r="EY13" i="98"/>
  <c r="EY10" i="98"/>
  <c r="EY14" i="98"/>
  <c r="EY6" i="98"/>
  <c r="EY15" i="98"/>
  <c r="EY19" i="98"/>
  <c r="EY23" i="98"/>
  <c r="EY16" i="98"/>
  <c r="EY20" i="98"/>
  <c r="EY17" i="98"/>
  <c r="EY21" i="98"/>
  <c r="EY18" i="98"/>
  <c r="EY22" i="98"/>
  <c r="HK52" i="100"/>
  <c r="HK56" i="100"/>
  <c r="HK60" i="100"/>
  <c r="HK64" i="100"/>
  <c r="HK68" i="100"/>
  <c r="HK72" i="100"/>
  <c r="HK76" i="100"/>
  <c r="HK80" i="100"/>
  <c r="HK84" i="100"/>
  <c r="HK88" i="100"/>
  <c r="HK92" i="100"/>
  <c r="HK96" i="100"/>
  <c r="HK100" i="100"/>
  <c r="HK104" i="100"/>
  <c r="HK108" i="100"/>
  <c r="HK112" i="100"/>
  <c r="HK116" i="100"/>
  <c r="HK120" i="100"/>
  <c r="HK124" i="100"/>
  <c r="HK53" i="100"/>
  <c r="HK57" i="100"/>
  <c r="HK61" i="100"/>
  <c r="HK65" i="100"/>
  <c r="HK69" i="100"/>
  <c r="HK73" i="100"/>
  <c r="HK77" i="100"/>
  <c r="HK81" i="100"/>
  <c r="HK85" i="100"/>
  <c r="HK89" i="100"/>
  <c r="HK93" i="100"/>
  <c r="HK97" i="100"/>
  <c r="HK101" i="100"/>
  <c r="HK105" i="100"/>
  <c r="HK109" i="100"/>
  <c r="HK113" i="100"/>
  <c r="HK117" i="100"/>
  <c r="HK121" i="100"/>
  <c r="HK125" i="100"/>
  <c r="HK58" i="100"/>
  <c r="HK66" i="100"/>
  <c r="HK74" i="100"/>
  <c r="HK82" i="100"/>
  <c r="HK90" i="100"/>
  <c r="HK98" i="100"/>
  <c r="HK106" i="100"/>
  <c r="HK114" i="100"/>
  <c r="HK122" i="100"/>
  <c r="HK54" i="100"/>
  <c r="HK62" i="100"/>
  <c r="HK70" i="100"/>
  <c r="HK78" i="100"/>
  <c r="HK86" i="100"/>
  <c r="HK94" i="100"/>
  <c r="HK110" i="100"/>
  <c r="HK118" i="100"/>
  <c r="HK59" i="100"/>
  <c r="HK67" i="100"/>
  <c r="HK75" i="100"/>
  <c r="HK83" i="100"/>
  <c r="HK91" i="100"/>
  <c r="HK99" i="100"/>
  <c r="HK107" i="100"/>
  <c r="HK115" i="100"/>
  <c r="HK123" i="100"/>
  <c r="HK102" i="100"/>
  <c r="HK126" i="100"/>
  <c r="HK79" i="100"/>
  <c r="HK111" i="100"/>
  <c r="HK55" i="100"/>
  <c r="HK87" i="100"/>
  <c r="HK119" i="100"/>
  <c r="HK71" i="100"/>
  <c r="HK63" i="100"/>
  <c r="HK95" i="100"/>
  <c r="HK103" i="100"/>
  <c r="HK8" i="100"/>
  <c r="HK12" i="100"/>
  <c r="HK16" i="100"/>
  <c r="HK20" i="100"/>
  <c r="HK24" i="100"/>
  <c r="HK28" i="100"/>
  <c r="HK32" i="100"/>
  <c r="HK36" i="100"/>
  <c r="HK40" i="100"/>
  <c r="HK44" i="100"/>
  <c r="HK48" i="100"/>
  <c r="HK9" i="100"/>
  <c r="HK13" i="100"/>
  <c r="HK17" i="100"/>
  <c r="HK21" i="100"/>
  <c r="HK25" i="100"/>
  <c r="HK29" i="100"/>
  <c r="HK33" i="100"/>
  <c r="HK37" i="100"/>
  <c r="HK41" i="100"/>
  <c r="HK45" i="100"/>
  <c r="HK49" i="100"/>
  <c r="HK10" i="100"/>
  <c r="HK18" i="100"/>
  <c r="HK26" i="100"/>
  <c r="HK34" i="100"/>
  <c r="HK42" i="100"/>
  <c r="HK50" i="100"/>
  <c r="HK14" i="100"/>
  <c r="HK30" i="100"/>
  <c r="HK38" i="100"/>
  <c r="HK46" i="100"/>
  <c r="HK11" i="100"/>
  <c r="HK19" i="100"/>
  <c r="HK27" i="100"/>
  <c r="HK35" i="100"/>
  <c r="HK43" i="100"/>
  <c r="HK51" i="100"/>
  <c r="HK7" i="100"/>
  <c r="HK22" i="100"/>
  <c r="HK15" i="100"/>
  <c r="HK47" i="100"/>
  <c r="HK23" i="100"/>
  <c r="HK39" i="100"/>
  <c r="HK31" i="100"/>
  <c r="AV282" i="90"/>
  <c r="AV1426" i="90"/>
  <c r="AV1322" i="90"/>
  <c r="AV1270" i="90"/>
  <c r="AV1218" i="90"/>
  <c r="AV1166" i="90"/>
  <c r="AV698" i="90"/>
  <c r="AV1374" i="90"/>
  <c r="AV750" i="90"/>
  <c r="AV1114" i="90"/>
  <c r="AV958" i="90"/>
  <c r="AV1010" i="90"/>
  <c r="AV906" i="90"/>
  <c r="AV802" i="90"/>
  <c r="AV594" i="90"/>
  <c r="AV438" i="90"/>
  <c r="AV386" i="90"/>
  <c r="AV490" i="90"/>
  <c r="AV22" i="90"/>
  <c r="AV334" i="90"/>
  <c r="AV178" i="90"/>
  <c r="AV1478" i="90"/>
  <c r="AV1062" i="90"/>
  <c r="AV126" i="90"/>
  <c r="AV646" i="90"/>
  <c r="AV542" i="90"/>
  <c r="AV1634" i="90"/>
  <c r="AV1582" i="90"/>
  <c r="AV230" i="90"/>
  <c r="AV1530" i="90"/>
  <c r="AV74" i="90"/>
  <c r="AV854" i="90"/>
  <c r="AV1112" i="90"/>
  <c r="AV540" i="90"/>
  <c r="AV280" i="90"/>
  <c r="AV72" i="90"/>
  <c r="AV1476" i="90"/>
  <c r="AV1268" i="90"/>
  <c r="AV1216" i="90"/>
  <c r="AV1164" i="90"/>
  <c r="AV852" i="90"/>
  <c r="AV1528" i="90"/>
  <c r="AV696" i="90"/>
  <c r="AV1008" i="90"/>
  <c r="AV956" i="90"/>
  <c r="AV800" i="90"/>
  <c r="AV1424" i="90"/>
  <c r="AV904" i="90"/>
  <c r="AV332" i="90"/>
  <c r="AV748" i="90"/>
  <c r="AV488" i="90"/>
  <c r="AV384" i="90"/>
  <c r="AV436" i="90"/>
  <c r="AV124" i="90"/>
  <c r="AV592" i="90"/>
  <c r="AV176" i="90"/>
  <c r="AV1632" i="90"/>
  <c r="AV1580" i="90"/>
  <c r="AV20" i="90"/>
  <c r="AV1060" i="90"/>
  <c r="AV1320" i="90"/>
  <c r="AV228" i="90"/>
  <c r="AV644" i="90"/>
  <c r="AV1372" i="90"/>
  <c r="ED14" i="89"/>
  <c r="AV221" i="90"/>
  <c r="AV325" i="90"/>
  <c r="AV845" i="90"/>
  <c r="AV169" i="90"/>
  <c r="AV1469" i="90"/>
  <c r="AV1573" i="90"/>
  <c r="AV1365" i="90"/>
  <c r="AV1261" i="90"/>
  <c r="AV1209" i="90"/>
  <c r="AV1157" i="90"/>
  <c r="AV1417" i="90"/>
  <c r="AV533" i="90"/>
  <c r="AV1001" i="90"/>
  <c r="AV637" i="90"/>
  <c r="AV1053" i="90"/>
  <c r="AV429" i="90"/>
  <c r="AV273" i="90"/>
  <c r="AV13" i="90"/>
  <c r="AV689" i="90"/>
  <c r="AV793" i="90"/>
  <c r="AV1521" i="90"/>
  <c r="AV741" i="90"/>
  <c r="AV377" i="90"/>
  <c r="AV1625" i="90"/>
  <c r="AV481" i="90"/>
  <c r="AV65" i="90"/>
  <c r="AV117" i="90"/>
  <c r="AV1313" i="90"/>
  <c r="AV585" i="90"/>
  <c r="AV897" i="90"/>
  <c r="AV1105" i="90"/>
  <c r="AV949" i="90"/>
  <c r="ED12" i="89"/>
  <c r="AV167" i="90"/>
  <c r="AV1519" i="90"/>
  <c r="AV1571" i="90"/>
  <c r="AV1467" i="90"/>
  <c r="AV11" i="90"/>
  <c r="AV1415" i="90"/>
  <c r="AV999" i="90"/>
  <c r="AV1259" i="90"/>
  <c r="AV1207" i="90"/>
  <c r="AV1155" i="90"/>
  <c r="AV1051" i="90"/>
  <c r="AV1363" i="90"/>
  <c r="AV635" i="90"/>
  <c r="AV531" i="90"/>
  <c r="AV323" i="90"/>
  <c r="AV271" i="90"/>
  <c r="AV479" i="90"/>
  <c r="AV375" i="90"/>
  <c r="AV791" i="90"/>
  <c r="AV1623" i="90"/>
  <c r="AV739" i="90"/>
  <c r="AV687" i="90"/>
  <c r="AV115" i="90"/>
  <c r="AV1311" i="90"/>
  <c r="AV63" i="90"/>
  <c r="AV427" i="90"/>
  <c r="AV219" i="90"/>
  <c r="AV583" i="90"/>
  <c r="AV843" i="90"/>
  <c r="AV1103" i="90"/>
  <c r="AV895" i="90"/>
  <c r="AV947" i="90"/>
  <c r="BI10" i="90"/>
  <c r="BI30" i="90"/>
  <c r="BI50" i="90"/>
  <c r="BI70" i="90"/>
  <c r="BV530" i="90"/>
  <c r="BV490" i="90"/>
  <c r="BV150" i="90"/>
  <c r="BV90" i="90"/>
  <c r="BV170" i="90"/>
  <c r="BV30" i="90"/>
  <c r="BV450" i="90"/>
  <c r="BV330" i="90"/>
  <c r="BV390" i="90"/>
  <c r="BV550" i="90"/>
  <c r="BV590" i="90"/>
  <c r="BV210" i="90"/>
  <c r="BV250" i="90"/>
  <c r="BV310" i="90"/>
  <c r="BV630" i="90"/>
  <c r="BV430" i="90"/>
  <c r="BV110" i="90"/>
  <c r="BV350" i="90"/>
  <c r="BV130" i="90"/>
  <c r="BV50" i="90"/>
  <c r="BV610" i="90"/>
  <c r="BV370" i="90"/>
  <c r="BV570" i="90"/>
  <c r="BV70" i="90"/>
  <c r="BV510" i="90"/>
  <c r="BV230" i="90"/>
  <c r="BV10" i="90"/>
  <c r="BV290" i="90"/>
  <c r="BV470" i="90"/>
  <c r="BV410" i="90"/>
  <c r="BV190" i="90"/>
  <c r="BV270" i="90"/>
  <c r="AH28" i="90"/>
  <c r="AH80" i="90"/>
  <c r="AH132" i="90"/>
  <c r="AH184" i="90"/>
  <c r="AH113" i="90"/>
  <c r="AH165" i="90"/>
  <c r="AH9" i="90"/>
  <c r="AH61" i="90"/>
  <c r="AV1525" i="90"/>
  <c r="AV1577" i="90"/>
  <c r="AV1473" i="90"/>
  <c r="AV1421" i="90"/>
  <c r="AV1005" i="90"/>
  <c r="AV693" i="90"/>
  <c r="AV849" i="90"/>
  <c r="AV1109" i="90"/>
  <c r="AV1265" i="90"/>
  <c r="AV1213" i="90"/>
  <c r="AV1161" i="90"/>
  <c r="AV589" i="90"/>
  <c r="AV537" i="90"/>
  <c r="AV329" i="90"/>
  <c r="AV173" i="90"/>
  <c r="AV485" i="90"/>
  <c r="AV121" i="90"/>
  <c r="AV433" i="90"/>
  <c r="AV797" i="90"/>
  <c r="AV17" i="90"/>
  <c r="AV1317" i="90"/>
  <c r="AV277" i="90"/>
  <c r="AV745" i="90"/>
  <c r="AV1629" i="90"/>
  <c r="AV381" i="90"/>
  <c r="AV225" i="90"/>
  <c r="AV901" i="90"/>
  <c r="AV1369" i="90"/>
  <c r="AV641" i="90"/>
  <c r="AV953" i="90"/>
  <c r="AV69" i="90"/>
  <c r="AV1057" i="90"/>
  <c r="AV1375" i="90"/>
  <c r="AV1583" i="90"/>
  <c r="AV1531" i="90"/>
  <c r="AV1271" i="90"/>
  <c r="AV1219" i="90"/>
  <c r="AV1167" i="90"/>
  <c r="AV1115" i="90"/>
  <c r="AV1427" i="90"/>
  <c r="AV1011" i="90"/>
  <c r="AV595" i="90"/>
  <c r="AV855" i="90"/>
  <c r="AV543" i="90"/>
  <c r="AV75" i="90"/>
  <c r="AV179" i="90"/>
  <c r="AV231" i="90"/>
  <c r="AV751" i="90"/>
  <c r="AV699" i="90"/>
  <c r="AV803" i="90"/>
  <c r="AV387" i="90"/>
  <c r="AV439" i="90"/>
  <c r="AV1323" i="90"/>
  <c r="AV1635" i="90"/>
  <c r="AV1479" i="90"/>
  <c r="AV491" i="90"/>
  <c r="AV23" i="90"/>
  <c r="AV127" i="90"/>
  <c r="AV283" i="90"/>
  <c r="AV335" i="90"/>
  <c r="AV647" i="90"/>
  <c r="AV907" i="90"/>
  <c r="AV1063" i="90"/>
  <c r="AV959" i="90"/>
  <c r="ED11" i="89"/>
  <c r="AV582" i="90"/>
  <c r="AV1102" i="90"/>
  <c r="AV166" i="90"/>
  <c r="AV322" i="90"/>
  <c r="AV1518" i="90"/>
  <c r="AV1258" i="90"/>
  <c r="AV1206" i="90"/>
  <c r="AV1154" i="90"/>
  <c r="AV946" i="90"/>
  <c r="AV842" i="90"/>
  <c r="AV1362" i="90"/>
  <c r="AV1050" i="90"/>
  <c r="AV894" i="90"/>
  <c r="AV1414" i="90"/>
  <c r="AV790" i="90"/>
  <c r="AV478" i="90"/>
  <c r="AV1466" i="90"/>
  <c r="AV998" i="90"/>
  <c r="AV686" i="90"/>
  <c r="AV634" i="90"/>
  <c r="AV738" i="90"/>
  <c r="AV374" i="90"/>
  <c r="AV426" i="90"/>
  <c r="AV218" i="90"/>
  <c r="AV270" i="90"/>
  <c r="AV114" i="90"/>
  <c r="AV62" i="90"/>
  <c r="AV530" i="90"/>
  <c r="AV1622" i="90"/>
  <c r="AV10" i="90"/>
  <c r="AV1570" i="90"/>
  <c r="AV1310" i="90"/>
  <c r="BI8" i="90"/>
  <c r="BI28" i="90"/>
  <c r="BI48" i="90"/>
  <c r="BI68" i="90"/>
  <c r="BV28" i="90"/>
  <c r="BV268" i="90"/>
  <c r="BV288" i="90"/>
  <c r="BV248" i="90"/>
  <c r="BV208" i="90"/>
  <c r="BV228" i="90"/>
  <c r="BV368" i="90"/>
  <c r="BV588" i="90"/>
  <c r="BV548" i="90"/>
  <c r="BV48" i="90"/>
  <c r="BV608" i="90"/>
  <c r="BV488" i="90"/>
  <c r="BV388" i="90"/>
  <c r="BV528" i="90"/>
  <c r="BV568" i="90"/>
  <c r="BV88" i="90"/>
  <c r="BV308" i="90"/>
  <c r="BV108" i="90"/>
  <c r="BV8" i="90"/>
  <c r="BV628" i="90"/>
  <c r="BV148" i="90"/>
  <c r="BV408" i="90"/>
  <c r="BV328" i="90"/>
  <c r="BV348" i="90"/>
  <c r="BV188" i="90"/>
  <c r="BV468" i="90"/>
  <c r="BV128" i="90"/>
  <c r="BV448" i="90"/>
  <c r="BV168" i="90"/>
  <c r="BV68" i="90"/>
  <c r="BV508" i="90"/>
  <c r="BV428" i="90"/>
  <c r="AH8" i="90"/>
  <c r="AH60" i="90"/>
  <c r="AH112" i="90"/>
  <c r="AH164" i="90"/>
  <c r="AH7" i="90"/>
  <c r="AH59" i="90"/>
  <c r="AH111" i="90"/>
  <c r="AH163" i="90"/>
  <c r="AH181" i="90"/>
  <c r="AH129" i="90"/>
  <c r="AH25" i="90"/>
  <c r="AH77" i="90"/>
  <c r="AH6" i="90"/>
  <c r="AH58" i="90"/>
  <c r="AH110" i="90"/>
  <c r="AH162" i="90"/>
  <c r="AV853" i="90"/>
  <c r="AV333" i="90"/>
  <c r="AV1477" i="90"/>
  <c r="AV1581" i="90"/>
  <c r="AV1425" i="90"/>
  <c r="AV1269" i="90"/>
  <c r="AV1217" i="90"/>
  <c r="AV1165" i="90"/>
  <c r="AV1061" i="90"/>
  <c r="AV1009" i="90"/>
  <c r="AV645" i="90"/>
  <c r="AV541" i="90"/>
  <c r="AV437" i="90"/>
  <c r="AV177" i="90"/>
  <c r="AV21" i="90"/>
  <c r="AV1529" i="90"/>
  <c r="AV229" i="90"/>
  <c r="AV1373" i="90"/>
  <c r="AV489" i="90"/>
  <c r="AV801" i="90"/>
  <c r="AV697" i="90"/>
  <c r="AV1633" i="90"/>
  <c r="AV749" i="90"/>
  <c r="AV385" i="90"/>
  <c r="AV593" i="90"/>
  <c r="AV957" i="90"/>
  <c r="AV1113" i="90"/>
  <c r="AV125" i="90"/>
  <c r="AV73" i="90"/>
  <c r="AV905" i="90"/>
  <c r="AV281" i="90"/>
  <c r="AV1321" i="90"/>
  <c r="AV123" i="90"/>
  <c r="AV19" i="90"/>
  <c r="AV227" i="90"/>
  <c r="AV487" i="90"/>
  <c r="AV1579" i="90"/>
  <c r="AV1475" i="90"/>
  <c r="AV1319" i="90"/>
  <c r="AV1007" i="90"/>
  <c r="AV1423" i="90"/>
  <c r="AV1267" i="90"/>
  <c r="AV1215" i="90"/>
  <c r="AV1163" i="90"/>
  <c r="AV1059" i="90"/>
  <c r="AV1527" i="90"/>
  <c r="AV643" i="90"/>
  <c r="AV539" i="90"/>
  <c r="AV279" i="90"/>
  <c r="AV331" i="90"/>
  <c r="AV175" i="90"/>
  <c r="AV747" i="90"/>
  <c r="AV383" i="90"/>
  <c r="AV1371" i="90"/>
  <c r="AV695" i="90"/>
  <c r="AV1631" i="90"/>
  <c r="AV799" i="90"/>
  <c r="AV1111" i="90"/>
  <c r="AV903" i="90"/>
  <c r="AV955" i="90"/>
  <c r="AV71" i="90"/>
  <c r="AV851" i="90"/>
  <c r="AV591" i="90"/>
  <c r="AV435" i="90"/>
  <c r="ED15" i="89"/>
  <c r="AV118" i="90"/>
  <c r="AV66" i="90"/>
  <c r="AV1054" i="90"/>
  <c r="AV534" i="90"/>
  <c r="AV1470" i="90"/>
  <c r="AV1418" i="90"/>
  <c r="AV1262" i="90"/>
  <c r="AV1210" i="90"/>
  <c r="AV1158" i="90"/>
  <c r="AV898" i="90"/>
  <c r="AV1522" i="90"/>
  <c r="AV1314" i="90"/>
  <c r="AV1106" i="90"/>
  <c r="AV690" i="90"/>
  <c r="AV1366" i="90"/>
  <c r="AV1002" i="90"/>
  <c r="AV742" i="90"/>
  <c r="AV950" i="90"/>
  <c r="AV430" i="90"/>
  <c r="AV794" i="90"/>
  <c r="AV378" i="90"/>
  <c r="AV586" i="90"/>
  <c r="AV482" i="90"/>
  <c r="AV14" i="90"/>
  <c r="AV170" i="90"/>
  <c r="AV638" i="90"/>
  <c r="AV1574" i="90"/>
  <c r="AV274" i="90"/>
  <c r="AV326" i="90"/>
  <c r="AV1626" i="90"/>
  <c r="AV846" i="90"/>
  <c r="AV222" i="90"/>
  <c r="AH27" i="90"/>
  <c r="AH79" i="90"/>
  <c r="AH131" i="90"/>
  <c r="AH183" i="90"/>
  <c r="AH31" i="90"/>
  <c r="AH83" i="90"/>
  <c r="AH135" i="90"/>
  <c r="AH187" i="90"/>
  <c r="AH24" i="90"/>
  <c r="AH76" i="90"/>
  <c r="AH128" i="90"/>
  <c r="AH180" i="90"/>
  <c r="AH30" i="90"/>
  <c r="AH82" i="90"/>
  <c r="AH134" i="90"/>
  <c r="AH186" i="90"/>
  <c r="AV330" i="90"/>
  <c r="AV1526" i="90"/>
  <c r="AV1474" i="90"/>
  <c r="AV1422" i="90"/>
  <c r="AV1266" i="90"/>
  <c r="AV1214" i="90"/>
  <c r="AV1162" i="90"/>
  <c r="AV1058" i="90"/>
  <c r="AV850" i="90"/>
  <c r="AV70" i="90"/>
  <c r="AV1006" i="90"/>
  <c r="AV954" i="90"/>
  <c r="AV642" i="90"/>
  <c r="AV798" i="90"/>
  <c r="AV694" i="90"/>
  <c r="AV1370" i="90"/>
  <c r="AV902" i="90"/>
  <c r="AV746" i="90"/>
  <c r="AV486" i="90"/>
  <c r="AV434" i="90"/>
  <c r="AV382" i="90"/>
  <c r="AV226" i="90"/>
  <c r="AV122" i="90"/>
  <c r="AV18" i="90"/>
  <c r="AV1630" i="90"/>
  <c r="AV1110" i="90"/>
  <c r="AV590" i="90"/>
  <c r="AV1578" i="90"/>
  <c r="AV538" i="90"/>
  <c r="AV278" i="90"/>
  <c r="AV174" i="90"/>
  <c r="AV1318" i="90"/>
  <c r="AV640" i="90"/>
  <c r="AV68" i="90"/>
  <c r="AV1576" i="90"/>
  <c r="AV120" i="90"/>
  <c r="AV1472" i="90"/>
  <c r="AV1264" i="90"/>
  <c r="AV1212" i="90"/>
  <c r="AV1160" i="90"/>
  <c r="AV1420" i="90"/>
  <c r="AV1004" i="90"/>
  <c r="AV900" i="90"/>
  <c r="AV952" i="90"/>
  <c r="AV744" i="90"/>
  <c r="AV848" i="90"/>
  <c r="AV432" i="90"/>
  <c r="AV796" i="90"/>
  <c r="AV692" i="90"/>
  <c r="AV484" i="90"/>
  <c r="AV380" i="90"/>
  <c r="AV172" i="90"/>
  <c r="AV16" i="90"/>
  <c r="AV224" i="90"/>
  <c r="AV1524" i="90"/>
  <c r="AV536" i="90"/>
  <c r="AV328" i="90"/>
  <c r="AV1056" i="90"/>
  <c r="AV1628" i="90"/>
  <c r="AV276" i="90"/>
  <c r="AV588" i="90"/>
  <c r="AV1316" i="90"/>
  <c r="AV1108" i="90"/>
  <c r="AV1368" i="90"/>
  <c r="ED13" i="89"/>
  <c r="AV584" i="90"/>
  <c r="AV116" i="90"/>
  <c r="AV1468" i="90"/>
  <c r="AV1104" i="90"/>
  <c r="AV1572" i="90"/>
  <c r="AV1364" i="90"/>
  <c r="AV1260" i="90"/>
  <c r="AV1208" i="90"/>
  <c r="AV1156" i="90"/>
  <c r="AV1520" i="90"/>
  <c r="AV1000" i="90"/>
  <c r="AV896" i="90"/>
  <c r="AV948" i="90"/>
  <c r="AV792" i="90"/>
  <c r="AV1416" i="90"/>
  <c r="AV844" i="90"/>
  <c r="AV740" i="90"/>
  <c r="AV688" i="90"/>
  <c r="AV480" i="90"/>
  <c r="AV376" i="90"/>
  <c r="AV324" i="90"/>
  <c r="AV272" i="90"/>
  <c r="AV64" i="90"/>
  <c r="AV428" i="90"/>
  <c r="AV532" i="90"/>
  <c r="AV1624" i="90"/>
  <c r="AV220" i="90"/>
  <c r="AV636" i="90"/>
  <c r="AV168" i="90"/>
  <c r="AV1312" i="90"/>
  <c r="AV1052" i="90"/>
  <c r="AV12" i="90"/>
  <c r="ED16" i="89"/>
  <c r="AV1367" i="90"/>
  <c r="AV171" i="90"/>
  <c r="AV275" i="90"/>
  <c r="AV1471" i="90"/>
  <c r="AV1627" i="90"/>
  <c r="AV1003" i="90"/>
  <c r="AV1419" i="90"/>
  <c r="AV1263" i="90"/>
  <c r="AV1211" i="90"/>
  <c r="AV1159" i="90"/>
  <c r="AV1107" i="90"/>
  <c r="AV587" i="90"/>
  <c r="AV1575" i="90"/>
  <c r="AV535" i="90"/>
  <c r="AV847" i="90"/>
  <c r="AV223" i="90"/>
  <c r="AV743" i="90"/>
  <c r="AV431" i="90"/>
  <c r="AV1523" i="90"/>
  <c r="AV379" i="90"/>
  <c r="AV795" i="90"/>
  <c r="AV1315" i="90"/>
  <c r="AV119" i="90"/>
  <c r="AV691" i="90"/>
  <c r="AV15" i="90"/>
  <c r="AV67" i="90"/>
  <c r="AV327" i="90"/>
  <c r="AV951" i="90"/>
  <c r="AV639" i="90"/>
  <c r="AV483" i="90"/>
  <c r="AV899" i="90"/>
  <c r="AV1055" i="90"/>
  <c r="BI69" i="90"/>
  <c r="BI29" i="90"/>
  <c r="BI49" i="90"/>
  <c r="BI9" i="90"/>
  <c r="BV189" i="90"/>
  <c r="BV89" i="90"/>
  <c r="BV249" i="90"/>
  <c r="BV489" i="90"/>
  <c r="BV309" i="90"/>
  <c r="BV529" i="90"/>
  <c r="BV289" i="90"/>
  <c r="BV549" i="90"/>
  <c r="BV49" i="90"/>
  <c r="BV129" i="90"/>
  <c r="BV509" i="90"/>
  <c r="BV9" i="90"/>
  <c r="BV29" i="90"/>
  <c r="BV109" i="90"/>
  <c r="BV589" i="90"/>
  <c r="BV209" i="90"/>
  <c r="BV569" i="90"/>
  <c r="BV149" i="90"/>
  <c r="BV629" i="90"/>
  <c r="BV389" i="90"/>
  <c r="BV69" i="90"/>
  <c r="BV169" i="90"/>
  <c r="BV469" i="90"/>
  <c r="BV229" i="90"/>
  <c r="BV269" i="90"/>
  <c r="BV349" i="90"/>
  <c r="BV369" i="90"/>
  <c r="BV429" i="90"/>
  <c r="BV449" i="90"/>
  <c r="BV329" i="90"/>
  <c r="BV409" i="90"/>
  <c r="BV609" i="90"/>
  <c r="AH26" i="90"/>
  <c r="AH78" i="90"/>
  <c r="AH130" i="90"/>
  <c r="AH182" i="90"/>
  <c r="AH32" i="90"/>
  <c r="AH84" i="90"/>
  <c r="AH136" i="90"/>
  <c r="AH188" i="90"/>
  <c r="AH81" i="90"/>
  <c r="AH29" i="90"/>
  <c r="AH133" i="90"/>
  <c r="AH185" i="90"/>
  <c r="BT9" i="98"/>
  <c r="BT12" i="98"/>
  <c r="BT6" i="98"/>
  <c r="BT11" i="98"/>
  <c r="BT7" i="98"/>
  <c r="BU13" i="98"/>
  <c r="BU9" i="98"/>
  <c r="BS11" i="98"/>
  <c r="BS6" i="98"/>
  <c r="BS7" i="98"/>
  <c r="BR9" i="98"/>
  <c r="BS10" i="98"/>
  <c r="DD9" i="98"/>
  <c r="Q7" i="103"/>
  <c r="Q11" i="103"/>
  <c r="Q8" i="103"/>
  <c r="Q10" i="103"/>
  <c r="Q9" i="103"/>
  <c r="Q6" i="103"/>
  <c r="BJ56" i="103"/>
  <c r="BJ62" i="103"/>
  <c r="BJ128" i="103"/>
  <c r="BJ44" i="103"/>
  <c r="BJ37" i="103"/>
  <c r="BJ19" i="103"/>
  <c r="BJ79" i="103"/>
  <c r="BJ74" i="103"/>
  <c r="BJ50" i="103"/>
  <c r="BJ122" i="103"/>
  <c r="BJ92" i="103"/>
  <c r="BJ26" i="103"/>
  <c r="BJ20" i="103"/>
  <c r="BJ38" i="103"/>
  <c r="BJ80" i="103"/>
  <c r="BJ49" i="103"/>
  <c r="BJ91" i="103"/>
  <c r="BJ25" i="103"/>
  <c r="BJ121" i="103"/>
  <c r="BJ73" i="103"/>
  <c r="BJ32" i="103"/>
  <c r="BJ8" i="103"/>
  <c r="BJ116" i="103"/>
  <c r="BJ68" i="103"/>
  <c r="BJ7" i="103"/>
  <c r="BJ115" i="103"/>
  <c r="BJ67" i="103"/>
  <c r="BJ31" i="103"/>
  <c r="BJ86" i="103"/>
  <c r="BJ98" i="103"/>
  <c r="BJ110" i="103"/>
  <c r="BJ104" i="103"/>
  <c r="BJ14" i="103"/>
  <c r="BJ61" i="103"/>
  <c r="BJ127" i="103"/>
  <c r="BJ43" i="103"/>
  <c r="BJ55" i="103"/>
  <c r="BJ85" i="103"/>
  <c r="BJ103" i="103"/>
  <c r="BJ97" i="103"/>
  <c r="BJ109" i="103"/>
  <c r="BJ13" i="103"/>
  <c r="U21" i="90"/>
  <c r="V21" i="90"/>
  <c r="W21" i="90"/>
  <c r="X21" i="90"/>
  <c r="U19" i="90"/>
  <c r="W19" i="90"/>
  <c r="V19" i="90"/>
  <c r="X19" i="90"/>
  <c r="U14" i="90"/>
  <c r="V14" i="90"/>
  <c r="W14" i="90"/>
  <c r="X14" i="90"/>
  <c r="U18" i="90"/>
  <c r="V18" i="90"/>
  <c r="W18" i="90"/>
  <c r="X18" i="90"/>
  <c r="U16" i="90"/>
  <c r="V16" i="90"/>
  <c r="W16" i="90"/>
  <c r="X16" i="90"/>
  <c r="U12" i="90"/>
  <c r="V12" i="90"/>
  <c r="W12" i="90"/>
  <c r="X12" i="90"/>
  <c r="U15" i="90"/>
  <c r="W15" i="90"/>
  <c r="V15" i="90"/>
  <c r="X15" i="90"/>
  <c r="U22" i="90"/>
  <c r="W22" i="90"/>
  <c r="V22" i="90"/>
  <c r="X22" i="90"/>
  <c r="U20" i="90"/>
  <c r="W20" i="90"/>
  <c r="V20" i="90"/>
  <c r="X20" i="90"/>
  <c r="U13" i="90"/>
  <c r="W13" i="90"/>
  <c r="V13" i="90"/>
  <c r="X13" i="90"/>
  <c r="U11" i="90"/>
  <c r="W11" i="90"/>
  <c r="V11" i="90"/>
  <c r="X11" i="90"/>
  <c r="U17" i="90"/>
  <c r="W17" i="90"/>
  <c r="V17" i="90"/>
  <c r="X17" i="90"/>
  <c r="U23" i="90"/>
  <c r="V23" i="90"/>
  <c r="W23" i="90"/>
  <c r="X23" i="90"/>
  <c r="U10" i="90"/>
  <c r="V10" i="90"/>
  <c r="W10" i="90"/>
  <c r="X10" i="90"/>
  <c r="BR8" i="98"/>
  <c r="DD8" i="98"/>
  <c r="BR13" i="98"/>
  <c r="BR12" i="98"/>
  <c r="DC8" i="98"/>
  <c r="BU12" i="98"/>
  <c r="BU8" i="98"/>
  <c r="BR11" i="98"/>
  <c r="BR7" i="98"/>
  <c r="BU11" i="98"/>
  <c r="BU7" i="98"/>
  <c r="DC9" i="98"/>
  <c r="BR6" i="98"/>
  <c r="BU6" i="98"/>
  <c r="ED21" i="89"/>
  <c r="ED17" i="89"/>
  <c r="ED23" i="89"/>
  <c r="ED20" i="89"/>
  <c r="ED18" i="89"/>
  <c r="ED19" i="89"/>
  <c r="ED24" i="89"/>
  <c r="ED22" i="89"/>
  <c r="BY9" i="98"/>
  <c r="BY13" i="98"/>
  <c r="BX13" i="98"/>
  <c r="CB13" i="98" s="1"/>
  <c r="AN22" i="98" s="1"/>
  <c r="BX9" i="98"/>
  <c r="CB9" i="98" s="1"/>
  <c r="X27" i="98" s="1"/>
  <c r="DY38" i="98" s="1"/>
  <c r="BW6" i="98"/>
  <c r="CA6" i="98" s="1"/>
  <c r="BY10" i="98"/>
  <c r="BW8" i="98"/>
  <c r="CA8" i="98" s="1"/>
  <c r="BY12" i="98"/>
  <c r="BY8" i="98"/>
  <c r="BY7" i="98"/>
  <c r="BW11" i="98"/>
  <c r="CA11" i="98" s="1"/>
  <c r="BX7" i="98"/>
  <c r="CB7" i="98" s="1"/>
  <c r="P24" i="98" s="1"/>
  <c r="BW10" i="98"/>
  <c r="CA10" i="98" s="1"/>
  <c r="BW7" i="98"/>
  <c r="CA7" i="98" s="1"/>
  <c r="BY6" i="98"/>
  <c r="BW13" i="98"/>
  <c r="CA13" i="98" s="1"/>
  <c r="BX11" i="98"/>
  <c r="CB11" i="98" s="1"/>
  <c r="AF26" i="98" s="1"/>
  <c r="DY55" i="98" s="1"/>
  <c r="BW12" i="98"/>
  <c r="CA12" i="98" s="1"/>
  <c r="BZ9" i="98"/>
  <c r="CD9" i="98" s="1"/>
  <c r="Z22" i="98" s="1"/>
  <c r="BZ7" i="98"/>
  <c r="CD7" i="98" s="1"/>
  <c r="R23" i="98" s="1"/>
  <c r="BZ13" i="98"/>
  <c r="CD13" i="98" s="1"/>
  <c r="AP26" i="98" s="1"/>
  <c r="EA73" i="98" s="1"/>
  <c r="BZ11" i="98"/>
  <c r="CD11" i="98" s="1"/>
  <c r="AH26" i="98" s="1"/>
  <c r="EA55" i="98" s="1"/>
  <c r="BZ12" i="98"/>
  <c r="CD12" i="98" s="1"/>
  <c r="AL24" i="98" s="1"/>
  <c r="BZ8" i="98"/>
  <c r="CD8" i="98" s="1"/>
  <c r="V28" i="98" s="1"/>
  <c r="EA30" i="98" s="1"/>
  <c r="BX12" i="98"/>
  <c r="CB12" i="98" s="1"/>
  <c r="AJ26" i="98" s="1"/>
  <c r="DY64" i="98" s="1"/>
  <c r="BX6" i="98"/>
  <c r="CB6" i="98" s="1"/>
  <c r="L25" i="98" s="1"/>
  <c r="BX10" i="98"/>
  <c r="CB10" i="98" s="1"/>
  <c r="AB25" i="98" s="1"/>
  <c r="BZ6" i="98"/>
  <c r="CD6" i="98" s="1"/>
  <c r="N23" i="98" s="1"/>
  <c r="DD19" i="98"/>
  <c r="DD24" i="98"/>
  <c r="DD21" i="98"/>
  <c r="DD20" i="98"/>
  <c r="DD42" i="98"/>
  <c r="DD43" i="98"/>
  <c r="DD13" i="98"/>
  <c r="DD12" i="98"/>
  <c r="EG6" i="93"/>
  <c r="FY6" i="93" s="1"/>
  <c r="EG5" i="93"/>
  <c r="FY5" i="93" s="1"/>
  <c r="EG24" i="93"/>
  <c r="FY24" i="93" s="1"/>
  <c r="EG16" i="93"/>
  <c r="FY16" i="93" s="1"/>
  <c r="EG9" i="93"/>
  <c r="FY9" i="93" s="1"/>
  <c r="EG15" i="93"/>
  <c r="FY15" i="93" s="1"/>
  <c r="EG14" i="93"/>
  <c r="FY14" i="93" s="1"/>
  <c r="EG26" i="93"/>
  <c r="FY26" i="93" s="1"/>
  <c r="EG20" i="93"/>
  <c r="FY20" i="93" s="1"/>
  <c r="EG25" i="93"/>
  <c r="FY25" i="93" s="1"/>
  <c r="EG33" i="93"/>
  <c r="FY33" i="93" s="1"/>
  <c r="EG11" i="93"/>
  <c r="FY11" i="93" s="1"/>
  <c r="EG21" i="93"/>
  <c r="FY21" i="93" s="1"/>
  <c r="EG23" i="93"/>
  <c r="FY23" i="93" s="1"/>
  <c r="EG7" i="93"/>
  <c r="FY7" i="93" s="1"/>
  <c r="EG27" i="93"/>
  <c r="FY27" i="93" s="1"/>
  <c r="EG13" i="93"/>
  <c r="FY13" i="93" s="1"/>
  <c r="EG32" i="93"/>
  <c r="FY32" i="93" s="1"/>
  <c r="EG8" i="93"/>
  <c r="FY8" i="93" s="1"/>
  <c r="EG34" i="93"/>
  <c r="FY34" i="93" s="1"/>
  <c r="EG10" i="93"/>
  <c r="FY10" i="93" s="1"/>
  <c r="EG22" i="93"/>
  <c r="FY22" i="93" s="1"/>
  <c r="EG35" i="93"/>
  <c r="FY35" i="93" s="1"/>
  <c r="EG31" i="93"/>
  <c r="FY31" i="93" s="1"/>
  <c r="EG30" i="93"/>
  <c r="FY30" i="93" s="1"/>
  <c r="EG12" i="93"/>
  <c r="FY12" i="93" s="1"/>
  <c r="EG17" i="93"/>
  <c r="FY17" i="93" s="1"/>
  <c r="EG28" i="93"/>
  <c r="FY28" i="93" s="1"/>
  <c r="EG18" i="93"/>
  <c r="FY18" i="93" s="1"/>
  <c r="EG19" i="93"/>
  <c r="FY19" i="93" s="1"/>
  <c r="EG29" i="93"/>
  <c r="FY29" i="93" s="1"/>
  <c r="EG42" i="93"/>
  <c r="FY42" i="93" s="1"/>
  <c r="EG63" i="93"/>
  <c r="FY63" i="93" s="1"/>
  <c r="EG37" i="93"/>
  <c r="FY37" i="93" s="1"/>
  <c r="EG54" i="93"/>
  <c r="FY54" i="93" s="1"/>
  <c r="EG38" i="93"/>
  <c r="FY38" i="93" s="1"/>
  <c r="EG51" i="93"/>
  <c r="FY51" i="93" s="1"/>
  <c r="EG49" i="93"/>
  <c r="FY49" i="93" s="1"/>
  <c r="EG56" i="93"/>
  <c r="FY56" i="93" s="1"/>
  <c r="EG62" i="93"/>
  <c r="FY62" i="93" s="1"/>
  <c r="EG57" i="93"/>
  <c r="FY57" i="93" s="1"/>
  <c r="EG39" i="93"/>
  <c r="FY39" i="93" s="1"/>
  <c r="EG44" i="93"/>
  <c r="FY44" i="93" s="1"/>
  <c r="EG47" i="93"/>
  <c r="FY47" i="93" s="1"/>
  <c r="EG60" i="93"/>
  <c r="FY60" i="93" s="1"/>
  <c r="EG41" i="93"/>
  <c r="FY41" i="93" s="1"/>
  <c r="EG64" i="93"/>
  <c r="FY64" i="93" s="1"/>
  <c r="EG40" i="93"/>
  <c r="FY40" i="93" s="1"/>
  <c r="EG50" i="93"/>
  <c r="FY50" i="93" s="1"/>
  <c r="EG59" i="93"/>
  <c r="FY59" i="93" s="1"/>
  <c r="EG53" i="93"/>
  <c r="FY53" i="93" s="1"/>
  <c r="EG36" i="93"/>
  <c r="FY36" i="93" s="1"/>
  <c r="EG58" i="93"/>
  <c r="FY58" i="93" s="1"/>
  <c r="EG43" i="93"/>
  <c r="FY43" i="93" s="1"/>
  <c r="EG55" i="93"/>
  <c r="FY55" i="93" s="1"/>
  <c r="EG52" i="93"/>
  <c r="FY52" i="93" s="1"/>
  <c r="EG61" i="93"/>
  <c r="FY61" i="93" s="1"/>
  <c r="EG46" i="93"/>
  <c r="FY46" i="93" s="1"/>
  <c r="EG48" i="93"/>
  <c r="FY48" i="93" s="1"/>
  <c r="EG45" i="93"/>
  <c r="FY45" i="93" s="1"/>
  <c r="EF8" i="93"/>
  <c r="FX8" i="93" s="1"/>
  <c r="EF5" i="93"/>
  <c r="FX5" i="93" s="1"/>
  <c r="EF6" i="93"/>
  <c r="FX6" i="93" s="1"/>
  <c r="EF30" i="93"/>
  <c r="FX30" i="93" s="1"/>
  <c r="EF21" i="93"/>
  <c r="FX21" i="93" s="1"/>
  <c r="EF19" i="93"/>
  <c r="FX19" i="93" s="1"/>
  <c r="EF9" i="93"/>
  <c r="FX9" i="93" s="1"/>
  <c r="EF31" i="93"/>
  <c r="FX31" i="93" s="1"/>
  <c r="EF24" i="93"/>
  <c r="FX24" i="93" s="1"/>
  <c r="EF34" i="93"/>
  <c r="FX34" i="93" s="1"/>
  <c r="EF15" i="93"/>
  <c r="FX15" i="93" s="1"/>
  <c r="EF14" i="93"/>
  <c r="FX14" i="93" s="1"/>
  <c r="EF35" i="93"/>
  <c r="FX35" i="93" s="1"/>
  <c r="EF25" i="93"/>
  <c r="FX25" i="93" s="1"/>
  <c r="EF27" i="93"/>
  <c r="FX27" i="93" s="1"/>
  <c r="EF10" i="93"/>
  <c r="FX10" i="93" s="1"/>
  <c r="EF28" i="93"/>
  <c r="FX28" i="93" s="1"/>
  <c r="EF23" i="93"/>
  <c r="FX23" i="93" s="1"/>
  <c r="EF12" i="93"/>
  <c r="FX12" i="93" s="1"/>
  <c r="EF22" i="93"/>
  <c r="FX22" i="93" s="1"/>
  <c r="EF17" i="93"/>
  <c r="FX17" i="93" s="1"/>
  <c r="EF29" i="93"/>
  <c r="FX29" i="93" s="1"/>
  <c r="EF13" i="93"/>
  <c r="FX13" i="93" s="1"/>
  <c r="EF33" i="93"/>
  <c r="FX33" i="93" s="1"/>
  <c r="EF26" i="93"/>
  <c r="FX26" i="93" s="1"/>
  <c r="EF7" i="93"/>
  <c r="FX7" i="93" s="1"/>
  <c r="EF32" i="93"/>
  <c r="FX32" i="93" s="1"/>
  <c r="EF18" i="93"/>
  <c r="FX18" i="93" s="1"/>
  <c r="EF11" i="93"/>
  <c r="FX11" i="93" s="1"/>
  <c r="EF20" i="93"/>
  <c r="FX20" i="93" s="1"/>
  <c r="EF16" i="93"/>
  <c r="FX16" i="93" s="1"/>
  <c r="EF37" i="93"/>
  <c r="FX37" i="93" s="1"/>
  <c r="EF52" i="93"/>
  <c r="FX52" i="93" s="1"/>
  <c r="EF63" i="93"/>
  <c r="FX63" i="93" s="1"/>
  <c r="EF36" i="93"/>
  <c r="FX36" i="93" s="1"/>
  <c r="EF57" i="93"/>
  <c r="FX57" i="93" s="1"/>
  <c r="EF49" i="93"/>
  <c r="FX49" i="93" s="1"/>
  <c r="EF50" i="93"/>
  <c r="FX50" i="93" s="1"/>
  <c r="EF53" i="93"/>
  <c r="FX53" i="93" s="1"/>
  <c r="EF41" i="93"/>
  <c r="FX41" i="93" s="1"/>
  <c r="EF44" i="93"/>
  <c r="FX44" i="93" s="1"/>
  <c r="EF39" i="93"/>
  <c r="FX39" i="93" s="1"/>
  <c r="EF48" i="93"/>
  <c r="FX48" i="93" s="1"/>
  <c r="EF51" i="93"/>
  <c r="FX51" i="93" s="1"/>
  <c r="EF64" i="93"/>
  <c r="FX64" i="93" s="1"/>
  <c r="EF62" i="93"/>
  <c r="FX62" i="93" s="1"/>
  <c r="EF61" i="93"/>
  <c r="FX61" i="93" s="1"/>
  <c r="EF42" i="93"/>
  <c r="FX42" i="93" s="1"/>
  <c r="EF54" i="93"/>
  <c r="FX54" i="93" s="1"/>
  <c r="EF45" i="93"/>
  <c r="FX45" i="93" s="1"/>
  <c r="EF56" i="93"/>
  <c r="FX56" i="93" s="1"/>
  <c r="EF59" i="93"/>
  <c r="FX59" i="93" s="1"/>
  <c r="EF58" i="93"/>
  <c r="FX58" i="93" s="1"/>
  <c r="EF40" i="93"/>
  <c r="FX40" i="93" s="1"/>
  <c r="EF47" i="93"/>
  <c r="FX47" i="93" s="1"/>
  <c r="EF55" i="93"/>
  <c r="FX55" i="93" s="1"/>
  <c r="EF60" i="93"/>
  <c r="FX60" i="93" s="1"/>
  <c r="EF46" i="93"/>
  <c r="FX46" i="93" s="1"/>
  <c r="EF38" i="93"/>
  <c r="FX38" i="93" s="1"/>
  <c r="EF43" i="93"/>
  <c r="FX43" i="93" s="1"/>
  <c r="DP6" i="93"/>
  <c r="FH6" i="93" s="1"/>
  <c r="DP5" i="93"/>
  <c r="FH5" i="93" s="1"/>
  <c r="DP7" i="93"/>
  <c r="FH7" i="93" s="1"/>
  <c r="DP9" i="93"/>
  <c r="FH9" i="93" s="1"/>
  <c r="DP16" i="93"/>
  <c r="FH16" i="93" s="1"/>
  <c r="DP13" i="93"/>
  <c r="FH13" i="93" s="1"/>
  <c r="DP10" i="93"/>
  <c r="FH10" i="93" s="1"/>
  <c r="DP11" i="93"/>
  <c r="FH11" i="93" s="1"/>
  <c r="DP12" i="93"/>
  <c r="FH12" i="93" s="1"/>
  <c r="DP17" i="93"/>
  <c r="FH17" i="93" s="1"/>
  <c r="DP15" i="93"/>
  <c r="FH15" i="93" s="1"/>
  <c r="DP8" i="93"/>
  <c r="FH8" i="93" s="1"/>
  <c r="DP18" i="93"/>
  <c r="FH18" i="93" s="1"/>
  <c r="DP14" i="93"/>
  <c r="FH14" i="93" s="1"/>
  <c r="DP25" i="93"/>
  <c r="FH25" i="93" s="1"/>
  <c r="DP39" i="93"/>
  <c r="FH39" i="93" s="1"/>
  <c r="DP43" i="93"/>
  <c r="FH43" i="93" s="1"/>
  <c r="DP27" i="93"/>
  <c r="FH27" i="93" s="1"/>
  <c r="DP49" i="93"/>
  <c r="FH49" i="93" s="1"/>
  <c r="DP48" i="93"/>
  <c r="FH48" i="93" s="1"/>
  <c r="DP19" i="93"/>
  <c r="FH19" i="93" s="1"/>
  <c r="DP53" i="93"/>
  <c r="FH53" i="93" s="1"/>
  <c r="DP58" i="93"/>
  <c r="FH58" i="93" s="1"/>
  <c r="DP36" i="93"/>
  <c r="FH36" i="93" s="1"/>
  <c r="DP55" i="93"/>
  <c r="FH55" i="93" s="1"/>
  <c r="DP60" i="93"/>
  <c r="FH60" i="93" s="1"/>
  <c r="DP64" i="93"/>
  <c r="FH64" i="93" s="1"/>
  <c r="DP26" i="93"/>
  <c r="FH26" i="93" s="1"/>
  <c r="DP30" i="93"/>
  <c r="FH30" i="93" s="1"/>
  <c r="DP45" i="93"/>
  <c r="FH45" i="93" s="1"/>
  <c r="DP44" i="93"/>
  <c r="FH44" i="93" s="1"/>
  <c r="DP32" i="93"/>
  <c r="FH32" i="93" s="1"/>
  <c r="DP51" i="93"/>
  <c r="FH51" i="93" s="1"/>
  <c r="DP56" i="93"/>
  <c r="FH56" i="93" s="1"/>
  <c r="DP34" i="93"/>
  <c r="FH34" i="93" s="1"/>
  <c r="DP61" i="93"/>
  <c r="FH61" i="93" s="1"/>
  <c r="DP22" i="93"/>
  <c r="FH22" i="93" s="1"/>
  <c r="DP35" i="93"/>
  <c r="FH35" i="93" s="1"/>
  <c r="DP63" i="93"/>
  <c r="FH63" i="93" s="1"/>
  <c r="DP62" i="93"/>
  <c r="FH62" i="93" s="1"/>
  <c r="DP33" i="93"/>
  <c r="FH33" i="93" s="1"/>
  <c r="DP37" i="93"/>
  <c r="FH37" i="93" s="1"/>
  <c r="DP52" i="93"/>
  <c r="FH52" i="93" s="1"/>
  <c r="DP31" i="93"/>
  <c r="FH31" i="93" s="1"/>
  <c r="DP46" i="93"/>
  <c r="FH46" i="93" s="1"/>
  <c r="DP54" i="93"/>
  <c r="FH54" i="93" s="1"/>
  <c r="DP40" i="93"/>
  <c r="FH40" i="93" s="1"/>
  <c r="DP59" i="93"/>
  <c r="FH59" i="93" s="1"/>
  <c r="DP21" i="93"/>
  <c r="FH21" i="93" s="1"/>
  <c r="DP42" i="93"/>
  <c r="FH42" i="93" s="1"/>
  <c r="DP23" i="93"/>
  <c r="FH23" i="93" s="1"/>
  <c r="DP28" i="93"/>
  <c r="FH28" i="93" s="1"/>
  <c r="DP41" i="93"/>
  <c r="FH41" i="93" s="1"/>
  <c r="DP29" i="93"/>
  <c r="FH29" i="93" s="1"/>
  <c r="DP38" i="93"/>
  <c r="FH38" i="93" s="1"/>
  <c r="DP47" i="93"/>
  <c r="FH47" i="93" s="1"/>
  <c r="DP50" i="93"/>
  <c r="FH50" i="93" s="1"/>
  <c r="DP24" i="93"/>
  <c r="FH24" i="93" s="1"/>
  <c r="DP57" i="93"/>
  <c r="FH57" i="93" s="1"/>
  <c r="DP20" i="93"/>
  <c r="FH20" i="93" s="1"/>
  <c r="CZ6" i="93"/>
  <c r="ER6" i="93" s="1"/>
  <c r="CZ5" i="93"/>
  <c r="ER5" i="93" s="1"/>
  <c r="CZ8" i="93"/>
  <c r="ER8" i="93" s="1"/>
  <c r="CZ9" i="93"/>
  <c r="ER9" i="93" s="1"/>
  <c r="CZ7" i="93"/>
  <c r="ER7" i="93" s="1"/>
  <c r="CZ22" i="93"/>
  <c r="ER22" i="93" s="1"/>
  <c r="CZ42" i="93"/>
  <c r="ER42" i="93" s="1"/>
  <c r="CZ55" i="93"/>
  <c r="ER55" i="93" s="1"/>
  <c r="CZ12" i="93"/>
  <c r="ER12" i="93" s="1"/>
  <c r="CZ51" i="93"/>
  <c r="ER51" i="93" s="1"/>
  <c r="CZ20" i="93"/>
  <c r="ER20" i="93" s="1"/>
  <c r="CZ56" i="93"/>
  <c r="ER56" i="93" s="1"/>
  <c r="CZ26" i="93"/>
  <c r="ER26" i="93" s="1"/>
  <c r="CZ33" i="93"/>
  <c r="ER33" i="93" s="1"/>
  <c r="CZ43" i="93"/>
  <c r="ER43" i="93" s="1"/>
  <c r="CZ19" i="93"/>
  <c r="ER19" i="93" s="1"/>
  <c r="CZ59" i="93"/>
  <c r="ER59" i="93" s="1"/>
  <c r="CZ40" i="93"/>
  <c r="ER40" i="93" s="1"/>
  <c r="CZ62" i="93"/>
  <c r="ER62" i="93" s="1"/>
  <c r="CZ11" i="93"/>
  <c r="ER11" i="93" s="1"/>
  <c r="CZ38" i="93"/>
  <c r="ER38" i="93" s="1"/>
  <c r="CZ35" i="93"/>
  <c r="ER35" i="93" s="1"/>
  <c r="CZ50" i="93"/>
  <c r="ER50" i="93" s="1"/>
  <c r="CZ24" i="93"/>
  <c r="ER24" i="93" s="1"/>
  <c r="CZ53" i="93"/>
  <c r="ER53" i="93" s="1"/>
  <c r="CZ46" i="93"/>
  <c r="ER46" i="93" s="1"/>
  <c r="CZ10" i="93"/>
  <c r="ER10" i="93" s="1"/>
  <c r="CZ23" i="93"/>
  <c r="ER23" i="93" s="1"/>
  <c r="CZ49" i="93"/>
  <c r="ER49" i="93" s="1"/>
  <c r="CZ21" i="93"/>
  <c r="ER21" i="93" s="1"/>
  <c r="CZ39" i="93"/>
  <c r="ER39" i="93" s="1"/>
  <c r="CZ63" i="93"/>
  <c r="ER63" i="93" s="1"/>
  <c r="CZ28" i="93"/>
  <c r="ER28" i="93" s="1"/>
  <c r="CZ47" i="93"/>
  <c r="ER47" i="93" s="1"/>
  <c r="CZ31" i="93"/>
  <c r="ER31" i="93" s="1"/>
  <c r="CZ13" i="93"/>
  <c r="ER13" i="93" s="1"/>
  <c r="CZ14" i="93"/>
  <c r="ER14" i="93" s="1"/>
  <c r="CZ45" i="93"/>
  <c r="ER45" i="93" s="1"/>
  <c r="CZ52" i="93"/>
  <c r="ER52" i="93" s="1"/>
  <c r="CZ27" i="93"/>
  <c r="ER27" i="93" s="1"/>
  <c r="CZ54" i="93"/>
  <c r="ER54" i="93" s="1"/>
  <c r="CZ41" i="93"/>
  <c r="ER41" i="93" s="1"/>
  <c r="CZ32" i="93"/>
  <c r="ER32" i="93" s="1"/>
  <c r="CZ29" i="93"/>
  <c r="ER29" i="93" s="1"/>
  <c r="CZ60" i="93"/>
  <c r="ER60" i="93" s="1"/>
  <c r="CZ36" i="93"/>
  <c r="ER36" i="93" s="1"/>
  <c r="CZ64" i="93"/>
  <c r="ER64" i="93" s="1"/>
  <c r="CZ17" i="93"/>
  <c r="ER17" i="93" s="1"/>
  <c r="CZ37" i="93"/>
  <c r="ER37" i="93" s="1"/>
  <c r="CZ57" i="93"/>
  <c r="ER57" i="93" s="1"/>
  <c r="CZ44" i="93"/>
  <c r="ER44" i="93" s="1"/>
  <c r="CZ48" i="93"/>
  <c r="ER48" i="93" s="1"/>
  <c r="CZ18" i="93"/>
  <c r="ER18" i="93" s="1"/>
  <c r="CZ16" i="93"/>
  <c r="ER16" i="93" s="1"/>
  <c r="CZ58" i="93"/>
  <c r="ER58" i="93" s="1"/>
  <c r="CZ25" i="93"/>
  <c r="ER25" i="93" s="1"/>
  <c r="CZ30" i="93"/>
  <c r="ER30" i="93" s="1"/>
  <c r="CZ34" i="93"/>
  <c r="ER34" i="93" s="1"/>
  <c r="CZ61" i="93"/>
  <c r="ER61" i="93" s="1"/>
  <c r="CZ15" i="93"/>
  <c r="ER15" i="93" s="1"/>
  <c r="DA9" i="93"/>
  <c r="ES9" i="93" s="1"/>
  <c r="DA7" i="93"/>
  <c r="ES7" i="93" s="1"/>
  <c r="DA6" i="93"/>
  <c r="ES6" i="93" s="1"/>
  <c r="DA8" i="93"/>
  <c r="ES8" i="93" s="1"/>
  <c r="DA5" i="93"/>
  <c r="ES5" i="93" s="1"/>
  <c r="DA23" i="93"/>
  <c r="ES23" i="93" s="1"/>
  <c r="DA49" i="93"/>
  <c r="ES49" i="93" s="1"/>
  <c r="DA26" i="93"/>
  <c r="ES26" i="93" s="1"/>
  <c r="DA35" i="93"/>
  <c r="ES35" i="93" s="1"/>
  <c r="DA13" i="93"/>
  <c r="ES13" i="93" s="1"/>
  <c r="DA56" i="93"/>
  <c r="ES56" i="93" s="1"/>
  <c r="DA24" i="93"/>
  <c r="ES24" i="93" s="1"/>
  <c r="DA41" i="93"/>
  <c r="ES41" i="93" s="1"/>
  <c r="DA52" i="93"/>
  <c r="ES52" i="93" s="1"/>
  <c r="DA61" i="93"/>
  <c r="ES61" i="93" s="1"/>
  <c r="DA46" i="93"/>
  <c r="ES46" i="93" s="1"/>
  <c r="DA20" i="93"/>
  <c r="ES20" i="93" s="1"/>
  <c r="DA47" i="93"/>
  <c r="ES47" i="93" s="1"/>
  <c r="DA12" i="93"/>
  <c r="ES12" i="93" s="1"/>
  <c r="DA10" i="93"/>
  <c r="ES10" i="93" s="1"/>
  <c r="DA33" i="93"/>
  <c r="ES33" i="93" s="1"/>
  <c r="DA28" i="93"/>
  <c r="ES28" i="93" s="1"/>
  <c r="DA14" i="93"/>
  <c r="ES14" i="93" s="1"/>
  <c r="DA21" i="93"/>
  <c r="ES21" i="93" s="1"/>
  <c r="DA50" i="93"/>
  <c r="ES50" i="93" s="1"/>
  <c r="DA51" i="93"/>
  <c r="ES51" i="93" s="1"/>
  <c r="DA45" i="93"/>
  <c r="ES45" i="93" s="1"/>
  <c r="DA15" i="93"/>
  <c r="ES15" i="93" s="1"/>
  <c r="DA38" i="93"/>
  <c r="ES38" i="93" s="1"/>
  <c r="DA19" i="93"/>
  <c r="ES19" i="93" s="1"/>
  <c r="DA43" i="93"/>
  <c r="ES43" i="93" s="1"/>
  <c r="DA60" i="93"/>
  <c r="ES60" i="93" s="1"/>
  <c r="DA18" i="93"/>
  <c r="ES18" i="93" s="1"/>
  <c r="DA31" i="93"/>
  <c r="ES31" i="93" s="1"/>
  <c r="DA11" i="93"/>
  <c r="ES11" i="93" s="1"/>
  <c r="DA34" i="93"/>
  <c r="ES34" i="93" s="1"/>
  <c r="DA22" i="93"/>
  <c r="ES22" i="93" s="1"/>
  <c r="DA32" i="93"/>
  <c r="ES32" i="93" s="1"/>
  <c r="DA25" i="93"/>
  <c r="ES25" i="93" s="1"/>
  <c r="DA36" i="93"/>
  <c r="ES36" i="93" s="1"/>
  <c r="DA27" i="93"/>
  <c r="ES27" i="93" s="1"/>
  <c r="DA17" i="93"/>
  <c r="ES17" i="93" s="1"/>
  <c r="DA64" i="93"/>
  <c r="ES64" i="93" s="1"/>
  <c r="DA58" i="93"/>
  <c r="ES58" i="93" s="1"/>
  <c r="DA16" i="93"/>
  <c r="ES16" i="93" s="1"/>
  <c r="DA53" i="93"/>
  <c r="ES53" i="93" s="1"/>
  <c r="DA57" i="93"/>
  <c r="ES57" i="93" s="1"/>
  <c r="DA39" i="93"/>
  <c r="ES39" i="93" s="1"/>
  <c r="DA42" i="93"/>
  <c r="ES42" i="93" s="1"/>
  <c r="DA59" i="93"/>
  <c r="ES59" i="93" s="1"/>
  <c r="DA54" i="93"/>
  <c r="ES54" i="93" s="1"/>
  <c r="DA40" i="93"/>
  <c r="ES40" i="93" s="1"/>
  <c r="DA44" i="93"/>
  <c r="ES44" i="93" s="1"/>
  <c r="DA62" i="93"/>
  <c r="ES62" i="93" s="1"/>
  <c r="DA29" i="93"/>
  <c r="ES29" i="93" s="1"/>
  <c r="DA63" i="93"/>
  <c r="ES63" i="93" s="1"/>
  <c r="DA30" i="93"/>
  <c r="ES30" i="93" s="1"/>
  <c r="DA37" i="93"/>
  <c r="ES37" i="93" s="1"/>
  <c r="DA48" i="93"/>
  <c r="ES48" i="93" s="1"/>
  <c r="DA55" i="93"/>
  <c r="ES55" i="93" s="1"/>
  <c r="EA6" i="93"/>
  <c r="FS6" i="93" s="1"/>
  <c r="EA5" i="93"/>
  <c r="FS5" i="93" s="1"/>
  <c r="EA10" i="93"/>
  <c r="FS10" i="93" s="1"/>
  <c r="EA12" i="93"/>
  <c r="FS12" i="93" s="1"/>
  <c r="EA20" i="93"/>
  <c r="FS20" i="93" s="1"/>
  <c r="EA9" i="93"/>
  <c r="FS9" i="93" s="1"/>
  <c r="EA11" i="93"/>
  <c r="FS11" i="93" s="1"/>
  <c r="EA21" i="93"/>
  <c r="FS21" i="93" s="1"/>
  <c r="EA29" i="93"/>
  <c r="FS29" i="93" s="1"/>
  <c r="EA19" i="93"/>
  <c r="FS19" i="93" s="1"/>
  <c r="EA25" i="93"/>
  <c r="FS25" i="93" s="1"/>
  <c r="EA18" i="93"/>
  <c r="FS18" i="93" s="1"/>
  <c r="EA7" i="93"/>
  <c r="FS7" i="93" s="1"/>
  <c r="EA24" i="93"/>
  <c r="FS24" i="93" s="1"/>
  <c r="EA8" i="93"/>
  <c r="FS8" i="93" s="1"/>
  <c r="EA23" i="93"/>
  <c r="FS23" i="93" s="1"/>
  <c r="EA26" i="93"/>
  <c r="FS26" i="93" s="1"/>
  <c r="EA16" i="93"/>
  <c r="FS16" i="93" s="1"/>
  <c r="EA28" i="93"/>
  <c r="FS28" i="93" s="1"/>
  <c r="EA14" i="93"/>
  <c r="FS14" i="93" s="1"/>
  <c r="EA22" i="93"/>
  <c r="FS22" i="93" s="1"/>
  <c r="EA15" i="93"/>
  <c r="FS15" i="93" s="1"/>
  <c r="EA13" i="93"/>
  <c r="FS13" i="93" s="1"/>
  <c r="EA17" i="93"/>
  <c r="FS17" i="93" s="1"/>
  <c r="EA27" i="93"/>
  <c r="FS27" i="93" s="1"/>
  <c r="EA36" i="93"/>
  <c r="FS36" i="93" s="1"/>
  <c r="EA51" i="93"/>
  <c r="FS51" i="93" s="1"/>
  <c r="EA60" i="93"/>
  <c r="FS60" i="93" s="1"/>
  <c r="EA43" i="93"/>
  <c r="FS43" i="93" s="1"/>
  <c r="EA54" i="93"/>
  <c r="FS54" i="93" s="1"/>
  <c r="EA46" i="93"/>
  <c r="FS46" i="93" s="1"/>
  <c r="EA63" i="93"/>
  <c r="FS63" i="93" s="1"/>
  <c r="EA48" i="93"/>
  <c r="FS48" i="93" s="1"/>
  <c r="EA37" i="93"/>
  <c r="FS37" i="93" s="1"/>
  <c r="EA49" i="93"/>
  <c r="FS49" i="93" s="1"/>
  <c r="EA40" i="93"/>
  <c r="FS40" i="93" s="1"/>
  <c r="EA57" i="93"/>
  <c r="FS57" i="93" s="1"/>
  <c r="EA31" i="93"/>
  <c r="FS31" i="93" s="1"/>
  <c r="EA59" i="93"/>
  <c r="FS59" i="93" s="1"/>
  <c r="EA42" i="93"/>
  <c r="FS42" i="93" s="1"/>
  <c r="EA53" i="93"/>
  <c r="FS53" i="93" s="1"/>
  <c r="EA62" i="93"/>
  <c r="FS62" i="93" s="1"/>
  <c r="EA45" i="93"/>
  <c r="FS45" i="93" s="1"/>
  <c r="EA56" i="93"/>
  <c r="FS56" i="93" s="1"/>
  <c r="EA47" i="93"/>
  <c r="FS47" i="93" s="1"/>
  <c r="EA58" i="93"/>
  <c r="FS58" i="93" s="1"/>
  <c r="EA52" i="93"/>
  <c r="FS52" i="93" s="1"/>
  <c r="EA55" i="93"/>
  <c r="FS55" i="93" s="1"/>
  <c r="EA50" i="93"/>
  <c r="FS50" i="93" s="1"/>
  <c r="EA30" i="93"/>
  <c r="FS30" i="93" s="1"/>
  <c r="EA38" i="93"/>
  <c r="FS38" i="93" s="1"/>
  <c r="EA61" i="93"/>
  <c r="FS61" i="93" s="1"/>
  <c r="EA32" i="93"/>
  <c r="FS32" i="93" s="1"/>
  <c r="EA33" i="93"/>
  <c r="FS33" i="93" s="1"/>
  <c r="EA64" i="93"/>
  <c r="FS64" i="93" s="1"/>
  <c r="EA41" i="93"/>
  <c r="FS41" i="93" s="1"/>
  <c r="EA39" i="93"/>
  <c r="FS39" i="93" s="1"/>
  <c r="EA44" i="93"/>
  <c r="FS44" i="93" s="1"/>
  <c r="EA34" i="93"/>
  <c r="FS34" i="93" s="1"/>
  <c r="EA35" i="93"/>
  <c r="FS35" i="93" s="1"/>
  <c r="DK5" i="93"/>
  <c r="FC5" i="93" s="1"/>
  <c r="DK8" i="93"/>
  <c r="FC8" i="93" s="1"/>
  <c r="DK6" i="93"/>
  <c r="FC6" i="93" s="1"/>
  <c r="DK11" i="93"/>
  <c r="FC11" i="93" s="1"/>
  <c r="DK10" i="93"/>
  <c r="FC10" i="93" s="1"/>
  <c r="DK17" i="93"/>
  <c r="FC17" i="93" s="1"/>
  <c r="DK9" i="93"/>
  <c r="FC9" i="93" s="1"/>
  <c r="DK15" i="93"/>
  <c r="FC15" i="93" s="1"/>
  <c r="DK13" i="93"/>
  <c r="FC13" i="93" s="1"/>
  <c r="DK12" i="93"/>
  <c r="FC12" i="93" s="1"/>
  <c r="DK16" i="93"/>
  <c r="FC16" i="93" s="1"/>
  <c r="DK18" i="93"/>
  <c r="FC18" i="93" s="1"/>
  <c r="DK14" i="93"/>
  <c r="FC14" i="93" s="1"/>
  <c r="DK7" i="93"/>
  <c r="FC7" i="93" s="1"/>
  <c r="DK22" i="93"/>
  <c r="FC22" i="93" s="1"/>
  <c r="DK47" i="93"/>
  <c r="FC47" i="93" s="1"/>
  <c r="DK54" i="93"/>
  <c r="FC54" i="93" s="1"/>
  <c r="DK27" i="93"/>
  <c r="FC27" i="93" s="1"/>
  <c r="DK57" i="93"/>
  <c r="FC57" i="93" s="1"/>
  <c r="DK39" i="93"/>
  <c r="FC39" i="93" s="1"/>
  <c r="DK50" i="93"/>
  <c r="FC50" i="93" s="1"/>
  <c r="DK23" i="93"/>
  <c r="FC23" i="93" s="1"/>
  <c r="DK37" i="93"/>
  <c r="FC37" i="93" s="1"/>
  <c r="DK49" i="93"/>
  <c r="FC49" i="93" s="1"/>
  <c r="DK36" i="93"/>
  <c r="FC36" i="93" s="1"/>
  <c r="DK58" i="93"/>
  <c r="FC58" i="93" s="1"/>
  <c r="DK40" i="93"/>
  <c r="FC40" i="93" s="1"/>
  <c r="DK51" i="93"/>
  <c r="FC51" i="93" s="1"/>
  <c r="DK62" i="93"/>
  <c r="FC62" i="93" s="1"/>
  <c r="DK46" i="93"/>
  <c r="FC46" i="93" s="1"/>
  <c r="DK35" i="93"/>
  <c r="FC35" i="93" s="1"/>
  <c r="DK21" i="93"/>
  <c r="FC21" i="93" s="1"/>
  <c r="DK53" i="93"/>
  <c r="FC53" i="93" s="1"/>
  <c r="DK24" i="93"/>
  <c r="FC24" i="93" s="1"/>
  <c r="DK25" i="93"/>
  <c r="FC25" i="93" s="1"/>
  <c r="DK61" i="93"/>
  <c r="FC61" i="93" s="1"/>
  <c r="DK44" i="93"/>
  <c r="FC44" i="93" s="1"/>
  <c r="DK31" i="93"/>
  <c r="FC31" i="93" s="1"/>
  <c r="DK59" i="93"/>
  <c r="FC59" i="93" s="1"/>
  <c r="DK28" i="93"/>
  <c r="FC28" i="93" s="1"/>
  <c r="DK45" i="93"/>
  <c r="FC45" i="93" s="1"/>
  <c r="DK52" i="93"/>
  <c r="FC52" i="93" s="1"/>
  <c r="DK26" i="93"/>
  <c r="FC26" i="93" s="1"/>
  <c r="DK30" i="93"/>
  <c r="FC30" i="93" s="1"/>
  <c r="DK43" i="93"/>
  <c r="FC43" i="93" s="1"/>
  <c r="DK34" i="93"/>
  <c r="FC34" i="93" s="1"/>
  <c r="DK56" i="93"/>
  <c r="FC56" i="93" s="1"/>
  <c r="DK33" i="93"/>
  <c r="FC33" i="93" s="1"/>
  <c r="DK19" i="93"/>
  <c r="FC19" i="93" s="1"/>
  <c r="DK48" i="93"/>
  <c r="FC48" i="93" s="1"/>
  <c r="DK29" i="93"/>
  <c r="FC29" i="93" s="1"/>
  <c r="DK38" i="93"/>
  <c r="FC38" i="93" s="1"/>
  <c r="DK41" i="93"/>
  <c r="FC41" i="93" s="1"/>
  <c r="DK60" i="93"/>
  <c r="FC60" i="93" s="1"/>
  <c r="DK42" i="93"/>
  <c r="FC42" i="93" s="1"/>
  <c r="DK64" i="93"/>
  <c r="FC64" i="93" s="1"/>
  <c r="DK55" i="93"/>
  <c r="FC55" i="93" s="1"/>
  <c r="DK32" i="93"/>
  <c r="FC32" i="93" s="1"/>
  <c r="DK20" i="93"/>
  <c r="FC20" i="93" s="1"/>
  <c r="DK63" i="93"/>
  <c r="FC63" i="93" s="1"/>
  <c r="EC5" i="93"/>
  <c r="FU5" i="93" s="1"/>
  <c r="EC6" i="93"/>
  <c r="FU6" i="93" s="1"/>
  <c r="EC13" i="93"/>
  <c r="FU13" i="93" s="1"/>
  <c r="EC27" i="93"/>
  <c r="FU27" i="93" s="1"/>
  <c r="EC16" i="93"/>
  <c r="FU16" i="93" s="1"/>
  <c r="EC8" i="93"/>
  <c r="FU8" i="93" s="1"/>
  <c r="EC17" i="93"/>
  <c r="FU17" i="93" s="1"/>
  <c r="EC10" i="93"/>
  <c r="FU10" i="93" s="1"/>
  <c r="EC9" i="93"/>
  <c r="FU9" i="93" s="1"/>
  <c r="EC26" i="93"/>
  <c r="FU26" i="93" s="1"/>
  <c r="EC24" i="93"/>
  <c r="FU24" i="93" s="1"/>
  <c r="EC20" i="93"/>
  <c r="FU20" i="93" s="1"/>
  <c r="EC21" i="93"/>
  <c r="FU21" i="93" s="1"/>
  <c r="EC14" i="93"/>
  <c r="FU14" i="93" s="1"/>
  <c r="EC28" i="93"/>
  <c r="FU28" i="93" s="1"/>
  <c r="EC23" i="93"/>
  <c r="FU23" i="93" s="1"/>
  <c r="EC15" i="93"/>
  <c r="FU15" i="93" s="1"/>
  <c r="EC19" i="93"/>
  <c r="FU19" i="93" s="1"/>
  <c r="EC7" i="93"/>
  <c r="FU7" i="93" s="1"/>
  <c r="EC29" i="93"/>
  <c r="FU29" i="93" s="1"/>
  <c r="EC12" i="93"/>
  <c r="FU12" i="93" s="1"/>
  <c r="EC18" i="93"/>
  <c r="FU18" i="93" s="1"/>
  <c r="EC22" i="93"/>
  <c r="FU22" i="93" s="1"/>
  <c r="EC25" i="93"/>
  <c r="FU25" i="93" s="1"/>
  <c r="EC11" i="93"/>
  <c r="FU11" i="93" s="1"/>
  <c r="EC41" i="93"/>
  <c r="FU41" i="93" s="1"/>
  <c r="EC56" i="93"/>
  <c r="FU56" i="93" s="1"/>
  <c r="EC63" i="93"/>
  <c r="FU63" i="93" s="1"/>
  <c r="EC36" i="93"/>
  <c r="FU36" i="93" s="1"/>
  <c r="EC57" i="93"/>
  <c r="FU57" i="93" s="1"/>
  <c r="EC44" i="93"/>
  <c r="FU44" i="93" s="1"/>
  <c r="EC51" i="93"/>
  <c r="FU51" i="93" s="1"/>
  <c r="EC30" i="93"/>
  <c r="FU30" i="93" s="1"/>
  <c r="EC53" i="93"/>
  <c r="FU53" i="93" s="1"/>
  <c r="EC45" i="93"/>
  <c r="FU45" i="93" s="1"/>
  <c r="EC64" i="93"/>
  <c r="FU64" i="93" s="1"/>
  <c r="EC35" i="93"/>
  <c r="FU35" i="93" s="1"/>
  <c r="EC58" i="93"/>
  <c r="FU58" i="93" s="1"/>
  <c r="EC34" i="93"/>
  <c r="FU34" i="93" s="1"/>
  <c r="EC52" i="93"/>
  <c r="FU52" i="93" s="1"/>
  <c r="EC59" i="93"/>
  <c r="FU59" i="93" s="1"/>
  <c r="EC46" i="93"/>
  <c r="FU46" i="93" s="1"/>
  <c r="EC61" i="93"/>
  <c r="FU61" i="93" s="1"/>
  <c r="EC31" i="93"/>
  <c r="FU31" i="93" s="1"/>
  <c r="EC32" i="93"/>
  <c r="FU32" i="93" s="1"/>
  <c r="EC47" i="93"/>
  <c r="FU47" i="93" s="1"/>
  <c r="EC38" i="93"/>
  <c r="FU38" i="93" s="1"/>
  <c r="EC37" i="93"/>
  <c r="FU37" i="93" s="1"/>
  <c r="EC60" i="93"/>
  <c r="FU60" i="93" s="1"/>
  <c r="EC39" i="93"/>
  <c r="FU39" i="93" s="1"/>
  <c r="EC54" i="93"/>
  <c r="FU54" i="93" s="1"/>
  <c r="EC33" i="93"/>
  <c r="FU33" i="93" s="1"/>
  <c r="EC48" i="93"/>
  <c r="FU48" i="93" s="1"/>
  <c r="EC55" i="93"/>
  <c r="FU55" i="93" s="1"/>
  <c r="EC42" i="93"/>
  <c r="FU42" i="93" s="1"/>
  <c r="EC40" i="93"/>
  <c r="FU40" i="93" s="1"/>
  <c r="EC49" i="93"/>
  <c r="FU49" i="93" s="1"/>
  <c r="EC50" i="93"/>
  <c r="FU50" i="93" s="1"/>
  <c r="EC43" i="93"/>
  <c r="FU43" i="93" s="1"/>
  <c r="EC62" i="93"/>
  <c r="FU62" i="93" s="1"/>
  <c r="EH6" i="93"/>
  <c r="FZ6" i="93" s="1"/>
  <c r="EH7" i="93"/>
  <c r="FZ7" i="93" s="1"/>
  <c r="EH18" i="93"/>
  <c r="FZ18" i="93" s="1"/>
  <c r="EH21" i="93"/>
  <c r="FZ21" i="93" s="1"/>
  <c r="EH22" i="93"/>
  <c r="FZ22" i="93" s="1"/>
  <c r="EH29" i="93"/>
  <c r="FZ29" i="93" s="1"/>
  <c r="EH16" i="93"/>
  <c r="FZ16" i="93" s="1"/>
  <c r="EH11" i="93"/>
  <c r="FZ11" i="93" s="1"/>
  <c r="EH9" i="93"/>
  <c r="FZ9" i="93" s="1"/>
  <c r="EH30" i="93"/>
  <c r="FZ30" i="93" s="1"/>
  <c r="EH31" i="93"/>
  <c r="FZ31" i="93" s="1"/>
  <c r="EH32" i="93"/>
  <c r="FZ32" i="93" s="1"/>
  <c r="EH27" i="93"/>
  <c r="FZ27" i="93" s="1"/>
  <c r="EH25" i="93"/>
  <c r="FZ25" i="93" s="1"/>
  <c r="EH8" i="93"/>
  <c r="FZ8" i="93" s="1"/>
  <c r="EH14" i="93"/>
  <c r="FZ14" i="93" s="1"/>
  <c r="EH10" i="93"/>
  <c r="FZ10" i="93" s="1"/>
  <c r="EH13" i="93"/>
  <c r="FZ13" i="93" s="1"/>
  <c r="EH17" i="93"/>
  <c r="FZ17" i="93" s="1"/>
  <c r="EH15" i="93"/>
  <c r="FZ15" i="93" s="1"/>
  <c r="EH26" i="93"/>
  <c r="FZ26" i="93" s="1"/>
  <c r="EH19" i="93"/>
  <c r="FZ19" i="93" s="1"/>
  <c r="EH20" i="93"/>
  <c r="FZ20" i="93" s="1"/>
  <c r="EH23" i="93"/>
  <c r="FZ23" i="93" s="1"/>
  <c r="EH28" i="93"/>
  <c r="FZ28" i="93" s="1"/>
  <c r="EH34" i="93"/>
  <c r="FZ34" i="93" s="1"/>
  <c r="EH24" i="93"/>
  <c r="FZ24" i="93" s="1"/>
  <c r="EH35" i="93"/>
  <c r="FZ35" i="93" s="1"/>
  <c r="EH33" i="93"/>
  <c r="FZ33" i="93" s="1"/>
  <c r="EH5" i="93"/>
  <c r="FZ5" i="93" s="1"/>
  <c r="EH12" i="93"/>
  <c r="FZ12" i="93" s="1"/>
  <c r="EH50" i="93"/>
  <c r="FZ50" i="93" s="1"/>
  <c r="EH55" i="93"/>
  <c r="FZ55" i="93" s="1"/>
  <c r="EH49" i="93"/>
  <c r="FZ49" i="93" s="1"/>
  <c r="EH36" i="93"/>
  <c r="FZ36" i="93" s="1"/>
  <c r="EH48" i="93"/>
  <c r="FZ48" i="93" s="1"/>
  <c r="EH62" i="93"/>
  <c r="FZ62" i="93" s="1"/>
  <c r="EH46" i="93"/>
  <c r="FZ46" i="93" s="1"/>
  <c r="EH58" i="93"/>
  <c r="FZ58" i="93" s="1"/>
  <c r="EH41" i="93"/>
  <c r="FZ41" i="93" s="1"/>
  <c r="EH56" i="93"/>
  <c r="FZ56" i="93" s="1"/>
  <c r="EH54" i="93"/>
  <c r="FZ54" i="93" s="1"/>
  <c r="EH60" i="93"/>
  <c r="FZ60" i="93" s="1"/>
  <c r="EH47" i="93"/>
  <c r="FZ47" i="93" s="1"/>
  <c r="EH51" i="93"/>
  <c r="FZ51" i="93" s="1"/>
  <c r="EH42" i="93"/>
  <c r="FZ42" i="93" s="1"/>
  <c r="EH38" i="93"/>
  <c r="FZ38" i="93" s="1"/>
  <c r="EH64" i="93"/>
  <c r="FZ64" i="93" s="1"/>
  <c r="EH57" i="93"/>
  <c r="FZ57" i="93" s="1"/>
  <c r="EH39" i="93"/>
  <c r="FZ39" i="93" s="1"/>
  <c r="EH59" i="93"/>
  <c r="FZ59" i="93" s="1"/>
  <c r="EH63" i="93"/>
  <c r="FZ63" i="93" s="1"/>
  <c r="EH44" i="93"/>
  <c r="FZ44" i="93" s="1"/>
  <c r="EH43" i="93"/>
  <c r="FZ43" i="93" s="1"/>
  <c r="EH40" i="93"/>
  <c r="FZ40" i="93" s="1"/>
  <c r="EH53" i="93"/>
  <c r="FZ53" i="93" s="1"/>
  <c r="EH37" i="93"/>
  <c r="FZ37" i="93" s="1"/>
  <c r="EH45" i="93"/>
  <c r="FZ45" i="93" s="1"/>
  <c r="EH52" i="93"/>
  <c r="FZ52" i="93" s="1"/>
  <c r="EH61" i="93"/>
  <c r="FZ61" i="93" s="1"/>
  <c r="DR6" i="93"/>
  <c r="FJ6" i="93" s="1"/>
  <c r="DR5" i="93"/>
  <c r="FJ5" i="93" s="1"/>
  <c r="DR10" i="93"/>
  <c r="FJ10" i="93" s="1"/>
  <c r="DR21" i="93"/>
  <c r="FJ21" i="93" s="1"/>
  <c r="DR17" i="93"/>
  <c r="FJ17" i="93" s="1"/>
  <c r="DR14" i="93"/>
  <c r="FJ14" i="93" s="1"/>
  <c r="DR9" i="93"/>
  <c r="FJ9" i="93" s="1"/>
  <c r="DR16" i="93"/>
  <c r="FJ16" i="93" s="1"/>
  <c r="DR18" i="93"/>
  <c r="FJ18" i="93" s="1"/>
  <c r="DR22" i="93"/>
  <c r="FJ22" i="93" s="1"/>
  <c r="DR13" i="93"/>
  <c r="FJ13" i="93" s="1"/>
  <c r="DR12" i="93"/>
  <c r="FJ12" i="93" s="1"/>
  <c r="DR7" i="93"/>
  <c r="FJ7" i="93" s="1"/>
  <c r="DR20" i="93"/>
  <c r="FJ20" i="93" s="1"/>
  <c r="DR8" i="93"/>
  <c r="FJ8" i="93" s="1"/>
  <c r="DR23" i="93"/>
  <c r="FJ23" i="93" s="1"/>
  <c r="DR19" i="93"/>
  <c r="FJ19" i="93" s="1"/>
  <c r="DR15" i="93"/>
  <c r="FJ15" i="93" s="1"/>
  <c r="DR11" i="93"/>
  <c r="FJ11" i="93" s="1"/>
  <c r="DR37" i="93"/>
  <c r="FJ37" i="93" s="1"/>
  <c r="DR51" i="93"/>
  <c r="FJ51" i="93" s="1"/>
  <c r="DR42" i="93"/>
  <c r="FJ42" i="93" s="1"/>
  <c r="DR50" i="93"/>
  <c r="FJ50" i="93" s="1"/>
  <c r="DR25" i="93"/>
  <c r="FJ25" i="93" s="1"/>
  <c r="DR56" i="93"/>
  <c r="FJ56" i="93" s="1"/>
  <c r="DR26" i="93"/>
  <c r="FJ26" i="93" s="1"/>
  <c r="DR63" i="93"/>
  <c r="FJ63" i="93" s="1"/>
  <c r="DR41" i="93"/>
  <c r="FJ41" i="93" s="1"/>
  <c r="DR58" i="93"/>
  <c r="FJ58" i="93" s="1"/>
  <c r="DR29" i="93"/>
  <c r="FJ29" i="93" s="1"/>
  <c r="DR30" i="93"/>
  <c r="FJ30" i="93" s="1"/>
  <c r="DR59" i="93"/>
  <c r="FJ59" i="93" s="1"/>
  <c r="DR60" i="93"/>
  <c r="FJ60" i="93" s="1"/>
  <c r="DR27" i="93"/>
  <c r="FJ27" i="93" s="1"/>
  <c r="DR36" i="93"/>
  <c r="FJ36" i="93" s="1"/>
  <c r="DR32" i="93"/>
  <c r="FJ32" i="93" s="1"/>
  <c r="DR28" i="93"/>
  <c r="FJ28" i="93" s="1"/>
  <c r="DR57" i="93"/>
  <c r="FJ57" i="93" s="1"/>
  <c r="DR62" i="93"/>
  <c r="FJ62" i="93" s="1"/>
  <c r="DR38" i="93"/>
  <c r="FJ38" i="93" s="1"/>
  <c r="DR49" i="93"/>
  <c r="FJ49" i="93" s="1"/>
  <c r="DR40" i="93"/>
  <c r="FJ40" i="93" s="1"/>
  <c r="DR48" i="93"/>
  <c r="FJ48" i="93" s="1"/>
  <c r="DR45" i="93"/>
  <c r="FJ45" i="93" s="1"/>
  <c r="DR53" i="93"/>
  <c r="FJ53" i="93" s="1"/>
  <c r="DR33" i="93"/>
  <c r="FJ33" i="93" s="1"/>
  <c r="DR47" i="93"/>
  <c r="FJ47" i="93" s="1"/>
  <c r="DR34" i="93"/>
  <c r="FJ34" i="93" s="1"/>
  <c r="DR39" i="93"/>
  <c r="FJ39" i="93" s="1"/>
  <c r="DR61" i="93"/>
  <c r="FJ61" i="93" s="1"/>
  <c r="DR64" i="93"/>
  <c r="FJ64" i="93" s="1"/>
  <c r="DR43" i="93"/>
  <c r="FJ43" i="93" s="1"/>
  <c r="DR31" i="93"/>
  <c r="FJ31" i="93" s="1"/>
  <c r="DR55" i="93"/>
  <c r="FJ55" i="93" s="1"/>
  <c r="DR35" i="93"/>
  <c r="FJ35" i="93" s="1"/>
  <c r="DR54" i="93"/>
  <c r="FJ54" i="93" s="1"/>
  <c r="DR44" i="93"/>
  <c r="FJ44" i="93" s="1"/>
  <c r="DR24" i="93"/>
  <c r="FJ24" i="93" s="1"/>
  <c r="DR52" i="93"/>
  <c r="FJ52" i="93" s="1"/>
  <c r="DR46" i="93"/>
  <c r="FJ46" i="93" s="1"/>
  <c r="DB6" i="93"/>
  <c r="ET6" i="93" s="1"/>
  <c r="DB7" i="93"/>
  <c r="ET7" i="93" s="1"/>
  <c r="DB8" i="93"/>
  <c r="ET8" i="93" s="1"/>
  <c r="DB9" i="93"/>
  <c r="ET9" i="93" s="1"/>
  <c r="DB5" i="93"/>
  <c r="ET5" i="93" s="1"/>
  <c r="DB12" i="93"/>
  <c r="ET12" i="93" s="1"/>
  <c r="DB27" i="93"/>
  <c r="ET27" i="93" s="1"/>
  <c r="DB44" i="93"/>
  <c r="ET44" i="93" s="1"/>
  <c r="DB47" i="93"/>
  <c r="ET47" i="93" s="1"/>
  <c r="DB40" i="93"/>
  <c r="ET40" i="93" s="1"/>
  <c r="DB10" i="93"/>
  <c r="ET10" i="93" s="1"/>
  <c r="DB32" i="93"/>
  <c r="ET32" i="93" s="1"/>
  <c r="DB11" i="93"/>
  <c r="ET11" i="93" s="1"/>
  <c r="DB29" i="93"/>
  <c r="ET29" i="93" s="1"/>
  <c r="DB48" i="93"/>
  <c r="ET48" i="93" s="1"/>
  <c r="DB59" i="93"/>
  <c r="ET59" i="93" s="1"/>
  <c r="DB34" i="93"/>
  <c r="ET34" i="93" s="1"/>
  <c r="DB14" i="93"/>
  <c r="ET14" i="93" s="1"/>
  <c r="DB49" i="93"/>
  <c r="ET49" i="93" s="1"/>
  <c r="DB17" i="93"/>
  <c r="ET17" i="93" s="1"/>
  <c r="DB23" i="93"/>
  <c r="ET23" i="93" s="1"/>
  <c r="DB61" i="93"/>
  <c r="ET61" i="93" s="1"/>
  <c r="DB16" i="93"/>
  <c r="ET16" i="93" s="1"/>
  <c r="DB31" i="93"/>
  <c r="ET31" i="93" s="1"/>
  <c r="DB38" i="93"/>
  <c r="ET38" i="93" s="1"/>
  <c r="DB20" i="93"/>
  <c r="ET20" i="93" s="1"/>
  <c r="DB33" i="93"/>
  <c r="ET33" i="93" s="1"/>
  <c r="DB52" i="93"/>
  <c r="ET52" i="93" s="1"/>
  <c r="DB57" i="93"/>
  <c r="ET57" i="93" s="1"/>
  <c r="DB56" i="93"/>
  <c r="ET56" i="93" s="1"/>
  <c r="DB18" i="93"/>
  <c r="ET18" i="93" s="1"/>
  <c r="DB58" i="93"/>
  <c r="ET58" i="93" s="1"/>
  <c r="DB21" i="93"/>
  <c r="ET21" i="93" s="1"/>
  <c r="DB35" i="93"/>
  <c r="ET35" i="93" s="1"/>
  <c r="DB54" i="93"/>
  <c r="ET54" i="93" s="1"/>
  <c r="DB13" i="93"/>
  <c r="ET13" i="93" s="1"/>
  <c r="DB45" i="93"/>
  <c r="ET45" i="93" s="1"/>
  <c r="DB22" i="93"/>
  <c r="ET22" i="93" s="1"/>
  <c r="DB46" i="93"/>
  <c r="ET46" i="93" s="1"/>
  <c r="DB41" i="93"/>
  <c r="ET41" i="93" s="1"/>
  <c r="DB60" i="93"/>
  <c r="ET60" i="93" s="1"/>
  <c r="DB25" i="93"/>
  <c r="ET25" i="93" s="1"/>
  <c r="DB24" i="93"/>
  <c r="ET24" i="93" s="1"/>
  <c r="DB62" i="93"/>
  <c r="ET62" i="93" s="1"/>
  <c r="DB26" i="93"/>
  <c r="ET26" i="93" s="1"/>
  <c r="DB15" i="93"/>
  <c r="ET15" i="93" s="1"/>
  <c r="DB50" i="93"/>
  <c r="ET50" i="93" s="1"/>
  <c r="DB63" i="93"/>
  <c r="ET63" i="93" s="1"/>
  <c r="DB53" i="93"/>
  <c r="ET53" i="93" s="1"/>
  <c r="DB19" i="93"/>
  <c r="ET19" i="93" s="1"/>
  <c r="DB28" i="93"/>
  <c r="ET28" i="93" s="1"/>
  <c r="DB43" i="93"/>
  <c r="ET43" i="93" s="1"/>
  <c r="DB30" i="93"/>
  <c r="ET30" i="93" s="1"/>
  <c r="DB64" i="93"/>
  <c r="ET64" i="93" s="1"/>
  <c r="DB55" i="93"/>
  <c r="ET55" i="93" s="1"/>
  <c r="DB42" i="93"/>
  <c r="ET42" i="93" s="1"/>
  <c r="DB39" i="93"/>
  <c r="ET39" i="93" s="1"/>
  <c r="DB51" i="93"/>
  <c r="ET51" i="93" s="1"/>
  <c r="DB37" i="93"/>
  <c r="ET37" i="93" s="1"/>
  <c r="DB36" i="93"/>
  <c r="ET36" i="93" s="1"/>
  <c r="EL25" i="100"/>
  <c r="GJ25" i="100" s="1"/>
  <c r="DA36" i="98"/>
  <c r="DA35" i="98"/>
  <c r="DA15" i="98"/>
  <c r="DA16" i="98"/>
  <c r="DA60" i="98"/>
  <c r="DA59" i="98"/>
  <c r="DM10" i="100"/>
  <c r="FG10" i="100" s="1"/>
  <c r="DB50" i="98"/>
  <c r="DB58" i="98"/>
  <c r="DK13" i="100"/>
  <c r="FE13" i="100" s="1"/>
  <c r="DC51" i="98"/>
  <c r="DC60" i="98"/>
  <c r="DC59" i="98"/>
  <c r="DC47" i="98"/>
  <c r="DC55" i="98"/>
  <c r="ET8" i="100"/>
  <c r="GS8" i="100" s="1"/>
  <c r="ET22" i="100"/>
  <c r="GS22" i="100" s="1"/>
  <c r="ET20" i="100"/>
  <c r="GS20" i="100" s="1"/>
  <c r="ET18" i="100"/>
  <c r="GS18" i="100" s="1"/>
  <c r="ET24" i="100"/>
  <c r="GS24" i="100" s="1"/>
  <c r="ET19" i="100"/>
  <c r="GS19" i="100" s="1"/>
  <c r="ET14" i="100"/>
  <c r="GS14" i="100" s="1"/>
  <c r="ET34" i="100"/>
  <c r="GS34" i="100" s="1"/>
  <c r="ET38" i="100"/>
  <c r="GS38" i="100" s="1"/>
  <c r="ET27" i="100"/>
  <c r="GS27" i="100" s="1"/>
  <c r="ET23" i="100"/>
  <c r="GS23" i="100" s="1"/>
  <c r="ET13" i="100"/>
  <c r="GS13" i="100" s="1"/>
  <c r="ET16" i="100"/>
  <c r="GS16" i="100" s="1"/>
  <c r="ET11" i="100"/>
  <c r="GS11" i="100" s="1"/>
  <c r="ET37" i="100"/>
  <c r="GS37" i="100" s="1"/>
  <c r="ET12" i="100"/>
  <c r="GS12" i="100" s="1"/>
  <c r="ET17" i="100"/>
  <c r="GS17" i="100" s="1"/>
  <c r="ET33" i="100"/>
  <c r="GS33" i="100" s="1"/>
  <c r="ET61" i="100"/>
  <c r="GS61" i="100" s="1"/>
  <c r="ET40" i="100"/>
  <c r="GS40" i="100" s="1"/>
  <c r="ET66" i="100"/>
  <c r="GS66" i="100" s="1"/>
  <c r="ET46" i="100"/>
  <c r="GS46" i="100" s="1"/>
  <c r="ET64" i="100"/>
  <c r="GS64" i="100" s="1"/>
  <c r="ET44" i="100"/>
  <c r="GS44" i="100" s="1"/>
  <c r="ET58" i="100"/>
  <c r="GS58" i="100" s="1"/>
  <c r="ET52" i="100"/>
  <c r="GS52" i="100" s="1"/>
  <c r="ET59" i="100"/>
  <c r="GS59" i="100" s="1"/>
  <c r="ET28" i="100"/>
  <c r="GS28" i="100" s="1"/>
  <c r="ET7" i="100"/>
  <c r="GS7" i="100" s="1"/>
  <c r="ET9" i="100"/>
  <c r="GS9" i="100" s="1"/>
  <c r="ET31" i="100"/>
  <c r="GS31" i="100" s="1"/>
  <c r="ET36" i="100"/>
  <c r="GS36" i="100" s="1"/>
  <c r="ET35" i="100"/>
  <c r="GS35" i="100" s="1"/>
  <c r="ET32" i="100"/>
  <c r="GS32" i="100" s="1"/>
  <c r="ET26" i="100"/>
  <c r="GS26" i="100" s="1"/>
  <c r="ET56" i="100"/>
  <c r="GS56" i="100" s="1"/>
  <c r="ET49" i="100"/>
  <c r="GS49" i="100" s="1"/>
  <c r="ET57" i="100"/>
  <c r="GS57" i="100" s="1"/>
  <c r="ET47" i="100"/>
  <c r="GS47" i="100" s="1"/>
  <c r="ET60" i="100"/>
  <c r="GS60" i="100" s="1"/>
  <c r="ET45" i="100"/>
  <c r="GS45" i="100" s="1"/>
  <c r="ET65" i="100"/>
  <c r="GS65" i="100" s="1"/>
  <c r="ET50" i="100"/>
  <c r="GS50" i="100" s="1"/>
  <c r="ET42" i="100"/>
  <c r="GS42" i="100" s="1"/>
  <c r="ET10" i="100"/>
  <c r="GS10" i="100" s="1"/>
  <c r="ET21" i="100"/>
  <c r="GS21" i="100" s="1"/>
  <c r="ET30" i="100"/>
  <c r="GS30" i="100" s="1"/>
  <c r="ET29" i="100"/>
  <c r="GS29" i="100" s="1"/>
  <c r="ET15" i="100"/>
  <c r="GS15" i="100" s="1"/>
  <c r="ET25" i="100"/>
  <c r="GS25" i="100" s="1"/>
  <c r="ET39" i="100"/>
  <c r="GS39" i="100" s="1"/>
  <c r="ET41" i="100"/>
  <c r="GS41" i="100" s="1"/>
  <c r="ET54" i="100"/>
  <c r="GS54" i="100" s="1"/>
  <c r="ET48" i="100"/>
  <c r="GS48" i="100" s="1"/>
  <c r="ET53" i="100"/>
  <c r="GS53" i="100" s="1"/>
  <c r="ET43" i="100"/>
  <c r="GS43" i="100" s="1"/>
  <c r="ET63" i="100"/>
  <c r="GS63" i="100" s="1"/>
  <c r="ET51" i="100"/>
  <c r="GS51" i="100" s="1"/>
  <c r="ET62" i="100"/>
  <c r="GS62" i="100" s="1"/>
  <c r="ET55" i="100"/>
  <c r="GS55" i="100" s="1"/>
  <c r="EJ7" i="100"/>
  <c r="GH7" i="100" s="1"/>
  <c r="EJ8" i="100"/>
  <c r="GH8" i="100" s="1"/>
  <c r="EJ9" i="100"/>
  <c r="GH9" i="100" s="1"/>
  <c r="EJ11" i="100"/>
  <c r="GH11" i="100" s="1"/>
  <c r="EJ15" i="100"/>
  <c r="GH15" i="100" s="1"/>
  <c r="EJ23" i="100"/>
  <c r="GH23" i="100" s="1"/>
  <c r="EJ30" i="100"/>
  <c r="GH30" i="100" s="1"/>
  <c r="EJ12" i="100"/>
  <c r="GH12" i="100" s="1"/>
  <c r="EJ10" i="100"/>
  <c r="GH10" i="100" s="1"/>
  <c r="EJ24" i="100"/>
  <c r="GH24" i="100" s="1"/>
  <c r="EJ26" i="100"/>
  <c r="GH26" i="100" s="1"/>
  <c r="EJ20" i="100"/>
  <c r="GH20" i="100" s="1"/>
  <c r="EJ27" i="100"/>
  <c r="GH27" i="100" s="1"/>
  <c r="EJ45" i="100"/>
  <c r="GH45" i="100" s="1"/>
  <c r="EJ63" i="100"/>
  <c r="GH63" i="100" s="1"/>
  <c r="EJ38" i="100"/>
  <c r="GH38" i="100" s="1"/>
  <c r="EJ58" i="100"/>
  <c r="GH58" i="100" s="1"/>
  <c r="EJ41" i="100"/>
  <c r="GH41" i="100" s="1"/>
  <c r="EJ56" i="100"/>
  <c r="GH56" i="100" s="1"/>
  <c r="EJ43" i="100"/>
  <c r="GH43" i="100" s="1"/>
  <c r="EJ32" i="100"/>
  <c r="GH32" i="100" s="1"/>
  <c r="EJ42" i="100"/>
  <c r="GH42" i="100" s="1"/>
  <c r="EJ39" i="100"/>
  <c r="GH39" i="100" s="1"/>
  <c r="EJ33" i="100"/>
  <c r="GH33" i="100" s="1"/>
  <c r="EJ40" i="100"/>
  <c r="GH40" i="100" s="1"/>
  <c r="EJ14" i="100"/>
  <c r="GH14" i="100" s="1"/>
  <c r="EJ17" i="100"/>
  <c r="GH17" i="100" s="1"/>
  <c r="EJ25" i="100"/>
  <c r="GH25" i="100" s="1"/>
  <c r="EJ22" i="100"/>
  <c r="GH22" i="100" s="1"/>
  <c r="EJ31" i="100"/>
  <c r="GH31" i="100" s="1"/>
  <c r="EJ28" i="100"/>
  <c r="GH28" i="100" s="1"/>
  <c r="EJ37" i="100"/>
  <c r="GH37" i="100" s="1"/>
  <c r="EJ50" i="100"/>
  <c r="GH50" i="100" s="1"/>
  <c r="EJ62" i="100"/>
  <c r="GH62" i="100" s="1"/>
  <c r="EJ47" i="100"/>
  <c r="GH47" i="100" s="1"/>
  <c r="EJ65" i="100"/>
  <c r="GH65" i="100" s="1"/>
  <c r="EJ49" i="100"/>
  <c r="GH49" i="100" s="1"/>
  <c r="EJ35" i="100"/>
  <c r="GH35" i="100" s="1"/>
  <c r="EJ36" i="100"/>
  <c r="GH36" i="100" s="1"/>
  <c r="EJ60" i="100"/>
  <c r="GH60" i="100" s="1"/>
  <c r="EJ55" i="100"/>
  <c r="GH55" i="100" s="1"/>
  <c r="EJ52" i="100"/>
  <c r="GH52" i="100" s="1"/>
  <c r="EJ51" i="100"/>
  <c r="GH51" i="100" s="1"/>
  <c r="EJ53" i="100"/>
  <c r="GH53" i="100" s="1"/>
  <c r="EJ13" i="100"/>
  <c r="GH13" i="100" s="1"/>
  <c r="EJ19" i="100"/>
  <c r="GH19" i="100" s="1"/>
  <c r="EJ18" i="100"/>
  <c r="GH18" i="100" s="1"/>
  <c r="EJ21" i="100"/>
  <c r="GH21" i="100" s="1"/>
  <c r="EJ29" i="100"/>
  <c r="GH29" i="100" s="1"/>
  <c r="EJ64" i="100"/>
  <c r="GH64" i="100" s="1"/>
  <c r="EJ66" i="100"/>
  <c r="GH66" i="100" s="1"/>
  <c r="EJ44" i="100"/>
  <c r="GH44" i="100" s="1"/>
  <c r="EJ48" i="100"/>
  <c r="GH48" i="100" s="1"/>
  <c r="EJ57" i="100"/>
  <c r="GH57" i="100" s="1"/>
  <c r="EJ59" i="100"/>
  <c r="GH59" i="100" s="1"/>
  <c r="EJ61" i="100"/>
  <c r="GH61" i="100" s="1"/>
  <c r="EJ34" i="100"/>
  <c r="GH34" i="100" s="1"/>
  <c r="EJ46" i="100"/>
  <c r="GH46" i="100" s="1"/>
  <c r="EJ54" i="100"/>
  <c r="GH54" i="100" s="1"/>
  <c r="DH8" i="100"/>
  <c r="FA8" i="100" s="1"/>
  <c r="DH14" i="100"/>
  <c r="FA14" i="100" s="1"/>
  <c r="DH9" i="100"/>
  <c r="FA9" i="100" s="1"/>
  <c r="DH50" i="100"/>
  <c r="FA50" i="100" s="1"/>
  <c r="DH18" i="100"/>
  <c r="FA18" i="100" s="1"/>
  <c r="DH31" i="100"/>
  <c r="FA31" i="100" s="1"/>
  <c r="DH45" i="100"/>
  <c r="FA45" i="100" s="1"/>
  <c r="DH66" i="100"/>
  <c r="FA66" i="100" s="1"/>
  <c r="DH7" i="100"/>
  <c r="FA7" i="100" s="1"/>
  <c r="DH42" i="100"/>
  <c r="FA42" i="100" s="1"/>
  <c r="DH11" i="100"/>
  <c r="FA11" i="100" s="1"/>
  <c r="DH62" i="100"/>
  <c r="FA62" i="100" s="1"/>
  <c r="DH41" i="100"/>
  <c r="FA41" i="100" s="1"/>
  <c r="DH16" i="100"/>
  <c r="FA16" i="100" s="1"/>
  <c r="DH49" i="100"/>
  <c r="FA49" i="100" s="1"/>
  <c r="DH27" i="100"/>
  <c r="FA27" i="100" s="1"/>
  <c r="DH13" i="100"/>
  <c r="FA13" i="100" s="1"/>
  <c r="DH59" i="100"/>
  <c r="FA59" i="100" s="1"/>
  <c r="DH38" i="100"/>
  <c r="FA38" i="100" s="1"/>
  <c r="DH28" i="100"/>
  <c r="FA28" i="100" s="1"/>
  <c r="DH10" i="100"/>
  <c r="FA10" i="100" s="1"/>
  <c r="DH60" i="100"/>
  <c r="FA60" i="100" s="1"/>
  <c r="DH44" i="100"/>
  <c r="FA44" i="100" s="1"/>
  <c r="DH37" i="100"/>
  <c r="FA37" i="100" s="1"/>
  <c r="DH34" i="100"/>
  <c r="FA34" i="100" s="1"/>
  <c r="DH64" i="100"/>
  <c r="FA64" i="100" s="1"/>
  <c r="DH47" i="100"/>
  <c r="FA47" i="100" s="1"/>
  <c r="DH24" i="100"/>
  <c r="FA24" i="100" s="1"/>
  <c r="DH21" i="100"/>
  <c r="FA21" i="100" s="1"/>
  <c r="DH19" i="100"/>
  <c r="FA19" i="100" s="1"/>
  <c r="DH15" i="100"/>
  <c r="FA15" i="100" s="1"/>
  <c r="DH53" i="100"/>
  <c r="FA53" i="100" s="1"/>
  <c r="DH54" i="100"/>
  <c r="FA54" i="100" s="1"/>
  <c r="DH61" i="100"/>
  <c r="FA61" i="100" s="1"/>
  <c r="DH22" i="100"/>
  <c r="FA22" i="100" s="1"/>
  <c r="DH58" i="100"/>
  <c r="FA58" i="100" s="1"/>
  <c r="DH51" i="100"/>
  <c r="FA51" i="100" s="1"/>
  <c r="DH25" i="100"/>
  <c r="FA25" i="100" s="1"/>
  <c r="DH55" i="100"/>
  <c r="FA55" i="100" s="1"/>
  <c r="DH33" i="100"/>
  <c r="FA33" i="100" s="1"/>
  <c r="DH23" i="100"/>
  <c r="FA23" i="100" s="1"/>
  <c r="DH46" i="100"/>
  <c r="FA46" i="100" s="1"/>
  <c r="DH57" i="100"/>
  <c r="FA57" i="100" s="1"/>
  <c r="DH63" i="100"/>
  <c r="FA63" i="100" s="1"/>
  <c r="DH26" i="100"/>
  <c r="FA26" i="100" s="1"/>
  <c r="DH12" i="100"/>
  <c r="FA12" i="100" s="1"/>
  <c r="DH48" i="100"/>
  <c r="FA48" i="100" s="1"/>
  <c r="DH35" i="100"/>
  <c r="FA35" i="100" s="1"/>
  <c r="DH36" i="100"/>
  <c r="FA36" i="100" s="1"/>
  <c r="DH39" i="100"/>
  <c r="FA39" i="100" s="1"/>
  <c r="DH43" i="100"/>
  <c r="FA43" i="100" s="1"/>
  <c r="DH17" i="100"/>
  <c r="FA17" i="100" s="1"/>
  <c r="DH20" i="100"/>
  <c r="FA20" i="100" s="1"/>
  <c r="DH52" i="100"/>
  <c r="FA52" i="100" s="1"/>
  <c r="DH32" i="100"/>
  <c r="FA32" i="100" s="1"/>
  <c r="DH30" i="100"/>
  <c r="FA30" i="100" s="1"/>
  <c r="DH40" i="100"/>
  <c r="FA40" i="100" s="1"/>
  <c r="DH56" i="100"/>
  <c r="FA56" i="100" s="1"/>
  <c r="DH29" i="100"/>
  <c r="FA29" i="100" s="1"/>
  <c r="DH65" i="100"/>
  <c r="FA65" i="100" s="1"/>
  <c r="EN27" i="100"/>
  <c r="GL27" i="100" s="1"/>
  <c r="EN7" i="100"/>
  <c r="GL7" i="100" s="1"/>
  <c r="EN8" i="100"/>
  <c r="GL8" i="100" s="1"/>
  <c r="EN9" i="100"/>
  <c r="GL9" i="100" s="1"/>
  <c r="EN11" i="100"/>
  <c r="GL11" i="100" s="1"/>
  <c r="EN26" i="100"/>
  <c r="GL26" i="100" s="1"/>
  <c r="EN28" i="100"/>
  <c r="GL28" i="100" s="1"/>
  <c r="EN18" i="100"/>
  <c r="GL18" i="100" s="1"/>
  <c r="EN31" i="100"/>
  <c r="GL31" i="100" s="1"/>
  <c r="EN21" i="100"/>
  <c r="GL21" i="100" s="1"/>
  <c r="EN19" i="100"/>
  <c r="GL19" i="100" s="1"/>
  <c r="EN13" i="100"/>
  <c r="GL13" i="100" s="1"/>
  <c r="EN24" i="100"/>
  <c r="GL24" i="100" s="1"/>
  <c r="EN23" i="100"/>
  <c r="GL23" i="100" s="1"/>
  <c r="EN32" i="100"/>
  <c r="GL32" i="100" s="1"/>
  <c r="EN54" i="100"/>
  <c r="GL54" i="100" s="1"/>
  <c r="EN45" i="100"/>
  <c r="GL45" i="100" s="1"/>
  <c r="EN38" i="100"/>
  <c r="GL38" i="100" s="1"/>
  <c r="EN47" i="100"/>
  <c r="GL47" i="100" s="1"/>
  <c r="EN63" i="100"/>
  <c r="GL63" i="100" s="1"/>
  <c r="EN48" i="100"/>
  <c r="GL48" i="100" s="1"/>
  <c r="EN57" i="100"/>
  <c r="GL57" i="100" s="1"/>
  <c r="EN66" i="100"/>
  <c r="GL66" i="100" s="1"/>
  <c r="EN16" i="100"/>
  <c r="GL16" i="100" s="1"/>
  <c r="EN12" i="100"/>
  <c r="GL12" i="100" s="1"/>
  <c r="EN14" i="100"/>
  <c r="GL14" i="100" s="1"/>
  <c r="EN17" i="100"/>
  <c r="GL17" i="100" s="1"/>
  <c r="EN30" i="100"/>
  <c r="GL30" i="100" s="1"/>
  <c r="EN43" i="100"/>
  <c r="GL43" i="100" s="1"/>
  <c r="EN37" i="100"/>
  <c r="GL37" i="100" s="1"/>
  <c r="EN50" i="100"/>
  <c r="GL50" i="100" s="1"/>
  <c r="EN58" i="100"/>
  <c r="GL58" i="100" s="1"/>
  <c r="EN52" i="100"/>
  <c r="GL52" i="100" s="1"/>
  <c r="EN62" i="100"/>
  <c r="GL62" i="100" s="1"/>
  <c r="EN41" i="100"/>
  <c r="GL41" i="100" s="1"/>
  <c r="EN60" i="100"/>
  <c r="GL60" i="100" s="1"/>
  <c r="EN10" i="100"/>
  <c r="GL10" i="100" s="1"/>
  <c r="EN15" i="100"/>
  <c r="GL15" i="100" s="1"/>
  <c r="EN20" i="100"/>
  <c r="GL20" i="100" s="1"/>
  <c r="EN25" i="100"/>
  <c r="GL25" i="100" s="1"/>
  <c r="EN29" i="100"/>
  <c r="GL29" i="100" s="1"/>
  <c r="EN22" i="100"/>
  <c r="GL22" i="100" s="1"/>
  <c r="EN35" i="100"/>
  <c r="GL35" i="100" s="1"/>
  <c r="EN51" i="100"/>
  <c r="GL51" i="100" s="1"/>
  <c r="EN44" i="100"/>
  <c r="GL44" i="100" s="1"/>
  <c r="EN53" i="100"/>
  <c r="GL53" i="100" s="1"/>
  <c r="EN39" i="100"/>
  <c r="GL39" i="100" s="1"/>
  <c r="EN55" i="100"/>
  <c r="GL55" i="100" s="1"/>
  <c r="EN33" i="100"/>
  <c r="GL33" i="100" s="1"/>
  <c r="EN49" i="100"/>
  <c r="GL49" i="100" s="1"/>
  <c r="EN65" i="100"/>
  <c r="GL65" i="100" s="1"/>
  <c r="EN64" i="100"/>
  <c r="GL64" i="100" s="1"/>
  <c r="EN42" i="100"/>
  <c r="GL42" i="100" s="1"/>
  <c r="EN46" i="100"/>
  <c r="GL46" i="100" s="1"/>
  <c r="EN61" i="100"/>
  <c r="GL61" i="100" s="1"/>
  <c r="EN59" i="100"/>
  <c r="GL59" i="100" s="1"/>
  <c r="EN56" i="100"/>
  <c r="GL56" i="100" s="1"/>
  <c r="EN36" i="100"/>
  <c r="GL36" i="100" s="1"/>
  <c r="EN40" i="100"/>
  <c r="GL40" i="100" s="1"/>
  <c r="EN34" i="100"/>
  <c r="GL34" i="100" s="1"/>
  <c r="DU9" i="100"/>
  <c r="FP9" i="100" s="1"/>
  <c r="DU7" i="100"/>
  <c r="FP7" i="100" s="1"/>
  <c r="DU8" i="100"/>
  <c r="FP8" i="100" s="1"/>
  <c r="DU25" i="100"/>
  <c r="FP25" i="100" s="1"/>
  <c r="DU11" i="100"/>
  <c r="FP11" i="100" s="1"/>
  <c r="DU17" i="100"/>
  <c r="FP17" i="100" s="1"/>
  <c r="DU29" i="100"/>
  <c r="FP29" i="100" s="1"/>
  <c r="DU36" i="100"/>
  <c r="FP36" i="100" s="1"/>
  <c r="DU34" i="100"/>
  <c r="FP34" i="100" s="1"/>
  <c r="DU18" i="100"/>
  <c r="FP18" i="100" s="1"/>
  <c r="DU14" i="100"/>
  <c r="FP14" i="100" s="1"/>
  <c r="DU20" i="100"/>
  <c r="FP20" i="100" s="1"/>
  <c r="DU24" i="100"/>
  <c r="FP24" i="100" s="1"/>
  <c r="DU13" i="100"/>
  <c r="FP13" i="100" s="1"/>
  <c r="DU28" i="100"/>
  <c r="FP28" i="100" s="1"/>
  <c r="DU33" i="100"/>
  <c r="FP33" i="100" s="1"/>
  <c r="DU52" i="100"/>
  <c r="FP52" i="100" s="1"/>
  <c r="DU63" i="100"/>
  <c r="FP63" i="100" s="1"/>
  <c r="DU50" i="100"/>
  <c r="FP50" i="100" s="1"/>
  <c r="DU51" i="100"/>
  <c r="FP51" i="100" s="1"/>
  <c r="DU45" i="100"/>
  <c r="FP45" i="100" s="1"/>
  <c r="DU43" i="100"/>
  <c r="FP43" i="100" s="1"/>
  <c r="DU41" i="100"/>
  <c r="FP41" i="100" s="1"/>
  <c r="DU40" i="100"/>
  <c r="FP40" i="100" s="1"/>
  <c r="DU38" i="100"/>
  <c r="FP38" i="100" s="1"/>
  <c r="DU65" i="100"/>
  <c r="FP65" i="100" s="1"/>
  <c r="DU47" i="100"/>
  <c r="FP47" i="100" s="1"/>
  <c r="DU15" i="100"/>
  <c r="FP15" i="100" s="1"/>
  <c r="DU22" i="100"/>
  <c r="FP22" i="100" s="1"/>
  <c r="DU26" i="100"/>
  <c r="FP26" i="100" s="1"/>
  <c r="DU32" i="100"/>
  <c r="FP32" i="100" s="1"/>
  <c r="DU23" i="100"/>
  <c r="FP23" i="100" s="1"/>
  <c r="DU31" i="100"/>
  <c r="FP31" i="100" s="1"/>
  <c r="DU30" i="100"/>
  <c r="FP30" i="100" s="1"/>
  <c r="DU60" i="100"/>
  <c r="FP60" i="100" s="1"/>
  <c r="DU61" i="100"/>
  <c r="FP61" i="100" s="1"/>
  <c r="DU39" i="100"/>
  <c r="FP39" i="100" s="1"/>
  <c r="DU55" i="100"/>
  <c r="FP55" i="100" s="1"/>
  <c r="DU56" i="100"/>
  <c r="FP56" i="100" s="1"/>
  <c r="DU46" i="100"/>
  <c r="FP46" i="100" s="1"/>
  <c r="DU66" i="100"/>
  <c r="FP66" i="100" s="1"/>
  <c r="DU49" i="100"/>
  <c r="FP49" i="100" s="1"/>
  <c r="DU54" i="100"/>
  <c r="FP54" i="100" s="1"/>
  <c r="DU64" i="100"/>
  <c r="FP64" i="100" s="1"/>
  <c r="DU57" i="100"/>
  <c r="FP57" i="100" s="1"/>
  <c r="DU19" i="100"/>
  <c r="FP19" i="100" s="1"/>
  <c r="DU21" i="100"/>
  <c r="FP21" i="100" s="1"/>
  <c r="DU10" i="100"/>
  <c r="FP10" i="100" s="1"/>
  <c r="DU12" i="100"/>
  <c r="FP12" i="100" s="1"/>
  <c r="DU16" i="100"/>
  <c r="FP16" i="100" s="1"/>
  <c r="DU27" i="100"/>
  <c r="FP27" i="100" s="1"/>
  <c r="DU37" i="100"/>
  <c r="FP37" i="100" s="1"/>
  <c r="DU35" i="100"/>
  <c r="FP35" i="100" s="1"/>
  <c r="DU42" i="100"/>
  <c r="FP42" i="100" s="1"/>
  <c r="DU58" i="100"/>
  <c r="FP58" i="100" s="1"/>
  <c r="DU62" i="100"/>
  <c r="FP62" i="100" s="1"/>
  <c r="DU59" i="100"/>
  <c r="FP59" i="100" s="1"/>
  <c r="DU53" i="100"/>
  <c r="FP53" i="100" s="1"/>
  <c r="DU48" i="100"/>
  <c r="FP48" i="100" s="1"/>
  <c r="DU44" i="100"/>
  <c r="FP44" i="100" s="1"/>
  <c r="EA7" i="100"/>
  <c r="FW7" i="100" s="1"/>
  <c r="EA13" i="100"/>
  <c r="FW13" i="100" s="1"/>
  <c r="EA8" i="100"/>
  <c r="FW8" i="100" s="1"/>
  <c r="EA10" i="100"/>
  <c r="FW10" i="100" s="1"/>
  <c r="EA9" i="100"/>
  <c r="FW9" i="100" s="1"/>
  <c r="EA29" i="100"/>
  <c r="FW29" i="100" s="1"/>
  <c r="EA16" i="100"/>
  <c r="FW16" i="100" s="1"/>
  <c r="EA27" i="100"/>
  <c r="FW27" i="100" s="1"/>
  <c r="EA20" i="100"/>
  <c r="FW20" i="100" s="1"/>
  <c r="EA30" i="100"/>
  <c r="FW30" i="100" s="1"/>
  <c r="EA25" i="100"/>
  <c r="FW25" i="100" s="1"/>
  <c r="EA28" i="100"/>
  <c r="FW28" i="100" s="1"/>
  <c r="EA21" i="100"/>
  <c r="FW21" i="100" s="1"/>
  <c r="EA15" i="100"/>
  <c r="FW15" i="100" s="1"/>
  <c r="EA17" i="100"/>
  <c r="FW17" i="100" s="1"/>
  <c r="EA33" i="100"/>
  <c r="FW33" i="100" s="1"/>
  <c r="EA36" i="100"/>
  <c r="FW36" i="100" s="1"/>
  <c r="EA37" i="100"/>
  <c r="FW37" i="100" s="1"/>
  <c r="EA35" i="100"/>
  <c r="FW35" i="100" s="1"/>
  <c r="EA44" i="100"/>
  <c r="FW44" i="100" s="1"/>
  <c r="EA46" i="100"/>
  <c r="FW46" i="100" s="1"/>
  <c r="EA63" i="100"/>
  <c r="FW63" i="100" s="1"/>
  <c r="EA52" i="100"/>
  <c r="FW52" i="100" s="1"/>
  <c r="EA62" i="100"/>
  <c r="FW62" i="100" s="1"/>
  <c r="EA55" i="100"/>
  <c r="FW55" i="100" s="1"/>
  <c r="EA48" i="100"/>
  <c r="FW48" i="100" s="1"/>
  <c r="EA54" i="100"/>
  <c r="FW54" i="100" s="1"/>
  <c r="EA43" i="100"/>
  <c r="FW43" i="100" s="1"/>
  <c r="EA26" i="100"/>
  <c r="FW26" i="100" s="1"/>
  <c r="EA22" i="100"/>
  <c r="FW22" i="100" s="1"/>
  <c r="EA12" i="100"/>
  <c r="FW12" i="100" s="1"/>
  <c r="EA23" i="100"/>
  <c r="FW23" i="100" s="1"/>
  <c r="EA14" i="100"/>
  <c r="FW14" i="100" s="1"/>
  <c r="EA31" i="100"/>
  <c r="FW31" i="100" s="1"/>
  <c r="EA34" i="100"/>
  <c r="FW34" i="100" s="1"/>
  <c r="EA65" i="100"/>
  <c r="FW65" i="100" s="1"/>
  <c r="EA49" i="100"/>
  <c r="FW49" i="100" s="1"/>
  <c r="EA59" i="100"/>
  <c r="FW59" i="100" s="1"/>
  <c r="EA57" i="100"/>
  <c r="FW57" i="100" s="1"/>
  <c r="EA64" i="100"/>
  <c r="FW64" i="100" s="1"/>
  <c r="EA40" i="100"/>
  <c r="FW40" i="100" s="1"/>
  <c r="EA66" i="100"/>
  <c r="FW66" i="100" s="1"/>
  <c r="EA11" i="100"/>
  <c r="FW11" i="100" s="1"/>
  <c r="EA19" i="100"/>
  <c r="FW19" i="100" s="1"/>
  <c r="EA18" i="100"/>
  <c r="FW18" i="100" s="1"/>
  <c r="EA24" i="100"/>
  <c r="FW24" i="100" s="1"/>
  <c r="EA32" i="100"/>
  <c r="FW32" i="100" s="1"/>
  <c r="EA39" i="100"/>
  <c r="FW39" i="100" s="1"/>
  <c r="EA61" i="100"/>
  <c r="FW61" i="100" s="1"/>
  <c r="EA41" i="100"/>
  <c r="FW41" i="100" s="1"/>
  <c r="EA50" i="100"/>
  <c r="FW50" i="100" s="1"/>
  <c r="EA51" i="100"/>
  <c r="FW51" i="100" s="1"/>
  <c r="EA60" i="100"/>
  <c r="FW60" i="100" s="1"/>
  <c r="EA45" i="100"/>
  <c r="FW45" i="100" s="1"/>
  <c r="EA42" i="100"/>
  <c r="FW42" i="100" s="1"/>
  <c r="EA58" i="100"/>
  <c r="FW58" i="100" s="1"/>
  <c r="EA47" i="100"/>
  <c r="FW47" i="100" s="1"/>
  <c r="EA38" i="100"/>
  <c r="FW38" i="100" s="1"/>
  <c r="EA56" i="100"/>
  <c r="FW56" i="100" s="1"/>
  <c r="EA53" i="100"/>
  <c r="FW53" i="100" s="1"/>
  <c r="ER7" i="100"/>
  <c r="GQ7" i="100" s="1"/>
  <c r="ER13" i="100"/>
  <c r="GQ13" i="100" s="1"/>
  <c r="ER14" i="100"/>
  <c r="GQ14" i="100" s="1"/>
  <c r="ER8" i="100"/>
  <c r="GQ8" i="100" s="1"/>
  <c r="ER11" i="100"/>
  <c r="GQ11" i="100" s="1"/>
  <c r="ER33" i="100"/>
  <c r="GQ33" i="100" s="1"/>
  <c r="ER26" i="100"/>
  <c r="GQ26" i="100" s="1"/>
  <c r="ER32" i="100"/>
  <c r="GQ32" i="100" s="1"/>
  <c r="ER9" i="100"/>
  <c r="GQ9" i="100" s="1"/>
  <c r="ER18" i="100"/>
  <c r="GQ18" i="100" s="1"/>
  <c r="ER19" i="100"/>
  <c r="GQ19" i="100" s="1"/>
  <c r="ER17" i="100"/>
  <c r="GQ17" i="100" s="1"/>
  <c r="ER20" i="100"/>
  <c r="GQ20" i="100" s="1"/>
  <c r="ER24" i="100"/>
  <c r="GQ24" i="100" s="1"/>
  <c r="ER31" i="100"/>
  <c r="GQ31" i="100" s="1"/>
  <c r="ER37" i="100"/>
  <c r="GQ37" i="100" s="1"/>
  <c r="ER44" i="100"/>
  <c r="GQ44" i="100" s="1"/>
  <c r="ER61" i="100"/>
  <c r="GQ61" i="100" s="1"/>
  <c r="ER39" i="100"/>
  <c r="GQ39" i="100" s="1"/>
  <c r="ER52" i="100"/>
  <c r="GQ52" i="100" s="1"/>
  <c r="ER40" i="100"/>
  <c r="GQ40" i="100" s="1"/>
  <c r="ER57" i="100"/>
  <c r="GQ57" i="100" s="1"/>
  <c r="ER43" i="100"/>
  <c r="GQ43" i="100" s="1"/>
  <c r="ER64" i="100"/>
  <c r="GQ64" i="100" s="1"/>
  <c r="ER50" i="100"/>
  <c r="GQ50" i="100" s="1"/>
  <c r="ER62" i="100"/>
  <c r="GQ62" i="100" s="1"/>
  <c r="ER38" i="100"/>
  <c r="GQ38" i="100" s="1"/>
  <c r="ER54" i="100"/>
  <c r="GQ54" i="100" s="1"/>
  <c r="ER41" i="100"/>
  <c r="GQ41" i="100" s="1"/>
  <c r="ER56" i="100"/>
  <c r="GQ56" i="100" s="1"/>
  <c r="ER59" i="100"/>
  <c r="GQ59" i="100" s="1"/>
  <c r="ER36" i="100"/>
  <c r="GQ36" i="100" s="1"/>
  <c r="ER15" i="100"/>
  <c r="GQ15" i="100" s="1"/>
  <c r="ER12" i="100"/>
  <c r="GQ12" i="100" s="1"/>
  <c r="ER30" i="100"/>
  <c r="GQ30" i="100" s="1"/>
  <c r="ER16" i="100"/>
  <c r="GQ16" i="100" s="1"/>
  <c r="ER27" i="100"/>
  <c r="GQ27" i="100" s="1"/>
  <c r="ER21" i="100"/>
  <c r="GQ21" i="100" s="1"/>
  <c r="ER23" i="100"/>
  <c r="GQ23" i="100" s="1"/>
  <c r="ER29" i="100"/>
  <c r="GQ29" i="100" s="1"/>
  <c r="ER45" i="100"/>
  <c r="GQ45" i="100" s="1"/>
  <c r="ER63" i="100"/>
  <c r="GQ63" i="100" s="1"/>
  <c r="ER46" i="100"/>
  <c r="GQ46" i="100" s="1"/>
  <c r="ER55" i="100"/>
  <c r="GQ55" i="100" s="1"/>
  <c r="ER48" i="100"/>
  <c r="GQ48" i="100" s="1"/>
  <c r="ER58" i="100"/>
  <c r="GQ58" i="100" s="1"/>
  <c r="ER51" i="100"/>
  <c r="GQ51" i="100" s="1"/>
  <c r="ER35" i="100"/>
  <c r="GQ35" i="100" s="1"/>
  <c r="ER10" i="100"/>
  <c r="GQ10" i="100" s="1"/>
  <c r="ER34" i="100"/>
  <c r="GQ34" i="100" s="1"/>
  <c r="ER22" i="100"/>
  <c r="GQ22" i="100" s="1"/>
  <c r="ER25" i="100"/>
  <c r="GQ25" i="100" s="1"/>
  <c r="ER28" i="100"/>
  <c r="GQ28" i="100" s="1"/>
  <c r="ER53" i="100"/>
  <c r="GQ53" i="100" s="1"/>
  <c r="ER49" i="100"/>
  <c r="GQ49" i="100" s="1"/>
  <c r="ER66" i="100"/>
  <c r="GQ66" i="100" s="1"/>
  <c r="ER42" i="100"/>
  <c r="GQ42" i="100" s="1"/>
  <c r="ER47" i="100"/>
  <c r="GQ47" i="100" s="1"/>
  <c r="ER60" i="100"/>
  <c r="GQ60" i="100" s="1"/>
  <c r="ER65" i="100"/>
  <c r="GQ65" i="100" s="1"/>
  <c r="EP7" i="100"/>
  <c r="GO7" i="100" s="1"/>
  <c r="EP10" i="100"/>
  <c r="GO10" i="100" s="1"/>
  <c r="EP13" i="100"/>
  <c r="GO13" i="100" s="1"/>
  <c r="EP21" i="100"/>
  <c r="GO21" i="100" s="1"/>
  <c r="EP9" i="100"/>
  <c r="GO9" i="100" s="1"/>
  <c r="EP33" i="100"/>
  <c r="GO33" i="100" s="1"/>
  <c r="EP14" i="100"/>
  <c r="GO14" i="100" s="1"/>
  <c r="EP20" i="100"/>
  <c r="GO20" i="100" s="1"/>
  <c r="EP29" i="100"/>
  <c r="GO29" i="100" s="1"/>
  <c r="EP30" i="100"/>
  <c r="GO30" i="100" s="1"/>
  <c r="EP27" i="100"/>
  <c r="GO27" i="100" s="1"/>
  <c r="EP18" i="100"/>
  <c r="GO18" i="100" s="1"/>
  <c r="EP22" i="100"/>
  <c r="GO22" i="100" s="1"/>
  <c r="EP19" i="100"/>
  <c r="GO19" i="100" s="1"/>
  <c r="EP28" i="100"/>
  <c r="GO28" i="100" s="1"/>
  <c r="EP15" i="100"/>
  <c r="GO15" i="100" s="1"/>
  <c r="EP35" i="100"/>
  <c r="GO35" i="100" s="1"/>
  <c r="EP12" i="100"/>
  <c r="GO12" i="100" s="1"/>
  <c r="EP34" i="100"/>
  <c r="GO34" i="100" s="1"/>
  <c r="EP65" i="100"/>
  <c r="GO65" i="100" s="1"/>
  <c r="EP61" i="100"/>
  <c r="GO61" i="100" s="1"/>
  <c r="EP51" i="100"/>
  <c r="GO51" i="100" s="1"/>
  <c r="EP57" i="100"/>
  <c r="GO57" i="100" s="1"/>
  <c r="EP40" i="100"/>
  <c r="GO40" i="100" s="1"/>
  <c r="EP54" i="100"/>
  <c r="GO54" i="100" s="1"/>
  <c r="EP64" i="100"/>
  <c r="GO64" i="100" s="1"/>
  <c r="EP44" i="100"/>
  <c r="GO44" i="100" s="1"/>
  <c r="EP66" i="100"/>
  <c r="GO66" i="100" s="1"/>
  <c r="EP36" i="100"/>
  <c r="GO36" i="100" s="1"/>
  <c r="EP31" i="100"/>
  <c r="GO31" i="100" s="1"/>
  <c r="EP37" i="100"/>
  <c r="GO37" i="100" s="1"/>
  <c r="EP16" i="100"/>
  <c r="GO16" i="100" s="1"/>
  <c r="EP26" i="100"/>
  <c r="GO26" i="100" s="1"/>
  <c r="EP23" i="100"/>
  <c r="GO23" i="100" s="1"/>
  <c r="EP62" i="100"/>
  <c r="GO62" i="100" s="1"/>
  <c r="EP42" i="100"/>
  <c r="GO42" i="100" s="1"/>
  <c r="EP59" i="100"/>
  <c r="GO59" i="100" s="1"/>
  <c r="EP49" i="100"/>
  <c r="GO49" i="100" s="1"/>
  <c r="EP63" i="100"/>
  <c r="GO63" i="100" s="1"/>
  <c r="EP46" i="100"/>
  <c r="GO46" i="100" s="1"/>
  <c r="EP60" i="100"/>
  <c r="GO60" i="100" s="1"/>
  <c r="EP39" i="100"/>
  <c r="GO39" i="100" s="1"/>
  <c r="EP47" i="100"/>
  <c r="GO47" i="100" s="1"/>
  <c r="EP52" i="100"/>
  <c r="GO52" i="100" s="1"/>
  <c r="EP11" i="100"/>
  <c r="GO11" i="100" s="1"/>
  <c r="EP32" i="100"/>
  <c r="GO32" i="100" s="1"/>
  <c r="EP8" i="100"/>
  <c r="GO8" i="100" s="1"/>
  <c r="EP17" i="100"/>
  <c r="GO17" i="100" s="1"/>
  <c r="EP24" i="100"/>
  <c r="GO24" i="100" s="1"/>
  <c r="EP25" i="100"/>
  <c r="GO25" i="100" s="1"/>
  <c r="EP58" i="100"/>
  <c r="GO58" i="100" s="1"/>
  <c r="EP43" i="100"/>
  <c r="GO43" i="100" s="1"/>
  <c r="EP56" i="100"/>
  <c r="GO56" i="100" s="1"/>
  <c r="EP41" i="100"/>
  <c r="GO41" i="100" s="1"/>
  <c r="EP55" i="100"/>
  <c r="GO55" i="100" s="1"/>
  <c r="EP38" i="100"/>
  <c r="GO38" i="100" s="1"/>
  <c r="EP53" i="100"/>
  <c r="GO53" i="100" s="1"/>
  <c r="EP45" i="100"/>
  <c r="GO45" i="100" s="1"/>
  <c r="EP48" i="100"/>
  <c r="GO48" i="100" s="1"/>
  <c r="EP50" i="100"/>
  <c r="GO50" i="100" s="1"/>
  <c r="DP8" i="100"/>
  <c r="FK8" i="100" s="1"/>
  <c r="DP9" i="100"/>
  <c r="FK9" i="100" s="1"/>
  <c r="DP17" i="100"/>
  <c r="FK17" i="100" s="1"/>
  <c r="DP10" i="100"/>
  <c r="FK10" i="100" s="1"/>
  <c r="DP14" i="100"/>
  <c r="FK14" i="100" s="1"/>
  <c r="DP11" i="100"/>
  <c r="FK11" i="100" s="1"/>
  <c r="DP21" i="100"/>
  <c r="FK21" i="100" s="1"/>
  <c r="DP35" i="100"/>
  <c r="FK35" i="100" s="1"/>
  <c r="DP25" i="100"/>
  <c r="FK25" i="100" s="1"/>
  <c r="DP33" i="100"/>
  <c r="FK33" i="100" s="1"/>
  <c r="DP28" i="100"/>
  <c r="FK28" i="100" s="1"/>
  <c r="DP18" i="100"/>
  <c r="FK18" i="100" s="1"/>
  <c r="DP22" i="100"/>
  <c r="FK22" i="100" s="1"/>
  <c r="DP45" i="100"/>
  <c r="FK45" i="100" s="1"/>
  <c r="DP62" i="100"/>
  <c r="FK62" i="100" s="1"/>
  <c r="DP54" i="100"/>
  <c r="FK54" i="100" s="1"/>
  <c r="DP42" i="100"/>
  <c r="FK42" i="100" s="1"/>
  <c r="DP55" i="100"/>
  <c r="FK55" i="100" s="1"/>
  <c r="DP44" i="100"/>
  <c r="FK44" i="100" s="1"/>
  <c r="DP7" i="100"/>
  <c r="FK7" i="100" s="1"/>
  <c r="DP16" i="100"/>
  <c r="FK16" i="100" s="1"/>
  <c r="DP13" i="100"/>
  <c r="FK13" i="100" s="1"/>
  <c r="DP23" i="100"/>
  <c r="FK23" i="100" s="1"/>
  <c r="DP30" i="100"/>
  <c r="FK30" i="100" s="1"/>
  <c r="DP26" i="100"/>
  <c r="FK26" i="100" s="1"/>
  <c r="DP37" i="100"/>
  <c r="FK37" i="100" s="1"/>
  <c r="DP52" i="100"/>
  <c r="FK52" i="100" s="1"/>
  <c r="DP48" i="100"/>
  <c r="FK48" i="100" s="1"/>
  <c r="DP53" i="100"/>
  <c r="FK53" i="100" s="1"/>
  <c r="DP50" i="100"/>
  <c r="FK50" i="100" s="1"/>
  <c r="DP56" i="100"/>
  <c r="FK56" i="100" s="1"/>
  <c r="DP58" i="100"/>
  <c r="FK58" i="100" s="1"/>
  <c r="DP60" i="100"/>
  <c r="FK60" i="100" s="1"/>
  <c r="DP15" i="100"/>
  <c r="FK15" i="100" s="1"/>
  <c r="DP12" i="100"/>
  <c r="FK12" i="100" s="1"/>
  <c r="DP24" i="100"/>
  <c r="FK24" i="100" s="1"/>
  <c r="DP36" i="100"/>
  <c r="FK36" i="100" s="1"/>
  <c r="DP20" i="100"/>
  <c r="FK20" i="100" s="1"/>
  <c r="DP31" i="100"/>
  <c r="FK31" i="100" s="1"/>
  <c r="DP29" i="100"/>
  <c r="FK29" i="100" s="1"/>
  <c r="DP43" i="100"/>
  <c r="FK43" i="100" s="1"/>
  <c r="DP57" i="100"/>
  <c r="FK57" i="100" s="1"/>
  <c r="DP39" i="100"/>
  <c r="FK39" i="100" s="1"/>
  <c r="DP51" i="100"/>
  <c r="FK51" i="100" s="1"/>
  <c r="DP40" i="100"/>
  <c r="FK40" i="100" s="1"/>
  <c r="DP61" i="100"/>
  <c r="FK61" i="100" s="1"/>
  <c r="DP41" i="100"/>
  <c r="FK41" i="100" s="1"/>
  <c r="DP65" i="100"/>
  <c r="FK65" i="100" s="1"/>
  <c r="DP59" i="100"/>
  <c r="FK59" i="100" s="1"/>
  <c r="DP64" i="100"/>
  <c r="FK64" i="100" s="1"/>
  <c r="DP66" i="100"/>
  <c r="FK66" i="100" s="1"/>
  <c r="DP49" i="100"/>
  <c r="FK49" i="100" s="1"/>
  <c r="DP47" i="100"/>
  <c r="FK47" i="100" s="1"/>
  <c r="DP32" i="100"/>
  <c r="FK32" i="100" s="1"/>
  <c r="DP27" i="100"/>
  <c r="FK27" i="100" s="1"/>
  <c r="DP63" i="100"/>
  <c r="FK63" i="100" s="1"/>
  <c r="DP34" i="100"/>
  <c r="FK34" i="100" s="1"/>
  <c r="DP19" i="100"/>
  <c r="FK19" i="100" s="1"/>
  <c r="DP46" i="100"/>
  <c r="FK46" i="100" s="1"/>
  <c r="DP38" i="100"/>
  <c r="FK38" i="100" s="1"/>
  <c r="EO8" i="100"/>
  <c r="GM8" i="100" s="1"/>
  <c r="EO9" i="100"/>
  <c r="GM9" i="100" s="1"/>
  <c r="EO7" i="100"/>
  <c r="GM7" i="100" s="1"/>
  <c r="EO10" i="100"/>
  <c r="GM10" i="100" s="1"/>
  <c r="EO19" i="100"/>
  <c r="GM19" i="100" s="1"/>
  <c r="EO14" i="100"/>
  <c r="GM14" i="100" s="1"/>
  <c r="EO28" i="100"/>
  <c r="GM28" i="100" s="1"/>
  <c r="EO26" i="100"/>
  <c r="GM26" i="100" s="1"/>
  <c r="EO12" i="100"/>
  <c r="GM12" i="100" s="1"/>
  <c r="EO21" i="100"/>
  <c r="GM21" i="100" s="1"/>
  <c r="EO17" i="100"/>
  <c r="GM17" i="100" s="1"/>
  <c r="EO22" i="100"/>
  <c r="GM22" i="100" s="1"/>
  <c r="EO25" i="100"/>
  <c r="GM25" i="100" s="1"/>
  <c r="EO24" i="100"/>
  <c r="GM24" i="100" s="1"/>
  <c r="EO27" i="100"/>
  <c r="GM27" i="100" s="1"/>
  <c r="EO48" i="100"/>
  <c r="GM48" i="100" s="1"/>
  <c r="EO66" i="100"/>
  <c r="GM66" i="100" s="1"/>
  <c r="EO33" i="100"/>
  <c r="GM33" i="100" s="1"/>
  <c r="EO51" i="100"/>
  <c r="GM51" i="100" s="1"/>
  <c r="EO35" i="100"/>
  <c r="GM35" i="100" s="1"/>
  <c r="EO60" i="100"/>
  <c r="GM60" i="100" s="1"/>
  <c r="EO59" i="100"/>
  <c r="GM59" i="100" s="1"/>
  <c r="EO43" i="100"/>
  <c r="GM43" i="100" s="1"/>
  <c r="EO65" i="100"/>
  <c r="GM65" i="100" s="1"/>
  <c r="EO15" i="100"/>
  <c r="GM15" i="100" s="1"/>
  <c r="EO18" i="100"/>
  <c r="GM18" i="100" s="1"/>
  <c r="EO20" i="100"/>
  <c r="GM20" i="100" s="1"/>
  <c r="EO30" i="100"/>
  <c r="GM30" i="100" s="1"/>
  <c r="EO31" i="100"/>
  <c r="GM31" i="100" s="1"/>
  <c r="EO45" i="100"/>
  <c r="GM45" i="100" s="1"/>
  <c r="EO41" i="100"/>
  <c r="GM41" i="100" s="1"/>
  <c r="EO50" i="100"/>
  <c r="GM50" i="100" s="1"/>
  <c r="EO53" i="100"/>
  <c r="GM53" i="100" s="1"/>
  <c r="EO44" i="100"/>
  <c r="GM44" i="100" s="1"/>
  <c r="EO62" i="100"/>
  <c r="GM62" i="100" s="1"/>
  <c r="EO32" i="100"/>
  <c r="GM32" i="100" s="1"/>
  <c r="EO54" i="100"/>
  <c r="GM54" i="100" s="1"/>
  <c r="EO11" i="100"/>
  <c r="GM11" i="100" s="1"/>
  <c r="EO29" i="100"/>
  <c r="GM29" i="100" s="1"/>
  <c r="EO16" i="100"/>
  <c r="GM16" i="100" s="1"/>
  <c r="EO13" i="100"/>
  <c r="GM13" i="100" s="1"/>
  <c r="EO23" i="100"/>
  <c r="GM23" i="100" s="1"/>
  <c r="EO34" i="100"/>
  <c r="GM34" i="100" s="1"/>
  <c r="EO56" i="100"/>
  <c r="GM56" i="100" s="1"/>
  <c r="EO36" i="100"/>
  <c r="GM36" i="100" s="1"/>
  <c r="EO58" i="100"/>
  <c r="GM58" i="100" s="1"/>
  <c r="EO55" i="100"/>
  <c r="GM55" i="100" s="1"/>
  <c r="EO37" i="100"/>
  <c r="GM37" i="100" s="1"/>
  <c r="EO57" i="100"/>
  <c r="GM57" i="100" s="1"/>
  <c r="EO39" i="100"/>
  <c r="GM39" i="100" s="1"/>
  <c r="EO64" i="100"/>
  <c r="GM64" i="100" s="1"/>
  <c r="EO42" i="100"/>
  <c r="GM42" i="100" s="1"/>
  <c r="EO63" i="100"/>
  <c r="GM63" i="100" s="1"/>
  <c r="EO49" i="100"/>
  <c r="GM49" i="100" s="1"/>
  <c r="EO46" i="100"/>
  <c r="GM46" i="100" s="1"/>
  <c r="EO52" i="100"/>
  <c r="GM52" i="100" s="1"/>
  <c r="EO40" i="100"/>
  <c r="GM40" i="100" s="1"/>
  <c r="EO38" i="100"/>
  <c r="GM38" i="100" s="1"/>
  <c r="EO61" i="100"/>
  <c r="GM61" i="100" s="1"/>
  <c r="EO47" i="100"/>
  <c r="GM47" i="100" s="1"/>
  <c r="R26" i="98"/>
  <c r="AD23" i="98"/>
  <c r="AD27" i="98"/>
  <c r="EA47" i="98" s="1"/>
  <c r="AD22" i="98"/>
  <c r="AD24" i="98"/>
  <c r="AD28" i="98"/>
  <c r="EA48" i="98" s="1"/>
  <c r="AD25" i="98"/>
  <c r="AD29" i="98"/>
  <c r="EA49" i="98" s="1"/>
  <c r="AD26" i="98"/>
  <c r="EA46" i="98" s="1"/>
  <c r="AD30" i="98"/>
  <c r="EA50" i="98" s="1"/>
  <c r="T25" i="98"/>
  <c r="T22" i="98"/>
  <c r="T26" i="98"/>
  <c r="T29" i="98"/>
  <c r="DY31" i="98" s="1"/>
  <c r="T23" i="98"/>
  <c r="T27" i="98"/>
  <c r="DY29" i="98" s="1"/>
  <c r="T30" i="98"/>
  <c r="DY32" i="98" s="1"/>
  <c r="T24" i="98"/>
  <c r="T28" i="98"/>
  <c r="DY30" i="98" s="1"/>
  <c r="DD35" i="98"/>
  <c r="DD36" i="98"/>
  <c r="DD10" i="98"/>
  <c r="DD11" i="98"/>
  <c r="DD16" i="98"/>
  <c r="DD15" i="98"/>
  <c r="DU5" i="93"/>
  <c r="FM5" i="93" s="1"/>
  <c r="DU6" i="93"/>
  <c r="FM6" i="93" s="1"/>
  <c r="DU7" i="93"/>
  <c r="FM7" i="93" s="1"/>
  <c r="DU14" i="93"/>
  <c r="FM14" i="93" s="1"/>
  <c r="DU21" i="93"/>
  <c r="FM21" i="93" s="1"/>
  <c r="DU9" i="93"/>
  <c r="FM9" i="93" s="1"/>
  <c r="DU10" i="93"/>
  <c r="FM10" i="93" s="1"/>
  <c r="DU13" i="93"/>
  <c r="FM13" i="93" s="1"/>
  <c r="DU19" i="93"/>
  <c r="FM19" i="93" s="1"/>
  <c r="DU18" i="93"/>
  <c r="FM18" i="93" s="1"/>
  <c r="DU15" i="93"/>
  <c r="FM15" i="93" s="1"/>
  <c r="DU8" i="93"/>
  <c r="FM8" i="93" s="1"/>
  <c r="DU20" i="93"/>
  <c r="FM20" i="93" s="1"/>
  <c r="DU17" i="93"/>
  <c r="FM17" i="93" s="1"/>
  <c r="DU22" i="93"/>
  <c r="FM22" i="93" s="1"/>
  <c r="DU12" i="93"/>
  <c r="FM12" i="93" s="1"/>
  <c r="DU11" i="93"/>
  <c r="FM11" i="93" s="1"/>
  <c r="DU23" i="93"/>
  <c r="FM23" i="93" s="1"/>
  <c r="DU16" i="93"/>
  <c r="FM16" i="93" s="1"/>
  <c r="DU31" i="93"/>
  <c r="FM31" i="93" s="1"/>
  <c r="DU56" i="93"/>
  <c r="FM56" i="93" s="1"/>
  <c r="DU38" i="93"/>
  <c r="FM38" i="93" s="1"/>
  <c r="DU46" i="93"/>
  <c r="FM46" i="93" s="1"/>
  <c r="DU51" i="93"/>
  <c r="FM51" i="93" s="1"/>
  <c r="DU35" i="93"/>
  <c r="FM35" i="93" s="1"/>
  <c r="DU52" i="93"/>
  <c r="FM52" i="93" s="1"/>
  <c r="DU61" i="93"/>
  <c r="FM61" i="93" s="1"/>
  <c r="DU47" i="93"/>
  <c r="FM47" i="93" s="1"/>
  <c r="DU62" i="93"/>
  <c r="FM62" i="93" s="1"/>
  <c r="DU49" i="93"/>
  <c r="FM49" i="93" s="1"/>
  <c r="DU64" i="93"/>
  <c r="FM64" i="93" s="1"/>
  <c r="DU33" i="93"/>
  <c r="FM33" i="93" s="1"/>
  <c r="DU40" i="93"/>
  <c r="FM40" i="93" s="1"/>
  <c r="DU59" i="93"/>
  <c r="FM59" i="93" s="1"/>
  <c r="DU26" i="93"/>
  <c r="FM26" i="93" s="1"/>
  <c r="DU60" i="93"/>
  <c r="FM60" i="93" s="1"/>
  <c r="DU25" i="93"/>
  <c r="FM25" i="93" s="1"/>
  <c r="DU28" i="93"/>
  <c r="FM28" i="93" s="1"/>
  <c r="DU55" i="93"/>
  <c r="FM55" i="93" s="1"/>
  <c r="DU27" i="93"/>
  <c r="FM27" i="93" s="1"/>
  <c r="DU44" i="93"/>
  <c r="FM44" i="93" s="1"/>
  <c r="DU36" i="93"/>
  <c r="FM36" i="93" s="1"/>
  <c r="DU41" i="93"/>
  <c r="FM41" i="93" s="1"/>
  <c r="DU58" i="93"/>
  <c r="FM58" i="93" s="1"/>
  <c r="DU50" i="93"/>
  <c r="FM50" i="93" s="1"/>
  <c r="DU45" i="93"/>
  <c r="FM45" i="93" s="1"/>
  <c r="DU42" i="93"/>
  <c r="FM42" i="93" s="1"/>
  <c r="DU37" i="93"/>
  <c r="FM37" i="93" s="1"/>
  <c r="DU29" i="93"/>
  <c r="FM29" i="93" s="1"/>
  <c r="DU63" i="93"/>
  <c r="FM63" i="93" s="1"/>
  <c r="DU39" i="93"/>
  <c r="FM39" i="93" s="1"/>
  <c r="DU32" i="93"/>
  <c r="FM32" i="93" s="1"/>
  <c r="DU57" i="93"/>
  <c r="FM57" i="93" s="1"/>
  <c r="DU43" i="93"/>
  <c r="FM43" i="93" s="1"/>
  <c r="DU34" i="93"/>
  <c r="FM34" i="93" s="1"/>
  <c r="DU24" i="93"/>
  <c r="FM24" i="93" s="1"/>
  <c r="DU48" i="93"/>
  <c r="FM48" i="93" s="1"/>
  <c r="DU53" i="93"/>
  <c r="FM53" i="93" s="1"/>
  <c r="DU30" i="93"/>
  <c r="FM30" i="93" s="1"/>
  <c r="DU54" i="93"/>
  <c r="FM54" i="93" s="1"/>
  <c r="EB20" i="93"/>
  <c r="FT20" i="93" s="1"/>
  <c r="EB16" i="93"/>
  <c r="FT16" i="93" s="1"/>
  <c r="EB26" i="93"/>
  <c r="FT26" i="93" s="1"/>
  <c r="EB15" i="93"/>
  <c r="FT15" i="93" s="1"/>
  <c r="EB25" i="93"/>
  <c r="FT25" i="93" s="1"/>
  <c r="EB18" i="93"/>
  <c r="FT18" i="93" s="1"/>
  <c r="EB22" i="93"/>
  <c r="FT22" i="93" s="1"/>
  <c r="EB21" i="93"/>
  <c r="FT21" i="93" s="1"/>
  <c r="EB27" i="93"/>
  <c r="FT27" i="93" s="1"/>
  <c r="EB7" i="93"/>
  <c r="FT7" i="93" s="1"/>
  <c r="EB8" i="93"/>
  <c r="FT8" i="93" s="1"/>
  <c r="EB13" i="93"/>
  <c r="FT13" i="93" s="1"/>
  <c r="EB17" i="93"/>
  <c r="FT17" i="93" s="1"/>
  <c r="EB10" i="93"/>
  <c r="FT10" i="93" s="1"/>
  <c r="EB24" i="93"/>
  <c r="FT24" i="93" s="1"/>
  <c r="EB23" i="93"/>
  <c r="FT23" i="93" s="1"/>
  <c r="EB6" i="93"/>
  <c r="FT6" i="93" s="1"/>
  <c r="EB28" i="93"/>
  <c r="FT28" i="93" s="1"/>
  <c r="EB9" i="93"/>
  <c r="FT9" i="93" s="1"/>
  <c r="EB19" i="93"/>
  <c r="FT19" i="93" s="1"/>
  <c r="EB5" i="93"/>
  <c r="FT5" i="93" s="1"/>
  <c r="EB11" i="93"/>
  <c r="FT11" i="93" s="1"/>
  <c r="EB12" i="93"/>
  <c r="FT12" i="93" s="1"/>
  <c r="EB14" i="93"/>
  <c r="FT14" i="93" s="1"/>
  <c r="EB29" i="93"/>
  <c r="FT29" i="93" s="1"/>
  <c r="EB35" i="93"/>
  <c r="FT35" i="93" s="1"/>
  <c r="EB63" i="93"/>
  <c r="FT63" i="93" s="1"/>
  <c r="EB30" i="93"/>
  <c r="FT30" i="93" s="1"/>
  <c r="EB48" i="93"/>
  <c r="FT48" i="93" s="1"/>
  <c r="EB32" i="93"/>
  <c r="FT32" i="93" s="1"/>
  <c r="EB51" i="93"/>
  <c r="FT51" i="93" s="1"/>
  <c r="EB34" i="93"/>
  <c r="FT34" i="93" s="1"/>
  <c r="EB53" i="93"/>
  <c r="FT53" i="93" s="1"/>
  <c r="EB60" i="93"/>
  <c r="FT60" i="93" s="1"/>
  <c r="EB50" i="93"/>
  <c r="FT50" i="93" s="1"/>
  <c r="EB52" i="93"/>
  <c r="FT52" i="93" s="1"/>
  <c r="EB38" i="93"/>
  <c r="FT38" i="93" s="1"/>
  <c r="EB57" i="93"/>
  <c r="FT57" i="93" s="1"/>
  <c r="EB40" i="93"/>
  <c r="FT40" i="93" s="1"/>
  <c r="EB59" i="93"/>
  <c r="FT59" i="93" s="1"/>
  <c r="EB42" i="93"/>
  <c r="FT42" i="93" s="1"/>
  <c r="EB61" i="93"/>
  <c r="FT61" i="93" s="1"/>
  <c r="EB36" i="93"/>
  <c r="FT36" i="93" s="1"/>
  <c r="EB44" i="93"/>
  <c r="FT44" i="93" s="1"/>
  <c r="EB64" i="93"/>
  <c r="FT64" i="93" s="1"/>
  <c r="EB37" i="93"/>
  <c r="FT37" i="93" s="1"/>
  <c r="EB45" i="93"/>
  <c r="FT45" i="93" s="1"/>
  <c r="EB41" i="93"/>
  <c r="FT41" i="93" s="1"/>
  <c r="EB49" i="93"/>
  <c r="FT49" i="93" s="1"/>
  <c r="EB47" i="93"/>
  <c r="FT47" i="93" s="1"/>
  <c r="EB46" i="93"/>
  <c r="FT46" i="93" s="1"/>
  <c r="EB33" i="93"/>
  <c r="FT33" i="93" s="1"/>
  <c r="EB55" i="93"/>
  <c r="FT55" i="93" s="1"/>
  <c r="EB62" i="93"/>
  <c r="FT62" i="93" s="1"/>
  <c r="EB39" i="93"/>
  <c r="FT39" i="93" s="1"/>
  <c r="EB54" i="93"/>
  <c r="FT54" i="93" s="1"/>
  <c r="EB43" i="93"/>
  <c r="FT43" i="93" s="1"/>
  <c r="EB56" i="93"/>
  <c r="FT56" i="93" s="1"/>
  <c r="EB31" i="93"/>
  <c r="FT31" i="93" s="1"/>
  <c r="EB58" i="93"/>
  <c r="FT58" i="93" s="1"/>
  <c r="DL6" i="93"/>
  <c r="FD6" i="93" s="1"/>
  <c r="DL13" i="93"/>
  <c r="FD13" i="93" s="1"/>
  <c r="DL16" i="93"/>
  <c r="FD16" i="93" s="1"/>
  <c r="DL10" i="93"/>
  <c r="FD10" i="93" s="1"/>
  <c r="DL17" i="93"/>
  <c r="FD17" i="93" s="1"/>
  <c r="DL14" i="93"/>
  <c r="FD14" i="93" s="1"/>
  <c r="DL18" i="93"/>
  <c r="FD18" i="93" s="1"/>
  <c r="DL15" i="93"/>
  <c r="FD15" i="93" s="1"/>
  <c r="DL5" i="93"/>
  <c r="FD5" i="93" s="1"/>
  <c r="DL9" i="93"/>
  <c r="FD9" i="93" s="1"/>
  <c r="DL11" i="93"/>
  <c r="FD11" i="93" s="1"/>
  <c r="DL8" i="93"/>
  <c r="FD8" i="93" s="1"/>
  <c r="DL12" i="93"/>
  <c r="FD12" i="93" s="1"/>
  <c r="DL7" i="93"/>
  <c r="FD7" i="93" s="1"/>
  <c r="DL36" i="93"/>
  <c r="FD36" i="93" s="1"/>
  <c r="DL51" i="93"/>
  <c r="FD51" i="93" s="1"/>
  <c r="DL25" i="93"/>
  <c r="FD25" i="93" s="1"/>
  <c r="DL39" i="93"/>
  <c r="FD39" i="93" s="1"/>
  <c r="DL54" i="93"/>
  <c r="FD54" i="93" s="1"/>
  <c r="DL26" i="93"/>
  <c r="FD26" i="93" s="1"/>
  <c r="DL44" i="93"/>
  <c r="FD44" i="93" s="1"/>
  <c r="DL56" i="93"/>
  <c r="FD56" i="93" s="1"/>
  <c r="DL28" i="93"/>
  <c r="FD28" i="93" s="1"/>
  <c r="DL47" i="93"/>
  <c r="FD47" i="93" s="1"/>
  <c r="DL46" i="93"/>
  <c r="FD46" i="93" s="1"/>
  <c r="DL20" i="93"/>
  <c r="FD20" i="93" s="1"/>
  <c r="DL29" i="93"/>
  <c r="FD29" i="93" s="1"/>
  <c r="DL59" i="93"/>
  <c r="FD59" i="93" s="1"/>
  <c r="DL32" i="93"/>
  <c r="FD32" i="93" s="1"/>
  <c r="DL53" i="93"/>
  <c r="FD53" i="93" s="1"/>
  <c r="DL64" i="93"/>
  <c r="FD64" i="93" s="1"/>
  <c r="DL40" i="93"/>
  <c r="FD40" i="93" s="1"/>
  <c r="DL55" i="93"/>
  <c r="FD55" i="93" s="1"/>
  <c r="DL19" i="93"/>
  <c r="FD19" i="93" s="1"/>
  <c r="DL34" i="93"/>
  <c r="FD34" i="93" s="1"/>
  <c r="DL48" i="93"/>
  <c r="FD48" i="93" s="1"/>
  <c r="DL58" i="93"/>
  <c r="FD58" i="93" s="1"/>
  <c r="DL24" i="93"/>
  <c r="FD24" i="93" s="1"/>
  <c r="DL35" i="93"/>
  <c r="FD35" i="93" s="1"/>
  <c r="DL45" i="93"/>
  <c r="FD45" i="93" s="1"/>
  <c r="DL38" i="93"/>
  <c r="FD38" i="93" s="1"/>
  <c r="DL61" i="93"/>
  <c r="FD61" i="93" s="1"/>
  <c r="DL62" i="93"/>
  <c r="FD62" i="93" s="1"/>
  <c r="DL37" i="93"/>
  <c r="FD37" i="93" s="1"/>
  <c r="DL63" i="93"/>
  <c r="FD63" i="93" s="1"/>
  <c r="DL23" i="93"/>
  <c r="FD23" i="93" s="1"/>
  <c r="DL42" i="93"/>
  <c r="FD42" i="93" s="1"/>
  <c r="DL57" i="93"/>
  <c r="FD57" i="93" s="1"/>
  <c r="DL60" i="93"/>
  <c r="FD60" i="93" s="1"/>
  <c r="DL30" i="93"/>
  <c r="FD30" i="93" s="1"/>
  <c r="DL50" i="93"/>
  <c r="FD50" i="93" s="1"/>
  <c r="DL52" i="93"/>
  <c r="FD52" i="93" s="1"/>
  <c r="DL33" i="93"/>
  <c r="FD33" i="93" s="1"/>
  <c r="DL49" i="93"/>
  <c r="FD49" i="93" s="1"/>
  <c r="DL21" i="93"/>
  <c r="FD21" i="93" s="1"/>
  <c r="DL43" i="93"/>
  <c r="FD43" i="93" s="1"/>
  <c r="DL27" i="93"/>
  <c r="FD27" i="93" s="1"/>
  <c r="DL22" i="93"/>
  <c r="FD22" i="93" s="1"/>
  <c r="DL41" i="93"/>
  <c r="FD41" i="93" s="1"/>
  <c r="DL31" i="93"/>
  <c r="FD31" i="93" s="1"/>
  <c r="EK6" i="93"/>
  <c r="GC6" i="93" s="1"/>
  <c r="EK7" i="93"/>
  <c r="GC7" i="93" s="1"/>
  <c r="EK5" i="93"/>
  <c r="GC5" i="93" s="1"/>
  <c r="EK21" i="93"/>
  <c r="GC21" i="93" s="1"/>
  <c r="EK11" i="93"/>
  <c r="GC11" i="93" s="1"/>
  <c r="EK22" i="93"/>
  <c r="GC22" i="93" s="1"/>
  <c r="EK28" i="93"/>
  <c r="GC28" i="93" s="1"/>
  <c r="EK29" i="93"/>
  <c r="GC29" i="93" s="1"/>
  <c r="EK16" i="93"/>
  <c r="GC16" i="93" s="1"/>
  <c r="EK24" i="93"/>
  <c r="GC24" i="93" s="1"/>
  <c r="EK17" i="93"/>
  <c r="GC17" i="93" s="1"/>
  <c r="EK26" i="93"/>
  <c r="GC26" i="93" s="1"/>
  <c r="EK27" i="93"/>
  <c r="GC27" i="93" s="1"/>
  <c r="EK20" i="93"/>
  <c r="GC20" i="93" s="1"/>
  <c r="EK34" i="93"/>
  <c r="GC34" i="93" s="1"/>
  <c r="EK15" i="93"/>
  <c r="GC15" i="93" s="1"/>
  <c r="EK32" i="93"/>
  <c r="GC32" i="93" s="1"/>
  <c r="EK23" i="93"/>
  <c r="GC23" i="93" s="1"/>
  <c r="EK12" i="93"/>
  <c r="GC12" i="93" s="1"/>
  <c r="EK10" i="93"/>
  <c r="GC10" i="93" s="1"/>
  <c r="EK13" i="93"/>
  <c r="GC13" i="93" s="1"/>
  <c r="EK14" i="93"/>
  <c r="GC14" i="93" s="1"/>
  <c r="EK25" i="93"/>
  <c r="GC25" i="93" s="1"/>
  <c r="EK18" i="93"/>
  <c r="GC18" i="93" s="1"/>
  <c r="EK33" i="93"/>
  <c r="GC33" i="93" s="1"/>
  <c r="EK31" i="93"/>
  <c r="GC31" i="93" s="1"/>
  <c r="EK19" i="93"/>
  <c r="GC19" i="93" s="1"/>
  <c r="EK8" i="93"/>
  <c r="GC8" i="93" s="1"/>
  <c r="EK9" i="93"/>
  <c r="GC9" i="93" s="1"/>
  <c r="EK30" i="93"/>
  <c r="GC30" i="93" s="1"/>
  <c r="EK35" i="93"/>
  <c r="GC35" i="93" s="1"/>
  <c r="EK46" i="93"/>
  <c r="GC46" i="93" s="1"/>
  <c r="EK36" i="93"/>
  <c r="GC36" i="93" s="1"/>
  <c r="EK50" i="93"/>
  <c r="GC50" i="93" s="1"/>
  <c r="EK38" i="93"/>
  <c r="GC38" i="93" s="1"/>
  <c r="EK52" i="93"/>
  <c r="GC52" i="93" s="1"/>
  <c r="EK39" i="93"/>
  <c r="GC39" i="93" s="1"/>
  <c r="EK62" i="93"/>
  <c r="GC62" i="93" s="1"/>
  <c r="EK59" i="93"/>
  <c r="GC59" i="93" s="1"/>
  <c r="EK54" i="93"/>
  <c r="GC54" i="93" s="1"/>
  <c r="EK40" i="93"/>
  <c r="GC40" i="93" s="1"/>
  <c r="EK57" i="93"/>
  <c r="GC57" i="93" s="1"/>
  <c r="EK58" i="93"/>
  <c r="GC58" i="93" s="1"/>
  <c r="EK37" i="93"/>
  <c r="GC37" i="93" s="1"/>
  <c r="EK60" i="93"/>
  <c r="GC60" i="93" s="1"/>
  <c r="EK49" i="93"/>
  <c r="GC49" i="93" s="1"/>
  <c r="EK55" i="93"/>
  <c r="GC55" i="93" s="1"/>
  <c r="EK43" i="93"/>
  <c r="GC43" i="93" s="1"/>
  <c r="EK42" i="93"/>
  <c r="GC42" i="93" s="1"/>
  <c r="EK41" i="93"/>
  <c r="GC41" i="93" s="1"/>
  <c r="EK56" i="93"/>
  <c r="GC56" i="93" s="1"/>
  <c r="EK45" i="93"/>
  <c r="GC45" i="93" s="1"/>
  <c r="EK51" i="93"/>
  <c r="GC51" i="93" s="1"/>
  <c r="EK47" i="93"/>
  <c r="GC47" i="93" s="1"/>
  <c r="EK53" i="93"/>
  <c r="GC53" i="93" s="1"/>
  <c r="EK44" i="93"/>
  <c r="GC44" i="93" s="1"/>
  <c r="EK63" i="93"/>
  <c r="GC63" i="93" s="1"/>
  <c r="EK48" i="93"/>
  <c r="GC48" i="93" s="1"/>
  <c r="EK61" i="93"/>
  <c r="GC61" i="93" s="1"/>
  <c r="EK64" i="93"/>
  <c r="GC64" i="93" s="1"/>
  <c r="CW7" i="93"/>
  <c r="EO7" i="93" s="1"/>
  <c r="CW22" i="93"/>
  <c r="EO22" i="93" s="1"/>
  <c r="CW19" i="93"/>
  <c r="EO19" i="93" s="1"/>
  <c r="CW25" i="93"/>
  <c r="EO25" i="93" s="1"/>
  <c r="CW14" i="93"/>
  <c r="EO14" i="93" s="1"/>
  <c r="CW37" i="93"/>
  <c r="EO37" i="93" s="1"/>
  <c r="CW28" i="93"/>
  <c r="EO28" i="93" s="1"/>
  <c r="CW49" i="93"/>
  <c r="EO49" i="93" s="1"/>
  <c r="CW46" i="93"/>
  <c r="EO46" i="93" s="1"/>
  <c r="CW52" i="93"/>
  <c r="EO52" i="93" s="1"/>
  <c r="CW60" i="93"/>
  <c r="EO60" i="93" s="1"/>
  <c r="CW38" i="93"/>
  <c r="EO38" i="93" s="1"/>
  <c r="CW55" i="93"/>
  <c r="EO55" i="93" s="1"/>
  <c r="CW63" i="93"/>
  <c r="EO63" i="93" s="1"/>
  <c r="CW5" i="93"/>
  <c r="EO5" i="93" s="1"/>
  <c r="CW6" i="93"/>
  <c r="EO6" i="93" s="1"/>
  <c r="CW23" i="93"/>
  <c r="EO23" i="93" s="1"/>
  <c r="CW47" i="93"/>
  <c r="EO47" i="93" s="1"/>
  <c r="CW58" i="93"/>
  <c r="EO58" i="93" s="1"/>
  <c r="CW11" i="93"/>
  <c r="EO11" i="93" s="1"/>
  <c r="CW16" i="93"/>
  <c r="EO16" i="93" s="1"/>
  <c r="CW24" i="93"/>
  <c r="EO24" i="93" s="1"/>
  <c r="CW17" i="93"/>
  <c r="EO17" i="93" s="1"/>
  <c r="CW27" i="93"/>
  <c r="EO27" i="93" s="1"/>
  <c r="CW10" i="93"/>
  <c r="EO10" i="93" s="1"/>
  <c r="CW39" i="93"/>
  <c r="EO39" i="93" s="1"/>
  <c r="CW43" i="93"/>
  <c r="EO43" i="93" s="1"/>
  <c r="CW30" i="93"/>
  <c r="EO30" i="93" s="1"/>
  <c r="CW48" i="93"/>
  <c r="EO48" i="93" s="1"/>
  <c r="CW54" i="93"/>
  <c r="EO54" i="93" s="1"/>
  <c r="CW62" i="93"/>
  <c r="EO62" i="93" s="1"/>
  <c r="CW40" i="93"/>
  <c r="EO40" i="93" s="1"/>
  <c r="CW57" i="93"/>
  <c r="EO57" i="93" s="1"/>
  <c r="CW32" i="93"/>
  <c r="EO32" i="93" s="1"/>
  <c r="CW21" i="93"/>
  <c r="EO21" i="93" s="1"/>
  <c r="CW26" i="93"/>
  <c r="EO26" i="93" s="1"/>
  <c r="CW36" i="93"/>
  <c r="EO36" i="93" s="1"/>
  <c r="CW9" i="93"/>
  <c r="EO9" i="93" s="1"/>
  <c r="CW42" i="93"/>
  <c r="EO42" i="93" s="1"/>
  <c r="CW12" i="93"/>
  <c r="EO12" i="93" s="1"/>
  <c r="CW18" i="93"/>
  <c r="EO18" i="93" s="1"/>
  <c r="CW8" i="93"/>
  <c r="EO8" i="93" s="1"/>
  <c r="CW15" i="93"/>
  <c r="EO15" i="93" s="1"/>
  <c r="CW29" i="93"/>
  <c r="EO29" i="93" s="1"/>
  <c r="CW33" i="93"/>
  <c r="EO33" i="93" s="1"/>
  <c r="CW41" i="93"/>
  <c r="EO41" i="93" s="1"/>
  <c r="CW45" i="93"/>
  <c r="EO45" i="93" s="1"/>
  <c r="CW31" i="93"/>
  <c r="EO31" i="93" s="1"/>
  <c r="CW50" i="93"/>
  <c r="EO50" i="93" s="1"/>
  <c r="CW56" i="93"/>
  <c r="EO56" i="93" s="1"/>
  <c r="CW64" i="93"/>
  <c r="EO64" i="93" s="1"/>
  <c r="CW51" i="93"/>
  <c r="EO51" i="93" s="1"/>
  <c r="CW59" i="93"/>
  <c r="EO59" i="93" s="1"/>
  <c r="CW34" i="93"/>
  <c r="EO34" i="93" s="1"/>
  <c r="CW20" i="93"/>
  <c r="EO20" i="93" s="1"/>
  <c r="CW35" i="93"/>
  <c r="EO35" i="93" s="1"/>
  <c r="CW44" i="93"/>
  <c r="EO44" i="93" s="1"/>
  <c r="CW53" i="93"/>
  <c r="EO53" i="93" s="1"/>
  <c r="CW13" i="93"/>
  <c r="EO13" i="93" s="1"/>
  <c r="CW61" i="93"/>
  <c r="EO61" i="93" s="1"/>
  <c r="DW6" i="93"/>
  <c r="FO6" i="93" s="1"/>
  <c r="DW17" i="93"/>
  <c r="FO17" i="93" s="1"/>
  <c r="DW20" i="93"/>
  <c r="FO20" i="93" s="1"/>
  <c r="DW13" i="93"/>
  <c r="FO13" i="93" s="1"/>
  <c r="DW28" i="93"/>
  <c r="FO28" i="93" s="1"/>
  <c r="DW11" i="93"/>
  <c r="FO11" i="93" s="1"/>
  <c r="DW18" i="93"/>
  <c r="FO18" i="93" s="1"/>
  <c r="DW23" i="93"/>
  <c r="FO23" i="93" s="1"/>
  <c r="DW25" i="93"/>
  <c r="FO25" i="93" s="1"/>
  <c r="DW7" i="93"/>
  <c r="FO7" i="93" s="1"/>
  <c r="DW14" i="93"/>
  <c r="FO14" i="93" s="1"/>
  <c r="DW8" i="93"/>
  <c r="FO8" i="93" s="1"/>
  <c r="DW22" i="93"/>
  <c r="FO22" i="93" s="1"/>
  <c r="DW24" i="93"/>
  <c r="FO24" i="93" s="1"/>
  <c r="DW12" i="93"/>
  <c r="FO12" i="93" s="1"/>
  <c r="DW19" i="93"/>
  <c r="FO19" i="93" s="1"/>
  <c r="DW21" i="93"/>
  <c r="FO21" i="93" s="1"/>
  <c r="DW9" i="93"/>
  <c r="FO9" i="93" s="1"/>
  <c r="DW5" i="93"/>
  <c r="FO5" i="93" s="1"/>
  <c r="DW15" i="93"/>
  <c r="FO15" i="93" s="1"/>
  <c r="DW29" i="93"/>
  <c r="FO29" i="93" s="1"/>
  <c r="DW16" i="93"/>
  <c r="FO16" i="93" s="1"/>
  <c r="DW26" i="93"/>
  <c r="FO26" i="93" s="1"/>
  <c r="DW10" i="93"/>
  <c r="FO10" i="93" s="1"/>
  <c r="DW27" i="93"/>
  <c r="FO27" i="93" s="1"/>
  <c r="DW30" i="93"/>
  <c r="FO30" i="93" s="1"/>
  <c r="DW57" i="93"/>
  <c r="FO57" i="93" s="1"/>
  <c r="DW53" i="93"/>
  <c r="FO53" i="93" s="1"/>
  <c r="DW48" i="93"/>
  <c r="FO48" i="93" s="1"/>
  <c r="DW39" i="93"/>
  <c r="FO39" i="93" s="1"/>
  <c r="DW47" i="93"/>
  <c r="FO47" i="93" s="1"/>
  <c r="DW41" i="93"/>
  <c r="FO41" i="93" s="1"/>
  <c r="DW35" i="93"/>
  <c r="FO35" i="93" s="1"/>
  <c r="DW52" i="93"/>
  <c r="FO52" i="93" s="1"/>
  <c r="DW49" i="93"/>
  <c r="FO49" i="93" s="1"/>
  <c r="DW38" i="93"/>
  <c r="FO38" i="93" s="1"/>
  <c r="DW33" i="93"/>
  <c r="FO33" i="93" s="1"/>
  <c r="DW37" i="93"/>
  <c r="FO37" i="93" s="1"/>
  <c r="DW60" i="93"/>
  <c r="FO60" i="93" s="1"/>
  <c r="DW56" i="93"/>
  <c r="FO56" i="93" s="1"/>
  <c r="DW51" i="93"/>
  <c r="FO51" i="93" s="1"/>
  <c r="DW64" i="93"/>
  <c r="FO64" i="93" s="1"/>
  <c r="DW50" i="93"/>
  <c r="FO50" i="93" s="1"/>
  <c r="DW59" i="93"/>
  <c r="FO59" i="93" s="1"/>
  <c r="DW31" i="93"/>
  <c r="FO31" i="93" s="1"/>
  <c r="DW42" i="93"/>
  <c r="FO42" i="93" s="1"/>
  <c r="DW55" i="93"/>
  <c r="FO55" i="93" s="1"/>
  <c r="DW36" i="93"/>
  <c r="FO36" i="93" s="1"/>
  <c r="DW46" i="93"/>
  <c r="FO46" i="93" s="1"/>
  <c r="DW61" i="93"/>
  <c r="FO61" i="93" s="1"/>
  <c r="DW45" i="93"/>
  <c r="FO45" i="93" s="1"/>
  <c r="DW34" i="93"/>
  <c r="FO34" i="93" s="1"/>
  <c r="DW58" i="93"/>
  <c r="FO58" i="93" s="1"/>
  <c r="DW62" i="93"/>
  <c r="FO62" i="93" s="1"/>
  <c r="DW44" i="93"/>
  <c r="FO44" i="93" s="1"/>
  <c r="DW43" i="93"/>
  <c r="FO43" i="93" s="1"/>
  <c r="DW32" i="93"/>
  <c r="FO32" i="93" s="1"/>
  <c r="DW63" i="93"/>
  <c r="FO63" i="93" s="1"/>
  <c r="DW40" i="93"/>
  <c r="FO40" i="93" s="1"/>
  <c r="DW54" i="93"/>
  <c r="FO54" i="93" s="1"/>
  <c r="DG6" i="93"/>
  <c r="EY6" i="93" s="1"/>
  <c r="DG11" i="93"/>
  <c r="EY11" i="93" s="1"/>
  <c r="DG14" i="93"/>
  <c r="EY14" i="93" s="1"/>
  <c r="DG13" i="93"/>
  <c r="EY13" i="93" s="1"/>
  <c r="DG10" i="93"/>
  <c r="EY10" i="93" s="1"/>
  <c r="DG9" i="93"/>
  <c r="EY9" i="93" s="1"/>
  <c r="DG5" i="93"/>
  <c r="EY5" i="93" s="1"/>
  <c r="DG7" i="93"/>
  <c r="EY7" i="93" s="1"/>
  <c r="DG12" i="93"/>
  <c r="EY12" i="93" s="1"/>
  <c r="DG8" i="93"/>
  <c r="EY8" i="93" s="1"/>
  <c r="DG21" i="93"/>
  <c r="EY21" i="93" s="1"/>
  <c r="DG51" i="93"/>
  <c r="EY51" i="93" s="1"/>
  <c r="DG48" i="93"/>
  <c r="EY48" i="93" s="1"/>
  <c r="DG61" i="93"/>
  <c r="EY61" i="93" s="1"/>
  <c r="DG43" i="93"/>
  <c r="EY43" i="93" s="1"/>
  <c r="DG49" i="93"/>
  <c r="EY49" i="93" s="1"/>
  <c r="DG27" i="93"/>
  <c r="EY27" i="93" s="1"/>
  <c r="DG36" i="93"/>
  <c r="EY36" i="93" s="1"/>
  <c r="DG55" i="93"/>
  <c r="EY55" i="93" s="1"/>
  <c r="DG26" i="93"/>
  <c r="EY26" i="93" s="1"/>
  <c r="DG57" i="93"/>
  <c r="EY57" i="93" s="1"/>
  <c r="DG56" i="93"/>
  <c r="EY56" i="93" s="1"/>
  <c r="DG53" i="93"/>
  <c r="EY53" i="93" s="1"/>
  <c r="DG15" i="93"/>
  <c r="EY15" i="93" s="1"/>
  <c r="DG24" i="93"/>
  <c r="EY24" i="93" s="1"/>
  <c r="DG32" i="93"/>
  <c r="EY32" i="93" s="1"/>
  <c r="DG31" i="93"/>
  <c r="EY31" i="93" s="1"/>
  <c r="DG45" i="93"/>
  <c r="EY45" i="93" s="1"/>
  <c r="DG52" i="93"/>
  <c r="EY52" i="93" s="1"/>
  <c r="DG58" i="93"/>
  <c r="EY58" i="93" s="1"/>
  <c r="DG64" i="93"/>
  <c r="EY64" i="93" s="1"/>
  <c r="DG35" i="93"/>
  <c r="EY35" i="93" s="1"/>
  <c r="DG33" i="93"/>
  <c r="EY33" i="93" s="1"/>
  <c r="DG37" i="93"/>
  <c r="EY37" i="93" s="1"/>
  <c r="DG41" i="93"/>
  <c r="EY41" i="93" s="1"/>
  <c r="DG28" i="93"/>
  <c r="EY28" i="93" s="1"/>
  <c r="DG23" i="93"/>
  <c r="EY23" i="93" s="1"/>
  <c r="DG19" i="93"/>
  <c r="EY19" i="93" s="1"/>
  <c r="DG38" i="93"/>
  <c r="EY38" i="93" s="1"/>
  <c r="DG62" i="93"/>
  <c r="EY62" i="93" s="1"/>
  <c r="DG30" i="93"/>
  <c r="EY30" i="93" s="1"/>
  <c r="DG29" i="93"/>
  <c r="EY29" i="93" s="1"/>
  <c r="DG17" i="93"/>
  <c r="EY17" i="93" s="1"/>
  <c r="DG47" i="93"/>
  <c r="EY47" i="93" s="1"/>
  <c r="DG40" i="93"/>
  <c r="EY40" i="93" s="1"/>
  <c r="DG60" i="93"/>
  <c r="EY60" i="93" s="1"/>
  <c r="DG44" i="93"/>
  <c r="EY44" i="93" s="1"/>
  <c r="DG20" i="93"/>
  <c r="EY20" i="93" s="1"/>
  <c r="DG46" i="93"/>
  <c r="EY46" i="93" s="1"/>
  <c r="DG59" i="93"/>
  <c r="EY59" i="93" s="1"/>
  <c r="DG39" i="93"/>
  <c r="EY39" i="93" s="1"/>
  <c r="DG63" i="93"/>
  <c r="EY63" i="93" s="1"/>
  <c r="DG50" i="93"/>
  <c r="EY50" i="93" s="1"/>
  <c r="DG16" i="93"/>
  <c r="EY16" i="93" s="1"/>
  <c r="DG22" i="93"/>
  <c r="EY22" i="93" s="1"/>
  <c r="DG34" i="93"/>
  <c r="EY34" i="93" s="1"/>
  <c r="DG42" i="93"/>
  <c r="EY42" i="93" s="1"/>
  <c r="DG54" i="93"/>
  <c r="EY54" i="93" s="1"/>
  <c r="DG25" i="93"/>
  <c r="EY25" i="93" s="1"/>
  <c r="DG18" i="93"/>
  <c r="EY18" i="93" s="1"/>
  <c r="DQ6" i="93"/>
  <c r="FI6" i="93" s="1"/>
  <c r="DQ16" i="93"/>
  <c r="FI16" i="93" s="1"/>
  <c r="DQ18" i="93"/>
  <c r="FI18" i="93" s="1"/>
  <c r="DQ12" i="93"/>
  <c r="FI12" i="93" s="1"/>
  <c r="DQ10" i="93"/>
  <c r="FI10" i="93" s="1"/>
  <c r="DQ13" i="93"/>
  <c r="FI13" i="93" s="1"/>
  <c r="DQ7" i="93"/>
  <c r="FI7" i="93" s="1"/>
  <c r="DQ14" i="93"/>
  <c r="FI14" i="93" s="1"/>
  <c r="DQ19" i="93"/>
  <c r="FI19" i="93" s="1"/>
  <c r="DQ15" i="93"/>
  <c r="FI15" i="93" s="1"/>
  <c r="DQ17" i="93"/>
  <c r="FI17" i="93" s="1"/>
  <c r="DQ9" i="93"/>
  <c r="FI9" i="93" s="1"/>
  <c r="DQ8" i="93"/>
  <c r="FI8" i="93" s="1"/>
  <c r="DQ11" i="93"/>
  <c r="FI11" i="93" s="1"/>
  <c r="DQ23" i="93"/>
  <c r="FI23" i="93" s="1"/>
  <c r="DQ22" i="93"/>
  <c r="FI22" i="93" s="1"/>
  <c r="DQ20" i="93"/>
  <c r="FI20" i="93" s="1"/>
  <c r="DQ5" i="93"/>
  <c r="FI5" i="93" s="1"/>
  <c r="DQ21" i="93"/>
  <c r="FI21" i="93" s="1"/>
  <c r="DQ27" i="93"/>
  <c r="FI27" i="93" s="1"/>
  <c r="DQ46" i="93"/>
  <c r="FI46" i="93" s="1"/>
  <c r="DQ53" i="93"/>
  <c r="FI53" i="93" s="1"/>
  <c r="DQ26" i="93"/>
  <c r="FI26" i="93" s="1"/>
  <c r="DQ60" i="93"/>
  <c r="FI60" i="93" s="1"/>
  <c r="DQ39" i="93"/>
  <c r="FI39" i="93" s="1"/>
  <c r="DQ54" i="93"/>
  <c r="FI54" i="93" s="1"/>
  <c r="DQ30" i="93"/>
  <c r="FI30" i="93" s="1"/>
  <c r="DQ41" i="93"/>
  <c r="FI41" i="93" s="1"/>
  <c r="DQ56" i="93"/>
  <c r="FI56" i="93" s="1"/>
  <c r="DQ31" i="93"/>
  <c r="FI31" i="93" s="1"/>
  <c r="DQ35" i="93"/>
  <c r="FI35" i="93" s="1"/>
  <c r="DQ50" i="93"/>
  <c r="FI50" i="93" s="1"/>
  <c r="DQ61" i="93"/>
  <c r="FI61" i="93" s="1"/>
  <c r="DQ49" i="93"/>
  <c r="FI49" i="93" s="1"/>
  <c r="DQ55" i="93"/>
  <c r="FI55" i="93" s="1"/>
  <c r="DQ43" i="93"/>
  <c r="FI43" i="93" s="1"/>
  <c r="DQ62" i="93"/>
  <c r="FI62" i="93" s="1"/>
  <c r="DQ24" i="93"/>
  <c r="FI24" i="93" s="1"/>
  <c r="DQ45" i="93"/>
  <c r="FI45" i="93" s="1"/>
  <c r="DQ64" i="93"/>
  <c r="FI64" i="93" s="1"/>
  <c r="DQ28" i="93"/>
  <c r="FI28" i="93" s="1"/>
  <c r="DQ58" i="93"/>
  <c r="FI58" i="93" s="1"/>
  <c r="DQ32" i="93"/>
  <c r="FI32" i="93" s="1"/>
  <c r="DQ48" i="93"/>
  <c r="FI48" i="93" s="1"/>
  <c r="DQ63" i="93"/>
  <c r="FI63" i="93" s="1"/>
  <c r="DQ29" i="93"/>
  <c r="FI29" i="93" s="1"/>
  <c r="DQ38" i="93"/>
  <c r="FI38" i="93" s="1"/>
  <c r="DQ25" i="93"/>
  <c r="FI25" i="93" s="1"/>
  <c r="DQ44" i="93"/>
  <c r="FI44" i="93" s="1"/>
  <c r="DQ51" i="93"/>
  <c r="FI51" i="93" s="1"/>
  <c r="DQ47" i="93"/>
  <c r="FI47" i="93" s="1"/>
  <c r="DQ36" i="93"/>
  <c r="FI36" i="93" s="1"/>
  <c r="DQ37" i="93"/>
  <c r="FI37" i="93" s="1"/>
  <c r="DQ52" i="93"/>
  <c r="FI52" i="93" s="1"/>
  <c r="DQ40" i="93"/>
  <c r="FI40" i="93" s="1"/>
  <c r="DQ34" i="93"/>
  <c r="FI34" i="93" s="1"/>
  <c r="DQ57" i="93"/>
  <c r="FI57" i="93" s="1"/>
  <c r="DQ33" i="93"/>
  <c r="FI33" i="93" s="1"/>
  <c r="DQ42" i="93"/>
  <c r="FI42" i="93" s="1"/>
  <c r="DQ59" i="93"/>
  <c r="FI59" i="93" s="1"/>
  <c r="ED25" i="93"/>
  <c r="FV25" i="93" s="1"/>
  <c r="ED9" i="93"/>
  <c r="FV9" i="93" s="1"/>
  <c r="ED10" i="93"/>
  <c r="FV10" i="93" s="1"/>
  <c r="ED26" i="93"/>
  <c r="FV26" i="93" s="1"/>
  <c r="ED21" i="93"/>
  <c r="FV21" i="93" s="1"/>
  <c r="ED24" i="93"/>
  <c r="FV24" i="93" s="1"/>
  <c r="ED17" i="93"/>
  <c r="FV17" i="93" s="1"/>
  <c r="ED11" i="93"/>
  <c r="FV11" i="93" s="1"/>
  <c r="ED22" i="93"/>
  <c r="FV22" i="93" s="1"/>
  <c r="ED13" i="93"/>
  <c r="FV13" i="93" s="1"/>
  <c r="ED20" i="93"/>
  <c r="FV20" i="93" s="1"/>
  <c r="ED23" i="93"/>
  <c r="FV23" i="93" s="1"/>
  <c r="ED18" i="93"/>
  <c r="FV18" i="93" s="1"/>
  <c r="ED5" i="93"/>
  <c r="FV5" i="93" s="1"/>
  <c r="ED15" i="93"/>
  <c r="FV15" i="93" s="1"/>
  <c r="ED16" i="93"/>
  <c r="FV16" i="93" s="1"/>
  <c r="ED28" i="93"/>
  <c r="FV28" i="93" s="1"/>
  <c r="ED27" i="93"/>
  <c r="FV27" i="93" s="1"/>
  <c r="ED8" i="93"/>
  <c r="FV8" i="93" s="1"/>
  <c r="ED6" i="93"/>
  <c r="FV6" i="93" s="1"/>
  <c r="ED14" i="93"/>
  <c r="FV14" i="93" s="1"/>
  <c r="ED7" i="93"/>
  <c r="FV7" i="93" s="1"/>
  <c r="ED19" i="93"/>
  <c r="FV19" i="93" s="1"/>
  <c r="ED29" i="93"/>
  <c r="FV29" i="93" s="1"/>
  <c r="ED12" i="93"/>
  <c r="FV12" i="93" s="1"/>
  <c r="ED32" i="93"/>
  <c r="FV32" i="93" s="1"/>
  <c r="ED64" i="93"/>
  <c r="FV64" i="93" s="1"/>
  <c r="ED41" i="93"/>
  <c r="FV41" i="93" s="1"/>
  <c r="ED62" i="93"/>
  <c r="FV62" i="93" s="1"/>
  <c r="ED52" i="93"/>
  <c r="FV52" i="93" s="1"/>
  <c r="ED58" i="93"/>
  <c r="FV58" i="93" s="1"/>
  <c r="ED42" i="93"/>
  <c r="FV42" i="93" s="1"/>
  <c r="ED30" i="93"/>
  <c r="FV30" i="93" s="1"/>
  <c r="ED49" i="93"/>
  <c r="FV49" i="93" s="1"/>
  <c r="ED56" i="93"/>
  <c r="FV56" i="93" s="1"/>
  <c r="ED37" i="93"/>
  <c r="FV37" i="93" s="1"/>
  <c r="ED44" i="93"/>
  <c r="FV44" i="93" s="1"/>
  <c r="ED38" i="93"/>
  <c r="FV38" i="93" s="1"/>
  <c r="ED53" i="93"/>
  <c r="FV53" i="93" s="1"/>
  <c r="ED34" i="93"/>
  <c r="FV34" i="93" s="1"/>
  <c r="ED50" i="93"/>
  <c r="FV50" i="93" s="1"/>
  <c r="ED48" i="93"/>
  <c r="FV48" i="93" s="1"/>
  <c r="ED57" i="93"/>
  <c r="FV57" i="93" s="1"/>
  <c r="ED60" i="93"/>
  <c r="FV60" i="93" s="1"/>
  <c r="ED36" i="93"/>
  <c r="FV36" i="93" s="1"/>
  <c r="ED59" i="93"/>
  <c r="FV59" i="93" s="1"/>
  <c r="ED33" i="93"/>
  <c r="FV33" i="93" s="1"/>
  <c r="ED39" i="93"/>
  <c r="FV39" i="93" s="1"/>
  <c r="ED43" i="93"/>
  <c r="FV43" i="93" s="1"/>
  <c r="ED31" i="93"/>
  <c r="FV31" i="93" s="1"/>
  <c r="ED46" i="93"/>
  <c r="FV46" i="93" s="1"/>
  <c r="ED51" i="93"/>
  <c r="FV51" i="93" s="1"/>
  <c r="ED55" i="93"/>
  <c r="FV55" i="93" s="1"/>
  <c r="ED63" i="93"/>
  <c r="FV63" i="93" s="1"/>
  <c r="ED45" i="93"/>
  <c r="FV45" i="93" s="1"/>
  <c r="ED47" i="93"/>
  <c r="FV47" i="93" s="1"/>
  <c r="ED35" i="93"/>
  <c r="FV35" i="93" s="1"/>
  <c r="ED54" i="93"/>
  <c r="FV54" i="93" s="1"/>
  <c r="ED61" i="93"/>
  <c r="FV61" i="93" s="1"/>
  <c r="ED40" i="93"/>
  <c r="FV40" i="93" s="1"/>
  <c r="DN9" i="93"/>
  <c r="FF9" i="93" s="1"/>
  <c r="DN5" i="93"/>
  <c r="FF5" i="93" s="1"/>
  <c r="DN10" i="93"/>
  <c r="FF10" i="93" s="1"/>
  <c r="DN15" i="93"/>
  <c r="FF15" i="93" s="1"/>
  <c r="DN18" i="93"/>
  <c r="FF18" i="93" s="1"/>
  <c r="DN6" i="93"/>
  <c r="FF6" i="93" s="1"/>
  <c r="DN7" i="93"/>
  <c r="FF7" i="93" s="1"/>
  <c r="DN8" i="93"/>
  <c r="FF8" i="93" s="1"/>
  <c r="DN17" i="93"/>
  <c r="FF17" i="93" s="1"/>
  <c r="DN12" i="93"/>
  <c r="FF12" i="93" s="1"/>
  <c r="DN13" i="93"/>
  <c r="FF13" i="93" s="1"/>
  <c r="DN16" i="93"/>
  <c r="FF16" i="93" s="1"/>
  <c r="DN11" i="93"/>
  <c r="FF11" i="93" s="1"/>
  <c r="DN14" i="93"/>
  <c r="FF14" i="93" s="1"/>
  <c r="DN43" i="93"/>
  <c r="FF43" i="93" s="1"/>
  <c r="DN61" i="93"/>
  <c r="FF61" i="93" s="1"/>
  <c r="DN51" i="93"/>
  <c r="FF51" i="93" s="1"/>
  <c r="DN21" i="93"/>
  <c r="FF21" i="93" s="1"/>
  <c r="DN59" i="93"/>
  <c r="FF59" i="93" s="1"/>
  <c r="DN45" i="93"/>
  <c r="FF45" i="93" s="1"/>
  <c r="DN34" i="93"/>
  <c r="FF34" i="93" s="1"/>
  <c r="DN26" i="93"/>
  <c r="FF26" i="93" s="1"/>
  <c r="DN25" i="93"/>
  <c r="FF25" i="93" s="1"/>
  <c r="DN38" i="93"/>
  <c r="FF38" i="93" s="1"/>
  <c r="DN55" i="93"/>
  <c r="FF55" i="93" s="1"/>
  <c r="DN28" i="93"/>
  <c r="FF28" i="93" s="1"/>
  <c r="DN60" i="93"/>
  <c r="FF60" i="93" s="1"/>
  <c r="DN20" i="93"/>
  <c r="FF20" i="93" s="1"/>
  <c r="DN57" i="93"/>
  <c r="FF57" i="93" s="1"/>
  <c r="DN41" i="93"/>
  <c r="FF41" i="93" s="1"/>
  <c r="DN22" i="93"/>
  <c r="FF22" i="93" s="1"/>
  <c r="DN36" i="93"/>
  <c r="FF36" i="93" s="1"/>
  <c r="DN29" i="93"/>
  <c r="FF29" i="93" s="1"/>
  <c r="DN44" i="93"/>
  <c r="FF44" i="93" s="1"/>
  <c r="DN50" i="93"/>
  <c r="FF50" i="93" s="1"/>
  <c r="DN63" i="93"/>
  <c r="FF63" i="93" s="1"/>
  <c r="DN42" i="93"/>
  <c r="FF42" i="93" s="1"/>
  <c r="DN37" i="93"/>
  <c r="FF37" i="93" s="1"/>
  <c r="DN48" i="93"/>
  <c r="FF48" i="93" s="1"/>
  <c r="DN30" i="93"/>
  <c r="FF30" i="93" s="1"/>
  <c r="DN46" i="93"/>
  <c r="FF46" i="93" s="1"/>
  <c r="DN52" i="93"/>
  <c r="FF52" i="93" s="1"/>
  <c r="DN35" i="93"/>
  <c r="FF35" i="93" s="1"/>
  <c r="DN64" i="93"/>
  <c r="FF64" i="93" s="1"/>
  <c r="DN19" i="93"/>
  <c r="FF19" i="93" s="1"/>
  <c r="DN33" i="93"/>
  <c r="FF33" i="93" s="1"/>
  <c r="DN39" i="93"/>
  <c r="FF39" i="93" s="1"/>
  <c r="DN56" i="93"/>
  <c r="FF56" i="93" s="1"/>
  <c r="DN62" i="93"/>
  <c r="FF62" i="93" s="1"/>
  <c r="DN40" i="93"/>
  <c r="FF40" i="93" s="1"/>
  <c r="DN49" i="93"/>
  <c r="FF49" i="93" s="1"/>
  <c r="DN47" i="93"/>
  <c r="FF47" i="93" s="1"/>
  <c r="DN24" i="93"/>
  <c r="FF24" i="93" s="1"/>
  <c r="DN23" i="93"/>
  <c r="FF23" i="93" s="1"/>
  <c r="DN58" i="93"/>
  <c r="FF58" i="93" s="1"/>
  <c r="DN53" i="93"/>
  <c r="FF53" i="93" s="1"/>
  <c r="DN32" i="93"/>
  <c r="FF32" i="93" s="1"/>
  <c r="DN54" i="93"/>
  <c r="FF54" i="93" s="1"/>
  <c r="DN27" i="93"/>
  <c r="FF27" i="93" s="1"/>
  <c r="DN31" i="93"/>
  <c r="FF31" i="93" s="1"/>
  <c r="CX10" i="93"/>
  <c r="EP10" i="93" s="1"/>
  <c r="CX9" i="93"/>
  <c r="EP9" i="93" s="1"/>
  <c r="CX19" i="93"/>
  <c r="EP19" i="93" s="1"/>
  <c r="CX21" i="93"/>
  <c r="EP21" i="93" s="1"/>
  <c r="CX25" i="93"/>
  <c r="EP25" i="93" s="1"/>
  <c r="CX28" i="93"/>
  <c r="EP28" i="93" s="1"/>
  <c r="CX37" i="93"/>
  <c r="EP37" i="93" s="1"/>
  <c r="CX40" i="93"/>
  <c r="EP40" i="93" s="1"/>
  <c r="CX42" i="93"/>
  <c r="EP42" i="93" s="1"/>
  <c r="CX47" i="93"/>
  <c r="EP47" i="93" s="1"/>
  <c r="CX58" i="93"/>
  <c r="EP58" i="93" s="1"/>
  <c r="CX11" i="93"/>
  <c r="EP11" i="93" s="1"/>
  <c r="CX45" i="93"/>
  <c r="EP45" i="93" s="1"/>
  <c r="CX55" i="93"/>
  <c r="EP55" i="93" s="1"/>
  <c r="CX59" i="93"/>
  <c r="EP59" i="93" s="1"/>
  <c r="CX8" i="93"/>
  <c r="EP8" i="93" s="1"/>
  <c r="CX17" i="93"/>
  <c r="EP17" i="93" s="1"/>
  <c r="CX36" i="93"/>
  <c r="EP36" i="93" s="1"/>
  <c r="CX56" i="93"/>
  <c r="EP56" i="93" s="1"/>
  <c r="CX53" i="93"/>
  <c r="EP53" i="93" s="1"/>
  <c r="CX7" i="93"/>
  <c r="EP7" i="93" s="1"/>
  <c r="CX12" i="93"/>
  <c r="EP12" i="93" s="1"/>
  <c r="CX15" i="93"/>
  <c r="EP15" i="93" s="1"/>
  <c r="CX26" i="93"/>
  <c r="EP26" i="93" s="1"/>
  <c r="CX24" i="93"/>
  <c r="EP24" i="93" s="1"/>
  <c r="CX27" i="93"/>
  <c r="EP27" i="93" s="1"/>
  <c r="CX30" i="93"/>
  <c r="EP30" i="93" s="1"/>
  <c r="CX39" i="93"/>
  <c r="EP39" i="93" s="1"/>
  <c r="CX32" i="93"/>
  <c r="EP32" i="93" s="1"/>
  <c r="CX46" i="93"/>
  <c r="EP46" i="93" s="1"/>
  <c r="CX52" i="93"/>
  <c r="EP52" i="93" s="1"/>
  <c r="CX60" i="93"/>
  <c r="EP60" i="93" s="1"/>
  <c r="CX44" i="93"/>
  <c r="EP44" i="93" s="1"/>
  <c r="CX49" i="93"/>
  <c r="EP49" i="93" s="1"/>
  <c r="CX57" i="93"/>
  <c r="EP57" i="93" s="1"/>
  <c r="CX29" i="93"/>
  <c r="EP29" i="93" s="1"/>
  <c r="CX18" i="93"/>
  <c r="EP18" i="93" s="1"/>
  <c r="CX35" i="93"/>
  <c r="EP35" i="93" s="1"/>
  <c r="CX43" i="93"/>
  <c r="EP43" i="93" s="1"/>
  <c r="CX63" i="93"/>
  <c r="EP63" i="93" s="1"/>
  <c r="CX6" i="93"/>
  <c r="EP6" i="93" s="1"/>
  <c r="CX14" i="93"/>
  <c r="EP14" i="93" s="1"/>
  <c r="CX20" i="93"/>
  <c r="EP20" i="93" s="1"/>
  <c r="CX16" i="93"/>
  <c r="EP16" i="93" s="1"/>
  <c r="CX22" i="93"/>
  <c r="EP22" i="93" s="1"/>
  <c r="CX33" i="93"/>
  <c r="EP33" i="93" s="1"/>
  <c r="CX41" i="93"/>
  <c r="EP41" i="93" s="1"/>
  <c r="CX34" i="93"/>
  <c r="EP34" i="93" s="1"/>
  <c r="CX50" i="93"/>
  <c r="EP50" i="93" s="1"/>
  <c r="CX54" i="93"/>
  <c r="EP54" i="93" s="1"/>
  <c r="CX62" i="93"/>
  <c r="EP62" i="93" s="1"/>
  <c r="CX48" i="93"/>
  <c r="EP48" i="93" s="1"/>
  <c r="CX51" i="93"/>
  <c r="EP51" i="93" s="1"/>
  <c r="CX61" i="93"/>
  <c r="EP61" i="93" s="1"/>
  <c r="CX13" i="93"/>
  <c r="EP13" i="93" s="1"/>
  <c r="CX31" i="93"/>
  <c r="EP31" i="93" s="1"/>
  <c r="CX38" i="93"/>
  <c r="EP38" i="93" s="1"/>
  <c r="CX5" i="93"/>
  <c r="EP5" i="93" s="1"/>
  <c r="CX23" i="93"/>
  <c r="EP23" i="93" s="1"/>
  <c r="CX64" i="93"/>
  <c r="EP64" i="93" s="1"/>
  <c r="DA24" i="98"/>
  <c r="DA29" i="98"/>
  <c r="DA30" i="98"/>
  <c r="DA10" i="98"/>
  <c r="DA11" i="98"/>
  <c r="DA12" i="98"/>
  <c r="DA13" i="98"/>
  <c r="EI10" i="100"/>
  <c r="GG10" i="100" s="1"/>
  <c r="EJ16" i="100"/>
  <c r="GH16" i="100" s="1"/>
  <c r="EG10" i="100"/>
  <c r="GD10" i="100" s="1"/>
  <c r="DB13" i="98"/>
  <c r="DB12" i="98"/>
  <c r="DB42" i="98"/>
  <c r="DB43" i="98"/>
  <c r="DC15" i="98"/>
  <c r="DC16" i="98"/>
  <c r="DC11" i="98"/>
  <c r="DC10" i="98"/>
  <c r="DS7" i="100"/>
  <c r="FN7" i="100" s="1"/>
  <c r="DS8" i="100"/>
  <c r="FN8" i="100" s="1"/>
  <c r="DS18" i="100"/>
  <c r="FN18" i="100" s="1"/>
  <c r="DS30" i="100"/>
  <c r="FN30" i="100" s="1"/>
  <c r="DS23" i="100"/>
  <c r="FN23" i="100" s="1"/>
  <c r="DS13" i="100"/>
  <c r="FN13" i="100" s="1"/>
  <c r="DS11" i="100"/>
  <c r="FN11" i="100" s="1"/>
  <c r="DS15" i="100"/>
  <c r="FN15" i="100" s="1"/>
  <c r="DS25" i="100"/>
  <c r="FN25" i="100" s="1"/>
  <c r="DS28" i="100"/>
  <c r="FN28" i="100" s="1"/>
  <c r="DS35" i="100"/>
  <c r="FN35" i="100" s="1"/>
  <c r="DS17" i="100"/>
  <c r="FN17" i="100" s="1"/>
  <c r="DS19" i="100"/>
  <c r="FN19" i="100" s="1"/>
  <c r="DS22" i="100"/>
  <c r="FN22" i="100" s="1"/>
  <c r="DS29" i="100"/>
  <c r="FN29" i="100" s="1"/>
  <c r="DS36" i="100"/>
  <c r="FN36" i="100" s="1"/>
  <c r="DS41" i="100"/>
  <c r="FN41" i="100" s="1"/>
  <c r="DS64" i="100"/>
  <c r="FN64" i="100" s="1"/>
  <c r="DS42" i="100"/>
  <c r="FN42" i="100" s="1"/>
  <c r="DS52" i="100"/>
  <c r="FN52" i="100" s="1"/>
  <c r="DS45" i="100"/>
  <c r="FN45" i="100" s="1"/>
  <c r="DS59" i="100"/>
  <c r="FN59" i="100" s="1"/>
  <c r="DS66" i="100"/>
  <c r="FN66" i="100" s="1"/>
  <c r="DS44" i="100"/>
  <c r="FN44" i="100" s="1"/>
  <c r="DS43" i="100"/>
  <c r="FN43" i="100" s="1"/>
  <c r="DS50" i="100"/>
  <c r="FN50" i="100" s="1"/>
  <c r="DS9" i="100"/>
  <c r="FN9" i="100" s="1"/>
  <c r="DS12" i="100"/>
  <c r="FN12" i="100" s="1"/>
  <c r="DS16" i="100"/>
  <c r="FN16" i="100" s="1"/>
  <c r="DS24" i="100"/>
  <c r="FN24" i="100" s="1"/>
  <c r="DS31" i="100"/>
  <c r="FN31" i="100" s="1"/>
  <c r="DS26" i="100"/>
  <c r="FN26" i="100" s="1"/>
  <c r="DS27" i="100"/>
  <c r="FN27" i="100" s="1"/>
  <c r="DS65" i="100"/>
  <c r="FN65" i="100" s="1"/>
  <c r="DS47" i="100"/>
  <c r="FN47" i="100" s="1"/>
  <c r="DS63" i="100"/>
  <c r="FN63" i="100" s="1"/>
  <c r="DS39" i="100"/>
  <c r="FN39" i="100" s="1"/>
  <c r="DS40" i="100"/>
  <c r="FN40" i="100" s="1"/>
  <c r="DS51" i="100"/>
  <c r="FN51" i="100" s="1"/>
  <c r="DS56" i="100"/>
  <c r="FN56" i="100" s="1"/>
  <c r="DS49" i="100"/>
  <c r="FN49" i="100" s="1"/>
  <c r="DS60" i="100"/>
  <c r="FN60" i="100" s="1"/>
  <c r="DS14" i="100"/>
  <c r="FN14" i="100" s="1"/>
  <c r="DS10" i="100"/>
  <c r="FN10" i="100" s="1"/>
  <c r="DS32" i="100"/>
  <c r="FN32" i="100" s="1"/>
  <c r="DS34" i="100"/>
  <c r="FN34" i="100" s="1"/>
  <c r="DS33" i="100"/>
  <c r="FN33" i="100" s="1"/>
  <c r="DS46" i="100"/>
  <c r="FN46" i="100" s="1"/>
  <c r="DS38" i="100"/>
  <c r="FN38" i="100" s="1"/>
  <c r="DS61" i="100"/>
  <c r="FN61" i="100" s="1"/>
  <c r="DS20" i="100"/>
  <c r="FN20" i="100" s="1"/>
  <c r="DS37" i="100"/>
  <c r="FN37" i="100" s="1"/>
  <c r="DS21" i="100"/>
  <c r="FN21" i="100" s="1"/>
  <c r="DS53" i="100"/>
  <c r="FN53" i="100" s="1"/>
  <c r="DS57" i="100"/>
  <c r="FN57" i="100" s="1"/>
  <c r="DS54" i="100"/>
  <c r="FN54" i="100" s="1"/>
  <c r="DS48" i="100"/>
  <c r="FN48" i="100" s="1"/>
  <c r="DS58" i="100"/>
  <c r="FN58" i="100" s="1"/>
  <c r="DS62" i="100"/>
  <c r="FN62" i="100" s="1"/>
  <c r="DS55" i="100"/>
  <c r="FN55" i="100" s="1"/>
  <c r="EG8" i="100"/>
  <c r="GD8" i="100" s="1"/>
  <c r="EG9" i="100"/>
  <c r="GD9" i="100" s="1"/>
  <c r="EG7" i="100"/>
  <c r="GD7" i="100" s="1"/>
  <c r="EG30" i="100"/>
  <c r="GD30" i="100" s="1"/>
  <c r="EG13" i="100"/>
  <c r="GD13" i="100" s="1"/>
  <c r="EG27" i="100"/>
  <c r="GD27" i="100" s="1"/>
  <c r="EG21" i="100"/>
  <c r="GD21" i="100" s="1"/>
  <c r="EG16" i="100"/>
  <c r="GD16" i="100" s="1"/>
  <c r="EG25" i="100"/>
  <c r="GD25" i="100" s="1"/>
  <c r="EG24" i="100"/>
  <c r="GD24" i="100" s="1"/>
  <c r="EG19" i="100"/>
  <c r="GD19" i="100" s="1"/>
  <c r="EG31" i="100"/>
  <c r="GD31" i="100" s="1"/>
  <c r="EG35" i="100"/>
  <c r="GD35" i="100" s="1"/>
  <c r="EG52" i="100"/>
  <c r="GD52" i="100" s="1"/>
  <c r="EG51" i="100"/>
  <c r="GD51" i="100" s="1"/>
  <c r="EG41" i="100"/>
  <c r="GD41" i="100" s="1"/>
  <c r="EG55" i="100"/>
  <c r="GD55" i="100" s="1"/>
  <c r="EG49" i="100"/>
  <c r="GD49" i="100" s="1"/>
  <c r="EG63" i="100"/>
  <c r="GD63" i="100" s="1"/>
  <c r="EG37" i="100"/>
  <c r="GD37" i="100" s="1"/>
  <c r="EG57" i="100"/>
  <c r="GD57" i="100" s="1"/>
  <c r="EG14" i="100"/>
  <c r="GD14" i="100" s="1"/>
  <c r="EG20" i="100"/>
  <c r="GD20" i="100" s="1"/>
  <c r="EG12" i="100"/>
  <c r="GD12" i="100" s="1"/>
  <c r="EG11" i="100"/>
  <c r="GD11" i="100" s="1"/>
  <c r="EG18" i="100"/>
  <c r="GD18" i="100" s="1"/>
  <c r="EG23" i="100"/>
  <c r="GD23" i="100" s="1"/>
  <c r="EG40" i="100"/>
  <c r="GD40" i="100" s="1"/>
  <c r="EG60" i="100"/>
  <c r="GD60" i="100" s="1"/>
  <c r="EG38" i="100"/>
  <c r="GD38" i="100" s="1"/>
  <c r="EG54" i="100"/>
  <c r="GD54" i="100" s="1"/>
  <c r="EG32" i="100"/>
  <c r="GD32" i="100" s="1"/>
  <c r="EG56" i="100"/>
  <c r="GD56" i="100" s="1"/>
  <c r="EG59" i="100"/>
  <c r="GD59" i="100" s="1"/>
  <c r="EG50" i="100"/>
  <c r="GD50" i="100" s="1"/>
  <c r="EG65" i="100"/>
  <c r="GD65" i="100" s="1"/>
  <c r="EG22" i="100"/>
  <c r="GD22" i="100" s="1"/>
  <c r="EG29" i="100"/>
  <c r="GD29" i="100" s="1"/>
  <c r="EG17" i="100"/>
  <c r="GD17" i="100" s="1"/>
  <c r="EG28" i="100"/>
  <c r="GD28" i="100" s="1"/>
  <c r="EG15" i="100"/>
  <c r="GD15" i="100" s="1"/>
  <c r="EG26" i="100"/>
  <c r="GD26" i="100" s="1"/>
  <c r="EG48" i="100"/>
  <c r="GD48" i="100" s="1"/>
  <c r="EG64" i="100"/>
  <c r="GD64" i="100" s="1"/>
  <c r="EG39" i="100"/>
  <c r="GD39" i="100" s="1"/>
  <c r="EG43" i="100"/>
  <c r="GD43" i="100" s="1"/>
  <c r="EG44" i="100"/>
  <c r="GD44" i="100" s="1"/>
  <c r="EG53" i="100"/>
  <c r="GD53" i="100" s="1"/>
  <c r="EG34" i="100"/>
  <c r="GD34" i="100" s="1"/>
  <c r="EG58" i="100"/>
  <c r="GD58" i="100" s="1"/>
  <c r="EG42" i="100"/>
  <c r="GD42" i="100" s="1"/>
  <c r="EG46" i="100"/>
  <c r="GD46" i="100" s="1"/>
  <c r="EG45" i="100"/>
  <c r="GD45" i="100" s="1"/>
  <c r="EG36" i="100"/>
  <c r="GD36" i="100" s="1"/>
  <c r="EG66" i="100"/>
  <c r="GD66" i="100" s="1"/>
  <c r="EG62" i="100"/>
  <c r="GD62" i="100" s="1"/>
  <c r="EG47" i="100"/>
  <c r="GD47" i="100" s="1"/>
  <c r="EG33" i="100"/>
  <c r="GD33" i="100" s="1"/>
  <c r="EG61" i="100"/>
  <c r="GD61" i="100" s="1"/>
  <c r="DW18" i="100"/>
  <c r="FS18" i="100" s="1"/>
  <c r="DW7" i="100"/>
  <c r="FS7" i="100" s="1"/>
  <c r="DW8" i="100"/>
  <c r="FS8" i="100" s="1"/>
  <c r="DW15" i="100"/>
  <c r="FS15" i="100" s="1"/>
  <c r="DW17" i="100"/>
  <c r="FS17" i="100" s="1"/>
  <c r="DW13" i="100"/>
  <c r="FS13" i="100" s="1"/>
  <c r="DW14" i="100"/>
  <c r="FS14" i="100" s="1"/>
  <c r="DW34" i="100"/>
  <c r="FS34" i="100" s="1"/>
  <c r="DW31" i="100"/>
  <c r="FS31" i="100" s="1"/>
  <c r="DW39" i="100"/>
  <c r="FS39" i="100" s="1"/>
  <c r="DW57" i="100"/>
  <c r="FS57" i="100" s="1"/>
  <c r="DW41" i="100"/>
  <c r="FS41" i="100" s="1"/>
  <c r="DW59" i="100"/>
  <c r="FS59" i="100" s="1"/>
  <c r="DW43" i="100"/>
  <c r="FS43" i="100" s="1"/>
  <c r="DW65" i="100"/>
  <c r="FS65" i="100" s="1"/>
  <c r="DW50" i="100"/>
  <c r="FS50" i="100" s="1"/>
  <c r="DW46" i="100"/>
  <c r="FS46" i="100" s="1"/>
  <c r="DW21" i="100"/>
  <c r="FS21" i="100" s="1"/>
  <c r="DW10" i="100"/>
  <c r="FS10" i="100" s="1"/>
  <c r="DW11" i="100"/>
  <c r="FS11" i="100" s="1"/>
  <c r="DW20" i="100"/>
  <c r="FS20" i="100" s="1"/>
  <c r="DW22" i="100"/>
  <c r="FS22" i="100" s="1"/>
  <c r="DW36" i="100"/>
  <c r="FS36" i="100" s="1"/>
  <c r="DW32" i="100"/>
  <c r="FS32" i="100" s="1"/>
  <c r="DW35" i="100"/>
  <c r="FS35" i="100" s="1"/>
  <c r="DW29" i="100"/>
  <c r="FS29" i="100" s="1"/>
  <c r="DW30" i="100"/>
  <c r="FS30" i="100" s="1"/>
  <c r="DW47" i="100"/>
  <c r="FS47" i="100" s="1"/>
  <c r="DW54" i="100"/>
  <c r="FS54" i="100" s="1"/>
  <c r="DW49" i="100"/>
  <c r="FS49" i="100" s="1"/>
  <c r="DW63" i="100"/>
  <c r="FS63" i="100" s="1"/>
  <c r="DW48" i="100"/>
  <c r="FS48" i="100" s="1"/>
  <c r="DW66" i="100"/>
  <c r="FS66" i="100" s="1"/>
  <c r="DW55" i="100"/>
  <c r="FS55" i="100" s="1"/>
  <c r="DW9" i="100"/>
  <c r="FS9" i="100" s="1"/>
  <c r="DW16" i="100"/>
  <c r="FS16" i="100" s="1"/>
  <c r="DW12" i="100"/>
  <c r="FS12" i="100" s="1"/>
  <c r="DW19" i="100"/>
  <c r="FS19" i="100" s="1"/>
  <c r="DW23" i="100"/>
  <c r="FS23" i="100" s="1"/>
  <c r="DW33" i="100"/>
  <c r="FS33" i="100" s="1"/>
  <c r="DW26" i="100"/>
  <c r="FS26" i="100" s="1"/>
  <c r="DW27" i="100"/>
  <c r="FS27" i="100" s="1"/>
  <c r="DW37" i="100"/>
  <c r="FS37" i="100" s="1"/>
  <c r="DW38" i="100"/>
  <c r="FS38" i="100" s="1"/>
  <c r="DW62" i="100"/>
  <c r="FS62" i="100" s="1"/>
  <c r="DW40" i="100"/>
  <c r="FS40" i="100" s="1"/>
  <c r="DW64" i="100"/>
  <c r="FS64" i="100" s="1"/>
  <c r="DW53" i="100"/>
  <c r="FS53" i="100" s="1"/>
  <c r="DW60" i="100"/>
  <c r="FS60" i="100" s="1"/>
  <c r="DW44" i="100"/>
  <c r="FS44" i="100" s="1"/>
  <c r="DW28" i="100"/>
  <c r="FS28" i="100" s="1"/>
  <c r="DW24" i="100"/>
  <c r="FS24" i="100" s="1"/>
  <c r="DW51" i="100"/>
  <c r="FS51" i="100" s="1"/>
  <c r="DW58" i="100"/>
  <c r="FS58" i="100" s="1"/>
  <c r="DW56" i="100"/>
  <c r="FS56" i="100" s="1"/>
  <c r="DW45" i="100"/>
  <c r="FS45" i="100" s="1"/>
  <c r="DW25" i="100"/>
  <c r="FS25" i="100" s="1"/>
  <c r="DW42" i="100"/>
  <c r="FS42" i="100" s="1"/>
  <c r="DW61" i="100"/>
  <c r="FS61" i="100" s="1"/>
  <c r="DW52" i="100"/>
  <c r="FS52" i="100" s="1"/>
  <c r="EW10" i="100"/>
  <c r="GV10" i="100" s="1"/>
  <c r="EW11" i="100"/>
  <c r="GV11" i="100" s="1"/>
  <c r="EW7" i="100"/>
  <c r="GV7" i="100" s="1"/>
  <c r="EW12" i="100"/>
  <c r="GV12" i="100" s="1"/>
  <c r="EW19" i="100"/>
  <c r="GV19" i="100" s="1"/>
  <c r="EW14" i="100"/>
  <c r="GV14" i="100" s="1"/>
  <c r="EW13" i="100"/>
  <c r="GV13" i="100" s="1"/>
  <c r="EW8" i="100"/>
  <c r="GV8" i="100" s="1"/>
  <c r="EW9" i="100"/>
  <c r="GV9" i="100" s="1"/>
  <c r="EW15" i="100"/>
  <c r="GV15" i="100" s="1"/>
  <c r="EW16" i="100"/>
  <c r="GV16" i="100" s="1"/>
  <c r="EW26" i="100"/>
  <c r="GV26" i="100" s="1"/>
  <c r="EW25" i="100"/>
  <c r="GV25" i="100" s="1"/>
  <c r="EW21" i="100"/>
  <c r="GV21" i="100" s="1"/>
  <c r="EW20" i="100"/>
  <c r="GV20" i="100" s="1"/>
  <c r="EW34" i="100"/>
  <c r="GV34" i="100" s="1"/>
  <c r="EW32" i="100"/>
  <c r="GV32" i="100" s="1"/>
  <c r="EW33" i="100"/>
  <c r="GV33" i="100" s="1"/>
  <c r="EW22" i="100"/>
  <c r="GV22" i="100" s="1"/>
  <c r="EW47" i="100"/>
  <c r="GV47" i="100" s="1"/>
  <c r="EW51" i="100"/>
  <c r="GV51" i="100" s="1"/>
  <c r="EW43" i="100"/>
  <c r="GV43" i="100" s="1"/>
  <c r="EW38" i="100"/>
  <c r="GV38" i="100" s="1"/>
  <c r="EW56" i="100"/>
  <c r="GV56" i="100" s="1"/>
  <c r="EW59" i="100"/>
  <c r="GV59" i="100" s="1"/>
  <c r="EW62" i="100"/>
  <c r="GV62" i="100" s="1"/>
  <c r="EW40" i="100"/>
  <c r="GV40" i="100" s="1"/>
  <c r="EW60" i="100"/>
  <c r="GV60" i="100" s="1"/>
  <c r="EW41" i="100"/>
  <c r="GV41" i="100" s="1"/>
  <c r="EW44" i="100"/>
  <c r="GV44" i="100" s="1"/>
  <c r="EW50" i="100"/>
  <c r="GV50" i="100" s="1"/>
  <c r="EW23" i="100"/>
  <c r="GV23" i="100" s="1"/>
  <c r="EW18" i="100"/>
  <c r="GV18" i="100" s="1"/>
  <c r="EW35" i="100"/>
  <c r="GV35" i="100" s="1"/>
  <c r="EW37" i="100"/>
  <c r="GV37" i="100" s="1"/>
  <c r="EW28" i="100"/>
  <c r="GV28" i="100" s="1"/>
  <c r="EW29" i="100"/>
  <c r="GV29" i="100" s="1"/>
  <c r="EW30" i="100"/>
  <c r="GV30" i="100" s="1"/>
  <c r="EW52" i="100"/>
  <c r="GV52" i="100" s="1"/>
  <c r="EW42" i="100"/>
  <c r="GV42" i="100" s="1"/>
  <c r="EW66" i="100"/>
  <c r="GV66" i="100" s="1"/>
  <c r="EW39" i="100"/>
  <c r="GV39" i="100" s="1"/>
  <c r="EW53" i="100"/>
  <c r="GV53" i="100" s="1"/>
  <c r="EW46" i="100"/>
  <c r="GV46" i="100" s="1"/>
  <c r="EW61" i="100"/>
  <c r="GV61" i="100" s="1"/>
  <c r="EW45" i="100"/>
  <c r="GV45" i="100" s="1"/>
  <c r="EW57" i="100"/>
  <c r="GV57" i="100" s="1"/>
  <c r="EW65" i="100"/>
  <c r="GV65" i="100" s="1"/>
  <c r="EW17" i="100"/>
  <c r="GV17" i="100" s="1"/>
  <c r="EW24" i="100"/>
  <c r="GV24" i="100" s="1"/>
  <c r="EW27" i="100"/>
  <c r="GV27" i="100" s="1"/>
  <c r="EW36" i="100"/>
  <c r="GV36" i="100" s="1"/>
  <c r="EW31" i="100"/>
  <c r="GV31" i="100" s="1"/>
  <c r="EW54" i="100"/>
  <c r="GV54" i="100" s="1"/>
  <c r="EW58" i="100"/>
  <c r="GV58" i="100" s="1"/>
  <c r="EW63" i="100"/>
  <c r="GV63" i="100" s="1"/>
  <c r="EW55" i="100"/>
  <c r="GV55" i="100" s="1"/>
  <c r="EW48" i="100"/>
  <c r="GV48" i="100" s="1"/>
  <c r="EW49" i="100"/>
  <c r="GV49" i="100" s="1"/>
  <c r="EW64" i="100"/>
  <c r="GV64" i="100" s="1"/>
  <c r="DV11" i="100"/>
  <c r="FR11" i="100" s="1"/>
  <c r="DV14" i="100"/>
  <c r="FR14" i="100" s="1"/>
  <c r="DV16" i="100"/>
  <c r="FR16" i="100" s="1"/>
  <c r="DV7" i="100"/>
  <c r="FR7" i="100" s="1"/>
  <c r="DV18" i="100"/>
  <c r="FR18" i="100" s="1"/>
  <c r="DV10" i="100"/>
  <c r="FR10" i="100" s="1"/>
  <c r="DV13" i="100"/>
  <c r="FR13" i="100" s="1"/>
  <c r="DV21" i="100"/>
  <c r="FR21" i="100" s="1"/>
  <c r="DV15" i="100"/>
  <c r="FR15" i="100" s="1"/>
  <c r="DV19" i="100"/>
  <c r="FR19" i="100" s="1"/>
  <c r="DV34" i="100"/>
  <c r="FR34" i="100" s="1"/>
  <c r="DV24" i="100"/>
  <c r="FR24" i="100" s="1"/>
  <c r="DV53" i="100"/>
  <c r="FR53" i="100" s="1"/>
  <c r="DV64" i="100"/>
  <c r="FR64" i="100" s="1"/>
  <c r="DV42" i="100"/>
  <c r="FR42" i="100" s="1"/>
  <c r="DV39" i="100"/>
  <c r="FR39" i="100" s="1"/>
  <c r="DV65" i="100"/>
  <c r="FR65" i="100" s="1"/>
  <c r="DV56" i="100"/>
  <c r="FR56" i="100" s="1"/>
  <c r="DV40" i="100"/>
  <c r="FR40" i="100" s="1"/>
  <c r="DV49" i="100"/>
  <c r="FR49" i="100" s="1"/>
  <c r="DV31" i="100"/>
  <c r="FR31" i="100" s="1"/>
  <c r="DV8" i="100"/>
  <c r="FR8" i="100" s="1"/>
  <c r="DV9" i="100"/>
  <c r="FR9" i="100" s="1"/>
  <c r="DV20" i="100"/>
  <c r="FR20" i="100" s="1"/>
  <c r="DV23" i="100"/>
  <c r="FR23" i="100" s="1"/>
  <c r="DV28" i="100"/>
  <c r="FR28" i="100" s="1"/>
  <c r="DV33" i="100"/>
  <c r="FR33" i="100" s="1"/>
  <c r="DV35" i="100"/>
  <c r="FR35" i="100" s="1"/>
  <c r="DV43" i="100"/>
  <c r="FR43" i="100" s="1"/>
  <c r="DV66" i="100"/>
  <c r="FR66" i="100" s="1"/>
  <c r="DV44" i="100"/>
  <c r="FR44" i="100" s="1"/>
  <c r="DV60" i="100"/>
  <c r="FR60" i="100" s="1"/>
  <c r="DV45" i="100"/>
  <c r="FR45" i="100" s="1"/>
  <c r="DV55" i="100"/>
  <c r="FR55" i="100" s="1"/>
  <c r="DV48" i="100"/>
  <c r="FR48" i="100" s="1"/>
  <c r="DV63" i="100"/>
  <c r="FR63" i="100" s="1"/>
  <c r="DV46" i="100"/>
  <c r="FR46" i="100" s="1"/>
  <c r="DV61" i="100"/>
  <c r="FR61" i="100" s="1"/>
  <c r="DV50" i="100"/>
  <c r="FR50" i="100" s="1"/>
  <c r="DV17" i="100"/>
  <c r="FR17" i="100" s="1"/>
  <c r="DV12" i="100"/>
  <c r="FR12" i="100" s="1"/>
  <c r="DV22" i="100"/>
  <c r="FR22" i="100" s="1"/>
  <c r="DV26" i="100"/>
  <c r="FR26" i="100" s="1"/>
  <c r="DV25" i="100"/>
  <c r="FR25" i="100" s="1"/>
  <c r="DV32" i="100"/>
  <c r="FR32" i="100" s="1"/>
  <c r="DV30" i="100"/>
  <c r="FR30" i="100" s="1"/>
  <c r="DV27" i="100"/>
  <c r="FR27" i="100" s="1"/>
  <c r="DV62" i="100"/>
  <c r="FR62" i="100" s="1"/>
  <c r="DV47" i="100"/>
  <c r="FR47" i="100" s="1"/>
  <c r="DV52" i="100"/>
  <c r="FR52" i="100" s="1"/>
  <c r="DV37" i="100"/>
  <c r="FR37" i="100" s="1"/>
  <c r="DV29" i="100"/>
  <c r="FR29" i="100" s="1"/>
  <c r="DV54" i="100"/>
  <c r="FR54" i="100" s="1"/>
  <c r="DV41" i="100"/>
  <c r="FR41" i="100" s="1"/>
  <c r="DV36" i="100"/>
  <c r="FR36" i="100" s="1"/>
  <c r="DV38" i="100"/>
  <c r="FR38" i="100" s="1"/>
  <c r="DV51" i="100"/>
  <c r="FR51" i="100" s="1"/>
  <c r="DV58" i="100"/>
  <c r="FR58" i="100" s="1"/>
  <c r="DV57" i="100"/>
  <c r="FR57" i="100" s="1"/>
  <c r="DV59" i="100"/>
  <c r="FR59" i="100" s="1"/>
  <c r="EQ7" i="100"/>
  <c r="GP7" i="100" s="1"/>
  <c r="EQ9" i="100"/>
  <c r="GP9" i="100" s="1"/>
  <c r="EQ8" i="100"/>
  <c r="GP8" i="100" s="1"/>
  <c r="EQ10" i="100"/>
  <c r="GP10" i="100" s="1"/>
  <c r="EQ11" i="100"/>
  <c r="GP11" i="100" s="1"/>
  <c r="EQ17" i="100"/>
  <c r="GP17" i="100" s="1"/>
  <c r="EQ32" i="100"/>
  <c r="GP32" i="100" s="1"/>
  <c r="EQ22" i="100"/>
  <c r="GP22" i="100" s="1"/>
  <c r="EQ13" i="100"/>
  <c r="GP13" i="100" s="1"/>
  <c r="EQ21" i="100"/>
  <c r="GP21" i="100" s="1"/>
  <c r="EQ37" i="100"/>
  <c r="GP37" i="100" s="1"/>
  <c r="EQ26" i="100"/>
  <c r="GP26" i="100" s="1"/>
  <c r="EQ19" i="100"/>
  <c r="GP19" i="100" s="1"/>
  <c r="EQ31" i="100"/>
  <c r="GP31" i="100" s="1"/>
  <c r="EQ23" i="100"/>
  <c r="GP23" i="100" s="1"/>
  <c r="EQ16" i="100"/>
  <c r="GP16" i="100" s="1"/>
  <c r="EQ24" i="100"/>
  <c r="GP24" i="100" s="1"/>
  <c r="EQ35" i="100"/>
  <c r="GP35" i="100" s="1"/>
  <c r="EQ62" i="100"/>
  <c r="GP62" i="100" s="1"/>
  <c r="EQ49" i="100"/>
  <c r="GP49" i="100" s="1"/>
  <c r="EQ44" i="100"/>
  <c r="GP44" i="100" s="1"/>
  <c r="EQ48" i="100"/>
  <c r="GP48" i="100" s="1"/>
  <c r="EQ58" i="100"/>
  <c r="GP58" i="100" s="1"/>
  <c r="EQ55" i="100"/>
  <c r="GP55" i="100" s="1"/>
  <c r="EQ54" i="100"/>
  <c r="GP54" i="100" s="1"/>
  <c r="EQ53" i="100"/>
  <c r="GP53" i="100" s="1"/>
  <c r="EQ45" i="100"/>
  <c r="GP45" i="100" s="1"/>
  <c r="EQ30" i="100"/>
  <c r="GP30" i="100" s="1"/>
  <c r="EQ20" i="100"/>
  <c r="GP20" i="100" s="1"/>
  <c r="EQ18" i="100"/>
  <c r="GP18" i="100" s="1"/>
  <c r="EQ14" i="100"/>
  <c r="GP14" i="100" s="1"/>
  <c r="EQ36" i="100"/>
  <c r="GP36" i="100" s="1"/>
  <c r="EQ27" i="100"/>
  <c r="GP27" i="100" s="1"/>
  <c r="EQ63" i="100"/>
  <c r="GP63" i="100" s="1"/>
  <c r="EQ41" i="100"/>
  <c r="GP41" i="100" s="1"/>
  <c r="EQ60" i="100"/>
  <c r="GP60" i="100" s="1"/>
  <c r="EQ47" i="100"/>
  <c r="GP47" i="100" s="1"/>
  <c r="EQ66" i="100"/>
  <c r="GP66" i="100" s="1"/>
  <c r="EQ40" i="100"/>
  <c r="GP40" i="100" s="1"/>
  <c r="EQ64" i="100"/>
  <c r="GP64" i="100" s="1"/>
  <c r="EQ46" i="100"/>
  <c r="GP46" i="100" s="1"/>
  <c r="EQ56" i="100"/>
  <c r="GP56" i="100" s="1"/>
  <c r="EQ65" i="100"/>
  <c r="GP65" i="100" s="1"/>
  <c r="EQ12" i="100"/>
  <c r="GP12" i="100" s="1"/>
  <c r="EQ15" i="100"/>
  <c r="GP15" i="100" s="1"/>
  <c r="EQ33" i="100"/>
  <c r="GP33" i="100" s="1"/>
  <c r="EQ29" i="100"/>
  <c r="GP29" i="100" s="1"/>
  <c r="EQ34" i="100"/>
  <c r="GP34" i="100" s="1"/>
  <c r="EQ28" i="100"/>
  <c r="GP28" i="100" s="1"/>
  <c r="EQ59" i="100"/>
  <c r="GP59" i="100" s="1"/>
  <c r="EQ39" i="100"/>
  <c r="GP39" i="100" s="1"/>
  <c r="EQ52" i="100"/>
  <c r="GP52" i="100" s="1"/>
  <c r="EQ25" i="100"/>
  <c r="GP25" i="100" s="1"/>
  <c r="EQ51" i="100"/>
  <c r="GP51" i="100" s="1"/>
  <c r="EQ42" i="100"/>
  <c r="GP42" i="100" s="1"/>
  <c r="EQ43" i="100"/>
  <c r="GP43" i="100" s="1"/>
  <c r="EQ57" i="100"/>
  <c r="GP57" i="100" s="1"/>
  <c r="EQ38" i="100"/>
  <c r="GP38" i="100" s="1"/>
  <c r="EQ61" i="100"/>
  <c r="GP61" i="100" s="1"/>
  <c r="EQ50" i="100"/>
  <c r="GP50" i="100" s="1"/>
  <c r="DY7" i="100"/>
  <c r="FU7" i="100" s="1"/>
  <c r="DY9" i="100"/>
  <c r="FU9" i="100" s="1"/>
  <c r="DY13" i="100"/>
  <c r="FU13" i="100" s="1"/>
  <c r="DY19" i="100"/>
  <c r="FU19" i="100" s="1"/>
  <c r="DY18" i="100"/>
  <c r="FU18" i="100" s="1"/>
  <c r="DY32" i="100"/>
  <c r="FU32" i="100" s="1"/>
  <c r="DY21" i="100"/>
  <c r="FU21" i="100" s="1"/>
  <c r="DY30" i="100"/>
  <c r="FU30" i="100" s="1"/>
  <c r="DY11" i="100"/>
  <c r="FU11" i="100" s="1"/>
  <c r="DY33" i="100"/>
  <c r="FU33" i="100" s="1"/>
  <c r="DY34" i="100"/>
  <c r="FU34" i="100" s="1"/>
  <c r="DY25" i="100"/>
  <c r="FU25" i="100" s="1"/>
  <c r="DY23" i="100"/>
  <c r="FU23" i="100" s="1"/>
  <c r="DY27" i="100"/>
  <c r="FU27" i="100" s="1"/>
  <c r="DY54" i="100"/>
  <c r="FU54" i="100" s="1"/>
  <c r="DY49" i="100"/>
  <c r="FU49" i="100" s="1"/>
  <c r="DY47" i="100"/>
  <c r="FU47" i="100" s="1"/>
  <c r="DY38" i="100"/>
  <c r="FU38" i="100" s="1"/>
  <c r="DY64" i="100"/>
  <c r="FU64" i="100" s="1"/>
  <c r="DY39" i="100"/>
  <c r="FU39" i="100" s="1"/>
  <c r="DY66" i="100"/>
  <c r="FU66" i="100" s="1"/>
  <c r="DY48" i="100"/>
  <c r="FU48" i="100" s="1"/>
  <c r="DY51" i="100"/>
  <c r="FU51" i="100" s="1"/>
  <c r="DY50" i="100"/>
  <c r="FU50" i="100" s="1"/>
  <c r="DY53" i="100"/>
  <c r="FU53" i="100" s="1"/>
  <c r="DY45" i="100"/>
  <c r="FU45" i="100" s="1"/>
  <c r="DY63" i="100"/>
  <c r="FU63" i="100" s="1"/>
  <c r="DY35" i="100"/>
  <c r="FU35" i="100" s="1"/>
  <c r="DY17" i="100"/>
  <c r="FU17" i="100" s="1"/>
  <c r="DY14" i="100"/>
  <c r="FU14" i="100" s="1"/>
  <c r="DY12" i="100"/>
  <c r="FU12" i="100" s="1"/>
  <c r="DY10" i="100"/>
  <c r="FU10" i="100" s="1"/>
  <c r="DY29" i="100"/>
  <c r="FU29" i="100" s="1"/>
  <c r="DY37" i="100"/>
  <c r="FU37" i="100" s="1"/>
  <c r="DY31" i="100"/>
  <c r="FU31" i="100" s="1"/>
  <c r="DY26" i="100"/>
  <c r="FU26" i="100" s="1"/>
  <c r="DY40" i="100"/>
  <c r="FU40" i="100" s="1"/>
  <c r="DY62" i="100"/>
  <c r="FU62" i="100" s="1"/>
  <c r="DY42" i="100"/>
  <c r="FU42" i="100" s="1"/>
  <c r="DY57" i="100"/>
  <c r="FU57" i="100" s="1"/>
  <c r="DY44" i="100"/>
  <c r="FU44" i="100" s="1"/>
  <c r="DY61" i="100"/>
  <c r="FU61" i="100" s="1"/>
  <c r="DY46" i="100"/>
  <c r="FU46" i="100" s="1"/>
  <c r="DY65" i="100"/>
  <c r="FU65" i="100" s="1"/>
  <c r="DY52" i="100"/>
  <c r="FU52" i="100" s="1"/>
  <c r="DY22" i="100"/>
  <c r="FU22" i="100" s="1"/>
  <c r="DY20" i="100"/>
  <c r="FU20" i="100" s="1"/>
  <c r="DY16" i="100"/>
  <c r="FU16" i="100" s="1"/>
  <c r="DY15" i="100"/>
  <c r="FU15" i="100" s="1"/>
  <c r="DY28" i="100"/>
  <c r="FU28" i="100" s="1"/>
  <c r="DY24" i="100"/>
  <c r="FU24" i="100" s="1"/>
  <c r="DY36" i="100"/>
  <c r="FU36" i="100" s="1"/>
  <c r="DY41" i="100"/>
  <c r="FU41" i="100" s="1"/>
  <c r="DY59" i="100"/>
  <c r="FU59" i="100" s="1"/>
  <c r="DY58" i="100"/>
  <c r="FU58" i="100" s="1"/>
  <c r="DY56" i="100"/>
  <c r="FU56" i="100" s="1"/>
  <c r="DY60" i="100"/>
  <c r="FU60" i="100" s="1"/>
  <c r="DY43" i="100"/>
  <c r="FU43" i="100" s="1"/>
  <c r="DY55" i="100"/>
  <c r="FU55" i="100" s="1"/>
  <c r="DO36" i="100"/>
  <c r="FI36" i="100" s="1"/>
  <c r="DO8" i="100"/>
  <c r="FI8" i="100" s="1"/>
  <c r="DO30" i="100"/>
  <c r="FI30" i="100" s="1"/>
  <c r="DO41" i="100"/>
  <c r="FI41" i="100" s="1"/>
  <c r="DO19" i="100"/>
  <c r="FI19" i="100" s="1"/>
  <c r="DO58" i="100"/>
  <c r="FI58" i="100" s="1"/>
  <c r="DO39" i="100"/>
  <c r="FI39" i="100" s="1"/>
  <c r="DO42" i="100"/>
  <c r="FI42" i="100" s="1"/>
  <c r="DO21" i="100"/>
  <c r="FI21" i="100" s="1"/>
  <c r="DO50" i="100"/>
  <c r="FI50" i="100" s="1"/>
  <c r="DO29" i="100"/>
  <c r="FI29" i="100" s="1"/>
  <c r="DO65" i="100"/>
  <c r="FI65" i="100" s="1"/>
  <c r="DO47" i="100"/>
  <c r="FI47" i="100" s="1"/>
  <c r="DO24" i="100"/>
  <c r="FI24" i="100" s="1"/>
  <c r="DO20" i="100"/>
  <c r="FI20" i="100" s="1"/>
  <c r="DO60" i="100"/>
  <c r="FI60" i="100" s="1"/>
  <c r="DO38" i="100"/>
  <c r="FI38" i="100" s="1"/>
  <c r="DO10" i="100"/>
  <c r="FI10" i="100" s="1"/>
  <c r="DO7" i="100"/>
  <c r="FI7" i="100" s="1"/>
  <c r="DO35" i="100"/>
  <c r="FI35" i="100" s="1"/>
  <c r="DO15" i="100"/>
  <c r="FI15" i="100" s="1"/>
  <c r="DO34" i="100"/>
  <c r="FI34" i="100" s="1"/>
  <c r="DO51" i="100"/>
  <c r="FI51" i="100" s="1"/>
  <c r="DO33" i="100"/>
  <c r="FI33" i="100" s="1"/>
  <c r="DO57" i="100"/>
  <c r="FI57" i="100" s="1"/>
  <c r="DO37" i="100"/>
  <c r="FI37" i="100" s="1"/>
  <c r="DO61" i="100"/>
  <c r="FI61" i="100" s="1"/>
  <c r="DO40" i="100"/>
  <c r="FI40" i="100" s="1"/>
  <c r="DO11" i="100"/>
  <c r="FI11" i="100" s="1"/>
  <c r="DO46" i="100"/>
  <c r="FI46" i="100" s="1"/>
  <c r="DO17" i="100"/>
  <c r="FI17" i="100" s="1"/>
  <c r="DO13" i="100"/>
  <c r="FI13" i="100" s="1"/>
  <c r="DO43" i="100"/>
  <c r="FI43" i="100" s="1"/>
  <c r="DO18" i="100"/>
  <c r="FI18" i="100" s="1"/>
  <c r="DO59" i="100"/>
  <c r="FI59" i="100" s="1"/>
  <c r="DO23" i="100"/>
  <c r="FI23" i="100" s="1"/>
  <c r="DO49" i="100"/>
  <c r="FI49" i="100" s="1"/>
  <c r="DO32" i="100"/>
  <c r="FI32" i="100" s="1"/>
  <c r="DO63" i="100"/>
  <c r="FI63" i="100" s="1"/>
  <c r="DO56" i="100"/>
  <c r="FI56" i="100" s="1"/>
  <c r="DO53" i="100"/>
  <c r="FI53" i="100" s="1"/>
  <c r="DO25" i="100"/>
  <c r="FI25" i="100" s="1"/>
  <c r="DO48" i="100"/>
  <c r="FI48" i="100" s="1"/>
  <c r="DO27" i="100"/>
  <c r="FI27" i="100" s="1"/>
  <c r="DO14" i="100"/>
  <c r="FI14" i="100" s="1"/>
  <c r="DO52" i="100"/>
  <c r="FI52" i="100" s="1"/>
  <c r="DO16" i="100"/>
  <c r="FI16" i="100" s="1"/>
  <c r="DO55" i="100"/>
  <c r="FI55" i="100" s="1"/>
  <c r="DO12" i="100"/>
  <c r="FI12" i="100" s="1"/>
  <c r="DO62" i="100"/>
  <c r="FI62" i="100" s="1"/>
  <c r="DO66" i="100"/>
  <c r="FI66" i="100" s="1"/>
  <c r="DO28" i="100"/>
  <c r="FI28" i="100" s="1"/>
  <c r="DO22" i="100"/>
  <c r="FI22" i="100" s="1"/>
  <c r="DO45" i="100"/>
  <c r="FI45" i="100" s="1"/>
  <c r="DO64" i="100"/>
  <c r="FI64" i="100" s="1"/>
  <c r="DO26" i="100"/>
  <c r="FI26" i="100" s="1"/>
  <c r="DO54" i="100"/>
  <c r="FI54" i="100" s="1"/>
  <c r="DO44" i="100"/>
  <c r="FI44" i="100" s="1"/>
  <c r="DO31" i="100"/>
  <c r="FI31" i="100" s="1"/>
  <c r="EF14" i="100"/>
  <c r="GC14" i="100" s="1"/>
  <c r="EF17" i="100"/>
  <c r="GC17" i="100" s="1"/>
  <c r="EF26" i="100"/>
  <c r="GC26" i="100" s="1"/>
  <c r="EF25" i="100"/>
  <c r="GC25" i="100" s="1"/>
  <c r="EF18" i="100"/>
  <c r="GC18" i="100" s="1"/>
  <c r="EF20" i="100"/>
  <c r="GC20" i="100" s="1"/>
  <c r="EF21" i="100"/>
  <c r="GC21" i="100" s="1"/>
  <c r="EF31" i="100"/>
  <c r="GC31" i="100" s="1"/>
  <c r="EF28" i="100"/>
  <c r="GC28" i="100" s="1"/>
  <c r="EF19" i="100"/>
  <c r="GC19" i="100" s="1"/>
  <c r="EF10" i="100"/>
  <c r="GC10" i="100" s="1"/>
  <c r="EF24" i="100"/>
  <c r="GC24" i="100" s="1"/>
  <c r="EF29" i="100"/>
  <c r="GC29" i="100" s="1"/>
  <c r="EF23" i="100"/>
  <c r="GC23" i="100" s="1"/>
  <c r="EF27" i="100"/>
  <c r="GC27" i="100" s="1"/>
  <c r="EF35" i="100"/>
  <c r="GC35" i="100" s="1"/>
  <c r="EF34" i="100"/>
  <c r="GC34" i="100" s="1"/>
  <c r="EF37" i="100"/>
  <c r="GC37" i="100" s="1"/>
  <c r="EF50" i="100"/>
  <c r="GC50" i="100" s="1"/>
  <c r="EF58" i="100"/>
  <c r="GC58" i="100" s="1"/>
  <c r="EF45" i="100"/>
  <c r="GC45" i="100" s="1"/>
  <c r="EF62" i="100"/>
  <c r="GC62" i="100" s="1"/>
  <c r="EF47" i="100"/>
  <c r="GC47" i="100" s="1"/>
  <c r="EF63" i="100"/>
  <c r="GC63" i="100" s="1"/>
  <c r="EF8" i="100"/>
  <c r="GC8" i="100" s="1"/>
  <c r="EF12" i="100"/>
  <c r="GC12" i="100" s="1"/>
  <c r="EF30" i="100"/>
  <c r="GC30" i="100" s="1"/>
  <c r="EF16" i="100"/>
  <c r="GC16" i="100" s="1"/>
  <c r="EF42" i="100"/>
  <c r="GC42" i="100" s="1"/>
  <c r="EF55" i="100"/>
  <c r="GC55" i="100" s="1"/>
  <c r="EF44" i="100"/>
  <c r="GC44" i="100" s="1"/>
  <c r="EF38" i="100"/>
  <c r="GC38" i="100" s="1"/>
  <c r="EF39" i="100"/>
  <c r="GC39" i="100" s="1"/>
  <c r="EF52" i="100"/>
  <c r="GC52" i="100" s="1"/>
  <c r="EF33" i="100"/>
  <c r="GC33" i="100" s="1"/>
  <c r="EF54" i="100"/>
  <c r="GC54" i="100" s="1"/>
  <c r="EF64" i="100"/>
  <c r="GC64" i="100" s="1"/>
  <c r="EF7" i="100"/>
  <c r="GC7" i="100" s="1"/>
  <c r="EF9" i="100"/>
  <c r="GC9" i="100" s="1"/>
  <c r="EF15" i="100"/>
  <c r="GC15" i="100" s="1"/>
  <c r="EF13" i="100"/>
  <c r="GC13" i="100" s="1"/>
  <c r="EF22" i="100"/>
  <c r="GC22" i="100" s="1"/>
  <c r="EF11" i="100"/>
  <c r="GC11" i="100" s="1"/>
  <c r="EF41" i="100"/>
  <c r="GC41" i="100" s="1"/>
  <c r="EF56" i="100"/>
  <c r="GC56" i="100" s="1"/>
  <c r="EF32" i="100"/>
  <c r="GC32" i="100" s="1"/>
  <c r="EF57" i="100"/>
  <c r="GC57" i="100" s="1"/>
  <c r="EF46" i="100"/>
  <c r="GC46" i="100" s="1"/>
  <c r="EF51" i="100"/>
  <c r="GC51" i="100" s="1"/>
  <c r="EF40" i="100"/>
  <c r="GC40" i="100" s="1"/>
  <c r="EF53" i="100"/>
  <c r="GC53" i="100" s="1"/>
  <c r="EF49" i="100"/>
  <c r="GC49" i="100" s="1"/>
  <c r="EF36" i="100"/>
  <c r="GC36" i="100" s="1"/>
  <c r="EF60" i="100"/>
  <c r="GC60" i="100" s="1"/>
  <c r="EF65" i="100"/>
  <c r="GC65" i="100" s="1"/>
  <c r="EF59" i="100"/>
  <c r="GC59" i="100" s="1"/>
  <c r="EF66" i="100"/>
  <c r="GC66" i="100" s="1"/>
  <c r="EF61" i="100"/>
  <c r="GC61" i="100" s="1"/>
  <c r="EF43" i="100"/>
  <c r="GC43" i="100" s="1"/>
  <c r="EF48" i="100"/>
  <c r="GC48" i="100" s="1"/>
  <c r="ES18" i="100"/>
  <c r="GR18" i="100" s="1"/>
  <c r="ES7" i="100"/>
  <c r="GR7" i="100" s="1"/>
  <c r="ES10" i="100"/>
  <c r="GR10" i="100" s="1"/>
  <c r="ES13" i="100"/>
  <c r="GR13" i="100" s="1"/>
  <c r="ES24" i="100"/>
  <c r="GR24" i="100" s="1"/>
  <c r="ES36" i="100"/>
  <c r="GR36" i="100" s="1"/>
  <c r="ES20" i="100"/>
  <c r="GR20" i="100" s="1"/>
  <c r="ES27" i="100"/>
  <c r="GR27" i="100" s="1"/>
  <c r="ES37" i="100"/>
  <c r="GR37" i="100" s="1"/>
  <c r="ES21" i="100"/>
  <c r="GR21" i="100" s="1"/>
  <c r="ES26" i="100"/>
  <c r="GR26" i="100" s="1"/>
  <c r="ES9" i="100"/>
  <c r="GR9" i="100" s="1"/>
  <c r="ES31" i="100"/>
  <c r="GR31" i="100" s="1"/>
  <c r="ES22" i="100"/>
  <c r="GR22" i="100" s="1"/>
  <c r="ES33" i="100"/>
  <c r="GR33" i="100" s="1"/>
  <c r="ES30" i="100"/>
  <c r="GR30" i="100" s="1"/>
  <c r="ES43" i="100"/>
  <c r="GR43" i="100" s="1"/>
  <c r="ES65" i="100"/>
  <c r="GR65" i="100" s="1"/>
  <c r="ES50" i="100"/>
  <c r="GR50" i="100" s="1"/>
  <c r="ES38" i="100"/>
  <c r="GR38" i="100" s="1"/>
  <c r="ES60" i="100"/>
  <c r="GR60" i="100" s="1"/>
  <c r="ES40" i="100"/>
  <c r="GR40" i="100" s="1"/>
  <c r="ES45" i="100"/>
  <c r="GR45" i="100" s="1"/>
  <c r="ES62" i="100"/>
  <c r="GR62" i="100" s="1"/>
  <c r="ES41" i="100"/>
  <c r="GR41" i="100" s="1"/>
  <c r="ES63" i="100"/>
  <c r="GR63" i="100" s="1"/>
  <c r="ES14" i="100"/>
  <c r="GR14" i="100" s="1"/>
  <c r="ES11" i="100"/>
  <c r="GR11" i="100" s="1"/>
  <c r="ES32" i="100"/>
  <c r="GR32" i="100" s="1"/>
  <c r="ES28" i="100"/>
  <c r="GR28" i="100" s="1"/>
  <c r="ES29" i="100"/>
  <c r="GR29" i="100" s="1"/>
  <c r="ES56" i="100"/>
  <c r="GR56" i="100" s="1"/>
  <c r="ES61" i="100"/>
  <c r="GR61" i="100" s="1"/>
  <c r="ES58" i="100"/>
  <c r="GR58" i="100" s="1"/>
  <c r="ES46" i="100"/>
  <c r="GR46" i="100" s="1"/>
  <c r="ES66" i="100"/>
  <c r="GR66" i="100" s="1"/>
  <c r="ES48" i="100"/>
  <c r="GR48" i="100" s="1"/>
  <c r="ES55" i="100"/>
  <c r="GR55" i="100" s="1"/>
  <c r="ES44" i="100"/>
  <c r="GR44" i="100" s="1"/>
  <c r="ES51" i="100"/>
  <c r="GR51" i="100" s="1"/>
  <c r="ES49" i="100"/>
  <c r="GR49" i="100" s="1"/>
  <c r="ES25" i="100"/>
  <c r="GR25" i="100" s="1"/>
  <c r="ES17" i="100"/>
  <c r="GR17" i="100" s="1"/>
  <c r="ES34" i="100"/>
  <c r="GR34" i="100" s="1"/>
  <c r="ES12" i="100"/>
  <c r="GR12" i="100" s="1"/>
  <c r="ES15" i="100"/>
  <c r="GR15" i="100" s="1"/>
  <c r="ES16" i="100"/>
  <c r="GR16" i="100" s="1"/>
  <c r="ES19" i="100"/>
  <c r="GR19" i="100" s="1"/>
  <c r="ES23" i="100"/>
  <c r="GR23" i="100" s="1"/>
  <c r="ES35" i="100"/>
  <c r="GR35" i="100" s="1"/>
  <c r="ES64" i="100"/>
  <c r="GR64" i="100" s="1"/>
  <c r="ES47" i="100"/>
  <c r="GR47" i="100" s="1"/>
  <c r="ES57" i="100"/>
  <c r="GR57" i="100" s="1"/>
  <c r="ES42" i="100"/>
  <c r="GR42" i="100" s="1"/>
  <c r="ES52" i="100"/>
  <c r="GR52" i="100" s="1"/>
  <c r="ES54" i="100"/>
  <c r="GR54" i="100" s="1"/>
  <c r="ES59" i="100"/>
  <c r="GR59" i="100" s="1"/>
  <c r="ES53" i="100"/>
  <c r="GR53" i="100" s="1"/>
  <c r="ES39" i="100"/>
  <c r="GR39" i="100" s="1"/>
  <c r="AP30" i="98"/>
  <c r="EA77" i="98" s="1"/>
  <c r="AP24" i="98"/>
  <c r="W24" i="98"/>
  <c r="W28" i="98"/>
  <c r="DX39" i="98" s="1"/>
  <c r="W25" i="98"/>
  <c r="W22" i="98"/>
  <c r="W26" i="98"/>
  <c r="W29" i="98"/>
  <c r="DX40" i="98" s="1"/>
  <c r="W23" i="98"/>
  <c r="W27" i="98"/>
  <c r="DX38" i="98" s="1"/>
  <c r="W30" i="98"/>
  <c r="DX41" i="98" s="1"/>
  <c r="AM28" i="98"/>
  <c r="DX75" i="98" s="1"/>
  <c r="DJ5" i="93"/>
  <c r="FB5" i="93" s="1"/>
  <c r="DJ6" i="93"/>
  <c r="FB6" i="93" s="1"/>
  <c r="DJ11" i="93"/>
  <c r="FB11" i="93" s="1"/>
  <c r="DJ14" i="93"/>
  <c r="FB14" i="93" s="1"/>
  <c r="DJ9" i="93"/>
  <c r="FB9" i="93" s="1"/>
  <c r="DJ13" i="93"/>
  <c r="FB13" i="93" s="1"/>
  <c r="DJ8" i="93"/>
  <c r="FB8" i="93" s="1"/>
  <c r="DJ12" i="93"/>
  <c r="FB12" i="93" s="1"/>
  <c r="DJ10" i="93"/>
  <c r="FB10" i="93" s="1"/>
  <c r="DJ7" i="93"/>
  <c r="FB7" i="93" s="1"/>
  <c r="DJ30" i="93"/>
  <c r="FB30" i="93" s="1"/>
  <c r="DJ52" i="93"/>
  <c r="FB52" i="93" s="1"/>
  <c r="DJ38" i="93"/>
  <c r="FB38" i="93" s="1"/>
  <c r="DJ20" i="93"/>
  <c r="FB20" i="93" s="1"/>
  <c r="DJ58" i="93"/>
  <c r="FB58" i="93" s="1"/>
  <c r="DJ45" i="93"/>
  <c r="FB45" i="93" s="1"/>
  <c r="DJ62" i="93"/>
  <c r="FB62" i="93" s="1"/>
  <c r="DJ57" i="93"/>
  <c r="FB57" i="93" s="1"/>
  <c r="DJ47" i="93"/>
  <c r="FB47" i="93" s="1"/>
  <c r="DJ33" i="93"/>
  <c r="FB33" i="93" s="1"/>
  <c r="DJ29" i="93"/>
  <c r="FB29" i="93" s="1"/>
  <c r="DJ53" i="93"/>
  <c r="FB53" i="93" s="1"/>
  <c r="DJ26" i="93"/>
  <c r="FB26" i="93" s="1"/>
  <c r="DJ39" i="93"/>
  <c r="FB39" i="93" s="1"/>
  <c r="DJ60" i="93"/>
  <c r="FB60" i="93" s="1"/>
  <c r="DJ19" i="93"/>
  <c r="FB19" i="93" s="1"/>
  <c r="DJ43" i="93"/>
  <c r="FB43" i="93" s="1"/>
  <c r="DJ37" i="93"/>
  <c r="FB37" i="93" s="1"/>
  <c r="DJ22" i="93"/>
  <c r="FB22" i="93" s="1"/>
  <c r="DJ41" i="93"/>
  <c r="FB41" i="93" s="1"/>
  <c r="DJ49" i="93"/>
  <c r="FB49" i="93" s="1"/>
  <c r="DJ40" i="93"/>
  <c r="FB40" i="93" s="1"/>
  <c r="DJ15" i="93"/>
  <c r="FB15" i="93" s="1"/>
  <c r="DJ64" i="93"/>
  <c r="FB64" i="93" s="1"/>
  <c r="DJ48" i="93"/>
  <c r="FB48" i="93" s="1"/>
  <c r="DJ24" i="93"/>
  <c r="FB24" i="93" s="1"/>
  <c r="DJ42" i="93"/>
  <c r="FB42" i="93" s="1"/>
  <c r="DJ51" i="93"/>
  <c r="FB51" i="93" s="1"/>
  <c r="DJ56" i="93"/>
  <c r="FB56" i="93" s="1"/>
  <c r="DJ36" i="93"/>
  <c r="FB36" i="93" s="1"/>
  <c r="DJ21" i="93"/>
  <c r="FB21" i="93" s="1"/>
  <c r="DJ16" i="93"/>
  <c r="FB16" i="93" s="1"/>
  <c r="DJ61" i="93"/>
  <c r="FB61" i="93" s="1"/>
  <c r="DJ23" i="93"/>
  <c r="FB23" i="93" s="1"/>
  <c r="DJ27" i="93"/>
  <c r="FB27" i="93" s="1"/>
  <c r="DJ50" i="93"/>
  <c r="FB50" i="93" s="1"/>
  <c r="DJ34" i="93"/>
  <c r="FB34" i="93" s="1"/>
  <c r="DJ32" i="93"/>
  <c r="FB32" i="93" s="1"/>
  <c r="DJ31" i="93"/>
  <c r="FB31" i="93" s="1"/>
  <c r="DJ44" i="93"/>
  <c r="FB44" i="93" s="1"/>
  <c r="DJ46" i="93"/>
  <c r="FB46" i="93" s="1"/>
  <c r="DJ35" i="93"/>
  <c r="FB35" i="93" s="1"/>
  <c r="DJ25" i="93"/>
  <c r="FB25" i="93" s="1"/>
  <c r="DJ55" i="93"/>
  <c r="FB55" i="93" s="1"/>
  <c r="DJ59" i="93"/>
  <c r="FB59" i="93" s="1"/>
  <c r="DJ63" i="93"/>
  <c r="FB63" i="93" s="1"/>
  <c r="DJ17" i="93"/>
  <c r="FB17" i="93" s="1"/>
  <c r="DJ54" i="93"/>
  <c r="FB54" i="93" s="1"/>
  <c r="DJ28" i="93"/>
  <c r="FB28" i="93" s="1"/>
  <c r="DJ18" i="93"/>
  <c r="FB18" i="93" s="1"/>
  <c r="DT12" i="100"/>
  <c r="FO12" i="100" s="1"/>
  <c r="DB10" i="98"/>
  <c r="DB11" i="98"/>
  <c r="DB36" i="98"/>
  <c r="DB35" i="98"/>
  <c r="DC43" i="98"/>
  <c r="DC42" i="98"/>
  <c r="DC12" i="98"/>
  <c r="DC13" i="98"/>
  <c r="DC30" i="98"/>
  <c r="DC29" i="98"/>
  <c r="DN8" i="100"/>
  <c r="FH8" i="100" s="1"/>
  <c r="DN9" i="100"/>
  <c r="FH9" i="100" s="1"/>
  <c r="DN14" i="100"/>
  <c r="FH14" i="100" s="1"/>
  <c r="DN37" i="100"/>
  <c r="FH37" i="100" s="1"/>
  <c r="DN47" i="100"/>
  <c r="FH47" i="100" s="1"/>
  <c r="DN39" i="100"/>
  <c r="FH39" i="100" s="1"/>
  <c r="DN66" i="100"/>
  <c r="FH66" i="100" s="1"/>
  <c r="DN46" i="100"/>
  <c r="FH46" i="100" s="1"/>
  <c r="DN32" i="100"/>
  <c r="FH32" i="100" s="1"/>
  <c r="DN12" i="100"/>
  <c r="FH12" i="100" s="1"/>
  <c r="DN54" i="100"/>
  <c r="FH54" i="100" s="1"/>
  <c r="DN43" i="100"/>
  <c r="FH43" i="100" s="1"/>
  <c r="DN21" i="100"/>
  <c r="FH21" i="100" s="1"/>
  <c r="DN60" i="100"/>
  <c r="FH60" i="100" s="1"/>
  <c r="DN49" i="100"/>
  <c r="FH49" i="100" s="1"/>
  <c r="DN28" i="100"/>
  <c r="FH28" i="100" s="1"/>
  <c r="DN7" i="100"/>
  <c r="FH7" i="100" s="1"/>
  <c r="DN10" i="100"/>
  <c r="FH10" i="100" s="1"/>
  <c r="DN11" i="100"/>
  <c r="FH11" i="100" s="1"/>
  <c r="DN31" i="100"/>
  <c r="FH31" i="100" s="1"/>
  <c r="DN26" i="100"/>
  <c r="FH26" i="100" s="1"/>
  <c r="DN23" i="100"/>
  <c r="FH23" i="100" s="1"/>
  <c r="DN57" i="100"/>
  <c r="FH57" i="100" s="1"/>
  <c r="DN33" i="100"/>
  <c r="FH33" i="100" s="1"/>
  <c r="DN29" i="100"/>
  <c r="FH29" i="100" s="1"/>
  <c r="DN13" i="100"/>
  <c r="FH13" i="100" s="1"/>
  <c r="DN51" i="100"/>
  <c r="FH51" i="100" s="1"/>
  <c r="DN38" i="100"/>
  <c r="FH38" i="100" s="1"/>
  <c r="DN18" i="100"/>
  <c r="FH18" i="100" s="1"/>
  <c r="DN65" i="100"/>
  <c r="FH65" i="100" s="1"/>
  <c r="DN52" i="100"/>
  <c r="FH52" i="100" s="1"/>
  <c r="DN41" i="100"/>
  <c r="FH41" i="100" s="1"/>
  <c r="DN19" i="100"/>
  <c r="FH19" i="100" s="1"/>
  <c r="DN55" i="100"/>
  <c r="FH55" i="100" s="1"/>
  <c r="DN17" i="100"/>
  <c r="FH17" i="100" s="1"/>
  <c r="DN16" i="100"/>
  <c r="FH16" i="100" s="1"/>
  <c r="DN56" i="100"/>
  <c r="FH56" i="100" s="1"/>
  <c r="DN45" i="100"/>
  <c r="FH45" i="100" s="1"/>
  <c r="DN24" i="100"/>
  <c r="FH24" i="100" s="1"/>
  <c r="DN64" i="100"/>
  <c r="FH64" i="100" s="1"/>
  <c r="DN44" i="100"/>
  <c r="FH44" i="100" s="1"/>
  <c r="DN30" i="100"/>
  <c r="FH30" i="100" s="1"/>
  <c r="DN59" i="100"/>
  <c r="FH59" i="100" s="1"/>
  <c r="DN35" i="100"/>
  <c r="FH35" i="100" s="1"/>
  <c r="DN36" i="100"/>
  <c r="FH36" i="100" s="1"/>
  <c r="DN40" i="100"/>
  <c r="FH40" i="100" s="1"/>
  <c r="DN62" i="100"/>
  <c r="FH62" i="100" s="1"/>
  <c r="DN34" i="100"/>
  <c r="FH34" i="100" s="1"/>
  <c r="DN48" i="100"/>
  <c r="FH48" i="100" s="1"/>
  <c r="DN15" i="100"/>
  <c r="FH15" i="100" s="1"/>
  <c r="DN20" i="100"/>
  <c r="FH20" i="100" s="1"/>
  <c r="DN27" i="100"/>
  <c r="FH27" i="100" s="1"/>
  <c r="DN50" i="100"/>
  <c r="FH50" i="100" s="1"/>
  <c r="DN61" i="100"/>
  <c r="FH61" i="100" s="1"/>
  <c r="DN63" i="100"/>
  <c r="FH63" i="100" s="1"/>
  <c r="DN22" i="100"/>
  <c r="FH22" i="100" s="1"/>
  <c r="DN42" i="100"/>
  <c r="FH42" i="100" s="1"/>
  <c r="DN58" i="100"/>
  <c r="FH58" i="100" s="1"/>
  <c r="DN53" i="100"/>
  <c r="FH53" i="100" s="1"/>
  <c r="DN25" i="100"/>
  <c r="FH25" i="100" s="1"/>
  <c r="EI7" i="100"/>
  <c r="GG7" i="100" s="1"/>
  <c r="EI9" i="100"/>
  <c r="GG9" i="100" s="1"/>
  <c r="EI31" i="100"/>
  <c r="GG31" i="100" s="1"/>
  <c r="EI19" i="100"/>
  <c r="GG19" i="100" s="1"/>
  <c r="EI21" i="100"/>
  <c r="GG21" i="100" s="1"/>
  <c r="EI17" i="100"/>
  <c r="GG17" i="100" s="1"/>
  <c r="EI28" i="100"/>
  <c r="GG28" i="100" s="1"/>
  <c r="EI25" i="100"/>
  <c r="GG25" i="100" s="1"/>
  <c r="EI16" i="100"/>
  <c r="GG16" i="100" s="1"/>
  <c r="EI41" i="100"/>
  <c r="GG41" i="100" s="1"/>
  <c r="EI48" i="100"/>
  <c r="GG48" i="100" s="1"/>
  <c r="EI43" i="100"/>
  <c r="GG43" i="100" s="1"/>
  <c r="EI65" i="100"/>
  <c r="GG65" i="100" s="1"/>
  <c r="EI39" i="100"/>
  <c r="GG39" i="100" s="1"/>
  <c r="EI62" i="100"/>
  <c r="GG62" i="100" s="1"/>
  <c r="EI51" i="100"/>
  <c r="GG51" i="100" s="1"/>
  <c r="EI50" i="100"/>
  <c r="GG50" i="100" s="1"/>
  <c r="EI47" i="100"/>
  <c r="GG47" i="100" s="1"/>
  <c r="EI38" i="100"/>
  <c r="GG38" i="100" s="1"/>
  <c r="EI57" i="100"/>
  <c r="GG57" i="100" s="1"/>
  <c r="EI8" i="100"/>
  <c r="GG8" i="100" s="1"/>
  <c r="EI26" i="100"/>
  <c r="GG26" i="100" s="1"/>
  <c r="EI15" i="100"/>
  <c r="GG15" i="100" s="1"/>
  <c r="EI18" i="100"/>
  <c r="GG18" i="100" s="1"/>
  <c r="EI24" i="100"/>
  <c r="GG24" i="100" s="1"/>
  <c r="EI23" i="100"/>
  <c r="GG23" i="100" s="1"/>
  <c r="EI46" i="100"/>
  <c r="GG46" i="100" s="1"/>
  <c r="EI33" i="100"/>
  <c r="GG33" i="100" s="1"/>
  <c r="EI61" i="100"/>
  <c r="GG61" i="100" s="1"/>
  <c r="EI34" i="100"/>
  <c r="GG34" i="100" s="1"/>
  <c r="EI56" i="100"/>
  <c r="GG56" i="100" s="1"/>
  <c r="EI49" i="100"/>
  <c r="GG49" i="100" s="1"/>
  <c r="EI40" i="100"/>
  <c r="GG40" i="100" s="1"/>
  <c r="EI35" i="100"/>
  <c r="GG35" i="100" s="1"/>
  <c r="EI45" i="100"/>
  <c r="GG45" i="100" s="1"/>
  <c r="EI63" i="100"/>
  <c r="GG63" i="100" s="1"/>
  <c r="EI54" i="100"/>
  <c r="GG54" i="100" s="1"/>
  <c r="EI13" i="100"/>
  <c r="GG13" i="100" s="1"/>
  <c r="EI11" i="100"/>
  <c r="GG11" i="100" s="1"/>
  <c r="EI14" i="100"/>
  <c r="GG14" i="100" s="1"/>
  <c r="EI12" i="100"/>
  <c r="GG12" i="100" s="1"/>
  <c r="EI29" i="100"/>
  <c r="GG29" i="100" s="1"/>
  <c r="EI22" i="100"/>
  <c r="GG22" i="100" s="1"/>
  <c r="EI27" i="100"/>
  <c r="GG27" i="100" s="1"/>
  <c r="EI20" i="100"/>
  <c r="GG20" i="100" s="1"/>
  <c r="EI30" i="100"/>
  <c r="GG30" i="100" s="1"/>
  <c r="EI55" i="100"/>
  <c r="GG55" i="100" s="1"/>
  <c r="EI64" i="100"/>
  <c r="GG64" i="100" s="1"/>
  <c r="EI53" i="100"/>
  <c r="GG53" i="100" s="1"/>
  <c r="EI42" i="100"/>
  <c r="GG42" i="100" s="1"/>
  <c r="EI58" i="100"/>
  <c r="GG58" i="100" s="1"/>
  <c r="EI59" i="100"/>
  <c r="GG59" i="100" s="1"/>
  <c r="EI52" i="100"/>
  <c r="GG52" i="100" s="1"/>
  <c r="EI36" i="100"/>
  <c r="GG36" i="100" s="1"/>
  <c r="EI60" i="100"/>
  <c r="GG60" i="100" s="1"/>
  <c r="EI66" i="100"/>
  <c r="GG66" i="100" s="1"/>
  <c r="EI32" i="100"/>
  <c r="GG32" i="100" s="1"/>
  <c r="EI37" i="100"/>
  <c r="GG37" i="100" s="1"/>
  <c r="EI44" i="100"/>
  <c r="GG44" i="100" s="1"/>
  <c r="DR9" i="100"/>
  <c r="FM9" i="100" s="1"/>
  <c r="DR8" i="100"/>
  <c r="FM8" i="100" s="1"/>
  <c r="DR7" i="100"/>
  <c r="FM7" i="100" s="1"/>
  <c r="DR16" i="100"/>
  <c r="FM16" i="100" s="1"/>
  <c r="DR11" i="100"/>
  <c r="FM11" i="100" s="1"/>
  <c r="DR19" i="100"/>
  <c r="FM19" i="100" s="1"/>
  <c r="DR12" i="100"/>
  <c r="FM12" i="100" s="1"/>
  <c r="DR18" i="100"/>
  <c r="FM18" i="100" s="1"/>
  <c r="DR10" i="100"/>
  <c r="FM10" i="100" s="1"/>
  <c r="DR15" i="100"/>
  <c r="FM15" i="100" s="1"/>
  <c r="DR24" i="100"/>
  <c r="FM24" i="100" s="1"/>
  <c r="DR25" i="100"/>
  <c r="FM25" i="100" s="1"/>
  <c r="DR32" i="100"/>
  <c r="FM32" i="100" s="1"/>
  <c r="DR35" i="100"/>
  <c r="FM35" i="100" s="1"/>
  <c r="DR20" i="100"/>
  <c r="FM20" i="100" s="1"/>
  <c r="DR28" i="100"/>
  <c r="FM28" i="100" s="1"/>
  <c r="DR56" i="100"/>
  <c r="FM56" i="100" s="1"/>
  <c r="DR38" i="100"/>
  <c r="FM38" i="100" s="1"/>
  <c r="DR66" i="100"/>
  <c r="FM66" i="100" s="1"/>
  <c r="DR46" i="100"/>
  <c r="FM46" i="100" s="1"/>
  <c r="DR64" i="100"/>
  <c r="FM64" i="100" s="1"/>
  <c r="DR44" i="100"/>
  <c r="FM44" i="100" s="1"/>
  <c r="DR58" i="100"/>
  <c r="FM58" i="100" s="1"/>
  <c r="DR41" i="100"/>
  <c r="FM41" i="100" s="1"/>
  <c r="DR52" i="100"/>
  <c r="FM52" i="100" s="1"/>
  <c r="DR42" i="100"/>
  <c r="FM42" i="100" s="1"/>
  <c r="DR31" i="100"/>
  <c r="FM31" i="100" s="1"/>
  <c r="DR13" i="100"/>
  <c r="FM13" i="100" s="1"/>
  <c r="DR30" i="100"/>
  <c r="FM30" i="100" s="1"/>
  <c r="DR21" i="100"/>
  <c r="FM21" i="100" s="1"/>
  <c r="DR33" i="100"/>
  <c r="FM33" i="100" s="1"/>
  <c r="DR63" i="100"/>
  <c r="FM63" i="100" s="1"/>
  <c r="DR48" i="100"/>
  <c r="FM48" i="100" s="1"/>
  <c r="DR62" i="100"/>
  <c r="FM62" i="100" s="1"/>
  <c r="DR39" i="100"/>
  <c r="FM39" i="100" s="1"/>
  <c r="DR60" i="100"/>
  <c r="FM60" i="100" s="1"/>
  <c r="DR65" i="100"/>
  <c r="FM65" i="100" s="1"/>
  <c r="DR51" i="100"/>
  <c r="FM51" i="100" s="1"/>
  <c r="DR61" i="100"/>
  <c r="FM61" i="100" s="1"/>
  <c r="DR14" i="100"/>
  <c r="FM14" i="100" s="1"/>
  <c r="DR17" i="100"/>
  <c r="FM17" i="100" s="1"/>
  <c r="DR26" i="100"/>
  <c r="FM26" i="100" s="1"/>
  <c r="DR29" i="100"/>
  <c r="FM29" i="100" s="1"/>
  <c r="DR36" i="100"/>
  <c r="FM36" i="100" s="1"/>
  <c r="DR34" i="100"/>
  <c r="FM34" i="100" s="1"/>
  <c r="DR43" i="100"/>
  <c r="FM43" i="100" s="1"/>
  <c r="DR57" i="100"/>
  <c r="FM57" i="100" s="1"/>
  <c r="DR40" i="100"/>
  <c r="FM40" i="100" s="1"/>
  <c r="DR54" i="100"/>
  <c r="FM54" i="100" s="1"/>
  <c r="DR45" i="100"/>
  <c r="FM45" i="100" s="1"/>
  <c r="DR37" i="100"/>
  <c r="FM37" i="100" s="1"/>
  <c r="DR23" i="100"/>
  <c r="FM23" i="100" s="1"/>
  <c r="DR22" i="100"/>
  <c r="FM22" i="100" s="1"/>
  <c r="DR50" i="100"/>
  <c r="FM50" i="100" s="1"/>
  <c r="DR59" i="100"/>
  <c r="FM59" i="100" s="1"/>
  <c r="DR27" i="100"/>
  <c r="FM27" i="100" s="1"/>
  <c r="DR55" i="100"/>
  <c r="FM55" i="100" s="1"/>
  <c r="DR53" i="100"/>
  <c r="FM53" i="100" s="1"/>
  <c r="DR49" i="100"/>
  <c r="FM49" i="100" s="1"/>
  <c r="DR47" i="100"/>
  <c r="FM47" i="100" s="1"/>
  <c r="EM8" i="100"/>
  <c r="GK8" i="100" s="1"/>
  <c r="EM7" i="100"/>
  <c r="GK7" i="100" s="1"/>
  <c r="EM9" i="100"/>
  <c r="GK9" i="100" s="1"/>
  <c r="EM13" i="100"/>
  <c r="GK13" i="100" s="1"/>
  <c r="EM12" i="100"/>
  <c r="GK12" i="100" s="1"/>
  <c r="EM15" i="100"/>
  <c r="GK15" i="100" s="1"/>
  <c r="EM14" i="100"/>
  <c r="GK14" i="100" s="1"/>
  <c r="EM29" i="100"/>
  <c r="GK29" i="100" s="1"/>
  <c r="EM27" i="100"/>
  <c r="GK27" i="100" s="1"/>
  <c r="EM17" i="100"/>
  <c r="GK17" i="100" s="1"/>
  <c r="EM11" i="100"/>
  <c r="GK11" i="100" s="1"/>
  <c r="EM18" i="100"/>
  <c r="GK18" i="100" s="1"/>
  <c r="EM28" i="100"/>
  <c r="GK28" i="100" s="1"/>
  <c r="EM21" i="100"/>
  <c r="GK21" i="100" s="1"/>
  <c r="EM37" i="100"/>
  <c r="GK37" i="100" s="1"/>
  <c r="EM42" i="100"/>
  <c r="GK42" i="100" s="1"/>
  <c r="EM66" i="100"/>
  <c r="GK66" i="100" s="1"/>
  <c r="EM38" i="100"/>
  <c r="GK38" i="100" s="1"/>
  <c r="EM50" i="100"/>
  <c r="GK50" i="100" s="1"/>
  <c r="EM40" i="100"/>
  <c r="GK40" i="100" s="1"/>
  <c r="EM62" i="100"/>
  <c r="GK62" i="100" s="1"/>
  <c r="EM49" i="100"/>
  <c r="GK49" i="100" s="1"/>
  <c r="EM54" i="100"/>
  <c r="GK54" i="100" s="1"/>
  <c r="EM23" i="100"/>
  <c r="GK23" i="100" s="1"/>
  <c r="EM16" i="100"/>
  <c r="GK16" i="100" s="1"/>
  <c r="EM22" i="100"/>
  <c r="GK22" i="100" s="1"/>
  <c r="EM25" i="100"/>
  <c r="GK25" i="100" s="1"/>
  <c r="EM19" i="100"/>
  <c r="GK19" i="100" s="1"/>
  <c r="EM20" i="100"/>
  <c r="GK20" i="100" s="1"/>
  <c r="EM32" i="100"/>
  <c r="GK32" i="100" s="1"/>
  <c r="EM57" i="100"/>
  <c r="GK57" i="100" s="1"/>
  <c r="EM39" i="100"/>
  <c r="GK39" i="100" s="1"/>
  <c r="EM51" i="100"/>
  <c r="GK51" i="100" s="1"/>
  <c r="EM52" i="100"/>
  <c r="GK52" i="100" s="1"/>
  <c r="EM53" i="100"/>
  <c r="GK53" i="100" s="1"/>
  <c r="EM56" i="100"/>
  <c r="GK56" i="100" s="1"/>
  <c r="EM48" i="100"/>
  <c r="GK48" i="100" s="1"/>
  <c r="EM64" i="100"/>
  <c r="GK64" i="100" s="1"/>
  <c r="EM10" i="100"/>
  <c r="GK10" i="100" s="1"/>
  <c r="EM26" i="100"/>
  <c r="GK26" i="100" s="1"/>
  <c r="EM24" i="100"/>
  <c r="GK24" i="100" s="1"/>
  <c r="EM30" i="100"/>
  <c r="GK30" i="100" s="1"/>
  <c r="EM31" i="100"/>
  <c r="GK31" i="100" s="1"/>
  <c r="EM43" i="100"/>
  <c r="GK43" i="100" s="1"/>
  <c r="EM46" i="100"/>
  <c r="GK46" i="100" s="1"/>
  <c r="EM36" i="100"/>
  <c r="GK36" i="100" s="1"/>
  <c r="EM59" i="100"/>
  <c r="GK59" i="100" s="1"/>
  <c r="EM33" i="100"/>
  <c r="GK33" i="100" s="1"/>
  <c r="EM61" i="100"/>
  <c r="GK61" i="100" s="1"/>
  <c r="EM35" i="100"/>
  <c r="GK35" i="100" s="1"/>
  <c r="EM55" i="100"/>
  <c r="GK55" i="100" s="1"/>
  <c r="EM60" i="100"/>
  <c r="GK60" i="100" s="1"/>
  <c r="EM45" i="100"/>
  <c r="GK45" i="100" s="1"/>
  <c r="EM41" i="100"/>
  <c r="GK41" i="100" s="1"/>
  <c r="EM63" i="100"/>
  <c r="GK63" i="100" s="1"/>
  <c r="EM44" i="100"/>
  <c r="GK44" i="100" s="1"/>
  <c r="EM34" i="100"/>
  <c r="GK34" i="100" s="1"/>
  <c r="EM47" i="100"/>
  <c r="GK47" i="100" s="1"/>
  <c r="EM58" i="100"/>
  <c r="GK58" i="100" s="1"/>
  <c r="EM65" i="100"/>
  <c r="GK65" i="100" s="1"/>
  <c r="DI14" i="100"/>
  <c r="FB14" i="100" s="1"/>
  <c r="DI46" i="100"/>
  <c r="FB46" i="100" s="1"/>
  <c r="DI16" i="100"/>
  <c r="FB16" i="100" s="1"/>
  <c r="DI7" i="100"/>
  <c r="FB7" i="100" s="1"/>
  <c r="DI9" i="100"/>
  <c r="FB9" i="100" s="1"/>
  <c r="DI8" i="100"/>
  <c r="FB8" i="100" s="1"/>
  <c r="DI11" i="100"/>
  <c r="FB11" i="100" s="1"/>
  <c r="DI24" i="100"/>
  <c r="FB24" i="100" s="1"/>
  <c r="DI55" i="100"/>
  <c r="FB55" i="100" s="1"/>
  <c r="DI18" i="100"/>
  <c r="FB18" i="100" s="1"/>
  <c r="DI61" i="100"/>
  <c r="FB61" i="100" s="1"/>
  <c r="DI15" i="100"/>
  <c r="FB15" i="100" s="1"/>
  <c r="DI33" i="100"/>
  <c r="FB33" i="100" s="1"/>
  <c r="DI19" i="100"/>
  <c r="FB19" i="100" s="1"/>
  <c r="DI37" i="100"/>
  <c r="FB37" i="100" s="1"/>
  <c r="DI10" i="100"/>
  <c r="FB10" i="100" s="1"/>
  <c r="DI22" i="100"/>
  <c r="FB22" i="100" s="1"/>
  <c r="DI48" i="100"/>
  <c r="FB48" i="100" s="1"/>
  <c r="DI41" i="100"/>
  <c r="FB41" i="100" s="1"/>
  <c r="DI49" i="100"/>
  <c r="FB49" i="100" s="1"/>
  <c r="DI50" i="100"/>
  <c r="FB50" i="100" s="1"/>
  <c r="DI20" i="100"/>
  <c r="FB20" i="100" s="1"/>
  <c r="DI64" i="100"/>
  <c r="FB64" i="100" s="1"/>
  <c r="DI47" i="100"/>
  <c r="FB47" i="100" s="1"/>
  <c r="DI43" i="100"/>
  <c r="FB43" i="100" s="1"/>
  <c r="DI25" i="100"/>
  <c r="FB25" i="100" s="1"/>
  <c r="DI56" i="100"/>
  <c r="FB56" i="100" s="1"/>
  <c r="DI27" i="100"/>
  <c r="FB27" i="100" s="1"/>
  <c r="DI58" i="100"/>
  <c r="FB58" i="100" s="1"/>
  <c r="DI13" i="100"/>
  <c r="FB13" i="100" s="1"/>
  <c r="DI36" i="100"/>
  <c r="FB36" i="100" s="1"/>
  <c r="DI29" i="100"/>
  <c r="FB29" i="100" s="1"/>
  <c r="DI65" i="100"/>
  <c r="FB65" i="100" s="1"/>
  <c r="DI51" i="100"/>
  <c r="FB51" i="100" s="1"/>
  <c r="DI35" i="100"/>
  <c r="FB35" i="100" s="1"/>
  <c r="DI17" i="100"/>
  <c r="FB17" i="100" s="1"/>
  <c r="DI44" i="100"/>
  <c r="FB44" i="100" s="1"/>
  <c r="DI34" i="100"/>
  <c r="FB34" i="100" s="1"/>
  <c r="DI66" i="100"/>
  <c r="FB66" i="100" s="1"/>
  <c r="DI38" i="100"/>
  <c r="FB38" i="100" s="1"/>
  <c r="DI57" i="100"/>
  <c r="FB57" i="100" s="1"/>
  <c r="DI21" i="100"/>
  <c r="FB21" i="100" s="1"/>
  <c r="DI28" i="100"/>
  <c r="FB28" i="100" s="1"/>
  <c r="DI54" i="100"/>
  <c r="FB54" i="100" s="1"/>
  <c r="DI60" i="100"/>
  <c r="FB60" i="100" s="1"/>
  <c r="DI40" i="100"/>
  <c r="FB40" i="100" s="1"/>
  <c r="DI12" i="100"/>
  <c r="FB12" i="100" s="1"/>
  <c r="DI32" i="100"/>
  <c r="FB32" i="100" s="1"/>
  <c r="DI26" i="100"/>
  <c r="FB26" i="100" s="1"/>
  <c r="DI52" i="100"/>
  <c r="FB52" i="100" s="1"/>
  <c r="DI31" i="100"/>
  <c r="FB31" i="100" s="1"/>
  <c r="DI53" i="100"/>
  <c r="FB53" i="100" s="1"/>
  <c r="DI42" i="100"/>
  <c r="FB42" i="100" s="1"/>
  <c r="DI63" i="100"/>
  <c r="FB63" i="100" s="1"/>
  <c r="DI23" i="100"/>
  <c r="FB23" i="100" s="1"/>
  <c r="DI39" i="100"/>
  <c r="FB39" i="100" s="1"/>
  <c r="DI62" i="100"/>
  <c r="FB62" i="100" s="1"/>
  <c r="DI59" i="100"/>
  <c r="FB59" i="100" s="1"/>
  <c r="DI45" i="100"/>
  <c r="FB45" i="100" s="1"/>
  <c r="DI30" i="100"/>
  <c r="FB30" i="100" s="1"/>
  <c r="EL9" i="100"/>
  <c r="GJ9" i="100" s="1"/>
  <c r="EL16" i="100"/>
  <c r="GJ16" i="100" s="1"/>
  <c r="EL11" i="100"/>
  <c r="GJ11" i="100" s="1"/>
  <c r="EL17" i="100"/>
  <c r="GJ17" i="100" s="1"/>
  <c r="EL13" i="100"/>
  <c r="GJ13" i="100" s="1"/>
  <c r="EL21" i="100"/>
  <c r="GJ21" i="100" s="1"/>
  <c r="EL8" i="100"/>
  <c r="GJ8" i="100" s="1"/>
  <c r="EL12" i="100"/>
  <c r="GJ12" i="100" s="1"/>
  <c r="EL29" i="100"/>
  <c r="GJ29" i="100" s="1"/>
  <c r="EL23" i="100"/>
  <c r="GJ23" i="100" s="1"/>
  <c r="EL15" i="100"/>
  <c r="GJ15" i="100" s="1"/>
  <c r="EL19" i="100"/>
  <c r="GJ19" i="100" s="1"/>
  <c r="EL20" i="100"/>
  <c r="GJ20" i="100" s="1"/>
  <c r="EL27" i="100"/>
  <c r="GJ27" i="100" s="1"/>
  <c r="EL30" i="100"/>
  <c r="GJ30" i="100" s="1"/>
  <c r="EL65" i="100"/>
  <c r="GJ65" i="100" s="1"/>
  <c r="EL64" i="100"/>
  <c r="GJ64" i="100" s="1"/>
  <c r="EL46" i="100"/>
  <c r="GJ46" i="100" s="1"/>
  <c r="EL62" i="100"/>
  <c r="GJ62" i="100" s="1"/>
  <c r="EL44" i="100"/>
  <c r="GJ44" i="100" s="1"/>
  <c r="EL50" i="100"/>
  <c r="GJ50" i="100" s="1"/>
  <c r="EL34" i="100"/>
  <c r="GJ34" i="100" s="1"/>
  <c r="EL66" i="100"/>
  <c r="GJ66" i="100" s="1"/>
  <c r="EL48" i="100"/>
  <c r="GJ48" i="100" s="1"/>
  <c r="EL35" i="100"/>
  <c r="GJ35" i="100" s="1"/>
  <c r="EL47" i="100"/>
  <c r="GJ47" i="100" s="1"/>
  <c r="EL31" i="100"/>
  <c r="GJ31" i="100" s="1"/>
  <c r="EL10" i="100"/>
  <c r="GJ10" i="100" s="1"/>
  <c r="EL24" i="100"/>
  <c r="GJ24" i="100" s="1"/>
  <c r="EL28" i="100"/>
  <c r="GJ28" i="100" s="1"/>
  <c r="EL18" i="100"/>
  <c r="GJ18" i="100" s="1"/>
  <c r="EL57" i="100"/>
  <c r="GJ57" i="100" s="1"/>
  <c r="EL37" i="100"/>
  <c r="GJ37" i="100" s="1"/>
  <c r="EL60" i="100"/>
  <c r="GJ60" i="100" s="1"/>
  <c r="EL33" i="100"/>
  <c r="GJ33" i="100" s="1"/>
  <c r="EL55" i="100"/>
  <c r="GJ55" i="100" s="1"/>
  <c r="EL42" i="100"/>
  <c r="GJ42" i="100" s="1"/>
  <c r="EL61" i="100"/>
  <c r="GJ61" i="100" s="1"/>
  <c r="EL40" i="100"/>
  <c r="GJ40" i="100" s="1"/>
  <c r="EL49" i="100"/>
  <c r="GJ49" i="100" s="1"/>
  <c r="EL7" i="100"/>
  <c r="GJ7" i="100" s="1"/>
  <c r="EL14" i="100"/>
  <c r="GJ14" i="100" s="1"/>
  <c r="EL26" i="100"/>
  <c r="GJ26" i="100" s="1"/>
  <c r="EL22" i="100"/>
  <c r="GJ22" i="100" s="1"/>
  <c r="EL54" i="100"/>
  <c r="GJ54" i="100" s="1"/>
  <c r="EL45" i="100"/>
  <c r="GJ45" i="100" s="1"/>
  <c r="EL52" i="100"/>
  <c r="GJ52" i="100" s="1"/>
  <c r="EL43" i="100"/>
  <c r="GJ43" i="100" s="1"/>
  <c r="EL56" i="100"/>
  <c r="GJ56" i="100" s="1"/>
  <c r="EL51" i="100"/>
  <c r="GJ51" i="100" s="1"/>
  <c r="EL36" i="100"/>
  <c r="GJ36" i="100" s="1"/>
  <c r="EL32" i="100"/>
  <c r="GJ32" i="100" s="1"/>
  <c r="EL38" i="100"/>
  <c r="GJ38" i="100" s="1"/>
  <c r="EL59" i="100"/>
  <c r="GJ59" i="100" s="1"/>
  <c r="EL58" i="100"/>
  <c r="GJ58" i="100" s="1"/>
  <c r="EL63" i="100"/>
  <c r="GJ63" i="100" s="1"/>
  <c r="EL39" i="100"/>
  <c r="GJ39" i="100" s="1"/>
  <c r="EL41" i="100"/>
  <c r="GJ41" i="100" s="1"/>
  <c r="EL53" i="100"/>
  <c r="GJ53" i="100" s="1"/>
  <c r="DL8" i="100"/>
  <c r="FF8" i="100" s="1"/>
  <c r="DL9" i="100"/>
  <c r="FF9" i="100" s="1"/>
  <c r="DL7" i="100"/>
  <c r="FF7" i="100" s="1"/>
  <c r="DL42" i="100"/>
  <c r="FF42" i="100" s="1"/>
  <c r="DL40" i="100"/>
  <c r="FF40" i="100" s="1"/>
  <c r="DL57" i="100"/>
  <c r="FF57" i="100" s="1"/>
  <c r="DL36" i="100"/>
  <c r="FF36" i="100" s="1"/>
  <c r="DL39" i="100"/>
  <c r="FF39" i="100" s="1"/>
  <c r="DL16" i="100"/>
  <c r="FF16" i="100" s="1"/>
  <c r="DL63" i="100"/>
  <c r="FF63" i="100" s="1"/>
  <c r="DL45" i="100"/>
  <c r="FF45" i="100" s="1"/>
  <c r="DL29" i="100"/>
  <c r="FF29" i="100" s="1"/>
  <c r="DL13" i="100"/>
  <c r="FF13" i="100" s="1"/>
  <c r="DL59" i="100"/>
  <c r="FF59" i="100" s="1"/>
  <c r="DL24" i="100"/>
  <c r="FF24" i="100" s="1"/>
  <c r="DL28" i="100"/>
  <c r="FF28" i="100" s="1"/>
  <c r="DL56" i="100"/>
  <c r="FF56" i="100" s="1"/>
  <c r="DL49" i="100"/>
  <c r="FF49" i="100" s="1"/>
  <c r="DL62" i="100"/>
  <c r="FF62" i="100" s="1"/>
  <c r="DL50" i="100"/>
  <c r="FF50" i="100" s="1"/>
  <c r="DL65" i="100"/>
  <c r="FF65" i="100" s="1"/>
  <c r="DL47" i="100"/>
  <c r="FF47" i="100" s="1"/>
  <c r="DL31" i="100"/>
  <c r="FF31" i="100" s="1"/>
  <c r="DL15" i="100"/>
  <c r="FF15" i="100" s="1"/>
  <c r="DL61" i="100"/>
  <c r="FF61" i="100" s="1"/>
  <c r="DL34" i="100"/>
  <c r="FF34" i="100" s="1"/>
  <c r="DL30" i="100"/>
  <c r="FF30" i="100" s="1"/>
  <c r="DL12" i="100"/>
  <c r="FF12" i="100" s="1"/>
  <c r="DL51" i="100"/>
  <c r="FF51" i="100" s="1"/>
  <c r="DL44" i="100"/>
  <c r="FF44" i="100" s="1"/>
  <c r="DL20" i="100"/>
  <c r="FF20" i="100" s="1"/>
  <c r="DL11" i="100"/>
  <c r="FF11" i="100" s="1"/>
  <c r="DL10" i="100"/>
  <c r="FF10" i="100" s="1"/>
  <c r="DL18" i="100"/>
  <c r="FF18" i="100" s="1"/>
  <c r="DL33" i="100"/>
  <c r="FF33" i="100" s="1"/>
  <c r="DL41" i="100"/>
  <c r="FF41" i="100" s="1"/>
  <c r="DL27" i="100"/>
  <c r="FF27" i="100" s="1"/>
  <c r="DL58" i="100"/>
  <c r="FF58" i="100" s="1"/>
  <c r="DL38" i="100"/>
  <c r="FF38" i="100" s="1"/>
  <c r="DL32" i="100"/>
  <c r="FF32" i="100" s="1"/>
  <c r="DL14" i="100"/>
  <c r="FF14" i="100" s="1"/>
  <c r="DL53" i="100"/>
  <c r="FF53" i="100" s="1"/>
  <c r="DL46" i="100"/>
  <c r="FF46" i="100" s="1"/>
  <c r="DL23" i="100"/>
  <c r="FF23" i="100" s="1"/>
  <c r="DL52" i="100"/>
  <c r="FF52" i="100" s="1"/>
  <c r="DL35" i="100"/>
  <c r="FF35" i="100" s="1"/>
  <c r="DL19" i="100"/>
  <c r="FF19" i="100" s="1"/>
  <c r="DL55" i="100"/>
  <c r="FF55" i="100" s="1"/>
  <c r="DL54" i="100"/>
  <c r="FF54" i="100" s="1"/>
  <c r="DL43" i="100"/>
  <c r="FF43" i="100" s="1"/>
  <c r="DL26" i="100"/>
  <c r="FF26" i="100" s="1"/>
  <c r="DL48" i="100"/>
  <c r="FF48" i="100" s="1"/>
  <c r="DL37" i="100"/>
  <c r="FF37" i="100" s="1"/>
  <c r="DL22" i="100"/>
  <c r="FF22" i="100" s="1"/>
  <c r="DL66" i="100"/>
  <c r="FF66" i="100" s="1"/>
  <c r="DL17" i="100"/>
  <c r="FF17" i="100" s="1"/>
  <c r="DL25" i="100"/>
  <c r="FF25" i="100" s="1"/>
  <c r="DL21" i="100"/>
  <c r="FF21" i="100" s="1"/>
  <c r="DL64" i="100"/>
  <c r="FF64" i="100" s="1"/>
  <c r="DL60" i="100"/>
  <c r="FF60" i="100" s="1"/>
  <c r="EC10" i="100"/>
  <c r="FZ10" i="100" s="1"/>
  <c r="EC9" i="100"/>
  <c r="FZ9" i="100" s="1"/>
  <c r="EC14" i="100"/>
  <c r="FZ14" i="100" s="1"/>
  <c r="EC7" i="100"/>
  <c r="FZ7" i="100" s="1"/>
  <c r="EC11" i="100"/>
  <c r="FZ11" i="100" s="1"/>
  <c r="EC8" i="100"/>
  <c r="FZ8" i="100" s="1"/>
  <c r="EC16" i="100"/>
  <c r="FZ16" i="100" s="1"/>
  <c r="EC15" i="100"/>
  <c r="FZ15" i="100" s="1"/>
  <c r="EC18" i="100"/>
  <c r="FZ18" i="100" s="1"/>
  <c r="EC19" i="100"/>
  <c r="FZ19" i="100" s="1"/>
  <c r="EC24" i="100"/>
  <c r="FZ24" i="100" s="1"/>
  <c r="EC30" i="100"/>
  <c r="FZ30" i="100" s="1"/>
  <c r="EC27" i="100"/>
  <c r="FZ27" i="100" s="1"/>
  <c r="EC31" i="100"/>
  <c r="FZ31" i="100" s="1"/>
  <c r="EC26" i="100"/>
  <c r="FZ26" i="100" s="1"/>
  <c r="EC42" i="100"/>
  <c r="FZ42" i="100" s="1"/>
  <c r="EC45" i="100"/>
  <c r="FZ45" i="100" s="1"/>
  <c r="EC32" i="100"/>
  <c r="FZ32" i="100" s="1"/>
  <c r="EC50" i="100"/>
  <c r="FZ50" i="100" s="1"/>
  <c r="EC34" i="100"/>
  <c r="FZ34" i="100" s="1"/>
  <c r="EC60" i="100"/>
  <c r="FZ60" i="100" s="1"/>
  <c r="EC36" i="100"/>
  <c r="FZ36" i="100" s="1"/>
  <c r="EC54" i="100"/>
  <c r="FZ54" i="100" s="1"/>
  <c r="EC57" i="100"/>
  <c r="FZ57" i="100" s="1"/>
  <c r="EC43" i="100"/>
  <c r="FZ43" i="100" s="1"/>
  <c r="EC44" i="100"/>
  <c r="FZ44" i="100" s="1"/>
  <c r="EC41" i="100"/>
  <c r="FZ41" i="100" s="1"/>
  <c r="EC48" i="100"/>
  <c r="FZ48" i="100" s="1"/>
  <c r="EC20" i="100"/>
  <c r="FZ20" i="100" s="1"/>
  <c r="EC22" i="100"/>
  <c r="FZ22" i="100" s="1"/>
  <c r="EC12" i="100"/>
  <c r="FZ12" i="100" s="1"/>
  <c r="EC13" i="100"/>
  <c r="FZ13" i="100" s="1"/>
  <c r="EC21" i="100"/>
  <c r="FZ21" i="100" s="1"/>
  <c r="EC28" i="100"/>
  <c r="FZ28" i="100" s="1"/>
  <c r="EC35" i="100"/>
  <c r="FZ35" i="100" s="1"/>
  <c r="EC59" i="100"/>
  <c r="FZ59" i="100" s="1"/>
  <c r="EC37" i="100"/>
  <c r="FZ37" i="100" s="1"/>
  <c r="EC58" i="100"/>
  <c r="FZ58" i="100" s="1"/>
  <c r="EC46" i="100"/>
  <c r="FZ46" i="100" s="1"/>
  <c r="EC66" i="100"/>
  <c r="FZ66" i="100" s="1"/>
  <c r="EC40" i="100"/>
  <c r="FZ40" i="100" s="1"/>
  <c r="EC62" i="100"/>
  <c r="FZ62" i="100" s="1"/>
  <c r="EC38" i="100"/>
  <c r="FZ38" i="100" s="1"/>
  <c r="EC63" i="100"/>
  <c r="FZ63" i="100" s="1"/>
  <c r="EC64" i="100"/>
  <c r="FZ64" i="100" s="1"/>
  <c r="EC47" i="100"/>
  <c r="FZ47" i="100" s="1"/>
  <c r="EC55" i="100"/>
  <c r="FZ55" i="100" s="1"/>
  <c r="EC17" i="100"/>
  <c r="FZ17" i="100" s="1"/>
  <c r="EC29" i="100"/>
  <c r="FZ29" i="100" s="1"/>
  <c r="EC23" i="100"/>
  <c r="FZ23" i="100" s="1"/>
  <c r="EC25" i="100"/>
  <c r="FZ25" i="100" s="1"/>
  <c r="EC56" i="100"/>
  <c r="FZ56" i="100" s="1"/>
  <c r="EC52" i="100"/>
  <c r="FZ52" i="100" s="1"/>
  <c r="EC53" i="100"/>
  <c r="FZ53" i="100" s="1"/>
  <c r="EC51" i="100"/>
  <c r="FZ51" i="100" s="1"/>
  <c r="EC61" i="100"/>
  <c r="FZ61" i="100" s="1"/>
  <c r="EC33" i="100"/>
  <c r="FZ33" i="100" s="1"/>
  <c r="EC39" i="100"/>
  <c r="FZ39" i="100" s="1"/>
  <c r="EC49" i="100"/>
  <c r="FZ49" i="100" s="1"/>
  <c r="EC65" i="100"/>
  <c r="FZ65" i="100" s="1"/>
  <c r="EE7" i="100"/>
  <c r="GB7" i="100" s="1"/>
  <c r="EE16" i="100"/>
  <c r="GB16" i="100" s="1"/>
  <c r="EE13" i="100"/>
  <c r="GB13" i="100" s="1"/>
  <c r="EE21" i="100"/>
  <c r="GB21" i="100" s="1"/>
  <c r="EE27" i="100"/>
  <c r="GB27" i="100" s="1"/>
  <c r="EE15" i="100"/>
  <c r="GB15" i="100" s="1"/>
  <c r="EE31" i="100"/>
  <c r="GB31" i="100" s="1"/>
  <c r="EE22" i="100"/>
  <c r="GB22" i="100" s="1"/>
  <c r="EE11" i="100"/>
  <c r="GB11" i="100" s="1"/>
  <c r="EE12" i="100"/>
  <c r="GB12" i="100" s="1"/>
  <c r="EE34" i="100"/>
  <c r="GB34" i="100" s="1"/>
  <c r="EE42" i="100"/>
  <c r="GB42" i="100" s="1"/>
  <c r="EE36" i="100"/>
  <c r="GB36" i="100" s="1"/>
  <c r="EE59" i="100"/>
  <c r="GB59" i="100" s="1"/>
  <c r="EE33" i="100"/>
  <c r="GB33" i="100" s="1"/>
  <c r="EE61" i="100"/>
  <c r="GB61" i="100" s="1"/>
  <c r="EE35" i="100"/>
  <c r="GB35" i="100" s="1"/>
  <c r="EE40" i="100"/>
  <c r="GB40" i="100" s="1"/>
  <c r="EE29" i="100"/>
  <c r="GB29" i="100" s="1"/>
  <c r="EE14" i="100"/>
  <c r="GB14" i="100" s="1"/>
  <c r="EE28" i="100"/>
  <c r="GB28" i="100" s="1"/>
  <c r="EE18" i="100"/>
  <c r="GB18" i="100" s="1"/>
  <c r="EE19" i="100"/>
  <c r="GB19" i="100" s="1"/>
  <c r="EE26" i="100"/>
  <c r="GB26" i="100" s="1"/>
  <c r="EE8" i="100"/>
  <c r="GB8" i="100" s="1"/>
  <c r="EE25" i="100"/>
  <c r="GB25" i="100" s="1"/>
  <c r="EE37" i="100"/>
  <c r="GB37" i="100" s="1"/>
  <c r="EE46" i="100"/>
  <c r="GB46" i="100" s="1"/>
  <c r="EE62" i="100"/>
  <c r="GB62" i="100" s="1"/>
  <c r="EE47" i="100"/>
  <c r="GB47" i="100" s="1"/>
  <c r="EE50" i="100"/>
  <c r="GB50" i="100" s="1"/>
  <c r="EE41" i="100"/>
  <c r="GB41" i="100" s="1"/>
  <c r="EE63" i="100"/>
  <c r="GB63" i="100" s="1"/>
  <c r="EE43" i="100"/>
  <c r="GB43" i="100" s="1"/>
  <c r="EE65" i="100"/>
  <c r="GB65" i="100" s="1"/>
  <c r="EE9" i="100"/>
  <c r="GB9" i="100" s="1"/>
  <c r="EE17" i="100"/>
  <c r="GB17" i="100" s="1"/>
  <c r="EE23" i="100"/>
  <c r="GB23" i="100" s="1"/>
  <c r="EE20" i="100"/>
  <c r="GB20" i="100" s="1"/>
  <c r="EE30" i="100"/>
  <c r="GB30" i="100" s="1"/>
  <c r="EE10" i="100"/>
  <c r="GB10" i="100" s="1"/>
  <c r="EE32" i="100"/>
  <c r="GB32" i="100" s="1"/>
  <c r="EE57" i="100"/>
  <c r="GB57" i="100" s="1"/>
  <c r="EE60" i="100"/>
  <c r="GB60" i="100" s="1"/>
  <c r="EE38" i="100"/>
  <c r="GB38" i="100" s="1"/>
  <c r="EE52" i="100"/>
  <c r="GB52" i="100" s="1"/>
  <c r="EE49" i="100"/>
  <c r="GB49" i="100" s="1"/>
  <c r="EE58" i="100"/>
  <c r="GB58" i="100" s="1"/>
  <c r="EE44" i="100"/>
  <c r="GB44" i="100" s="1"/>
  <c r="EE54" i="100"/>
  <c r="GB54" i="100" s="1"/>
  <c r="EE24" i="100"/>
  <c r="GB24" i="100" s="1"/>
  <c r="EE51" i="100"/>
  <c r="GB51" i="100" s="1"/>
  <c r="EE55" i="100"/>
  <c r="GB55" i="100" s="1"/>
  <c r="EE45" i="100"/>
  <c r="GB45" i="100" s="1"/>
  <c r="EE64" i="100"/>
  <c r="GB64" i="100" s="1"/>
  <c r="EE56" i="100"/>
  <c r="GB56" i="100" s="1"/>
  <c r="EE48" i="100"/>
  <c r="GB48" i="100" s="1"/>
  <c r="EE53" i="100"/>
  <c r="GB53" i="100" s="1"/>
  <c r="EE39" i="100"/>
  <c r="GB39" i="100" s="1"/>
  <c r="EE66" i="100"/>
  <c r="GB66" i="100" s="1"/>
  <c r="EV7" i="100"/>
  <c r="GU7" i="100" s="1"/>
  <c r="EV8" i="100"/>
  <c r="GU8" i="100" s="1"/>
  <c r="EV18" i="100"/>
  <c r="GU18" i="100" s="1"/>
  <c r="EV16" i="100"/>
  <c r="GU16" i="100" s="1"/>
  <c r="EV23" i="100"/>
  <c r="GU23" i="100" s="1"/>
  <c r="EV27" i="100"/>
  <c r="GU27" i="100" s="1"/>
  <c r="EV19" i="100"/>
  <c r="GU19" i="100" s="1"/>
  <c r="EV26" i="100"/>
  <c r="GU26" i="100" s="1"/>
  <c r="EV29" i="100"/>
  <c r="GU29" i="100" s="1"/>
  <c r="EV9" i="100"/>
  <c r="GU9" i="100" s="1"/>
  <c r="EV24" i="100"/>
  <c r="GU24" i="100" s="1"/>
  <c r="EV33" i="100"/>
  <c r="GU33" i="100" s="1"/>
  <c r="EV36" i="100"/>
  <c r="GU36" i="100" s="1"/>
  <c r="EV37" i="100"/>
  <c r="GU37" i="100" s="1"/>
  <c r="EV35" i="100"/>
  <c r="GU35" i="100" s="1"/>
  <c r="EV20" i="100"/>
  <c r="GU20" i="100" s="1"/>
  <c r="EV34" i="100"/>
  <c r="GU34" i="100" s="1"/>
  <c r="EV25" i="100"/>
  <c r="GU25" i="100" s="1"/>
  <c r="EV43" i="100"/>
  <c r="GU43" i="100" s="1"/>
  <c r="EV60" i="100"/>
  <c r="GU60" i="100" s="1"/>
  <c r="EV50" i="100"/>
  <c r="GU50" i="100" s="1"/>
  <c r="EV44" i="100"/>
  <c r="GU44" i="100" s="1"/>
  <c r="EV63" i="100"/>
  <c r="GU63" i="100" s="1"/>
  <c r="EV49" i="100"/>
  <c r="GU49" i="100" s="1"/>
  <c r="EV65" i="100"/>
  <c r="GU65" i="100" s="1"/>
  <c r="EV40" i="100"/>
  <c r="GU40" i="100" s="1"/>
  <c r="EV42" i="100"/>
  <c r="GU42" i="100" s="1"/>
  <c r="EV52" i="100"/>
  <c r="GU52" i="100" s="1"/>
  <c r="EV59" i="100"/>
  <c r="GU59" i="100" s="1"/>
  <c r="EV13" i="100"/>
  <c r="GU13" i="100" s="1"/>
  <c r="EV12" i="100"/>
  <c r="GU12" i="100" s="1"/>
  <c r="EV14" i="100"/>
  <c r="GU14" i="100" s="1"/>
  <c r="EV10" i="100"/>
  <c r="GU10" i="100" s="1"/>
  <c r="EV28" i="100"/>
  <c r="GU28" i="100" s="1"/>
  <c r="EV21" i="100"/>
  <c r="GU21" i="100" s="1"/>
  <c r="EV64" i="100"/>
  <c r="GU64" i="100" s="1"/>
  <c r="EV38" i="100"/>
  <c r="GU38" i="100" s="1"/>
  <c r="EV54" i="100"/>
  <c r="GU54" i="100" s="1"/>
  <c r="EV55" i="100"/>
  <c r="GU55" i="100" s="1"/>
  <c r="EV47" i="100"/>
  <c r="GU47" i="100" s="1"/>
  <c r="EV62" i="100"/>
  <c r="GU62" i="100" s="1"/>
  <c r="EV51" i="100"/>
  <c r="GU51" i="100" s="1"/>
  <c r="EV66" i="100"/>
  <c r="GU66" i="100" s="1"/>
  <c r="EV53" i="100"/>
  <c r="GU53" i="100" s="1"/>
  <c r="EV58" i="100"/>
  <c r="GU58" i="100" s="1"/>
  <c r="EV46" i="100"/>
  <c r="GU46" i="100" s="1"/>
  <c r="EV22" i="100"/>
  <c r="GU22" i="100" s="1"/>
  <c r="EV30" i="100"/>
  <c r="GU30" i="100" s="1"/>
  <c r="EV15" i="100"/>
  <c r="GU15" i="100" s="1"/>
  <c r="EV17" i="100"/>
  <c r="GU17" i="100" s="1"/>
  <c r="EV11" i="100"/>
  <c r="GU11" i="100" s="1"/>
  <c r="EV31" i="100"/>
  <c r="GU31" i="100" s="1"/>
  <c r="EV32" i="100"/>
  <c r="GU32" i="100" s="1"/>
  <c r="EV61" i="100"/>
  <c r="GU61" i="100" s="1"/>
  <c r="EV41" i="100"/>
  <c r="GU41" i="100" s="1"/>
  <c r="EV56" i="100"/>
  <c r="GU56" i="100" s="1"/>
  <c r="EV48" i="100"/>
  <c r="GU48" i="100" s="1"/>
  <c r="EV45" i="100"/>
  <c r="GU45" i="100" s="1"/>
  <c r="EV57" i="100"/>
  <c r="GU57" i="100" s="1"/>
  <c r="EV39" i="100"/>
  <c r="GU39" i="100" s="1"/>
  <c r="EK8" i="100"/>
  <c r="GI8" i="100" s="1"/>
  <c r="EK9" i="100"/>
  <c r="GI9" i="100" s="1"/>
  <c r="EK7" i="100"/>
  <c r="GI7" i="100" s="1"/>
  <c r="EK20" i="100"/>
  <c r="GI20" i="100" s="1"/>
  <c r="EK23" i="100"/>
  <c r="GI23" i="100" s="1"/>
  <c r="EK12" i="100"/>
  <c r="GI12" i="100" s="1"/>
  <c r="EK28" i="100"/>
  <c r="GI28" i="100" s="1"/>
  <c r="EK21" i="100"/>
  <c r="GI21" i="100" s="1"/>
  <c r="EK25" i="100"/>
  <c r="GI25" i="100" s="1"/>
  <c r="EK19" i="100"/>
  <c r="GI19" i="100" s="1"/>
  <c r="EK31" i="100"/>
  <c r="GI31" i="100" s="1"/>
  <c r="EK27" i="100"/>
  <c r="GI27" i="100" s="1"/>
  <c r="EK16" i="100"/>
  <c r="GI16" i="100" s="1"/>
  <c r="EK13" i="100"/>
  <c r="GI13" i="100" s="1"/>
  <c r="EK11" i="100"/>
  <c r="GI11" i="100" s="1"/>
  <c r="EK39" i="100"/>
  <c r="GI39" i="100" s="1"/>
  <c r="EK66" i="100"/>
  <c r="GI66" i="100" s="1"/>
  <c r="EK48" i="100"/>
  <c r="GI48" i="100" s="1"/>
  <c r="EK51" i="100"/>
  <c r="GI51" i="100" s="1"/>
  <c r="EK42" i="100"/>
  <c r="GI42" i="100" s="1"/>
  <c r="EK62" i="100"/>
  <c r="GI62" i="100" s="1"/>
  <c r="EK33" i="100"/>
  <c r="GI33" i="100" s="1"/>
  <c r="EK58" i="100"/>
  <c r="GI58" i="100" s="1"/>
  <c r="EK37" i="100"/>
  <c r="GI37" i="100" s="1"/>
  <c r="EK32" i="100"/>
  <c r="GI32" i="100" s="1"/>
  <c r="EK63" i="100"/>
  <c r="GI63" i="100" s="1"/>
  <c r="EK65" i="100"/>
  <c r="GI65" i="100" s="1"/>
  <c r="EK59" i="100"/>
  <c r="GI59" i="100" s="1"/>
  <c r="EK10" i="100"/>
  <c r="GI10" i="100" s="1"/>
  <c r="EK17" i="100"/>
  <c r="GI17" i="100" s="1"/>
  <c r="EK26" i="100"/>
  <c r="GI26" i="100" s="1"/>
  <c r="EK18" i="100"/>
  <c r="GI18" i="100" s="1"/>
  <c r="EK15" i="100"/>
  <c r="GI15" i="100" s="1"/>
  <c r="EK38" i="100"/>
  <c r="GI38" i="100" s="1"/>
  <c r="EK52" i="100"/>
  <c r="GI52" i="100" s="1"/>
  <c r="EK61" i="100"/>
  <c r="GI61" i="100" s="1"/>
  <c r="EK45" i="100"/>
  <c r="GI45" i="100" s="1"/>
  <c r="EK53" i="100"/>
  <c r="GI53" i="100" s="1"/>
  <c r="EK47" i="100"/>
  <c r="GI47" i="100" s="1"/>
  <c r="EK55" i="100"/>
  <c r="GI55" i="100" s="1"/>
  <c r="EK44" i="100"/>
  <c r="GI44" i="100" s="1"/>
  <c r="EK64" i="100"/>
  <c r="GI64" i="100" s="1"/>
  <c r="EK60" i="100"/>
  <c r="GI60" i="100" s="1"/>
  <c r="EK54" i="100"/>
  <c r="GI54" i="100" s="1"/>
  <c r="EK56" i="100"/>
  <c r="GI56" i="100" s="1"/>
  <c r="EK35" i="100"/>
  <c r="GI35" i="100" s="1"/>
  <c r="EK29" i="100"/>
  <c r="GI29" i="100" s="1"/>
  <c r="EK24" i="100"/>
  <c r="GI24" i="100" s="1"/>
  <c r="EK14" i="100"/>
  <c r="GI14" i="100" s="1"/>
  <c r="EK30" i="100"/>
  <c r="GI30" i="100" s="1"/>
  <c r="EK22" i="100"/>
  <c r="GI22" i="100" s="1"/>
  <c r="EK46" i="100"/>
  <c r="GI46" i="100" s="1"/>
  <c r="EK34" i="100"/>
  <c r="GI34" i="100" s="1"/>
  <c r="EK57" i="100"/>
  <c r="GI57" i="100" s="1"/>
  <c r="EK49" i="100"/>
  <c r="GI49" i="100" s="1"/>
  <c r="EK43" i="100"/>
  <c r="GI43" i="100" s="1"/>
  <c r="EK41" i="100"/>
  <c r="GI41" i="100" s="1"/>
  <c r="EK50" i="100"/>
  <c r="GI50" i="100" s="1"/>
  <c r="EK40" i="100"/>
  <c r="GI40" i="100" s="1"/>
  <c r="EK36" i="100"/>
  <c r="GI36" i="100" s="1"/>
  <c r="AA25" i="98"/>
  <c r="AA29" i="98"/>
  <c r="DX49" i="98" s="1"/>
  <c r="AA22" i="98"/>
  <c r="AF28" i="98"/>
  <c r="DY57" i="98" s="1"/>
  <c r="AF24" i="98"/>
  <c r="DD29" i="98"/>
  <c r="DD30" i="98"/>
  <c r="DI5" i="93"/>
  <c r="FA5" i="93" s="1"/>
  <c r="DI6" i="93"/>
  <c r="FA6" i="93" s="1"/>
  <c r="DI9" i="93"/>
  <c r="FA9" i="93" s="1"/>
  <c r="DI14" i="93"/>
  <c r="FA14" i="93" s="1"/>
  <c r="DI12" i="93"/>
  <c r="FA12" i="93" s="1"/>
  <c r="DI13" i="93"/>
  <c r="FA13" i="93" s="1"/>
  <c r="DI7" i="93"/>
  <c r="FA7" i="93" s="1"/>
  <c r="DI10" i="93"/>
  <c r="FA10" i="93" s="1"/>
  <c r="DI11" i="93"/>
  <c r="FA11" i="93" s="1"/>
  <c r="DI8" i="93"/>
  <c r="FA8" i="93" s="1"/>
  <c r="DI27" i="93"/>
  <c r="FA27" i="93" s="1"/>
  <c r="DI47" i="93"/>
  <c r="FA47" i="93" s="1"/>
  <c r="DI34" i="93"/>
  <c r="FA34" i="93" s="1"/>
  <c r="DI44" i="93"/>
  <c r="FA44" i="93" s="1"/>
  <c r="DI17" i="93"/>
  <c r="FA17" i="93" s="1"/>
  <c r="DI45" i="93"/>
  <c r="FA45" i="93" s="1"/>
  <c r="DI19" i="93"/>
  <c r="FA19" i="93" s="1"/>
  <c r="DI15" i="93"/>
  <c r="FA15" i="93" s="1"/>
  <c r="DI57" i="93"/>
  <c r="FA57" i="93" s="1"/>
  <c r="DI55" i="93"/>
  <c r="FA55" i="93" s="1"/>
  <c r="DI52" i="93"/>
  <c r="FA52" i="93" s="1"/>
  <c r="DI26" i="93"/>
  <c r="FA26" i="93" s="1"/>
  <c r="DI31" i="93"/>
  <c r="FA31" i="93" s="1"/>
  <c r="DI46" i="93"/>
  <c r="FA46" i="93" s="1"/>
  <c r="DI53" i="93"/>
  <c r="FA53" i="93" s="1"/>
  <c r="DI30" i="93"/>
  <c r="FA30" i="93" s="1"/>
  <c r="DI64" i="93"/>
  <c r="FA64" i="93" s="1"/>
  <c r="DI25" i="93"/>
  <c r="FA25" i="93" s="1"/>
  <c r="DI63" i="93"/>
  <c r="FA63" i="93" s="1"/>
  <c r="DI60" i="93"/>
  <c r="FA60" i="93" s="1"/>
  <c r="DI38" i="93"/>
  <c r="FA38" i="93" s="1"/>
  <c r="DI48" i="93"/>
  <c r="FA48" i="93" s="1"/>
  <c r="DI37" i="93"/>
  <c r="FA37" i="93" s="1"/>
  <c r="DI42" i="93"/>
  <c r="FA42" i="93" s="1"/>
  <c r="DI16" i="93"/>
  <c r="FA16" i="93" s="1"/>
  <c r="DI39" i="93"/>
  <c r="FA39" i="93" s="1"/>
  <c r="DI54" i="93"/>
  <c r="FA54" i="93" s="1"/>
  <c r="DI61" i="93"/>
  <c r="FA61" i="93" s="1"/>
  <c r="DI40" i="93"/>
  <c r="FA40" i="93" s="1"/>
  <c r="DI29" i="93"/>
  <c r="FA29" i="93" s="1"/>
  <c r="DI36" i="93"/>
  <c r="FA36" i="93" s="1"/>
  <c r="DI56" i="93"/>
  <c r="FA56" i="93" s="1"/>
  <c r="DI21" i="93"/>
  <c r="FA21" i="93" s="1"/>
  <c r="DI35" i="93"/>
  <c r="FA35" i="93" s="1"/>
  <c r="DI33" i="93"/>
  <c r="FA33" i="93" s="1"/>
  <c r="DI50" i="93"/>
  <c r="FA50" i="93" s="1"/>
  <c r="DI49" i="93"/>
  <c r="FA49" i="93" s="1"/>
  <c r="DI28" i="93"/>
  <c r="FA28" i="93" s="1"/>
  <c r="DI24" i="93"/>
  <c r="FA24" i="93" s="1"/>
  <c r="DI62" i="93"/>
  <c r="FA62" i="93" s="1"/>
  <c r="DI59" i="93"/>
  <c r="FA59" i="93" s="1"/>
  <c r="DI43" i="93"/>
  <c r="FA43" i="93" s="1"/>
  <c r="DI51" i="93"/>
  <c r="FA51" i="93" s="1"/>
  <c r="DI58" i="93"/>
  <c r="FA58" i="93" s="1"/>
  <c r="DI41" i="93"/>
  <c r="FA41" i="93" s="1"/>
  <c r="DI22" i="93"/>
  <c r="FA22" i="93" s="1"/>
  <c r="DI20" i="93"/>
  <c r="FA20" i="93" s="1"/>
  <c r="DI18" i="93"/>
  <c r="FA18" i="93" s="1"/>
  <c r="DI32" i="93"/>
  <c r="FA32" i="93" s="1"/>
  <c r="DI23" i="93"/>
  <c r="FA23" i="93" s="1"/>
  <c r="DX6" i="93"/>
  <c r="FP6" i="93" s="1"/>
  <c r="DX10" i="93"/>
  <c r="FP10" i="93" s="1"/>
  <c r="DX27" i="93"/>
  <c r="FP27" i="93" s="1"/>
  <c r="DX8" i="93"/>
  <c r="FP8" i="93" s="1"/>
  <c r="DX16" i="93"/>
  <c r="FP16" i="93" s="1"/>
  <c r="DX25" i="93"/>
  <c r="FP25" i="93" s="1"/>
  <c r="DX17" i="93"/>
  <c r="FP17" i="93" s="1"/>
  <c r="DX24" i="93"/>
  <c r="FP24" i="93" s="1"/>
  <c r="DX26" i="93"/>
  <c r="FP26" i="93" s="1"/>
  <c r="DX21" i="93"/>
  <c r="FP21" i="93" s="1"/>
  <c r="DX15" i="93"/>
  <c r="FP15" i="93" s="1"/>
  <c r="DX14" i="93"/>
  <c r="FP14" i="93" s="1"/>
  <c r="DX20" i="93"/>
  <c r="FP20" i="93" s="1"/>
  <c r="DX19" i="93"/>
  <c r="FP19" i="93" s="1"/>
  <c r="DX22" i="93"/>
  <c r="FP22" i="93" s="1"/>
  <c r="DX23" i="93"/>
  <c r="FP23" i="93" s="1"/>
  <c r="DX28" i="93"/>
  <c r="FP28" i="93" s="1"/>
  <c r="DX9" i="93"/>
  <c r="FP9" i="93" s="1"/>
  <c r="DX5" i="93"/>
  <c r="FP5" i="93" s="1"/>
  <c r="DX12" i="93"/>
  <c r="FP12" i="93" s="1"/>
  <c r="DX29" i="93"/>
  <c r="FP29" i="93" s="1"/>
  <c r="DX13" i="93"/>
  <c r="FP13" i="93" s="1"/>
  <c r="DX11" i="93"/>
  <c r="FP11" i="93" s="1"/>
  <c r="DX18" i="93"/>
  <c r="FP18" i="93" s="1"/>
  <c r="DX7" i="93"/>
  <c r="FP7" i="93" s="1"/>
  <c r="DX42" i="93"/>
  <c r="FP42" i="93" s="1"/>
  <c r="DX57" i="93"/>
  <c r="FP57" i="93" s="1"/>
  <c r="DX64" i="93"/>
  <c r="FP64" i="93" s="1"/>
  <c r="DX51" i="93"/>
  <c r="FP51" i="93" s="1"/>
  <c r="DX38" i="93"/>
  <c r="FP38" i="93" s="1"/>
  <c r="DX61" i="93"/>
  <c r="FP61" i="93" s="1"/>
  <c r="DX40" i="93"/>
  <c r="FP40" i="93" s="1"/>
  <c r="DX55" i="93"/>
  <c r="FP55" i="93" s="1"/>
  <c r="DX62" i="93"/>
  <c r="FP62" i="93" s="1"/>
  <c r="DX33" i="93"/>
  <c r="FP33" i="93" s="1"/>
  <c r="DX48" i="93"/>
  <c r="FP48" i="93" s="1"/>
  <c r="DX36" i="93"/>
  <c r="FP36" i="93" s="1"/>
  <c r="DX59" i="93"/>
  <c r="FP59" i="93" s="1"/>
  <c r="DX35" i="93"/>
  <c r="FP35" i="93" s="1"/>
  <c r="DX47" i="93"/>
  <c r="FP47" i="93" s="1"/>
  <c r="DX39" i="93"/>
  <c r="FP39" i="93" s="1"/>
  <c r="DX63" i="93"/>
  <c r="FP63" i="93" s="1"/>
  <c r="DX30" i="93"/>
  <c r="FP30" i="93" s="1"/>
  <c r="DX49" i="93"/>
  <c r="FP49" i="93" s="1"/>
  <c r="DX58" i="93"/>
  <c r="FP58" i="93" s="1"/>
  <c r="DX31" i="93"/>
  <c r="FP31" i="93" s="1"/>
  <c r="DX43" i="93"/>
  <c r="FP43" i="93" s="1"/>
  <c r="DX41" i="93"/>
  <c r="FP41" i="93" s="1"/>
  <c r="DX54" i="93"/>
  <c r="FP54" i="93" s="1"/>
  <c r="DX45" i="93"/>
  <c r="FP45" i="93" s="1"/>
  <c r="DX44" i="93"/>
  <c r="FP44" i="93" s="1"/>
  <c r="DX34" i="93"/>
  <c r="FP34" i="93" s="1"/>
  <c r="DX50" i="93"/>
  <c r="FP50" i="93" s="1"/>
  <c r="DX60" i="93"/>
  <c r="FP60" i="93" s="1"/>
  <c r="DX37" i="93"/>
  <c r="FP37" i="93" s="1"/>
  <c r="DX52" i="93"/>
  <c r="FP52" i="93" s="1"/>
  <c r="DX53" i="93"/>
  <c r="FP53" i="93" s="1"/>
  <c r="DX32" i="93"/>
  <c r="FP32" i="93" s="1"/>
  <c r="DX46" i="93"/>
  <c r="FP46" i="93" s="1"/>
  <c r="DX56" i="93"/>
  <c r="FP56" i="93" s="1"/>
  <c r="DH5" i="93"/>
  <c r="EZ5" i="93" s="1"/>
  <c r="DH10" i="93"/>
  <c r="EZ10" i="93" s="1"/>
  <c r="DH9" i="93"/>
  <c r="EZ9" i="93" s="1"/>
  <c r="DH12" i="93"/>
  <c r="EZ12" i="93" s="1"/>
  <c r="DH13" i="93"/>
  <c r="EZ13" i="93" s="1"/>
  <c r="DH7" i="93"/>
  <c r="EZ7" i="93" s="1"/>
  <c r="DH11" i="93"/>
  <c r="EZ11" i="93" s="1"/>
  <c r="DH8" i="93"/>
  <c r="EZ8" i="93" s="1"/>
  <c r="DH6" i="93"/>
  <c r="EZ6" i="93" s="1"/>
  <c r="DH14" i="93"/>
  <c r="EZ14" i="93" s="1"/>
  <c r="DH21" i="93"/>
  <c r="EZ21" i="93" s="1"/>
  <c r="DH27" i="93"/>
  <c r="EZ27" i="93" s="1"/>
  <c r="DH46" i="93"/>
  <c r="EZ46" i="93" s="1"/>
  <c r="DH58" i="93"/>
  <c r="EZ58" i="93" s="1"/>
  <c r="DH28" i="93"/>
  <c r="EZ28" i="93" s="1"/>
  <c r="DH45" i="93"/>
  <c r="EZ45" i="93" s="1"/>
  <c r="DH52" i="93"/>
  <c r="EZ52" i="93" s="1"/>
  <c r="DH24" i="93"/>
  <c r="EZ24" i="93" s="1"/>
  <c r="DH33" i="93"/>
  <c r="EZ33" i="93" s="1"/>
  <c r="DH47" i="93"/>
  <c r="EZ47" i="93" s="1"/>
  <c r="DH22" i="93"/>
  <c r="EZ22" i="93" s="1"/>
  <c r="DH37" i="93"/>
  <c r="EZ37" i="93" s="1"/>
  <c r="DH56" i="93"/>
  <c r="EZ56" i="93" s="1"/>
  <c r="DH18" i="93"/>
  <c r="EZ18" i="93" s="1"/>
  <c r="DH38" i="93"/>
  <c r="EZ38" i="93" s="1"/>
  <c r="DH55" i="93"/>
  <c r="EZ55" i="93" s="1"/>
  <c r="DH19" i="93"/>
  <c r="EZ19" i="93" s="1"/>
  <c r="DH29" i="93"/>
  <c r="EZ29" i="93" s="1"/>
  <c r="DH50" i="93"/>
  <c r="EZ50" i="93" s="1"/>
  <c r="DH60" i="93"/>
  <c r="EZ60" i="93" s="1"/>
  <c r="DH30" i="93"/>
  <c r="EZ30" i="93" s="1"/>
  <c r="DH49" i="93"/>
  <c r="EZ49" i="93" s="1"/>
  <c r="DH54" i="93"/>
  <c r="EZ54" i="93" s="1"/>
  <c r="DH32" i="93"/>
  <c r="EZ32" i="93" s="1"/>
  <c r="DH53" i="93"/>
  <c r="EZ53" i="93" s="1"/>
  <c r="DH62" i="93"/>
  <c r="EZ62" i="93" s="1"/>
  <c r="DH16" i="93"/>
  <c r="EZ16" i="93" s="1"/>
  <c r="DH39" i="93"/>
  <c r="EZ39" i="93" s="1"/>
  <c r="DH63" i="93"/>
  <c r="EZ63" i="93" s="1"/>
  <c r="DH25" i="93"/>
  <c r="EZ25" i="93" s="1"/>
  <c r="DH40" i="93"/>
  <c r="EZ40" i="93" s="1"/>
  <c r="DH57" i="93"/>
  <c r="EZ57" i="93" s="1"/>
  <c r="DH64" i="93"/>
  <c r="EZ64" i="93" s="1"/>
  <c r="DH34" i="93"/>
  <c r="EZ34" i="93" s="1"/>
  <c r="DH51" i="93"/>
  <c r="EZ51" i="93" s="1"/>
  <c r="DH17" i="93"/>
  <c r="EZ17" i="93" s="1"/>
  <c r="DH36" i="93"/>
  <c r="EZ36" i="93" s="1"/>
  <c r="DH61" i="93"/>
  <c r="EZ61" i="93" s="1"/>
  <c r="DH26" i="93"/>
  <c r="EZ26" i="93" s="1"/>
  <c r="DH41" i="93"/>
  <c r="EZ41" i="93" s="1"/>
  <c r="DH48" i="93"/>
  <c r="EZ48" i="93" s="1"/>
  <c r="DH23" i="93"/>
  <c r="EZ23" i="93" s="1"/>
  <c r="DH31" i="93"/>
  <c r="EZ31" i="93" s="1"/>
  <c r="DH43" i="93"/>
  <c r="EZ43" i="93" s="1"/>
  <c r="DH20" i="93"/>
  <c r="EZ20" i="93" s="1"/>
  <c r="DH42" i="93"/>
  <c r="EZ42" i="93" s="1"/>
  <c r="DH59" i="93"/>
  <c r="EZ59" i="93" s="1"/>
  <c r="DH15" i="93"/>
  <c r="EZ15" i="93" s="1"/>
  <c r="DH35" i="93"/>
  <c r="EZ35" i="93" s="1"/>
  <c r="DH44" i="93"/>
  <c r="EZ44" i="93" s="1"/>
  <c r="DY6" i="93"/>
  <c r="FQ6" i="93" s="1"/>
  <c r="DY19" i="93"/>
  <c r="FQ19" i="93" s="1"/>
  <c r="DY9" i="93"/>
  <c r="FQ9" i="93" s="1"/>
  <c r="DY14" i="93"/>
  <c r="FQ14" i="93" s="1"/>
  <c r="DY12" i="93"/>
  <c r="FQ12" i="93" s="1"/>
  <c r="DY15" i="93"/>
  <c r="FQ15" i="93" s="1"/>
  <c r="DY29" i="93"/>
  <c r="FQ29" i="93" s="1"/>
  <c r="DY24" i="93"/>
  <c r="FQ24" i="93" s="1"/>
  <c r="DY21" i="93"/>
  <c r="FQ21" i="93" s="1"/>
  <c r="DY26" i="93"/>
  <c r="FQ26" i="93" s="1"/>
  <c r="DY5" i="93"/>
  <c r="FQ5" i="93" s="1"/>
  <c r="DY10" i="93"/>
  <c r="FQ10" i="93" s="1"/>
  <c r="DY11" i="93"/>
  <c r="FQ11" i="93" s="1"/>
  <c r="DY7" i="93"/>
  <c r="FQ7" i="93" s="1"/>
  <c r="DY25" i="93"/>
  <c r="FQ25" i="93" s="1"/>
  <c r="DY16" i="93"/>
  <c r="FQ16" i="93" s="1"/>
  <c r="DY22" i="93"/>
  <c r="FQ22" i="93" s="1"/>
  <c r="DY27" i="93"/>
  <c r="FQ27" i="93" s="1"/>
  <c r="DY20" i="93"/>
  <c r="FQ20" i="93" s="1"/>
  <c r="DY23" i="93"/>
  <c r="FQ23" i="93" s="1"/>
  <c r="DY28" i="93"/>
  <c r="FQ28" i="93" s="1"/>
  <c r="DY13" i="93"/>
  <c r="FQ13" i="93" s="1"/>
  <c r="DY8" i="93"/>
  <c r="FQ8" i="93" s="1"/>
  <c r="DY18" i="93"/>
  <c r="FQ18" i="93" s="1"/>
  <c r="DY17" i="93"/>
  <c r="FQ17" i="93" s="1"/>
  <c r="DY41" i="93"/>
  <c r="FQ41" i="93" s="1"/>
  <c r="DY60" i="93"/>
  <c r="FQ60" i="93" s="1"/>
  <c r="DY35" i="93"/>
  <c r="FQ35" i="93" s="1"/>
  <c r="DY62" i="93"/>
  <c r="FQ62" i="93" s="1"/>
  <c r="DY30" i="93"/>
  <c r="FQ30" i="93" s="1"/>
  <c r="DY56" i="93"/>
  <c r="FQ56" i="93" s="1"/>
  <c r="DY61" i="93"/>
  <c r="FQ61" i="93" s="1"/>
  <c r="DY38" i="93"/>
  <c r="FQ38" i="93" s="1"/>
  <c r="DY55" i="93"/>
  <c r="FQ55" i="93" s="1"/>
  <c r="DY45" i="93"/>
  <c r="FQ45" i="93" s="1"/>
  <c r="DY40" i="93"/>
  <c r="FQ40" i="93" s="1"/>
  <c r="DY47" i="93"/>
  <c r="FQ47" i="93" s="1"/>
  <c r="DY51" i="93"/>
  <c r="FQ51" i="93" s="1"/>
  <c r="DY37" i="93"/>
  <c r="FQ37" i="93" s="1"/>
  <c r="DY64" i="93"/>
  <c r="FQ64" i="93" s="1"/>
  <c r="DY31" i="93"/>
  <c r="FQ31" i="93" s="1"/>
  <c r="DY58" i="93"/>
  <c r="FQ58" i="93" s="1"/>
  <c r="DY63" i="93"/>
  <c r="FQ63" i="93" s="1"/>
  <c r="DY44" i="93"/>
  <c r="FQ44" i="93" s="1"/>
  <c r="DY50" i="93"/>
  <c r="FQ50" i="93" s="1"/>
  <c r="DY46" i="93"/>
  <c r="FQ46" i="93" s="1"/>
  <c r="DY59" i="93"/>
  <c r="FQ59" i="93" s="1"/>
  <c r="DY49" i="93"/>
  <c r="FQ49" i="93" s="1"/>
  <c r="DY34" i="93"/>
  <c r="FQ34" i="93" s="1"/>
  <c r="DY39" i="93"/>
  <c r="FQ39" i="93" s="1"/>
  <c r="DY32" i="93"/>
  <c r="FQ32" i="93" s="1"/>
  <c r="DY33" i="93"/>
  <c r="FQ33" i="93" s="1"/>
  <c r="DY52" i="93"/>
  <c r="FQ52" i="93" s="1"/>
  <c r="DY57" i="93"/>
  <c r="FQ57" i="93" s="1"/>
  <c r="DY54" i="93"/>
  <c r="FQ54" i="93" s="1"/>
  <c r="DY36" i="93"/>
  <c r="FQ36" i="93" s="1"/>
  <c r="DY48" i="93"/>
  <c r="FQ48" i="93" s="1"/>
  <c r="DY53" i="93"/>
  <c r="FQ53" i="93" s="1"/>
  <c r="DY43" i="93"/>
  <c r="FQ43" i="93" s="1"/>
  <c r="DY42" i="93"/>
  <c r="FQ42" i="93" s="1"/>
  <c r="EI6" i="93"/>
  <c r="GA6" i="93" s="1"/>
  <c r="EI5" i="93"/>
  <c r="GA5" i="93" s="1"/>
  <c r="EI34" i="93"/>
  <c r="GA34" i="93" s="1"/>
  <c r="EI10" i="93"/>
  <c r="GA10" i="93" s="1"/>
  <c r="EI12" i="93"/>
  <c r="GA12" i="93" s="1"/>
  <c r="EI33" i="93"/>
  <c r="GA33" i="93" s="1"/>
  <c r="EI26" i="93"/>
  <c r="GA26" i="93" s="1"/>
  <c r="EI29" i="93"/>
  <c r="GA29" i="93" s="1"/>
  <c r="EI23" i="93"/>
  <c r="GA23" i="93" s="1"/>
  <c r="EI15" i="93"/>
  <c r="GA15" i="93" s="1"/>
  <c r="EI21" i="93"/>
  <c r="GA21" i="93" s="1"/>
  <c r="EI35" i="93"/>
  <c r="GA35" i="93" s="1"/>
  <c r="EI30" i="93"/>
  <c r="GA30" i="93" s="1"/>
  <c r="EI8" i="93"/>
  <c r="GA8" i="93" s="1"/>
  <c r="EI22" i="93"/>
  <c r="GA22" i="93" s="1"/>
  <c r="EI28" i="93"/>
  <c r="GA28" i="93" s="1"/>
  <c r="EI27" i="93"/>
  <c r="GA27" i="93" s="1"/>
  <c r="EI9" i="93"/>
  <c r="GA9" i="93" s="1"/>
  <c r="EI11" i="93"/>
  <c r="GA11" i="93" s="1"/>
  <c r="EI14" i="93"/>
  <c r="GA14" i="93" s="1"/>
  <c r="EI16" i="93"/>
  <c r="GA16" i="93" s="1"/>
  <c r="EI24" i="93"/>
  <c r="GA24" i="93" s="1"/>
  <c r="EI13" i="93"/>
  <c r="GA13" i="93" s="1"/>
  <c r="EI18" i="93"/>
  <c r="GA18" i="93" s="1"/>
  <c r="EI19" i="93"/>
  <c r="GA19" i="93" s="1"/>
  <c r="EI32" i="93"/>
  <c r="GA32" i="93" s="1"/>
  <c r="EI7" i="93"/>
  <c r="GA7" i="93" s="1"/>
  <c r="EI25" i="93"/>
  <c r="GA25" i="93" s="1"/>
  <c r="EI20" i="93"/>
  <c r="GA20" i="93" s="1"/>
  <c r="EI17" i="93"/>
  <c r="GA17" i="93" s="1"/>
  <c r="EI31" i="93"/>
  <c r="GA31" i="93" s="1"/>
  <c r="EI47" i="93"/>
  <c r="GA47" i="93" s="1"/>
  <c r="EI56" i="93"/>
  <c r="GA56" i="93" s="1"/>
  <c r="EI51" i="93"/>
  <c r="GA51" i="93" s="1"/>
  <c r="EI48" i="93"/>
  <c r="GA48" i="93" s="1"/>
  <c r="EI57" i="93"/>
  <c r="GA57" i="93" s="1"/>
  <c r="EI63" i="93"/>
  <c r="GA63" i="93" s="1"/>
  <c r="EI37" i="93"/>
  <c r="GA37" i="93" s="1"/>
  <c r="EI53" i="93"/>
  <c r="GA53" i="93" s="1"/>
  <c r="EI64" i="93"/>
  <c r="GA64" i="93" s="1"/>
  <c r="EI59" i="93"/>
  <c r="GA59" i="93" s="1"/>
  <c r="EI55" i="93"/>
  <c r="GA55" i="93" s="1"/>
  <c r="EI50" i="93"/>
  <c r="GA50" i="93" s="1"/>
  <c r="EI52" i="93"/>
  <c r="GA52" i="93" s="1"/>
  <c r="EI39" i="93"/>
  <c r="GA39" i="93" s="1"/>
  <c r="EI36" i="93"/>
  <c r="GA36" i="93" s="1"/>
  <c r="EI61" i="93"/>
  <c r="GA61" i="93" s="1"/>
  <c r="EI44" i="93"/>
  <c r="GA44" i="93" s="1"/>
  <c r="EI54" i="93"/>
  <c r="GA54" i="93" s="1"/>
  <c r="EI60" i="93"/>
  <c r="GA60" i="93" s="1"/>
  <c r="EI38" i="93"/>
  <c r="GA38" i="93" s="1"/>
  <c r="EI40" i="93"/>
  <c r="GA40" i="93" s="1"/>
  <c r="EI58" i="93"/>
  <c r="GA58" i="93" s="1"/>
  <c r="EI46" i="93"/>
  <c r="GA46" i="93" s="1"/>
  <c r="EI41" i="93"/>
  <c r="GA41" i="93" s="1"/>
  <c r="EI45" i="93"/>
  <c r="GA45" i="93" s="1"/>
  <c r="EI62" i="93"/>
  <c r="GA62" i="93" s="1"/>
  <c r="EI43" i="93"/>
  <c r="GA43" i="93" s="1"/>
  <c r="EI49" i="93"/>
  <c r="GA49" i="93" s="1"/>
  <c r="EI42" i="93"/>
  <c r="GA42" i="93" s="1"/>
  <c r="DS8" i="93"/>
  <c r="FK8" i="93" s="1"/>
  <c r="DS5" i="93"/>
  <c r="FK5" i="93" s="1"/>
  <c r="DS21" i="93"/>
  <c r="FK21" i="93" s="1"/>
  <c r="DS12" i="93"/>
  <c r="FK12" i="93" s="1"/>
  <c r="DS11" i="93"/>
  <c r="FK11" i="93" s="1"/>
  <c r="DS20" i="93"/>
  <c r="FK20" i="93" s="1"/>
  <c r="DS17" i="93"/>
  <c r="FK17" i="93" s="1"/>
  <c r="DS18" i="93"/>
  <c r="FK18" i="93" s="1"/>
  <c r="DS14" i="93"/>
  <c r="FK14" i="93" s="1"/>
  <c r="DS7" i="93"/>
  <c r="FK7" i="93" s="1"/>
  <c r="DS15" i="93"/>
  <c r="FK15" i="93" s="1"/>
  <c r="DS19" i="93"/>
  <c r="FK19" i="93" s="1"/>
  <c r="DS16" i="93"/>
  <c r="FK16" i="93" s="1"/>
  <c r="DS9" i="93"/>
  <c r="FK9" i="93" s="1"/>
  <c r="DS22" i="93"/>
  <c r="FK22" i="93" s="1"/>
  <c r="DS23" i="93"/>
  <c r="FK23" i="93" s="1"/>
  <c r="DS13" i="93"/>
  <c r="FK13" i="93" s="1"/>
  <c r="DS10" i="93"/>
  <c r="FK10" i="93" s="1"/>
  <c r="DS6" i="93"/>
  <c r="FK6" i="93" s="1"/>
  <c r="DS40" i="93"/>
  <c r="FK40" i="93" s="1"/>
  <c r="DS61" i="93"/>
  <c r="FK61" i="93" s="1"/>
  <c r="DS28" i="93"/>
  <c r="FK28" i="93" s="1"/>
  <c r="DS48" i="93"/>
  <c r="FK48" i="93" s="1"/>
  <c r="DS33" i="93"/>
  <c r="FK33" i="93" s="1"/>
  <c r="DS42" i="93"/>
  <c r="FK42" i="93" s="1"/>
  <c r="DS62" i="93"/>
  <c r="FK62" i="93" s="1"/>
  <c r="DS55" i="93"/>
  <c r="FK55" i="93" s="1"/>
  <c r="DS43" i="93"/>
  <c r="FK43" i="93" s="1"/>
  <c r="DS44" i="93"/>
  <c r="FK44" i="93" s="1"/>
  <c r="DS27" i="93"/>
  <c r="FK27" i="93" s="1"/>
  <c r="DS31" i="93"/>
  <c r="FK31" i="93" s="1"/>
  <c r="DS50" i="93"/>
  <c r="FK50" i="93" s="1"/>
  <c r="DS41" i="93"/>
  <c r="FK41" i="93" s="1"/>
  <c r="DS30" i="93"/>
  <c r="FK30" i="93" s="1"/>
  <c r="DS45" i="93"/>
  <c r="FK45" i="93" s="1"/>
  <c r="DS56" i="93"/>
  <c r="FK56" i="93" s="1"/>
  <c r="DS46" i="93"/>
  <c r="FK46" i="93" s="1"/>
  <c r="DS24" i="93"/>
  <c r="FK24" i="93" s="1"/>
  <c r="DS52" i="93"/>
  <c r="FK52" i="93" s="1"/>
  <c r="DS57" i="93"/>
  <c r="FK57" i="93" s="1"/>
  <c r="DS49" i="93"/>
  <c r="FK49" i="93" s="1"/>
  <c r="DS32" i="93"/>
  <c r="FK32" i="93" s="1"/>
  <c r="DS59" i="93"/>
  <c r="FK59" i="93" s="1"/>
  <c r="DS34" i="93"/>
  <c r="FK34" i="93" s="1"/>
  <c r="DS47" i="93"/>
  <c r="FK47" i="93" s="1"/>
  <c r="DS58" i="93"/>
  <c r="FK58" i="93" s="1"/>
  <c r="DS38" i="93"/>
  <c r="FK38" i="93" s="1"/>
  <c r="DS51" i="93"/>
  <c r="FK51" i="93" s="1"/>
  <c r="DS64" i="93"/>
  <c r="FK64" i="93" s="1"/>
  <c r="DS37" i="93"/>
  <c r="FK37" i="93" s="1"/>
  <c r="DS29" i="93"/>
  <c r="FK29" i="93" s="1"/>
  <c r="DS26" i="93"/>
  <c r="FK26" i="93" s="1"/>
  <c r="DS54" i="93"/>
  <c r="FK54" i="93" s="1"/>
  <c r="DS63" i="93"/>
  <c r="FK63" i="93" s="1"/>
  <c r="DS35" i="93"/>
  <c r="FK35" i="93" s="1"/>
  <c r="DS25" i="93"/>
  <c r="FK25" i="93" s="1"/>
  <c r="DS36" i="93"/>
  <c r="FK36" i="93" s="1"/>
  <c r="DS53" i="93"/>
  <c r="FK53" i="93" s="1"/>
  <c r="DS39" i="93"/>
  <c r="FK39" i="93" s="1"/>
  <c r="DS60" i="93"/>
  <c r="FK60" i="93" s="1"/>
  <c r="DC5" i="93"/>
  <c r="EU5" i="93" s="1"/>
  <c r="DC6" i="93"/>
  <c r="EU6" i="93" s="1"/>
  <c r="DC8" i="93"/>
  <c r="EU8" i="93" s="1"/>
  <c r="DC7" i="93"/>
  <c r="EU7" i="93" s="1"/>
  <c r="DC9" i="93"/>
  <c r="EU9" i="93" s="1"/>
  <c r="DC49" i="93"/>
  <c r="EU49" i="93" s="1"/>
  <c r="DC48" i="93"/>
  <c r="EU48" i="93" s="1"/>
  <c r="DC27" i="93"/>
  <c r="EU27" i="93" s="1"/>
  <c r="DC34" i="93"/>
  <c r="EU34" i="93" s="1"/>
  <c r="DC38" i="93"/>
  <c r="EU38" i="93" s="1"/>
  <c r="DC55" i="93"/>
  <c r="EU55" i="93" s="1"/>
  <c r="DC28" i="93"/>
  <c r="EU28" i="93" s="1"/>
  <c r="DC50" i="93"/>
  <c r="EU50" i="93" s="1"/>
  <c r="DC31" i="93"/>
  <c r="EU31" i="93" s="1"/>
  <c r="DC36" i="93"/>
  <c r="EU36" i="93" s="1"/>
  <c r="DC16" i="93"/>
  <c r="EU16" i="93" s="1"/>
  <c r="DC23" i="93"/>
  <c r="EU23" i="93" s="1"/>
  <c r="DC40" i="93"/>
  <c r="EU40" i="93" s="1"/>
  <c r="DC12" i="93"/>
  <c r="EU12" i="93" s="1"/>
  <c r="DC14" i="93"/>
  <c r="EU14" i="93" s="1"/>
  <c r="DC59" i="93"/>
  <c r="EU59" i="93" s="1"/>
  <c r="DC44" i="93"/>
  <c r="EU44" i="93" s="1"/>
  <c r="DC61" i="93"/>
  <c r="EU61" i="93" s="1"/>
  <c r="DC26" i="93"/>
  <c r="EU26" i="93" s="1"/>
  <c r="DC30" i="93"/>
  <c r="EU30" i="93" s="1"/>
  <c r="DC18" i="93"/>
  <c r="EU18" i="93" s="1"/>
  <c r="DC11" i="93"/>
  <c r="EU11" i="93" s="1"/>
  <c r="DC19" i="93"/>
  <c r="EU19" i="93" s="1"/>
  <c r="DC56" i="93"/>
  <c r="EU56" i="93" s="1"/>
  <c r="DC58" i="93"/>
  <c r="EU58" i="93" s="1"/>
  <c r="DC57" i="93"/>
  <c r="EU57" i="93" s="1"/>
  <c r="DC22" i="93"/>
  <c r="EU22" i="93" s="1"/>
  <c r="DC20" i="93"/>
  <c r="EU20" i="93" s="1"/>
  <c r="DC21" i="93"/>
  <c r="EU21" i="93" s="1"/>
  <c r="DC63" i="93"/>
  <c r="EU63" i="93" s="1"/>
  <c r="DC45" i="93"/>
  <c r="EU45" i="93" s="1"/>
  <c r="DC47" i="93"/>
  <c r="EU47" i="93" s="1"/>
  <c r="DC42" i="93"/>
  <c r="EU42" i="93" s="1"/>
  <c r="DC17" i="93"/>
  <c r="EU17" i="93" s="1"/>
  <c r="DC62" i="93"/>
  <c r="EU62" i="93" s="1"/>
  <c r="DC25" i="93"/>
  <c r="EU25" i="93" s="1"/>
  <c r="DC10" i="93"/>
  <c r="EU10" i="93" s="1"/>
  <c r="DC64" i="93"/>
  <c r="EU64" i="93" s="1"/>
  <c r="DC24" i="93"/>
  <c r="EU24" i="93" s="1"/>
  <c r="DC39" i="93"/>
  <c r="EU39" i="93" s="1"/>
  <c r="DC37" i="93"/>
  <c r="EU37" i="93" s="1"/>
  <c r="DC52" i="93"/>
  <c r="EU52" i="93" s="1"/>
  <c r="DC43" i="93"/>
  <c r="EU43" i="93" s="1"/>
  <c r="DC13" i="93"/>
  <c r="EU13" i="93" s="1"/>
  <c r="DC32" i="93"/>
  <c r="EU32" i="93" s="1"/>
  <c r="DC29" i="93"/>
  <c r="EU29" i="93" s="1"/>
  <c r="DC54" i="93"/>
  <c r="EU54" i="93" s="1"/>
  <c r="DC15" i="93"/>
  <c r="EU15" i="93" s="1"/>
  <c r="DC60" i="93"/>
  <c r="EU60" i="93" s="1"/>
  <c r="DC35" i="93"/>
  <c r="EU35" i="93" s="1"/>
  <c r="DC51" i="93"/>
  <c r="EU51" i="93" s="1"/>
  <c r="DC46" i="93"/>
  <c r="EU46" i="93" s="1"/>
  <c r="DC41" i="93"/>
  <c r="EU41" i="93" s="1"/>
  <c r="DC33" i="93"/>
  <c r="EU33" i="93" s="1"/>
  <c r="DC53" i="93"/>
  <c r="EU53" i="93" s="1"/>
  <c r="DE6" i="93"/>
  <c r="EW6" i="93" s="1"/>
  <c r="DE5" i="93"/>
  <c r="EW5" i="93" s="1"/>
  <c r="DE13" i="93"/>
  <c r="EW13" i="93" s="1"/>
  <c r="DE7" i="93"/>
  <c r="EW7" i="93" s="1"/>
  <c r="DE10" i="93"/>
  <c r="EW10" i="93" s="1"/>
  <c r="DE9" i="93"/>
  <c r="EW9" i="93" s="1"/>
  <c r="DE14" i="93"/>
  <c r="EW14" i="93" s="1"/>
  <c r="DE12" i="93"/>
  <c r="EW12" i="93" s="1"/>
  <c r="DE8" i="93"/>
  <c r="EW8" i="93" s="1"/>
  <c r="DE11" i="93"/>
  <c r="EW11" i="93" s="1"/>
  <c r="DE20" i="93"/>
  <c r="EW20" i="93" s="1"/>
  <c r="DE28" i="93"/>
  <c r="EW28" i="93" s="1"/>
  <c r="DE55" i="93"/>
  <c r="EW55" i="93" s="1"/>
  <c r="DE19" i="93"/>
  <c r="EW19" i="93" s="1"/>
  <c r="DE44" i="93"/>
  <c r="EW44" i="93" s="1"/>
  <c r="DE36" i="93"/>
  <c r="EW36" i="93" s="1"/>
  <c r="DE24" i="93"/>
  <c r="EW24" i="93" s="1"/>
  <c r="DE37" i="93"/>
  <c r="EW37" i="93" s="1"/>
  <c r="DE52" i="93"/>
  <c r="EW52" i="93" s="1"/>
  <c r="DE59" i="93"/>
  <c r="EW59" i="93" s="1"/>
  <c r="DE32" i="93"/>
  <c r="EW32" i="93" s="1"/>
  <c r="DE48" i="93"/>
  <c r="EW48" i="93" s="1"/>
  <c r="DE53" i="93"/>
  <c r="EW53" i="93" s="1"/>
  <c r="DE27" i="93"/>
  <c r="EW27" i="93" s="1"/>
  <c r="DE33" i="93"/>
  <c r="EW33" i="93" s="1"/>
  <c r="DE50" i="93"/>
  <c r="EW50" i="93" s="1"/>
  <c r="DE63" i="93"/>
  <c r="EW63" i="93" s="1"/>
  <c r="DE35" i="93"/>
  <c r="EW35" i="93" s="1"/>
  <c r="DE40" i="93"/>
  <c r="EW40" i="93" s="1"/>
  <c r="DE57" i="93"/>
  <c r="EW57" i="93" s="1"/>
  <c r="DE15" i="93"/>
  <c r="EW15" i="93" s="1"/>
  <c r="DE31" i="93"/>
  <c r="EW31" i="93" s="1"/>
  <c r="DE60" i="93"/>
  <c r="EW60" i="93" s="1"/>
  <c r="DE18" i="93"/>
  <c r="EW18" i="93" s="1"/>
  <c r="DE39" i="93"/>
  <c r="EW39" i="93" s="1"/>
  <c r="DE54" i="93"/>
  <c r="EW54" i="93" s="1"/>
  <c r="DE61" i="93"/>
  <c r="EW61" i="93" s="1"/>
  <c r="DE26" i="93"/>
  <c r="EW26" i="93" s="1"/>
  <c r="DE41" i="93"/>
  <c r="EW41" i="93" s="1"/>
  <c r="DE56" i="93"/>
  <c r="EW56" i="93" s="1"/>
  <c r="DE22" i="93"/>
  <c r="EW22" i="93" s="1"/>
  <c r="DE30" i="93"/>
  <c r="EW30" i="93" s="1"/>
  <c r="DE58" i="93"/>
  <c r="EW58" i="93" s="1"/>
  <c r="DE38" i="93"/>
  <c r="EW38" i="93" s="1"/>
  <c r="DE25" i="93"/>
  <c r="EW25" i="93" s="1"/>
  <c r="DE49" i="93"/>
  <c r="EW49" i="93" s="1"/>
  <c r="DE34" i="93"/>
  <c r="EW34" i="93" s="1"/>
  <c r="DE17" i="93"/>
  <c r="EW17" i="93" s="1"/>
  <c r="DE43" i="93"/>
  <c r="EW43" i="93" s="1"/>
  <c r="DE62" i="93"/>
  <c r="EW62" i="93" s="1"/>
  <c r="DE45" i="93"/>
  <c r="EW45" i="93" s="1"/>
  <c r="DE64" i="93"/>
  <c r="EW64" i="93" s="1"/>
  <c r="DE21" i="93"/>
  <c r="EW21" i="93" s="1"/>
  <c r="DE47" i="93"/>
  <c r="EW47" i="93" s="1"/>
  <c r="DE29" i="93"/>
  <c r="EW29" i="93" s="1"/>
  <c r="DE16" i="93"/>
  <c r="EW16" i="93" s="1"/>
  <c r="DE23" i="93"/>
  <c r="EW23" i="93" s="1"/>
  <c r="DE46" i="93"/>
  <c r="EW46" i="93" s="1"/>
  <c r="DE51" i="93"/>
  <c r="EW51" i="93" s="1"/>
  <c r="DE42" i="93"/>
  <c r="EW42" i="93" s="1"/>
  <c r="DZ6" i="93"/>
  <c r="FR6" i="93" s="1"/>
  <c r="DZ5" i="93"/>
  <c r="FR5" i="93" s="1"/>
  <c r="DZ29" i="93"/>
  <c r="FR29" i="93" s="1"/>
  <c r="DZ12" i="93"/>
  <c r="FR12" i="93" s="1"/>
  <c r="DZ23" i="93"/>
  <c r="FR23" i="93" s="1"/>
  <c r="DZ25" i="93"/>
  <c r="FR25" i="93" s="1"/>
  <c r="DZ24" i="93"/>
  <c r="FR24" i="93" s="1"/>
  <c r="DZ10" i="93"/>
  <c r="FR10" i="93" s="1"/>
  <c r="DZ7" i="93"/>
  <c r="FR7" i="93" s="1"/>
  <c r="DZ11" i="93"/>
  <c r="FR11" i="93" s="1"/>
  <c r="DZ26" i="93"/>
  <c r="FR26" i="93" s="1"/>
  <c r="DZ13" i="93"/>
  <c r="FR13" i="93" s="1"/>
  <c r="DZ17" i="93"/>
  <c r="FR17" i="93" s="1"/>
  <c r="DZ16" i="93"/>
  <c r="FR16" i="93" s="1"/>
  <c r="DZ20" i="93"/>
  <c r="FR20" i="93" s="1"/>
  <c r="DZ9" i="93"/>
  <c r="FR9" i="93" s="1"/>
  <c r="DZ8" i="93"/>
  <c r="FR8" i="93" s="1"/>
  <c r="DZ14" i="93"/>
  <c r="FR14" i="93" s="1"/>
  <c r="DZ19" i="93"/>
  <c r="FR19" i="93" s="1"/>
  <c r="DZ21" i="93"/>
  <c r="FR21" i="93" s="1"/>
  <c r="DZ22" i="93"/>
  <c r="FR22" i="93" s="1"/>
  <c r="DZ18" i="93"/>
  <c r="FR18" i="93" s="1"/>
  <c r="DZ15" i="93"/>
  <c r="FR15" i="93" s="1"/>
  <c r="DZ27" i="93"/>
  <c r="FR27" i="93" s="1"/>
  <c r="DZ28" i="93"/>
  <c r="FR28" i="93" s="1"/>
  <c r="DZ56" i="93"/>
  <c r="FR56" i="93" s="1"/>
  <c r="DZ54" i="93"/>
  <c r="FR54" i="93" s="1"/>
  <c r="DZ33" i="93"/>
  <c r="FR33" i="93" s="1"/>
  <c r="DZ61" i="93"/>
  <c r="FR61" i="93" s="1"/>
  <c r="DZ52" i="93"/>
  <c r="FR52" i="93" s="1"/>
  <c r="DZ40" i="93"/>
  <c r="FR40" i="93" s="1"/>
  <c r="DZ49" i="93"/>
  <c r="FR49" i="93" s="1"/>
  <c r="DZ46" i="93"/>
  <c r="FR46" i="93" s="1"/>
  <c r="DZ58" i="93"/>
  <c r="FR58" i="93" s="1"/>
  <c r="DZ55" i="93"/>
  <c r="FR55" i="93" s="1"/>
  <c r="DZ48" i="93"/>
  <c r="FR48" i="93" s="1"/>
  <c r="DZ63" i="93"/>
  <c r="FR63" i="93" s="1"/>
  <c r="DZ38" i="93"/>
  <c r="FR38" i="93" s="1"/>
  <c r="DZ57" i="93"/>
  <c r="FR57" i="93" s="1"/>
  <c r="DZ51" i="93"/>
  <c r="FR51" i="93" s="1"/>
  <c r="DZ42" i="93"/>
  <c r="FR42" i="93" s="1"/>
  <c r="DZ32" i="93"/>
  <c r="FR32" i="93" s="1"/>
  <c r="DZ31" i="93"/>
  <c r="FR31" i="93" s="1"/>
  <c r="DZ59" i="93"/>
  <c r="FR59" i="93" s="1"/>
  <c r="DZ50" i="93"/>
  <c r="FR50" i="93" s="1"/>
  <c r="DZ64" i="93"/>
  <c r="FR64" i="93" s="1"/>
  <c r="DZ62" i="93"/>
  <c r="FR62" i="93" s="1"/>
  <c r="DZ45" i="93"/>
  <c r="FR45" i="93" s="1"/>
  <c r="DZ34" i="93"/>
  <c r="FR34" i="93" s="1"/>
  <c r="DZ43" i="93"/>
  <c r="FR43" i="93" s="1"/>
  <c r="DZ47" i="93"/>
  <c r="FR47" i="93" s="1"/>
  <c r="DZ39" i="93"/>
  <c r="FR39" i="93" s="1"/>
  <c r="DZ37" i="93"/>
  <c r="FR37" i="93" s="1"/>
  <c r="DZ53" i="93"/>
  <c r="FR53" i="93" s="1"/>
  <c r="DZ44" i="93"/>
  <c r="FR44" i="93" s="1"/>
  <c r="DZ35" i="93"/>
  <c r="FR35" i="93" s="1"/>
  <c r="DZ41" i="93"/>
  <c r="FR41" i="93" s="1"/>
  <c r="DZ60" i="93"/>
  <c r="FR60" i="93" s="1"/>
  <c r="DZ36" i="93"/>
  <c r="FR36" i="93" s="1"/>
  <c r="DZ30" i="93"/>
  <c r="FR30" i="93" s="1"/>
  <c r="DD59" i="98"/>
  <c r="DD60" i="98"/>
  <c r="EJ6" i="93"/>
  <c r="GB6" i="93" s="1"/>
  <c r="EJ5" i="93"/>
  <c r="GB5" i="93" s="1"/>
  <c r="EJ7" i="93"/>
  <c r="GB7" i="93" s="1"/>
  <c r="EJ19" i="93"/>
  <c r="GB19" i="93" s="1"/>
  <c r="EJ13" i="93"/>
  <c r="GB13" i="93" s="1"/>
  <c r="EJ28" i="93"/>
  <c r="GB28" i="93" s="1"/>
  <c r="EJ27" i="93"/>
  <c r="GB27" i="93" s="1"/>
  <c r="EJ26" i="93"/>
  <c r="GB26" i="93" s="1"/>
  <c r="EJ20" i="93"/>
  <c r="GB20" i="93" s="1"/>
  <c r="EJ15" i="93"/>
  <c r="GB15" i="93" s="1"/>
  <c r="EJ30" i="93"/>
  <c r="GB30" i="93" s="1"/>
  <c r="EJ11" i="93"/>
  <c r="GB11" i="93" s="1"/>
  <c r="EJ17" i="93"/>
  <c r="GB17" i="93" s="1"/>
  <c r="EJ34" i="93"/>
  <c r="GB34" i="93" s="1"/>
  <c r="EJ35" i="93"/>
  <c r="GB35" i="93" s="1"/>
  <c r="EJ8" i="93"/>
  <c r="GB8" i="93" s="1"/>
  <c r="EJ31" i="93"/>
  <c r="GB31" i="93" s="1"/>
  <c r="EJ9" i="93"/>
  <c r="GB9" i="93" s="1"/>
  <c r="EJ21" i="93"/>
  <c r="GB21" i="93" s="1"/>
  <c r="EJ23" i="93"/>
  <c r="GB23" i="93" s="1"/>
  <c r="EJ32" i="93"/>
  <c r="GB32" i="93" s="1"/>
  <c r="EJ29" i="93"/>
  <c r="GB29" i="93" s="1"/>
  <c r="EJ12" i="93"/>
  <c r="GB12" i="93" s="1"/>
  <c r="EJ33" i="93"/>
  <c r="GB33" i="93" s="1"/>
  <c r="EJ16" i="93"/>
  <c r="GB16" i="93" s="1"/>
  <c r="EJ22" i="93"/>
  <c r="GB22" i="93" s="1"/>
  <c r="EJ24" i="93"/>
  <c r="GB24" i="93" s="1"/>
  <c r="EJ18" i="93"/>
  <c r="GB18" i="93" s="1"/>
  <c r="EJ14" i="93"/>
  <c r="GB14" i="93" s="1"/>
  <c r="EJ25" i="93"/>
  <c r="GB25" i="93" s="1"/>
  <c r="EJ10" i="93"/>
  <c r="GB10" i="93" s="1"/>
  <c r="EJ40" i="93"/>
  <c r="GB40" i="93" s="1"/>
  <c r="EJ61" i="93"/>
  <c r="GB61" i="93" s="1"/>
  <c r="EJ59" i="93"/>
  <c r="GB59" i="93" s="1"/>
  <c r="EJ63" i="93"/>
  <c r="GB63" i="93" s="1"/>
  <c r="EJ38" i="93"/>
  <c r="GB38" i="93" s="1"/>
  <c r="EJ57" i="93"/>
  <c r="GB57" i="93" s="1"/>
  <c r="EJ54" i="93"/>
  <c r="GB54" i="93" s="1"/>
  <c r="EJ37" i="93"/>
  <c r="GB37" i="93" s="1"/>
  <c r="EJ45" i="93"/>
  <c r="GB45" i="93" s="1"/>
  <c r="EJ42" i="93"/>
  <c r="GB42" i="93" s="1"/>
  <c r="EJ41" i="93"/>
  <c r="GB41" i="93" s="1"/>
  <c r="EJ55" i="93"/>
  <c r="GB55" i="93" s="1"/>
  <c r="EJ52" i="93"/>
  <c r="GB52" i="93" s="1"/>
  <c r="EJ48" i="93"/>
  <c r="GB48" i="93" s="1"/>
  <c r="EJ39" i="93"/>
  <c r="GB39" i="93" s="1"/>
  <c r="EJ50" i="93"/>
  <c r="GB50" i="93" s="1"/>
  <c r="EJ43" i="93"/>
  <c r="GB43" i="93" s="1"/>
  <c r="EJ56" i="93"/>
  <c r="GB56" i="93" s="1"/>
  <c r="EJ46" i="93"/>
  <c r="GB46" i="93" s="1"/>
  <c r="EJ44" i="93"/>
  <c r="GB44" i="93" s="1"/>
  <c r="EJ36" i="93"/>
  <c r="GB36" i="93" s="1"/>
  <c r="EJ60" i="93"/>
  <c r="GB60" i="93" s="1"/>
  <c r="EJ53" i="93"/>
  <c r="GB53" i="93" s="1"/>
  <c r="EJ62" i="93"/>
  <c r="GB62" i="93" s="1"/>
  <c r="EJ58" i="93"/>
  <c r="GB58" i="93" s="1"/>
  <c r="EJ51" i="93"/>
  <c r="GB51" i="93" s="1"/>
  <c r="EJ47" i="93"/>
  <c r="GB47" i="93" s="1"/>
  <c r="EJ64" i="93"/>
  <c r="GB64" i="93" s="1"/>
  <c r="EJ49" i="93"/>
  <c r="GB49" i="93" s="1"/>
  <c r="DT6" i="93"/>
  <c r="FL6" i="93" s="1"/>
  <c r="DT5" i="93"/>
  <c r="FL5" i="93" s="1"/>
  <c r="DT10" i="93"/>
  <c r="FL10" i="93" s="1"/>
  <c r="DT17" i="93"/>
  <c r="FL17" i="93" s="1"/>
  <c r="DT16" i="93"/>
  <c r="FL16" i="93" s="1"/>
  <c r="DT9" i="93"/>
  <c r="FL9" i="93" s="1"/>
  <c r="DT12" i="93"/>
  <c r="FL12" i="93" s="1"/>
  <c r="DT18" i="93"/>
  <c r="FL18" i="93" s="1"/>
  <c r="DT7" i="93"/>
  <c r="FL7" i="93" s="1"/>
  <c r="DT14" i="93"/>
  <c r="FL14" i="93" s="1"/>
  <c r="DT11" i="93"/>
  <c r="FL11" i="93" s="1"/>
  <c r="DT23" i="93"/>
  <c r="FL23" i="93" s="1"/>
  <c r="DT21" i="93"/>
  <c r="FL21" i="93" s="1"/>
  <c r="DT15" i="93"/>
  <c r="FL15" i="93" s="1"/>
  <c r="DT19" i="93"/>
  <c r="FL19" i="93" s="1"/>
  <c r="DT22" i="93"/>
  <c r="FL22" i="93" s="1"/>
  <c r="DT13" i="93"/>
  <c r="FL13" i="93" s="1"/>
  <c r="DT20" i="93"/>
  <c r="FL20" i="93" s="1"/>
  <c r="DT8" i="93"/>
  <c r="FL8" i="93" s="1"/>
  <c r="DT29" i="93"/>
  <c r="FL29" i="93" s="1"/>
  <c r="DT47" i="93"/>
  <c r="FL47" i="93" s="1"/>
  <c r="DT54" i="93"/>
  <c r="FL54" i="93" s="1"/>
  <c r="DT55" i="93"/>
  <c r="FL55" i="93" s="1"/>
  <c r="DT53" i="93"/>
  <c r="FL53" i="93" s="1"/>
  <c r="DT58" i="93"/>
  <c r="FL58" i="93" s="1"/>
  <c r="DT39" i="93"/>
  <c r="FL39" i="93" s="1"/>
  <c r="DT46" i="93"/>
  <c r="FL46" i="93" s="1"/>
  <c r="DT41" i="93"/>
  <c r="FL41" i="93" s="1"/>
  <c r="DT24" i="93"/>
  <c r="FL24" i="93" s="1"/>
  <c r="DT28" i="93"/>
  <c r="FL28" i="93" s="1"/>
  <c r="DT62" i="93"/>
  <c r="FL62" i="93" s="1"/>
  <c r="DT50" i="93"/>
  <c r="FL50" i="93" s="1"/>
  <c r="DT38" i="93"/>
  <c r="FL38" i="93" s="1"/>
  <c r="DT51" i="93"/>
  <c r="FL51" i="93" s="1"/>
  <c r="DT60" i="93"/>
  <c r="FL60" i="93" s="1"/>
  <c r="DT42" i="93"/>
  <c r="FL42" i="93" s="1"/>
  <c r="DT32" i="93"/>
  <c r="FL32" i="93" s="1"/>
  <c r="DT44" i="93"/>
  <c r="FL44" i="93" s="1"/>
  <c r="DT30" i="93"/>
  <c r="FL30" i="93" s="1"/>
  <c r="DT27" i="93"/>
  <c r="FL27" i="93" s="1"/>
  <c r="DT52" i="93"/>
  <c r="FL52" i="93" s="1"/>
  <c r="DT61" i="93"/>
  <c r="FL61" i="93" s="1"/>
  <c r="DT35" i="93"/>
  <c r="FL35" i="93" s="1"/>
  <c r="DT33" i="93"/>
  <c r="FL33" i="93" s="1"/>
  <c r="DT63" i="93"/>
  <c r="FL63" i="93" s="1"/>
  <c r="DT37" i="93"/>
  <c r="FL37" i="93" s="1"/>
  <c r="DT59" i="93"/>
  <c r="FL59" i="93" s="1"/>
  <c r="DT45" i="93"/>
  <c r="FL45" i="93" s="1"/>
  <c r="DT25" i="93"/>
  <c r="FL25" i="93" s="1"/>
  <c r="DT57" i="93"/>
  <c r="FL57" i="93" s="1"/>
  <c r="DT34" i="93"/>
  <c r="FL34" i="93" s="1"/>
  <c r="DT48" i="93"/>
  <c r="FL48" i="93" s="1"/>
  <c r="DT31" i="93"/>
  <c r="FL31" i="93" s="1"/>
  <c r="DT43" i="93"/>
  <c r="FL43" i="93" s="1"/>
  <c r="DT40" i="93"/>
  <c r="FL40" i="93" s="1"/>
  <c r="DT26" i="93"/>
  <c r="FL26" i="93" s="1"/>
  <c r="DT56" i="93"/>
  <c r="FL56" i="93" s="1"/>
  <c r="DT64" i="93"/>
  <c r="FL64" i="93" s="1"/>
  <c r="DT49" i="93"/>
  <c r="FL49" i="93" s="1"/>
  <c r="DT36" i="93"/>
  <c r="FL36" i="93" s="1"/>
  <c r="DD5" i="93"/>
  <c r="EV5" i="93" s="1"/>
  <c r="DD9" i="93"/>
  <c r="EV9" i="93" s="1"/>
  <c r="DD6" i="93"/>
  <c r="EV6" i="93" s="1"/>
  <c r="DD7" i="93"/>
  <c r="EV7" i="93" s="1"/>
  <c r="DD8" i="93"/>
  <c r="EV8" i="93" s="1"/>
  <c r="DD28" i="93"/>
  <c r="EV28" i="93" s="1"/>
  <c r="DD35" i="93"/>
  <c r="EV35" i="93" s="1"/>
  <c r="DD54" i="93"/>
  <c r="EV54" i="93" s="1"/>
  <c r="DD13" i="93"/>
  <c r="EV13" i="93" s="1"/>
  <c r="DD64" i="93"/>
  <c r="EV64" i="93" s="1"/>
  <c r="DD15" i="93"/>
  <c r="EV15" i="93" s="1"/>
  <c r="DD57" i="93"/>
  <c r="EV57" i="93" s="1"/>
  <c r="DD39" i="93"/>
  <c r="EV39" i="93" s="1"/>
  <c r="DD40" i="93"/>
  <c r="EV40" i="93" s="1"/>
  <c r="DD31" i="93"/>
  <c r="EV31" i="93" s="1"/>
  <c r="DD23" i="93"/>
  <c r="EV23" i="93" s="1"/>
  <c r="DD62" i="93"/>
  <c r="EV62" i="93" s="1"/>
  <c r="DD11" i="93"/>
  <c r="EV11" i="93" s="1"/>
  <c r="DD10" i="93"/>
  <c r="EV10" i="93" s="1"/>
  <c r="DD18" i="93"/>
  <c r="EV18" i="93" s="1"/>
  <c r="DD53" i="93"/>
  <c r="EV53" i="93" s="1"/>
  <c r="DD52" i="93"/>
  <c r="EV52" i="93" s="1"/>
  <c r="DD27" i="93"/>
  <c r="EV27" i="93" s="1"/>
  <c r="DD56" i="93"/>
  <c r="EV56" i="93" s="1"/>
  <c r="DD45" i="93"/>
  <c r="EV45" i="93" s="1"/>
  <c r="DD38" i="93"/>
  <c r="EV38" i="93" s="1"/>
  <c r="DD30" i="93"/>
  <c r="EV30" i="93" s="1"/>
  <c r="DD19" i="93"/>
  <c r="EV19" i="93" s="1"/>
  <c r="DD16" i="93"/>
  <c r="EV16" i="93" s="1"/>
  <c r="DD51" i="93"/>
  <c r="EV51" i="93" s="1"/>
  <c r="DD50" i="93"/>
  <c r="EV50" i="93" s="1"/>
  <c r="DD55" i="93"/>
  <c r="EV55" i="93" s="1"/>
  <c r="DD14" i="93"/>
  <c r="EV14" i="93" s="1"/>
  <c r="DD34" i="93"/>
  <c r="EV34" i="93" s="1"/>
  <c r="DD61" i="93"/>
  <c r="EV61" i="93" s="1"/>
  <c r="DD47" i="93"/>
  <c r="EV47" i="93" s="1"/>
  <c r="DD37" i="93"/>
  <c r="EV37" i="93" s="1"/>
  <c r="DD44" i="93"/>
  <c r="EV44" i="93" s="1"/>
  <c r="DD41" i="93"/>
  <c r="EV41" i="93" s="1"/>
  <c r="DD25" i="93"/>
  <c r="EV25" i="93" s="1"/>
  <c r="DD60" i="93"/>
  <c r="EV60" i="93" s="1"/>
  <c r="DD58" i="93"/>
  <c r="EV58" i="93" s="1"/>
  <c r="DD63" i="93"/>
  <c r="EV63" i="93" s="1"/>
  <c r="DD29" i="93"/>
  <c r="EV29" i="93" s="1"/>
  <c r="DD43" i="93"/>
  <c r="EV43" i="93" s="1"/>
  <c r="DD36" i="93"/>
  <c r="EV36" i="93" s="1"/>
  <c r="DD20" i="93"/>
  <c r="EV20" i="93" s="1"/>
  <c r="DD42" i="93"/>
  <c r="EV42" i="93" s="1"/>
  <c r="DD49" i="93"/>
  <c r="EV49" i="93" s="1"/>
  <c r="DD17" i="93"/>
  <c r="EV17" i="93" s="1"/>
  <c r="DD24" i="93"/>
  <c r="EV24" i="93" s="1"/>
  <c r="DD22" i="93"/>
  <c r="EV22" i="93" s="1"/>
  <c r="DD26" i="93"/>
  <c r="EV26" i="93" s="1"/>
  <c r="DD46" i="93"/>
  <c r="EV46" i="93" s="1"/>
  <c r="DD59" i="93"/>
  <c r="EV59" i="93" s="1"/>
  <c r="DD48" i="93"/>
  <c r="EV48" i="93" s="1"/>
  <c r="DD33" i="93"/>
  <c r="EV33" i="93" s="1"/>
  <c r="DD12" i="93"/>
  <c r="EV12" i="93" s="1"/>
  <c r="DD32" i="93"/>
  <c r="EV32" i="93" s="1"/>
  <c r="DD21" i="93"/>
  <c r="EV21" i="93" s="1"/>
  <c r="DM6" i="93"/>
  <c r="FE6" i="93" s="1"/>
  <c r="DM5" i="93"/>
  <c r="FE5" i="93" s="1"/>
  <c r="DM9" i="93"/>
  <c r="FE9" i="93" s="1"/>
  <c r="DM8" i="93"/>
  <c r="FE8" i="93" s="1"/>
  <c r="DM18" i="93"/>
  <c r="FE18" i="93" s="1"/>
  <c r="DM16" i="93"/>
  <c r="FE16" i="93" s="1"/>
  <c r="DM11" i="93"/>
  <c r="FE11" i="93" s="1"/>
  <c r="DM15" i="93"/>
  <c r="FE15" i="93" s="1"/>
  <c r="DM14" i="93"/>
  <c r="FE14" i="93" s="1"/>
  <c r="DM7" i="93"/>
  <c r="FE7" i="93" s="1"/>
  <c r="DM12" i="93"/>
  <c r="FE12" i="93" s="1"/>
  <c r="DM17" i="93"/>
  <c r="FE17" i="93" s="1"/>
  <c r="DM13" i="93"/>
  <c r="FE13" i="93" s="1"/>
  <c r="DM10" i="93"/>
  <c r="FE10" i="93" s="1"/>
  <c r="DM20" i="93"/>
  <c r="FE20" i="93" s="1"/>
  <c r="DM49" i="93"/>
  <c r="FE49" i="93" s="1"/>
  <c r="DM40" i="93"/>
  <c r="FE40" i="93" s="1"/>
  <c r="DM23" i="93"/>
  <c r="FE23" i="93" s="1"/>
  <c r="DM43" i="93"/>
  <c r="FE43" i="93" s="1"/>
  <c r="DM50" i="93"/>
  <c r="FE50" i="93" s="1"/>
  <c r="DM24" i="93"/>
  <c r="FE24" i="93" s="1"/>
  <c r="DM28" i="93"/>
  <c r="FE28" i="93" s="1"/>
  <c r="DM62" i="93"/>
  <c r="FE62" i="93" s="1"/>
  <c r="DM33" i="93"/>
  <c r="FE33" i="93" s="1"/>
  <c r="DM48" i="93"/>
  <c r="FE48" i="93" s="1"/>
  <c r="DM55" i="93"/>
  <c r="FE55" i="93" s="1"/>
  <c r="DM19" i="93"/>
  <c r="FE19" i="93" s="1"/>
  <c r="DM36" i="93"/>
  <c r="FE36" i="93" s="1"/>
  <c r="DM57" i="93"/>
  <c r="FE57" i="93" s="1"/>
  <c r="DM21" i="93"/>
  <c r="FE21" i="93" s="1"/>
  <c r="DM44" i="93"/>
  <c r="FE44" i="93" s="1"/>
  <c r="DM51" i="93"/>
  <c r="FE51" i="93" s="1"/>
  <c r="DM25" i="93"/>
  <c r="FE25" i="93" s="1"/>
  <c r="DM45" i="93"/>
  <c r="FE45" i="93" s="1"/>
  <c r="DM53" i="93"/>
  <c r="FE53" i="93" s="1"/>
  <c r="DM41" i="93"/>
  <c r="FE41" i="93" s="1"/>
  <c r="DM56" i="93"/>
  <c r="FE56" i="93" s="1"/>
  <c r="DM63" i="93"/>
  <c r="FE63" i="93" s="1"/>
  <c r="DM35" i="93"/>
  <c r="FE35" i="93" s="1"/>
  <c r="DM58" i="93"/>
  <c r="FE58" i="93" s="1"/>
  <c r="DM34" i="93"/>
  <c r="FE34" i="93" s="1"/>
  <c r="DM37" i="93"/>
  <c r="FE37" i="93" s="1"/>
  <c r="DM52" i="93"/>
  <c r="FE52" i="93" s="1"/>
  <c r="DM59" i="93"/>
  <c r="FE59" i="93" s="1"/>
  <c r="DM29" i="93"/>
  <c r="FE29" i="93" s="1"/>
  <c r="DM46" i="93"/>
  <c r="FE46" i="93" s="1"/>
  <c r="DM61" i="93"/>
  <c r="FE61" i="93" s="1"/>
  <c r="DM30" i="93"/>
  <c r="FE30" i="93" s="1"/>
  <c r="DM64" i="93"/>
  <c r="FE64" i="93" s="1"/>
  <c r="DM31" i="93"/>
  <c r="FE31" i="93" s="1"/>
  <c r="DM38" i="93"/>
  <c r="FE38" i="93" s="1"/>
  <c r="DM22" i="93"/>
  <c r="FE22" i="93" s="1"/>
  <c r="DM26" i="93"/>
  <c r="FE26" i="93" s="1"/>
  <c r="DM60" i="93"/>
  <c r="FE60" i="93" s="1"/>
  <c r="DM42" i="93"/>
  <c r="FE42" i="93" s="1"/>
  <c r="DM39" i="93"/>
  <c r="FE39" i="93" s="1"/>
  <c r="DM54" i="93"/>
  <c r="FE54" i="93" s="1"/>
  <c r="DM27" i="93"/>
  <c r="FE27" i="93" s="1"/>
  <c r="DM47" i="93"/>
  <c r="FE47" i="93" s="1"/>
  <c r="DM32" i="93"/>
  <c r="FE32" i="93" s="1"/>
  <c r="EE5" i="93"/>
  <c r="FW5" i="93" s="1"/>
  <c r="EE6" i="93"/>
  <c r="FW6" i="93" s="1"/>
  <c r="EE28" i="93"/>
  <c r="FW28" i="93" s="1"/>
  <c r="EE10" i="93"/>
  <c r="FW10" i="93" s="1"/>
  <c r="EE34" i="93"/>
  <c r="FW34" i="93" s="1"/>
  <c r="EE26" i="93"/>
  <c r="FW26" i="93" s="1"/>
  <c r="EE14" i="93"/>
  <c r="FW14" i="93" s="1"/>
  <c r="EE16" i="93"/>
  <c r="FW16" i="93" s="1"/>
  <c r="EE8" i="93"/>
  <c r="FW8" i="93" s="1"/>
  <c r="EE17" i="93"/>
  <c r="FW17" i="93" s="1"/>
  <c r="EE33" i="93"/>
  <c r="FW33" i="93" s="1"/>
  <c r="EE18" i="93"/>
  <c r="FW18" i="93" s="1"/>
  <c r="EE32" i="93"/>
  <c r="FW32" i="93" s="1"/>
  <c r="EE25" i="93"/>
  <c r="FW25" i="93" s="1"/>
  <c r="EE21" i="93"/>
  <c r="FW21" i="93" s="1"/>
  <c r="EE29" i="93"/>
  <c r="FW29" i="93" s="1"/>
  <c r="EE19" i="93"/>
  <c r="FW19" i="93" s="1"/>
  <c r="EE7" i="93"/>
  <c r="FW7" i="93" s="1"/>
  <c r="EE27" i="93"/>
  <c r="FW27" i="93" s="1"/>
  <c r="EE35" i="93"/>
  <c r="FW35" i="93" s="1"/>
  <c r="EE9" i="93"/>
  <c r="FW9" i="93" s="1"/>
  <c r="EE15" i="93"/>
  <c r="FW15" i="93" s="1"/>
  <c r="EE22" i="93"/>
  <c r="FW22" i="93" s="1"/>
  <c r="EE23" i="93"/>
  <c r="FW23" i="93" s="1"/>
  <c r="EE20" i="93"/>
  <c r="FW20" i="93" s="1"/>
  <c r="EE30" i="93"/>
  <c r="FW30" i="93" s="1"/>
  <c r="EE31" i="93"/>
  <c r="FW31" i="93" s="1"/>
  <c r="EE24" i="93"/>
  <c r="FW24" i="93" s="1"/>
  <c r="EE11" i="93"/>
  <c r="FW11" i="93" s="1"/>
  <c r="EE13" i="93"/>
  <c r="FW13" i="93" s="1"/>
  <c r="EE12" i="93"/>
  <c r="FW12" i="93" s="1"/>
  <c r="EE39" i="93"/>
  <c r="FW39" i="93" s="1"/>
  <c r="EE40" i="93"/>
  <c r="FW40" i="93" s="1"/>
  <c r="EE59" i="93"/>
  <c r="FW59" i="93" s="1"/>
  <c r="EE42" i="93"/>
  <c r="FW42" i="93" s="1"/>
  <c r="EE61" i="93"/>
  <c r="FW61" i="93" s="1"/>
  <c r="EE44" i="93"/>
  <c r="FW44" i="93" s="1"/>
  <c r="EE52" i="93"/>
  <c r="FW52" i="93" s="1"/>
  <c r="EE38" i="93"/>
  <c r="FW38" i="93" s="1"/>
  <c r="EE57" i="93"/>
  <c r="FW57" i="93" s="1"/>
  <c r="EE48" i="93"/>
  <c r="FW48" i="93" s="1"/>
  <c r="EE41" i="93"/>
  <c r="FW41" i="93" s="1"/>
  <c r="EE50" i="93"/>
  <c r="FW50" i="93" s="1"/>
  <c r="EE58" i="93"/>
  <c r="FW58" i="93" s="1"/>
  <c r="EE49" i="93"/>
  <c r="FW49" i="93" s="1"/>
  <c r="EE60" i="93"/>
  <c r="FW60" i="93" s="1"/>
  <c r="EE46" i="93"/>
  <c r="FW46" i="93" s="1"/>
  <c r="EE54" i="93"/>
  <c r="FW54" i="93" s="1"/>
  <c r="EE45" i="93"/>
  <c r="FW45" i="93" s="1"/>
  <c r="EE56" i="93"/>
  <c r="FW56" i="93" s="1"/>
  <c r="EE47" i="93"/>
  <c r="FW47" i="93" s="1"/>
  <c r="EE37" i="93"/>
  <c r="FW37" i="93" s="1"/>
  <c r="EE55" i="93"/>
  <c r="FW55" i="93" s="1"/>
  <c r="EE43" i="93"/>
  <c r="FW43" i="93" s="1"/>
  <c r="EE62" i="93"/>
  <c r="FW62" i="93" s="1"/>
  <c r="EE51" i="93"/>
  <c r="FW51" i="93" s="1"/>
  <c r="EE64" i="93"/>
  <c r="FW64" i="93" s="1"/>
  <c r="EE53" i="93"/>
  <c r="FW53" i="93" s="1"/>
  <c r="EE36" i="93"/>
  <c r="FW36" i="93" s="1"/>
  <c r="EE63" i="93"/>
  <c r="FW63" i="93" s="1"/>
  <c r="DO10" i="93"/>
  <c r="FG10" i="93" s="1"/>
  <c r="DO8" i="93"/>
  <c r="FG8" i="93" s="1"/>
  <c r="DO5" i="93"/>
  <c r="FG5" i="93" s="1"/>
  <c r="DO6" i="93"/>
  <c r="FG6" i="93" s="1"/>
  <c r="DO17" i="93"/>
  <c r="FG17" i="93" s="1"/>
  <c r="DO13" i="93"/>
  <c r="FG13" i="93" s="1"/>
  <c r="DO15" i="93"/>
  <c r="FG15" i="93" s="1"/>
  <c r="DO7" i="93"/>
  <c r="FG7" i="93" s="1"/>
  <c r="DO14" i="93"/>
  <c r="FG14" i="93" s="1"/>
  <c r="DO11" i="93"/>
  <c r="FG11" i="93" s="1"/>
  <c r="DO9" i="93"/>
  <c r="FG9" i="93" s="1"/>
  <c r="DO16" i="93"/>
  <c r="FG16" i="93" s="1"/>
  <c r="DO18" i="93"/>
  <c r="FG18" i="93" s="1"/>
  <c r="DO12" i="93"/>
  <c r="FG12" i="93" s="1"/>
  <c r="DO44" i="93"/>
  <c r="FG44" i="93" s="1"/>
  <c r="DO61" i="93"/>
  <c r="FG61" i="93" s="1"/>
  <c r="DO23" i="93"/>
  <c r="FG23" i="93" s="1"/>
  <c r="DO50" i="93"/>
  <c r="FG50" i="93" s="1"/>
  <c r="DO33" i="93"/>
  <c r="FG33" i="93" s="1"/>
  <c r="DO31" i="93"/>
  <c r="FG31" i="93" s="1"/>
  <c r="DO52" i="93"/>
  <c r="FG52" i="93" s="1"/>
  <c r="DO46" i="93"/>
  <c r="FG46" i="93" s="1"/>
  <c r="DO21" i="93"/>
  <c r="FG21" i="93" s="1"/>
  <c r="DO22" i="93"/>
  <c r="FG22" i="93" s="1"/>
  <c r="DO55" i="93"/>
  <c r="FG55" i="93" s="1"/>
  <c r="DO20" i="93"/>
  <c r="FG20" i="93" s="1"/>
  <c r="DO25" i="93"/>
  <c r="FG25" i="93" s="1"/>
  <c r="DO41" i="93"/>
  <c r="FG41" i="93" s="1"/>
  <c r="DO32" i="93"/>
  <c r="FG32" i="93" s="1"/>
  <c r="DO45" i="93"/>
  <c r="FG45" i="93" s="1"/>
  <c r="DO54" i="93"/>
  <c r="FG54" i="93" s="1"/>
  <c r="DO29" i="93"/>
  <c r="FG29" i="93" s="1"/>
  <c r="DO19" i="93"/>
  <c r="FG19" i="93" s="1"/>
  <c r="DO49" i="93"/>
  <c r="FG49" i="93" s="1"/>
  <c r="DO38" i="93"/>
  <c r="FG38" i="93" s="1"/>
  <c r="DO60" i="93"/>
  <c r="FG60" i="93" s="1"/>
  <c r="DO35" i="93"/>
  <c r="FG35" i="93" s="1"/>
  <c r="DO34" i="93"/>
  <c r="FG34" i="93" s="1"/>
  <c r="DO47" i="93"/>
  <c r="FG47" i="93" s="1"/>
  <c r="DO56" i="93"/>
  <c r="FG56" i="93" s="1"/>
  <c r="DO40" i="93"/>
  <c r="FG40" i="93" s="1"/>
  <c r="DO51" i="93"/>
  <c r="FG51" i="93" s="1"/>
  <c r="DO62" i="93"/>
  <c r="FG62" i="93" s="1"/>
  <c r="DO43" i="93"/>
  <c r="FG43" i="93" s="1"/>
  <c r="DO28" i="93"/>
  <c r="FG28" i="93" s="1"/>
  <c r="DO63" i="93"/>
  <c r="FG63" i="93" s="1"/>
  <c r="DO48" i="93"/>
  <c r="FG48" i="93" s="1"/>
  <c r="DO24" i="93"/>
  <c r="FG24" i="93" s="1"/>
  <c r="DO37" i="93"/>
  <c r="FG37" i="93" s="1"/>
  <c r="DO42" i="93"/>
  <c r="FG42" i="93" s="1"/>
  <c r="DO53" i="93"/>
  <c r="FG53" i="93" s="1"/>
  <c r="DO64" i="93"/>
  <c r="FG64" i="93" s="1"/>
  <c r="DO30" i="93"/>
  <c r="FG30" i="93" s="1"/>
  <c r="DO59" i="93"/>
  <c r="FG59" i="93" s="1"/>
  <c r="DO26" i="93"/>
  <c r="FG26" i="93" s="1"/>
  <c r="DO57" i="93"/>
  <c r="FG57" i="93" s="1"/>
  <c r="DO36" i="93"/>
  <c r="FG36" i="93" s="1"/>
  <c r="DO58" i="93"/>
  <c r="FG58" i="93" s="1"/>
  <c r="DO39" i="93"/>
  <c r="FG39" i="93" s="1"/>
  <c r="DO27" i="93"/>
  <c r="FG27" i="93" s="1"/>
  <c r="CY10" i="93"/>
  <c r="EQ10" i="93" s="1"/>
  <c r="CY19" i="93"/>
  <c r="EQ19" i="93" s="1"/>
  <c r="CY16" i="93"/>
  <c r="EQ16" i="93" s="1"/>
  <c r="CY28" i="93"/>
  <c r="EQ28" i="93" s="1"/>
  <c r="CY31" i="93"/>
  <c r="EQ31" i="93" s="1"/>
  <c r="CY38" i="93"/>
  <c r="EQ38" i="93" s="1"/>
  <c r="CY30" i="93"/>
  <c r="EQ30" i="93" s="1"/>
  <c r="CY46" i="93"/>
  <c r="EQ46" i="93" s="1"/>
  <c r="CY43" i="93"/>
  <c r="EQ43" i="93" s="1"/>
  <c r="CY39" i="93"/>
  <c r="EQ39" i="93" s="1"/>
  <c r="CY57" i="93"/>
  <c r="EQ57" i="93" s="1"/>
  <c r="CY33" i="93"/>
  <c r="EQ33" i="93" s="1"/>
  <c r="CY54" i="93"/>
  <c r="EQ54" i="93" s="1"/>
  <c r="CY62" i="93"/>
  <c r="EQ62" i="93" s="1"/>
  <c r="CY5" i="93"/>
  <c r="EQ5" i="93" s="1"/>
  <c r="CY15" i="93"/>
  <c r="EQ15" i="93" s="1"/>
  <c r="CY7" i="93"/>
  <c r="EQ7" i="93" s="1"/>
  <c r="CY42" i="93"/>
  <c r="EQ42" i="93" s="1"/>
  <c r="CY47" i="93"/>
  <c r="EQ47" i="93" s="1"/>
  <c r="CY61" i="93"/>
  <c r="EQ61" i="93" s="1"/>
  <c r="CY13" i="93"/>
  <c r="EQ13" i="93" s="1"/>
  <c r="CY6" i="93"/>
  <c r="EQ6" i="93" s="1"/>
  <c r="CY12" i="93"/>
  <c r="EQ12" i="93" s="1"/>
  <c r="CY44" i="93"/>
  <c r="EQ44" i="93" s="1"/>
  <c r="CY55" i="93"/>
  <c r="EQ55" i="93" s="1"/>
  <c r="CY8" i="93"/>
  <c r="EQ8" i="93" s="1"/>
  <c r="CY11" i="93"/>
  <c r="EQ11" i="93" s="1"/>
  <c r="CY21" i="93"/>
  <c r="EQ21" i="93" s="1"/>
  <c r="CY20" i="93"/>
  <c r="EQ20" i="93" s="1"/>
  <c r="CY24" i="93"/>
  <c r="EQ24" i="93" s="1"/>
  <c r="CY32" i="93"/>
  <c r="EQ32" i="93" s="1"/>
  <c r="CY40" i="93"/>
  <c r="EQ40" i="93" s="1"/>
  <c r="CY22" i="93"/>
  <c r="EQ22" i="93" s="1"/>
  <c r="CY48" i="93"/>
  <c r="EQ48" i="93" s="1"/>
  <c r="CY45" i="93"/>
  <c r="EQ45" i="93" s="1"/>
  <c r="CY51" i="93"/>
  <c r="EQ51" i="93" s="1"/>
  <c r="CY59" i="93"/>
  <c r="EQ59" i="93" s="1"/>
  <c r="CY41" i="93"/>
  <c r="EQ41" i="93" s="1"/>
  <c r="CY56" i="93"/>
  <c r="EQ56" i="93" s="1"/>
  <c r="CY64" i="93"/>
  <c r="EQ64" i="93" s="1"/>
  <c r="CY14" i="93"/>
  <c r="EQ14" i="93" s="1"/>
  <c r="CY23" i="93"/>
  <c r="EQ23" i="93" s="1"/>
  <c r="CY34" i="93"/>
  <c r="EQ34" i="93" s="1"/>
  <c r="CY25" i="93"/>
  <c r="EQ25" i="93" s="1"/>
  <c r="CY53" i="93"/>
  <c r="EQ53" i="93" s="1"/>
  <c r="CY35" i="93"/>
  <c r="EQ35" i="93" s="1"/>
  <c r="CY26" i="93"/>
  <c r="EQ26" i="93" s="1"/>
  <c r="CY29" i="93"/>
  <c r="EQ29" i="93" s="1"/>
  <c r="CY63" i="93"/>
  <c r="EQ63" i="93" s="1"/>
  <c r="CY18" i="93"/>
  <c r="EQ18" i="93" s="1"/>
  <c r="CY50" i="93"/>
  <c r="EQ50" i="93" s="1"/>
  <c r="CY58" i="93"/>
  <c r="EQ58" i="93" s="1"/>
  <c r="CY17" i="93"/>
  <c r="EQ17" i="93" s="1"/>
  <c r="CY36" i="93"/>
  <c r="EQ36" i="93" s="1"/>
  <c r="CY49" i="93"/>
  <c r="EQ49" i="93" s="1"/>
  <c r="CY52" i="93"/>
  <c r="EQ52" i="93" s="1"/>
  <c r="CY37" i="93"/>
  <c r="EQ37" i="93" s="1"/>
  <c r="CY9" i="93"/>
  <c r="EQ9" i="93" s="1"/>
  <c r="CY27" i="93"/>
  <c r="EQ27" i="93" s="1"/>
  <c r="CY60" i="93"/>
  <c r="EQ60" i="93" s="1"/>
  <c r="EL5" i="93"/>
  <c r="GD5" i="93" s="1"/>
  <c r="EL22" i="93"/>
  <c r="GD22" i="93" s="1"/>
  <c r="EL30" i="93"/>
  <c r="GD30" i="93" s="1"/>
  <c r="EL24" i="93"/>
  <c r="GD24" i="93" s="1"/>
  <c r="EL16" i="93"/>
  <c r="GD16" i="93" s="1"/>
  <c r="EL6" i="93"/>
  <c r="GD6" i="93" s="1"/>
  <c r="EL29" i="93"/>
  <c r="GD29" i="93" s="1"/>
  <c r="EL33" i="93"/>
  <c r="GD33" i="93" s="1"/>
  <c r="EL10" i="93"/>
  <c r="GD10" i="93" s="1"/>
  <c r="EL28" i="93"/>
  <c r="GD28" i="93" s="1"/>
  <c r="EL25" i="93"/>
  <c r="GD25" i="93" s="1"/>
  <c r="EL26" i="93"/>
  <c r="GD26" i="93" s="1"/>
  <c r="EL8" i="93"/>
  <c r="GD8" i="93" s="1"/>
  <c r="EL11" i="93"/>
  <c r="GD11" i="93" s="1"/>
  <c r="EL14" i="93"/>
  <c r="GD14" i="93" s="1"/>
  <c r="EL35" i="93"/>
  <c r="GD35" i="93" s="1"/>
  <c r="EL12" i="93"/>
  <c r="GD12" i="93" s="1"/>
  <c r="EL17" i="93"/>
  <c r="GD17" i="93" s="1"/>
  <c r="EL20" i="93"/>
  <c r="GD20" i="93" s="1"/>
  <c r="EL15" i="93"/>
  <c r="GD15" i="93" s="1"/>
  <c r="EL19" i="93"/>
  <c r="GD19" i="93" s="1"/>
  <c r="EL21" i="93"/>
  <c r="GD21" i="93" s="1"/>
  <c r="EL13" i="93"/>
  <c r="GD13" i="93" s="1"/>
  <c r="EL31" i="93"/>
  <c r="GD31" i="93" s="1"/>
  <c r="EL34" i="93"/>
  <c r="GD34" i="93" s="1"/>
  <c r="EL9" i="93"/>
  <c r="GD9" i="93" s="1"/>
  <c r="EL27" i="93"/>
  <c r="GD27" i="93" s="1"/>
  <c r="EL18" i="93"/>
  <c r="GD18" i="93" s="1"/>
  <c r="EL32" i="93"/>
  <c r="GD32" i="93" s="1"/>
  <c r="EL7" i="93"/>
  <c r="GD7" i="93" s="1"/>
  <c r="EL23" i="93"/>
  <c r="GD23" i="93" s="1"/>
  <c r="EL60" i="93"/>
  <c r="GD60" i="93" s="1"/>
  <c r="EL39" i="93"/>
  <c r="GD39" i="93" s="1"/>
  <c r="EL58" i="93"/>
  <c r="GD58" i="93" s="1"/>
  <c r="EL37" i="93"/>
  <c r="GD37" i="93" s="1"/>
  <c r="EL53" i="93"/>
  <c r="GD53" i="93" s="1"/>
  <c r="EL36" i="93"/>
  <c r="GD36" i="93" s="1"/>
  <c r="EL51" i="93"/>
  <c r="GD51" i="93" s="1"/>
  <c r="EL48" i="93"/>
  <c r="GD48" i="93" s="1"/>
  <c r="EL40" i="93"/>
  <c r="GD40" i="93" s="1"/>
  <c r="EL44" i="93"/>
  <c r="GD44" i="93" s="1"/>
  <c r="EL38" i="93"/>
  <c r="GD38" i="93" s="1"/>
  <c r="EL42" i="93"/>
  <c r="GD42" i="93" s="1"/>
  <c r="EL56" i="93"/>
  <c r="GD56" i="93" s="1"/>
  <c r="EL61" i="93"/>
  <c r="GD61" i="93" s="1"/>
  <c r="EL41" i="93"/>
  <c r="GD41" i="93" s="1"/>
  <c r="EL49" i="93"/>
  <c r="GD49" i="93" s="1"/>
  <c r="EL46" i="93"/>
  <c r="GD46" i="93" s="1"/>
  <c r="EL45" i="93"/>
  <c r="GD45" i="93" s="1"/>
  <c r="EL47" i="93"/>
  <c r="GD47" i="93" s="1"/>
  <c r="EL54" i="93"/>
  <c r="GD54" i="93" s="1"/>
  <c r="EL43" i="93"/>
  <c r="GD43" i="93" s="1"/>
  <c r="EL63" i="93"/>
  <c r="GD63" i="93" s="1"/>
  <c r="EL52" i="93"/>
  <c r="GD52" i="93" s="1"/>
  <c r="EL57" i="93"/>
  <c r="GD57" i="93" s="1"/>
  <c r="EL50" i="93"/>
  <c r="GD50" i="93" s="1"/>
  <c r="EL55" i="93"/>
  <c r="GD55" i="93" s="1"/>
  <c r="EL64" i="93"/>
  <c r="GD64" i="93" s="1"/>
  <c r="EL59" i="93"/>
  <c r="GD59" i="93" s="1"/>
  <c r="EL62" i="93"/>
  <c r="GD62" i="93" s="1"/>
  <c r="DV5" i="93"/>
  <c r="FN5" i="93" s="1"/>
  <c r="DV9" i="93"/>
  <c r="FN9" i="93" s="1"/>
  <c r="DV20" i="93"/>
  <c r="FN20" i="93" s="1"/>
  <c r="DV18" i="93"/>
  <c r="FN18" i="93" s="1"/>
  <c r="DV11" i="93"/>
  <c r="FN11" i="93" s="1"/>
  <c r="DV19" i="93"/>
  <c r="FN19" i="93" s="1"/>
  <c r="DV23" i="93"/>
  <c r="FN23" i="93" s="1"/>
  <c r="DV8" i="93"/>
  <c r="FN8" i="93" s="1"/>
  <c r="DV16" i="93"/>
  <c r="FN16" i="93" s="1"/>
  <c r="DV22" i="93"/>
  <c r="FN22" i="93" s="1"/>
  <c r="DV17" i="93"/>
  <c r="FN17" i="93" s="1"/>
  <c r="DV12" i="93"/>
  <c r="FN12" i="93" s="1"/>
  <c r="DV13" i="93"/>
  <c r="FN13" i="93" s="1"/>
  <c r="DV15" i="93"/>
  <c r="FN15" i="93" s="1"/>
  <c r="DV6" i="93"/>
  <c r="FN6" i="93" s="1"/>
  <c r="DV7" i="93"/>
  <c r="FN7" i="93" s="1"/>
  <c r="DV14" i="93"/>
  <c r="FN14" i="93" s="1"/>
  <c r="DV21" i="93"/>
  <c r="FN21" i="93" s="1"/>
  <c r="DV10" i="93"/>
  <c r="FN10" i="93" s="1"/>
  <c r="DV54" i="93"/>
  <c r="FN54" i="93" s="1"/>
  <c r="DV42" i="93"/>
  <c r="FN42" i="93" s="1"/>
  <c r="DV36" i="93"/>
  <c r="FN36" i="93" s="1"/>
  <c r="DV59" i="93"/>
  <c r="FN59" i="93" s="1"/>
  <c r="DV64" i="93"/>
  <c r="FN64" i="93" s="1"/>
  <c r="DV57" i="93"/>
  <c r="FN57" i="93" s="1"/>
  <c r="DV32" i="93"/>
  <c r="FN32" i="93" s="1"/>
  <c r="DV45" i="93"/>
  <c r="FN45" i="93" s="1"/>
  <c r="DV47" i="93"/>
  <c r="FN47" i="93" s="1"/>
  <c r="DV49" i="93"/>
  <c r="FN49" i="93" s="1"/>
  <c r="DV38" i="93"/>
  <c r="FN38" i="93" s="1"/>
  <c r="DV43" i="93"/>
  <c r="FN43" i="93" s="1"/>
  <c r="DV33" i="93"/>
  <c r="FN33" i="93" s="1"/>
  <c r="DV61" i="93"/>
  <c r="FN61" i="93" s="1"/>
  <c r="DV56" i="93"/>
  <c r="FN56" i="93" s="1"/>
  <c r="DV50" i="93"/>
  <c r="FN50" i="93" s="1"/>
  <c r="DV28" i="93"/>
  <c r="FN28" i="93" s="1"/>
  <c r="DV53" i="93"/>
  <c r="FN53" i="93" s="1"/>
  <c r="DV24" i="93"/>
  <c r="FN24" i="93" s="1"/>
  <c r="DV60" i="93"/>
  <c r="FN60" i="93" s="1"/>
  <c r="DV34" i="93"/>
  <c r="FN34" i="93" s="1"/>
  <c r="DV55" i="93"/>
  <c r="FN55" i="93" s="1"/>
  <c r="DV41" i="93"/>
  <c r="FN41" i="93" s="1"/>
  <c r="DV31" i="93"/>
  <c r="FN31" i="93" s="1"/>
  <c r="DV52" i="93"/>
  <c r="FN52" i="93" s="1"/>
  <c r="DV46" i="93"/>
  <c r="FN46" i="93" s="1"/>
  <c r="DV37" i="93"/>
  <c r="FN37" i="93" s="1"/>
  <c r="DV25" i="93"/>
  <c r="FN25" i="93" s="1"/>
  <c r="DV26" i="93"/>
  <c r="FN26" i="93" s="1"/>
  <c r="DV62" i="93"/>
  <c r="FN62" i="93" s="1"/>
  <c r="DV40" i="93"/>
  <c r="FN40" i="93" s="1"/>
  <c r="DV35" i="93"/>
  <c r="FN35" i="93" s="1"/>
  <c r="DV44" i="93"/>
  <c r="FN44" i="93" s="1"/>
  <c r="DV27" i="93"/>
  <c r="FN27" i="93" s="1"/>
  <c r="DV48" i="93"/>
  <c r="FN48" i="93" s="1"/>
  <c r="DV29" i="93"/>
  <c r="FN29" i="93" s="1"/>
  <c r="DV58" i="93"/>
  <c r="FN58" i="93" s="1"/>
  <c r="DV51" i="93"/>
  <c r="FN51" i="93" s="1"/>
  <c r="DV63" i="93"/>
  <c r="FN63" i="93" s="1"/>
  <c r="DV39" i="93"/>
  <c r="FN39" i="93" s="1"/>
  <c r="DV30" i="93"/>
  <c r="FN30" i="93" s="1"/>
  <c r="DF5" i="93"/>
  <c r="EX5" i="93" s="1"/>
  <c r="DF11" i="93"/>
  <c r="EX11" i="93" s="1"/>
  <c r="DF7" i="93"/>
  <c r="EX7" i="93" s="1"/>
  <c r="DF8" i="93"/>
  <c r="EX8" i="93" s="1"/>
  <c r="DF14" i="93"/>
  <c r="EX14" i="93" s="1"/>
  <c r="DF9" i="93"/>
  <c r="EX9" i="93" s="1"/>
  <c r="DF6" i="93"/>
  <c r="EX6" i="93" s="1"/>
  <c r="DF13" i="93"/>
  <c r="EX13" i="93" s="1"/>
  <c r="DF10" i="93"/>
  <c r="EX10" i="93" s="1"/>
  <c r="DF12" i="93"/>
  <c r="EX12" i="93" s="1"/>
  <c r="DF15" i="93"/>
  <c r="EX15" i="93" s="1"/>
  <c r="DF39" i="93"/>
  <c r="EX39" i="93" s="1"/>
  <c r="DF60" i="93"/>
  <c r="EX60" i="93" s="1"/>
  <c r="DF22" i="93"/>
  <c r="EX22" i="93" s="1"/>
  <c r="DF41" i="93"/>
  <c r="EX41" i="93" s="1"/>
  <c r="DF62" i="93"/>
  <c r="EX62" i="93" s="1"/>
  <c r="DF23" i="93"/>
  <c r="EX23" i="93" s="1"/>
  <c r="DF36" i="93"/>
  <c r="EX36" i="93" s="1"/>
  <c r="DF64" i="93"/>
  <c r="EX64" i="93" s="1"/>
  <c r="DF26" i="93"/>
  <c r="EX26" i="93" s="1"/>
  <c r="DF40" i="93"/>
  <c r="EX40" i="93" s="1"/>
  <c r="DF44" i="93"/>
  <c r="EX44" i="93" s="1"/>
  <c r="DF63" i="93"/>
  <c r="EX63" i="93" s="1"/>
  <c r="DF21" i="93"/>
  <c r="EX21" i="93" s="1"/>
  <c r="DF34" i="93"/>
  <c r="EX34" i="93" s="1"/>
  <c r="DF48" i="93"/>
  <c r="EX48" i="93" s="1"/>
  <c r="DF25" i="93"/>
  <c r="EX25" i="93" s="1"/>
  <c r="DF38" i="93"/>
  <c r="EX38" i="93" s="1"/>
  <c r="DF53" i="93"/>
  <c r="EX53" i="93" s="1"/>
  <c r="DF27" i="93"/>
  <c r="EX27" i="93" s="1"/>
  <c r="DF42" i="93"/>
  <c r="EX42" i="93" s="1"/>
  <c r="DF45" i="93"/>
  <c r="EX45" i="93" s="1"/>
  <c r="DF29" i="93"/>
  <c r="EX29" i="93" s="1"/>
  <c r="DF46" i="93"/>
  <c r="EX46" i="93" s="1"/>
  <c r="DF49" i="93"/>
  <c r="EX49" i="93" s="1"/>
  <c r="DF31" i="93"/>
  <c r="EX31" i="93" s="1"/>
  <c r="DF50" i="93"/>
  <c r="EX50" i="93" s="1"/>
  <c r="DF51" i="93"/>
  <c r="EX51" i="93" s="1"/>
  <c r="DF20" i="93"/>
  <c r="EX20" i="93" s="1"/>
  <c r="DF30" i="93"/>
  <c r="EX30" i="93" s="1"/>
  <c r="DF61" i="93"/>
  <c r="EX61" i="93" s="1"/>
  <c r="DF24" i="93"/>
  <c r="EX24" i="93" s="1"/>
  <c r="DF43" i="93"/>
  <c r="EX43" i="93" s="1"/>
  <c r="DF55" i="93"/>
  <c r="EX55" i="93" s="1"/>
  <c r="DF28" i="93"/>
  <c r="EX28" i="93" s="1"/>
  <c r="DF47" i="93"/>
  <c r="EX47" i="93" s="1"/>
  <c r="DF57" i="93"/>
  <c r="EX57" i="93" s="1"/>
  <c r="DF16" i="93"/>
  <c r="EX16" i="93" s="1"/>
  <c r="DF32" i="93"/>
  <c r="EX32" i="93" s="1"/>
  <c r="DF52" i="93"/>
  <c r="EX52" i="93" s="1"/>
  <c r="DF17" i="93"/>
  <c r="EX17" i="93" s="1"/>
  <c r="DF33" i="93"/>
  <c r="EX33" i="93" s="1"/>
  <c r="DF54" i="93"/>
  <c r="EX54" i="93" s="1"/>
  <c r="DF18" i="93"/>
  <c r="EX18" i="93" s="1"/>
  <c r="DF35" i="93"/>
  <c r="EX35" i="93" s="1"/>
  <c r="DF56" i="93"/>
  <c r="EX56" i="93" s="1"/>
  <c r="DF19" i="93"/>
  <c r="EX19" i="93" s="1"/>
  <c r="DF37" i="93"/>
  <c r="EX37" i="93" s="1"/>
  <c r="DF58" i="93"/>
  <c r="EX58" i="93" s="1"/>
  <c r="DF59" i="93"/>
  <c r="EX59" i="93" s="1"/>
  <c r="DA42" i="98"/>
  <c r="DA43" i="98"/>
  <c r="DA19" i="98"/>
  <c r="DA20" i="98"/>
  <c r="DA21" i="98"/>
  <c r="EH14" i="100"/>
  <c r="GF14" i="100" s="1"/>
  <c r="GE14" i="100" s="1"/>
  <c r="DB16" i="98"/>
  <c r="DB15" i="98"/>
  <c r="DB60" i="98"/>
  <c r="DB59" i="98"/>
  <c r="DB20" i="98"/>
  <c r="DB21" i="98"/>
  <c r="DB19" i="98"/>
  <c r="DB29" i="98"/>
  <c r="DB30" i="98"/>
  <c r="DC36" i="98"/>
  <c r="DC35" i="98"/>
  <c r="DC23" i="98"/>
  <c r="DC28" i="98"/>
  <c r="DC19" i="98"/>
  <c r="DC20" i="98"/>
  <c r="DC21" i="98"/>
  <c r="ED8" i="100"/>
  <c r="GA8" i="100" s="1"/>
  <c r="ED25" i="100"/>
  <c r="GA25" i="100" s="1"/>
  <c r="ED19" i="100"/>
  <c r="GA19" i="100" s="1"/>
  <c r="ED12" i="100"/>
  <c r="GA12" i="100" s="1"/>
  <c r="ED21" i="100"/>
  <c r="GA21" i="100" s="1"/>
  <c r="ED16" i="100"/>
  <c r="GA16" i="100" s="1"/>
  <c r="ED23" i="100"/>
  <c r="GA23" i="100" s="1"/>
  <c r="ED11" i="100"/>
  <c r="GA11" i="100" s="1"/>
  <c r="ED9" i="100"/>
  <c r="GA9" i="100" s="1"/>
  <c r="ED7" i="100"/>
  <c r="GA7" i="100" s="1"/>
  <c r="ED13" i="100"/>
  <c r="GA13" i="100" s="1"/>
  <c r="ED20" i="100"/>
  <c r="GA20" i="100" s="1"/>
  <c r="ED27" i="100"/>
  <c r="GA27" i="100" s="1"/>
  <c r="ED26" i="100"/>
  <c r="GA26" i="100" s="1"/>
  <c r="ED62" i="100"/>
  <c r="GA62" i="100" s="1"/>
  <c r="ED42" i="100"/>
  <c r="GA42" i="100" s="1"/>
  <c r="ED56" i="100"/>
  <c r="GA56" i="100" s="1"/>
  <c r="ED49" i="100"/>
  <c r="GA49" i="100" s="1"/>
  <c r="ED57" i="100"/>
  <c r="GA57" i="100" s="1"/>
  <c r="ED38" i="100"/>
  <c r="GA38" i="100" s="1"/>
  <c r="ED52" i="100"/>
  <c r="GA52" i="100" s="1"/>
  <c r="ED45" i="100"/>
  <c r="GA45" i="100" s="1"/>
  <c r="ED64" i="100"/>
  <c r="GA64" i="100" s="1"/>
  <c r="ED10" i="100"/>
  <c r="GA10" i="100" s="1"/>
  <c r="ED24" i="100"/>
  <c r="GA24" i="100" s="1"/>
  <c r="ED28" i="100"/>
  <c r="GA28" i="100" s="1"/>
  <c r="ED29" i="100"/>
  <c r="GA29" i="100" s="1"/>
  <c r="ED17" i="100"/>
  <c r="GA17" i="100" s="1"/>
  <c r="ED58" i="100"/>
  <c r="GA58" i="100" s="1"/>
  <c r="ED33" i="100"/>
  <c r="GA33" i="100" s="1"/>
  <c r="ED63" i="100"/>
  <c r="GA63" i="100" s="1"/>
  <c r="ED35" i="100"/>
  <c r="GA35" i="100" s="1"/>
  <c r="ED41" i="100"/>
  <c r="GA41" i="100" s="1"/>
  <c r="ED54" i="100"/>
  <c r="GA54" i="100" s="1"/>
  <c r="ED59" i="100"/>
  <c r="GA59" i="100" s="1"/>
  <c r="ED53" i="100"/>
  <c r="GA53" i="100" s="1"/>
  <c r="ED36" i="100"/>
  <c r="GA36" i="100" s="1"/>
  <c r="ED46" i="100"/>
  <c r="GA46" i="100" s="1"/>
  <c r="ED44" i="100"/>
  <c r="GA44" i="100" s="1"/>
  <c r="ED18" i="100"/>
  <c r="GA18" i="100" s="1"/>
  <c r="ED22" i="100"/>
  <c r="GA22" i="100" s="1"/>
  <c r="ED31" i="100"/>
  <c r="GA31" i="100" s="1"/>
  <c r="ED15" i="100"/>
  <c r="GA15" i="100" s="1"/>
  <c r="ED14" i="100"/>
  <c r="GA14" i="100" s="1"/>
  <c r="ED30" i="100"/>
  <c r="GA30" i="100" s="1"/>
  <c r="ED50" i="100"/>
  <c r="GA50" i="100" s="1"/>
  <c r="ED43" i="100"/>
  <c r="GA43" i="100" s="1"/>
  <c r="ED39" i="100"/>
  <c r="GA39" i="100" s="1"/>
  <c r="ED48" i="100"/>
  <c r="GA48" i="100" s="1"/>
  <c r="ED32" i="100"/>
  <c r="GA32" i="100" s="1"/>
  <c r="ED51" i="100"/>
  <c r="GA51" i="100" s="1"/>
  <c r="ED40" i="100"/>
  <c r="GA40" i="100" s="1"/>
  <c r="ED47" i="100"/>
  <c r="GA47" i="100" s="1"/>
  <c r="ED37" i="100"/>
  <c r="GA37" i="100" s="1"/>
  <c r="ED65" i="100"/>
  <c r="GA65" i="100" s="1"/>
  <c r="ED34" i="100"/>
  <c r="GA34" i="100" s="1"/>
  <c r="ED61" i="100"/>
  <c r="GA61" i="100" s="1"/>
  <c r="ED66" i="100"/>
  <c r="GA66" i="100" s="1"/>
  <c r="ED60" i="100"/>
  <c r="GA60" i="100" s="1"/>
  <c r="ED55" i="100"/>
  <c r="GA55" i="100" s="1"/>
  <c r="DT8" i="100"/>
  <c r="FO8" i="100" s="1"/>
  <c r="DT9" i="100"/>
  <c r="FO9" i="100" s="1"/>
  <c r="DT11" i="100"/>
  <c r="FO11" i="100" s="1"/>
  <c r="DT7" i="100"/>
  <c r="FO7" i="100" s="1"/>
  <c r="DT19" i="100"/>
  <c r="FO19" i="100" s="1"/>
  <c r="DT22" i="100"/>
  <c r="FO22" i="100" s="1"/>
  <c r="DT14" i="100"/>
  <c r="FO14" i="100" s="1"/>
  <c r="DT23" i="100"/>
  <c r="FO23" i="100" s="1"/>
  <c r="DT24" i="100"/>
  <c r="FO24" i="100" s="1"/>
  <c r="DT32" i="100"/>
  <c r="FO32" i="100" s="1"/>
  <c r="DT36" i="100"/>
  <c r="FO36" i="100" s="1"/>
  <c r="DT20" i="100"/>
  <c r="FO20" i="100" s="1"/>
  <c r="DT18" i="100"/>
  <c r="FO18" i="100" s="1"/>
  <c r="DT25" i="100"/>
  <c r="FO25" i="100" s="1"/>
  <c r="DT21" i="100"/>
  <c r="FO21" i="100" s="1"/>
  <c r="DT26" i="100"/>
  <c r="FO26" i="100" s="1"/>
  <c r="DT27" i="100"/>
  <c r="FO27" i="100" s="1"/>
  <c r="DT30" i="100"/>
  <c r="FO30" i="100" s="1"/>
  <c r="DT66" i="100"/>
  <c r="FO66" i="100" s="1"/>
  <c r="DT38" i="100"/>
  <c r="FO38" i="100" s="1"/>
  <c r="DT61" i="100"/>
  <c r="FO61" i="100" s="1"/>
  <c r="DT55" i="100"/>
  <c r="FO55" i="100" s="1"/>
  <c r="DT50" i="100"/>
  <c r="FO50" i="100" s="1"/>
  <c r="DT62" i="100"/>
  <c r="FO62" i="100" s="1"/>
  <c r="DT52" i="100"/>
  <c r="FO52" i="100" s="1"/>
  <c r="DT48" i="100"/>
  <c r="FO48" i="100" s="1"/>
  <c r="DT49" i="100"/>
  <c r="FO49" i="100" s="1"/>
  <c r="DT59" i="100"/>
  <c r="FO59" i="100" s="1"/>
  <c r="DT33" i="100"/>
  <c r="FO33" i="100" s="1"/>
  <c r="DT10" i="100"/>
  <c r="FO10" i="100" s="1"/>
  <c r="DT17" i="100"/>
  <c r="FO17" i="100" s="1"/>
  <c r="DT16" i="100"/>
  <c r="FO16" i="100" s="1"/>
  <c r="DT13" i="100"/>
  <c r="FO13" i="100" s="1"/>
  <c r="DT31" i="100"/>
  <c r="FO31" i="100" s="1"/>
  <c r="DT28" i="100"/>
  <c r="FO28" i="100" s="1"/>
  <c r="DT29" i="100"/>
  <c r="FO29" i="100" s="1"/>
  <c r="DT63" i="100"/>
  <c r="FO63" i="100" s="1"/>
  <c r="DT45" i="100"/>
  <c r="FO45" i="100" s="1"/>
  <c r="DT40" i="100"/>
  <c r="FO40" i="100" s="1"/>
  <c r="DT58" i="100"/>
  <c r="FO58" i="100" s="1"/>
  <c r="DT41" i="100"/>
  <c r="FO41" i="100" s="1"/>
  <c r="DT56" i="100"/>
  <c r="FO56" i="100" s="1"/>
  <c r="DT51" i="100"/>
  <c r="FO51" i="100" s="1"/>
  <c r="DT39" i="100"/>
  <c r="FO39" i="100" s="1"/>
  <c r="DT65" i="100"/>
  <c r="FO65" i="100" s="1"/>
  <c r="DT44" i="100"/>
  <c r="FO44" i="100" s="1"/>
  <c r="DT15" i="100"/>
  <c r="FO15" i="100" s="1"/>
  <c r="DT34" i="100"/>
  <c r="FO34" i="100" s="1"/>
  <c r="DT35" i="100"/>
  <c r="FO35" i="100" s="1"/>
  <c r="DT37" i="100"/>
  <c r="FO37" i="100" s="1"/>
  <c r="DT64" i="100"/>
  <c r="FO64" i="100" s="1"/>
  <c r="DT54" i="100"/>
  <c r="FO54" i="100" s="1"/>
  <c r="DT42" i="100"/>
  <c r="FO42" i="100" s="1"/>
  <c r="DT46" i="100"/>
  <c r="FO46" i="100" s="1"/>
  <c r="DT47" i="100"/>
  <c r="FO47" i="100" s="1"/>
  <c r="DT57" i="100"/>
  <c r="FO57" i="100" s="1"/>
  <c r="DT53" i="100"/>
  <c r="FO53" i="100" s="1"/>
  <c r="DT43" i="100"/>
  <c r="FO43" i="100" s="1"/>
  <c r="DT60" i="100"/>
  <c r="FO60" i="100" s="1"/>
  <c r="EH9" i="100"/>
  <c r="GF9" i="100" s="1"/>
  <c r="GE9" i="100" s="1"/>
  <c r="EH12" i="100"/>
  <c r="GF12" i="100" s="1"/>
  <c r="GE12" i="100" s="1"/>
  <c r="EH30" i="100"/>
  <c r="GF30" i="100" s="1"/>
  <c r="GE30" i="100" s="1"/>
  <c r="EH10" i="100"/>
  <c r="GF10" i="100" s="1"/>
  <c r="GE10" i="100" s="1"/>
  <c r="EH22" i="100"/>
  <c r="GF22" i="100" s="1"/>
  <c r="GE22" i="100" s="1"/>
  <c r="EH18" i="100"/>
  <c r="GF18" i="100" s="1"/>
  <c r="GE18" i="100" s="1"/>
  <c r="EH7" i="100"/>
  <c r="GF7" i="100" s="1"/>
  <c r="GE7" i="100" s="1"/>
  <c r="EH16" i="100"/>
  <c r="GF16" i="100" s="1"/>
  <c r="GE16" i="100" s="1"/>
  <c r="EH13" i="100"/>
  <c r="GF13" i="100" s="1"/>
  <c r="GE13" i="100" s="1"/>
  <c r="EH11" i="100"/>
  <c r="GF11" i="100" s="1"/>
  <c r="GE11" i="100" s="1"/>
  <c r="EH31" i="100"/>
  <c r="GF31" i="100" s="1"/>
  <c r="GE31" i="100" s="1"/>
  <c r="EH27" i="100"/>
  <c r="GF27" i="100" s="1"/>
  <c r="EH8" i="100"/>
  <c r="GF8" i="100" s="1"/>
  <c r="GE8" i="100" s="1"/>
  <c r="EH63" i="100"/>
  <c r="GF63" i="100" s="1"/>
  <c r="GE63" i="100" s="1"/>
  <c r="EH53" i="100"/>
  <c r="GF53" i="100" s="1"/>
  <c r="EH60" i="100"/>
  <c r="GF60" i="100" s="1"/>
  <c r="GE60" i="100" s="1"/>
  <c r="EH35" i="100"/>
  <c r="GF35" i="100" s="1"/>
  <c r="GE35" i="100" s="1"/>
  <c r="EH50" i="100"/>
  <c r="GF50" i="100" s="1"/>
  <c r="GE50" i="100" s="1"/>
  <c r="EH34" i="100"/>
  <c r="GF34" i="100" s="1"/>
  <c r="GE34" i="100" s="1"/>
  <c r="EH56" i="100"/>
  <c r="GF56" i="100" s="1"/>
  <c r="GE56" i="100" s="1"/>
  <c r="EH49" i="100"/>
  <c r="GF49" i="100" s="1"/>
  <c r="GE49" i="100" s="1"/>
  <c r="EH62" i="100"/>
  <c r="GF62" i="100" s="1"/>
  <c r="GE62" i="100" s="1"/>
  <c r="EH57" i="100"/>
  <c r="GF57" i="100" s="1"/>
  <c r="GE57" i="100" s="1"/>
  <c r="EH32" i="100"/>
  <c r="GF32" i="100" s="1"/>
  <c r="GE32" i="100" s="1"/>
  <c r="EH28" i="100"/>
  <c r="GF28" i="100" s="1"/>
  <c r="GE28" i="100" s="1"/>
  <c r="EH29" i="100"/>
  <c r="GF29" i="100" s="1"/>
  <c r="GE29" i="100" s="1"/>
  <c r="EH25" i="100"/>
  <c r="GF25" i="100" s="1"/>
  <c r="GE25" i="100" s="1"/>
  <c r="EH21" i="100"/>
  <c r="GF21" i="100" s="1"/>
  <c r="EH38" i="100"/>
  <c r="GF38" i="100" s="1"/>
  <c r="GE38" i="100" s="1"/>
  <c r="EH66" i="100"/>
  <c r="GF66" i="100" s="1"/>
  <c r="GE66" i="100" s="1"/>
  <c r="EH46" i="100"/>
  <c r="GF46" i="100" s="1"/>
  <c r="EH65" i="100"/>
  <c r="GF65" i="100" s="1"/>
  <c r="GE65" i="100" s="1"/>
  <c r="EH52" i="100"/>
  <c r="GF52" i="100" s="1"/>
  <c r="GE52" i="100" s="1"/>
  <c r="EH45" i="100"/>
  <c r="GF45" i="100" s="1"/>
  <c r="GE45" i="100" s="1"/>
  <c r="EH61" i="100"/>
  <c r="GF61" i="100" s="1"/>
  <c r="EH33" i="100"/>
  <c r="GF33" i="100" s="1"/>
  <c r="GE33" i="100" s="1"/>
  <c r="EH37" i="100"/>
  <c r="GF37" i="100" s="1"/>
  <c r="EH41" i="100"/>
  <c r="GF41" i="100" s="1"/>
  <c r="GE41" i="100" s="1"/>
  <c r="EH42" i="100"/>
  <c r="GF42" i="100" s="1"/>
  <c r="EH48" i="100"/>
  <c r="GF48" i="100" s="1"/>
  <c r="GE48" i="100" s="1"/>
  <c r="EH24" i="100"/>
  <c r="GF24" i="100" s="1"/>
  <c r="EH15" i="100"/>
  <c r="GF15" i="100" s="1"/>
  <c r="GE15" i="100" s="1"/>
  <c r="EH17" i="100"/>
  <c r="GF17" i="100" s="1"/>
  <c r="GE17" i="100" s="1"/>
  <c r="EH20" i="100"/>
  <c r="GF20" i="100" s="1"/>
  <c r="EH26" i="100"/>
  <c r="GF26" i="100" s="1"/>
  <c r="GE26" i="100" s="1"/>
  <c r="EH23" i="100"/>
  <c r="GF23" i="100" s="1"/>
  <c r="GE23" i="100" s="1"/>
  <c r="EH19" i="100"/>
  <c r="GF19" i="100" s="1"/>
  <c r="GE19" i="100" s="1"/>
  <c r="EH55" i="100"/>
  <c r="GF55" i="100" s="1"/>
  <c r="EH39" i="100"/>
  <c r="GF39" i="100" s="1"/>
  <c r="EH51" i="100"/>
  <c r="GF51" i="100" s="1"/>
  <c r="GE51" i="100" s="1"/>
  <c r="EH36" i="100"/>
  <c r="GF36" i="100" s="1"/>
  <c r="EH64" i="100"/>
  <c r="GF64" i="100" s="1"/>
  <c r="GE64" i="100" s="1"/>
  <c r="EH58" i="100"/>
  <c r="GF58" i="100" s="1"/>
  <c r="GE58" i="100" s="1"/>
  <c r="EH59" i="100"/>
  <c r="GF59" i="100" s="1"/>
  <c r="GE59" i="100" s="1"/>
  <c r="EH44" i="100"/>
  <c r="GF44" i="100" s="1"/>
  <c r="GE44" i="100" s="1"/>
  <c r="EH43" i="100"/>
  <c r="GF43" i="100" s="1"/>
  <c r="EH40" i="100"/>
  <c r="GF40" i="100" s="1"/>
  <c r="GE40" i="100" s="1"/>
  <c r="EH54" i="100"/>
  <c r="GF54" i="100" s="1"/>
  <c r="GE54" i="100" s="1"/>
  <c r="EH47" i="100"/>
  <c r="GF47" i="100" s="1"/>
  <c r="GE47" i="100" s="1"/>
  <c r="DX10" i="100"/>
  <c r="FT10" i="100" s="1"/>
  <c r="DX9" i="100"/>
  <c r="FT9" i="100" s="1"/>
  <c r="DX13" i="100"/>
  <c r="FT13" i="100" s="1"/>
  <c r="DX8" i="100"/>
  <c r="FT8" i="100" s="1"/>
  <c r="DX7" i="100"/>
  <c r="FT7" i="100" s="1"/>
  <c r="DX12" i="100"/>
  <c r="FT12" i="100" s="1"/>
  <c r="DX11" i="100"/>
  <c r="FT11" i="100" s="1"/>
  <c r="DX17" i="100"/>
  <c r="FT17" i="100" s="1"/>
  <c r="DX14" i="100"/>
  <c r="FT14" i="100" s="1"/>
  <c r="DX18" i="100"/>
  <c r="FT18" i="100" s="1"/>
  <c r="DX34" i="100"/>
  <c r="FT34" i="100" s="1"/>
  <c r="DX26" i="100"/>
  <c r="FT26" i="100" s="1"/>
  <c r="DX22" i="100"/>
  <c r="FT22" i="100" s="1"/>
  <c r="DX36" i="100"/>
  <c r="FT36" i="100" s="1"/>
  <c r="DX30" i="100"/>
  <c r="FT30" i="100" s="1"/>
  <c r="DX39" i="100"/>
  <c r="FT39" i="100" s="1"/>
  <c r="DX51" i="100"/>
  <c r="FT51" i="100" s="1"/>
  <c r="DX47" i="100"/>
  <c r="FT47" i="100" s="1"/>
  <c r="DX63" i="100"/>
  <c r="FT63" i="100" s="1"/>
  <c r="DX41" i="100"/>
  <c r="FT41" i="100" s="1"/>
  <c r="DX56" i="100"/>
  <c r="FT56" i="100" s="1"/>
  <c r="DX50" i="100"/>
  <c r="FT50" i="100" s="1"/>
  <c r="DX66" i="100"/>
  <c r="FT66" i="100" s="1"/>
  <c r="DX33" i="100"/>
  <c r="FT33" i="100" s="1"/>
  <c r="DX21" i="100"/>
  <c r="FT21" i="100" s="1"/>
  <c r="DX19" i="100"/>
  <c r="FT19" i="100" s="1"/>
  <c r="DX15" i="100"/>
  <c r="FT15" i="100" s="1"/>
  <c r="DX35" i="100"/>
  <c r="FT35" i="100" s="1"/>
  <c r="DX23" i="100"/>
  <c r="FT23" i="100" s="1"/>
  <c r="DX31" i="100"/>
  <c r="FT31" i="100" s="1"/>
  <c r="DX28" i="100"/>
  <c r="FT28" i="100" s="1"/>
  <c r="DX27" i="100"/>
  <c r="FT27" i="100" s="1"/>
  <c r="DX44" i="100"/>
  <c r="FT44" i="100" s="1"/>
  <c r="DX59" i="100"/>
  <c r="FT59" i="100" s="1"/>
  <c r="DX54" i="100"/>
  <c r="FT54" i="100" s="1"/>
  <c r="DX64" i="100"/>
  <c r="FT64" i="100" s="1"/>
  <c r="DX49" i="100"/>
  <c r="FT49" i="100" s="1"/>
  <c r="DX65" i="100"/>
  <c r="FT65" i="100" s="1"/>
  <c r="DX57" i="100"/>
  <c r="FT57" i="100" s="1"/>
  <c r="DX37" i="100"/>
  <c r="FT37" i="100" s="1"/>
  <c r="DX20" i="100"/>
  <c r="FT20" i="100" s="1"/>
  <c r="DX16" i="100"/>
  <c r="FT16" i="100" s="1"/>
  <c r="DX24" i="100"/>
  <c r="FT24" i="100" s="1"/>
  <c r="DX25" i="100"/>
  <c r="FT25" i="100" s="1"/>
  <c r="DX29" i="100"/>
  <c r="FT29" i="100" s="1"/>
  <c r="DX32" i="100"/>
  <c r="FT32" i="100" s="1"/>
  <c r="DX45" i="100"/>
  <c r="FT45" i="100" s="1"/>
  <c r="DX62" i="100"/>
  <c r="FT62" i="100" s="1"/>
  <c r="DX53" i="100"/>
  <c r="FT53" i="100" s="1"/>
  <c r="DX40" i="100"/>
  <c r="FT40" i="100" s="1"/>
  <c r="DX38" i="100"/>
  <c r="FT38" i="100" s="1"/>
  <c r="DX42" i="100"/>
  <c r="FT42" i="100" s="1"/>
  <c r="DX60" i="100"/>
  <c r="FT60" i="100" s="1"/>
  <c r="DX48" i="100"/>
  <c r="FT48" i="100" s="1"/>
  <c r="DX52" i="100"/>
  <c r="FT52" i="100" s="1"/>
  <c r="DX55" i="100"/>
  <c r="FT55" i="100" s="1"/>
  <c r="DX61" i="100"/>
  <c r="FT61" i="100" s="1"/>
  <c r="DX46" i="100"/>
  <c r="FT46" i="100" s="1"/>
  <c r="DX43" i="100"/>
  <c r="FT43" i="100" s="1"/>
  <c r="DX58" i="100"/>
  <c r="FT58" i="100" s="1"/>
  <c r="DM8" i="100"/>
  <c r="FG8" i="100" s="1"/>
  <c r="DM9" i="100"/>
  <c r="FG9" i="100" s="1"/>
  <c r="DM7" i="100"/>
  <c r="FG7" i="100" s="1"/>
  <c r="DM12" i="100"/>
  <c r="FG12" i="100" s="1"/>
  <c r="DM36" i="100"/>
  <c r="FG36" i="100" s="1"/>
  <c r="DM17" i="100"/>
  <c r="FG17" i="100" s="1"/>
  <c r="DM53" i="100"/>
  <c r="FG53" i="100" s="1"/>
  <c r="DM41" i="100"/>
  <c r="FG41" i="100" s="1"/>
  <c r="DM34" i="100"/>
  <c r="FG34" i="100" s="1"/>
  <c r="DM13" i="100"/>
  <c r="FG13" i="100" s="1"/>
  <c r="DM65" i="100"/>
  <c r="FG65" i="100" s="1"/>
  <c r="DM43" i="100"/>
  <c r="FG43" i="100" s="1"/>
  <c r="DM40" i="100"/>
  <c r="FG40" i="100" s="1"/>
  <c r="DM63" i="100"/>
  <c r="FG63" i="100" s="1"/>
  <c r="DM20" i="100"/>
  <c r="FG20" i="100" s="1"/>
  <c r="DM38" i="100"/>
  <c r="FG38" i="100" s="1"/>
  <c r="DM19" i="100"/>
  <c r="FG19" i="100" s="1"/>
  <c r="DM29" i="100"/>
  <c r="FG29" i="100" s="1"/>
  <c r="DM23" i="100"/>
  <c r="FG23" i="100" s="1"/>
  <c r="DM16" i="100"/>
  <c r="FG16" i="100" s="1"/>
  <c r="DM47" i="100"/>
  <c r="FG47" i="100" s="1"/>
  <c r="DM57" i="100"/>
  <c r="FG57" i="100" s="1"/>
  <c r="DM14" i="100"/>
  <c r="FG14" i="100" s="1"/>
  <c r="DM66" i="100"/>
  <c r="FG66" i="100" s="1"/>
  <c r="DM48" i="100"/>
  <c r="FG48" i="100" s="1"/>
  <c r="DM24" i="100"/>
  <c r="FG24" i="100" s="1"/>
  <c r="DM59" i="100"/>
  <c r="FG59" i="100" s="1"/>
  <c r="DM39" i="100"/>
  <c r="FG39" i="100" s="1"/>
  <c r="DM32" i="100"/>
  <c r="FG32" i="100" s="1"/>
  <c r="DM55" i="100"/>
  <c r="FG55" i="100" s="1"/>
  <c r="DM35" i="100"/>
  <c r="FG35" i="100" s="1"/>
  <c r="DM30" i="100"/>
  <c r="FG30" i="100" s="1"/>
  <c r="DM11" i="100"/>
  <c r="FG11" i="100" s="1"/>
  <c r="DM51" i="100"/>
  <c r="FG51" i="100" s="1"/>
  <c r="DM50" i="100"/>
  <c r="FG50" i="100" s="1"/>
  <c r="DM62" i="100"/>
  <c r="FG62" i="100" s="1"/>
  <c r="DM60" i="100"/>
  <c r="FG60" i="100" s="1"/>
  <c r="DM31" i="100"/>
  <c r="FG31" i="100" s="1"/>
  <c r="DM18" i="100"/>
  <c r="FG18" i="100" s="1"/>
  <c r="DM64" i="100"/>
  <c r="FG64" i="100" s="1"/>
  <c r="DM46" i="100"/>
  <c r="FG46" i="100" s="1"/>
  <c r="DM27" i="100"/>
  <c r="FG27" i="100" s="1"/>
  <c r="DM45" i="100"/>
  <c r="FG45" i="100" s="1"/>
  <c r="DM44" i="100"/>
  <c r="FG44" i="100" s="1"/>
  <c r="DM25" i="100"/>
  <c r="FG25" i="100" s="1"/>
  <c r="DM54" i="100"/>
  <c r="FG54" i="100" s="1"/>
  <c r="DM28" i="100"/>
  <c r="FG28" i="100" s="1"/>
  <c r="DM26" i="100"/>
  <c r="FG26" i="100" s="1"/>
  <c r="DM21" i="100"/>
  <c r="FG21" i="100" s="1"/>
  <c r="DM61" i="100"/>
  <c r="FG61" i="100" s="1"/>
  <c r="DM42" i="100"/>
  <c r="FG42" i="100" s="1"/>
  <c r="DM15" i="100"/>
  <c r="FG15" i="100" s="1"/>
  <c r="DM56" i="100"/>
  <c r="FG56" i="100" s="1"/>
  <c r="DM58" i="100"/>
  <c r="FG58" i="100" s="1"/>
  <c r="DM33" i="100"/>
  <c r="FG33" i="100" s="1"/>
  <c r="DM49" i="100"/>
  <c r="FG49" i="100" s="1"/>
  <c r="DM52" i="100"/>
  <c r="FG52" i="100" s="1"/>
  <c r="DM37" i="100"/>
  <c r="FG37" i="100" s="1"/>
  <c r="DM22" i="100"/>
  <c r="FG22" i="100" s="1"/>
  <c r="DK9" i="100"/>
  <c r="FE9" i="100" s="1"/>
  <c r="DK8" i="100"/>
  <c r="FE8" i="100" s="1"/>
  <c r="FD8" i="100" s="1"/>
  <c r="DK7" i="100"/>
  <c r="FE7" i="100" s="1"/>
  <c r="DK24" i="100"/>
  <c r="FE24" i="100" s="1"/>
  <c r="DK34" i="100"/>
  <c r="FE34" i="100" s="1"/>
  <c r="DK39" i="100"/>
  <c r="FE39" i="100" s="1"/>
  <c r="FD39" i="100" s="1"/>
  <c r="DK16" i="100"/>
  <c r="FE16" i="100" s="1"/>
  <c r="DK64" i="100"/>
  <c r="FE64" i="100" s="1"/>
  <c r="DK48" i="100"/>
  <c r="FE48" i="100" s="1"/>
  <c r="DK27" i="100"/>
  <c r="FE27" i="100" s="1"/>
  <c r="DK18" i="100"/>
  <c r="FE18" i="100" s="1"/>
  <c r="DK42" i="100"/>
  <c r="FE42" i="100" s="1"/>
  <c r="FD42" i="100" s="1"/>
  <c r="DK47" i="100"/>
  <c r="FE47" i="100" s="1"/>
  <c r="DK25" i="100"/>
  <c r="FE25" i="100" s="1"/>
  <c r="FD25" i="100" s="1"/>
  <c r="DK58" i="100"/>
  <c r="FE58" i="100" s="1"/>
  <c r="DK53" i="100"/>
  <c r="FE53" i="100" s="1"/>
  <c r="DK38" i="100"/>
  <c r="FE38" i="100" s="1"/>
  <c r="DK12" i="100"/>
  <c r="FE12" i="100" s="1"/>
  <c r="FD12" i="100" s="1"/>
  <c r="DK11" i="100"/>
  <c r="FE11" i="100" s="1"/>
  <c r="DK44" i="100"/>
  <c r="FE44" i="100" s="1"/>
  <c r="DK40" i="100"/>
  <c r="FE40" i="100" s="1"/>
  <c r="DK37" i="100"/>
  <c r="FE37" i="100" s="1"/>
  <c r="DK62" i="100"/>
  <c r="FE62" i="100" s="1"/>
  <c r="DK55" i="100"/>
  <c r="FE55" i="100" s="1"/>
  <c r="DK14" i="100"/>
  <c r="FE14" i="100" s="1"/>
  <c r="DK56" i="100"/>
  <c r="FE56" i="100" s="1"/>
  <c r="FD56" i="100" s="1"/>
  <c r="DK32" i="100"/>
  <c r="FE32" i="100" s="1"/>
  <c r="DK19" i="100"/>
  <c r="FE19" i="100" s="1"/>
  <c r="DK10" i="100"/>
  <c r="FE10" i="100" s="1"/>
  <c r="FD10" i="100" s="1"/>
  <c r="DK15" i="100"/>
  <c r="FE15" i="100" s="1"/>
  <c r="FD15" i="100" s="1"/>
  <c r="DK52" i="100"/>
  <c r="FE52" i="100" s="1"/>
  <c r="DK28" i="100"/>
  <c r="FE28" i="100" s="1"/>
  <c r="DK31" i="100"/>
  <c r="FE31" i="100" s="1"/>
  <c r="DK59" i="100"/>
  <c r="FE59" i="100" s="1"/>
  <c r="DK66" i="100"/>
  <c r="FE66" i="100" s="1"/>
  <c r="DK54" i="100"/>
  <c r="FE54" i="100" s="1"/>
  <c r="DK22" i="100"/>
  <c r="FE22" i="100" s="1"/>
  <c r="DK50" i="100"/>
  <c r="FE50" i="100" s="1"/>
  <c r="DK49" i="100"/>
  <c r="FE49" i="100" s="1"/>
  <c r="DK29" i="100"/>
  <c r="FE29" i="100" s="1"/>
  <c r="DK60" i="100"/>
  <c r="FE60" i="100" s="1"/>
  <c r="DK46" i="100"/>
  <c r="FE46" i="100" s="1"/>
  <c r="FD46" i="100" s="1"/>
  <c r="DK23" i="100"/>
  <c r="FE23" i="100" s="1"/>
  <c r="DK63" i="100"/>
  <c r="FE63" i="100" s="1"/>
  <c r="DK30" i="100"/>
  <c r="FE30" i="100" s="1"/>
  <c r="FD30" i="100" s="1"/>
  <c r="DK33" i="100"/>
  <c r="FE33" i="100" s="1"/>
  <c r="DK17" i="100"/>
  <c r="FE17" i="100" s="1"/>
  <c r="FD17" i="100" s="1"/>
  <c r="DK41" i="100"/>
  <c r="FE41" i="100" s="1"/>
  <c r="DK35" i="100"/>
  <c r="FE35" i="100" s="1"/>
  <c r="DK20" i="100"/>
  <c r="FE20" i="100" s="1"/>
  <c r="DK21" i="100"/>
  <c r="FE21" i="100" s="1"/>
  <c r="DK61" i="100"/>
  <c r="FE61" i="100" s="1"/>
  <c r="DK43" i="100"/>
  <c r="FE43" i="100" s="1"/>
  <c r="DK65" i="100"/>
  <c r="FE65" i="100" s="1"/>
  <c r="DK45" i="100"/>
  <c r="FE45" i="100" s="1"/>
  <c r="DK51" i="100"/>
  <c r="FE51" i="100" s="1"/>
  <c r="DK57" i="100"/>
  <c r="FE57" i="100" s="1"/>
  <c r="DK36" i="100"/>
  <c r="FE36" i="100" s="1"/>
  <c r="FD36" i="100" s="1"/>
  <c r="DK26" i="100"/>
  <c r="FE26" i="100" s="1"/>
  <c r="EB13" i="100"/>
  <c r="FY13" i="100" s="1"/>
  <c r="FX13" i="100" s="1"/>
  <c r="EB18" i="100"/>
  <c r="FY18" i="100" s="1"/>
  <c r="FX18" i="100" s="1"/>
  <c r="EB7" i="100"/>
  <c r="FY7" i="100" s="1"/>
  <c r="FX7" i="100" s="1"/>
  <c r="EB12" i="100"/>
  <c r="FY12" i="100" s="1"/>
  <c r="FX12" i="100" s="1"/>
  <c r="EB10" i="100"/>
  <c r="FY10" i="100" s="1"/>
  <c r="FX10" i="100" s="1"/>
  <c r="EB36" i="100"/>
  <c r="FY36" i="100" s="1"/>
  <c r="EB21" i="100"/>
  <c r="FY21" i="100" s="1"/>
  <c r="EB30" i="100"/>
  <c r="FY30" i="100" s="1"/>
  <c r="EB16" i="100"/>
  <c r="FY16" i="100" s="1"/>
  <c r="FX16" i="100" s="1"/>
  <c r="EB17" i="100"/>
  <c r="FY17" i="100" s="1"/>
  <c r="FX17" i="100" s="1"/>
  <c r="EB11" i="100"/>
  <c r="FY11" i="100" s="1"/>
  <c r="FX11" i="100" s="1"/>
  <c r="EB20" i="100"/>
  <c r="FY20" i="100" s="1"/>
  <c r="FX20" i="100" s="1"/>
  <c r="EB37" i="100"/>
  <c r="FY37" i="100" s="1"/>
  <c r="FX37" i="100" s="1"/>
  <c r="EB22" i="100"/>
  <c r="FY22" i="100" s="1"/>
  <c r="EB42" i="100"/>
  <c r="FY42" i="100" s="1"/>
  <c r="FX42" i="100" s="1"/>
  <c r="EB59" i="100"/>
  <c r="FY59" i="100" s="1"/>
  <c r="FX59" i="100" s="1"/>
  <c r="EB47" i="100"/>
  <c r="FY47" i="100" s="1"/>
  <c r="FX47" i="100" s="1"/>
  <c r="EB63" i="100"/>
  <c r="FY63" i="100" s="1"/>
  <c r="FX63" i="100" s="1"/>
  <c r="EB46" i="100"/>
  <c r="FY46" i="100" s="1"/>
  <c r="FX46" i="100" s="1"/>
  <c r="EB58" i="100"/>
  <c r="FY58" i="100" s="1"/>
  <c r="EB48" i="100"/>
  <c r="FY48" i="100" s="1"/>
  <c r="FX48" i="100" s="1"/>
  <c r="EB62" i="100"/>
  <c r="FY62" i="100" s="1"/>
  <c r="FX62" i="100" s="1"/>
  <c r="EB44" i="100"/>
  <c r="FY44" i="100" s="1"/>
  <c r="FX44" i="100" s="1"/>
  <c r="EB66" i="100"/>
  <c r="FY66" i="100" s="1"/>
  <c r="FX66" i="100" s="1"/>
  <c r="EB64" i="100"/>
  <c r="FY64" i="100" s="1"/>
  <c r="FX64" i="100" s="1"/>
  <c r="EB8" i="100"/>
  <c r="FY8" i="100" s="1"/>
  <c r="EB14" i="100"/>
  <c r="FY14" i="100" s="1"/>
  <c r="FX14" i="100" s="1"/>
  <c r="EB19" i="100"/>
  <c r="FY19" i="100" s="1"/>
  <c r="FX19" i="100" s="1"/>
  <c r="EB34" i="100"/>
  <c r="FY34" i="100" s="1"/>
  <c r="FX34" i="100" s="1"/>
  <c r="EB28" i="100"/>
  <c r="FY28" i="100" s="1"/>
  <c r="FX28" i="100" s="1"/>
  <c r="EB26" i="100"/>
  <c r="FY26" i="100" s="1"/>
  <c r="FX26" i="100" s="1"/>
  <c r="EB33" i="100"/>
  <c r="FY33" i="100" s="1"/>
  <c r="FX33" i="100" s="1"/>
  <c r="EB45" i="100"/>
  <c r="FY45" i="100" s="1"/>
  <c r="FX45" i="100" s="1"/>
  <c r="EB56" i="100"/>
  <c r="FY56" i="100" s="1"/>
  <c r="EB54" i="100"/>
  <c r="FY54" i="100" s="1"/>
  <c r="FX54" i="100" s="1"/>
  <c r="EB60" i="100"/>
  <c r="FY60" i="100" s="1"/>
  <c r="FX60" i="100" s="1"/>
  <c r="EB41" i="100"/>
  <c r="FY41" i="100" s="1"/>
  <c r="FX41" i="100" s="1"/>
  <c r="EB65" i="100"/>
  <c r="FY65" i="100" s="1"/>
  <c r="FX65" i="100" s="1"/>
  <c r="EB43" i="100"/>
  <c r="FY43" i="100" s="1"/>
  <c r="FX43" i="100" s="1"/>
  <c r="EB52" i="100"/>
  <c r="FY52" i="100" s="1"/>
  <c r="EB53" i="100"/>
  <c r="FY53" i="100" s="1"/>
  <c r="FX53" i="100" s="1"/>
  <c r="EB49" i="100"/>
  <c r="FY49" i="100" s="1"/>
  <c r="FX49" i="100" s="1"/>
  <c r="EB50" i="100"/>
  <c r="FY50" i="100" s="1"/>
  <c r="FX50" i="100" s="1"/>
  <c r="EB27" i="100"/>
  <c r="FY27" i="100" s="1"/>
  <c r="EB9" i="100"/>
  <c r="FY9" i="100" s="1"/>
  <c r="FX9" i="100" s="1"/>
  <c r="EB15" i="100"/>
  <c r="FY15" i="100" s="1"/>
  <c r="FX15" i="100" s="1"/>
  <c r="EB31" i="100"/>
  <c r="FY31" i="100" s="1"/>
  <c r="FX31" i="100" s="1"/>
  <c r="EB32" i="100"/>
  <c r="FY32" i="100" s="1"/>
  <c r="FX32" i="100" s="1"/>
  <c r="EB29" i="100"/>
  <c r="FY29" i="100" s="1"/>
  <c r="FX29" i="100" s="1"/>
  <c r="EB23" i="100"/>
  <c r="FY23" i="100" s="1"/>
  <c r="FX23" i="100" s="1"/>
  <c r="EB35" i="100"/>
  <c r="FY35" i="100" s="1"/>
  <c r="FX35" i="100" s="1"/>
  <c r="EB24" i="100"/>
  <c r="FY24" i="100" s="1"/>
  <c r="EB25" i="100"/>
  <c r="FY25" i="100" s="1"/>
  <c r="FX25" i="100" s="1"/>
  <c r="EB51" i="100"/>
  <c r="FY51" i="100" s="1"/>
  <c r="FX51" i="100" s="1"/>
  <c r="EB55" i="100"/>
  <c r="FY55" i="100" s="1"/>
  <c r="FX55" i="100" s="1"/>
  <c r="EB38" i="100"/>
  <c r="FY38" i="100" s="1"/>
  <c r="FX38" i="100" s="1"/>
  <c r="EB40" i="100"/>
  <c r="FY40" i="100" s="1"/>
  <c r="FX40" i="100" s="1"/>
  <c r="EB39" i="100"/>
  <c r="FY39" i="100" s="1"/>
  <c r="FX39" i="100" s="1"/>
  <c r="EB61" i="100"/>
  <c r="FY61" i="100" s="1"/>
  <c r="EB57" i="100"/>
  <c r="FY57" i="100" s="1"/>
  <c r="FX57" i="100" s="1"/>
  <c r="DZ20" i="100"/>
  <c r="FV20" i="100" s="1"/>
  <c r="DZ9" i="100"/>
  <c r="FV9" i="100" s="1"/>
  <c r="DZ23" i="100"/>
  <c r="FV23" i="100" s="1"/>
  <c r="DZ34" i="100"/>
  <c r="FV34" i="100" s="1"/>
  <c r="DZ13" i="100"/>
  <c r="FV13" i="100" s="1"/>
  <c r="DZ19" i="100"/>
  <c r="FV19" i="100" s="1"/>
  <c r="DZ15" i="100"/>
  <c r="FV15" i="100" s="1"/>
  <c r="DZ26" i="100"/>
  <c r="FV26" i="100" s="1"/>
  <c r="DZ10" i="100"/>
  <c r="FV10" i="100" s="1"/>
  <c r="DZ24" i="100"/>
  <c r="FV24" i="100" s="1"/>
  <c r="DZ29" i="100"/>
  <c r="FV29" i="100" s="1"/>
  <c r="DZ37" i="100"/>
  <c r="FV37" i="100" s="1"/>
  <c r="DZ12" i="100"/>
  <c r="FV12" i="100" s="1"/>
  <c r="DZ35" i="100"/>
  <c r="FV35" i="100" s="1"/>
  <c r="DZ17" i="100"/>
  <c r="FV17" i="100" s="1"/>
  <c r="DZ61" i="100"/>
  <c r="FV61" i="100" s="1"/>
  <c r="DZ42" i="100"/>
  <c r="FV42" i="100" s="1"/>
  <c r="DZ58" i="100"/>
  <c r="FV58" i="100" s="1"/>
  <c r="DZ47" i="100"/>
  <c r="FV47" i="100" s="1"/>
  <c r="DZ55" i="100"/>
  <c r="FV55" i="100" s="1"/>
  <c r="DZ39" i="100"/>
  <c r="FV39" i="100" s="1"/>
  <c r="DZ65" i="100"/>
  <c r="FV65" i="100" s="1"/>
  <c r="DZ66" i="100"/>
  <c r="FV66" i="100" s="1"/>
  <c r="DZ44" i="100"/>
  <c r="FV44" i="100" s="1"/>
  <c r="DZ38" i="100"/>
  <c r="FV38" i="100" s="1"/>
  <c r="DZ28" i="100"/>
  <c r="FV28" i="100" s="1"/>
  <c r="DZ7" i="100"/>
  <c r="FV7" i="100" s="1"/>
  <c r="DZ18" i="100"/>
  <c r="FV18" i="100" s="1"/>
  <c r="DZ22" i="100"/>
  <c r="FV22" i="100" s="1"/>
  <c r="DZ30" i="100"/>
  <c r="FV30" i="100" s="1"/>
  <c r="DZ32" i="100"/>
  <c r="FV32" i="100" s="1"/>
  <c r="DZ14" i="100"/>
  <c r="FV14" i="100" s="1"/>
  <c r="DZ64" i="100"/>
  <c r="FV64" i="100" s="1"/>
  <c r="DZ49" i="100"/>
  <c r="FV49" i="100" s="1"/>
  <c r="DZ50" i="100"/>
  <c r="FV50" i="100" s="1"/>
  <c r="DZ56" i="100"/>
  <c r="FV56" i="100" s="1"/>
  <c r="DZ45" i="100"/>
  <c r="FV45" i="100" s="1"/>
  <c r="DZ62" i="100"/>
  <c r="FV62" i="100" s="1"/>
  <c r="DZ53" i="100"/>
  <c r="FV53" i="100" s="1"/>
  <c r="DZ54" i="100"/>
  <c r="FV54" i="100" s="1"/>
  <c r="DZ25" i="100"/>
  <c r="FV25" i="100" s="1"/>
  <c r="DZ27" i="100"/>
  <c r="FV27" i="100" s="1"/>
  <c r="DZ11" i="100"/>
  <c r="FV11" i="100" s="1"/>
  <c r="DZ36" i="100"/>
  <c r="FV36" i="100" s="1"/>
  <c r="DZ8" i="100"/>
  <c r="FV8" i="100" s="1"/>
  <c r="DZ33" i="100"/>
  <c r="FV33" i="100" s="1"/>
  <c r="DZ16" i="100"/>
  <c r="FV16" i="100" s="1"/>
  <c r="DZ21" i="100"/>
  <c r="FV21" i="100" s="1"/>
  <c r="DZ31" i="100"/>
  <c r="FV31" i="100" s="1"/>
  <c r="DZ60" i="100"/>
  <c r="FV60" i="100" s="1"/>
  <c r="DZ41" i="100"/>
  <c r="FV41" i="100" s="1"/>
  <c r="DZ57" i="100"/>
  <c r="FV57" i="100" s="1"/>
  <c r="DZ48" i="100"/>
  <c r="FV48" i="100" s="1"/>
  <c r="DZ43" i="100"/>
  <c r="FV43" i="100" s="1"/>
  <c r="DZ59" i="100"/>
  <c r="FV59" i="100" s="1"/>
  <c r="DZ63" i="100"/>
  <c r="FV63" i="100" s="1"/>
  <c r="DZ46" i="100"/>
  <c r="FV46" i="100" s="1"/>
  <c r="DZ51" i="100"/>
  <c r="FV51" i="100" s="1"/>
  <c r="DZ40" i="100"/>
  <c r="FV40" i="100" s="1"/>
  <c r="DZ52" i="100"/>
  <c r="FV52" i="100" s="1"/>
  <c r="EU18" i="100"/>
  <c r="GT18" i="100" s="1"/>
  <c r="EU30" i="100"/>
  <c r="GT30" i="100" s="1"/>
  <c r="EU27" i="100"/>
  <c r="GT27" i="100" s="1"/>
  <c r="EU7" i="100"/>
  <c r="GT7" i="100" s="1"/>
  <c r="EU25" i="100"/>
  <c r="GT25" i="100" s="1"/>
  <c r="EU19" i="100"/>
  <c r="GT19" i="100" s="1"/>
  <c r="EU33" i="100"/>
  <c r="GT33" i="100" s="1"/>
  <c r="EU26" i="100"/>
  <c r="GT26" i="100" s="1"/>
  <c r="EU34" i="100"/>
  <c r="GT34" i="100" s="1"/>
  <c r="EU36" i="100"/>
  <c r="GT36" i="100" s="1"/>
  <c r="EU23" i="100"/>
  <c r="GT23" i="100" s="1"/>
  <c r="EU14" i="100"/>
  <c r="GT14" i="100" s="1"/>
  <c r="EU24" i="100"/>
  <c r="GT24" i="100" s="1"/>
  <c r="EU17" i="100"/>
  <c r="GT17" i="100" s="1"/>
  <c r="EU32" i="100"/>
  <c r="GT32" i="100" s="1"/>
  <c r="EU29" i="100"/>
  <c r="GT29" i="100" s="1"/>
  <c r="EU55" i="100"/>
  <c r="GT55" i="100" s="1"/>
  <c r="EU56" i="100"/>
  <c r="GT56" i="100" s="1"/>
  <c r="EU48" i="100"/>
  <c r="GT48" i="100" s="1"/>
  <c r="EU39" i="100"/>
  <c r="GT39" i="100" s="1"/>
  <c r="EU59" i="100"/>
  <c r="GT59" i="100" s="1"/>
  <c r="EU41" i="100"/>
  <c r="GT41" i="100" s="1"/>
  <c r="EU61" i="100"/>
  <c r="GT61" i="100" s="1"/>
  <c r="EU8" i="100"/>
  <c r="GT8" i="100" s="1"/>
  <c r="EU9" i="100"/>
  <c r="GT9" i="100" s="1"/>
  <c r="EU11" i="100"/>
  <c r="GT11" i="100" s="1"/>
  <c r="EU21" i="100"/>
  <c r="GT21" i="100" s="1"/>
  <c r="EU20" i="100"/>
  <c r="GT20" i="100" s="1"/>
  <c r="EU13" i="100"/>
  <c r="GT13" i="100" s="1"/>
  <c r="EU12" i="100"/>
  <c r="GT12" i="100" s="1"/>
  <c r="EU35" i="100"/>
  <c r="GT35" i="100" s="1"/>
  <c r="EU31" i="100"/>
  <c r="GT31" i="100" s="1"/>
  <c r="EU40" i="100"/>
  <c r="GT40" i="100" s="1"/>
  <c r="EU45" i="100"/>
  <c r="GT45" i="100" s="1"/>
  <c r="EU52" i="100"/>
  <c r="GT52" i="100" s="1"/>
  <c r="EU47" i="100"/>
  <c r="GT47" i="100" s="1"/>
  <c r="EU50" i="100"/>
  <c r="GT50" i="100" s="1"/>
  <c r="EU49" i="100"/>
  <c r="GT49" i="100" s="1"/>
  <c r="EU63" i="100"/>
  <c r="GT63" i="100" s="1"/>
  <c r="EU22" i="100"/>
  <c r="GT22" i="100" s="1"/>
  <c r="EU10" i="100"/>
  <c r="GT10" i="100" s="1"/>
  <c r="EU37" i="100"/>
  <c r="GT37" i="100" s="1"/>
  <c r="EU15" i="100"/>
  <c r="GT15" i="100" s="1"/>
  <c r="EU16" i="100"/>
  <c r="GT16" i="100" s="1"/>
  <c r="EU28" i="100"/>
  <c r="GT28" i="100" s="1"/>
  <c r="EU65" i="100"/>
  <c r="GT65" i="100" s="1"/>
  <c r="EU46" i="100"/>
  <c r="GT46" i="100" s="1"/>
  <c r="EU62" i="100"/>
  <c r="GT62" i="100" s="1"/>
  <c r="EU38" i="100"/>
  <c r="GT38" i="100" s="1"/>
  <c r="EU54" i="100"/>
  <c r="GT54" i="100" s="1"/>
  <c r="EU44" i="100"/>
  <c r="GT44" i="100" s="1"/>
  <c r="EU58" i="100"/>
  <c r="GT58" i="100" s="1"/>
  <c r="EU42" i="100"/>
  <c r="GT42" i="100" s="1"/>
  <c r="EU64" i="100"/>
  <c r="GT64" i="100" s="1"/>
  <c r="EU53" i="100"/>
  <c r="GT53" i="100" s="1"/>
  <c r="EU57" i="100"/>
  <c r="GT57" i="100" s="1"/>
  <c r="EU51" i="100"/>
  <c r="GT51" i="100" s="1"/>
  <c r="EU60" i="100"/>
  <c r="GT60" i="100" s="1"/>
  <c r="EU66" i="100"/>
  <c r="GT66" i="100" s="1"/>
  <c r="EU43" i="100"/>
  <c r="GT43" i="100" s="1"/>
  <c r="DQ8" i="100"/>
  <c r="FL8" i="100" s="1"/>
  <c r="DQ10" i="100"/>
  <c r="FL10" i="100" s="1"/>
  <c r="DQ9" i="100"/>
  <c r="FL9" i="100" s="1"/>
  <c r="DQ7" i="100"/>
  <c r="FL7" i="100" s="1"/>
  <c r="DQ15" i="100"/>
  <c r="FL15" i="100" s="1"/>
  <c r="DQ12" i="100"/>
  <c r="FL12" i="100" s="1"/>
  <c r="DQ32" i="100"/>
  <c r="FL32" i="100" s="1"/>
  <c r="DQ26" i="100"/>
  <c r="FL26" i="100" s="1"/>
  <c r="DQ33" i="100"/>
  <c r="FL33" i="100" s="1"/>
  <c r="DQ23" i="100"/>
  <c r="FL23" i="100" s="1"/>
  <c r="DQ34" i="100"/>
  <c r="FL34" i="100" s="1"/>
  <c r="DQ41" i="100"/>
  <c r="FL41" i="100" s="1"/>
  <c r="DQ63" i="100"/>
  <c r="FL63" i="100" s="1"/>
  <c r="DQ46" i="100"/>
  <c r="FL46" i="100" s="1"/>
  <c r="DQ57" i="100"/>
  <c r="FL57" i="100" s="1"/>
  <c r="DQ52" i="100"/>
  <c r="FL52" i="100" s="1"/>
  <c r="DQ51" i="100"/>
  <c r="FL51" i="100" s="1"/>
  <c r="DQ54" i="100"/>
  <c r="FL54" i="100" s="1"/>
  <c r="DQ11" i="100"/>
  <c r="FL11" i="100" s="1"/>
  <c r="DQ13" i="100"/>
  <c r="FL13" i="100" s="1"/>
  <c r="DQ16" i="100"/>
  <c r="FL16" i="100" s="1"/>
  <c r="DQ17" i="100"/>
  <c r="FL17" i="100" s="1"/>
  <c r="DQ19" i="100"/>
  <c r="FL19" i="100" s="1"/>
  <c r="DQ35" i="100"/>
  <c r="FL35" i="100" s="1"/>
  <c r="DQ27" i="100"/>
  <c r="FL27" i="100" s="1"/>
  <c r="DQ24" i="100"/>
  <c r="FL24" i="100" s="1"/>
  <c r="DQ21" i="100"/>
  <c r="FL21" i="100" s="1"/>
  <c r="DQ31" i="100"/>
  <c r="FL31" i="100" s="1"/>
  <c r="DQ28" i="100"/>
  <c r="FL28" i="100" s="1"/>
  <c r="DQ56" i="100"/>
  <c r="FL56" i="100" s="1"/>
  <c r="DQ59" i="100"/>
  <c r="FL59" i="100" s="1"/>
  <c r="DQ49" i="100"/>
  <c r="FL49" i="100" s="1"/>
  <c r="DQ65" i="100"/>
  <c r="FL65" i="100" s="1"/>
  <c r="DQ60" i="100"/>
  <c r="FL60" i="100" s="1"/>
  <c r="DQ42" i="100"/>
  <c r="FL42" i="100" s="1"/>
  <c r="DQ62" i="100"/>
  <c r="FL62" i="100" s="1"/>
  <c r="DQ14" i="100"/>
  <c r="FL14" i="100" s="1"/>
  <c r="DQ18" i="100"/>
  <c r="FL18" i="100" s="1"/>
  <c r="DQ25" i="100"/>
  <c r="FL25" i="100" s="1"/>
  <c r="DQ30" i="100"/>
  <c r="FL30" i="100" s="1"/>
  <c r="DQ36" i="100"/>
  <c r="FL36" i="100" s="1"/>
  <c r="DQ43" i="100"/>
  <c r="FL43" i="100" s="1"/>
  <c r="DQ38" i="100"/>
  <c r="FL38" i="100" s="1"/>
  <c r="DQ58" i="100"/>
  <c r="FL58" i="100" s="1"/>
  <c r="DQ40" i="100"/>
  <c r="FL40" i="100" s="1"/>
  <c r="DQ53" i="100"/>
  <c r="FL53" i="100" s="1"/>
  <c r="DQ50" i="100"/>
  <c r="FL50" i="100" s="1"/>
  <c r="DQ64" i="100"/>
  <c r="FL64" i="100" s="1"/>
  <c r="DQ22" i="100"/>
  <c r="FL22" i="100" s="1"/>
  <c r="DQ29" i="100"/>
  <c r="FL29" i="100" s="1"/>
  <c r="DQ39" i="100"/>
  <c r="FL39" i="100" s="1"/>
  <c r="DQ47" i="100"/>
  <c r="FL47" i="100" s="1"/>
  <c r="DQ45" i="100"/>
  <c r="FL45" i="100" s="1"/>
  <c r="DQ55" i="100"/>
  <c r="FL55" i="100" s="1"/>
  <c r="DQ44" i="100"/>
  <c r="FL44" i="100" s="1"/>
  <c r="DQ48" i="100"/>
  <c r="FL48" i="100" s="1"/>
  <c r="DQ37" i="100"/>
  <c r="FL37" i="100" s="1"/>
  <c r="DQ20" i="100"/>
  <c r="FL20" i="100" s="1"/>
  <c r="DQ66" i="100"/>
  <c r="FL66" i="100" s="1"/>
  <c r="DQ61" i="100"/>
  <c r="FL61" i="100" s="1"/>
  <c r="DJ7" i="100"/>
  <c r="FC7" i="100" s="1"/>
  <c r="DJ33" i="100"/>
  <c r="FC33" i="100" s="1"/>
  <c r="DJ62" i="100"/>
  <c r="FC62" i="100" s="1"/>
  <c r="DJ18" i="100"/>
  <c r="FC18" i="100" s="1"/>
  <c r="DJ31" i="100"/>
  <c r="FC31" i="100" s="1"/>
  <c r="DJ57" i="100"/>
  <c r="FC57" i="100" s="1"/>
  <c r="DJ32" i="100"/>
  <c r="FC32" i="100" s="1"/>
  <c r="DJ52" i="100"/>
  <c r="FC52" i="100" s="1"/>
  <c r="DJ43" i="100"/>
  <c r="FC43" i="100" s="1"/>
  <c r="DJ19" i="100"/>
  <c r="FC19" i="100" s="1"/>
  <c r="DJ37" i="100"/>
  <c r="FC37" i="100" s="1"/>
  <c r="DJ41" i="100"/>
  <c r="FC41" i="100" s="1"/>
  <c r="DJ22" i="100"/>
  <c r="FC22" i="100" s="1"/>
  <c r="DJ63" i="100"/>
  <c r="FC63" i="100" s="1"/>
  <c r="DJ40" i="100"/>
  <c r="FC40" i="100" s="1"/>
  <c r="DJ25" i="100"/>
  <c r="FC25" i="100" s="1"/>
  <c r="DJ55" i="100"/>
  <c r="FC55" i="100" s="1"/>
  <c r="DJ56" i="100"/>
  <c r="FC56" i="100" s="1"/>
  <c r="DJ24" i="100"/>
  <c r="FC24" i="100" s="1"/>
  <c r="DJ65" i="100"/>
  <c r="FC65" i="100" s="1"/>
  <c r="DJ51" i="100"/>
  <c r="FC51" i="100" s="1"/>
  <c r="DJ36" i="100"/>
  <c r="FC36" i="100" s="1"/>
  <c r="DJ14" i="100"/>
  <c r="FC14" i="100" s="1"/>
  <c r="DJ61" i="100"/>
  <c r="FC61" i="100" s="1"/>
  <c r="DJ50" i="100"/>
  <c r="FC50" i="100" s="1"/>
  <c r="DJ34" i="100"/>
  <c r="FC34" i="100" s="1"/>
  <c r="DJ12" i="100"/>
  <c r="FC12" i="100" s="1"/>
  <c r="DJ17" i="100"/>
  <c r="FC17" i="100" s="1"/>
  <c r="DJ16" i="100"/>
  <c r="FC16" i="100" s="1"/>
  <c r="DJ38" i="100"/>
  <c r="FC38" i="100" s="1"/>
  <c r="DJ46" i="100"/>
  <c r="FC46" i="100" s="1"/>
  <c r="DJ39" i="100"/>
  <c r="FC39" i="100" s="1"/>
  <c r="DJ21" i="100"/>
  <c r="FC21" i="100" s="1"/>
  <c r="DJ30" i="100"/>
  <c r="FC30" i="100" s="1"/>
  <c r="DJ53" i="100"/>
  <c r="FC53" i="100" s="1"/>
  <c r="DJ48" i="100"/>
  <c r="FC48" i="100" s="1"/>
  <c r="DJ10" i="100"/>
  <c r="FC10" i="100" s="1"/>
  <c r="DJ64" i="100"/>
  <c r="FC64" i="100" s="1"/>
  <c r="DJ44" i="100"/>
  <c r="FC44" i="100" s="1"/>
  <c r="DJ27" i="100"/>
  <c r="FC27" i="100" s="1"/>
  <c r="DJ13" i="100"/>
  <c r="FC13" i="100" s="1"/>
  <c r="DJ59" i="100"/>
  <c r="FC59" i="100" s="1"/>
  <c r="DJ42" i="100"/>
  <c r="FC42" i="100" s="1"/>
  <c r="DJ23" i="100"/>
  <c r="FC23" i="100" s="1"/>
  <c r="DJ9" i="100"/>
  <c r="FC9" i="100" s="1"/>
  <c r="DJ29" i="100"/>
  <c r="FC29" i="100" s="1"/>
  <c r="DJ54" i="100"/>
  <c r="FC54" i="100" s="1"/>
  <c r="DJ11" i="100"/>
  <c r="FC11" i="100" s="1"/>
  <c r="DJ20" i="100"/>
  <c r="FC20" i="100" s="1"/>
  <c r="DJ66" i="100"/>
  <c r="FC66" i="100" s="1"/>
  <c r="DJ15" i="100"/>
  <c r="FC15" i="100" s="1"/>
  <c r="DJ45" i="100"/>
  <c r="FC45" i="100" s="1"/>
  <c r="DJ47" i="100"/>
  <c r="FC47" i="100" s="1"/>
  <c r="DJ60" i="100"/>
  <c r="FC60" i="100" s="1"/>
  <c r="DJ35" i="100"/>
  <c r="FC35" i="100" s="1"/>
  <c r="DJ28" i="100"/>
  <c r="FC28" i="100" s="1"/>
  <c r="DJ58" i="100"/>
  <c r="FC58" i="100" s="1"/>
  <c r="DJ49" i="100"/>
  <c r="FC49" i="100" s="1"/>
  <c r="DJ26" i="100"/>
  <c r="FC26" i="100" s="1"/>
  <c r="DJ8" i="100"/>
  <c r="FC8" i="100" s="1"/>
  <c r="K22" i="98"/>
  <c r="K30" i="98"/>
  <c r="DX14" i="98" s="1"/>
  <c r="D6" i="97"/>
  <c r="BQ8" i="98"/>
  <c r="BQ9" i="98"/>
  <c r="BQ10" i="98"/>
  <c r="BQ11" i="98"/>
  <c r="BQ12" i="98"/>
  <c r="BQ13" i="98"/>
  <c r="BQ6" i="98"/>
  <c r="BQ7" i="98"/>
  <c r="BO7" i="98"/>
  <c r="BO8" i="98"/>
  <c r="BO9" i="98"/>
  <c r="BO10" i="98"/>
  <c r="BO11" i="98"/>
  <c r="BO12" i="98"/>
  <c r="BO6" i="98"/>
  <c r="BO13" i="98"/>
  <c r="BP12" i="98"/>
  <c r="BP13" i="98"/>
  <c r="BP6" i="98"/>
  <c r="BP7" i="98"/>
  <c r="BP11" i="98"/>
  <c r="CC11" i="98" s="1"/>
  <c r="BP8" i="98"/>
  <c r="BP9" i="98"/>
  <c r="BP10" i="98"/>
  <c r="BN8" i="98"/>
  <c r="BN9" i="98"/>
  <c r="BN10" i="98"/>
  <c r="BN7" i="98"/>
  <c r="BN11" i="98"/>
  <c r="BN12" i="98"/>
  <c r="BN13" i="98"/>
  <c r="BN6" i="98"/>
  <c r="E5" i="97"/>
  <c r="D8" i="97"/>
  <c r="E8" i="97"/>
  <c r="D7" i="97"/>
  <c r="E7" i="97"/>
  <c r="EX77" i="98" l="1"/>
  <c r="EO77" i="98" s="1"/>
  <c r="EX29" i="98"/>
  <c r="EO29" i="98" s="1"/>
  <c r="EX30" i="98"/>
  <c r="EO30" i="98" s="1"/>
  <c r="EX55" i="98"/>
  <c r="EO55" i="98" s="1"/>
  <c r="GA1341" i="98" s="1"/>
  <c r="EX31" i="98"/>
  <c r="EO31" i="98" s="1"/>
  <c r="EX73" i="98"/>
  <c r="EO73" i="98" s="1"/>
  <c r="EX14" i="98"/>
  <c r="EO14" i="98" s="1"/>
  <c r="EX32" i="98"/>
  <c r="EO32" i="98" s="1"/>
  <c r="GA915" i="98" s="1"/>
  <c r="GE39" i="100"/>
  <c r="GE24" i="100"/>
  <c r="GE37" i="100"/>
  <c r="GE43" i="100"/>
  <c r="GE55" i="100"/>
  <c r="GE20" i="100"/>
  <c r="GE21" i="100"/>
  <c r="GE27" i="100"/>
  <c r="GE36" i="100"/>
  <c r="GE42" i="100"/>
  <c r="GE61" i="100"/>
  <c r="GE46" i="100"/>
  <c r="GE53" i="100"/>
  <c r="AH23" i="90"/>
  <c r="AH75" i="90"/>
  <c r="AH127" i="90"/>
  <c r="AH179" i="90"/>
  <c r="AH22" i="90"/>
  <c r="AH74" i="90"/>
  <c r="AH126" i="90"/>
  <c r="AH178" i="90"/>
  <c r="AH14" i="90"/>
  <c r="AH66" i="90"/>
  <c r="AH118" i="90"/>
  <c r="AH170" i="90"/>
  <c r="AH18" i="90"/>
  <c r="AH70" i="90"/>
  <c r="AH122" i="90"/>
  <c r="AH174" i="90"/>
  <c r="AH16" i="90"/>
  <c r="AH68" i="90"/>
  <c r="AH120" i="90"/>
  <c r="AH172" i="90"/>
  <c r="AH10" i="90"/>
  <c r="AH62" i="90"/>
  <c r="AH114" i="90"/>
  <c r="AH166" i="90"/>
  <c r="AH121" i="90"/>
  <c r="AH17" i="90"/>
  <c r="AH69" i="90"/>
  <c r="AH173" i="90"/>
  <c r="AH20" i="90"/>
  <c r="AH72" i="90"/>
  <c r="AH124" i="90"/>
  <c r="AH176" i="90"/>
  <c r="AH15" i="90"/>
  <c r="AH67" i="90"/>
  <c r="AH119" i="90"/>
  <c r="AH171" i="90"/>
  <c r="AH11" i="90"/>
  <c r="AH63" i="90"/>
  <c r="AH115" i="90"/>
  <c r="AH167" i="90"/>
  <c r="AH125" i="90"/>
  <c r="AH177" i="90"/>
  <c r="AH21" i="90"/>
  <c r="AH73" i="90"/>
  <c r="AH19" i="90"/>
  <c r="AH71" i="90"/>
  <c r="AH123" i="90"/>
  <c r="AH175" i="90"/>
  <c r="AH12" i="90"/>
  <c r="AH64" i="90"/>
  <c r="AH116" i="90"/>
  <c r="AH168" i="90"/>
  <c r="AH169" i="90"/>
  <c r="AH13" i="90"/>
  <c r="AH65" i="90"/>
  <c r="AH117" i="90"/>
  <c r="GN45" i="100"/>
  <c r="GN41" i="100"/>
  <c r="GN25" i="100"/>
  <c r="GN32" i="100"/>
  <c r="GN39" i="100"/>
  <c r="GN49" i="100"/>
  <c r="GN23" i="100"/>
  <c r="GN31" i="100"/>
  <c r="GN64" i="100"/>
  <c r="GN51" i="100"/>
  <c r="GN12" i="100"/>
  <c r="GN19" i="100"/>
  <c r="GN30" i="100"/>
  <c r="GN33" i="100"/>
  <c r="GN10" i="100"/>
  <c r="GN53" i="100"/>
  <c r="GN56" i="100"/>
  <c r="GN24" i="100"/>
  <c r="GN11" i="100"/>
  <c r="GN60" i="100"/>
  <c r="GN59" i="100"/>
  <c r="GN26" i="100"/>
  <c r="GN36" i="100"/>
  <c r="GN54" i="100"/>
  <c r="GN61" i="100"/>
  <c r="GN35" i="100"/>
  <c r="GN22" i="100"/>
  <c r="GN29" i="100"/>
  <c r="GN9" i="100"/>
  <c r="GN7" i="100"/>
  <c r="GN50" i="100"/>
  <c r="GN38" i="100"/>
  <c r="GN43" i="100"/>
  <c r="GN17" i="100"/>
  <c r="GN52" i="100"/>
  <c r="GN46" i="100"/>
  <c r="GN42" i="100"/>
  <c r="GN16" i="100"/>
  <c r="GN66" i="100"/>
  <c r="GN40" i="100"/>
  <c r="GN65" i="100"/>
  <c r="GN15" i="100"/>
  <c r="GN18" i="100"/>
  <c r="GN20" i="100"/>
  <c r="GN21" i="100"/>
  <c r="GN48" i="100"/>
  <c r="GN55" i="100"/>
  <c r="GN58" i="100"/>
  <c r="GN8" i="100"/>
  <c r="GN47" i="100"/>
  <c r="GN63" i="100"/>
  <c r="GN62" i="100"/>
  <c r="GN37" i="100"/>
  <c r="GN44" i="100"/>
  <c r="GN57" i="100"/>
  <c r="GN34" i="100"/>
  <c r="GN28" i="100"/>
  <c r="GN27" i="100"/>
  <c r="GN14" i="100"/>
  <c r="GN13" i="100"/>
  <c r="AM24" i="98"/>
  <c r="AE28" i="98"/>
  <c r="DX57" i="98" s="1"/>
  <c r="BC11" i="98"/>
  <c r="BD11" i="98" s="1"/>
  <c r="S30" i="98"/>
  <c r="DX32" i="98" s="1"/>
  <c r="AI23" i="98"/>
  <c r="O28" i="98"/>
  <c r="AA28" i="98"/>
  <c r="DX48" i="98" s="1"/>
  <c r="K26" i="98"/>
  <c r="FX61" i="100"/>
  <c r="FX21" i="100"/>
  <c r="FD65" i="100"/>
  <c r="FD20" i="100"/>
  <c r="FD33" i="100"/>
  <c r="FD50" i="100"/>
  <c r="FD59" i="100"/>
  <c r="FX56" i="100"/>
  <c r="FX8" i="100"/>
  <c r="FX22" i="100"/>
  <c r="FX36" i="100"/>
  <c r="FX24" i="100"/>
  <c r="FX27" i="100"/>
  <c r="FX52" i="100"/>
  <c r="FX58" i="100"/>
  <c r="FX30" i="100"/>
  <c r="FD45" i="100"/>
  <c r="FD23" i="100"/>
  <c r="FD7" i="100"/>
  <c r="FD37" i="100"/>
  <c r="FD27" i="100"/>
  <c r="FQ59" i="100"/>
  <c r="FQ38" i="100"/>
  <c r="FQ29" i="100"/>
  <c r="FQ62" i="100"/>
  <c r="FQ25" i="100"/>
  <c r="FQ17" i="100"/>
  <c r="FQ63" i="100"/>
  <c r="FQ60" i="100"/>
  <c r="FQ35" i="100"/>
  <c r="FQ20" i="100"/>
  <c r="FQ49" i="100"/>
  <c r="FQ39" i="100"/>
  <c r="FQ24" i="100"/>
  <c r="FQ21" i="100"/>
  <c r="FQ7" i="100"/>
  <c r="FQ57" i="100"/>
  <c r="FQ36" i="100"/>
  <c r="FQ37" i="100"/>
  <c r="FQ27" i="100"/>
  <c r="FQ26" i="100"/>
  <c r="FQ50" i="100"/>
  <c r="FQ48" i="100"/>
  <c r="FQ44" i="100"/>
  <c r="FQ33" i="100"/>
  <c r="FQ9" i="100"/>
  <c r="FQ40" i="100"/>
  <c r="FQ42" i="100"/>
  <c r="FQ34" i="100"/>
  <c r="FQ13" i="100"/>
  <c r="FQ16" i="100"/>
  <c r="FD51" i="100"/>
  <c r="FD61" i="100"/>
  <c r="FD29" i="100"/>
  <c r="FD55" i="100"/>
  <c r="FD24" i="100"/>
  <c r="FQ58" i="100"/>
  <c r="FQ41" i="100"/>
  <c r="FQ52" i="100"/>
  <c r="FQ30" i="100"/>
  <c r="FQ22" i="100"/>
  <c r="FQ61" i="100"/>
  <c r="FQ55" i="100"/>
  <c r="FQ66" i="100"/>
  <c r="FQ28" i="100"/>
  <c r="FQ8" i="100"/>
  <c r="FQ56" i="100"/>
  <c r="FQ64" i="100"/>
  <c r="FQ19" i="100"/>
  <c r="FQ10" i="100"/>
  <c r="FQ14" i="100"/>
  <c r="FQ51" i="100"/>
  <c r="FQ54" i="100"/>
  <c r="FQ47" i="100"/>
  <c r="FQ32" i="100"/>
  <c r="FQ12" i="100"/>
  <c r="FQ46" i="100"/>
  <c r="FQ45" i="100"/>
  <c r="FQ43" i="100"/>
  <c r="FQ23" i="100"/>
  <c r="FQ31" i="100"/>
  <c r="FQ65" i="100"/>
  <c r="FQ53" i="100"/>
  <c r="FQ15" i="100"/>
  <c r="FQ18" i="100"/>
  <c r="FQ11" i="100"/>
  <c r="FJ19" i="100"/>
  <c r="FJ32" i="100"/>
  <c r="FJ64" i="100"/>
  <c r="FJ61" i="100"/>
  <c r="FJ57" i="100"/>
  <c r="FJ20" i="100"/>
  <c r="FJ15" i="100"/>
  <c r="FJ50" i="100"/>
  <c r="FJ37" i="100"/>
  <c r="FJ13" i="100"/>
  <c r="FJ55" i="100"/>
  <c r="FJ45" i="100"/>
  <c r="FJ33" i="100"/>
  <c r="FJ11" i="100"/>
  <c r="FJ9" i="100"/>
  <c r="FJ34" i="100"/>
  <c r="FJ47" i="100"/>
  <c r="FJ59" i="100"/>
  <c r="FJ40" i="100"/>
  <c r="FJ43" i="100"/>
  <c r="FJ36" i="100"/>
  <c r="FJ60" i="100"/>
  <c r="FJ53" i="100"/>
  <c r="FJ26" i="100"/>
  <c r="FJ16" i="100"/>
  <c r="FJ42" i="100"/>
  <c r="FJ22" i="100"/>
  <c r="FJ25" i="100"/>
  <c r="FJ14" i="100"/>
  <c r="FJ8" i="100"/>
  <c r="FJ38" i="100"/>
  <c r="FJ63" i="100"/>
  <c r="FJ49" i="100"/>
  <c r="FJ65" i="100"/>
  <c r="FJ51" i="100"/>
  <c r="FJ29" i="100"/>
  <c r="FJ24" i="100"/>
  <c r="FJ58" i="100"/>
  <c r="FJ48" i="100"/>
  <c r="FJ30" i="100"/>
  <c r="FJ7" i="100"/>
  <c r="FJ54" i="100"/>
  <c r="FJ18" i="100"/>
  <c r="FJ35" i="100"/>
  <c r="FJ10" i="100"/>
  <c r="FD26" i="100"/>
  <c r="FD66" i="100"/>
  <c r="FD62" i="100"/>
  <c r="FJ46" i="100"/>
  <c r="FJ27" i="100"/>
  <c r="FJ66" i="100"/>
  <c r="FJ41" i="100"/>
  <c r="FJ39" i="100"/>
  <c r="FJ31" i="100"/>
  <c r="FJ12" i="100"/>
  <c r="FJ56" i="100"/>
  <c r="FJ52" i="100"/>
  <c r="FJ23" i="100"/>
  <c r="FJ44" i="100"/>
  <c r="FJ62" i="100"/>
  <c r="FJ28" i="100"/>
  <c r="FJ21" i="100"/>
  <c r="FJ17" i="100"/>
  <c r="FD57" i="100"/>
  <c r="FD43" i="100"/>
  <c r="FD35" i="100"/>
  <c r="FD60" i="100"/>
  <c r="FD22" i="100"/>
  <c r="FD31" i="100"/>
  <c r="FD14" i="100"/>
  <c r="FD40" i="100"/>
  <c r="FD38" i="100"/>
  <c r="FD47" i="100"/>
  <c r="FD48" i="100"/>
  <c r="FD34" i="100"/>
  <c r="FD9" i="100"/>
  <c r="FD41" i="100"/>
  <c r="FD63" i="100"/>
  <c r="FD54" i="100"/>
  <c r="FD28" i="100"/>
  <c r="FD19" i="100"/>
  <c r="FD44" i="100"/>
  <c r="FD53" i="100"/>
  <c r="FD64" i="100"/>
  <c r="FD13" i="100"/>
  <c r="FD21" i="100"/>
  <c r="FD49" i="100"/>
  <c r="FD52" i="100"/>
  <c r="FD32" i="100"/>
  <c r="FD11" i="100"/>
  <c r="FD58" i="100"/>
  <c r="FD18" i="100"/>
  <c r="FD16" i="100"/>
  <c r="EZ56" i="100"/>
  <c r="EZ52" i="100"/>
  <c r="EZ39" i="100"/>
  <c r="EZ12" i="100"/>
  <c r="EZ46" i="100"/>
  <c r="EZ25" i="100"/>
  <c r="EZ61" i="100"/>
  <c r="EZ19" i="100"/>
  <c r="EZ64" i="100"/>
  <c r="EZ60" i="100"/>
  <c r="EZ59" i="100"/>
  <c r="EZ16" i="100"/>
  <c r="EZ42" i="100"/>
  <c r="EZ31" i="100"/>
  <c r="EZ14" i="100"/>
  <c r="EZ40" i="100"/>
  <c r="EZ20" i="100"/>
  <c r="EZ36" i="100"/>
  <c r="EZ26" i="100"/>
  <c r="EZ23" i="100"/>
  <c r="EZ51" i="100"/>
  <c r="EZ54" i="100"/>
  <c r="EZ21" i="100"/>
  <c r="EZ34" i="100"/>
  <c r="EZ10" i="100"/>
  <c r="EZ13" i="100"/>
  <c r="EZ41" i="100"/>
  <c r="EZ7" i="100"/>
  <c r="EZ18" i="100"/>
  <c r="EZ8" i="100"/>
  <c r="EZ65" i="100"/>
  <c r="EZ30" i="100"/>
  <c r="EZ17" i="100"/>
  <c r="EZ35" i="100"/>
  <c r="EZ63" i="100"/>
  <c r="EZ33" i="100"/>
  <c r="EZ58" i="100"/>
  <c r="EZ53" i="100"/>
  <c r="EZ24" i="100"/>
  <c r="EZ37" i="100"/>
  <c r="EZ28" i="100"/>
  <c r="EZ27" i="100"/>
  <c r="EZ62" i="100"/>
  <c r="EZ66" i="100"/>
  <c r="EZ50" i="100"/>
  <c r="EZ29" i="100"/>
  <c r="EZ32" i="100"/>
  <c r="EZ43" i="100"/>
  <c r="EZ48" i="100"/>
  <c r="EZ57" i="100"/>
  <c r="EZ55" i="100"/>
  <c r="EZ22" i="100"/>
  <c r="EZ15" i="100"/>
  <c r="EZ47" i="100"/>
  <c r="EZ44" i="100"/>
  <c r="EZ38" i="100"/>
  <c r="EZ49" i="100"/>
  <c r="EZ11" i="100"/>
  <c r="EZ45" i="100"/>
  <c r="EZ9" i="100"/>
  <c r="AJ24" i="98"/>
  <c r="AJ29" i="98"/>
  <c r="DY67" i="98" s="1"/>
  <c r="CC12" i="98"/>
  <c r="BC12" i="98" s="1"/>
  <c r="BD12" i="98" s="1"/>
  <c r="N24" i="98"/>
  <c r="EA8" i="98" s="1"/>
  <c r="N30" i="98"/>
  <c r="EA14" i="98" s="1"/>
  <c r="X29" i="98"/>
  <c r="DY40" i="98" s="1"/>
  <c r="AN23" i="98"/>
  <c r="CC9" i="98"/>
  <c r="Y24" i="98" s="1"/>
  <c r="K29" i="98"/>
  <c r="DX13" i="98" s="1"/>
  <c r="CC8" i="98"/>
  <c r="U29" i="98" s="1"/>
  <c r="DZ31" i="98" s="1"/>
  <c r="K27" i="98"/>
  <c r="DG16" i="98" s="1"/>
  <c r="K25" i="98"/>
  <c r="DG10" i="98" s="1"/>
  <c r="K23" i="98"/>
  <c r="AF30" i="98"/>
  <c r="DY59" i="98" s="1"/>
  <c r="AF23" i="98"/>
  <c r="DY52" i="98" s="1"/>
  <c r="AA24" i="98"/>
  <c r="DG44" i="98" s="1"/>
  <c r="AA30" i="98"/>
  <c r="DX50" i="98" s="1"/>
  <c r="AP25" i="98"/>
  <c r="EA72" i="98" s="1"/>
  <c r="AP27" i="98"/>
  <c r="EA74" i="98" s="1"/>
  <c r="AJ27" i="98"/>
  <c r="DY65" i="98" s="1"/>
  <c r="AJ28" i="98"/>
  <c r="DY66" i="98" s="1"/>
  <c r="K28" i="98"/>
  <c r="DG26" i="98" s="1"/>
  <c r="K24" i="98"/>
  <c r="DG9" i="98" s="1"/>
  <c r="AF22" i="98"/>
  <c r="DY51" i="98" s="1"/>
  <c r="AF29" i="98"/>
  <c r="DY58" i="98" s="1"/>
  <c r="AF25" i="98"/>
  <c r="DH72" i="98" s="1"/>
  <c r="AA23" i="98"/>
  <c r="DX43" i="98" s="1"/>
  <c r="AA27" i="98"/>
  <c r="DX47" i="98" s="1"/>
  <c r="AP28" i="98"/>
  <c r="EA75" i="98" s="1"/>
  <c r="AP23" i="98"/>
  <c r="EA70" i="98" s="1"/>
  <c r="AJ22" i="98"/>
  <c r="DH50" i="98" s="1"/>
  <c r="AJ23" i="98"/>
  <c r="DH53" i="98" s="1"/>
  <c r="AJ25" i="98"/>
  <c r="AF27" i="98"/>
  <c r="DY56" i="98" s="1"/>
  <c r="AA26" i="98"/>
  <c r="DX46" i="98" s="1"/>
  <c r="AP29" i="98"/>
  <c r="EA76" i="98" s="1"/>
  <c r="AP22" i="98"/>
  <c r="DJ59" i="98" s="1"/>
  <c r="AJ30" i="98"/>
  <c r="DY68" i="98" s="1"/>
  <c r="AH30" i="98"/>
  <c r="EA59" i="98" s="1"/>
  <c r="S25" i="98"/>
  <c r="DX27" i="98" s="1"/>
  <c r="Z27" i="98"/>
  <c r="EA38" i="98" s="1"/>
  <c r="AN24" i="98"/>
  <c r="DY71" i="98" s="1"/>
  <c r="AL28" i="98"/>
  <c r="EA66" i="98" s="1"/>
  <c r="S27" i="98"/>
  <c r="DX29" i="98" s="1"/>
  <c r="Z25" i="98"/>
  <c r="DJ34" i="98" s="1"/>
  <c r="AI27" i="98"/>
  <c r="DX65" i="98" s="1"/>
  <c r="AH24" i="98"/>
  <c r="DJ51" i="98" s="1"/>
  <c r="L22" i="98"/>
  <c r="DY6" i="98" s="1"/>
  <c r="O26" i="98"/>
  <c r="DX19" i="98" s="1"/>
  <c r="AI25" i="98"/>
  <c r="DX63" i="98" s="1"/>
  <c r="O22" i="98"/>
  <c r="DG12" i="98" s="1"/>
  <c r="L27" i="98"/>
  <c r="DH16" i="98" s="1"/>
  <c r="N29" i="98"/>
  <c r="EA13" i="98" s="1"/>
  <c r="P22" i="98"/>
  <c r="DY15" i="98" s="1"/>
  <c r="AM30" i="98"/>
  <c r="DX77" i="98" s="1"/>
  <c r="N26" i="98"/>
  <c r="EA10" i="98" s="1"/>
  <c r="X24" i="98"/>
  <c r="DY35" i="98" s="1"/>
  <c r="V26" i="98"/>
  <c r="DJ25" i="98" s="1"/>
  <c r="P23" i="98"/>
  <c r="DH13" i="98" s="1"/>
  <c r="N22" i="98"/>
  <c r="DJ7" i="98" s="1"/>
  <c r="N25" i="98"/>
  <c r="DJ10" i="98" s="1"/>
  <c r="N27" i="98"/>
  <c r="EA11" i="98" s="1"/>
  <c r="N28" i="98"/>
  <c r="EA12" i="98" s="1"/>
  <c r="X30" i="98"/>
  <c r="DY41" i="98" s="1"/>
  <c r="V24" i="98"/>
  <c r="DJ21" i="98" s="1"/>
  <c r="P28" i="98"/>
  <c r="DY21" i="98" s="1"/>
  <c r="R27" i="98"/>
  <c r="EA20" i="98" s="1"/>
  <c r="AE25" i="98"/>
  <c r="DX54" i="98" s="1"/>
  <c r="X28" i="98"/>
  <c r="DY39" i="98" s="1"/>
  <c r="X25" i="98"/>
  <c r="DH34" i="98" s="1"/>
  <c r="V29" i="98"/>
  <c r="EA31" i="98" s="1"/>
  <c r="V27" i="98"/>
  <c r="EA29" i="98" s="1"/>
  <c r="P26" i="98"/>
  <c r="DH18" i="98" s="1"/>
  <c r="P27" i="98"/>
  <c r="DH28" i="98" s="1"/>
  <c r="AM25" i="98"/>
  <c r="DX72" i="98" s="1"/>
  <c r="AM27" i="98"/>
  <c r="DX74" i="98" s="1"/>
  <c r="R25" i="98"/>
  <c r="EA18" i="98" s="1"/>
  <c r="X22" i="98"/>
  <c r="DY33" i="98" s="1"/>
  <c r="X23" i="98"/>
  <c r="DY34" i="98" s="1"/>
  <c r="V22" i="98"/>
  <c r="DJ19" i="98" s="1"/>
  <c r="V25" i="98"/>
  <c r="EA27" i="98" s="1"/>
  <c r="V23" i="98"/>
  <c r="DJ20" i="98" s="1"/>
  <c r="P29" i="98"/>
  <c r="DY22" i="98" s="1"/>
  <c r="P25" i="98"/>
  <c r="DY18" i="98" s="1"/>
  <c r="AM29" i="98"/>
  <c r="DX76" i="98" s="1"/>
  <c r="AM22" i="98"/>
  <c r="DX69" i="98" s="1"/>
  <c r="AM23" i="98"/>
  <c r="DX70" i="98" s="1"/>
  <c r="R30" i="98"/>
  <c r="EA23" i="98" s="1"/>
  <c r="X26" i="98"/>
  <c r="DH40" i="98" s="1"/>
  <c r="V30" i="98"/>
  <c r="EA32" i="98" s="1"/>
  <c r="P30" i="98"/>
  <c r="DY23" i="98" s="1"/>
  <c r="AM26" i="98"/>
  <c r="DX73" i="98" s="1"/>
  <c r="R29" i="98"/>
  <c r="EA22" i="98" s="1"/>
  <c r="R28" i="98"/>
  <c r="EA21" i="98" s="1"/>
  <c r="R24" i="98"/>
  <c r="DJ14" i="98" s="1"/>
  <c r="R22" i="98"/>
  <c r="DJ12" i="98" s="1"/>
  <c r="H14" i="103"/>
  <c r="H26" i="103"/>
  <c r="H12" i="103"/>
  <c r="H15" i="103"/>
  <c r="H9" i="103"/>
  <c r="H13" i="103"/>
  <c r="H20" i="103"/>
  <c r="H25" i="103"/>
  <c r="H17" i="103"/>
  <c r="H16" i="103"/>
  <c r="H10" i="103"/>
  <c r="H6" i="103"/>
  <c r="H24" i="103"/>
  <c r="H18" i="103"/>
  <c r="H8" i="103"/>
  <c r="H11" i="103"/>
  <c r="H7" i="103"/>
  <c r="H19" i="103"/>
  <c r="H23" i="103"/>
  <c r="H21" i="103"/>
  <c r="H22" i="103"/>
  <c r="GA512" i="98"/>
  <c r="GA432" i="98"/>
  <c r="GA32" i="98"/>
  <c r="GA912" i="98"/>
  <c r="GA592" i="98"/>
  <c r="GA752" i="98"/>
  <c r="GA272" i="98"/>
  <c r="GA192" i="98"/>
  <c r="GA1152" i="98"/>
  <c r="GA112" i="98"/>
  <c r="GA1312" i="98"/>
  <c r="GA352" i="98"/>
  <c r="GA1552" i="98"/>
  <c r="GA1072" i="98"/>
  <c r="GA1232" i="98"/>
  <c r="GA1392" i="98"/>
  <c r="GA672" i="98"/>
  <c r="GA1632" i="98"/>
  <c r="GA832" i="98"/>
  <c r="GA1472" i="98"/>
  <c r="GA992" i="98"/>
  <c r="GA1421" i="98"/>
  <c r="GA221" i="98"/>
  <c r="GA301" i="98"/>
  <c r="GA1101" i="98"/>
  <c r="GA461" i="98"/>
  <c r="GA1685" i="98"/>
  <c r="GA1525" i="98"/>
  <c r="GA1365" i="98"/>
  <c r="GA1445" i="98"/>
  <c r="GA85" i="98"/>
  <c r="GA1285" i="98"/>
  <c r="GA1205" i="98"/>
  <c r="GA165" i="98"/>
  <c r="GA1605" i="98"/>
  <c r="GA1045" i="98"/>
  <c r="GA245" i="98"/>
  <c r="GA565" i="98"/>
  <c r="GA805" i="98"/>
  <c r="GA485" i="98"/>
  <c r="GA885" i="98"/>
  <c r="GA725" i="98"/>
  <c r="GA965" i="98"/>
  <c r="GA1125" i="98"/>
  <c r="GA645" i="98"/>
  <c r="GA405" i="98"/>
  <c r="GA325" i="98"/>
  <c r="GA1393" i="98"/>
  <c r="GA1313" i="98"/>
  <c r="GA1633" i="98"/>
  <c r="GA1473" i="98"/>
  <c r="GA193" i="98"/>
  <c r="GA33" i="98"/>
  <c r="GA433" i="98"/>
  <c r="GA273" i="98"/>
  <c r="GA1153" i="98"/>
  <c r="GA673" i="98"/>
  <c r="GA113" i="98"/>
  <c r="GA353" i="98"/>
  <c r="GA753" i="98"/>
  <c r="GA1553" i="98"/>
  <c r="GA913" i="98"/>
  <c r="GA593" i="98"/>
  <c r="GA833" i="98"/>
  <c r="GA993" i="98"/>
  <c r="GA1233" i="98"/>
  <c r="GA513" i="98"/>
  <c r="GA1073" i="98"/>
  <c r="GA15" i="98"/>
  <c r="GA1535" i="98"/>
  <c r="GA1135" i="98"/>
  <c r="GA95" i="98"/>
  <c r="GA815" i="98"/>
  <c r="GA895" i="98"/>
  <c r="GA335" i="98"/>
  <c r="GA415" i="98"/>
  <c r="GA1295" i="98"/>
  <c r="GA1455" i="98"/>
  <c r="GA1215" i="98"/>
  <c r="GA1055" i="98"/>
  <c r="GA1375" i="98"/>
  <c r="GA975" i="98"/>
  <c r="GA655" i="98"/>
  <c r="GA1615" i="98"/>
  <c r="GA255" i="98"/>
  <c r="GA495" i="98"/>
  <c r="GA575" i="98"/>
  <c r="GA175" i="98"/>
  <c r="GA735" i="98"/>
  <c r="GA1441" i="98"/>
  <c r="GA1681" i="98"/>
  <c r="GA1521" i="98"/>
  <c r="GA1361" i="98"/>
  <c r="GA321" i="98"/>
  <c r="GA481" i="98"/>
  <c r="GA401" i="98"/>
  <c r="GA1041" i="98"/>
  <c r="GA161" i="98"/>
  <c r="GA801" i="98"/>
  <c r="GA81" i="98"/>
  <c r="GA1601" i="98"/>
  <c r="GA1201" i="98"/>
  <c r="GA1281" i="98"/>
  <c r="GA881" i="98"/>
  <c r="GA961" i="98"/>
  <c r="GA721" i="98"/>
  <c r="GA1121" i="98"/>
  <c r="GA641" i="98"/>
  <c r="GA241" i="98"/>
  <c r="GA561" i="98"/>
  <c r="GA754" i="98"/>
  <c r="GA594" i="98"/>
  <c r="GA194" i="98"/>
  <c r="GA994" i="98"/>
  <c r="GA34" i="98"/>
  <c r="GA514" i="98"/>
  <c r="GA1154" i="98"/>
  <c r="GA914" i="98"/>
  <c r="GA1074" i="98"/>
  <c r="GA434" i="98"/>
  <c r="GA114" i="98"/>
  <c r="GA1394" i="98"/>
  <c r="GA354" i="98"/>
  <c r="GA674" i="98"/>
  <c r="GA1314" i="98"/>
  <c r="GA1634" i="98"/>
  <c r="GA834" i="98"/>
  <c r="GA274" i="98"/>
  <c r="GA1234" i="98"/>
  <c r="GA1554" i="98"/>
  <c r="GA1474" i="98"/>
  <c r="GA755" i="98"/>
  <c r="GA195" i="98"/>
  <c r="GA1555" i="98"/>
  <c r="GA515" i="98"/>
  <c r="GA435" i="98"/>
  <c r="GA355" i="98"/>
  <c r="GA595" i="98"/>
  <c r="GA1475" i="98"/>
  <c r="GA1395" i="98"/>
  <c r="GA35" i="98"/>
  <c r="GA835" i="98"/>
  <c r="AN25" i="98"/>
  <c r="DY72" i="98" s="1"/>
  <c r="AN27" i="98"/>
  <c r="DY74" i="98" s="1"/>
  <c r="S28" i="98"/>
  <c r="DX30" i="98" s="1"/>
  <c r="S23" i="98"/>
  <c r="DG20" i="98" s="1"/>
  <c r="Z28" i="98"/>
  <c r="EA39" i="98" s="1"/>
  <c r="Z29" i="98"/>
  <c r="EA40" i="98" s="1"/>
  <c r="Z23" i="98"/>
  <c r="DJ30" i="98" s="1"/>
  <c r="AL27" i="98"/>
  <c r="EA65" i="98" s="1"/>
  <c r="AN29" i="98"/>
  <c r="DY76" i="98" s="1"/>
  <c r="AN28" i="98"/>
  <c r="DY75" i="98" s="1"/>
  <c r="S29" i="98"/>
  <c r="DX31" i="98" s="1"/>
  <c r="S24" i="98"/>
  <c r="DX26" i="98" s="1"/>
  <c r="S26" i="98"/>
  <c r="DG25" i="98" s="1"/>
  <c r="Z26" i="98"/>
  <c r="DJ40" i="98" s="1"/>
  <c r="Z24" i="98"/>
  <c r="EA35" i="98" s="1"/>
  <c r="AL30" i="98"/>
  <c r="EA68" i="98" s="1"/>
  <c r="CC6" i="98"/>
  <c r="M25" i="98" s="1"/>
  <c r="AN26" i="98"/>
  <c r="DY73" i="98" s="1"/>
  <c r="AN30" i="98"/>
  <c r="DY77" i="98" s="1"/>
  <c r="S22" i="98"/>
  <c r="DX24" i="98" s="1"/>
  <c r="Z30" i="98"/>
  <c r="EA41" i="98" s="1"/>
  <c r="AL29" i="98"/>
  <c r="EA67" i="98" s="1"/>
  <c r="CC10" i="98"/>
  <c r="AC25" i="98" s="1"/>
  <c r="AI22" i="98"/>
  <c r="DX60" i="98" s="1"/>
  <c r="AI24" i="98"/>
  <c r="DX62" i="98" s="1"/>
  <c r="AI29" i="98"/>
  <c r="DX67" i="98" s="1"/>
  <c r="O27" i="98"/>
  <c r="DX20" i="98" s="1"/>
  <c r="O30" i="98"/>
  <c r="DX23" i="98" s="1"/>
  <c r="O23" i="98"/>
  <c r="DX16" i="98" s="1"/>
  <c r="AH25" i="98"/>
  <c r="DJ72" i="98" s="1"/>
  <c r="AH27" i="98"/>
  <c r="EA56" i="98" s="1"/>
  <c r="L29" i="98"/>
  <c r="DY13" i="98" s="1"/>
  <c r="L28" i="98"/>
  <c r="DH26" i="98" s="1"/>
  <c r="EQ32" i="98"/>
  <c r="GC195" i="98" s="1"/>
  <c r="CC13" i="98"/>
  <c r="AO24" i="98" s="1"/>
  <c r="AI28" i="98"/>
  <c r="DX66" i="98" s="1"/>
  <c r="AI30" i="98"/>
  <c r="DX68" i="98" s="1"/>
  <c r="AI26" i="98"/>
  <c r="DX64" i="98" s="1"/>
  <c r="O25" i="98"/>
  <c r="DG15" i="98" s="1"/>
  <c r="O24" i="98"/>
  <c r="DX17" i="98" s="1"/>
  <c r="AH28" i="98"/>
  <c r="EA57" i="98" s="1"/>
  <c r="AH23" i="98"/>
  <c r="DJ47" i="98" s="1"/>
  <c r="L30" i="98"/>
  <c r="DY14" i="98" s="1"/>
  <c r="L26" i="98"/>
  <c r="DH11" i="98" s="1"/>
  <c r="L24" i="98"/>
  <c r="DY8" i="98" s="1"/>
  <c r="CC7" i="98"/>
  <c r="Q26" i="98" s="1"/>
  <c r="O29" i="98"/>
  <c r="DX22" i="98" s="1"/>
  <c r="AH29" i="98"/>
  <c r="EA58" i="98" s="1"/>
  <c r="AH22" i="98"/>
  <c r="DJ43" i="98" s="1"/>
  <c r="L23" i="98"/>
  <c r="DH8" i="98" s="1"/>
  <c r="AB30" i="98"/>
  <c r="DY50" i="98" s="1"/>
  <c r="AL23" i="98"/>
  <c r="EA61" i="98" s="1"/>
  <c r="AL25" i="98"/>
  <c r="EA63" i="98" s="1"/>
  <c r="AL22" i="98"/>
  <c r="EA60" i="98" s="1"/>
  <c r="AL26" i="98"/>
  <c r="EA64" i="98" s="1"/>
  <c r="AE22" i="98"/>
  <c r="DX51" i="98" s="1"/>
  <c r="AB23" i="98"/>
  <c r="DY43" i="98" s="1"/>
  <c r="AE29" i="98"/>
  <c r="DX58" i="98" s="1"/>
  <c r="AE27" i="98"/>
  <c r="DX56" i="98" s="1"/>
  <c r="AE26" i="98"/>
  <c r="DX55" i="98" s="1"/>
  <c r="AB22" i="98"/>
  <c r="DH36" i="98" s="1"/>
  <c r="AB28" i="98"/>
  <c r="DY48" i="98" s="1"/>
  <c r="AE24" i="98"/>
  <c r="DG51" i="98" s="1"/>
  <c r="AE30" i="98"/>
  <c r="DX59" i="98" s="1"/>
  <c r="AB24" i="98"/>
  <c r="DY44" i="98" s="1"/>
  <c r="AB29" i="98"/>
  <c r="DY49" i="98" s="1"/>
  <c r="AE23" i="98"/>
  <c r="DX52" i="98" s="1"/>
  <c r="AB26" i="98"/>
  <c r="DY46" i="98" s="1"/>
  <c r="AB27" i="98"/>
  <c r="DY47" i="98" s="1"/>
  <c r="DJ8" i="98"/>
  <c r="EA7" i="98"/>
  <c r="DX21" i="98"/>
  <c r="DG35" i="98"/>
  <c r="DG29" i="98"/>
  <c r="DX33" i="98"/>
  <c r="EA69" i="98"/>
  <c r="FC73" i="98"/>
  <c r="FI73" i="98"/>
  <c r="ET73" i="98"/>
  <c r="FG73" i="98"/>
  <c r="FF73" i="98"/>
  <c r="FD73" i="98"/>
  <c r="DH21" i="98"/>
  <c r="DY26" i="98"/>
  <c r="ET31" i="98"/>
  <c r="FD31" i="98"/>
  <c r="FC31" i="98"/>
  <c r="FI31" i="98"/>
  <c r="FF31" i="98"/>
  <c r="FG31" i="98"/>
  <c r="DH55" i="98"/>
  <c r="DY45" i="98"/>
  <c r="DJ44" i="98"/>
  <c r="EA44" i="98"/>
  <c r="DJ18" i="98"/>
  <c r="EA19" i="98"/>
  <c r="DJ29" i="98"/>
  <c r="EA33" i="98"/>
  <c r="DH47" i="98"/>
  <c r="DX44" i="98"/>
  <c r="DJ60" i="98"/>
  <c r="EA62" i="98"/>
  <c r="DG30" i="98"/>
  <c r="DX34" i="98"/>
  <c r="DG34" i="98"/>
  <c r="DX36" i="98"/>
  <c r="FF55" i="98"/>
  <c r="FC55" i="98"/>
  <c r="ET55" i="98"/>
  <c r="FG55" i="98"/>
  <c r="FI55" i="98"/>
  <c r="FD55" i="98"/>
  <c r="ET32" i="98"/>
  <c r="FG32" i="98"/>
  <c r="FC32" i="98"/>
  <c r="FF32" i="98"/>
  <c r="FI32" i="98"/>
  <c r="FD32" i="98"/>
  <c r="DH25" i="98"/>
  <c r="DY28" i="98"/>
  <c r="EA42" i="98"/>
  <c r="DJ36" i="98"/>
  <c r="EA15" i="98"/>
  <c r="DJ13" i="98"/>
  <c r="EA16" i="98"/>
  <c r="DG53" i="98"/>
  <c r="DX61" i="98"/>
  <c r="DG8" i="98"/>
  <c r="DX7" i="98"/>
  <c r="DH59" i="98"/>
  <c r="DY69" i="98"/>
  <c r="DX8" i="98"/>
  <c r="DG11" i="98"/>
  <c r="DX10" i="98"/>
  <c r="EA6" i="98"/>
  <c r="DG38" i="98"/>
  <c r="DH30" i="98"/>
  <c r="EA24" i="98"/>
  <c r="DG65" i="98"/>
  <c r="ET29" i="98"/>
  <c r="FC29" i="98"/>
  <c r="FI29" i="98"/>
  <c r="FG29" i="98"/>
  <c r="FD29" i="98"/>
  <c r="FF29" i="98"/>
  <c r="DH19" i="98"/>
  <c r="DY24" i="98"/>
  <c r="DH67" i="98"/>
  <c r="DY63" i="98"/>
  <c r="DJ55" i="98"/>
  <c r="EA45" i="98"/>
  <c r="DY70" i="98"/>
  <c r="DH65" i="98"/>
  <c r="ET14" i="98"/>
  <c r="FD14" i="98"/>
  <c r="FC14" i="98"/>
  <c r="FI14" i="98"/>
  <c r="FF14" i="98"/>
  <c r="FG14" i="98"/>
  <c r="DX6" i="98"/>
  <c r="DG7" i="98"/>
  <c r="DY53" i="98"/>
  <c r="DH51" i="98"/>
  <c r="DG36" i="98"/>
  <c r="DX42" i="98"/>
  <c r="DG55" i="98"/>
  <c r="DX45" i="98"/>
  <c r="DH46" i="98"/>
  <c r="DH14" i="98"/>
  <c r="DY17" i="98"/>
  <c r="DG75" i="98"/>
  <c r="DX71" i="98"/>
  <c r="DX37" i="98"/>
  <c r="DG46" i="98"/>
  <c r="DG40" i="98"/>
  <c r="DG31" i="98"/>
  <c r="DX35" i="98"/>
  <c r="EA71" i="98"/>
  <c r="DJ75" i="98"/>
  <c r="ET77" i="98"/>
  <c r="FG77" i="98"/>
  <c r="FF77" i="98"/>
  <c r="FI77" i="98"/>
  <c r="FC77" i="98"/>
  <c r="FD77" i="98"/>
  <c r="ET30" i="98"/>
  <c r="FG30" i="98"/>
  <c r="FD30" i="98"/>
  <c r="FC30" i="98"/>
  <c r="FF30" i="98"/>
  <c r="FI30" i="98"/>
  <c r="DH20" i="98"/>
  <c r="DY25" i="98"/>
  <c r="DH23" i="98"/>
  <c r="DY27" i="98"/>
  <c r="DH10" i="98"/>
  <c r="DY9" i="98"/>
  <c r="DH60" i="98"/>
  <c r="DY62" i="98"/>
  <c r="DJ38" i="98"/>
  <c r="EA43" i="98"/>
  <c r="Y30" i="98"/>
  <c r="DZ41" i="98" s="1"/>
  <c r="U25" i="98"/>
  <c r="AG23" i="98"/>
  <c r="AG24" i="98"/>
  <c r="AG25" i="98"/>
  <c r="AG26" i="98"/>
  <c r="DZ55" i="98" s="1"/>
  <c r="AG27" i="98"/>
  <c r="DZ56" i="98" s="1"/>
  <c r="AG22" i="98"/>
  <c r="AG29" i="98"/>
  <c r="DZ58" i="98" s="1"/>
  <c r="AG28" i="98"/>
  <c r="DZ57" i="98" s="1"/>
  <c r="AG30" i="98"/>
  <c r="DZ59" i="98" s="1"/>
  <c r="AK24" i="98"/>
  <c r="AK23" i="98"/>
  <c r="AK28" i="98"/>
  <c r="DZ66" i="98" s="1"/>
  <c r="AK29" i="98"/>
  <c r="DZ67" i="98" s="1"/>
  <c r="AK30" i="98"/>
  <c r="DZ68" i="98" s="1"/>
  <c r="AK25" i="98"/>
  <c r="AK26" i="98"/>
  <c r="DZ64" i="98" s="1"/>
  <c r="AK27" i="98"/>
  <c r="DZ65" i="98" s="1"/>
  <c r="AK22" i="98"/>
  <c r="GA995" i="98" l="1"/>
  <c r="GA1155" i="98"/>
  <c r="GA1635" i="98"/>
  <c r="GA115" i="98"/>
  <c r="GA1315" i="98"/>
  <c r="GA701" i="98"/>
  <c r="GA1261" i="98"/>
  <c r="GA781" i="98"/>
  <c r="GA1581" i="98"/>
  <c r="GA61" i="98"/>
  <c r="GA1501" i="98"/>
  <c r="GA275" i="98"/>
  <c r="GA675" i="98"/>
  <c r="GA1075" i="98"/>
  <c r="GA1235" i="98"/>
  <c r="GA541" i="98"/>
  <c r="GA861" i="98"/>
  <c r="GA381" i="98"/>
  <c r="GA141" i="98"/>
  <c r="GA1661" i="98"/>
  <c r="GA941" i="98"/>
  <c r="GA1021" i="98"/>
  <c r="GA1181" i="98"/>
  <c r="GA621" i="98"/>
  <c r="EQ66" i="98"/>
  <c r="EX71" i="98"/>
  <c r="EO71" i="98" s="1"/>
  <c r="EX17" i="98"/>
  <c r="EO17" i="98" s="1"/>
  <c r="EX10" i="98"/>
  <c r="EO10" i="98" s="1"/>
  <c r="GA171" i="98" s="1"/>
  <c r="EX69" i="98"/>
  <c r="EO69" i="98" s="1"/>
  <c r="EX63" i="98"/>
  <c r="EO63" i="98" s="1"/>
  <c r="EX57" i="98"/>
  <c r="EO57" i="98" s="1"/>
  <c r="EX18" i="98"/>
  <c r="EO18" i="98" s="1"/>
  <c r="GA420" i="98" s="1"/>
  <c r="EQ29" i="98"/>
  <c r="GC272" i="98" s="1"/>
  <c r="EX76" i="98"/>
  <c r="EO76" i="98" s="1"/>
  <c r="EX25" i="98"/>
  <c r="EO25" i="98" s="1"/>
  <c r="EX7" i="98"/>
  <c r="EO7" i="98" s="1"/>
  <c r="GA1048" i="98" s="1"/>
  <c r="EX62" i="98"/>
  <c r="EO62" i="98" s="1"/>
  <c r="EX61" i="98"/>
  <c r="EO61" i="98" s="1"/>
  <c r="EX58" i="98"/>
  <c r="ET58" i="98" s="1"/>
  <c r="EX68" i="98"/>
  <c r="EO68" i="98" s="1"/>
  <c r="EX65" i="98"/>
  <c r="EO65" i="98" s="1"/>
  <c r="EX23" i="98"/>
  <c r="EX22" i="98"/>
  <c r="EO22" i="98" s="1"/>
  <c r="EX66" i="98"/>
  <c r="EX59" i="98"/>
  <c r="EX74" i="98"/>
  <c r="EQ59" i="98"/>
  <c r="EX24" i="98"/>
  <c r="EO24" i="98" s="1"/>
  <c r="GA1307" i="98" s="1"/>
  <c r="EX8" i="98"/>
  <c r="EO8" i="98" s="1"/>
  <c r="EX28" i="98"/>
  <c r="EO28" i="98" s="1"/>
  <c r="EX64" i="98"/>
  <c r="EX56" i="98"/>
  <c r="EO56" i="98" s="1"/>
  <c r="GA382" i="98" s="1"/>
  <c r="EQ31" i="98"/>
  <c r="GC274" i="98" s="1"/>
  <c r="EQ30" i="98"/>
  <c r="GC113" i="98" s="1"/>
  <c r="EX21" i="98"/>
  <c r="EO21" i="98" s="1"/>
  <c r="EX15" i="98"/>
  <c r="EO15" i="98" s="1"/>
  <c r="GA1457" i="98" s="1"/>
  <c r="EX70" i="98"/>
  <c r="EO70" i="98" s="1"/>
  <c r="EX72" i="98"/>
  <c r="EO72" i="98" s="1"/>
  <c r="EQ55" i="98"/>
  <c r="EX27" i="98"/>
  <c r="EO27" i="98" s="1"/>
  <c r="GA830" i="98" s="1"/>
  <c r="EX6" i="98"/>
  <c r="EO6" i="98" s="1"/>
  <c r="EX26" i="98"/>
  <c r="EO26" i="98" s="1"/>
  <c r="EX60" i="98"/>
  <c r="EO60" i="98" s="1"/>
  <c r="EX67" i="98"/>
  <c r="EO67" i="98" s="1"/>
  <c r="GA794" i="98" s="1"/>
  <c r="EX75" i="98"/>
  <c r="EX13" i="98"/>
  <c r="BC10" i="98"/>
  <c r="BD10" i="98" s="1"/>
  <c r="BC9" i="98"/>
  <c r="BD9" i="98" s="1"/>
  <c r="BC6" i="98"/>
  <c r="BD6" i="98" s="1"/>
  <c r="BC7" i="98"/>
  <c r="BD7" i="98" s="1"/>
  <c r="BC8" i="98"/>
  <c r="BD8" i="98" s="1"/>
  <c r="BC13" i="98"/>
  <c r="BD13" i="98" s="1"/>
  <c r="DH7" i="98"/>
  <c r="GA804" i="98"/>
  <c r="GA324" i="98"/>
  <c r="FI76" i="98"/>
  <c r="Y25" i="98"/>
  <c r="DH43" i="98"/>
  <c r="GA164" i="98"/>
  <c r="GA1044" i="98"/>
  <c r="Y29" i="98"/>
  <c r="DZ40" i="98" s="1"/>
  <c r="Y27" i="98"/>
  <c r="DZ38" i="98" s="1"/>
  <c r="Y23" i="98"/>
  <c r="DX9" i="98"/>
  <c r="DY61" i="98"/>
  <c r="DY11" i="98"/>
  <c r="DH15" i="98"/>
  <c r="DJ11" i="98"/>
  <c r="DG23" i="98"/>
  <c r="DJ9" i="98"/>
  <c r="FG76" i="98"/>
  <c r="ET76" i="98"/>
  <c r="GF324" i="98" s="1"/>
  <c r="DG72" i="98"/>
  <c r="GA84" i="98"/>
  <c r="GA1124" i="98"/>
  <c r="GA884" i="98"/>
  <c r="GA484" i="98"/>
  <c r="GA1204" i="98"/>
  <c r="Y22" i="98"/>
  <c r="Y26" i="98"/>
  <c r="DZ37" i="98" s="1"/>
  <c r="FD76" i="98"/>
  <c r="GA404" i="98"/>
  <c r="GA964" i="98"/>
  <c r="GA244" i="98"/>
  <c r="GA564" i="98"/>
  <c r="GA1444" i="98"/>
  <c r="Y28" i="98"/>
  <c r="DZ39" i="98" s="1"/>
  <c r="FF76" i="98"/>
  <c r="GN84" i="98" s="1"/>
  <c r="FC76" i="98"/>
  <c r="GA1364" i="98"/>
  <c r="GA1604" i="98"/>
  <c r="GA1524" i="98"/>
  <c r="GA1284" i="98"/>
  <c r="GA800" i="98"/>
  <c r="ET75" i="98"/>
  <c r="FF72" i="98"/>
  <c r="GN80" i="98" s="1"/>
  <c r="U22" i="98"/>
  <c r="DI19" i="98" s="1"/>
  <c r="U24" i="98"/>
  <c r="DJ65" i="98"/>
  <c r="DG59" i="98"/>
  <c r="DH35" i="98"/>
  <c r="DJ16" i="98"/>
  <c r="DG67" i="98"/>
  <c r="EA28" i="98"/>
  <c r="GA1600" i="98"/>
  <c r="U28" i="98"/>
  <c r="DZ30" i="98" s="1"/>
  <c r="DH75" i="98"/>
  <c r="FD72" i="98"/>
  <c r="DY36" i="98"/>
  <c r="DX12" i="98"/>
  <c r="GA1360" i="98"/>
  <c r="GA80" i="98"/>
  <c r="DY54" i="98"/>
  <c r="FG72" i="98"/>
  <c r="U30" i="98"/>
  <c r="DZ32" i="98" s="1"/>
  <c r="DJ35" i="98"/>
  <c r="EA25" i="98"/>
  <c r="DH29" i="98"/>
  <c r="DY20" i="98"/>
  <c r="GA1120" i="98"/>
  <c r="U27" i="98"/>
  <c r="DZ29" i="98" s="1"/>
  <c r="U23" i="98"/>
  <c r="FI72" i="98"/>
  <c r="GQ320" i="98" s="1"/>
  <c r="GA720" i="98"/>
  <c r="GA1040" i="98"/>
  <c r="GA560" i="98"/>
  <c r="GA400" i="98"/>
  <c r="GA160" i="98"/>
  <c r="GA1280" i="98"/>
  <c r="GA1440" i="98"/>
  <c r="GA1520" i="98"/>
  <c r="GA640" i="98"/>
  <c r="GA240" i="98"/>
  <c r="GA1680" i="98"/>
  <c r="DH12" i="98"/>
  <c r="U26" i="98"/>
  <c r="FC72" i="98"/>
  <c r="ET72" i="98"/>
  <c r="GA960" i="98"/>
  <c r="GA320" i="98"/>
  <c r="GA1200" i="98"/>
  <c r="GA880" i="98"/>
  <c r="M24" i="98"/>
  <c r="FC23" i="98"/>
  <c r="FG22" i="98"/>
  <c r="FI74" i="98"/>
  <c r="GQ482" i="98" s="1"/>
  <c r="DJ28" i="98"/>
  <c r="EA53" i="98"/>
  <c r="ET66" i="98"/>
  <c r="EA17" i="98"/>
  <c r="FC22" i="98"/>
  <c r="FD74" i="98"/>
  <c r="FF66" i="98"/>
  <c r="EQ22" i="98"/>
  <c r="FF23" i="98"/>
  <c r="FG74" i="98"/>
  <c r="FG59" i="98"/>
  <c r="FG66" i="98"/>
  <c r="GO1673" i="98" s="1"/>
  <c r="FD22" i="98"/>
  <c r="GL824" i="98" s="1"/>
  <c r="DJ26" i="98"/>
  <c r="FC74" i="98"/>
  <c r="DX11" i="98"/>
  <c r="FC59" i="98"/>
  <c r="GK625" i="98" s="1"/>
  <c r="FD59" i="98"/>
  <c r="DY16" i="98"/>
  <c r="FC66" i="98"/>
  <c r="FD23" i="98"/>
  <c r="ET23" i="98"/>
  <c r="DX15" i="98"/>
  <c r="DY60" i="98"/>
  <c r="FF22" i="98"/>
  <c r="FG23" i="98"/>
  <c r="GO1385" i="98" s="1"/>
  <c r="FI22" i="98"/>
  <c r="ET22" i="98"/>
  <c r="FF74" i="98"/>
  <c r="FF59" i="98"/>
  <c r="ET59" i="98"/>
  <c r="FD66" i="98"/>
  <c r="M28" i="98"/>
  <c r="EA36" i="98"/>
  <c r="EQ57" i="98"/>
  <c r="FF57" i="98"/>
  <c r="GA264" i="98"/>
  <c r="DG13" i="98"/>
  <c r="DG60" i="98"/>
  <c r="GA744" i="98"/>
  <c r="DJ53" i="98"/>
  <c r="GA904" i="98"/>
  <c r="FG67" i="98"/>
  <c r="DG18" i="98"/>
  <c r="EA9" i="98"/>
  <c r="DH31" i="98"/>
  <c r="EQ67" i="98"/>
  <c r="GC1555" i="98"/>
  <c r="Q22" i="98"/>
  <c r="GC1075" i="98"/>
  <c r="Q27" i="98"/>
  <c r="GC275" i="98"/>
  <c r="EA26" i="98"/>
  <c r="DJ23" i="98"/>
  <c r="FF67" i="98"/>
  <c r="DJ15" i="98"/>
  <c r="GA664" i="98"/>
  <c r="GA1304" i="98"/>
  <c r="GA184" i="98"/>
  <c r="GA824" i="98"/>
  <c r="GA424" i="98"/>
  <c r="GA504" i="98"/>
  <c r="GA984" i="98"/>
  <c r="DH44" i="98"/>
  <c r="GA104" i="98"/>
  <c r="GA584" i="98"/>
  <c r="GA1224" i="98"/>
  <c r="GA1384" i="98"/>
  <c r="EQ23" i="98"/>
  <c r="GC825" i="98" s="1"/>
  <c r="GA24" i="98"/>
  <c r="GA344" i="98"/>
  <c r="GA1464" i="98"/>
  <c r="GA1144" i="98"/>
  <c r="GA1624" i="98"/>
  <c r="M27" i="98"/>
  <c r="M30" i="98"/>
  <c r="DZ14" i="98" s="1"/>
  <c r="M23" i="98"/>
  <c r="FG57" i="98"/>
  <c r="GO1103" i="98" s="1"/>
  <c r="DX28" i="98"/>
  <c r="DH9" i="98"/>
  <c r="EA51" i="98"/>
  <c r="DY19" i="98"/>
  <c r="M26" i="98"/>
  <c r="M29" i="98"/>
  <c r="DZ13" i="98" s="1"/>
  <c r="FC57" i="98"/>
  <c r="ET57" i="98"/>
  <c r="GF1583" i="98" s="1"/>
  <c r="DY37" i="98"/>
  <c r="M22" i="98"/>
  <c r="FD57" i="98"/>
  <c r="GL783" i="98" s="1"/>
  <c r="FI57" i="98"/>
  <c r="DY12" i="98"/>
  <c r="FC65" i="98"/>
  <c r="DG19" i="98"/>
  <c r="EQ65" i="98"/>
  <c r="GC552" i="98" s="1"/>
  <c r="GA1544" i="98"/>
  <c r="FD65" i="98"/>
  <c r="DG14" i="98"/>
  <c r="EQ58" i="98"/>
  <c r="FI65" i="98"/>
  <c r="DJ50" i="98"/>
  <c r="EQ68" i="98"/>
  <c r="DX25" i="98"/>
  <c r="FG65" i="98"/>
  <c r="FG58" i="98"/>
  <c r="DG21" i="98"/>
  <c r="GC1152" i="98"/>
  <c r="GC352" i="98"/>
  <c r="GC1633" i="98"/>
  <c r="GC192" i="98"/>
  <c r="DH38" i="98"/>
  <c r="GC912" i="98"/>
  <c r="Q25" i="98"/>
  <c r="DY7" i="98"/>
  <c r="GC915" i="98"/>
  <c r="FI67" i="98"/>
  <c r="GC1632" i="98"/>
  <c r="GC752" i="98"/>
  <c r="AO26" i="98"/>
  <c r="DZ73" i="98" s="1"/>
  <c r="Q30" i="98"/>
  <c r="DZ23" i="98" s="1"/>
  <c r="Q23" i="98"/>
  <c r="EA52" i="98"/>
  <c r="GC435" i="98"/>
  <c r="FC67" i="98"/>
  <c r="GK1274" i="98" s="1"/>
  <c r="GC1472" i="98"/>
  <c r="GC672" i="98"/>
  <c r="AC27" i="98"/>
  <c r="DZ47" i="98" s="1"/>
  <c r="GC993" i="98"/>
  <c r="DX18" i="98"/>
  <c r="ET56" i="98"/>
  <c r="AC24" i="98"/>
  <c r="DI44" i="98" s="1"/>
  <c r="GC353" i="98"/>
  <c r="GC1395" i="98"/>
  <c r="GC755" i="98"/>
  <c r="GC115" i="98"/>
  <c r="FD67" i="98"/>
  <c r="EA37" i="98"/>
  <c r="AO29" i="98"/>
  <c r="DZ76" i="98" s="1"/>
  <c r="GC1235" i="98"/>
  <c r="GC595" i="98"/>
  <c r="ET67" i="98"/>
  <c r="GF954" i="98" s="1"/>
  <c r="DG28" i="98"/>
  <c r="GC834" i="98"/>
  <c r="AO30" i="98"/>
  <c r="DZ77" i="98" s="1"/>
  <c r="AO25" i="98"/>
  <c r="DZ72" i="98" s="1"/>
  <c r="AC30" i="98"/>
  <c r="DZ50" i="98" s="1"/>
  <c r="AC23" i="98"/>
  <c r="DI38" i="98" s="1"/>
  <c r="GC1553" i="98"/>
  <c r="GC913" i="98"/>
  <c r="GC273" i="98"/>
  <c r="GC514" i="98"/>
  <c r="AO28" i="98"/>
  <c r="DZ75" i="98" s="1"/>
  <c r="AO23" i="98"/>
  <c r="DI65" i="98" s="1"/>
  <c r="AC29" i="98"/>
  <c r="DZ49" i="98" s="1"/>
  <c r="EA34" i="98"/>
  <c r="GC1313" i="98"/>
  <c r="GC673" i="98"/>
  <c r="GC33" i="98"/>
  <c r="FI56" i="98"/>
  <c r="GQ1422" i="98" s="1"/>
  <c r="GC1474" i="98"/>
  <c r="GC194" i="98"/>
  <c r="AO27" i="98"/>
  <c r="DZ74" i="98" s="1"/>
  <c r="AC22" i="98"/>
  <c r="DI36" i="98" s="1"/>
  <c r="AC28" i="98"/>
  <c r="DZ48" i="98" s="1"/>
  <c r="GC1233" i="98"/>
  <c r="GC593" i="98"/>
  <c r="DJ31" i="98"/>
  <c r="FD56" i="98"/>
  <c r="GC1154" i="98"/>
  <c r="DG43" i="98"/>
  <c r="EQ56" i="98"/>
  <c r="GC462" i="98" s="1"/>
  <c r="AO22" i="98"/>
  <c r="AC26" i="98"/>
  <c r="DZ46" i="98" s="1"/>
  <c r="GC1473" i="98"/>
  <c r="GC1153" i="98"/>
  <c r="GC833" i="98"/>
  <c r="GC513" i="98"/>
  <c r="GC193" i="98"/>
  <c r="FF56" i="98"/>
  <c r="FC56" i="98"/>
  <c r="ET65" i="98"/>
  <c r="GF1432" i="98" s="1"/>
  <c r="GC1392" i="98"/>
  <c r="GC1072" i="98"/>
  <c r="GC512" i="98"/>
  <c r="GC112" i="98"/>
  <c r="FD58" i="98"/>
  <c r="FC68" i="98"/>
  <c r="GK635" i="98" s="1"/>
  <c r="GC1394" i="98"/>
  <c r="GC1074" i="98"/>
  <c r="GC754" i="98"/>
  <c r="GC434" i="98"/>
  <c r="GC114" i="98"/>
  <c r="GC1393" i="98"/>
  <c r="GC1073" i="98"/>
  <c r="GC753" i="98"/>
  <c r="GC433" i="98"/>
  <c r="FG56" i="98"/>
  <c r="GO1102" i="98" s="1"/>
  <c r="GC1312" i="98"/>
  <c r="GC832" i="98"/>
  <c r="GC432" i="98"/>
  <c r="GC32" i="98"/>
  <c r="DY10" i="98"/>
  <c r="FD68" i="98"/>
  <c r="GC1634" i="98"/>
  <c r="GC1314" i="98"/>
  <c r="GC994" i="98"/>
  <c r="GC674" i="98"/>
  <c r="GC354" i="98"/>
  <c r="GC34" i="98"/>
  <c r="GC1554" i="98"/>
  <c r="GC1234" i="98"/>
  <c r="GC914" i="98"/>
  <c r="GC594" i="98"/>
  <c r="FF65" i="98"/>
  <c r="GC1552" i="98"/>
  <c r="GC1232" i="98"/>
  <c r="GC992" i="98"/>
  <c r="GC592" i="98"/>
  <c r="DG50" i="98"/>
  <c r="ET68" i="98"/>
  <c r="GF315" i="98" s="1"/>
  <c r="FI68" i="98"/>
  <c r="DJ46" i="98"/>
  <c r="GA1220" i="98"/>
  <c r="GA1140" i="98"/>
  <c r="GA1380" i="98"/>
  <c r="GA580" i="98"/>
  <c r="GA180" i="98"/>
  <c r="GA260" i="98"/>
  <c r="GA1369" i="98"/>
  <c r="GA1289" i="98"/>
  <c r="GA1049" i="98"/>
  <c r="GA1609" i="98"/>
  <c r="GA729" i="98"/>
  <c r="GA1449" i="98"/>
  <c r="GA1529" i="98"/>
  <c r="GA1209" i="98"/>
  <c r="GA89" i="98"/>
  <c r="GA1129" i="98"/>
  <c r="GA969" i="98"/>
  <c r="GA649" i="98"/>
  <c r="GA249" i="98"/>
  <c r="GA169" i="98"/>
  <c r="GA9" i="98"/>
  <c r="GA409" i="98"/>
  <c r="GA489" i="98"/>
  <c r="GA569" i="98"/>
  <c r="GA809" i="98"/>
  <c r="GA889" i="98"/>
  <c r="GA329" i="98"/>
  <c r="GA648" i="98"/>
  <c r="GA8" i="98"/>
  <c r="GA968" i="98"/>
  <c r="GA488" i="98"/>
  <c r="GA568" i="98"/>
  <c r="GA1349" i="98"/>
  <c r="GA1509" i="98"/>
  <c r="GA1669" i="98"/>
  <c r="GA1429" i="98"/>
  <c r="GA789" i="98"/>
  <c r="GA1029" i="98"/>
  <c r="GA229" i="98"/>
  <c r="GA1589" i="98"/>
  <c r="GA549" i="98"/>
  <c r="GA389" i="98"/>
  <c r="GA69" i="98"/>
  <c r="GA629" i="98"/>
  <c r="GA309" i="98"/>
  <c r="GA1269" i="98"/>
  <c r="GA1109" i="98"/>
  <c r="GA469" i="98"/>
  <c r="GA709" i="98"/>
  <c r="GA149" i="98"/>
  <c r="GA869" i="98"/>
  <c r="GA949" i="98"/>
  <c r="GA1189" i="98"/>
  <c r="GA1543" i="98"/>
  <c r="GA103" i="98"/>
  <c r="GA1303" i="98"/>
  <c r="GA1383" i="98"/>
  <c r="GA743" i="98"/>
  <c r="GA23" i="98"/>
  <c r="GA503" i="98"/>
  <c r="GA1623" i="98"/>
  <c r="GA423" i="98"/>
  <c r="GA983" i="98"/>
  <c r="GA1463" i="98"/>
  <c r="GA823" i="98"/>
  <c r="GA903" i="98"/>
  <c r="GA663" i="98"/>
  <c r="GA1063" i="98"/>
  <c r="GA343" i="98"/>
  <c r="GA1223" i="98"/>
  <c r="GA263" i="98"/>
  <c r="GA1143" i="98"/>
  <c r="GA583" i="98"/>
  <c r="GA183" i="98"/>
  <c r="GA1617" i="98"/>
  <c r="GA497" i="98"/>
  <c r="GA817" i="98"/>
  <c r="GA737" i="98"/>
  <c r="GA1217" i="98"/>
  <c r="GA782" i="98"/>
  <c r="GA862" i="98"/>
  <c r="GA62" i="98"/>
  <c r="GA1422" i="98"/>
  <c r="GA702" i="98"/>
  <c r="GA110" i="98"/>
  <c r="GA910" i="98"/>
  <c r="GA1230" i="98"/>
  <c r="GA1470" i="98"/>
  <c r="GA190" i="98"/>
  <c r="GA659" i="98"/>
  <c r="GA419" i="98"/>
  <c r="GA899" i="98"/>
  <c r="GA1219" i="98"/>
  <c r="GA339" i="98"/>
  <c r="GA179" i="98"/>
  <c r="GA499" i="98"/>
  <c r="GA1619" i="98"/>
  <c r="GA979" i="98"/>
  <c r="GA1379" i="98"/>
  <c r="GA819" i="98"/>
  <c r="GA1059" i="98"/>
  <c r="GA1299" i="98"/>
  <c r="GA1539" i="98"/>
  <c r="GA579" i="98"/>
  <c r="GA1459" i="98"/>
  <c r="GA19" i="98"/>
  <c r="GA1139" i="98"/>
  <c r="GA99" i="98"/>
  <c r="GA739" i="98"/>
  <c r="GA259" i="98"/>
  <c r="GA1668" i="98"/>
  <c r="GA1108" i="98"/>
  <c r="GA228" i="98"/>
  <c r="GA1428" i="98"/>
  <c r="GA788" i="98"/>
  <c r="GA708" i="98"/>
  <c r="GA1268" i="98"/>
  <c r="GA1508" i="98"/>
  <c r="GA468" i="98"/>
  <c r="GA1188" i="98"/>
  <c r="GA948" i="98"/>
  <c r="GA628" i="98"/>
  <c r="GA1028" i="98"/>
  <c r="GA68" i="98"/>
  <c r="GA388" i="98"/>
  <c r="GA548" i="98"/>
  <c r="GA1348" i="98"/>
  <c r="GA308" i="98"/>
  <c r="GA1588" i="98"/>
  <c r="GA868" i="98"/>
  <c r="GA148" i="98"/>
  <c r="GA1147" i="98"/>
  <c r="GA427" i="98"/>
  <c r="GA1467" i="98"/>
  <c r="GA1547" i="98"/>
  <c r="GA187" i="98"/>
  <c r="GA251" i="98"/>
  <c r="GA1291" i="98"/>
  <c r="GA1451" i="98"/>
  <c r="GA651" i="98"/>
  <c r="GA971" i="98"/>
  <c r="GA1551" i="98"/>
  <c r="GA351" i="98"/>
  <c r="GA1391" i="98"/>
  <c r="GA271" i="98"/>
  <c r="GA831" i="98"/>
  <c r="GA1471" i="98"/>
  <c r="GA671" i="98"/>
  <c r="GA911" i="98"/>
  <c r="GA111" i="98"/>
  <c r="GA1071" i="98"/>
  <c r="GA1631" i="98"/>
  <c r="GA1151" i="98"/>
  <c r="GA1231" i="98"/>
  <c r="GA31" i="98"/>
  <c r="GA191" i="98"/>
  <c r="GA511" i="98"/>
  <c r="GA1311" i="98"/>
  <c r="GA751" i="98"/>
  <c r="GA431" i="98"/>
  <c r="GA991" i="98"/>
  <c r="GA591" i="98"/>
  <c r="GA1270" i="98"/>
  <c r="GA1510" i="98"/>
  <c r="GA1190" i="98"/>
  <c r="GA1430" i="98"/>
  <c r="GA710" i="98"/>
  <c r="GA310" i="98"/>
  <c r="GA790" i="98"/>
  <c r="GA230" i="98"/>
  <c r="GA550" i="98"/>
  <c r="GA870" i="98"/>
  <c r="GA70" i="98"/>
  <c r="GA630" i="98"/>
  <c r="GA1590" i="98"/>
  <c r="GA950" i="98"/>
  <c r="GA1110" i="98"/>
  <c r="GA470" i="98"/>
  <c r="GA150" i="98"/>
  <c r="GA1350" i="98"/>
  <c r="GA1030" i="98"/>
  <c r="GA1670" i="98"/>
  <c r="GA390" i="98"/>
  <c r="GA74" i="98"/>
  <c r="GA954" i="98"/>
  <c r="GA1434" i="98"/>
  <c r="GA1594" i="98"/>
  <c r="GA474" i="98"/>
  <c r="GA634" i="98"/>
  <c r="GA1194" i="98"/>
  <c r="GA1354" i="98"/>
  <c r="GA874" i="98"/>
  <c r="GA714" i="98"/>
  <c r="GA319" i="98"/>
  <c r="GA1519" i="98"/>
  <c r="GA879" i="98"/>
  <c r="GA479" i="98"/>
  <c r="GA799" i="98"/>
  <c r="GA1599" i="98"/>
  <c r="GA239" i="98"/>
  <c r="GA559" i="98"/>
  <c r="GA399" i="98"/>
  <c r="GA1439" i="98"/>
  <c r="GA1359" i="98"/>
  <c r="GA639" i="98"/>
  <c r="GA1119" i="98"/>
  <c r="GA1039" i="98"/>
  <c r="GA1279" i="98"/>
  <c r="GA159" i="98"/>
  <c r="GA1199" i="98"/>
  <c r="GA959" i="98"/>
  <c r="GA1679" i="98"/>
  <c r="GA79" i="98"/>
  <c r="GA719" i="98"/>
  <c r="GA1309" i="98"/>
  <c r="GA1629" i="98"/>
  <c r="GA1389" i="98"/>
  <c r="GA1469" i="98"/>
  <c r="GA989" i="98"/>
  <c r="GA1149" i="98"/>
  <c r="GA109" i="98"/>
  <c r="GA509" i="98"/>
  <c r="GA909" i="98"/>
  <c r="GA429" i="98"/>
  <c r="GA669" i="98"/>
  <c r="GA269" i="98"/>
  <c r="GA29" i="98"/>
  <c r="GA349" i="98"/>
  <c r="GA829" i="98"/>
  <c r="GA189" i="98"/>
  <c r="GA1069" i="98"/>
  <c r="GA589" i="98"/>
  <c r="GA749" i="98"/>
  <c r="GA1229" i="98"/>
  <c r="GA1549" i="98"/>
  <c r="GA1437" i="98"/>
  <c r="GA1677" i="98"/>
  <c r="GA1357" i="98"/>
  <c r="GA1517" i="98"/>
  <c r="GA957" i="98"/>
  <c r="GA797" i="98"/>
  <c r="GA1597" i="98"/>
  <c r="GA1037" i="98"/>
  <c r="GA157" i="98"/>
  <c r="GA317" i="98"/>
  <c r="GA77" i="98"/>
  <c r="GA637" i="98"/>
  <c r="GA557" i="98"/>
  <c r="GA1117" i="98"/>
  <c r="GA1197" i="98"/>
  <c r="GA1277" i="98"/>
  <c r="GA717" i="98"/>
  <c r="GA877" i="98"/>
  <c r="GA477" i="98"/>
  <c r="GA237" i="98"/>
  <c r="GA397" i="98"/>
  <c r="GA863" i="98"/>
  <c r="GA1183" i="98"/>
  <c r="GA623" i="98"/>
  <c r="GA143" i="98"/>
  <c r="GA1583" i="98"/>
  <c r="GA223" i="98"/>
  <c r="GA1423" i="98"/>
  <c r="GA63" i="98"/>
  <c r="GA303" i="98"/>
  <c r="GA1503" i="98"/>
  <c r="GA703" i="98"/>
  <c r="GA383" i="98"/>
  <c r="GA543" i="98"/>
  <c r="GA783" i="98"/>
  <c r="GA1663" i="98"/>
  <c r="GA1023" i="98"/>
  <c r="GA463" i="98"/>
  <c r="GA943" i="98"/>
  <c r="GA1103" i="98"/>
  <c r="GA1263" i="98"/>
  <c r="GA1343" i="98"/>
  <c r="GA188" i="98"/>
  <c r="GA348" i="98"/>
  <c r="GA508" i="98"/>
  <c r="GA828" i="98"/>
  <c r="GA1068" i="98"/>
  <c r="GA268" i="98"/>
  <c r="GA1468" i="98"/>
  <c r="GA1548" i="98"/>
  <c r="GA1628" i="98"/>
  <c r="GA428" i="98"/>
  <c r="GA1228" i="98"/>
  <c r="GA1388" i="98"/>
  <c r="GA908" i="98"/>
  <c r="GA668" i="98"/>
  <c r="GA28" i="98"/>
  <c r="GA748" i="98"/>
  <c r="GA988" i="98"/>
  <c r="GA108" i="98"/>
  <c r="GA1148" i="98"/>
  <c r="GA1308" i="98"/>
  <c r="GA588" i="98"/>
  <c r="GA1127" i="98"/>
  <c r="GA1447" i="98"/>
  <c r="GA1607" i="98"/>
  <c r="GA1367" i="98"/>
  <c r="GA1527" i="98"/>
  <c r="GA1287" i="98"/>
  <c r="GA1207" i="98"/>
  <c r="GA1047" i="98"/>
  <c r="GA7" i="98"/>
  <c r="GA247" i="98"/>
  <c r="GA967" i="98"/>
  <c r="GA87" i="98"/>
  <c r="GA727" i="98"/>
  <c r="GA567" i="98"/>
  <c r="GA887" i="98"/>
  <c r="GA167" i="98"/>
  <c r="GA327" i="98"/>
  <c r="GA807" i="98"/>
  <c r="GA647" i="98"/>
  <c r="GA407" i="98"/>
  <c r="GA487" i="98"/>
  <c r="GA878" i="98"/>
  <c r="GA558" i="98"/>
  <c r="GA158" i="98"/>
  <c r="GA238" i="98"/>
  <c r="GA478" i="98"/>
  <c r="GA78" i="98"/>
  <c r="GA1038" i="98"/>
  <c r="GA398" i="98"/>
  <c r="GA798" i="98"/>
  <c r="GA1438" i="98"/>
  <c r="GA318" i="98"/>
  <c r="GA638" i="98"/>
  <c r="GA1358" i="98"/>
  <c r="GA1678" i="98"/>
  <c r="GA718" i="98"/>
  <c r="GA958" i="98"/>
  <c r="GA1118" i="98"/>
  <c r="GA1278" i="98"/>
  <c r="GA1598" i="98"/>
  <c r="GA1198" i="98"/>
  <c r="GA1518" i="98"/>
  <c r="GA1347" i="98"/>
  <c r="GA387" i="98"/>
  <c r="GA627" i="98"/>
  <c r="GA227" i="98"/>
  <c r="GA467" i="98"/>
  <c r="GA1027" i="98"/>
  <c r="GA67" i="98"/>
  <c r="GA547" i="98"/>
  <c r="GA1267" i="98"/>
  <c r="GA1427" i="98"/>
  <c r="GA307" i="98"/>
  <c r="GA867" i="98"/>
  <c r="GA1107" i="98"/>
  <c r="GA1667" i="98"/>
  <c r="GA147" i="98"/>
  <c r="GA787" i="98"/>
  <c r="GA1187" i="98"/>
  <c r="GA707" i="98"/>
  <c r="GA947" i="98"/>
  <c r="GA1587" i="98"/>
  <c r="GA1507" i="98"/>
  <c r="GA1115" i="98"/>
  <c r="GA1515" i="98"/>
  <c r="GA1435" i="98"/>
  <c r="GA315" i="98"/>
  <c r="GA235" i="98"/>
  <c r="GA1675" i="98"/>
  <c r="GA1275" i="98"/>
  <c r="GA1195" i="98"/>
  <c r="GA75" i="98"/>
  <c r="GA555" i="98"/>
  <c r="GA475" i="98"/>
  <c r="GA955" i="98"/>
  <c r="GA395" i="98"/>
  <c r="GA1355" i="98"/>
  <c r="GA155" i="98"/>
  <c r="GA795" i="98"/>
  <c r="GA635" i="98"/>
  <c r="GA875" i="98"/>
  <c r="GA1595" i="98"/>
  <c r="GA715" i="98"/>
  <c r="GA1035" i="98"/>
  <c r="GA1672" i="98"/>
  <c r="GA712" i="98"/>
  <c r="GA392" i="98"/>
  <c r="GA1352" i="98"/>
  <c r="GA72" i="98"/>
  <c r="GA792" i="98"/>
  <c r="GA472" i="98"/>
  <c r="GA312" i="98"/>
  <c r="GA232" i="98"/>
  <c r="GA1192" i="98"/>
  <c r="GA1592" i="98"/>
  <c r="GA872" i="98"/>
  <c r="GA152" i="98"/>
  <c r="GA1512" i="98"/>
  <c r="GA1272" i="98"/>
  <c r="GA632" i="98"/>
  <c r="GA1432" i="98"/>
  <c r="GA952" i="98"/>
  <c r="GA1112" i="98"/>
  <c r="GA1032" i="98"/>
  <c r="GA552" i="98"/>
  <c r="FI64" i="98"/>
  <c r="GQ1591" i="98" s="1"/>
  <c r="EO64" i="98"/>
  <c r="FG68" i="98"/>
  <c r="GO1675" i="98" s="1"/>
  <c r="FF68" i="98"/>
  <c r="FI58" i="98"/>
  <c r="GQ1504" i="98" s="1"/>
  <c r="EO58" i="98"/>
  <c r="DY42" i="98"/>
  <c r="DO10" i="98"/>
  <c r="Q28" i="98"/>
  <c r="DZ21" i="98" s="1"/>
  <c r="Q24" i="98"/>
  <c r="DI14" i="98" s="1"/>
  <c r="GC1635" i="98"/>
  <c r="GC1315" i="98"/>
  <c r="GC995" i="98"/>
  <c r="GC675" i="98"/>
  <c r="GC355" i="98"/>
  <c r="GC35" i="98"/>
  <c r="FF58" i="98"/>
  <c r="GN1344" i="98" s="1"/>
  <c r="GC1625" i="98"/>
  <c r="GC345" i="98"/>
  <c r="EA54" i="98"/>
  <c r="Q29" i="98"/>
  <c r="DZ22" i="98" s="1"/>
  <c r="GC1475" i="98"/>
  <c r="GC1155" i="98"/>
  <c r="GC835" i="98"/>
  <c r="GC515" i="98"/>
  <c r="FC58" i="98"/>
  <c r="EQ16" i="98"/>
  <c r="GC98" i="98" s="1"/>
  <c r="DG47" i="98"/>
  <c r="DX53" i="98"/>
  <c r="FC64" i="98"/>
  <c r="GK1191" i="98" s="1"/>
  <c r="DR10" i="98"/>
  <c r="ET64" i="98"/>
  <c r="DJ67" i="98"/>
  <c r="FD64" i="98"/>
  <c r="GL71" i="98" s="1"/>
  <c r="FG64" i="98"/>
  <c r="GO1591" i="98" s="1"/>
  <c r="EQ64" i="98"/>
  <c r="GC151" i="98" s="1"/>
  <c r="FF64" i="98"/>
  <c r="GN551" i="98" s="1"/>
  <c r="GC1624" i="98"/>
  <c r="DO12" i="98"/>
  <c r="EQ26" i="98"/>
  <c r="GC269" i="98" s="1"/>
  <c r="GC714" i="98"/>
  <c r="GC73" i="98"/>
  <c r="GC153" i="98"/>
  <c r="GC233" i="98"/>
  <c r="GC313" i="98"/>
  <c r="GC393" i="98"/>
  <c r="GC473" i="98"/>
  <c r="GC553" i="98"/>
  <c r="GC633" i="98"/>
  <c r="GC713" i="98"/>
  <c r="GC793" i="98"/>
  <c r="GC873" i="98"/>
  <c r="GC953" i="98"/>
  <c r="GC1033" i="98"/>
  <c r="GC1113" i="98"/>
  <c r="GC1193" i="98"/>
  <c r="GC1273" i="98"/>
  <c r="GC1353" i="98"/>
  <c r="GC1433" i="98"/>
  <c r="GC1513" i="98"/>
  <c r="GC1593" i="98"/>
  <c r="GC1673" i="98"/>
  <c r="GC1183" i="98"/>
  <c r="GC61" i="98"/>
  <c r="GC141" i="98"/>
  <c r="GC221" i="98"/>
  <c r="GC301" i="98"/>
  <c r="GC381" i="98"/>
  <c r="GC541" i="98"/>
  <c r="GC621" i="98"/>
  <c r="GC701" i="98"/>
  <c r="GC781" i="98"/>
  <c r="GC861" i="98"/>
  <c r="GC461" i="98"/>
  <c r="GC941" i="98"/>
  <c r="GC1021" i="98"/>
  <c r="GC1101" i="98"/>
  <c r="GC1181" i="98"/>
  <c r="GC1261" i="98"/>
  <c r="GC1341" i="98"/>
  <c r="GC1421" i="98"/>
  <c r="GC1501" i="98"/>
  <c r="GC1581" i="98"/>
  <c r="GC1661" i="98"/>
  <c r="ET25" i="98"/>
  <c r="FC25" i="98"/>
  <c r="FI25" i="98"/>
  <c r="FF25" i="98"/>
  <c r="FG25" i="98"/>
  <c r="FD25" i="98"/>
  <c r="GK33" i="98"/>
  <c r="GK673" i="98"/>
  <c r="GK753" i="98"/>
  <c r="GK353" i="98"/>
  <c r="GK993" i="98"/>
  <c r="GK513" i="98"/>
  <c r="GK1553" i="98"/>
  <c r="GK113" i="98"/>
  <c r="GK1633" i="98"/>
  <c r="GK593" i="98"/>
  <c r="GK433" i="98"/>
  <c r="GK1393" i="98"/>
  <c r="GK1153" i="98"/>
  <c r="GK273" i="98"/>
  <c r="GK1473" i="98"/>
  <c r="GK1313" i="98"/>
  <c r="GK833" i="98"/>
  <c r="GK1073" i="98"/>
  <c r="GK193" i="98"/>
  <c r="GK913" i="98"/>
  <c r="GK1233" i="98"/>
  <c r="GL223" i="98"/>
  <c r="GL463" i="98"/>
  <c r="GL1183" i="98"/>
  <c r="GL1423" i="98"/>
  <c r="GN85" i="98"/>
  <c r="GN1685" i="98"/>
  <c r="GN1365" i="98"/>
  <c r="GN1445" i="98"/>
  <c r="GN965" i="98"/>
  <c r="GN725" i="98"/>
  <c r="GN1605" i="98"/>
  <c r="GN1525" i="98"/>
  <c r="GN645" i="98"/>
  <c r="GN165" i="98"/>
  <c r="GN565" i="98"/>
  <c r="GN405" i="98"/>
  <c r="GN805" i="98"/>
  <c r="GN1045" i="98"/>
  <c r="GN485" i="98"/>
  <c r="GN325" i="98"/>
  <c r="GN245" i="98"/>
  <c r="GN885" i="98"/>
  <c r="GN1125" i="98"/>
  <c r="GN1205" i="98"/>
  <c r="GN1285" i="98"/>
  <c r="ET71" i="98"/>
  <c r="FG71" i="98"/>
  <c r="FI71" i="98"/>
  <c r="FD71" i="98"/>
  <c r="FF71" i="98"/>
  <c r="FC71" i="98"/>
  <c r="GN425" i="98"/>
  <c r="GN185" i="98"/>
  <c r="GK25" i="98"/>
  <c r="GK745" i="98"/>
  <c r="GK665" i="98"/>
  <c r="GK585" i="98"/>
  <c r="GK1225" i="98"/>
  <c r="GK425" i="98"/>
  <c r="GK1145" i="98"/>
  <c r="GK1625" i="98"/>
  <c r="GK985" i="98"/>
  <c r="GK185" i="98"/>
  <c r="GK265" i="98"/>
  <c r="GK345" i="98"/>
  <c r="GK1305" i="98"/>
  <c r="GK1465" i="98"/>
  <c r="GK1385" i="98"/>
  <c r="GK1065" i="98"/>
  <c r="GK505" i="98"/>
  <c r="GK905" i="98"/>
  <c r="GK1545" i="98"/>
  <c r="GK825" i="98"/>
  <c r="GK105" i="98"/>
  <c r="FC61" i="98"/>
  <c r="FD61" i="98"/>
  <c r="ET61" i="98"/>
  <c r="FG61" i="98"/>
  <c r="FF61" i="98"/>
  <c r="FI61" i="98"/>
  <c r="GO15" i="98"/>
  <c r="GO335" i="98"/>
  <c r="GO95" i="98"/>
  <c r="GO175" i="98"/>
  <c r="GO1455" i="98"/>
  <c r="GO1375" i="98"/>
  <c r="GO1535" i="98"/>
  <c r="GO575" i="98"/>
  <c r="GO1055" i="98"/>
  <c r="GO1135" i="98"/>
  <c r="GO975" i="98"/>
  <c r="GO1215" i="98"/>
  <c r="GO1615" i="98"/>
  <c r="GO815" i="98"/>
  <c r="GO895" i="98"/>
  <c r="GO495" i="98"/>
  <c r="GO1295" i="98"/>
  <c r="GO735" i="98"/>
  <c r="GO255" i="98"/>
  <c r="GO655" i="98"/>
  <c r="GO415" i="98"/>
  <c r="GL15" i="98"/>
  <c r="GL335" i="98"/>
  <c r="GL175" i="98"/>
  <c r="GL95" i="98"/>
  <c r="GL1375" i="98"/>
  <c r="GL1055" i="98"/>
  <c r="GL575" i="98"/>
  <c r="GL1135" i="98"/>
  <c r="GL1535" i="98"/>
  <c r="GL975" i="98"/>
  <c r="GL895" i="98"/>
  <c r="GL1215" i="98"/>
  <c r="GL255" i="98"/>
  <c r="GL495" i="98"/>
  <c r="GL815" i="98"/>
  <c r="GL655" i="98"/>
  <c r="GL1615" i="98"/>
  <c r="GL735" i="98"/>
  <c r="GL415" i="98"/>
  <c r="GL1295" i="98"/>
  <c r="GL1455" i="98"/>
  <c r="GQ1392" i="98"/>
  <c r="GQ832" i="98"/>
  <c r="GQ1072" i="98"/>
  <c r="GQ912" i="98"/>
  <c r="GQ1152" i="98"/>
  <c r="GQ1472" i="98"/>
  <c r="GQ112" i="98"/>
  <c r="GQ1552" i="98"/>
  <c r="GQ1632" i="98"/>
  <c r="GQ1312" i="98"/>
  <c r="GQ272" i="98"/>
  <c r="GQ432" i="98"/>
  <c r="GQ352" i="98"/>
  <c r="GQ512" i="98"/>
  <c r="GQ192" i="98"/>
  <c r="GQ752" i="98"/>
  <c r="GQ1232" i="98"/>
  <c r="GQ592" i="98"/>
  <c r="GQ992" i="98"/>
  <c r="GQ672" i="98"/>
  <c r="EV29" i="98"/>
  <c r="GQ32" i="98"/>
  <c r="GL62" i="98"/>
  <c r="ET18" i="98"/>
  <c r="FG18" i="98"/>
  <c r="FD18" i="98"/>
  <c r="FC18" i="98"/>
  <c r="FF18" i="98"/>
  <c r="FI18" i="98"/>
  <c r="GK1384" i="98"/>
  <c r="GK1064" i="98"/>
  <c r="GK1624" i="98"/>
  <c r="GK824" i="98"/>
  <c r="GL74" i="98"/>
  <c r="GL1434" i="98"/>
  <c r="GL474" i="98"/>
  <c r="GO952" i="98"/>
  <c r="GO1112" i="98"/>
  <c r="GO1592" i="98"/>
  <c r="EQ17" i="98"/>
  <c r="ET10" i="98"/>
  <c r="FF10" i="98"/>
  <c r="FI10" i="98"/>
  <c r="FG10" i="98"/>
  <c r="FC10" i="98"/>
  <c r="FD10" i="98"/>
  <c r="GK35" i="98"/>
  <c r="GK1075" i="98"/>
  <c r="GK275" i="98"/>
  <c r="GK515" i="98"/>
  <c r="GK195" i="98"/>
  <c r="GK995" i="98"/>
  <c r="GK115" i="98"/>
  <c r="GK1235" i="98"/>
  <c r="GK355" i="98"/>
  <c r="GK835" i="98"/>
  <c r="GK915" i="98"/>
  <c r="GK435" i="98"/>
  <c r="GK755" i="98"/>
  <c r="GK675" i="98"/>
  <c r="GK595" i="98"/>
  <c r="GK1155" i="98"/>
  <c r="GK1555" i="98"/>
  <c r="GK1475" i="98"/>
  <c r="GK1315" i="98"/>
  <c r="GK1635" i="98"/>
  <c r="GK1395" i="98"/>
  <c r="GO61" i="98"/>
  <c r="GO1661" i="98"/>
  <c r="GO1501" i="98"/>
  <c r="GO1341" i="98"/>
  <c r="GO1581" i="98"/>
  <c r="GO941" i="98"/>
  <c r="GO701" i="98"/>
  <c r="GO461" i="98"/>
  <c r="GO621" i="98"/>
  <c r="GO1261" i="98"/>
  <c r="GO1421" i="98"/>
  <c r="GO141" i="98"/>
  <c r="GO781" i="98"/>
  <c r="GO1021" i="98"/>
  <c r="GO1181" i="98"/>
  <c r="GO861" i="98"/>
  <c r="GO301" i="98"/>
  <c r="GO381" i="98"/>
  <c r="GO1101" i="98"/>
  <c r="GO221" i="98"/>
  <c r="GO541" i="98"/>
  <c r="GO82" i="98"/>
  <c r="GO1282" i="98"/>
  <c r="GO1202" i="98"/>
  <c r="GO642" i="98"/>
  <c r="GO722" i="98"/>
  <c r="GO482" i="98"/>
  <c r="GO242" i="98"/>
  <c r="GO1682" i="98"/>
  <c r="GO1522" i="98"/>
  <c r="GO162" i="98"/>
  <c r="GO882" i="98"/>
  <c r="GO322" i="98"/>
  <c r="GO1042" i="98"/>
  <c r="GO802" i="98"/>
  <c r="GO402" i="98"/>
  <c r="GO962" i="98"/>
  <c r="GO1602" i="98"/>
  <c r="GO1122" i="98"/>
  <c r="GO1362" i="98"/>
  <c r="GO562" i="98"/>
  <c r="GO1442" i="98"/>
  <c r="GO80" i="98"/>
  <c r="GO1360" i="98"/>
  <c r="GO1440" i="98"/>
  <c r="GO1120" i="98"/>
  <c r="GO480" i="98"/>
  <c r="GO320" i="98"/>
  <c r="GO400" i="98"/>
  <c r="GO640" i="98"/>
  <c r="GO560" i="98"/>
  <c r="GO720" i="98"/>
  <c r="GO160" i="98"/>
  <c r="GO1680" i="98"/>
  <c r="GO1200" i="98"/>
  <c r="GO1520" i="98"/>
  <c r="GO1600" i="98"/>
  <c r="GO960" i="98"/>
  <c r="GO1280" i="98"/>
  <c r="GO800" i="98"/>
  <c r="GO240" i="98"/>
  <c r="GO880" i="98"/>
  <c r="GO1040" i="98"/>
  <c r="DP11" i="98"/>
  <c r="GO34" i="98"/>
  <c r="GO1634" i="98"/>
  <c r="GO1234" i="98"/>
  <c r="GO1154" i="98"/>
  <c r="GO594" i="98"/>
  <c r="GO194" i="98"/>
  <c r="GO274" i="98"/>
  <c r="GO514" i="98"/>
  <c r="GO1474" i="98"/>
  <c r="GO1314" i="98"/>
  <c r="GO434" i="98"/>
  <c r="GO914" i="98"/>
  <c r="GO1074" i="98"/>
  <c r="GO354" i="98"/>
  <c r="GO994" i="98"/>
  <c r="GO1554" i="98"/>
  <c r="GO114" i="98"/>
  <c r="GO1394" i="98"/>
  <c r="GO834" i="98"/>
  <c r="GO674" i="98"/>
  <c r="GO754" i="98"/>
  <c r="GL34" i="98"/>
  <c r="GL1554" i="98"/>
  <c r="GL1074" i="98"/>
  <c r="GL1234" i="98"/>
  <c r="GL1154" i="98"/>
  <c r="GL594" i="98"/>
  <c r="GL194" i="98"/>
  <c r="GL1474" i="98"/>
  <c r="GL1634" i="98"/>
  <c r="GL1314" i="98"/>
  <c r="GL434" i="98"/>
  <c r="GL914" i="98"/>
  <c r="GL354" i="98"/>
  <c r="GL994" i="98"/>
  <c r="GL754" i="98"/>
  <c r="GL114" i="98"/>
  <c r="GL514" i="98"/>
  <c r="GL674" i="98"/>
  <c r="GL834" i="98"/>
  <c r="GL1394" i="98"/>
  <c r="GL274" i="98"/>
  <c r="GF545" i="98"/>
  <c r="GF1265" i="98"/>
  <c r="GF1665" i="98"/>
  <c r="GF225" i="98"/>
  <c r="GN81" i="98"/>
  <c r="GN1521" i="98"/>
  <c r="GN641" i="98"/>
  <c r="GN721" i="98"/>
  <c r="GN1441" i="98"/>
  <c r="GN321" i="98"/>
  <c r="GN1121" i="98"/>
  <c r="GN401" i="98"/>
  <c r="GN1201" i="98"/>
  <c r="GN561" i="98"/>
  <c r="GN801" i="98"/>
  <c r="GN1281" i="98"/>
  <c r="GN961" i="98"/>
  <c r="GN1601" i="98"/>
  <c r="GN1361" i="98"/>
  <c r="GN1681" i="98"/>
  <c r="GN1041" i="98"/>
  <c r="GN161" i="98"/>
  <c r="GN481" i="98"/>
  <c r="GN241" i="98"/>
  <c r="GN881" i="98"/>
  <c r="GK81" i="98"/>
  <c r="GK1361" i="98"/>
  <c r="GK1681" i="98"/>
  <c r="GK641" i="98"/>
  <c r="GK721" i="98"/>
  <c r="GK1121" i="98"/>
  <c r="GK1521" i="98"/>
  <c r="GK401" i="98"/>
  <c r="GK961" i="98"/>
  <c r="GK881" i="98"/>
  <c r="GK1601" i="98"/>
  <c r="GK241" i="98"/>
  <c r="GK1441" i="98"/>
  <c r="GK481" i="98"/>
  <c r="GK801" i="98"/>
  <c r="GK561" i="98"/>
  <c r="GK1041" i="98"/>
  <c r="GK1201" i="98"/>
  <c r="GK321" i="98"/>
  <c r="GK1281" i="98"/>
  <c r="GK161" i="98"/>
  <c r="GO484" i="98"/>
  <c r="GO724" i="98"/>
  <c r="GO1044" i="98"/>
  <c r="GO1444" i="98"/>
  <c r="GO804" i="98"/>
  <c r="GF804" i="98"/>
  <c r="ET21" i="98"/>
  <c r="FD21" i="98"/>
  <c r="FG21" i="98"/>
  <c r="FF21" i="98"/>
  <c r="FC21" i="98"/>
  <c r="FI21" i="98"/>
  <c r="ET15" i="98"/>
  <c r="FC15" i="98"/>
  <c r="FI15" i="98"/>
  <c r="FD15" i="98"/>
  <c r="FF15" i="98"/>
  <c r="FG15" i="98"/>
  <c r="GK1673" i="98"/>
  <c r="GK313" i="98"/>
  <c r="GK473" i="98"/>
  <c r="GK633" i="98"/>
  <c r="GK1273" i="98"/>
  <c r="GK1435" i="98"/>
  <c r="GC65" i="98"/>
  <c r="GC145" i="98"/>
  <c r="GC225" i="98"/>
  <c r="GC305" i="98"/>
  <c r="GC385" i="98"/>
  <c r="GC465" i="98"/>
  <c r="GC545" i="98"/>
  <c r="GC625" i="98"/>
  <c r="GC705" i="98"/>
  <c r="GC785" i="98"/>
  <c r="GC865" i="98"/>
  <c r="GC945" i="98"/>
  <c r="GC1025" i="98"/>
  <c r="GC1105" i="98"/>
  <c r="GC1185" i="98"/>
  <c r="GC1265" i="98"/>
  <c r="GC1345" i="98"/>
  <c r="GC1425" i="98"/>
  <c r="GC1505" i="98"/>
  <c r="GC1585" i="98"/>
  <c r="GC1665" i="98"/>
  <c r="GL33" i="98"/>
  <c r="GL673" i="98"/>
  <c r="GL993" i="98"/>
  <c r="GL753" i="98"/>
  <c r="GL433" i="98"/>
  <c r="GL353" i="98"/>
  <c r="GL593" i="98"/>
  <c r="GL113" i="98"/>
  <c r="GL513" i="98"/>
  <c r="GL1553" i="98"/>
  <c r="GL1633" i="98"/>
  <c r="GL913" i="98"/>
  <c r="GL1233" i="98"/>
  <c r="GL1393" i="98"/>
  <c r="GL833" i="98"/>
  <c r="GL273" i="98"/>
  <c r="GL1313" i="98"/>
  <c r="GL1473" i="98"/>
  <c r="GL193" i="98"/>
  <c r="GL1073" i="98"/>
  <c r="GL1153" i="98"/>
  <c r="GN63" i="98"/>
  <c r="GN1023" i="98"/>
  <c r="GN143" i="98"/>
  <c r="GN223" i="98"/>
  <c r="GN1343" i="98"/>
  <c r="GN463" i="98"/>
  <c r="GN623" i="98"/>
  <c r="GN1663" i="98"/>
  <c r="GN943" i="98"/>
  <c r="GN543" i="98"/>
  <c r="GN1103" i="98"/>
  <c r="GN383" i="98"/>
  <c r="GN783" i="98"/>
  <c r="GN863" i="98"/>
  <c r="GN1183" i="98"/>
  <c r="GN303" i="98"/>
  <c r="GN1503" i="98"/>
  <c r="GN1263" i="98"/>
  <c r="GN703" i="98"/>
  <c r="GN1423" i="98"/>
  <c r="GN1583" i="98"/>
  <c r="GL85" i="98"/>
  <c r="GL1445" i="98"/>
  <c r="GL1685" i="98"/>
  <c r="GL1525" i="98"/>
  <c r="GL1365" i="98"/>
  <c r="GL1605" i="98"/>
  <c r="GL965" i="98"/>
  <c r="GL725" i="98"/>
  <c r="GL645" i="98"/>
  <c r="GL405" i="98"/>
  <c r="GL165" i="98"/>
  <c r="GL1205" i="98"/>
  <c r="GL245" i="98"/>
  <c r="GL885" i="98"/>
  <c r="GL485" i="98"/>
  <c r="GL805" i="98"/>
  <c r="GL565" i="98"/>
  <c r="GL1125" i="98"/>
  <c r="GL1285" i="98"/>
  <c r="GL325" i="98"/>
  <c r="GL1045" i="98"/>
  <c r="GO85" i="98"/>
  <c r="GO1445" i="98"/>
  <c r="GO1605" i="98"/>
  <c r="GO1685" i="98"/>
  <c r="GO1365" i="98"/>
  <c r="GO965" i="98"/>
  <c r="GO725" i="98"/>
  <c r="GO405" i="98"/>
  <c r="GO165" i="98"/>
  <c r="GO1125" i="98"/>
  <c r="GO1205" i="98"/>
  <c r="GO1525" i="98"/>
  <c r="GO805" i="98"/>
  <c r="GO645" i="98"/>
  <c r="GO565" i="98"/>
  <c r="GO325" i="98"/>
  <c r="GO485" i="98"/>
  <c r="GO245" i="98"/>
  <c r="GO885" i="98"/>
  <c r="GO1285" i="98"/>
  <c r="GO1045" i="98"/>
  <c r="GL985" i="98"/>
  <c r="GL665" i="98"/>
  <c r="GL825" i="98"/>
  <c r="GL1465" i="98"/>
  <c r="GL1145" i="98"/>
  <c r="GF745" i="98"/>
  <c r="GN15" i="98"/>
  <c r="GN495" i="98"/>
  <c r="GN335" i="98"/>
  <c r="GN175" i="98"/>
  <c r="GN95" i="98"/>
  <c r="GN1375" i="98"/>
  <c r="GN1055" i="98"/>
  <c r="GN1135" i="98"/>
  <c r="GN735" i="98"/>
  <c r="GN1215" i="98"/>
  <c r="GN1615" i="98"/>
  <c r="GN975" i="98"/>
  <c r="GN1295" i="98"/>
  <c r="GN415" i="98"/>
  <c r="GN1535" i="98"/>
  <c r="GN895" i="98"/>
  <c r="GN1455" i="98"/>
  <c r="GN255" i="98"/>
  <c r="GN815" i="98"/>
  <c r="GN655" i="98"/>
  <c r="GN575" i="98"/>
  <c r="GF15" i="98"/>
  <c r="GF335" i="98"/>
  <c r="GF495" i="98"/>
  <c r="GF95" i="98"/>
  <c r="GF175" i="98"/>
  <c r="GF1455" i="98"/>
  <c r="GF1535" i="98"/>
  <c r="GF1375" i="98"/>
  <c r="GF575" i="98"/>
  <c r="GF975" i="98"/>
  <c r="GF1215" i="98"/>
  <c r="GF1295" i="98"/>
  <c r="GF815" i="98"/>
  <c r="GF735" i="98"/>
  <c r="GF255" i="98"/>
  <c r="GF415" i="98"/>
  <c r="GF1135" i="98"/>
  <c r="GF1055" i="98"/>
  <c r="GF655" i="98"/>
  <c r="GF895" i="98"/>
  <c r="GF1615" i="98"/>
  <c r="DP7" i="98"/>
  <c r="DP9" i="98"/>
  <c r="DP8" i="98"/>
  <c r="GN32" i="98"/>
  <c r="GN1392" i="98"/>
  <c r="GN1232" i="98"/>
  <c r="GN352" i="98"/>
  <c r="GN112" i="98"/>
  <c r="GN272" i="98"/>
  <c r="GN1472" i="98"/>
  <c r="GN1312" i="98"/>
  <c r="GN432" i="98"/>
  <c r="GN1152" i="98"/>
  <c r="GN1552" i="98"/>
  <c r="GN1632" i="98"/>
  <c r="GN752" i="98"/>
  <c r="GN512" i="98"/>
  <c r="GN192" i="98"/>
  <c r="GN992" i="98"/>
  <c r="GN1072" i="98"/>
  <c r="GN672" i="98"/>
  <c r="GN832" i="98"/>
  <c r="GN592" i="98"/>
  <c r="GN912" i="98"/>
  <c r="GK32" i="98"/>
  <c r="GK1392" i="98"/>
  <c r="GK912" i="98"/>
  <c r="GK1072" i="98"/>
  <c r="GK832" i="98"/>
  <c r="GK1552" i="98"/>
  <c r="GK1632" i="98"/>
  <c r="GK1152" i="98"/>
  <c r="GK432" i="98"/>
  <c r="GK272" i="98"/>
  <c r="GK1472" i="98"/>
  <c r="GK1312" i="98"/>
  <c r="GK352" i="98"/>
  <c r="GK192" i="98"/>
  <c r="GK112" i="98"/>
  <c r="GK512" i="98"/>
  <c r="GK752" i="98"/>
  <c r="GK1232" i="98"/>
  <c r="GK672" i="98"/>
  <c r="GK592" i="98"/>
  <c r="GK992" i="98"/>
  <c r="GQ942" i="98"/>
  <c r="GF62" i="98"/>
  <c r="GF1102" i="98"/>
  <c r="GF1182" i="98"/>
  <c r="GF702" i="98"/>
  <c r="GF302" i="98"/>
  <c r="GF942" i="98"/>
  <c r="ET70" i="98"/>
  <c r="FD70" i="98"/>
  <c r="FC70" i="98"/>
  <c r="FG70" i="98"/>
  <c r="FI70" i="98"/>
  <c r="FF70" i="98"/>
  <c r="GN24" i="98"/>
  <c r="GN1544" i="98"/>
  <c r="GN1064" i="98"/>
  <c r="GN264" i="98"/>
  <c r="GN184" i="98"/>
  <c r="GN584" i="98"/>
  <c r="GF1194" i="98"/>
  <c r="GF714" i="98"/>
  <c r="GF1434" i="98"/>
  <c r="GF1034" i="98"/>
  <c r="GF1514" i="98"/>
  <c r="GK72" i="98"/>
  <c r="GK1432" i="98"/>
  <c r="GK1352" i="98"/>
  <c r="GK312" i="98"/>
  <c r="GK952" i="98"/>
  <c r="GK392" i="98"/>
  <c r="GK152" i="98"/>
  <c r="GK1032" i="98"/>
  <c r="GK232" i="98"/>
  <c r="GK1272" i="98"/>
  <c r="GK1192" i="98"/>
  <c r="GK472" i="98"/>
  <c r="GK792" i="98"/>
  <c r="GK552" i="98"/>
  <c r="GK872" i="98"/>
  <c r="GK1112" i="98"/>
  <c r="GK1512" i="98"/>
  <c r="GK1592" i="98"/>
  <c r="GK1672" i="98"/>
  <c r="GK632" i="98"/>
  <c r="GK712" i="98"/>
  <c r="GQ1352" i="98"/>
  <c r="GQ232" i="98"/>
  <c r="GQ1192" i="98"/>
  <c r="GQ632" i="98"/>
  <c r="EQ27" i="98"/>
  <c r="EQ24" i="98"/>
  <c r="GL35" i="98"/>
  <c r="GL1075" i="98"/>
  <c r="GL275" i="98"/>
  <c r="GL195" i="98"/>
  <c r="GL355" i="98"/>
  <c r="GL1235" i="98"/>
  <c r="GL995" i="98"/>
  <c r="GL835" i="98"/>
  <c r="GL915" i="98"/>
  <c r="GL515" i="98"/>
  <c r="GL1155" i="98"/>
  <c r="GL115" i="98"/>
  <c r="GL1635" i="98"/>
  <c r="GL755" i="98"/>
  <c r="GL675" i="98"/>
  <c r="GL595" i="98"/>
  <c r="GL1475" i="98"/>
  <c r="GL1395" i="98"/>
  <c r="GL1315" i="98"/>
  <c r="GL435" i="98"/>
  <c r="GL1555" i="98"/>
  <c r="GO35" i="98"/>
  <c r="GO1075" i="98"/>
  <c r="GO355" i="98"/>
  <c r="GO275" i="98"/>
  <c r="GO1555" i="98"/>
  <c r="GO515" i="98"/>
  <c r="GO1235" i="98"/>
  <c r="GO195" i="98"/>
  <c r="GO995" i="98"/>
  <c r="GO1395" i="98"/>
  <c r="GO835" i="98"/>
  <c r="GO915" i="98"/>
  <c r="GO115" i="98"/>
  <c r="GO435" i="98"/>
  <c r="GO1315" i="98"/>
  <c r="GO755" i="98"/>
  <c r="GO1475" i="98"/>
  <c r="GO1635" i="98"/>
  <c r="GO675" i="98"/>
  <c r="GO595" i="98"/>
  <c r="GO1155" i="98"/>
  <c r="GF61" i="98"/>
  <c r="GF1341" i="98"/>
  <c r="GF1501" i="98"/>
  <c r="GF941" i="98"/>
  <c r="GF461" i="98"/>
  <c r="GF1581" i="98"/>
  <c r="GF381" i="98"/>
  <c r="GF1421" i="98"/>
  <c r="GF1261" i="98"/>
  <c r="GF221" i="98"/>
  <c r="GF621" i="98"/>
  <c r="GF141" i="98"/>
  <c r="GF781" i="98"/>
  <c r="GF701" i="98"/>
  <c r="GF1181" i="98"/>
  <c r="GF1661" i="98"/>
  <c r="GF1021" i="98"/>
  <c r="GF1101" i="98"/>
  <c r="GF301" i="98"/>
  <c r="GF861" i="98"/>
  <c r="GF541" i="98"/>
  <c r="GF64" i="98"/>
  <c r="GF1504" i="98"/>
  <c r="GF1344" i="98"/>
  <c r="GF1264" i="98"/>
  <c r="GF944" i="98"/>
  <c r="GF1104" i="98"/>
  <c r="GF1664" i="98"/>
  <c r="GF1584" i="98"/>
  <c r="GF384" i="98"/>
  <c r="GF304" i="98"/>
  <c r="GF704" i="98"/>
  <c r="GF224" i="98"/>
  <c r="GF624" i="98"/>
  <c r="GF144" i="98"/>
  <c r="GF1024" i="98"/>
  <c r="GF1184" i="98"/>
  <c r="GF544" i="98"/>
  <c r="GF1424" i="98"/>
  <c r="GF784" i="98"/>
  <c r="GF864" i="98"/>
  <c r="GF464" i="98"/>
  <c r="GL82" i="98"/>
  <c r="GL1282" i="98"/>
  <c r="GL1042" i="98"/>
  <c r="GL1202" i="98"/>
  <c r="GL722" i="98"/>
  <c r="GL642" i="98"/>
  <c r="GL162" i="98"/>
  <c r="GL1122" i="98"/>
  <c r="GL1442" i="98"/>
  <c r="GL242" i="98"/>
  <c r="GL882" i="98"/>
  <c r="GL1682" i="98"/>
  <c r="GL1522" i="98"/>
  <c r="GL562" i="98"/>
  <c r="GL802" i="98"/>
  <c r="GL402" i="98"/>
  <c r="GL962" i="98"/>
  <c r="GL1602" i="98"/>
  <c r="GL1362" i="98"/>
  <c r="GL482" i="98"/>
  <c r="GL322" i="98"/>
  <c r="GQ1520" i="98"/>
  <c r="GQ1191" i="98"/>
  <c r="GQ71" i="98"/>
  <c r="GN34" i="98"/>
  <c r="GN1234" i="98"/>
  <c r="GN1154" i="98"/>
  <c r="GN1074" i="98"/>
  <c r="GN1474" i="98"/>
  <c r="GN1634" i="98"/>
  <c r="GN594" i="98"/>
  <c r="GN994" i="98"/>
  <c r="GN194" i="98"/>
  <c r="GN354" i="98"/>
  <c r="GN1554" i="98"/>
  <c r="GN834" i="98"/>
  <c r="GN914" i="98"/>
  <c r="GN754" i="98"/>
  <c r="GN674" i="98"/>
  <c r="GN514" i="98"/>
  <c r="GN114" i="98"/>
  <c r="GN434" i="98"/>
  <c r="GN1394" i="98"/>
  <c r="GN274" i="98"/>
  <c r="GN1314" i="98"/>
  <c r="GF34" i="98"/>
  <c r="GF1554" i="98"/>
  <c r="GF1234" i="98"/>
  <c r="GF1154" i="98"/>
  <c r="GF1314" i="98"/>
  <c r="GF1474" i="98"/>
  <c r="GF194" i="98"/>
  <c r="GF914" i="98"/>
  <c r="GF434" i="98"/>
  <c r="GF1074" i="98"/>
  <c r="GF594" i="98"/>
  <c r="GF354" i="98"/>
  <c r="GF1634" i="98"/>
  <c r="GF994" i="98"/>
  <c r="GF114" i="98"/>
  <c r="GF834" i="98"/>
  <c r="GF754" i="98"/>
  <c r="GF1394" i="98"/>
  <c r="GF674" i="98"/>
  <c r="GF514" i="98"/>
  <c r="GF274" i="98"/>
  <c r="GO65" i="98"/>
  <c r="GO705" i="98"/>
  <c r="GO865" i="98"/>
  <c r="GO1185" i="98"/>
  <c r="GO1345" i="98"/>
  <c r="GO305" i="98"/>
  <c r="GO81" i="98"/>
  <c r="GO1601" i="98"/>
  <c r="GO1361" i="98"/>
  <c r="GO1681" i="98"/>
  <c r="GO641" i="98"/>
  <c r="GO721" i="98"/>
  <c r="GO1121" i="98"/>
  <c r="GO1041" i="98"/>
  <c r="GO1521" i="98"/>
  <c r="GO961" i="98"/>
  <c r="GO1201" i="98"/>
  <c r="GO1281" i="98"/>
  <c r="GO881" i="98"/>
  <c r="GO401" i="98"/>
  <c r="GO241" i="98"/>
  <c r="GO1441" i="98"/>
  <c r="GO321" i="98"/>
  <c r="GO481" i="98"/>
  <c r="GO801" i="98"/>
  <c r="GO161" i="98"/>
  <c r="GO561" i="98"/>
  <c r="FC69" i="98"/>
  <c r="FD69" i="98"/>
  <c r="ET69" i="98"/>
  <c r="FG69" i="98"/>
  <c r="FF69" i="98"/>
  <c r="FI69" i="98"/>
  <c r="GL84" i="98"/>
  <c r="GL1524" i="98"/>
  <c r="GL1604" i="98"/>
  <c r="GL1124" i="98"/>
  <c r="GL1444" i="98"/>
  <c r="GL1364" i="98"/>
  <c r="GL1284" i="98"/>
  <c r="GL484" i="98"/>
  <c r="GL404" i="98"/>
  <c r="GL324" i="98"/>
  <c r="GL164" i="98"/>
  <c r="GL964" i="98"/>
  <c r="GL564" i="98"/>
  <c r="GL1684" i="98"/>
  <c r="GL1044" i="98"/>
  <c r="GL644" i="98"/>
  <c r="GL1204" i="98"/>
  <c r="GL884" i="98"/>
  <c r="GL244" i="98"/>
  <c r="GL724" i="98"/>
  <c r="GL804" i="98"/>
  <c r="GL73" i="98"/>
  <c r="GL1673" i="98"/>
  <c r="GL1593" i="98"/>
  <c r="GL1513" i="98"/>
  <c r="GL713" i="98"/>
  <c r="GL633" i="98"/>
  <c r="GL473" i="98"/>
  <c r="GL393" i="98"/>
  <c r="GL793" i="98"/>
  <c r="GL873" i="98"/>
  <c r="GL953" i="98"/>
  <c r="GL1433" i="98"/>
  <c r="GL153" i="98"/>
  <c r="GL233" i="98"/>
  <c r="GL1353" i="98"/>
  <c r="GL1193" i="98"/>
  <c r="GL313" i="98"/>
  <c r="GL1033" i="98"/>
  <c r="GL1273" i="98"/>
  <c r="GL553" i="98"/>
  <c r="GL1113" i="98"/>
  <c r="EQ21" i="98"/>
  <c r="GC395" i="98"/>
  <c r="GC1675" i="98"/>
  <c r="ET27" i="98"/>
  <c r="FD27" i="98"/>
  <c r="FG27" i="98"/>
  <c r="FC27" i="98"/>
  <c r="FF27" i="98"/>
  <c r="FI27" i="98"/>
  <c r="GQ673" i="98"/>
  <c r="GQ753" i="98"/>
  <c r="GQ353" i="98"/>
  <c r="GQ593" i="98"/>
  <c r="GQ1633" i="98"/>
  <c r="GQ1553" i="98"/>
  <c r="GQ1073" i="98"/>
  <c r="GQ193" i="98"/>
  <c r="GQ1393" i="98"/>
  <c r="GQ1313" i="98"/>
  <c r="GQ433" i="98"/>
  <c r="GQ1153" i="98"/>
  <c r="GQ1473" i="98"/>
  <c r="GQ993" i="98"/>
  <c r="GQ273" i="98"/>
  <c r="GQ1233" i="98"/>
  <c r="GQ113" i="98"/>
  <c r="GQ833" i="98"/>
  <c r="GQ913" i="98"/>
  <c r="GQ513" i="98"/>
  <c r="EV30" i="98"/>
  <c r="GQ33" i="98"/>
  <c r="GO33" i="98"/>
  <c r="GO993" i="98"/>
  <c r="GO753" i="98"/>
  <c r="GO433" i="98"/>
  <c r="GO353" i="98"/>
  <c r="GO673" i="98"/>
  <c r="GO593" i="98"/>
  <c r="GO113" i="98"/>
  <c r="GO513" i="98"/>
  <c r="GO1633" i="98"/>
  <c r="GO1393" i="98"/>
  <c r="GO1233" i="98"/>
  <c r="GO1553" i="98"/>
  <c r="GO193" i="98"/>
  <c r="GO1073" i="98"/>
  <c r="GO1153" i="98"/>
  <c r="GO273" i="98"/>
  <c r="GO1473" i="98"/>
  <c r="GO1313" i="98"/>
  <c r="GO913" i="98"/>
  <c r="GO833" i="98"/>
  <c r="GO143" i="98"/>
  <c r="GK85" i="98"/>
  <c r="GK1365" i="98"/>
  <c r="GK1445" i="98"/>
  <c r="GK1685" i="98"/>
  <c r="GK965" i="98"/>
  <c r="GK405" i="98"/>
  <c r="GK725" i="98"/>
  <c r="GK165" i="98"/>
  <c r="GK245" i="98"/>
  <c r="GK1605" i="98"/>
  <c r="GK645" i="98"/>
  <c r="GK1525" i="98"/>
  <c r="GK565" i="98"/>
  <c r="GK805" i="98"/>
  <c r="GK885" i="98"/>
  <c r="GK485" i="98"/>
  <c r="GK1205" i="98"/>
  <c r="GK1125" i="98"/>
  <c r="GK1045" i="98"/>
  <c r="GK325" i="98"/>
  <c r="GK1285" i="98"/>
  <c r="GF85" i="98"/>
  <c r="GF1365" i="98"/>
  <c r="GF1445" i="98"/>
  <c r="GF1525" i="98"/>
  <c r="GF725" i="98"/>
  <c r="GF645" i="98"/>
  <c r="GF165" i="98"/>
  <c r="GF1205" i="98"/>
  <c r="GF245" i="98"/>
  <c r="GF965" i="98"/>
  <c r="GF1605" i="98"/>
  <c r="GF405" i="98"/>
  <c r="GF565" i="98"/>
  <c r="GF805" i="98"/>
  <c r="GF485" i="98"/>
  <c r="GF1685" i="98"/>
  <c r="GF325" i="98"/>
  <c r="GF885" i="98"/>
  <c r="GF1125" i="98"/>
  <c r="GF1045" i="98"/>
  <c r="GF1285" i="98"/>
  <c r="ET17" i="98"/>
  <c r="FC17" i="98"/>
  <c r="FI17" i="98"/>
  <c r="FG17" i="98"/>
  <c r="FD17" i="98"/>
  <c r="FF17" i="98"/>
  <c r="GO425" i="98"/>
  <c r="DO7" i="98"/>
  <c r="DO25" i="98"/>
  <c r="DO8" i="98"/>
  <c r="DO28" i="98"/>
  <c r="DO9" i="98"/>
  <c r="GQ335" i="98"/>
  <c r="GQ95" i="98"/>
  <c r="GQ175" i="98"/>
  <c r="GQ1375" i="98"/>
  <c r="GQ735" i="98"/>
  <c r="GQ1055" i="98"/>
  <c r="GQ975" i="98"/>
  <c r="GQ1615" i="98"/>
  <c r="GQ815" i="98"/>
  <c r="GQ495" i="98"/>
  <c r="GQ895" i="98"/>
  <c r="GQ1215" i="98"/>
  <c r="GQ1295" i="98"/>
  <c r="GQ255" i="98"/>
  <c r="GQ575" i="98"/>
  <c r="GQ1135" i="98"/>
  <c r="GQ655" i="98"/>
  <c r="GQ1535" i="98"/>
  <c r="GQ415" i="98"/>
  <c r="GQ1455" i="98"/>
  <c r="EV14" i="98"/>
  <c r="GQ15" i="98"/>
  <c r="GL32" i="98"/>
  <c r="GL1392" i="98"/>
  <c r="GL1232" i="98"/>
  <c r="GL512" i="98"/>
  <c r="GL112" i="98"/>
  <c r="GL592" i="98"/>
  <c r="GL272" i="98"/>
  <c r="GL432" i="98"/>
  <c r="GL1472" i="98"/>
  <c r="GL1152" i="98"/>
  <c r="GL1312" i="98"/>
  <c r="GL192" i="98"/>
  <c r="GL352" i="98"/>
  <c r="GL1552" i="98"/>
  <c r="GL1632" i="98"/>
  <c r="GL992" i="98"/>
  <c r="GL912" i="98"/>
  <c r="GL752" i="98"/>
  <c r="GL1072" i="98"/>
  <c r="GL672" i="98"/>
  <c r="GL832" i="98"/>
  <c r="GF32" i="98"/>
  <c r="GF1392" i="98"/>
  <c r="GF1152" i="98"/>
  <c r="GF1632" i="98"/>
  <c r="GF1552" i="98"/>
  <c r="GF352" i="98"/>
  <c r="GF912" i="98"/>
  <c r="GF1072" i="98"/>
  <c r="GF672" i="98"/>
  <c r="GF512" i="98"/>
  <c r="GF832" i="98"/>
  <c r="GF592" i="98"/>
  <c r="GF1232" i="98"/>
  <c r="GF272" i="98"/>
  <c r="GF112" i="98"/>
  <c r="GF1472" i="98"/>
  <c r="GF1312" i="98"/>
  <c r="GF752" i="98"/>
  <c r="GF432" i="98"/>
  <c r="GF192" i="98"/>
  <c r="GF992" i="98"/>
  <c r="DO11" i="98"/>
  <c r="GK62" i="98"/>
  <c r="GK382" i="98"/>
  <c r="GK702" i="98"/>
  <c r="GK622" i="98"/>
  <c r="GK142" i="98"/>
  <c r="GK862" i="98"/>
  <c r="GF1603" i="98"/>
  <c r="GF1683" i="98"/>
  <c r="GF1523" i="98"/>
  <c r="GF1123" i="98"/>
  <c r="GF803" i="98"/>
  <c r="GQ1384" i="98"/>
  <c r="GQ504" i="98"/>
  <c r="GQ104" i="98"/>
  <c r="GQ1144" i="98"/>
  <c r="GQ344" i="98"/>
  <c r="GQ824" i="98"/>
  <c r="GQ1624" i="98"/>
  <c r="GQ1304" i="98"/>
  <c r="GQ584" i="98"/>
  <c r="GQ984" i="98"/>
  <c r="GQ744" i="98"/>
  <c r="GQ424" i="98"/>
  <c r="GF24" i="98"/>
  <c r="GF1304" i="98"/>
  <c r="GF1224" i="98"/>
  <c r="GF1384" i="98"/>
  <c r="GF1464" i="98"/>
  <c r="GF1624" i="98"/>
  <c r="GF1544" i="98"/>
  <c r="GF104" i="98"/>
  <c r="GF584" i="98"/>
  <c r="GF984" i="98"/>
  <c r="GF184" i="98"/>
  <c r="GF424" i="98"/>
  <c r="GF1064" i="98"/>
  <c r="GF504" i="98"/>
  <c r="GF824" i="98"/>
  <c r="GF264" i="98"/>
  <c r="GF344" i="98"/>
  <c r="GF664" i="98"/>
  <c r="GF1144" i="98"/>
  <c r="GF904" i="98"/>
  <c r="GF744" i="98"/>
  <c r="GO74" i="98"/>
  <c r="GO1194" i="98"/>
  <c r="GO954" i="98"/>
  <c r="GO714" i="98"/>
  <c r="GO634" i="98"/>
  <c r="GO1354" i="98"/>
  <c r="GO394" i="98"/>
  <c r="GO1594" i="98"/>
  <c r="GO1514" i="98"/>
  <c r="GO474" i="98"/>
  <c r="GO1674" i="98"/>
  <c r="GO874" i="98"/>
  <c r="GO794" i="98"/>
  <c r="GK74" i="98"/>
  <c r="GK1034" i="98"/>
  <c r="GK234" i="98"/>
  <c r="GK714" i="98"/>
  <c r="GK1354" i="98"/>
  <c r="GK314" i="98"/>
  <c r="GK154" i="98"/>
  <c r="GK634" i="98"/>
  <c r="GK394" i="98"/>
  <c r="GK954" i="98"/>
  <c r="GK1674" i="98"/>
  <c r="GK554" i="98"/>
  <c r="GK474" i="98"/>
  <c r="GK794" i="98"/>
  <c r="GK1514" i="98"/>
  <c r="GK874" i="98"/>
  <c r="GL72" i="98"/>
  <c r="GL1432" i="98"/>
  <c r="GL1352" i="98"/>
  <c r="GL1112" i="98"/>
  <c r="GL952" i="98"/>
  <c r="GL392" i="98"/>
  <c r="GL472" i="98"/>
  <c r="GL552" i="98"/>
  <c r="GL312" i="98"/>
  <c r="GL152" i="98"/>
  <c r="GL232" i="98"/>
  <c r="GL1032" i="98"/>
  <c r="GL872" i="98"/>
  <c r="GL792" i="98"/>
  <c r="GL1272" i="98"/>
  <c r="GL1512" i="98"/>
  <c r="GL1192" i="98"/>
  <c r="GL1592" i="98"/>
  <c r="GL1672" i="98"/>
  <c r="GL712" i="98"/>
  <c r="GL632" i="98"/>
  <c r="EQ18" i="98"/>
  <c r="DO20" i="98"/>
  <c r="GQ1075" i="98"/>
  <c r="GQ515" i="98"/>
  <c r="GQ1395" i="98"/>
  <c r="GQ995" i="98"/>
  <c r="GQ195" i="98"/>
  <c r="GQ835" i="98"/>
  <c r="GQ915" i="98"/>
  <c r="GQ115" i="98"/>
  <c r="GQ1315" i="98"/>
  <c r="GQ355" i="98"/>
  <c r="GQ435" i="98"/>
  <c r="GQ755" i="98"/>
  <c r="GQ1475" i="98"/>
  <c r="GQ675" i="98"/>
  <c r="GQ275" i="98"/>
  <c r="GQ1555" i="98"/>
  <c r="GQ1155" i="98"/>
  <c r="GQ1635" i="98"/>
  <c r="GQ595" i="98"/>
  <c r="GQ1235" i="98"/>
  <c r="EV32" i="98"/>
  <c r="GQ35" i="98"/>
  <c r="GF35" i="98"/>
  <c r="GF1075" i="98"/>
  <c r="GF275" i="98"/>
  <c r="GF195" i="98"/>
  <c r="GF995" i="98"/>
  <c r="GF355" i="98"/>
  <c r="GF515" i="98"/>
  <c r="GF1475" i="98"/>
  <c r="GF1315" i="98"/>
  <c r="GF595" i="98"/>
  <c r="GF1155" i="98"/>
  <c r="GF915" i="98"/>
  <c r="GF1555" i="98"/>
  <c r="GF755" i="98"/>
  <c r="GF435" i="98"/>
  <c r="GF1235" i="98"/>
  <c r="GF115" i="98"/>
  <c r="GF835" i="98"/>
  <c r="GF1395" i="98"/>
  <c r="GF675" i="98"/>
  <c r="GF1635" i="98"/>
  <c r="GL61" i="98"/>
  <c r="GL1501" i="98"/>
  <c r="GL1341" i="98"/>
  <c r="GL1661" i="98"/>
  <c r="GL1581" i="98"/>
  <c r="GL941" i="98"/>
  <c r="GL621" i="98"/>
  <c r="GL701" i="98"/>
  <c r="GL461" i="98"/>
  <c r="GL381" i="98"/>
  <c r="GL141" i="98"/>
  <c r="GL1261" i="98"/>
  <c r="GL861" i="98"/>
  <c r="GL781" i="98"/>
  <c r="GL1021" i="98"/>
  <c r="GL1421" i="98"/>
  <c r="GL1181" i="98"/>
  <c r="GL221" i="98"/>
  <c r="GL301" i="98"/>
  <c r="GL541" i="98"/>
  <c r="GL1101" i="98"/>
  <c r="GK61" i="98"/>
  <c r="GK1501" i="98"/>
  <c r="GK1341" i="98"/>
  <c r="GK1661" i="98"/>
  <c r="GK941" i="98"/>
  <c r="GK381" i="98"/>
  <c r="GK301" i="98"/>
  <c r="GK1581" i="98"/>
  <c r="GK1261" i="98"/>
  <c r="GK701" i="98"/>
  <c r="GK1421" i="98"/>
  <c r="GK461" i="98"/>
  <c r="GK141" i="98"/>
  <c r="GK621" i="98"/>
  <c r="GK781" i="98"/>
  <c r="GK1181" i="98"/>
  <c r="GK541" i="98"/>
  <c r="GK861" i="98"/>
  <c r="GK221" i="98"/>
  <c r="GK1101" i="98"/>
  <c r="GK1021" i="98"/>
  <c r="GQ304" i="98"/>
  <c r="GQ1664" i="98"/>
  <c r="GQ1264" i="98"/>
  <c r="GQ1184" i="98"/>
  <c r="GQ624" i="98"/>
  <c r="GK82" i="98"/>
  <c r="GK1282" i="98"/>
  <c r="GK1042" i="98"/>
  <c r="GK1202" i="98"/>
  <c r="GK722" i="98"/>
  <c r="GK162" i="98"/>
  <c r="GK1602" i="98"/>
  <c r="GK242" i="98"/>
  <c r="GK1682" i="98"/>
  <c r="GK642" i="98"/>
  <c r="GK1122" i="98"/>
  <c r="GK882" i="98"/>
  <c r="GK962" i="98"/>
  <c r="GK1522" i="98"/>
  <c r="GK322" i="98"/>
  <c r="GK1362" i="98"/>
  <c r="GK562" i="98"/>
  <c r="GK802" i="98"/>
  <c r="GK1442" i="98"/>
  <c r="GK402" i="98"/>
  <c r="GK482" i="98"/>
  <c r="GN320" i="98"/>
  <c r="GN800" i="98"/>
  <c r="GL80" i="98"/>
  <c r="GL320" i="98"/>
  <c r="GL560" i="98"/>
  <c r="GL1200" i="98"/>
  <c r="GL1600" i="98"/>
  <c r="GL640" i="98"/>
  <c r="FD62" i="98"/>
  <c r="ET62" i="98"/>
  <c r="FI62" i="98"/>
  <c r="FC62" i="98"/>
  <c r="FF62" i="98"/>
  <c r="FG62" i="98"/>
  <c r="GC658" i="98"/>
  <c r="GQ1154" i="98"/>
  <c r="GQ1234" i="98"/>
  <c r="GQ1074" i="98"/>
  <c r="GQ594" i="98"/>
  <c r="GQ1474" i="98"/>
  <c r="GQ1634" i="98"/>
  <c r="GQ354" i="98"/>
  <c r="GQ194" i="98"/>
  <c r="GQ1554" i="98"/>
  <c r="GQ754" i="98"/>
  <c r="GQ274" i="98"/>
  <c r="GQ674" i="98"/>
  <c r="GQ994" i="98"/>
  <c r="GQ114" i="98"/>
  <c r="GQ834" i="98"/>
  <c r="GQ514" i="98"/>
  <c r="GQ914" i="98"/>
  <c r="GQ1314" i="98"/>
  <c r="GQ1394" i="98"/>
  <c r="GQ434" i="98"/>
  <c r="EV31" i="98"/>
  <c r="GQ34" i="98"/>
  <c r="ET26" i="98"/>
  <c r="FC26" i="98"/>
  <c r="FI26" i="98"/>
  <c r="FF26" i="98"/>
  <c r="FD26" i="98"/>
  <c r="FG26" i="98"/>
  <c r="GF81" i="98"/>
  <c r="GF1601" i="98"/>
  <c r="GF1441" i="98"/>
  <c r="GF1361" i="98"/>
  <c r="GF961" i="98"/>
  <c r="GF641" i="98"/>
  <c r="GF721" i="98"/>
  <c r="GF401" i="98"/>
  <c r="GF1121" i="98"/>
  <c r="GF1201" i="98"/>
  <c r="GF1281" i="98"/>
  <c r="GF1521" i="98"/>
  <c r="GF241" i="98"/>
  <c r="GF881" i="98"/>
  <c r="GF1681" i="98"/>
  <c r="GF1041" i="98"/>
  <c r="GF561" i="98"/>
  <c r="GF321" i="98"/>
  <c r="GF801" i="98"/>
  <c r="GF161" i="98"/>
  <c r="GF481" i="98"/>
  <c r="GQ1444" i="98"/>
  <c r="GQ1364" i="98"/>
  <c r="GQ1124" i="98"/>
  <c r="GQ1044" i="98"/>
  <c r="GQ324" i="98"/>
  <c r="GQ484" i="98"/>
  <c r="GQ164" i="98"/>
  <c r="GQ964" i="98"/>
  <c r="GQ564" i="98"/>
  <c r="GQ244" i="98"/>
  <c r="GQ1684" i="98"/>
  <c r="GQ404" i="98"/>
  <c r="GQ1524" i="98"/>
  <c r="GQ1604" i="98"/>
  <c r="GQ884" i="98"/>
  <c r="GQ644" i="98"/>
  <c r="GQ804" i="98"/>
  <c r="GQ1284" i="98"/>
  <c r="GQ1204" i="98"/>
  <c r="GQ724" i="98"/>
  <c r="EV76" i="98"/>
  <c r="GQ84" i="98"/>
  <c r="GO713" i="98"/>
  <c r="GO633" i="98"/>
  <c r="GO953" i="98"/>
  <c r="GF633" i="98"/>
  <c r="GF793" i="98"/>
  <c r="GF713" i="98"/>
  <c r="GF1433" i="98"/>
  <c r="GF313" i="98"/>
  <c r="GF875" i="98"/>
  <c r="GF955" i="98"/>
  <c r="GF1595" i="98"/>
  <c r="GC632" i="98"/>
  <c r="GC1272" i="98"/>
  <c r="GC782" i="98"/>
  <c r="GN33" i="98"/>
  <c r="GN993" i="98"/>
  <c r="GN753" i="98"/>
  <c r="GN353" i="98"/>
  <c r="GN673" i="98"/>
  <c r="GN1553" i="98"/>
  <c r="GN1633" i="98"/>
  <c r="GN1313" i="98"/>
  <c r="GN1393" i="98"/>
  <c r="GN1473" i="98"/>
  <c r="GN593" i="98"/>
  <c r="GN1153" i="98"/>
  <c r="GN433" i="98"/>
  <c r="GN273" i="98"/>
  <c r="GN833" i="98"/>
  <c r="GN1073" i="98"/>
  <c r="GN113" i="98"/>
  <c r="GN1233" i="98"/>
  <c r="GN193" i="98"/>
  <c r="GN513" i="98"/>
  <c r="GN913" i="98"/>
  <c r="GF33" i="98"/>
  <c r="GF1473" i="98"/>
  <c r="GF1313" i="98"/>
  <c r="GF353" i="98"/>
  <c r="GF993" i="98"/>
  <c r="GF113" i="98"/>
  <c r="GF513" i="98"/>
  <c r="GF1553" i="98"/>
  <c r="GF193" i="98"/>
  <c r="GF673" i="98"/>
  <c r="GF753" i="98"/>
  <c r="GF1233" i="98"/>
  <c r="GF1153" i="98"/>
  <c r="GF1393" i="98"/>
  <c r="GF273" i="98"/>
  <c r="GF433" i="98"/>
  <c r="GF593" i="98"/>
  <c r="GF913" i="98"/>
  <c r="GF1073" i="98"/>
  <c r="GF833" i="98"/>
  <c r="GF1633" i="98"/>
  <c r="GK303" i="98"/>
  <c r="GK1023" i="98"/>
  <c r="GK1663" i="98"/>
  <c r="GK543" i="98"/>
  <c r="GK1263" i="98"/>
  <c r="GF1663" i="98"/>
  <c r="GF863" i="98"/>
  <c r="GF1343" i="98"/>
  <c r="GF463" i="98"/>
  <c r="GQ1685" i="98"/>
  <c r="GQ1365" i="98"/>
  <c r="GQ1445" i="98"/>
  <c r="GQ965" i="98"/>
  <c r="GQ725" i="98"/>
  <c r="GQ405" i="98"/>
  <c r="GQ1605" i="98"/>
  <c r="GQ645" i="98"/>
  <c r="GQ1525" i="98"/>
  <c r="GQ165" i="98"/>
  <c r="GQ565" i="98"/>
  <c r="GQ885" i="98"/>
  <c r="GQ325" i="98"/>
  <c r="GQ1125" i="98"/>
  <c r="GQ805" i="98"/>
  <c r="GQ485" i="98"/>
  <c r="GQ1205" i="98"/>
  <c r="GQ1045" i="98"/>
  <c r="GQ245" i="98"/>
  <c r="GQ1285" i="98"/>
  <c r="EV77" i="98"/>
  <c r="GQ85" i="98"/>
  <c r="FI63" i="98"/>
  <c r="FD63" i="98"/>
  <c r="FF63" i="98"/>
  <c r="FC63" i="98"/>
  <c r="ET63" i="98"/>
  <c r="FG63" i="98"/>
  <c r="ET6" i="98"/>
  <c r="FF6" i="98"/>
  <c r="FG6" i="98"/>
  <c r="FI6" i="98"/>
  <c r="FD6" i="98"/>
  <c r="FC6" i="98"/>
  <c r="GK15" i="98"/>
  <c r="GK95" i="98"/>
  <c r="GK335" i="98"/>
  <c r="GK175" i="98"/>
  <c r="GK1375" i="98"/>
  <c r="GK575" i="98"/>
  <c r="GK1055" i="98"/>
  <c r="GK1135" i="98"/>
  <c r="GK815" i="98"/>
  <c r="GK895" i="98"/>
  <c r="GK495" i="98"/>
  <c r="GK1215" i="98"/>
  <c r="GK1615" i="98"/>
  <c r="GK1295" i="98"/>
  <c r="GK255" i="98"/>
  <c r="GK975" i="98"/>
  <c r="GK735" i="98"/>
  <c r="GK415" i="98"/>
  <c r="GK655" i="98"/>
  <c r="GK1455" i="98"/>
  <c r="GK1535" i="98"/>
  <c r="ET24" i="98"/>
  <c r="FD24" i="98"/>
  <c r="FC24" i="98"/>
  <c r="FF24" i="98"/>
  <c r="FI24" i="98"/>
  <c r="FG24" i="98"/>
  <c r="GO32" i="98"/>
  <c r="GO1392" i="98"/>
  <c r="GO1472" i="98"/>
  <c r="GO352" i="98"/>
  <c r="GO1312" i="98"/>
  <c r="GO672" i="98"/>
  <c r="GO1072" i="98"/>
  <c r="GO1152" i="98"/>
  <c r="GO1552" i="98"/>
  <c r="GO1632" i="98"/>
  <c r="GO512" i="98"/>
  <c r="GO592" i="98"/>
  <c r="GO432" i="98"/>
  <c r="GO272" i="98"/>
  <c r="GO752" i="98"/>
  <c r="GO1232" i="98"/>
  <c r="GO192" i="98"/>
  <c r="GO112" i="98"/>
  <c r="GO992" i="98"/>
  <c r="GO832" i="98"/>
  <c r="GO912" i="98"/>
  <c r="DO13" i="98"/>
  <c r="GO462" i="98"/>
  <c r="GO702" i="98"/>
  <c r="GO542" i="98"/>
  <c r="GO1422" i="98"/>
  <c r="GO862" i="98"/>
  <c r="GO24" i="98"/>
  <c r="GO1384" i="98"/>
  <c r="GO104" i="98"/>
  <c r="GO584" i="98"/>
  <c r="GO184" i="98"/>
  <c r="GO1064" i="98"/>
  <c r="GO344" i="98"/>
  <c r="GO264" i="98"/>
  <c r="GO1624" i="98"/>
  <c r="GO1144" i="98"/>
  <c r="GO904" i="98"/>
  <c r="DP10" i="98"/>
  <c r="GQ1274" i="98"/>
  <c r="GQ1194" i="98"/>
  <c r="GQ954" i="98"/>
  <c r="GQ714" i="98"/>
  <c r="GQ234" i="98"/>
  <c r="GQ154" i="98"/>
  <c r="GQ1434" i="98"/>
  <c r="GQ1354" i="98"/>
  <c r="GQ314" i="98"/>
  <c r="GQ1034" i="98"/>
  <c r="GQ394" i="98"/>
  <c r="GQ1114" i="98"/>
  <c r="GQ554" i="98"/>
  <c r="GQ634" i="98"/>
  <c r="GQ474" i="98"/>
  <c r="GQ1674" i="98"/>
  <c r="GQ1594" i="98"/>
  <c r="GQ794" i="98"/>
  <c r="GQ1514" i="98"/>
  <c r="GQ874" i="98"/>
  <c r="EV67" i="98"/>
  <c r="GQ74" i="98"/>
  <c r="GN74" i="98"/>
  <c r="GN1194" i="98"/>
  <c r="GN1274" i="98"/>
  <c r="GN1434" i="98"/>
  <c r="GN1354" i="98"/>
  <c r="GN314" i="98"/>
  <c r="GN394" i="98"/>
  <c r="GN634" i="98"/>
  <c r="GN154" i="98"/>
  <c r="GN954" i="98"/>
  <c r="GN1114" i="98"/>
  <c r="GN1514" i="98"/>
  <c r="GN714" i="98"/>
  <c r="GN1034" i="98"/>
  <c r="GN474" i="98"/>
  <c r="GN234" i="98"/>
  <c r="GN554" i="98"/>
  <c r="GN794" i="98"/>
  <c r="GN1674" i="98"/>
  <c r="GN1594" i="98"/>
  <c r="GN874" i="98"/>
  <c r="GN152" i="98"/>
  <c r="GN232" i="98"/>
  <c r="DR7" i="98"/>
  <c r="DR34" i="98"/>
  <c r="DR41" i="98"/>
  <c r="DR71" i="98"/>
  <c r="DR70" i="98"/>
  <c r="DR62" i="98"/>
  <c r="DR58" i="98"/>
  <c r="DR8" i="98"/>
  <c r="DR47" i="98"/>
  <c r="DR25" i="98"/>
  <c r="DR9" i="98"/>
  <c r="ET8" i="98"/>
  <c r="FG8" i="98"/>
  <c r="FD8" i="98"/>
  <c r="FC8" i="98"/>
  <c r="FI8" i="98"/>
  <c r="FF8" i="98"/>
  <c r="ET7" i="98"/>
  <c r="FD7" i="98"/>
  <c r="FF7" i="98"/>
  <c r="FC7" i="98"/>
  <c r="FG7" i="98"/>
  <c r="FI7" i="98"/>
  <c r="DR12" i="98"/>
  <c r="ET28" i="98"/>
  <c r="FF28" i="98"/>
  <c r="FC28" i="98"/>
  <c r="FG28" i="98"/>
  <c r="FI28" i="98"/>
  <c r="FD28" i="98"/>
  <c r="GN35" i="98"/>
  <c r="GN1075" i="98"/>
  <c r="GN275" i="98"/>
  <c r="GN515" i="98"/>
  <c r="GN195" i="98"/>
  <c r="GN995" i="98"/>
  <c r="GN1235" i="98"/>
  <c r="GN355" i="98"/>
  <c r="GN835" i="98"/>
  <c r="GN915" i="98"/>
  <c r="GN675" i="98"/>
  <c r="GN1475" i="98"/>
  <c r="GN435" i="98"/>
  <c r="GN755" i="98"/>
  <c r="GN1315" i="98"/>
  <c r="GN115" i="98"/>
  <c r="GN1155" i="98"/>
  <c r="GN1395" i="98"/>
  <c r="GN595" i="98"/>
  <c r="GN1635" i="98"/>
  <c r="GN1555" i="98"/>
  <c r="DR35" i="98"/>
  <c r="GQ1501" i="98"/>
  <c r="GQ1341" i="98"/>
  <c r="GQ1661" i="98"/>
  <c r="GQ621" i="98"/>
  <c r="GQ381" i="98"/>
  <c r="GQ301" i="98"/>
  <c r="GQ1261" i="98"/>
  <c r="GQ141" i="98"/>
  <c r="GQ701" i="98"/>
  <c r="GQ941" i="98"/>
  <c r="GQ1581" i="98"/>
  <c r="GQ1421" i="98"/>
  <c r="GQ461" i="98"/>
  <c r="GQ1181" i="98"/>
  <c r="GQ221" i="98"/>
  <c r="GQ861" i="98"/>
  <c r="GQ1021" i="98"/>
  <c r="GQ781" i="98"/>
  <c r="GQ541" i="98"/>
  <c r="GQ1101" i="98"/>
  <c r="EV55" i="98"/>
  <c r="GQ61" i="98"/>
  <c r="GN61" i="98"/>
  <c r="GN1501" i="98"/>
  <c r="GN1341" i="98"/>
  <c r="GN941" i="98"/>
  <c r="GN1421" i="98"/>
  <c r="GN301" i="98"/>
  <c r="GN1581" i="98"/>
  <c r="GN1661" i="98"/>
  <c r="GN701" i="98"/>
  <c r="GN1261" i="98"/>
  <c r="GN621" i="98"/>
  <c r="GN461" i="98"/>
  <c r="GN141" i="98"/>
  <c r="GN1021" i="98"/>
  <c r="GN1181" i="98"/>
  <c r="GN541" i="98"/>
  <c r="GN1101" i="98"/>
  <c r="GN861" i="98"/>
  <c r="GN781" i="98"/>
  <c r="GN221" i="98"/>
  <c r="GN381" i="98"/>
  <c r="GO64" i="98"/>
  <c r="GO384" i="98"/>
  <c r="GO1344" i="98"/>
  <c r="GO1104" i="98"/>
  <c r="GO1504" i="98"/>
  <c r="GO304" i="98"/>
  <c r="GO144" i="98"/>
  <c r="GO624" i="98"/>
  <c r="GO864" i="98"/>
  <c r="GO704" i="98"/>
  <c r="GO224" i="98"/>
  <c r="GO1584" i="98"/>
  <c r="GO1664" i="98"/>
  <c r="GO1024" i="98"/>
  <c r="GO1424" i="98"/>
  <c r="GO544" i="98"/>
  <c r="GO944" i="98"/>
  <c r="GO1264" i="98"/>
  <c r="GO1184" i="98"/>
  <c r="GO464" i="98"/>
  <c r="GO784" i="98"/>
  <c r="GL64" i="98"/>
  <c r="GL1504" i="98"/>
  <c r="GL1344" i="98"/>
  <c r="GL1104" i="98"/>
  <c r="GL1264" i="98"/>
  <c r="GL1184" i="98"/>
  <c r="GL304" i="98"/>
  <c r="GL384" i="98"/>
  <c r="GL144" i="98"/>
  <c r="GL704" i="98"/>
  <c r="GL224" i="98"/>
  <c r="GL864" i="98"/>
  <c r="GL1424" i="98"/>
  <c r="GL544" i="98"/>
  <c r="GL944" i="98"/>
  <c r="GL464" i="98"/>
  <c r="GL1584" i="98"/>
  <c r="GL1664" i="98"/>
  <c r="GL1024" i="98"/>
  <c r="GL784" i="98"/>
  <c r="GL624" i="98"/>
  <c r="GN82" i="98"/>
  <c r="GN1522" i="98"/>
  <c r="GN1202" i="98"/>
  <c r="GN1282" i="98"/>
  <c r="GN1042" i="98"/>
  <c r="GN162" i="98"/>
  <c r="GN1122" i="98"/>
  <c r="GN642" i="98"/>
  <c r="GN242" i="98"/>
  <c r="GN1362" i="98"/>
  <c r="GN1602" i="98"/>
  <c r="GN882" i="98"/>
  <c r="GN722" i="98"/>
  <c r="GN962" i="98"/>
  <c r="GN322" i="98"/>
  <c r="GN482" i="98"/>
  <c r="GN1682" i="98"/>
  <c r="GN1442" i="98"/>
  <c r="GN802" i="98"/>
  <c r="GN562" i="98"/>
  <c r="GN402" i="98"/>
  <c r="GK80" i="98"/>
  <c r="GK1360" i="98"/>
  <c r="GK320" i="98"/>
  <c r="GK1280" i="98"/>
  <c r="GK1200" i="98"/>
  <c r="GK1120" i="98"/>
  <c r="GK1680" i="98"/>
  <c r="GK720" i="98"/>
  <c r="GK1520" i="98"/>
  <c r="GK1600" i="98"/>
  <c r="GK480" i="98"/>
  <c r="GK800" i="98"/>
  <c r="GK160" i="98"/>
  <c r="GK960" i="98"/>
  <c r="GK400" i="98"/>
  <c r="GK240" i="98"/>
  <c r="GK560" i="98"/>
  <c r="GK1440" i="98"/>
  <c r="GK880" i="98"/>
  <c r="GK1040" i="98"/>
  <c r="GK640" i="98"/>
  <c r="GF80" i="98"/>
  <c r="GF1440" i="98"/>
  <c r="GF1360" i="98"/>
  <c r="GF1680" i="98"/>
  <c r="GF1600" i="98"/>
  <c r="GF1520" i="98"/>
  <c r="GF1200" i="98"/>
  <c r="GF960" i="98"/>
  <c r="GF1120" i="98"/>
  <c r="GF320" i="98"/>
  <c r="GF400" i="98"/>
  <c r="GF720" i="98"/>
  <c r="GF640" i="98"/>
  <c r="GF1280" i="98"/>
  <c r="GF800" i="98"/>
  <c r="GF560" i="98"/>
  <c r="GF480" i="98"/>
  <c r="GF160" i="98"/>
  <c r="GF880" i="98"/>
  <c r="GF1040" i="98"/>
  <c r="GF240" i="98"/>
  <c r="GK311" i="98"/>
  <c r="GK1511" i="98"/>
  <c r="GK1431" i="98"/>
  <c r="GK1271" i="98"/>
  <c r="GK711" i="98"/>
  <c r="FG60" i="98"/>
  <c r="FF60" i="98"/>
  <c r="ET60" i="98"/>
  <c r="FC60" i="98"/>
  <c r="FI60" i="98"/>
  <c r="FD60" i="98"/>
  <c r="DR30" i="98"/>
  <c r="GK34" i="98"/>
  <c r="GK1554" i="98"/>
  <c r="GK1074" i="98"/>
  <c r="GK1234" i="98"/>
  <c r="GK1154" i="98"/>
  <c r="GK594" i="98"/>
  <c r="GK1474" i="98"/>
  <c r="GK1314" i="98"/>
  <c r="GK194" i="98"/>
  <c r="GK434" i="98"/>
  <c r="GK354" i="98"/>
  <c r="GK1634" i="98"/>
  <c r="GK514" i="98"/>
  <c r="GK994" i="98"/>
  <c r="GK834" i="98"/>
  <c r="GK1394" i="98"/>
  <c r="GK274" i="98"/>
  <c r="GK754" i="98"/>
  <c r="GK114" i="98"/>
  <c r="GK674" i="98"/>
  <c r="GK914" i="98"/>
  <c r="GK65" i="98"/>
  <c r="GK865" i="98"/>
  <c r="GK1265" i="98"/>
  <c r="GK1105" i="98"/>
  <c r="GK145" i="98"/>
  <c r="GL65" i="98"/>
  <c r="GL1505" i="98"/>
  <c r="GL1585" i="98"/>
  <c r="GL1665" i="98"/>
  <c r="GL705" i="98"/>
  <c r="GL625" i="98"/>
  <c r="GL545" i="98"/>
  <c r="GL865" i="98"/>
  <c r="GL465" i="98"/>
  <c r="GL1025" i="98"/>
  <c r="GL1425" i="98"/>
  <c r="GL1345" i="98"/>
  <c r="GL1265" i="98"/>
  <c r="GL385" i="98"/>
  <c r="GL1105" i="98"/>
  <c r="GL785" i="98"/>
  <c r="GL305" i="98"/>
  <c r="GL1185" i="98"/>
  <c r="GL225" i="98"/>
  <c r="GL945" i="98"/>
  <c r="GL145" i="98"/>
  <c r="GL81" i="98"/>
  <c r="GL1601" i="98"/>
  <c r="GL1361" i="98"/>
  <c r="GL1521" i="98"/>
  <c r="GL1681" i="98"/>
  <c r="GL641" i="98"/>
  <c r="GL401" i="98"/>
  <c r="GL961" i="98"/>
  <c r="GL721" i="98"/>
  <c r="GL1121" i="98"/>
  <c r="GL801" i="98"/>
  <c r="GL881" i="98"/>
  <c r="GL241" i="98"/>
  <c r="GL1441" i="98"/>
  <c r="GL1201" i="98"/>
  <c r="GL1281" i="98"/>
  <c r="GL481" i="98"/>
  <c r="GL561" i="98"/>
  <c r="GL1041" i="98"/>
  <c r="GL161" i="98"/>
  <c r="GL321" i="98"/>
  <c r="GQ641" i="98"/>
  <c r="GQ1681" i="98"/>
  <c r="GQ1121" i="98"/>
  <c r="GQ321" i="98"/>
  <c r="GQ561" i="98"/>
  <c r="GQ961" i="98"/>
  <c r="GQ1041" i="98"/>
  <c r="GQ1521" i="98"/>
  <c r="GQ1441" i="98"/>
  <c r="GQ401" i="98"/>
  <c r="GQ721" i="98"/>
  <c r="GQ1601" i="98"/>
  <c r="GQ1361" i="98"/>
  <c r="GQ241" i="98"/>
  <c r="GQ881" i="98"/>
  <c r="GQ161" i="98"/>
  <c r="GQ801" i="98"/>
  <c r="GQ481" i="98"/>
  <c r="GQ1201" i="98"/>
  <c r="GQ1281" i="98"/>
  <c r="EV73" i="98"/>
  <c r="GQ81" i="98"/>
  <c r="GN1684" i="98"/>
  <c r="GN1284" i="98"/>
  <c r="GN164" i="98"/>
  <c r="GN1204" i="98"/>
  <c r="GN884" i="98"/>
  <c r="GK84" i="98"/>
  <c r="GK1124" i="98"/>
  <c r="GK484" i="98"/>
  <c r="GK404" i="98"/>
  <c r="GK164" i="98"/>
  <c r="GK564" i="98"/>
  <c r="GK244" i="98"/>
  <c r="GK964" i="98"/>
  <c r="GK1204" i="98"/>
  <c r="GK1684" i="98"/>
  <c r="GK1044" i="98"/>
  <c r="GK1284" i="98"/>
  <c r="GK1524" i="98"/>
  <c r="GK1604" i="98"/>
  <c r="GK324" i="98"/>
  <c r="GK644" i="98"/>
  <c r="GK884" i="98"/>
  <c r="GK804" i="98"/>
  <c r="GK1364" i="98"/>
  <c r="GK1444" i="98"/>
  <c r="GK724" i="98"/>
  <c r="GN73" i="98"/>
  <c r="GN1673" i="98"/>
  <c r="GN713" i="98"/>
  <c r="GN313" i="98"/>
  <c r="GN1113" i="98"/>
  <c r="GN473" i="98"/>
  <c r="GN633" i="98"/>
  <c r="GN953" i="98"/>
  <c r="GN1353" i="98"/>
  <c r="GN153" i="98"/>
  <c r="GN1193" i="98"/>
  <c r="GN233" i="98"/>
  <c r="GN1033" i="98"/>
  <c r="GN393" i="98"/>
  <c r="GN1433" i="98"/>
  <c r="GN1593" i="98"/>
  <c r="GN1513" i="98"/>
  <c r="GN1273" i="98"/>
  <c r="GN553" i="98"/>
  <c r="GN793" i="98"/>
  <c r="GN873" i="98"/>
  <c r="GQ1115" i="98"/>
  <c r="GQ315" i="98"/>
  <c r="GQ1035" i="98"/>
  <c r="GQ395" i="98"/>
  <c r="GQ875" i="98"/>
  <c r="GQ1195" i="98"/>
  <c r="GQ1515" i="98"/>
  <c r="GQ795" i="98"/>
  <c r="GQ1275" i="98"/>
  <c r="GQ555" i="98"/>
  <c r="GQ235" i="98"/>
  <c r="GQ475" i="98"/>
  <c r="GQ1435" i="98"/>
  <c r="GQ715" i="98"/>
  <c r="GQ155" i="98"/>
  <c r="GQ955" i="98"/>
  <c r="GQ1675" i="98"/>
  <c r="GQ1595" i="98"/>
  <c r="GQ635" i="98"/>
  <c r="GQ1355" i="98"/>
  <c r="EV68" i="98"/>
  <c r="GQ75" i="98"/>
  <c r="DO42" i="98"/>
  <c r="EX46" i="98"/>
  <c r="EO46" i="98" s="1"/>
  <c r="EX50" i="98"/>
  <c r="EO50" i="98" s="1"/>
  <c r="EQ50" i="98"/>
  <c r="EX49" i="98"/>
  <c r="EO49" i="98" s="1"/>
  <c r="EQ49" i="98"/>
  <c r="EX40" i="98"/>
  <c r="EQ40" i="98"/>
  <c r="EX38" i="98"/>
  <c r="EQ38" i="98"/>
  <c r="EX39" i="98"/>
  <c r="EQ39" i="98"/>
  <c r="EX37" i="98"/>
  <c r="EX41" i="98"/>
  <c r="EQ41" i="98"/>
  <c r="DI50" i="98"/>
  <c r="DZ60" i="98"/>
  <c r="DI60" i="98"/>
  <c r="DZ62" i="98"/>
  <c r="DI43" i="98"/>
  <c r="DZ51" i="98"/>
  <c r="DI51" i="98"/>
  <c r="DZ53" i="98"/>
  <c r="DI25" i="98"/>
  <c r="DZ28" i="98"/>
  <c r="DI16" i="98"/>
  <c r="DZ11" i="98"/>
  <c r="DI8" i="98"/>
  <c r="DZ7" i="98"/>
  <c r="DI31" i="98"/>
  <c r="DZ35" i="98"/>
  <c r="DI12" i="98"/>
  <c r="DZ15" i="98"/>
  <c r="DI15" i="98"/>
  <c r="DZ18" i="98"/>
  <c r="DI47" i="98"/>
  <c r="DZ52" i="98"/>
  <c r="DI59" i="98"/>
  <c r="DZ69" i="98"/>
  <c r="DI75" i="98"/>
  <c r="DZ71" i="98"/>
  <c r="DI21" i="98"/>
  <c r="DZ26" i="98"/>
  <c r="DI11" i="98"/>
  <c r="DZ10" i="98"/>
  <c r="DI30" i="98"/>
  <c r="DZ34" i="98"/>
  <c r="DZ17" i="98"/>
  <c r="DI55" i="98"/>
  <c r="DZ45" i="98"/>
  <c r="DI20" i="98"/>
  <c r="DZ25" i="98"/>
  <c r="DI7" i="98"/>
  <c r="DQ7" i="98" s="1"/>
  <c r="DZ6" i="98"/>
  <c r="DI10" i="98"/>
  <c r="DZ9" i="98"/>
  <c r="DI29" i="98"/>
  <c r="DZ33" i="98"/>
  <c r="DI28" i="98"/>
  <c r="DZ20" i="98"/>
  <c r="DI13" i="98"/>
  <c r="DZ16" i="98"/>
  <c r="DI67" i="98"/>
  <c r="DZ63" i="98"/>
  <c r="DI53" i="98"/>
  <c r="DZ61" i="98"/>
  <c r="DI72" i="98"/>
  <c r="DZ54" i="98"/>
  <c r="DI23" i="98"/>
  <c r="DZ27" i="98"/>
  <c r="DI26" i="98"/>
  <c r="DZ12" i="98"/>
  <c r="DI9" i="98"/>
  <c r="DZ8" i="98"/>
  <c r="DI34" i="98"/>
  <c r="DZ36" i="98"/>
  <c r="DI18" i="98"/>
  <c r="DZ19" i="98"/>
  <c r="DI40" i="98"/>
  <c r="DI46" i="98"/>
  <c r="S47" i="81"/>
  <c r="T47" i="81" s="1"/>
  <c r="GA1674" i="98" l="1"/>
  <c r="GA234" i="98"/>
  <c r="GA554" i="98"/>
  <c r="GA1274" i="98"/>
  <c r="GA314" i="98"/>
  <c r="GA1531" i="98"/>
  <c r="GA11" i="98"/>
  <c r="GA411" i="98"/>
  <c r="GA331" i="98"/>
  <c r="GA1211" i="98"/>
  <c r="GA1371" i="98"/>
  <c r="GA987" i="98"/>
  <c r="GA827" i="98"/>
  <c r="GA27" i="98"/>
  <c r="GA107" i="98"/>
  <c r="GA267" i="98"/>
  <c r="GA350" i="98"/>
  <c r="GA30" i="98"/>
  <c r="GA270" i="98"/>
  <c r="GA510" i="98"/>
  <c r="GA1070" i="98"/>
  <c r="GA1150" i="98"/>
  <c r="GA1102" i="98"/>
  <c r="GA142" i="98"/>
  <c r="GA542" i="98"/>
  <c r="GA222" i="98"/>
  <c r="GA942" i="98"/>
  <c r="GA577" i="98"/>
  <c r="GA17" i="98"/>
  <c r="GA177" i="98"/>
  <c r="GA337" i="98"/>
  <c r="GA1297" i="98"/>
  <c r="GA1288" i="98"/>
  <c r="GA328" i="98"/>
  <c r="GA248" i="98"/>
  <c r="GA1608" i="98"/>
  <c r="GA408" i="98"/>
  <c r="GA340" i="98"/>
  <c r="GA20" i="98"/>
  <c r="GA100" i="98"/>
  <c r="GA1300" i="98"/>
  <c r="GA1460" i="98"/>
  <c r="GA154" i="98"/>
  <c r="GA1514" i="98"/>
  <c r="GA1034" i="98"/>
  <c r="GA394" i="98"/>
  <c r="GA1114" i="98"/>
  <c r="GA1611" i="98"/>
  <c r="GA571" i="98"/>
  <c r="GA91" i="98"/>
  <c r="GA891" i="98"/>
  <c r="GA1131" i="98"/>
  <c r="GA587" i="98"/>
  <c r="GA347" i="98"/>
  <c r="GA1627" i="98"/>
  <c r="GA667" i="98"/>
  <c r="GA1227" i="98"/>
  <c r="GA507" i="98"/>
  <c r="GA590" i="98"/>
  <c r="GA1630" i="98"/>
  <c r="GA670" i="98"/>
  <c r="GA430" i="98"/>
  <c r="GA990" i="98"/>
  <c r="GA1502" i="98"/>
  <c r="GA1582" i="98"/>
  <c r="GA1662" i="98"/>
  <c r="GA462" i="98"/>
  <c r="GA622" i="98"/>
  <c r="GA302" i="98"/>
  <c r="GA657" i="98"/>
  <c r="GA417" i="98"/>
  <c r="GA1057" i="98"/>
  <c r="GA257" i="98"/>
  <c r="GA1377" i="98"/>
  <c r="GA1208" i="98"/>
  <c r="GA1528" i="98"/>
  <c r="GA1448" i="98"/>
  <c r="GA728" i="98"/>
  <c r="GA1368" i="98"/>
  <c r="GA88" i="98"/>
  <c r="GA980" i="98"/>
  <c r="GA660" i="98"/>
  <c r="GA1620" i="98"/>
  <c r="GA900" i="98"/>
  <c r="GA1060" i="98"/>
  <c r="GA811" i="98"/>
  <c r="GA731" i="98"/>
  <c r="GA1051" i="98"/>
  <c r="GA491" i="98"/>
  <c r="GA747" i="98"/>
  <c r="GA907" i="98"/>
  <c r="GA1387" i="98"/>
  <c r="GA1067" i="98"/>
  <c r="GA1390" i="98"/>
  <c r="GA1310" i="98"/>
  <c r="GA1550" i="98"/>
  <c r="GA750" i="98"/>
  <c r="GA1182" i="98"/>
  <c r="GA1262" i="98"/>
  <c r="GA1342" i="98"/>
  <c r="GA1022" i="98"/>
  <c r="GA977" i="98"/>
  <c r="GA897" i="98"/>
  <c r="GA97" i="98"/>
  <c r="GA1537" i="98"/>
  <c r="GA1137" i="98"/>
  <c r="GA168" i="98"/>
  <c r="GA1128" i="98"/>
  <c r="GA808" i="98"/>
  <c r="GA888" i="98"/>
  <c r="GA1540" i="98"/>
  <c r="GA740" i="98"/>
  <c r="GA820" i="98"/>
  <c r="GA500" i="98"/>
  <c r="EQ61" i="98"/>
  <c r="EQ63" i="98"/>
  <c r="EQ51" i="98"/>
  <c r="EQ60" i="98"/>
  <c r="EQ54" i="98"/>
  <c r="EQ53" i="98"/>
  <c r="EQ62" i="98"/>
  <c r="EX47" i="98"/>
  <c r="EO47" i="98" s="1"/>
  <c r="EQ25" i="98"/>
  <c r="EX19" i="98"/>
  <c r="EX9" i="98"/>
  <c r="EO74" i="98"/>
  <c r="ET74" i="98"/>
  <c r="EO66" i="98"/>
  <c r="FI66" i="98"/>
  <c r="EO23" i="98"/>
  <c r="FI23" i="98"/>
  <c r="EX52" i="98"/>
  <c r="EX51" i="98"/>
  <c r="FF51" i="98" s="1"/>
  <c r="EX11" i="98"/>
  <c r="FF11" i="98" s="1"/>
  <c r="EO75" i="98"/>
  <c r="FI75" i="98"/>
  <c r="FF75" i="98"/>
  <c r="FD75" i="98"/>
  <c r="FC75" i="98"/>
  <c r="FG75" i="98"/>
  <c r="GA644" i="98"/>
  <c r="GA1684" i="98"/>
  <c r="GA724" i="98"/>
  <c r="EX54" i="98"/>
  <c r="EQ46" i="98"/>
  <c r="EX16" i="98"/>
  <c r="EX53" i="98"/>
  <c r="EO59" i="98"/>
  <c r="FI59" i="98"/>
  <c r="GA1064" i="98"/>
  <c r="EX48" i="98"/>
  <c r="EO48" i="98" s="1"/>
  <c r="EQ28" i="98"/>
  <c r="EQ15" i="98"/>
  <c r="EX12" i="98"/>
  <c r="BE4" i="98"/>
  <c r="BE10" i="98" s="1"/>
  <c r="BE6" i="98"/>
  <c r="EO13" i="98"/>
  <c r="FF13" i="98"/>
  <c r="FI13" i="98"/>
  <c r="ET13" i="98"/>
  <c r="FG13" i="98"/>
  <c r="FC13" i="98"/>
  <c r="FD13" i="98"/>
  <c r="GA480" i="98"/>
  <c r="DR69" i="98"/>
  <c r="GN1352" i="98"/>
  <c r="GN1112" i="98"/>
  <c r="GN1272" i="98"/>
  <c r="GF1502" i="98"/>
  <c r="GF222" i="98"/>
  <c r="GF1582" i="98"/>
  <c r="GF1662" i="98"/>
  <c r="GF782" i="98"/>
  <c r="GF1422" i="98"/>
  <c r="GF1022" i="98"/>
  <c r="GF542" i="98"/>
  <c r="GF382" i="98"/>
  <c r="GF142" i="98"/>
  <c r="GF1342" i="98"/>
  <c r="GF462" i="98"/>
  <c r="GF622" i="98"/>
  <c r="GF1262" i="98"/>
  <c r="GF862" i="98"/>
  <c r="EO52" i="98"/>
  <c r="FI52" i="98"/>
  <c r="GC155" i="98"/>
  <c r="GC75" i="98"/>
  <c r="GC1355" i="98"/>
  <c r="GC715" i="98"/>
  <c r="GC1035" i="98"/>
  <c r="DO14" i="98"/>
  <c r="DO46" i="98"/>
  <c r="DO32" i="98"/>
  <c r="DO26" i="98"/>
  <c r="DO23" i="98"/>
  <c r="GL303" i="98"/>
  <c r="GL143" i="98"/>
  <c r="GL703" i="98"/>
  <c r="GL1503" i="98"/>
  <c r="GL383" i="98"/>
  <c r="GL1343" i="98"/>
  <c r="GL623" i="98"/>
  <c r="GL543" i="98"/>
  <c r="GL863" i="98"/>
  <c r="GL1263" i="98"/>
  <c r="GL63" i="98"/>
  <c r="GL1023" i="98"/>
  <c r="GL1663" i="98"/>
  <c r="GL943" i="98"/>
  <c r="GL1103" i="98"/>
  <c r="GL1583" i="98"/>
  <c r="GK63" i="98"/>
  <c r="GK463" i="98"/>
  <c r="GK703" i="98"/>
  <c r="GK1503" i="98"/>
  <c r="GK1423" i="98"/>
  <c r="GK1583" i="98"/>
  <c r="GK223" i="98"/>
  <c r="GK1343" i="98"/>
  <c r="GK943" i="98"/>
  <c r="GK383" i="98"/>
  <c r="GK1103" i="98"/>
  <c r="GK143" i="98"/>
  <c r="GK623" i="98"/>
  <c r="GK863" i="98"/>
  <c r="GK783" i="98"/>
  <c r="GK1183" i="98"/>
  <c r="EO51" i="98"/>
  <c r="FC51" i="98"/>
  <c r="FD51" i="98"/>
  <c r="FI51" i="98"/>
  <c r="ET51" i="98"/>
  <c r="FG51" i="98"/>
  <c r="GC185" i="98"/>
  <c r="GC665" i="98"/>
  <c r="GC1145" i="98"/>
  <c r="GC1305" i="98"/>
  <c r="GC25" i="98"/>
  <c r="GC505" i="98"/>
  <c r="GC985" i="98"/>
  <c r="GC1465" i="98"/>
  <c r="GN1624" i="98"/>
  <c r="GN1144" i="98"/>
  <c r="GN664" i="98"/>
  <c r="GN824" i="98"/>
  <c r="GN424" i="98"/>
  <c r="GN1384" i="98"/>
  <c r="GN1304" i="98"/>
  <c r="GN504" i="98"/>
  <c r="GN344" i="98"/>
  <c r="GN904" i="98"/>
  <c r="GN1464" i="98"/>
  <c r="GN104" i="98"/>
  <c r="GN1224" i="98"/>
  <c r="GN984" i="98"/>
  <c r="GN744" i="98"/>
  <c r="GL25" i="98"/>
  <c r="GL425" i="98"/>
  <c r="GL1625" i="98"/>
  <c r="GL505" i="98"/>
  <c r="GL185" i="98"/>
  <c r="GL1065" i="98"/>
  <c r="GL585" i="98"/>
  <c r="GL1225" i="98"/>
  <c r="GL265" i="98"/>
  <c r="GL1385" i="98"/>
  <c r="GL105" i="98"/>
  <c r="GL745" i="98"/>
  <c r="GL345" i="98"/>
  <c r="GL905" i="98"/>
  <c r="GL1305" i="98"/>
  <c r="GL1545" i="98"/>
  <c r="GK73" i="98"/>
  <c r="GK1593" i="98"/>
  <c r="GK793" i="98"/>
  <c r="GK873" i="98"/>
  <c r="GK1033" i="98"/>
  <c r="GK953" i="98"/>
  <c r="GK713" i="98"/>
  <c r="GK1113" i="98"/>
  <c r="GK1433" i="98"/>
  <c r="GK233" i="98"/>
  <c r="GK1193" i="98"/>
  <c r="GK393" i="98"/>
  <c r="GK153" i="98"/>
  <c r="GK1513" i="98"/>
  <c r="GK1353" i="98"/>
  <c r="GK553" i="98"/>
  <c r="EO11" i="98"/>
  <c r="FD11" i="98"/>
  <c r="ET11" i="98"/>
  <c r="FC11" i="98"/>
  <c r="FI11" i="98"/>
  <c r="FG11" i="98"/>
  <c r="GO625" i="98"/>
  <c r="GO145" i="98"/>
  <c r="GO545" i="98"/>
  <c r="GO1425" i="98"/>
  <c r="GO1105" i="98"/>
  <c r="GO1505" i="98"/>
  <c r="GO945" i="98"/>
  <c r="GO465" i="98"/>
  <c r="GO1265" i="98"/>
  <c r="GO1585" i="98"/>
  <c r="GO1665" i="98"/>
  <c r="GO225" i="98"/>
  <c r="GO385" i="98"/>
  <c r="GO1025" i="98"/>
  <c r="GO785" i="98"/>
  <c r="GF1353" i="98"/>
  <c r="GF953" i="98"/>
  <c r="GF153" i="98"/>
  <c r="GF1673" i="98"/>
  <c r="GF553" i="98"/>
  <c r="GF473" i="98"/>
  <c r="GF1593" i="98"/>
  <c r="GF233" i="98"/>
  <c r="GF1273" i="98"/>
  <c r="GF1033" i="98"/>
  <c r="GF73" i="98"/>
  <c r="GF1513" i="98"/>
  <c r="GF873" i="98"/>
  <c r="GF393" i="98"/>
  <c r="GF1113" i="98"/>
  <c r="GF1193" i="98"/>
  <c r="GO1464" i="98"/>
  <c r="GO744" i="98"/>
  <c r="GO424" i="98"/>
  <c r="GO664" i="98"/>
  <c r="GO1304" i="98"/>
  <c r="GO504" i="98"/>
  <c r="GO984" i="98"/>
  <c r="GO1224" i="98"/>
  <c r="GO1544" i="98"/>
  <c r="GO824" i="98"/>
  <c r="EX20" i="98"/>
  <c r="EQ20" i="98"/>
  <c r="GL1280" i="98"/>
  <c r="GL720" i="98"/>
  <c r="GL960" i="98"/>
  <c r="GL1520" i="98"/>
  <c r="GL800" i="98"/>
  <c r="GL1360" i="98"/>
  <c r="GL480" i="98"/>
  <c r="GL1040" i="98"/>
  <c r="GL1680" i="98"/>
  <c r="GL240" i="98"/>
  <c r="GL1120" i="98"/>
  <c r="GL400" i="98"/>
  <c r="GL160" i="98"/>
  <c r="GL1440" i="98"/>
  <c r="GL880" i="98"/>
  <c r="GF83" i="98"/>
  <c r="GF1203" i="98"/>
  <c r="GF483" i="98"/>
  <c r="GF1443" i="98"/>
  <c r="GF963" i="98"/>
  <c r="GF403" i="98"/>
  <c r="GF1363" i="98"/>
  <c r="GF243" i="98"/>
  <c r="GF163" i="98"/>
  <c r="GF883" i="98"/>
  <c r="GF643" i="98"/>
  <c r="GF1043" i="98"/>
  <c r="GF563" i="98"/>
  <c r="GF323" i="98"/>
  <c r="GF723" i="98"/>
  <c r="GF1283" i="98"/>
  <c r="GO324" i="98"/>
  <c r="GO564" i="98"/>
  <c r="GO1684" i="98"/>
  <c r="GO1364" i="98"/>
  <c r="GO884" i="98"/>
  <c r="GO84" i="98"/>
  <c r="GO404" i="98"/>
  <c r="GO964" i="98"/>
  <c r="GO1524" i="98"/>
  <c r="GO1284" i="98"/>
  <c r="GO244" i="98"/>
  <c r="GO1124" i="98"/>
  <c r="GO164" i="98"/>
  <c r="GO1204" i="98"/>
  <c r="GO1604" i="98"/>
  <c r="GO644" i="98"/>
  <c r="DP33" i="98"/>
  <c r="DP56" i="98"/>
  <c r="GK64" i="98"/>
  <c r="GK864" i="98"/>
  <c r="GK384" i="98"/>
  <c r="GO1595" i="98"/>
  <c r="GO1035" i="98"/>
  <c r="GO315" i="98"/>
  <c r="DP19" i="98"/>
  <c r="EQ37" i="98"/>
  <c r="DR17" i="98"/>
  <c r="EO9" i="98"/>
  <c r="FC9" i="98"/>
  <c r="FF9" i="98"/>
  <c r="FG9" i="98"/>
  <c r="GO1130" i="98" s="1"/>
  <c r="FI9" i="98"/>
  <c r="FD9" i="98"/>
  <c r="DZ43" i="98"/>
  <c r="GN644" i="98"/>
  <c r="GN964" i="98"/>
  <c r="GN324" i="98"/>
  <c r="GN484" i="98"/>
  <c r="GN1524" i="98"/>
  <c r="GK305" i="98"/>
  <c r="GK785" i="98"/>
  <c r="GK1185" i="98"/>
  <c r="DR51" i="98"/>
  <c r="DR45" i="98"/>
  <c r="DR52" i="98"/>
  <c r="DR32" i="98"/>
  <c r="DR37" i="98"/>
  <c r="DR75" i="98"/>
  <c r="DR61" i="98"/>
  <c r="DR38" i="98"/>
  <c r="DR14" i="98"/>
  <c r="GF383" i="98"/>
  <c r="GF1503" i="98"/>
  <c r="GF783" i="98"/>
  <c r="GF143" i="98"/>
  <c r="DP13" i="98"/>
  <c r="GC1192" i="98"/>
  <c r="GO1273" i="98"/>
  <c r="GO1433" i="98"/>
  <c r="GN1440" i="98"/>
  <c r="GO825" i="98"/>
  <c r="GQ1102" i="98"/>
  <c r="DP63" i="98"/>
  <c r="DP26" i="98"/>
  <c r="GK75" i="98"/>
  <c r="GK395" i="98"/>
  <c r="GK235" i="98"/>
  <c r="GK155" i="98"/>
  <c r="GK1195" i="98"/>
  <c r="GK1675" i="98"/>
  <c r="GK1115" i="98"/>
  <c r="GK875" i="98"/>
  <c r="GK1275" i="98"/>
  <c r="GK1355" i="98"/>
  <c r="GK795" i="98"/>
  <c r="GK1035" i="98"/>
  <c r="GK475" i="98"/>
  <c r="GK715" i="98"/>
  <c r="GK555" i="98"/>
  <c r="GK1595" i="98"/>
  <c r="GK1515" i="98"/>
  <c r="GK955" i="98"/>
  <c r="GN1262" i="98"/>
  <c r="GN1182" i="98"/>
  <c r="GN142" i="98"/>
  <c r="GN462" i="98"/>
  <c r="GN302" i="98"/>
  <c r="GC222" i="98"/>
  <c r="GC1102" i="98"/>
  <c r="GC142" i="98"/>
  <c r="GC1422" i="98"/>
  <c r="GC72" i="98"/>
  <c r="GC392" i="98"/>
  <c r="GC712" i="98"/>
  <c r="GC1032" i="98"/>
  <c r="GC1352" i="98"/>
  <c r="GC1672" i="98"/>
  <c r="GC152" i="98"/>
  <c r="GC472" i="98"/>
  <c r="GC792" i="98"/>
  <c r="GC1112" i="98"/>
  <c r="GC1432" i="98"/>
  <c r="EO19" i="98"/>
  <c r="FF19" i="98"/>
  <c r="ET19" i="98"/>
  <c r="FI19" i="98"/>
  <c r="GN385" i="98"/>
  <c r="GN1265" i="98"/>
  <c r="GN1505" i="98"/>
  <c r="GN705" i="98"/>
  <c r="GN945" i="98"/>
  <c r="GF1385" i="98"/>
  <c r="GF1225" i="98"/>
  <c r="GF1625" i="98"/>
  <c r="GF505" i="98"/>
  <c r="GF1065" i="98"/>
  <c r="GF985" i="98"/>
  <c r="GF665" i="98"/>
  <c r="GF265" i="98"/>
  <c r="GF825" i="98"/>
  <c r="GF105" i="98"/>
  <c r="GF425" i="98"/>
  <c r="GF345" i="98"/>
  <c r="GF25" i="98"/>
  <c r="GF585" i="98"/>
  <c r="GF185" i="98"/>
  <c r="GF1465" i="98"/>
  <c r="GF1145" i="98"/>
  <c r="GF1545" i="98"/>
  <c r="GK705" i="98"/>
  <c r="GK1585" i="98"/>
  <c r="GK1025" i="98"/>
  <c r="GK545" i="98"/>
  <c r="GL24" i="98"/>
  <c r="GL504" i="98"/>
  <c r="GL1144" i="98"/>
  <c r="GL344" i="98"/>
  <c r="GL1624" i="98"/>
  <c r="GL264" i="98"/>
  <c r="GL1384" i="98"/>
  <c r="GL104" i="98"/>
  <c r="GL984" i="98"/>
  <c r="GL664" i="98"/>
  <c r="GL904" i="98"/>
  <c r="GL1304" i="98"/>
  <c r="GL1064" i="98"/>
  <c r="GL744" i="98"/>
  <c r="GL584" i="98"/>
  <c r="GL1224" i="98"/>
  <c r="GL424" i="98"/>
  <c r="GL1544" i="98"/>
  <c r="GO1593" i="98"/>
  <c r="GO393" i="98"/>
  <c r="GO793" i="98"/>
  <c r="GO233" i="98"/>
  <c r="GO553" i="98"/>
  <c r="GO1513" i="98"/>
  <c r="GO473" i="98"/>
  <c r="GO1193" i="98"/>
  <c r="GO1353" i="98"/>
  <c r="GO313" i="98"/>
  <c r="DP21" i="98"/>
  <c r="DP43" i="98"/>
  <c r="DP59" i="98"/>
  <c r="DP70" i="98"/>
  <c r="DP32" i="98"/>
  <c r="DP14" i="98"/>
  <c r="DP76" i="98"/>
  <c r="DP23" i="98"/>
  <c r="DP18" i="98"/>
  <c r="DP44" i="98"/>
  <c r="DP39" i="98"/>
  <c r="DP40" i="98"/>
  <c r="DP54" i="98"/>
  <c r="DP22" i="98"/>
  <c r="DP66" i="98"/>
  <c r="DP29" i="98"/>
  <c r="DP35" i="98"/>
  <c r="DP50" i="98"/>
  <c r="DP67" i="98"/>
  <c r="DP55" i="98"/>
  <c r="DP64" i="98"/>
  <c r="DP68" i="98"/>
  <c r="DP24" i="98"/>
  <c r="DP75" i="98"/>
  <c r="DP27" i="98"/>
  <c r="DP57" i="98"/>
  <c r="DP37" i="98"/>
  <c r="DP41" i="98"/>
  <c r="DP12" i="98"/>
  <c r="DP16" i="98"/>
  <c r="DP61" i="98"/>
  <c r="DP69" i="98"/>
  <c r="DP71" i="98"/>
  <c r="DP31" i="98"/>
  <c r="DP47" i="98"/>
  <c r="DP45" i="98"/>
  <c r="DP60" i="98"/>
  <c r="DP58" i="98"/>
  <c r="DP20" i="98"/>
  <c r="DP28" i="98"/>
  <c r="DP53" i="98"/>
  <c r="DP17" i="98"/>
  <c r="DP73" i="98"/>
  <c r="DP49" i="98"/>
  <c r="DP51" i="98"/>
  <c r="DP38" i="98"/>
  <c r="DP42" i="98"/>
  <c r="DP15" i="98"/>
  <c r="DP72" i="98"/>
  <c r="DP34" i="98"/>
  <c r="DP62" i="98"/>
  <c r="DP48" i="98"/>
  <c r="DP46" i="98"/>
  <c r="DP52" i="98"/>
  <c r="DP25" i="98"/>
  <c r="DP36" i="98"/>
  <c r="GQ1120" i="98"/>
  <c r="GQ1680" i="98"/>
  <c r="GQ560" i="98"/>
  <c r="GQ400" i="98"/>
  <c r="GQ1040" i="98"/>
  <c r="GQ80" i="98"/>
  <c r="GQ720" i="98"/>
  <c r="GQ1600" i="98"/>
  <c r="GQ1280" i="98"/>
  <c r="GQ880" i="98"/>
  <c r="GQ1200" i="98"/>
  <c r="GQ480" i="98"/>
  <c r="GQ160" i="98"/>
  <c r="EV72" i="98"/>
  <c r="GH1440" i="98" s="1"/>
  <c r="GQ1360" i="98"/>
  <c r="GQ800" i="98"/>
  <c r="GQ1440" i="98"/>
  <c r="GQ640" i="98"/>
  <c r="GF1284" i="98"/>
  <c r="GF1124" i="98"/>
  <c r="GF964" i="98"/>
  <c r="GF644" i="98"/>
  <c r="GF1684" i="98"/>
  <c r="GF1204" i="98"/>
  <c r="GF404" i="98"/>
  <c r="GF564" i="98"/>
  <c r="GF484" i="98"/>
  <c r="GF724" i="98"/>
  <c r="GF1044" i="98"/>
  <c r="GF164" i="98"/>
  <c r="GF884" i="98"/>
  <c r="GF1604" i="98"/>
  <c r="GF1364" i="98"/>
  <c r="GF244" i="98"/>
  <c r="GF1524" i="98"/>
  <c r="GF1444" i="98"/>
  <c r="GN804" i="98"/>
  <c r="GN404" i="98"/>
  <c r="GN1604" i="98"/>
  <c r="GK1345" i="98"/>
  <c r="GK1665" i="98"/>
  <c r="DR20" i="98"/>
  <c r="DR27" i="98"/>
  <c r="DR44" i="98"/>
  <c r="DR39" i="98"/>
  <c r="GF1023" i="98"/>
  <c r="GC952" i="98"/>
  <c r="GO153" i="98"/>
  <c r="GO73" i="98"/>
  <c r="FD19" i="98"/>
  <c r="GL1381" i="98" s="1"/>
  <c r="GL184" i="98"/>
  <c r="GF905" i="98"/>
  <c r="GK315" i="98"/>
  <c r="GN865" i="98"/>
  <c r="DO53" i="98"/>
  <c r="DO65" i="98"/>
  <c r="DO57" i="98"/>
  <c r="DO74" i="98"/>
  <c r="DO55" i="98"/>
  <c r="DO72" i="98"/>
  <c r="DO56" i="98"/>
  <c r="DO59" i="98"/>
  <c r="DO63" i="98"/>
  <c r="DO67" i="98"/>
  <c r="DO50" i="98"/>
  <c r="DO54" i="98"/>
  <c r="DO61" i="98"/>
  <c r="GL475" i="98"/>
  <c r="GL395" i="98"/>
  <c r="GQ382" i="98"/>
  <c r="GQ142" i="98"/>
  <c r="GQ1182" i="98"/>
  <c r="GQ1262" i="98"/>
  <c r="GQ542" i="98"/>
  <c r="GQ1342" i="98"/>
  <c r="GQ302" i="98"/>
  <c r="GQ782" i="98"/>
  <c r="GQ862" i="98"/>
  <c r="GQ1582" i="98"/>
  <c r="GQ1502" i="98"/>
  <c r="GQ1022" i="98"/>
  <c r="GQ1662" i="98"/>
  <c r="GQ222" i="98"/>
  <c r="GQ702" i="98"/>
  <c r="EV56" i="98"/>
  <c r="GQ462" i="98"/>
  <c r="GQ622" i="98"/>
  <c r="GQ62" i="98"/>
  <c r="GC64" i="98"/>
  <c r="GC1264" i="98"/>
  <c r="GQ463" i="98"/>
  <c r="GQ1183" i="98"/>
  <c r="GQ863" i="98"/>
  <c r="GQ143" i="98"/>
  <c r="GQ703" i="98"/>
  <c r="GQ623" i="98"/>
  <c r="EV57" i="98"/>
  <c r="GF1423" i="98"/>
  <c r="GF623" i="98"/>
  <c r="GF1183" i="98"/>
  <c r="GF1263" i="98"/>
  <c r="GF1103" i="98"/>
  <c r="GO1023" i="98"/>
  <c r="GO1583" i="98"/>
  <c r="GO1663" i="98"/>
  <c r="GO863" i="98"/>
  <c r="GO1263" i="98"/>
  <c r="GO63" i="98"/>
  <c r="GO463" i="98"/>
  <c r="GO703" i="98"/>
  <c r="GO1183" i="98"/>
  <c r="GO303" i="98"/>
  <c r="GO1343" i="98"/>
  <c r="GO543" i="98"/>
  <c r="GO783" i="98"/>
  <c r="GO223" i="98"/>
  <c r="GO1423" i="98"/>
  <c r="GO383" i="98"/>
  <c r="GO1503" i="98"/>
  <c r="GO585" i="98"/>
  <c r="GO1225" i="98"/>
  <c r="GO265" i="98"/>
  <c r="GO1465" i="98"/>
  <c r="GO905" i="98"/>
  <c r="GO25" i="98"/>
  <c r="GO745" i="98"/>
  <c r="GO1625" i="98"/>
  <c r="GO105" i="98"/>
  <c r="GO985" i="98"/>
  <c r="GO1145" i="98"/>
  <c r="GO345" i="98"/>
  <c r="GO505" i="98"/>
  <c r="GO665" i="98"/>
  <c r="GO1065" i="98"/>
  <c r="GO1305" i="98"/>
  <c r="GO1545" i="98"/>
  <c r="GC24" i="98"/>
  <c r="GC584" i="98"/>
  <c r="GC504" i="98"/>
  <c r="GC744" i="98"/>
  <c r="GC1304" i="98"/>
  <c r="GC1464" i="98"/>
  <c r="GC184" i="98"/>
  <c r="GC424" i="98"/>
  <c r="GC1064" i="98"/>
  <c r="GC904" i="98"/>
  <c r="GC1384" i="98"/>
  <c r="GC104" i="98"/>
  <c r="GC664" i="98"/>
  <c r="GC344" i="98"/>
  <c r="GC824" i="98"/>
  <c r="GC264" i="98"/>
  <c r="GC1144" i="98"/>
  <c r="GQ1202" i="98"/>
  <c r="GQ722" i="98"/>
  <c r="GQ882" i="98"/>
  <c r="GQ642" i="98"/>
  <c r="GQ1442" i="98"/>
  <c r="EV74" i="98"/>
  <c r="GQ1282" i="98"/>
  <c r="GQ162" i="98"/>
  <c r="GQ1682" i="98"/>
  <c r="GQ962" i="98"/>
  <c r="GQ562" i="98"/>
  <c r="GQ82" i="98"/>
  <c r="GQ1522" i="98"/>
  <c r="GQ1362" i="98"/>
  <c r="GQ322" i="98"/>
  <c r="GQ1042" i="98"/>
  <c r="GQ1122" i="98"/>
  <c r="GQ802" i="98"/>
  <c r="GQ242" i="98"/>
  <c r="GQ402" i="98"/>
  <c r="GN1360" i="98"/>
  <c r="GN480" i="98"/>
  <c r="GN1040" i="98"/>
  <c r="GN1600" i="98"/>
  <c r="GN880" i="98"/>
  <c r="GN1120" i="98"/>
  <c r="GN400" i="98"/>
  <c r="GN1200" i="98"/>
  <c r="GN1680" i="98"/>
  <c r="GN640" i="98"/>
  <c r="GN1280" i="98"/>
  <c r="GN720" i="98"/>
  <c r="GN960" i="98"/>
  <c r="GN160" i="98"/>
  <c r="GN240" i="98"/>
  <c r="DR11" i="98"/>
  <c r="DR36" i="98"/>
  <c r="DR15" i="98"/>
  <c r="DR72" i="98"/>
  <c r="DR76" i="98"/>
  <c r="DR28" i="98"/>
  <c r="DR56" i="98"/>
  <c r="DR33" i="98"/>
  <c r="DR66" i="98"/>
  <c r="DR40" i="98"/>
  <c r="DR22" i="98"/>
  <c r="DR31" i="98"/>
  <c r="DR23" i="98"/>
  <c r="DR21" i="98"/>
  <c r="DZ42" i="98"/>
  <c r="DZ24" i="98"/>
  <c r="GN564" i="98"/>
  <c r="GN1124" i="98"/>
  <c r="GK465" i="98"/>
  <c r="GK385" i="98"/>
  <c r="DR57" i="98"/>
  <c r="DR67" i="98"/>
  <c r="DR26" i="98"/>
  <c r="DR46" i="98"/>
  <c r="GF303" i="98"/>
  <c r="GF223" i="98"/>
  <c r="GC1592" i="98"/>
  <c r="GC312" i="98"/>
  <c r="GO873" i="98"/>
  <c r="GN1520" i="98"/>
  <c r="GO943" i="98"/>
  <c r="GQ240" i="98"/>
  <c r="DP65" i="98"/>
  <c r="GF84" i="98"/>
  <c r="GF311" i="98"/>
  <c r="GF551" i="98"/>
  <c r="EO54" i="98"/>
  <c r="FD54" i="98"/>
  <c r="GL1100" i="98" s="1"/>
  <c r="GN724" i="98"/>
  <c r="GN1044" i="98"/>
  <c r="GN244" i="98"/>
  <c r="GN1364" i="98"/>
  <c r="GN1444" i="98"/>
  <c r="GK225" i="98"/>
  <c r="GK1425" i="98"/>
  <c r="GK945" i="98"/>
  <c r="GK1505" i="98"/>
  <c r="DP30" i="98"/>
  <c r="DR64" i="98"/>
  <c r="DR55" i="98"/>
  <c r="DR73" i="98"/>
  <c r="DR18" i="98"/>
  <c r="DR50" i="98"/>
  <c r="DR74" i="98"/>
  <c r="DR68" i="98"/>
  <c r="DR13" i="98"/>
  <c r="GF543" i="98"/>
  <c r="GF943" i="98"/>
  <c r="GF703" i="98"/>
  <c r="GF63" i="98"/>
  <c r="GC1512" i="98"/>
  <c r="GC872" i="98"/>
  <c r="GC232" i="98"/>
  <c r="GO1033" i="98"/>
  <c r="GO1113" i="98"/>
  <c r="GN560" i="98"/>
  <c r="GN1502" i="98"/>
  <c r="GO185" i="98"/>
  <c r="GO623" i="98"/>
  <c r="GQ960" i="98"/>
  <c r="GL1464" i="98"/>
  <c r="DP74" i="98"/>
  <c r="ET9" i="98"/>
  <c r="GF1305" i="98"/>
  <c r="GQ1602" i="98"/>
  <c r="GC509" i="98"/>
  <c r="DR48" i="98"/>
  <c r="GK1262" i="98"/>
  <c r="GK1582" i="98"/>
  <c r="GK302" i="98"/>
  <c r="GK1422" i="98"/>
  <c r="GK1662" i="98"/>
  <c r="GK1022" i="98"/>
  <c r="GK222" i="98"/>
  <c r="GK1502" i="98"/>
  <c r="GK782" i="98"/>
  <c r="GK542" i="98"/>
  <c r="GL1262" i="98"/>
  <c r="GL1022" i="98"/>
  <c r="GL1662" i="98"/>
  <c r="GL462" i="98"/>
  <c r="GL1582" i="98"/>
  <c r="GL1194" i="98"/>
  <c r="GL234" i="98"/>
  <c r="GL314" i="98"/>
  <c r="GL154" i="98"/>
  <c r="GL394" i="98"/>
  <c r="GL1114" i="98"/>
  <c r="GL714" i="98"/>
  <c r="GL1354" i="98"/>
  <c r="GL1674" i="98"/>
  <c r="GL1514" i="98"/>
  <c r="GL1274" i="98"/>
  <c r="GL1034" i="98"/>
  <c r="GL1594" i="98"/>
  <c r="GL554" i="98"/>
  <c r="GL874" i="98"/>
  <c r="GO72" i="98"/>
  <c r="GO472" i="98"/>
  <c r="GO712" i="98"/>
  <c r="GO232" i="98"/>
  <c r="GO1272" i="98"/>
  <c r="GO1672" i="98"/>
  <c r="GO1352" i="98"/>
  <c r="GO392" i="98"/>
  <c r="GO1032" i="98"/>
  <c r="GO1192" i="98"/>
  <c r="GO552" i="98"/>
  <c r="GO1432" i="98"/>
  <c r="GO312" i="98"/>
  <c r="GO632" i="98"/>
  <c r="GO872" i="98"/>
  <c r="GO1512" i="98"/>
  <c r="GQ952" i="98"/>
  <c r="GQ1032" i="98"/>
  <c r="GQ392" i="98"/>
  <c r="GQ1512" i="98"/>
  <c r="GQ712" i="98"/>
  <c r="GQ1432" i="98"/>
  <c r="GQ312" i="98"/>
  <c r="GQ472" i="98"/>
  <c r="GQ872" i="98"/>
  <c r="GQ1672" i="98"/>
  <c r="EV65" i="98"/>
  <c r="GH1352" i="98" s="1"/>
  <c r="GQ1112" i="98"/>
  <c r="GQ152" i="98"/>
  <c r="GQ1272" i="98"/>
  <c r="GQ552" i="98"/>
  <c r="GQ792" i="98"/>
  <c r="GQ72" i="98"/>
  <c r="GC154" i="98"/>
  <c r="GC474" i="98"/>
  <c r="GC794" i="98"/>
  <c r="GC1114" i="98"/>
  <c r="GC1434" i="98"/>
  <c r="GC234" i="98"/>
  <c r="GC554" i="98"/>
  <c r="GC874" i="98"/>
  <c r="GC1194" i="98"/>
  <c r="GC1514" i="98"/>
  <c r="GC314" i="98"/>
  <c r="GC634" i="98"/>
  <c r="GC954" i="98"/>
  <c r="GC1274" i="98"/>
  <c r="GC1594" i="98"/>
  <c r="GO1274" i="98"/>
  <c r="GO234" i="98"/>
  <c r="GO314" i="98"/>
  <c r="GO1034" i="98"/>
  <c r="DO60" i="98"/>
  <c r="DO16" i="98"/>
  <c r="DO62" i="98"/>
  <c r="DO38" i="98"/>
  <c r="DO68" i="98"/>
  <c r="DO40" i="98"/>
  <c r="DO75" i="98"/>
  <c r="DO44" i="98"/>
  <c r="DO31" i="98"/>
  <c r="DO18" i="98"/>
  <c r="DO64" i="98"/>
  <c r="DO71" i="98"/>
  <c r="DO49" i="98"/>
  <c r="DO43" i="98"/>
  <c r="DO24" i="98"/>
  <c r="DO19" i="98"/>
  <c r="DO21" i="98"/>
  <c r="DO39" i="98"/>
  <c r="DO51" i="98"/>
  <c r="DO52" i="98"/>
  <c r="DO33" i="98"/>
  <c r="DO76" i="98"/>
  <c r="DO34" i="98"/>
  <c r="DO27" i="98"/>
  <c r="DO17" i="98"/>
  <c r="DO47" i="98"/>
  <c r="DO41" i="98"/>
  <c r="DO70" i="98"/>
  <c r="DO73" i="98"/>
  <c r="DO48" i="98"/>
  <c r="DO29" i="98"/>
  <c r="DO15" i="98"/>
  <c r="DO36" i="98"/>
  <c r="DO30" i="98"/>
  <c r="GC303" i="98"/>
  <c r="GC623" i="98"/>
  <c r="GC943" i="98"/>
  <c r="GC1263" i="98"/>
  <c r="GC1583" i="98"/>
  <c r="GC63" i="98"/>
  <c r="GC383" i="98"/>
  <c r="GC703" i="98"/>
  <c r="GC1023" i="98"/>
  <c r="GC1343" i="98"/>
  <c r="GC1663" i="98"/>
  <c r="GC143" i="98"/>
  <c r="GC463" i="98"/>
  <c r="GC783" i="98"/>
  <c r="GC1103" i="98"/>
  <c r="GC1423" i="98"/>
  <c r="GF625" i="98"/>
  <c r="GF945" i="98"/>
  <c r="GF1105" i="98"/>
  <c r="GF1425" i="98"/>
  <c r="GF145" i="98"/>
  <c r="GF65" i="98"/>
  <c r="GF1585" i="98"/>
  <c r="GF1025" i="98"/>
  <c r="GF785" i="98"/>
  <c r="GF1345" i="98"/>
  <c r="GF305" i="98"/>
  <c r="GF1505" i="98"/>
  <c r="GF865" i="98"/>
  <c r="GF705" i="98"/>
  <c r="GF385" i="98"/>
  <c r="GF1185" i="98"/>
  <c r="GQ1464" i="98"/>
  <c r="GQ1224" i="98"/>
  <c r="GQ664" i="98"/>
  <c r="GQ1544" i="98"/>
  <c r="GQ184" i="98"/>
  <c r="GQ24" i="98"/>
  <c r="GN745" i="98"/>
  <c r="GN985" i="98"/>
  <c r="GN1145" i="98"/>
  <c r="GN585" i="98"/>
  <c r="GN105" i="98"/>
  <c r="GN25" i="98"/>
  <c r="GN825" i="98"/>
  <c r="GN1625" i="98"/>
  <c r="GN905" i="98"/>
  <c r="GN1545" i="98"/>
  <c r="GN265" i="98"/>
  <c r="GN1385" i="98"/>
  <c r="GN1225" i="98"/>
  <c r="GN1465" i="98"/>
  <c r="GN1305" i="98"/>
  <c r="GN505" i="98"/>
  <c r="GK1464" i="98"/>
  <c r="GK344" i="98"/>
  <c r="GK664" i="98"/>
  <c r="GK264" i="98"/>
  <c r="GK424" i="98"/>
  <c r="GK504" i="98"/>
  <c r="GK1224" i="98"/>
  <c r="GK1304" i="98"/>
  <c r="GK744" i="98"/>
  <c r="GK584" i="98"/>
  <c r="GK24" i="98"/>
  <c r="GK104" i="98"/>
  <c r="GK1144" i="98"/>
  <c r="GK1544" i="98"/>
  <c r="GK184" i="98"/>
  <c r="GK984" i="98"/>
  <c r="EO12" i="98"/>
  <c r="FG12" i="98"/>
  <c r="FD12" i="98"/>
  <c r="GL13" i="98" s="1"/>
  <c r="ET12" i="98"/>
  <c r="FF12" i="98"/>
  <c r="DR19" i="98"/>
  <c r="DR42" i="98"/>
  <c r="DR43" i="98"/>
  <c r="DR24" i="98"/>
  <c r="DR16" i="98"/>
  <c r="DR29" i="98"/>
  <c r="GN395" i="98"/>
  <c r="GN1275" i="98"/>
  <c r="GK942" i="98"/>
  <c r="GK1182" i="98"/>
  <c r="GK462" i="98"/>
  <c r="DR59" i="98"/>
  <c r="DR60" i="98"/>
  <c r="GO152" i="98"/>
  <c r="GL954" i="98"/>
  <c r="GC863" i="98"/>
  <c r="GC1674" i="98"/>
  <c r="GC394" i="98"/>
  <c r="GN345" i="98"/>
  <c r="GC543" i="98"/>
  <c r="GC1354" i="98"/>
  <c r="GC74" i="98"/>
  <c r="DR49" i="98"/>
  <c r="DR53" i="98"/>
  <c r="DR54" i="98"/>
  <c r="DR65" i="98"/>
  <c r="DR63" i="98"/>
  <c r="GN1512" i="98"/>
  <c r="GK1194" i="98"/>
  <c r="GK1114" i="98"/>
  <c r="GK1594" i="98"/>
  <c r="GK1434" i="98"/>
  <c r="GO554" i="98"/>
  <c r="GO154" i="98"/>
  <c r="GO1434" i="98"/>
  <c r="GO1114" i="98"/>
  <c r="EV22" i="98"/>
  <c r="GQ904" i="98"/>
  <c r="GQ264" i="98"/>
  <c r="GQ1064" i="98"/>
  <c r="GK1342" i="98"/>
  <c r="GK1102" i="98"/>
  <c r="DO69" i="98"/>
  <c r="DO45" i="98"/>
  <c r="DO58" i="98"/>
  <c r="DO22" i="98"/>
  <c r="DO66" i="98"/>
  <c r="DO37" i="98"/>
  <c r="DO35" i="98"/>
  <c r="GQ1592" i="98"/>
  <c r="GF465" i="98"/>
  <c r="GO792" i="98"/>
  <c r="GL794" i="98"/>
  <c r="GL634" i="98"/>
  <c r="GK904" i="98"/>
  <c r="GL862" i="98"/>
  <c r="GN1065" i="98"/>
  <c r="GN665" i="98"/>
  <c r="GC1503" i="98"/>
  <c r="GC223" i="98"/>
  <c r="GC1034" i="98"/>
  <c r="GA1612" i="98"/>
  <c r="GA1292" i="98"/>
  <c r="GA1532" i="98"/>
  <c r="GA92" i="98"/>
  <c r="GK1024" i="98"/>
  <c r="GK1264" i="98"/>
  <c r="GO155" i="98"/>
  <c r="GK1424" i="98"/>
  <c r="GO555" i="98"/>
  <c r="GL1511" i="98"/>
  <c r="GL1111" i="98"/>
  <c r="GC1544" i="98"/>
  <c r="GC984" i="98"/>
  <c r="GC1224" i="98"/>
  <c r="GA972" i="98"/>
  <c r="GA1372" i="98"/>
  <c r="GA412" i="98"/>
  <c r="GA572" i="98"/>
  <c r="GA492" i="98"/>
  <c r="GA252" i="98"/>
  <c r="GA732" i="98"/>
  <c r="GA652" i="98"/>
  <c r="GA1052" i="98"/>
  <c r="GA892" i="98"/>
  <c r="GA332" i="98"/>
  <c r="GA12" i="98"/>
  <c r="GA1452" i="98"/>
  <c r="GA1212" i="98"/>
  <c r="GA1132" i="98"/>
  <c r="GC1545" i="98"/>
  <c r="GC17" i="98"/>
  <c r="GC1297" i="98"/>
  <c r="GC337" i="98"/>
  <c r="GC1617" i="98"/>
  <c r="GC657" i="98"/>
  <c r="GC977" i="98"/>
  <c r="GC1618" i="98"/>
  <c r="GC338" i="98"/>
  <c r="GN1675" i="98"/>
  <c r="ET52" i="98"/>
  <c r="GF1258" i="98" s="1"/>
  <c r="GC1298" i="98"/>
  <c r="GC18" i="98"/>
  <c r="GN235" i="98"/>
  <c r="GN475" i="98"/>
  <c r="GC978" i="98"/>
  <c r="GN1355" i="98"/>
  <c r="GC1551" i="98"/>
  <c r="GC1231" i="98"/>
  <c r="GC911" i="98"/>
  <c r="GC591" i="98"/>
  <c r="GC271" i="98"/>
  <c r="FG54" i="98"/>
  <c r="GO1100" i="98" s="1"/>
  <c r="GF151" i="98"/>
  <c r="GF391" i="98"/>
  <c r="GQ224" i="98"/>
  <c r="GQ464" i="98"/>
  <c r="GQ544" i="98"/>
  <c r="GQ704" i="98"/>
  <c r="GQ1104" i="98"/>
  <c r="GQ1671" i="98"/>
  <c r="GQ391" i="98"/>
  <c r="GC944" i="98"/>
  <c r="GL1355" i="98"/>
  <c r="GL1115" i="98"/>
  <c r="GN225" i="98"/>
  <c r="GN785" i="98"/>
  <c r="GN1185" i="98"/>
  <c r="GN465" i="98"/>
  <c r="GN1425" i="98"/>
  <c r="GN65" i="98"/>
  <c r="GQ1423" i="98"/>
  <c r="GQ1263" i="98"/>
  <c r="GQ783" i="98"/>
  <c r="GQ543" i="98"/>
  <c r="GQ1023" i="98"/>
  <c r="GA421" i="98"/>
  <c r="GA1621" i="98"/>
  <c r="GC1471" i="98"/>
  <c r="GC1151" i="98"/>
  <c r="GC831" i="98"/>
  <c r="GC511" i="98"/>
  <c r="GC191" i="98"/>
  <c r="FC54" i="98"/>
  <c r="FI54" i="98"/>
  <c r="GQ300" i="98" s="1"/>
  <c r="GF871" i="98"/>
  <c r="GF71" i="98"/>
  <c r="GQ64" i="98"/>
  <c r="GQ864" i="98"/>
  <c r="GQ1424" i="98"/>
  <c r="GQ1024" i="98"/>
  <c r="GQ144" i="98"/>
  <c r="GQ1344" i="98"/>
  <c r="GQ631" i="98"/>
  <c r="GC624" i="98"/>
  <c r="GL155" i="98"/>
  <c r="GN145" i="98"/>
  <c r="GN305" i="98"/>
  <c r="GN1025" i="98"/>
  <c r="GN1345" i="98"/>
  <c r="GN625" i="98"/>
  <c r="GQ1103" i="98"/>
  <c r="GQ383" i="98"/>
  <c r="GQ303" i="98"/>
  <c r="GQ943" i="98"/>
  <c r="GQ1343" i="98"/>
  <c r="GA101" i="98"/>
  <c r="GC1391" i="98"/>
  <c r="GC1071" i="98"/>
  <c r="GC751" i="98"/>
  <c r="GC431" i="98"/>
  <c r="FF54" i="98"/>
  <c r="ET54" i="98"/>
  <c r="GF1100" i="98" s="1"/>
  <c r="GF231" i="98"/>
  <c r="EV58" i="98"/>
  <c r="GQ784" i="98"/>
  <c r="GQ944" i="98"/>
  <c r="GQ1584" i="98"/>
  <c r="GQ384" i="98"/>
  <c r="GQ231" i="98"/>
  <c r="GC1584" i="98"/>
  <c r="GC304" i="98"/>
  <c r="GL635" i="98"/>
  <c r="GN1105" i="98"/>
  <c r="GN1665" i="98"/>
  <c r="GN545" i="98"/>
  <c r="GN1585" i="98"/>
  <c r="GF1672" i="98"/>
  <c r="GQ63" i="98"/>
  <c r="GQ1583" i="98"/>
  <c r="GQ223" i="98"/>
  <c r="GQ1503" i="98"/>
  <c r="GQ1663" i="98"/>
  <c r="GA581" i="98"/>
  <c r="GC425" i="98"/>
  <c r="GC585" i="98"/>
  <c r="GC745" i="98"/>
  <c r="GC105" i="98"/>
  <c r="GC905" i="98"/>
  <c r="GC1385" i="98"/>
  <c r="GC1065" i="98"/>
  <c r="GC1225" i="98"/>
  <c r="GC265" i="98"/>
  <c r="GQ471" i="98"/>
  <c r="GQ711" i="98"/>
  <c r="GQ1431" i="98"/>
  <c r="GQ871" i="98"/>
  <c r="GQ151" i="98"/>
  <c r="EV64" i="98"/>
  <c r="GQ1111" i="98"/>
  <c r="GQ551" i="98"/>
  <c r="GQ1351" i="98"/>
  <c r="GQ951" i="98"/>
  <c r="GQ311" i="98"/>
  <c r="GQ1031" i="98"/>
  <c r="GQ1271" i="98"/>
  <c r="GQ1511" i="98"/>
  <c r="GQ791" i="98"/>
  <c r="GA458" i="98"/>
  <c r="EQ19" i="98"/>
  <c r="GL871" i="98"/>
  <c r="GL471" i="98"/>
  <c r="GL1591" i="98"/>
  <c r="GA1098" i="98"/>
  <c r="EQ52" i="98"/>
  <c r="GO142" i="98"/>
  <c r="GO1182" i="98"/>
  <c r="GO622" i="98"/>
  <c r="GO1342" i="98"/>
  <c r="GO382" i="98"/>
  <c r="GO62" i="98"/>
  <c r="GC1662" i="98"/>
  <c r="GC1342" i="98"/>
  <c r="GC1022" i="98"/>
  <c r="GC702" i="98"/>
  <c r="GC382" i="98"/>
  <c r="GC62" i="98"/>
  <c r="GC1538" i="98"/>
  <c r="GC1218" i="98"/>
  <c r="GC898" i="98"/>
  <c r="GC578" i="98"/>
  <c r="GC258" i="98"/>
  <c r="GN1662" i="98"/>
  <c r="GN862" i="98"/>
  <c r="GN1422" i="98"/>
  <c r="GN622" i="98"/>
  <c r="GN382" i="98"/>
  <c r="GN62" i="98"/>
  <c r="GC1595" i="98"/>
  <c r="GC1275" i="98"/>
  <c r="GC955" i="98"/>
  <c r="GC635" i="98"/>
  <c r="GC315" i="98"/>
  <c r="GN1435" i="98"/>
  <c r="GN1115" i="98"/>
  <c r="GN555" i="98"/>
  <c r="GN875" i="98"/>
  <c r="GN315" i="98"/>
  <c r="GF874" i="98"/>
  <c r="GF474" i="98"/>
  <c r="GF234" i="98"/>
  <c r="GF314" i="98"/>
  <c r="GF1114" i="98"/>
  <c r="GF74" i="98"/>
  <c r="FC52" i="98"/>
  <c r="FD52" i="98"/>
  <c r="GC1504" i="98"/>
  <c r="GC1184" i="98"/>
  <c r="GC864" i="98"/>
  <c r="GC544" i="98"/>
  <c r="GC224" i="98"/>
  <c r="GL235" i="98"/>
  <c r="GL1675" i="98"/>
  <c r="GL1435" i="98"/>
  <c r="GL1515" i="98"/>
  <c r="GL1035" i="98"/>
  <c r="GL75" i="98"/>
  <c r="GL782" i="98"/>
  <c r="GL1422" i="98"/>
  <c r="GL302" i="98"/>
  <c r="GL622" i="98"/>
  <c r="GL1102" i="98"/>
  <c r="GA1418" i="98"/>
  <c r="GA858" i="98"/>
  <c r="DZ70" i="98"/>
  <c r="EQ48" i="98"/>
  <c r="GO942" i="98"/>
  <c r="GO782" i="98"/>
  <c r="GO302" i="98"/>
  <c r="GO1502" i="98"/>
  <c r="GO222" i="98"/>
  <c r="GC1582" i="98"/>
  <c r="GC1262" i="98"/>
  <c r="GC942" i="98"/>
  <c r="GC622" i="98"/>
  <c r="GC302" i="98"/>
  <c r="GC1458" i="98"/>
  <c r="GC1138" i="98"/>
  <c r="GC818" i="98"/>
  <c r="GC498" i="98"/>
  <c r="GC178" i="98"/>
  <c r="GN1582" i="98"/>
  <c r="GN1022" i="98"/>
  <c r="GN1342" i="98"/>
  <c r="GN942" i="98"/>
  <c r="GN1102" i="98"/>
  <c r="GC1515" i="98"/>
  <c r="GC1195" i="98"/>
  <c r="GC875" i="98"/>
  <c r="GC555" i="98"/>
  <c r="GC235" i="98"/>
  <c r="GN955" i="98"/>
  <c r="GN155" i="98"/>
  <c r="GN715" i="98"/>
  <c r="GN1195" i="98"/>
  <c r="GN1035" i="98"/>
  <c r="GN75" i="98"/>
  <c r="GF794" i="98"/>
  <c r="GF1674" i="98"/>
  <c r="GF1594" i="98"/>
  <c r="GF154" i="98"/>
  <c r="GF1274" i="98"/>
  <c r="FG52" i="98"/>
  <c r="GO458" i="98" s="1"/>
  <c r="GC1424" i="98"/>
  <c r="GC1104" i="98"/>
  <c r="GC784" i="98"/>
  <c r="GC464" i="98"/>
  <c r="GC144" i="98"/>
  <c r="GL955" i="98"/>
  <c r="GL1195" i="98"/>
  <c r="GL1275" i="98"/>
  <c r="GL555" i="98"/>
  <c r="GL315" i="98"/>
  <c r="GL142" i="98"/>
  <c r="GL1342" i="98"/>
  <c r="GL942" i="98"/>
  <c r="GL382" i="98"/>
  <c r="GL1182" i="98"/>
  <c r="GA618" i="98"/>
  <c r="GO1662" i="98"/>
  <c r="GO1262" i="98"/>
  <c r="GO1582" i="98"/>
  <c r="GO1022" i="98"/>
  <c r="GC1502" i="98"/>
  <c r="GC1182" i="98"/>
  <c r="GC862" i="98"/>
  <c r="GC542" i="98"/>
  <c r="GC1378" i="98"/>
  <c r="GC1058" i="98"/>
  <c r="GC738" i="98"/>
  <c r="GC418" i="98"/>
  <c r="GN542" i="98"/>
  <c r="GN782" i="98"/>
  <c r="GN702" i="98"/>
  <c r="GN222" i="98"/>
  <c r="GC1435" i="98"/>
  <c r="GC1115" i="98"/>
  <c r="GC795" i="98"/>
  <c r="GC475" i="98"/>
  <c r="GN1595" i="98"/>
  <c r="GN635" i="98"/>
  <c r="GN1515" i="98"/>
  <c r="GN795" i="98"/>
  <c r="GF394" i="98"/>
  <c r="GF554" i="98"/>
  <c r="GF1354" i="98"/>
  <c r="GF634" i="98"/>
  <c r="FF52" i="98"/>
  <c r="GN58" i="98" s="1"/>
  <c r="GC1664" i="98"/>
  <c r="GC1344" i="98"/>
  <c r="GC1024" i="98"/>
  <c r="GC704" i="98"/>
  <c r="GC384" i="98"/>
  <c r="GL1595" i="98"/>
  <c r="GL715" i="98"/>
  <c r="GL795" i="98"/>
  <c r="GL875" i="98"/>
  <c r="GO391" i="98"/>
  <c r="GL542" i="98"/>
  <c r="GL1502" i="98"/>
  <c r="GL222" i="98"/>
  <c r="GL702" i="98"/>
  <c r="GA218" i="98"/>
  <c r="GK551" i="98"/>
  <c r="GK464" i="98"/>
  <c r="GK544" i="98"/>
  <c r="GK224" i="98"/>
  <c r="GK1184" i="98"/>
  <c r="GK1504" i="98"/>
  <c r="GO715" i="98"/>
  <c r="GO1275" i="98"/>
  <c r="GO795" i="98"/>
  <c r="GO875" i="98"/>
  <c r="GO1115" i="98"/>
  <c r="GC1469" i="98"/>
  <c r="GC189" i="98"/>
  <c r="GL631" i="98"/>
  <c r="GL951" i="98"/>
  <c r="GL1431" i="98"/>
  <c r="GL791" i="98"/>
  <c r="GL311" i="98"/>
  <c r="GK471" i="98"/>
  <c r="GK871" i="98"/>
  <c r="GK1031" i="98"/>
  <c r="GK631" i="98"/>
  <c r="GK1671" i="98"/>
  <c r="GK231" i="98"/>
  <c r="GK1591" i="98"/>
  <c r="GK71" i="98"/>
  <c r="GK944" i="98"/>
  <c r="GK1664" i="98"/>
  <c r="GK704" i="98"/>
  <c r="GK1344" i="98"/>
  <c r="GK304" i="98"/>
  <c r="GO955" i="98"/>
  <c r="GO235" i="98"/>
  <c r="GO475" i="98"/>
  <c r="GO1195" i="98"/>
  <c r="GO395" i="98"/>
  <c r="GO75" i="98"/>
  <c r="GC1149" i="98"/>
  <c r="GL151" i="98"/>
  <c r="GL711" i="98"/>
  <c r="GL1351" i="98"/>
  <c r="GL1031" i="98"/>
  <c r="GL551" i="98"/>
  <c r="GK391" i="98"/>
  <c r="GK1351" i="98"/>
  <c r="GK151" i="98"/>
  <c r="GK951" i="98"/>
  <c r="GK1111" i="98"/>
  <c r="GK791" i="98"/>
  <c r="GK624" i="98"/>
  <c r="GK784" i="98"/>
  <c r="GK1584" i="98"/>
  <c r="GK144" i="98"/>
  <c r="GK1104" i="98"/>
  <c r="GO1435" i="98"/>
  <c r="GO1355" i="98"/>
  <c r="GO1515" i="98"/>
  <c r="GO635" i="98"/>
  <c r="GC829" i="98"/>
  <c r="GL1671" i="98"/>
  <c r="GL391" i="98"/>
  <c r="GL1271" i="98"/>
  <c r="GL231" i="98"/>
  <c r="GL1191" i="98"/>
  <c r="GN631" i="98"/>
  <c r="EQ47" i="98"/>
  <c r="GC292" i="98" s="1"/>
  <c r="GN552" i="98"/>
  <c r="GN1192" i="98"/>
  <c r="GN392" i="98"/>
  <c r="GN1592" i="98"/>
  <c r="GN1432" i="98"/>
  <c r="GC1537" i="98"/>
  <c r="GC1217" i="98"/>
  <c r="GC897" i="98"/>
  <c r="GC577" i="98"/>
  <c r="GC257" i="98"/>
  <c r="GF715" i="98"/>
  <c r="GF235" i="98"/>
  <c r="GF1115" i="98"/>
  <c r="GN1351" i="98"/>
  <c r="GF1112" i="98"/>
  <c r="GF1192" i="98"/>
  <c r="DZ44" i="98"/>
  <c r="DI35" i="98"/>
  <c r="GN712" i="98"/>
  <c r="GN792" i="98"/>
  <c r="GN872" i="98"/>
  <c r="GN312" i="98"/>
  <c r="GN1672" i="98"/>
  <c r="GN72" i="98"/>
  <c r="GC1457" i="98"/>
  <c r="GC1137" i="98"/>
  <c r="GC817" i="98"/>
  <c r="GC497" i="98"/>
  <c r="GC177" i="98"/>
  <c r="GF1675" i="98"/>
  <c r="GF1515" i="98"/>
  <c r="GF75" i="98"/>
  <c r="GN231" i="98"/>
  <c r="GF232" i="98"/>
  <c r="GN632" i="98"/>
  <c r="GN472" i="98"/>
  <c r="GN1032" i="98"/>
  <c r="GN952" i="98"/>
  <c r="GC1377" i="98"/>
  <c r="GC1057" i="98"/>
  <c r="GC737" i="98"/>
  <c r="GC417" i="98"/>
  <c r="GF1275" i="98"/>
  <c r="GF395" i="98"/>
  <c r="GN151" i="98"/>
  <c r="GN311" i="98"/>
  <c r="GF392" i="98"/>
  <c r="GO1511" i="98"/>
  <c r="GC97" i="98"/>
  <c r="GF1355" i="98"/>
  <c r="GF1435" i="98"/>
  <c r="GF795" i="98"/>
  <c r="GF555" i="98"/>
  <c r="GF475" i="98"/>
  <c r="GN1111" i="98"/>
  <c r="GN471" i="98"/>
  <c r="GN951" i="98"/>
  <c r="GN871" i="98"/>
  <c r="GN1191" i="98"/>
  <c r="GN71" i="98"/>
  <c r="GN1264" i="98"/>
  <c r="GF712" i="98"/>
  <c r="GF872" i="98"/>
  <c r="GF1032" i="98"/>
  <c r="GF952" i="98"/>
  <c r="GF1352" i="98"/>
  <c r="GF72" i="98"/>
  <c r="GF1035" i="98"/>
  <c r="GF155" i="98"/>
  <c r="GF635" i="98"/>
  <c r="GF1195" i="98"/>
  <c r="GN1271" i="98"/>
  <c r="GN1671" i="98"/>
  <c r="GN1431" i="98"/>
  <c r="GN791" i="98"/>
  <c r="GN1591" i="98"/>
  <c r="GF792" i="98"/>
  <c r="GF152" i="98"/>
  <c r="GF312" i="98"/>
  <c r="GF1512" i="98"/>
  <c r="GF1272" i="98"/>
  <c r="GN1031" i="98"/>
  <c r="GN711" i="98"/>
  <c r="GN1511" i="98"/>
  <c r="GN391" i="98"/>
  <c r="GF632" i="98"/>
  <c r="GF552" i="98"/>
  <c r="GF472" i="98"/>
  <c r="GF1592" i="98"/>
  <c r="GO631" i="98"/>
  <c r="GO311" i="98"/>
  <c r="GO871" i="98"/>
  <c r="GN1504" i="98"/>
  <c r="GN784" i="98"/>
  <c r="GN1664" i="98"/>
  <c r="GN864" i="98"/>
  <c r="GA1015" i="98"/>
  <c r="GA135" i="98"/>
  <c r="GA775" i="98"/>
  <c r="GA1255" i="98"/>
  <c r="GA295" i="98"/>
  <c r="GA1575" i="98"/>
  <c r="GA1495" i="98"/>
  <c r="GA215" i="98"/>
  <c r="GA855" i="98"/>
  <c r="GA455" i="98"/>
  <c r="GA1415" i="98"/>
  <c r="GA1655" i="98"/>
  <c r="GA615" i="98"/>
  <c r="GA535" i="98"/>
  <c r="GA1095" i="98"/>
  <c r="GA1175" i="98"/>
  <c r="GA375" i="98"/>
  <c r="GA55" i="98"/>
  <c r="GA935" i="98"/>
  <c r="GA695" i="98"/>
  <c r="GA1335" i="98"/>
  <c r="GA1664" i="98"/>
  <c r="GA784" i="98"/>
  <c r="GA1104" i="98"/>
  <c r="GA544" i="98"/>
  <c r="GA144" i="98"/>
  <c r="GA1024" i="98"/>
  <c r="GA64" i="98"/>
  <c r="GA944" i="98"/>
  <c r="GA1424" i="98"/>
  <c r="GA464" i="98"/>
  <c r="GA224" i="98"/>
  <c r="GA1184" i="98"/>
  <c r="GA1504" i="98"/>
  <c r="GA384" i="98"/>
  <c r="GA864" i="98"/>
  <c r="GA1344" i="98"/>
  <c r="GA624" i="98"/>
  <c r="GA304" i="98"/>
  <c r="GA1264" i="98"/>
  <c r="GA704" i="98"/>
  <c r="GA1584" i="98"/>
  <c r="GA471" i="98"/>
  <c r="GA151" i="98"/>
  <c r="GA791" i="98"/>
  <c r="GA71" i="98"/>
  <c r="GA311" i="98"/>
  <c r="GA1271" i="98"/>
  <c r="GA951" i="98"/>
  <c r="GA1351" i="98"/>
  <c r="GA1431" i="98"/>
  <c r="GA631" i="98"/>
  <c r="GA391" i="98"/>
  <c r="GA1031" i="98"/>
  <c r="GA551" i="98"/>
  <c r="GA1671" i="98"/>
  <c r="GA1111" i="98"/>
  <c r="GA231" i="98"/>
  <c r="GA711" i="98"/>
  <c r="GA1191" i="98"/>
  <c r="GA1511" i="98"/>
  <c r="GA871" i="98"/>
  <c r="GA1591" i="98"/>
  <c r="GA1094" i="98"/>
  <c r="GA1654" i="98"/>
  <c r="GA454" i="98"/>
  <c r="GA1014" i="98"/>
  <c r="GA294" i="98"/>
  <c r="GA1334" i="98"/>
  <c r="GA1574" i="98"/>
  <c r="GA54" i="98"/>
  <c r="GA774" i="98"/>
  <c r="GA1254" i="98"/>
  <c r="GA1494" i="98"/>
  <c r="GA374" i="98"/>
  <c r="GA934" i="98"/>
  <c r="GA534" i="98"/>
  <c r="GA694" i="98"/>
  <c r="GA1414" i="98"/>
  <c r="GA214" i="98"/>
  <c r="GA1174" i="98"/>
  <c r="GA134" i="98"/>
  <c r="GA854" i="98"/>
  <c r="GA614" i="98"/>
  <c r="GA1092" i="98"/>
  <c r="GA1412" i="98"/>
  <c r="GA1652" i="98"/>
  <c r="GA292" i="98"/>
  <c r="GA612" i="98"/>
  <c r="GA772" i="98"/>
  <c r="GA1492" i="98"/>
  <c r="GA932" i="98"/>
  <c r="GA132" i="98"/>
  <c r="GA692" i="98"/>
  <c r="GA212" i="98"/>
  <c r="GA1172" i="98"/>
  <c r="GA1332" i="98"/>
  <c r="GA1572" i="98"/>
  <c r="GA1252" i="98"/>
  <c r="GA532" i="98"/>
  <c r="GA372" i="98"/>
  <c r="GA52" i="98"/>
  <c r="GA1012" i="98"/>
  <c r="GA452" i="98"/>
  <c r="GA852" i="98"/>
  <c r="GA1413" i="98"/>
  <c r="GA1333" i="98"/>
  <c r="GA1493" i="98"/>
  <c r="GA1653" i="98"/>
  <c r="GA373" i="98"/>
  <c r="GA1573" i="98"/>
  <c r="GA693" i="98"/>
  <c r="GA933" i="98"/>
  <c r="GA293" i="98"/>
  <c r="GA773" i="98"/>
  <c r="GA853" i="98"/>
  <c r="GA1253" i="98"/>
  <c r="GA53" i="98"/>
  <c r="GA1013" i="98"/>
  <c r="GA453" i="98"/>
  <c r="GA613" i="98"/>
  <c r="GA213" i="98"/>
  <c r="GA1173" i="98"/>
  <c r="GA533" i="98"/>
  <c r="GA1093" i="98"/>
  <c r="GA133" i="98"/>
  <c r="GA860" i="98"/>
  <c r="GA1260" i="98"/>
  <c r="GA1340" i="98"/>
  <c r="GA780" i="98"/>
  <c r="GA540" i="98"/>
  <c r="GA1660" i="98"/>
  <c r="GA620" i="98"/>
  <c r="GA700" i="98"/>
  <c r="GA60" i="98"/>
  <c r="GA1500" i="98"/>
  <c r="GA1020" i="98"/>
  <c r="GA531" i="98"/>
  <c r="GA1251" i="98"/>
  <c r="GA131" i="98"/>
  <c r="GA1331" i="98"/>
  <c r="GA1171" i="98"/>
  <c r="GA371" i="98"/>
  <c r="GA1571" i="98"/>
  <c r="GA771" i="98"/>
  <c r="GA1091" i="98"/>
  <c r="GA1011" i="98"/>
  <c r="GA51" i="98"/>
  <c r="GA1651" i="98"/>
  <c r="GA931" i="98"/>
  <c r="GA691" i="98"/>
  <c r="GA451" i="98"/>
  <c r="GA291" i="98"/>
  <c r="GA611" i="98"/>
  <c r="GA211" i="98"/>
  <c r="GA1491" i="98"/>
  <c r="GA1411" i="98"/>
  <c r="GA851" i="98"/>
  <c r="ET37" i="98"/>
  <c r="EO37" i="98"/>
  <c r="ET38" i="98"/>
  <c r="GF682" i="98" s="1"/>
  <c r="EO38" i="98"/>
  <c r="GN224" i="98"/>
  <c r="GN464" i="98"/>
  <c r="GN1584" i="98"/>
  <c r="GN144" i="98"/>
  <c r="GN1184" i="98"/>
  <c r="GN64" i="98"/>
  <c r="GN624" i="98"/>
  <c r="GN944" i="98"/>
  <c r="GN1424" i="98"/>
  <c r="GN384" i="98"/>
  <c r="GN1104" i="98"/>
  <c r="ET41" i="98"/>
  <c r="GF1485" i="98" s="1"/>
  <c r="EO41" i="98"/>
  <c r="ET39" i="98"/>
  <c r="GF1323" i="98" s="1"/>
  <c r="EO39" i="98"/>
  <c r="ET40" i="98"/>
  <c r="GF1244" i="98" s="1"/>
  <c r="EO40" i="98"/>
  <c r="GN1024" i="98"/>
  <c r="GN544" i="98"/>
  <c r="GN704" i="98"/>
  <c r="GN304" i="98"/>
  <c r="GO1111" i="98"/>
  <c r="GO1431" i="98"/>
  <c r="GO791" i="98"/>
  <c r="GO1191" i="98"/>
  <c r="GO551" i="98"/>
  <c r="GO1031" i="98"/>
  <c r="GO1271" i="98"/>
  <c r="GO1671" i="98"/>
  <c r="GO471" i="98"/>
  <c r="GO951" i="98"/>
  <c r="GO71" i="98"/>
  <c r="GO711" i="98"/>
  <c r="GO1351" i="98"/>
  <c r="GO231" i="98"/>
  <c r="GO151" i="98"/>
  <c r="GF1591" i="98"/>
  <c r="GF711" i="98"/>
  <c r="GF631" i="98"/>
  <c r="GF791" i="98"/>
  <c r="GF1031" i="98"/>
  <c r="GC1591" i="98"/>
  <c r="GC1271" i="98"/>
  <c r="GC951" i="98"/>
  <c r="GC631" i="98"/>
  <c r="GC311" i="98"/>
  <c r="GC1671" i="98"/>
  <c r="GC1351" i="98"/>
  <c r="GC1031" i="98"/>
  <c r="GC711" i="98"/>
  <c r="GC391" i="98"/>
  <c r="GC71" i="98"/>
  <c r="GF1511" i="98"/>
  <c r="GF1111" i="98"/>
  <c r="GF1351" i="98"/>
  <c r="GF471" i="98"/>
  <c r="GF1671" i="98"/>
  <c r="GC1511" i="98"/>
  <c r="GC1191" i="98"/>
  <c r="GC871" i="98"/>
  <c r="GC551" i="98"/>
  <c r="GC231" i="98"/>
  <c r="GF951" i="98"/>
  <c r="GF1271" i="98"/>
  <c r="GF1431" i="98"/>
  <c r="GF1191" i="98"/>
  <c r="GC1431" i="98"/>
  <c r="GC1111" i="98"/>
  <c r="GC791" i="98"/>
  <c r="GC471" i="98"/>
  <c r="GC1389" i="98"/>
  <c r="GC1069" i="98"/>
  <c r="GC749" i="98"/>
  <c r="GC429" i="98"/>
  <c r="GC109" i="98"/>
  <c r="GC1629" i="98"/>
  <c r="GC1309" i="98"/>
  <c r="GC989" i="98"/>
  <c r="GC669" i="98"/>
  <c r="GC349" i="98"/>
  <c r="GC29" i="98"/>
  <c r="GC1549" i="98"/>
  <c r="GC1229" i="98"/>
  <c r="GC909" i="98"/>
  <c r="GC589" i="98"/>
  <c r="GH81" i="98"/>
  <c r="GH1441" i="98"/>
  <c r="GH641" i="98"/>
  <c r="GH1681" i="98"/>
  <c r="GH721" i="98"/>
  <c r="GH321" i="98"/>
  <c r="GH1121" i="98"/>
  <c r="GH1521" i="98"/>
  <c r="GH961" i="98"/>
  <c r="GH1281" i="98"/>
  <c r="GH401" i="98"/>
  <c r="GH1601" i="98"/>
  <c r="GH881" i="98"/>
  <c r="GH241" i="98"/>
  <c r="GH1361" i="98"/>
  <c r="GH1041" i="98"/>
  <c r="GH161" i="98"/>
  <c r="GH1201" i="98"/>
  <c r="GH561" i="98"/>
  <c r="GH481" i="98"/>
  <c r="GH801" i="98"/>
  <c r="GL67" i="98"/>
  <c r="GL1107" i="98"/>
  <c r="GL307" i="98"/>
  <c r="GL547" i="98"/>
  <c r="GL1027" i="98"/>
  <c r="GL1587" i="98"/>
  <c r="GL1187" i="98"/>
  <c r="GL1267" i="98"/>
  <c r="GL787" i="98"/>
  <c r="GL867" i="98"/>
  <c r="GL147" i="98"/>
  <c r="GL227" i="98"/>
  <c r="GL1347" i="98"/>
  <c r="GL1667" i="98"/>
  <c r="GL1507" i="98"/>
  <c r="GL627" i="98"/>
  <c r="GL947" i="98"/>
  <c r="GL467" i="98"/>
  <c r="GL1427" i="98"/>
  <c r="GL707" i="98"/>
  <c r="GL387" i="98"/>
  <c r="GN67" i="98"/>
  <c r="GN1107" i="98"/>
  <c r="GN547" i="98"/>
  <c r="GN1587" i="98"/>
  <c r="GN307" i="98"/>
  <c r="GN787" i="98"/>
  <c r="GN867" i="98"/>
  <c r="GN1187" i="98"/>
  <c r="GN147" i="98"/>
  <c r="GN627" i="98"/>
  <c r="GN467" i="98"/>
  <c r="GN1427" i="98"/>
  <c r="GN707" i="98"/>
  <c r="GN1347" i="98"/>
  <c r="GN947" i="98"/>
  <c r="GN387" i="98"/>
  <c r="GN1507" i="98"/>
  <c r="GN1267" i="98"/>
  <c r="GN1027" i="98"/>
  <c r="GN227" i="98"/>
  <c r="GN1667" i="98"/>
  <c r="GK31" i="98"/>
  <c r="GK1631" i="98"/>
  <c r="GK1231" i="98"/>
  <c r="GK1391" i="98"/>
  <c r="GK1551" i="98"/>
  <c r="GK991" i="98"/>
  <c r="GK351" i="98"/>
  <c r="GK751" i="98"/>
  <c r="GK191" i="98"/>
  <c r="GK511" i="98"/>
  <c r="GK1471" i="98"/>
  <c r="GK271" i="98"/>
  <c r="GK911" i="98"/>
  <c r="GK1311" i="98"/>
  <c r="GK831" i="98"/>
  <c r="GK1071" i="98"/>
  <c r="GK671" i="98"/>
  <c r="GK111" i="98"/>
  <c r="GK591" i="98"/>
  <c r="GK1151" i="98"/>
  <c r="GK431" i="98"/>
  <c r="GN8" i="98"/>
  <c r="GN1448" i="98"/>
  <c r="GN1368" i="98"/>
  <c r="GN1128" i="98"/>
  <c r="GN1608" i="98"/>
  <c r="GN1528" i="98"/>
  <c r="GN488" i="98"/>
  <c r="GN328" i="98"/>
  <c r="GN568" i="98"/>
  <c r="GN968" i="98"/>
  <c r="GN1288" i="98"/>
  <c r="GN408" i="98"/>
  <c r="GN1208" i="98"/>
  <c r="GN808" i="98"/>
  <c r="GN168" i="98"/>
  <c r="GN248" i="98"/>
  <c r="GN648" i="98"/>
  <c r="GN88" i="98"/>
  <c r="GN728" i="98"/>
  <c r="GN888" i="98"/>
  <c r="GN1048" i="98"/>
  <c r="GQ1529" i="98"/>
  <c r="GQ569" i="98"/>
  <c r="GQ729" i="98"/>
  <c r="GQ1369" i="98"/>
  <c r="GQ1049" i="98"/>
  <c r="GQ329" i="98"/>
  <c r="GQ969" i="98"/>
  <c r="GQ169" i="98"/>
  <c r="GQ1289" i="98"/>
  <c r="GQ409" i="98"/>
  <c r="GQ89" i="98"/>
  <c r="GQ1449" i="98"/>
  <c r="GQ649" i="98"/>
  <c r="GQ1609" i="98"/>
  <c r="GQ489" i="98"/>
  <c r="GQ809" i="98"/>
  <c r="GQ1209" i="98"/>
  <c r="GQ1129" i="98"/>
  <c r="GQ249" i="98"/>
  <c r="GQ889" i="98"/>
  <c r="EV8" i="98"/>
  <c r="GQ9" i="98"/>
  <c r="GF9" i="98"/>
  <c r="GF1609" i="98"/>
  <c r="GF1449" i="98"/>
  <c r="GF1049" i="98"/>
  <c r="GF409" i="98"/>
  <c r="GF1289" i="98"/>
  <c r="GF889" i="98"/>
  <c r="GF1369" i="98"/>
  <c r="GF1529" i="98"/>
  <c r="GF89" i="98"/>
  <c r="GF569" i="98"/>
  <c r="GF969" i="98"/>
  <c r="GF649" i="98"/>
  <c r="GF729" i="98"/>
  <c r="GF489" i="98"/>
  <c r="GF249" i="98"/>
  <c r="GF1209" i="98"/>
  <c r="GF1129" i="98"/>
  <c r="GF169" i="98"/>
  <c r="GF809" i="98"/>
  <c r="GF329" i="98"/>
  <c r="GL1180" i="98"/>
  <c r="GL300" i="98"/>
  <c r="GL1660" i="98"/>
  <c r="GL1340" i="98"/>
  <c r="GL1260" i="98"/>
  <c r="GQ1067" i="98"/>
  <c r="GQ187" i="98"/>
  <c r="GQ1387" i="98"/>
  <c r="GQ1147" i="98"/>
  <c r="GQ747" i="98"/>
  <c r="GQ107" i="98"/>
  <c r="GQ267" i="98"/>
  <c r="GQ1467" i="98"/>
  <c r="GQ507" i="98"/>
  <c r="GQ1227" i="98"/>
  <c r="GQ667" i="98"/>
  <c r="GQ347" i="98"/>
  <c r="GQ587" i="98"/>
  <c r="GQ1547" i="98"/>
  <c r="GQ987" i="98"/>
  <c r="GQ907" i="98"/>
  <c r="GQ427" i="98"/>
  <c r="GQ1307" i="98"/>
  <c r="GQ827" i="98"/>
  <c r="GQ1627" i="98"/>
  <c r="GQ27" i="98"/>
  <c r="EV24" i="98"/>
  <c r="GF27" i="98"/>
  <c r="GF1067" i="98"/>
  <c r="GF507" i="98"/>
  <c r="GF187" i="98"/>
  <c r="GF747" i="98"/>
  <c r="GF1147" i="98"/>
  <c r="GF1307" i="98"/>
  <c r="GF347" i="98"/>
  <c r="GF267" i="98"/>
  <c r="GF987" i="98"/>
  <c r="GF1227" i="98"/>
  <c r="GF667" i="98"/>
  <c r="GF1627" i="98"/>
  <c r="GF907" i="98"/>
  <c r="GF827" i="98"/>
  <c r="GF107" i="98"/>
  <c r="GF1547" i="98"/>
  <c r="GF1467" i="98"/>
  <c r="GF587" i="98"/>
  <c r="GF1387" i="98"/>
  <c r="GF427" i="98"/>
  <c r="GC28" i="98"/>
  <c r="GC108" i="98"/>
  <c r="GC188" i="98"/>
  <c r="GC268" i="98"/>
  <c r="GC348" i="98"/>
  <c r="GC428" i="98"/>
  <c r="GC508" i="98"/>
  <c r="GC588" i="98"/>
  <c r="GC668" i="98"/>
  <c r="GC748" i="98"/>
  <c r="GC828" i="98"/>
  <c r="GC908" i="98"/>
  <c r="GC988" i="98"/>
  <c r="GC1068" i="98"/>
  <c r="GC1148" i="98"/>
  <c r="GC1228" i="98"/>
  <c r="GC1308" i="98"/>
  <c r="GC1388" i="98"/>
  <c r="GC1468" i="98"/>
  <c r="GC1548" i="98"/>
  <c r="GC1628" i="98"/>
  <c r="GQ87" i="98"/>
  <c r="GQ1207" i="98"/>
  <c r="GQ167" i="98"/>
  <c r="GQ807" i="98"/>
  <c r="GQ1127" i="98"/>
  <c r="GQ487" i="98"/>
  <c r="GQ327" i="98"/>
  <c r="GQ887" i="98"/>
  <c r="GQ247" i="98"/>
  <c r="GQ967" i="98"/>
  <c r="GQ727" i="98"/>
  <c r="GQ1607" i="98"/>
  <c r="GQ1287" i="98"/>
  <c r="GQ1047" i="98"/>
  <c r="GQ1447" i="98"/>
  <c r="GQ647" i="98"/>
  <c r="GQ1527" i="98"/>
  <c r="GQ567" i="98"/>
  <c r="GQ1367" i="98"/>
  <c r="GQ407" i="98"/>
  <c r="EV6" i="98"/>
  <c r="GQ7" i="98"/>
  <c r="GN70" i="98"/>
  <c r="GN1030" i="98"/>
  <c r="GN390" i="98"/>
  <c r="GN230" i="98"/>
  <c r="GN550" i="98"/>
  <c r="GN870" i="98"/>
  <c r="GN1670" i="98"/>
  <c r="GN1110" i="98"/>
  <c r="GN710" i="98"/>
  <c r="GN1430" i="98"/>
  <c r="GN630" i="98"/>
  <c r="GN150" i="98"/>
  <c r="GN1350" i="98"/>
  <c r="GN1510" i="98"/>
  <c r="GN1270" i="98"/>
  <c r="GN950" i="98"/>
  <c r="GN310" i="98"/>
  <c r="GN1590" i="98"/>
  <c r="GN470" i="98"/>
  <c r="GN1190" i="98"/>
  <c r="GN790" i="98"/>
  <c r="GL29" i="98"/>
  <c r="GL1389" i="98"/>
  <c r="GL1469" i="98"/>
  <c r="GL989" i="98"/>
  <c r="GL749" i="98"/>
  <c r="GL669" i="98"/>
  <c r="GL589" i="98"/>
  <c r="GL349" i="98"/>
  <c r="GL1309" i="98"/>
  <c r="GL109" i="98"/>
  <c r="GL829" i="98"/>
  <c r="GL429" i="98"/>
  <c r="GL1069" i="98"/>
  <c r="GL909" i="98"/>
  <c r="GL1149" i="98"/>
  <c r="GL1229" i="98"/>
  <c r="GL1629" i="98"/>
  <c r="GL1549" i="98"/>
  <c r="GL189" i="98"/>
  <c r="GL509" i="98"/>
  <c r="GL269" i="98"/>
  <c r="GF29" i="98"/>
  <c r="GF1389" i="98"/>
  <c r="GF989" i="98"/>
  <c r="GF749" i="98"/>
  <c r="GF669" i="98"/>
  <c r="GF109" i="98"/>
  <c r="GF1309" i="98"/>
  <c r="GF429" i="98"/>
  <c r="GF909" i="98"/>
  <c r="GF1149" i="98"/>
  <c r="GF589" i="98"/>
  <c r="GF1469" i="98"/>
  <c r="GF1629" i="98"/>
  <c r="GF1549" i="98"/>
  <c r="GF349" i="98"/>
  <c r="GF1229" i="98"/>
  <c r="GF1069" i="98"/>
  <c r="GF829" i="98"/>
  <c r="GF189" i="98"/>
  <c r="GF509" i="98"/>
  <c r="GF269" i="98"/>
  <c r="GC22" i="98"/>
  <c r="GC102" i="98"/>
  <c r="GC182" i="98"/>
  <c r="GC262" i="98"/>
  <c r="GC342" i="98"/>
  <c r="GC422" i="98"/>
  <c r="GC502" i="98"/>
  <c r="GC582" i="98"/>
  <c r="GC662" i="98"/>
  <c r="GC742" i="98"/>
  <c r="GC822" i="98"/>
  <c r="GC902" i="98"/>
  <c r="GC982" i="98"/>
  <c r="GC1062" i="98"/>
  <c r="GC1142" i="98"/>
  <c r="GC1222" i="98"/>
  <c r="GC1302" i="98"/>
  <c r="GC1382" i="98"/>
  <c r="GC1462" i="98"/>
  <c r="GC1542" i="98"/>
  <c r="GC1622" i="98"/>
  <c r="GN69" i="98"/>
  <c r="GN1669" i="98"/>
  <c r="GN1429" i="98"/>
  <c r="GN1349" i="98"/>
  <c r="GN709" i="98"/>
  <c r="GN549" i="98"/>
  <c r="GN1109" i="98"/>
  <c r="GN149" i="98"/>
  <c r="GN229" i="98"/>
  <c r="GN1029" i="98"/>
  <c r="GN629" i="98"/>
  <c r="GN389" i="98"/>
  <c r="GN309" i="98"/>
  <c r="GN469" i="98"/>
  <c r="GN1589" i="98"/>
  <c r="GN949" i="98"/>
  <c r="GN1509" i="98"/>
  <c r="GN869" i="98"/>
  <c r="GN789" i="98"/>
  <c r="GN1189" i="98"/>
  <c r="GN1269" i="98"/>
  <c r="GL69" i="98"/>
  <c r="GL1669" i="98"/>
  <c r="GL1429" i="98"/>
  <c r="GL1509" i="98"/>
  <c r="GL949" i="98"/>
  <c r="GL1349" i="98"/>
  <c r="GL469" i="98"/>
  <c r="GL629" i="98"/>
  <c r="GL709" i="98"/>
  <c r="GL1109" i="98"/>
  <c r="GL229" i="98"/>
  <c r="GL1029" i="98"/>
  <c r="GL309" i="98"/>
  <c r="GL1589" i="98"/>
  <c r="GL549" i="98"/>
  <c r="GL149" i="98"/>
  <c r="GL789" i="98"/>
  <c r="GL869" i="98"/>
  <c r="GL1189" i="98"/>
  <c r="GL389" i="98"/>
  <c r="GL1269" i="98"/>
  <c r="GC20" i="98"/>
  <c r="GC100" i="98"/>
  <c r="GC180" i="98"/>
  <c r="GC260" i="98"/>
  <c r="GC340" i="98"/>
  <c r="GC420" i="98"/>
  <c r="GC500" i="98"/>
  <c r="GC580" i="98"/>
  <c r="GC660" i="98"/>
  <c r="GC740" i="98"/>
  <c r="GC820" i="98"/>
  <c r="GC900" i="98"/>
  <c r="GC980" i="98"/>
  <c r="GC1060" i="98"/>
  <c r="GC1140" i="98"/>
  <c r="GC1220" i="98"/>
  <c r="GC1300" i="98"/>
  <c r="GC1380" i="98"/>
  <c r="GC1460" i="98"/>
  <c r="GC1540" i="98"/>
  <c r="GC1620" i="98"/>
  <c r="GO19" i="98"/>
  <c r="GO1059" i="98"/>
  <c r="GO339" i="98"/>
  <c r="GO179" i="98"/>
  <c r="GO419" i="98"/>
  <c r="GO1539" i="98"/>
  <c r="GO499" i="98"/>
  <c r="GO1299" i="98"/>
  <c r="GO1139" i="98"/>
  <c r="GO1459" i="98"/>
  <c r="GO819" i="98"/>
  <c r="GO899" i="98"/>
  <c r="GO259" i="98"/>
  <c r="GO1219" i="98"/>
  <c r="GO579" i="98"/>
  <c r="GO1619" i="98"/>
  <c r="GO1379" i="98"/>
  <c r="GO979" i="98"/>
  <c r="GO99" i="98"/>
  <c r="GO659" i="98"/>
  <c r="GO739" i="98"/>
  <c r="GK30" i="98"/>
  <c r="GK1470" i="98"/>
  <c r="GK1550" i="98"/>
  <c r="GK1310" i="98"/>
  <c r="GK1070" i="98"/>
  <c r="GK590" i="98"/>
  <c r="GK430" i="98"/>
  <c r="GK110" i="98"/>
  <c r="GK510" i="98"/>
  <c r="GK1390" i="98"/>
  <c r="GK1230" i="98"/>
  <c r="GK1150" i="98"/>
  <c r="GK910" i="98"/>
  <c r="GK190" i="98"/>
  <c r="GK830" i="98"/>
  <c r="GK1630" i="98"/>
  <c r="GK990" i="98"/>
  <c r="GK350" i="98"/>
  <c r="GK750" i="98"/>
  <c r="GK270" i="98"/>
  <c r="GK670" i="98"/>
  <c r="GF77" i="98"/>
  <c r="GF1357" i="98"/>
  <c r="GF957" i="98"/>
  <c r="GF557" i="98"/>
  <c r="GF397" i="98"/>
  <c r="GF717" i="98"/>
  <c r="GF637" i="98"/>
  <c r="GF1517" i="98"/>
  <c r="GF317" i="98"/>
  <c r="GF477" i="98"/>
  <c r="GF1117" i="98"/>
  <c r="GF237" i="98"/>
  <c r="GF1597" i="98"/>
  <c r="GF157" i="98"/>
  <c r="GF877" i="98"/>
  <c r="GF1197" i="98"/>
  <c r="GF1677" i="98"/>
  <c r="GF1437" i="98"/>
  <c r="GF797" i="98"/>
  <c r="GF1277" i="98"/>
  <c r="GF1037" i="98"/>
  <c r="GC30" i="98"/>
  <c r="GC110" i="98"/>
  <c r="GC190" i="98"/>
  <c r="GC270" i="98"/>
  <c r="GC350" i="98"/>
  <c r="GC430" i="98"/>
  <c r="GC510" i="98"/>
  <c r="GC590" i="98"/>
  <c r="GC670" i="98"/>
  <c r="GC750" i="98"/>
  <c r="GC830" i="98"/>
  <c r="GC910" i="98"/>
  <c r="GC990" i="98"/>
  <c r="GC1070" i="98"/>
  <c r="GC1150" i="98"/>
  <c r="GC1230" i="98"/>
  <c r="GC1310" i="98"/>
  <c r="GC1390" i="98"/>
  <c r="GC1470" i="98"/>
  <c r="GC1550" i="98"/>
  <c r="GC1630" i="98"/>
  <c r="GH1432" i="98"/>
  <c r="GH1192" i="98"/>
  <c r="GH152" i="98"/>
  <c r="GH1592" i="98"/>
  <c r="GH552" i="98"/>
  <c r="GO78" i="98"/>
  <c r="GO1278" i="98"/>
  <c r="GO1518" i="98"/>
  <c r="GO1038" i="98"/>
  <c r="GO1118" i="98"/>
  <c r="GO718" i="98"/>
  <c r="GO638" i="98"/>
  <c r="GO238" i="98"/>
  <c r="GO1358" i="98"/>
  <c r="GO478" i="98"/>
  <c r="GO558" i="98"/>
  <c r="GO1198" i="98"/>
  <c r="GO1598" i="98"/>
  <c r="GO798" i="98"/>
  <c r="GO878" i="98"/>
  <c r="GO1438" i="98"/>
  <c r="GO398" i="98"/>
  <c r="GO958" i="98"/>
  <c r="GO318" i="98"/>
  <c r="GO1678" i="98"/>
  <c r="GO158" i="98"/>
  <c r="GQ1290" i="98"/>
  <c r="GQ1210" i="98"/>
  <c r="GQ1450" i="98"/>
  <c r="GQ250" i="98"/>
  <c r="GQ410" i="98"/>
  <c r="GQ1130" i="98"/>
  <c r="GQ1050" i="98"/>
  <c r="GQ170" i="98"/>
  <c r="GQ570" i="98"/>
  <c r="GQ650" i="98"/>
  <c r="GQ1610" i="98"/>
  <c r="GQ1530" i="98"/>
  <c r="GQ490" i="98"/>
  <c r="GQ330" i="98"/>
  <c r="GQ90" i="98"/>
  <c r="GQ730" i="98"/>
  <c r="GQ970" i="98"/>
  <c r="GQ1370" i="98"/>
  <c r="GQ890" i="98"/>
  <c r="GQ810" i="98"/>
  <c r="EV9" i="98"/>
  <c r="GQ10" i="98"/>
  <c r="GF10" i="98"/>
  <c r="GF650" i="98"/>
  <c r="GF1210" i="98"/>
  <c r="GF1290" i="98"/>
  <c r="GF1050" i="98"/>
  <c r="GF970" i="98"/>
  <c r="GF1530" i="98"/>
  <c r="GF1610" i="98"/>
  <c r="GF570" i="98"/>
  <c r="GF170" i="98"/>
  <c r="GF490" i="98"/>
  <c r="GF1130" i="98"/>
  <c r="GF410" i="98"/>
  <c r="GF730" i="98"/>
  <c r="GF250" i="98"/>
  <c r="GF330" i="98"/>
  <c r="GF890" i="98"/>
  <c r="GF1370" i="98"/>
  <c r="GF1450" i="98"/>
  <c r="GF90" i="98"/>
  <c r="GF810" i="98"/>
  <c r="GN618" i="98"/>
  <c r="GQ657" i="98"/>
  <c r="GQ417" i="98"/>
  <c r="GQ97" i="98"/>
  <c r="GQ1617" i="98"/>
  <c r="GQ1137" i="98"/>
  <c r="GQ1537" i="98"/>
  <c r="GQ977" i="98"/>
  <c r="GQ1377" i="98"/>
  <c r="GQ1457" i="98"/>
  <c r="GQ737" i="98"/>
  <c r="GQ577" i="98"/>
  <c r="GQ1057" i="98"/>
  <c r="GQ817" i="98"/>
  <c r="GQ1297" i="98"/>
  <c r="GQ337" i="98"/>
  <c r="GQ1217" i="98"/>
  <c r="GQ497" i="98"/>
  <c r="GQ897" i="98"/>
  <c r="GQ257" i="98"/>
  <c r="GQ177" i="98"/>
  <c r="EV15" i="98"/>
  <c r="GQ17" i="98"/>
  <c r="GK23" i="98"/>
  <c r="GK343" i="98"/>
  <c r="GK423" i="98"/>
  <c r="GK1303" i="98"/>
  <c r="GK663" i="98"/>
  <c r="GK743" i="98"/>
  <c r="GK183" i="98"/>
  <c r="GK823" i="98"/>
  <c r="GK1383" i="98"/>
  <c r="GK1463" i="98"/>
  <c r="GK983" i="98"/>
  <c r="GK1623" i="98"/>
  <c r="GK503" i="98"/>
  <c r="GK263" i="98"/>
  <c r="GK583" i="98"/>
  <c r="GK903" i="98"/>
  <c r="GK1143" i="98"/>
  <c r="GK103" i="98"/>
  <c r="GK1543" i="98"/>
  <c r="GK1223" i="98"/>
  <c r="GK1063" i="98"/>
  <c r="GF23" i="98"/>
  <c r="GF503" i="98"/>
  <c r="GF1303" i="98"/>
  <c r="GF903" i="98"/>
  <c r="GF743" i="98"/>
  <c r="GF1623" i="98"/>
  <c r="GF1543" i="98"/>
  <c r="GF343" i="98"/>
  <c r="GF1223" i="98"/>
  <c r="GF263" i="98"/>
  <c r="GF183" i="98"/>
  <c r="GF1143" i="98"/>
  <c r="GF423" i="98"/>
  <c r="GF1383" i="98"/>
  <c r="GF823" i="98"/>
  <c r="GF983" i="98"/>
  <c r="GF583" i="98"/>
  <c r="GF1063" i="98"/>
  <c r="GF1463" i="98"/>
  <c r="GF663" i="98"/>
  <c r="GF103" i="98"/>
  <c r="GN13" i="98"/>
  <c r="GN1453" i="98"/>
  <c r="GN1613" i="98"/>
  <c r="GN1533" i="98"/>
  <c r="GN573" i="98"/>
  <c r="GN733" i="98"/>
  <c r="GN653" i="98"/>
  <c r="GN1293" i="98"/>
  <c r="GN413" i="98"/>
  <c r="GN1373" i="98"/>
  <c r="GN973" i="98"/>
  <c r="GN1053" i="98"/>
  <c r="GN813" i="98"/>
  <c r="GN493" i="98"/>
  <c r="GN1133" i="98"/>
  <c r="GN253" i="98"/>
  <c r="GN173" i="98"/>
  <c r="GN1213" i="98"/>
  <c r="GN333" i="98"/>
  <c r="GN93" i="98"/>
  <c r="GN893" i="98"/>
  <c r="GF13" i="98"/>
  <c r="GF1453" i="98"/>
  <c r="GF1613" i="98"/>
  <c r="GF1533" i="98"/>
  <c r="GF973" i="98"/>
  <c r="GF573" i="98"/>
  <c r="GF413" i="98"/>
  <c r="GF93" i="98"/>
  <c r="GF653" i="98"/>
  <c r="GF733" i="98"/>
  <c r="GF1293" i="98"/>
  <c r="GF253" i="98"/>
  <c r="GF173" i="98"/>
  <c r="GF1373" i="98"/>
  <c r="GF1053" i="98"/>
  <c r="GF813" i="98"/>
  <c r="GF1213" i="98"/>
  <c r="GF893" i="98"/>
  <c r="GF333" i="98"/>
  <c r="GF1133" i="98"/>
  <c r="GF493" i="98"/>
  <c r="GL12" i="98"/>
  <c r="GL1292" i="98"/>
  <c r="GL1132" i="98"/>
  <c r="GL1212" i="98"/>
  <c r="GL332" i="98"/>
  <c r="GL652" i="98"/>
  <c r="GL572" i="98"/>
  <c r="GL812" i="98"/>
  <c r="GL892" i="98"/>
  <c r="GL1052" i="98"/>
  <c r="GL1532" i="98"/>
  <c r="GL1372" i="98"/>
  <c r="GL1452" i="98"/>
  <c r="GL1612" i="98"/>
  <c r="GL412" i="98"/>
  <c r="GL492" i="98"/>
  <c r="GL732" i="98"/>
  <c r="GL172" i="98"/>
  <c r="GL972" i="98"/>
  <c r="GL252" i="98"/>
  <c r="GL92" i="98"/>
  <c r="GH82" i="98"/>
  <c r="GH1602" i="98"/>
  <c r="GH1282" i="98"/>
  <c r="GH1042" i="98"/>
  <c r="GH1202" i="98"/>
  <c r="GH722" i="98"/>
  <c r="GH162" i="98"/>
  <c r="GH1522" i="98"/>
  <c r="GH242" i="98"/>
  <c r="GH882" i="98"/>
  <c r="GH642" i="98"/>
  <c r="GH1122" i="98"/>
  <c r="GH1682" i="98"/>
  <c r="GH962" i="98"/>
  <c r="GH802" i="98"/>
  <c r="GH402" i="98"/>
  <c r="GH562" i="98"/>
  <c r="GH1442" i="98"/>
  <c r="GH482" i="98"/>
  <c r="GH322" i="98"/>
  <c r="GH1362" i="98"/>
  <c r="GQ1657" i="98"/>
  <c r="GQ617" i="98"/>
  <c r="GQ697" i="98"/>
  <c r="GQ777" i="98"/>
  <c r="GQ1097" i="98"/>
  <c r="GQ137" i="98"/>
  <c r="GQ377" i="98"/>
  <c r="GQ537" i="98"/>
  <c r="GQ1577" i="98"/>
  <c r="GQ1257" i="98"/>
  <c r="GQ1417" i="98"/>
  <c r="GQ1337" i="98"/>
  <c r="GQ1497" i="98"/>
  <c r="GQ217" i="98"/>
  <c r="GQ857" i="98"/>
  <c r="GQ1017" i="98"/>
  <c r="GQ297" i="98"/>
  <c r="GQ457" i="98"/>
  <c r="GQ937" i="98"/>
  <c r="GQ1177" i="98"/>
  <c r="GQ57" i="98"/>
  <c r="EV51" i="98"/>
  <c r="GL11" i="98"/>
  <c r="GL1131" i="98"/>
  <c r="GL1051" i="98"/>
  <c r="GL491" i="98"/>
  <c r="GL331" i="98"/>
  <c r="GL171" i="98"/>
  <c r="GL1611" i="98"/>
  <c r="GL891" i="98"/>
  <c r="GL1451" i="98"/>
  <c r="GL1211" i="98"/>
  <c r="GL651" i="98"/>
  <c r="GL91" i="98"/>
  <c r="GL811" i="98"/>
  <c r="GL1371" i="98"/>
  <c r="GL251" i="98"/>
  <c r="GL971" i="98"/>
  <c r="GL1531" i="98"/>
  <c r="GL571" i="98"/>
  <c r="GL1291" i="98"/>
  <c r="GL731" i="98"/>
  <c r="GL411" i="98"/>
  <c r="GN11" i="98"/>
  <c r="GN1051" i="98"/>
  <c r="GN491" i="98"/>
  <c r="GN171" i="98"/>
  <c r="GN411" i="98"/>
  <c r="GN891" i="98"/>
  <c r="GN1611" i="98"/>
  <c r="GN1291" i="98"/>
  <c r="GN811" i="98"/>
  <c r="GN1451" i="98"/>
  <c r="GN1211" i="98"/>
  <c r="GN1131" i="98"/>
  <c r="GN1531" i="98"/>
  <c r="GN251" i="98"/>
  <c r="GN331" i="98"/>
  <c r="GN91" i="98"/>
  <c r="GN1371" i="98"/>
  <c r="GN971" i="98"/>
  <c r="GN731" i="98"/>
  <c r="GN571" i="98"/>
  <c r="GN651" i="98"/>
  <c r="GC19" i="98"/>
  <c r="GC99" i="98"/>
  <c r="GC179" i="98"/>
  <c r="GC259" i="98"/>
  <c r="GC339" i="98"/>
  <c r="GC419" i="98"/>
  <c r="GC499" i="98"/>
  <c r="GC579" i="98"/>
  <c r="GC659" i="98"/>
  <c r="GC739" i="98"/>
  <c r="GC819" i="98"/>
  <c r="GC899" i="98"/>
  <c r="GC979" i="98"/>
  <c r="GC1059" i="98"/>
  <c r="GC1139" i="98"/>
  <c r="GC1219" i="98"/>
  <c r="GC1299" i="98"/>
  <c r="GC1379" i="98"/>
  <c r="GC1459" i="98"/>
  <c r="GC1539" i="98"/>
  <c r="GC1619" i="98"/>
  <c r="GL20" i="98"/>
  <c r="GL1620" i="98"/>
  <c r="GL1540" i="98"/>
  <c r="GL1460" i="98"/>
  <c r="GL1380" i="98"/>
  <c r="GL1140" i="98"/>
  <c r="GL500" i="98"/>
  <c r="GL580" i="98"/>
  <c r="GL1060" i="98"/>
  <c r="GL980" i="98"/>
  <c r="GL100" i="98"/>
  <c r="GL1300" i="98"/>
  <c r="GL260" i="98"/>
  <c r="GL340" i="98"/>
  <c r="GL420" i="98"/>
  <c r="GL1220" i="98"/>
  <c r="GL900" i="98"/>
  <c r="GL820" i="98"/>
  <c r="GL180" i="98"/>
  <c r="GL740" i="98"/>
  <c r="GL660" i="98"/>
  <c r="GF68" i="98"/>
  <c r="GF1668" i="98"/>
  <c r="GF1588" i="98"/>
  <c r="GF1508" i="98"/>
  <c r="GF948" i="98"/>
  <c r="GF1188" i="98"/>
  <c r="GF1108" i="98"/>
  <c r="GF148" i="98"/>
  <c r="GF1428" i="98"/>
  <c r="GF308" i="98"/>
  <c r="GF228" i="98"/>
  <c r="GF1348" i="98"/>
  <c r="GF708" i="98"/>
  <c r="GF868" i="98"/>
  <c r="GF388" i="98"/>
  <c r="GF548" i="98"/>
  <c r="GF788" i="98"/>
  <c r="GF1268" i="98"/>
  <c r="GF1028" i="98"/>
  <c r="GF468" i="98"/>
  <c r="GF628" i="98"/>
  <c r="GQ319" i="98"/>
  <c r="GQ959" i="98"/>
  <c r="GQ159" i="98"/>
  <c r="GQ1199" i="98"/>
  <c r="GQ1359" i="98"/>
  <c r="GQ1119" i="98"/>
  <c r="GQ1519" i="98"/>
  <c r="GQ1599" i="98"/>
  <c r="GQ239" i="98"/>
  <c r="GQ479" i="98"/>
  <c r="GQ879" i="98"/>
  <c r="GQ799" i="98"/>
  <c r="GQ1679" i="98"/>
  <c r="GQ399" i="98"/>
  <c r="GQ1439" i="98"/>
  <c r="GQ719" i="98"/>
  <c r="GQ1279" i="98"/>
  <c r="GQ639" i="98"/>
  <c r="GQ559" i="98"/>
  <c r="GQ1039" i="98"/>
  <c r="EV71" i="98"/>
  <c r="GQ79" i="98"/>
  <c r="GQ1308" i="98"/>
  <c r="GQ1148" i="98"/>
  <c r="GQ1068" i="98"/>
  <c r="GQ1228" i="98"/>
  <c r="GQ188" i="98"/>
  <c r="GQ588" i="98"/>
  <c r="GQ1388" i="98"/>
  <c r="GQ108" i="98"/>
  <c r="GQ268" i="98"/>
  <c r="GQ1628" i="98"/>
  <c r="GQ828" i="98"/>
  <c r="GQ748" i="98"/>
  <c r="GQ428" i="98"/>
  <c r="GQ1468" i="98"/>
  <c r="GQ1548" i="98"/>
  <c r="GQ508" i="98"/>
  <c r="GQ908" i="98"/>
  <c r="GQ988" i="98"/>
  <c r="GQ348" i="98"/>
  <c r="GQ668" i="98"/>
  <c r="EV25" i="98"/>
  <c r="GQ28" i="98"/>
  <c r="GC57" i="98"/>
  <c r="GC137" i="98"/>
  <c r="GC217" i="98"/>
  <c r="GC297" i="98"/>
  <c r="GC377" i="98"/>
  <c r="GC457" i="98"/>
  <c r="GC537" i="98"/>
  <c r="GC617" i="98"/>
  <c r="GC697" i="98"/>
  <c r="GC777" i="98"/>
  <c r="GC857" i="98"/>
  <c r="GC937" i="98"/>
  <c r="GC1017" i="98"/>
  <c r="GC1097" i="98"/>
  <c r="GC1177" i="98"/>
  <c r="GC1257" i="98"/>
  <c r="GC1337" i="98"/>
  <c r="GC1417" i="98"/>
  <c r="GC1497" i="98"/>
  <c r="GC1577" i="98"/>
  <c r="GC1657" i="98"/>
  <c r="GC41" i="98"/>
  <c r="GC121" i="98"/>
  <c r="GC201" i="98"/>
  <c r="GC281" i="98"/>
  <c r="GC361" i="98"/>
  <c r="GC441" i="98"/>
  <c r="GC521" i="98"/>
  <c r="GC601" i="98"/>
  <c r="GC681" i="98"/>
  <c r="GC761" i="98"/>
  <c r="GC841" i="98"/>
  <c r="GC921" i="98"/>
  <c r="GC1001" i="98"/>
  <c r="GC1081" i="98"/>
  <c r="GC1161" i="98"/>
  <c r="GC1241" i="98"/>
  <c r="GC1321" i="98"/>
  <c r="GC1401" i="98"/>
  <c r="GC1481" i="98"/>
  <c r="GC1561" i="98"/>
  <c r="GC1641" i="98"/>
  <c r="GC54" i="98"/>
  <c r="GC134" i="98"/>
  <c r="GC214" i="98"/>
  <c r="GC294" i="98"/>
  <c r="GC374" i="98"/>
  <c r="GC454" i="98"/>
  <c r="GC534" i="98"/>
  <c r="GC614" i="98"/>
  <c r="GC694" i="98"/>
  <c r="GC774" i="98"/>
  <c r="GC854" i="98"/>
  <c r="GC934" i="98"/>
  <c r="GC1014" i="98"/>
  <c r="GC1094" i="98"/>
  <c r="GC1174" i="98"/>
  <c r="GC1254" i="98"/>
  <c r="GC1334" i="98"/>
  <c r="GC1414" i="98"/>
  <c r="GC1494" i="98"/>
  <c r="GC1574" i="98"/>
  <c r="GC1654" i="98"/>
  <c r="GC53" i="98"/>
  <c r="GC133" i="98"/>
  <c r="GC213" i="98"/>
  <c r="GC293" i="98"/>
  <c r="GC373" i="98"/>
  <c r="GC453" i="98"/>
  <c r="GC533" i="98"/>
  <c r="GC613" i="98"/>
  <c r="GC693" i="98"/>
  <c r="GC773" i="98"/>
  <c r="GC853" i="98"/>
  <c r="GC933" i="98"/>
  <c r="GC1013" i="98"/>
  <c r="GC1093" i="98"/>
  <c r="GC1173" i="98"/>
  <c r="GC1253" i="98"/>
  <c r="GC1333" i="98"/>
  <c r="GC1413" i="98"/>
  <c r="GC1493" i="98"/>
  <c r="GC1573" i="98"/>
  <c r="GC1653" i="98"/>
  <c r="GH75" i="98"/>
  <c r="GH1115" i="98"/>
  <c r="GH475" i="98"/>
  <c r="GH315" i="98"/>
  <c r="GH395" i="98"/>
  <c r="GH1675" i="98"/>
  <c r="GH875" i="98"/>
  <c r="GH1035" i="98"/>
  <c r="GH1515" i="98"/>
  <c r="GH635" i="98"/>
  <c r="GH1195" i="98"/>
  <c r="GH1275" i="98"/>
  <c r="GH555" i="98"/>
  <c r="GH155" i="98"/>
  <c r="GH1355" i="98"/>
  <c r="GH1595" i="98"/>
  <c r="GH795" i="98"/>
  <c r="GH1435" i="98"/>
  <c r="GH235" i="98"/>
  <c r="GH715" i="98"/>
  <c r="GH955" i="98"/>
  <c r="GQ1107" i="98"/>
  <c r="GQ1587" i="98"/>
  <c r="GQ787" i="98"/>
  <c r="GQ867" i="98"/>
  <c r="GQ307" i="98"/>
  <c r="GQ1187" i="98"/>
  <c r="GQ1347" i="98"/>
  <c r="GQ547" i="98"/>
  <c r="GQ627" i="98"/>
  <c r="GQ147" i="98"/>
  <c r="GQ227" i="98"/>
  <c r="GQ387" i="98"/>
  <c r="GQ1267" i="98"/>
  <c r="GQ707" i="98"/>
  <c r="GQ1667" i="98"/>
  <c r="GQ1507" i="98"/>
  <c r="GQ1427" i="98"/>
  <c r="GQ947" i="98"/>
  <c r="GQ467" i="98"/>
  <c r="GQ1027" i="98"/>
  <c r="EV60" i="98"/>
  <c r="GQ67" i="98"/>
  <c r="GO67" i="98"/>
  <c r="GO1107" i="98"/>
  <c r="GO307" i="98"/>
  <c r="GO1507" i="98"/>
  <c r="GO1587" i="98"/>
  <c r="GO1427" i="98"/>
  <c r="GO787" i="98"/>
  <c r="GO867" i="98"/>
  <c r="GO467" i="98"/>
  <c r="GO947" i="98"/>
  <c r="GO1187" i="98"/>
  <c r="GO707" i="98"/>
  <c r="GO147" i="98"/>
  <c r="GO547" i="98"/>
  <c r="GO627" i="98"/>
  <c r="GO1347" i="98"/>
  <c r="GO387" i="98"/>
  <c r="GO1667" i="98"/>
  <c r="GO227" i="98"/>
  <c r="GO1267" i="98"/>
  <c r="GO1027" i="98"/>
  <c r="GL31" i="98"/>
  <c r="GL271" i="98"/>
  <c r="GL191" i="98"/>
  <c r="GL1391" i="98"/>
  <c r="GL1231" i="98"/>
  <c r="GL1631" i="98"/>
  <c r="GL1551" i="98"/>
  <c r="GL1151" i="98"/>
  <c r="GL751" i="98"/>
  <c r="GL991" i="98"/>
  <c r="GL351" i="98"/>
  <c r="GL511" i="98"/>
  <c r="GL831" i="98"/>
  <c r="GL911" i="98"/>
  <c r="GL1471" i="98"/>
  <c r="GL111" i="98"/>
  <c r="GL431" i="98"/>
  <c r="GL591" i="98"/>
  <c r="GL1071" i="98"/>
  <c r="GL671" i="98"/>
  <c r="GL1311" i="98"/>
  <c r="GN31" i="98"/>
  <c r="GN511" i="98"/>
  <c r="GN191" i="98"/>
  <c r="GN1391" i="98"/>
  <c r="GN1551" i="98"/>
  <c r="GN1631" i="98"/>
  <c r="GN1151" i="98"/>
  <c r="GN1231" i="98"/>
  <c r="GN1311" i="98"/>
  <c r="GN671" i="98"/>
  <c r="GN351" i="98"/>
  <c r="GN751" i="98"/>
  <c r="GN271" i="98"/>
  <c r="GN911" i="98"/>
  <c r="GN1071" i="98"/>
  <c r="GN831" i="98"/>
  <c r="GN1471" i="98"/>
  <c r="GN591" i="98"/>
  <c r="GN111" i="98"/>
  <c r="GN431" i="98"/>
  <c r="GN991" i="98"/>
  <c r="GQ1368" i="98"/>
  <c r="GQ1128" i="98"/>
  <c r="GQ1448" i="98"/>
  <c r="GQ488" i="98"/>
  <c r="GQ328" i="98"/>
  <c r="GQ168" i="98"/>
  <c r="GQ568" i="98"/>
  <c r="GQ1288" i="98"/>
  <c r="GQ968" i="98"/>
  <c r="GQ1208" i="98"/>
  <c r="GQ808" i="98"/>
  <c r="GQ408" i="98"/>
  <c r="GQ648" i="98"/>
  <c r="GQ248" i="98"/>
  <c r="GQ1528" i="98"/>
  <c r="GQ1608" i="98"/>
  <c r="GQ88" i="98"/>
  <c r="GQ888" i="98"/>
  <c r="GQ1048" i="98"/>
  <c r="GQ728" i="98"/>
  <c r="EV7" i="98"/>
  <c r="GQ8" i="98"/>
  <c r="GL8" i="98"/>
  <c r="GL1368" i="98"/>
  <c r="GL1448" i="98"/>
  <c r="GL408" i="98"/>
  <c r="GL488" i="98"/>
  <c r="GL328" i="98"/>
  <c r="GL168" i="98"/>
  <c r="GL568" i="98"/>
  <c r="GL728" i="98"/>
  <c r="GL808" i="98"/>
  <c r="GL1288" i="98"/>
  <c r="GL1208" i="98"/>
  <c r="GL1608" i="98"/>
  <c r="GL1128" i="98"/>
  <c r="GL1528" i="98"/>
  <c r="GL888" i="98"/>
  <c r="GL88" i="98"/>
  <c r="GL968" i="98"/>
  <c r="GL648" i="98"/>
  <c r="GL1048" i="98"/>
  <c r="GL248" i="98"/>
  <c r="GK9" i="98"/>
  <c r="GK1529" i="98"/>
  <c r="GK569" i="98"/>
  <c r="GK1049" i="98"/>
  <c r="GK649" i="98"/>
  <c r="GK969" i="98"/>
  <c r="GK1289" i="98"/>
  <c r="GK89" i="98"/>
  <c r="GK729" i="98"/>
  <c r="GK1369" i="98"/>
  <c r="GK169" i="98"/>
  <c r="GK889" i="98"/>
  <c r="GK1609" i="98"/>
  <c r="GK249" i="98"/>
  <c r="GK489" i="98"/>
  <c r="GK1449" i="98"/>
  <c r="GK409" i="98"/>
  <c r="GK809" i="98"/>
  <c r="GK1129" i="98"/>
  <c r="GK1209" i="98"/>
  <c r="GK329" i="98"/>
  <c r="GH74" i="98"/>
  <c r="GH1274" i="98"/>
  <c r="GH714" i="98"/>
  <c r="GH314" i="98"/>
  <c r="GH1434" i="98"/>
  <c r="GH1354" i="98"/>
  <c r="GH234" i="98"/>
  <c r="GH1594" i="98"/>
  <c r="GH1034" i="98"/>
  <c r="GH394" i="98"/>
  <c r="GH634" i="98"/>
  <c r="GH954" i="98"/>
  <c r="GH154" i="98"/>
  <c r="GH1114" i="98"/>
  <c r="GH1514" i="98"/>
  <c r="GH554" i="98"/>
  <c r="GH474" i="98"/>
  <c r="GH1674" i="98"/>
  <c r="GH1194" i="98"/>
  <c r="GH874" i="98"/>
  <c r="GH794" i="98"/>
  <c r="GO540" i="98"/>
  <c r="GO1660" i="98"/>
  <c r="GN27" i="98"/>
  <c r="GN1067" i="98"/>
  <c r="GN507" i="98"/>
  <c r="GN187" i="98"/>
  <c r="GN267" i="98"/>
  <c r="GN1147" i="98"/>
  <c r="GN747" i="98"/>
  <c r="GN1227" i="98"/>
  <c r="GN667" i="98"/>
  <c r="GN347" i="98"/>
  <c r="GN987" i="98"/>
  <c r="GN1627" i="98"/>
  <c r="GN907" i="98"/>
  <c r="GN1467" i="98"/>
  <c r="GN107" i="98"/>
  <c r="GN587" i="98"/>
  <c r="GN1387" i="98"/>
  <c r="GN1547" i="98"/>
  <c r="GN427" i="98"/>
  <c r="GN1307" i="98"/>
  <c r="GN827" i="98"/>
  <c r="GO7" i="98"/>
  <c r="GO87" i="98"/>
  <c r="GO1207" i="98"/>
  <c r="GO1527" i="98"/>
  <c r="GO327" i="98"/>
  <c r="GO167" i="98"/>
  <c r="GO1127" i="98"/>
  <c r="GO1287" i="98"/>
  <c r="GO247" i="98"/>
  <c r="GO807" i="98"/>
  <c r="GO407" i="98"/>
  <c r="GO487" i="98"/>
  <c r="GO967" i="98"/>
  <c r="GO1447" i="98"/>
  <c r="GO887" i="98"/>
  <c r="GO1607" i="98"/>
  <c r="GO1367" i="98"/>
  <c r="GO727" i="98"/>
  <c r="GO567" i="98"/>
  <c r="GO1047" i="98"/>
  <c r="GO647" i="98"/>
  <c r="GO70" i="98"/>
  <c r="GO1110" i="98"/>
  <c r="GO630" i="98"/>
  <c r="GO230" i="98"/>
  <c r="GO550" i="98"/>
  <c r="GO1030" i="98"/>
  <c r="GO1430" i="98"/>
  <c r="GO310" i="98"/>
  <c r="GO470" i="98"/>
  <c r="GO790" i="98"/>
  <c r="GO870" i="98"/>
  <c r="GO1670" i="98"/>
  <c r="GO1590" i="98"/>
  <c r="GO710" i="98"/>
  <c r="GO390" i="98"/>
  <c r="GO1350" i="98"/>
  <c r="GO150" i="98"/>
  <c r="GO1190" i="98"/>
  <c r="GO1270" i="98"/>
  <c r="GO950" i="98"/>
  <c r="GO1510" i="98"/>
  <c r="GL70" i="98"/>
  <c r="GL1110" i="98"/>
  <c r="GL630" i="98"/>
  <c r="GL390" i="98"/>
  <c r="GL230" i="98"/>
  <c r="GL470" i="98"/>
  <c r="GL870" i="98"/>
  <c r="GL550" i="98"/>
  <c r="GL710" i="98"/>
  <c r="GL1430" i="98"/>
  <c r="GL1590" i="98"/>
  <c r="GL1030" i="98"/>
  <c r="GL1510" i="98"/>
  <c r="GL150" i="98"/>
  <c r="GL1350" i="98"/>
  <c r="GL1190" i="98"/>
  <c r="GL1270" i="98"/>
  <c r="GL1670" i="98"/>
  <c r="GL950" i="98"/>
  <c r="GL310" i="98"/>
  <c r="GL790" i="98"/>
  <c r="GN29" i="98"/>
  <c r="GN1389" i="98"/>
  <c r="GN1469" i="98"/>
  <c r="GN749" i="98"/>
  <c r="GN669" i="98"/>
  <c r="GN349" i="98"/>
  <c r="GN109" i="98"/>
  <c r="GN269" i="98"/>
  <c r="GN589" i="98"/>
  <c r="GN989" i="98"/>
  <c r="GN1069" i="98"/>
  <c r="GN429" i="98"/>
  <c r="GN1149" i="98"/>
  <c r="GN509" i="98"/>
  <c r="GN1629" i="98"/>
  <c r="GN1229" i="98"/>
  <c r="GN189" i="98"/>
  <c r="GN1549" i="98"/>
  <c r="GN909" i="98"/>
  <c r="GN829" i="98"/>
  <c r="GN1309" i="98"/>
  <c r="GK69" i="98"/>
  <c r="GK1349" i="98"/>
  <c r="GK1429" i="98"/>
  <c r="GK1669" i="98"/>
  <c r="GK949" i="98"/>
  <c r="GK549" i="98"/>
  <c r="GK469" i="98"/>
  <c r="GK709" i="98"/>
  <c r="GK229" i="98"/>
  <c r="GK1109" i="98"/>
  <c r="GK149" i="98"/>
  <c r="GK1589" i="98"/>
  <c r="GK309" i="98"/>
  <c r="GK629" i="98"/>
  <c r="GK1509" i="98"/>
  <c r="GK869" i="98"/>
  <c r="GK1189" i="98"/>
  <c r="GK789" i="98"/>
  <c r="GK389" i="98"/>
  <c r="GK1029" i="98"/>
  <c r="GK1269" i="98"/>
  <c r="GL21" i="98"/>
  <c r="GL741" i="98"/>
  <c r="GL581" i="98"/>
  <c r="GL1541" i="98"/>
  <c r="GL901" i="98"/>
  <c r="GL1221" i="98"/>
  <c r="GH35" i="98"/>
  <c r="GH1075" i="98"/>
  <c r="GH275" i="98"/>
  <c r="GH195" i="98"/>
  <c r="GH1555" i="98"/>
  <c r="GH1235" i="98"/>
  <c r="GH995" i="98"/>
  <c r="GH835" i="98"/>
  <c r="GH915" i="98"/>
  <c r="GH515" i="98"/>
  <c r="GH355" i="98"/>
  <c r="GH1315" i="98"/>
  <c r="GH755" i="98"/>
  <c r="GH1475" i="98"/>
  <c r="GH675" i="98"/>
  <c r="GH435" i="98"/>
  <c r="GH1635" i="98"/>
  <c r="GH1395" i="98"/>
  <c r="GH595" i="98"/>
  <c r="GH115" i="98"/>
  <c r="GH1155" i="98"/>
  <c r="GQ1059" i="98"/>
  <c r="GQ339" i="98"/>
  <c r="GQ419" i="98"/>
  <c r="GQ1459" i="98"/>
  <c r="GQ819" i="98"/>
  <c r="GQ899" i="98"/>
  <c r="GQ259" i="98"/>
  <c r="GQ1139" i="98"/>
  <c r="GQ499" i="98"/>
  <c r="GQ1299" i="98"/>
  <c r="GQ179" i="98"/>
  <c r="GQ739" i="98"/>
  <c r="GQ1379" i="98"/>
  <c r="GQ1619" i="98"/>
  <c r="GQ659" i="98"/>
  <c r="GQ979" i="98"/>
  <c r="GQ1219" i="98"/>
  <c r="GQ579" i="98"/>
  <c r="GQ99" i="98"/>
  <c r="GQ1539" i="98"/>
  <c r="EV17" i="98"/>
  <c r="GQ19" i="98"/>
  <c r="GH33" i="98"/>
  <c r="GH1313" i="98"/>
  <c r="GH1473" i="98"/>
  <c r="GH673" i="98"/>
  <c r="GH993" i="98"/>
  <c r="GH753" i="98"/>
  <c r="GH1393" i="98"/>
  <c r="GH1633" i="98"/>
  <c r="GH513" i="98"/>
  <c r="GH1553" i="98"/>
  <c r="GH1233" i="98"/>
  <c r="GH433" i="98"/>
  <c r="GH1153" i="98"/>
  <c r="GH353" i="98"/>
  <c r="GH193" i="98"/>
  <c r="GH593" i="98"/>
  <c r="GH833" i="98"/>
  <c r="GH273" i="98"/>
  <c r="GH913" i="98"/>
  <c r="GH113" i="98"/>
  <c r="GH1073" i="98"/>
  <c r="GO30" i="98"/>
  <c r="GO1070" i="98"/>
  <c r="GO1550" i="98"/>
  <c r="GO590" i="98"/>
  <c r="GO430" i="98"/>
  <c r="GO110" i="98"/>
  <c r="GO190" i="98"/>
  <c r="GO1390" i="98"/>
  <c r="GO1310" i="98"/>
  <c r="GO350" i="98"/>
  <c r="GO510" i="98"/>
  <c r="GO670" i="98"/>
  <c r="GO270" i="98"/>
  <c r="GO1150" i="98"/>
  <c r="GO910" i="98"/>
  <c r="GO1630" i="98"/>
  <c r="GO990" i="98"/>
  <c r="GO830" i="98"/>
  <c r="GO1230" i="98"/>
  <c r="GO1470" i="98"/>
  <c r="GO750" i="98"/>
  <c r="GC23" i="98"/>
  <c r="GC103" i="98"/>
  <c r="GC183" i="98"/>
  <c r="GC263" i="98"/>
  <c r="GC343" i="98"/>
  <c r="GC423" i="98"/>
  <c r="GC503" i="98"/>
  <c r="GC583" i="98"/>
  <c r="GC663" i="98"/>
  <c r="GC743" i="98"/>
  <c r="GC823" i="98"/>
  <c r="GC903" i="98"/>
  <c r="GC983" i="98"/>
  <c r="GC1063" i="98"/>
  <c r="GC1143" i="98"/>
  <c r="GC1223" i="98"/>
  <c r="GC1303" i="98"/>
  <c r="GC1383" i="98"/>
  <c r="GC1463" i="98"/>
  <c r="GC1543" i="98"/>
  <c r="GC1623" i="98"/>
  <c r="GQ1357" i="98"/>
  <c r="GQ1677" i="98"/>
  <c r="GQ1037" i="98"/>
  <c r="GQ237" i="98"/>
  <c r="GQ477" i="98"/>
  <c r="GQ557" i="98"/>
  <c r="GQ1277" i="98"/>
  <c r="GQ637" i="98"/>
  <c r="GQ717" i="98"/>
  <c r="GQ157" i="98"/>
  <c r="GQ397" i="98"/>
  <c r="GQ1597" i="98"/>
  <c r="GQ1517" i="98"/>
  <c r="GQ957" i="98"/>
  <c r="GQ1437" i="98"/>
  <c r="GQ1117" i="98"/>
  <c r="GQ877" i="98"/>
  <c r="GQ797" i="98"/>
  <c r="GQ1197" i="98"/>
  <c r="GQ317" i="98"/>
  <c r="EV69" i="98"/>
  <c r="GQ77" i="98"/>
  <c r="GL77" i="98"/>
  <c r="GL1677" i="98"/>
  <c r="GL1437" i="98"/>
  <c r="GL1517" i="98"/>
  <c r="GL1357" i="98"/>
  <c r="GL1597" i="98"/>
  <c r="GL557" i="98"/>
  <c r="GL957" i="98"/>
  <c r="GL637" i="98"/>
  <c r="GL397" i="98"/>
  <c r="GL717" i="98"/>
  <c r="GL1037" i="98"/>
  <c r="GL237" i="98"/>
  <c r="GL1117" i="98"/>
  <c r="GL317" i="98"/>
  <c r="GL477" i="98"/>
  <c r="GL157" i="98"/>
  <c r="GL1277" i="98"/>
  <c r="GL797" i="98"/>
  <c r="GL877" i="98"/>
  <c r="GL1197" i="98"/>
  <c r="GH71" i="98"/>
  <c r="GH311" i="98"/>
  <c r="GH231" i="98"/>
  <c r="GH551" i="98"/>
  <c r="GH391" i="98"/>
  <c r="GH1191" i="98"/>
  <c r="GH1671" i="98"/>
  <c r="GH1031" i="98"/>
  <c r="GH471" i="98"/>
  <c r="GH791" i="98"/>
  <c r="GH871" i="98"/>
  <c r="GH1351" i="98"/>
  <c r="GH1431" i="98"/>
  <c r="GH1271" i="98"/>
  <c r="GH1111" i="98"/>
  <c r="GH951" i="98"/>
  <c r="GH1511" i="98"/>
  <c r="GH1591" i="98"/>
  <c r="GH151" i="98"/>
  <c r="GH631" i="98"/>
  <c r="GH711" i="98"/>
  <c r="GH1360" i="98"/>
  <c r="GH320" i="98"/>
  <c r="GH400" i="98"/>
  <c r="GH1520" i="98"/>
  <c r="GH1040" i="98"/>
  <c r="GK78" i="98"/>
  <c r="GK1438" i="98"/>
  <c r="GK1278" i="98"/>
  <c r="GK1038" i="98"/>
  <c r="GK718" i="98"/>
  <c r="GK638" i="98"/>
  <c r="GK238" i="98"/>
  <c r="GK478" i="98"/>
  <c r="GK1358" i="98"/>
  <c r="GK1518" i="98"/>
  <c r="GK1598" i="98"/>
  <c r="GK1118" i="98"/>
  <c r="GK1198" i="98"/>
  <c r="GK878" i="98"/>
  <c r="GK558" i="98"/>
  <c r="GK798" i="98"/>
  <c r="GK398" i="98"/>
  <c r="GK158" i="98"/>
  <c r="GK958" i="98"/>
  <c r="GK1678" i="98"/>
  <c r="GK318" i="98"/>
  <c r="GN10" i="98"/>
  <c r="GN1290" i="98"/>
  <c r="GN1210" i="98"/>
  <c r="GN410" i="98"/>
  <c r="GN730" i="98"/>
  <c r="GN250" i="98"/>
  <c r="GN1130" i="98"/>
  <c r="GN650" i="98"/>
  <c r="GN570" i="98"/>
  <c r="GN170" i="98"/>
  <c r="GN1050" i="98"/>
  <c r="GN1610" i="98"/>
  <c r="GN1530" i="98"/>
  <c r="GN1450" i="98"/>
  <c r="GN90" i="98"/>
  <c r="GN490" i="98"/>
  <c r="GN330" i="98"/>
  <c r="GN1370" i="98"/>
  <c r="GN970" i="98"/>
  <c r="GN890" i="98"/>
  <c r="GN810" i="98"/>
  <c r="GQ778" i="98"/>
  <c r="GQ1178" i="98"/>
  <c r="GQ1018" i="98"/>
  <c r="GQ458" i="98"/>
  <c r="GQ618" i="98"/>
  <c r="GQ218" i="98"/>
  <c r="GQ1418" i="98"/>
  <c r="GQ1498" i="98"/>
  <c r="GQ1098" i="98"/>
  <c r="GQ1258" i="98"/>
  <c r="GQ698" i="98"/>
  <c r="GQ538" i="98"/>
  <c r="GQ298" i="98"/>
  <c r="GQ1578" i="98"/>
  <c r="GQ938" i="98"/>
  <c r="GQ138" i="98"/>
  <c r="GQ1658" i="98"/>
  <c r="GQ858" i="98"/>
  <c r="GQ378" i="98"/>
  <c r="GQ1338" i="98"/>
  <c r="GQ58" i="98"/>
  <c r="EV52" i="98"/>
  <c r="GF1178" i="98"/>
  <c r="GF138" i="98"/>
  <c r="GO17" i="98"/>
  <c r="GO657" i="98"/>
  <c r="GO577" i="98"/>
  <c r="GO417" i="98"/>
  <c r="GO97" i="98"/>
  <c r="GO1137" i="98"/>
  <c r="GO737" i="98"/>
  <c r="GO1297" i="98"/>
  <c r="GO1537" i="98"/>
  <c r="GO977" i="98"/>
  <c r="GO1617" i="98"/>
  <c r="GO1057" i="98"/>
  <c r="GO177" i="98"/>
  <c r="GO1377" i="98"/>
  <c r="GO1457" i="98"/>
  <c r="GO257" i="98"/>
  <c r="GO817" i="98"/>
  <c r="GO897" i="98"/>
  <c r="GO497" i="98"/>
  <c r="GO1217" i="98"/>
  <c r="GO337" i="98"/>
  <c r="GK17" i="98"/>
  <c r="GK657" i="98"/>
  <c r="GK577" i="98"/>
  <c r="GK417" i="98"/>
  <c r="GK97" i="98"/>
  <c r="GK977" i="98"/>
  <c r="GK1617" i="98"/>
  <c r="GK1137" i="98"/>
  <c r="GK737" i="98"/>
  <c r="GK177" i="98"/>
  <c r="GK1057" i="98"/>
  <c r="GK1457" i="98"/>
  <c r="GK1377" i="98"/>
  <c r="GK817" i="98"/>
  <c r="GK897" i="98"/>
  <c r="GK337" i="98"/>
  <c r="GK1537" i="98"/>
  <c r="GK257" i="98"/>
  <c r="GK1217" i="98"/>
  <c r="GK497" i="98"/>
  <c r="GK1297" i="98"/>
  <c r="GN23" i="98"/>
  <c r="GN343" i="98"/>
  <c r="GN663" i="98"/>
  <c r="GN423" i="98"/>
  <c r="GN183" i="98"/>
  <c r="GN1303" i="98"/>
  <c r="GN983" i="98"/>
  <c r="GN1463" i="98"/>
  <c r="GN1383" i="98"/>
  <c r="GN1623" i="98"/>
  <c r="GN583" i="98"/>
  <c r="GN263" i="98"/>
  <c r="GN503" i="98"/>
  <c r="GN1143" i="98"/>
  <c r="GN1223" i="98"/>
  <c r="GN823" i="98"/>
  <c r="GN903" i="98"/>
  <c r="GN1543" i="98"/>
  <c r="GN743" i="98"/>
  <c r="GN103" i="98"/>
  <c r="GN1063" i="98"/>
  <c r="GL1453" i="98"/>
  <c r="GL733" i="98"/>
  <c r="GL1133" i="98"/>
  <c r="GL893" i="98"/>
  <c r="GL1213" i="98"/>
  <c r="GO12" i="98"/>
  <c r="GO1292" i="98"/>
  <c r="GO1132" i="98"/>
  <c r="GO1532" i="98"/>
  <c r="GO492" i="98"/>
  <c r="GO1212" i="98"/>
  <c r="GO652" i="98"/>
  <c r="GO572" i="98"/>
  <c r="GO1052" i="98"/>
  <c r="GO1452" i="98"/>
  <c r="GO812" i="98"/>
  <c r="GO332" i="98"/>
  <c r="GO892" i="98"/>
  <c r="GO972" i="98"/>
  <c r="GO1612" i="98"/>
  <c r="GO1372" i="98"/>
  <c r="GO732" i="98"/>
  <c r="GO412" i="98"/>
  <c r="GO92" i="98"/>
  <c r="GO252" i="98"/>
  <c r="GO172" i="98"/>
  <c r="GQ1292" i="98"/>
  <c r="GQ1132" i="98"/>
  <c r="GQ1052" i="98"/>
  <c r="GQ652" i="98"/>
  <c r="GQ1372" i="98"/>
  <c r="GQ572" i="98"/>
  <c r="GQ1532" i="98"/>
  <c r="GQ972" i="98"/>
  <c r="GQ1452" i="98"/>
  <c r="GQ812" i="98"/>
  <c r="GQ332" i="98"/>
  <c r="GQ1612" i="98"/>
  <c r="GQ492" i="98"/>
  <c r="GQ1212" i="98"/>
  <c r="GQ412" i="98"/>
  <c r="GQ732" i="98"/>
  <c r="GQ892" i="98"/>
  <c r="GQ92" i="98"/>
  <c r="GQ252" i="98"/>
  <c r="GQ172" i="98"/>
  <c r="EV11" i="98"/>
  <c r="GQ12" i="98"/>
  <c r="GN57" i="98"/>
  <c r="GN1657" i="98"/>
  <c r="GN1497" i="98"/>
  <c r="GN617" i="98"/>
  <c r="GN777" i="98"/>
  <c r="GN1097" i="98"/>
  <c r="GN1017" i="98"/>
  <c r="GN137" i="98"/>
  <c r="GN377" i="98"/>
  <c r="GN697" i="98"/>
  <c r="GN537" i="98"/>
  <c r="GN1177" i="98"/>
  <c r="GN1257" i="98"/>
  <c r="GN1417" i="98"/>
  <c r="GN1337" i="98"/>
  <c r="GN457" i="98"/>
  <c r="GN1577" i="98"/>
  <c r="GN297" i="98"/>
  <c r="GN937" i="98"/>
  <c r="GN217" i="98"/>
  <c r="GN857" i="98"/>
  <c r="GK11" i="98"/>
  <c r="GK1051" i="98"/>
  <c r="GK1131" i="98"/>
  <c r="GK171" i="98"/>
  <c r="GK331" i="98"/>
  <c r="GK891" i="98"/>
  <c r="GK1611" i="98"/>
  <c r="GK411" i="98"/>
  <c r="GK1451" i="98"/>
  <c r="GK651" i="98"/>
  <c r="GK91" i="98"/>
  <c r="GK1211" i="98"/>
  <c r="GK491" i="98"/>
  <c r="GK811" i="98"/>
  <c r="GK1531" i="98"/>
  <c r="GK731" i="98"/>
  <c r="GK1371" i="98"/>
  <c r="GK971" i="98"/>
  <c r="GK251" i="98"/>
  <c r="GK571" i="98"/>
  <c r="GK1291" i="98"/>
  <c r="GF11" i="98"/>
  <c r="GF1051" i="98"/>
  <c r="GF1131" i="98"/>
  <c r="GF491" i="98"/>
  <c r="GF171" i="98"/>
  <c r="GF1611" i="98"/>
  <c r="GF1291" i="98"/>
  <c r="GF1451" i="98"/>
  <c r="GF651" i="98"/>
  <c r="GF811" i="98"/>
  <c r="GF1211" i="98"/>
  <c r="GF91" i="98"/>
  <c r="GF251" i="98"/>
  <c r="GF331" i="98"/>
  <c r="GF731" i="98"/>
  <c r="GF971" i="98"/>
  <c r="GF1531" i="98"/>
  <c r="GF891" i="98"/>
  <c r="GF1371" i="98"/>
  <c r="GF571" i="98"/>
  <c r="GF411" i="98"/>
  <c r="GQ1460" i="98"/>
  <c r="GQ1380" i="98"/>
  <c r="GQ1220" i="98"/>
  <c r="GQ1140" i="98"/>
  <c r="GQ500" i="98"/>
  <c r="GQ1300" i="98"/>
  <c r="GQ1060" i="98"/>
  <c r="GQ100" i="98"/>
  <c r="GQ260" i="98"/>
  <c r="GQ1540" i="98"/>
  <c r="GQ1620" i="98"/>
  <c r="GQ820" i="98"/>
  <c r="GQ420" i="98"/>
  <c r="GQ900" i="98"/>
  <c r="GQ660" i="98"/>
  <c r="GQ740" i="98"/>
  <c r="GQ340" i="98"/>
  <c r="GQ980" i="98"/>
  <c r="GQ180" i="98"/>
  <c r="GQ580" i="98"/>
  <c r="EV18" i="98"/>
  <c r="GQ20" i="98"/>
  <c r="GO20" i="98"/>
  <c r="GO1140" i="98"/>
  <c r="GO500" i="98"/>
  <c r="GO740" i="98"/>
  <c r="GO580" i="98"/>
  <c r="GO1220" i="98"/>
  <c r="GO100" i="98"/>
  <c r="GO660" i="98"/>
  <c r="GO260" i="98"/>
  <c r="GO980" i="98"/>
  <c r="GO1380" i="98"/>
  <c r="GO1460" i="98"/>
  <c r="GO1540" i="98"/>
  <c r="GO1620" i="98"/>
  <c r="GO420" i="98"/>
  <c r="GO1060" i="98"/>
  <c r="GO1300" i="98"/>
  <c r="GO180" i="98"/>
  <c r="GO900" i="98"/>
  <c r="GO820" i="98"/>
  <c r="GO340" i="98"/>
  <c r="GQ1428" i="98"/>
  <c r="GQ1348" i="98"/>
  <c r="GQ1188" i="98"/>
  <c r="GQ1108" i="98"/>
  <c r="GQ948" i="98"/>
  <c r="GQ308" i="98"/>
  <c r="GQ228" i="98"/>
  <c r="GQ1268" i="98"/>
  <c r="GQ1588" i="98"/>
  <c r="GQ148" i="98"/>
  <c r="GQ388" i="98"/>
  <c r="GQ1508" i="98"/>
  <c r="GQ1668" i="98"/>
  <c r="GQ868" i="98"/>
  <c r="GQ548" i="98"/>
  <c r="GQ788" i="98"/>
  <c r="GQ708" i="98"/>
  <c r="GQ628" i="98"/>
  <c r="GQ468" i="98"/>
  <c r="GQ1028" i="98"/>
  <c r="EV61" i="98"/>
  <c r="GQ68" i="98"/>
  <c r="GL68" i="98"/>
  <c r="GL1668" i="98"/>
  <c r="GL1588" i="98"/>
  <c r="GL1108" i="98"/>
  <c r="GL1508" i="98"/>
  <c r="GL1428" i="98"/>
  <c r="GL1348" i="98"/>
  <c r="GL948" i="98"/>
  <c r="GL228" i="98"/>
  <c r="GL308" i="98"/>
  <c r="GL148" i="98"/>
  <c r="GL388" i="98"/>
  <c r="GL468" i="98"/>
  <c r="GL1268" i="98"/>
  <c r="GL548" i="98"/>
  <c r="GL708" i="98"/>
  <c r="GL1188" i="98"/>
  <c r="GL868" i="98"/>
  <c r="GL628" i="98"/>
  <c r="GL788" i="98"/>
  <c r="GL1028" i="98"/>
  <c r="GK79" i="98"/>
  <c r="GK319" i="98"/>
  <c r="GK159" i="98"/>
  <c r="GK1359" i="98"/>
  <c r="GK1519" i="98"/>
  <c r="GK1679" i="98"/>
  <c r="GK239" i="98"/>
  <c r="GK639" i="98"/>
  <c r="GK479" i="98"/>
  <c r="GK799" i="98"/>
  <c r="GK879" i="98"/>
  <c r="GK1599" i="98"/>
  <c r="GK559" i="98"/>
  <c r="GK1199" i="98"/>
  <c r="GK1039" i="98"/>
  <c r="GK1119" i="98"/>
  <c r="GK399" i="98"/>
  <c r="GK719" i="98"/>
  <c r="GK1279" i="98"/>
  <c r="GK1439" i="98"/>
  <c r="GK959" i="98"/>
  <c r="GO79" i="98"/>
  <c r="GO319" i="98"/>
  <c r="GO239" i="98"/>
  <c r="GO1359" i="98"/>
  <c r="GO1199" i="98"/>
  <c r="GO399" i="98"/>
  <c r="GO159" i="98"/>
  <c r="GO959" i="98"/>
  <c r="GO559" i="98"/>
  <c r="GO1119" i="98"/>
  <c r="GO1519" i="98"/>
  <c r="GO639" i="98"/>
  <c r="GO1679" i="98"/>
  <c r="GO1439" i="98"/>
  <c r="GO479" i="98"/>
  <c r="GO799" i="98"/>
  <c r="GO879" i="98"/>
  <c r="GO1599" i="98"/>
  <c r="GO1279" i="98"/>
  <c r="GO719" i="98"/>
  <c r="GO1039" i="98"/>
  <c r="GH63" i="98"/>
  <c r="GH303" i="98"/>
  <c r="GH1023" i="98"/>
  <c r="GH143" i="98"/>
  <c r="GH1343" i="98"/>
  <c r="GH1583" i="98"/>
  <c r="GH703" i="98"/>
  <c r="GH223" i="98"/>
  <c r="GH623" i="98"/>
  <c r="GH1663" i="98"/>
  <c r="GH943" i="98"/>
  <c r="GH543" i="98"/>
  <c r="GH1503" i="98"/>
  <c r="GH383" i="98"/>
  <c r="GH863" i="98"/>
  <c r="GH1423" i="98"/>
  <c r="GH1183" i="98"/>
  <c r="GH463" i="98"/>
  <c r="GH1263" i="98"/>
  <c r="GH1103" i="98"/>
  <c r="GH783" i="98"/>
  <c r="GL28" i="98"/>
  <c r="GL1308" i="98"/>
  <c r="GL1068" i="98"/>
  <c r="GL1228" i="98"/>
  <c r="GL508" i="98"/>
  <c r="GL268" i="98"/>
  <c r="GL588" i="98"/>
  <c r="GL428" i="98"/>
  <c r="GL188" i="98"/>
  <c r="GL1148" i="98"/>
  <c r="GL1548" i="98"/>
  <c r="GL1628" i="98"/>
  <c r="GL748" i="98"/>
  <c r="GL108" i="98"/>
  <c r="GL1388" i="98"/>
  <c r="GL1468" i="98"/>
  <c r="GL348" i="98"/>
  <c r="GL828" i="98"/>
  <c r="GL668" i="98"/>
  <c r="GL988" i="98"/>
  <c r="GL908" i="98"/>
  <c r="GK28" i="98"/>
  <c r="GK1308" i="98"/>
  <c r="GK1228" i="98"/>
  <c r="GK1068" i="98"/>
  <c r="GK188" i="98"/>
  <c r="GK108" i="98"/>
  <c r="GK268" i="98"/>
  <c r="GK588" i="98"/>
  <c r="GK428" i="98"/>
  <c r="GK508" i="98"/>
  <c r="GK1628" i="98"/>
  <c r="GK828" i="98"/>
  <c r="GK748" i="98"/>
  <c r="GK1388" i="98"/>
  <c r="GK1148" i="98"/>
  <c r="GK1468" i="98"/>
  <c r="GK1548" i="98"/>
  <c r="GK988" i="98"/>
  <c r="GK668" i="98"/>
  <c r="GK348" i="98"/>
  <c r="GK908" i="98"/>
  <c r="GC60" i="98"/>
  <c r="GC140" i="98"/>
  <c r="GC220" i="98"/>
  <c r="GC300" i="98"/>
  <c r="GC380" i="98"/>
  <c r="GC460" i="98"/>
  <c r="GC540" i="98"/>
  <c r="GC620" i="98"/>
  <c r="GC700" i="98"/>
  <c r="GC780" i="98"/>
  <c r="GC860" i="98"/>
  <c r="GC940" i="98"/>
  <c r="GC1020" i="98"/>
  <c r="GC1100" i="98"/>
  <c r="GC1180" i="98"/>
  <c r="GC1260" i="98"/>
  <c r="GC1340" i="98"/>
  <c r="GC1420" i="98"/>
  <c r="GC1500" i="98"/>
  <c r="GC1580" i="98"/>
  <c r="GC1660" i="98"/>
  <c r="GC68" i="98"/>
  <c r="GC148" i="98"/>
  <c r="GC228" i="98"/>
  <c r="GC308" i="98"/>
  <c r="GC388" i="98"/>
  <c r="GC468" i="98"/>
  <c r="GC548" i="98"/>
  <c r="GC628" i="98"/>
  <c r="GC708" i="98"/>
  <c r="GC788" i="98"/>
  <c r="GC868" i="98"/>
  <c r="GC948" i="98"/>
  <c r="GC1028" i="98"/>
  <c r="GC1108" i="98"/>
  <c r="GC1188" i="98"/>
  <c r="GC1268" i="98"/>
  <c r="GC1348" i="98"/>
  <c r="GC1428" i="98"/>
  <c r="GC1508" i="98"/>
  <c r="GC1588" i="98"/>
  <c r="GC1668" i="98"/>
  <c r="GC58" i="98"/>
  <c r="GC138" i="98"/>
  <c r="GC218" i="98"/>
  <c r="GC298" i="98"/>
  <c r="GC378" i="98"/>
  <c r="GC458" i="98"/>
  <c r="GC538" i="98"/>
  <c r="GC618" i="98"/>
  <c r="GC698" i="98"/>
  <c r="GC778" i="98"/>
  <c r="GC858" i="98"/>
  <c r="GC938" i="98"/>
  <c r="GC1018" i="98"/>
  <c r="GC1098" i="98"/>
  <c r="GC1178" i="98"/>
  <c r="GC1258" i="98"/>
  <c r="GC1338" i="98"/>
  <c r="GC1418" i="98"/>
  <c r="GC1498" i="98"/>
  <c r="GC1578" i="98"/>
  <c r="GC1658" i="98"/>
  <c r="GC67" i="98"/>
  <c r="GC147" i="98"/>
  <c r="GC307" i="98"/>
  <c r="GC387" i="98"/>
  <c r="GC227" i="98"/>
  <c r="GC467" i="98"/>
  <c r="GC547" i="98"/>
  <c r="GC627" i="98"/>
  <c r="GC707" i="98"/>
  <c r="GC787" i="98"/>
  <c r="GC867" i="98"/>
  <c r="GC947" i="98"/>
  <c r="GC1027" i="98"/>
  <c r="GC1107" i="98"/>
  <c r="GC1187" i="98"/>
  <c r="GC1267" i="98"/>
  <c r="GC1347" i="98"/>
  <c r="GC1427" i="98"/>
  <c r="GC1507" i="98"/>
  <c r="GC1587" i="98"/>
  <c r="GC1667" i="98"/>
  <c r="GC42" i="98"/>
  <c r="GC122" i="98"/>
  <c r="GC202" i="98"/>
  <c r="GC282" i="98"/>
  <c r="GC362" i="98"/>
  <c r="GC442" i="98"/>
  <c r="GC522" i="98"/>
  <c r="GC602" i="98"/>
  <c r="GC682" i="98"/>
  <c r="GC762" i="98"/>
  <c r="GC842" i="98"/>
  <c r="GC922" i="98"/>
  <c r="GC1002" i="98"/>
  <c r="GC1082" i="98"/>
  <c r="GC1162" i="98"/>
  <c r="GC1242" i="98"/>
  <c r="GC1322" i="98"/>
  <c r="GC1402" i="98"/>
  <c r="GC1482" i="98"/>
  <c r="GC1562" i="98"/>
  <c r="GC1642" i="98"/>
  <c r="GF41" i="98"/>
  <c r="GF1321" i="98"/>
  <c r="GF1001" i="98"/>
  <c r="GF601" i="98"/>
  <c r="GF1561" i="98"/>
  <c r="GF121" i="98"/>
  <c r="GF441" i="98"/>
  <c r="GF1641" i="98"/>
  <c r="GF681" i="98"/>
  <c r="GF1481" i="98"/>
  <c r="GF361" i="98"/>
  <c r="GF1401" i="98"/>
  <c r="GF761" i="98"/>
  <c r="GF1241" i="98"/>
  <c r="GF521" i="98"/>
  <c r="GF201" i="98"/>
  <c r="GF841" i="98"/>
  <c r="GF1161" i="98"/>
  <c r="GF1081" i="98"/>
  <c r="GF281" i="98"/>
  <c r="GF921" i="98"/>
  <c r="GF1082" i="98"/>
  <c r="GF762" i="98"/>
  <c r="GK67" i="98"/>
  <c r="GK1587" i="98"/>
  <c r="GK307" i="98"/>
  <c r="GK1187" i="98"/>
  <c r="GK787" i="98"/>
  <c r="GK867" i="98"/>
  <c r="GK147" i="98"/>
  <c r="GK227" i="98"/>
  <c r="GK547" i="98"/>
  <c r="GK627" i="98"/>
  <c r="GK1107" i="98"/>
  <c r="GK1267" i="98"/>
  <c r="GK707" i="98"/>
  <c r="GK947" i="98"/>
  <c r="GK1667" i="98"/>
  <c r="GK1507" i="98"/>
  <c r="GK467" i="98"/>
  <c r="GK1427" i="98"/>
  <c r="GK1347" i="98"/>
  <c r="GK387" i="98"/>
  <c r="GK1027" i="98"/>
  <c r="GH61" i="98"/>
  <c r="GH1501" i="98"/>
  <c r="GH1661" i="98"/>
  <c r="GH1341" i="98"/>
  <c r="GH141" i="98"/>
  <c r="GH941" i="98"/>
  <c r="GH301" i="98"/>
  <c r="GH1581" i="98"/>
  <c r="GH1421" i="98"/>
  <c r="GH1261" i="98"/>
  <c r="GH461" i="98"/>
  <c r="GH701" i="98"/>
  <c r="GH221" i="98"/>
  <c r="GH621" i="98"/>
  <c r="GH781" i="98"/>
  <c r="GH1181" i="98"/>
  <c r="GH381" i="98"/>
  <c r="GH1021" i="98"/>
  <c r="GH861" i="98"/>
  <c r="GH541" i="98"/>
  <c r="GH1101" i="98"/>
  <c r="GQ271" i="98"/>
  <c r="GQ191" i="98"/>
  <c r="GQ1231" i="98"/>
  <c r="GQ1391" i="98"/>
  <c r="GQ1551" i="98"/>
  <c r="GQ1631" i="98"/>
  <c r="GQ351" i="98"/>
  <c r="GQ1151" i="98"/>
  <c r="GQ751" i="98"/>
  <c r="GQ671" i="98"/>
  <c r="GQ511" i="98"/>
  <c r="GQ1471" i="98"/>
  <c r="GQ831" i="98"/>
  <c r="GQ911" i="98"/>
  <c r="GQ591" i="98"/>
  <c r="GQ431" i="98"/>
  <c r="GQ991" i="98"/>
  <c r="GQ1071" i="98"/>
  <c r="GQ1311" i="98"/>
  <c r="GQ111" i="98"/>
  <c r="EV28" i="98"/>
  <c r="GQ31" i="98"/>
  <c r="GF31" i="98"/>
  <c r="GF511" i="98"/>
  <c r="GF191" i="98"/>
  <c r="GF1231" i="98"/>
  <c r="GF1391" i="98"/>
  <c r="GF1551" i="98"/>
  <c r="GF1311" i="98"/>
  <c r="GF991" i="98"/>
  <c r="GF751" i="98"/>
  <c r="GF1151" i="98"/>
  <c r="GF351" i="98"/>
  <c r="GF1471" i="98"/>
  <c r="GF271" i="98"/>
  <c r="GF831" i="98"/>
  <c r="GF671" i="98"/>
  <c r="GF1071" i="98"/>
  <c r="GF911" i="98"/>
  <c r="GF591" i="98"/>
  <c r="GF431" i="98"/>
  <c r="GF1631" i="98"/>
  <c r="GF111" i="98"/>
  <c r="GO8" i="98"/>
  <c r="GO1448" i="98"/>
  <c r="GO1368" i="98"/>
  <c r="GO488" i="98"/>
  <c r="GO408" i="98"/>
  <c r="GO328" i="98"/>
  <c r="GO168" i="98"/>
  <c r="GO568" i="98"/>
  <c r="GO968" i="98"/>
  <c r="GO1128" i="98"/>
  <c r="GO1288" i="98"/>
  <c r="GO728" i="98"/>
  <c r="GO1208" i="98"/>
  <c r="GO808" i="98"/>
  <c r="GO648" i="98"/>
  <c r="GO1528" i="98"/>
  <c r="GO1608" i="98"/>
  <c r="GO248" i="98"/>
  <c r="GO1048" i="98"/>
  <c r="GO88" i="98"/>
  <c r="GO888" i="98"/>
  <c r="GF8" i="98"/>
  <c r="GF1448" i="98"/>
  <c r="GF1368" i="98"/>
  <c r="GF1608" i="98"/>
  <c r="GF1528" i="98"/>
  <c r="GF328" i="98"/>
  <c r="GF568" i="98"/>
  <c r="GF408" i="98"/>
  <c r="GF728" i="98"/>
  <c r="GF1128" i="98"/>
  <c r="GF168" i="98"/>
  <c r="GF488" i="98"/>
  <c r="GF808" i="98"/>
  <c r="GF248" i="98"/>
  <c r="GF1208" i="98"/>
  <c r="GF1288" i="98"/>
  <c r="GF888" i="98"/>
  <c r="GF968" i="98"/>
  <c r="GF648" i="98"/>
  <c r="GF1048" i="98"/>
  <c r="GF88" i="98"/>
  <c r="GL9" i="98"/>
  <c r="GL1609" i="98"/>
  <c r="GL569" i="98"/>
  <c r="GL969" i="98"/>
  <c r="GL1529" i="98"/>
  <c r="GL729" i="98"/>
  <c r="GL1049" i="98"/>
  <c r="GL889" i="98"/>
  <c r="GL1369" i="98"/>
  <c r="GL169" i="98"/>
  <c r="GL409" i="98"/>
  <c r="GL1289" i="98"/>
  <c r="GL89" i="98"/>
  <c r="GL649" i="98"/>
  <c r="GL489" i="98"/>
  <c r="GL249" i="98"/>
  <c r="GL1449" i="98"/>
  <c r="GL809" i="98"/>
  <c r="GL1209" i="98"/>
  <c r="GL329" i="98"/>
  <c r="GL1129" i="98"/>
  <c r="GK60" i="98"/>
  <c r="GK1260" i="98"/>
  <c r="GK1100" i="98"/>
  <c r="GK300" i="98"/>
  <c r="GK380" i="98"/>
  <c r="GK140" i="98"/>
  <c r="GK620" i="98"/>
  <c r="GK700" i="98"/>
  <c r="GK1580" i="98"/>
  <c r="GK220" i="98"/>
  <c r="GK1340" i="98"/>
  <c r="GK1420" i="98"/>
  <c r="GK1500" i="98"/>
  <c r="GK540" i="98"/>
  <c r="GK860" i="98"/>
  <c r="GK940" i="98"/>
  <c r="GK1180" i="98"/>
  <c r="GK1660" i="98"/>
  <c r="GK780" i="98"/>
  <c r="GK1020" i="98"/>
  <c r="GK460" i="98"/>
  <c r="GQ380" i="98"/>
  <c r="GQ1500" i="98"/>
  <c r="GQ460" i="98"/>
  <c r="GK27" i="98"/>
  <c r="GK1067" i="98"/>
  <c r="GK587" i="98"/>
  <c r="GK267" i="98"/>
  <c r="GK1307" i="98"/>
  <c r="GK507" i="98"/>
  <c r="GK1467" i="98"/>
  <c r="GK187" i="98"/>
  <c r="GK1227" i="98"/>
  <c r="GK347" i="98"/>
  <c r="GK987" i="98"/>
  <c r="GK427" i="98"/>
  <c r="GK667" i="98"/>
  <c r="GK1627" i="98"/>
  <c r="GK907" i="98"/>
  <c r="GK1147" i="98"/>
  <c r="GK107" i="98"/>
  <c r="GK1547" i="98"/>
  <c r="GK747" i="98"/>
  <c r="GK827" i="98"/>
  <c r="GK1387" i="98"/>
  <c r="GK7" i="98"/>
  <c r="GK87" i="98"/>
  <c r="GK167" i="98"/>
  <c r="GK327" i="98"/>
  <c r="GK1207" i="98"/>
  <c r="GK807" i="98"/>
  <c r="GK887" i="98"/>
  <c r="GK487" i="98"/>
  <c r="GK1127" i="98"/>
  <c r="GK967" i="98"/>
  <c r="GK727" i="98"/>
  <c r="GK1047" i="98"/>
  <c r="GK1367" i="98"/>
  <c r="GK1527" i="98"/>
  <c r="GK567" i="98"/>
  <c r="GK647" i="98"/>
  <c r="GK247" i="98"/>
  <c r="GK407" i="98"/>
  <c r="GK1607" i="98"/>
  <c r="GK1447" i="98"/>
  <c r="GK1287" i="98"/>
  <c r="GN7" i="98"/>
  <c r="GN87" i="98"/>
  <c r="GN1207" i="98"/>
  <c r="GN327" i="98"/>
  <c r="GN807" i="98"/>
  <c r="GN1127" i="98"/>
  <c r="GN247" i="98"/>
  <c r="GN167" i="98"/>
  <c r="GN967" i="98"/>
  <c r="GN487" i="98"/>
  <c r="GN727" i="98"/>
  <c r="GN1047" i="98"/>
  <c r="GN1447" i="98"/>
  <c r="GN1607" i="98"/>
  <c r="GN1367" i="98"/>
  <c r="GN1287" i="98"/>
  <c r="GN1527" i="98"/>
  <c r="GN567" i="98"/>
  <c r="GN407" i="98"/>
  <c r="GN887" i="98"/>
  <c r="GN647" i="98"/>
  <c r="GF70" i="98"/>
  <c r="GF1350" i="98"/>
  <c r="GF630" i="98"/>
  <c r="GF390" i="98"/>
  <c r="GF230" i="98"/>
  <c r="GF470" i="98"/>
  <c r="GF870" i="98"/>
  <c r="GF1670" i="98"/>
  <c r="GF550" i="98"/>
  <c r="GF710" i="98"/>
  <c r="GF1590" i="98"/>
  <c r="GF1510" i="98"/>
  <c r="GF1030" i="98"/>
  <c r="GF150" i="98"/>
  <c r="GF1110" i="98"/>
  <c r="GF1430" i="98"/>
  <c r="GF1190" i="98"/>
  <c r="GF950" i="98"/>
  <c r="GF1270" i="98"/>
  <c r="GF790" i="98"/>
  <c r="GF310" i="98"/>
  <c r="GQ230" i="98"/>
  <c r="GQ1430" i="98"/>
  <c r="GQ1350" i="98"/>
  <c r="GQ1030" i="98"/>
  <c r="GQ390" i="98"/>
  <c r="GQ1670" i="98"/>
  <c r="GQ870" i="98"/>
  <c r="GQ550" i="98"/>
  <c r="GQ710" i="98"/>
  <c r="GQ630" i="98"/>
  <c r="GQ150" i="98"/>
  <c r="GQ1110" i="98"/>
  <c r="GQ1190" i="98"/>
  <c r="GQ950" i="98"/>
  <c r="GQ790" i="98"/>
  <c r="GQ310" i="98"/>
  <c r="GQ1590" i="98"/>
  <c r="GQ470" i="98"/>
  <c r="GQ1270" i="98"/>
  <c r="GQ1510" i="98"/>
  <c r="EV63" i="98"/>
  <c r="GQ70" i="98"/>
  <c r="GH85" i="98"/>
  <c r="GH1445" i="98"/>
  <c r="GH1685" i="98"/>
  <c r="GH1365" i="98"/>
  <c r="GH965" i="98"/>
  <c r="GH725" i="98"/>
  <c r="GH405" i="98"/>
  <c r="GH1205" i="98"/>
  <c r="GH1605" i="98"/>
  <c r="GH245" i="98"/>
  <c r="GH1525" i="98"/>
  <c r="GH645" i="98"/>
  <c r="GH165" i="98"/>
  <c r="GH805" i="98"/>
  <c r="GH1285" i="98"/>
  <c r="GH1125" i="98"/>
  <c r="GH885" i="98"/>
  <c r="GH565" i="98"/>
  <c r="GH325" i="98"/>
  <c r="GH485" i="98"/>
  <c r="GH1045" i="98"/>
  <c r="GH84" i="98"/>
  <c r="GH1604" i="98"/>
  <c r="GH1524" i="98"/>
  <c r="GH1684" i="98"/>
  <c r="GH1204" i="98"/>
  <c r="GH1124" i="98"/>
  <c r="GH1444" i="98"/>
  <c r="GH1364" i="98"/>
  <c r="GH1284" i="98"/>
  <c r="GH324" i="98"/>
  <c r="GH484" i="98"/>
  <c r="GH404" i="98"/>
  <c r="GH164" i="98"/>
  <c r="GH964" i="98"/>
  <c r="GH564" i="98"/>
  <c r="GH884" i="98"/>
  <c r="GH644" i="98"/>
  <c r="GH1044" i="98"/>
  <c r="GH804" i="98"/>
  <c r="GH244" i="98"/>
  <c r="GH724" i="98"/>
  <c r="GQ1389" i="98"/>
  <c r="GQ1469" i="98"/>
  <c r="GQ989" i="98"/>
  <c r="GQ269" i="98"/>
  <c r="GQ349" i="98"/>
  <c r="GQ189" i="98"/>
  <c r="GQ589" i="98"/>
  <c r="GQ109" i="98"/>
  <c r="GQ669" i="98"/>
  <c r="GQ749" i="98"/>
  <c r="GQ1069" i="98"/>
  <c r="GQ1149" i="98"/>
  <c r="GQ509" i="98"/>
  <c r="GQ429" i="98"/>
  <c r="GQ1229" i="98"/>
  <c r="GQ1629" i="98"/>
  <c r="GQ829" i="98"/>
  <c r="GQ1309" i="98"/>
  <c r="GQ1549" i="98"/>
  <c r="GQ909" i="98"/>
  <c r="EV26" i="98"/>
  <c r="GQ29" i="98"/>
  <c r="GH34" i="98"/>
  <c r="GH1634" i="98"/>
  <c r="GH1234" i="98"/>
  <c r="GH1154" i="98"/>
  <c r="GH1074" i="98"/>
  <c r="GH594" i="98"/>
  <c r="GH1474" i="98"/>
  <c r="GH1314" i="98"/>
  <c r="GH274" i="98"/>
  <c r="GH914" i="98"/>
  <c r="GH434" i="98"/>
  <c r="GH1554" i="98"/>
  <c r="GH194" i="98"/>
  <c r="GH354" i="98"/>
  <c r="GH994" i="98"/>
  <c r="GH754" i="98"/>
  <c r="GH1394" i="98"/>
  <c r="GH674" i="98"/>
  <c r="GH514" i="98"/>
  <c r="GH114" i="98"/>
  <c r="GH834" i="98"/>
  <c r="GQ1429" i="98"/>
  <c r="GQ1669" i="98"/>
  <c r="GQ1349" i="98"/>
  <c r="GQ469" i="98"/>
  <c r="GQ549" i="98"/>
  <c r="GQ1109" i="98"/>
  <c r="GQ229" i="98"/>
  <c r="GQ309" i="98"/>
  <c r="GQ629" i="98"/>
  <c r="GQ149" i="98"/>
  <c r="GQ709" i="98"/>
  <c r="GQ1589" i="98"/>
  <c r="GQ949" i="98"/>
  <c r="GQ1509" i="98"/>
  <c r="GQ389" i="98"/>
  <c r="GQ869" i="98"/>
  <c r="GQ789" i="98"/>
  <c r="GQ1029" i="98"/>
  <c r="GQ1269" i="98"/>
  <c r="GQ1189" i="98"/>
  <c r="EV62" i="98"/>
  <c r="GQ69" i="98"/>
  <c r="GQ1381" i="98"/>
  <c r="GQ1461" i="98"/>
  <c r="GQ421" i="98"/>
  <c r="GQ741" i="98"/>
  <c r="GQ261" i="98"/>
  <c r="GQ1541" i="98"/>
  <c r="GQ1621" i="98"/>
  <c r="GQ661" i="98"/>
  <c r="GQ981" i="98"/>
  <c r="GQ341" i="98"/>
  <c r="GQ581" i="98"/>
  <c r="GQ101" i="98"/>
  <c r="GQ501" i="98"/>
  <c r="GQ1141" i="98"/>
  <c r="GQ1221" i="98"/>
  <c r="GQ1301" i="98"/>
  <c r="GQ821" i="98"/>
  <c r="GQ901" i="98"/>
  <c r="GQ1061" i="98"/>
  <c r="GQ181" i="98"/>
  <c r="EV19" i="98"/>
  <c r="GQ21" i="98"/>
  <c r="GF21" i="98"/>
  <c r="GF1381" i="98"/>
  <c r="GF1461" i="98"/>
  <c r="GF741" i="98"/>
  <c r="GF661" i="98"/>
  <c r="GF261" i="98"/>
  <c r="GF981" i="98"/>
  <c r="GF1621" i="98"/>
  <c r="GF341" i="98"/>
  <c r="GF1221" i="98"/>
  <c r="GF181" i="98"/>
  <c r="GF421" i="98"/>
  <c r="GF1541" i="98"/>
  <c r="GF501" i="98"/>
  <c r="GF901" i="98"/>
  <c r="GF581" i="98"/>
  <c r="GF1141" i="98"/>
  <c r="GF101" i="98"/>
  <c r="GF1061" i="98"/>
  <c r="GF821" i="98"/>
  <c r="GF1301" i="98"/>
  <c r="GH24" i="98"/>
  <c r="GH1384" i="98"/>
  <c r="GH1304" i="98"/>
  <c r="GH1224" i="98"/>
  <c r="GH1464" i="98"/>
  <c r="GH504" i="98"/>
  <c r="GH104" i="98"/>
  <c r="GH1544" i="98"/>
  <c r="GH984" i="98"/>
  <c r="GH184" i="98"/>
  <c r="GH344" i="98"/>
  <c r="GH744" i="98"/>
  <c r="GH1624" i="98"/>
  <c r="GH584" i="98"/>
  <c r="GH1064" i="98"/>
  <c r="GH1144" i="98"/>
  <c r="GH264" i="98"/>
  <c r="GH664" i="98"/>
  <c r="GH424" i="98"/>
  <c r="GH824" i="98"/>
  <c r="GH904" i="98"/>
  <c r="GH15" i="98"/>
  <c r="GH95" i="98"/>
  <c r="GH335" i="98"/>
  <c r="GH495" i="98"/>
  <c r="GH1455" i="98"/>
  <c r="GH1535" i="98"/>
  <c r="GH1375" i="98"/>
  <c r="GH575" i="98"/>
  <c r="GH175" i="98"/>
  <c r="GH1135" i="98"/>
  <c r="GH1215" i="98"/>
  <c r="GH815" i="98"/>
  <c r="GH895" i="98"/>
  <c r="GH655" i="98"/>
  <c r="GH975" i="98"/>
  <c r="GH255" i="98"/>
  <c r="GH1615" i="98"/>
  <c r="GH1295" i="98"/>
  <c r="GH415" i="98"/>
  <c r="GH1055" i="98"/>
  <c r="GH735" i="98"/>
  <c r="GN19" i="98"/>
  <c r="GN1059" i="98"/>
  <c r="GN339" i="98"/>
  <c r="GN499" i="98"/>
  <c r="GN419" i="98"/>
  <c r="GN1299" i="98"/>
  <c r="GN99" i="98"/>
  <c r="GN1219" i="98"/>
  <c r="GN1139" i="98"/>
  <c r="GN819" i="98"/>
  <c r="GN899" i="98"/>
  <c r="GN1619" i="98"/>
  <c r="GN739" i="98"/>
  <c r="GN179" i="98"/>
  <c r="GN1379" i="98"/>
  <c r="GN259" i="98"/>
  <c r="GN579" i="98"/>
  <c r="GN979" i="98"/>
  <c r="GN1459" i="98"/>
  <c r="GN1539" i="98"/>
  <c r="GN659" i="98"/>
  <c r="GK19" i="98"/>
  <c r="GK1059" i="98"/>
  <c r="GK339" i="98"/>
  <c r="GK419" i="98"/>
  <c r="GK1139" i="98"/>
  <c r="GK499" i="98"/>
  <c r="GK1299" i="98"/>
  <c r="GK259" i="98"/>
  <c r="GK1219" i="98"/>
  <c r="GK179" i="98"/>
  <c r="GK819" i="98"/>
  <c r="GK899" i="98"/>
  <c r="GK1619" i="98"/>
  <c r="GK739" i="98"/>
  <c r="GK579" i="98"/>
  <c r="GK1459" i="98"/>
  <c r="GK979" i="98"/>
  <c r="GK1539" i="98"/>
  <c r="GK659" i="98"/>
  <c r="GK99" i="98"/>
  <c r="GK1379" i="98"/>
  <c r="GQ1470" i="98"/>
  <c r="GQ1550" i="98"/>
  <c r="GQ1070" i="98"/>
  <c r="GQ1150" i="98"/>
  <c r="GQ590" i="98"/>
  <c r="GQ430" i="98"/>
  <c r="GQ110" i="98"/>
  <c r="GQ510" i="98"/>
  <c r="GQ350" i="98"/>
  <c r="GQ190" i="98"/>
  <c r="GQ1310" i="98"/>
  <c r="GQ1390" i="98"/>
  <c r="GQ1230" i="98"/>
  <c r="GQ1630" i="98"/>
  <c r="GQ990" i="98"/>
  <c r="GQ830" i="98"/>
  <c r="GQ910" i="98"/>
  <c r="GQ750" i="98"/>
  <c r="GQ270" i="98"/>
  <c r="GQ670" i="98"/>
  <c r="EV27" i="98"/>
  <c r="GQ30" i="98"/>
  <c r="GL30" i="98"/>
  <c r="GL1630" i="98"/>
  <c r="GL1150" i="98"/>
  <c r="GL1550" i="98"/>
  <c r="GL1470" i="98"/>
  <c r="GL1070" i="98"/>
  <c r="GL430" i="98"/>
  <c r="GL590" i="98"/>
  <c r="GL110" i="98"/>
  <c r="GL190" i="98"/>
  <c r="GL510" i="98"/>
  <c r="GL670" i="98"/>
  <c r="GL1390" i="98"/>
  <c r="GL270" i="98"/>
  <c r="GL1230" i="98"/>
  <c r="GL1310" i="98"/>
  <c r="GL350" i="98"/>
  <c r="GL750" i="98"/>
  <c r="GL990" i="98"/>
  <c r="GL830" i="98"/>
  <c r="GL910" i="98"/>
  <c r="GN77" i="98"/>
  <c r="GN1437" i="98"/>
  <c r="GN1357" i="98"/>
  <c r="GN957" i="98"/>
  <c r="GN717" i="98"/>
  <c r="GN637" i="98"/>
  <c r="GN397" i="98"/>
  <c r="GN1037" i="98"/>
  <c r="GN1677" i="98"/>
  <c r="GN477" i="98"/>
  <c r="GN557" i="98"/>
  <c r="GN237" i="98"/>
  <c r="GN1597" i="98"/>
  <c r="GN157" i="98"/>
  <c r="GN1197" i="98"/>
  <c r="GN1517" i="98"/>
  <c r="GN877" i="98"/>
  <c r="GN1277" i="98"/>
  <c r="GN797" i="98"/>
  <c r="GN317" i="98"/>
  <c r="GN1117" i="98"/>
  <c r="GK77" i="98"/>
  <c r="GK1357" i="98"/>
  <c r="GK717" i="98"/>
  <c r="GK1437" i="98"/>
  <c r="GK1677" i="98"/>
  <c r="GK957" i="98"/>
  <c r="GK637" i="98"/>
  <c r="GK1037" i="98"/>
  <c r="GK477" i="98"/>
  <c r="GK1517" i="98"/>
  <c r="GK157" i="98"/>
  <c r="GK237" i="98"/>
  <c r="GK397" i="98"/>
  <c r="GK1597" i="98"/>
  <c r="GK557" i="98"/>
  <c r="GK877" i="98"/>
  <c r="GK317" i="98"/>
  <c r="GK1197" i="98"/>
  <c r="GK797" i="98"/>
  <c r="GK1117" i="98"/>
  <c r="GK1277" i="98"/>
  <c r="GN78" i="98"/>
  <c r="GN1438" i="98"/>
  <c r="GN1278" i="98"/>
  <c r="GN1038" i="98"/>
  <c r="GN238" i="98"/>
  <c r="GN478" i="98"/>
  <c r="GN958" i="98"/>
  <c r="GN1198" i="98"/>
  <c r="GN1518" i="98"/>
  <c r="GN1358" i="98"/>
  <c r="GN1598" i="98"/>
  <c r="GN638" i="98"/>
  <c r="GN1118" i="98"/>
  <c r="GN718" i="98"/>
  <c r="GN878" i="98"/>
  <c r="GN798" i="98"/>
  <c r="GN1678" i="98"/>
  <c r="GN158" i="98"/>
  <c r="GN318" i="98"/>
  <c r="GN558" i="98"/>
  <c r="GN398" i="98"/>
  <c r="GL78" i="98"/>
  <c r="GL1598" i="98"/>
  <c r="GL1278" i="98"/>
  <c r="GL1438" i="98"/>
  <c r="GL1118" i="98"/>
  <c r="GL1038" i="98"/>
  <c r="GL718" i="98"/>
  <c r="GL638" i="98"/>
  <c r="GL1518" i="98"/>
  <c r="GL238" i="98"/>
  <c r="GL478" i="98"/>
  <c r="GL1198" i="98"/>
  <c r="GL1358" i="98"/>
  <c r="GL398" i="98"/>
  <c r="GL1678" i="98"/>
  <c r="GL878" i="98"/>
  <c r="GL318" i="98"/>
  <c r="GL958" i="98"/>
  <c r="GL798" i="98"/>
  <c r="GL158" i="98"/>
  <c r="GL558" i="98"/>
  <c r="GH62" i="98"/>
  <c r="GH1262" i="98"/>
  <c r="GH1102" i="98"/>
  <c r="GH382" i="98"/>
  <c r="GH222" i="98"/>
  <c r="GH462" i="98"/>
  <c r="GH542" i="98"/>
  <c r="GH1022" i="98"/>
  <c r="GH1582" i="98"/>
  <c r="GH302" i="98"/>
  <c r="GH1182" i="98"/>
  <c r="GH622" i="98"/>
  <c r="GH702" i="98"/>
  <c r="GH1502" i="98"/>
  <c r="GH1342" i="98"/>
  <c r="GH1422" i="98"/>
  <c r="GH862" i="98"/>
  <c r="GH782" i="98"/>
  <c r="GH142" i="98"/>
  <c r="GH942" i="98"/>
  <c r="GH1662" i="98"/>
  <c r="GK10" i="98"/>
  <c r="GK250" i="98"/>
  <c r="GK1050" i="98"/>
  <c r="GK410" i="98"/>
  <c r="GK1530" i="98"/>
  <c r="GK1610" i="98"/>
  <c r="GK570" i="98"/>
  <c r="GK1210" i="98"/>
  <c r="GK1130" i="98"/>
  <c r="GK170" i="98"/>
  <c r="GK650" i="98"/>
  <c r="GK1290" i="98"/>
  <c r="GK970" i="98"/>
  <c r="GK1450" i="98"/>
  <c r="GK490" i="98"/>
  <c r="GK330" i="98"/>
  <c r="GK1370" i="98"/>
  <c r="GK730" i="98"/>
  <c r="GK90" i="98"/>
  <c r="GK810" i="98"/>
  <c r="GK890" i="98"/>
  <c r="GK58" i="98"/>
  <c r="GK1018" i="98"/>
  <c r="GK778" i="98"/>
  <c r="GK458" i="98"/>
  <c r="GK618" i="98"/>
  <c r="GK218" i="98"/>
  <c r="GK1418" i="98"/>
  <c r="GK698" i="98"/>
  <c r="GK1498" i="98"/>
  <c r="GK1178" i="98"/>
  <c r="GK378" i="98"/>
  <c r="GK1098" i="98"/>
  <c r="GK138" i="98"/>
  <c r="GK538" i="98"/>
  <c r="GK1258" i="98"/>
  <c r="GK298" i="98"/>
  <c r="GK1578" i="98"/>
  <c r="GK858" i="98"/>
  <c r="GK938" i="98"/>
  <c r="GK1658" i="98"/>
  <c r="GK1338" i="98"/>
  <c r="GL58" i="98"/>
  <c r="GL778" i="98"/>
  <c r="GL1178" i="98"/>
  <c r="GL1018" i="98"/>
  <c r="GL1098" i="98"/>
  <c r="GL618" i="98"/>
  <c r="GL458" i="98"/>
  <c r="GL218" i="98"/>
  <c r="GL698" i="98"/>
  <c r="GL1418" i="98"/>
  <c r="GL1498" i="98"/>
  <c r="GL378" i="98"/>
  <c r="GL1658" i="98"/>
  <c r="GL1258" i="98"/>
  <c r="GL138" i="98"/>
  <c r="GL298" i="98"/>
  <c r="GL538" i="98"/>
  <c r="GL1578" i="98"/>
  <c r="GL1338" i="98"/>
  <c r="GL938" i="98"/>
  <c r="GL858" i="98"/>
  <c r="GN17" i="98"/>
  <c r="GN657" i="98"/>
  <c r="GN417" i="98"/>
  <c r="GN577" i="98"/>
  <c r="GN1377" i="98"/>
  <c r="GN1137" i="98"/>
  <c r="GN1537" i="98"/>
  <c r="GN1297" i="98"/>
  <c r="GN1617" i="98"/>
  <c r="GN97" i="98"/>
  <c r="GN737" i="98"/>
  <c r="GN977" i="98"/>
  <c r="GN1057" i="98"/>
  <c r="GN1457" i="98"/>
  <c r="GN257" i="98"/>
  <c r="GN177" i="98"/>
  <c r="GN1217" i="98"/>
  <c r="GN817" i="98"/>
  <c r="GN897" i="98"/>
  <c r="GN497" i="98"/>
  <c r="GN337" i="98"/>
  <c r="GF17" i="98"/>
  <c r="GF1457" i="98"/>
  <c r="GF1377" i="98"/>
  <c r="GF657" i="98"/>
  <c r="GF417" i="98"/>
  <c r="GF97" i="98"/>
  <c r="GF577" i="98"/>
  <c r="GF1537" i="98"/>
  <c r="GF1617" i="98"/>
  <c r="GF1297" i="98"/>
  <c r="GF977" i="98"/>
  <c r="GF1057" i="98"/>
  <c r="GF737" i="98"/>
  <c r="GF1217" i="98"/>
  <c r="GF1137" i="98"/>
  <c r="GF497" i="98"/>
  <c r="GF817" i="98"/>
  <c r="GF897" i="98"/>
  <c r="GF257" i="98"/>
  <c r="GF177" i="98"/>
  <c r="GF337" i="98"/>
  <c r="GO23" i="98"/>
  <c r="GO343" i="98"/>
  <c r="GO423" i="98"/>
  <c r="GO1303" i="98"/>
  <c r="GO663" i="98"/>
  <c r="GO903" i="98"/>
  <c r="GO1543" i="98"/>
  <c r="GO183" i="98"/>
  <c r="GO823" i="98"/>
  <c r="GO1383" i="98"/>
  <c r="GO1463" i="98"/>
  <c r="GO1063" i="98"/>
  <c r="GO983" i="98"/>
  <c r="GO1623" i="98"/>
  <c r="GO583" i="98"/>
  <c r="GO1223" i="98"/>
  <c r="GO503" i="98"/>
  <c r="GO263" i="98"/>
  <c r="GO1143" i="98"/>
  <c r="GO743" i="98"/>
  <c r="GO103" i="98"/>
  <c r="GO13" i="98"/>
  <c r="GO1533" i="98"/>
  <c r="GO1613" i="98"/>
  <c r="GO1453" i="98"/>
  <c r="GO973" i="98"/>
  <c r="GO573" i="98"/>
  <c r="GO733" i="98"/>
  <c r="GO653" i="98"/>
  <c r="GO1133" i="98"/>
  <c r="GO1293" i="98"/>
  <c r="GO173" i="98"/>
  <c r="GO253" i="98"/>
  <c r="GO413" i="98"/>
  <c r="GO1373" i="98"/>
  <c r="GO1053" i="98"/>
  <c r="GO813" i="98"/>
  <c r="GO1213" i="98"/>
  <c r="GO893" i="98"/>
  <c r="GO333" i="98"/>
  <c r="GO493" i="98"/>
  <c r="GO93" i="98"/>
  <c r="GK12" i="98"/>
  <c r="GK1292" i="98"/>
  <c r="GK1132" i="98"/>
  <c r="GK652" i="98"/>
  <c r="GK572" i="98"/>
  <c r="GK1532" i="98"/>
  <c r="GK1052" i="98"/>
  <c r="GK1372" i="98"/>
  <c r="GK1452" i="98"/>
  <c r="GK492" i="98"/>
  <c r="GK972" i="98"/>
  <c r="GK812" i="98"/>
  <c r="GK1212" i="98"/>
  <c r="GK252" i="98"/>
  <c r="GK1612" i="98"/>
  <c r="GK732" i="98"/>
  <c r="GK412" i="98"/>
  <c r="GK332" i="98"/>
  <c r="GK92" i="98"/>
  <c r="GK892" i="98"/>
  <c r="GK172" i="98"/>
  <c r="GF12" i="98"/>
  <c r="GF1292" i="98"/>
  <c r="GF1212" i="98"/>
  <c r="GF1132" i="98"/>
  <c r="GF332" i="98"/>
  <c r="GF572" i="98"/>
  <c r="GF1532" i="98"/>
  <c r="GF1612" i="98"/>
  <c r="GF812" i="98"/>
  <c r="GF1372" i="98"/>
  <c r="GF1452" i="98"/>
  <c r="GF492" i="98"/>
  <c r="GF1052" i="98"/>
  <c r="GF252" i="98"/>
  <c r="GF652" i="98"/>
  <c r="GF732" i="98"/>
  <c r="GF92" i="98"/>
  <c r="GF412" i="98"/>
  <c r="GF892" i="98"/>
  <c r="GF972" i="98"/>
  <c r="GF172" i="98"/>
  <c r="GL57" i="98"/>
  <c r="GL1577" i="98"/>
  <c r="GL1657" i="98"/>
  <c r="GL777" i="98"/>
  <c r="GL617" i="98"/>
  <c r="GL537" i="98"/>
  <c r="GL1017" i="98"/>
  <c r="GL1097" i="98"/>
  <c r="GL937" i="98"/>
  <c r="GL697" i="98"/>
  <c r="GL377" i="98"/>
  <c r="GL1257" i="98"/>
  <c r="GL857" i="98"/>
  <c r="GL137" i="98"/>
  <c r="GL1337" i="98"/>
  <c r="GL1417" i="98"/>
  <c r="GL1497" i="98"/>
  <c r="GL297" i="98"/>
  <c r="GL217" i="98"/>
  <c r="GL457" i="98"/>
  <c r="GL1177" i="98"/>
  <c r="GK57" i="98"/>
  <c r="GK1657" i="98"/>
  <c r="GK617" i="98"/>
  <c r="GK777" i="98"/>
  <c r="GK1017" i="98"/>
  <c r="GK377" i="98"/>
  <c r="GK1577" i="98"/>
  <c r="GK1097" i="98"/>
  <c r="GK137" i="98"/>
  <c r="GK1257" i="98"/>
  <c r="GK937" i="98"/>
  <c r="GK697" i="98"/>
  <c r="GK857" i="98"/>
  <c r="GK537" i="98"/>
  <c r="GK1337" i="98"/>
  <c r="GK1417" i="98"/>
  <c r="GK1497" i="98"/>
  <c r="GK457" i="98"/>
  <c r="GK1177" i="98"/>
  <c r="GK217" i="98"/>
  <c r="GK297" i="98"/>
  <c r="GO11" i="98"/>
  <c r="GO1051" i="98"/>
  <c r="GO1131" i="98"/>
  <c r="GO411" i="98"/>
  <c r="GO1451" i="98"/>
  <c r="GO331" i="98"/>
  <c r="GO891" i="98"/>
  <c r="GO1611" i="98"/>
  <c r="GO91" i="98"/>
  <c r="GO811" i="98"/>
  <c r="GO1211" i="98"/>
  <c r="GO1291" i="98"/>
  <c r="GO651" i="98"/>
  <c r="GO171" i="98"/>
  <c r="GO491" i="98"/>
  <c r="GO1531" i="98"/>
  <c r="GO571" i="98"/>
  <c r="GO971" i="98"/>
  <c r="GO1371" i="98"/>
  <c r="GO731" i="98"/>
  <c r="GO251" i="98"/>
  <c r="GN20" i="98"/>
  <c r="GN1380" i="98"/>
  <c r="GN1140" i="98"/>
  <c r="GN1620" i="98"/>
  <c r="GN1540" i="98"/>
  <c r="GN1460" i="98"/>
  <c r="GN260" i="98"/>
  <c r="GN500" i="98"/>
  <c r="GN1300" i="98"/>
  <c r="GN100" i="98"/>
  <c r="GN1060" i="98"/>
  <c r="GN1220" i="98"/>
  <c r="GN340" i="98"/>
  <c r="GN900" i="98"/>
  <c r="GN420" i="98"/>
  <c r="GN820" i="98"/>
  <c r="GN980" i="98"/>
  <c r="GN180" i="98"/>
  <c r="GN660" i="98"/>
  <c r="GN580" i="98"/>
  <c r="GN740" i="98"/>
  <c r="GF20" i="98"/>
  <c r="GF1140" i="98"/>
  <c r="GF1220" i="98"/>
  <c r="GF1620" i="98"/>
  <c r="GF1540" i="98"/>
  <c r="GF580" i="98"/>
  <c r="GF1060" i="98"/>
  <c r="GF260" i="98"/>
  <c r="GF100" i="98"/>
  <c r="GF980" i="98"/>
  <c r="GF1380" i="98"/>
  <c r="GF1460" i="98"/>
  <c r="GF500" i="98"/>
  <c r="GF820" i="98"/>
  <c r="GF340" i="98"/>
  <c r="GF420" i="98"/>
  <c r="GF900" i="98"/>
  <c r="GF1300" i="98"/>
  <c r="GF180" i="98"/>
  <c r="GF660" i="98"/>
  <c r="GF740" i="98"/>
  <c r="GH32" i="98"/>
  <c r="GH1392" i="98"/>
  <c r="GH1152" i="98"/>
  <c r="GH352" i="98"/>
  <c r="GH1472" i="98"/>
  <c r="GH672" i="98"/>
  <c r="GH112" i="98"/>
  <c r="GH1072" i="98"/>
  <c r="GH512" i="98"/>
  <c r="GH592" i="98"/>
  <c r="GH272" i="98"/>
  <c r="GH1232" i="98"/>
  <c r="GH432" i="98"/>
  <c r="GH1552" i="98"/>
  <c r="GH1632" i="98"/>
  <c r="GH1312" i="98"/>
  <c r="GH992" i="98"/>
  <c r="GH832" i="98"/>
  <c r="GH192" i="98"/>
  <c r="GH912" i="98"/>
  <c r="GH752" i="98"/>
  <c r="GN68" i="98"/>
  <c r="GN1108" i="98"/>
  <c r="GN1428" i="98"/>
  <c r="GN1668" i="98"/>
  <c r="GN1588" i="98"/>
  <c r="GN1508" i="98"/>
  <c r="GN1348" i="98"/>
  <c r="GN948" i="98"/>
  <c r="GN308" i="98"/>
  <c r="GN148" i="98"/>
  <c r="GN228" i="98"/>
  <c r="GN1268" i="98"/>
  <c r="GN1188" i="98"/>
  <c r="GN388" i="98"/>
  <c r="GN788" i="98"/>
  <c r="GN548" i="98"/>
  <c r="GN708" i="98"/>
  <c r="GN868" i="98"/>
  <c r="GN628" i="98"/>
  <c r="GN468" i="98"/>
  <c r="GN1028" i="98"/>
  <c r="GK68" i="98"/>
  <c r="GK1108" i="98"/>
  <c r="GK948" i="98"/>
  <c r="GK228" i="98"/>
  <c r="GK1268" i="98"/>
  <c r="GK1188" i="98"/>
  <c r="GK388" i="98"/>
  <c r="GK1508" i="98"/>
  <c r="GK1588" i="98"/>
  <c r="GK1668" i="98"/>
  <c r="GK148" i="98"/>
  <c r="GK308" i="98"/>
  <c r="GK868" i="98"/>
  <c r="GK708" i="98"/>
  <c r="GK788" i="98"/>
  <c r="GK548" i="98"/>
  <c r="GK1348" i="98"/>
  <c r="GK1428" i="98"/>
  <c r="GK628" i="98"/>
  <c r="GK468" i="98"/>
  <c r="GK1028" i="98"/>
  <c r="GN79" i="98"/>
  <c r="GN479" i="98"/>
  <c r="GN319" i="98"/>
  <c r="GN239" i="98"/>
  <c r="GN159" i="98"/>
  <c r="GN1119" i="98"/>
  <c r="GN1359" i="98"/>
  <c r="GN1199" i="98"/>
  <c r="GN1519" i="98"/>
  <c r="GN1039" i="98"/>
  <c r="GN1679" i="98"/>
  <c r="GN1599" i="98"/>
  <c r="GN799" i="98"/>
  <c r="GN879" i="98"/>
  <c r="GN559" i="98"/>
  <c r="GN639" i="98"/>
  <c r="GN1279" i="98"/>
  <c r="GN1439" i="98"/>
  <c r="GN959" i="98"/>
  <c r="GN719" i="98"/>
  <c r="GN399" i="98"/>
  <c r="GF79" i="98"/>
  <c r="GF319" i="98"/>
  <c r="GF479" i="98"/>
  <c r="GF159" i="98"/>
  <c r="GF1199" i="98"/>
  <c r="GF1119" i="98"/>
  <c r="GF1519" i="98"/>
  <c r="GF1439" i="98"/>
  <c r="GF1039" i="98"/>
  <c r="GF639" i="98"/>
  <c r="GF799" i="98"/>
  <c r="GF239" i="98"/>
  <c r="GF959" i="98"/>
  <c r="GF879" i="98"/>
  <c r="GF1279" i="98"/>
  <c r="GF719" i="98"/>
  <c r="GF1599" i="98"/>
  <c r="GF559" i="98"/>
  <c r="GF1679" i="98"/>
  <c r="GF1359" i="98"/>
  <c r="GF399" i="98"/>
  <c r="GO28" i="98"/>
  <c r="GO1308" i="98"/>
  <c r="GO1228" i="98"/>
  <c r="GO108" i="98"/>
  <c r="GO1628" i="98"/>
  <c r="GO1068" i="98"/>
  <c r="GO988" i="98"/>
  <c r="GO188" i="98"/>
  <c r="GO268" i="98"/>
  <c r="GO588" i="98"/>
  <c r="GO1468" i="98"/>
  <c r="GO428" i="98"/>
  <c r="GO668" i="98"/>
  <c r="GO508" i="98"/>
  <c r="GO748" i="98"/>
  <c r="GO1148" i="98"/>
  <c r="GO1388" i="98"/>
  <c r="GO1548" i="98"/>
  <c r="GO908" i="98"/>
  <c r="GO348" i="98"/>
  <c r="GO828" i="98"/>
  <c r="GF28" i="98"/>
  <c r="GF1308" i="98"/>
  <c r="GF1228" i="98"/>
  <c r="GF1468" i="98"/>
  <c r="GF108" i="98"/>
  <c r="GF1548" i="98"/>
  <c r="GF1628" i="98"/>
  <c r="GF1388" i="98"/>
  <c r="GF828" i="98"/>
  <c r="GF1068" i="98"/>
  <c r="GF1148" i="98"/>
  <c r="GF508" i="98"/>
  <c r="GF348" i="98"/>
  <c r="GF268" i="98"/>
  <c r="GF188" i="98"/>
  <c r="GF668" i="98"/>
  <c r="GF908" i="98"/>
  <c r="GF748" i="98"/>
  <c r="GF428" i="98"/>
  <c r="GF588" i="98"/>
  <c r="GF988" i="98"/>
  <c r="GC70" i="98"/>
  <c r="GC150" i="98"/>
  <c r="GC230" i="98"/>
  <c r="GC310" i="98"/>
  <c r="GC390" i="98"/>
  <c r="GC470" i="98"/>
  <c r="GC550" i="98"/>
  <c r="GC630" i="98"/>
  <c r="GC710" i="98"/>
  <c r="GC790" i="98"/>
  <c r="GC870" i="98"/>
  <c r="GC950" i="98"/>
  <c r="GC1030" i="98"/>
  <c r="GC1110" i="98"/>
  <c r="GC1190" i="98"/>
  <c r="GC1270" i="98"/>
  <c r="GC1350" i="98"/>
  <c r="GC1430" i="98"/>
  <c r="GC1510" i="98"/>
  <c r="GC1590" i="98"/>
  <c r="GC1670" i="98"/>
  <c r="GC59" i="98"/>
  <c r="GC139" i="98"/>
  <c r="GC219" i="98"/>
  <c r="GC299" i="98"/>
  <c r="GC379" i="98"/>
  <c r="GC539" i="98"/>
  <c r="GC619" i="98"/>
  <c r="GC699" i="98"/>
  <c r="GC779" i="98"/>
  <c r="GC859" i="98"/>
  <c r="GC459" i="98"/>
  <c r="GC939" i="98"/>
  <c r="GC1019" i="98"/>
  <c r="GC1099" i="98"/>
  <c r="GC1179" i="98"/>
  <c r="GC1259" i="98"/>
  <c r="GC1339" i="98"/>
  <c r="GC1419" i="98"/>
  <c r="GC1499" i="98"/>
  <c r="GC1579" i="98"/>
  <c r="GC1659" i="98"/>
  <c r="GC69" i="98"/>
  <c r="GC149" i="98"/>
  <c r="GC229" i="98"/>
  <c r="GC309" i="98"/>
  <c r="GC389" i="98"/>
  <c r="GC469" i="98"/>
  <c r="GC549" i="98"/>
  <c r="GC629" i="98"/>
  <c r="GC709" i="98"/>
  <c r="GC789" i="98"/>
  <c r="GC869" i="98"/>
  <c r="GC949" i="98"/>
  <c r="GC1029" i="98"/>
  <c r="GC1109" i="98"/>
  <c r="GC1189" i="98"/>
  <c r="GC1269" i="98"/>
  <c r="GC1349" i="98"/>
  <c r="GC1429" i="98"/>
  <c r="GC1509" i="98"/>
  <c r="GC1589" i="98"/>
  <c r="GC1669" i="98"/>
  <c r="GC45" i="98"/>
  <c r="GC125" i="98"/>
  <c r="GC205" i="98"/>
  <c r="GC285" i="98"/>
  <c r="GC365" i="98"/>
  <c r="GC445" i="98"/>
  <c r="GC525" i="98"/>
  <c r="GC605" i="98"/>
  <c r="GC685" i="98"/>
  <c r="GC765" i="98"/>
  <c r="GC845" i="98"/>
  <c r="GC925" i="98"/>
  <c r="GC1005" i="98"/>
  <c r="GC1085" i="98"/>
  <c r="GC1165" i="98"/>
  <c r="GC1245" i="98"/>
  <c r="GC1325" i="98"/>
  <c r="GC1405" i="98"/>
  <c r="GC1485" i="98"/>
  <c r="GC1565" i="98"/>
  <c r="GC1645" i="98"/>
  <c r="GC43" i="98"/>
  <c r="GC123" i="98"/>
  <c r="GC203" i="98"/>
  <c r="GC283" i="98"/>
  <c r="GC363" i="98"/>
  <c r="GC443" i="98"/>
  <c r="GC523" i="98"/>
  <c r="GC603" i="98"/>
  <c r="GC683" i="98"/>
  <c r="GC763" i="98"/>
  <c r="GC843" i="98"/>
  <c r="GC923" i="98"/>
  <c r="GC1003" i="98"/>
  <c r="GC1083" i="98"/>
  <c r="GC1163" i="98"/>
  <c r="GC1243" i="98"/>
  <c r="GC1323" i="98"/>
  <c r="GC1403" i="98"/>
  <c r="GC1483" i="98"/>
  <c r="GC1563" i="98"/>
  <c r="GC1643" i="98"/>
  <c r="GC44" i="98"/>
  <c r="GC124" i="98"/>
  <c r="GC204" i="98"/>
  <c r="GC284" i="98"/>
  <c r="GC364" i="98"/>
  <c r="GC444" i="98"/>
  <c r="GC524" i="98"/>
  <c r="GC604" i="98"/>
  <c r="GC684" i="98"/>
  <c r="GC764" i="98"/>
  <c r="GC844" i="98"/>
  <c r="GC924" i="98"/>
  <c r="GC1004" i="98"/>
  <c r="GC1084" i="98"/>
  <c r="GC1164" i="98"/>
  <c r="GC1244" i="98"/>
  <c r="GC1324" i="98"/>
  <c r="GC1404" i="98"/>
  <c r="GC1484" i="98"/>
  <c r="GC1564" i="98"/>
  <c r="GC1644" i="98"/>
  <c r="GC55" i="98"/>
  <c r="GC135" i="98"/>
  <c r="GC215" i="98"/>
  <c r="GC295" i="98"/>
  <c r="GC375" i="98"/>
  <c r="GC455" i="98"/>
  <c r="GC535" i="98"/>
  <c r="GC615" i="98"/>
  <c r="GC695" i="98"/>
  <c r="GC775" i="98"/>
  <c r="GC855" i="98"/>
  <c r="GC935" i="98"/>
  <c r="GC1015" i="98"/>
  <c r="GC1095" i="98"/>
  <c r="GC1175" i="98"/>
  <c r="GC1255" i="98"/>
  <c r="GC1335" i="98"/>
  <c r="GC1415" i="98"/>
  <c r="GC1495" i="98"/>
  <c r="GC1575" i="98"/>
  <c r="GC1655" i="98"/>
  <c r="GC51" i="98"/>
  <c r="GC131" i="98"/>
  <c r="GC211" i="98"/>
  <c r="GC291" i="98"/>
  <c r="GC371" i="98"/>
  <c r="GC451" i="98"/>
  <c r="GC531" i="98"/>
  <c r="GC611" i="98"/>
  <c r="GC691" i="98"/>
  <c r="GC771" i="98"/>
  <c r="GC851" i="98"/>
  <c r="GC931" i="98"/>
  <c r="GC1011" i="98"/>
  <c r="GC1091" i="98"/>
  <c r="GC1171" i="98"/>
  <c r="GC1251" i="98"/>
  <c r="GC1331" i="98"/>
  <c r="GC1411" i="98"/>
  <c r="GC1491" i="98"/>
  <c r="GC1571" i="98"/>
  <c r="GC1651" i="98"/>
  <c r="GF67" i="98"/>
  <c r="GF1107" i="98"/>
  <c r="GF547" i="98"/>
  <c r="GF1187" i="98"/>
  <c r="GF307" i="98"/>
  <c r="GF147" i="98"/>
  <c r="GF227" i="98"/>
  <c r="GF947" i="98"/>
  <c r="GF1667" i="98"/>
  <c r="GF787" i="98"/>
  <c r="GF1027" i="98"/>
  <c r="GF627" i="98"/>
  <c r="GF707" i="98"/>
  <c r="GF467" i="98"/>
  <c r="GF1267" i="98"/>
  <c r="GF1427" i="98"/>
  <c r="GF867" i="98"/>
  <c r="GF1347" i="98"/>
  <c r="GF387" i="98"/>
  <c r="GF1587" i="98"/>
  <c r="GF1507" i="98"/>
  <c r="GO31" i="98"/>
  <c r="GO1551" i="98"/>
  <c r="GO1631" i="98"/>
  <c r="GO431" i="98"/>
  <c r="GO1231" i="98"/>
  <c r="GO1311" i="98"/>
  <c r="GO1391" i="98"/>
  <c r="GO191" i="98"/>
  <c r="GO991" i="98"/>
  <c r="GO1151" i="98"/>
  <c r="GO351" i="98"/>
  <c r="GO751" i="98"/>
  <c r="GO831" i="98"/>
  <c r="GO271" i="98"/>
  <c r="GO511" i="98"/>
  <c r="GO911" i="98"/>
  <c r="GO1471" i="98"/>
  <c r="GO1071" i="98"/>
  <c r="GO671" i="98"/>
  <c r="GO591" i="98"/>
  <c r="GO111" i="98"/>
  <c r="GK8" i="98"/>
  <c r="GK1448" i="98"/>
  <c r="GK328" i="98"/>
  <c r="GK1368" i="98"/>
  <c r="GK488" i="98"/>
  <c r="GK168" i="98"/>
  <c r="GK1288" i="98"/>
  <c r="GK568" i="98"/>
  <c r="GK968" i="98"/>
  <c r="GK1208" i="98"/>
  <c r="GK408" i="98"/>
  <c r="GK808" i="98"/>
  <c r="GK888" i="98"/>
  <c r="GK1128" i="98"/>
  <c r="GK248" i="98"/>
  <c r="GK648" i="98"/>
  <c r="GK1528" i="98"/>
  <c r="GK1608" i="98"/>
  <c r="GK88" i="98"/>
  <c r="GK728" i="98"/>
  <c r="GK1048" i="98"/>
  <c r="GN9" i="98"/>
  <c r="GN1449" i="98"/>
  <c r="GN1529" i="98"/>
  <c r="GN569" i="98"/>
  <c r="GN1609" i="98"/>
  <c r="GN329" i="98"/>
  <c r="GN1049" i="98"/>
  <c r="GN1209" i="98"/>
  <c r="GN969" i="98"/>
  <c r="GN1289" i="98"/>
  <c r="GN169" i="98"/>
  <c r="GN1369" i="98"/>
  <c r="GN89" i="98"/>
  <c r="GN649" i="98"/>
  <c r="GN729" i="98"/>
  <c r="GN809" i="98"/>
  <c r="GN409" i="98"/>
  <c r="GN249" i="98"/>
  <c r="GN889" i="98"/>
  <c r="GN489" i="98"/>
  <c r="GN1129" i="98"/>
  <c r="GO9" i="98"/>
  <c r="GO1529" i="98"/>
  <c r="GO1609" i="98"/>
  <c r="GO569" i="98"/>
  <c r="GO729" i="98"/>
  <c r="GO649" i="98"/>
  <c r="GO409" i="98"/>
  <c r="GO1049" i="98"/>
  <c r="GO889" i="98"/>
  <c r="GO1289" i="98"/>
  <c r="GO1209" i="98"/>
  <c r="GO1369" i="98"/>
  <c r="GO89" i="98"/>
  <c r="GO169" i="98"/>
  <c r="GO969" i="98"/>
  <c r="GO489" i="98"/>
  <c r="GO249" i="98"/>
  <c r="GO1449" i="98"/>
  <c r="GO1129" i="98"/>
  <c r="GO809" i="98"/>
  <c r="GO329" i="98"/>
  <c r="GN60" i="98"/>
  <c r="GN1100" i="98"/>
  <c r="GN380" i="98"/>
  <c r="GN300" i="98"/>
  <c r="GN140" i="98"/>
  <c r="GN620" i="98"/>
  <c r="GN700" i="98"/>
  <c r="GN1020" i="98"/>
  <c r="GN540" i="98"/>
  <c r="GN1340" i="98"/>
  <c r="GN860" i="98"/>
  <c r="GN1500" i="98"/>
  <c r="GN1260" i="98"/>
  <c r="GN220" i="98"/>
  <c r="GN1420" i="98"/>
  <c r="GN1580" i="98"/>
  <c r="GN1660" i="98"/>
  <c r="GN1180" i="98"/>
  <c r="GN940" i="98"/>
  <c r="GN460" i="98"/>
  <c r="GN780" i="98"/>
  <c r="GF1260" i="98"/>
  <c r="GF1180" i="98"/>
  <c r="GF140" i="98"/>
  <c r="GF700" i="98"/>
  <c r="GF1500" i="98"/>
  <c r="GF860" i="98"/>
  <c r="GF1580" i="98"/>
  <c r="GF1660" i="98"/>
  <c r="GF620" i="98"/>
  <c r="GF780" i="98"/>
  <c r="GO27" i="98"/>
  <c r="GO1067" i="98"/>
  <c r="GO427" i="98"/>
  <c r="GO1147" i="98"/>
  <c r="GO1627" i="98"/>
  <c r="GO267" i="98"/>
  <c r="GO747" i="98"/>
  <c r="GO1387" i="98"/>
  <c r="GO107" i="98"/>
  <c r="GO507" i="98"/>
  <c r="GO1467" i="98"/>
  <c r="GO1307" i="98"/>
  <c r="GO1227" i="98"/>
  <c r="GO187" i="98"/>
  <c r="GO347" i="98"/>
  <c r="GO667" i="98"/>
  <c r="GO827" i="98"/>
  <c r="GO587" i="98"/>
  <c r="GO1547" i="98"/>
  <c r="GO907" i="98"/>
  <c r="GO987" i="98"/>
  <c r="GL27" i="98"/>
  <c r="GL1067" i="98"/>
  <c r="GL507" i="98"/>
  <c r="GL267" i="98"/>
  <c r="GL187" i="98"/>
  <c r="GL1627" i="98"/>
  <c r="GL747" i="98"/>
  <c r="GL1307" i="98"/>
  <c r="GL347" i="98"/>
  <c r="GL987" i="98"/>
  <c r="GL1227" i="98"/>
  <c r="GL827" i="98"/>
  <c r="GL1387" i="98"/>
  <c r="GL1467" i="98"/>
  <c r="GL587" i="98"/>
  <c r="GL907" i="98"/>
  <c r="GL667" i="98"/>
  <c r="GL107" i="98"/>
  <c r="GL1547" i="98"/>
  <c r="GL1147" i="98"/>
  <c r="GL427" i="98"/>
  <c r="GL7" i="98"/>
  <c r="GL327" i="98"/>
  <c r="GL87" i="98"/>
  <c r="GL1207" i="98"/>
  <c r="GL1527" i="98"/>
  <c r="GL167" i="98"/>
  <c r="GL407" i="98"/>
  <c r="GL887" i="98"/>
  <c r="GL247" i="98"/>
  <c r="GL1127" i="98"/>
  <c r="GL807" i="98"/>
  <c r="GL727" i="98"/>
  <c r="GL487" i="98"/>
  <c r="GL1047" i="98"/>
  <c r="GL567" i="98"/>
  <c r="GL1607" i="98"/>
  <c r="GL1447" i="98"/>
  <c r="GL1287" i="98"/>
  <c r="GL647" i="98"/>
  <c r="GL967" i="98"/>
  <c r="GL1367" i="98"/>
  <c r="GF7" i="98"/>
  <c r="GF487" i="98"/>
  <c r="GF87" i="98"/>
  <c r="GF1527" i="98"/>
  <c r="GF167" i="98"/>
  <c r="GF1207" i="98"/>
  <c r="GF407" i="98"/>
  <c r="GF1127" i="98"/>
  <c r="GF327" i="98"/>
  <c r="GF1447" i="98"/>
  <c r="GF727" i="98"/>
  <c r="GF1047" i="98"/>
  <c r="GF887" i="98"/>
  <c r="GF1287" i="98"/>
  <c r="GF647" i="98"/>
  <c r="GF967" i="98"/>
  <c r="GF807" i="98"/>
  <c r="GF567" i="98"/>
  <c r="GF1607" i="98"/>
  <c r="GF1367" i="98"/>
  <c r="GF247" i="98"/>
  <c r="GK70" i="98"/>
  <c r="GK1030" i="98"/>
  <c r="GK390" i="98"/>
  <c r="GK230" i="98"/>
  <c r="GK870" i="98"/>
  <c r="GK550" i="98"/>
  <c r="GK1590" i="98"/>
  <c r="GK1430" i="98"/>
  <c r="GK1670" i="98"/>
  <c r="GK1110" i="98"/>
  <c r="GK1350" i="98"/>
  <c r="GK630" i="98"/>
  <c r="GK150" i="98"/>
  <c r="GK1190" i="98"/>
  <c r="GK1510" i="98"/>
  <c r="GK790" i="98"/>
  <c r="GK1270" i="98"/>
  <c r="GK710" i="98"/>
  <c r="GK950" i="98"/>
  <c r="GK310" i="98"/>
  <c r="GK470" i="98"/>
  <c r="GO29" i="98"/>
  <c r="GO1389" i="98"/>
  <c r="GO1469" i="98"/>
  <c r="GO989" i="98"/>
  <c r="GO749" i="98"/>
  <c r="GO669" i="98"/>
  <c r="GO589" i="98"/>
  <c r="GO269" i="98"/>
  <c r="GO1309" i="98"/>
  <c r="GO509" i="98"/>
  <c r="GO429" i="98"/>
  <c r="GO109" i="98"/>
  <c r="GO909" i="98"/>
  <c r="GO1149" i="98"/>
  <c r="GO1069" i="98"/>
  <c r="GO1549" i="98"/>
  <c r="GO1229" i="98"/>
  <c r="GO1629" i="98"/>
  <c r="GO189" i="98"/>
  <c r="GO829" i="98"/>
  <c r="GO349" i="98"/>
  <c r="GK29" i="98"/>
  <c r="GK1389" i="98"/>
  <c r="GK1469" i="98"/>
  <c r="GK749" i="98"/>
  <c r="GK669" i="98"/>
  <c r="GK269" i="98"/>
  <c r="GK109" i="98"/>
  <c r="GK589" i="98"/>
  <c r="GK989" i="98"/>
  <c r="GK429" i="98"/>
  <c r="GK1149" i="98"/>
  <c r="GK1069" i="98"/>
  <c r="GK909" i="98"/>
  <c r="GK509" i="98"/>
  <c r="GK1229" i="98"/>
  <c r="GK1549" i="98"/>
  <c r="GK1629" i="98"/>
  <c r="GK1309" i="98"/>
  <c r="GK189" i="98"/>
  <c r="GK829" i="98"/>
  <c r="GK349" i="98"/>
  <c r="GO69" i="98"/>
  <c r="GO1509" i="98"/>
  <c r="GO1429" i="98"/>
  <c r="GO1669" i="98"/>
  <c r="GO1349" i="98"/>
  <c r="GO949" i="98"/>
  <c r="GO709" i="98"/>
  <c r="GO549" i="98"/>
  <c r="GO469" i="98"/>
  <c r="GO1109" i="98"/>
  <c r="GO229" i="98"/>
  <c r="GO629" i="98"/>
  <c r="GO309" i="98"/>
  <c r="GO149" i="98"/>
  <c r="GO389" i="98"/>
  <c r="GO869" i="98"/>
  <c r="GO1589" i="98"/>
  <c r="GO789" i="98"/>
  <c r="GO1269" i="98"/>
  <c r="GO1029" i="98"/>
  <c r="GO1189" i="98"/>
  <c r="GF69" i="98"/>
  <c r="GF1349" i="98"/>
  <c r="GF1429" i="98"/>
  <c r="GF949" i="98"/>
  <c r="GF629" i="98"/>
  <c r="GF469" i="98"/>
  <c r="GF1589" i="98"/>
  <c r="GF709" i="98"/>
  <c r="GF1509" i="98"/>
  <c r="GF309" i="98"/>
  <c r="GF389" i="98"/>
  <c r="GF149" i="98"/>
  <c r="GF549" i="98"/>
  <c r="GF869" i="98"/>
  <c r="GF1669" i="98"/>
  <c r="GF789" i="98"/>
  <c r="GF229" i="98"/>
  <c r="GF1109" i="98"/>
  <c r="GF1029" i="98"/>
  <c r="GF1189" i="98"/>
  <c r="GF1269" i="98"/>
  <c r="GN21" i="98"/>
  <c r="GN1381" i="98"/>
  <c r="GN1461" i="98"/>
  <c r="GN741" i="98"/>
  <c r="GN261" i="98"/>
  <c r="GN581" i="98"/>
  <c r="GN1541" i="98"/>
  <c r="GN981" i="98"/>
  <c r="GN1221" i="98"/>
  <c r="GN1621" i="98"/>
  <c r="GN661" i="98"/>
  <c r="GN421" i="98"/>
  <c r="GN101" i="98"/>
  <c r="GN821" i="98"/>
  <c r="GN501" i="98"/>
  <c r="GN341" i="98"/>
  <c r="GN181" i="98"/>
  <c r="GN1301" i="98"/>
  <c r="GN901" i="98"/>
  <c r="GN1141" i="98"/>
  <c r="GN1061" i="98"/>
  <c r="GH64" i="98"/>
  <c r="GH1504" i="98"/>
  <c r="GH1344" i="98"/>
  <c r="GH1104" i="98"/>
  <c r="GH1264" i="98"/>
  <c r="GH384" i="98"/>
  <c r="GH304" i="98"/>
  <c r="GH144" i="98"/>
  <c r="GH864" i="98"/>
  <c r="GH1184" i="98"/>
  <c r="GH624" i="98"/>
  <c r="GH224" i="98"/>
  <c r="GH704" i="98"/>
  <c r="GH544" i="98"/>
  <c r="GH1584" i="98"/>
  <c r="GH1664" i="98"/>
  <c r="GH1424" i="98"/>
  <c r="GH464" i="98"/>
  <c r="GH944" i="98"/>
  <c r="GH1024" i="98"/>
  <c r="GH784" i="98"/>
  <c r="GL19" i="98"/>
  <c r="GL1139" i="98"/>
  <c r="GL1059" i="98"/>
  <c r="GL339" i="98"/>
  <c r="GL179" i="98"/>
  <c r="GL1539" i="98"/>
  <c r="GL419" i="98"/>
  <c r="GL979" i="98"/>
  <c r="GL499" i="98"/>
  <c r="GL259" i="98"/>
  <c r="GL1299" i="98"/>
  <c r="GL819" i="98"/>
  <c r="GL899" i="98"/>
  <c r="GL1219" i="98"/>
  <c r="GL1619" i="98"/>
  <c r="GL579" i="98"/>
  <c r="GL739" i="98"/>
  <c r="GL1459" i="98"/>
  <c r="GL1379" i="98"/>
  <c r="GL659" i="98"/>
  <c r="GL99" i="98"/>
  <c r="GF19" i="98"/>
  <c r="GF1059" i="98"/>
  <c r="GF339" i="98"/>
  <c r="GF419" i="98"/>
  <c r="GF1539" i="98"/>
  <c r="GF1299" i="98"/>
  <c r="GF979" i="98"/>
  <c r="GF1139" i="98"/>
  <c r="GF259" i="98"/>
  <c r="GF499" i="98"/>
  <c r="GF179" i="98"/>
  <c r="GF1619" i="98"/>
  <c r="GF1459" i="98"/>
  <c r="GF1219" i="98"/>
  <c r="GF819" i="98"/>
  <c r="GF99" i="98"/>
  <c r="GF659" i="98"/>
  <c r="GF579" i="98"/>
  <c r="GF1379" i="98"/>
  <c r="GF899" i="98"/>
  <c r="GF739" i="98"/>
  <c r="GN30" i="98"/>
  <c r="GN1150" i="98"/>
  <c r="GN1550" i="98"/>
  <c r="GN1470" i="98"/>
  <c r="GN1070" i="98"/>
  <c r="GN430" i="98"/>
  <c r="GN110" i="98"/>
  <c r="GN510" i="98"/>
  <c r="GN670" i="98"/>
  <c r="GN750" i="98"/>
  <c r="GN1390" i="98"/>
  <c r="GN1230" i="98"/>
  <c r="GN190" i="98"/>
  <c r="GN830" i="98"/>
  <c r="GN910" i="98"/>
  <c r="GN1630" i="98"/>
  <c r="GN590" i="98"/>
  <c r="GN1310" i="98"/>
  <c r="GN270" i="98"/>
  <c r="GN350" i="98"/>
  <c r="GN990" i="98"/>
  <c r="GF30" i="98"/>
  <c r="GF1550" i="98"/>
  <c r="GF1470" i="98"/>
  <c r="GF1630" i="98"/>
  <c r="GF1230" i="98"/>
  <c r="GF1070" i="98"/>
  <c r="GF430" i="98"/>
  <c r="GF190" i="98"/>
  <c r="GF110" i="98"/>
  <c r="GF1310" i="98"/>
  <c r="GF270" i="98"/>
  <c r="GF1150" i="98"/>
  <c r="GF590" i="98"/>
  <c r="GF1390" i="98"/>
  <c r="GF830" i="98"/>
  <c r="GF910" i="98"/>
  <c r="GF750" i="98"/>
  <c r="GF990" i="98"/>
  <c r="GF670" i="98"/>
  <c r="GF350" i="98"/>
  <c r="GF510" i="98"/>
  <c r="GO77" i="98"/>
  <c r="GO1677" i="98"/>
  <c r="GO1517" i="98"/>
  <c r="GO1357" i="98"/>
  <c r="GO1597" i="98"/>
  <c r="GO957" i="98"/>
  <c r="GO397" i="98"/>
  <c r="GO717" i="98"/>
  <c r="GO637" i="98"/>
  <c r="GO1037" i="98"/>
  <c r="GO237" i="98"/>
  <c r="GO1117" i="98"/>
  <c r="GO317" i="98"/>
  <c r="GO477" i="98"/>
  <c r="GO157" i="98"/>
  <c r="GO557" i="98"/>
  <c r="GO1437" i="98"/>
  <c r="GO877" i="98"/>
  <c r="GO1197" i="98"/>
  <c r="GO797" i="98"/>
  <c r="GO1277" i="98"/>
  <c r="GC27" i="98"/>
  <c r="GC107" i="98"/>
  <c r="GC187" i="98"/>
  <c r="GC267" i="98"/>
  <c r="GC347" i="98"/>
  <c r="GC427" i="98"/>
  <c r="GC507" i="98"/>
  <c r="GC587" i="98"/>
  <c r="GC667" i="98"/>
  <c r="GC747" i="98"/>
  <c r="GC827" i="98"/>
  <c r="GC907" i="98"/>
  <c r="GC987" i="98"/>
  <c r="GC1067" i="98"/>
  <c r="GC1147" i="98"/>
  <c r="GC1227" i="98"/>
  <c r="GC1307" i="98"/>
  <c r="GC1387" i="98"/>
  <c r="GC1467" i="98"/>
  <c r="GC1547" i="98"/>
  <c r="GC1627" i="98"/>
  <c r="GQ1438" i="98"/>
  <c r="GQ1038" i="98"/>
  <c r="GQ1198" i="98"/>
  <c r="GQ718" i="98"/>
  <c r="GQ638" i="98"/>
  <c r="GQ238" i="98"/>
  <c r="GQ958" i="98"/>
  <c r="GQ478" i="98"/>
  <c r="GQ1118" i="98"/>
  <c r="GQ1518" i="98"/>
  <c r="GQ1598" i="98"/>
  <c r="GQ878" i="98"/>
  <c r="GQ1358" i="98"/>
  <c r="GQ1678" i="98"/>
  <c r="GQ1278" i="98"/>
  <c r="GQ158" i="98"/>
  <c r="GQ798" i="98"/>
  <c r="GQ398" i="98"/>
  <c r="GQ558" i="98"/>
  <c r="GQ318" i="98"/>
  <c r="EV70" i="98"/>
  <c r="GQ78" i="98"/>
  <c r="GF78" i="98"/>
  <c r="GF1438" i="98"/>
  <c r="GF1598" i="98"/>
  <c r="GF1038" i="98"/>
  <c r="GF1118" i="98"/>
  <c r="GF238" i="98"/>
  <c r="GF1198" i="98"/>
  <c r="GF478" i="98"/>
  <c r="GF398" i="98"/>
  <c r="GF638" i="98"/>
  <c r="GF718" i="98"/>
  <c r="GF1278" i="98"/>
  <c r="GF878" i="98"/>
  <c r="GF1678" i="98"/>
  <c r="GF1358" i="98"/>
  <c r="GF1518" i="98"/>
  <c r="GF958" i="98"/>
  <c r="GF798" i="98"/>
  <c r="GF318" i="98"/>
  <c r="GF558" i="98"/>
  <c r="GF158" i="98"/>
  <c r="GL10" i="98"/>
  <c r="GL1290" i="98"/>
  <c r="GL1210" i="98"/>
  <c r="GL1130" i="98"/>
  <c r="GL570" i="98"/>
  <c r="GL650" i="98"/>
  <c r="GL170" i="98"/>
  <c r="GL730" i="98"/>
  <c r="GL1530" i="98"/>
  <c r="GL330" i="98"/>
  <c r="GL1050" i="98"/>
  <c r="GL1610" i="98"/>
  <c r="GL490" i="98"/>
  <c r="GL1370" i="98"/>
  <c r="GL250" i="98"/>
  <c r="GL890" i="98"/>
  <c r="GL90" i="98"/>
  <c r="GL410" i="98"/>
  <c r="GL970" i="98"/>
  <c r="GL1450" i="98"/>
  <c r="GL810" i="98"/>
  <c r="GO1290" i="98"/>
  <c r="GO90" i="98"/>
  <c r="GO330" i="98"/>
  <c r="GO1210" i="98"/>
  <c r="GO1450" i="98"/>
  <c r="GO58" i="98"/>
  <c r="GO1018" i="98"/>
  <c r="GO778" i="98"/>
  <c r="GO218" i="98"/>
  <c r="GO1498" i="98"/>
  <c r="GO1578" i="98"/>
  <c r="GO1658" i="98"/>
  <c r="GO1178" i="98"/>
  <c r="GO538" i="98"/>
  <c r="GO858" i="98"/>
  <c r="GO1338" i="98"/>
  <c r="GL17" i="98"/>
  <c r="GL977" i="98"/>
  <c r="GL657" i="98"/>
  <c r="GL737" i="98"/>
  <c r="GL577" i="98"/>
  <c r="GL417" i="98"/>
  <c r="GL97" i="98"/>
  <c r="GL1617" i="98"/>
  <c r="GL1137" i="98"/>
  <c r="GL1537" i="98"/>
  <c r="GL817" i="98"/>
  <c r="GL257" i="98"/>
  <c r="GL1057" i="98"/>
  <c r="GL1457" i="98"/>
  <c r="GL1377" i="98"/>
  <c r="GL497" i="98"/>
  <c r="GL1217" i="98"/>
  <c r="GL177" i="98"/>
  <c r="GL897" i="98"/>
  <c r="GL337" i="98"/>
  <c r="GL1297" i="98"/>
  <c r="GQ663" i="98"/>
  <c r="GQ423" i="98"/>
  <c r="GQ903" i="98"/>
  <c r="GQ183" i="98"/>
  <c r="GQ1383" i="98"/>
  <c r="GQ1463" i="98"/>
  <c r="GQ1623" i="98"/>
  <c r="GQ823" i="98"/>
  <c r="GQ983" i="98"/>
  <c r="GQ583" i="98"/>
  <c r="GQ503" i="98"/>
  <c r="GQ343" i="98"/>
  <c r="GQ1223" i="98"/>
  <c r="GQ1143" i="98"/>
  <c r="GQ1303" i="98"/>
  <c r="GQ263" i="98"/>
  <c r="GQ1063" i="98"/>
  <c r="GQ1543" i="98"/>
  <c r="GQ743" i="98"/>
  <c r="GQ103" i="98"/>
  <c r="EV21" i="98"/>
  <c r="GQ23" i="98"/>
  <c r="GL23" i="98"/>
  <c r="GL343" i="98"/>
  <c r="GL183" i="98"/>
  <c r="GL1303" i="98"/>
  <c r="GL423" i="98"/>
  <c r="GL903" i="98"/>
  <c r="GL823" i="98"/>
  <c r="GL1063" i="98"/>
  <c r="GL743" i="98"/>
  <c r="GL1623" i="98"/>
  <c r="GL1463" i="98"/>
  <c r="GL263" i="98"/>
  <c r="GL503" i="98"/>
  <c r="GL1143" i="98"/>
  <c r="GL983" i="98"/>
  <c r="GL583" i="98"/>
  <c r="GL1543" i="98"/>
  <c r="GL1223" i="98"/>
  <c r="GL663" i="98"/>
  <c r="GL1383" i="98"/>
  <c r="GL103" i="98"/>
  <c r="GN12" i="98"/>
  <c r="GN1292" i="98"/>
  <c r="GN1132" i="98"/>
  <c r="GN332" i="98"/>
  <c r="GN652" i="98"/>
  <c r="GN572" i="98"/>
  <c r="GN1052" i="98"/>
  <c r="GN1372" i="98"/>
  <c r="GN812" i="98"/>
  <c r="GN972" i="98"/>
  <c r="GN1452" i="98"/>
  <c r="GN412" i="98"/>
  <c r="GN492" i="98"/>
  <c r="GN732" i="98"/>
  <c r="GN92" i="98"/>
  <c r="GN1532" i="98"/>
  <c r="GN1612" i="98"/>
  <c r="GN1212" i="98"/>
  <c r="GN252" i="98"/>
  <c r="GN892" i="98"/>
  <c r="GN172" i="98"/>
  <c r="GO57" i="98"/>
  <c r="GO1577" i="98"/>
  <c r="GO617" i="98"/>
  <c r="GO1657" i="98"/>
  <c r="GO777" i="98"/>
  <c r="GO697" i="98"/>
  <c r="GO137" i="98"/>
  <c r="GO1097" i="98"/>
  <c r="GO1017" i="98"/>
  <c r="GO1177" i="98"/>
  <c r="GO937" i="98"/>
  <c r="GO1257" i="98"/>
  <c r="GO537" i="98"/>
  <c r="GO857" i="98"/>
  <c r="GO377" i="98"/>
  <c r="GO457" i="98"/>
  <c r="GO1337" i="98"/>
  <c r="GO1417" i="98"/>
  <c r="GO1497" i="98"/>
  <c r="GO217" i="98"/>
  <c r="GO297" i="98"/>
  <c r="GF57" i="98"/>
  <c r="GF1497" i="98"/>
  <c r="GF1337" i="98"/>
  <c r="GF1417" i="98"/>
  <c r="GF777" i="98"/>
  <c r="GF537" i="98"/>
  <c r="GF1017" i="98"/>
  <c r="GF1097" i="98"/>
  <c r="GF137" i="98"/>
  <c r="GF1577" i="98"/>
  <c r="GF1257" i="98"/>
  <c r="GF377" i="98"/>
  <c r="GF617" i="98"/>
  <c r="GF937" i="98"/>
  <c r="GF857" i="98"/>
  <c r="GF697" i="98"/>
  <c r="GF1657" i="98"/>
  <c r="GF217" i="98"/>
  <c r="GF297" i="98"/>
  <c r="GF1177" i="98"/>
  <c r="GF457" i="98"/>
  <c r="GQ1051" i="98"/>
  <c r="GQ1131" i="98"/>
  <c r="GQ171" i="98"/>
  <c r="GQ1611" i="98"/>
  <c r="GQ1291" i="98"/>
  <c r="GQ411" i="98"/>
  <c r="GQ891" i="98"/>
  <c r="GQ1451" i="98"/>
  <c r="GQ811" i="98"/>
  <c r="GQ1211" i="98"/>
  <c r="GQ491" i="98"/>
  <c r="GQ1371" i="98"/>
  <c r="GQ331" i="98"/>
  <c r="GQ251" i="98"/>
  <c r="GQ1531" i="98"/>
  <c r="GQ731" i="98"/>
  <c r="GQ651" i="98"/>
  <c r="GQ571" i="98"/>
  <c r="GQ91" i="98"/>
  <c r="GQ971" i="98"/>
  <c r="EV10" i="98"/>
  <c r="GQ11" i="98"/>
  <c r="GK20" i="98"/>
  <c r="GK1140" i="98"/>
  <c r="GK500" i="98"/>
  <c r="GK1220" i="98"/>
  <c r="GK1060" i="98"/>
  <c r="GK100" i="98"/>
  <c r="GK260" i="98"/>
  <c r="GK1540" i="98"/>
  <c r="GK1620" i="98"/>
  <c r="GK660" i="98"/>
  <c r="GK1300" i="98"/>
  <c r="GK420" i="98"/>
  <c r="GK820" i="98"/>
  <c r="GK900" i="98"/>
  <c r="GK1380" i="98"/>
  <c r="GK1460" i="98"/>
  <c r="GK180" i="98"/>
  <c r="GK580" i="98"/>
  <c r="GK740" i="98"/>
  <c r="GK340" i="98"/>
  <c r="GK980" i="98"/>
  <c r="GO68" i="98"/>
  <c r="GO1108" i="98"/>
  <c r="GO948" i="98"/>
  <c r="GO308" i="98"/>
  <c r="GO228" i="98"/>
  <c r="GO148" i="98"/>
  <c r="GO388" i="98"/>
  <c r="GO1268" i="98"/>
  <c r="GO1188" i="98"/>
  <c r="GO1348" i="98"/>
  <c r="GO1428" i="98"/>
  <c r="GO1508" i="98"/>
  <c r="GO1588" i="98"/>
  <c r="GO1668" i="98"/>
  <c r="GO548" i="98"/>
  <c r="GO708" i="98"/>
  <c r="GO868" i="98"/>
  <c r="GO788" i="98"/>
  <c r="GO1028" i="98"/>
  <c r="GO468" i="98"/>
  <c r="GO628" i="98"/>
  <c r="GL79" i="98"/>
  <c r="GL319" i="98"/>
  <c r="GL1199" i="98"/>
  <c r="GL159" i="98"/>
  <c r="GL1359" i="98"/>
  <c r="GL559" i="98"/>
  <c r="GL1119" i="98"/>
  <c r="GL239" i="98"/>
  <c r="GL639" i="98"/>
  <c r="GL1679" i="98"/>
  <c r="GL1519" i="98"/>
  <c r="GL479" i="98"/>
  <c r="GL799" i="98"/>
  <c r="GL879" i="98"/>
  <c r="GL719" i="98"/>
  <c r="GL1039" i="98"/>
  <c r="GL399" i="98"/>
  <c r="GL1599" i="98"/>
  <c r="GL959" i="98"/>
  <c r="GL1439" i="98"/>
  <c r="GL1279" i="98"/>
  <c r="GN28" i="98"/>
  <c r="GN1308" i="98"/>
  <c r="GN1148" i="98"/>
  <c r="GN1228" i="98"/>
  <c r="GN1068" i="98"/>
  <c r="GN188" i="98"/>
  <c r="GN588" i="98"/>
  <c r="GN268" i="98"/>
  <c r="GN1468" i="98"/>
  <c r="GN428" i="98"/>
  <c r="GN748" i="98"/>
  <c r="GN1548" i="98"/>
  <c r="GN1628" i="98"/>
  <c r="GN108" i="98"/>
  <c r="GN348" i="98"/>
  <c r="GN508" i="98"/>
  <c r="GN1388" i="98"/>
  <c r="GN668" i="98"/>
  <c r="GN988" i="98"/>
  <c r="GN908" i="98"/>
  <c r="GN828" i="98"/>
  <c r="ET50" i="98"/>
  <c r="FG50" i="98"/>
  <c r="FI50" i="98"/>
  <c r="FC50" i="98"/>
  <c r="FD50" i="98"/>
  <c r="FF50" i="98"/>
  <c r="ET46" i="98"/>
  <c r="FG46" i="98"/>
  <c r="FF46" i="98"/>
  <c r="FI46" i="98"/>
  <c r="FC46" i="98"/>
  <c r="FD46" i="98"/>
  <c r="EX42" i="98"/>
  <c r="EO42" i="98" s="1"/>
  <c r="EQ42" i="98"/>
  <c r="EX44" i="98"/>
  <c r="EO44" i="98" s="1"/>
  <c r="EQ44" i="98"/>
  <c r="EX45" i="98"/>
  <c r="EO45" i="98" s="1"/>
  <c r="EQ45" i="98"/>
  <c r="EX43" i="98"/>
  <c r="EO43" i="98" s="1"/>
  <c r="EQ43" i="98"/>
  <c r="DQ8" i="98"/>
  <c r="ET49" i="98"/>
  <c r="FC49" i="98"/>
  <c r="FI49" i="98"/>
  <c r="FG49" i="98"/>
  <c r="FF49" i="98"/>
  <c r="FD49" i="98"/>
  <c r="ET47" i="98"/>
  <c r="FF47" i="98"/>
  <c r="FG47" i="98"/>
  <c r="FC47" i="98"/>
  <c r="FD47" i="98"/>
  <c r="FI47" i="98"/>
  <c r="ET48" i="98"/>
  <c r="FD48" i="98"/>
  <c r="FG48" i="98"/>
  <c r="FC48" i="98"/>
  <c r="FF48" i="98"/>
  <c r="FI48" i="98"/>
  <c r="FF38" i="98"/>
  <c r="FG38" i="98"/>
  <c r="FC38" i="98"/>
  <c r="FI38" i="98"/>
  <c r="FD38" i="98"/>
  <c r="EX33" i="98"/>
  <c r="EQ33" i="98"/>
  <c r="EX34" i="98"/>
  <c r="EQ34" i="98"/>
  <c r="EX35" i="98"/>
  <c r="EQ35" i="98"/>
  <c r="EX36" i="98"/>
  <c r="EQ36" i="98"/>
  <c r="FG37" i="98"/>
  <c r="FC37" i="98"/>
  <c r="FI37" i="98"/>
  <c r="FF37" i="98"/>
  <c r="FD37" i="98"/>
  <c r="FG41" i="98"/>
  <c r="FF41" i="98"/>
  <c r="FC41" i="98"/>
  <c r="FI41" i="98"/>
  <c r="FD41" i="98"/>
  <c r="FD39" i="98"/>
  <c r="FC39" i="98"/>
  <c r="FF39" i="98"/>
  <c r="FI39" i="98"/>
  <c r="FG39" i="98"/>
  <c r="FC40" i="98"/>
  <c r="FI40" i="98"/>
  <c r="FD40" i="98"/>
  <c r="FF40" i="98"/>
  <c r="FG40" i="98"/>
  <c r="DQ18" i="98"/>
  <c r="DQ16" i="98"/>
  <c r="DQ31" i="98"/>
  <c r="DQ55" i="98"/>
  <c r="DQ35" i="98"/>
  <c r="DQ48" i="98"/>
  <c r="DQ49" i="98"/>
  <c r="DQ42" i="98"/>
  <c r="DQ51" i="98"/>
  <c r="DQ17" i="98"/>
  <c r="DQ25" i="98"/>
  <c r="DQ21" i="98"/>
  <c r="DQ24" i="98"/>
  <c r="DQ22" i="98"/>
  <c r="DQ70" i="98"/>
  <c r="DQ75" i="98"/>
  <c r="DQ62" i="98"/>
  <c r="DQ40" i="98"/>
  <c r="DQ32" i="98"/>
  <c r="DQ68" i="98"/>
  <c r="DQ58" i="98"/>
  <c r="DQ65" i="98"/>
  <c r="DQ34" i="98"/>
  <c r="DQ30" i="98"/>
  <c r="DQ56" i="98"/>
  <c r="DQ50" i="98"/>
  <c r="DQ54" i="98"/>
  <c r="DQ33" i="98"/>
  <c r="DQ74" i="98"/>
  <c r="DQ12" i="98"/>
  <c r="DQ53" i="98"/>
  <c r="DQ39" i="98"/>
  <c r="DQ52" i="98"/>
  <c r="DQ71" i="98"/>
  <c r="DQ73" i="98"/>
  <c r="DQ10" i="98"/>
  <c r="DQ61" i="98"/>
  <c r="DQ46" i="98"/>
  <c r="DQ60" i="98"/>
  <c r="DQ67" i="98"/>
  <c r="DQ26" i="98"/>
  <c r="DQ11" i="98"/>
  <c r="DQ63" i="98"/>
  <c r="DQ41" i="98"/>
  <c r="DQ59" i="98"/>
  <c r="DQ69" i="98"/>
  <c r="DQ27" i="98"/>
  <c r="DQ38" i="98"/>
  <c r="DQ44" i="98"/>
  <c r="DQ57" i="98"/>
  <c r="DQ66" i="98"/>
  <c r="DQ29" i="98"/>
  <c r="DQ36" i="98"/>
  <c r="DQ45" i="98"/>
  <c r="DQ64" i="98"/>
  <c r="DQ72" i="98"/>
  <c r="DQ23" i="98"/>
  <c r="DQ20" i="98"/>
  <c r="DQ37" i="98"/>
  <c r="DQ43" i="98"/>
  <c r="DQ47" i="98"/>
  <c r="DQ76" i="98"/>
  <c r="DQ28" i="98"/>
  <c r="DQ15" i="98"/>
  <c r="DQ14" i="98"/>
  <c r="DQ19" i="98"/>
  <c r="DQ9" i="98"/>
  <c r="DQ13" i="98"/>
  <c r="D7" i="84"/>
  <c r="E18" i="84"/>
  <c r="D18" i="84"/>
  <c r="BI144" i="83"/>
  <c r="BH359" i="83"/>
  <c r="BI469" i="83"/>
  <c r="BI435" i="83"/>
  <c r="BI493" i="83"/>
  <c r="BG413" i="83"/>
  <c r="BG451" i="83"/>
  <c r="BG473" i="83"/>
  <c r="BI433" i="83"/>
  <c r="BG487" i="83"/>
  <c r="BG419" i="83"/>
  <c r="BG455" i="83"/>
  <c r="BG502" i="83"/>
  <c r="BI446" i="83"/>
  <c r="BI414" i="83"/>
  <c r="BG450" i="83"/>
  <c r="BI499" i="83"/>
  <c r="BG501" i="83"/>
  <c r="BI117" i="83"/>
  <c r="BG112" i="83"/>
  <c r="BG148" i="83"/>
  <c r="BI139" i="83"/>
  <c r="BG137" i="83"/>
  <c r="BI128" i="83"/>
  <c r="BG120" i="83"/>
  <c r="BI160" i="83"/>
  <c r="BG222" i="83"/>
  <c r="BG276" i="83"/>
  <c r="BI359" i="83"/>
  <c r="BG161" i="83"/>
  <c r="BI249" i="83"/>
  <c r="BG323" i="83"/>
  <c r="BI171" i="83"/>
  <c r="BG232" i="83"/>
  <c r="BG286" i="83"/>
  <c r="BG363" i="83"/>
  <c r="BG172" i="83"/>
  <c r="BI268" i="83"/>
  <c r="BI334" i="83"/>
  <c r="BI399" i="83"/>
  <c r="BG188" i="83"/>
  <c r="BG242" i="83"/>
  <c r="BI309" i="83"/>
  <c r="BI390" i="83"/>
  <c r="BI192" i="83"/>
  <c r="BG295" i="83"/>
  <c r="BI348" i="83"/>
  <c r="BI379" i="83"/>
  <c r="BI206" i="83"/>
  <c r="BI260" i="83"/>
  <c r="BG342" i="83"/>
  <c r="BI370" i="83"/>
  <c r="BI229" i="83"/>
  <c r="BG314" i="83"/>
  <c r="BI364" i="83"/>
  <c r="BG207" i="83"/>
  <c r="BG261" i="83"/>
  <c r="BI164" i="83"/>
  <c r="BI261" i="83"/>
  <c r="BI332" i="83"/>
  <c r="BG160" i="83"/>
  <c r="BI253" i="83"/>
  <c r="BI329" i="83"/>
  <c r="BI398" i="83"/>
  <c r="BG398" i="83"/>
  <c r="BG280" i="83"/>
  <c r="BI239" i="83"/>
  <c r="BI203" i="83"/>
  <c r="BJ407" i="83"/>
  <c r="BJ469" i="83"/>
  <c r="BJ447" i="83"/>
  <c r="BJ467" i="83"/>
  <c r="BJ433" i="83"/>
  <c r="BJ496" i="83"/>
  <c r="BJ460" i="83"/>
  <c r="BJ482" i="83"/>
  <c r="BJ497" i="83"/>
  <c r="BJ141" i="83"/>
  <c r="BJ177" i="83"/>
  <c r="BJ213" i="83"/>
  <c r="BJ249" i="83"/>
  <c r="BJ285" i="83"/>
  <c r="BJ130" i="83"/>
  <c r="BJ166" i="83"/>
  <c r="BJ202" i="83"/>
  <c r="BJ238" i="83"/>
  <c r="BJ274" i="83"/>
  <c r="BG409" i="83"/>
  <c r="BG472" i="83"/>
  <c r="BI438" i="83"/>
  <c r="BG498" i="83"/>
  <c r="BG418" i="83"/>
  <c r="BG454" i="83"/>
  <c r="BI478" i="83"/>
  <c r="BI436" i="83"/>
  <c r="BI489" i="83"/>
  <c r="BG422" i="83"/>
  <c r="BG463" i="83"/>
  <c r="BG411" i="83"/>
  <c r="BI449" i="83"/>
  <c r="BI417" i="83"/>
  <c r="BG453" i="83"/>
  <c r="BI504" i="83"/>
  <c r="BI496" i="83"/>
  <c r="BI120" i="83"/>
  <c r="BG115" i="83"/>
  <c r="BG106" i="83"/>
  <c r="BI142" i="83"/>
  <c r="BG140" i="83"/>
  <c r="BI131" i="83"/>
  <c r="BG123" i="83"/>
  <c r="BI165" i="83"/>
  <c r="BG227" i="83"/>
  <c r="BG281" i="83"/>
  <c r="BI365" i="83"/>
  <c r="BG166" i="83"/>
  <c r="BI258" i="83"/>
  <c r="BI326" i="83"/>
  <c r="BG182" i="83"/>
  <c r="BI236" i="83"/>
  <c r="BG290" i="83"/>
  <c r="BG366" i="83"/>
  <c r="BG177" i="83"/>
  <c r="BI277" i="83"/>
  <c r="BG338" i="83"/>
  <c r="BI405" i="83"/>
  <c r="BG192" i="83"/>
  <c r="BG246" i="83"/>
  <c r="BG313" i="83"/>
  <c r="BI396" i="83"/>
  <c r="BI201" i="83"/>
  <c r="BG299" i="83"/>
  <c r="BG355" i="83"/>
  <c r="BI400" i="83"/>
  <c r="BG211" i="83"/>
  <c r="BG265" i="83"/>
  <c r="BI345" i="83"/>
  <c r="BI388" i="83"/>
  <c r="BI238" i="83"/>
  <c r="BI317" i="83"/>
  <c r="BI382" i="83"/>
  <c r="BG212" i="83"/>
  <c r="BG266" i="83"/>
  <c r="BI169" i="83"/>
  <c r="BI270" i="83"/>
  <c r="BG336" i="83"/>
  <c r="BG165" i="83"/>
  <c r="BI262" i="83"/>
  <c r="BG333" i="83"/>
  <c r="BI404" i="83"/>
  <c r="BI336" i="83"/>
  <c r="BG365" i="83"/>
  <c r="BG383" i="83"/>
  <c r="BG208" i="83"/>
  <c r="BJ414" i="83"/>
  <c r="BG407" i="83"/>
  <c r="BG483" i="83"/>
  <c r="BI441" i="83"/>
  <c r="BG408" i="83"/>
  <c r="BG421" i="83"/>
  <c r="BI459" i="83"/>
  <c r="BG484" i="83"/>
  <c r="BI439" i="83"/>
  <c r="BG416" i="83"/>
  <c r="BG425" i="83"/>
  <c r="BG471" i="83"/>
  <c r="BG414" i="83"/>
  <c r="BI452" i="83"/>
  <c r="BG420" i="83"/>
  <c r="BI458" i="83"/>
  <c r="BG417" i="83"/>
  <c r="BI501" i="83"/>
  <c r="BI123" i="83"/>
  <c r="BG118" i="83"/>
  <c r="BI109" i="83"/>
  <c r="BI145" i="83"/>
  <c r="BG143" i="83"/>
  <c r="BI134" i="83"/>
  <c r="BG126" i="83"/>
  <c r="BG176" i="83"/>
  <c r="BG231" i="83"/>
  <c r="BG285" i="83"/>
  <c r="BI371" i="83"/>
  <c r="BG171" i="83"/>
  <c r="BI267" i="83"/>
  <c r="BG330" i="83"/>
  <c r="BG187" i="83"/>
  <c r="BG241" i="83"/>
  <c r="BG298" i="83"/>
  <c r="BG369" i="83"/>
  <c r="BI182" i="83"/>
  <c r="BI286" i="83"/>
  <c r="BI344" i="83"/>
  <c r="BG325" i="83"/>
  <c r="BG197" i="83"/>
  <c r="BG251" i="83"/>
  <c r="BI327" i="83"/>
  <c r="BI402" i="83"/>
  <c r="BI210" i="83"/>
  <c r="BI302" i="83"/>
  <c r="BG361" i="83"/>
  <c r="BG158" i="83"/>
  <c r="BI215" i="83"/>
  <c r="BI269" i="83"/>
  <c r="BG352" i="83"/>
  <c r="BG153" i="83"/>
  <c r="BI247" i="83"/>
  <c r="BG321" i="83"/>
  <c r="BI153" i="83"/>
  <c r="BG216" i="83"/>
  <c r="BG270" i="83"/>
  <c r="BI174" i="83"/>
  <c r="BI279" i="83"/>
  <c r="BG343" i="83"/>
  <c r="BI170" i="83"/>
  <c r="BI271" i="83"/>
  <c r="BI343" i="83"/>
  <c r="BI350" i="83"/>
  <c r="BI346" i="83"/>
  <c r="BG374" i="83"/>
  <c r="BG190" i="83"/>
  <c r="BG262" i="83"/>
  <c r="BJ412" i="83"/>
  <c r="BJ500" i="83"/>
  <c r="BJ453" i="83"/>
  <c r="BJ486" i="83"/>
  <c r="BJ439" i="83"/>
  <c r="BJ457" i="83"/>
  <c r="BJ479" i="83"/>
  <c r="BJ455" i="83"/>
  <c r="BJ111" i="83"/>
  <c r="BJ147" i="83"/>
  <c r="BJ183" i="83"/>
  <c r="BJ219" i="83"/>
  <c r="BJ255" i="83"/>
  <c r="BJ291" i="83"/>
  <c r="BJ136" i="83"/>
  <c r="BJ172" i="83"/>
  <c r="BJ208" i="83"/>
  <c r="BJ244" i="83"/>
  <c r="BJ280" i="83"/>
  <c r="BI407" i="83"/>
  <c r="BI488" i="83"/>
  <c r="BI444" i="83"/>
  <c r="BI412" i="83"/>
  <c r="BG424" i="83"/>
  <c r="BG462" i="83"/>
  <c r="BI491" i="83"/>
  <c r="BI442" i="83"/>
  <c r="BI457" i="83"/>
  <c r="BG428" i="83"/>
  <c r="BI476" i="83"/>
  <c r="BI419" i="83"/>
  <c r="BI455" i="83"/>
  <c r="BG423" i="83"/>
  <c r="BI466" i="83"/>
  <c r="BG495" i="83"/>
  <c r="BG497" i="83"/>
  <c r="BI126" i="83"/>
  <c r="BG121" i="83"/>
  <c r="BI112" i="83"/>
  <c r="BG110" i="83"/>
  <c r="BG146" i="83"/>
  <c r="BI137" i="83"/>
  <c r="BG129" i="83"/>
  <c r="BG181" i="83"/>
  <c r="BG236" i="83"/>
  <c r="BI289" i="83"/>
  <c r="BI377" i="83"/>
  <c r="BI176" i="83"/>
  <c r="BI276" i="83"/>
  <c r="BI337" i="83"/>
  <c r="BI191" i="83"/>
  <c r="BI245" i="83"/>
  <c r="BI312" i="83"/>
  <c r="BG372" i="83"/>
  <c r="BI187" i="83"/>
  <c r="BG294" i="83"/>
  <c r="BG351" i="83"/>
  <c r="BI358" i="83"/>
  <c r="BG201" i="83"/>
  <c r="BG255" i="83"/>
  <c r="BG331" i="83"/>
  <c r="BI352" i="83"/>
  <c r="BI219" i="83"/>
  <c r="BG306" i="83"/>
  <c r="BG367" i="83"/>
  <c r="BG163" i="83"/>
  <c r="BG220" i="83"/>
  <c r="BG274" i="83"/>
  <c r="BG358" i="83"/>
  <c r="BI158" i="83"/>
  <c r="BI256" i="83"/>
  <c r="BI328" i="83"/>
  <c r="BG164" i="83"/>
  <c r="BG221" i="83"/>
  <c r="BG275" i="83"/>
  <c r="BG185" i="83"/>
  <c r="BG288" i="83"/>
  <c r="BI349" i="83"/>
  <c r="BI175" i="83"/>
  <c r="BI280" i="83"/>
  <c r="BG350" i="83"/>
  <c r="BG387" i="83"/>
  <c r="BI221" i="83"/>
  <c r="BG304" i="83"/>
  <c r="BG244" i="83"/>
  <c r="BG353" i="83"/>
  <c r="BJ417" i="83"/>
  <c r="BJ420" i="83"/>
  <c r="BJ480" i="83"/>
  <c r="BJ498" i="83"/>
  <c r="BJ442" i="83"/>
  <c r="BJ465" i="83"/>
  <c r="BJ440" i="83"/>
  <c r="BJ422" i="83"/>
  <c r="BJ114" i="83"/>
  <c r="BJ150" i="83"/>
  <c r="BJ186" i="83"/>
  <c r="BJ222" i="83"/>
  <c r="BJ258" i="83"/>
  <c r="BJ294" i="83"/>
  <c r="BJ139" i="83"/>
  <c r="BJ175" i="83"/>
  <c r="BJ211" i="83"/>
  <c r="BJ247" i="83"/>
  <c r="BJ283" i="83"/>
  <c r="BG410" i="83"/>
  <c r="BI500" i="83"/>
  <c r="BI447" i="83"/>
  <c r="BI415" i="83"/>
  <c r="BG427" i="83"/>
  <c r="BI467" i="83"/>
  <c r="BG494" i="83"/>
  <c r="BI445" i="83"/>
  <c r="BG460" i="83"/>
  <c r="BG431" i="83"/>
  <c r="BI487" i="83"/>
  <c r="BI422" i="83"/>
  <c r="BG458" i="83"/>
  <c r="BG426" i="83"/>
  <c r="BI474" i="83"/>
  <c r="BG505" i="83"/>
  <c r="BG469" i="83"/>
  <c r="BI129" i="83"/>
  <c r="BG124" i="83"/>
  <c r="BI115" i="83"/>
  <c r="BG113" i="83"/>
  <c r="BG149" i="83"/>
  <c r="BI140" i="83"/>
  <c r="BG132" i="83"/>
  <c r="BG186" i="83"/>
  <c r="BG240" i="83"/>
  <c r="BG297" i="83"/>
  <c r="BI383" i="83"/>
  <c r="BI181" i="83"/>
  <c r="BI285" i="83"/>
  <c r="BG344" i="83"/>
  <c r="BG196" i="83"/>
  <c r="BG250" i="83"/>
  <c r="BG316" i="83"/>
  <c r="BG375" i="83"/>
  <c r="BI196" i="83"/>
  <c r="BI298" i="83"/>
  <c r="BG348" i="83"/>
  <c r="BI373" i="83"/>
  <c r="BG206" i="83"/>
  <c r="BG260" i="83"/>
  <c r="BI341" i="83"/>
  <c r="BI367" i="83"/>
  <c r="BI228" i="83"/>
  <c r="BI313" i="83"/>
  <c r="BG373" i="83"/>
  <c r="BG168" i="83"/>
  <c r="BI224" i="83"/>
  <c r="BI278" i="83"/>
  <c r="BG364" i="83"/>
  <c r="BI163" i="83"/>
  <c r="BI265" i="83"/>
  <c r="BG332" i="83"/>
  <c r="BG169" i="83"/>
  <c r="BG225" i="83"/>
  <c r="BG279" i="83"/>
  <c r="BI189" i="83"/>
  <c r="BI292" i="83"/>
  <c r="BI148" i="83"/>
  <c r="BI180" i="83"/>
  <c r="BG289" i="83"/>
  <c r="BG347" i="83"/>
  <c r="BG399" i="83"/>
  <c r="BI275" i="83"/>
  <c r="BI230" i="83"/>
  <c r="BI296" i="83"/>
  <c r="BG389" i="83"/>
  <c r="BJ458" i="83"/>
  <c r="BJ423" i="83"/>
  <c r="BJ493" i="83"/>
  <c r="BJ478" i="83"/>
  <c r="BJ445" i="83"/>
  <c r="BJ473" i="83"/>
  <c r="BJ492" i="83"/>
  <c r="BJ485" i="83"/>
  <c r="BJ117" i="83"/>
  <c r="BJ153" i="83"/>
  <c r="BJ189" i="83"/>
  <c r="BJ225" i="83"/>
  <c r="BJ261" i="83"/>
  <c r="BJ297" i="83"/>
  <c r="BJ142" i="83"/>
  <c r="BJ178" i="83"/>
  <c r="BG406" i="83"/>
  <c r="BG503" i="83"/>
  <c r="BI450" i="83"/>
  <c r="BI456" i="83"/>
  <c r="BG430" i="83"/>
  <c r="BG470" i="83"/>
  <c r="BI409" i="83"/>
  <c r="BI448" i="83"/>
  <c r="BI465" i="83"/>
  <c r="BG434" i="83"/>
  <c r="BG492" i="83"/>
  <c r="BI425" i="83"/>
  <c r="BI463" i="83"/>
  <c r="BG429" i="83"/>
  <c r="BI477" i="83"/>
  <c r="BI485" i="83"/>
  <c r="BI490" i="83"/>
  <c r="BI132" i="83"/>
  <c r="BG127" i="83"/>
  <c r="BI118" i="83"/>
  <c r="BG116" i="83"/>
  <c r="BG107" i="83"/>
  <c r="BI143" i="83"/>
  <c r="BG135" i="83"/>
  <c r="BG191" i="83"/>
  <c r="BG245" i="83"/>
  <c r="BG301" i="83"/>
  <c r="BI389" i="83"/>
  <c r="BI186" i="83"/>
  <c r="BI293" i="83"/>
  <c r="BG384" i="83"/>
  <c r="BI200" i="83"/>
  <c r="BI254" i="83"/>
  <c r="BI330" i="83"/>
  <c r="BG378" i="83"/>
  <c r="BI205" i="83"/>
  <c r="BG302" i="83"/>
  <c r="BI357" i="83"/>
  <c r="BI394" i="83"/>
  <c r="BG210" i="83"/>
  <c r="BG264" i="83"/>
  <c r="BI351" i="83"/>
  <c r="BI385" i="83"/>
  <c r="BI237" i="83"/>
  <c r="BG317" i="83"/>
  <c r="BG379" i="83"/>
  <c r="BI173" i="83"/>
  <c r="BG229" i="83"/>
  <c r="BG283" i="83"/>
  <c r="BG370" i="83"/>
  <c r="BI168" i="83"/>
  <c r="BI274" i="83"/>
  <c r="BI335" i="83"/>
  <c r="BG174" i="83"/>
  <c r="BG230" i="83"/>
  <c r="BG284" i="83"/>
  <c r="BI198" i="83"/>
  <c r="BG300" i="83"/>
  <c r="BI154" i="83"/>
  <c r="BI190" i="83"/>
  <c r="BG293" i="83"/>
  <c r="BI356" i="83"/>
  <c r="BI266" i="83"/>
  <c r="BG322" i="83"/>
  <c r="BI284" i="83"/>
  <c r="BG340" i="83"/>
  <c r="BI212" i="83"/>
  <c r="BJ466" i="83"/>
  <c r="BJ426" i="83"/>
  <c r="BJ415" i="83"/>
  <c r="BJ491" i="83"/>
  <c r="BJ448" i="83"/>
  <c r="BJ484" i="83"/>
  <c r="BJ502" i="83"/>
  <c r="BJ425" i="83"/>
  <c r="BJ120" i="83"/>
  <c r="BJ156" i="83"/>
  <c r="BJ192" i="83"/>
  <c r="BJ228" i="83"/>
  <c r="BJ264" i="83"/>
  <c r="BJ109" i="83"/>
  <c r="BJ145" i="83"/>
  <c r="BJ181" i="83"/>
  <c r="BJ217" i="83"/>
  <c r="BJ253" i="83"/>
  <c r="BI408" i="83"/>
  <c r="BG412" i="83"/>
  <c r="BI453" i="83"/>
  <c r="BI464" i="83"/>
  <c r="BG433" i="83"/>
  <c r="BI475" i="83"/>
  <c r="BI413" i="83"/>
  <c r="BI451" i="83"/>
  <c r="BG468" i="83"/>
  <c r="BG437" i="83"/>
  <c r="BI416" i="83"/>
  <c r="BI428" i="83"/>
  <c r="BG466" i="83"/>
  <c r="BG432" i="83"/>
  <c r="BG480" i="83"/>
  <c r="BG500" i="83"/>
  <c r="BI497" i="83"/>
  <c r="BI135" i="83"/>
  <c r="BG130" i="83"/>
  <c r="BI121" i="83"/>
  <c r="BG119" i="83"/>
  <c r="BI110" i="83"/>
  <c r="BI146" i="83"/>
  <c r="BG138" i="83"/>
  <c r="BG195" i="83"/>
  <c r="BG249" i="83"/>
  <c r="BI315" i="83"/>
  <c r="BI395" i="83"/>
  <c r="BI195" i="83"/>
  <c r="BI297" i="83"/>
  <c r="BG396" i="83"/>
  <c r="BG205" i="83"/>
  <c r="BG259" i="83"/>
  <c r="BG334" i="83"/>
  <c r="BG381" i="83"/>
  <c r="BI214" i="83"/>
  <c r="BI305" i="83"/>
  <c r="BI363" i="83"/>
  <c r="BG152" i="83"/>
  <c r="BG215" i="83"/>
  <c r="BG269" i="83"/>
  <c r="BI354" i="83"/>
  <c r="BI152" i="83"/>
  <c r="BI246" i="83"/>
  <c r="BI320" i="83"/>
  <c r="BG385" i="83"/>
  <c r="BI178" i="83"/>
  <c r="BI233" i="83"/>
  <c r="BG291" i="83"/>
  <c r="BG376" i="83"/>
  <c r="BG179" i="83"/>
  <c r="BI283" i="83"/>
  <c r="BG339" i="83"/>
  <c r="BI179" i="83"/>
  <c r="BG234" i="83"/>
  <c r="BG292" i="83"/>
  <c r="BI207" i="83"/>
  <c r="BI307" i="83"/>
  <c r="BI159" i="83"/>
  <c r="BI199" i="83"/>
  <c r="BI304" i="83"/>
  <c r="BI362" i="83"/>
  <c r="BG392" i="83"/>
  <c r="BG362" i="83"/>
  <c r="BG368" i="83"/>
  <c r="BG386" i="83"/>
  <c r="BG356" i="83"/>
  <c r="BI406" i="83"/>
  <c r="BI420" i="83"/>
  <c r="BG459" i="83"/>
  <c r="BI472" i="83"/>
  <c r="BG436" i="83"/>
  <c r="BG481" i="83"/>
  <c r="BI418" i="83"/>
  <c r="BI454" i="83"/>
  <c r="BI473" i="83"/>
  <c r="BG440" i="83"/>
  <c r="BI460" i="83"/>
  <c r="BI431" i="83"/>
  <c r="BI471" i="83"/>
  <c r="BG435" i="83"/>
  <c r="BG493" i="83"/>
  <c r="BI495" i="83"/>
  <c r="BI492" i="83"/>
  <c r="BI138" i="83"/>
  <c r="BG133" i="83"/>
  <c r="BI124" i="83"/>
  <c r="BG122" i="83"/>
  <c r="BI113" i="83"/>
  <c r="BI149" i="83"/>
  <c r="BG141" i="83"/>
  <c r="BG200" i="83"/>
  <c r="BG254" i="83"/>
  <c r="BG319" i="83"/>
  <c r="BI401" i="83"/>
  <c r="BI204" i="83"/>
  <c r="BI301" i="83"/>
  <c r="BI391" i="83"/>
  <c r="BI209" i="83"/>
  <c r="BI263" i="83"/>
  <c r="BG341" i="83"/>
  <c r="BG393" i="83"/>
  <c r="BI223" i="83"/>
  <c r="BG309" i="83"/>
  <c r="BI369" i="83"/>
  <c r="BG157" i="83"/>
  <c r="BG219" i="83"/>
  <c r="BG273" i="83"/>
  <c r="BI360" i="83"/>
  <c r="BI157" i="83"/>
  <c r="BI255" i="83"/>
  <c r="BG324" i="83"/>
  <c r="BG391" i="83"/>
  <c r="BI183" i="83"/>
  <c r="BG238" i="83"/>
  <c r="BI295" i="83"/>
  <c r="BG382" i="83"/>
  <c r="BG184" i="83"/>
  <c r="BI287" i="83"/>
  <c r="BI342" i="83"/>
  <c r="BI184" i="83"/>
  <c r="BG239" i="83"/>
  <c r="BG307" i="83"/>
  <c r="BI216" i="83"/>
  <c r="BG311" i="83"/>
  <c r="BG170" i="83"/>
  <c r="BI208" i="83"/>
  <c r="BG308" i="83"/>
  <c r="BI368" i="83"/>
  <c r="BG217" i="83"/>
  <c r="BI397" i="83"/>
  <c r="BG401" i="83"/>
  <c r="BI194" i="83"/>
  <c r="BI106" i="83"/>
  <c r="BJ477" i="83"/>
  <c r="BJ432" i="83"/>
  <c r="BJ464" i="83"/>
  <c r="BJ418" i="83"/>
  <c r="BJ454" i="83"/>
  <c r="BJ476" i="83"/>
  <c r="BJ503" i="83"/>
  <c r="BJ463" i="83"/>
  <c r="BJ126" i="83"/>
  <c r="BJ162" i="83"/>
  <c r="BJ198" i="83"/>
  <c r="BJ234" i="83"/>
  <c r="BJ270" i="83"/>
  <c r="BJ115" i="83"/>
  <c r="BJ151" i="83"/>
  <c r="BJ187" i="83"/>
  <c r="BJ223" i="83"/>
  <c r="BJ259" i="83"/>
  <c r="BG415" i="83"/>
  <c r="BI423" i="83"/>
  <c r="BG467" i="83"/>
  <c r="BG478" i="83"/>
  <c r="BG439" i="83"/>
  <c r="BI486" i="83"/>
  <c r="BI421" i="83"/>
  <c r="BI462" i="83"/>
  <c r="BG479" i="83"/>
  <c r="BG443" i="83"/>
  <c r="BI468" i="83"/>
  <c r="BI434" i="83"/>
  <c r="BG474" i="83"/>
  <c r="BG438" i="83"/>
  <c r="BI498" i="83"/>
  <c r="BI505" i="83"/>
  <c r="BI502" i="83"/>
  <c r="BI141" i="83"/>
  <c r="BG136" i="83"/>
  <c r="BI127" i="83"/>
  <c r="BG125" i="83"/>
  <c r="BI116" i="83"/>
  <c r="BG108" i="83"/>
  <c r="BG144" i="83"/>
  <c r="BG204" i="83"/>
  <c r="BG258" i="83"/>
  <c r="BI333" i="83"/>
  <c r="BG390" i="83"/>
  <c r="BI213" i="83"/>
  <c r="BG305" i="83"/>
  <c r="BG151" i="83"/>
  <c r="BG214" i="83"/>
  <c r="BG268" i="83"/>
  <c r="BI347" i="83"/>
  <c r="BG405" i="83"/>
  <c r="BI232" i="83"/>
  <c r="BI316" i="83"/>
  <c r="BI375" i="83"/>
  <c r="BG162" i="83"/>
  <c r="BG224" i="83"/>
  <c r="BG278" i="83"/>
  <c r="BI366" i="83"/>
  <c r="BI162" i="83"/>
  <c r="BI264" i="83"/>
  <c r="BI331" i="83"/>
  <c r="BG397" i="83"/>
  <c r="BI188" i="83"/>
  <c r="BI242" i="83"/>
  <c r="BI306" i="83"/>
  <c r="BG388" i="83"/>
  <c r="BI193" i="83"/>
  <c r="BI291" i="83"/>
  <c r="BG349" i="83"/>
  <c r="BG189" i="83"/>
  <c r="BG243" i="83"/>
  <c r="BG346" i="83"/>
  <c r="BI225" i="83"/>
  <c r="BI314" i="83"/>
  <c r="BG175" i="83"/>
  <c r="BI217" i="83"/>
  <c r="BI311" i="83"/>
  <c r="BI374" i="83"/>
  <c r="BG271" i="83"/>
  <c r="BG377" i="83"/>
  <c r="BG235" i="83"/>
  <c r="BI248" i="83"/>
  <c r="BI107" i="83"/>
  <c r="BJ490" i="83"/>
  <c r="BJ435" i="83"/>
  <c r="BJ472" i="83"/>
  <c r="BJ421" i="83"/>
  <c r="BJ462" i="83"/>
  <c r="BJ487" i="83"/>
  <c r="BJ446" i="83"/>
  <c r="BJ431" i="83"/>
  <c r="BJ129" i="83"/>
  <c r="BJ165" i="83"/>
  <c r="BJ201" i="83"/>
  <c r="BJ237" i="83"/>
  <c r="BJ273" i="83"/>
  <c r="BJ118" i="83"/>
  <c r="BG464" i="83"/>
  <c r="BI432" i="83"/>
  <c r="BG486" i="83"/>
  <c r="BI503" i="83"/>
  <c r="BG448" i="83"/>
  <c r="BG465" i="83"/>
  <c r="BI430" i="83"/>
  <c r="BI481" i="83"/>
  <c r="BI410" i="83"/>
  <c r="BG452" i="83"/>
  <c r="BG485" i="83"/>
  <c r="BI443" i="83"/>
  <c r="BI411" i="83"/>
  <c r="BG447" i="83"/>
  <c r="BI482" i="83"/>
  <c r="BG496" i="83"/>
  <c r="BI114" i="83"/>
  <c r="BG109" i="83"/>
  <c r="BG145" i="83"/>
  <c r="BI136" i="83"/>
  <c r="BG134" i="83"/>
  <c r="BI125" i="83"/>
  <c r="BG117" i="83"/>
  <c r="BI155" i="83"/>
  <c r="BG218" i="83"/>
  <c r="BG272" i="83"/>
  <c r="BI353" i="83"/>
  <c r="BI150" i="83"/>
  <c r="BI240" i="83"/>
  <c r="BI319" i="83"/>
  <c r="BI166" i="83"/>
  <c r="BI227" i="83"/>
  <c r="BI281" i="83"/>
  <c r="BG360" i="83"/>
  <c r="BG167" i="83"/>
  <c r="BI259" i="83"/>
  <c r="BG327" i="83"/>
  <c r="BI393" i="83"/>
  <c r="BI177" i="83"/>
  <c r="BG237" i="83"/>
  <c r="BI294" i="83"/>
  <c r="BI384" i="83"/>
  <c r="BG183" i="83"/>
  <c r="BG287" i="83"/>
  <c r="BG345" i="83"/>
  <c r="BI361" i="83"/>
  <c r="BG202" i="83"/>
  <c r="BG256" i="83"/>
  <c r="BG328" i="83"/>
  <c r="BI355" i="83"/>
  <c r="BI220" i="83"/>
  <c r="BI310" i="83"/>
  <c r="BI339" i="83"/>
  <c r="BG203" i="83"/>
  <c r="BG257" i="83"/>
  <c r="BG159" i="83"/>
  <c r="BI252" i="83"/>
  <c r="BG329" i="83"/>
  <c r="BG155" i="83"/>
  <c r="BI244" i="83"/>
  <c r="BG326" i="83"/>
  <c r="BI392" i="83"/>
  <c r="BG395" i="83"/>
  <c r="BG226" i="83"/>
  <c r="BG404" i="83"/>
  <c r="BG199" i="83"/>
  <c r="BJ409" i="83"/>
  <c r="BJ461" i="83"/>
  <c r="BJ444" i="83"/>
  <c r="BJ459" i="83"/>
  <c r="BJ430" i="83"/>
  <c r="BJ489" i="83"/>
  <c r="BJ416" i="83"/>
  <c r="BJ452" i="83"/>
  <c r="BJ471" i="83"/>
  <c r="BJ138" i="83"/>
  <c r="BJ174" i="83"/>
  <c r="BJ210" i="83"/>
  <c r="BJ246" i="83"/>
  <c r="BJ282" i="83"/>
  <c r="BJ127" i="83"/>
  <c r="BJ163" i="83"/>
  <c r="BJ199" i="83"/>
  <c r="BJ235" i="83"/>
  <c r="BJ271" i="83"/>
  <c r="BH401" i="83"/>
  <c r="BH316" i="83"/>
  <c r="BH129" i="83"/>
  <c r="BH239" i="83"/>
  <c r="BH241" i="83"/>
  <c r="BH492" i="83"/>
  <c r="BH352" i="83"/>
  <c r="BH166" i="83"/>
  <c r="BH484" i="83"/>
  <c r="BH390" i="83"/>
  <c r="BH336" i="83"/>
  <c r="BH478" i="83"/>
  <c r="BH232" i="83"/>
  <c r="BH455" i="83"/>
  <c r="BH317" i="83"/>
  <c r="BH157" i="83"/>
  <c r="BH457" i="83"/>
  <c r="BH381" i="83"/>
  <c r="BH327" i="83"/>
  <c r="BH486" i="83"/>
  <c r="BH191" i="83"/>
  <c r="BH252" i="83"/>
  <c r="BH410" i="83"/>
  <c r="BH167" i="83"/>
  <c r="BH213" i="83"/>
  <c r="BH212" i="83"/>
  <c r="BH128" i="83"/>
  <c r="BH174" i="83"/>
  <c r="BH405" i="83"/>
  <c r="BH351" i="83"/>
  <c r="BH424" i="83"/>
  <c r="BH366" i="83"/>
  <c r="BH312" i="83"/>
  <c r="BH483" i="83"/>
  <c r="BJ374" i="83"/>
  <c r="BJ239" i="83"/>
  <c r="BJ400" i="83"/>
  <c r="BJ364" i="83"/>
  <c r="BJ158" i="83"/>
  <c r="BJ251" i="83"/>
  <c r="BJ338" i="83"/>
  <c r="BJ393" i="83"/>
  <c r="BJ357" i="83"/>
  <c r="BJ334" i="83"/>
  <c r="BJ272" i="83"/>
  <c r="BJ350" i="83"/>
  <c r="BJ368" i="83"/>
  <c r="BJ380" i="83"/>
  <c r="BJ277" i="83"/>
  <c r="BJ205" i="83"/>
  <c r="BJ121" i="83"/>
  <c r="BJ204" i="83"/>
  <c r="BJ434" i="83"/>
  <c r="BJ470" i="83"/>
  <c r="BJ438" i="83"/>
  <c r="BI257" i="83"/>
  <c r="BI325" i="83"/>
  <c r="BG303" i="83"/>
  <c r="BI321" i="83"/>
  <c r="BG233" i="83"/>
  <c r="BG357" i="83"/>
  <c r="BI403" i="83"/>
  <c r="BI122" i="83"/>
  <c r="BG488" i="83"/>
  <c r="BG449" i="83"/>
  <c r="BG491" i="83"/>
  <c r="BH365" i="83"/>
  <c r="BH280" i="83"/>
  <c r="BH500" i="83"/>
  <c r="BH391" i="83"/>
  <c r="BH205" i="83"/>
  <c r="BH428" i="83"/>
  <c r="BH224" i="83"/>
  <c r="BH130" i="83"/>
  <c r="BH448" i="83"/>
  <c r="BH354" i="83"/>
  <c r="BH300" i="83"/>
  <c r="BH415" i="83"/>
  <c r="BH196" i="83"/>
  <c r="BH419" i="83"/>
  <c r="BK420" i="83" s="1"/>
  <c r="BL420" i="83" s="1"/>
  <c r="BH197" i="83"/>
  <c r="BH121" i="83"/>
  <c r="BH439" i="83"/>
  <c r="BK440" i="83" s="1"/>
  <c r="BL440" i="83" s="1"/>
  <c r="BH344" i="83"/>
  <c r="BH291" i="83"/>
  <c r="BH453" i="83"/>
  <c r="BH170" i="83"/>
  <c r="BH216" i="83"/>
  <c r="BH382" i="83"/>
  <c r="BH131" i="83"/>
  <c r="BH177" i="83"/>
  <c r="BH343" i="83"/>
  <c r="BH325" i="83"/>
  <c r="BH138" i="83"/>
  <c r="BH369" i="83"/>
  <c r="BH315" i="83"/>
  <c r="BH503" i="83"/>
  <c r="BH263" i="83"/>
  <c r="BH276" i="83"/>
  <c r="BH438" i="83"/>
  <c r="BJ343" i="83"/>
  <c r="BJ230" i="83"/>
  <c r="BJ397" i="83"/>
  <c r="BJ361" i="83"/>
  <c r="BJ143" i="83"/>
  <c r="BJ242" i="83"/>
  <c r="BJ331" i="83"/>
  <c r="BJ390" i="83"/>
  <c r="BJ354" i="83"/>
  <c r="BJ323" i="83"/>
  <c r="BJ263" i="83"/>
  <c r="BJ337" i="83"/>
  <c r="BJ362" i="83"/>
  <c r="BJ371" i="83"/>
  <c r="BJ268" i="83"/>
  <c r="BJ196" i="83"/>
  <c r="BJ112" i="83"/>
  <c r="BJ195" i="83"/>
  <c r="BJ428" i="83"/>
  <c r="BJ451" i="83"/>
  <c r="BJ429" i="83"/>
  <c r="BG253" i="83"/>
  <c r="BK253" i="83" s="1"/>
  <c r="BL253" i="83" s="1"/>
  <c r="BG318" i="83"/>
  <c r="BK318" i="83" s="1"/>
  <c r="BL318" i="83" s="1"/>
  <c r="BI299" i="83"/>
  <c r="BG403" i="83"/>
  <c r="BG228" i="83"/>
  <c r="BG354" i="83"/>
  <c r="BG402" i="83"/>
  <c r="BI119" i="83"/>
  <c r="BG461" i="83"/>
  <c r="BG446" i="83"/>
  <c r="BI483" i="83"/>
  <c r="BH465" i="83"/>
  <c r="BH384" i="83"/>
  <c r="BH330" i="83"/>
  <c r="BH498" i="83"/>
  <c r="BH200" i="83"/>
  <c r="BH255" i="83"/>
  <c r="BH406" i="83"/>
  <c r="BH134" i="83"/>
  <c r="BH180" i="83"/>
  <c r="BH311" i="83"/>
  <c r="BH328" i="83"/>
  <c r="BH141" i="83"/>
  <c r="BH374" i="83"/>
  <c r="BH289" i="83"/>
  <c r="BH490" i="83"/>
  <c r="BH272" i="83"/>
  <c r="BH279" i="83"/>
  <c r="BH441" i="83"/>
  <c r="BH308" i="83"/>
  <c r="BH240" i="83"/>
  <c r="BH409" i="83"/>
  <c r="BJ346" i="83"/>
  <c r="BJ221" i="83"/>
  <c r="BJ394" i="83"/>
  <c r="BJ358" i="83"/>
  <c r="BJ107" i="83"/>
  <c r="BJ233" i="83"/>
  <c r="BJ320" i="83"/>
  <c r="BJ387" i="83"/>
  <c r="BJ351" i="83"/>
  <c r="BJ316" i="83"/>
  <c r="BJ254" i="83"/>
  <c r="BJ326" i="83"/>
  <c r="BJ356" i="83"/>
  <c r="BJ365" i="83"/>
  <c r="BJ265" i="83"/>
  <c r="BJ193" i="83"/>
  <c r="BJ288" i="83"/>
  <c r="BJ180" i="83"/>
  <c r="BJ419" i="83"/>
  <c r="BJ436" i="83"/>
  <c r="BJ488" i="83"/>
  <c r="BG359" i="83"/>
  <c r="BI243" i="83"/>
  <c r="BI211" i="83"/>
  <c r="BI338" i="83"/>
  <c r="BI172" i="83"/>
  <c r="BG277" i="83"/>
  <c r="BI340" i="83"/>
  <c r="BG131" i="83"/>
  <c r="BK131" i="83" s="1"/>
  <c r="BL131" i="83" s="1"/>
  <c r="BG504" i="83"/>
  <c r="BI494" i="83"/>
  <c r="BI480" i="83"/>
  <c r="BH206" i="83"/>
  <c r="BH124" i="83"/>
  <c r="BH442" i="83"/>
  <c r="BH290" i="83"/>
  <c r="BH294" i="83"/>
  <c r="BH480" i="83"/>
  <c r="BH173" i="83"/>
  <c r="BH219" i="83"/>
  <c r="BH389" i="83"/>
  <c r="BH331" i="83"/>
  <c r="BH144" i="83"/>
  <c r="BH377" i="83"/>
  <c r="BH292" i="83"/>
  <c r="BH502" i="83"/>
  <c r="BH275" i="83"/>
  <c r="BH253" i="83"/>
  <c r="BH461" i="83"/>
  <c r="BK462" i="83" s="1"/>
  <c r="BL462" i="83" s="1"/>
  <c r="BH326" i="83"/>
  <c r="BH243" i="83"/>
  <c r="BH407" i="83"/>
  <c r="BH158" i="83"/>
  <c r="BH204" i="83"/>
  <c r="BJ314" i="83"/>
  <c r="BJ336" i="83"/>
  <c r="BJ212" i="83"/>
  <c r="BJ391" i="83"/>
  <c r="BJ355" i="83"/>
  <c r="BJ328" i="83"/>
  <c r="BJ224" i="83"/>
  <c r="BJ313" i="83"/>
  <c r="BJ384" i="83"/>
  <c r="BJ341" i="83"/>
  <c r="BJ305" i="83"/>
  <c r="BJ245" i="83"/>
  <c r="BJ319" i="83"/>
  <c r="BJ340" i="83"/>
  <c r="BJ359" i="83"/>
  <c r="BJ262" i="83"/>
  <c r="BJ190" i="83"/>
  <c r="BJ279" i="83"/>
  <c r="BJ171" i="83"/>
  <c r="BJ494" i="83"/>
  <c r="BJ427" i="83"/>
  <c r="BJ505" i="83"/>
  <c r="BI318" i="83"/>
  <c r="BI234" i="83"/>
  <c r="BI202" i="83"/>
  <c r="BG335" i="83"/>
  <c r="BI167" i="83"/>
  <c r="BI272" i="83"/>
  <c r="BG337" i="83"/>
  <c r="BG128" i="83"/>
  <c r="BG499" i="83"/>
  <c r="BI484" i="83"/>
  <c r="BG475" i="83"/>
  <c r="BH413" i="83"/>
  <c r="BH236" i="83"/>
  <c r="BH267" i="83"/>
  <c r="BH429" i="83"/>
  <c r="BH146" i="83"/>
  <c r="BH192" i="83"/>
  <c r="BH387" i="83"/>
  <c r="BH333" i="83"/>
  <c r="BH408" i="83"/>
  <c r="BH209" i="83"/>
  <c r="BH258" i="83"/>
  <c r="BH420" i="83"/>
  <c r="BH137" i="83"/>
  <c r="BH183" i="83"/>
  <c r="BH380" i="83"/>
  <c r="BH295" i="83"/>
  <c r="BH108" i="83"/>
  <c r="BH284" i="83"/>
  <c r="BH256" i="83"/>
  <c r="BH469" i="83"/>
  <c r="BH403" i="83"/>
  <c r="BH217" i="83"/>
  <c r="BH440" i="83"/>
  <c r="BH161" i="83"/>
  <c r="BH207" i="83"/>
  <c r="BH260" i="83"/>
  <c r="BH122" i="83"/>
  <c r="BH168" i="83"/>
  <c r="BJ292" i="83"/>
  <c r="BJ318" i="83"/>
  <c r="BJ203" i="83"/>
  <c r="BJ388" i="83"/>
  <c r="BJ352" i="83"/>
  <c r="BJ287" i="83"/>
  <c r="BJ215" i="83"/>
  <c r="BJ302" i="83"/>
  <c r="BJ381" i="83"/>
  <c r="BJ327" i="83"/>
  <c r="BJ298" i="83"/>
  <c r="BJ236" i="83"/>
  <c r="BJ308" i="83"/>
  <c r="BJ333" i="83"/>
  <c r="BJ353" i="83"/>
  <c r="BJ256" i="83"/>
  <c r="BJ184" i="83"/>
  <c r="BJ276" i="83"/>
  <c r="BJ168" i="83"/>
  <c r="BJ449" i="83"/>
  <c r="BJ424" i="83"/>
  <c r="BJ495" i="83"/>
  <c r="BI386" i="83"/>
  <c r="BG154" i="83"/>
  <c r="BG400" i="83"/>
  <c r="BI282" i="83"/>
  <c r="BI387" i="83"/>
  <c r="BG223" i="83"/>
  <c r="BG267" i="83"/>
  <c r="BI133" i="83"/>
  <c r="BG444" i="83"/>
  <c r="BG476" i="83"/>
  <c r="BI429" i="83"/>
  <c r="BH242" i="83"/>
  <c r="BH136" i="83"/>
  <c r="BH454" i="83"/>
  <c r="BH360" i="83"/>
  <c r="BH306" i="83"/>
  <c r="BH464" i="83"/>
  <c r="BH185" i="83"/>
  <c r="BH231" i="83"/>
  <c r="BH371" i="83"/>
  <c r="BH110" i="83"/>
  <c r="BH156" i="83"/>
  <c r="BH341" i="83"/>
  <c r="BH297" i="83"/>
  <c r="BH493" i="83"/>
  <c r="BH176" i="83"/>
  <c r="BH222" i="83"/>
  <c r="BH335" i="83"/>
  <c r="BH334" i="83"/>
  <c r="BH147" i="83"/>
  <c r="BH296" i="83"/>
  <c r="BH259" i="83"/>
  <c r="BH474" i="83"/>
  <c r="BH314" i="83"/>
  <c r="BH220" i="83"/>
  <c r="BH443" i="83"/>
  <c r="BH367" i="83"/>
  <c r="BH181" i="83"/>
  <c r="BH504" i="83"/>
  <c r="BH125" i="83"/>
  <c r="BH171" i="83"/>
  <c r="BH404" i="83"/>
  <c r="BH319" i="83"/>
  <c r="BH132" i="83"/>
  <c r="BJ332" i="83"/>
  <c r="BJ300" i="83"/>
  <c r="BJ194" i="83"/>
  <c r="BJ385" i="83"/>
  <c r="BJ339" i="83"/>
  <c r="BJ345" i="83"/>
  <c r="BJ206" i="83"/>
  <c r="BJ152" i="83"/>
  <c r="BJ378" i="83"/>
  <c r="BJ309" i="83"/>
  <c r="BJ286" i="83"/>
  <c r="BJ227" i="83"/>
  <c r="BJ301" i="83"/>
  <c r="BJ315" i="83"/>
  <c r="BJ329" i="83"/>
  <c r="BJ250" i="83"/>
  <c r="BJ169" i="83"/>
  <c r="BJ267" i="83"/>
  <c r="BJ159" i="83"/>
  <c r="BJ443" i="83"/>
  <c r="BJ413" i="83"/>
  <c r="BJ474" i="83"/>
  <c r="BI380" i="83"/>
  <c r="BI376" i="83"/>
  <c r="BG394" i="83"/>
  <c r="BI273" i="83"/>
  <c r="BI381" i="83"/>
  <c r="BI218" i="83"/>
  <c r="BG263" i="83"/>
  <c r="BI130" i="83"/>
  <c r="BG441" i="83"/>
  <c r="BI470" i="83"/>
  <c r="BI426" i="83"/>
  <c r="BI15" i="83"/>
  <c r="BH399" i="83"/>
  <c r="BH345" i="83"/>
  <c r="BH418" i="83"/>
  <c r="BH245" i="83"/>
  <c r="BH270" i="83"/>
  <c r="BH432" i="83"/>
  <c r="BH149" i="83"/>
  <c r="BH195" i="83"/>
  <c r="BH392" i="83"/>
  <c r="BH307" i="83"/>
  <c r="BH120" i="83"/>
  <c r="BH218" i="83"/>
  <c r="BH261" i="83"/>
  <c r="BH423" i="83"/>
  <c r="BH140" i="83"/>
  <c r="BH186" i="83"/>
  <c r="BH383" i="83"/>
  <c r="BH298" i="83"/>
  <c r="BH111" i="83"/>
  <c r="BH332" i="83"/>
  <c r="BH223" i="83"/>
  <c r="BH446" i="83"/>
  <c r="BH370" i="83"/>
  <c r="BH184" i="83"/>
  <c r="BH416" i="83"/>
  <c r="BH269" i="83"/>
  <c r="BH145" i="83"/>
  <c r="BH481" i="83"/>
  <c r="BH322" i="83"/>
  <c r="BH135" i="83"/>
  <c r="BH368" i="83"/>
  <c r="BH283" i="83"/>
  <c r="BH488" i="83"/>
  <c r="BJ307" i="83"/>
  <c r="BJ296" i="83"/>
  <c r="BJ185" i="83"/>
  <c r="BJ382" i="83"/>
  <c r="BJ321" i="83"/>
  <c r="BJ324" i="83"/>
  <c r="BJ197" i="83"/>
  <c r="BJ137" i="83"/>
  <c r="BJ375" i="83"/>
  <c r="BJ290" i="83"/>
  <c r="BJ182" i="83"/>
  <c r="BJ218" i="83"/>
  <c r="BJ293" i="83"/>
  <c r="BJ289" i="83"/>
  <c r="BJ322" i="83"/>
  <c r="BJ241" i="83"/>
  <c r="BJ160" i="83"/>
  <c r="BJ252" i="83"/>
  <c r="BJ144" i="83"/>
  <c r="BJ468" i="83"/>
  <c r="BJ475" i="83"/>
  <c r="BJ411" i="83"/>
  <c r="BI322" i="83"/>
  <c r="BG252" i="83"/>
  <c r="BI324" i="83"/>
  <c r="BG178" i="83"/>
  <c r="BK178" i="83" s="1"/>
  <c r="BL178" i="83" s="1"/>
  <c r="BI323" i="83"/>
  <c r="BI161" i="83"/>
  <c r="BG213" i="83"/>
  <c r="BG142" i="83"/>
  <c r="BG490" i="83"/>
  <c r="BI427" i="83"/>
  <c r="BI461" i="83"/>
  <c r="BH363" i="83"/>
  <c r="BH309" i="83"/>
  <c r="BH472" i="83"/>
  <c r="BH107" i="83"/>
  <c r="BH234" i="83"/>
  <c r="BH329" i="83"/>
  <c r="BH113" i="83"/>
  <c r="BH159" i="83"/>
  <c r="BH356" i="83"/>
  <c r="BH271" i="83"/>
  <c r="BH495" i="83"/>
  <c r="BH179" i="83"/>
  <c r="BH225" i="83"/>
  <c r="BH353" i="83"/>
  <c r="BH337" i="83"/>
  <c r="BH150" i="83"/>
  <c r="BH346" i="83"/>
  <c r="BH262" i="83"/>
  <c r="BH477" i="83"/>
  <c r="BH373" i="83"/>
  <c r="BH187" i="83"/>
  <c r="BH460" i="83"/>
  <c r="BH278" i="83"/>
  <c r="BH148" i="83"/>
  <c r="BH489" i="83"/>
  <c r="BH302" i="83"/>
  <c r="BH109" i="83"/>
  <c r="BH427" i="83"/>
  <c r="BH286" i="83"/>
  <c r="BH466" i="83"/>
  <c r="BH257" i="83"/>
  <c r="BH247" i="83"/>
  <c r="BH482" i="83"/>
  <c r="BJ325" i="83"/>
  <c r="BJ284" i="83"/>
  <c r="BJ149" i="83"/>
  <c r="BJ379" i="83"/>
  <c r="BJ303" i="83"/>
  <c r="BJ306" i="83"/>
  <c r="BJ188" i="83"/>
  <c r="BJ348" i="83"/>
  <c r="BJ372" i="83"/>
  <c r="BJ167" i="83"/>
  <c r="BJ131" i="83"/>
  <c r="BJ209" i="83"/>
  <c r="BJ176" i="83"/>
  <c r="BJ155" i="83"/>
  <c r="BJ311" i="83"/>
  <c r="BJ232" i="83"/>
  <c r="BJ157" i="83"/>
  <c r="BJ243" i="83"/>
  <c r="BJ135" i="83"/>
  <c r="BJ504" i="83"/>
  <c r="BJ408" i="83"/>
  <c r="BJ406" i="83"/>
  <c r="BG315" i="83"/>
  <c r="BG248" i="83"/>
  <c r="BG310" i="83"/>
  <c r="BG173" i="83"/>
  <c r="BG320" i="83"/>
  <c r="BG156" i="83"/>
  <c r="BG209" i="83"/>
  <c r="BG139" i="83"/>
  <c r="BG477" i="83"/>
  <c r="BI424" i="83"/>
  <c r="BG456" i="83"/>
  <c r="BH152" i="83"/>
  <c r="BH198" i="83"/>
  <c r="BH395" i="83"/>
  <c r="BH310" i="83"/>
  <c r="BH123" i="83"/>
  <c r="BH221" i="83"/>
  <c r="BH235" i="83"/>
  <c r="BH463" i="83"/>
  <c r="BK464" i="83" s="1"/>
  <c r="BL464" i="83" s="1"/>
  <c r="BH143" i="83"/>
  <c r="BH189" i="83"/>
  <c r="BH386" i="83"/>
  <c r="BH301" i="83"/>
  <c r="BH114" i="83"/>
  <c r="BH194" i="83"/>
  <c r="BH226" i="83"/>
  <c r="BH449" i="83"/>
  <c r="BK450" i="83" s="1"/>
  <c r="BL450" i="83" s="1"/>
  <c r="BH287" i="83"/>
  <c r="BH151" i="83"/>
  <c r="BH496" i="83"/>
  <c r="BH320" i="83"/>
  <c r="BH112" i="83"/>
  <c r="BH430" i="83"/>
  <c r="BH372" i="83"/>
  <c r="BH318" i="83"/>
  <c r="BH459" i="83"/>
  <c r="BK460" i="83" s="1"/>
  <c r="BL460" i="83" s="1"/>
  <c r="BH250" i="83"/>
  <c r="BH485" i="83"/>
  <c r="BH397" i="83"/>
  <c r="BH211" i="83"/>
  <c r="BH434" i="83"/>
  <c r="BJ349" i="83"/>
  <c r="BJ275" i="83"/>
  <c r="BJ116" i="83"/>
  <c r="BJ376" i="83"/>
  <c r="BJ179" i="83"/>
  <c r="BJ295" i="83"/>
  <c r="BJ173" i="83"/>
  <c r="BJ405" i="83"/>
  <c r="BJ369" i="83"/>
  <c r="BJ134" i="83"/>
  <c r="BJ347" i="83"/>
  <c r="BJ200" i="83"/>
  <c r="BJ125" i="83"/>
  <c r="BJ122" i="83"/>
  <c r="BJ304" i="83"/>
  <c r="BJ229" i="83"/>
  <c r="BJ154" i="83"/>
  <c r="BJ240" i="83"/>
  <c r="BJ132" i="83"/>
  <c r="BJ499" i="83"/>
  <c r="BJ483" i="83"/>
  <c r="BG380" i="83"/>
  <c r="BI235" i="83"/>
  <c r="BG198" i="83"/>
  <c r="BI251" i="83"/>
  <c r="BI378" i="83"/>
  <c r="BI250" i="83"/>
  <c r="BG312" i="83"/>
  <c r="BK312" i="83" s="1"/>
  <c r="BL312" i="83" s="1"/>
  <c r="BG150" i="83"/>
  <c r="BI147" i="83"/>
  <c r="BI440" i="83"/>
  <c r="BG457" i="83"/>
  <c r="BH19" i="83"/>
  <c r="BH95" i="83"/>
  <c r="BH62" i="83"/>
  <c r="BH85" i="83"/>
  <c r="BH37" i="83"/>
  <c r="BH74" i="83"/>
  <c r="BH92" i="83"/>
  <c r="BH44" i="83"/>
  <c r="BJ9" i="83"/>
  <c r="BJ43" i="83"/>
  <c r="BH47" i="83"/>
  <c r="BH59" i="83"/>
  <c r="BH38" i="83"/>
  <c r="BH73" i="83"/>
  <c r="BH25" i="83"/>
  <c r="BH50" i="83"/>
  <c r="BH80" i="83"/>
  <c r="BH32" i="83"/>
  <c r="BJ60" i="83"/>
  <c r="BJ81" i="83"/>
  <c r="BH31" i="83"/>
  <c r="BH43" i="83"/>
  <c r="BH30" i="83"/>
  <c r="BH69" i="83"/>
  <c r="BH21" i="83"/>
  <c r="BH42" i="83"/>
  <c r="BH76" i="83"/>
  <c r="BH28" i="83"/>
  <c r="BJ44" i="83"/>
  <c r="BJ33" i="83"/>
  <c r="BH15" i="83"/>
  <c r="BH27" i="83"/>
  <c r="BH22" i="83"/>
  <c r="BH65" i="83"/>
  <c r="BH17" i="83"/>
  <c r="BH34" i="83"/>
  <c r="BH72" i="83"/>
  <c r="BH24" i="83"/>
  <c r="BJ28" i="83"/>
  <c r="BJ102" i="83"/>
  <c r="BI88" i="83"/>
  <c r="BH103" i="83"/>
  <c r="BH11" i="83"/>
  <c r="BH14" i="83"/>
  <c r="BH61" i="83"/>
  <c r="BH13" i="83"/>
  <c r="BH26" i="83"/>
  <c r="BH68" i="83"/>
  <c r="BH20" i="83"/>
  <c r="BJ12" i="83"/>
  <c r="BJ86" i="83"/>
  <c r="BJ77" i="83"/>
  <c r="BJ70" i="83"/>
  <c r="BH55" i="83"/>
  <c r="BH39" i="83"/>
  <c r="BH94" i="83"/>
  <c r="BH101" i="83"/>
  <c r="BH53" i="83"/>
  <c r="BH6" i="83"/>
  <c r="BH10" i="83"/>
  <c r="BH60" i="83"/>
  <c r="BH12" i="83"/>
  <c r="BJ25" i="83"/>
  <c r="BJ54" i="83"/>
  <c r="BJ91" i="83"/>
  <c r="BJ38" i="83"/>
  <c r="BH8" i="83"/>
  <c r="BH83" i="83"/>
  <c r="BH67" i="83"/>
  <c r="BH78" i="83"/>
  <c r="BH93" i="83"/>
  <c r="BH45" i="83"/>
  <c r="BH90" i="83"/>
  <c r="BH100" i="83"/>
  <c r="BH52" i="83"/>
  <c r="BJ101" i="83"/>
  <c r="BJ75" i="83"/>
  <c r="BJ22" i="83"/>
  <c r="BJ89" i="83"/>
  <c r="BJ41" i="83"/>
  <c r="BJ104" i="83"/>
  <c r="BJ88" i="83"/>
  <c r="BJ72" i="83"/>
  <c r="BJ56" i="83"/>
  <c r="BJ40" i="83"/>
  <c r="BJ24" i="83"/>
  <c r="BJ8" i="83"/>
  <c r="BJ65" i="83"/>
  <c r="BJ103" i="83"/>
  <c r="BJ87" i="83"/>
  <c r="BJ71" i="83"/>
  <c r="BJ55" i="83"/>
  <c r="BJ39" i="83"/>
  <c r="BJ23" i="83"/>
  <c r="BJ7" i="83"/>
  <c r="BJ69" i="83"/>
  <c r="BJ21" i="83"/>
  <c r="BJ98" i="83"/>
  <c r="BJ82" i="83"/>
  <c r="BJ66" i="83"/>
  <c r="BJ50" i="83"/>
  <c r="BJ34" i="83"/>
  <c r="BJ18" i="83"/>
  <c r="BJ73" i="83"/>
  <c r="BJ29" i="83"/>
  <c r="BJ100" i="83"/>
  <c r="BJ84" i="83"/>
  <c r="BJ68" i="83"/>
  <c r="BJ52" i="83"/>
  <c r="BJ36" i="83"/>
  <c r="BJ20" i="83"/>
  <c r="BJ97" i="83"/>
  <c r="BJ49" i="83"/>
  <c r="BJ99" i="83"/>
  <c r="BJ83" i="83"/>
  <c r="BJ67" i="83"/>
  <c r="BJ51" i="83"/>
  <c r="BJ35" i="83"/>
  <c r="BJ19" i="83"/>
  <c r="BJ105" i="83"/>
  <c r="BJ57" i="83"/>
  <c r="BJ13" i="83"/>
  <c r="BJ94" i="83"/>
  <c r="BJ78" i="83"/>
  <c r="BJ62" i="83"/>
  <c r="BJ46" i="83"/>
  <c r="BJ30" i="83"/>
  <c r="BJ14" i="83"/>
  <c r="BJ61" i="83"/>
  <c r="BJ17" i="83"/>
  <c r="BJ96" i="83"/>
  <c r="BJ80" i="83"/>
  <c r="BJ64" i="83"/>
  <c r="BJ48" i="83"/>
  <c r="BJ32" i="83"/>
  <c r="BJ16" i="83"/>
  <c r="BJ85" i="83"/>
  <c r="BJ37" i="83"/>
  <c r="BJ95" i="83"/>
  <c r="BJ79" i="83"/>
  <c r="BJ63" i="83"/>
  <c r="BJ47" i="83"/>
  <c r="BJ31" i="83"/>
  <c r="BJ15" i="83"/>
  <c r="BJ93" i="83"/>
  <c r="BJ45" i="83"/>
  <c r="BJ6" i="83"/>
  <c r="BJ90" i="83"/>
  <c r="BJ74" i="83"/>
  <c r="BJ58" i="83"/>
  <c r="BJ42" i="83"/>
  <c r="BJ26" i="83"/>
  <c r="BJ10" i="83"/>
  <c r="D14" i="84"/>
  <c r="D13" i="84"/>
  <c r="D12" i="84"/>
  <c r="D11" i="84"/>
  <c r="D10" i="84"/>
  <c r="D4" i="84"/>
  <c r="D8" i="84"/>
  <c r="E5" i="84"/>
  <c r="E16" i="84"/>
  <c r="E6" i="84"/>
  <c r="E17" i="84"/>
  <c r="E7" i="84"/>
  <c r="E8" i="84"/>
  <c r="E4" i="84"/>
  <c r="E9" i="84"/>
  <c r="E10" i="84"/>
  <c r="E11" i="84"/>
  <c r="E12" i="84"/>
  <c r="E13" i="84"/>
  <c r="E14" i="84"/>
  <c r="E15" i="84"/>
  <c r="D9" i="84"/>
  <c r="D17" i="84"/>
  <c r="D6" i="84"/>
  <c r="D16" i="84"/>
  <c r="D5" i="84"/>
  <c r="D15" i="84"/>
  <c r="BG19" i="83"/>
  <c r="BI55" i="83"/>
  <c r="BI72" i="83"/>
  <c r="BI8" i="83"/>
  <c r="BG67" i="83"/>
  <c r="BI103" i="83"/>
  <c r="BI39" i="83"/>
  <c r="BI23" i="83"/>
  <c r="BG98" i="83"/>
  <c r="BG50" i="83"/>
  <c r="BG34" i="83"/>
  <c r="BG18" i="83"/>
  <c r="BI102" i="83"/>
  <c r="BI86" i="83"/>
  <c r="BI70" i="83"/>
  <c r="BI54" i="83"/>
  <c r="BI38" i="83"/>
  <c r="BI22" i="83"/>
  <c r="BG6" i="83"/>
  <c r="BG89" i="83"/>
  <c r="BG73" i="83"/>
  <c r="BG57" i="83"/>
  <c r="BG41" i="83"/>
  <c r="BG25" i="83"/>
  <c r="BG9" i="83"/>
  <c r="BI93" i="83"/>
  <c r="BI77" i="83"/>
  <c r="BI61" i="83"/>
  <c r="BI45" i="83"/>
  <c r="BI29" i="83"/>
  <c r="BI13" i="83"/>
  <c r="BG96" i="83"/>
  <c r="BG80" i="83"/>
  <c r="BG64" i="83"/>
  <c r="BG48" i="83"/>
  <c r="BG32" i="83"/>
  <c r="BG16" i="83"/>
  <c r="BI100" i="83"/>
  <c r="BI84" i="83"/>
  <c r="BI68" i="83"/>
  <c r="BI52" i="83"/>
  <c r="BI36" i="83"/>
  <c r="BI20" i="83"/>
  <c r="BG95" i="83"/>
  <c r="BK95" i="83" s="1"/>
  <c r="BL95" i="83" s="1"/>
  <c r="BG79" i="83"/>
  <c r="BG63" i="83"/>
  <c r="BG47" i="83"/>
  <c r="BG31" i="83"/>
  <c r="BG15" i="83"/>
  <c r="BI99" i="83"/>
  <c r="BI83" i="83"/>
  <c r="BI67" i="83"/>
  <c r="BI51" i="83"/>
  <c r="BI35" i="83"/>
  <c r="BI19" i="83"/>
  <c r="BG82" i="83"/>
  <c r="BG94" i="83"/>
  <c r="BG78" i="83"/>
  <c r="BG62" i="83"/>
  <c r="BG46" i="83"/>
  <c r="BG30" i="83"/>
  <c r="BG14" i="83"/>
  <c r="BK14" i="83" s="1"/>
  <c r="BL14" i="83" s="1"/>
  <c r="BI98" i="83"/>
  <c r="BI82" i="83"/>
  <c r="BI66" i="83"/>
  <c r="BI50" i="83"/>
  <c r="BI34" i="83"/>
  <c r="BI18" i="83"/>
  <c r="BG101" i="83"/>
  <c r="BG85" i="83"/>
  <c r="BG69" i="83"/>
  <c r="BG53" i="83"/>
  <c r="BG37" i="83"/>
  <c r="BG21" i="83"/>
  <c r="BI105" i="83"/>
  <c r="BI89" i="83"/>
  <c r="BI73" i="83"/>
  <c r="BI57" i="83"/>
  <c r="BI41" i="83"/>
  <c r="BI25" i="83"/>
  <c r="BI9" i="83"/>
  <c r="BG92" i="83"/>
  <c r="BG76" i="83"/>
  <c r="BG60" i="83"/>
  <c r="BG44" i="83"/>
  <c r="BG28" i="83"/>
  <c r="BG12" i="83"/>
  <c r="BI96" i="83"/>
  <c r="BI80" i="83"/>
  <c r="BI64" i="83"/>
  <c r="BI48" i="83"/>
  <c r="BI32" i="83"/>
  <c r="BI16" i="83"/>
  <c r="BG105" i="83"/>
  <c r="BG91" i="83"/>
  <c r="BG75" i="83"/>
  <c r="BG59" i="83"/>
  <c r="BG43" i="83"/>
  <c r="BG27" i="83"/>
  <c r="BG11" i="83"/>
  <c r="BI95" i="83"/>
  <c r="BI79" i="83"/>
  <c r="BI63" i="83"/>
  <c r="BI47" i="83"/>
  <c r="BI31" i="83"/>
  <c r="BI11" i="83"/>
  <c r="BG66" i="83"/>
  <c r="BG90" i="83"/>
  <c r="BG74" i="83"/>
  <c r="BG58" i="83"/>
  <c r="BG42" i="83"/>
  <c r="BG26" i="83"/>
  <c r="BG10" i="83"/>
  <c r="BI94" i="83"/>
  <c r="BI78" i="83"/>
  <c r="BI62" i="83"/>
  <c r="BI46" i="83"/>
  <c r="BI30" i="83"/>
  <c r="BI14" i="83"/>
  <c r="BG97" i="83"/>
  <c r="BG81" i="83"/>
  <c r="BG65" i="83"/>
  <c r="BG49" i="83"/>
  <c r="BG33" i="83"/>
  <c r="BG17" i="83"/>
  <c r="BI101" i="83"/>
  <c r="BI85" i="83"/>
  <c r="BI69" i="83"/>
  <c r="BI53" i="83"/>
  <c r="BI37" i="83"/>
  <c r="BI21" i="83"/>
  <c r="BG104" i="83"/>
  <c r="BG88" i="83"/>
  <c r="BG72" i="83"/>
  <c r="BG56" i="83"/>
  <c r="BG40" i="83"/>
  <c r="BG24" i="83"/>
  <c r="BG8" i="83"/>
  <c r="BI92" i="83"/>
  <c r="BI76" i="83"/>
  <c r="BI60" i="83"/>
  <c r="BI44" i="83"/>
  <c r="BI28" i="83"/>
  <c r="BI12" i="83"/>
  <c r="BG103" i="83"/>
  <c r="BG87" i="83"/>
  <c r="BG71" i="83"/>
  <c r="BG55" i="83"/>
  <c r="BG39" i="83"/>
  <c r="BG23" i="83"/>
  <c r="BG7" i="83"/>
  <c r="BI91" i="83"/>
  <c r="BI75" i="83"/>
  <c r="BI59" i="83"/>
  <c r="BI43" i="83"/>
  <c r="BI27" i="83"/>
  <c r="BI7" i="83"/>
  <c r="BH9" i="83"/>
  <c r="S44" i="81"/>
  <c r="T44" i="81" s="1"/>
  <c r="S46" i="81"/>
  <c r="T46" i="81" s="1"/>
  <c r="S45" i="81"/>
  <c r="T45" i="81" s="1"/>
  <c r="S48" i="81"/>
  <c r="T48" i="81" s="1"/>
  <c r="S35" i="81"/>
  <c r="T35" i="81" s="1"/>
  <c r="S20" i="81"/>
  <c r="T20" i="81" s="1"/>
  <c r="R3" i="81"/>
  <c r="GK1294" i="98" l="1"/>
  <c r="GK174" i="98"/>
  <c r="GK734" i="98"/>
  <c r="GK894" i="98"/>
  <c r="GK414" i="98"/>
  <c r="GK1054" i="98"/>
  <c r="GK1454" i="98"/>
  <c r="GK1214" i="98"/>
  <c r="GK254" i="98"/>
  <c r="GK974" i="98"/>
  <c r="GK574" i="98"/>
  <c r="GK654" i="98"/>
  <c r="GK814" i="98"/>
  <c r="GK1534" i="98"/>
  <c r="GK94" i="98"/>
  <c r="GK14" i="98"/>
  <c r="GK494" i="98"/>
  <c r="GK1134" i="98"/>
  <c r="GK1374" i="98"/>
  <c r="GK1614" i="98"/>
  <c r="GK334" i="98"/>
  <c r="GN14" i="98"/>
  <c r="GN1214" i="98"/>
  <c r="GN1454" i="98"/>
  <c r="GN1534" i="98"/>
  <c r="GN894" i="98"/>
  <c r="GN334" i="98"/>
  <c r="GN1054" i="98"/>
  <c r="GN654" i="98"/>
  <c r="GN734" i="98"/>
  <c r="GN254" i="98"/>
  <c r="GN1294" i="98"/>
  <c r="GN1614" i="98"/>
  <c r="GN174" i="98"/>
  <c r="GN1134" i="98"/>
  <c r="GN814" i="98"/>
  <c r="GN414" i="98"/>
  <c r="GN494" i="98"/>
  <c r="GN1374" i="98"/>
  <c r="GN574" i="98"/>
  <c r="GN974" i="98"/>
  <c r="GN94" i="98"/>
  <c r="BE7" i="98"/>
  <c r="EO16" i="98"/>
  <c r="FG16" i="98"/>
  <c r="ET16" i="98"/>
  <c r="FF16" i="98"/>
  <c r="FI16" i="98"/>
  <c r="FC16" i="98"/>
  <c r="FD16" i="98"/>
  <c r="GO1123" i="98"/>
  <c r="GO1363" i="98"/>
  <c r="GO1603" i="98"/>
  <c r="GO1523" i="98"/>
  <c r="GO643" i="98"/>
  <c r="GO323" i="98"/>
  <c r="GO1283" i="98"/>
  <c r="GO563" i="98"/>
  <c r="GO243" i="98"/>
  <c r="GO1443" i="98"/>
  <c r="GO403" i="98"/>
  <c r="GO1683" i="98"/>
  <c r="GO803" i="98"/>
  <c r="GO1043" i="98"/>
  <c r="GO723" i="98"/>
  <c r="GO83" i="98"/>
  <c r="GO483" i="98"/>
  <c r="GO1203" i="98"/>
  <c r="GO883" i="98"/>
  <c r="GO163" i="98"/>
  <c r="GO963" i="98"/>
  <c r="GQ403" i="98"/>
  <c r="GQ1363" i="98"/>
  <c r="GQ243" i="98"/>
  <c r="GQ323" i="98"/>
  <c r="GQ1683" i="98"/>
  <c r="EV75" i="98"/>
  <c r="GQ483" i="98"/>
  <c r="GQ1603" i="98"/>
  <c r="GQ563" i="98"/>
  <c r="GQ1443" i="98"/>
  <c r="GQ643" i="98"/>
  <c r="GQ83" i="98"/>
  <c r="GQ1203" i="98"/>
  <c r="GQ803" i="98"/>
  <c r="GQ1523" i="98"/>
  <c r="GQ1123" i="98"/>
  <c r="GQ723" i="98"/>
  <c r="GQ1043" i="98"/>
  <c r="GQ883" i="98"/>
  <c r="GQ963" i="98"/>
  <c r="GQ163" i="98"/>
  <c r="GQ1283" i="98"/>
  <c r="GQ1113" i="98"/>
  <c r="GQ1353" i="98"/>
  <c r="GQ1513" i="98"/>
  <c r="GQ153" i="98"/>
  <c r="GQ793" i="98"/>
  <c r="GQ1673" i="98"/>
  <c r="GQ313" i="98"/>
  <c r="GQ233" i="98"/>
  <c r="GQ1033" i="98"/>
  <c r="GQ553" i="98"/>
  <c r="EV66" i="98"/>
  <c r="GQ713" i="98"/>
  <c r="GQ1433" i="98"/>
  <c r="GQ473" i="98"/>
  <c r="GQ873" i="98"/>
  <c r="GQ1273" i="98"/>
  <c r="GQ73" i="98"/>
  <c r="GQ393" i="98"/>
  <c r="GQ1593" i="98"/>
  <c r="GQ633" i="98"/>
  <c r="GQ1193" i="98"/>
  <c r="GQ953" i="98"/>
  <c r="BE9" i="98"/>
  <c r="GA538" i="98"/>
  <c r="GO1134" i="98"/>
  <c r="GO494" i="98"/>
  <c r="GO654" i="98"/>
  <c r="GO254" i="98"/>
  <c r="GO414" i="98"/>
  <c r="GO14" i="98"/>
  <c r="GO574" i="98"/>
  <c r="GO1614" i="98"/>
  <c r="GO1214" i="98"/>
  <c r="GO814" i="98"/>
  <c r="GO94" i="98"/>
  <c r="GO1054" i="98"/>
  <c r="GO174" i="98"/>
  <c r="GO1294" i="98"/>
  <c r="GO334" i="98"/>
  <c r="GO894" i="98"/>
  <c r="GO1534" i="98"/>
  <c r="GO1454" i="98"/>
  <c r="GO1374" i="98"/>
  <c r="GO734" i="98"/>
  <c r="GO974" i="98"/>
  <c r="GA494" i="98"/>
  <c r="GA734" i="98"/>
  <c r="GA1054" i="98"/>
  <c r="GA334" i="98"/>
  <c r="GA174" i="98"/>
  <c r="GA94" i="98"/>
  <c r="GA1534" i="98"/>
  <c r="GA1134" i="98"/>
  <c r="GA14" i="98"/>
  <c r="GA814" i="98"/>
  <c r="GA894" i="98"/>
  <c r="GA1374" i="98"/>
  <c r="GA654" i="98"/>
  <c r="GA574" i="98"/>
  <c r="GA1614" i="98"/>
  <c r="GA414" i="98"/>
  <c r="GA254" i="98"/>
  <c r="GA974" i="98"/>
  <c r="GA1294" i="98"/>
  <c r="GA1214" i="98"/>
  <c r="GA1454" i="98"/>
  <c r="FI12" i="98"/>
  <c r="FC12" i="98"/>
  <c r="GC111" i="98"/>
  <c r="GC671" i="98"/>
  <c r="GC991" i="98"/>
  <c r="GC31" i="98"/>
  <c r="GC1311" i="98"/>
  <c r="GC351" i="98"/>
  <c r="GC1631" i="98"/>
  <c r="GK1203" i="98"/>
  <c r="GK243" i="98"/>
  <c r="GK1123" i="98"/>
  <c r="GK1283" i="98"/>
  <c r="GK963" i="98"/>
  <c r="GK83" i="98"/>
  <c r="GK1603" i="98"/>
  <c r="GK323" i="98"/>
  <c r="GK1443" i="98"/>
  <c r="GK563" i="98"/>
  <c r="GK1683" i="98"/>
  <c r="GK483" i="98"/>
  <c r="GK1043" i="98"/>
  <c r="GK803" i="98"/>
  <c r="GK643" i="98"/>
  <c r="GK163" i="98"/>
  <c r="GK403" i="98"/>
  <c r="GK1523" i="98"/>
  <c r="GK883" i="98"/>
  <c r="GK723" i="98"/>
  <c r="GK1363" i="98"/>
  <c r="GA403" i="98"/>
  <c r="GA1363" i="98"/>
  <c r="GA963" i="98"/>
  <c r="GA1043" i="98"/>
  <c r="GA1523" i="98"/>
  <c r="GA243" i="98"/>
  <c r="GA883" i="98"/>
  <c r="GA803" i="98"/>
  <c r="GA563" i="98"/>
  <c r="GA1683" i="98"/>
  <c r="GA723" i="98"/>
  <c r="GA643" i="98"/>
  <c r="GA83" i="98"/>
  <c r="GA323" i="98"/>
  <c r="GA163" i="98"/>
  <c r="GA1283" i="98"/>
  <c r="GA483" i="98"/>
  <c r="GA1443" i="98"/>
  <c r="GA1603" i="98"/>
  <c r="GA1203" i="98"/>
  <c r="GA1123" i="98"/>
  <c r="GA1513" i="98"/>
  <c r="GA793" i="98"/>
  <c r="GA1353" i="98"/>
  <c r="GA1033" i="98"/>
  <c r="GA713" i="98"/>
  <c r="GA1673" i="98"/>
  <c r="GA1593" i="98"/>
  <c r="GA1433" i="98"/>
  <c r="GA73" i="98"/>
  <c r="GA393" i="98"/>
  <c r="GA633" i="98"/>
  <c r="GA873" i="98"/>
  <c r="GA233" i="98"/>
  <c r="GA953" i="98"/>
  <c r="GA1273" i="98"/>
  <c r="GA153" i="98"/>
  <c r="GA313" i="98"/>
  <c r="GA1193" i="98"/>
  <c r="GA473" i="98"/>
  <c r="GA1113" i="98"/>
  <c r="GA553" i="98"/>
  <c r="BE13" i="98"/>
  <c r="FG19" i="98"/>
  <c r="FC19" i="98"/>
  <c r="GF1534" i="98"/>
  <c r="GF1294" i="98"/>
  <c r="GF174" i="98"/>
  <c r="GF414" i="98"/>
  <c r="GF334" i="98"/>
  <c r="GF1134" i="98"/>
  <c r="GF574" i="98"/>
  <c r="GF1614" i="98"/>
  <c r="GF494" i="98"/>
  <c r="GF974" i="98"/>
  <c r="GF14" i="98"/>
  <c r="GF1054" i="98"/>
  <c r="GF734" i="98"/>
  <c r="GF1214" i="98"/>
  <c r="GF94" i="98"/>
  <c r="GF254" i="98"/>
  <c r="GF1374" i="98"/>
  <c r="GF654" i="98"/>
  <c r="GF814" i="98"/>
  <c r="GF1454" i="98"/>
  <c r="GF894" i="98"/>
  <c r="GQ705" i="98"/>
  <c r="GQ465" i="98"/>
  <c r="GQ1425" i="98"/>
  <c r="GQ305" i="98"/>
  <c r="GQ865" i="98"/>
  <c r="GQ945" i="98"/>
  <c r="GQ625" i="98"/>
  <c r="GQ545" i="98"/>
  <c r="GQ1105" i="98"/>
  <c r="GQ1185" i="98"/>
  <c r="GQ1505" i="98"/>
  <c r="GQ1345" i="98"/>
  <c r="GQ1585" i="98"/>
  <c r="GQ385" i="98"/>
  <c r="GQ785" i="98"/>
  <c r="EV59" i="98"/>
  <c r="GQ1665" i="98"/>
  <c r="GQ225" i="98"/>
  <c r="GQ1265" i="98"/>
  <c r="GQ145" i="98"/>
  <c r="GQ1025" i="98"/>
  <c r="GQ65" i="98"/>
  <c r="EO53" i="98"/>
  <c r="FI53" i="98"/>
  <c r="FD53" i="98"/>
  <c r="FC53" i="98"/>
  <c r="FF53" i="98"/>
  <c r="ET53" i="98"/>
  <c r="FG53" i="98"/>
  <c r="GL83" i="98"/>
  <c r="GL243" i="98"/>
  <c r="GL563" i="98"/>
  <c r="GL1523" i="98"/>
  <c r="GL723" i="98"/>
  <c r="GL643" i="98"/>
  <c r="GL1123" i="98"/>
  <c r="GL1203" i="98"/>
  <c r="GL1283" i="98"/>
  <c r="GL1043" i="98"/>
  <c r="GL963" i="98"/>
  <c r="GL323" i="98"/>
  <c r="GL483" i="98"/>
  <c r="GL803" i="98"/>
  <c r="GL1443" i="98"/>
  <c r="GL1683" i="98"/>
  <c r="GL403" i="98"/>
  <c r="GL1603" i="98"/>
  <c r="GL883" i="98"/>
  <c r="GL163" i="98"/>
  <c r="GL1363" i="98"/>
  <c r="GQ345" i="98"/>
  <c r="GQ1625" i="98"/>
  <c r="GQ1305" i="98"/>
  <c r="GQ425" i="98"/>
  <c r="GQ905" i="98"/>
  <c r="GQ1225" i="98"/>
  <c r="GQ1145" i="98"/>
  <c r="GQ1385" i="98"/>
  <c r="GQ505" i="98"/>
  <c r="GQ825" i="98"/>
  <c r="GQ745" i="98"/>
  <c r="GQ985" i="98"/>
  <c r="GQ585" i="98"/>
  <c r="GQ265" i="98"/>
  <c r="GQ1545" i="98"/>
  <c r="EV23" i="98"/>
  <c r="GQ665" i="98"/>
  <c r="GQ1065" i="98"/>
  <c r="GQ1465" i="98"/>
  <c r="GQ185" i="98"/>
  <c r="GQ105" i="98"/>
  <c r="GQ25" i="98"/>
  <c r="GF1282" i="98"/>
  <c r="GF642" i="98"/>
  <c r="GF1042" i="98"/>
  <c r="GF402" i="98"/>
  <c r="GF322" i="98"/>
  <c r="GF1202" i="98"/>
  <c r="GF882" i="98"/>
  <c r="GF802" i="98"/>
  <c r="GF962" i="98"/>
  <c r="GF1442" i="98"/>
  <c r="GF82" i="98"/>
  <c r="GF242" i="98"/>
  <c r="GF722" i="98"/>
  <c r="GF1522" i="98"/>
  <c r="GF1362" i="98"/>
  <c r="GF482" i="98"/>
  <c r="GF162" i="98"/>
  <c r="GF562" i="98"/>
  <c r="GF1682" i="98"/>
  <c r="GF1122" i="98"/>
  <c r="GF1602" i="98"/>
  <c r="GA1180" i="98"/>
  <c r="GL1054" i="98"/>
  <c r="GL494" i="98"/>
  <c r="GL1374" i="98"/>
  <c r="GL14" i="98"/>
  <c r="GL574" i="98"/>
  <c r="GL1454" i="98"/>
  <c r="GL1614" i="98"/>
  <c r="GL1134" i="98"/>
  <c r="GL174" i="98"/>
  <c r="GL734" i="98"/>
  <c r="GL814" i="98"/>
  <c r="GL974" i="98"/>
  <c r="GL414" i="98"/>
  <c r="GL1534" i="98"/>
  <c r="GL894" i="98"/>
  <c r="GL254" i="98"/>
  <c r="GL654" i="98"/>
  <c r="GL1294" i="98"/>
  <c r="GL94" i="98"/>
  <c r="GL1214" i="98"/>
  <c r="GL334" i="98"/>
  <c r="GQ1454" i="98"/>
  <c r="GQ1614" i="98"/>
  <c r="GQ814" i="98"/>
  <c r="GQ1294" i="98"/>
  <c r="GQ414" i="98"/>
  <c r="GQ14" i="98"/>
  <c r="GQ1054" i="98"/>
  <c r="GQ1134" i="98"/>
  <c r="GQ974" i="98"/>
  <c r="GQ1534" i="98"/>
  <c r="GQ94" i="98"/>
  <c r="GQ574" i="98"/>
  <c r="GQ734" i="98"/>
  <c r="GQ254" i="98"/>
  <c r="GQ1214" i="98"/>
  <c r="GQ334" i="98"/>
  <c r="GQ1374" i="98"/>
  <c r="GQ494" i="98"/>
  <c r="GQ174" i="98"/>
  <c r="GQ894" i="98"/>
  <c r="GQ654" i="98"/>
  <c r="EV13" i="98"/>
  <c r="BE11" i="98"/>
  <c r="BE12" i="98"/>
  <c r="GA1665" i="98"/>
  <c r="GA145" i="98"/>
  <c r="GA625" i="98"/>
  <c r="GA385" i="98"/>
  <c r="GA1185" i="98"/>
  <c r="GA865" i="98"/>
  <c r="GA705" i="98"/>
  <c r="GA1505" i="98"/>
  <c r="GA65" i="98"/>
  <c r="GA1425" i="98"/>
  <c r="GA1105" i="98"/>
  <c r="GA1345" i="98"/>
  <c r="GA945" i="98"/>
  <c r="GA305" i="98"/>
  <c r="GA465" i="98"/>
  <c r="GA1025" i="98"/>
  <c r="GA1265" i="98"/>
  <c r="GA545" i="98"/>
  <c r="GA1585" i="98"/>
  <c r="GA785" i="98"/>
  <c r="GA225" i="98"/>
  <c r="GN483" i="98"/>
  <c r="GN1603" i="98"/>
  <c r="GN883" i="98"/>
  <c r="GN1283" i="98"/>
  <c r="GN163" i="98"/>
  <c r="GN403" i="98"/>
  <c r="GN323" i="98"/>
  <c r="GN1443" i="98"/>
  <c r="GN643" i="98"/>
  <c r="GN1683" i="98"/>
  <c r="GN83" i="98"/>
  <c r="GN1203" i="98"/>
  <c r="GN1523" i="98"/>
  <c r="GN963" i="98"/>
  <c r="GN723" i="98"/>
  <c r="GN563" i="98"/>
  <c r="GN1123" i="98"/>
  <c r="GN1363" i="98"/>
  <c r="GN803" i="98"/>
  <c r="GN1043" i="98"/>
  <c r="GN243" i="98"/>
  <c r="BE8" i="98"/>
  <c r="GA1465" i="98"/>
  <c r="GA665" i="98"/>
  <c r="GA985" i="98"/>
  <c r="GA905" i="98"/>
  <c r="GA185" i="98"/>
  <c r="GA1385" i="98"/>
  <c r="GA425" i="98"/>
  <c r="GA1625" i="98"/>
  <c r="GA1145" i="98"/>
  <c r="GA1305" i="98"/>
  <c r="GA745" i="98"/>
  <c r="GA585" i="98"/>
  <c r="GA505" i="98"/>
  <c r="GA25" i="98"/>
  <c r="GA265" i="98"/>
  <c r="GA1225" i="98"/>
  <c r="GA1545" i="98"/>
  <c r="GA105" i="98"/>
  <c r="GA1065" i="98"/>
  <c r="GA825" i="98"/>
  <c r="GA345" i="98"/>
  <c r="GA722" i="98"/>
  <c r="GA882" i="98"/>
  <c r="GA962" i="98"/>
  <c r="GA1202" i="98"/>
  <c r="GA1042" i="98"/>
  <c r="GA562" i="98"/>
  <c r="GA1682" i="98"/>
  <c r="GA1522" i="98"/>
  <c r="GA82" i="98"/>
  <c r="GA642" i="98"/>
  <c r="GA1282" i="98"/>
  <c r="GA482" i="98"/>
  <c r="GA402" i="98"/>
  <c r="GA322" i="98"/>
  <c r="GA162" i="98"/>
  <c r="GA1442" i="98"/>
  <c r="GA802" i="98"/>
  <c r="GA1362" i="98"/>
  <c r="GA242" i="98"/>
  <c r="GA1122" i="98"/>
  <c r="GA1602" i="98"/>
  <c r="GA698" i="98"/>
  <c r="GA938" i="98"/>
  <c r="GA1018" i="98"/>
  <c r="GA778" i="98"/>
  <c r="GA1578" i="98"/>
  <c r="GA1658" i="98"/>
  <c r="GA298" i="98"/>
  <c r="GA58" i="98"/>
  <c r="GA1258" i="98"/>
  <c r="GA138" i="98"/>
  <c r="GA1178" i="98"/>
  <c r="GA1338" i="98"/>
  <c r="GA1498" i="98"/>
  <c r="GA378" i="98"/>
  <c r="GA300" i="98"/>
  <c r="GA1580" i="98"/>
  <c r="GA140" i="98"/>
  <c r="GA1420" i="98"/>
  <c r="GA220" i="98"/>
  <c r="GA460" i="98"/>
  <c r="GA940" i="98"/>
  <c r="GA1100" i="98"/>
  <c r="GA380" i="98"/>
  <c r="GA812" i="98"/>
  <c r="GA172" i="98"/>
  <c r="EO20" i="98"/>
  <c r="FF20" i="98"/>
  <c r="FC20" i="98"/>
  <c r="FG20" i="98"/>
  <c r="ET20" i="98"/>
  <c r="FI20" i="98"/>
  <c r="FD20" i="98"/>
  <c r="GA1497" i="98"/>
  <c r="GA777" i="98"/>
  <c r="GA57" i="98"/>
  <c r="GA1017" i="98"/>
  <c r="GA1577" i="98"/>
  <c r="GA217" i="98"/>
  <c r="GA1337" i="98"/>
  <c r="GA297" i="98"/>
  <c r="GA457" i="98"/>
  <c r="GA617" i="98"/>
  <c r="GA1177" i="98"/>
  <c r="GA1657" i="98"/>
  <c r="GA937" i="98"/>
  <c r="GA537" i="98"/>
  <c r="GA857" i="98"/>
  <c r="GA137" i="98"/>
  <c r="GA1257" i="98"/>
  <c r="GA1097" i="98"/>
  <c r="GA377" i="98"/>
  <c r="GA1417" i="98"/>
  <c r="GA697" i="98"/>
  <c r="S6" i="81"/>
  <c r="T6" i="81" s="1"/>
  <c r="S12" i="81"/>
  <c r="T12" i="81" s="1"/>
  <c r="S11" i="81"/>
  <c r="T11" i="81" s="1"/>
  <c r="S13" i="81"/>
  <c r="T13" i="81" s="1"/>
  <c r="GA1381" i="98"/>
  <c r="GA261" i="98"/>
  <c r="GA1461" i="98"/>
  <c r="GA1141" i="98"/>
  <c r="GA661" i="98"/>
  <c r="GO410" i="98"/>
  <c r="GO1370" i="98"/>
  <c r="GO570" i="98"/>
  <c r="GO1050" i="98"/>
  <c r="GO1530" i="98"/>
  <c r="GO10" i="98"/>
  <c r="GL93" i="98"/>
  <c r="GL813" i="98"/>
  <c r="GL173" i="98"/>
  <c r="GL573" i="98"/>
  <c r="GL1533" i="98"/>
  <c r="GH800" i="98"/>
  <c r="GH480" i="98"/>
  <c r="GH960" i="98"/>
  <c r="GH1280" i="98"/>
  <c r="GH1120" i="98"/>
  <c r="GH80" i="98"/>
  <c r="GL1061" i="98"/>
  <c r="GL821" i="98"/>
  <c r="GL341" i="98"/>
  <c r="GL661" i="98"/>
  <c r="GL981" i="98"/>
  <c r="GH232" i="98"/>
  <c r="GH472" i="98"/>
  <c r="GH1512" i="98"/>
  <c r="GH392" i="98"/>
  <c r="GH1272" i="98"/>
  <c r="GH72" i="98"/>
  <c r="GL1020" i="98"/>
  <c r="GL220" i="98"/>
  <c r="GL1580" i="98"/>
  <c r="GL620" i="98"/>
  <c r="GL380" i="98"/>
  <c r="GL60" i="98"/>
  <c r="GA1061" i="98"/>
  <c r="GA181" i="98"/>
  <c r="GA901" i="98"/>
  <c r="GA981" i="98"/>
  <c r="GO890" i="98"/>
  <c r="GO490" i="98"/>
  <c r="GO1610" i="98"/>
  <c r="GO730" i="98"/>
  <c r="GO170" i="98"/>
  <c r="GL493" i="98"/>
  <c r="GL253" i="98"/>
  <c r="GL413" i="98"/>
  <c r="GL973" i="98"/>
  <c r="GL1613" i="98"/>
  <c r="GH240" i="98"/>
  <c r="GH1680" i="98"/>
  <c r="GH560" i="98"/>
  <c r="GH640" i="98"/>
  <c r="GH1200" i="98"/>
  <c r="GL1141" i="98"/>
  <c r="GL101" i="98"/>
  <c r="GL501" i="98"/>
  <c r="GL261" i="98"/>
  <c r="GL1461" i="98"/>
  <c r="GH872" i="98"/>
  <c r="GH632" i="98"/>
  <c r="GH1672" i="98"/>
  <c r="GH312" i="98"/>
  <c r="GH1112" i="98"/>
  <c r="GL940" i="98"/>
  <c r="GL1500" i="98"/>
  <c r="GL780" i="98"/>
  <c r="GL700" i="98"/>
  <c r="GL540" i="98"/>
  <c r="GA1541" i="98"/>
  <c r="GA21" i="98"/>
  <c r="GA501" i="98"/>
  <c r="GA1221" i="98"/>
  <c r="GO810" i="98"/>
  <c r="GO970" i="98"/>
  <c r="GO650" i="98"/>
  <c r="GO250" i="98"/>
  <c r="GL333" i="98"/>
  <c r="GL1053" i="98"/>
  <c r="GL1293" i="98"/>
  <c r="GL653" i="98"/>
  <c r="GL1373" i="98"/>
  <c r="GH880" i="98"/>
  <c r="GH1600" i="98"/>
  <c r="GH160" i="98"/>
  <c r="GH720" i="98"/>
  <c r="GL181" i="98"/>
  <c r="GL1621" i="98"/>
  <c r="GL1301" i="98"/>
  <c r="GL421" i="98"/>
  <c r="GH792" i="98"/>
  <c r="GH712" i="98"/>
  <c r="GH1032" i="98"/>
  <c r="GH952" i="98"/>
  <c r="GL460" i="98"/>
  <c r="GL1420" i="98"/>
  <c r="GL860" i="98"/>
  <c r="GL140" i="98"/>
  <c r="GA341" i="98"/>
  <c r="GA1301" i="98"/>
  <c r="GA741" i="98"/>
  <c r="GA821" i="98"/>
  <c r="GA1370" i="98"/>
  <c r="GA1050" i="98"/>
  <c r="GA730" i="98"/>
  <c r="GA250" i="98"/>
  <c r="GA490" i="98"/>
  <c r="GA810" i="98"/>
  <c r="GA1450" i="98"/>
  <c r="GA890" i="98"/>
  <c r="GA170" i="98"/>
  <c r="GA650" i="98"/>
  <c r="GA330" i="98"/>
  <c r="GA1210" i="98"/>
  <c r="GA1530" i="98"/>
  <c r="GA90" i="98"/>
  <c r="GA970" i="98"/>
  <c r="GA10" i="98"/>
  <c r="GA1290" i="98"/>
  <c r="GA1130" i="98"/>
  <c r="GA1610" i="98"/>
  <c r="GA410" i="98"/>
  <c r="GA570" i="98"/>
  <c r="GF42" i="98"/>
  <c r="GO1180" i="98"/>
  <c r="GA1613" i="98"/>
  <c r="GA1133" i="98"/>
  <c r="GA173" i="98"/>
  <c r="GA13" i="98"/>
  <c r="GA1213" i="98"/>
  <c r="GA1373" i="98"/>
  <c r="GA1453" i="98"/>
  <c r="GA1053" i="98"/>
  <c r="GA973" i="98"/>
  <c r="GA653" i="98"/>
  <c r="GA333" i="98"/>
  <c r="GA893" i="98"/>
  <c r="GA493" i="98"/>
  <c r="GA573" i="98"/>
  <c r="GA813" i="98"/>
  <c r="GA253" i="98"/>
  <c r="GA413" i="98"/>
  <c r="GA1293" i="98"/>
  <c r="GA733" i="98"/>
  <c r="GA1533" i="98"/>
  <c r="GA93" i="98"/>
  <c r="GF58" i="98"/>
  <c r="GQ540" i="98"/>
  <c r="GF202" i="98"/>
  <c r="GF1498" i="98"/>
  <c r="GO220" i="98"/>
  <c r="GQ620" i="98"/>
  <c r="GF922" i="98"/>
  <c r="GF1642" i="98"/>
  <c r="GF858" i="98"/>
  <c r="GF778" i="98"/>
  <c r="GO1580" i="98"/>
  <c r="GC532" i="98"/>
  <c r="GO138" i="98"/>
  <c r="GO1258" i="98"/>
  <c r="GO938" i="98"/>
  <c r="GO618" i="98"/>
  <c r="GO1098" i="98"/>
  <c r="GF1020" i="98"/>
  <c r="GF220" i="98"/>
  <c r="GF1340" i="98"/>
  <c r="GF1420" i="98"/>
  <c r="GF300" i="98"/>
  <c r="GF60" i="98"/>
  <c r="EV54" i="98"/>
  <c r="GH60" i="98" s="1"/>
  <c r="GQ780" i="98"/>
  <c r="GQ860" i="98"/>
  <c r="GQ700" i="98"/>
  <c r="GQ140" i="98"/>
  <c r="GQ1180" i="98"/>
  <c r="GF522" i="98"/>
  <c r="GF1402" i="98"/>
  <c r="GF1562" i="98"/>
  <c r="GF362" i="98"/>
  <c r="GF122" i="98"/>
  <c r="GF1338" i="98"/>
  <c r="GF538" i="98"/>
  <c r="GF1658" i="98"/>
  <c r="GF618" i="98"/>
  <c r="GF1018" i="98"/>
  <c r="GO940" i="98"/>
  <c r="GO1500" i="98"/>
  <c r="GO780" i="98"/>
  <c r="GO700" i="98"/>
  <c r="GO380" i="98"/>
  <c r="GO60" i="98"/>
  <c r="GO298" i="98"/>
  <c r="GO378" i="98"/>
  <c r="GO1418" i="98"/>
  <c r="GO698" i="98"/>
  <c r="GF460" i="98"/>
  <c r="GF380" i="98"/>
  <c r="GF940" i="98"/>
  <c r="GF540" i="98"/>
  <c r="GQ60" i="98"/>
  <c r="GQ1260" i="98"/>
  <c r="GQ940" i="98"/>
  <c r="GQ1420" i="98"/>
  <c r="GQ220" i="98"/>
  <c r="GQ1100" i="98"/>
  <c r="GF1482" i="98"/>
  <c r="GF842" i="98"/>
  <c r="GF1002" i="98"/>
  <c r="GF1322" i="98"/>
  <c r="GF602" i="98"/>
  <c r="GF1578" i="98"/>
  <c r="GF298" i="98"/>
  <c r="GF378" i="98"/>
  <c r="GF698" i="98"/>
  <c r="GF1098" i="98"/>
  <c r="GO460" i="98"/>
  <c r="GO1420" i="98"/>
  <c r="GO860" i="98"/>
  <c r="GO620" i="98"/>
  <c r="GO300" i="98"/>
  <c r="GQ1020" i="98"/>
  <c r="GQ1660" i="98"/>
  <c r="GQ1580" i="98"/>
  <c r="GQ1340" i="98"/>
  <c r="GF442" i="98"/>
  <c r="GF282" i="98"/>
  <c r="GF1162" i="98"/>
  <c r="GF1242" i="98"/>
  <c r="GF938" i="98"/>
  <c r="GF218" i="98"/>
  <c r="GF1418" i="98"/>
  <c r="GF458" i="98"/>
  <c r="GO1020" i="98"/>
  <c r="GO1340" i="98"/>
  <c r="GO1260" i="98"/>
  <c r="GO140" i="98"/>
  <c r="GC101" i="98"/>
  <c r="GC421" i="98"/>
  <c r="GC741" i="98"/>
  <c r="GC1061" i="98"/>
  <c r="GC1381" i="98"/>
  <c r="GC181" i="98"/>
  <c r="GC501" i="98"/>
  <c r="GC821" i="98"/>
  <c r="GC1141" i="98"/>
  <c r="GC1461" i="98"/>
  <c r="GC261" i="98"/>
  <c r="GC581" i="98"/>
  <c r="GC901" i="98"/>
  <c r="GC1221" i="98"/>
  <c r="GC1541" i="98"/>
  <c r="GC21" i="98"/>
  <c r="GC341" i="98"/>
  <c r="GC661" i="98"/>
  <c r="GC981" i="98"/>
  <c r="GC1301" i="98"/>
  <c r="GC1621" i="98"/>
  <c r="GC1492" i="98"/>
  <c r="GC212" i="98"/>
  <c r="GN1098" i="98"/>
  <c r="GF1644" i="98"/>
  <c r="GC1172" i="98"/>
  <c r="GN1578" i="98"/>
  <c r="GN778" i="98"/>
  <c r="GF1085" i="98"/>
  <c r="GC852" i="98"/>
  <c r="GN1498" i="98"/>
  <c r="GC1412" i="98"/>
  <c r="GC1092" i="98"/>
  <c r="GC772" i="98"/>
  <c r="GC452" i="98"/>
  <c r="GC132" i="98"/>
  <c r="GN858" i="98"/>
  <c r="GN938" i="98"/>
  <c r="GN698" i="98"/>
  <c r="GN1418" i="98"/>
  <c r="GN1018" i="98"/>
  <c r="GF764" i="98"/>
  <c r="GF365" i="98"/>
  <c r="GC1652" i="98"/>
  <c r="GC1332" i="98"/>
  <c r="GC1012" i="98"/>
  <c r="GC692" i="98"/>
  <c r="GC372" i="98"/>
  <c r="GC52" i="98"/>
  <c r="GN298" i="98"/>
  <c r="GN1658" i="98"/>
  <c r="GN538" i="98"/>
  <c r="GN218" i="98"/>
  <c r="GN1178" i="98"/>
  <c r="GF524" i="98"/>
  <c r="GF1084" i="98"/>
  <c r="GF1325" i="98"/>
  <c r="GC1572" i="98"/>
  <c r="GC1252" i="98"/>
  <c r="GC932" i="98"/>
  <c r="GC612" i="98"/>
  <c r="GN1338" i="98"/>
  <c r="GN138" i="98"/>
  <c r="GN378" i="98"/>
  <c r="GN1258" i="98"/>
  <c r="GN458" i="98"/>
  <c r="GF284" i="98"/>
  <c r="GF925" i="98"/>
  <c r="GF124" i="98"/>
  <c r="GF844" i="98"/>
  <c r="GF44" i="98"/>
  <c r="GF1565" i="98"/>
  <c r="GF684" i="98"/>
  <c r="GF924" i="98"/>
  <c r="GF604" i="98"/>
  <c r="GF1245" i="98"/>
  <c r="GF525" i="98"/>
  <c r="GF1243" i="98"/>
  <c r="GF1403" i="98"/>
  <c r="GF283" i="98"/>
  <c r="GF763" i="98"/>
  <c r="GF523" i="98"/>
  <c r="GF444" i="98"/>
  <c r="GF1484" i="98"/>
  <c r="GF1404" i="98"/>
  <c r="GF364" i="98"/>
  <c r="GF204" i="98"/>
  <c r="GF1165" i="98"/>
  <c r="GF845" i="98"/>
  <c r="GF125" i="98"/>
  <c r="GF605" i="98"/>
  <c r="GF1405" i="98"/>
  <c r="GF285" i="98"/>
  <c r="GF685" i="98"/>
  <c r="GF1005" i="98"/>
  <c r="GF45" i="98"/>
  <c r="GF1324" i="98"/>
  <c r="GF1164" i="98"/>
  <c r="GF1564" i="98"/>
  <c r="GF1004" i="98"/>
  <c r="GF205" i="98"/>
  <c r="GF445" i="98"/>
  <c r="GF1645" i="98"/>
  <c r="GF765" i="98"/>
  <c r="GA208" i="98"/>
  <c r="GA48" i="98"/>
  <c r="GA928" i="98"/>
  <c r="GA608" i="98"/>
  <c r="GA768" i="98"/>
  <c r="GA368" i="98"/>
  <c r="GA1088" i="98"/>
  <c r="GA288" i="98"/>
  <c r="GA1248" i="98"/>
  <c r="GA1328" i="98"/>
  <c r="GA1408" i="98"/>
  <c r="GA1488" i="98"/>
  <c r="GA688" i="98"/>
  <c r="GA848" i="98"/>
  <c r="GA448" i="98"/>
  <c r="GA1648" i="98"/>
  <c r="GA128" i="98"/>
  <c r="GA1008" i="98"/>
  <c r="GA1568" i="98"/>
  <c r="GA1168" i="98"/>
  <c r="GA528" i="98"/>
  <c r="GA603" i="98"/>
  <c r="GA43" i="98"/>
  <c r="GA1403" i="98"/>
  <c r="GA1563" i="98"/>
  <c r="GA763" i="98"/>
  <c r="GA523" i="98"/>
  <c r="GA283" i="98"/>
  <c r="GA1643" i="98"/>
  <c r="GA923" i="98"/>
  <c r="GA363" i="98"/>
  <c r="GA683" i="98"/>
  <c r="GA1003" i="98"/>
  <c r="GA1323" i="98"/>
  <c r="GA203" i="98"/>
  <c r="GA1243" i="98"/>
  <c r="GA1483" i="98"/>
  <c r="GA1163" i="98"/>
  <c r="GA843" i="98"/>
  <c r="GA123" i="98"/>
  <c r="GA443" i="98"/>
  <c r="GA1083" i="98"/>
  <c r="GA50" i="98"/>
  <c r="GA450" i="98"/>
  <c r="GA930" i="98"/>
  <c r="GA290" i="98"/>
  <c r="GA530" i="98"/>
  <c r="GA210" i="98"/>
  <c r="GA690" i="98"/>
  <c r="GA770" i="98"/>
  <c r="GA1250" i="98"/>
  <c r="GA1330" i="98"/>
  <c r="GA1410" i="98"/>
  <c r="GA1490" i="98"/>
  <c r="GA1570" i="98"/>
  <c r="GA1650" i="98"/>
  <c r="GA1090" i="98"/>
  <c r="GA850" i="98"/>
  <c r="GA1170" i="98"/>
  <c r="GA130" i="98"/>
  <c r="GA370" i="98"/>
  <c r="GA610" i="98"/>
  <c r="GA1010" i="98"/>
  <c r="GA1487" i="98"/>
  <c r="GA927" i="98"/>
  <c r="GA687" i="98"/>
  <c r="GA447" i="98"/>
  <c r="GA1407" i="98"/>
  <c r="GA847" i="98"/>
  <c r="GA607" i="98"/>
  <c r="GA1567" i="98"/>
  <c r="GA287" i="98"/>
  <c r="GA207" i="98"/>
  <c r="GA767" i="98"/>
  <c r="GA1007" i="98"/>
  <c r="GA1167" i="98"/>
  <c r="GA1247" i="98"/>
  <c r="GA127" i="98"/>
  <c r="GA1647" i="98"/>
  <c r="GA527" i="98"/>
  <c r="GA47" i="98"/>
  <c r="GA367" i="98"/>
  <c r="GA1327" i="98"/>
  <c r="GA1087" i="98"/>
  <c r="GA1641" i="98"/>
  <c r="GA1481" i="98"/>
  <c r="GA1401" i="98"/>
  <c r="GA1321" i="98"/>
  <c r="GA841" i="98"/>
  <c r="GA921" i="98"/>
  <c r="GA121" i="98"/>
  <c r="GA1001" i="98"/>
  <c r="GA1561" i="98"/>
  <c r="GA681" i="98"/>
  <c r="GA1081" i="98"/>
  <c r="GA601" i="98"/>
  <c r="GA281" i="98"/>
  <c r="GA441" i="98"/>
  <c r="GA201" i="98"/>
  <c r="GA1241" i="98"/>
  <c r="GA761" i="98"/>
  <c r="GA1161" i="98"/>
  <c r="GA41" i="98"/>
  <c r="GA361" i="98"/>
  <c r="GA521" i="98"/>
  <c r="GA1489" i="98"/>
  <c r="GA1649" i="98"/>
  <c r="GA1409" i="98"/>
  <c r="GA1329" i="98"/>
  <c r="GA449" i="98"/>
  <c r="GA49" i="98"/>
  <c r="GA209" i="98"/>
  <c r="GA1089" i="98"/>
  <c r="GA1169" i="98"/>
  <c r="GA609" i="98"/>
  <c r="GA929" i="98"/>
  <c r="GA1249" i="98"/>
  <c r="GA129" i="98"/>
  <c r="GA1009" i="98"/>
  <c r="GA529" i="98"/>
  <c r="GA289" i="98"/>
  <c r="GA769" i="98"/>
  <c r="GA369" i="98"/>
  <c r="GA849" i="98"/>
  <c r="GA1569" i="98"/>
  <c r="GA689" i="98"/>
  <c r="GA122" i="98"/>
  <c r="GA922" i="98"/>
  <c r="GA442" i="98"/>
  <c r="GA682" i="98"/>
  <c r="GA1242" i="98"/>
  <c r="GA1322" i="98"/>
  <c r="GA1402" i="98"/>
  <c r="GA1482" i="98"/>
  <c r="GA1562" i="98"/>
  <c r="GA1642" i="98"/>
  <c r="GA602" i="98"/>
  <c r="GA282" i="98"/>
  <c r="GA202" i="98"/>
  <c r="GA522" i="98"/>
  <c r="GA1002" i="98"/>
  <c r="GA42" i="98"/>
  <c r="GA762" i="98"/>
  <c r="GA842" i="98"/>
  <c r="GA1162" i="98"/>
  <c r="GA362" i="98"/>
  <c r="GA1082" i="98"/>
  <c r="GA44" i="98"/>
  <c r="GA1244" i="98"/>
  <c r="GA1324" i="98"/>
  <c r="GA1404" i="98"/>
  <c r="GA764" i="98"/>
  <c r="GA844" i="98"/>
  <c r="GA444" i="98"/>
  <c r="GA1644" i="98"/>
  <c r="GA364" i="98"/>
  <c r="GA1004" i="98"/>
  <c r="GA1564" i="98"/>
  <c r="GA924" i="98"/>
  <c r="GA524" i="98"/>
  <c r="GA284" i="98"/>
  <c r="GA124" i="98"/>
  <c r="GA1084" i="98"/>
  <c r="GA1164" i="98"/>
  <c r="GA1484" i="98"/>
  <c r="GA604" i="98"/>
  <c r="GA204" i="98"/>
  <c r="GA684" i="98"/>
  <c r="GA1645" i="98"/>
  <c r="GA1485" i="98"/>
  <c r="GA1405" i="98"/>
  <c r="GA1325" i="98"/>
  <c r="GA765" i="98"/>
  <c r="GA1085" i="98"/>
  <c r="GA925" i="98"/>
  <c r="GA285" i="98"/>
  <c r="GA45" i="98"/>
  <c r="GA205" i="98"/>
  <c r="GA445" i="98"/>
  <c r="GA1165" i="98"/>
  <c r="GA1245" i="98"/>
  <c r="GA125" i="98"/>
  <c r="GA365" i="98"/>
  <c r="GA845" i="98"/>
  <c r="GA1005" i="98"/>
  <c r="GA605" i="98"/>
  <c r="GA525" i="98"/>
  <c r="GA685" i="98"/>
  <c r="GA1565" i="98"/>
  <c r="ET36" i="98"/>
  <c r="GF40" i="98" s="1"/>
  <c r="EO36" i="98"/>
  <c r="ET34" i="98"/>
  <c r="GF1318" i="98" s="1"/>
  <c r="EO34" i="98"/>
  <c r="GF1563" i="98"/>
  <c r="GF203" i="98"/>
  <c r="GF123" i="98"/>
  <c r="GF363" i="98"/>
  <c r="GF1163" i="98"/>
  <c r="GF43" i="98"/>
  <c r="ET35" i="98"/>
  <c r="GF199" i="98" s="1"/>
  <c r="EO35" i="98"/>
  <c r="ET33" i="98"/>
  <c r="GF1317" i="98" s="1"/>
  <c r="EO33" i="98"/>
  <c r="GF603" i="98"/>
  <c r="GF1643" i="98"/>
  <c r="GF843" i="98"/>
  <c r="GF1083" i="98"/>
  <c r="GF923" i="98"/>
  <c r="GF443" i="98"/>
  <c r="GF1483" i="98"/>
  <c r="GF1003" i="98"/>
  <c r="GF683" i="98"/>
  <c r="GK45" i="98"/>
  <c r="GK1565" i="98"/>
  <c r="GK1405" i="98"/>
  <c r="GK1485" i="98"/>
  <c r="GK1325" i="98"/>
  <c r="GK605" i="98"/>
  <c r="GK525" i="98"/>
  <c r="GK685" i="98"/>
  <c r="GK125" i="98"/>
  <c r="GK365" i="98"/>
  <c r="GK205" i="98"/>
  <c r="GK1085" i="98"/>
  <c r="GK1645" i="98"/>
  <c r="GK765" i="98"/>
  <c r="GK1005" i="98"/>
  <c r="GK1165" i="98"/>
  <c r="GK285" i="98"/>
  <c r="GK845" i="98"/>
  <c r="GK925" i="98"/>
  <c r="GK1245" i="98"/>
  <c r="GK445" i="98"/>
  <c r="GN42" i="98"/>
  <c r="GN1162" i="98"/>
  <c r="GN1562" i="98"/>
  <c r="GN202" i="98"/>
  <c r="GN1322" i="98"/>
  <c r="GN1402" i="98"/>
  <c r="GN762" i="98"/>
  <c r="GN1482" i="98"/>
  <c r="GN1242" i="98"/>
  <c r="GN682" i="98"/>
  <c r="GN1642" i="98"/>
  <c r="GN602" i="98"/>
  <c r="GN122" i="98"/>
  <c r="GN442" i="98"/>
  <c r="GN1082" i="98"/>
  <c r="GN282" i="98"/>
  <c r="GN922" i="98"/>
  <c r="GN522" i="98"/>
  <c r="GN362" i="98"/>
  <c r="GN1002" i="98"/>
  <c r="GN842" i="98"/>
  <c r="GL51" i="98"/>
  <c r="GL1091" i="98"/>
  <c r="GL291" i="98"/>
  <c r="GL531" i="98"/>
  <c r="GL1011" i="98"/>
  <c r="GL451" i="98"/>
  <c r="GL1331" i="98"/>
  <c r="GL1491" i="98"/>
  <c r="GL1651" i="98"/>
  <c r="GL1571" i="98"/>
  <c r="GL851" i="98"/>
  <c r="GL931" i="98"/>
  <c r="GL1411" i="98"/>
  <c r="GL131" i="98"/>
  <c r="GL1251" i="98"/>
  <c r="GL1171" i="98"/>
  <c r="GL611" i="98"/>
  <c r="GL211" i="98"/>
  <c r="GL371" i="98"/>
  <c r="GL691" i="98"/>
  <c r="GL771" i="98"/>
  <c r="GH23" i="98"/>
  <c r="GH343" i="98"/>
  <c r="GH503" i="98"/>
  <c r="GH423" i="98"/>
  <c r="GH183" i="98"/>
  <c r="GH823" i="98"/>
  <c r="GH1543" i="98"/>
  <c r="GH983" i="98"/>
  <c r="GH1463" i="98"/>
  <c r="GH1623" i="98"/>
  <c r="GH263" i="98"/>
  <c r="GH1223" i="98"/>
  <c r="GH583" i="98"/>
  <c r="GH1063" i="98"/>
  <c r="GH743" i="98"/>
  <c r="GH1303" i="98"/>
  <c r="GH663" i="98"/>
  <c r="GH1143" i="98"/>
  <c r="GH103" i="98"/>
  <c r="GH1383" i="98"/>
  <c r="GH903" i="98"/>
  <c r="GH69" i="98"/>
  <c r="GH1429" i="98"/>
  <c r="GH1349" i="98"/>
  <c r="GH1669" i="98"/>
  <c r="GH949" i="98"/>
  <c r="GH709" i="98"/>
  <c r="GH469" i="98"/>
  <c r="GH229" i="98"/>
  <c r="GH309" i="98"/>
  <c r="GH1589" i="98"/>
  <c r="GH149" i="98"/>
  <c r="GH389" i="98"/>
  <c r="GH1509" i="98"/>
  <c r="GH629" i="98"/>
  <c r="GH549" i="98"/>
  <c r="GH869" i="98"/>
  <c r="GH1029" i="98"/>
  <c r="GH1109" i="98"/>
  <c r="GH1189" i="98"/>
  <c r="GH1269" i="98"/>
  <c r="GH789" i="98"/>
  <c r="GH1100" i="98"/>
  <c r="GH620" i="98"/>
  <c r="GH540" i="98"/>
  <c r="GH1420" i="98"/>
  <c r="GH780" i="98"/>
  <c r="GH31" i="98"/>
  <c r="GH431" i="98"/>
  <c r="GH511" i="98"/>
  <c r="GH1231" i="98"/>
  <c r="GH1551" i="98"/>
  <c r="GH1391" i="98"/>
  <c r="GH991" i="98"/>
  <c r="GH191" i="98"/>
  <c r="GH751" i="98"/>
  <c r="GH1071" i="98"/>
  <c r="GH271" i="98"/>
  <c r="GH351" i="98"/>
  <c r="GH831" i="98"/>
  <c r="GH111" i="98"/>
  <c r="GH1471" i="98"/>
  <c r="GH1151" i="98"/>
  <c r="GH1311" i="98"/>
  <c r="GH1631" i="98"/>
  <c r="GH911" i="98"/>
  <c r="GH671" i="98"/>
  <c r="GH591" i="98"/>
  <c r="GH58" i="98"/>
  <c r="GH458" i="98"/>
  <c r="GH778" i="98"/>
  <c r="GH618" i="98"/>
  <c r="GH218" i="98"/>
  <c r="GH1418" i="98"/>
  <c r="GH1018" i="98"/>
  <c r="GH1498" i="98"/>
  <c r="GH1178" i="98"/>
  <c r="GH378" i="98"/>
  <c r="GH1658" i="98"/>
  <c r="GH1578" i="98"/>
  <c r="GH1098" i="98"/>
  <c r="GH698" i="98"/>
  <c r="GH298" i="98"/>
  <c r="GH138" i="98"/>
  <c r="GH538" i="98"/>
  <c r="GH1258" i="98"/>
  <c r="GH938" i="98"/>
  <c r="GH1338" i="98"/>
  <c r="GH858" i="98"/>
  <c r="GK44" i="98"/>
  <c r="GK1244" i="98"/>
  <c r="GK204" i="98"/>
  <c r="GK684" i="98"/>
  <c r="GK604" i="98"/>
  <c r="GK364" i="98"/>
  <c r="GK844" i="98"/>
  <c r="GK1324" i="98"/>
  <c r="GK1404" i="98"/>
  <c r="GK1484" i="98"/>
  <c r="GK924" i="98"/>
  <c r="GK1564" i="98"/>
  <c r="GK1644" i="98"/>
  <c r="GK1164" i="98"/>
  <c r="GK1084" i="98"/>
  <c r="GK284" i="98"/>
  <c r="GK524" i="98"/>
  <c r="GK124" i="98"/>
  <c r="GK444" i="98"/>
  <c r="GK764" i="98"/>
  <c r="GK1004" i="98"/>
  <c r="GC38" i="98"/>
  <c r="GC118" i="98"/>
  <c r="GC198" i="98"/>
  <c r="GC278" i="98"/>
  <c r="GC358" i="98"/>
  <c r="GC438" i="98"/>
  <c r="GC518" i="98"/>
  <c r="GC598" i="98"/>
  <c r="GC678" i="98"/>
  <c r="GC758" i="98"/>
  <c r="GC838" i="98"/>
  <c r="GC918" i="98"/>
  <c r="GC998" i="98"/>
  <c r="GC1078" i="98"/>
  <c r="GC1158" i="98"/>
  <c r="GC1238" i="98"/>
  <c r="GC1318" i="98"/>
  <c r="GC1398" i="98"/>
  <c r="GC1478" i="98"/>
  <c r="GC1558" i="98"/>
  <c r="GC1638" i="98"/>
  <c r="GL52" i="98"/>
  <c r="GL1572" i="98"/>
  <c r="GL1652" i="98"/>
  <c r="GL1492" i="98"/>
  <c r="GL1412" i="98"/>
  <c r="GL1332" i="98"/>
  <c r="GL532" i="98"/>
  <c r="GL212" i="98"/>
  <c r="GL292" i="98"/>
  <c r="GL132" i="98"/>
  <c r="GL372" i="98"/>
  <c r="GL1092" i="98"/>
  <c r="GL772" i="98"/>
  <c r="GL452" i="98"/>
  <c r="GL1172" i="98"/>
  <c r="GL1252" i="98"/>
  <c r="GL612" i="98"/>
  <c r="GL692" i="98"/>
  <c r="GL852" i="98"/>
  <c r="GL932" i="98"/>
  <c r="GL1012" i="98"/>
  <c r="GQ1574" i="98"/>
  <c r="GQ1414" i="98"/>
  <c r="GQ1494" i="98"/>
  <c r="GQ1094" i="98"/>
  <c r="GQ1334" i="98"/>
  <c r="GQ1014" i="98"/>
  <c r="GQ694" i="98"/>
  <c r="GQ214" i="98"/>
  <c r="GQ774" i="98"/>
  <c r="GQ374" i="98"/>
  <c r="GQ134" i="98"/>
  <c r="GQ454" i="98"/>
  <c r="GQ294" i="98"/>
  <c r="GQ614" i="98"/>
  <c r="GQ1174" i="98"/>
  <c r="GQ1654" i="98"/>
  <c r="GQ1254" i="98"/>
  <c r="GQ854" i="98"/>
  <c r="GQ534" i="98"/>
  <c r="GQ934" i="98"/>
  <c r="GO51" i="98"/>
  <c r="GO531" i="98"/>
  <c r="GO291" i="98"/>
  <c r="GO1011" i="98"/>
  <c r="GO371" i="98"/>
  <c r="GO451" i="98"/>
  <c r="GO1331" i="98"/>
  <c r="GO1491" i="98"/>
  <c r="GO851" i="98"/>
  <c r="GO931" i="98"/>
  <c r="GO1091" i="98"/>
  <c r="GO211" i="98"/>
  <c r="GO691" i="98"/>
  <c r="GO1411" i="98"/>
  <c r="GO1571" i="98"/>
  <c r="GO131" i="98"/>
  <c r="GO771" i="98"/>
  <c r="GO1651" i="98"/>
  <c r="GO1171" i="98"/>
  <c r="GO1251" i="98"/>
  <c r="GO611" i="98"/>
  <c r="GN44" i="98"/>
  <c r="GN204" i="98"/>
  <c r="GN604" i="98"/>
  <c r="GN364" i="98"/>
  <c r="GN684" i="98"/>
  <c r="GN844" i="98"/>
  <c r="GN1404" i="98"/>
  <c r="GN1084" i="98"/>
  <c r="GN1324" i="98"/>
  <c r="GN1564" i="98"/>
  <c r="GN1644" i="98"/>
  <c r="GN1484" i="98"/>
  <c r="GN284" i="98"/>
  <c r="GN1164" i="98"/>
  <c r="GN1244" i="98"/>
  <c r="GN924" i="98"/>
  <c r="GN524" i="98"/>
  <c r="GN124" i="98"/>
  <c r="GN444" i="98"/>
  <c r="GN764" i="98"/>
  <c r="GN1004" i="98"/>
  <c r="GO43" i="98"/>
  <c r="GO283" i="98"/>
  <c r="GO1563" i="98"/>
  <c r="GO923" i="98"/>
  <c r="GO1643" i="98"/>
  <c r="GO443" i="98"/>
  <c r="GO1323" i="98"/>
  <c r="GO1163" i="98"/>
  <c r="GO683" i="98"/>
  <c r="GO123" i="98"/>
  <c r="GO1243" i="98"/>
  <c r="GO1403" i="98"/>
  <c r="GO203" i="98"/>
  <c r="GO843" i="98"/>
  <c r="GO1003" i="98"/>
  <c r="GO1083" i="98"/>
  <c r="GO363" i="98"/>
  <c r="GO1483" i="98"/>
  <c r="GO603" i="98"/>
  <c r="GO523" i="98"/>
  <c r="GO763" i="98"/>
  <c r="GL43" i="98"/>
  <c r="GL363" i="98"/>
  <c r="GL283" i="98"/>
  <c r="GL1643" i="98"/>
  <c r="GL1323" i="98"/>
  <c r="GL923" i="98"/>
  <c r="GL123" i="98"/>
  <c r="GL1083" i="98"/>
  <c r="GL683" i="98"/>
  <c r="GL1243" i="98"/>
  <c r="GL843" i="98"/>
  <c r="GL1003" i="98"/>
  <c r="GL203" i="98"/>
  <c r="GL1403" i="98"/>
  <c r="GL443" i="98"/>
  <c r="GL603" i="98"/>
  <c r="GL1163" i="98"/>
  <c r="GL1483" i="98"/>
  <c r="GL1563" i="98"/>
  <c r="GL763" i="98"/>
  <c r="GL523" i="98"/>
  <c r="GN45" i="98"/>
  <c r="GN1405" i="98"/>
  <c r="GN1485" i="98"/>
  <c r="GN605" i="98"/>
  <c r="GN525" i="98"/>
  <c r="GN685" i="98"/>
  <c r="GN125" i="98"/>
  <c r="GN1085" i="98"/>
  <c r="GN365" i="98"/>
  <c r="GN205" i="98"/>
  <c r="GN1645" i="98"/>
  <c r="GN765" i="98"/>
  <c r="GN1005" i="98"/>
  <c r="GN1165" i="98"/>
  <c r="GN1565" i="98"/>
  <c r="GN1325" i="98"/>
  <c r="GN925" i="98"/>
  <c r="GN845" i="98"/>
  <c r="GN445" i="98"/>
  <c r="GN285" i="98"/>
  <c r="GN1245" i="98"/>
  <c r="GQ681" i="98"/>
  <c r="GQ361" i="98"/>
  <c r="GQ441" i="98"/>
  <c r="GQ1081" i="98"/>
  <c r="GQ1401" i="98"/>
  <c r="GQ1481" i="98"/>
  <c r="GQ1321" i="98"/>
  <c r="GQ761" i="98"/>
  <c r="GQ601" i="98"/>
  <c r="GQ1001" i="98"/>
  <c r="GQ1561" i="98"/>
  <c r="GQ121" i="98"/>
  <c r="GQ1641" i="98"/>
  <c r="GQ281" i="98"/>
  <c r="GQ201" i="98"/>
  <c r="GQ521" i="98"/>
  <c r="GQ1161" i="98"/>
  <c r="GQ841" i="98"/>
  <c r="GQ1241" i="98"/>
  <c r="GQ921" i="98"/>
  <c r="GQ1562" i="98"/>
  <c r="GQ1162" i="98"/>
  <c r="GQ202" i="98"/>
  <c r="GQ1322" i="98"/>
  <c r="GQ362" i="98"/>
  <c r="GQ1242" i="98"/>
  <c r="GQ122" i="98"/>
  <c r="GQ1482" i="98"/>
  <c r="GQ1082" i="98"/>
  <c r="GQ442" i="98"/>
  <c r="GQ1642" i="98"/>
  <c r="GQ282" i="98"/>
  <c r="GQ602" i="98"/>
  <c r="GQ682" i="98"/>
  <c r="GQ922" i="98"/>
  <c r="GQ1402" i="98"/>
  <c r="GQ762" i="98"/>
  <c r="GQ1002" i="98"/>
  <c r="GQ842" i="98"/>
  <c r="GQ522" i="98"/>
  <c r="GQ1493" i="98"/>
  <c r="GQ1653" i="98"/>
  <c r="GQ1333" i="98"/>
  <c r="GQ1413" i="98"/>
  <c r="GQ773" i="98"/>
  <c r="GQ693" i="98"/>
  <c r="GQ293" i="98"/>
  <c r="GQ613" i="98"/>
  <c r="GQ133" i="98"/>
  <c r="GQ1573" i="98"/>
  <c r="GQ453" i="98"/>
  <c r="GQ933" i="98"/>
  <c r="GQ1013" i="98"/>
  <c r="GQ533" i="98"/>
  <c r="GQ1093" i="98"/>
  <c r="GQ853" i="98"/>
  <c r="GQ1253" i="98"/>
  <c r="GQ373" i="98"/>
  <c r="GQ213" i="98"/>
  <c r="GQ1173" i="98"/>
  <c r="GL53" i="98"/>
  <c r="GL1333" i="98"/>
  <c r="GL1653" i="98"/>
  <c r="GL1493" i="98"/>
  <c r="GL1573" i="98"/>
  <c r="GL1413" i="98"/>
  <c r="GL773" i="98"/>
  <c r="GL613" i="98"/>
  <c r="GL693" i="98"/>
  <c r="GL133" i="98"/>
  <c r="GL293" i="98"/>
  <c r="GL213" i="98"/>
  <c r="GL1173" i="98"/>
  <c r="GL533" i="98"/>
  <c r="GL453" i="98"/>
  <c r="GL853" i="98"/>
  <c r="GL933" i="98"/>
  <c r="GL1253" i="98"/>
  <c r="GL1093" i="98"/>
  <c r="GL1013" i="98"/>
  <c r="GL373" i="98"/>
  <c r="GK52" i="98"/>
  <c r="GK532" i="98"/>
  <c r="GK292" i="98"/>
  <c r="GK212" i="98"/>
  <c r="GK132" i="98"/>
  <c r="GK692" i="98"/>
  <c r="GK1172" i="98"/>
  <c r="GK1252" i="98"/>
  <c r="GK1092" i="98"/>
  <c r="GK452" i="98"/>
  <c r="GK372" i="98"/>
  <c r="GK1572" i="98"/>
  <c r="GK1652" i="98"/>
  <c r="GK932" i="98"/>
  <c r="GK852" i="98"/>
  <c r="GK1332" i="98"/>
  <c r="GK1412" i="98"/>
  <c r="GK1492" i="98"/>
  <c r="GK612" i="98"/>
  <c r="GK772" i="98"/>
  <c r="GK1012" i="98"/>
  <c r="GL54" i="98"/>
  <c r="GL1494" i="98"/>
  <c r="GL1094" i="98"/>
  <c r="GL694" i="98"/>
  <c r="GL214" i="98"/>
  <c r="GL614" i="98"/>
  <c r="GL774" i="98"/>
  <c r="GL134" i="98"/>
  <c r="GL1574" i="98"/>
  <c r="GL454" i="98"/>
  <c r="GL294" i="98"/>
  <c r="GL1414" i="98"/>
  <c r="GL1654" i="98"/>
  <c r="GL1014" i="98"/>
  <c r="GL1334" i="98"/>
  <c r="GL374" i="98"/>
  <c r="GL1254" i="98"/>
  <c r="GL1174" i="98"/>
  <c r="GL534" i="98"/>
  <c r="GL934" i="98"/>
  <c r="GL854" i="98"/>
  <c r="GK54" i="98"/>
  <c r="GK774" i="98"/>
  <c r="GK1494" i="98"/>
  <c r="GK1574" i="98"/>
  <c r="GK1014" i="98"/>
  <c r="GK1094" i="98"/>
  <c r="GK694" i="98"/>
  <c r="GK214" i="98"/>
  <c r="GK134" i="98"/>
  <c r="GK1414" i="98"/>
  <c r="GK614" i="98"/>
  <c r="GK294" i="98"/>
  <c r="GK454" i="98"/>
  <c r="GK374" i="98"/>
  <c r="GK1334" i="98"/>
  <c r="GK1654" i="98"/>
  <c r="GK1174" i="98"/>
  <c r="GK1254" i="98"/>
  <c r="GK534" i="98"/>
  <c r="GK854" i="98"/>
  <c r="GK934" i="98"/>
  <c r="GK51" i="98"/>
  <c r="GK531" i="98"/>
  <c r="GK451" i="98"/>
  <c r="GK1011" i="98"/>
  <c r="GK1491" i="98"/>
  <c r="GK291" i="98"/>
  <c r="GK1331" i="98"/>
  <c r="GK1091" i="98"/>
  <c r="GK1651" i="98"/>
  <c r="GK1571" i="98"/>
  <c r="GK851" i="98"/>
  <c r="GK931" i="98"/>
  <c r="GK131" i="98"/>
  <c r="GK691" i="98"/>
  <c r="GK1411" i="98"/>
  <c r="GK611" i="98"/>
  <c r="GK211" i="98"/>
  <c r="GK1171" i="98"/>
  <c r="GK771" i="98"/>
  <c r="GK1251" i="98"/>
  <c r="GK371" i="98"/>
  <c r="GF51" i="98"/>
  <c r="GF1091" i="98"/>
  <c r="GF531" i="98"/>
  <c r="GF1331" i="98"/>
  <c r="GF1491" i="98"/>
  <c r="GF1651" i="98"/>
  <c r="GF291" i="98"/>
  <c r="GF131" i="98"/>
  <c r="GF1171" i="98"/>
  <c r="GF211" i="98"/>
  <c r="GF851" i="98"/>
  <c r="GF1011" i="98"/>
  <c r="GF371" i="98"/>
  <c r="GF1251" i="98"/>
  <c r="GF1411" i="98"/>
  <c r="GF931" i="98"/>
  <c r="GF611" i="98"/>
  <c r="GF691" i="98"/>
  <c r="GF771" i="98"/>
  <c r="GF1571" i="98"/>
  <c r="GF451" i="98"/>
  <c r="GQ615" i="98"/>
  <c r="GQ535" i="98"/>
  <c r="GQ295" i="98"/>
  <c r="GQ775" i="98"/>
  <c r="GQ855" i="98"/>
  <c r="GQ1655" i="98"/>
  <c r="GQ1415" i="98"/>
  <c r="GQ1495" i="98"/>
  <c r="GQ375" i="98"/>
  <c r="GQ1335" i="98"/>
  <c r="GQ215" i="98"/>
  <c r="GQ1015" i="98"/>
  <c r="GQ935" i="98"/>
  <c r="GQ1095" i="98"/>
  <c r="GQ135" i="98"/>
  <c r="GQ1255" i="98"/>
  <c r="GQ1175" i="98"/>
  <c r="GQ455" i="98"/>
  <c r="GQ695" i="98"/>
  <c r="GQ1575" i="98"/>
  <c r="GH11" i="98"/>
  <c r="GH1051" i="98"/>
  <c r="GH1131" i="98"/>
  <c r="GH491" i="98"/>
  <c r="GH1451" i="98"/>
  <c r="GH1611" i="98"/>
  <c r="GH891" i="98"/>
  <c r="GH1211" i="98"/>
  <c r="GH651" i="98"/>
  <c r="GH811" i="98"/>
  <c r="GH91" i="98"/>
  <c r="GH171" i="98"/>
  <c r="GH331" i="98"/>
  <c r="GH971" i="98"/>
  <c r="GH1371" i="98"/>
  <c r="GH1291" i="98"/>
  <c r="GH1531" i="98"/>
  <c r="GH411" i="98"/>
  <c r="GH571" i="98"/>
  <c r="GH251" i="98"/>
  <c r="GH731" i="98"/>
  <c r="GH12" i="98"/>
  <c r="GH1292" i="98"/>
  <c r="GH1132" i="98"/>
  <c r="GH1212" i="98"/>
  <c r="GH332" i="98"/>
  <c r="GH652" i="98"/>
  <c r="GH572" i="98"/>
  <c r="GH1612" i="98"/>
  <c r="GH812" i="98"/>
  <c r="GH972" i="98"/>
  <c r="GH1052" i="98"/>
  <c r="GH492" i="98"/>
  <c r="GH1532" i="98"/>
  <c r="GH412" i="98"/>
  <c r="GH1372" i="98"/>
  <c r="GH1452" i="98"/>
  <c r="GH92" i="98"/>
  <c r="GH732" i="98"/>
  <c r="GH252" i="98"/>
  <c r="GH172" i="98"/>
  <c r="GH892" i="98"/>
  <c r="GH19" i="98"/>
  <c r="GH1059" i="98"/>
  <c r="GH339" i="98"/>
  <c r="GH499" i="98"/>
  <c r="GH419" i="98"/>
  <c r="GH1539" i="98"/>
  <c r="GH1139" i="98"/>
  <c r="GH1299" i="98"/>
  <c r="GH99" i="98"/>
  <c r="GH1219" i="98"/>
  <c r="GH819" i="98"/>
  <c r="GH899" i="98"/>
  <c r="GH259" i="98"/>
  <c r="GH179" i="98"/>
  <c r="GH1619" i="98"/>
  <c r="GH579" i="98"/>
  <c r="GH1379" i="98"/>
  <c r="GH1459" i="98"/>
  <c r="GH739" i="98"/>
  <c r="GH659" i="98"/>
  <c r="GH979" i="98"/>
  <c r="GH8" i="98"/>
  <c r="GH1448" i="98"/>
  <c r="GH1128" i="98"/>
  <c r="GH1368" i="98"/>
  <c r="GH488" i="98"/>
  <c r="GH328" i="98"/>
  <c r="GH408" i="98"/>
  <c r="GH568" i="98"/>
  <c r="GH1528" i="98"/>
  <c r="GH728" i="98"/>
  <c r="GH808" i="98"/>
  <c r="GH168" i="98"/>
  <c r="GH1608" i="98"/>
  <c r="GH648" i="98"/>
  <c r="GH248" i="98"/>
  <c r="GH1288" i="98"/>
  <c r="GH1208" i="98"/>
  <c r="GH888" i="98"/>
  <c r="GH1048" i="98"/>
  <c r="GH88" i="98"/>
  <c r="GH968" i="98"/>
  <c r="GH28" i="98"/>
  <c r="GH1308" i="98"/>
  <c r="GH1228" i="98"/>
  <c r="GH1068" i="98"/>
  <c r="GH1628" i="98"/>
  <c r="GH988" i="98"/>
  <c r="GH268" i="98"/>
  <c r="GH588" i="98"/>
  <c r="GH428" i="98"/>
  <c r="GH748" i="98"/>
  <c r="GH1548" i="98"/>
  <c r="GH508" i="98"/>
  <c r="GH1148" i="98"/>
  <c r="GH108" i="98"/>
  <c r="GH348" i="98"/>
  <c r="GH1388" i="98"/>
  <c r="GH1468" i="98"/>
  <c r="GH188" i="98"/>
  <c r="GH828" i="98"/>
  <c r="GH668" i="98"/>
  <c r="GH908" i="98"/>
  <c r="GH57" i="98"/>
  <c r="GH1497" i="98"/>
  <c r="GH1657" i="98"/>
  <c r="GH777" i="98"/>
  <c r="GH1337" i="98"/>
  <c r="GH617" i="98"/>
  <c r="GH137" i="98"/>
  <c r="GH1017" i="98"/>
  <c r="GH1097" i="98"/>
  <c r="GH937" i="98"/>
  <c r="GH1577" i="98"/>
  <c r="GH697" i="98"/>
  <c r="GH377" i="98"/>
  <c r="GH1257" i="98"/>
  <c r="GH1417" i="98"/>
  <c r="GH537" i="98"/>
  <c r="GH857" i="98"/>
  <c r="GH457" i="98"/>
  <c r="GH217" i="98"/>
  <c r="GH1177" i="98"/>
  <c r="GH297" i="98"/>
  <c r="GH17" i="98"/>
  <c r="GH657" i="98"/>
  <c r="GH577" i="98"/>
  <c r="GH417" i="98"/>
  <c r="GH97" i="98"/>
  <c r="GH1137" i="98"/>
  <c r="GH1617" i="98"/>
  <c r="GH737" i="98"/>
  <c r="GH977" i="98"/>
  <c r="GH1537" i="98"/>
  <c r="GH1457" i="98"/>
  <c r="GH1057" i="98"/>
  <c r="GH1377" i="98"/>
  <c r="GH257" i="98"/>
  <c r="GH177" i="98"/>
  <c r="GH497" i="98"/>
  <c r="GH1297" i="98"/>
  <c r="GH337" i="98"/>
  <c r="GH1217" i="98"/>
  <c r="GH817" i="98"/>
  <c r="GH897" i="98"/>
  <c r="GH10" i="98"/>
  <c r="GH250" i="98"/>
  <c r="GH1130" i="98"/>
  <c r="GH1290" i="98"/>
  <c r="GH650" i="98"/>
  <c r="GH1210" i="98"/>
  <c r="GH1610" i="98"/>
  <c r="GH570" i="98"/>
  <c r="GH1530" i="98"/>
  <c r="GH490" i="98"/>
  <c r="GH170" i="98"/>
  <c r="GH1050" i="98"/>
  <c r="GH410" i="98"/>
  <c r="GH1370" i="98"/>
  <c r="GH90" i="98"/>
  <c r="GH970" i="98"/>
  <c r="GH730" i="98"/>
  <c r="GH1450" i="98"/>
  <c r="GH330" i="98"/>
  <c r="GH890" i="98"/>
  <c r="GH810" i="98"/>
  <c r="GH27" i="98"/>
  <c r="GH1067" i="98"/>
  <c r="GH507" i="98"/>
  <c r="GH267" i="98"/>
  <c r="GH1147" i="98"/>
  <c r="GH1307" i="98"/>
  <c r="GH187" i="98"/>
  <c r="GH1227" i="98"/>
  <c r="GH827" i="98"/>
  <c r="GH347" i="98"/>
  <c r="GH667" i="98"/>
  <c r="GH747" i="98"/>
  <c r="GH987" i="98"/>
  <c r="GH1467" i="98"/>
  <c r="GH1387" i="98"/>
  <c r="GH427" i="98"/>
  <c r="GH1627" i="98"/>
  <c r="GH907" i="98"/>
  <c r="GH107" i="98"/>
  <c r="GH587" i="98"/>
  <c r="GH1547" i="98"/>
  <c r="GK43" i="98"/>
  <c r="GK283" i="98"/>
  <c r="GK363" i="98"/>
  <c r="GK1643" i="98"/>
  <c r="GK123" i="98"/>
  <c r="GK1083" i="98"/>
  <c r="GK1563" i="98"/>
  <c r="GK1323" i="98"/>
  <c r="GK603" i="98"/>
  <c r="GK1403" i="98"/>
  <c r="GK1243" i="98"/>
  <c r="GK843" i="98"/>
  <c r="GK1003" i="98"/>
  <c r="GK203" i="98"/>
  <c r="GK763" i="98"/>
  <c r="GK1163" i="98"/>
  <c r="GK1483" i="98"/>
  <c r="GK923" i="98"/>
  <c r="GK523" i="98"/>
  <c r="GK443" i="98"/>
  <c r="GK683" i="98"/>
  <c r="GC40" i="98"/>
  <c r="GC120" i="98"/>
  <c r="GC200" i="98"/>
  <c r="GC280" i="98"/>
  <c r="GC360" i="98"/>
  <c r="GC440" i="98"/>
  <c r="GC520" i="98"/>
  <c r="GC600" i="98"/>
  <c r="GC680" i="98"/>
  <c r="GC760" i="98"/>
  <c r="GC840" i="98"/>
  <c r="GC1000" i="98"/>
  <c r="GC1080" i="98"/>
  <c r="GC920" i="98"/>
  <c r="GC1160" i="98"/>
  <c r="GC1240" i="98"/>
  <c r="GC1320" i="98"/>
  <c r="GC1400" i="98"/>
  <c r="GC1480" i="98"/>
  <c r="GC1560" i="98"/>
  <c r="GC1640" i="98"/>
  <c r="GO53" i="98"/>
  <c r="GO1333" i="98"/>
  <c r="GO1653" i="98"/>
  <c r="GO1573" i="98"/>
  <c r="GO1493" i="98"/>
  <c r="GO1413" i="98"/>
  <c r="GO773" i="98"/>
  <c r="GO693" i="98"/>
  <c r="GO613" i="98"/>
  <c r="GO133" i="98"/>
  <c r="GO293" i="98"/>
  <c r="GO1173" i="98"/>
  <c r="GO213" i="98"/>
  <c r="GO533" i="98"/>
  <c r="GO453" i="98"/>
  <c r="GO933" i="98"/>
  <c r="GO853" i="98"/>
  <c r="GO1013" i="98"/>
  <c r="GO1253" i="98"/>
  <c r="GO373" i="98"/>
  <c r="GO1093" i="98"/>
  <c r="GC48" i="98"/>
  <c r="GC128" i="98"/>
  <c r="GC208" i="98"/>
  <c r="GC288" i="98"/>
  <c r="GC368" i="98"/>
  <c r="GC448" i="98"/>
  <c r="GC528" i="98"/>
  <c r="GC608" i="98"/>
  <c r="GC688" i="98"/>
  <c r="GC768" i="98"/>
  <c r="GC848" i="98"/>
  <c r="GC928" i="98"/>
  <c r="GC1008" i="98"/>
  <c r="GC1088" i="98"/>
  <c r="GC1168" i="98"/>
  <c r="GC1248" i="98"/>
  <c r="GC1328" i="98"/>
  <c r="GC1408" i="98"/>
  <c r="GC1488" i="98"/>
  <c r="GC1568" i="98"/>
  <c r="GC1648" i="98"/>
  <c r="GK55" i="98"/>
  <c r="GK215" i="98"/>
  <c r="GK1175" i="98"/>
  <c r="GK615" i="98"/>
  <c r="GK1655" i="98"/>
  <c r="GK855" i="98"/>
  <c r="GK295" i="98"/>
  <c r="GK1335" i="98"/>
  <c r="GK775" i="98"/>
  <c r="GK1415" i="98"/>
  <c r="GK375" i="98"/>
  <c r="GK935" i="98"/>
  <c r="GK1015" i="98"/>
  <c r="GK695" i="98"/>
  <c r="GK1495" i="98"/>
  <c r="GK135" i="98"/>
  <c r="GK455" i="98"/>
  <c r="GK535" i="98"/>
  <c r="GK1575" i="98"/>
  <c r="GK1095" i="98"/>
  <c r="GK1255" i="98"/>
  <c r="GL44" i="98"/>
  <c r="GL1244" i="98"/>
  <c r="GL1164" i="98"/>
  <c r="GL204" i="98"/>
  <c r="GL364" i="98"/>
  <c r="GL684" i="98"/>
  <c r="GL1564" i="98"/>
  <c r="GL604" i="98"/>
  <c r="GL1004" i="98"/>
  <c r="GL444" i="98"/>
  <c r="GL1644" i="98"/>
  <c r="GL1324" i="98"/>
  <c r="GL1404" i="98"/>
  <c r="GL1484" i="98"/>
  <c r="GL1084" i="98"/>
  <c r="GL124" i="98"/>
  <c r="GL524" i="98"/>
  <c r="GL284" i="98"/>
  <c r="GL844" i="98"/>
  <c r="GL924" i="98"/>
  <c r="GL764" i="98"/>
  <c r="GQ1083" i="98"/>
  <c r="GQ363" i="98"/>
  <c r="GQ923" i="98"/>
  <c r="GQ123" i="98"/>
  <c r="GQ1483" i="98"/>
  <c r="GQ1643" i="98"/>
  <c r="GQ1323" i="98"/>
  <c r="GQ1563" i="98"/>
  <c r="GQ1163" i="98"/>
  <c r="GQ283" i="98"/>
  <c r="GQ1403" i="98"/>
  <c r="GQ203" i="98"/>
  <c r="GQ523" i="98"/>
  <c r="GQ843" i="98"/>
  <c r="GQ1003" i="98"/>
  <c r="GQ603" i="98"/>
  <c r="GQ443" i="98"/>
  <c r="GQ683" i="98"/>
  <c r="GQ763" i="98"/>
  <c r="GQ1243" i="98"/>
  <c r="GL45" i="98"/>
  <c r="GL1645" i="98"/>
  <c r="GL1565" i="98"/>
  <c r="GL1405" i="98"/>
  <c r="GL1005" i="98"/>
  <c r="GL605" i="98"/>
  <c r="GL685" i="98"/>
  <c r="GL525" i="98"/>
  <c r="GL765" i="98"/>
  <c r="GL125" i="98"/>
  <c r="GL1085" i="98"/>
  <c r="GL205" i="98"/>
  <c r="GL365" i="98"/>
  <c r="GL925" i="98"/>
  <c r="GL1325" i="98"/>
  <c r="GL1165" i="98"/>
  <c r="GL845" i="98"/>
  <c r="GL1245" i="98"/>
  <c r="GL1485" i="98"/>
  <c r="GL445" i="98"/>
  <c r="GL285" i="98"/>
  <c r="GO45" i="98"/>
  <c r="GO1645" i="98"/>
  <c r="GO1565" i="98"/>
  <c r="GO1325" i="98"/>
  <c r="GO1485" i="98"/>
  <c r="GO1405" i="98"/>
  <c r="GO1005" i="98"/>
  <c r="GO605" i="98"/>
  <c r="GO525" i="98"/>
  <c r="GO765" i="98"/>
  <c r="GO685" i="98"/>
  <c r="GO125" i="98"/>
  <c r="GO205" i="98"/>
  <c r="GO365" i="98"/>
  <c r="GO1085" i="98"/>
  <c r="GO845" i="98"/>
  <c r="GO1165" i="98"/>
  <c r="GO1245" i="98"/>
  <c r="GO925" i="98"/>
  <c r="GO445" i="98"/>
  <c r="GO285" i="98"/>
  <c r="GK41" i="98"/>
  <c r="GK1001" i="98"/>
  <c r="GK681" i="98"/>
  <c r="GK361" i="98"/>
  <c r="GK121" i="98"/>
  <c r="GK441" i="98"/>
  <c r="GK1481" i="98"/>
  <c r="GK1561" i="98"/>
  <c r="GK601" i="98"/>
  <c r="GK1641" i="98"/>
  <c r="GK1401" i="98"/>
  <c r="GK761" i="98"/>
  <c r="GK1321" i="98"/>
  <c r="GK281" i="98"/>
  <c r="GK201" i="98"/>
  <c r="GK1081" i="98"/>
  <c r="GK1241" i="98"/>
  <c r="GK921" i="98"/>
  <c r="GK521" i="98"/>
  <c r="GK1161" i="98"/>
  <c r="GK841" i="98"/>
  <c r="GC39" i="98"/>
  <c r="GC119" i="98"/>
  <c r="GC199" i="98"/>
  <c r="GC279" i="98"/>
  <c r="GC359" i="98"/>
  <c r="GC439" i="98"/>
  <c r="GC519" i="98"/>
  <c r="GC599" i="98"/>
  <c r="GC679" i="98"/>
  <c r="GC759" i="98"/>
  <c r="GC839" i="98"/>
  <c r="GC919" i="98"/>
  <c r="GC999" i="98"/>
  <c r="GC1079" i="98"/>
  <c r="GC1159" i="98"/>
  <c r="GC1239" i="98"/>
  <c r="GC1319" i="98"/>
  <c r="GC1399" i="98"/>
  <c r="GC1479" i="98"/>
  <c r="GC1559" i="98"/>
  <c r="GC1639" i="98"/>
  <c r="GC37" i="98"/>
  <c r="GC117" i="98"/>
  <c r="GC197" i="98"/>
  <c r="GC277" i="98"/>
  <c r="GC357" i="98"/>
  <c r="GC437" i="98"/>
  <c r="GC517" i="98"/>
  <c r="GC597" i="98"/>
  <c r="GC677" i="98"/>
  <c r="GC757" i="98"/>
  <c r="GC837" i="98"/>
  <c r="GC917" i="98"/>
  <c r="GC997" i="98"/>
  <c r="GC1077" i="98"/>
  <c r="GC1157" i="98"/>
  <c r="GC1237" i="98"/>
  <c r="GC1317" i="98"/>
  <c r="GC1397" i="98"/>
  <c r="GC1477" i="98"/>
  <c r="GC1557" i="98"/>
  <c r="GC1637" i="98"/>
  <c r="GK42" i="98"/>
  <c r="GK202" i="98"/>
  <c r="GK122" i="98"/>
  <c r="GK1322" i="98"/>
  <c r="GK602" i="98"/>
  <c r="GK1082" i="98"/>
  <c r="GK1162" i="98"/>
  <c r="GK1242" i="98"/>
  <c r="GK1642" i="98"/>
  <c r="GK682" i="98"/>
  <c r="GK282" i="98"/>
  <c r="GK1562" i="98"/>
  <c r="GK1002" i="98"/>
  <c r="GK522" i="98"/>
  <c r="GK442" i="98"/>
  <c r="GK1402" i="98"/>
  <c r="GK922" i="98"/>
  <c r="GK362" i="98"/>
  <c r="GK1482" i="98"/>
  <c r="GK762" i="98"/>
  <c r="GK842" i="98"/>
  <c r="GN53" i="98"/>
  <c r="GN1493" i="98"/>
  <c r="GN1333" i="98"/>
  <c r="GN1413" i="98"/>
  <c r="GN773" i="98"/>
  <c r="GN613" i="98"/>
  <c r="GN693" i="98"/>
  <c r="GN373" i="98"/>
  <c r="GN293" i="98"/>
  <c r="GN1573" i="98"/>
  <c r="GN1013" i="98"/>
  <c r="GN1173" i="98"/>
  <c r="GN133" i="98"/>
  <c r="GN1653" i="98"/>
  <c r="GN933" i="98"/>
  <c r="GN453" i="98"/>
  <c r="GN1253" i="98"/>
  <c r="GN533" i="98"/>
  <c r="GN1093" i="98"/>
  <c r="GN213" i="98"/>
  <c r="GN853" i="98"/>
  <c r="GF53" i="98"/>
  <c r="GF1333" i="98"/>
  <c r="GF1413" i="98"/>
  <c r="GF1493" i="98"/>
  <c r="GF773" i="98"/>
  <c r="GF693" i="98"/>
  <c r="GF613" i="98"/>
  <c r="GF133" i="98"/>
  <c r="GF293" i="98"/>
  <c r="GF1573" i="98"/>
  <c r="GF1173" i="98"/>
  <c r="GF533" i="98"/>
  <c r="GF213" i="98"/>
  <c r="GF453" i="98"/>
  <c r="GF1653" i="98"/>
  <c r="GF933" i="98"/>
  <c r="GF853" i="98"/>
  <c r="GF1253" i="98"/>
  <c r="GF1093" i="98"/>
  <c r="GF1013" i="98"/>
  <c r="GF373" i="98"/>
  <c r="GO52" i="98"/>
  <c r="GO532" i="98"/>
  <c r="GO292" i="98"/>
  <c r="GO692" i="98"/>
  <c r="GO612" i="98"/>
  <c r="GO132" i="98"/>
  <c r="GO372" i="98"/>
  <c r="GO212" i="98"/>
  <c r="GO1092" i="98"/>
  <c r="GO1172" i="98"/>
  <c r="GO1252" i="98"/>
  <c r="GO772" i="98"/>
  <c r="GO1332" i="98"/>
  <c r="GO1412" i="98"/>
  <c r="GO1492" i="98"/>
  <c r="GO1572" i="98"/>
  <c r="GO1652" i="98"/>
  <c r="GO452" i="98"/>
  <c r="GO1012" i="98"/>
  <c r="GO932" i="98"/>
  <c r="GO852" i="98"/>
  <c r="GN54" i="98"/>
  <c r="GN1574" i="98"/>
  <c r="GN1494" i="98"/>
  <c r="GN1094" i="98"/>
  <c r="GN694" i="98"/>
  <c r="GN1014" i="98"/>
  <c r="GN774" i="98"/>
  <c r="GN214" i="98"/>
  <c r="GN134" i="98"/>
  <c r="GN374" i="98"/>
  <c r="GN614" i="98"/>
  <c r="GN1414" i="98"/>
  <c r="GN1334" i="98"/>
  <c r="GN294" i="98"/>
  <c r="GN454" i="98"/>
  <c r="GN1654" i="98"/>
  <c r="GN1254" i="98"/>
  <c r="GN1174" i="98"/>
  <c r="GN534" i="98"/>
  <c r="GN854" i="98"/>
  <c r="GN934" i="98"/>
  <c r="GF54" i="98"/>
  <c r="GF1494" i="98"/>
  <c r="GF1334" i="98"/>
  <c r="GF1094" i="98"/>
  <c r="GF614" i="98"/>
  <c r="GF694" i="98"/>
  <c r="GF774" i="98"/>
  <c r="GF374" i="98"/>
  <c r="GF214" i="98"/>
  <c r="GF134" i="98"/>
  <c r="GF1654" i="98"/>
  <c r="GF294" i="98"/>
  <c r="GF454" i="98"/>
  <c r="GF1014" i="98"/>
  <c r="GF1574" i="98"/>
  <c r="GF1414" i="98"/>
  <c r="GF1254" i="98"/>
  <c r="GF934" i="98"/>
  <c r="GF1174" i="98"/>
  <c r="GF854" i="98"/>
  <c r="GF534" i="98"/>
  <c r="GC50" i="98"/>
  <c r="GC130" i="98"/>
  <c r="GC210" i="98"/>
  <c r="GC290" i="98"/>
  <c r="GC370" i="98"/>
  <c r="GC450" i="98"/>
  <c r="GC530" i="98"/>
  <c r="GC610" i="98"/>
  <c r="GC690" i="98"/>
  <c r="GC770" i="98"/>
  <c r="GC850" i="98"/>
  <c r="GC930" i="98"/>
  <c r="GC1010" i="98"/>
  <c r="GC1090" i="98"/>
  <c r="GC1170" i="98"/>
  <c r="GC1250" i="98"/>
  <c r="GC1330" i="98"/>
  <c r="GC1410" i="98"/>
  <c r="GC1490" i="98"/>
  <c r="GC1570" i="98"/>
  <c r="GC1650" i="98"/>
  <c r="GC47" i="98"/>
  <c r="GC127" i="98"/>
  <c r="GC207" i="98"/>
  <c r="GC287" i="98"/>
  <c r="GC367" i="98"/>
  <c r="GC447" i="98"/>
  <c r="GC527" i="98"/>
  <c r="GC607" i="98"/>
  <c r="GC687" i="98"/>
  <c r="GC767" i="98"/>
  <c r="GC847" i="98"/>
  <c r="GC927" i="98"/>
  <c r="GC1007" i="98"/>
  <c r="GC1087" i="98"/>
  <c r="GC1167" i="98"/>
  <c r="GC1247" i="98"/>
  <c r="GC1327" i="98"/>
  <c r="GC1407" i="98"/>
  <c r="GC1487" i="98"/>
  <c r="GC1567" i="98"/>
  <c r="GC1647" i="98"/>
  <c r="GQ451" i="98"/>
  <c r="GQ371" i="98"/>
  <c r="GQ1011" i="98"/>
  <c r="GQ1491" i="98"/>
  <c r="GQ1331" i="98"/>
  <c r="GQ851" i="98"/>
  <c r="GQ931" i="98"/>
  <c r="GQ291" i="98"/>
  <c r="GQ531" i="98"/>
  <c r="GQ1571" i="98"/>
  <c r="GQ611" i="98"/>
  <c r="GQ1651" i="98"/>
  <c r="GQ131" i="98"/>
  <c r="GQ691" i="98"/>
  <c r="GQ1411" i="98"/>
  <c r="GQ1091" i="98"/>
  <c r="GQ1171" i="98"/>
  <c r="GQ771" i="98"/>
  <c r="GQ1251" i="98"/>
  <c r="GQ211" i="98"/>
  <c r="GN55" i="98"/>
  <c r="GN215" i="98"/>
  <c r="GN1175" i="98"/>
  <c r="GN615" i="98"/>
  <c r="GN295" i="98"/>
  <c r="GN855" i="98"/>
  <c r="GN1655" i="98"/>
  <c r="GN775" i="98"/>
  <c r="GN1415" i="98"/>
  <c r="GN1495" i="98"/>
  <c r="GN375" i="98"/>
  <c r="GN1335" i="98"/>
  <c r="GN1015" i="98"/>
  <c r="GN935" i="98"/>
  <c r="GN135" i="98"/>
  <c r="GN1255" i="98"/>
  <c r="GN455" i="98"/>
  <c r="GN695" i="98"/>
  <c r="GN535" i="98"/>
  <c r="GN1575" i="98"/>
  <c r="GN1095" i="98"/>
  <c r="GO55" i="98"/>
  <c r="GO295" i="98"/>
  <c r="GO215" i="98"/>
  <c r="GO1175" i="98"/>
  <c r="GO455" i="98"/>
  <c r="GO535" i="98"/>
  <c r="GO615" i="98"/>
  <c r="GO1655" i="98"/>
  <c r="GO1575" i="98"/>
  <c r="GO855" i="98"/>
  <c r="GO375" i="98"/>
  <c r="GO1335" i="98"/>
  <c r="GO1415" i="98"/>
  <c r="GO135" i="98"/>
  <c r="GO1015" i="98"/>
  <c r="GO935" i="98"/>
  <c r="GO1095" i="98"/>
  <c r="GO775" i="98"/>
  <c r="GO1495" i="98"/>
  <c r="GO695" i="98"/>
  <c r="GO1255" i="98"/>
  <c r="GH21" i="98"/>
  <c r="GH1381" i="98"/>
  <c r="GH1461" i="98"/>
  <c r="GH421" i="98"/>
  <c r="GH741" i="98"/>
  <c r="GH1301" i="98"/>
  <c r="GH1221" i="98"/>
  <c r="GH981" i="98"/>
  <c r="GH181" i="98"/>
  <c r="GH1621" i="98"/>
  <c r="GH341" i="98"/>
  <c r="GH581" i="98"/>
  <c r="GH261" i="98"/>
  <c r="GH661" i="98"/>
  <c r="GH901" i="98"/>
  <c r="GH1541" i="98"/>
  <c r="GH821" i="98"/>
  <c r="GH1061" i="98"/>
  <c r="GH101" i="98"/>
  <c r="GH501" i="98"/>
  <c r="GH1141" i="98"/>
  <c r="GH68" i="98"/>
  <c r="GH1508" i="98"/>
  <c r="GH1668" i="98"/>
  <c r="GH1428" i="98"/>
  <c r="GH1348" i="98"/>
  <c r="GH1188" i="98"/>
  <c r="GH1588" i="98"/>
  <c r="GH948" i="98"/>
  <c r="GH1108" i="98"/>
  <c r="GH228" i="98"/>
  <c r="GH148" i="98"/>
  <c r="GH308" i="98"/>
  <c r="GH388" i="98"/>
  <c r="GH708" i="98"/>
  <c r="GH548" i="98"/>
  <c r="GH788" i="98"/>
  <c r="GH868" i="98"/>
  <c r="GH1268" i="98"/>
  <c r="GH1028" i="98"/>
  <c r="GH468" i="98"/>
  <c r="GH628" i="98"/>
  <c r="GH77" i="98"/>
  <c r="GH1357" i="98"/>
  <c r="GH1677" i="98"/>
  <c r="GH637" i="98"/>
  <c r="GH717" i="98"/>
  <c r="GH157" i="98"/>
  <c r="GH557" i="98"/>
  <c r="GH1117" i="98"/>
  <c r="GH477" i="98"/>
  <c r="GH237" i="98"/>
  <c r="GH957" i="98"/>
  <c r="GH397" i="98"/>
  <c r="GH1597" i="98"/>
  <c r="GH877" i="98"/>
  <c r="GH1517" i="98"/>
  <c r="GH1437" i="98"/>
  <c r="GH1197" i="98"/>
  <c r="GH317" i="98"/>
  <c r="GH797" i="98"/>
  <c r="GH1277" i="98"/>
  <c r="GH1037" i="98"/>
  <c r="GH67" i="98"/>
  <c r="GH1587" i="98"/>
  <c r="GH787" i="98"/>
  <c r="GH867" i="98"/>
  <c r="GH947" i="98"/>
  <c r="GH1187" i="98"/>
  <c r="GH307" i="98"/>
  <c r="GH547" i="98"/>
  <c r="GH627" i="98"/>
  <c r="GH707" i="98"/>
  <c r="GH147" i="98"/>
  <c r="GH1107" i="98"/>
  <c r="GH387" i="98"/>
  <c r="GH1507" i="98"/>
  <c r="GH1267" i="98"/>
  <c r="GH1667" i="98"/>
  <c r="GH1027" i="98"/>
  <c r="GH1347" i="98"/>
  <c r="GH227" i="98"/>
  <c r="GH467" i="98"/>
  <c r="GH1427" i="98"/>
  <c r="GH7" i="98"/>
  <c r="GH87" i="98"/>
  <c r="GH1207" i="98"/>
  <c r="GH1527" i="98"/>
  <c r="GH167" i="98"/>
  <c r="GH1127" i="98"/>
  <c r="GH807" i="98"/>
  <c r="GH967" i="98"/>
  <c r="GH407" i="98"/>
  <c r="GH487" i="98"/>
  <c r="GH887" i="98"/>
  <c r="GH1447" i="98"/>
  <c r="GH1607" i="98"/>
  <c r="GH327" i="98"/>
  <c r="GH567" i="98"/>
  <c r="GH1047" i="98"/>
  <c r="GH1367" i="98"/>
  <c r="GH247" i="98"/>
  <c r="GH727" i="98"/>
  <c r="GH1287" i="98"/>
  <c r="GH647" i="98"/>
  <c r="GH9" i="98"/>
  <c r="GH1529" i="98"/>
  <c r="GH569" i="98"/>
  <c r="GH329" i="98"/>
  <c r="GH1049" i="98"/>
  <c r="GH1369" i="98"/>
  <c r="GH889" i="98"/>
  <c r="GH1289" i="98"/>
  <c r="GH969" i="98"/>
  <c r="GH169" i="98"/>
  <c r="GH489" i="98"/>
  <c r="GH1449" i="98"/>
  <c r="GH649" i="98"/>
  <c r="GH249" i="98"/>
  <c r="GH729" i="98"/>
  <c r="GH1609" i="98"/>
  <c r="GH1209" i="98"/>
  <c r="GH1129" i="98"/>
  <c r="GH409" i="98"/>
  <c r="GH809" i="98"/>
  <c r="GH89" i="98"/>
  <c r="GO44" i="98"/>
  <c r="GO604" i="98"/>
  <c r="GO204" i="98"/>
  <c r="GO1004" i="98"/>
  <c r="GO684" i="98"/>
  <c r="GO1484" i="98"/>
  <c r="GO1644" i="98"/>
  <c r="GO764" i="98"/>
  <c r="GO1084" i="98"/>
  <c r="GO444" i="98"/>
  <c r="GO1564" i="98"/>
  <c r="GO1244" i="98"/>
  <c r="GO1164" i="98"/>
  <c r="GO284" i="98"/>
  <c r="GO524" i="98"/>
  <c r="GO1324" i="98"/>
  <c r="GO1404" i="98"/>
  <c r="GO124" i="98"/>
  <c r="GO844" i="98"/>
  <c r="GO924" i="98"/>
  <c r="GO364" i="98"/>
  <c r="GN41" i="98"/>
  <c r="GN1641" i="98"/>
  <c r="GN1001" i="98"/>
  <c r="GN681" i="98"/>
  <c r="GN361" i="98"/>
  <c r="GN121" i="98"/>
  <c r="GN441" i="98"/>
  <c r="GN1161" i="98"/>
  <c r="GN1481" i="98"/>
  <c r="GN761" i="98"/>
  <c r="GN521" i="98"/>
  <c r="GN601" i="98"/>
  <c r="GN1321" i="98"/>
  <c r="GN1401" i="98"/>
  <c r="GN1561" i="98"/>
  <c r="GN1241" i="98"/>
  <c r="GN921" i="98"/>
  <c r="GN841" i="98"/>
  <c r="GN1081" i="98"/>
  <c r="GN281" i="98"/>
  <c r="GN201" i="98"/>
  <c r="GL42" i="98"/>
  <c r="GL1162" i="98"/>
  <c r="GL682" i="98"/>
  <c r="GL202" i="98"/>
  <c r="GL122" i="98"/>
  <c r="GL362" i="98"/>
  <c r="GL1322" i="98"/>
  <c r="GL1402" i="98"/>
  <c r="GL762" i="98"/>
  <c r="GL1642" i="98"/>
  <c r="GL602" i="98"/>
  <c r="GL1482" i="98"/>
  <c r="GL1242" i="98"/>
  <c r="GL1002" i="98"/>
  <c r="GL1082" i="98"/>
  <c r="GL442" i="98"/>
  <c r="GL1562" i="98"/>
  <c r="GL282" i="98"/>
  <c r="GL522" i="98"/>
  <c r="GL842" i="98"/>
  <c r="GL922" i="98"/>
  <c r="GF52" i="98"/>
  <c r="GF1652" i="98"/>
  <c r="GF1572" i="98"/>
  <c r="GF1252" i="98"/>
  <c r="GF1172" i="98"/>
  <c r="GF292" i="98"/>
  <c r="GF212" i="98"/>
  <c r="GF772" i="98"/>
  <c r="GF1332" i="98"/>
  <c r="GF532" i="98"/>
  <c r="GF1412" i="98"/>
  <c r="GF1492" i="98"/>
  <c r="GF852" i="98"/>
  <c r="GF1092" i="98"/>
  <c r="GF372" i="98"/>
  <c r="GF932" i="98"/>
  <c r="GF132" i="98"/>
  <c r="GF692" i="98"/>
  <c r="GF452" i="98"/>
  <c r="GF612" i="98"/>
  <c r="GF1012" i="98"/>
  <c r="GC49" i="98"/>
  <c r="GC129" i="98"/>
  <c r="GC209" i="98"/>
  <c r="GC289" i="98"/>
  <c r="GC369" i="98"/>
  <c r="GC449" i="98"/>
  <c r="GC529" i="98"/>
  <c r="GC609" i="98"/>
  <c r="GC689" i="98"/>
  <c r="GC769" i="98"/>
  <c r="GC849" i="98"/>
  <c r="GC929" i="98"/>
  <c r="GC1009" i="98"/>
  <c r="GC1089" i="98"/>
  <c r="GC1169" i="98"/>
  <c r="GC1249" i="98"/>
  <c r="GC1329" i="98"/>
  <c r="GC1409" i="98"/>
  <c r="GC1489" i="98"/>
  <c r="GC1569" i="98"/>
  <c r="GC1649" i="98"/>
  <c r="GQ1084" i="98"/>
  <c r="GQ1244" i="98"/>
  <c r="GQ204" i="98"/>
  <c r="GQ1404" i="98"/>
  <c r="GQ604" i="98"/>
  <c r="GQ684" i="98"/>
  <c r="GQ924" i="98"/>
  <c r="GQ844" i="98"/>
  <c r="GQ1644" i="98"/>
  <c r="GQ1564" i="98"/>
  <c r="GQ1324" i="98"/>
  <c r="GQ444" i="98"/>
  <c r="GQ1484" i="98"/>
  <c r="GQ284" i="98"/>
  <c r="GQ1164" i="98"/>
  <c r="GQ524" i="98"/>
  <c r="GQ764" i="98"/>
  <c r="GQ1004" i="98"/>
  <c r="GQ124" i="98"/>
  <c r="GQ364" i="98"/>
  <c r="GN43" i="98"/>
  <c r="GN283" i="98"/>
  <c r="GN1563" i="98"/>
  <c r="GN1643" i="98"/>
  <c r="GN1323" i="98"/>
  <c r="GN123" i="98"/>
  <c r="GN1163" i="98"/>
  <c r="GN363" i="98"/>
  <c r="GN1083" i="98"/>
  <c r="GN1003" i="98"/>
  <c r="GN523" i="98"/>
  <c r="GN1403" i="98"/>
  <c r="GN843" i="98"/>
  <c r="GN683" i="98"/>
  <c r="GN603" i="98"/>
  <c r="GN443" i="98"/>
  <c r="GN763" i="98"/>
  <c r="GN203" i="98"/>
  <c r="GN1243" i="98"/>
  <c r="GN1483" i="98"/>
  <c r="GN923" i="98"/>
  <c r="GQ1405" i="98"/>
  <c r="GQ1325" i="98"/>
  <c r="GQ1565" i="98"/>
  <c r="GQ525" i="98"/>
  <c r="GQ1085" i="98"/>
  <c r="GQ365" i="98"/>
  <c r="GQ205" i="98"/>
  <c r="GQ685" i="98"/>
  <c r="GQ1645" i="98"/>
  <c r="GQ765" i="98"/>
  <c r="GQ605" i="98"/>
  <c r="GQ1485" i="98"/>
  <c r="GQ1005" i="98"/>
  <c r="GQ1165" i="98"/>
  <c r="GQ125" i="98"/>
  <c r="GQ285" i="98"/>
  <c r="GQ445" i="98"/>
  <c r="GQ925" i="98"/>
  <c r="GQ1245" i="98"/>
  <c r="GQ845" i="98"/>
  <c r="GL41" i="98"/>
  <c r="GL1641" i="98"/>
  <c r="GL1561" i="98"/>
  <c r="GL1001" i="98"/>
  <c r="GL681" i="98"/>
  <c r="GL361" i="98"/>
  <c r="GL121" i="98"/>
  <c r="GL441" i="98"/>
  <c r="GL601" i="98"/>
  <c r="GL841" i="98"/>
  <c r="GL1401" i="98"/>
  <c r="GL761" i="98"/>
  <c r="GL1481" i="98"/>
  <c r="GL1321" i="98"/>
  <c r="GL281" i="98"/>
  <c r="GL201" i="98"/>
  <c r="GL1241" i="98"/>
  <c r="GL521" i="98"/>
  <c r="GL1161" i="98"/>
  <c r="GL921" i="98"/>
  <c r="GL1081" i="98"/>
  <c r="GO41" i="98"/>
  <c r="GO1641" i="98"/>
  <c r="GO1561" i="98"/>
  <c r="GO1001" i="98"/>
  <c r="GO681" i="98"/>
  <c r="GO361" i="98"/>
  <c r="GO121" i="98"/>
  <c r="GO441" i="98"/>
  <c r="GO761" i="98"/>
  <c r="GO1081" i="98"/>
  <c r="GO1401" i="98"/>
  <c r="GO1481" i="98"/>
  <c r="GO601" i="98"/>
  <c r="GO201" i="98"/>
  <c r="GO1241" i="98"/>
  <c r="GO1321" i="98"/>
  <c r="GO1161" i="98"/>
  <c r="GO521" i="98"/>
  <c r="GO921" i="98"/>
  <c r="GO841" i="98"/>
  <c r="GO281" i="98"/>
  <c r="GF197" i="98"/>
  <c r="GO42" i="98"/>
  <c r="GO1562" i="98"/>
  <c r="GO202" i="98"/>
  <c r="GO362" i="98"/>
  <c r="GO1082" i="98"/>
  <c r="GO682" i="98"/>
  <c r="GO1322" i="98"/>
  <c r="GO522" i="98"/>
  <c r="GO602" i="98"/>
  <c r="GO1242" i="98"/>
  <c r="GO122" i="98"/>
  <c r="GO1162" i="98"/>
  <c r="GO762" i="98"/>
  <c r="GO282" i="98"/>
  <c r="GO1642" i="98"/>
  <c r="GO442" i="98"/>
  <c r="GO842" i="98"/>
  <c r="GO1002" i="98"/>
  <c r="GO1402" i="98"/>
  <c r="GO922" i="98"/>
  <c r="GO1482" i="98"/>
  <c r="GK53" i="98"/>
  <c r="GK1413" i="98"/>
  <c r="GK1333" i="98"/>
  <c r="GK1493" i="98"/>
  <c r="GK773" i="98"/>
  <c r="GK613" i="98"/>
  <c r="GK133" i="98"/>
  <c r="GK373" i="98"/>
  <c r="GK293" i="98"/>
  <c r="GK533" i="98"/>
  <c r="GK1573" i="98"/>
  <c r="GK693" i="98"/>
  <c r="GK933" i="98"/>
  <c r="GK1653" i="98"/>
  <c r="GK853" i="98"/>
  <c r="GK1013" i="98"/>
  <c r="GK453" i="98"/>
  <c r="GK1253" i="98"/>
  <c r="GK1093" i="98"/>
  <c r="GK1173" i="98"/>
  <c r="GK213" i="98"/>
  <c r="GQ1492" i="98"/>
  <c r="GQ1332" i="98"/>
  <c r="GQ1412" i="98"/>
  <c r="GQ1092" i="98"/>
  <c r="GQ532" i="98"/>
  <c r="GQ292" i="98"/>
  <c r="GQ212" i="98"/>
  <c r="GQ692" i="98"/>
  <c r="GQ132" i="98"/>
  <c r="GQ372" i="98"/>
  <c r="GQ1172" i="98"/>
  <c r="GQ1252" i="98"/>
  <c r="GQ1572" i="98"/>
  <c r="GQ1652" i="98"/>
  <c r="GQ452" i="98"/>
  <c r="GQ932" i="98"/>
  <c r="GQ852" i="98"/>
  <c r="GQ772" i="98"/>
  <c r="GQ612" i="98"/>
  <c r="GQ1012" i="98"/>
  <c r="GN52" i="98"/>
  <c r="GN1492" i="98"/>
  <c r="GN1332" i="98"/>
  <c r="GN1652" i="98"/>
  <c r="GN1572" i="98"/>
  <c r="GN1412" i="98"/>
  <c r="GN532" i="98"/>
  <c r="GN292" i="98"/>
  <c r="GN212" i="98"/>
  <c r="GN692" i="98"/>
  <c r="GN132" i="98"/>
  <c r="GN1092" i="98"/>
  <c r="GN372" i="98"/>
  <c r="GN1172" i="98"/>
  <c r="GN1252" i="98"/>
  <c r="GN852" i="98"/>
  <c r="GN932" i="98"/>
  <c r="GN452" i="98"/>
  <c r="GN612" i="98"/>
  <c r="GN772" i="98"/>
  <c r="GN1012" i="98"/>
  <c r="GO54" i="98"/>
  <c r="GO1574" i="98"/>
  <c r="GO1654" i="98"/>
  <c r="GO1094" i="98"/>
  <c r="GO694" i="98"/>
  <c r="GO614" i="98"/>
  <c r="GO774" i="98"/>
  <c r="GO214" i="98"/>
  <c r="GO534" i="98"/>
  <c r="GO134" i="98"/>
  <c r="GO1014" i="98"/>
  <c r="GO1414" i="98"/>
  <c r="GO854" i="98"/>
  <c r="GO1334" i="98"/>
  <c r="GO294" i="98"/>
  <c r="GO454" i="98"/>
  <c r="GO374" i="98"/>
  <c r="GO1254" i="98"/>
  <c r="GO1494" i="98"/>
  <c r="GO1174" i="98"/>
  <c r="GO934" i="98"/>
  <c r="GN51" i="98"/>
  <c r="GN1091" i="98"/>
  <c r="GN531" i="98"/>
  <c r="GN1011" i="98"/>
  <c r="GN451" i="98"/>
  <c r="GN1491" i="98"/>
  <c r="GN291" i="98"/>
  <c r="GN1331" i="98"/>
  <c r="GN1571" i="98"/>
  <c r="GN851" i="98"/>
  <c r="GN931" i="98"/>
  <c r="GN1651" i="98"/>
  <c r="GN211" i="98"/>
  <c r="GN691" i="98"/>
  <c r="GN131" i="98"/>
  <c r="GN611" i="98"/>
  <c r="GN1411" i="98"/>
  <c r="GN771" i="98"/>
  <c r="GN1251" i="98"/>
  <c r="GN371" i="98"/>
  <c r="GN1171" i="98"/>
  <c r="GL55" i="98"/>
  <c r="GL215" i="98"/>
  <c r="GL295" i="98"/>
  <c r="GL1175" i="98"/>
  <c r="GL615" i="98"/>
  <c r="GL535" i="98"/>
  <c r="GL1575" i="98"/>
  <c r="GL775" i="98"/>
  <c r="GL695" i="98"/>
  <c r="GL855" i="98"/>
  <c r="GL1415" i="98"/>
  <c r="GL1655" i="98"/>
  <c r="GL375" i="98"/>
  <c r="GL1335" i="98"/>
  <c r="GL1015" i="98"/>
  <c r="GL935" i="98"/>
  <c r="GL135" i="98"/>
  <c r="GL1095" i="98"/>
  <c r="GL1495" i="98"/>
  <c r="GL1255" i="98"/>
  <c r="GL455" i="98"/>
  <c r="GF55" i="98"/>
  <c r="GF215" i="98"/>
  <c r="GF1175" i="98"/>
  <c r="GF615" i="98"/>
  <c r="GF295" i="98"/>
  <c r="GF535" i="98"/>
  <c r="GF1575" i="98"/>
  <c r="GF855" i="98"/>
  <c r="GF375" i="98"/>
  <c r="GF1655" i="98"/>
  <c r="GF695" i="98"/>
  <c r="GF935" i="98"/>
  <c r="GF1015" i="98"/>
  <c r="GF1095" i="98"/>
  <c r="GF1255" i="98"/>
  <c r="GF455" i="98"/>
  <c r="GF1495" i="98"/>
  <c r="GF1415" i="98"/>
  <c r="GF775" i="98"/>
  <c r="GF135" i="98"/>
  <c r="GF1335" i="98"/>
  <c r="GH78" i="98"/>
  <c r="GH1278" i="98"/>
  <c r="GH1438" i="98"/>
  <c r="GH1518" i="98"/>
  <c r="GH1038" i="98"/>
  <c r="GH638" i="98"/>
  <c r="GH238" i="98"/>
  <c r="GH718" i="98"/>
  <c r="GH478" i="98"/>
  <c r="GH558" i="98"/>
  <c r="GH1598" i="98"/>
  <c r="GH1358" i="98"/>
  <c r="GH1198" i="98"/>
  <c r="GH1118" i="98"/>
  <c r="GH878" i="98"/>
  <c r="GH398" i="98"/>
  <c r="GH1678" i="98"/>
  <c r="GH158" i="98"/>
  <c r="GH318" i="98"/>
  <c r="GH798" i="98"/>
  <c r="GH958" i="98"/>
  <c r="GH30" i="98"/>
  <c r="GH1470" i="98"/>
  <c r="GH1310" i="98"/>
  <c r="GH1070" i="98"/>
  <c r="GH430" i="98"/>
  <c r="GH590" i="98"/>
  <c r="GH110" i="98"/>
  <c r="GH1550" i="98"/>
  <c r="GH1150" i="98"/>
  <c r="GH270" i="98"/>
  <c r="GH1630" i="98"/>
  <c r="GH1390" i="98"/>
  <c r="GH190" i="98"/>
  <c r="GH1230" i="98"/>
  <c r="GH990" i="98"/>
  <c r="GH830" i="98"/>
  <c r="GH910" i="98"/>
  <c r="GH670" i="98"/>
  <c r="GH350" i="98"/>
  <c r="GH510" i="98"/>
  <c r="GH750" i="98"/>
  <c r="GH29" i="98"/>
  <c r="GH1389" i="98"/>
  <c r="GH1469" i="98"/>
  <c r="GH749" i="98"/>
  <c r="GH669" i="98"/>
  <c r="GH269" i="98"/>
  <c r="GH589" i="98"/>
  <c r="GH989" i="98"/>
  <c r="GH1309" i="98"/>
  <c r="GH109" i="98"/>
  <c r="GH509" i="98"/>
  <c r="GH429" i="98"/>
  <c r="GH1069" i="98"/>
  <c r="GH909" i="98"/>
  <c r="GH1149" i="98"/>
  <c r="GH1549" i="98"/>
  <c r="GH829" i="98"/>
  <c r="GH1629" i="98"/>
  <c r="GH189" i="98"/>
  <c r="GH1229" i="98"/>
  <c r="GH349" i="98"/>
  <c r="GH70" i="98"/>
  <c r="GH390" i="98"/>
  <c r="GH230" i="98"/>
  <c r="GH870" i="98"/>
  <c r="GH550" i="98"/>
  <c r="GH1670" i="98"/>
  <c r="GH1590" i="98"/>
  <c r="GH1110" i="98"/>
  <c r="GH1430" i="98"/>
  <c r="GH630" i="98"/>
  <c r="GH1030" i="98"/>
  <c r="GH150" i="98"/>
  <c r="GH1190" i="98"/>
  <c r="GH1350" i="98"/>
  <c r="GH470" i="98"/>
  <c r="GH710" i="98"/>
  <c r="GH790" i="98"/>
  <c r="GH950" i="98"/>
  <c r="GH310" i="98"/>
  <c r="GH1510" i="98"/>
  <c r="GH1270" i="98"/>
  <c r="GH20" i="98"/>
  <c r="GH1540" i="98"/>
  <c r="GH1620" i="98"/>
  <c r="GH1460" i="98"/>
  <c r="GH1380" i="98"/>
  <c r="GH1220" i="98"/>
  <c r="GH1140" i="98"/>
  <c r="GH500" i="98"/>
  <c r="GH260" i="98"/>
  <c r="GH580" i="98"/>
  <c r="GH980" i="98"/>
  <c r="GH100" i="98"/>
  <c r="GH1060" i="98"/>
  <c r="GH900" i="98"/>
  <c r="GH340" i="98"/>
  <c r="GH420" i="98"/>
  <c r="GH820" i="98"/>
  <c r="GH1300" i="98"/>
  <c r="GH180" i="98"/>
  <c r="GH660" i="98"/>
  <c r="GH740" i="98"/>
  <c r="GH79" i="98"/>
  <c r="GH239" i="98"/>
  <c r="GH319" i="98"/>
  <c r="GH479" i="98"/>
  <c r="GH399" i="98"/>
  <c r="GH159" i="98"/>
  <c r="GH1359" i="98"/>
  <c r="GH1279" i="98"/>
  <c r="GH1519" i="98"/>
  <c r="GH1039" i="98"/>
  <c r="GH639" i="98"/>
  <c r="GH799" i="98"/>
  <c r="GH879" i="98"/>
  <c r="GH1119" i="98"/>
  <c r="GH1599" i="98"/>
  <c r="GH719" i="98"/>
  <c r="GH1439" i="98"/>
  <c r="GH559" i="98"/>
  <c r="GH1679" i="98"/>
  <c r="GH1199" i="98"/>
  <c r="GH959" i="98"/>
  <c r="BK430" i="83"/>
  <c r="BL430" i="83" s="1"/>
  <c r="BK408" i="83"/>
  <c r="BL408" i="83" s="1"/>
  <c r="EV49" i="98"/>
  <c r="GQ54" i="98"/>
  <c r="EV37" i="98"/>
  <c r="GQ41" i="98"/>
  <c r="EV38" i="98"/>
  <c r="GQ42" i="98"/>
  <c r="EV48" i="98"/>
  <c r="GQ53" i="98"/>
  <c r="EV50" i="98"/>
  <c r="GQ55" i="98"/>
  <c r="EV39" i="98"/>
  <c r="GQ43" i="98"/>
  <c r="EV46" i="98"/>
  <c r="GQ51" i="98"/>
  <c r="EV40" i="98"/>
  <c r="GQ44" i="98"/>
  <c r="EV41" i="98"/>
  <c r="GQ45" i="98"/>
  <c r="EV47" i="98"/>
  <c r="GQ52" i="98"/>
  <c r="ET43" i="98"/>
  <c r="FF43" i="98"/>
  <c r="FD43" i="98"/>
  <c r="FI43" i="98"/>
  <c r="FC43" i="98"/>
  <c r="FG43" i="98"/>
  <c r="FD44" i="98"/>
  <c r="FF44" i="98"/>
  <c r="ET44" i="98"/>
  <c r="FC44" i="98"/>
  <c r="FG44" i="98"/>
  <c r="FI44" i="98"/>
  <c r="FC45" i="98"/>
  <c r="FI45" i="98"/>
  <c r="FF45" i="98"/>
  <c r="FD45" i="98"/>
  <c r="ET45" i="98"/>
  <c r="FG45" i="98"/>
  <c r="ET42" i="98"/>
  <c r="FG42" i="98"/>
  <c r="FD42" i="98"/>
  <c r="FF42" i="98"/>
  <c r="FI42" i="98"/>
  <c r="FC42" i="98"/>
  <c r="FC36" i="98"/>
  <c r="FI36" i="98"/>
  <c r="FG36" i="98"/>
  <c r="FD36" i="98"/>
  <c r="FF36" i="98"/>
  <c r="FF34" i="98"/>
  <c r="FD34" i="98"/>
  <c r="FG34" i="98"/>
  <c r="FC34" i="98"/>
  <c r="FI34" i="98"/>
  <c r="FD35" i="98"/>
  <c r="FF35" i="98"/>
  <c r="FC35" i="98"/>
  <c r="FG35" i="98"/>
  <c r="FI35" i="98"/>
  <c r="FG33" i="98"/>
  <c r="FC33" i="98"/>
  <c r="FI33" i="98"/>
  <c r="FD33" i="98"/>
  <c r="FF33" i="98"/>
  <c r="BK410" i="83"/>
  <c r="BL410" i="83" s="1"/>
  <c r="BK458" i="83"/>
  <c r="BL458" i="83" s="1"/>
  <c r="BK470" i="83"/>
  <c r="BL470" i="83" s="1"/>
  <c r="BK466" i="83"/>
  <c r="BL466" i="83" s="1"/>
  <c r="BK416" i="83"/>
  <c r="BL416" i="83" s="1"/>
  <c r="BK139" i="83"/>
  <c r="BL139" i="83" s="1"/>
  <c r="BK478" i="83"/>
  <c r="BL478" i="83" s="1"/>
  <c r="BK28" i="83"/>
  <c r="BL28" i="83" s="1"/>
  <c r="BK15" i="83"/>
  <c r="BL15" i="83" s="1"/>
  <c r="BK23" i="83"/>
  <c r="BL23" i="83" s="1"/>
  <c r="BK337" i="83"/>
  <c r="BL337" i="83" s="1"/>
  <c r="BK424" i="83"/>
  <c r="BL424" i="83" s="1"/>
  <c r="BK484" i="83"/>
  <c r="BL484" i="83" s="1"/>
  <c r="BK40" i="83"/>
  <c r="BL40" i="83" s="1"/>
  <c r="BK26" i="83"/>
  <c r="BL26" i="83" s="1"/>
  <c r="BG147" i="83"/>
  <c r="BK147" i="83" s="1"/>
  <c r="BL147" i="83" s="1"/>
  <c r="BI241" i="83"/>
  <c r="BI437" i="83"/>
  <c r="BG247" i="83"/>
  <c r="BJ231" i="83"/>
  <c r="BJ330" i="83"/>
  <c r="BH321" i="83"/>
  <c r="BK322" i="83" s="1"/>
  <c r="BL322" i="83" s="1"/>
  <c r="BI308" i="83"/>
  <c r="BG194" i="83"/>
  <c r="BJ148" i="83"/>
  <c r="BJ140" i="83"/>
  <c r="BH433" i="83"/>
  <c r="BK434" i="83" s="1"/>
  <c r="BL434" i="83" s="1"/>
  <c r="BI226" i="83"/>
  <c r="BJ404" i="83"/>
  <c r="BJ373" i="83"/>
  <c r="BI372" i="83"/>
  <c r="BI300" i="83"/>
  <c r="BJ191" i="83"/>
  <c r="BJ164" i="83"/>
  <c r="BJ170" i="83"/>
  <c r="BJ401" i="83"/>
  <c r="BK310" i="83"/>
  <c r="BL310" i="83" s="1"/>
  <c r="BH444" i="83"/>
  <c r="BJ395" i="83"/>
  <c r="BH282" i="83"/>
  <c r="BK283" i="83" s="1"/>
  <c r="BL283" i="83" s="1"/>
  <c r="BH281" i="83"/>
  <c r="T73" i="81"/>
  <c r="T71" i="81"/>
  <c r="T75" i="81"/>
  <c r="T74" i="81"/>
  <c r="T72" i="81"/>
  <c r="BJ366" i="83"/>
  <c r="BH375" i="83"/>
  <c r="BK376" i="83" s="1"/>
  <c r="BL376" i="83" s="1"/>
  <c r="BK150" i="83"/>
  <c r="BL150" i="83" s="1"/>
  <c r="BJ456" i="83"/>
  <c r="BJ278" i="83"/>
  <c r="BH411" i="83"/>
  <c r="BK412" i="83" s="1"/>
  <c r="BL412" i="83" s="1"/>
  <c r="BJ123" i="83"/>
  <c r="BJ146" i="83"/>
  <c r="BH340" i="83"/>
  <c r="BK341" i="83" s="1"/>
  <c r="BL341" i="83" s="1"/>
  <c r="BJ226" i="83"/>
  <c r="BJ266" i="83"/>
  <c r="BK66" i="83"/>
  <c r="BL66" i="83" s="1"/>
  <c r="BK62" i="83"/>
  <c r="BL62" i="83" s="1"/>
  <c r="BK496" i="83"/>
  <c r="BL496" i="83" s="1"/>
  <c r="BK75" i="83"/>
  <c r="BL75" i="83" s="1"/>
  <c r="BK454" i="83"/>
  <c r="BL454" i="83" s="1"/>
  <c r="BK32" i="83"/>
  <c r="BL32" i="83" s="1"/>
  <c r="BK53" i="83"/>
  <c r="BL53" i="83" s="1"/>
  <c r="BK198" i="83"/>
  <c r="BL198" i="83" s="1"/>
  <c r="BK44" i="83"/>
  <c r="BL44" i="83" s="1"/>
  <c r="BK101" i="83"/>
  <c r="BL101" i="83" s="1"/>
  <c r="BK315" i="83"/>
  <c r="BL315" i="83" s="1"/>
  <c r="BK499" i="83"/>
  <c r="BL499" i="83" s="1"/>
  <c r="BK320" i="83"/>
  <c r="BL320" i="83" s="1"/>
  <c r="BK9" i="83"/>
  <c r="BL9" i="83" s="1"/>
  <c r="BK142" i="83"/>
  <c r="BL142" i="83" s="1"/>
  <c r="BK504" i="83"/>
  <c r="BL504" i="83" s="1"/>
  <c r="BK402" i="83"/>
  <c r="BL402" i="83" s="1"/>
  <c r="BK444" i="83"/>
  <c r="BL444" i="83" s="1"/>
  <c r="BK449" i="83"/>
  <c r="BL449" i="83" s="1"/>
  <c r="BK490" i="83"/>
  <c r="BL490" i="83" s="1"/>
  <c r="BK277" i="83"/>
  <c r="BL277" i="83" s="1"/>
  <c r="BK233" i="83"/>
  <c r="BL233" i="83" s="1"/>
  <c r="BK335" i="83"/>
  <c r="BL335" i="83" s="1"/>
  <c r="BK248" i="83"/>
  <c r="BL248" i="83" s="1"/>
  <c r="BK256" i="83"/>
  <c r="BL256" i="83" s="1"/>
  <c r="BK456" i="83"/>
  <c r="BL456" i="83" s="1"/>
  <c r="BK144" i="83"/>
  <c r="BL144" i="83" s="1"/>
  <c r="BK308" i="83"/>
  <c r="BL308" i="83" s="1"/>
  <c r="BK309" i="83"/>
  <c r="BL309" i="83" s="1"/>
  <c r="BK292" i="83"/>
  <c r="BL292" i="83" s="1"/>
  <c r="BK205" i="83"/>
  <c r="BL205" i="83" s="1"/>
  <c r="BK279" i="83"/>
  <c r="BL279" i="83" s="1"/>
  <c r="BK196" i="83"/>
  <c r="BL196" i="83" s="1"/>
  <c r="BK288" i="83"/>
  <c r="BL288" i="83" s="1"/>
  <c r="BK367" i="83"/>
  <c r="BL367" i="83" s="1"/>
  <c r="BK146" i="83"/>
  <c r="BL146" i="83" s="1"/>
  <c r="BK126" i="83"/>
  <c r="BL126" i="83" s="1"/>
  <c r="BK182" i="83"/>
  <c r="BL182" i="83" s="1"/>
  <c r="BK137" i="83"/>
  <c r="BL137" i="83" s="1"/>
  <c r="BK419" i="83"/>
  <c r="BL419" i="83" s="1"/>
  <c r="BK91" i="83"/>
  <c r="BL91" i="83" s="1"/>
  <c r="BK104" i="83"/>
  <c r="BL104" i="83" s="1"/>
  <c r="BK60" i="83"/>
  <c r="BL60" i="83" s="1"/>
  <c r="BK46" i="83"/>
  <c r="BL46" i="83" s="1"/>
  <c r="BK31" i="83"/>
  <c r="BL31" i="83" s="1"/>
  <c r="BK25" i="83"/>
  <c r="BL25" i="83" s="1"/>
  <c r="BK18" i="83"/>
  <c r="BL18" i="83" s="1"/>
  <c r="BK263" i="83"/>
  <c r="BL263" i="83" s="1"/>
  <c r="BK226" i="83"/>
  <c r="BL226" i="83" s="1"/>
  <c r="BK237" i="83"/>
  <c r="BL237" i="83" s="1"/>
  <c r="BK382" i="83"/>
  <c r="BL382" i="83" s="1"/>
  <c r="BK254" i="83"/>
  <c r="BL254" i="83" s="1"/>
  <c r="BK435" i="83"/>
  <c r="BL435" i="83" s="1"/>
  <c r="BK259" i="83"/>
  <c r="BL259" i="83" s="1"/>
  <c r="BK113" i="83"/>
  <c r="BL113" i="83" s="1"/>
  <c r="BK372" i="83"/>
  <c r="BL372" i="83" s="1"/>
  <c r="BK407" i="83"/>
  <c r="BL407" i="83" s="1"/>
  <c r="BK299" i="83"/>
  <c r="BL299" i="83" s="1"/>
  <c r="BK455" i="83"/>
  <c r="BL455" i="83" s="1"/>
  <c r="BH265" i="83"/>
  <c r="BK266" i="83" s="1"/>
  <c r="BL266" i="83" s="1"/>
  <c r="BK63" i="83"/>
  <c r="BL63" i="83" s="1"/>
  <c r="BK414" i="83"/>
  <c r="BL414" i="83" s="1"/>
  <c r="BK357" i="83"/>
  <c r="BL357" i="83" s="1"/>
  <c r="BK272" i="83"/>
  <c r="BL272" i="83" s="1"/>
  <c r="BK447" i="83"/>
  <c r="BL447" i="83" s="1"/>
  <c r="BK175" i="83"/>
  <c r="BL175" i="83" s="1"/>
  <c r="BK405" i="83"/>
  <c r="BL405" i="83" s="1"/>
  <c r="BK108" i="83"/>
  <c r="BL108" i="83" s="1"/>
  <c r="BK141" i="83"/>
  <c r="BL141" i="83" s="1"/>
  <c r="BK396" i="83"/>
  <c r="BL396" i="83" s="1"/>
  <c r="BK130" i="83"/>
  <c r="BL130" i="83" s="1"/>
  <c r="BK284" i="83"/>
  <c r="BL284" i="83" s="1"/>
  <c r="BK225" i="83"/>
  <c r="BL225" i="83" s="1"/>
  <c r="BK344" i="83"/>
  <c r="BL344" i="83" s="1"/>
  <c r="BK124" i="83"/>
  <c r="BL124" i="83" s="1"/>
  <c r="BK494" i="83"/>
  <c r="BL494" i="83" s="1"/>
  <c r="BK185" i="83"/>
  <c r="BL185" i="83" s="1"/>
  <c r="BK110" i="83"/>
  <c r="BL110" i="83" s="1"/>
  <c r="BK158" i="83"/>
  <c r="BL158" i="83" s="1"/>
  <c r="BK369" i="83"/>
  <c r="BL369" i="83" s="1"/>
  <c r="BK208" i="83"/>
  <c r="BL208" i="83" s="1"/>
  <c r="BK212" i="83"/>
  <c r="BL212" i="83" s="1"/>
  <c r="BK115" i="83"/>
  <c r="BL115" i="83" s="1"/>
  <c r="BK295" i="83"/>
  <c r="BL295" i="83" s="1"/>
  <c r="BK232" i="83"/>
  <c r="BL232" i="83" s="1"/>
  <c r="BK487" i="83"/>
  <c r="BL487" i="83" s="1"/>
  <c r="BH467" i="83"/>
  <c r="BK468" i="83" s="1"/>
  <c r="BL468" i="83" s="1"/>
  <c r="BH153" i="83"/>
  <c r="BK154" i="83" s="1"/>
  <c r="BL154" i="83" s="1"/>
  <c r="BK48" i="83"/>
  <c r="BL48" i="83" s="1"/>
  <c r="BK94" i="83"/>
  <c r="BL94" i="83" s="1"/>
  <c r="BK79" i="83"/>
  <c r="BL79" i="83" s="1"/>
  <c r="BK73" i="83"/>
  <c r="BL73" i="83" s="1"/>
  <c r="BK475" i="83"/>
  <c r="BL475" i="83" s="1"/>
  <c r="BK326" i="83"/>
  <c r="BL326" i="83" s="1"/>
  <c r="BK328" i="83"/>
  <c r="BL328" i="83" s="1"/>
  <c r="BK327" i="83"/>
  <c r="BL327" i="83" s="1"/>
  <c r="BK218" i="83"/>
  <c r="BL218" i="83" s="1"/>
  <c r="BK443" i="83"/>
  <c r="BL443" i="83" s="1"/>
  <c r="BK393" i="83"/>
  <c r="BL393" i="83" s="1"/>
  <c r="BK384" i="83"/>
  <c r="BL384" i="83" s="1"/>
  <c r="BK169" i="83"/>
  <c r="BL169" i="83" s="1"/>
  <c r="BK361" i="83"/>
  <c r="BL361" i="83" s="1"/>
  <c r="BK298" i="83"/>
  <c r="BL298" i="83" s="1"/>
  <c r="BK425" i="83"/>
  <c r="BL425" i="83" s="1"/>
  <c r="BK383" i="83"/>
  <c r="BL383" i="83" s="1"/>
  <c r="BK313" i="83"/>
  <c r="BL313" i="83" s="1"/>
  <c r="BK261" i="83"/>
  <c r="BL261" i="83" s="1"/>
  <c r="BK148" i="83"/>
  <c r="BL148" i="83" s="1"/>
  <c r="BH106" i="83"/>
  <c r="BK107" i="83" s="1"/>
  <c r="BL107" i="83" s="1"/>
  <c r="BK96" i="83"/>
  <c r="BL96" i="83" s="1"/>
  <c r="BK486" i="83"/>
  <c r="BL486" i="83" s="1"/>
  <c r="BK268" i="83"/>
  <c r="BL268" i="83" s="1"/>
  <c r="BK125" i="83"/>
  <c r="BL125" i="83" s="1"/>
  <c r="BK479" i="83"/>
  <c r="BL479" i="83" s="1"/>
  <c r="BK311" i="83"/>
  <c r="BL311" i="83" s="1"/>
  <c r="BK391" i="83"/>
  <c r="BL391" i="83" s="1"/>
  <c r="BK368" i="83"/>
  <c r="BL368" i="83" s="1"/>
  <c r="BK433" i="83"/>
  <c r="BL433" i="83" s="1"/>
  <c r="BK174" i="83"/>
  <c r="BL174" i="83" s="1"/>
  <c r="BK332" i="83"/>
  <c r="BL332" i="83" s="1"/>
  <c r="BK260" i="83"/>
  <c r="BL260" i="83" s="1"/>
  <c r="BK353" i="83"/>
  <c r="BL353" i="83" s="1"/>
  <c r="BK221" i="83"/>
  <c r="BL221" i="83" s="1"/>
  <c r="BK121" i="83"/>
  <c r="BL121" i="83" s="1"/>
  <c r="BK241" i="83"/>
  <c r="BL241" i="83" s="1"/>
  <c r="BK246" i="83"/>
  <c r="BL246" i="83" s="1"/>
  <c r="BK207" i="83"/>
  <c r="BL207" i="83" s="1"/>
  <c r="BK323" i="83"/>
  <c r="BL323" i="83" s="1"/>
  <c r="BK112" i="83"/>
  <c r="BL112" i="83" s="1"/>
  <c r="BK473" i="83"/>
  <c r="BL473" i="83" s="1"/>
  <c r="BH422" i="83"/>
  <c r="BK423" i="83" s="1"/>
  <c r="BL423" i="83" s="1"/>
  <c r="BK7" i="83"/>
  <c r="BL7" i="83" s="1"/>
  <c r="BK6" i="83"/>
  <c r="BL6" i="83" s="1"/>
  <c r="BK213" i="83"/>
  <c r="BL213" i="83" s="1"/>
  <c r="BK461" i="83"/>
  <c r="BL461" i="83" s="1"/>
  <c r="BK303" i="83"/>
  <c r="BL303" i="83" s="1"/>
  <c r="BK167" i="83"/>
  <c r="BL167" i="83" s="1"/>
  <c r="BK485" i="83"/>
  <c r="BL485" i="83" s="1"/>
  <c r="BK346" i="83"/>
  <c r="BL346" i="83" s="1"/>
  <c r="BK214" i="83"/>
  <c r="BL214" i="83" s="1"/>
  <c r="BK122" i="83"/>
  <c r="BL122" i="83" s="1"/>
  <c r="BK264" i="83"/>
  <c r="BL264" i="83" s="1"/>
  <c r="BK206" i="83"/>
  <c r="BL206" i="83" s="1"/>
  <c r="BK505" i="83"/>
  <c r="BL505" i="83" s="1"/>
  <c r="BK244" i="83"/>
  <c r="BL244" i="83" s="1"/>
  <c r="BK331" i="83"/>
  <c r="BL331" i="83" s="1"/>
  <c r="BK270" i="83"/>
  <c r="BL270" i="83" s="1"/>
  <c r="BK187" i="83"/>
  <c r="BL187" i="83" s="1"/>
  <c r="BK192" i="83"/>
  <c r="BL192" i="83" s="1"/>
  <c r="BH199" i="83"/>
  <c r="BK200" i="83" s="1"/>
  <c r="BL200" i="83" s="1"/>
  <c r="BK329" i="83"/>
  <c r="BL329" i="83" s="1"/>
  <c r="BK360" i="83"/>
  <c r="BL360" i="83" s="1"/>
  <c r="BK243" i="83"/>
  <c r="BL243" i="83" s="1"/>
  <c r="BK151" i="83"/>
  <c r="BL151" i="83" s="1"/>
  <c r="BK136" i="83"/>
  <c r="BL136" i="83" s="1"/>
  <c r="BK307" i="83"/>
  <c r="BL307" i="83" s="1"/>
  <c r="BK392" i="83"/>
  <c r="BL392" i="83" s="1"/>
  <c r="BK152" i="83"/>
  <c r="BL152" i="83" s="1"/>
  <c r="BK210" i="83"/>
  <c r="BL210" i="83" s="1"/>
  <c r="BK297" i="83"/>
  <c r="BL297" i="83" s="1"/>
  <c r="BK497" i="83"/>
  <c r="BL497" i="83" s="1"/>
  <c r="BK262" i="83"/>
  <c r="BL262" i="83" s="1"/>
  <c r="BK330" i="83"/>
  <c r="BL330" i="83" s="1"/>
  <c r="BK281" i="83"/>
  <c r="BL281" i="83" s="1"/>
  <c r="BK280" i="83"/>
  <c r="BL280" i="83" s="1"/>
  <c r="BK242" i="83"/>
  <c r="BL242" i="83" s="1"/>
  <c r="BK501" i="83"/>
  <c r="BL501" i="83" s="1"/>
  <c r="BH487" i="83"/>
  <c r="BK488" i="83" s="1"/>
  <c r="BL488" i="83" s="1"/>
  <c r="BH115" i="83"/>
  <c r="BK116" i="83" s="1"/>
  <c r="BL116" i="83" s="1"/>
  <c r="BH385" i="83"/>
  <c r="BK386" i="83" s="1"/>
  <c r="BL386" i="83" s="1"/>
  <c r="BK317" i="83"/>
  <c r="BL317" i="83" s="1"/>
  <c r="BK10" i="83"/>
  <c r="BL10" i="83" s="1"/>
  <c r="BK223" i="83"/>
  <c r="BL223" i="83" s="1"/>
  <c r="BK345" i="83"/>
  <c r="BL345" i="83" s="1"/>
  <c r="BK133" i="83"/>
  <c r="BL133" i="83" s="1"/>
  <c r="BK301" i="83"/>
  <c r="BL301" i="83" s="1"/>
  <c r="BK347" i="83"/>
  <c r="BL347" i="83" s="1"/>
  <c r="BK364" i="83"/>
  <c r="BL364" i="83" s="1"/>
  <c r="BK240" i="83"/>
  <c r="BL240" i="83" s="1"/>
  <c r="BK201" i="83"/>
  <c r="BL201" i="83" s="1"/>
  <c r="BK190" i="83"/>
  <c r="BL190" i="83" s="1"/>
  <c r="BK333" i="83"/>
  <c r="BL333" i="83" s="1"/>
  <c r="BK338" i="83"/>
  <c r="BL338" i="83" s="1"/>
  <c r="BK227" i="83"/>
  <c r="BL227" i="83" s="1"/>
  <c r="BK398" i="83"/>
  <c r="BL398" i="83" s="1"/>
  <c r="BK188" i="83"/>
  <c r="BL188" i="83" s="1"/>
  <c r="BH175" i="83"/>
  <c r="BK176" i="83" s="1"/>
  <c r="BL176" i="83" s="1"/>
  <c r="BH338" i="83"/>
  <c r="BK339" i="83" s="1"/>
  <c r="BL339" i="83" s="1"/>
  <c r="BH505" i="83"/>
  <c r="BK69" i="83"/>
  <c r="BL69" i="83" s="1"/>
  <c r="BK39" i="83"/>
  <c r="BL39" i="83" s="1"/>
  <c r="BK33" i="83"/>
  <c r="BL33" i="83" s="1"/>
  <c r="BK11" i="83"/>
  <c r="BL11" i="83" s="1"/>
  <c r="BK354" i="83"/>
  <c r="BL354" i="83" s="1"/>
  <c r="BK159" i="83"/>
  <c r="BL159" i="83" s="1"/>
  <c r="BK287" i="83"/>
  <c r="BL287" i="83" s="1"/>
  <c r="BK235" i="83"/>
  <c r="BL235" i="83" s="1"/>
  <c r="BK439" i="83"/>
  <c r="BL439" i="83" s="1"/>
  <c r="BK481" i="83"/>
  <c r="BL481" i="83" s="1"/>
  <c r="BK291" i="83"/>
  <c r="BL291" i="83" s="1"/>
  <c r="BK195" i="83"/>
  <c r="BL195" i="83" s="1"/>
  <c r="BK370" i="83"/>
  <c r="BL370" i="83" s="1"/>
  <c r="BK429" i="83"/>
  <c r="BL429" i="83" s="1"/>
  <c r="BK503" i="83"/>
  <c r="BL503" i="83" s="1"/>
  <c r="BK186" i="83"/>
  <c r="BL186" i="83" s="1"/>
  <c r="BK387" i="83"/>
  <c r="BL387" i="83" s="1"/>
  <c r="BK374" i="83"/>
  <c r="BL374" i="83" s="1"/>
  <c r="BK321" i="83"/>
  <c r="BL321" i="83" s="1"/>
  <c r="BK251" i="83"/>
  <c r="BL251" i="83" s="1"/>
  <c r="BK171" i="83"/>
  <c r="BL171" i="83" s="1"/>
  <c r="BK421" i="83"/>
  <c r="BL421" i="83" s="1"/>
  <c r="BK409" i="83"/>
  <c r="BL409" i="83" s="1"/>
  <c r="BK276" i="83"/>
  <c r="BL276" i="83" s="1"/>
  <c r="BJ342" i="83"/>
  <c r="BH361" i="83"/>
  <c r="BK362" i="83" s="1"/>
  <c r="BL362" i="83" s="1"/>
  <c r="BH468" i="83"/>
  <c r="BK469" i="83" s="1"/>
  <c r="BL469" i="83" s="1"/>
  <c r="BH274" i="83"/>
  <c r="BK275" i="83" s="1"/>
  <c r="BL275" i="83" s="1"/>
  <c r="BK56" i="83"/>
  <c r="BL56" i="83" s="1"/>
  <c r="BK27" i="83"/>
  <c r="BL27" i="83" s="1"/>
  <c r="BK12" i="83"/>
  <c r="BL12" i="83" s="1"/>
  <c r="BK428" i="83"/>
  <c r="BL428" i="83" s="1"/>
  <c r="BK491" i="83"/>
  <c r="BL491" i="83" s="1"/>
  <c r="BK257" i="83"/>
  <c r="BL257" i="83" s="1"/>
  <c r="BK145" i="83"/>
  <c r="BL145" i="83" s="1"/>
  <c r="BK224" i="83"/>
  <c r="BL224" i="83" s="1"/>
  <c r="BK390" i="83"/>
  <c r="BL390" i="83" s="1"/>
  <c r="BK273" i="83"/>
  <c r="BL273" i="83" s="1"/>
  <c r="BK138" i="83"/>
  <c r="BL138" i="83" s="1"/>
  <c r="BK293" i="83"/>
  <c r="BL293" i="83" s="1"/>
  <c r="BK302" i="83"/>
  <c r="BL302" i="83" s="1"/>
  <c r="BK406" i="83"/>
  <c r="BL406" i="83" s="1"/>
  <c r="BK132" i="83"/>
  <c r="BL132" i="83" s="1"/>
  <c r="BK236" i="83"/>
  <c r="BL236" i="83" s="1"/>
  <c r="BK197" i="83"/>
  <c r="BL197" i="83" s="1"/>
  <c r="BK417" i="83"/>
  <c r="BL417" i="83" s="1"/>
  <c r="BK177" i="83"/>
  <c r="BL177" i="83" s="1"/>
  <c r="BK123" i="83"/>
  <c r="BL123" i="83" s="1"/>
  <c r="BK411" i="83"/>
  <c r="BL411" i="83" s="1"/>
  <c r="BK342" i="83"/>
  <c r="BL342" i="83" s="1"/>
  <c r="BK222" i="83"/>
  <c r="BL222" i="83" s="1"/>
  <c r="BH437" i="83"/>
  <c r="BK438" i="83" s="1"/>
  <c r="BL438" i="83" s="1"/>
  <c r="BH190" i="83"/>
  <c r="BK191" i="83" s="1"/>
  <c r="BL191" i="83" s="1"/>
  <c r="BK43" i="83"/>
  <c r="BL43" i="83" s="1"/>
  <c r="BK21" i="83"/>
  <c r="BL21" i="83" s="1"/>
  <c r="BK441" i="83"/>
  <c r="BL441" i="83" s="1"/>
  <c r="BK400" i="83"/>
  <c r="BL400" i="83" s="1"/>
  <c r="BK199" i="83"/>
  <c r="BL199" i="83" s="1"/>
  <c r="BK109" i="83"/>
  <c r="BL109" i="83" s="1"/>
  <c r="BK465" i="83"/>
  <c r="BL465" i="83" s="1"/>
  <c r="BK271" i="83"/>
  <c r="BL271" i="83" s="1"/>
  <c r="BK162" i="83"/>
  <c r="BL162" i="83" s="1"/>
  <c r="BK467" i="83"/>
  <c r="BL467" i="83" s="1"/>
  <c r="BK219" i="83"/>
  <c r="BL219" i="83" s="1"/>
  <c r="BK381" i="83"/>
  <c r="BL381" i="83" s="1"/>
  <c r="BK135" i="83"/>
  <c r="BL135" i="83" s="1"/>
  <c r="BK168" i="83"/>
  <c r="BL168" i="83" s="1"/>
  <c r="BK375" i="83"/>
  <c r="BL375" i="83" s="1"/>
  <c r="BK181" i="83"/>
  <c r="BL181" i="83" s="1"/>
  <c r="BK153" i="83"/>
  <c r="BL153" i="83" s="1"/>
  <c r="BK285" i="83"/>
  <c r="BL285" i="83" s="1"/>
  <c r="BK336" i="83"/>
  <c r="BL336" i="83" s="1"/>
  <c r="BK366" i="83"/>
  <c r="BL366" i="83" s="1"/>
  <c r="BH435" i="83"/>
  <c r="BK436" i="83" s="1"/>
  <c r="BL436" i="83" s="1"/>
  <c r="BH273" i="83"/>
  <c r="BK274" i="83" s="1"/>
  <c r="BL274" i="83" s="1"/>
  <c r="BH254" i="83"/>
  <c r="BK255" i="83" s="1"/>
  <c r="BL255" i="83" s="1"/>
  <c r="BH48" i="83"/>
  <c r="BH7" i="83"/>
  <c r="BH54" i="83"/>
  <c r="BH23" i="83"/>
  <c r="BK24" i="83" s="1"/>
  <c r="BL24" i="83" s="1"/>
  <c r="BI104" i="83"/>
  <c r="BI97" i="83"/>
  <c r="BI90" i="83"/>
  <c r="BG86" i="83"/>
  <c r="BK86" i="83" s="1"/>
  <c r="BL86" i="83" s="1"/>
  <c r="BJ481" i="83"/>
  <c r="BJ248" i="83"/>
  <c r="BH142" i="83"/>
  <c r="BK143" i="83" s="1"/>
  <c r="BL143" i="83" s="1"/>
  <c r="BH323" i="83"/>
  <c r="BK324" i="83" s="1"/>
  <c r="BL324" i="83" s="1"/>
  <c r="BH127" i="83"/>
  <c r="BK128" i="83" s="1"/>
  <c r="BL128" i="83" s="1"/>
  <c r="BH165" i="83"/>
  <c r="BK166" i="83" s="1"/>
  <c r="BL166" i="83" s="1"/>
  <c r="BH16" i="83"/>
  <c r="BI231" i="83"/>
  <c r="BJ216" i="83"/>
  <c r="BJ386" i="83"/>
  <c r="BJ399" i="83"/>
  <c r="BJ370" i="83"/>
  <c r="BH412" i="83"/>
  <c r="BK413" i="83" s="1"/>
  <c r="BL413" i="83" s="1"/>
  <c r="BH501" i="83"/>
  <c r="BK502" i="83" s="1"/>
  <c r="BL502" i="83" s="1"/>
  <c r="BH473" i="83"/>
  <c r="BK474" i="83" s="1"/>
  <c r="BL474" i="83" s="1"/>
  <c r="BH201" i="83"/>
  <c r="BK202" i="83" s="1"/>
  <c r="BL202" i="83" s="1"/>
  <c r="BH82" i="83"/>
  <c r="BH56" i="83"/>
  <c r="BH29" i="83"/>
  <c r="BK30" i="83" s="1"/>
  <c r="BL30" i="83" s="1"/>
  <c r="BH70" i="83"/>
  <c r="BH87" i="83"/>
  <c r="BK88" i="83" s="1"/>
  <c r="BL88" i="83" s="1"/>
  <c r="BG20" i="83"/>
  <c r="BK20" i="83" s="1"/>
  <c r="BL20" i="83" s="1"/>
  <c r="BG13" i="83"/>
  <c r="BK13" i="83" s="1"/>
  <c r="BL13" i="83" s="1"/>
  <c r="BI6" i="83"/>
  <c r="BI222" i="83"/>
  <c r="BJ344" i="83"/>
  <c r="BH421" i="83"/>
  <c r="BK422" i="83" s="1"/>
  <c r="BL422" i="83" s="1"/>
  <c r="BH249" i="83"/>
  <c r="BK250" i="83" s="1"/>
  <c r="BL250" i="83" s="1"/>
  <c r="BH479" i="83"/>
  <c r="BK480" i="83" s="1"/>
  <c r="BL480" i="83" s="1"/>
  <c r="BH202" i="83"/>
  <c r="BK203" i="83" s="1"/>
  <c r="BL203" i="83" s="1"/>
  <c r="BH66" i="83"/>
  <c r="BI156" i="83"/>
  <c r="BJ108" i="83"/>
  <c r="BJ133" i="83"/>
  <c r="BJ398" i="83"/>
  <c r="BJ317" i="83"/>
  <c r="BJ110" i="83"/>
  <c r="BH178" i="83"/>
  <c r="BK179" i="83" s="1"/>
  <c r="BL179" i="83" s="1"/>
  <c r="BH324" i="83"/>
  <c r="BK325" i="83" s="1"/>
  <c r="BL325" i="83" s="1"/>
  <c r="BH203" i="83"/>
  <c r="BK204" i="83" s="1"/>
  <c r="BL204" i="83" s="1"/>
  <c r="BH126" i="83"/>
  <c r="BK127" i="83" s="1"/>
  <c r="BL127" i="83" s="1"/>
  <c r="BJ11" i="83"/>
  <c r="BH64" i="83"/>
  <c r="BK65" i="83" s="1"/>
  <c r="BL65" i="83" s="1"/>
  <c r="BH33" i="83"/>
  <c r="BH86" i="83"/>
  <c r="BG36" i="83"/>
  <c r="BG29" i="83"/>
  <c r="BK29" i="83" s="1"/>
  <c r="BL29" i="83" s="1"/>
  <c r="BG22" i="83"/>
  <c r="BK22" i="83" s="1"/>
  <c r="BL22" i="83" s="1"/>
  <c r="BG77" i="83"/>
  <c r="BK77" i="83" s="1"/>
  <c r="BL77" i="83" s="1"/>
  <c r="BG296" i="83"/>
  <c r="BK296" i="83" s="1"/>
  <c r="BL296" i="83" s="1"/>
  <c r="BJ128" i="83"/>
  <c r="BJ260" i="83"/>
  <c r="BH470" i="83"/>
  <c r="BK471" i="83" s="1"/>
  <c r="BL471" i="83" s="1"/>
  <c r="BH450" i="83"/>
  <c r="BK451" i="83" s="1"/>
  <c r="BL451" i="83" s="1"/>
  <c r="BH193" i="83"/>
  <c r="BK194" i="83" s="1"/>
  <c r="BL194" i="83" s="1"/>
  <c r="BH388" i="83"/>
  <c r="BK389" i="83" s="1"/>
  <c r="BL389" i="83" s="1"/>
  <c r="BG445" i="83"/>
  <c r="BI303" i="83"/>
  <c r="BJ363" i="83"/>
  <c r="BJ113" i="83"/>
  <c r="BH246" i="83"/>
  <c r="BH154" i="83"/>
  <c r="BK155" i="83" s="1"/>
  <c r="BL155" i="83" s="1"/>
  <c r="BH349" i="83"/>
  <c r="BK350" i="83" s="1"/>
  <c r="BL350" i="83" s="1"/>
  <c r="BI58" i="83"/>
  <c r="BJ27" i="83"/>
  <c r="BH84" i="83"/>
  <c r="BH41" i="83"/>
  <c r="BH102" i="83"/>
  <c r="BK103" i="83" s="1"/>
  <c r="BL103" i="83" s="1"/>
  <c r="BI71" i="83"/>
  <c r="BG52" i="83"/>
  <c r="BG45" i="83"/>
  <c r="BK45" i="83" s="1"/>
  <c r="BL45" i="83" s="1"/>
  <c r="BG38" i="83"/>
  <c r="BK38" i="83" s="1"/>
  <c r="BL38" i="83" s="1"/>
  <c r="BG61" i="83"/>
  <c r="BK61" i="83" s="1"/>
  <c r="BL61" i="83" s="1"/>
  <c r="BG70" i="83"/>
  <c r="BK70" i="83" s="1"/>
  <c r="BL70" i="83" s="1"/>
  <c r="BI288" i="83"/>
  <c r="BH118" i="83"/>
  <c r="BK119" i="83" s="1"/>
  <c r="BL119" i="83" s="1"/>
  <c r="BH277" i="83"/>
  <c r="BK278" i="83" s="1"/>
  <c r="BL278" i="83" s="1"/>
  <c r="BI111" i="83"/>
  <c r="BJ220" i="83"/>
  <c r="BJ312" i="83"/>
  <c r="BJ269" i="83"/>
  <c r="BH251" i="83"/>
  <c r="BK252" i="83" s="1"/>
  <c r="BL252" i="83" s="1"/>
  <c r="BH285" i="83"/>
  <c r="BK286" i="83" s="1"/>
  <c r="BL286" i="83" s="1"/>
  <c r="BH452" i="83"/>
  <c r="BK453" i="83" s="1"/>
  <c r="BL453" i="83" s="1"/>
  <c r="BH238" i="83"/>
  <c r="BK239" i="83" s="1"/>
  <c r="BL239" i="83" s="1"/>
  <c r="BI40" i="83"/>
  <c r="BH342" i="83"/>
  <c r="BK343" i="83" s="1"/>
  <c r="BL343" i="83" s="1"/>
  <c r="BH396" i="83"/>
  <c r="BK397" i="83" s="1"/>
  <c r="BL397" i="83" s="1"/>
  <c r="BH476" i="83"/>
  <c r="BK477" i="83" s="1"/>
  <c r="BL477" i="83" s="1"/>
  <c r="BH172" i="83"/>
  <c r="BK173" i="83" s="1"/>
  <c r="BL173" i="83" s="1"/>
  <c r="BH358" i="83"/>
  <c r="BK359" i="83" s="1"/>
  <c r="BL359" i="83" s="1"/>
  <c r="BJ59" i="83"/>
  <c r="BH88" i="83"/>
  <c r="BH49" i="83"/>
  <c r="BH75" i="83"/>
  <c r="BK76" i="83" s="1"/>
  <c r="BL76" i="83" s="1"/>
  <c r="BI87" i="83"/>
  <c r="BG68" i="83"/>
  <c r="BK68" i="83" s="1"/>
  <c r="BL68" i="83" s="1"/>
  <c r="BG54" i="83"/>
  <c r="BK54" i="83" s="1"/>
  <c r="BL54" i="83" s="1"/>
  <c r="BG193" i="83"/>
  <c r="BK193" i="83" s="1"/>
  <c r="BL193" i="83" s="1"/>
  <c r="BJ367" i="83"/>
  <c r="BH164" i="83"/>
  <c r="BK165" i="83" s="1"/>
  <c r="BL165" i="83" s="1"/>
  <c r="BH268" i="83"/>
  <c r="BK269" i="83" s="1"/>
  <c r="BL269" i="83" s="1"/>
  <c r="BH119" i="83"/>
  <c r="BK120" i="83" s="1"/>
  <c r="BL120" i="83" s="1"/>
  <c r="BI42" i="83"/>
  <c r="BJ501" i="83"/>
  <c r="BH499" i="83"/>
  <c r="BK500" i="83" s="1"/>
  <c r="BL500" i="83" s="1"/>
  <c r="BH378" i="83"/>
  <c r="BK379" i="83" s="1"/>
  <c r="BL379" i="83" s="1"/>
  <c r="BH163" i="83"/>
  <c r="BK164" i="83" s="1"/>
  <c r="BL164" i="83" s="1"/>
  <c r="BH155" i="83"/>
  <c r="BK156" i="83" s="1"/>
  <c r="BL156" i="83" s="1"/>
  <c r="BI65" i="83"/>
  <c r="BH228" i="83"/>
  <c r="BK229" i="83" s="1"/>
  <c r="BL229" i="83" s="1"/>
  <c r="BH182" i="83"/>
  <c r="BK183" i="83" s="1"/>
  <c r="BL183" i="83" s="1"/>
  <c r="BH456" i="83"/>
  <c r="BK457" i="83" s="1"/>
  <c r="BL457" i="83" s="1"/>
  <c r="BH303" i="83"/>
  <c r="BK304" i="83" s="1"/>
  <c r="BL304" i="83" s="1"/>
  <c r="BH357" i="83"/>
  <c r="BK358" i="83" s="1"/>
  <c r="BL358" i="83" s="1"/>
  <c r="BH451" i="83"/>
  <c r="BK452" i="83" s="1"/>
  <c r="BL452" i="83" s="1"/>
  <c r="BH133" i="83"/>
  <c r="BK134" i="83" s="1"/>
  <c r="BL134" i="83" s="1"/>
  <c r="BH233" i="83"/>
  <c r="BK234" i="83" s="1"/>
  <c r="BL234" i="83" s="1"/>
  <c r="BH431" i="83"/>
  <c r="BK432" i="83" s="1"/>
  <c r="BL432" i="83" s="1"/>
  <c r="BH208" i="83"/>
  <c r="BK209" i="83" s="1"/>
  <c r="BL209" i="83" s="1"/>
  <c r="BH394" i="83"/>
  <c r="BK395" i="83" s="1"/>
  <c r="BL395" i="83" s="1"/>
  <c r="BJ76" i="83"/>
  <c r="BH96" i="83"/>
  <c r="BH57" i="83"/>
  <c r="BH91" i="83"/>
  <c r="BG35" i="83"/>
  <c r="BK35" i="83" s="1"/>
  <c r="BL35" i="83" s="1"/>
  <c r="BG84" i="83"/>
  <c r="BK84" i="83" s="1"/>
  <c r="BL84" i="83" s="1"/>
  <c r="BG93" i="83"/>
  <c r="BK93" i="83" s="1"/>
  <c r="BL93" i="83" s="1"/>
  <c r="BJ437" i="83"/>
  <c r="BJ403" i="83"/>
  <c r="BH400" i="83"/>
  <c r="BK401" i="83" s="1"/>
  <c r="BL401" i="83" s="1"/>
  <c r="BH436" i="83"/>
  <c r="BK437" i="83" s="1"/>
  <c r="BL437" i="83" s="1"/>
  <c r="BH215" i="83"/>
  <c r="BK216" i="83" s="1"/>
  <c r="BL216" i="83" s="1"/>
  <c r="BH63" i="83"/>
  <c r="BG114" i="83"/>
  <c r="BK114" i="83" s="1"/>
  <c r="BL114" i="83" s="1"/>
  <c r="BJ119" i="83"/>
  <c r="BJ161" i="83"/>
  <c r="BJ335" i="83"/>
  <c r="BH139" i="83"/>
  <c r="BK140" i="83" s="1"/>
  <c r="BL140" i="83" s="1"/>
  <c r="BH447" i="83"/>
  <c r="BK448" i="83" s="1"/>
  <c r="BL448" i="83" s="1"/>
  <c r="BH229" i="83"/>
  <c r="BK230" i="83" s="1"/>
  <c r="BL230" i="83" s="1"/>
  <c r="BH230" i="83"/>
  <c r="BK231" i="83" s="1"/>
  <c r="BL231" i="83" s="1"/>
  <c r="BH36" i="83"/>
  <c r="BK37" i="83" s="1"/>
  <c r="BL37" i="83" s="1"/>
  <c r="BH160" i="83"/>
  <c r="BK161" i="83" s="1"/>
  <c r="BL161" i="83" s="1"/>
  <c r="BH426" i="83"/>
  <c r="BK427" i="83" s="1"/>
  <c r="BL427" i="83" s="1"/>
  <c r="BH264" i="83"/>
  <c r="BK265" i="83" s="1"/>
  <c r="BL265" i="83" s="1"/>
  <c r="BH227" i="83"/>
  <c r="BK228" i="83" s="1"/>
  <c r="BL228" i="83" s="1"/>
  <c r="BH491" i="83"/>
  <c r="BK492" i="83" s="1"/>
  <c r="BL492" i="83" s="1"/>
  <c r="BH339" i="83"/>
  <c r="BK340" i="83" s="1"/>
  <c r="BL340" i="83" s="1"/>
  <c r="BH393" i="83"/>
  <c r="BK394" i="83" s="1"/>
  <c r="BL394" i="83" s="1"/>
  <c r="BH494" i="83"/>
  <c r="BK495" i="83" s="1"/>
  <c r="BL495" i="83" s="1"/>
  <c r="BH169" i="83"/>
  <c r="BK170" i="83" s="1"/>
  <c r="BL170" i="83" s="1"/>
  <c r="BH355" i="83"/>
  <c r="BK356" i="83" s="1"/>
  <c r="BL356" i="83" s="1"/>
  <c r="BH497" i="83"/>
  <c r="BK498" i="83" s="1"/>
  <c r="BL498" i="83" s="1"/>
  <c r="BH244" i="83"/>
  <c r="BK245" i="83" s="1"/>
  <c r="BL245" i="83" s="1"/>
  <c r="BH248" i="83"/>
  <c r="BK249" i="83" s="1"/>
  <c r="BL249" i="83" s="1"/>
  <c r="BJ92" i="83"/>
  <c r="BH104" i="83"/>
  <c r="BH77" i="83"/>
  <c r="BH35" i="83"/>
  <c r="BG51" i="83"/>
  <c r="BG100" i="83"/>
  <c r="BG111" i="83"/>
  <c r="BK111" i="83" s="1"/>
  <c r="BL111" i="83" s="1"/>
  <c r="BJ360" i="83"/>
  <c r="BH402" i="83"/>
  <c r="BK403" i="83" s="1"/>
  <c r="BL403" i="83" s="1"/>
  <c r="BH288" i="83"/>
  <c r="BK289" i="83" s="1"/>
  <c r="BL289" i="83" s="1"/>
  <c r="BH445" i="83"/>
  <c r="BK446" i="83" s="1"/>
  <c r="BL446" i="83" s="1"/>
  <c r="BH364" i="83"/>
  <c r="BK365" i="83" s="1"/>
  <c r="BL365" i="83" s="1"/>
  <c r="BH97" i="83"/>
  <c r="BI290" i="83"/>
  <c r="BG371" i="83"/>
  <c r="BK371" i="83" s="1"/>
  <c r="BL371" i="83" s="1"/>
  <c r="BH462" i="83"/>
  <c r="BK463" i="83" s="1"/>
  <c r="BL463" i="83" s="1"/>
  <c r="BH475" i="83"/>
  <c r="BK476" i="83" s="1"/>
  <c r="BL476" i="83" s="1"/>
  <c r="BH304" i="83"/>
  <c r="BK305" i="83" s="1"/>
  <c r="BL305" i="83" s="1"/>
  <c r="BH398" i="83"/>
  <c r="BK399" i="83" s="1"/>
  <c r="BL399" i="83" s="1"/>
  <c r="BJ53" i="83"/>
  <c r="BH18" i="83"/>
  <c r="BK19" i="83" s="1"/>
  <c r="BL19" i="83" s="1"/>
  <c r="BH81" i="83"/>
  <c r="BH99" i="83"/>
  <c r="BG83" i="83"/>
  <c r="BI17" i="83"/>
  <c r="BI10" i="83"/>
  <c r="BG102" i="83"/>
  <c r="BK102" i="83" s="1"/>
  <c r="BL102" i="83" s="1"/>
  <c r="BI479" i="83"/>
  <c r="BG180" i="83"/>
  <c r="BK180" i="83" s="1"/>
  <c r="BL180" i="83" s="1"/>
  <c r="BJ106" i="83"/>
  <c r="BJ377" i="83"/>
  <c r="BJ396" i="83"/>
  <c r="BH348" i="83"/>
  <c r="BK349" i="83" s="1"/>
  <c r="BL349" i="83" s="1"/>
  <c r="BH347" i="83"/>
  <c r="BK348" i="83" s="1"/>
  <c r="BL348" i="83" s="1"/>
  <c r="BH379" i="83"/>
  <c r="BK380" i="83" s="1"/>
  <c r="BL380" i="83" s="1"/>
  <c r="BH458" i="83"/>
  <c r="BK459" i="83" s="1"/>
  <c r="BL459" i="83" s="1"/>
  <c r="BI49" i="83"/>
  <c r="BI185" i="83"/>
  <c r="BH58" i="83"/>
  <c r="BH89" i="83"/>
  <c r="BH71" i="83"/>
  <c r="BG99" i="83"/>
  <c r="BI33" i="83"/>
  <c r="BI26" i="83"/>
  <c r="BG442" i="83"/>
  <c r="BK442" i="83" s="1"/>
  <c r="BL442" i="83" s="1"/>
  <c r="BI108" i="83"/>
  <c r="BG282" i="83"/>
  <c r="BJ441" i="83"/>
  <c r="BJ207" i="83"/>
  <c r="BJ124" i="83"/>
  <c r="BJ214" i="83"/>
  <c r="BJ389" i="83"/>
  <c r="BJ281" i="83"/>
  <c r="BJ310" i="83"/>
  <c r="BJ383" i="83"/>
  <c r="BH210" i="83"/>
  <c r="BK211" i="83" s="1"/>
  <c r="BL211" i="83" s="1"/>
  <c r="BH188" i="83"/>
  <c r="BK189" i="83" s="1"/>
  <c r="BL189" i="83" s="1"/>
  <c r="BH425" i="83"/>
  <c r="BK426" i="83" s="1"/>
  <c r="BL426" i="83" s="1"/>
  <c r="BI24" i="83"/>
  <c r="BJ450" i="83"/>
  <c r="BJ257" i="83"/>
  <c r="BH350" i="83"/>
  <c r="BK351" i="83" s="1"/>
  <c r="BL351" i="83" s="1"/>
  <c r="BH299" i="83"/>
  <c r="BK300" i="83" s="1"/>
  <c r="BL300" i="83" s="1"/>
  <c r="BH471" i="83"/>
  <c r="BK472" i="83" s="1"/>
  <c r="BL472" i="83" s="1"/>
  <c r="BH105" i="83"/>
  <c r="BK106" i="83" s="1"/>
  <c r="BL106" i="83" s="1"/>
  <c r="BH116" i="83"/>
  <c r="BK117" i="83" s="1"/>
  <c r="BL117" i="83" s="1"/>
  <c r="BH266" i="83"/>
  <c r="BK267" i="83" s="1"/>
  <c r="BL267" i="83" s="1"/>
  <c r="BH237" i="83"/>
  <c r="BK238" i="83" s="1"/>
  <c r="BL238" i="83" s="1"/>
  <c r="BH293" i="83"/>
  <c r="BK294" i="83" s="1"/>
  <c r="BL294" i="83" s="1"/>
  <c r="BH40" i="83"/>
  <c r="BH98" i="83"/>
  <c r="BH46" i="83"/>
  <c r="BK47" i="83" s="1"/>
  <c r="BL47" i="83" s="1"/>
  <c r="BH51" i="83"/>
  <c r="BI56" i="83"/>
  <c r="BI81" i="83"/>
  <c r="BI74" i="83"/>
  <c r="BI151" i="83"/>
  <c r="BJ299" i="83"/>
  <c r="BH417" i="83"/>
  <c r="BK418" i="83" s="1"/>
  <c r="BL418" i="83" s="1"/>
  <c r="BH414" i="83"/>
  <c r="BK415" i="83" s="1"/>
  <c r="BL415" i="83" s="1"/>
  <c r="BH362" i="83"/>
  <c r="BK363" i="83" s="1"/>
  <c r="BL363" i="83" s="1"/>
  <c r="BG482" i="83"/>
  <c r="BK482" i="83" s="1"/>
  <c r="BL482" i="83" s="1"/>
  <c r="BI197" i="83"/>
  <c r="BJ392" i="83"/>
  <c r="BH305" i="83"/>
  <c r="BK306" i="83" s="1"/>
  <c r="BL306" i="83" s="1"/>
  <c r="BH117" i="83"/>
  <c r="BK118" i="83" s="1"/>
  <c r="BL118" i="83" s="1"/>
  <c r="BH313" i="83"/>
  <c r="BK314" i="83" s="1"/>
  <c r="BL314" i="83" s="1"/>
  <c r="BH79" i="83"/>
  <c r="BJ410" i="83"/>
  <c r="BJ402" i="83"/>
  <c r="BH214" i="83"/>
  <c r="BK215" i="83" s="1"/>
  <c r="BL215" i="83" s="1"/>
  <c r="BH376" i="83"/>
  <c r="BK377" i="83" s="1"/>
  <c r="BL377" i="83" s="1"/>
  <c r="BH162" i="83"/>
  <c r="BK163" i="83" s="1"/>
  <c r="BL163" i="83" s="1"/>
  <c r="BK81" i="83"/>
  <c r="BL81" i="83" s="1"/>
  <c r="BK74" i="83"/>
  <c r="BL74" i="83" s="1"/>
  <c r="BK16" i="83"/>
  <c r="BL16" i="83" s="1"/>
  <c r="BK404" i="83"/>
  <c r="BL404" i="83" s="1"/>
  <c r="BK388" i="83"/>
  <c r="BL388" i="83" s="1"/>
  <c r="BK258" i="83"/>
  <c r="BL258" i="83" s="1"/>
  <c r="BK217" i="83"/>
  <c r="BL217" i="83" s="1"/>
  <c r="BK184" i="83"/>
  <c r="BL184" i="83" s="1"/>
  <c r="BK157" i="83"/>
  <c r="BL157" i="83" s="1"/>
  <c r="BK319" i="83"/>
  <c r="BL319" i="83" s="1"/>
  <c r="BK493" i="83"/>
  <c r="BL493" i="83" s="1"/>
  <c r="BK385" i="83"/>
  <c r="BL385" i="83" s="1"/>
  <c r="BK334" i="83"/>
  <c r="BL334" i="83" s="1"/>
  <c r="BK378" i="83"/>
  <c r="BL378" i="83" s="1"/>
  <c r="BK373" i="83"/>
  <c r="BL373" i="83" s="1"/>
  <c r="BK316" i="83"/>
  <c r="BL316" i="83" s="1"/>
  <c r="BK149" i="83"/>
  <c r="BL149" i="83" s="1"/>
  <c r="BK431" i="83"/>
  <c r="BL431" i="83" s="1"/>
  <c r="BK220" i="83"/>
  <c r="BL220" i="83" s="1"/>
  <c r="BK129" i="83"/>
  <c r="BL129" i="83" s="1"/>
  <c r="BK352" i="83"/>
  <c r="BL352" i="83" s="1"/>
  <c r="BK483" i="83"/>
  <c r="BL483" i="83" s="1"/>
  <c r="BK355" i="83"/>
  <c r="BL355" i="83" s="1"/>
  <c r="BK290" i="83"/>
  <c r="BL290" i="83" s="1"/>
  <c r="BK160" i="83"/>
  <c r="BL160" i="83" s="1"/>
  <c r="BK172" i="83"/>
  <c r="BL172" i="83" s="1"/>
  <c r="BG489" i="83"/>
  <c r="BK489" i="83" s="1"/>
  <c r="BL489" i="83" s="1"/>
  <c r="S34" i="81"/>
  <c r="T34" i="81" s="1"/>
  <c r="S31" i="81"/>
  <c r="T31" i="81" s="1"/>
  <c r="S33" i="81"/>
  <c r="T33" i="81" s="1"/>
  <c r="S32" i="81"/>
  <c r="T32" i="81" s="1"/>
  <c r="S19" i="81"/>
  <c r="T19" i="81" s="1"/>
  <c r="S21" i="81"/>
  <c r="T21" i="81" s="1"/>
  <c r="S22" i="81"/>
  <c r="T22" i="81" s="1"/>
  <c r="S18" i="81"/>
  <c r="T18" i="81" s="1"/>
  <c r="S9" i="81"/>
  <c r="T9" i="81" s="1"/>
  <c r="S7" i="81"/>
  <c r="T7" i="81" s="1"/>
  <c r="S8" i="81"/>
  <c r="T8" i="81" s="1"/>
  <c r="S5" i="81"/>
  <c r="T5" i="81" s="1"/>
  <c r="S10" i="81"/>
  <c r="T10" i="81" s="1"/>
  <c r="GH14" i="98" l="1"/>
  <c r="GH574" i="98"/>
  <c r="GH1454" i="98"/>
  <c r="GH894" i="98"/>
  <c r="GH414" i="98"/>
  <c r="GH94" i="98"/>
  <c r="GH1534" i="98"/>
  <c r="GH1614" i="98"/>
  <c r="GH1214" i="98"/>
  <c r="GH814" i="98"/>
  <c r="GH254" i="98"/>
  <c r="GH1294" i="98"/>
  <c r="GH174" i="98"/>
  <c r="GH654" i="98"/>
  <c r="GH1374" i="98"/>
  <c r="GH334" i="98"/>
  <c r="GH1054" i="98"/>
  <c r="GH734" i="98"/>
  <c r="GH1134" i="98"/>
  <c r="GH974" i="98"/>
  <c r="GH494" i="98"/>
  <c r="GH345" i="98"/>
  <c r="GH1625" i="98"/>
  <c r="GH425" i="98"/>
  <c r="GH905" i="98"/>
  <c r="GH1305" i="98"/>
  <c r="GH25" i="98"/>
  <c r="GH745" i="98"/>
  <c r="GH985" i="98"/>
  <c r="GH265" i="98"/>
  <c r="GH1545" i="98"/>
  <c r="GH505" i="98"/>
  <c r="GH1385" i="98"/>
  <c r="GH1225" i="98"/>
  <c r="GH1465" i="98"/>
  <c r="GH585" i="98"/>
  <c r="GH825" i="98"/>
  <c r="GH665" i="98"/>
  <c r="GH1145" i="98"/>
  <c r="GH105" i="98"/>
  <c r="GH185" i="98"/>
  <c r="GH1065" i="98"/>
  <c r="GK459" i="98"/>
  <c r="GK1339" i="98"/>
  <c r="GK619" i="98"/>
  <c r="GK859" i="98"/>
  <c r="GK1419" i="98"/>
  <c r="GK59" i="98"/>
  <c r="GK939" i="98"/>
  <c r="GK299" i="98"/>
  <c r="GK1259" i="98"/>
  <c r="GK1659" i="98"/>
  <c r="GK139" i="98"/>
  <c r="GK1099" i="98"/>
  <c r="GK699" i="98"/>
  <c r="GK1579" i="98"/>
  <c r="GK779" i="98"/>
  <c r="GK379" i="98"/>
  <c r="GK1019" i="98"/>
  <c r="GK539" i="98"/>
  <c r="GK1179" i="98"/>
  <c r="GK1499" i="98"/>
  <c r="GK219" i="98"/>
  <c r="GO1381" i="98"/>
  <c r="GO421" i="98"/>
  <c r="GO661" i="98"/>
  <c r="GO181" i="98"/>
  <c r="GO261" i="98"/>
  <c r="GO1461" i="98"/>
  <c r="GO1301" i="98"/>
  <c r="GO1221" i="98"/>
  <c r="GO341" i="98"/>
  <c r="GO501" i="98"/>
  <c r="GO981" i="98"/>
  <c r="GO1141" i="98"/>
  <c r="GO1621" i="98"/>
  <c r="GO101" i="98"/>
  <c r="GO1061" i="98"/>
  <c r="GO21" i="98"/>
  <c r="GO741" i="98"/>
  <c r="GO581" i="98"/>
  <c r="GO1541" i="98"/>
  <c r="GO901" i="98"/>
  <c r="GO821" i="98"/>
  <c r="GH73" i="98"/>
  <c r="GH793" i="98"/>
  <c r="GH473" i="98"/>
  <c r="GH1353" i="98"/>
  <c r="GH553" i="98"/>
  <c r="GH1113" i="98"/>
  <c r="GH1673" i="98"/>
  <c r="GH1593" i="98"/>
  <c r="GH1433" i="98"/>
  <c r="GH233" i="98"/>
  <c r="GH953" i="98"/>
  <c r="GH713" i="98"/>
  <c r="GH313" i="98"/>
  <c r="GH1513" i="98"/>
  <c r="GH1193" i="98"/>
  <c r="GH1273" i="98"/>
  <c r="GH393" i="98"/>
  <c r="GH873" i="98"/>
  <c r="GH633" i="98"/>
  <c r="GH153" i="98"/>
  <c r="GH1033" i="98"/>
  <c r="GQ1298" i="98"/>
  <c r="GQ98" i="98"/>
  <c r="GQ658" i="98"/>
  <c r="GQ1538" i="98"/>
  <c r="GQ978" i="98"/>
  <c r="GQ18" i="98"/>
  <c r="GQ1058" i="98"/>
  <c r="GQ1458" i="98"/>
  <c r="GQ1138" i="98"/>
  <c r="GQ418" i="98"/>
  <c r="GQ1378" i="98"/>
  <c r="GQ578" i="98"/>
  <c r="GQ498" i="98"/>
  <c r="GQ818" i="98"/>
  <c r="GQ738" i="98"/>
  <c r="GQ338" i="98"/>
  <c r="GQ1218" i="98"/>
  <c r="GQ258" i="98"/>
  <c r="GQ1618" i="98"/>
  <c r="GQ178" i="98"/>
  <c r="GQ898" i="98"/>
  <c r="EV16" i="98"/>
  <c r="GA98" i="98"/>
  <c r="GA658" i="98"/>
  <c r="GA1618" i="98"/>
  <c r="GA1058" i="98"/>
  <c r="GA18" i="98"/>
  <c r="GA738" i="98"/>
  <c r="GA578" i="98"/>
  <c r="GA498" i="98"/>
  <c r="GA178" i="98"/>
  <c r="GA818" i="98"/>
  <c r="GA338" i="98"/>
  <c r="GA258" i="98"/>
  <c r="GA418" i="98"/>
  <c r="GA1218" i="98"/>
  <c r="GA1378" i="98"/>
  <c r="GA978" i="98"/>
  <c r="GA898" i="98"/>
  <c r="GA1298" i="98"/>
  <c r="GA1538" i="98"/>
  <c r="GA1138" i="98"/>
  <c r="GA1458" i="98"/>
  <c r="GO299" i="98"/>
  <c r="GO1659" i="98"/>
  <c r="GO1419" i="98"/>
  <c r="GO619" i="98"/>
  <c r="GO1259" i="98"/>
  <c r="GO539" i="98"/>
  <c r="GO459" i="98"/>
  <c r="GO1579" i="98"/>
  <c r="GO1179" i="98"/>
  <c r="GO219" i="98"/>
  <c r="GO59" i="98"/>
  <c r="GO379" i="98"/>
  <c r="GO939" i="98"/>
  <c r="GO1339" i="98"/>
  <c r="GO139" i="98"/>
  <c r="GO1499" i="98"/>
  <c r="GO1099" i="98"/>
  <c r="GO1019" i="98"/>
  <c r="GO699" i="98"/>
  <c r="GO859" i="98"/>
  <c r="GO779" i="98"/>
  <c r="GL539" i="98"/>
  <c r="GL699" i="98"/>
  <c r="GL779" i="98"/>
  <c r="GL379" i="98"/>
  <c r="GL1659" i="98"/>
  <c r="GL59" i="98"/>
  <c r="GL459" i="98"/>
  <c r="GL1339" i="98"/>
  <c r="GL1579" i="98"/>
  <c r="GL219" i="98"/>
  <c r="GL1259" i="98"/>
  <c r="GL1099" i="98"/>
  <c r="GL939" i="98"/>
  <c r="GL1499" i="98"/>
  <c r="GL1179" i="98"/>
  <c r="GL139" i="98"/>
  <c r="GL299" i="98"/>
  <c r="GL1019" i="98"/>
  <c r="GL619" i="98"/>
  <c r="GL859" i="98"/>
  <c r="GL1419" i="98"/>
  <c r="GK1373" i="98"/>
  <c r="GK733" i="98"/>
  <c r="GK173" i="98"/>
  <c r="GK973" i="98"/>
  <c r="GK493" i="98"/>
  <c r="GK1453" i="98"/>
  <c r="GK653" i="98"/>
  <c r="GK1293" i="98"/>
  <c r="GK1053" i="98"/>
  <c r="GK1213" i="98"/>
  <c r="GK1613" i="98"/>
  <c r="GK1533" i="98"/>
  <c r="GK93" i="98"/>
  <c r="GK813" i="98"/>
  <c r="GK893" i="98"/>
  <c r="GK13" i="98"/>
  <c r="GK573" i="98"/>
  <c r="GK253" i="98"/>
  <c r="GK413" i="98"/>
  <c r="GK333" i="98"/>
  <c r="GK1133" i="98"/>
  <c r="GN1298" i="98"/>
  <c r="GN1458" i="98"/>
  <c r="GN1138" i="98"/>
  <c r="GN578" i="98"/>
  <c r="GN898" i="98"/>
  <c r="GN1058" i="98"/>
  <c r="GN258" i="98"/>
  <c r="GN738" i="98"/>
  <c r="GN818" i="98"/>
  <c r="GN1378" i="98"/>
  <c r="GN18" i="98"/>
  <c r="GN98" i="98"/>
  <c r="GN658" i="98"/>
  <c r="GN178" i="98"/>
  <c r="GN1538" i="98"/>
  <c r="GN338" i="98"/>
  <c r="GN1218" i="98"/>
  <c r="GN498" i="98"/>
  <c r="GN1618" i="98"/>
  <c r="GN978" i="98"/>
  <c r="GN418" i="98"/>
  <c r="GF59" i="98"/>
  <c r="GF699" i="98"/>
  <c r="GF1099" i="98"/>
  <c r="GF1259" i="98"/>
  <c r="GF859" i="98"/>
  <c r="GF1659" i="98"/>
  <c r="GF459" i="98"/>
  <c r="GF1339" i="98"/>
  <c r="GF539" i="98"/>
  <c r="GF139" i="98"/>
  <c r="GF779" i="98"/>
  <c r="GF1019" i="98"/>
  <c r="GF299" i="98"/>
  <c r="GF1179" i="98"/>
  <c r="GF379" i="98"/>
  <c r="GF1579" i="98"/>
  <c r="GF939" i="98"/>
  <c r="GF619" i="98"/>
  <c r="GF219" i="98"/>
  <c r="GF1419" i="98"/>
  <c r="GF1499" i="98"/>
  <c r="GQ379" i="98"/>
  <c r="GQ1339" i="98"/>
  <c r="GQ1179" i="98"/>
  <c r="GQ699" i="98"/>
  <c r="GQ779" i="98"/>
  <c r="GQ459" i="98"/>
  <c r="GQ1579" i="98"/>
  <c r="GQ299" i="98"/>
  <c r="GQ139" i="98"/>
  <c r="GQ619" i="98"/>
  <c r="GQ1099" i="98"/>
  <c r="GQ939" i="98"/>
  <c r="GQ1419" i="98"/>
  <c r="GQ859" i="98"/>
  <c r="GQ1259" i="98"/>
  <c r="EV53" i="98"/>
  <c r="GQ1019" i="98"/>
  <c r="GQ539" i="98"/>
  <c r="GQ1499" i="98"/>
  <c r="GQ1659" i="98"/>
  <c r="GQ219" i="98"/>
  <c r="GQ59" i="98"/>
  <c r="GH1665" i="98"/>
  <c r="GH1585" i="98"/>
  <c r="GH1025" i="98"/>
  <c r="GH545" i="98"/>
  <c r="GH145" i="98"/>
  <c r="GH705" i="98"/>
  <c r="GH1345" i="98"/>
  <c r="GH1265" i="98"/>
  <c r="GH1425" i="98"/>
  <c r="GH465" i="98"/>
  <c r="GH625" i="98"/>
  <c r="GH865" i="98"/>
  <c r="GH1105" i="98"/>
  <c r="GH1505" i="98"/>
  <c r="GH225" i="98"/>
  <c r="GH65" i="98"/>
  <c r="GH385" i="98"/>
  <c r="GH945" i="98"/>
  <c r="GH785" i="98"/>
  <c r="GH1185" i="98"/>
  <c r="GH305" i="98"/>
  <c r="GQ1613" i="98"/>
  <c r="GQ173" i="98"/>
  <c r="GQ1053" i="98"/>
  <c r="GQ1373" i="98"/>
  <c r="GQ1133" i="98"/>
  <c r="EV12" i="98"/>
  <c r="GQ1453" i="98"/>
  <c r="GQ1293" i="98"/>
  <c r="GQ413" i="98"/>
  <c r="GQ893" i="98"/>
  <c r="GQ253" i="98"/>
  <c r="GQ13" i="98"/>
  <c r="GQ1533" i="98"/>
  <c r="GQ93" i="98"/>
  <c r="GQ653" i="98"/>
  <c r="GQ813" i="98"/>
  <c r="GQ1213" i="98"/>
  <c r="GQ973" i="98"/>
  <c r="GQ573" i="98"/>
  <c r="GQ733" i="98"/>
  <c r="GQ333" i="98"/>
  <c r="GQ493" i="98"/>
  <c r="GL18" i="98"/>
  <c r="GL1138" i="98"/>
  <c r="GL178" i="98"/>
  <c r="GL1378" i="98"/>
  <c r="GL978" i="98"/>
  <c r="GL1458" i="98"/>
  <c r="GL1538" i="98"/>
  <c r="GL1218" i="98"/>
  <c r="GL1618" i="98"/>
  <c r="GL98" i="98"/>
  <c r="GL258" i="98"/>
  <c r="GL1298" i="98"/>
  <c r="GL658" i="98"/>
  <c r="GL338" i="98"/>
  <c r="GL738" i="98"/>
  <c r="GL418" i="98"/>
  <c r="GL1058" i="98"/>
  <c r="GL578" i="98"/>
  <c r="GL498" i="98"/>
  <c r="GL818" i="98"/>
  <c r="GL898" i="98"/>
  <c r="GF1538" i="98"/>
  <c r="GF98" i="98"/>
  <c r="GF178" i="98"/>
  <c r="GF338" i="98"/>
  <c r="GF498" i="98"/>
  <c r="GF1298" i="98"/>
  <c r="GF658" i="98"/>
  <c r="GF818" i="98"/>
  <c r="GF418" i="98"/>
  <c r="GF978" i="98"/>
  <c r="GF1218" i="98"/>
  <c r="GF1378" i="98"/>
  <c r="GF578" i="98"/>
  <c r="GF898" i="98"/>
  <c r="GF1458" i="98"/>
  <c r="GF18" i="98"/>
  <c r="GF1138" i="98"/>
  <c r="GF1058" i="98"/>
  <c r="GF1618" i="98"/>
  <c r="GF258" i="98"/>
  <c r="GF738" i="98"/>
  <c r="GN1019" i="98"/>
  <c r="GN1179" i="98"/>
  <c r="GN779" i="98"/>
  <c r="GN139" i="98"/>
  <c r="GN1419" i="98"/>
  <c r="GN59" i="98"/>
  <c r="GN939" i="98"/>
  <c r="GN1099" i="98"/>
  <c r="GN1579" i="98"/>
  <c r="GN1259" i="98"/>
  <c r="GN699" i="98"/>
  <c r="GN539" i="98"/>
  <c r="GN1339" i="98"/>
  <c r="GN219" i="98"/>
  <c r="GN1499" i="98"/>
  <c r="GN1659" i="98"/>
  <c r="GN459" i="98"/>
  <c r="GN299" i="98"/>
  <c r="GN859" i="98"/>
  <c r="GN619" i="98"/>
  <c r="GN379" i="98"/>
  <c r="GA219" i="98"/>
  <c r="GA939" i="98"/>
  <c r="GA619" i="98"/>
  <c r="GA779" i="98"/>
  <c r="GA299" i="98"/>
  <c r="GA1659" i="98"/>
  <c r="GA59" i="98"/>
  <c r="GA699" i="98"/>
  <c r="GA1579" i="98"/>
  <c r="GA1339" i="98"/>
  <c r="GA1419" i="98"/>
  <c r="GA1179" i="98"/>
  <c r="GA1259" i="98"/>
  <c r="GA1019" i="98"/>
  <c r="GA139" i="98"/>
  <c r="GA379" i="98"/>
  <c r="GA859" i="98"/>
  <c r="GA539" i="98"/>
  <c r="GA1099" i="98"/>
  <c r="GA459" i="98"/>
  <c r="GA1499" i="98"/>
  <c r="GK1381" i="98"/>
  <c r="GK341" i="98"/>
  <c r="GK101" i="98"/>
  <c r="GK1301" i="98"/>
  <c r="GK1141" i="98"/>
  <c r="GK741" i="98"/>
  <c r="GK981" i="98"/>
  <c r="GK581" i="98"/>
  <c r="GK181" i="98"/>
  <c r="GK1221" i="98"/>
  <c r="GK21" i="98"/>
  <c r="GK421" i="98"/>
  <c r="GK661" i="98"/>
  <c r="GK901" i="98"/>
  <c r="GK1541" i="98"/>
  <c r="GK1061" i="98"/>
  <c r="GK1461" i="98"/>
  <c r="GK261" i="98"/>
  <c r="GK1621" i="98"/>
  <c r="GK821" i="98"/>
  <c r="GK501" i="98"/>
  <c r="GH403" i="98"/>
  <c r="GH1203" i="98"/>
  <c r="GH883" i="98"/>
  <c r="GH643" i="98"/>
  <c r="GH963" i="98"/>
  <c r="GH1043" i="98"/>
  <c r="GH1523" i="98"/>
  <c r="GH1123" i="98"/>
  <c r="GH1443" i="98"/>
  <c r="GH563" i="98"/>
  <c r="GH1363" i="98"/>
  <c r="GH323" i="98"/>
  <c r="GH243" i="98"/>
  <c r="GH163" i="98"/>
  <c r="GH1283" i="98"/>
  <c r="GH83" i="98"/>
  <c r="GH1603" i="98"/>
  <c r="GH803" i="98"/>
  <c r="GH483" i="98"/>
  <c r="GH1683" i="98"/>
  <c r="GH723" i="98"/>
  <c r="GK1058" i="98"/>
  <c r="GK98" i="98"/>
  <c r="GK738" i="98"/>
  <c r="GK978" i="98"/>
  <c r="GK418" i="98"/>
  <c r="GK18" i="98"/>
  <c r="GK578" i="98"/>
  <c r="GK258" i="98"/>
  <c r="GK1138" i="98"/>
  <c r="GK1538" i="98"/>
  <c r="GK1458" i="98"/>
  <c r="GK1298" i="98"/>
  <c r="GK498" i="98"/>
  <c r="GK658" i="98"/>
  <c r="GK178" i="98"/>
  <c r="GK338" i="98"/>
  <c r="GK1218" i="98"/>
  <c r="GK1378" i="98"/>
  <c r="GK1618" i="98"/>
  <c r="GK818" i="98"/>
  <c r="GK898" i="98"/>
  <c r="GO1538" i="98"/>
  <c r="GO1298" i="98"/>
  <c r="GO338" i="98"/>
  <c r="GO258" i="98"/>
  <c r="GO978" i="98"/>
  <c r="GO1618" i="98"/>
  <c r="GO658" i="98"/>
  <c r="GO498" i="98"/>
  <c r="GO738" i="98"/>
  <c r="GO418" i="98"/>
  <c r="GO1138" i="98"/>
  <c r="GO578" i="98"/>
  <c r="GO98" i="98"/>
  <c r="GO1058" i="98"/>
  <c r="GO818" i="98"/>
  <c r="GO18" i="98"/>
  <c r="GO1218" i="98"/>
  <c r="GO178" i="98"/>
  <c r="GO1378" i="98"/>
  <c r="GO898" i="98"/>
  <c r="GO1458" i="98"/>
  <c r="GQ1142" i="98"/>
  <c r="GQ102" i="98"/>
  <c r="GQ662" i="98"/>
  <c r="GQ1222" i="98"/>
  <c r="GQ502" i="98"/>
  <c r="GQ1622" i="98"/>
  <c r="GQ582" i="98"/>
  <c r="GQ902" i="98"/>
  <c r="GQ182" i="98"/>
  <c r="GQ982" i="98"/>
  <c r="EV20" i="98"/>
  <c r="GQ1382" i="98"/>
  <c r="GQ1062" i="98"/>
  <c r="GQ342" i="98"/>
  <c r="GQ1542" i="98"/>
  <c r="GQ822" i="98"/>
  <c r="GQ22" i="98"/>
  <c r="GQ1462" i="98"/>
  <c r="GQ262" i="98"/>
  <c r="GQ422" i="98"/>
  <c r="GQ1302" i="98"/>
  <c r="GQ742" i="98"/>
  <c r="GN1142" i="98"/>
  <c r="GN102" i="98"/>
  <c r="GN1382" i="98"/>
  <c r="GN1302" i="98"/>
  <c r="GN502" i="98"/>
  <c r="GN582" i="98"/>
  <c r="GN662" i="98"/>
  <c r="GN422" i="98"/>
  <c r="GN982" i="98"/>
  <c r="GN1222" i="98"/>
  <c r="GN22" i="98"/>
  <c r="GN1062" i="98"/>
  <c r="GN902" i="98"/>
  <c r="GN1462" i="98"/>
  <c r="GN742" i="98"/>
  <c r="GN342" i="98"/>
  <c r="GN1622" i="98"/>
  <c r="GN262" i="98"/>
  <c r="GN182" i="98"/>
  <c r="GN1542" i="98"/>
  <c r="GN822" i="98"/>
  <c r="GF1462" i="98"/>
  <c r="GF1142" i="98"/>
  <c r="GF902" i="98"/>
  <c r="GF1062" i="98"/>
  <c r="GF822" i="98"/>
  <c r="GF1542" i="98"/>
  <c r="GF662" i="98"/>
  <c r="GF182" i="98"/>
  <c r="GF102" i="98"/>
  <c r="GF982" i="98"/>
  <c r="GF1622" i="98"/>
  <c r="GF582" i="98"/>
  <c r="GF502" i="98"/>
  <c r="GF422" i="98"/>
  <c r="GF1302" i="98"/>
  <c r="GF22" i="98"/>
  <c r="GF1382" i="98"/>
  <c r="GF262" i="98"/>
  <c r="GF742" i="98"/>
  <c r="GF342" i="98"/>
  <c r="GF1222" i="98"/>
  <c r="GA102" i="98"/>
  <c r="GA262" i="98"/>
  <c r="GA342" i="98"/>
  <c r="GA582" i="98"/>
  <c r="GA982" i="98"/>
  <c r="GA422" i="98"/>
  <c r="GA1622" i="98"/>
  <c r="GA1142" i="98"/>
  <c r="GA22" i="98"/>
  <c r="GA1302" i="98"/>
  <c r="GA182" i="98"/>
  <c r="GA1382" i="98"/>
  <c r="GA1542" i="98"/>
  <c r="GA1222" i="98"/>
  <c r="GA742" i="98"/>
  <c r="GA902" i="98"/>
  <c r="GA822" i="98"/>
  <c r="GA1462" i="98"/>
  <c r="GA502" i="98"/>
  <c r="GA1062" i="98"/>
  <c r="GA662" i="98"/>
  <c r="GO1622" i="98"/>
  <c r="GO582" i="98"/>
  <c r="GO902" i="98"/>
  <c r="GO1462" i="98"/>
  <c r="GO1302" i="98"/>
  <c r="GO1542" i="98"/>
  <c r="GO262" i="98"/>
  <c r="GO822" i="98"/>
  <c r="GO502" i="98"/>
  <c r="GO982" i="98"/>
  <c r="GO1142" i="98"/>
  <c r="GO182" i="98"/>
  <c r="GO1062" i="98"/>
  <c r="GO742" i="98"/>
  <c r="GO1222" i="98"/>
  <c r="GO22" i="98"/>
  <c r="GO662" i="98"/>
  <c r="GO102" i="98"/>
  <c r="GO1382" i="98"/>
  <c r="GO422" i="98"/>
  <c r="GO342" i="98"/>
  <c r="GL22" i="98"/>
  <c r="GL1142" i="98"/>
  <c r="GL102" i="98"/>
  <c r="GL422" i="98"/>
  <c r="GL1302" i="98"/>
  <c r="GL822" i="98"/>
  <c r="GL1542" i="98"/>
  <c r="GL1062" i="98"/>
  <c r="GL182" i="98"/>
  <c r="GL742" i="98"/>
  <c r="GL342" i="98"/>
  <c r="GL1622" i="98"/>
  <c r="GL262" i="98"/>
  <c r="GL902" i="98"/>
  <c r="GL1382" i="98"/>
  <c r="GL1222" i="98"/>
  <c r="GL582" i="98"/>
  <c r="GL662" i="98"/>
  <c r="GL1462" i="98"/>
  <c r="GL982" i="98"/>
  <c r="GL502" i="98"/>
  <c r="GK582" i="98"/>
  <c r="GK902" i="98"/>
  <c r="GK742" i="98"/>
  <c r="GK1222" i="98"/>
  <c r="GK342" i="98"/>
  <c r="GK22" i="98"/>
  <c r="GK1142" i="98"/>
  <c r="GK662" i="98"/>
  <c r="GK1382" i="98"/>
  <c r="GK822" i="98"/>
  <c r="GK982" i="98"/>
  <c r="GK1622" i="98"/>
  <c r="GK262" i="98"/>
  <c r="GK182" i="98"/>
  <c r="GK1542" i="98"/>
  <c r="GK422" i="98"/>
  <c r="GK1062" i="98"/>
  <c r="GK102" i="98"/>
  <c r="GK1462" i="98"/>
  <c r="GK1302" i="98"/>
  <c r="GK502" i="98"/>
  <c r="BK445" i="83"/>
  <c r="BL445" i="83" s="1"/>
  <c r="GF759" i="98"/>
  <c r="GF1479" i="98"/>
  <c r="GF1079" i="98"/>
  <c r="GF519" i="98"/>
  <c r="GF919" i="98"/>
  <c r="GF677" i="98"/>
  <c r="GF1157" i="98"/>
  <c r="GF1477" i="98"/>
  <c r="GF837" i="98"/>
  <c r="GF517" i="98"/>
  <c r="GF277" i="98"/>
  <c r="GF357" i="98"/>
  <c r="GF437" i="98"/>
  <c r="GF1397" i="98"/>
  <c r="GH940" i="98"/>
  <c r="GH1340" i="98"/>
  <c r="GH860" i="98"/>
  <c r="GH140" i="98"/>
  <c r="GH1180" i="98"/>
  <c r="GF1237" i="98"/>
  <c r="GF917" i="98"/>
  <c r="GF1637" i="98"/>
  <c r="GF597" i="98"/>
  <c r="GF757" i="98"/>
  <c r="GF37" i="98"/>
  <c r="GH460" i="98"/>
  <c r="GH220" i="98"/>
  <c r="GH1580" i="98"/>
  <c r="GH300" i="98"/>
  <c r="GH1260" i="98"/>
  <c r="GF1077" i="98"/>
  <c r="GF997" i="98"/>
  <c r="GF1557" i="98"/>
  <c r="GF117" i="98"/>
  <c r="GH1020" i="98"/>
  <c r="GH1500" i="98"/>
  <c r="GH1660" i="98"/>
  <c r="GH700" i="98"/>
  <c r="GH380" i="98"/>
  <c r="GF119" i="98"/>
  <c r="GF679" i="98"/>
  <c r="GF999" i="98"/>
  <c r="GF599" i="98"/>
  <c r="GF279" i="98"/>
  <c r="GF39" i="98"/>
  <c r="GF1239" i="98"/>
  <c r="GF359" i="98"/>
  <c r="GF1319" i="98"/>
  <c r="GF1639" i="98"/>
  <c r="GF1159" i="98"/>
  <c r="GF1399" i="98"/>
  <c r="GF439" i="98"/>
  <c r="GF839" i="98"/>
  <c r="GF1559" i="98"/>
  <c r="GF118" i="98"/>
  <c r="GF438" i="98"/>
  <c r="GF1398" i="98"/>
  <c r="GF1078" i="98"/>
  <c r="GF518" i="98"/>
  <c r="GF358" i="98"/>
  <c r="GF998" i="98"/>
  <c r="GF198" i="98"/>
  <c r="GF1638" i="98"/>
  <c r="GF598" i="98"/>
  <c r="GF38" i="98"/>
  <c r="GF1158" i="98"/>
  <c r="GF1238" i="98"/>
  <c r="GF758" i="98"/>
  <c r="GF278" i="98"/>
  <c r="GF1478" i="98"/>
  <c r="GF918" i="98"/>
  <c r="GF1558" i="98"/>
  <c r="GF678" i="98"/>
  <c r="GF838" i="98"/>
  <c r="GF1080" i="98"/>
  <c r="GF1000" i="98"/>
  <c r="GF1560" i="98"/>
  <c r="GF200" i="98"/>
  <c r="GF1240" i="98"/>
  <c r="GF760" i="98"/>
  <c r="GF280" i="98"/>
  <c r="GF680" i="98"/>
  <c r="GF1640" i="98"/>
  <c r="GF1480" i="98"/>
  <c r="GF840" i="98"/>
  <c r="GF520" i="98"/>
  <c r="GF120" i="98"/>
  <c r="GF1320" i="98"/>
  <c r="GF1400" i="98"/>
  <c r="GF920" i="98"/>
  <c r="GF600" i="98"/>
  <c r="GF440" i="98"/>
  <c r="GF360" i="98"/>
  <c r="GF1160" i="98"/>
  <c r="GA1160" i="98"/>
  <c r="GA1080" i="98"/>
  <c r="GA1000" i="98"/>
  <c r="GA1560" i="98"/>
  <c r="GA1320" i="98"/>
  <c r="GA680" i="98"/>
  <c r="GA360" i="98"/>
  <c r="GA1400" i="98"/>
  <c r="GA40" i="98"/>
  <c r="GA440" i="98"/>
  <c r="GA760" i="98"/>
  <c r="GA120" i="98"/>
  <c r="GA520" i="98"/>
  <c r="GA600" i="98"/>
  <c r="GA280" i="98"/>
  <c r="GA1240" i="98"/>
  <c r="GA1640" i="98"/>
  <c r="GA200" i="98"/>
  <c r="GA1480" i="98"/>
  <c r="GA840" i="98"/>
  <c r="GA920" i="98"/>
  <c r="GA1477" i="98"/>
  <c r="GA1397" i="98"/>
  <c r="GA1317" i="98"/>
  <c r="GA1637" i="98"/>
  <c r="GA1237" i="98"/>
  <c r="GA757" i="98"/>
  <c r="GA1157" i="98"/>
  <c r="GA677" i="98"/>
  <c r="GA517" i="98"/>
  <c r="GA437" i="98"/>
  <c r="GA597" i="98"/>
  <c r="GA917" i="98"/>
  <c r="GA37" i="98"/>
  <c r="GA197" i="98"/>
  <c r="GA357" i="98"/>
  <c r="GA117" i="98"/>
  <c r="GA277" i="98"/>
  <c r="GA837" i="98"/>
  <c r="GA1077" i="98"/>
  <c r="GA1557" i="98"/>
  <c r="GA997" i="98"/>
  <c r="GA759" i="98"/>
  <c r="GA1639" i="98"/>
  <c r="GA1159" i="98"/>
  <c r="GA1399" i="98"/>
  <c r="GA119" i="98"/>
  <c r="GA1559" i="98"/>
  <c r="GA999" i="98"/>
  <c r="GA39" i="98"/>
  <c r="GA1319" i="98"/>
  <c r="GA839" i="98"/>
  <c r="GA679" i="98"/>
  <c r="GA599" i="98"/>
  <c r="GA279" i="98"/>
  <c r="GA1479" i="98"/>
  <c r="GA519" i="98"/>
  <c r="GA439" i="98"/>
  <c r="GA1239" i="98"/>
  <c r="GA199" i="98"/>
  <c r="GA359" i="98"/>
  <c r="GA1079" i="98"/>
  <c r="GA919" i="98"/>
  <c r="GA598" i="98"/>
  <c r="GA358" i="98"/>
  <c r="GA1238" i="98"/>
  <c r="GA1478" i="98"/>
  <c r="GA838" i="98"/>
  <c r="GA1158" i="98"/>
  <c r="GA118" i="98"/>
  <c r="GA918" i="98"/>
  <c r="GA1398" i="98"/>
  <c r="GA1638" i="98"/>
  <c r="GA1318" i="98"/>
  <c r="GA1558" i="98"/>
  <c r="GA998" i="98"/>
  <c r="GA1078" i="98"/>
  <c r="GA278" i="98"/>
  <c r="GA678" i="98"/>
  <c r="GA198" i="98"/>
  <c r="GA518" i="98"/>
  <c r="GA38" i="98"/>
  <c r="GA758" i="98"/>
  <c r="GA438" i="98"/>
  <c r="GL37" i="98"/>
  <c r="GL1637" i="98"/>
  <c r="GL1397" i="98"/>
  <c r="GL1557" i="98"/>
  <c r="GL1477" i="98"/>
  <c r="GL1317" i="98"/>
  <c r="GL997" i="98"/>
  <c r="GL757" i="98"/>
  <c r="GL677" i="98"/>
  <c r="GL437" i="98"/>
  <c r="GL597" i="98"/>
  <c r="GL117" i="98"/>
  <c r="GL1157" i="98"/>
  <c r="GL357" i="98"/>
  <c r="GL277" i="98"/>
  <c r="GL837" i="98"/>
  <c r="GL917" i="98"/>
  <c r="GL517" i="98"/>
  <c r="GL197" i="98"/>
  <c r="GL1237" i="98"/>
  <c r="GL1077" i="98"/>
  <c r="GQ199" i="98"/>
  <c r="GQ1159" i="98"/>
  <c r="GQ519" i="98"/>
  <c r="GQ1639" i="98"/>
  <c r="GQ599" i="98"/>
  <c r="GQ839" i="98"/>
  <c r="GQ1399" i="98"/>
  <c r="GQ1479" i="98"/>
  <c r="GQ359" i="98"/>
  <c r="GQ919" i="98"/>
  <c r="GQ439" i="98"/>
  <c r="GQ279" i="98"/>
  <c r="GQ1319" i="98"/>
  <c r="GQ1239" i="98"/>
  <c r="GQ759" i="98"/>
  <c r="GQ679" i="98"/>
  <c r="GQ1079" i="98"/>
  <c r="GQ999" i="98"/>
  <c r="GQ1559" i="98"/>
  <c r="GQ119" i="98"/>
  <c r="GL39" i="98"/>
  <c r="GL279" i="98"/>
  <c r="GL199" i="98"/>
  <c r="GL1159" i="98"/>
  <c r="GL759" i="98"/>
  <c r="GL599" i="98"/>
  <c r="GL1559" i="98"/>
  <c r="GL1639" i="98"/>
  <c r="GL359" i="98"/>
  <c r="GL999" i="98"/>
  <c r="GL1479" i="98"/>
  <c r="GL839" i="98"/>
  <c r="GL439" i="98"/>
  <c r="GL519" i="98"/>
  <c r="GL919" i="98"/>
  <c r="GL1399" i="98"/>
  <c r="GL1079" i="98"/>
  <c r="GL1239" i="98"/>
  <c r="GL679" i="98"/>
  <c r="GL1319" i="98"/>
  <c r="GL119" i="98"/>
  <c r="GL38" i="98"/>
  <c r="GL1318" i="98"/>
  <c r="GL598" i="98"/>
  <c r="GL198" i="98"/>
  <c r="GL838" i="98"/>
  <c r="GL1558" i="98"/>
  <c r="GL278" i="98"/>
  <c r="GL518" i="98"/>
  <c r="GL758" i="98"/>
  <c r="GL998" i="98"/>
  <c r="GL1638" i="98"/>
  <c r="GL1078" i="98"/>
  <c r="GL1478" i="98"/>
  <c r="GL118" i="98"/>
  <c r="GL1398" i="98"/>
  <c r="GL678" i="98"/>
  <c r="GL1158" i="98"/>
  <c r="GL358" i="98"/>
  <c r="GL438" i="98"/>
  <c r="GL918" i="98"/>
  <c r="GL1238" i="98"/>
  <c r="GO40" i="98"/>
  <c r="GO1480" i="98"/>
  <c r="GO1400" i="98"/>
  <c r="GO1320" i="98"/>
  <c r="GO520" i="98"/>
  <c r="GO360" i="98"/>
  <c r="GO1000" i="98"/>
  <c r="GO680" i="98"/>
  <c r="GO280" i="98"/>
  <c r="GO760" i="98"/>
  <c r="GO440" i="98"/>
  <c r="GO840" i="98"/>
  <c r="GO1160" i="98"/>
  <c r="GO120" i="98"/>
  <c r="GO920" i="98"/>
  <c r="GO1080" i="98"/>
  <c r="GO1560" i="98"/>
  <c r="GO1640" i="98"/>
  <c r="GO1240" i="98"/>
  <c r="GO200" i="98"/>
  <c r="GO600" i="98"/>
  <c r="GQ1007" i="98"/>
  <c r="GQ367" i="98"/>
  <c r="GQ127" i="98"/>
  <c r="GQ1407" i="98"/>
  <c r="GQ1167" i="98"/>
  <c r="GQ207" i="98"/>
  <c r="GQ527" i="98"/>
  <c r="GQ607" i="98"/>
  <c r="GQ687" i="98"/>
  <c r="GQ847" i="98"/>
  <c r="GQ927" i="98"/>
  <c r="GQ287" i="98"/>
  <c r="GQ1647" i="98"/>
  <c r="GQ1087" i="98"/>
  <c r="GQ1327" i="98"/>
  <c r="GQ1487" i="98"/>
  <c r="GQ1247" i="98"/>
  <c r="GQ767" i="98"/>
  <c r="GQ1567" i="98"/>
  <c r="GQ447" i="98"/>
  <c r="GF47" i="98"/>
  <c r="GF527" i="98"/>
  <c r="GF1407" i="98"/>
  <c r="GF447" i="98"/>
  <c r="GF1567" i="98"/>
  <c r="GF127" i="98"/>
  <c r="GF1247" i="98"/>
  <c r="GF1167" i="98"/>
  <c r="GF687" i="98"/>
  <c r="GF767" i="98"/>
  <c r="GF1087" i="98"/>
  <c r="GF287" i="98"/>
  <c r="GF847" i="98"/>
  <c r="GF207" i="98"/>
  <c r="GF927" i="98"/>
  <c r="GF1327" i="98"/>
  <c r="GF607" i="98"/>
  <c r="GF1487" i="98"/>
  <c r="GF1007" i="98"/>
  <c r="GF367" i="98"/>
  <c r="GF1647" i="98"/>
  <c r="GN50" i="98"/>
  <c r="GN1650" i="98"/>
  <c r="GN1170" i="98"/>
  <c r="GN1250" i="98"/>
  <c r="GN1090" i="98"/>
  <c r="GN610" i="98"/>
  <c r="GN1410" i="98"/>
  <c r="GN370" i="98"/>
  <c r="GN210" i="98"/>
  <c r="GN690" i="98"/>
  <c r="GN1010" i="98"/>
  <c r="GN130" i="98"/>
  <c r="GN1570" i="98"/>
  <c r="GN770" i="98"/>
  <c r="GN1330" i="98"/>
  <c r="GN1490" i="98"/>
  <c r="GN530" i="98"/>
  <c r="GN850" i="98"/>
  <c r="GN290" i="98"/>
  <c r="GN930" i="98"/>
  <c r="GN450" i="98"/>
  <c r="GO49" i="98"/>
  <c r="GO1569" i="98"/>
  <c r="GO1649" i="98"/>
  <c r="GO1489" i="98"/>
  <c r="GO1329" i="98"/>
  <c r="GO769" i="98"/>
  <c r="GO689" i="98"/>
  <c r="GO369" i="98"/>
  <c r="GO129" i="98"/>
  <c r="GO449" i="98"/>
  <c r="GO529" i="98"/>
  <c r="GO1409" i="98"/>
  <c r="GO849" i="98"/>
  <c r="GO1009" i="98"/>
  <c r="GO609" i="98"/>
  <c r="GO1089" i="98"/>
  <c r="GO209" i="98"/>
  <c r="GO1249" i="98"/>
  <c r="GO1169" i="98"/>
  <c r="GO289" i="98"/>
  <c r="GO929" i="98"/>
  <c r="GL49" i="98"/>
  <c r="GL1569" i="98"/>
  <c r="GL1329" i="98"/>
  <c r="GL1649" i="98"/>
  <c r="GL1489" i="98"/>
  <c r="GL769" i="98"/>
  <c r="GL609" i="98"/>
  <c r="GL689" i="98"/>
  <c r="GL449" i="98"/>
  <c r="GL129" i="98"/>
  <c r="GL369" i="98"/>
  <c r="GL1409" i="98"/>
  <c r="GL849" i="98"/>
  <c r="GL929" i="98"/>
  <c r="GL1009" i="98"/>
  <c r="GL209" i="98"/>
  <c r="GL529" i="98"/>
  <c r="GL1249" i="98"/>
  <c r="GL1169" i="98"/>
  <c r="GL289" i="98"/>
  <c r="GL1089" i="98"/>
  <c r="GL48" i="98"/>
  <c r="GL1408" i="98"/>
  <c r="GL1248" i="98"/>
  <c r="GL448" i="98"/>
  <c r="GL288" i="98"/>
  <c r="GL368" i="98"/>
  <c r="GL1488" i="98"/>
  <c r="GL1328" i="98"/>
  <c r="GL528" i="98"/>
  <c r="GL1168" i="98"/>
  <c r="GL1568" i="98"/>
  <c r="GL1648" i="98"/>
  <c r="GL848" i="98"/>
  <c r="GL928" i="98"/>
  <c r="GL608" i="98"/>
  <c r="GL208" i="98"/>
  <c r="GL768" i="98"/>
  <c r="GL1008" i="98"/>
  <c r="GL128" i="98"/>
  <c r="GL688" i="98"/>
  <c r="GL1088" i="98"/>
  <c r="GH52" i="98"/>
  <c r="GH1652" i="98"/>
  <c r="GH1572" i="98"/>
  <c r="GH1252" i="98"/>
  <c r="GH1172" i="98"/>
  <c r="GH1492" i="98"/>
  <c r="GH1412" i="98"/>
  <c r="GH1332" i="98"/>
  <c r="GH532" i="98"/>
  <c r="GH292" i="98"/>
  <c r="GH212" i="98"/>
  <c r="GH132" i="98"/>
  <c r="GH772" i="98"/>
  <c r="GH372" i="98"/>
  <c r="GH1092" i="98"/>
  <c r="GH932" i="98"/>
  <c r="GH852" i="98"/>
  <c r="GH692" i="98"/>
  <c r="GH452" i="98"/>
  <c r="GH612" i="98"/>
  <c r="GH1012" i="98"/>
  <c r="GH44" i="98"/>
  <c r="GH1244" i="98"/>
  <c r="GH204" i="98"/>
  <c r="GH684" i="98"/>
  <c r="GH604" i="98"/>
  <c r="GH1644" i="98"/>
  <c r="GH1004" i="98"/>
  <c r="GH364" i="98"/>
  <c r="GH844" i="98"/>
  <c r="GH1164" i="98"/>
  <c r="GH124" i="98"/>
  <c r="GH284" i="98"/>
  <c r="GH1564" i="98"/>
  <c r="GH1324" i="98"/>
  <c r="GH1404" i="98"/>
  <c r="GH1484" i="98"/>
  <c r="GH1084" i="98"/>
  <c r="GH924" i="98"/>
  <c r="GH444" i="98"/>
  <c r="GH524" i="98"/>
  <c r="GH764" i="98"/>
  <c r="GH43" i="98"/>
  <c r="GH283" i="98"/>
  <c r="GH123" i="98"/>
  <c r="GH1323" i="98"/>
  <c r="GH1643" i="98"/>
  <c r="GH1563" i="98"/>
  <c r="GH1163" i="98"/>
  <c r="GH363" i="98"/>
  <c r="GH1243" i="98"/>
  <c r="GH523" i="98"/>
  <c r="GH843" i="98"/>
  <c r="GH203" i="98"/>
  <c r="GH1083" i="98"/>
  <c r="GH443" i="98"/>
  <c r="GH683" i="98"/>
  <c r="GH923" i="98"/>
  <c r="GH1003" i="98"/>
  <c r="GH763" i="98"/>
  <c r="GH1483" i="98"/>
  <c r="GH1403" i="98"/>
  <c r="GH603" i="98"/>
  <c r="GH53" i="98"/>
  <c r="GH1333" i="98"/>
  <c r="GH1493" i="98"/>
  <c r="GH1413" i="98"/>
  <c r="GH773" i="98"/>
  <c r="GH613" i="98"/>
  <c r="GH133" i="98"/>
  <c r="GH293" i="98"/>
  <c r="GH213" i="98"/>
  <c r="GH533" i="98"/>
  <c r="GH1173" i="98"/>
  <c r="GH693" i="98"/>
  <c r="GH1573" i="98"/>
  <c r="GH933" i="98"/>
  <c r="GH1653" i="98"/>
  <c r="GH373" i="98"/>
  <c r="GH1253" i="98"/>
  <c r="GH853" i="98"/>
  <c r="GH1013" i="98"/>
  <c r="GH453" i="98"/>
  <c r="GH1093" i="98"/>
  <c r="GH41" i="98"/>
  <c r="GH1001" i="98"/>
  <c r="GH681" i="98"/>
  <c r="GH361" i="98"/>
  <c r="GH121" i="98"/>
  <c r="GH441" i="98"/>
  <c r="GH1401" i="98"/>
  <c r="GH761" i="98"/>
  <c r="GH1161" i="98"/>
  <c r="GH1481" i="98"/>
  <c r="GH1561" i="98"/>
  <c r="GH601" i="98"/>
  <c r="GH1321" i="98"/>
  <c r="GH1641" i="98"/>
  <c r="GH921" i="98"/>
  <c r="GH841" i="98"/>
  <c r="GH1241" i="98"/>
  <c r="GH281" i="98"/>
  <c r="GH201" i="98"/>
  <c r="GH1081" i="98"/>
  <c r="GH521" i="98"/>
  <c r="GQ1397" i="98"/>
  <c r="GQ1637" i="98"/>
  <c r="GQ1317" i="98"/>
  <c r="GQ1477" i="98"/>
  <c r="GQ757" i="98"/>
  <c r="GQ677" i="98"/>
  <c r="GQ437" i="98"/>
  <c r="GQ117" i="98"/>
  <c r="GQ1157" i="98"/>
  <c r="GQ197" i="98"/>
  <c r="GQ357" i="98"/>
  <c r="GQ517" i="98"/>
  <c r="GQ997" i="98"/>
  <c r="GQ277" i="98"/>
  <c r="GQ597" i="98"/>
  <c r="GQ1557" i="98"/>
  <c r="GQ917" i="98"/>
  <c r="GQ837" i="98"/>
  <c r="GQ1237" i="98"/>
  <c r="GQ1077" i="98"/>
  <c r="GO39" i="98"/>
  <c r="GO199" i="98"/>
  <c r="GO279" i="98"/>
  <c r="GO1159" i="98"/>
  <c r="GO1559" i="98"/>
  <c r="GO519" i="98"/>
  <c r="GO839" i="98"/>
  <c r="GO599" i="98"/>
  <c r="GO999" i="98"/>
  <c r="GO1319" i="98"/>
  <c r="GO1639" i="98"/>
  <c r="GO1479" i="98"/>
  <c r="GO919" i="98"/>
  <c r="GO359" i="98"/>
  <c r="GO439" i="98"/>
  <c r="GO1239" i="98"/>
  <c r="GO679" i="98"/>
  <c r="GO119" i="98"/>
  <c r="GO1079" i="98"/>
  <c r="GO1399" i="98"/>
  <c r="GO759" i="98"/>
  <c r="GQ1398" i="98"/>
  <c r="GQ1318" i="98"/>
  <c r="GQ1078" i="98"/>
  <c r="GQ1478" i="98"/>
  <c r="GQ118" i="98"/>
  <c r="GQ838" i="98"/>
  <c r="GQ278" i="98"/>
  <c r="GQ918" i="98"/>
  <c r="GQ518" i="98"/>
  <c r="GQ358" i="98"/>
  <c r="GQ1558" i="98"/>
  <c r="GQ438" i="98"/>
  <c r="GQ598" i="98"/>
  <c r="GQ198" i="98"/>
  <c r="GQ1238" i="98"/>
  <c r="GQ1638" i="98"/>
  <c r="GQ998" i="98"/>
  <c r="GQ1158" i="98"/>
  <c r="GQ678" i="98"/>
  <c r="GQ758" i="98"/>
  <c r="GN38" i="98"/>
  <c r="GN1318" i="98"/>
  <c r="GN918" i="98"/>
  <c r="GN278" i="98"/>
  <c r="GN198" i="98"/>
  <c r="GN838" i="98"/>
  <c r="GN118" i="98"/>
  <c r="GN1558" i="98"/>
  <c r="GN518" i="98"/>
  <c r="GN1398" i="98"/>
  <c r="GN438" i="98"/>
  <c r="GN1078" i="98"/>
  <c r="GN998" i="98"/>
  <c r="GN1478" i="98"/>
  <c r="GN598" i="98"/>
  <c r="GN1638" i="98"/>
  <c r="GN1158" i="98"/>
  <c r="GN758" i="98"/>
  <c r="GN358" i="98"/>
  <c r="GN1238" i="98"/>
  <c r="GN678" i="98"/>
  <c r="GQ1400" i="98"/>
  <c r="GQ1320" i="98"/>
  <c r="GQ1480" i="98"/>
  <c r="GQ520" i="98"/>
  <c r="GQ360" i="98"/>
  <c r="GQ760" i="98"/>
  <c r="GQ680" i="98"/>
  <c r="GQ1160" i="98"/>
  <c r="GQ120" i="98"/>
  <c r="GQ280" i="98"/>
  <c r="GQ1080" i="98"/>
  <c r="GQ1240" i="98"/>
  <c r="GQ1560" i="98"/>
  <c r="GQ1640" i="98"/>
  <c r="GQ440" i="98"/>
  <c r="GQ600" i="98"/>
  <c r="GQ920" i="98"/>
  <c r="GQ1000" i="98"/>
  <c r="GQ840" i="98"/>
  <c r="GQ200" i="98"/>
  <c r="GN47" i="98"/>
  <c r="GN527" i="98"/>
  <c r="GN1247" i="98"/>
  <c r="GN127" i="98"/>
  <c r="GN1007" i="98"/>
  <c r="GN367" i="98"/>
  <c r="GN1407" i="98"/>
  <c r="GN1167" i="98"/>
  <c r="GN607" i="98"/>
  <c r="GN1087" i="98"/>
  <c r="GN687" i="98"/>
  <c r="GN287" i="98"/>
  <c r="GN207" i="98"/>
  <c r="GN847" i="98"/>
  <c r="GN927" i="98"/>
  <c r="GN767" i="98"/>
  <c r="GN1567" i="98"/>
  <c r="GN447" i="98"/>
  <c r="GN1327" i="98"/>
  <c r="GN1487" i="98"/>
  <c r="GN1647" i="98"/>
  <c r="GO50" i="98"/>
  <c r="GO1650" i="98"/>
  <c r="GO1170" i="98"/>
  <c r="GO1010" i="98"/>
  <c r="GO1250" i="98"/>
  <c r="GO690" i="98"/>
  <c r="GO290" i="98"/>
  <c r="GO530" i="98"/>
  <c r="GO130" i="98"/>
  <c r="GO610" i="98"/>
  <c r="GO850" i="98"/>
  <c r="GO930" i="98"/>
  <c r="GO1090" i="98"/>
  <c r="GO210" i="98"/>
  <c r="GO770" i="98"/>
  <c r="GO1570" i="98"/>
  <c r="GO450" i="98"/>
  <c r="GO1490" i="98"/>
  <c r="GO1330" i="98"/>
  <c r="GO1410" i="98"/>
  <c r="GO370" i="98"/>
  <c r="GQ1170" i="98"/>
  <c r="GQ1250" i="98"/>
  <c r="GQ1650" i="98"/>
  <c r="GQ1090" i="98"/>
  <c r="GQ690" i="98"/>
  <c r="GQ130" i="98"/>
  <c r="GQ210" i="98"/>
  <c r="GQ370" i="98"/>
  <c r="GQ1010" i="98"/>
  <c r="GQ1570" i="98"/>
  <c r="GQ610" i="98"/>
  <c r="GQ1330" i="98"/>
  <c r="GQ1490" i="98"/>
  <c r="GQ530" i="98"/>
  <c r="GQ1410" i="98"/>
  <c r="GQ850" i="98"/>
  <c r="GQ770" i="98"/>
  <c r="GQ450" i="98"/>
  <c r="GQ290" i="98"/>
  <c r="GQ930" i="98"/>
  <c r="GK49" i="98"/>
  <c r="GK1649" i="98"/>
  <c r="GK1489" i="98"/>
  <c r="GK1329" i="98"/>
  <c r="GK689" i="98"/>
  <c r="GK769" i="98"/>
  <c r="GK129" i="98"/>
  <c r="GK1409" i="98"/>
  <c r="GK849" i="98"/>
  <c r="GK449" i="98"/>
  <c r="GK529" i="98"/>
  <c r="GK609" i="98"/>
  <c r="GK1009" i="98"/>
  <c r="GK369" i="98"/>
  <c r="GK209" i="98"/>
  <c r="GK1569" i="98"/>
  <c r="GK1249" i="98"/>
  <c r="GK1089" i="98"/>
  <c r="GK1169" i="98"/>
  <c r="GK289" i="98"/>
  <c r="GK929" i="98"/>
  <c r="GO48" i="98"/>
  <c r="GO1488" i="98"/>
  <c r="GO1408" i="98"/>
  <c r="GO448" i="98"/>
  <c r="GO288" i="98"/>
  <c r="GO528" i="98"/>
  <c r="GO768" i="98"/>
  <c r="GO688" i="98"/>
  <c r="GO128" i="98"/>
  <c r="GO1568" i="98"/>
  <c r="GO1648" i="98"/>
  <c r="GO368" i="98"/>
  <c r="GO1248" i="98"/>
  <c r="GO1168" i="98"/>
  <c r="GO608" i="98"/>
  <c r="GO1328" i="98"/>
  <c r="GO1008" i="98"/>
  <c r="GO848" i="98"/>
  <c r="GO928" i="98"/>
  <c r="GO1088" i="98"/>
  <c r="GO208" i="98"/>
  <c r="GN48" i="98"/>
  <c r="GN1408" i="98"/>
  <c r="GN1248" i="98"/>
  <c r="GN448" i="98"/>
  <c r="GN288" i="98"/>
  <c r="GN528" i="98"/>
  <c r="GN928" i="98"/>
  <c r="GN848" i="98"/>
  <c r="GN1168" i="98"/>
  <c r="GN1568" i="98"/>
  <c r="GN1648" i="98"/>
  <c r="GN1008" i="98"/>
  <c r="GN608" i="98"/>
  <c r="GN368" i="98"/>
  <c r="GN1328" i="98"/>
  <c r="GN1488" i="98"/>
  <c r="GN208" i="98"/>
  <c r="GN128" i="98"/>
  <c r="GN768" i="98"/>
  <c r="GN688" i="98"/>
  <c r="GN1088" i="98"/>
  <c r="GK37" i="98"/>
  <c r="GK1397" i="98"/>
  <c r="GK1477" i="98"/>
  <c r="GK1317" i="98"/>
  <c r="GK757" i="98"/>
  <c r="GK677" i="98"/>
  <c r="GK437" i="98"/>
  <c r="GK597" i="98"/>
  <c r="GK117" i="98"/>
  <c r="GK1157" i="98"/>
  <c r="GK517" i="98"/>
  <c r="GK997" i="98"/>
  <c r="GK1557" i="98"/>
  <c r="GK837" i="98"/>
  <c r="GK1637" i="98"/>
  <c r="GK357" i="98"/>
  <c r="GK917" i="98"/>
  <c r="GK197" i="98"/>
  <c r="GK277" i="98"/>
  <c r="GK1237" i="98"/>
  <c r="GK1077" i="98"/>
  <c r="GK39" i="98"/>
  <c r="GK199" i="98"/>
  <c r="GK279" i="98"/>
  <c r="GK1159" i="98"/>
  <c r="GK519" i="98"/>
  <c r="GK1639" i="98"/>
  <c r="GK599" i="98"/>
  <c r="GK1479" i="98"/>
  <c r="GK359" i="98"/>
  <c r="GK439" i="98"/>
  <c r="GK1399" i="98"/>
  <c r="GK119" i="98"/>
  <c r="GK679" i="98"/>
  <c r="GK1319" i="98"/>
  <c r="GK999" i="98"/>
  <c r="GK1559" i="98"/>
  <c r="GK1079" i="98"/>
  <c r="GK919" i="98"/>
  <c r="GK1239" i="98"/>
  <c r="GK759" i="98"/>
  <c r="GK839" i="98"/>
  <c r="GK38" i="98"/>
  <c r="GK1318" i="98"/>
  <c r="GK1558" i="98"/>
  <c r="GK918" i="98"/>
  <c r="GK278" i="98"/>
  <c r="GK838" i="98"/>
  <c r="GK678" i="98"/>
  <c r="GK118" i="98"/>
  <c r="GK518" i="98"/>
  <c r="GK198" i="98"/>
  <c r="GK1478" i="98"/>
  <c r="GK438" i="98"/>
  <c r="GK598" i="98"/>
  <c r="GK1078" i="98"/>
  <c r="GK1398" i="98"/>
  <c r="GK1638" i="98"/>
  <c r="GK758" i="98"/>
  <c r="GK998" i="98"/>
  <c r="GK1158" i="98"/>
  <c r="GK1238" i="98"/>
  <c r="GK358" i="98"/>
  <c r="GN40" i="98"/>
  <c r="GN1400" i="98"/>
  <c r="GN1480" i="98"/>
  <c r="GN1320" i="98"/>
  <c r="GN1240" i="98"/>
  <c r="GN1640" i="98"/>
  <c r="GN1560" i="98"/>
  <c r="GN360" i="98"/>
  <c r="GN680" i="98"/>
  <c r="GN760" i="98"/>
  <c r="GN120" i="98"/>
  <c r="GN520" i="98"/>
  <c r="GN1160" i="98"/>
  <c r="GN920" i="98"/>
  <c r="GN1080" i="98"/>
  <c r="GN280" i="98"/>
  <c r="GN840" i="98"/>
  <c r="GN1000" i="98"/>
  <c r="GN600" i="98"/>
  <c r="GN200" i="98"/>
  <c r="GN440" i="98"/>
  <c r="GK40" i="98"/>
  <c r="GK1400" i="98"/>
  <c r="GK1480" i="98"/>
  <c r="GK1320" i="98"/>
  <c r="GK520" i="98"/>
  <c r="GK360" i="98"/>
  <c r="GK680" i="98"/>
  <c r="GK760" i="98"/>
  <c r="GK280" i="98"/>
  <c r="GK1160" i="98"/>
  <c r="GK920" i="98"/>
  <c r="GK120" i="98"/>
  <c r="GK1080" i="98"/>
  <c r="GK1240" i="98"/>
  <c r="GK1560" i="98"/>
  <c r="GK1640" i="98"/>
  <c r="GK840" i="98"/>
  <c r="GK1000" i="98"/>
  <c r="GK440" i="98"/>
  <c r="GK600" i="98"/>
  <c r="GK200" i="98"/>
  <c r="GL47" i="98"/>
  <c r="GL287" i="98"/>
  <c r="GL1007" i="98"/>
  <c r="GL1567" i="98"/>
  <c r="GL447" i="98"/>
  <c r="GL127" i="98"/>
  <c r="GL367" i="98"/>
  <c r="GL1407" i="98"/>
  <c r="GL1167" i="98"/>
  <c r="GL767" i="98"/>
  <c r="GL687" i="98"/>
  <c r="GL207" i="98"/>
  <c r="GL527" i="98"/>
  <c r="GL1087" i="98"/>
  <c r="GL927" i="98"/>
  <c r="GL847" i="98"/>
  <c r="GL1327" i="98"/>
  <c r="GL1247" i="98"/>
  <c r="GL1487" i="98"/>
  <c r="GL607" i="98"/>
  <c r="GL1647" i="98"/>
  <c r="GF50" i="98"/>
  <c r="GF1650" i="98"/>
  <c r="GF1570" i="98"/>
  <c r="GF1250" i="98"/>
  <c r="GF1170" i="98"/>
  <c r="GF130" i="98"/>
  <c r="GF610" i="98"/>
  <c r="GF930" i="98"/>
  <c r="GF1090" i="98"/>
  <c r="GF850" i="98"/>
  <c r="GF690" i="98"/>
  <c r="GF210" i="98"/>
  <c r="GF1010" i="98"/>
  <c r="GF450" i="98"/>
  <c r="GF1330" i="98"/>
  <c r="GF370" i="98"/>
  <c r="GF1410" i="98"/>
  <c r="GF290" i="98"/>
  <c r="GF770" i="98"/>
  <c r="GF1490" i="98"/>
  <c r="GF530" i="98"/>
  <c r="GK50" i="98"/>
  <c r="GK1250" i="98"/>
  <c r="GK1570" i="98"/>
  <c r="GK1170" i="98"/>
  <c r="GK1090" i="98"/>
  <c r="GK690" i="98"/>
  <c r="GK370" i="98"/>
  <c r="GK1010" i="98"/>
  <c r="GK210" i="98"/>
  <c r="GK610" i="98"/>
  <c r="GK130" i="98"/>
  <c r="GK770" i="98"/>
  <c r="GK1650" i="98"/>
  <c r="GK450" i="98"/>
  <c r="GK290" i="98"/>
  <c r="GK930" i="98"/>
  <c r="GK1490" i="98"/>
  <c r="GK1410" i="98"/>
  <c r="GK1330" i="98"/>
  <c r="GK530" i="98"/>
  <c r="GK850" i="98"/>
  <c r="GF49" i="98"/>
  <c r="GF1329" i="98"/>
  <c r="GF1489" i="98"/>
  <c r="GF609" i="98"/>
  <c r="GF129" i="98"/>
  <c r="GF689" i="98"/>
  <c r="GF449" i="98"/>
  <c r="GF1409" i="98"/>
  <c r="GF1009" i="98"/>
  <c r="GF1569" i="98"/>
  <c r="GF849" i="98"/>
  <c r="GF769" i="98"/>
  <c r="GF209" i="98"/>
  <c r="GF369" i="98"/>
  <c r="GF529" i="98"/>
  <c r="GF1169" i="98"/>
  <c r="GF1249" i="98"/>
  <c r="GF1649" i="98"/>
  <c r="GF929" i="98"/>
  <c r="GF289" i="98"/>
  <c r="GF1089" i="98"/>
  <c r="GK48" i="98"/>
  <c r="GK1408" i="98"/>
  <c r="GK288" i="98"/>
  <c r="GK448" i="98"/>
  <c r="GK368" i="98"/>
  <c r="GK848" i="98"/>
  <c r="GK1168" i="98"/>
  <c r="GK528" i="98"/>
  <c r="GK928" i="98"/>
  <c r="GK1568" i="98"/>
  <c r="GK1648" i="98"/>
  <c r="GK1248" i="98"/>
  <c r="GK608" i="98"/>
  <c r="GK1328" i="98"/>
  <c r="GK1488" i="98"/>
  <c r="GK128" i="98"/>
  <c r="GK768" i="98"/>
  <c r="GK688" i="98"/>
  <c r="GK1008" i="98"/>
  <c r="GK1088" i="98"/>
  <c r="GK208" i="98"/>
  <c r="GF48" i="98"/>
  <c r="GF1488" i="98"/>
  <c r="GF1328" i="98"/>
  <c r="GF1408" i="98"/>
  <c r="GF1248" i="98"/>
  <c r="GF1648" i="98"/>
  <c r="GF1568" i="98"/>
  <c r="GF288" i="98"/>
  <c r="GF448" i="98"/>
  <c r="GF768" i="98"/>
  <c r="GF928" i="98"/>
  <c r="GF688" i="98"/>
  <c r="GF528" i="98"/>
  <c r="GF848" i="98"/>
  <c r="GF128" i="98"/>
  <c r="GF368" i="98"/>
  <c r="GF1168" i="98"/>
  <c r="GF1008" i="98"/>
  <c r="GF608" i="98"/>
  <c r="GF208" i="98"/>
  <c r="GF1088" i="98"/>
  <c r="GH45" i="98"/>
  <c r="GH1325" i="98"/>
  <c r="GH1405" i="98"/>
  <c r="GH1485" i="98"/>
  <c r="GH1565" i="98"/>
  <c r="GH685" i="98"/>
  <c r="GH605" i="98"/>
  <c r="GH125" i="98"/>
  <c r="GH365" i="98"/>
  <c r="GH205" i="98"/>
  <c r="GH1645" i="98"/>
  <c r="GH525" i="98"/>
  <c r="GH765" i="98"/>
  <c r="GH1005" i="98"/>
  <c r="GH845" i="98"/>
  <c r="GH1245" i="98"/>
  <c r="GH1165" i="98"/>
  <c r="GH445" i="98"/>
  <c r="GH1085" i="98"/>
  <c r="GH925" i="98"/>
  <c r="GH285" i="98"/>
  <c r="GH51" i="98"/>
  <c r="GH531" i="98"/>
  <c r="GH1011" i="98"/>
  <c r="GH1331" i="98"/>
  <c r="GH1491" i="98"/>
  <c r="GH851" i="98"/>
  <c r="GH931" i="98"/>
  <c r="GH1091" i="98"/>
  <c r="GH1651" i="98"/>
  <c r="GH291" i="98"/>
  <c r="GH691" i="98"/>
  <c r="GH771" i="98"/>
  <c r="GH131" i="98"/>
  <c r="GH211" i="98"/>
  <c r="GH1171" i="98"/>
  <c r="GH611" i="98"/>
  <c r="GH1251" i="98"/>
  <c r="GH1411" i="98"/>
  <c r="GH451" i="98"/>
  <c r="GH1571" i="98"/>
  <c r="GH371" i="98"/>
  <c r="GH55" i="98"/>
  <c r="GH455" i="98"/>
  <c r="GH775" i="98"/>
  <c r="GH855" i="98"/>
  <c r="GH1655" i="98"/>
  <c r="GH215" i="98"/>
  <c r="GH375" i="98"/>
  <c r="GH295" i="98"/>
  <c r="GH1415" i="98"/>
  <c r="GH135" i="98"/>
  <c r="GH1015" i="98"/>
  <c r="GH935" i="98"/>
  <c r="GH535" i="98"/>
  <c r="GH1175" i="98"/>
  <c r="GH1575" i="98"/>
  <c r="GH615" i="98"/>
  <c r="GH1095" i="98"/>
  <c r="GH1495" i="98"/>
  <c r="GH1255" i="98"/>
  <c r="GH1335" i="98"/>
  <c r="GH695" i="98"/>
  <c r="GH42" i="98"/>
  <c r="GH202" i="98"/>
  <c r="GH1562" i="98"/>
  <c r="GH1322" i="98"/>
  <c r="GH1642" i="98"/>
  <c r="GH1162" i="98"/>
  <c r="GH602" i="98"/>
  <c r="GH682" i="98"/>
  <c r="GH1242" i="98"/>
  <c r="GH1082" i="98"/>
  <c r="GH122" i="98"/>
  <c r="GH1482" i="98"/>
  <c r="GH1002" i="98"/>
  <c r="GH842" i="98"/>
  <c r="GH362" i="98"/>
  <c r="GH762" i="98"/>
  <c r="GH522" i="98"/>
  <c r="GH282" i="98"/>
  <c r="GH442" i="98"/>
  <c r="GH1402" i="98"/>
  <c r="GH922" i="98"/>
  <c r="GH54" i="98"/>
  <c r="GH1574" i="98"/>
  <c r="GH1494" i="98"/>
  <c r="GH1094" i="98"/>
  <c r="GH694" i="98"/>
  <c r="GH774" i="98"/>
  <c r="GH214" i="98"/>
  <c r="GH294" i="98"/>
  <c r="GH134" i="98"/>
  <c r="GH1414" i="98"/>
  <c r="GH1654" i="98"/>
  <c r="GH614" i="98"/>
  <c r="GH374" i="98"/>
  <c r="GH1014" i="98"/>
  <c r="GH1334" i="98"/>
  <c r="GH1174" i="98"/>
  <c r="GH1254" i="98"/>
  <c r="GH454" i="98"/>
  <c r="GH934" i="98"/>
  <c r="GH534" i="98"/>
  <c r="GH854" i="98"/>
  <c r="GN37" i="98"/>
  <c r="GN1397" i="98"/>
  <c r="GN1317" i="98"/>
  <c r="GN1477" i="98"/>
  <c r="GN757" i="98"/>
  <c r="GN597" i="98"/>
  <c r="GN677" i="98"/>
  <c r="GN117" i="98"/>
  <c r="GN437" i="98"/>
  <c r="GN1157" i="98"/>
  <c r="GN517" i="98"/>
  <c r="GN997" i="98"/>
  <c r="GN1557" i="98"/>
  <c r="GN277" i="98"/>
  <c r="GN1637" i="98"/>
  <c r="GN917" i="98"/>
  <c r="GN837" i="98"/>
  <c r="GN357" i="98"/>
  <c r="GN197" i="98"/>
  <c r="GN1077" i="98"/>
  <c r="GN1237" i="98"/>
  <c r="GO37" i="98"/>
  <c r="GO1637" i="98"/>
  <c r="GO1557" i="98"/>
  <c r="GO1397" i="98"/>
  <c r="GO1477" i="98"/>
  <c r="GO1317" i="98"/>
  <c r="GO757" i="98"/>
  <c r="GO597" i="98"/>
  <c r="GO677" i="98"/>
  <c r="GO437" i="98"/>
  <c r="GO117" i="98"/>
  <c r="GO1157" i="98"/>
  <c r="GO197" i="98"/>
  <c r="GO357" i="98"/>
  <c r="GO517" i="98"/>
  <c r="GO277" i="98"/>
  <c r="GO997" i="98"/>
  <c r="GO837" i="98"/>
  <c r="GO1077" i="98"/>
  <c r="GO917" i="98"/>
  <c r="GO1237" i="98"/>
  <c r="GN39" i="98"/>
  <c r="GN279" i="98"/>
  <c r="GN199" i="98"/>
  <c r="GN1159" i="98"/>
  <c r="GN359" i="98"/>
  <c r="GN1399" i="98"/>
  <c r="GN599" i="98"/>
  <c r="GN1479" i="98"/>
  <c r="GN1639" i="98"/>
  <c r="GN439" i="98"/>
  <c r="GN519" i="98"/>
  <c r="GN999" i="98"/>
  <c r="GN1239" i="98"/>
  <c r="GN759" i="98"/>
  <c r="GN919" i="98"/>
  <c r="GN1079" i="98"/>
  <c r="GN839" i="98"/>
  <c r="GN1319" i="98"/>
  <c r="GN1559" i="98"/>
  <c r="GN119" i="98"/>
  <c r="GN679" i="98"/>
  <c r="GO38" i="98"/>
  <c r="GO1638" i="98"/>
  <c r="GO198" i="98"/>
  <c r="GO1318" i="98"/>
  <c r="GO918" i="98"/>
  <c r="GO278" i="98"/>
  <c r="GO838" i="98"/>
  <c r="GO1398" i="98"/>
  <c r="GO598" i="98"/>
  <c r="GO678" i="98"/>
  <c r="GO118" i="98"/>
  <c r="GO518" i="98"/>
  <c r="GO438" i="98"/>
  <c r="GO1078" i="98"/>
  <c r="GO758" i="98"/>
  <c r="GO1558" i="98"/>
  <c r="GO1238" i="98"/>
  <c r="GO1478" i="98"/>
  <c r="GO1158" i="98"/>
  <c r="GO358" i="98"/>
  <c r="GO998" i="98"/>
  <c r="GL40" i="98"/>
  <c r="GL1400" i="98"/>
  <c r="GL1320" i="98"/>
  <c r="GL1480" i="98"/>
  <c r="GL1240" i="98"/>
  <c r="GL360" i="98"/>
  <c r="GL520" i="98"/>
  <c r="GL280" i="98"/>
  <c r="GL680" i="98"/>
  <c r="GL1000" i="98"/>
  <c r="GL440" i="98"/>
  <c r="GL920" i="98"/>
  <c r="GL840" i="98"/>
  <c r="GL120" i="98"/>
  <c r="GL1080" i="98"/>
  <c r="GL1160" i="98"/>
  <c r="GL1640" i="98"/>
  <c r="GL1560" i="98"/>
  <c r="GL600" i="98"/>
  <c r="GL200" i="98"/>
  <c r="GL760" i="98"/>
  <c r="GK47" i="98"/>
  <c r="GK1007" i="98"/>
  <c r="GK367" i="98"/>
  <c r="GK127" i="98"/>
  <c r="GK1407" i="98"/>
  <c r="GK1247" i="98"/>
  <c r="GK1167" i="98"/>
  <c r="GK287" i="98"/>
  <c r="GK1087" i="98"/>
  <c r="GK527" i="98"/>
  <c r="GK687" i="98"/>
  <c r="GK767" i="98"/>
  <c r="GK207" i="98"/>
  <c r="GK1567" i="98"/>
  <c r="GK927" i="98"/>
  <c r="GK607" i="98"/>
  <c r="GK447" i="98"/>
  <c r="GK1327" i="98"/>
  <c r="GK1487" i="98"/>
  <c r="GK1647" i="98"/>
  <c r="GK847" i="98"/>
  <c r="GO47" i="98"/>
  <c r="GO287" i="98"/>
  <c r="GO447" i="98"/>
  <c r="GO1407" i="98"/>
  <c r="GO1647" i="98"/>
  <c r="GO1567" i="98"/>
  <c r="GO127" i="98"/>
  <c r="GO1007" i="98"/>
  <c r="GO367" i="98"/>
  <c r="GO1247" i="98"/>
  <c r="GO1487" i="98"/>
  <c r="GO1167" i="98"/>
  <c r="GO1327" i="98"/>
  <c r="GO207" i="98"/>
  <c r="GO1087" i="98"/>
  <c r="GO527" i="98"/>
  <c r="GO687" i="98"/>
  <c r="GO767" i="98"/>
  <c r="GO847" i="98"/>
  <c r="GO927" i="98"/>
  <c r="GO607" i="98"/>
  <c r="GL50" i="98"/>
  <c r="GL1570" i="98"/>
  <c r="GL1650" i="98"/>
  <c r="GL1250" i="98"/>
  <c r="GL1170" i="98"/>
  <c r="GL1090" i="98"/>
  <c r="GL690" i="98"/>
  <c r="GL130" i="98"/>
  <c r="GL290" i="98"/>
  <c r="GL1010" i="98"/>
  <c r="GL1490" i="98"/>
  <c r="GL370" i="98"/>
  <c r="GL850" i="98"/>
  <c r="GL930" i="98"/>
  <c r="GL610" i="98"/>
  <c r="GL770" i="98"/>
  <c r="GL210" i="98"/>
  <c r="GL1410" i="98"/>
  <c r="GL450" i="98"/>
  <c r="GL530" i="98"/>
  <c r="GL1330" i="98"/>
  <c r="GQ1569" i="98"/>
  <c r="GQ1649" i="98"/>
  <c r="GQ769" i="98"/>
  <c r="GQ369" i="98"/>
  <c r="GQ1409" i="98"/>
  <c r="GQ289" i="98"/>
  <c r="GQ529" i="98"/>
  <c r="GQ689" i="98"/>
  <c r="GQ1089" i="98"/>
  <c r="GQ209" i="98"/>
  <c r="GQ609" i="98"/>
  <c r="GQ129" i="98"/>
  <c r="GQ449" i="98"/>
  <c r="GQ1249" i="98"/>
  <c r="GQ1329" i="98"/>
  <c r="GQ1489" i="98"/>
  <c r="GQ1169" i="98"/>
  <c r="GQ1009" i="98"/>
  <c r="GQ849" i="98"/>
  <c r="GQ929" i="98"/>
  <c r="GN49" i="98"/>
  <c r="GN1569" i="98"/>
  <c r="GN769" i="98"/>
  <c r="GN689" i="98"/>
  <c r="GN129" i="98"/>
  <c r="GN609" i="98"/>
  <c r="GN289" i="98"/>
  <c r="GN1409" i="98"/>
  <c r="GN1489" i="98"/>
  <c r="GN1329" i="98"/>
  <c r="GN1649" i="98"/>
  <c r="GN529" i="98"/>
  <c r="GN369" i="98"/>
  <c r="GN1009" i="98"/>
  <c r="GN449" i="98"/>
  <c r="GN209" i="98"/>
  <c r="GN1249" i="98"/>
  <c r="GN849" i="98"/>
  <c r="GN1089" i="98"/>
  <c r="GN1169" i="98"/>
  <c r="GN929" i="98"/>
  <c r="GQ1408" i="98"/>
  <c r="GQ368" i="98"/>
  <c r="GQ288" i="98"/>
  <c r="GQ848" i="98"/>
  <c r="GQ528" i="98"/>
  <c r="GQ928" i="98"/>
  <c r="GQ1568" i="98"/>
  <c r="GQ1648" i="98"/>
  <c r="GQ448" i="98"/>
  <c r="GQ1328" i="98"/>
  <c r="GQ1488" i="98"/>
  <c r="GQ1248" i="98"/>
  <c r="GQ608" i="98"/>
  <c r="GQ1168" i="98"/>
  <c r="GQ128" i="98"/>
  <c r="GQ768" i="98"/>
  <c r="GQ688" i="98"/>
  <c r="GQ1008" i="98"/>
  <c r="GQ1088" i="98"/>
  <c r="GQ208" i="98"/>
  <c r="EV44" i="98"/>
  <c r="GQ49" i="98"/>
  <c r="EV43" i="98"/>
  <c r="GQ48" i="98"/>
  <c r="EV35" i="98"/>
  <c r="GQ39" i="98"/>
  <c r="EV42" i="98"/>
  <c r="GQ47" i="98"/>
  <c r="EV33" i="98"/>
  <c r="GQ37" i="98"/>
  <c r="EV34" i="98"/>
  <c r="GQ38" i="98"/>
  <c r="EV36" i="98"/>
  <c r="GQ40" i="98"/>
  <c r="EV45" i="98"/>
  <c r="GQ50" i="98"/>
  <c r="BK282" i="83"/>
  <c r="BL282" i="83" s="1"/>
  <c r="BK247" i="83"/>
  <c r="BL247" i="83" s="1"/>
  <c r="BK59" i="83"/>
  <c r="BL59" i="83" s="1"/>
  <c r="BS3" i="83"/>
  <c r="BK55" i="83"/>
  <c r="BL55" i="83" s="1"/>
  <c r="BK83" i="83"/>
  <c r="BL83" i="83" s="1"/>
  <c r="BK42" i="83"/>
  <c r="BL42" i="83" s="1"/>
  <c r="BK78" i="83"/>
  <c r="BL78" i="83" s="1"/>
  <c r="BK90" i="83"/>
  <c r="BL90" i="83" s="1"/>
  <c r="BK89" i="83"/>
  <c r="BL89" i="83" s="1"/>
  <c r="BK52" i="83"/>
  <c r="BL52" i="83" s="1"/>
  <c r="BK36" i="83"/>
  <c r="BL36" i="83" s="1"/>
  <c r="BK49" i="83"/>
  <c r="BL49" i="83" s="1"/>
  <c r="BK98" i="83"/>
  <c r="BL98" i="83" s="1"/>
  <c r="BK85" i="83"/>
  <c r="BL85" i="83" s="1"/>
  <c r="BK97" i="83"/>
  <c r="BL97" i="83" s="1"/>
  <c r="BK8" i="83"/>
  <c r="BL8" i="83" s="1"/>
  <c r="BK34" i="83"/>
  <c r="BL34" i="83" s="1"/>
  <c r="BK58" i="83"/>
  <c r="BL58" i="83" s="1"/>
  <c r="BK50" i="83"/>
  <c r="BL50" i="83" s="1"/>
  <c r="BK92" i="83"/>
  <c r="BL92" i="83" s="1"/>
  <c r="BK82" i="83"/>
  <c r="BL82" i="83" s="1"/>
  <c r="BK99" i="83"/>
  <c r="BL99" i="83" s="1"/>
  <c r="BK100" i="83"/>
  <c r="BL100" i="83" s="1"/>
  <c r="BK87" i="83"/>
  <c r="BL87" i="83" s="1"/>
  <c r="BK71" i="83"/>
  <c r="BL71" i="83" s="1"/>
  <c r="BK80" i="83"/>
  <c r="BL80" i="83" s="1"/>
  <c r="BK57" i="83"/>
  <c r="BL57" i="83" s="1"/>
  <c r="BK105" i="83"/>
  <c r="BL105" i="83" s="1"/>
  <c r="BK72" i="83"/>
  <c r="BL72" i="83" s="1"/>
  <c r="BK51" i="83"/>
  <c r="BL51" i="83" s="1"/>
  <c r="BK67" i="83"/>
  <c r="BL67" i="83" s="1"/>
  <c r="BK41" i="83"/>
  <c r="BL41" i="83" s="1"/>
  <c r="BK17" i="83"/>
  <c r="BL17" i="83" s="1"/>
  <c r="BK64" i="83"/>
  <c r="BL64" i="83" s="1"/>
  <c r="GH18" i="98" l="1"/>
  <c r="GH578" i="98"/>
  <c r="GH1618" i="98"/>
  <c r="GH1138" i="98"/>
  <c r="GH978" i="98"/>
  <c r="GH898" i="98"/>
  <c r="GH1218" i="98"/>
  <c r="GH1378" i="98"/>
  <c r="GH178" i="98"/>
  <c r="GH1538" i="98"/>
  <c r="GH498" i="98"/>
  <c r="GH1298" i="98"/>
  <c r="GH258" i="98"/>
  <c r="GH738" i="98"/>
  <c r="GH818" i="98"/>
  <c r="GH338" i="98"/>
  <c r="GH1058" i="98"/>
  <c r="GH98" i="98"/>
  <c r="GH658" i="98"/>
  <c r="GH418" i="98"/>
  <c r="GH1458" i="98"/>
  <c r="GH1613" i="98"/>
  <c r="GH1293" i="98"/>
  <c r="GH1373" i="98"/>
  <c r="GH1533" i="98"/>
  <c r="GH1213" i="98"/>
  <c r="GH573" i="98"/>
  <c r="GH253" i="98"/>
  <c r="GH413" i="98"/>
  <c r="GH893" i="98"/>
  <c r="GH493" i="98"/>
  <c r="GH13" i="98"/>
  <c r="GH733" i="98"/>
  <c r="GH173" i="98"/>
  <c r="GH813" i="98"/>
  <c r="GH1133" i="98"/>
  <c r="GH333" i="98"/>
  <c r="GH1453" i="98"/>
  <c r="GH653" i="98"/>
  <c r="GH973" i="98"/>
  <c r="GH1053" i="98"/>
  <c r="GH93" i="98"/>
  <c r="GH459" i="98"/>
  <c r="GH1339" i="98"/>
  <c r="GH1499" i="98"/>
  <c r="GH219" i="98"/>
  <c r="GH1659" i="98"/>
  <c r="GH59" i="98"/>
  <c r="GH939" i="98"/>
  <c r="GH539" i="98"/>
  <c r="GH1259" i="98"/>
  <c r="GH859" i="98"/>
  <c r="GH139" i="98"/>
  <c r="GH1099" i="98"/>
  <c r="GH699" i="98"/>
  <c r="GH1179" i="98"/>
  <c r="GH379" i="98"/>
  <c r="GH779" i="98"/>
  <c r="GH1019" i="98"/>
  <c r="GH299" i="98"/>
  <c r="GH1579" i="98"/>
  <c r="GH1419" i="98"/>
  <c r="GH619" i="98"/>
  <c r="GH22" i="98"/>
  <c r="GH182" i="98"/>
  <c r="GH742" i="98"/>
  <c r="GH102" i="98"/>
  <c r="GH982" i="98"/>
  <c r="GH822" i="98"/>
  <c r="GH1142" i="98"/>
  <c r="GH1622" i="98"/>
  <c r="GH1542" i="98"/>
  <c r="GH1462" i="98"/>
  <c r="GH342" i="98"/>
  <c r="GH262" i="98"/>
  <c r="GH902" i="98"/>
  <c r="GH662" i="98"/>
  <c r="GH1302" i="98"/>
  <c r="GH422" i="98"/>
  <c r="GH582" i="98"/>
  <c r="GH502" i="98"/>
  <c r="GH1062" i="98"/>
  <c r="GH1382" i="98"/>
  <c r="GH1222" i="98"/>
  <c r="GH40" i="98"/>
  <c r="GH1400" i="98"/>
  <c r="GH1480" i="98"/>
  <c r="GH1240" i="98"/>
  <c r="GH1160" i="98"/>
  <c r="GH1320" i="98"/>
  <c r="GH520" i="98"/>
  <c r="GH360" i="98"/>
  <c r="GH120" i="98"/>
  <c r="GH1640" i="98"/>
  <c r="GH680" i="98"/>
  <c r="GH1560" i="98"/>
  <c r="GH760" i="98"/>
  <c r="GH1000" i="98"/>
  <c r="GH280" i="98"/>
  <c r="GH920" i="98"/>
  <c r="GH1080" i="98"/>
  <c r="GH840" i="98"/>
  <c r="GH440" i="98"/>
  <c r="GH600" i="98"/>
  <c r="GH200" i="98"/>
  <c r="GH50" i="98"/>
  <c r="GH1570" i="98"/>
  <c r="GH1170" i="98"/>
  <c r="GH1090" i="98"/>
  <c r="GH1250" i="98"/>
  <c r="GH690" i="98"/>
  <c r="GH1650" i="98"/>
  <c r="GH530" i="98"/>
  <c r="GH210" i="98"/>
  <c r="GH370" i="98"/>
  <c r="GH930" i="98"/>
  <c r="GH1010" i="98"/>
  <c r="GH610" i="98"/>
  <c r="GH850" i="98"/>
  <c r="GH770" i="98"/>
  <c r="GH130" i="98"/>
  <c r="GH1490" i="98"/>
  <c r="GH1410" i="98"/>
  <c r="GH290" i="98"/>
  <c r="GH1330" i="98"/>
  <c r="GH450" i="98"/>
  <c r="GH38" i="98"/>
  <c r="GH1558" i="98"/>
  <c r="GH1318" i="98"/>
  <c r="GH1078" i="98"/>
  <c r="GH278" i="98"/>
  <c r="GH838" i="98"/>
  <c r="GH998" i="98"/>
  <c r="GH118" i="98"/>
  <c r="GH678" i="98"/>
  <c r="GH518" i="98"/>
  <c r="GH598" i="98"/>
  <c r="GH1638" i="98"/>
  <c r="GH198" i="98"/>
  <c r="GH1478" i="98"/>
  <c r="GH1398" i="98"/>
  <c r="GH358" i="98"/>
  <c r="GH918" i="98"/>
  <c r="GH438" i="98"/>
  <c r="GH1158" i="98"/>
  <c r="GH1238" i="98"/>
  <c r="GH758" i="98"/>
  <c r="GH48" i="98"/>
  <c r="GH1408" i="98"/>
  <c r="GH1488" i="98"/>
  <c r="GH1328" i="98"/>
  <c r="GH1248" i="98"/>
  <c r="GH448" i="98"/>
  <c r="GH288" i="98"/>
  <c r="GH688" i="98"/>
  <c r="GH848" i="98"/>
  <c r="GH528" i="98"/>
  <c r="GH768" i="98"/>
  <c r="GH928" i="98"/>
  <c r="GH128" i="98"/>
  <c r="GH1568" i="98"/>
  <c r="GH1648" i="98"/>
  <c r="GH368" i="98"/>
  <c r="GH1168" i="98"/>
  <c r="GH1008" i="98"/>
  <c r="GH608" i="98"/>
  <c r="GH208" i="98"/>
  <c r="GH1088" i="98"/>
  <c r="GH37" i="98"/>
  <c r="GH1397" i="98"/>
  <c r="GH1477" i="98"/>
  <c r="GH1317" i="98"/>
  <c r="GH757" i="98"/>
  <c r="GH677" i="98"/>
  <c r="GH437" i="98"/>
  <c r="GH597" i="98"/>
  <c r="GH117" i="98"/>
  <c r="GH357" i="98"/>
  <c r="GH1157" i="98"/>
  <c r="GH517" i="98"/>
  <c r="GH197" i="98"/>
  <c r="GH997" i="98"/>
  <c r="GH1557" i="98"/>
  <c r="GH837" i="98"/>
  <c r="GH1637" i="98"/>
  <c r="GH277" i="98"/>
  <c r="GH1237" i="98"/>
  <c r="GH917" i="98"/>
  <c r="GH1077" i="98"/>
  <c r="GH39" i="98"/>
  <c r="GH279" i="98"/>
  <c r="GH199" i="98"/>
  <c r="GH1159" i="98"/>
  <c r="GH1639" i="98"/>
  <c r="GH1559" i="98"/>
  <c r="GH999" i="98"/>
  <c r="GH1479" i="98"/>
  <c r="GH359" i="98"/>
  <c r="GH519" i="98"/>
  <c r="GH439" i="98"/>
  <c r="GH599" i="98"/>
  <c r="GH839" i="98"/>
  <c r="GH1319" i="98"/>
  <c r="GH1399" i="98"/>
  <c r="GH1079" i="98"/>
  <c r="GH119" i="98"/>
  <c r="GH1239" i="98"/>
  <c r="GH679" i="98"/>
  <c r="GH919" i="98"/>
  <c r="GH759" i="98"/>
  <c r="GH49" i="98"/>
  <c r="GH1329" i="98"/>
  <c r="GH1649" i="98"/>
  <c r="GH1489" i="98"/>
  <c r="GH769" i="98"/>
  <c r="GH689" i="98"/>
  <c r="GH129" i="98"/>
  <c r="GH289" i="98"/>
  <c r="GH1409" i="98"/>
  <c r="GH849" i="98"/>
  <c r="GH449" i="98"/>
  <c r="GH1009" i="98"/>
  <c r="GH609" i="98"/>
  <c r="GH529" i="98"/>
  <c r="GH369" i="98"/>
  <c r="GH209" i="98"/>
  <c r="GH1249" i="98"/>
  <c r="GH1169" i="98"/>
  <c r="GH1569" i="98"/>
  <c r="GH929" i="98"/>
  <c r="GH1089" i="98"/>
  <c r="GH47" i="98"/>
  <c r="GH527" i="98"/>
  <c r="GH367" i="98"/>
  <c r="GH127" i="98"/>
  <c r="GH1407" i="98"/>
  <c r="GH447" i="98"/>
  <c r="GH1167" i="98"/>
  <c r="GH687" i="98"/>
  <c r="GH287" i="98"/>
  <c r="GH767" i="98"/>
  <c r="GH207" i="98"/>
  <c r="GH847" i="98"/>
  <c r="GH1647" i="98"/>
  <c r="GH1087" i="98"/>
  <c r="GH1327" i="98"/>
  <c r="GH1487" i="98"/>
  <c r="GH927" i="98"/>
  <c r="GH607" i="98"/>
  <c r="GH1247" i="98"/>
  <c r="GH1567" i="98"/>
  <c r="GH1007" i="98"/>
</calcChain>
</file>

<file path=xl/comments1.xml><?xml version="1.0" encoding="utf-8"?>
<comments xmlns="http://schemas.openxmlformats.org/spreadsheetml/2006/main">
  <authors>
    <author>作者</author>
  </authors>
  <commentList>
    <comment ref="B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最大，最多可按1折卖</t>
        </r>
      </text>
    </comment>
    <comment ref="C7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不限次数的价格
大R按0.5钻算
月卡谨慎按0.1钻</t>
        </r>
      </text>
    </comment>
  </commentList>
</comments>
</file>

<file path=xl/comments2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竞技场兑换1个，商店买2个(20钻)</t>
        </r>
      </text>
    </comment>
    <comment ref="C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30,30,40,40,50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60,80,90,100,120</t>
        </r>
      </text>
    </comment>
    <comment ref="G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月卡，300钻+每日100钻
终身卡，980钻+每日200钻
周卡（破冰，只卖1次），120钻+每日100钻</t>
        </r>
      </text>
    </comment>
    <comment ref="H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月卡，300钻+每日100钻
终身卡，980钻+每日200钻
周卡（破冰，只卖1次），120钻+每日100钻</t>
        </r>
      </text>
    </comment>
    <comment ref="B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竞技场兑换1个，商店买2个(20钻)</t>
        </r>
      </text>
    </comment>
    <comment ref="C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30,30,40,40,50</t>
        </r>
      </text>
    </comment>
    <comment ref="E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60,80,90,100,120</t>
        </r>
      </text>
    </comment>
  </commentList>
</comments>
</file>

<file path=xl/comments3.xml><?xml version="1.0" encoding="utf-8"?>
<comments xmlns="http://schemas.openxmlformats.org/spreadsheetml/2006/main">
  <authors>
    <author>作者</author>
  </authors>
  <commentList>
    <comment ref="AC9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节奏需要，3,4章并成1章</t>
        </r>
      </text>
    </comment>
  </commentList>
</comments>
</file>

<file path=xl/sharedStrings.xml><?xml version="1.0" encoding="utf-8"?>
<sst xmlns="http://schemas.openxmlformats.org/spreadsheetml/2006/main" count="9452" uniqueCount="1608">
  <si>
    <t>负责人名</t>
    <phoneticPr fontId="4" type="noConversion"/>
  </si>
  <si>
    <t>系统名称</t>
    <phoneticPr fontId="4" type="noConversion"/>
  </si>
  <si>
    <t>文档状态</t>
    <phoneticPr fontId="4" type="noConversion"/>
  </si>
  <si>
    <t>文档说明</t>
    <phoneticPr fontId="4" type="noConversion"/>
  </si>
  <si>
    <t>文档修订记录</t>
    <phoneticPr fontId="4" type="noConversion"/>
  </si>
  <si>
    <t>日期</t>
    <phoneticPr fontId="4" type="noConversion"/>
  </si>
  <si>
    <t>修订人</t>
    <phoneticPr fontId="4" type="noConversion"/>
  </si>
  <si>
    <t>修订内容（后续任何修改都需要记录到此）</t>
    <phoneticPr fontId="4" type="noConversion"/>
  </si>
  <si>
    <t>初稿</t>
    <phoneticPr fontId="4" type="noConversion"/>
  </si>
  <si>
    <t>说明：文档内容尽量用Excel来完成（按模板），并同步下单至WorkTime。</t>
    <phoneticPr fontId="4" type="noConversion"/>
  </si>
  <si>
    <t>织法</t>
    <phoneticPr fontId="2" type="noConversion"/>
  </si>
  <si>
    <t>织法</t>
    <phoneticPr fontId="4" type="noConversion"/>
  </si>
  <si>
    <t>初稿</t>
  </si>
  <si>
    <t>《银镇魂街》经济总表</t>
    <phoneticPr fontId="4" type="noConversion"/>
  </si>
  <si>
    <t>经济总表</t>
    <phoneticPr fontId="4" type="noConversion"/>
  </si>
  <si>
    <t>游戏的产销</t>
    <phoneticPr fontId="2" type="noConversion"/>
  </si>
  <si>
    <t>道具</t>
    <phoneticPr fontId="2" type="noConversion"/>
  </si>
  <si>
    <t>价值金币</t>
    <phoneticPr fontId="2" type="noConversion"/>
  </si>
  <si>
    <t>价值钻石</t>
    <phoneticPr fontId="2" type="noConversion"/>
  </si>
  <si>
    <t>钻石</t>
    <phoneticPr fontId="2" type="noConversion"/>
  </si>
  <si>
    <t>五行修身</t>
    <phoneticPr fontId="2" type="noConversion"/>
  </si>
  <si>
    <t>芦花币</t>
    <phoneticPr fontId="2" type="noConversion"/>
  </si>
  <si>
    <t>SSR专属武器碎片</t>
    <phoneticPr fontId="2" type="noConversion"/>
  </si>
  <si>
    <t>SR专属武器碎片</t>
    <phoneticPr fontId="2" type="noConversion"/>
  </si>
  <si>
    <t>R卡寄灵人碎片</t>
    <phoneticPr fontId="2" type="noConversion"/>
  </si>
  <si>
    <t>SR卡寄灵人碎片</t>
    <phoneticPr fontId="2" type="noConversion"/>
  </si>
  <si>
    <t>SSR卡寄灵人碎片</t>
    <phoneticPr fontId="2" type="noConversion"/>
  </si>
  <si>
    <t>R卡守护灵碎片</t>
    <phoneticPr fontId="2" type="noConversion"/>
  </si>
  <si>
    <t>SR卡守护灵碎片</t>
    <phoneticPr fontId="2" type="noConversion"/>
  </si>
  <si>
    <t>SSR卡守护灵碎片</t>
    <phoneticPr fontId="2" type="noConversion"/>
  </si>
  <si>
    <t>RowId</t>
    <phoneticPr fontId="2" type="noConversion"/>
  </si>
  <si>
    <t>Cha</t>
    <phoneticPr fontId="2" type="noConversion"/>
  </si>
  <si>
    <t>Level</t>
    <phoneticPr fontId="2" type="noConversion"/>
  </si>
  <si>
    <t>Exp</t>
    <phoneticPr fontId="2" type="noConversion"/>
  </si>
  <si>
    <t>等级</t>
    <phoneticPr fontId="2" type="noConversion"/>
  </si>
  <si>
    <t>经验</t>
    <phoneticPr fontId="2" type="noConversion"/>
  </si>
  <si>
    <t>Exp</t>
    <phoneticPr fontId="2" type="noConversion"/>
  </si>
  <si>
    <t>困难</t>
    <phoneticPr fontId="2" type="noConversion"/>
  </si>
  <si>
    <t>芦花古楼</t>
  </si>
  <si>
    <t>总和</t>
    <phoneticPr fontId="2" type="noConversion"/>
  </si>
  <si>
    <t>主线任务</t>
    <phoneticPr fontId="2" type="noConversion"/>
  </si>
  <si>
    <t>占比</t>
    <phoneticPr fontId="2" type="noConversion"/>
  </si>
  <si>
    <t>计算值</t>
    <phoneticPr fontId="2" type="noConversion"/>
  </si>
  <si>
    <t>权重</t>
    <phoneticPr fontId="2" type="noConversion"/>
  </si>
  <si>
    <t>挂机扫荡</t>
    <phoneticPr fontId="2" type="noConversion"/>
  </si>
  <si>
    <t>Lv</t>
    <phoneticPr fontId="2" type="noConversion"/>
  </si>
  <si>
    <t>Exp</t>
    <phoneticPr fontId="2" type="noConversion"/>
  </si>
  <si>
    <t>日常任务</t>
    <phoneticPr fontId="2" type="noConversion"/>
  </si>
  <si>
    <t>购买游戏币</t>
  </si>
  <si>
    <t>世界留言</t>
  </si>
  <si>
    <t>守护灵升级</t>
  </si>
  <si>
    <t>技能升级</t>
  </si>
  <si>
    <t>专属武器强化</t>
  </si>
  <si>
    <t>获取技能经验</t>
  </si>
  <si>
    <t>神器升级</t>
  </si>
  <si>
    <t>普通守护灵扭蛋</t>
  </si>
  <si>
    <t>杂货店采购</t>
  </si>
  <si>
    <t>个人竞技</t>
  </si>
  <si>
    <t>Exp</t>
    <phoneticPr fontId="2" type="noConversion"/>
  </si>
  <si>
    <t>Title</t>
    <phoneticPr fontId="2" type="noConversion"/>
  </si>
  <si>
    <t>ExpWeight</t>
    <phoneticPr fontId="2" type="noConversion"/>
  </si>
  <si>
    <t>经验</t>
    <phoneticPr fontId="2" type="noConversion"/>
  </si>
  <si>
    <t>风</t>
    <phoneticPr fontId="2" type="noConversion"/>
  </si>
  <si>
    <t>花</t>
    <phoneticPr fontId="2" type="noConversion"/>
  </si>
  <si>
    <t>雪</t>
    <phoneticPr fontId="2" type="noConversion"/>
  </si>
  <si>
    <t>月</t>
    <phoneticPr fontId="2" type="noConversion"/>
  </si>
  <si>
    <t>芦花币</t>
    <phoneticPr fontId="2" type="noConversion"/>
  </si>
  <si>
    <t>金币</t>
    <phoneticPr fontId="2" type="noConversion"/>
  </si>
  <si>
    <t>雪</t>
    <phoneticPr fontId="2" type="noConversion"/>
  </si>
  <si>
    <t>月</t>
    <phoneticPr fontId="2" type="noConversion"/>
  </si>
  <si>
    <t>层数</t>
    <phoneticPr fontId="2" type="noConversion"/>
  </si>
  <si>
    <t>时间</t>
    <phoneticPr fontId="2" type="noConversion"/>
  </si>
  <si>
    <t>时间</t>
    <phoneticPr fontId="2" type="noConversion"/>
  </si>
  <si>
    <t>等级</t>
    <phoneticPr fontId="2" type="noConversion"/>
  </si>
  <si>
    <t>碎片数</t>
    <phoneticPr fontId="2" type="noConversion"/>
  </si>
  <si>
    <t>芦花币.E</t>
    <phoneticPr fontId="2" type="noConversion"/>
  </si>
  <si>
    <t>金币.F</t>
    <phoneticPr fontId="2" type="noConversion"/>
  </si>
  <si>
    <t>芦花币总产出100天</t>
    <phoneticPr fontId="2" type="noConversion"/>
  </si>
  <si>
    <t>普通第四章</t>
    <phoneticPr fontId="2" type="noConversion"/>
  </si>
  <si>
    <t>等级段</t>
    <phoneticPr fontId="2" type="noConversion"/>
  </si>
  <si>
    <t>停留时间</t>
    <phoneticPr fontId="2" type="noConversion"/>
  </si>
  <si>
    <t>自然</t>
    <phoneticPr fontId="2" type="noConversion"/>
  </si>
  <si>
    <t>活跃</t>
    <phoneticPr fontId="2" type="noConversion"/>
  </si>
  <si>
    <t>每日钻石</t>
    <phoneticPr fontId="2" type="noConversion"/>
  </si>
  <si>
    <t>月卡钻石</t>
    <phoneticPr fontId="2" type="noConversion"/>
  </si>
  <si>
    <t>月卡高活</t>
    <phoneticPr fontId="2" type="noConversion"/>
  </si>
  <si>
    <t>极限扫荡</t>
    <phoneticPr fontId="2" type="noConversion"/>
  </si>
  <si>
    <t>商店售价</t>
    <phoneticPr fontId="2" type="noConversion"/>
  </si>
  <si>
    <t>计算描述</t>
    <phoneticPr fontId="2" type="noConversion"/>
  </si>
  <si>
    <t>扫荡赠送</t>
    <phoneticPr fontId="2" type="noConversion"/>
  </si>
  <si>
    <t>月卡时间</t>
    <phoneticPr fontId="2" type="noConversion"/>
  </si>
  <si>
    <t>章节数</t>
    <phoneticPr fontId="2" type="noConversion"/>
  </si>
  <si>
    <t>挂机</t>
    <phoneticPr fontId="2" type="noConversion"/>
  </si>
  <si>
    <t>Coin</t>
  </si>
  <si>
    <t>Golst</t>
    <phoneticPr fontId="2" type="noConversion"/>
  </si>
  <si>
    <t>挂机设计</t>
    <phoneticPr fontId="2" type="noConversion"/>
  </si>
  <si>
    <t>n</t>
    <phoneticPr fontId="2" type="noConversion"/>
  </si>
  <si>
    <t>n</t>
    <phoneticPr fontId="2" type="noConversion"/>
  </si>
  <si>
    <t>n</t>
    <phoneticPr fontId="2" type="noConversion"/>
  </si>
  <si>
    <t>Coin</t>
    <phoneticPr fontId="2" type="noConversion"/>
  </si>
  <si>
    <t>d</t>
    <phoneticPr fontId="2" type="noConversion"/>
  </si>
  <si>
    <t>Golst</t>
    <phoneticPr fontId="2" type="noConversion"/>
  </si>
  <si>
    <t>Golst</t>
    <phoneticPr fontId="2" type="noConversion"/>
  </si>
  <si>
    <t>d</t>
    <phoneticPr fontId="2" type="noConversion"/>
  </si>
  <si>
    <t>普通关卡</t>
    <phoneticPr fontId="2" type="noConversion"/>
  </si>
  <si>
    <t>n</t>
    <phoneticPr fontId="2" type="noConversion"/>
  </si>
  <si>
    <t>Exp</t>
    <phoneticPr fontId="2" type="noConversion"/>
  </si>
  <si>
    <t>Coin</t>
    <phoneticPr fontId="2" type="noConversion"/>
  </si>
  <si>
    <t>n</t>
    <phoneticPr fontId="2" type="noConversion"/>
  </si>
  <si>
    <t>num</t>
    <phoneticPr fontId="2" type="noConversion"/>
  </si>
  <si>
    <t>困难关卡</t>
    <phoneticPr fontId="2" type="noConversion"/>
  </si>
  <si>
    <t>Cha</t>
    <phoneticPr fontId="2" type="noConversion"/>
  </si>
  <si>
    <t>n</t>
    <phoneticPr fontId="2" type="noConversion"/>
  </si>
  <si>
    <t>Cha</t>
    <phoneticPr fontId="2" type="noConversion"/>
  </si>
  <si>
    <t>Cha</t>
    <phoneticPr fontId="2" type="noConversion"/>
  </si>
  <si>
    <t>芦花风</t>
    <phoneticPr fontId="2" type="noConversion"/>
  </si>
  <si>
    <t>芦花花</t>
    <phoneticPr fontId="2" type="noConversion"/>
  </si>
  <si>
    <t>芦花雪</t>
    <phoneticPr fontId="2" type="noConversion"/>
  </si>
  <si>
    <t>芦花月</t>
    <phoneticPr fontId="2" type="noConversion"/>
  </si>
  <si>
    <t>困难第4章</t>
    <phoneticPr fontId="2" type="noConversion"/>
  </si>
  <si>
    <t>章节</t>
    <phoneticPr fontId="2" type="noConversion"/>
  </si>
  <si>
    <t>挂机</t>
    <phoneticPr fontId="2" type="noConversion"/>
  </si>
  <si>
    <t>关卡首通</t>
    <phoneticPr fontId="2" type="noConversion"/>
  </si>
  <si>
    <t>花首通</t>
    <phoneticPr fontId="2" type="noConversion"/>
  </si>
  <si>
    <t>雪首通</t>
    <phoneticPr fontId="2" type="noConversion"/>
  </si>
  <si>
    <t>月首通</t>
    <phoneticPr fontId="2" type="noConversion"/>
  </si>
  <si>
    <t>困难首通</t>
    <phoneticPr fontId="2" type="noConversion"/>
  </si>
  <si>
    <t>停留</t>
    <phoneticPr fontId="2" type="noConversion"/>
  </si>
  <si>
    <t>金币获取</t>
    <phoneticPr fontId="2" type="noConversion"/>
  </si>
  <si>
    <t>单人Boss</t>
    <phoneticPr fontId="2" type="noConversion"/>
  </si>
  <si>
    <t>扫荡时间</t>
    <phoneticPr fontId="2" type="noConversion"/>
  </si>
  <si>
    <t>1分钟挂机</t>
    <phoneticPr fontId="2" type="noConversion"/>
  </si>
  <si>
    <t>风首通</t>
    <phoneticPr fontId="2" type="noConversion"/>
  </si>
  <si>
    <t>加总</t>
    <phoneticPr fontId="2" type="noConversion"/>
  </si>
  <si>
    <t>GOLD</t>
    <phoneticPr fontId="2" type="noConversion"/>
  </si>
  <si>
    <t>每日任务</t>
    <phoneticPr fontId="2" type="noConversion"/>
  </si>
  <si>
    <t>停留扫荡</t>
    <phoneticPr fontId="2" type="noConversion"/>
  </si>
  <si>
    <t>等级</t>
    <phoneticPr fontId="2" type="noConversion"/>
  </si>
  <si>
    <t>绿材料</t>
  </si>
  <si>
    <t>蓝材料</t>
  </si>
  <si>
    <t>紫材料</t>
  </si>
  <si>
    <t>橙材料</t>
  </si>
  <si>
    <t>要求等级</t>
    <phoneticPr fontId="2" type="noConversion"/>
  </si>
  <si>
    <t>产率</t>
    <phoneticPr fontId="2" type="noConversion"/>
  </si>
  <si>
    <t>间隔</t>
    <phoneticPr fontId="2" type="noConversion"/>
  </si>
  <si>
    <t>点数</t>
    <phoneticPr fontId="2" type="noConversion"/>
  </si>
  <si>
    <t>ChaId</t>
    <phoneticPr fontId="2" type="noConversion"/>
  </si>
  <si>
    <t>Pct</t>
    <phoneticPr fontId="2" type="noConversion"/>
  </si>
  <si>
    <t>产出倍数</t>
    <phoneticPr fontId="2" type="noConversion"/>
  </si>
  <si>
    <t>守护灵数</t>
    <phoneticPr fontId="2" type="noConversion"/>
  </si>
  <si>
    <t>守护灵数</t>
    <phoneticPr fontId="2" type="noConversion"/>
  </si>
  <si>
    <t>守护灵经验</t>
    <phoneticPr fontId="2" type="noConversion"/>
  </si>
  <si>
    <t>金币</t>
    <phoneticPr fontId="2" type="noConversion"/>
  </si>
  <si>
    <t>Gold</t>
    <phoneticPr fontId="2" type="noConversion"/>
  </si>
  <si>
    <t>Ghost</t>
    <phoneticPr fontId="2" type="noConversion"/>
  </si>
  <si>
    <t>等级段金币</t>
    <phoneticPr fontId="2" type="noConversion"/>
  </si>
  <si>
    <t>阶段百分比</t>
    <phoneticPr fontId="2" type="noConversion"/>
  </si>
  <si>
    <t>金币消耗</t>
    <phoneticPr fontId="2" type="noConversion"/>
  </si>
  <si>
    <t>培养队伍</t>
    <phoneticPr fontId="2" type="noConversion"/>
  </si>
  <si>
    <t>品质影响</t>
    <phoneticPr fontId="2" type="noConversion"/>
  </si>
  <si>
    <t>N</t>
    <phoneticPr fontId="2" type="noConversion"/>
  </si>
  <si>
    <t>R</t>
    <phoneticPr fontId="2" type="noConversion"/>
  </si>
  <si>
    <t>SR</t>
    <phoneticPr fontId="2" type="noConversion"/>
  </si>
  <si>
    <t>SSR</t>
    <phoneticPr fontId="2" type="noConversion"/>
  </si>
  <si>
    <t>类型</t>
    <phoneticPr fontId="2" type="noConversion"/>
  </si>
  <si>
    <t>基础材料</t>
    <phoneticPr fontId="2" type="noConversion"/>
  </si>
  <si>
    <t>ID</t>
    <phoneticPr fontId="2" type="noConversion"/>
  </si>
  <si>
    <t>名字</t>
    <phoneticPr fontId="2" type="noConversion"/>
  </si>
  <si>
    <t>品质</t>
    <phoneticPr fontId="2" type="noConversion"/>
  </si>
  <si>
    <t>碎片</t>
    <phoneticPr fontId="2" type="noConversion"/>
  </si>
  <si>
    <t>颜色</t>
    <phoneticPr fontId="2" type="noConversion"/>
  </si>
  <si>
    <t>卡牌碎片</t>
    <phoneticPr fontId="2" type="noConversion"/>
  </si>
  <si>
    <t>关羽</t>
  </si>
  <si>
    <t>许褚</t>
  </si>
  <si>
    <t>典韦</t>
  </si>
  <si>
    <t>唐流雨</t>
  </si>
  <si>
    <t>李轩辕</t>
  </si>
  <si>
    <t>项羽</t>
  </si>
  <si>
    <t>天使缇娜</t>
  </si>
  <si>
    <t>夏侯渊</t>
  </si>
  <si>
    <t>徐晃</t>
  </si>
  <si>
    <t>张郃</t>
  </si>
  <si>
    <t>张飞</t>
  </si>
  <si>
    <t>夏侯惇</t>
  </si>
  <si>
    <t>塞伯罗斯</t>
  </si>
  <si>
    <t>石灵明</t>
  </si>
  <si>
    <t>于禁</t>
  </si>
  <si>
    <t>西方龙</t>
  </si>
  <si>
    <t>飞廉</t>
  </si>
  <si>
    <t>噬日</t>
  </si>
  <si>
    <t>食火蜥</t>
  </si>
  <si>
    <t>高顺</t>
  </si>
  <si>
    <t>烈风螳螂</t>
  </si>
  <si>
    <t>ID</t>
    <phoneticPr fontId="2" type="noConversion"/>
  </si>
  <si>
    <t>红色基础材料</t>
    <phoneticPr fontId="2" type="noConversion"/>
  </si>
  <si>
    <t>绿色基础材料</t>
    <phoneticPr fontId="2" type="noConversion"/>
  </si>
  <si>
    <t>蓝色基础材料</t>
    <phoneticPr fontId="2" type="noConversion"/>
  </si>
  <si>
    <t>紫色基础材料</t>
    <phoneticPr fontId="2" type="noConversion"/>
  </si>
  <si>
    <t>橙色基础材料</t>
    <phoneticPr fontId="2" type="noConversion"/>
  </si>
  <si>
    <t>材料1</t>
    <phoneticPr fontId="2" type="noConversion"/>
  </si>
  <si>
    <t>材料2</t>
    <phoneticPr fontId="2" type="noConversion"/>
  </si>
  <si>
    <t>材料3</t>
    <phoneticPr fontId="2" type="noConversion"/>
  </si>
  <si>
    <t>蓝</t>
    <phoneticPr fontId="2" type="noConversion"/>
  </si>
  <si>
    <t>n</t>
    <phoneticPr fontId="2" type="noConversion"/>
  </si>
  <si>
    <t>StarGold</t>
    <phoneticPr fontId="2" type="noConversion"/>
  </si>
  <si>
    <t>普通星星</t>
    <phoneticPr fontId="2" type="noConversion"/>
  </si>
  <si>
    <t>困难星星</t>
    <phoneticPr fontId="2" type="noConversion"/>
  </si>
  <si>
    <t>阶段2</t>
  </si>
  <si>
    <t>阶段3</t>
  </si>
  <si>
    <t>阶段4</t>
  </si>
  <si>
    <t>等级Min</t>
    <phoneticPr fontId="2" type="noConversion"/>
  </si>
  <si>
    <t>期望</t>
    <phoneticPr fontId="2" type="noConversion"/>
  </si>
  <si>
    <t>折扣</t>
    <phoneticPr fontId="2" type="noConversion"/>
  </si>
  <si>
    <t>坑</t>
    <phoneticPr fontId="2" type="noConversion"/>
  </si>
  <si>
    <t>比例</t>
    <phoneticPr fontId="2" type="noConversion"/>
  </si>
  <si>
    <t>产出总价</t>
    <phoneticPr fontId="2" type="noConversion"/>
  </si>
  <si>
    <t>专属武器</t>
    <phoneticPr fontId="2" type="noConversion"/>
  </si>
  <si>
    <t>Loc</t>
    <phoneticPr fontId="2" type="noConversion"/>
  </si>
  <si>
    <t>位置2</t>
  </si>
  <si>
    <t>关卡ID</t>
    <phoneticPr fontId="2" type="noConversion"/>
  </si>
  <si>
    <t>门</t>
    <phoneticPr fontId="2" type="noConversion"/>
  </si>
  <si>
    <t>辅助列</t>
    <phoneticPr fontId="2" type="noConversion"/>
  </si>
  <si>
    <t>关卡位</t>
    <phoneticPr fontId="2" type="noConversion"/>
  </si>
  <si>
    <t>首通ID1</t>
    <phoneticPr fontId="2" type="noConversion"/>
  </si>
  <si>
    <t>首通值1</t>
    <phoneticPr fontId="2" type="noConversion"/>
  </si>
  <si>
    <t>首通ID2</t>
  </si>
  <si>
    <t>首通值2</t>
  </si>
  <si>
    <t>首通ID3</t>
  </si>
  <si>
    <t>首通值3</t>
  </si>
  <si>
    <t>每日奖励ID1</t>
    <phoneticPr fontId="2" type="noConversion"/>
  </si>
  <si>
    <t>每日奖励值1</t>
    <phoneticPr fontId="2" type="noConversion"/>
  </si>
  <si>
    <t>每日奖励ID2</t>
  </si>
  <si>
    <t>每日奖励值2</t>
  </si>
  <si>
    <t>每日奖励ID3</t>
    <phoneticPr fontId="2" type="noConversion"/>
  </si>
  <si>
    <t>每日奖励值3</t>
    <phoneticPr fontId="2" type="noConversion"/>
  </si>
  <si>
    <t>战场特效</t>
    <phoneticPr fontId="2" type="noConversion"/>
  </si>
  <si>
    <t>描述</t>
    <phoneticPr fontId="2" type="noConversion"/>
  </si>
  <si>
    <t>立绘</t>
    <phoneticPr fontId="2" type="noConversion"/>
  </si>
  <si>
    <t>头像</t>
    <phoneticPr fontId="2" type="noConversion"/>
  </si>
  <si>
    <t>地图坐标</t>
    <phoneticPr fontId="2" type="noConversion"/>
  </si>
  <si>
    <t>是否开放</t>
    <phoneticPr fontId="2" type="noConversion"/>
  </si>
  <si>
    <t>怪物1</t>
    <phoneticPr fontId="2" type="noConversion"/>
  </si>
  <si>
    <t>怪物2</t>
  </si>
  <si>
    <t>怪物3</t>
  </si>
  <si>
    <t>Lvs</t>
    <phoneticPr fontId="2" type="noConversion"/>
  </si>
  <si>
    <t>RowId</t>
    <phoneticPr fontId="2" type="noConversion"/>
  </si>
  <si>
    <t>Cha</t>
    <phoneticPr fontId="2" type="noConversion"/>
  </si>
  <si>
    <t>Loc</t>
    <phoneticPr fontId="2" type="noConversion"/>
  </si>
  <si>
    <t>Award[2].id</t>
  </si>
  <si>
    <t>Award[2].num</t>
  </si>
  <si>
    <t>n1</t>
    <phoneticPr fontId="2" type="noConversion"/>
  </si>
  <si>
    <t>n2</t>
  </si>
  <si>
    <t>金币</t>
    <phoneticPr fontId="2" type="noConversion"/>
  </si>
  <si>
    <t>钻石</t>
    <phoneticPr fontId="2" type="noConversion"/>
  </si>
  <si>
    <t>普通章节宝箱</t>
    <phoneticPr fontId="2" type="noConversion"/>
  </si>
  <si>
    <t>困难章节宝箱</t>
    <phoneticPr fontId="2" type="noConversion"/>
  </si>
  <si>
    <t>Cha</t>
    <phoneticPr fontId="2" type="noConversion"/>
  </si>
  <si>
    <t>钻石</t>
    <phoneticPr fontId="2" type="noConversion"/>
  </si>
  <si>
    <t>守护灵抽卡券</t>
  </si>
  <si>
    <t>初级神器1配件2</t>
  </si>
  <si>
    <t>初级神器2配件1</t>
  </si>
  <si>
    <t>初级神器2配件2</t>
  </si>
  <si>
    <t>中级神器1配件1</t>
  </si>
  <si>
    <t>中级神器1配件2</t>
  </si>
  <si>
    <t>中级神器1配件3</t>
  </si>
  <si>
    <t>中级神器1配件4</t>
  </si>
  <si>
    <t>中级神器2配件1</t>
  </si>
  <si>
    <t>中级神器2配件2</t>
  </si>
  <si>
    <t>中级神器2配件3</t>
  </si>
  <si>
    <t>中级神器2配件4</t>
  </si>
  <si>
    <t>神器低级材料</t>
  </si>
  <si>
    <t>风</t>
    <phoneticPr fontId="2" type="noConversion"/>
  </si>
  <si>
    <t>花</t>
    <phoneticPr fontId="2" type="noConversion"/>
  </si>
  <si>
    <t>雪</t>
    <phoneticPr fontId="2" type="noConversion"/>
  </si>
  <si>
    <t>月</t>
    <phoneticPr fontId="2" type="noConversion"/>
  </si>
  <si>
    <t>登录</t>
  </si>
  <si>
    <t>使用1次牧守令</t>
  </si>
  <si>
    <t>恶灵入侵</t>
  </si>
  <si>
    <t>神器惊喜宝箱</t>
    <phoneticPr fontId="2" type="noConversion"/>
  </si>
  <si>
    <t>卡牌经验</t>
    <phoneticPr fontId="2" type="noConversion"/>
  </si>
  <si>
    <t>等级段</t>
    <phoneticPr fontId="2" type="noConversion"/>
  </si>
  <si>
    <t>等级</t>
    <phoneticPr fontId="2" type="noConversion"/>
  </si>
  <si>
    <t>经验</t>
    <phoneticPr fontId="2" type="noConversion"/>
  </si>
  <si>
    <t>挂机经验</t>
    <phoneticPr fontId="2" type="noConversion"/>
  </si>
  <si>
    <t>普通关卡</t>
    <phoneticPr fontId="2" type="noConversion"/>
  </si>
  <si>
    <t>普通章节</t>
    <phoneticPr fontId="2" type="noConversion"/>
  </si>
  <si>
    <t>困难关卡</t>
    <phoneticPr fontId="2" type="noConversion"/>
  </si>
  <si>
    <t>困难章节</t>
    <phoneticPr fontId="2" type="noConversion"/>
  </si>
  <si>
    <t>加总</t>
    <phoneticPr fontId="2" type="noConversion"/>
  </si>
  <si>
    <t>百分比</t>
    <phoneticPr fontId="2" type="noConversion"/>
  </si>
  <si>
    <t>总经验</t>
    <phoneticPr fontId="2" type="noConversion"/>
  </si>
  <si>
    <t>培养卡牌</t>
    <phoneticPr fontId="2" type="noConversion"/>
  </si>
  <si>
    <t>等级段</t>
    <phoneticPr fontId="2" type="noConversion"/>
  </si>
  <si>
    <t>等级</t>
    <phoneticPr fontId="2" type="noConversion"/>
  </si>
  <si>
    <t>权重</t>
    <phoneticPr fontId="2" type="noConversion"/>
  </si>
  <si>
    <t>比例</t>
    <phoneticPr fontId="2" type="noConversion"/>
  </si>
  <si>
    <t>章节</t>
    <phoneticPr fontId="2" type="noConversion"/>
  </si>
  <si>
    <t>品质</t>
    <phoneticPr fontId="2" type="noConversion"/>
  </si>
  <si>
    <t>Row</t>
    <phoneticPr fontId="2" type="noConversion"/>
  </si>
  <si>
    <t>Row</t>
    <phoneticPr fontId="2" type="noConversion"/>
  </si>
  <si>
    <t>Module</t>
    <phoneticPr fontId="2" type="noConversion"/>
  </si>
  <si>
    <t>Module</t>
    <phoneticPr fontId="2" type="noConversion"/>
  </si>
  <si>
    <t>ModuleId</t>
    <phoneticPr fontId="2" type="noConversion"/>
  </si>
  <si>
    <t>#note</t>
    <phoneticPr fontId="2" type="noConversion"/>
  </si>
  <si>
    <t>Qua</t>
    <phoneticPr fontId="2" type="noConversion"/>
  </si>
  <si>
    <t>Lv</t>
    <phoneticPr fontId="2" type="noConversion"/>
  </si>
  <si>
    <t>Sum</t>
    <phoneticPr fontId="2" type="noConversion"/>
  </si>
  <si>
    <t>神器1-1</t>
  </si>
  <si>
    <t>神器1-2</t>
  </si>
  <si>
    <t>神器1-3</t>
  </si>
  <si>
    <t>神器2-1</t>
  </si>
  <si>
    <t>神器2-2</t>
  </si>
  <si>
    <t>神器2-3</t>
  </si>
  <si>
    <t>神器2-4</t>
  </si>
  <si>
    <t>神器2-5</t>
  </si>
  <si>
    <t>神器3-1</t>
  </si>
  <si>
    <t>神器3-2</t>
  </si>
  <si>
    <t>神器3-3</t>
  </si>
  <si>
    <t>神器3-4</t>
  </si>
  <si>
    <t>神器3-5</t>
  </si>
  <si>
    <t>神器3-6</t>
  </si>
  <si>
    <t>神器4-1</t>
  </si>
  <si>
    <t>神器4-2</t>
  </si>
  <si>
    <t>神器4-3</t>
  </si>
  <si>
    <t>神器4-4</t>
  </si>
  <si>
    <t>神器4-5</t>
  </si>
  <si>
    <t>神器4-6</t>
  </si>
  <si>
    <t>神器5-1</t>
  </si>
  <si>
    <t>神器5-2</t>
  </si>
  <si>
    <t>神器5-3</t>
  </si>
  <si>
    <t>神器5-4</t>
  </si>
  <si>
    <t>神器5-5</t>
  </si>
  <si>
    <t>神器5-6</t>
  </si>
  <si>
    <t>神器6-1</t>
  </si>
  <si>
    <t>神器6-2</t>
  </si>
  <si>
    <t>神器6-3</t>
  </si>
  <si>
    <t>神器6-4</t>
  </si>
  <si>
    <t>神器6-5</t>
  </si>
  <si>
    <t>神器6-6</t>
  </si>
  <si>
    <t>神器6-7</t>
  </si>
  <si>
    <t>神器6-8</t>
  </si>
  <si>
    <t>神器7-1</t>
  </si>
  <si>
    <t>神器7-2</t>
  </si>
  <si>
    <t>神器7-3</t>
  </si>
  <si>
    <t>神器7-4</t>
  </si>
  <si>
    <t>神器7-5</t>
  </si>
  <si>
    <t>神器7-6</t>
  </si>
  <si>
    <t>神器7-7</t>
  </si>
  <si>
    <t>神器7-8</t>
  </si>
  <si>
    <t>两仪剑</t>
  </si>
  <si>
    <t>无界之爪</t>
  </si>
  <si>
    <t>踏雪白狼</t>
  </si>
  <si>
    <t>大荒紫电</t>
  </si>
  <si>
    <t>十殿阎罗</t>
  </si>
  <si>
    <t>大夏龙雀</t>
  </si>
  <si>
    <t>阿波普之刃</t>
  </si>
  <si>
    <t>#note</t>
    <phoneticPr fontId="2" type="noConversion"/>
  </si>
  <si>
    <t>Qua</t>
    <phoneticPr fontId="2" type="noConversion"/>
  </si>
  <si>
    <t>金币</t>
  </si>
  <si>
    <t>芦花币</t>
  </si>
  <si>
    <t>初级神器1配件1</t>
  </si>
  <si>
    <t>价值</t>
    <phoneticPr fontId="2" type="noConversion"/>
  </si>
  <si>
    <t>橙</t>
    <phoneticPr fontId="2" type="noConversion"/>
  </si>
  <si>
    <t>芦花币.F</t>
    <phoneticPr fontId="2" type="noConversion"/>
  </si>
  <si>
    <t>芦花币.sum</t>
    <phoneticPr fontId="2" type="noConversion"/>
  </si>
  <si>
    <t>初强.E</t>
    <phoneticPr fontId="2" type="noConversion"/>
  </si>
  <si>
    <t>初强.sum</t>
    <phoneticPr fontId="2" type="noConversion"/>
  </si>
  <si>
    <t>普通</t>
    <phoneticPr fontId="3" type="noConversion"/>
  </si>
  <si>
    <t>阎风吒</t>
  </si>
  <si>
    <t>UR</t>
    <phoneticPr fontId="2" type="noConversion"/>
  </si>
  <si>
    <t>星</t>
    <phoneticPr fontId="2" type="noConversion"/>
  </si>
  <si>
    <t>UR</t>
    <phoneticPr fontId="2" type="noConversion"/>
  </si>
  <si>
    <t>常服曹焱兵</t>
  </si>
  <si>
    <t>曹玄亮</t>
  </si>
  <si>
    <t>战斗夏铃</t>
  </si>
  <si>
    <t>项昆仑</t>
  </si>
  <si>
    <t>刘羽禅</t>
  </si>
  <si>
    <t>红莲缇娜</t>
  </si>
  <si>
    <t>战斗曹焱兵</t>
  </si>
  <si>
    <t>黑尔坎普</t>
  </si>
  <si>
    <t>北落师门</t>
  </si>
  <si>
    <t>盖文</t>
  </si>
  <si>
    <t>南御夫</t>
  </si>
  <si>
    <t>吉拉</t>
  </si>
  <si>
    <t>吕仙宫</t>
  </si>
  <si>
    <t>阎巧巧</t>
  </si>
  <si>
    <t>常服夏铃</t>
  </si>
  <si>
    <t>柠檬精</t>
  </si>
  <si>
    <t>升星碎片</t>
    <phoneticPr fontId="2" type="noConversion"/>
  </si>
  <si>
    <t>升星金币</t>
    <phoneticPr fontId="2" type="noConversion"/>
  </si>
  <si>
    <t>挂机队伍</t>
    <phoneticPr fontId="2" type="noConversion"/>
  </si>
  <si>
    <t>高</t>
    <phoneticPr fontId="2" type="noConversion"/>
  </si>
  <si>
    <t>中高</t>
    <phoneticPr fontId="2" type="noConversion"/>
  </si>
  <si>
    <t>初中</t>
    <phoneticPr fontId="2" type="noConversion"/>
  </si>
  <si>
    <t>初级</t>
    <phoneticPr fontId="2" type="noConversion"/>
  </si>
  <si>
    <t>阶段1</t>
    <phoneticPr fontId="2" type="noConversion"/>
  </si>
  <si>
    <t>强化石类型</t>
    <phoneticPr fontId="2" type="noConversion"/>
  </si>
  <si>
    <t>分配等级</t>
    <phoneticPr fontId="2" type="noConversion"/>
  </si>
  <si>
    <t>培养数量</t>
    <phoneticPr fontId="2" type="noConversion"/>
  </si>
  <si>
    <t>坑</t>
    <phoneticPr fontId="2" type="noConversion"/>
  </si>
  <si>
    <t>强化石购买</t>
    <phoneticPr fontId="2" type="noConversion"/>
  </si>
  <si>
    <t>金币消耗</t>
    <phoneticPr fontId="2" type="noConversion"/>
  </si>
  <si>
    <t>停留时间</t>
    <phoneticPr fontId="2" type="noConversion"/>
  </si>
  <si>
    <t>金币总产</t>
    <phoneticPr fontId="2" type="noConversion"/>
  </si>
  <si>
    <t>绿</t>
    <phoneticPr fontId="2" type="noConversion"/>
  </si>
  <si>
    <t>金币本</t>
    <phoneticPr fontId="2" type="noConversion"/>
  </si>
  <si>
    <t>金币消耗</t>
    <phoneticPr fontId="2" type="noConversion"/>
  </si>
  <si>
    <t>每日任务100钻</t>
    <phoneticPr fontId="2" type="noConversion"/>
  </si>
  <si>
    <t>竞技场50钻（按前500名算）</t>
    <phoneticPr fontId="2" type="noConversion"/>
  </si>
  <si>
    <t>实时竞技</t>
    <phoneticPr fontId="2" type="noConversion"/>
  </si>
  <si>
    <t>SR</t>
    <phoneticPr fontId="10" type="noConversion"/>
  </si>
  <si>
    <t>产率/h</t>
    <phoneticPr fontId="2" type="noConversion"/>
  </si>
  <si>
    <t>玄铁</t>
    <phoneticPr fontId="2" type="noConversion"/>
  </si>
  <si>
    <t>乌金</t>
    <phoneticPr fontId="2" type="noConversion"/>
  </si>
  <si>
    <t>银母</t>
    <phoneticPr fontId="2" type="noConversion"/>
  </si>
  <si>
    <t>玄铁</t>
  </si>
  <si>
    <t>乌金</t>
  </si>
  <si>
    <t>银母</t>
  </si>
  <si>
    <t>绿色基础材料</t>
  </si>
  <si>
    <t>蓝色基础材料</t>
    <phoneticPr fontId="2" type="noConversion"/>
  </si>
  <si>
    <t>紫色基础材料</t>
    <phoneticPr fontId="2" type="noConversion"/>
  </si>
  <si>
    <t>橙色基础材料</t>
    <phoneticPr fontId="2" type="noConversion"/>
  </si>
  <si>
    <t>红材料</t>
    <phoneticPr fontId="2" type="noConversion"/>
  </si>
  <si>
    <t>灵玉</t>
    <phoneticPr fontId="2" type="noConversion"/>
  </si>
  <si>
    <t>铀金</t>
    <phoneticPr fontId="2" type="noConversion"/>
  </si>
  <si>
    <t>红材料</t>
    <phoneticPr fontId="2" type="noConversion"/>
  </si>
  <si>
    <t>红材料</t>
    <phoneticPr fontId="2" type="noConversion"/>
  </si>
  <si>
    <t>铀金</t>
    <phoneticPr fontId="2" type="noConversion"/>
  </si>
  <si>
    <t>铀金</t>
    <phoneticPr fontId="2" type="noConversion"/>
  </si>
  <si>
    <t>灵玉</t>
    <phoneticPr fontId="2" type="noConversion"/>
  </si>
  <si>
    <t>铀金</t>
    <phoneticPr fontId="2" type="noConversion"/>
  </si>
  <si>
    <t>sum</t>
    <phoneticPr fontId="2" type="noConversion"/>
  </si>
  <si>
    <t>芦花-风</t>
    <phoneticPr fontId="2" type="noConversion"/>
  </si>
  <si>
    <t>章节</t>
    <phoneticPr fontId="2" type="noConversion"/>
  </si>
  <si>
    <t>芦花-花</t>
    <phoneticPr fontId="2" type="noConversion"/>
  </si>
  <si>
    <t>芦花-雪</t>
    <phoneticPr fontId="2" type="noConversion"/>
  </si>
  <si>
    <t>芦花-月</t>
    <phoneticPr fontId="2" type="noConversion"/>
  </si>
  <si>
    <t>停留时间/h</t>
    <phoneticPr fontId="2" type="noConversion"/>
  </si>
  <si>
    <t>第几天</t>
    <phoneticPr fontId="2" type="noConversion"/>
  </si>
  <si>
    <t>大R时间</t>
    <phoneticPr fontId="2" type="noConversion"/>
  </si>
  <si>
    <t>非R时间</t>
    <phoneticPr fontId="2" type="noConversion"/>
  </si>
  <si>
    <t>本级停留</t>
    <phoneticPr fontId="2" type="noConversion"/>
  </si>
  <si>
    <t>第一天上半日</t>
    <phoneticPr fontId="2" type="noConversion"/>
  </si>
  <si>
    <t>通关pt-07
通关kn-06
芦花-f-20。
开启专属武器，开启组队副本。
组队副本，组队副本掉落专属武器碎片。
挂机36小时。</t>
    <phoneticPr fontId="2" type="noConversion"/>
  </si>
  <si>
    <t>通关pt-05
通关kn-04
芦花-f-10
开启花，雪，月。花雪月对阵容有要求。
集训营，实时竞技场。
挂机30小时</t>
    <phoneticPr fontId="2" type="noConversion"/>
  </si>
  <si>
    <t>通关pt-06
通关kn-05
芦花-f-15。
开启羁绊副本。
挂机30小时</t>
    <phoneticPr fontId="2" type="noConversion"/>
  </si>
  <si>
    <t>第一天下半日</t>
    <phoneticPr fontId="2" type="noConversion"/>
  </si>
  <si>
    <t>30~35</t>
    <phoneticPr fontId="2" type="noConversion"/>
  </si>
  <si>
    <t>35~40</t>
    <phoneticPr fontId="2" type="noConversion"/>
  </si>
  <si>
    <t>40~45</t>
    <phoneticPr fontId="2" type="noConversion"/>
  </si>
  <si>
    <t>45~50</t>
    <phoneticPr fontId="2" type="noConversion"/>
  </si>
  <si>
    <t>50~55</t>
    <phoneticPr fontId="2" type="noConversion"/>
  </si>
  <si>
    <t>55~60</t>
    <phoneticPr fontId="2" type="noConversion"/>
  </si>
  <si>
    <t>60~65</t>
    <phoneticPr fontId="2" type="noConversion"/>
  </si>
  <si>
    <t>65~70</t>
    <phoneticPr fontId="2" type="noConversion"/>
  </si>
  <si>
    <t>70~75</t>
    <phoneticPr fontId="2" type="noConversion"/>
  </si>
  <si>
    <t>75~80</t>
    <phoneticPr fontId="2" type="noConversion"/>
  </si>
  <si>
    <t>80~85</t>
    <phoneticPr fontId="2" type="noConversion"/>
  </si>
  <si>
    <t>85~90</t>
    <phoneticPr fontId="2" type="noConversion"/>
  </si>
  <si>
    <t>90~95</t>
    <phoneticPr fontId="2" type="noConversion"/>
  </si>
  <si>
    <t>95~100</t>
    <phoneticPr fontId="2" type="noConversion"/>
  </si>
  <si>
    <t>首日修正</t>
    <phoneticPr fontId="2" type="noConversion"/>
  </si>
  <si>
    <t>100~105</t>
    <phoneticPr fontId="2" type="noConversion"/>
  </si>
  <si>
    <t>105~110</t>
    <phoneticPr fontId="2" type="noConversion"/>
  </si>
  <si>
    <t>110~115</t>
    <phoneticPr fontId="2" type="noConversion"/>
  </si>
  <si>
    <t>115~120</t>
    <phoneticPr fontId="2" type="noConversion"/>
  </si>
  <si>
    <t>120~125</t>
    <phoneticPr fontId="2" type="noConversion"/>
  </si>
  <si>
    <t>125~130</t>
    <phoneticPr fontId="2" type="noConversion"/>
  </si>
  <si>
    <t>130~135</t>
    <phoneticPr fontId="2" type="noConversion"/>
  </si>
  <si>
    <t>135~140</t>
    <phoneticPr fontId="2" type="noConversion"/>
  </si>
  <si>
    <t>140~145</t>
    <phoneticPr fontId="2" type="noConversion"/>
  </si>
  <si>
    <t>145~150</t>
    <phoneticPr fontId="2" type="noConversion"/>
  </si>
  <si>
    <t>格子</t>
    <phoneticPr fontId="2" type="noConversion"/>
  </si>
  <si>
    <t>突破</t>
    <phoneticPr fontId="2" type="noConversion"/>
  </si>
  <si>
    <t>等活</t>
    <phoneticPr fontId="2" type="noConversion"/>
  </si>
  <si>
    <t>黑绳</t>
    <phoneticPr fontId="2" type="noConversion"/>
  </si>
  <si>
    <t>众合</t>
    <phoneticPr fontId="2" type="noConversion"/>
  </si>
  <si>
    <t>大叫唤</t>
    <phoneticPr fontId="2" type="noConversion"/>
  </si>
  <si>
    <t>焦热</t>
    <phoneticPr fontId="2" type="noConversion"/>
  </si>
  <si>
    <t>众合+1</t>
    <phoneticPr fontId="2" type="noConversion"/>
  </si>
  <si>
    <t>叫唤</t>
    <phoneticPr fontId="2" type="noConversion"/>
  </si>
  <si>
    <t>焦热+2</t>
  </si>
  <si>
    <t>地狱道名</t>
    <phoneticPr fontId="2" type="noConversion"/>
  </si>
  <si>
    <t>总格子</t>
    <phoneticPr fontId="2" type="noConversion"/>
  </si>
  <si>
    <t>大焦热</t>
    <phoneticPr fontId="2" type="noConversion"/>
  </si>
  <si>
    <t>无间</t>
    <phoneticPr fontId="2" type="noConversion"/>
  </si>
  <si>
    <t>格子等级</t>
    <phoneticPr fontId="2" type="noConversion"/>
  </si>
  <si>
    <t>总格子数</t>
    <phoneticPr fontId="2" type="noConversion"/>
  </si>
  <si>
    <t>黑绳+1</t>
    <phoneticPr fontId="2" type="noConversion"/>
  </si>
  <si>
    <t>叫唤+2</t>
  </si>
  <si>
    <t>大叫唤+2</t>
  </si>
  <si>
    <t>大焦热+2</t>
  </si>
  <si>
    <t>等级</t>
    <phoneticPr fontId="2" type="noConversion"/>
  </si>
  <si>
    <t>总时间</t>
    <phoneticPr fontId="2" type="noConversion"/>
  </si>
  <si>
    <t>极限停留</t>
    <phoneticPr fontId="2" type="noConversion"/>
  </si>
  <si>
    <t>极限加总</t>
    <phoneticPr fontId="2" type="noConversion"/>
  </si>
  <si>
    <t>等级</t>
    <phoneticPr fontId="2" type="noConversion"/>
  </si>
  <si>
    <t>地狱道</t>
    <phoneticPr fontId="2" type="noConversion"/>
  </si>
  <si>
    <t>等级上限</t>
    <phoneticPr fontId="2" type="noConversion"/>
  </si>
  <si>
    <t>名字</t>
    <phoneticPr fontId="2" type="noConversion"/>
  </si>
  <si>
    <t>境界</t>
    <phoneticPr fontId="2" type="noConversion"/>
  </si>
  <si>
    <t>寄灵人地狱道</t>
    <phoneticPr fontId="2" type="noConversion"/>
  </si>
  <si>
    <t>境界名</t>
    <phoneticPr fontId="2" type="noConversion"/>
  </si>
  <si>
    <t>颜色</t>
    <phoneticPr fontId="2" type="noConversion"/>
  </si>
  <si>
    <t>白(偏黄)</t>
    <phoneticPr fontId="2" type="noConversion"/>
  </si>
  <si>
    <t>绿</t>
    <phoneticPr fontId="2" type="noConversion"/>
  </si>
  <si>
    <t>青</t>
    <phoneticPr fontId="2" type="noConversion"/>
  </si>
  <si>
    <t>蓝</t>
    <phoneticPr fontId="2" type="noConversion"/>
  </si>
  <si>
    <t>靛蓝</t>
    <phoneticPr fontId="2" type="noConversion"/>
  </si>
  <si>
    <t>紫</t>
    <phoneticPr fontId="2" type="noConversion"/>
  </si>
  <si>
    <t>橙</t>
    <phoneticPr fontId="2" type="noConversion"/>
  </si>
  <si>
    <t>红</t>
    <phoneticPr fontId="2" type="noConversion"/>
  </si>
  <si>
    <t>众合+2</t>
  </si>
  <si>
    <t>叫唤+1</t>
    <phoneticPr fontId="2" type="noConversion"/>
  </si>
  <si>
    <t>大叫唤</t>
    <phoneticPr fontId="2" type="noConversion"/>
  </si>
  <si>
    <t>大叫唤+1</t>
    <phoneticPr fontId="2" type="noConversion"/>
  </si>
  <si>
    <t>焦热</t>
    <phoneticPr fontId="2" type="noConversion"/>
  </si>
  <si>
    <t>焦热+1</t>
    <phoneticPr fontId="2" type="noConversion"/>
  </si>
  <si>
    <t>大焦热+1</t>
    <phoneticPr fontId="2" type="noConversion"/>
  </si>
  <si>
    <t>无间</t>
    <phoneticPr fontId="2" type="noConversion"/>
  </si>
  <si>
    <t>无间+1</t>
    <phoneticPr fontId="2" type="noConversion"/>
  </si>
  <si>
    <t>要求等级</t>
    <phoneticPr fontId="2" type="noConversion"/>
  </si>
  <si>
    <t>等活</t>
  </si>
  <si>
    <t>黑绳</t>
  </si>
  <si>
    <t>黑绳+1</t>
  </si>
  <si>
    <t>众合</t>
  </si>
  <si>
    <t>众合+1</t>
  </si>
  <si>
    <t>叫唤</t>
  </si>
  <si>
    <t>叫唤+1</t>
  </si>
  <si>
    <t>大叫唤</t>
  </si>
  <si>
    <t>大叫唤+1</t>
  </si>
  <si>
    <t>焦热</t>
  </si>
  <si>
    <t>焦热+1</t>
  </si>
  <si>
    <t>大焦热</t>
  </si>
  <si>
    <t>大焦热+1</t>
  </si>
  <si>
    <t>无间</t>
  </si>
  <si>
    <t>lv</t>
    <phoneticPr fontId="2" type="noConversion"/>
  </si>
  <si>
    <t>副本位</t>
    <phoneticPr fontId="2" type="noConversion"/>
  </si>
  <si>
    <t>强化石1</t>
    <phoneticPr fontId="2" type="noConversion"/>
  </si>
  <si>
    <t>强化石2</t>
  </si>
  <si>
    <t>强化石3</t>
  </si>
  <si>
    <t>强化石4</t>
  </si>
  <si>
    <t>强化石2-少</t>
    <phoneticPr fontId="2" type="noConversion"/>
  </si>
  <si>
    <t>强化石1-多</t>
    <phoneticPr fontId="2" type="noConversion"/>
  </si>
  <si>
    <t>强化石2-多</t>
    <phoneticPr fontId="2" type="noConversion"/>
  </si>
  <si>
    <t>强化石3-少</t>
    <phoneticPr fontId="2" type="noConversion"/>
  </si>
  <si>
    <t>强化石3-多</t>
    <phoneticPr fontId="2" type="noConversion"/>
  </si>
  <si>
    <t>强化石4-少</t>
    <phoneticPr fontId="2" type="noConversion"/>
  </si>
  <si>
    <t>道具</t>
    <phoneticPr fontId="2" type="noConversion"/>
  </si>
  <si>
    <t>价值</t>
    <phoneticPr fontId="2" type="noConversion"/>
  </si>
  <si>
    <t>强化石4-中</t>
    <phoneticPr fontId="2" type="noConversion"/>
  </si>
  <si>
    <t>强化石4-多</t>
    <phoneticPr fontId="2" type="noConversion"/>
  </si>
  <si>
    <t>强化石2-中</t>
    <phoneticPr fontId="2" type="noConversion"/>
  </si>
  <si>
    <t>强化石3-中</t>
    <phoneticPr fontId="2" type="noConversion"/>
  </si>
  <si>
    <t>强化石1-中</t>
    <phoneticPr fontId="2" type="noConversion"/>
  </si>
  <si>
    <t>停留</t>
    <phoneticPr fontId="2" type="noConversion"/>
  </si>
  <si>
    <t>每日次数</t>
    <phoneticPr fontId="2" type="noConversion"/>
  </si>
  <si>
    <t>开放等级</t>
    <phoneticPr fontId="2" type="noConversion"/>
  </si>
  <si>
    <t>材料1</t>
    <phoneticPr fontId="2" type="noConversion"/>
  </si>
  <si>
    <t>材料2</t>
    <phoneticPr fontId="2" type="noConversion"/>
  </si>
  <si>
    <t>魂珠</t>
    <phoneticPr fontId="2" type="noConversion"/>
  </si>
  <si>
    <t>强化石1-少</t>
    <phoneticPr fontId="2" type="noConversion"/>
  </si>
  <si>
    <t>难度</t>
    <phoneticPr fontId="2" type="noConversion"/>
  </si>
  <si>
    <t>普通</t>
    <phoneticPr fontId="2" type="noConversion"/>
  </si>
  <si>
    <t>噩梦</t>
    <phoneticPr fontId="2" type="noConversion"/>
  </si>
  <si>
    <t>专属强化石副本</t>
    <phoneticPr fontId="2" type="noConversion"/>
  </si>
  <si>
    <t>非R次数</t>
    <phoneticPr fontId="2" type="noConversion"/>
  </si>
  <si>
    <t>pt价值</t>
    <phoneticPr fontId="2" type="noConversion"/>
  </si>
  <si>
    <t>kn价值</t>
    <phoneticPr fontId="2" type="noConversion"/>
  </si>
  <si>
    <t>EM价值</t>
    <phoneticPr fontId="2" type="noConversion"/>
  </si>
  <si>
    <t>1珠</t>
    <phoneticPr fontId="2" type="noConversion"/>
  </si>
  <si>
    <t>2珠</t>
  </si>
  <si>
    <t>3珠</t>
  </si>
  <si>
    <t>4珠</t>
  </si>
  <si>
    <t>5珠</t>
  </si>
  <si>
    <t>6珠</t>
  </si>
  <si>
    <t>7珠</t>
  </si>
  <si>
    <t>8珠</t>
  </si>
  <si>
    <t>预估等级</t>
    <phoneticPr fontId="2" type="noConversion"/>
  </si>
  <si>
    <t>1珠.强化石1</t>
    <phoneticPr fontId="2" type="noConversion"/>
  </si>
  <si>
    <t>1珠.强化石2</t>
    <phoneticPr fontId="2" type="noConversion"/>
  </si>
  <si>
    <t>1珠.强化石3</t>
    <phoneticPr fontId="2" type="noConversion"/>
  </si>
  <si>
    <t>1珠.强化石4</t>
    <phoneticPr fontId="2" type="noConversion"/>
  </si>
  <si>
    <t>2珠.强化石1</t>
    <phoneticPr fontId="2" type="noConversion"/>
  </si>
  <si>
    <t>2珠.强化石2</t>
    <phoneticPr fontId="2" type="noConversion"/>
  </si>
  <si>
    <t>2珠.强化石3</t>
    <phoneticPr fontId="2" type="noConversion"/>
  </si>
  <si>
    <t>2珠.强化石4</t>
    <phoneticPr fontId="2" type="noConversion"/>
  </si>
  <si>
    <t>3珠.强化石1</t>
    <phoneticPr fontId="2" type="noConversion"/>
  </si>
  <si>
    <t>3珠.强化石2</t>
    <phoneticPr fontId="2" type="noConversion"/>
  </si>
  <si>
    <t>3珠.强化石3</t>
    <phoneticPr fontId="2" type="noConversion"/>
  </si>
  <si>
    <t>3珠.强化石4</t>
    <phoneticPr fontId="2" type="noConversion"/>
  </si>
  <si>
    <t>4珠.强化石1</t>
    <phoneticPr fontId="2" type="noConversion"/>
  </si>
  <si>
    <t>4珠.强化石2</t>
    <phoneticPr fontId="2" type="noConversion"/>
  </si>
  <si>
    <t>4珠.强化石3</t>
    <phoneticPr fontId="2" type="noConversion"/>
  </si>
  <si>
    <t>4珠.强化石4</t>
    <phoneticPr fontId="2" type="noConversion"/>
  </si>
  <si>
    <t>5珠.强化石2</t>
    <phoneticPr fontId="2" type="noConversion"/>
  </si>
  <si>
    <t>5珠.强化石3</t>
    <phoneticPr fontId="2" type="noConversion"/>
  </si>
  <si>
    <t>5珠.强化石4</t>
    <phoneticPr fontId="2" type="noConversion"/>
  </si>
  <si>
    <t>6珠.强化石2</t>
    <phoneticPr fontId="2" type="noConversion"/>
  </si>
  <si>
    <t>6珠.强化石3</t>
    <phoneticPr fontId="2" type="noConversion"/>
  </si>
  <si>
    <t>6珠.强化石4</t>
    <phoneticPr fontId="2" type="noConversion"/>
  </si>
  <si>
    <t>7珠.强化石2</t>
    <phoneticPr fontId="2" type="noConversion"/>
  </si>
  <si>
    <t>5珠.强化石1</t>
    <phoneticPr fontId="2" type="noConversion"/>
  </si>
  <si>
    <t>6珠.强化石1</t>
    <phoneticPr fontId="2" type="noConversion"/>
  </si>
  <si>
    <t>7珠.强化石1</t>
    <phoneticPr fontId="2" type="noConversion"/>
  </si>
  <si>
    <t>7珠.强化石3</t>
    <phoneticPr fontId="2" type="noConversion"/>
  </si>
  <si>
    <t>7珠.强化石4</t>
    <phoneticPr fontId="2" type="noConversion"/>
  </si>
  <si>
    <t>8珠.强化石1</t>
    <phoneticPr fontId="2" type="noConversion"/>
  </si>
  <si>
    <t>8珠.强化石2</t>
    <phoneticPr fontId="2" type="noConversion"/>
  </si>
  <si>
    <t>8珠.强化石3</t>
    <phoneticPr fontId="2" type="noConversion"/>
  </si>
  <si>
    <t>8珠.强化石4</t>
    <phoneticPr fontId="2" type="noConversion"/>
  </si>
  <si>
    <t>龙珠开启</t>
    <phoneticPr fontId="2" type="noConversion"/>
  </si>
  <si>
    <t>养成龙珠</t>
    <phoneticPr fontId="2" type="noConversion"/>
  </si>
  <si>
    <t>消耗</t>
    <phoneticPr fontId="2" type="noConversion"/>
  </si>
  <si>
    <t>剩余</t>
    <phoneticPr fontId="2" type="noConversion"/>
  </si>
  <si>
    <t>获得</t>
    <phoneticPr fontId="2" type="noConversion"/>
  </si>
  <si>
    <t>购买</t>
    <phoneticPr fontId="2" type="noConversion"/>
  </si>
  <si>
    <t>扫荡5次</t>
    <phoneticPr fontId="2" type="noConversion"/>
  </si>
  <si>
    <t>商店购买</t>
    <phoneticPr fontId="2" type="noConversion"/>
  </si>
  <si>
    <t>每日购买</t>
    <phoneticPr fontId="2" type="noConversion"/>
  </si>
  <si>
    <t>花费钻石</t>
    <phoneticPr fontId="2" type="noConversion"/>
  </si>
  <si>
    <t>花费金币</t>
    <phoneticPr fontId="2" type="noConversion"/>
  </si>
  <si>
    <t>神器日常本</t>
    <phoneticPr fontId="2" type="noConversion"/>
  </si>
  <si>
    <t>层数</t>
    <phoneticPr fontId="2" type="noConversion"/>
  </si>
  <si>
    <t>神器</t>
    <phoneticPr fontId="2" type="noConversion"/>
  </si>
  <si>
    <t>组件位</t>
    <phoneticPr fontId="2" type="noConversion"/>
  </si>
  <si>
    <t>品质</t>
    <phoneticPr fontId="2" type="noConversion"/>
  </si>
  <si>
    <t>神器位</t>
    <phoneticPr fontId="2" type="noConversion"/>
  </si>
  <si>
    <t>比例</t>
    <phoneticPr fontId="2" type="noConversion"/>
  </si>
  <si>
    <t>品质名</t>
    <phoneticPr fontId="2" type="noConversion"/>
  </si>
  <si>
    <t>属性权重</t>
    <phoneticPr fontId="2" type="noConversion"/>
  </si>
  <si>
    <t>绿</t>
    <phoneticPr fontId="2" type="noConversion"/>
  </si>
  <si>
    <t>紫</t>
    <phoneticPr fontId="2" type="noConversion"/>
  </si>
  <si>
    <t>产出描述</t>
    <phoneticPr fontId="2" type="noConversion"/>
  </si>
  <si>
    <t>等级</t>
    <phoneticPr fontId="2" type="noConversion"/>
  </si>
  <si>
    <t>价值</t>
    <phoneticPr fontId="2" type="noConversion"/>
  </si>
  <si>
    <t>价值</t>
    <phoneticPr fontId="2" type="noConversion"/>
  </si>
  <si>
    <t>基本价值</t>
    <phoneticPr fontId="2" type="noConversion"/>
  </si>
  <si>
    <t>价值</t>
    <phoneticPr fontId="2" type="noConversion"/>
  </si>
  <si>
    <t>Loc</t>
    <phoneticPr fontId="2" type="noConversion"/>
  </si>
  <si>
    <t>#note</t>
    <phoneticPr fontId="2" type="noConversion"/>
  </si>
  <si>
    <t>产出价值</t>
    <phoneticPr fontId="2" type="noConversion"/>
  </si>
  <si>
    <t>比例</t>
    <phoneticPr fontId="2" type="noConversion"/>
  </si>
  <si>
    <t>神器1</t>
    <phoneticPr fontId="2" type="noConversion"/>
  </si>
  <si>
    <t>概率</t>
    <phoneticPr fontId="2" type="noConversion"/>
  </si>
  <si>
    <t>碎片</t>
    <phoneticPr fontId="2" type="noConversion"/>
  </si>
  <si>
    <t>数量.Min</t>
    <phoneticPr fontId="2" type="noConversion"/>
  </si>
  <si>
    <t>数量.Max</t>
    <phoneticPr fontId="2" type="noConversion"/>
  </si>
  <si>
    <t>神器1中，神器2少</t>
    <phoneticPr fontId="2" type="noConversion"/>
  </si>
  <si>
    <t>神器1多，神器2中，神器3少</t>
    <phoneticPr fontId="2" type="noConversion"/>
  </si>
  <si>
    <t>神器2多，神器3中，神器4少</t>
    <phoneticPr fontId="2" type="noConversion"/>
  </si>
  <si>
    <t>神器3多，神器4中，神器5少</t>
    <phoneticPr fontId="2" type="noConversion"/>
  </si>
  <si>
    <t>神器4多，神器5中，神器6少</t>
    <phoneticPr fontId="2" type="noConversion"/>
  </si>
  <si>
    <t>神器5多，神器6中，神器7少</t>
    <phoneticPr fontId="2" type="noConversion"/>
  </si>
  <si>
    <t>神器6多，神器7中</t>
    <phoneticPr fontId="2" type="noConversion"/>
  </si>
  <si>
    <t>少.概率</t>
    <phoneticPr fontId="2" type="noConversion"/>
  </si>
  <si>
    <t>少.Min</t>
    <phoneticPr fontId="2" type="noConversion"/>
  </si>
  <si>
    <t>少.Max</t>
    <phoneticPr fontId="2" type="noConversion"/>
  </si>
  <si>
    <t>中.概率</t>
    <phoneticPr fontId="2" type="noConversion"/>
  </si>
  <si>
    <t>中.Min</t>
    <phoneticPr fontId="2" type="noConversion"/>
  </si>
  <si>
    <t>中.Max</t>
    <phoneticPr fontId="2" type="noConversion"/>
  </si>
  <si>
    <t>高.概率</t>
    <phoneticPr fontId="2" type="noConversion"/>
  </si>
  <si>
    <t>高.Min</t>
    <phoneticPr fontId="2" type="noConversion"/>
  </si>
  <si>
    <t>高.Max</t>
    <phoneticPr fontId="2" type="noConversion"/>
  </si>
  <si>
    <t>神器5-1</t>
    <phoneticPr fontId="2" type="noConversion"/>
  </si>
  <si>
    <t>神器5-2</t>
    <phoneticPr fontId="2" type="noConversion"/>
  </si>
  <si>
    <t>神器5-3</t>
    <phoneticPr fontId="2" type="noConversion"/>
  </si>
  <si>
    <t>神器5-4</t>
    <phoneticPr fontId="2" type="noConversion"/>
  </si>
  <si>
    <t>神器5-5</t>
    <phoneticPr fontId="2" type="noConversion"/>
  </si>
  <si>
    <t>神器5-6</t>
    <phoneticPr fontId="2" type="noConversion"/>
  </si>
  <si>
    <t>神器7-1</t>
    <phoneticPr fontId="2" type="noConversion"/>
  </si>
  <si>
    <t>位置</t>
    <phoneticPr fontId="2" type="noConversion"/>
  </si>
  <si>
    <t>数量</t>
    <phoneticPr fontId="2" type="noConversion"/>
  </si>
  <si>
    <t>概率组</t>
    <phoneticPr fontId="2" type="noConversion"/>
  </si>
  <si>
    <t>等级</t>
    <phoneticPr fontId="2" type="noConversion"/>
  </si>
  <si>
    <t>消耗</t>
    <phoneticPr fontId="2" type="noConversion"/>
  </si>
  <si>
    <t>位置1</t>
    <phoneticPr fontId="2" type="noConversion"/>
  </si>
  <si>
    <t>位置3</t>
  </si>
  <si>
    <t>位置4</t>
  </si>
  <si>
    <t>位置5</t>
  </si>
  <si>
    <t>位置6</t>
  </si>
  <si>
    <t>位置7</t>
  </si>
  <si>
    <t>位置8</t>
  </si>
  <si>
    <t>层数</t>
    <phoneticPr fontId="2" type="noConversion"/>
  </si>
  <si>
    <t>次数</t>
    <phoneticPr fontId="2" type="noConversion"/>
  </si>
  <si>
    <t>时间</t>
    <phoneticPr fontId="2" type="noConversion"/>
  </si>
  <si>
    <t>等级</t>
    <phoneticPr fontId="2" type="noConversion"/>
  </si>
  <si>
    <t>位置9</t>
  </si>
  <si>
    <t>位置10</t>
  </si>
  <si>
    <t>位置11</t>
  </si>
  <si>
    <t>位置12</t>
  </si>
  <si>
    <t>位置13</t>
  </si>
  <si>
    <t>位置14</t>
  </si>
  <si>
    <t>位置15</t>
  </si>
  <si>
    <t>位置16</t>
  </si>
  <si>
    <t>位置17</t>
  </si>
  <si>
    <t>位置18</t>
  </si>
  <si>
    <t>位置19</t>
  </si>
  <si>
    <t>位置20</t>
  </si>
  <si>
    <t>位置21</t>
  </si>
  <si>
    <t>位置22</t>
  </si>
  <si>
    <t>位置23</t>
  </si>
  <si>
    <t>位置24</t>
  </si>
  <si>
    <t>位置25</t>
  </si>
  <si>
    <t>位置26</t>
  </si>
  <si>
    <t>位置27</t>
  </si>
  <si>
    <t>位置28</t>
  </si>
  <si>
    <t>位置29</t>
  </si>
  <si>
    <t>位置30</t>
  </si>
  <si>
    <t>位置31</t>
  </si>
  <si>
    <t>位置32</t>
  </si>
  <si>
    <t>位置33</t>
  </si>
  <si>
    <t>位置34</t>
  </si>
  <si>
    <t>位置35</t>
  </si>
  <si>
    <t>位置36</t>
  </si>
  <si>
    <t>位置37</t>
  </si>
  <si>
    <t>位置38</t>
  </si>
  <si>
    <t>位置39</t>
  </si>
  <si>
    <t>位置40</t>
  </si>
  <si>
    <t>位置41</t>
  </si>
  <si>
    <t>位置42</t>
  </si>
  <si>
    <t>sum</t>
    <phoneticPr fontId="2" type="noConversion"/>
  </si>
  <si>
    <t>神器等级消耗</t>
    <phoneticPr fontId="2" type="noConversion"/>
  </si>
  <si>
    <t>产率</t>
    <phoneticPr fontId="2" type="noConversion"/>
  </si>
  <si>
    <t>普通副本</t>
    <phoneticPr fontId="2" type="noConversion"/>
  </si>
  <si>
    <t>掉落次数</t>
    <phoneticPr fontId="2" type="noConversion"/>
  </si>
  <si>
    <t>等级</t>
  </si>
  <si>
    <t>时间</t>
    <phoneticPr fontId="2" type="noConversion"/>
  </si>
  <si>
    <t>神器日常本</t>
  </si>
  <si>
    <t>层数</t>
  </si>
  <si>
    <t>普通本</t>
    <phoneticPr fontId="2" type="noConversion"/>
  </si>
  <si>
    <t>困难本</t>
    <phoneticPr fontId="2" type="noConversion"/>
  </si>
  <si>
    <t>神器1-1</t>
    <phoneticPr fontId="2" type="noConversion"/>
  </si>
  <si>
    <t>神器1-2</t>
    <phoneticPr fontId="2" type="noConversion"/>
  </si>
  <si>
    <t>神器1-3</t>
    <phoneticPr fontId="2" type="noConversion"/>
  </si>
  <si>
    <t>碎片</t>
    <phoneticPr fontId="2" type="noConversion"/>
  </si>
  <si>
    <t>Min</t>
    <phoneticPr fontId="2" type="noConversion"/>
  </si>
  <si>
    <t>Max</t>
    <phoneticPr fontId="2" type="noConversion"/>
  </si>
  <si>
    <t>概率</t>
    <phoneticPr fontId="2" type="noConversion"/>
  </si>
  <si>
    <t>品质</t>
    <phoneticPr fontId="2" type="noConversion"/>
  </si>
  <si>
    <t>必掉1,2，30%概率额外掉3</t>
    <phoneticPr fontId="2" type="noConversion"/>
  </si>
  <si>
    <t>必掉神器1；必掉1,2碎片；70%概率掉3,4</t>
    <phoneticPr fontId="2" type="noConversion"/>
  </si>
  <si>
    <t>必掉神器1；必掉1,2碎片；70%掉3,4碎片；25%掉5碎片</t>
    <phoneticPr fontId="2" type="noConversion"/>
  </si>
  <si>
    <t>Layer</t>
    <phoneticPr fontId="2" type="noConversion"/>
  </si>
  <si>
    <t>Difficulty</t>
    <phoneticPr fontId="2" type="noConversion"/>
  </si>
  <si>
    <t>Loc</t>
    <phoneticPr fontId="2" type="noConversion"/>
  </si>
  <si>
    <t>价值</t>
    <phoneticPr fontId="2" type="noConversion"/>
  </si>
  <si>
    <t>神器2-1</t>
    <phoneticPr fontId="2" type="noConversion"/>
  </si>
  <si>
    <t>神器2-2</t>
    <phoneticPr fontId="2" type="noConversion"/>
  </si>
  <si>
    <t>Group</t>
    <phoneticPr fontId="2" type="noConversion"/>
  </si>
  <si>
    <t>必掉神器3,4,5；必掉1,2,3碎片；30%概率掉4,5,6碎片；15%概率掉7,8碎片</t>
    <phoneticPr fontId="2" type="noConversion"/>
  </si>
  <si>
    <t>必掉神器3,4,5；60%掉1,2,3碎片；30%概率掉4,5,6碎片</t>
    <phoneticPr fontId="2" type="noConversion"/>
  </si>
  <si>
    <t>必掉神器3,4,5；60%掉1,2,3碎片；</t>
    <phoneticPr fontId="2" type="noConversion"/>
  </si>
  <si>
    <t>必掉神器1或2；必掉1,2碎片；50%概率掉3,4；20%掉5碎片；10%掉6碎片</t>
    <phoneticPr fontId="2" type="noConversion"/>
  </si>
  <si>
    <t>必掉神器1或2；必掉1,2碎片；50%概率掉3,4；20%掉5碎片；10%掉6碎片</t>
    <phoneticPr fontId="2" type="noConversion"/>
  </si>
  <si>
    <t>必掉神器1或2；必掉1,2碎片；50%概率掉3,4；20%掉5碎片</t>
    <phoneticPr fontId="2" type="noConversion"/>
  </si>
  <si>
    <t>必掉神器1或2；必掉1,2碎片；50%概率掉3,4；20%掉5碎片</t>
    <phoneticPr fontId="2" type="noConversion"/>
  </si>
  <si>
    <t>必掉神器1或2；必掉1,2碎片；50%概率掉3,4；20%掉5碎片</t>
    <phoneticPr fontId="2" type="noConversion"/>
  </si>
  <si>
    <t>必掉神器1或2；必掉1,2碎片；50%概率掉3,4</t>
    <phoneticPr fontId="2" type="noConversion"/>
  </si>
  <si>
    <t>必掉神器1或2；必掉1,2碎片；50%概率掉3,4</t>
    <phoneticPr fontId="2" type="noConversion"/>
  </si>
  <si>
    <t>必掉神器1或2；必掉1,2碎片；50%概率掉3,4</t>
    <phoneticPr fontId="2" type="noConversion"/>
  </si>
  <si>
    <t>神器3-1</t>
    <phoneticPr fontId="2" type="noConversion"/>
  </si>
  <si>
    <t>神器6-1</t>
    <phoneticPr fontId="2" type="noConversion"/>
  </si>
  <si>
    <t>神器6-2</t>
    <phoneticPr fontId="2" type="noConversion"/>
  </si>
  <si>
    <t>神器6-3</t>
    <phoneticPr fontId="2" type="noConversion"/>
  </si>
  <si>
    <t>神器7-2</t>
    <phoneticPr fontId="2" type="noConversion"/>
  </si>
  <si>
    <t>神器7-3</t>
    <phoneticPr fontId="2" type="noConversion"/>
  </si>
  <si>
    <t>神器7-4</t>
    <phoneticPr fontId="2" type="noConversion"/>
  </si>
  <si>
    <t>神器7-5</t>
    <phoneticPr fontId="2" type="noConversion"/>
  </si>
  <si>
    <t>神器7-6</t>
    <phoneticPr fontId="2" type="noConversion"/>
  </si>
  <si>
    <t>神器7-7</t>
    <phoneticPr fontId="2" type="noConversion"/>
  </si>
  <si>
    <t>神器7-8</t>
    <phoneticPr fontId="2" type="noConversion"/>
  </si>
  <si>
    <t>价值</t>
    <phoneticPr fontId="2" type="noConversion"/>
  </si>
  <si>
    <t>碎片信息</t>
    <phoneticPr fontId="2" type="noConversion"/>
  </si>
  <si>
    <t>掉落组</t>
    <phoneticPr fontId="2" type="noConversion"/>
  </si>
  <si>
    <t>层</t>
    <phoneticPr fontId="2" type="noConversion"/>
  </si>
  <si>
    <t>价值</t>
    <phoneticPr fontId="2" type="noConversion"/>
  </si>
  <si>
    <t>产出价值</t>
    <phoneticPr fontId="2" type="noConversion"/>
  </si>
  <si>
    <t>时间</t>
    <phoneticPr fontId="2" type="noConversion"/>
  </si>
  <si>
    <t>等级</t>
    <phoneticPr fontId="2" type="noConversion"/>
  </si>
  <si>
    <t>产出进度</t>
    <phoneticPr fontId="2" type="noConversion"/>
  </si>
  <si>
    <t>层数</t>
    <phoneticPr fontId="2" type="noConversion"/>
  </si>
  <si>
    <t>难度</t>
    <phoneticPr fontId="2" type="noConversion"/>
  </si>
  <si>
    <t>必掉神器3,4,5,6；60%掉1,2,3碎片；</t>
    <phoneticPr fontId="2" type="noConversion"/>
  </si>
  <si>
    <t>必掉神器3,4,5,6；50%掉6；60%掉1,2,3碎片；30%概率掉4,5,6碎片</t>
    <phoneticPr fontId="2" type="noConversion"/>
  </si>
  <si>
    <t>必掉神器3,4,5,6；50%掉6；必掉1,2,3碎片；30%概率掉4,5,6碎片；15%概率掉7,8碎片</t>
    <phoneticPr fontId="2" type="noConversion"/>
  </si>
  <si>
    <t>神器6-1</t>
    <phoneticPr fontId="2" type="noConversion"/>
  </si>
  <si>
    <t>产出总量</t>
    <phoneticPr fontId="2" type="noConversion"/>
  </si>
  <si>
    <t>神器</t>
    <phoneticPr fontId="2" type="noConversion"/>
  </si>
  <si>
    <t>神器位</t>
    <phoneticPr fontId="2" type="noConversion"/>
  </si>
  <si>
    <t>品质</t>
    <phoneticPr fontId="2" type="noConversion"/>
  </si>
  <si>
    <t>MaxLv</t>
    <phoneticPr fontId="2" type="noConversion"/>
  </si>
  <si>
    <t>Sum</t>
    <phoneticPr fontId="2" type="noConversion"/>
  </si>
  <si>
    <t>碎片名</t>
    <phoneticPr fontId="2" type="noConversion"/>
  </si>
  <si>
    <t>RowId</t>
    <phoneticPr fontId="2" type="noConversion"/>
  </si>
  <si>
    <t>Id</t>
    <phoneticPr fontId="2" type="noConversion"/>
  </si>
  <si>
    <t>ID</t>
    <phoneticPr fontId="2" type="noConversion"/>
  </si>
  <si>
    <t>HelpCol</t>
    <phoneticPr fontId="2" type="noConversion"/>
  </si>
  <si>
    <t>等级</t>
    <phoneticPr fontId="2" type="noConversion"/>
  </si>
  <si>
    <t>Loc</t>
    <phoneticPr fontId="2" type="noConversion"/>
  </si>
  <si>
    <t>Lvs</t>
    <phoneticPr fontId="2" type="noConversion"/>
  </si>
  <si>
    <t>Cost[1].Id</t>
    <phoneticPr fontId="2" type="noConversion"/>
  </si>
  <si>
    <t>Cost[1].Val</t>
    <phoneticPr fontId="2" type="noConversion"/>
  </si>
  <si>
    <t>神器碎片升级消耗</t>
    <phoneticPr fontId="2" type="noConversion"/>
  </si>
  <si>
    <t>神器1</t>
    <phoneticPr fontId="2" type="noConversion"/>
  </si>
  <si>
    <t>神器2</t>
    <phoneticPr fontId="2" type="noConversion"/>
  </si>
  <si>
    <t>神器3</t>
    <phoneticPr fontId="2" type="noConversion"/>
  </si>
  <si>
    <t>神器4</t>
  </si>
  <si>
    <t>神器5</t>
  </si>
  <si>
    <t>神器6</t>
    <phoneticPr fontId="2" type="noConversion"/>
  </si>
  <si>
    <t>位置1</t>
    <phoneticPr fontId="2" type="noConversion"/>
  </si>
  <si>
    <t>位置2</t>
    <phoneticPr fontId="2" type="noConversion"/>
  </si>
  <si>
    <t>位置3</t>
    <phoneticPr fontId="2" type="noConversion"/>
  </si>
  <si>
    <t>位置4</t>
    <phoneticPr fontId="2" type="noConversion"/>
  </si>
  <si>
    <t>位置5</t>
    <phoneticPr fontId="2" type="noConversion"/>
  </si>
  <si>
    <t>位置2</t>
    <phoneticPr fontId="2" type="noConversion"/>
  </si>
  <si>
    <t>位置3</t>
    <phoneticPr fontId="2" type="noConversion"/>
  </si>
  <si>
    <t>位置4</t>
    <phoneticPr fontId="2" type="noConversion"/>
  </si>
  <si>
    <t>位置5</t>
    <phoneticPr fontId="2" type="noConversion"/>
  </si>
  <si>
    <t>位置6</t>
    <phoneticPr fontId="2" type="noConversion"/>
  </si>
  <si>
    <t>位置1</t>
    <phoneticPr fontId="2" type="noConversion"/>
  </si>
  <si>
    <t>位置3</t>
    <phoneticPr fontId="2" type="noConversion"/>
  </si>
  <si>
    <t>位置6</t>
    <phoneticPr fontId="2" type="noConversion"/>
  </si>
  <si>
    <t>位置1</t>
    <phoneticPr fontId="2" type="noConversion"/>
  </si>
  <si>
    <t>消耗Id1</t>
    <phoneticPr fontId="2" type="noConversion"/>
  </si>
  <si>
    <t>消耗Id2</t>
  </si>
  <si>
    <t>RowId</t>
    <phoneticPr fontId="2" type="noConversion"/>
  </si>
  <si>
    <t>Loc</t>
    <phoneticPr fontId="2" type="noConversion"/>
  </si>
  <si>
    <t>Lv</t>
    <phoneticPr fontId="2" type="noConversion"/>
  </si>
  <si>
    <t>Cost[1]</t>
    <phoneticPr fontId="2" type="noConversion"/>
  </si>
  <si>
    <t>Cost[2]</t>
  </si>
  <si>
    <t>Cost[3]</t>
  </si>
  <si>
    <t>Cost[4]</t>
  </si>
  <si>
    <t>Loc1</t>
    <phoneticPr fontId="2" type="noConversion"/>
  </si>
  <si>
    <t>Loc2</t>
  </si>
  <si>
    <t>ST[1].P</t>
    <phoneticPr fontId="2" type="noConversion"/>
  </si>
  <si>
    <t>ST[1].FvUp</t>
    <phoneticPr fontId="2" type="noConversion"/>
  </si>
  <si>
    <t>ST[1].MaxV</t>
    <phoneticPr fontId="2" type="noConversion"/>
  </si>
  <si>
    <t>ST[2].P</t>
    <phoneticPr fontId="2" type="noConversion"/>
  </si>
  <si>
    <t>ST[2].FvUp</t>
    <phoneticPr fontId="2" type="noConversion"/>
  </si>
  <si>
    <t>ST[2].MaxV</t>
    <phoneticPr fontId="2" type="noConversion"/>
  </si>
  <si>
    <t>ST[3].P</t>
    <phoneticPr fontId="2" type="noConversion"/>
  </si>
  <si>
    <t>ST[3].FvUp</t>
    <phoneticPr fontId="2" type="noConversion"/>
  </si>
  <si>
    <t>ST[3].MaxV</t>
    <phoneticPr fontId="2" type="noConversion"/>
  </si>
  <si>
    <t>专属强化石1</t>
    <phoneticPr fontId="2" type="noConversion"/>
  </si>
  <si>
    <t>Times</t>
    <phoneticPr fontId="2" type="noConversion"/>
  </si>
  <si>
    <t>Cost[2].Id</t>
    <phoneticPr fontId="2" type="noConversion"/>
  </si>
  <si>
    <t>Cost[2].Val</t>
    <phoneticPr fontId="2" type="noConversion"/>
  </si>
  <si>
    <t>专属强化石1</t>
    <phoneticPr fontId="2" type="noConversion"/>
  </si>
  <si>
    <t>专属强化石2</t>
    <phoneticPr fontId="2" type="noConversion"/>
  </si>
  <si>
    <t>专属强化石3</t>
    <phoneticPr fontId="2" type="noConversion"/>
  </si>
  <si>
    <t>P</t>
    <phoneticPr fontId="2" type="noConversion"/>
  </si>
  <si>
    <t>MaxV</t>
    <phoneticPr fontId="2" type="noConversion"/>
  </si>
  <si>
    <t>专属强化石4</t>
    <phoneticPr fontId="2" type="noConversion"/>
  </si>
  <si>
    <t>Name</t>
    <phoneticPr fontId="2" type="noConversion"/>
  </si>
  <si>
    <t>Quality</t>
    <phoneticPr fontId="2" type="noConversion"/>
  </si>
  <si>
    <t>典韦</t>
    <phoneticPr fontId="2" type="noConversion"/>
  </si>
  <si>
    <t>夏侯渊</t>
    <phoneticPr fontId="2" type="noConversion"/>
  </si>
  <si>
    <t>雷震子</t>
    <phoneticPr fontId="2" type="noConversion"/>
  </si>
  <si>
    <t>许褚</t>
    <phoneticPr fontId="2" type="noConversion"/>
  </si>
  <si>
    <t>李轩辕</t>
    <phoneticPr fontId="2" type="noConversion"/>
  </si>
  <si>
    <t>天使缇娜</t>
    <phoneticPr fontId="2" type="noConversion"/>
  </si>
  <si>
    <t>徐晃</t>
    <phoneticPr fontId="2" type="noConversion"/>
  </si>
  <si>
    <t>张郃</t>
    <phoneticPr fontId="2" type="noConversion"/>
  </si>
  <si>
    <t>张飞</t>
    <phoneticPr fontId="2" type="noConversion"/>
  </si>
  <si>
    <t>石灵明</t>
    <phoneticPr fontId="2" type="noConversion"/>
  </si>
  <si>
    <t>朱仙</t>
    <phoneticPr fontId="2" type="noConversion"/>
  </si>
  <si>
    <t>燕青</t>
    <phoneticPr fontId="2" type="noConversion"/>
  </si>
  <si>
    <t>秦琼</t>
    <phoneticPr fontId="2" type="noConversion"/>
  </si>
  <si>
    <t>ID</t>
    <phoneticPr fontId="2" type="noConversion"/>
  </si>
  <si>
    <t>CardId</t>
    <phoneticPr fontId="2" type="noConversion"/>
  </si>
  <si>
    <t>NxtLvId</t>
    <phoneticPr fontId="2" type="noConversion"/>
  </si>
  <si>
    <t>#note</t>
    <phoneticPr fontId="2" type="noConversion"/>
  </si>
  <si>
    <t>Name</t>
  </si>
  <si>
    <t>LvLimit</t>
  </si>
  <si>
    <t>AwardTimes</t>
  </si>
  <si>
    <t>ResetCost</t>
    <phoneticPr fontId="2" type="noConversion"/>
  </si>
  <si>
    <t>Drop[1]</t>
    <phoneticPr fontId="2" type="noConversion"/>
  </si>
  <si>
    <t>Drop[2]</t>
    <phoneticPr fontId="2" type="noConversion"/>
  </si>
  <si>
    <t>KeyDropShow[1].Id</t>
  </si>
  <si>
    <t>KeyDropShow[1].Desc</t>
  </si>
  <si>
    <t>KeyDropShow[2].Id</t>
  </si>
  <si>
    <t>KeyDropShow[2].Desc</t>
  </si>
  <si>
    <t>SceneName</t>
  </si>
  <si>
    <t>Num</t>
    <phoneticPr fontId="2" type="noConversion"/>
  </si>
  <si>
    <t>RowId</t>
    <phoneticPr fontId="2" type="noConversion"/>
  </si>
  <si>
    <t>Levels</t>
    <phoneticPr fontId="2" type="noConversion"/>
  </si>
  <si>
    <t>Lv</t>
    <phoneticPr fontId="2" type="noConversion"/>
  </si>
  <si>
    <t>等级解锁</t>
    <phoneticPr fontId="2" type="noConversion"/>
  </si>
  <si>
    <t>星级要求</t>
    <phoneticPr fontId="2" type="noConversion"/>
  </si>
  <si>
    <t>50#100#200</t>
    <phoneticPr fontId="2" type="noConversion"/>
  </si>
  <si>
    <t>碎片</t>
    <phoneticPr fontId="2" type="noConversion"/>
  </si>
  <si>
    <t>掉落1</t>
    <phoneticPr fontId="2" type="noConversion"/>
  </si>
  <si>
    <t>掉落2</t>
    <phoneticPr fontId="2" type="noConversion"/>
  </si>
  <si>
    <t>专属武器碎片</t>
    <phoneticPr fontId="2" type="noConversion"/>
  </si>
  <si>
    <t>碎片</t>
    <phoneticPr fontId="2" type="noConversion"/>
  </si>
  <si>
    <t>掉落1.数量Max</t>
    <phoneticPr fontId="2" type="noConversion"/>
  </si>
  <si>
    <t>掉落1.数量Min</t>
    <phoneticPr fontId="2" type="noConversion"/>
  </si>
  <si>
    <t>掉落2.数量Min</t>
    <phoneticPr fontId="2" type="noConversion"/>
  </si>
  <si>
    <t>掉落2.数量Max</t>
    <phoneticPr fontId="2" type="noConversion"/>
  </si>
  <si>
    <t>掉落数量</t>
    <phoneticPr fontId="2" type="noConversion"/>
  </si>
  <si>
    <t>LevelPic</t>
    <phoneticPr fontId="2" type="noConversion"/>
  </si>
  <si>
    <t>CardLimit</t>
    <phoneticPr fontId="2" type="noConversion"/>
  </si>
  <si>
    <t>DropGroup</t>
    <phoneticPr fontId="2" type="noConversion"/>
  </si>
  <si>
    <t>RowId</t>
    <phoneticPr fontId="2" type="noConversion"/>
  </si>
  <si>
    <t>Lv</t>
    <phoneticPr fontId="2" type="noConversion"/>
  </si>
  <si>
    <t>SubLv</t>
    <phoneticPr fontId="2" type="noConversion"/>
  </si>
  <si>
    <t>Drop</t>
    <phoneticPr fontId="2" type="noConversion"/>
  </si>
  <si>
    <t>Row</t>
    <phoneticPr fontId="2" type="noConversion"/>
  </si>
  <si>
    <t>Loc</t>
    <phoneticPr fontId="2" type="noConversion"/>
  </si>
  <si>
    <t>DropSum</t>
    <phoneticPr fontId="2" type="noConversion"/>
  </si>
  <si>
    <t>#note</t>
    <phoneticPr fontId="2" type="noConversion"/>
  </si>
  <si>
    <t>#note</t>
    <phoneticPr fontId="2" type="noConversion"/>
  </si>
  <si>
    <t>subDropLoc</t>
    <phoneticPr fontId="2" type="noConversion"/>
  </si>
  <si>
    <t>Item.id</t>
  </si>
  <si>
    <t>Item.numMin</t>
  </si>
  <si>
    <t>Item.numMax</t>
  </si>
  <si>
    <t>Weight</t>
  </si>
  <si>
    <t>StarLimit</t>
    <phoneticPr fontId="2" type="noConversion"/>
  </si>
  <si>
    <t>1-1</t>
    <phoneticPr fontId="2" type="noConversion"/>
  </si>
  <si>
    <t>2-1</t>
    <phoneticPr fontId="2" type="noConversion"/>
  </si>
  <si>
    <t>3-1</t>
    <phoneticPr fontId="2" type="noConversion"/>
  </si>
  <si>
    <t>4-1</t>
    <phoneticPr fontId="2" type="noConversion"/>
  </si>
  <si>
    <t>5-1</t>
    <phoneticPr fontId="2" type="noConversion"/>
  </si>
  <si>
    <t>5-2</t>
    <phoneticPr fontId="2" type="noConversion"/>
  </si>
  <si>
    <t>6-1</t>
    <phoneticPr fontId="2" type="noConversion"/>
  </si>
  <si>
    <t>6-2</t>
    <phoneticPr fontId="2" type="noConversion"/>
  </si>
  <si>
    <t>7-1</t>
    <phoneticPr fontId="2" type="noConversion"/>
  </si>
  <si>
    <t>7-2</t>
    <phoneticPr fontId="2" type="noConversion"/>
  </si>
  <si>
    <t>8-1</t>
    <phoneticPr fontId="2" type="noConversion"/>
  </si>
  <si>
    <t>等级段</t>
    <phoneticPr fontId="2" type="noConversion"/>
  </si>
  <si>
    <t>展示等级</t>
    <phoneticPr fontId="2" type="noConversion"/>
  </si>
  <si>
    <t>价值系数</t>
    <phoneticPr fontId="2" type="noConversion"/>
  </si>
  <si>
    <t>熔炼值绿</t>
    <phoneticPr fontId="2" type="noConversion"/>
  </si>
  <si>
    <t>熔炼值蓝</t>
    <phoneticPr fontId="2" type="noConversion"/>
  </si>
  <si>
    <t>熔炼值紫</t>
    <phoneticPr fontId="2" type="noConversion"/>
  </si>
  <si>
    <t>熔炼值橙</t>
    <phoneticPr fontId="2" type="noConversion"/>
  </si>
  <si>
    <t>Cost[3].Id</t>
    <phoneticPr fontId="2" type="noConversion"/>
  </si>
  <si>
    <t>Cost[1].Id</t>
    <phoneticPr fontId="2" type="noConversion"/>
  </si>
  <si>
    <t>Cost[1].Val</t>
    <phoneticPr fontId="2" type="noConversion"/>
  </si>
  <si>
    <t>Cost[3].Val</t>
    <phoneticPr fontId="2" type="noConversion"/>
  </si>
  <si>
    <t>金币</t>
    <phoneticPr fontId="2" type="noConversion"/>
  </si>
  <si>
    <t>Fv</t>
    <phoneticPr fontId="2" type="noConversion"/>
  </si>
  <si>
    <t>RowId</t>
    <phoneticPr fontId="2" type="noConversion"/>
  </si>
  <si>
    <t>Loc</t>
    <phoneticPr fontId="2" type="noConversion"/>
  </si>
  <si>
    <t>Lv</t>
    <phoneticPr fontId="2" type="noConversion"/>
  </si>
  <si>
    <t>Pos</t>
    <phoneticPr fontId="2" type="noConversion"/>
  </si>
  <si>
    <t>WpId</t>
    <phoneticPr fontId="2" type="noConversion"/>
  </si>
  <si>
    <t>雷震子</t>
    <phoneticPr fontId="2" type="noConversion"/>
  </si>
  <si>
    <t>吕布</t>
    <phoneticPr fontId="2" type="noConversion"/>
  </si>
  <si>
    <t>秦琼</t>
    <phoneticPr fontId="2" type="noConversion"/>
  </si>
  <si>
    <t>#note</t>
    <phoneticPr fontId="2" type="noConversion"/>
  </si>
  <si>
    <t>SubRow</t>
    <phoneticPr fontId="2" type="noConversion"/>
  </si>
  <si>
    <t>CostNum</t>
    <phoneticPr fontId="2" type="noConversion"/>
  </si>
  <si>
    <t>朱仙</t>
  </si>
  <si>
    <t>雷震子</t>
  </si>
  <si>
    <t>吕布</t>
  </si>
  <si>
    <t>燕青</t>
  </si>
  <si>
    <t>秦琼</t>
  </si>
  <si>
    <t>异邦刀客</t>
  </si>
  <si>
    <t>无间+1</t>
  </si>
  <si>
    <t>魂火设计</t>
    <phoneticPr fontId="2" type="noConversion"/>
  </si>
  <si>
    <t>突破等级</t>
    <phoneticPr fontId="2" type="noConversion"/>
  </si>
  <si>
    <t>名字</t>
    <phoneticPr fontId="2" type="noConversion"/>
  </si>
  <si>
    <t>突破设计</t>
    <phoneticPr fontId="2" type="noConversion"/>
  </si>
  <si>
    <t>总消耗</t>
    <phoneticPr fontId="2" type="noConversion"/>
  </si>
  <si>
    <t>铀金</t>
    <phoneticPr fontId="2" type="noConversion"/>
  </si>
  <si>
    <t>魂火填表</t>
    <phoneticPr fontId="2" type="noConversion"/>
  </si>
  <si>
    <t>RowId</t>
    <phoneticPr fontId="2" type="noConversion"/>
  </si>
  <si>
    <t>GridId</t>
    <phoneticPr fontId="2" type="noConversion"/>
  </si>
  <si>
    <t>Cost[1].Id</t>
    <phoneticPr fontId="2" type="noConversion"/>
  </si>
  <si>
    <t>Cost[1].Val</t>
    <phoneticPr fontId="2" type="noConversion"/>
  </si>
  <si>
    <t>Cost[2].Id</t>
    <phoneticPr fontId="2" type="noConversion"/>
  </si>
  <si>
    <t>Cost[2].Val</t>
    <phoneticPr fontId="2" type="noConversion"/>
  </si>
  <si>
    <t>Cost[3].Id</t>
    <phoneticPr fontId="2" type="noConversion"/>
  </si>
  <si>
    <t>Cost[3].Val</t>
    <phoneticPr fontId="2" type="noConversion"/>
  </si>
  <si>
    <t>#note</t>
    <phoneticPr fontId="2" type="noConversion"/>
  </si>
  <si>
    <t>Loc</t>
    <phoneticPr fontId="2" type="noConversion"/>
  </si>
  <si>
    <t>金币</t>
    <phoneticPr fontId="2" type="noConversion"/>
  </si>
  <si>
    <t>金币</t>
    <phoneticPr fontId="2" type="noConversion"/>
  </si>
  <si>
    <t>金币</t>
    <phoneticPr fontId="2" type="noConversion"/>
  </si>
  <si>
    <t>占比</t>
    <phoneticPr fontId="2" type="noConversion"/>
  </si>
  <si>
    <t>灵玉</t>
    <phoneticPr fontId="2" type="noConversion"/>
  </si>
  <si>
    <t>进阶材料</t>
    <phoneticPr fontId="2" type="noConversion"/>
  </si>
  <si>
    <t>灵玉</t>
    <phoneticPr fontId="2" type="noConversion"/>
  </si>
  <si>
    <t>Qua</t>
    <phoneticPr fontId="2" type="noConversion"/>
  </si>
  <si>
    <t>CostLoc1</t>
    <phoneticPr fontId="2" type="noConversion"/>
  </si>
  <si>
    <t>CostLoc2</t>
  </si>
  <si>
    <t>CostLoc3</t>
  </si>
  <si>
    <t>RowId</t>
    <phoneticPr fontId="2" type="noConversion"/>
  </si>
  <si>
    <t>CardId</t>
    <phoneticPr fontId="2" type="noConversion"/>
  </si>
  <si>
    <t>CardId</t>
    <phoneticPr fontId="2" type="noConversion"/>
  </si>
  <si>
    <t>Lv</t>
    <phoneticPr fontId="2" type="noConversion"/>
  </si>
  <si>
    <t>金币</t>
    <phoneticPr fontId="2" type="noConversion"/>
  </si>
  <si>
    <t>Loc1</t>
    <phoneticPr fontId="2" type="noConversion"/>
  </si>
  <si>
    <t>Loc2</t>
    <phoneticPr fontId="2" type="noConversion"/>
  </si>
  <si>
    <t>金币</t>
    <phoneticPr fontId="2" type="noConversion"/>
  </si>
  <si>
    <t>CostLoc1</t>
    <phoneticPr fontId="2" type="noConversion"/>
  </si>
  <si>
    <t>num</t>
    <phoneticPr fontId="2" type="noConversion"/>
  </si>
  <si>
    <t>sum</t>
    <phoneticPr fontId="2" type="noConversion"/>
  </si>
  <si>
    <t>DropLoc</t>
    <phoneticPr fontId="2" type="noConversion"/>
  </si>
  <si>
    <t>Lv</t>
    <phoneticPr fontId="2" type="noConversion"/>
  </si>
  <si>
    <t>Lv</t>
    <phoneticPr fontId="2" type="noConversion"/>
  </si>
  <si>
    <t>DropLoc</t>
    <phoneticPr fontId="2" type="noConversion"/>
  </si>
  <si>
    <t>守护灵抽卡券</t>
    <phoneticPr fontId="2" type="noConversion"/>
  </si>
  <si>
    <t>熔炼值</t>
    <phoneticPr fontId="2" type="noConversion"/>
  </si>
  <si>
    <t>装备熔炼值</t>
    <phoneticPr fontId="2" type="noConversion"/>
  </si>
  <si>
    <t>扫荡产率</t>
    <phoneticPr fontId="2" type="noConversion"/>
  </si>
  <si>
    <t>灵玉</t>
  </si>
  <si>
    <t>停留</t>
    <phoneticPr fontId="2" type="noConversion"/>
  </si>
  <si>
    <t>Coin</t>
    <phoneticPr fontId="2" type="noConversion"/>
  </si>
  <si>
    <t>Golst</t>
    <phoneticPr fontId="2" type="noConversion"/>
  </si>
  <si>
    <t>Award[1].id</t>
    <phoneticPr fontId="2" type="noConversion"/>
  </si>
  <si>
    <t>Award[1].num</t>
    <phoneticPr fontId="2" type="noConversion"/>
  </si>
  <si>
    <t>Award[3].id</t>
    <phoneticPr fontId="2" type="noConversion"/>
  </si>
  <si>
    <t>Award[3].num</t>
    <phoneticPr fontId="2" type="noConversion"/>
  </si>
  <si>
    <t>Id</t>
  </si>
  <si>
    <t>Difficult</t>
  </si>
  <si>
    <t>ChaId</t>
  </si>
  <si>
    <t>HelpCol</t>
  </si>
  <si>
    <t>Loc</t>
  </si>
  <si>
    <t>#note</t>
  </si>
  <si>
    <t>Star</t>
  </si>
  <si>
    <t>Award[1].id</t>
    <phoneticPr fontId="2" type="noConversion"/>
  </si>
  <si>
    <t>Award[1].num</t>
    <phoneticPr fontId="2" type="noConversion"/>
  </si>
  <si>
    <t>Award[3].id</t>
    <phoneticPr fontId="2" type="noConversion"/>
  </si>
  <si>
    <t>StarBox</t>
    <phoneticPr fontId="2" type="noConversion"/>
  </si>
  <si>
    <t>Loc</t>
    <phoneticPr fontId="2" type="noConversion"/>
  </si>
  <si>
    <t>Id</t>
    <phoneticPr fontId="2" type="noConversion"/>
  </si>
  <si>
    <t>HelpCol</t>
    <phoneticPr fontId="2" type="noConversion"/>
  </si>
  <si>
    <t>LevelIdRequired</t>
    <phoneticPr fontId="2" type="noConversion"/>
  </si>
  <si>
    <t>Award[2].Id</t>
    <phoneticPr fontId="2" type="noConversion"/>
  </si>
  <si>
    <t>Award[2].Val</t>
    <phoneticPr fontId="2" type="noConversion"/>
  </si>
  <si>
    <t>普通关卡额外宝箱</t>
    <phoneticPr fontId="2" type="noConversion"/>
  </si>
  <si>
    <t>ExtBox</t>
    <phoneticPr fontId="2" type="noConversion"/>
  </si>
  <si>
    <t>Award[3].Id</t>
    <phoneticPr fontId="2" type="noConversion"/>
  </si>
  <si>
    <t>Award[3].Val</t>
    <phoneticPr fontId="2" type="noConversion"/>
  </si>
  <si>
    <t>守护灵初级抽卡券</t>
    <phoneticPr fontId="2" type="noConversion"/>
  </si>
  <si>
    <t>守护灵经验</t>
    <phoneticPr fontId="2" type="noConversion"/>
  </si>
  <si>
    <t>nGhost</t>
    <phoneticPr fontId="2" type="noConversion"/>
  </si>
  <si>
    <t>玩家地狱道等级</t>
    <phoneticPr fontId="2" type="noConversion"/>
  </si>
  <si>
    <t>地狱道</t>
    <phoneticPr fontId="2" type="noConversion"/>
  </si>
  <si>
    <t>等级</t>
    <phoneticPr fontId="2" type="noConversion"/>
  </si>
  <si>
    <t>名字</t>
    <phoneticPr fontId="2" type="noConversion"/>
  </si>
  <si>
    <t>守护灵境界</t>
    <phoneticPr fontId="2" type="noConversion"/>
  </si>
  <si>
    <t>等级上限</t>
    <phoneticPr fontId="2" type="noConversion"/>
  </si>
  <si>
    <t>玩家等级</t>
    <phoneticPr fontId="2" type="noConversion"/>
  </si>
  <si>
    <t>所需地狱道</t>
    <phoneticPr fontId="2" type="noConversion"/>
  </si>
  <si>
    <t>LvLimit</t>
    <phoneticPr fontId="2" type="noConversion"/>
  </si>
  <si>
    <t xml:space="preserve">20级开启装备系统
8件装备，头盔(+2)，肩甲(+3)，衣服(+1)，武器(价值x2)(+0)，鞋子(+4)，护手(+5)，戒指(价值x1.5)(+8)，项链(价值x1.5)(+10)。
装备掉落：
6分钟掉落一件装备，装备掉率如下
50%绿，30%蓝，15%紫，5%橙
武器掉率/2，戒指和项链掉率/1.5
橙色装备出现必然需要鉴定。鉴定30%出套装。
装备属性上，橙装按3星SR为基准，60%属性投放。套装前2个属性40%（攻，血），套装3，某项百分比属性，套装4，某项2级属性。
锻造：
80%紫，15%橙，5%套装橙
套装：
20级，40级，60级，80级，100级，120级
洗练属性：
紫色和橙色装备可能产生洗练属性。
装备在生成时，决定洗练条目数。
装备套装：
20级套装8件套，4条套装属性。
40级套装有2套：
套1(武器，头盔，肩甲，衣服)（2,4：血，百分比攻）；套2（护手，鞋子，项链，戒指：攻，百分比血）
60，级套装有2套：
套1(武器，肩甲，头，衣，护手，鞋（2,3,5：血,攻,百分比血）)，套2（武器，衣服，鞋子，护手，项链，戒指（2,3,5：攻,血,百分比攻））
80,100,120级套装有3套：
套1(稀有，只可鉴定出)(武器，头盔，肩甲，项链，戒指（2,3,4,5：攻，血，增伤，免伤）)；套2（武器，头，肩，护手，鞋子，衣（2,3,5：血,攻,百分比血））;套3（武器，项链，戒指，护手，鞋子，衣（2,3,5：攻,血,百分比攻））
功能拓展：
公会护送：
每天刷出3个护送任务（低中高）。护送需要提交特定道具，派遣3个寄灵人和3个守护灵进行护送。护送完成奖励装备精华和帮会币。被劫持装备精华奖励减少20%，劫持者获得50%的装备精华。提交的道具包括药品，食物，装备，古董。药品和食物产出自生活技能，装备产出自掉落和锻造，古董产出自日常任务宝箱和恶灵入侵。
生活技能：
生活技能有2个，烹饪和制药。烹饪品可给寄灵人吃，提升基础属性，食用量受地狱道制约。药品可给守护灵吃，提升基础属性，食用量受突破等级制约。
生活技能可升级，使用帮贡升级，升级降低烹饪所需的经历。生活技能可进阶，进阶需要到达一定等级，进阶消耗技能书。进阶解锁新的产品，提升精力消耗。
制作消耗精力，每天回复精力300点，可吃精力丹回复精力。精力丹在商店限购。
每次制造，在已解锁的产品中随机一个。
交易：
未鉴定的装备和商品（食物，药品，古董）可以交易。低价为配置价格的1/3，一口价为配置价的2~3倍。交易币可由充值和成就获得，有一个交易币对应的商店，售卖基础强化材料。
</t>
    <phoneticPr fontId="2" type="noConversion"/>
  </si>
  <si>
    <t>停留时间</t>
    <phoneticPr fontId="2" type="noConversion"/>
  </si>
  <si>
    <t xml:space="preserve">通关pt-04
通关kn-03
</t>
    <phoneticPr fontId="2" type="noConversion"/>
  </si>
  <si>
    <t xml:space="preserve">通关pt-03
通关kn-02
</t>
    <phoneticPr fontId="2" type="noConversion"/>
  </si>
  <si>
    <t>通关pt-02</t>
    <phoneticPr fontId="2" type="noConversion"/>
  </si>
  <si>
    <t xml:space="preserve">通关pt-01，9关。
</t>
    <phoneticPr fontId="2" type="noConversion"/>
  </si>
  <si>
    <t>困难</t>
    <phoneticPr fontId="2" type="noConversion"/>
  </si>
  <si>
    <t>普通</t>
    <phoneticPr fontId="2" type="noConversion"/>
  </si>
  <si>
    <t>困难</t>
    <phoneticPr fontId="2" type="noConversion"/>
  </si>
  <si>
    <t>普通</t>
    <phoneticPr fontId="2" type="noConversion"/>
  </si>
  <si>
    <t>困难</t>
    <phoneticPr fontId="2" type="noConversion"/>
  </si>
  <si>
    <t>困难</t>
    <phoneticPr fontId="2" type="noConversion"/>
  </si>
  <si>
    <t>n</t>
    <phoneticPr fontId="2" type="noConversion"/>
  </si>
  <si>
    <t>Lv</t>
    <phoneticPr fontId="2" type="noConversion"/>
  </si>
  <si>
    <t>Exp</t>
    <phoneticPr fontId="2" type="noConversion"/>
  </si>
  <si>
    <t>金币本</t>
    <phoneticPr fontId="2" type="noConversion"/>
  </si>
  <si>
    <t>金币位</t>
    <phoneticPr fontId="2" type="noConversion"/>
  </si>
  <si>
    <t>等级</t>
    <phoneticPr fontId="2" type="noConversion"/>
  </si>
  <si>
    <t>产率</t>
    <phoneticPr fontId="2" type="noConversion"/>
  </si>
  <si>
    <t>总金币</t>
    <phoneticPr fontId="2" type="noConversion"/>
  </si>
  <si>
    <t>等级</t>
    <phoneticPr fontId="2" type="noConversion"/>
  </si>
  <si>
    <t>等级Id</t>
    <phoneticPr fontId="2" type="noConversion"/>
  </si>
  <si>
    <t>等级段</t>
    <phoneticPr fontId="2" type="noConversion"/>
  </si>
  <si>
    <t>等级Min</t>
    <phoneticPr fontId="2" type="noConversion"/>
  </si>
  <si>
    <t>等级Max</t>
    <phoneticPr fontId="2" type="noConversion"/>
  </si>
  <si>
    <t>金币</t>
    <phoneticPr fontId="2" type="noConversion"/>
  </si>
  <si>
    <t>总和</t>
    <phoneticPr fontId="2" type="noConversion"/>
  </si>
  <si>
    <t>突破</t>
    <phoneticPr fontId="2" type="noConversion"/>
  </si>
  <si>
    <t>升星</t>
    <phoneticPr fontId="2" type="noConversion"/>
  </si>
  <si>
    <t>装备强化</t>
    <phoneticPr fontId="2" type="noConversion"/>
  </si>
  <si>
    <t>装备锻造</t>
    <phoneticPr fontId="2" type="noConversion"/>
  </si>
  <si>
    <t>神器升级</t>
    <phoneticPr fontId="2" type="noConversion"/>
  </si>
  <si>
    <t>专属武器强化</t>
    <phoneticPr fontId="2" type="noConversion"/>
  </si>
  <si>
    <t>专属武器解封</t>
    <phoneticPr fontId="2" type="noConversion"/>
  </si>
  <si>
    <t>购买初级抽</t>
    <phoneticPr fontId="2" type="noConversion"/>
  </si>
  <si>
    <t>总和</t>
    <phoneticPr fontId="2" type="noConversion"/>
  </si>
  <si>
    <t>升星填表</t>
    <phoneticPr fontId="2" type="noConversion"/>
  </si>
  <si>
    <t>Row</t>
    <phoneticPr fontId="2" type="noConversion"/>
  </si>
  <si>
    <t>升星填表</t>
    <phoneticPr fontId="2" type="noConversion"/>
  </si>
  <si>
    <t>Loc</t>
    <phoneticPr fontId="2" type="noConversion"/>
  </si>
  <si>
    <t>秦王攻</t>
  </si>
  <si>
    <t>姬烟华</t>
  </si>
  <si>
    <t>幻</t>
  </si>
  <si>
    <t>貂灵芸</t>
  </si>
  <si>
    <t>卢天佑</t>
  </si>
  <si>
    <t>Id</t>
    <phoneticPr fontId="2" type="noConversion"/>
  </si>
  <si>
    <t>Help_col</t>
    <phoneticPr fontId="2" type="noConversion"/>
  </si>
  <si>
    <t>StarLv</t>
    <phoneticPr fontId="2" type="noConversion"/>
  </si>
  <si>
    <t>stars</t>
    <phoneticPr fontId="2" type="noConversion"/>
  </si>
  <si>
    <t>ID</t>
    <phoneticPr fontId="2" type="noConversion"/>
  </si>
  <si>
    <t>note</t>
    <phoneticPr fontId="2" type="noConversion"/>
  </si>
  <si>
    <t>qua</t>
    <phoneticPr fontId="2" type="noConversion"/>
  </si>
  <si>
    <t>n</t>
    <phoneticPr fontId="2" type="noConversion"/>
  </si>
  <si>
    <t>sum</t>
    <phoneticPr fontId="2" type="noConversion"/>
  </si>
  <si>
    <t>金币</t>
    <phoneticPr fontId="2" type="noConversion"/>
  </si>
  <si>
    <t>qua</t>
    <phoneticPr fontId="2" type="noConversion"/>
  </si>
  <si>
    <t>#note</t>
    <phoneticPr fontId="2" type="noConversion"/>
  </si>
  <si>
    <t>魂火</t>
    <phoneticPr fontId="2" type="noConversion"/>
  </si>
  <si>
    <t>突破</t>
    <phoneticPr fontId="2" type="noConversion"/>
  </si>
  <si>
    <t>等级</t>
    <phoneticPr fontId="2" type="noConversion"/>
  </si>
  <si>
    <t>等级名</t>
    <phoneticPr fontId="2" type="noConversion"/>
  </si>
  <si>
    <t>金币</t>
    <phoneticPr fontId="2" type="noConversion"/>
  </si>
  <si>
    <t>境界段</t>
    <phoneticPr fontId="2" type="noConversion"/>
  </si>
  <si>
    <t>魂火等级</t>
    <phoneticPr fontId="2" type="noConversion"/>
  </si>
  <si>
    <t>R魂火</t>
    <phoneticPr fontId="2" type="noConversion"/>
  </si>
  <si>
    <t>SR魂火</t>
    <phoneticPr fontId="2" type="noConversion"/>
  </si>
  <si>
    <t>SSR魂火</t>
    <phoneticPr fontId="2" type="noConversion"/>
  </si>
  <si>
    <t>UR魂火</t>
    <phoneticPr fontId="2" type="noConversion"/>
  </si>
  <si>
    <t>魂火</t>
    <phoneticPr fontId="2" type="noConversion"/>
  </si>
  <si>
    <t>魂火金币</t>
    <phoneticPr fontId="2" type="noConversion"/>
  </si>
  <si>
    <t>突破消耗</t>
    <phoneticPr fontId="2" type="noConversion"/>
  </si>
  <si>
    <t>境界</t>
    <phoneticPr fontId="2" type="noConversion"/>
  </si>
  <si>
    <t>比例</t>
    <phoneticPr fontId="2" type="noConversion"/>
  </si>
  <si>
    <t>守护灵数</t>
    <phoneticPr fontId="2" type="noConversion"/>
  </si>
  <si>
    <t>总卡牌数</t>
    <phoneticPr fontId="2" type="noConversion"/>
  </si>
  <si>
    <t>龙珠位</t>
    <phoneticPr fontId="2" type="noConversion"/>
  </si>
  <si>
    <t>金币百分比</t>
    <phoneticPr fontId="2" type="noConversion"/>
  </si>
  <si>
    <t>龙珠位</t>
    <phoneticPr fontId="2" type="noConversion"/>
  </si>
  <si>
    <t>RowId</t>
    <phoneticPr fontId="2" type="noConversion"/>
  </si>
  <si>
    <t>金币每人</t>
    <phoneticPr fontId="2" type="noConversion"/>
  </si>
  <si>
    <t>qua</t>
    <phoneticPr fontId="2" type="noConversion"/>
  </si>
  <si>
    <t>Qua</t>
    <phoneticPr fontId="2" type="noConversion"/>
  </si>
  <si>
    <t>等级段</t>
    <phoneticPr fontId="2" type="noConversion"/>
  </si>
  <si>
    <t>等级</t>
    <phoneticPr fontId="2" type="noConversion"/>
  </si>
  <si>
    <t>境界段</t>
    <phoneticPr fontId="2" type="noConversion"/>
  </si>
  <si>
    <t>占比</t>
    <phoneticPr fontId="2" type="noConversion"/>
  </si>
  <si>
    <t>金币消耗</t>
    <phoneticPr fontId="2" type="noConversion"/>
  </si>
  <si>
    <t>少年曹玄亮</t>
    <phoneticPr fontId="2" type="noConversion"/>
  </si>
  <si>
    <t>总装备</t>
    <phoneticPr fontId="2" type="noConversion"/>
  </si>
  <si>
    <t>绿</t>
    <phoneticPr fontId="2" type="noConversion"/>
  </si>
  <si>
    <t>蓝</t>
    <phoneticPr fontId="2" type="noConversion"/>
  </si>
  <si>
    <t>紫</t>
    <phoneticPr fontId="2" type="noConversion"/>
  </si>
  <si>
    <t>橙</t>
    <phoneticPr fontId="2" type="noConversion"/>
  </si>
  <si>
    <t>掉落概率</t>
    <phoneticPr fontId="2" type="noConversion"/>
  </si>
  <si>
    <t>章节</t>
    <phoneticPr fontId="2" type="noConversion"/>
  </si>
  <si>
    <t>掉落1</t>
    <phoneticPr fontId="2" type="noConversion"/>
  </si>
  <si>
    <t>掉落2</t>
  </si>
  <si>
    <t>掉落3</t>
  </si>
  <si>
    <t>掉落4</t>
  </si>
  <si>
    <t>掉落5</t>
  </si>
  <si>
    <t>掉落6</t>
  </si>
  <si>
    <t>掉落7</t>
  </si>
  <si>
    <t>掉落8</t>
  </si>
  <si>
    <t>掉落9</t>
  </si>
  <si>
    <t>掉落10</t>
  </si>
  <si>
    <t>掉落11</t>
  </si>
  <si>
    <t>显示等级</t>
    <phoneticPr fontId="2" type="noConversion"/>
  </si>
  <si>
    <t>停留</t>
    <phoneticPr fontId="2" type="noConversion"/>
  </si>
  <si>
    <t>产率</t>
    <phoneticPr fontId="2" type="noConversion"/>
  </si>
  <si>
    <t>产出熔炼值</t>
    <phoneticPr fontId="2" type="noConversion"/>
  </si>
  <si>
    <t>总产出</t>
    <phoneticPr fontId="2" type="noConversion"/>
  </si>
  <si>
    <t>SUM</t>
    <phoneticPr fontId="2" type="noConversion"/>
  </si>
  <si>
    <t>熔炼值橙套</t>
    <phoneticPr fontId="2" type="noConversion"/>
  </si>
  <si>
    <t>熔炼值</t>
    <phoneticPr fontId="2" type="noConversion"/>
  </si>
  <si>
    <t>装备掉落</t>
    <phoneticPr fontId="2" type="noConversion"/>
  </si>
  <si>
    <t>熔炼值橙</t>
    <phoneticPr fontId="2" type="noConversion"/>
  </si>
  <si>
    <t>橙套价值</t>
    <phoneticPr fontId="2" type="noConversion"/>
  </si>
  <si>
    <t>锻造概率</t>
    <phoneticPr fontId="2" type="noConversion"/>
  </si>
  <si>
    <t>熔炼消耗</t>
    <phoneticPr fontId="2" type="noConversion"/>
  </si>
  <si>
    <t>橙套数量</t>
    <phoneticPr fontId="2" type="noConversion"/>
  </si>
  <si>
    <t>等级</t>
    <phoneticPr fontId="2" type="noConversion"/>
  </si>
  <si>
    <t>等级</t>
    <phoneticPr fontId="2" type="noConversion"/>
  </si>
  <si>
    <t>note</t>
    <phoneticPr fontId="2" type="noConversion"/>
  </si>
  <si>
    <t>熔炼值</t>
    <phoneticPr fontId="2" type="noConversion"/>
  </si>
  <si>
    <t>RowId</t>
    <phoneticPr fontId="2" type="noConversion"/>
  </si>
  <si>
    <t>Loc</t>
    <phoneticPr fontId="2" type="noConversion"/>
  </si>
  <si>
    <t>Pos</t>
    <phoneticPr fontId="2" type="noConversion"/>
  </si>
  <si>
    <t>HelpCol</t>
    <phoneticPr fontId="2" type="noConversion"/>
  </si>
  <si>
    <t>Equips</t>
    <phoneticPr fontId="2" type="noConversion"/>
  </si>
  <si>
    <t>Cost[1].Id</t>
  </si>
  <si>
    <t>Cost[1].Val</t>
  </si>
  <si>
    <t>Pic</t>
    <phoneticPr fontId="2" type="noConversion"/>
  </si>
  <si>
    <t>Fac</t>
    <phoneticPr fontId="2" type="noConversion"/>
  </si>
  <si>
    <t>Name</t>
    <phoneticPr fontId="2" type="noConversion"/>
  </si>
  <si>
    <t>灵器</t>
    <phoneticPr fontId="2" type="noConversion"/>
  </si>
  <si>
    <t>头盔</t>
    <phoneticPr fontId="2" type="noConversion"/>
  </si>
  <si>
    <t>铠甲</t>
    <phoneticPr fontId="2" type="noConversion"/>
  </si>
  <si>
    <t>裤子</t>
    <phoneticPr fontId="2" type="noConversion"/>
  </si>
  <si>
    <t>鞋子</t>
    <phoneticPr fontId="2" type="noConversion"/>
  </si>
  <si>
    <t>护手</t>
    <phoneticPr fontId="2" type="noConversion"/>
  </si>
  <si>
    <t>项链</t>
    <phoneticPr fontId="2" type="noConversion"/>
  </si>
  <si>
    <t>戒指</t>
    <phoneticPr fontId="2" type="noConversion"/>
  </si>
  <si>
    <t>普通</t>
    <phoneticPr fontId="2" type="noConversion"/>
  </si>
  <si>
    <t>困难</t>
    <phoneticPr fontId="2" type="noConversion"/>
  </si>
  <si>
    <t>噩梦</t>
    <phoneticPr fontId="2" type="noConversion"/>
  </si>
  <si>
    <t>金币本</t>
    <phoneticPr fontId="2" type="noConversion"/>
  </si>
  <si>
    <t>副本位</t>
    <phoneticPr fontId="2" type="noConversion"/>
  </si>
  <si>
    <t>铀金</t>
  </si>
  <si>
    <t>魂火材料本</t>
    <phoneticPr fontId="2" type="noConversion"/>
  </si>
  <si>
    <t>突破材料本</t>
    <phoneticPr fontId="2" type="noConversion"/>
  </si>
  <si>
    <t>Loc</t>
    <phoneticPr fontId="2" type="noConversion"/>
  </si>
  <si>
    <t>金币</t>
    <phoneticPr fontId="2" type="noConversion"/>
  </si>
  <si>
    <t>RealGroup</t>
    <phoneticPr fontId="2" type="noConversion"/>
  </si>
  <si>
    <t>神器本-1-普通-1</t>
    <phoneticPr fontId="2" type="noConversion"/>
  </si>
  <si>
    <t>神器本-1-普通-1</t>
    <phoneticPr fontId="2" type="noConversion"/>
  </si>
  <si>
    <t>神器本-1-普通-2</t>
    <phoneticPr fontId="2" type="noConversion"/>
  </si>
  <si>
    <t>神器本-2-普通-1</t>
    <phoneticPr fontId="2" type="noConversion"/>
  </si>
  <si>
    <t>神器本-3-普通-1</t>
  </si>
  <si>
    <t>神器本-2-普通-2</t>
    <phoneticPr fontId="2" type="noConversion"/>
  </si>
  <si>
    <t>神器本-2-普通-3</t>
    <phoneticPr fontId="2" type="noConversion"/>
  </si>
  <si>
    <t>神器本-2-普通-3</t>
    <phoneticPr fontId="2" type="noConversion"/>
  </si>
  <si>
    <t>神器本-2-困难-1</t>
  </si>
  <si>
    <t>神器本-2-困难-2</t>
  </si>
  <si>
    <t>神器本-2-困难-3</t>
  </si>
  <si>
    <t>神器本-2-困难-4</t>
    <phoneticPr fontId="2" type="noConversion"/>
  </si>
  <si>
    <t>神器本-3-困难-1</t>
  </si>
  <si>
    <t>神器本-3-困难-2</t>
  </si>
  <si>
    <t>神器本-3-困难-3</t>
  </si>
  <si>
    <t>神器本-3-普通-2</t>
    <phoneticPr fontId="2" type="noConversion"/>
  </si>
  <si>
    <t>神器本-3-普通-3</t>
    <phoneticPr fontId="2" type="noConversion"/>
  </si>
  <si>
    <t>神器本-3-困难-4</t>
    <phoneticPr fontId="2" type="noConversion"/>
  </si>
  <si>
    <t>神器本-3-噩梦-1</t>
  </si>
  <si>
    <t>神器本-3-噩梦-2</t>
  </si>
  <si>
    <t>神器本-3-噩梦-3</t>
  </si>
  <si>
    <t>神器本-3-噩梦-4</t>
  </si>
  <si>
    <t>神器本-3-噩梦-5</t>
  </si>
  <si>
    <t>神器本-4-普通-1</t>
    <phoneticPr fontId="2" type="noConversion"/>
  </si>
  <si>
    <t>神器本-4-普通-2</t>
    <phoneticPr fontId="2" type="noConversion"/>
  </si>
  <si>
    <t>神器本-4-普通-3</t>
    <phoneticPr fontId="2" type="noConversion"/>
  </si>
  <si>
    <t>神器本-4-困难-1</t>
  </si>
  <si>
    <t>神器本-4-困难-2</t>
  </si>
  <si>
    <t>神器本-4-困难-3</t>
  </si>
  <si>
    <t>神器本-4-困难-4</t>
  </si>
  <si>
    <t>神器本-5-困难-3</t>
  </si>
  <si>
    <t>神器本-4-噩梦-1</t>
  </si>
  <si>
    <t>神器本-4-噩梦-2</t>
  </si>
  <si>
    <t>神器本-4-噩梦-3</t>
  </si>
  <si>
    <t>神器本-4-噩梦-4</t>
  </si>
  <si>
    <t>神器本-4-噩梦-5</t>
  </si>
  <si>
    <t>神器本-5-普通-1</t>
    <phoneticPr fontId="2" type="noConversion"/>
  </si>
  <si>
    <t>神器本-5-普通-2</t>
    <phoneticPr fontId="2" type="noConversion"/>
  </si>
  <si>
    <t>神器本-5-困难-1</t>
  </si>
  <si>
    <t>神器本-5-困难-2</t>
  </si>
  <si>
    <t>神器本-6-困难-1</t>
  </si>
  <si>
    <t>神器本-6-困难-2</t>
  </si>
  <si>
    <t>神器本-5-噩梦-1</t>
  </si>
  <si>
    <t>神器本-5-噩梦-2</t>
  </si>
  <si>
    <t>神器本-5-噩梦-3</t>
  </si>
  <si>
    <t>神器本-5-噩梦-4</t>
  </si>
  <si>
    <t>神器本-6-普通-1</t>
    <phoneticPr fontId="2" type="noConversion"/>
  </si>
  <si>
    <t>神器本-6-普通-2</t>
    <phoneticPr fontId="2" type="noConversion"/>
  </si>
  <si>
    <t>神器本-6-困难-3</t>
    <phoneticPr fontId="2" type="noConversion"/>
  </si>
  <si>
    <t>神器本-7-困难-1</t>
  </si>
  <si>
    <t>神器本-7-困难-2</t>
  </si>
  <si>
    <t>神器本-7-困难-3</t>
  </si>
  <si>
    <t>神器本-6-噩梦-1</t>
  </si>
  <si>
    <t>神器本-6-噩梦-2</t>
  </si>
  <si>
    <t>神器本-6-噩梦-3</t>
  </si>
  <si>
    <t>神器本-6-噩梦-4</t>
  </si>
  <si>
    <t>神器本-7-普通-1</t>
    <phoneticPr fontId="2" type="noConversion"/>
  </si>
  <si>
    <t>神器本-7-普通-2</t>
    <phoneticPr fontId="2" type="noConversion"/>
  </si>
  <si>
    <t>神器本-7-噩梦-1</t>
  </si>
  <si>
    <t>神器本-7-噩梦-2</t>
  </si>
  <si>
    <t>神器本-7-噩梦-3</t>
  </si>
  <si>
    <t>神器本-7-噩梦-4</t>
  </si>
  <si>
    <t>神器本-5-普通-3</t>
    <phoneticPr fontId="2" type="noConversion"/>
  </si>
  <si>
    <t>神器本-5-普通-3</t>
    <phoneticPr fontId="2" type="noConversion"/>
  </si>
  <si>
    <t>神器本-7-普通-1</t>
    <phoneticPr fontId="2" type="noConversion"/>
  </si>
  <si>
    <t>神器本-7-噩梦-1</t>
    <phoneticPr fontId="2" type="noConversion"/>
  </si>
  <si>
    <t>WpName</t>
    <phoneticPr fontId="2" type="noConversion"/>
  </si>
  <si>
    <t>青龙偃月刀</t>
  </si>
  <si>
    <t>碎岩</t>
  </si>
  <si>
    <t>狂鲨铁戟</t>
  </si>
  <si>
    <t>清风化煞</t>
  </si>
  <si>
    <t>破军</t>
  </si>
  <si>
    <t>阿尔法拉</t>
  </si>
  <si>
    <t>娑伽罗之刃</t>
  </si>
  <si>
    <t>白龙</t>
  </si>
  <si>
    <t>流光·幻影</t>
  </si>
  <si>
    <t>丈八蛇矛</t>
  </si>
  <si>
    <t>鬼哭地狱</t>
  </si>
  <si>
    <t>镔铁盘龙棍</t>
  </si>
  <si>
    <t>诸神的裁决</t>
  </si>
  <si>
    <t>黑色死神</t>
  </si>
  <si>
    <t>百战陷阵枪</t>
  </si>
  <si>
    <t>断灭一闪</t>
  </si>
  <si>
    <t>朱仙专属武器</t>
  </si>
  <si>
    <t>雷神之锤</t>
  </si>
  <si>
    <t>方天画戟</t>
  </si>
  <si>
    <t>小乙玉笛</t>
  </si>
  <si>
    <t>虎头錾金枪</t>
  </si>
  <si>
    <t>地煞一</t>
  </si>
  <si>
    <t>地煞二</t>
  </si>
  <si>
    <t>地煞三</t>
  </si>
  <si>
    <t>地煞四</t>
  </si>
  <si>
    <t>地煞五</t>
  </si>
  <si>
    <t>地煞六</t>
  </si>
  <si>
    <t>地煞七</t>
  </si>
  <si>
    <t>地煞八</t>
  </si>
  <si>
    <t>地煞九</t>
  </si>
  <si>
    <t>天罡一</t>
  </si>
  <si>
    <t>天罡二</t>
  </si>
  <si>
    <t>天罡三</t>
  </si>
  <si>
    <t>天罡四</t>
  </si>
  <si>
    <t>天罡五</t>
  </si>
  <si>
    <t>天罡六</t>
  </si>
  <si>
    <t>星耀</t>
  </si>
  <si>
    <t>恶灵入侵名</t>
    <phoneticPr fontId="2" type="noConversion"/>
  </si>
  <si>
    <t>限制等级</t>
    <phoneticPr fontId="2" type="noConversion"/>
  </si>
  <si>
    <t>品质</t>
    <phoneticPr fontId="2" type="noConversion"/>
  </si>
  <si>
    <t>价值</t>
    <phoneticPr fontId="2" type="noConversion"/>
  </si>
  <si>
    <t>品质Id</t>
    <phoneticPr fontId="2" type="noConversion"/>
  </si>
  <si>
    <t>R</t>
    <phoneticPr fontId="2" type="noConversion"/>
  </si>
  <si>
    <t>SR</t>
    <phoneticPr fontId="2" type="noConversion"/>
  </si>
  <si>
    <t>SSR</t>
    <phoneticPr fontId="2" type="noConversion"/>
  </si>
  <si>
    <t>SR+</t>
    <phoneticPr fontId="2" type="noConversion"/>
  </si>
  <si>
    <t>SSR+</t>
    <phoneticPr fontId="2" type="noConversion"/>
  </si>
  <si>
    <t>UR</t>
    <phoneticPr fontId="2" type="noConversion"/>
  </si>
  <si>
    <t>需求碎片</t>
    <phoneticPr fontId="2" type="noConversion"/>
  </si>
  <si>
    <t>单次产出</t>
    <phoneticPr fontId="2" type="noConversion"/>
  </si>
  <si>
    <t>D1</t>
    <phoneticPr fontId="2" type="noConversion"/>
  </si>
  <si>
    <t>小品质Id</t>
    <phoneticPr fontId="2" type="noConversion"/>
  </si>
  <si>
    <t>D2</t>
  </si>
  <si>
    <t>D3</t>
  </si>
  <si>
    <t>D4</t>
  </si>
  <si>
    <t>D5</t>
  </si>
  <si>
    <t>D6</t>
  </si>
  <si>
    <t>价值</t>
    <phoneticPr fontId="2" type="noConversion"/>
  </si>
  <si>
    <t>小品质</t>
    <phoneticPr fontId="2" type="noConversion"/>
  </si>
  <si>
    <t>SubQua</t>
    <phoneticPr fontId="2" type="noConversion"/>
  </si>
  <si>
    <t>WpId</t>
    <phoneticPr fontId="2" type="noConversion"/>
  </si>
  <si>
    <t>品质描述</t>
    <phoneticPr fontId="2" type="noConversion"/>
  </si>
  <si>
    <t>Weight</t>
    <phoneticPr fontId="2" type="noConversion"/>
  </si>
  <si>
    <t>项羽</t>
    <phoneticPr fontId="2" type="noConversion"/>
  </si>
  <si>
    <t>掉落设计</t>
    <phoneticPr fontId="2" type="noConversion"/>
  </si>
  <si>
    <t>专属碎片价值</t>
    <phoneticPr fontId="2" type="noConversion"/>
  </si>
  <si>
    <t>专属武器碎片</t>
    <phoneticPr fontId="2" type="noConversion"/>
  </si>
  <si>
    <t>价值</t>
    <phoneticPr fontId="2" type="noConversion"/>
  </si>
  <si>
    <t>对应章节</t>
    <phoneticPr fontId="2" type="noConversion"/>
  </si>
  <si>
    <t>金币n</t>
    <phoneticPr fontId="2" type="noConversion"/>
  </si>
  <si>
    <t>金币</t>
    <phoneticPr fontId="2" type="noConversion"/>
  </si>
  <si>
    <t>洗炼瓶Min</t>
    <phoneticPr fontId="2" type="noConversion"/>
  </si>
  <si>
    <t>洗炼瓶Max</t>
    <phoneticPr fontId="2" type="noConversion"/>
  </si>
  <si>
    <t>RowId</t>
    <phoneticPr fontId="2" type="noConversion"/>
  </si>
  <si>
    <t>WpID</t>
    <phoneticPr fontId="2" type="noConversion"/>
  </si>
  <si>
    <t>PSkill</t>
    <phoneticPr fontId="2" type="noConversion"/>
  </si>
  <si>
    <t>PSkillLevel</t>
    <phoneticPr fontId="2" type="noConversion"/>
  </si>
  <si>
    <t>解封等级</t>
    <phoneticPr fontId="2" type="noConversion"/>
  </si>
  <si>
    <t>SR数量</t>
    <phoneticPr fontId="2" type="noConversion"/>
  </si>
  <si>
    <t>SR+数量</t>
    <phoneticPr fontId="2" type="noConversion"/>
  </si>
  <si>
    <t>SSR数量</t>
    <phoneticPr fontId="2" type="noConversion"/>
  </si>
  <si>
    <t>SSR+数量</t>
    <phoneticPr fontId="2" type="noConversion"/>
  </si>
  <si>
    <t>UR数量</t>
    <phoneticPr fontId="2" type="noConversion"/>
  </si>
  <si>
    <t>Loc</t>
    <phoneticPr fontId="2" type="noConversion"/>
  </si>
  <si>
    <t>Unseal</t>
    <phoneticPr fontId="2" type="noConversion"/>
  </si>
  <si>
    <t>#note</t>
    <phoneticPr fontId="2" type="noConversion"/>
  </si>
  <si>
    <t>Cost[1].Val</t>
    <phoneticPr fontId="2" type="noConversion"/>
  </si>
  <si>
    <t>Cost[2].Val</t>
    <phoneticPr fontId="2" type="noConversion"/>
  </si>
  <si>
    <t>SR金币</t>
    <phoneticPr fontId="2" type="noConversion"/>
  </si>
  <si>
    <t>SR+金币</t>
    <phoneticPr fontId="2" type="noConversion"/>
  </si>
  <si>
    <t>SSR金币</t>
    <phoneticPr fontId="2" type="noConversion"/>
  </si>
  <si>
    <t>SSR+金币</t>
    <phoneticPr fontId="2" type="noConversion"/>
  </si>
  <si>
    <t>UR金币</t>
    <phoneticPr fontId="2" type="noConversion"/>
  </si>
  <si>
    <t>规划金币</t>
    <phoneticPr fontId="2" type="noConversion"/>
  </si>
  <si>
    <t>SubQua</t>
    <phoneticPr fontId="2" type="noConversion"/>
  </si>
  <si>
    <t>分解金币</t>
    <phoneticPr fontId="2" type="noConversion"/>
  </si>
  <si>
    <t>购买钻石</t>
    <phoneticPr fontId="2" type="noConversion"/>
  </si>
  <si>
    <t>十一后放整件，要追加公告系统</t>
    <phoneticPr fontId="2" type="noConversion"/>
  </si>
  <si>
    <t>分解货币</t>
    <phoneticPr fontId="2" type="noConversion"/>
  </si>
  <si>
    <t>大R</t>
    <phoneticPr fontId="2" type="noConversion"/>
  </si>
  <si>
    <t>15~25</t>
    <phoneticPr fontId="2" type="noConversion"/>
  </si>
  <si>
    <t>25~30</t>
    <phoneticPr fontId="2" type="noConversion"/>
  </si>
  <si>
    <t>极限时间</t>
    <phoneticPr fontId="2" type="noConversion"/>
  </si>
  <si>
    <t>极限停留</t>
    <phoneticPr fontId="2" type="noConversion"/>
  </si>
  <si>
    <t>假定不限使用次数，月卡每天买4次，大R每天买8次</t>
    <phoneticPr fontId="2" type="noConversion"/>
  </si>
  <si>
    <t>对应挂机章</t>
    <phoneticPr fontId="2" type="noConversion"/>
  </si>
  <si>
    <t>150小圆满</t>
    <phoneticPr fontId="2" type="noConversion"/>
  </si>
  <si>
    <t>150大圆满</t>
    <phoneticPr fontId="2" type="noConversion"/>
  </si>
  <si>
    <t>每天次数</t>
    <phoneticPr fontId="2" type="noConversion"/>
  </si>
  <si>
    <t>月卡100钻</t>
    <phoneticPr fontId="2" type="noConversion"/>
  </si>
  <si>
    <t>终身卡150钻</t>
    <phoneticPr fontId="2" type="noConversion"/>
  </si>
  <si>
    <t>1~7</t>
    <phoneticPr fontId="2" type="noConversion"/>
  </si>
  <si>
    <t>7~15</t>
    <phoneticPr fontId="2" type="noConversion"/>
  </si>
  <si>
    <t>等级</t>
    <phoneticPr fontId="2" type="noConversion"/>
  </si>
  <si>
    <t>等级Max</t>
    <phoneticPr fontId="2" type="noConversion"/>
  </si>
  <si>
    <t>计算等级</t>
    <phoneticPr fontId="2" type="noConversion"/>
  </si>
  <si>
    <t>对应章节</t>
    <phoneticPr fontId="2" type="noConversion"/>
  </si>
  <si>
    <t>停留总</t>
    <phoneticPr fontId="2" type="noConversion"/>
  </si>
  <si>
    <t>比例</t>
    <phoneticPr fontId="2" type="noConversion"/>
  </si>
  <si>
    <t>开启等级</t>
    <phoneticPr fontId="2" type="noConversion"/>
  </si>
  <si>
    <t>日常本产出参考</t>
    <phoneticPr fontId="2" type="noConversion"/>
  </si>
  <si>
    <t>参数</t>
    <phoneticPr fontId="2" type="noConversion"/>
  </si>
  <si>
    <t>MinChaLoc</t>
    <phoneticPr fontId="2" type="noConversion"/>
  </si>
  <si>
    <t>MaxChaLoc</t>
    <phoneticPr fontId="2" type="noConversion"/>
  </si>
  <si>
    <t>Output</t>
    <phoneticPr fontId="2" type="noConversion"/>
  </si>
  <si>
    <t>挂机停留产出</t>
    <phoneticPr fontId="2" type="noConversion"/>
  </si>
  <si>
    <t>2小时扫荡券</t>
  </si>
  <si>
    <t>困难关卡额外宝箱</t>
    <phoneticPr fontId="2" type="noConversion"/>
  </si>
  <si>
    <t>钻石</t>
    <phoneticPr fontId="2" type="noConversion"/>
  </si>
  <si>
    <t>守护灵经验</t>
    <phoneticPr fontId="2" type="noConversion"/>
  </si>
  <si>
    <t>守护灵经验</t>
    <phoneticPr fontId="2" type="noConversion"/>
  </si>
  <si>
    <t>挂机产出</t>
    <phoneticPr fontId="2" type="noConversion"/>
  </si>
  <si>
    <t>停留时间</t>
    <phoneticPr fontId="2" type="noConversion"/>
  </si>
  <si>
    <t>#note</t>
    <phoneticPr fontId="2" type="noConversion"/>
  </si>
  <si>
    <t>绿材料</t>
    <phoneticPr fontId="2" type="noConversion"/>
  </si>
  <si>
    <t>绿多蓝少</t>
    <phoneticPr fontId="2" type="noConversion"/>
  </si>
  <si>
    <t>蓝材料</t>
    <phoneticPr fontId="2" type="noConversion"/>
  </si>
  <si>
    <t>蓝多紫少</t>
    <phoneticPr fontId="2" type="noConversion"/>
  </si>
  <si>
    <t>紫材料</t>
    <phoneticPr fontId="2" type="noConversion"/>
  </si>
  <si>
    <t>紫多橙少</t>
    <phoneticPr fontId="2" type="noConversion"/>
  </si>
  <si>
    <t>橙材料</t>
    <phoneticPr fontId="2" type="noConversion"/>
  </si>
  <si>
    <t>橙多红少</t>
    <phoneticPr fontId="2" type="noConversion"/>
  </si>
  <si>
    <t>红材料</t>
    <phoneticPr fontId="2" type="noConversion"/>
  </si>
  <si>
    <t>魂火本设计</t>
    <phoneticPr fontId="2" type="noConversion"/>
  </si>
  <si>
    <t>魂火日常本总产出</t>
    <phoneticPr fontId="2" type="noConversion"/>
  </si>
  <si>
    <t>玄铁少</t>
    <phoneticPr fontId="2" type="noConversion"/>
  </si>
  <si>
    <t>玄铁多乌金少</t>
    <phoneticPr fontId="2" type="noConversion"/>
  </si>
  <si>
    <t>乌金</t>
    <phoneticPr fontId="2" type="noConversion"/>
  </si>
  <si>
    <t>乌金多银母少</t>
    <phoneticPr fontId="2" type="noConversion"/>
  </si>
  <si>
    <t>银母</t>
    <phoneticPr fontId="2" type="noConversion"/>
  </si>
  <si>
    <t>银母多铀金少</t>
    <phoneticPr fontId="2" type="noConversion"/>
  </si>
  <si>
    <t>铀金</t>
    <phoneticPr fontId="2" type="noConversion"/>
  </si>
  <si>
    <t>玄铁</t>
    <phoneticPr fontId="2" type="noConversion"/>
  </si>
  <si>
    <t>突破本设计</t>
    <phoneticPr fontId="2" type="noConversion"/>
  </si>
  <si>
    <t>突破材料总产出</t>
    <phoneticPr fontId="2" type="noConversion"/>
  </si>
  <si>
    <t>关卡宝箱</t>
    <phoneticPr fontId="2" type="noConversion"/>
  </si>
  <si>
    <t>20级-新手套守护灵の头盔</t>
  </si>
  <si>
    <t>20级-新手套守护灵の铠甲</t>
  </si>
  <si>
    <t>20级-新手套守护灵の裤子</t>
  </si>
  <si>
    <t>20级-新手套守护灵の鞋子</t>
  </si>
  <si>
    <t>20级-新手套守护灵の护手</t>
  </si>
  <si>
    <t>20级-新手套守护灵の灵器</t>
  </si>
  <si>
    <t>20级-新手套寄灵人の头盔</t>
  </si>
  <si>
    <t>20级-新手套寄灵人の铠甲</t>
  </si>
  <si>
    <t>20级-新手套寄灵人の裤子</t>
  </si>
  <si>
    <t>20级-新手套寄灵人の鞋子</t>
  </si>
  <si>
    <t>20级-新手套寄灵人の护手</t>
  </si>
  <si>
    <t>20级-新手套寄灵人の灵器</t>
  </si>
  <si>
    <t>40级-攻击套寄灵人の头盔</t>
  </si>
  <si>
    <t>40级-攻击套寄灵人の铠甲</t>
  </si>
  <si>
    <t>40级-攻击套寄灵人の鞋子</t>
  </si>
  <si>
    <t>40级-攻击套寄灵人の项链</t>
  </si>
  <si>
    <t>40级-攻击套寄灵人の戒指</t>
  </si>
  <si>
    <t>40级-攻击套寄灵人の灵器</t>
  </si>
  <si>
    <t>40级-攻击套守护灵の头盔</t>
  </si>
  <si>
    <t>40级-攻击套守护灵の铠甲</t>
  </si>
  <si>
    <t>40级-攻击套守护灵の鞋子</t>
  </si>
  <si>
    <t>40级-攻击套守护灵の项链</t>
  </si>
  <si>
    <t>40级-攻击套守护灵の戒指</t>
  </si>
  <si>
    <t>40级-攻击套守护灵の灵器</t>
  </si>
  <si>
    <t>60级-防御套守护灵の头盔</t>
  </si>
  <si>
    <t>60级-防御套守护灵の铠甲</t>
  </si>
  <si>
    <t>60级-防御套守护灵の裤子</t>
  </si>
  <si>
    <t>60级-防御套守护灵の鞋子</t>
  </si>
  <si>
    <t>60级-防御套守护灵の护手</t>
  </si>
  <si>
    <t>60级-防御套守护灵の灵器</t>
  </si>
  <si>
    <t>60级-防御套寄灵人の头盔</t>
  </si>
  <si>
    <t>60级-防御套寄灵人の铠甲</t>
  </si>
  <si>
    <t>60级-防御套寄灵人の裤子</t>
  </si>
  <si>
    <t>60级-防御套寄灵人の鞋子</t>
  </si>
  <si>
    <t>60级-防御套寄灵人の护手</t>
  </si>
  <si>
    <t>60级-防御套寄灵人の灵器</t>
  </si>
  <si>
    <t>80级-攻击套守护灵の头盔</t>
  </si>
  <si>
    <t>80级-攻击套守护灵の铠甲</t>
  </si>
  <si>
    <t>80级-攻击套守护灵の鞋子</t>
  </si>
  <si>
    <t>80级-攻击套守护灵の项链</t>
  </si>
  <si>
    <t>80级-攻击套守护灵の戒指</t>
  </si>
  <si>
    <t>80级-攻击套守护灵の灵器</t>
  </si>
  <si>
    <t>80级-攻击套寄灵人の头盔</t>
  </si>
  <si>
    <t>80级-攻击套寄灵人の铠甲</t>
  </si>
  <si>
    <t>80级-攻击套寄灵人の鞋子</t>
  </si>
  <si>
    <t>80级-攻击套寄灵人の项链</t>
  </si>
  <si>
    <t>80级-攻击套寄灵人の戒指</t>
  </si>
  <si>
    <t>80级-攻击套寄灵人の灵器</t>
  </si>
  <si>
    <t>90级-防御套守护灵の头盔</t>
  </si>
  <si>
    <t>90级-防御套守护灵の铠甲</t>
  </si>
  <si>
    <t>90级-防御套守护灵の裤子</t>
  </si>
  <si>
    <t>90级-防御套寄灵人の头盔</t>
  </si>
  <si>
    <t>90级-防御套寄灵人の铠甲</t>
  </si>
  <si>
    <t>90级-防御套寄灵人の裤子</t>
  </si>
  <si>
    <t>100级-攻击套守护灵の头盔</t>
  </si>
  <si>
    <t>100级-攻击套守护灵の铠甲</t>
  </si>
  <si>
    <t>100级-攻击套守护灵の鞋子</t>
  </si>
  <si>
    <t>100级-攻击套寄灵人の头盔</t>
  </si>
  <si>
    <t>100级-攻击套寄灵人の铠甲</t>
  </si>
  <si>
    <t>100级-攻击套寄灵人の鞋子</t>
  </si>
  <si>
    <t>110级-防御套守护灵の头盔</t>
  </si>
  <si>
    <t>110级-防御套守护灵の铠甲</t>
  </si>
  <si>
    <t>110级-防御套守护灵の裤子</t>
  </si>
  <si>
    <t>110级-防御套寄灵人の头盔</t>
  </si>
  <si>
    <t>110级-防御套寄灵人の铠甲</t>
  </si>
  <si>
    <t>110级-防御套寄灵人の裤子</t>
  </si>
  <si>
    <t>120级-攻击套守护灵の头盔</t>
  </si>
  <si>
    <t>120级-攻击套守护灵の铠甲</t>
  </si>
  <si>
    <t>120级-攻击套守护灵の鞋子</t>
  </si>
  <si>
    <t>120级-攻击套寄灵人の头盔</t>
  </si>
  <si>
    <t>120级-攻击套寄灵人の铠甲</t>
  </si>
  <si>
    <t>120级-攻击套寄灵人の鞋子</t>
  </si>
  <si>
    <t>130级-防御套守护灵の头盔</t>
  </si>
  <si>
    <t>130级-防御套守护灵の铠甲</t>
  </si>
  <si>
    <t>130级-防御套守护灵の裤子</t>
  </si>
  <si>
    <t>130级-防御套寄灵人の头盔</t>
  </si>
  <si>
    <t>130级-防御套寄灵人の铠甲</t>
  </si>
  <si>
    <t>130级-防御套寄灵人の裤子</t>
  </si>
  <si>
    <t>140级-攻击套守护灵の头盔</t>
  </si>
  <si>
    <t>140级-攻击套守护灵の铠甲</t>
  </si>
  <si>
    <t>140级-攻击套守护灵の鞋子</t>
  </si>
  <si>
    <t>140级-攻击套寄灵人の头盔</t>
  </si>
  <si>
    <t>140级-攻击套寄灵人の铠甲</t>
  </si>
  <si>
    <t>140级-攻击套寄灵人の鞋子</t>
  </si>
  <si>
    <t>150级-防御套守护灵の头盔</t>
  </si>
  <si>
    <t>150级-防御套守护灵の铠甲</t>
  </si>
  <si>
    <t>150级-防御套守护灵の裤子</t>
  </si>
  <si>
    <t>150级-防御套寄灵人の头盔</t>
  </si>
  <si>
    <t>150级-防御套寄灵人の铠甲</t>
  </si>
  <si>
    <t>150级-防御套寄灵人の裤子</t>
  </si>
  <si>
    <t>绿色基础材料</t>
    <phoneticPr fontId="2" type="noConversion"/>
  </si>
  <si>
    <t>蓝色基础材料</t>
    <phoneticPr fontId="2" type="noConversion"/>
  </si>
  <si>
    <t>紫色基础材料</t>
    <phoneticPr fontId="2" type="noConversion"/>
  </si>
  <si>
    <t>橙色基础材料</t>
    <phoneticPr fontId="2" type="noConversion"/>
  </si>
  <si>
    <t>红色基础材料</t>
    <phoneticPr fontId="2" type="noConversion"/>
  </si>
  <si>
    <t>Sweep</t>
    <phoneticPr fontId="2" type="noConversion"/>
  </si>
  <si>
    <t>Award[1].Id</t>
    <phoneticPr fontId="2" type="noConversion"/>
  </si>
  <si>
    <t>Award[1].Val</t>
    <phoneticPr fontId="2" type="noConversion"/>
  </si>
  <si>
    <t>Award[2].Id</t>
    <phoneticPr fontId="2" type="noConversion"/>
  </si>
  <si>
    <t>Award[1].Id</t>
    <phoneticPr fontId="2" type="noConversion"/>
  </si>
  <si>
    <t>Award[1].Val</t>
    <phoneticPr fontId="2" type="noConversion"/>
  </si>
  <si>
    <t>留坑</t>
    <phoneticPr fontId="2" type="noConversion"/>
  </si>
  <si>
    <t>灵玉</t>
    <phoneticPr fontId="2" type="noConversion"/>
  </si>
  <si>
    <t>总和</t>
    <phoneticPr fontId="2" type="noConversion"/>
  </si>
  <si>
    <t>等级Min</t>
    <phoneticPr fontId="2" type="noConversion"/>
  </si>
  <si>
    <t>等级Max</t>
    <phoneticPr fontId="2" type="noConversion"/>
  </si>
  <si>
    <t>普通宝箱</t>
    <phoneticPr fontId="2" type="noConversion"/>
  </si>
  <si>
    <t>困难宝箱</t>
    <phoneticPr fontId="2" type="noConversion"/>
  </si>
  <si>
    <t>经验N</t>
    <phoneticPr fontId="2" type="noConversion"/>
  </si>
  <si>
    <t>经验R</t>
    <phoneticPr fontId="2" type="noConversion"/>
  </si>
  <si>
    <t>经验SR</t>
    <phoneticPr fontId="2" type="noConversion"/>
  </si>
  <si>
    <t>经验SSR</t>
    <phoneticPr fontId="2" type="noConversion"/>
  </si>
  <si>
    <t>经验UR</t>
    <phoneticPr fontId="2" type="noConversion"/>
  </si>
  <si>
    <t>等级</t>
    <phoneticPr fontId="2" type="noConversion"/>
  </si>
  <si>
    <t>比例</t>
    <phoneticPr fontId="2" type="noConversion"/>
  </si>
  <si>
    <t>等级Min</t>
    <phoneticPr fontId="2" type="noConversion"/>
  </si>
  <si>
    <t>等级Max</t>
    <phoneticPr fontId="2" type="noConversion"/>
  </si>
  <si>
    <t>停留时间</t>
    <phoneticPr fontId="2" type="noConversion"/>
  </si>
  <si>
    <t>等级段</t>
    <phoneticPr fontId="2" type="noConversion"/>
  </si>
  <si>
    <t>极限停留</t>
    <phoneticPr fontId="2" type="noConversion"/>
  </si>
  <si>
    <t>总停留</t>
    <phoneticPr fontId="2" type="noConversion"/>
  </si>
  <si>
    <t>时间</t>
    <phoneticPr fontId="2" type="noConversion"/>
  </si>
  <si>
    <t>等级</t>
    <phoneticPr fontId="2" type="noConversion"/>
  </si>
  <si>
    <t>大点</t>
    <phoneticPr fontId="2" type="noConversion"/>
  </si>
  <si>
    <t>大点</t>
    <phoneticPr fontId="2" type="noConversion"/>
  </si>
  <si>
    <t>大点</t>
    <phoneticPr fontId="2" type="noConversion"/>
  </si>
  <si>
    <t>神器7</t>
    <phoneticPr fontId="2" type="noConversion"/>
  </si>
  <si>
    <t>停留时间</t>
    <phoneticPr fontId="2" type="noConversion"/>
  </si>
  <si>
    <t>无脑神器</t>
    <phoneticPr fontId="2" type="noConversion"/>
  </si>
  <si>
    <t>专属强化石1</t>
    <phoneticPr fontId="2" type="noConversion"/>
  </si>
  <si>
    <t>专属强化石2</t>
  </si>
  <si>
    <t>专属强化石3</t>
  </si>
  <si>
    <t>专属强化石4</t>
  </si>
  <si>
    <t>总价值</t>
    <phoneticPr fontId="2" type="noConversion"/>
  </si>
  <si>
    <t>价值</t>
    <phoneticPr fontId="2" type="noConversion"/>
  </si>
  <si>
    <t>价值指数</t>
    <phoneticPr fontId="2" type="noConversion"/>
  </si>
  <si>
    <t>属性分配</t>
    <phoneticPr fontId="2" type="noConversion"/>
  </si>
  <si>
    <t>R寄灵人</t>
  </si>
  <si>
    <t>SR寄灵人</t>
  </si>
  <si>
    <t>SSR寄灵人</t>
  </si>
  <si>
    <t>UR寄灵人</t>
  </si>
  <si>
    <t>R守护灵</t>
  </si>
  <si>
    <t>SR守护灵</t>
  </si>
  <si>
    <t>SSR守护灵</t>
  </si>
  <si>
    <t>UR守护灵</t>
  </si>
  <si>
    <t>升星碎片</t>
    <phoneticPr fontId="2" type="noConversion"/>
  </si>
  <si>
    <t>星</t>
    <phoneticPr fontId="2" type="noConversion"/>
  </si>
  <si>
    <t>R</t>
    <phoneticPr fontId="2" type="noConversion"/>
  </si>
  <si>
    <t>SR</t>
    <phoneticPr fontId="2" type="noConversion"/>
  </si>
  <si>
    <t>SSR</t>
    <phoneticPr fontId="2" type="noConversion"/>
  </si>
  <si>
    <t>UR</t>
    <phoneticPr fontId="2" type="noConversion"/>
  </si>
  <si>
    <t>朱童</t>
    <phoneticPr fontId="2" type="noConversion"/>
  </si>
  <si>
    <t>常服曹焱兵</t>
    <phoneticPr fontId="2" type="noConversion"/>
  </si>
  <si>
    <t>战斗曹焱兵</t>
    <phoneticPr fontId="2" type="noConversion"/>
  </si>
  <si>
    <t>战斗夏铃</t>
    <phoneticPr fontId="2" type="noConversion"/>
  </si>
  <si>
    <t>常服夏铃</t>
    <phoneticPr fontId="2" type="noConversion"/>
  </si>
  <si>
    <t>金币计算</t>
    <phoneticPr fontId="2" type="noConversion"/>
  </si>
  <si>
    <t>比率</t>
    <phoneticPr fontId="2" type="noConversion"/>
  </si>
  <si>
    <t>Qua</t>
    <phoneticPr fontId="2" type="noConversion"/>
  </si>
  <si>
    <t>Loc</t>
    <phoneticPr fontId="2" type="noConversion"/>
  </si>
  <si>
    <t>金币</t>
    <phoneticPr fontId="2" type="noConversion"/>
  </si>
  <si>
    <t>魂火金币</t>
    <phoneticPr fontId="2" type="noConversion"/>
  </si>
  <si>
    <t>魂火消耗</t>
    <phoneticPr fontId="2" type="noConversion"/>
  </si>
  <si>
    <t>突破材料</t>
    <phoneticPr fontId="2" type="noConversion"/>
  </si>
  <si>
    <t>灵玉</t>
    <phoneticPr fontId="2" type="noConversion"/>
  </si>
  <si>
    <t>Id</t>
    <phoneticPr fontId="2" type="noConversion"/>
  </si>
  <si>
    <t>神器碎片</t>
    <phoneticPr fontId="2" type="noConversion"/>
  </si>
  <si>
    <t>金币</t>
    <phoneticPr fontId="2" type="noConversion"/>
  </si>
  <si>
    <t>Cost[2].Id</t>
    <phoneticPr fontId="2" type="noConversion"/>
  </si>
  <si>
    <t>Cost[2].Val</t>
    <phoneticPr fontId="2" type="noConversion"/>
  </si>
  <si>
    <t>金币</t>
    <phoneticPr fontId="2" type="noConversion"/>
  </si>
  <si>
    <t>等级</t>
    <phoneticPr fontId="2" type="noConversion"/>
  </si>
  <si>
    <t>价值系数</t>
    <phoneticPr fontId="2" type="noConversion"/>
  </si>
  <si>
    <t>等级</t>
    <phoneticPr fontId="2" type="noConversion"/>
  </si>
  <si>
    <t>qua</t>
    <phoneticPr fontId="2" type="noConversion"/>
  </si>
  <si>
    <t>value</t>
    <phoneticPr fontId="2" type="noConversion"/>
  </si>
  <si>
    <t>RelicLoc</t>
    <phoneticPr fontId="2" type="noConversion"/>
  </si>
  <si>
    <t>TotalW</t>
    <phoneticPr fontId="2" type="noConversion"/>
  </si>
  <si>
    <t>TotalGold</t>
    <phoneticPr fontId="2" type="noConversion"/>
  </si>
  <si>
    <t>Lv</t>
    <phoneticPr fontId="2" type="noConversion"/>
  </si>
  <si>
    <t>NeedLv</t>
    <phoneticPr fontId="2" type="noConversion"/>
  </si>
  <si>
    <t>守护灵初级抽卡券</t>
  </si>
  <si>
    <t>LvLimit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</si>
</sst>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0.0%"/>
  </numFmts>
  <fonts count="20" x14ac:knownFonts="1">
    <font>
      <sz val="11"/>
      <color theme="1"/>
      <name val="等线"/>
      <family val="2"/>
      <scheme val="minor"/>
    </font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b/>
      <sz val="11"/>
      <color theme="1"/>
      <name val="微软雅黑"/>
      <family val="2"/>
      <charset val="134"/>
    </font>
    <font>
      <sz val="9"/>
      <name val="等线"/>
      <family val="2"/>
      <charset val="134"/>
      <scheme val="minor"/>
    </font>
    <font>
      <sz val="12"/>
      <color theme="1"/>
      <name val="微软雅黑"/>
      <family val="2"/>
      <charset val="134"/>
    </font>
    <font>
      <sz val="12"/>
      <color theme="0"/>
      <name val="微软雅黑"/>
      <family val="2"/>
      <charset val="134"/>
    </font>
    <font>
      <sz val="11"/>
      <color theme="1"/>
      <name val="微软雅黑"/>
      <family val="2"/>
      <charset val="134"/>
    </font>
    <font>
      <sz val="16"/>
      <color theme="1"/>
      <name val="等线"/>
      <family val="2"/>
      <scheme val="minor"/>
    </font>
    <font>
      <strike/>
      <sz val="11"/>
      <color theme="1"/>
      <name val="等线"/>
      <family val="3"/>
      <scheme val="minor"/>
    </font>
    <font>
      <u/>
      <sz val="12"/>
      <color theme="10"/>
      <name val="等线"/>
      <family val="2"/>
      <charset val="134"/>
      <scheme val="minor"/>
    </font>
    <font>
      <sz val="18"/>
      <color theme="0"/>
      <name val="微软雅黑"/>
      <family val="2"/>
      <charset val="134"/>
    </font>
    <font>
      <sz val="22"/>
      <color theme="1"/>
      <name val="微软雅黑"/>
      <family val="2"/>
      <charset val="134"/>
    </font>
    <font>
      <b/>
      <sz val="12"/>
      <color theme="0"/>
      <name val="微软雅黑"/>
      <family val="2"/>
      <charset val="134"/>
    </font>
    <font>
      <i/>
      <sz val="12"/>
      <color rgb="FFFF0000"/>
      <name val="微软雅黑"/>
      <family val="2"/>
      <charset val="134"/>
    </font>
    <font>
      <sz val="11"/>
      <color rgb="FF9C6500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9"/>
      <color indexed="81"/>
      <name val="宋体"/>
      <family val="3"/>
      <charset val="134"/>
    </font>
    <font>
      <b/>
      <sz val="9"/>
      <color indexed="81"/>
      <name val="宋体"/>
      <family val="3"/>
      <charset val="134"/>
    </font>
    <font>
      <strike/>
      <sz val="11"/>
      <color theme="1"/>
      <name val="微软雅黑"/>
      <family val="2"/>
      <charset val="134"/>
    </font>
  </fonts>
  <fills count="1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 tint="-0.34934537797173987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66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rgb="FFFFEB9C"/>
      </patternFill>
    </fill>
    <fill>
      <patternFill patternType="solid">
        <fgColor rgb="FFF2F2F2"/>
      </patternFill>
    </fill>
    <fill>
      <patternFill patternType="solid">
        <fgColor theme="5" tint="-0.249977111117893"/>
        <bgColor indexed="64"/>
      </patternFill>
    </fill>
  </fills>
  <borders count="35">
    <border>
      <left/>
      <right/>
      <top/>
      <bottom/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theme="0" tint="-0.34998626667073579"/>
      </bottom>
      <diagonal/>
    </border>
    <border>
      <left/>
      <right/>
      <top style="medium">
        <color auto="1"/>
      </top>
      <bottom style="thin">
        <color theme="0" tint="-0.34998626667073579"/>
      </bottom>
      <diagonal/>
    </border>
    <border>
      <left/>
      <right style="medium">
        <color auto="1"/>
      </right>
      <top style="medium">
        <color auto="1"/>
      </top>
      <bottom style="thin">
        <color theme="0" tint="-0.34998626667073579"/>
      </bottom>
      <diagonal/>
    </border>
    <border>
      <left style="medium">
        <color auto="1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/>
      <top style="thin">
        <color theme="0" tint="-0.34998626667073579"/>
      </top>
      <bottom style="thin">
        <color theme="0" tint="-0.34998626667073579"/>
      </bottom>
      <diagonal/>
    </border>
    <border>
      <left/>
      <right style="medium">
        <color auto="1"/>
      </right>
      <top style="thin">
        <color theme="0" tint="-0.34998626667073579"/>
      </top>
      <bottom/>
      <diagonal/>
    </border>
    <border>
      <left style="thin">
        <color theme="0" tint="-0.34998626667073579"/>
      </left>
      <right style="thin">
        <color theme="0" tint="-0.34998626667073579"/>
      </right>
      <top/>
      <bottom style="thin">
        <color theme="0" tint="-0.34998626667073579"/>
      </bottom>
      <diagonal/>
    </border>
    <border>
      <left/>
      <right style="medium">
        <color auto="1"/>
      </right>
      <top/>
      <bottom style="thin">
        <color theme="0" tint="-0.34998626667073579"/>
      </bottom>
      <diagonal/>
    </border>
    <border>
      <left style="medium">
        <color auto="1"/>
      </left>
      <right style="thin">
        <color theme="0" tint="-0.34998626667073579"/>
      </right>
      <top style="thin">
        <color theme="0" tint="-0.34998626667073579"/>
      </top>
      <bottom/>
      <diagonal/>
    </border>
    <border>
      <left style="thin">
        <color theme="0" tint="-0.34998626667073579"/>
      </left>
      <right/>
      <top style="thin">
        <color theme="0" tint="-0.34998626667073579"/>
      </top>
      <bottom/>
      <diagonal/>
    </border>
    <border>
      <left/>
      <right/>
      <top style="thin">
        <color theme="0" tint="-0.34998626667073579"/>
      </top>
      <bottom/>
      <diagonal/>
    </border>
    <border>
      <left style="thin">
        <color theme="0" tint="-0.34998626667073579"/>
      </left>
      <right style="medium">
        <color auto="1"/>
      </right>
      <top style="thin">
        <color theme="0" tint="-0.34998626667073579"/>
      </top>
      <bottom style="thin">
        <color theme="0" tint="-0.34998626667073579"/>
      </bottom>
      <diagonal/>
    </border>
    <border>
      <left/>
      <right style="medium">
        <color auto="1"/>
      </right>
      <top style="thin">
        <color theme="0" tint="-0.34998626667073579"/>
      </top>
      <bottom style="thin">
        <color theme="0" tint="-0.34998626667073579"/>
      </bottom>
      <diagonal/>
    </border>
    <border>
      <left style="medium">
        <color auto="1"/>
      </left>
      <right style="thin">
        <color theme="0" tint="-0.34998626667073579"/>
      </right>
      <top style="thin">
        <color theme="0" tint="-0.34998626667073579"/>
      </top>
      <bottom style="medium">
        <color auto="1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medium">
        <color auto="1"/>
      </bottom>
      <diagonal/>
    </border>
    <border>
      <left style="thin">
        <color theme="0" tint="-0.34998626667073579"/>
      </left>
      <right/>
      <top style="thin">
        <color theme="0" tint="-0.34998626667073579"/>
      </top>
      <bottom style="medium">
        <color auto="1"/>
      </bottom>
      <diagonal/>
    </border>
    <border>
      <left/>
      <right style="medium">
        <color auto="1"/>
      </right>
      <top style="thin">
        <color theme="0" tint="-0.34998626667073579"/>
      </top>
      <bottom style="medium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4">
    <xf numFmtId="0" fontId="0" fillId="0" borderId="0"/>
    <xf numFmtId="0" fontId="1" fillId="0" borderId="0">
      <alignment vertical="center"/>
    </xf>
    <xf numFmtId="0" fontId="3" fillId="3" borderId="0">
      <alignment horizontal="center" vertical="top"/>
    </xf>
    <xf numFmtId="0" fontId="8" fillId="0" borderId="3">
      <alignment horizontal="center" vertical="center"/>
    </xf>
    <xf numFmtId="0" fontId="7" fillId="0" borderId="4">
      <alignment vertical="top" wrapText="1"/>
    </xf>
    <xf numFmtId="0" fontId="5" fillId="5" borderId="4">
      <alignment horizontal="center" vertical="center" shrinkToFit="1"/>
    </xf>
    <xf numFmtId="0" fontId="9" fillId="6" borderId="0"/>
    <xf numFmtId="0" fontId="7" fillId="7" borderId="4">
      <alignment horizontal="center" vertical="center" wrapText="1"/>
    </xf>
    <xf numFmtId="0" fontId="1" fillId="8" borderId="4" applyFont="0">
      <alignment horizontal="center" vertical="center" wrapText="1"/>
    </xf>
    <xf numFmtId="0" fontId="7" fillId="2" borderId="0"/>
    <xf numFmtId="0" fontId="10" fillId="0" borderId="0" applyNumberFormat="0" applyFill="0" applyBorder="0" applyAlignment="0" applyProtection="0"/>
    <xf numFmtId="0" fontId="3" fillId="0" borderId="0">
      <alignment horizontal="center" vertical="center"/>
    </xf>
    <xf numFmtId="0" fontId="15" fillId="11" borderId="0" applyNumberFormat="0" applyBorder="0" applyAlignment="0" applyProtection="0">
      <alignment vertical="center"/>
    </xf>
    <xf numFmtId="0" fontId="16" fillId="12" borderId="22" applyNumberFormat="0" applyAlignment="0" applyProtection="0">
      <alignment vertical="center"/>
    </xf>
  </cellStyleXfs>
  <cellXfs count="255">
    <xf numFmtId="0" fontId="0" fillId="0" borderId="0" xfId="0"/>
    <xf numFmtId="0" fontId="5" fillId="2" borderId="0" xfId="0" applyFont="1" applyFill="1" applyAlignment="1">
      <alignment vertical="center"/>
    </xf>
    <xf numFmtId="0" fontId="6" fillId="10" borderId="8" xfId="0" applyFont="1" applyFill="1" applyBorder="1" applyAlignment="1">
      <alignment horizontal="center" vertical="center"/>
    </xf>
    <xf numFmtId="0" fontId="5" fillId="2" borderId="9" xfId="0" applyFont="1" applyFill="1" applyBorder="1" applyAlignment="1">
      <alignment horizontal="center" vertical="center"/>
    </xf>
    <xf numFmtId="0" fontId="6" fillId="10" borderId="13" xfId="0" applyFont="1" applyFill="1" applyBorder="1" applyAlignment="1">
      <alignment horizontal="center" vertical="center"/>
    </xf>
    <xf numFmtId="0" fontId="13" fillId="10" borderId="8" xfId="0" applyFont="1" applyFill="1" applyBorder="1" applyAlignment="1">
      <alignment horizontal="center" vertical="center"/>
    </xf>
    <xf numFmtId="0" fontId="13" fillId="10" borderId="1" xfId="0" applyFont="1" applyFill="1" applyBorder="1" applyAlignment="1">
      <alignment horizontal="center" vertical="center"/>
    </xf>
    <xf numFmtId="14" fontId="5" fillId="2" borderId="8" xfId="0" applyNumberFormat="1" applyFont="1" applyFill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0" fontId="5" fillId="2" borderId="8" xfId="0" applyFont="1" applyFill="1" applyBorder="1" applyAlignment="1">
      <alignment horizontal="center" vertical="center"/>
    </xf>
    <xf numFmtId="0" fontId="5" fillId="2" borderId="18" xfId="0" applyFont="1" applyFill="1" applyBorder="1" applyAlignment="1">
      <alignment horizontal="center" vertical="center"/>
    </xf>
    <xf numFmtId="0" fontId="5" fillId="2" borderId="19" xfId="0" applyFont="1" applyFill="1" applyBorder="1" applyAlignment="1">
      <alignment horizontal="center" vertical="center"/>
    </xf>
    <xf numFmtId="0" fontId="5" fillId="5" borderId="4" xfId="5">
      <alignment horizontal="center" vertical="center" shrinkToFit="1"/>
    </xf>
    <xf numFmtId="0" fontId="7" fillId="0" borderId="4" xfId="4">
      <alignment vertical="top" wrapText="1"/>
    </xf>
    <xf numFmtId="0" fontId="7" fillId="7" borderId="4" xfId="7">
      <alignment horizontal="center" vertical="center" wrapText="1"/>
    </xf>
    <xf numFmtId="0" fontId="1" fillId="0" borderId="0" xfId="1">
      <alignment vertical="center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9" fontId="7" fillId="0" borderId="4" xfId="4" applyNumberFormat="1">
      <alignment vertical="top" wrapText="1"/>
    </xf>
    <xf numFmtId="10" fontId="7" fillId="7" borderId="4" xfId="7" applyNumberFormat="1">
      <alignment horizontal="center" vertical="center" wrapText="1"/>
    </xf>
    <xf numFmtId="10" fontId="7" fillId="0" borderId="4" xfId="4" applyNumberFormat="1">
      <alignment vertical="top" wrapText="1"/>
    </xf>
    <xf numFmtId="0" fontId="7" fillId="0" borderId="4" xfId="4">
      <alignment vertical="top" wrapText="1"/>
    </xf>
    <xf numFmtId="0" fontId="5" fillId="5" borderId="0" xfId="5" applyBorder="1">
      <alignment horizontal="center" vertical="center" shrinkToFit="1"/>
    </xf>
    <xf numFmtId="0" fontId="7" fillId="0" borderId="4" xfId="4">
      <alignment vertical="top" wrapText="1"/>
    </xf>
    <xf numFmtId="0" fontId="0" fillId="8" borderId="4" xfId="8" applyFont="1">
      <alignment horizontal="center" vertical="center" wrapText="1"/>
    </xf>
    <xf numFmtId="0" fontId="7" fillId="0" borderId="4" xfId="4">
      <alignment vertical="top" wrapText="1"/>
    </xf>
    <xf numFmtId="0" fontId="5" fillId="8" borderId="4" xfId="8" applyFont="1">
      <alignment horizontal="center" vertical="center" wrapText="1"/>
    </xf>
    <xf numFmtId="9" fontId="1" fillId="0" borderId="0" xfId="1" applyNumberFormat="1">
      <alignment vertical="center"/>
    </xf>
    <xf numFmtId="0" fontId="0" fillId="8" borderId="4" xfId="8" applyFont="1">
      <alignment horizontal="center" vertical="center" wrapText="1"/>
    </xf>
    <xf numFmtId="0" fontId="7" fillId="0" borderId="4" xfId="4">
      <alignment vertical="top" wrapText="1"/>
    </xf>
    <xf numFmtId="0" fontId="5" fillId="5" borderId="33" xfId="5" applyBorder="1">
      <alignment horizontal="center" vertical="center" shrinkToFit="1"/>
    </xf>
    <xf numFmtId="0" fontId="7" fillId="0" borderId="4" xfId="4" applyNumberFormat="1">
      <alignment vertical="top" wrapText="1"/>
    </xf>
    <xf numFmtId="0" fontId="0" fillId="8" borderId="0" xfId="8" applyFont="1" applyBorder="1">
      <alignment horizontal="center" vertical="center" wrapText="1"/>
    </xf>
    <xf numFmtId="0" fontId="7" fillId="0" borderId="4" xfId="4">
      <alignment vertical="top" wrapText="1"/>
    </xf>
    <xf numFmtId="9" fontId="0" fillId="0" borderId="0" xfId="0" applyNumberFormat="1"/>
    <xf numFmtId="0" fontId="1" fillId="8" borderId="4" xfId="8">
      <alignment horizontal="center" vertical="center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3" fillId="3" borderId="0" xfId="2" applyAlignment="1">
      <alignment horizontal="center" vertical="top" wrapText="1"/>
    </xf>
    <xf numFmtId="0" fontId="7" fillId="0" borderId="4" xfId="4" applyFont="1">
      <alignment vertical="top" wrapText="1"/>
    </xf>
    <xf numFmtId="0" fontId="7" fillId="0" borderId="4" xfId="4">
      <alignment vertical="top" wrapText="1"/>
    </xf>
    <xf numFmtId="0" fontId="1" fillId="0" borderId="0" xfId="1" applyAlignment="1">
      <alignment vertical="center"/>
    </xf>
    <xf numFmtId="0" fontId="7" fillId="0" borderId="0" xfId="4" applyFill="1" applyBorder="1">
      <alignment vertical="top" wrapText="1"/>
    </xf>
    <xf numFmtId="0" fontId="5" fillId="5" borderId="27" xfId="5" applyBorder="1">
      <alignment horizontal="center" vertical="center" shrinkToFi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 quotePrefix="1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0" fillId="8" borderId="4" xfId="8" applyFont="1">
      <alignment horizontal="center" vertical="center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0" fillId="8" borderId="4" xfId="8" applyFont="1">
      <alignment horizontal="center" vertical="center" wrapText="1"/>
    </xf>
    <xf numFmtId="0" fontId="7" fillId="0" borderId="4" xfId="4">
      <alignment vertical="top" wrapText="1"/>
    </xf>
    <xf numFmtId="0" fontId="0" fillId="0" borderId="0" xfId="0" applyAlignment="1"/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0" fillId="8" borderId="4" xfId="8" applyFont="1">
      <alignment horizontal="center" vertical="center" wrapText="1"/>
    </xf>
    <xf numFmtId="0" fontId="7" fillId="0" borderId="4" xfId="4">
      <alignment vertical="top" wrapText="1"/>
    </xf>
    <xf numFmtId="0" fontId="0" fillId="8" borderId="4" xfId="8" applyFont="1">
      <alignment horizontal="center" vertical="center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33" xfId="4" applyFill="1" applyBorder="1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9" fontId="7" fillId="7" borderId="4" xfId="7" applyNumberFormat="1">
      <alignment horizontal="center" vertical="center" wrapText="1"/>
    </xf>
    <xf numFmtId="10" fontId="0" fillId="0" borderId="0" xfId="0" applyNumberFormat="1"/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27" xfId="4" applyFill="1" applyBorder="1">
      <alignment vertical="top" wrapText="1"/>
    </xf>
    <xf numFmtId="0" fontId="8" fillId="0" borderId="3" xfId="3">
      <alignment horizontal="center" vertical="center"/>
    </xf>
    <xf numFmtId="0" fontId="8" fillId="0" borderId="3" xfId="3" applyAlignment="1">
      <alignment horizontal="center" vertical="center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 applyFont="1" applyFill="1" applyBorder="1" applyAlignment="1">
      <alignment vertical="top" wrapText="1"/>
    </xf>
    <xf numFmtId="3" fontId="7" fillId="0" borderId="4" xfId="4" applyNumberFormat="1" applyFont="1" applyFill="1" applyBorder="1" applyAlignment="1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0" fillId="0" borderId="0" xfId="0"/>
    <xf numFmtId="0" fontId="0" fillId="0" borderId="0" xfId="0"/>
    <xf numFmtId="0" fontId="7" fillId="0" borderId="4" xfId="4">
      <alignment vertical="top" wrapText="1"/>
    </xf>
    <xf numFmtId="0" fontId="0" fillId="0" borderId="0" xfId="0"/>
    <xf numFmtId="0" fontId="1" fillId="0" borderId="0" xfId="1">
      <alignment vertical="center"/>
    </xf>
    <xf numFmtId="0" fontId="7" fillId="0" borderId="4" xfId="4">
      <alignment vertical="top" wrapText="1"/>
    </xf>
    <xf numFmtId="0" fontId="0" fillId="0" borderId="0" xfId="0"/>
    <xf numFmtId="0" fontId="7" fillId="0" borderId="4" xfId="4">
      <alignment vertical="top" wrapText="1"/>
    </xf>
    <xf numFmtId="0" fontId="1" fillId="0" borderId="0" xfId="1">
      <alignment vertical="center"/>
    </xf>
    <xf numFmtId="0" fontId="0" fillId="0" borderId="0" xfId="0"/>
    <xf numFmtId="0" fontId="7" fillId="0" borderId="4" xfId="4">
      <alignment vertical="top" wrapText="1"/>
    </xf>
    <xf numFmtId="0" fontId="1" fillId="0" borderId="0" xfId="1">
      <alignment vertical="center"/>
    </xf>
    <xf numFmtId="0" fontId="0" fillId="0" borderId="0" xfId="0"/>
    <xf numFmtId="0" fontId="7" fillId="0" borderId="4" xfId="4">
      <alignment vertical="top" wrapText="1"/>
    </xf>
    <xf numFmtId="0" fontId="1" fillId="0" borderId="0" xfId="1">
      <alignment vertical="center"/>
    </xf>
    <xf numFmtId="0" fontId="0" fillId="0" borderId="0" xfId="0"/>
    <xf numFmtId="0" fontId="7" fillId="0" borderId="4" xfId="4">
      <alignment vertical="top" wrapText="1"/>
    </xf>
    <xf numFmtId="0" fontId="1" fillId="0" borderId="0" xfId="1">
      <alignment vertical="center"/>
    </xf>
    <xf numFmtId="0" fontId="0" fillId="0" borderId="0" xfId="0"/>
    <xf numFmtId="0" fontId="7" fillId="0" borderId="4" xfId="4">
      <alignment vertical="top" wrapText="1"/>
    </xf>
    <xf numFmtId="0" fontId="0" fillId="0" borderId="0" xfId="0"/>
    <xf numFmtId="0" fontId="7" fillId="0" borderId="4" xfId="4">
      <alignment vertical="top" wrapText="1"/>
    </xf>
    <xf numFmtId="0" fontId="0" fillId="8" borderId="4" xfId="8" applyFont="1">
      <alignment horizontal="center" vertical="center" wrapText="1"/>
    </xf>
    <xf numFmtId="0" fontId="1" fillId="0" borderId="0" xfId="1">
      <alignment vertical="center"/>
    </xf>
    <xf numFmtId="0" fontId="0" fillId="0" borderId="0" xfId="0"/>
    <xf numFmtId="0" fontId="7" fillId="0" borderId="4" xfId="4">
      <alignment vertical="top" wrapText="1"/>
    </xf>
    <xf numFmtId="0" fontId="1" fillId="0" borderId="0" xfId="1">
      <alignment vertical="center"/>
    </xf>
    <xf numFmtId="0" fontId="7" fillId="0" borderId="4" xfId="4">
      <alignment vertical="top" wrapText="1"/>
    </xf>
    <xf numFmtId="0" fontId="0" fillId="8" borderId="4" xfId="8" applyFont="1">
      <alignment horizontal="center" vertical="center" wrapText="1"/>
    </xf>
    <xf numFmtId="0" fontId="1" fillId="0" borderId="0" xfId="1">
      <alignment vertical="center"/>
    </xf>
    <xf numFmtId="0" fontId="0" fillId="0" borderId="0" xfId="0"/>
    <xf numFmtId="0" fontId="7" fillId="0" borderId="4" xfId="4">
      <alignment vertical="top" wrapText="1"/>
    </xf>
    <xf numFmtId="0" fontId="0" fillId="0" borderId="0" xfId="0"/>
    <xf numFmtId="0" fontId="8" fillId="0" borderId="3" xfId="3" applyAlignment="1">
      <alignment vertical="center"/>
    </xf>
    <xf numFmtId="0" fontId="7" fillId="0" borderId="4" xfId="4">
      <alignment vertical="top" wrapText="1"/>
    </xf>
    <xf numFmtId="0" fontId="1" fillId="0" borderId="0" xfId="1">
      <alignment vertical="center"/>
    </xf>
    <xf numFmtId="0" fontId="0" fillId="0" borderId="0" xfId="0"/>
    <xf numFmtId="0" fontId="7" fillId="0" borderId="4" xfId="4">
      <alignment vertical="top" wrapText="1"/>
    </xf>
    <xf numFmtId="0" fontId="0" fillId="8" borderId="4" xfId="8" applyFont="1">
      <alignment horizontal="center" vertical="center" wrapText="1"/>
    </xf>
    <xf numFmtId="0" fontId="1" fillId="0" borderId="0" xfId="1">
      <alignment vertical="center"/>
    </xf>
    <xf numFmtId="0" fontId="0" fillId="0" borderId="0" xfId="0"/>
    <xf numFmtId="0" fontId="8" fillId="0" borderId="3" xfId="3">
      <alignment horizontal="center" vertical="center"/>
    </xf>
    <xf numFmtId="0" fontId="7" fillId="0" borderId="4" xfId="4">
      <alignment vertical="top" wrapText="1"/>
    </xf>
    <xf numFmtId="0" fontId="1" fillId="0" borderId="0" xfId="1">
      <alignment vertical="center"/>
    </xf>
    <xf numFmtId="0" fontId="0" fillId="0" borderId="0" xfId="0"/>
    <xf numFmtId="0" fontId="8" fillId="0" borderId="3" xfId="3">
      <alignment horizontal="center" vertical="center"/>
    </xf>
    <xf numFmtId="0" fontId="7" fillId="0" borderId="4" xfId="4">
      <alignment vertical="top" wrapText="1"/>
    </xf>
    <xf numFmtId="0" fontId="1" fillId="0" borderId="0" xfId="1">
      <alignment vertical="center"/>
    </xf>
    <xf numFmtId="0" fontId="0" fillId="0" borderId="0" xfId="0"/>
    <xf numFmtId="0" fontId="19" fillId="0" borderId="4" xfId="4" applyFont="1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0" fillId="0" borderId="0" xfId="0"/>
    <xf numFmtId="0" fontId="7" fillId="0" borderId="4" xfId="4">
      <alignment vertical="top" wrapText="1"/>
    </xf>
    <xf numFmtId="0" fontId="1" fillId="0" borderId="0" xfId="1">
      <alignment vertical="center"/>
    </xf>
    <xf numFmtId="0" fontId="0" fillId="0" borderId="0" xfId="0"/>
    <xf numFmtId="0" fontId="7" fillId="0" borderId="34" xfId="4" applyBorder="1" applyAlignment="1">
      <alignment vertical="top" wrapText="1"/>
    </xf>
    <xf numFmtId="0" fontId="7" fillId="0" borderId="4" xfId="4">
      <alignment vertical="top" wrapText="1"/>
    </xf>
    <xf numFmtId="0" fontId="0" fillId="8" borderId="4" xfId="8" applyFont="1">
      <alignment horizontal="center" vertical="center" wrapText="1"/>
    </xf>
    <xf numFmtId="0" fontId="1" fillId="0" borderId="0" xfId="1">
      <alignment vertical="center"/>
    </xf>
    <xf numFmtId="0" fontId="0" fillId="0" borderId="0" xfId="0"/>
    <xf numFmtId="0" fontId="7" fillId="0" borderId="4" xfId="4">
      <alignment vertical="top" wrapText="1"/>
    </xf>
    <xf numFmtId="0" fontId="7" fillId="0" borderId="4" xfId="4">
      <alignment vertical="top" wrapText="1"/>
    </xf>
    <xf numFmtId="0" fontId="0" fillId="0" borderId="0" xfId="0"/>
    <xf numFmtId="0" fontId="7" fillId="0" borderId="4" xfId="4">
      <alignment vertical="top" wrapText="1"/>
    </xf>
    <xf numFmtId="0" fontId="1" fillId="0" borderId="0" xfId="1">
      <alignment vertical="center"/>
    </xf>
    <xf numFmtId="0" fontId="0" fillId="0" borderId="0" xfId="0"/>
    <xf numFmtId="0" fontId="7" fillId="0" borderId="4" xfId="4">
      <alignment vertical="top" wrapText="1"/>
    </xf>
    <xf numFmtId="0" fontId="1" fillId="0" borderId="0" xfId="1">
      <alignment vertical="center"/>
    </xf>
    <xf numFmtId="0" fontId="0" fillId="0" borderId="0" xfId="0"/>
    <xf numFmtId="0" fontId="7" fillId="0" borderId="4" xfId="4">
      <alignment vertical="top" wrapText="1"/>
    </xf>
    <xf numFmtId="0" fontId="7" fillId="8" borderId="4" xfId="8" applyFont="1">
      <alignment horizontal="center" vertical="center" wrapText="1"/>
    </xf>
    <xf numFmtId="0" fontId="7" fillId="0" borderId="4" xfId="4">
      <alignment vertical="top" wrapText="1"/>
    </xf>
    <xf numFmtId="0" fontId="1" fillId="0" borderId="0" xfId="1">
      <alignment vertical="center"/>
    </xf>
    <xf numFmtId="0" fontId="0" fillId="0" borderId="0" xfId="0"/>
    <xf numFmtId="0" fontId="7" fillId="0" borderId="4" xfId="4">
      <alignment vertical="top" wrapText="1"/>
    </xf>
    <xf numFmtId="0" fontId="0" fillId="0" borderId="0" xfId="0"/>
    <xf numFmtId="0" fontId="8" fillId="0" borderId="3" xfId="3">
      <alignment horizontal="center" vertical="center"/>
    </xf>
    <xf numFmtId="0" fontId="8" fillId="0" borderId="3" xfId="3" applyAlignment="1">
      <alignment horizontal="center" vertical="center"/>
    </xf>
    <xf numFmtId="0" fontId="7" fillId="0" borderId="4" xfId="4">
      <alignment vertical="top" wrapText="1"/>
    </xf>
    <xf numFmtId="0" fontId="0" fillId="0" borderId="0" xfId="0"/>
    <xf numFmtId="0" fontId="7" fillId="0" borderId="4" xfId="4">
      <alignment vertical="top" wrapText="1"/>
    </xf>
    <xf numFmtId="0" fontId="0" fillId="8" borderId="4" xfId="8" applyFont="1">
      <alignment horizontal="center" vertical="center" wrapText="1"/>
    </xf>
    <xf numFmtId="0" fontId="0" fillId="0" borderId="0" xfId="0"/>
    <xf numFmtId="0" fontId="7" fillId="0" borderId="4" xfId="4">
      <alignment vertical="top" wrapText="1"/>
    </xf>
    <xf numFmtId="0" fontId="1" fillId="0" borderId="0" xfId="1">
      <alignment vertical="center"/>
    </xf>
    <xf numFmtId="0" fontId="7" fillId="0" borderId="4" xfId="4">
      <alignment vertical="top" wrapText="1"/>
    </xf>
    <xf numFmtId="0" fontId="1" fillId="0" borderId="0" xfId="1">
      <alignment vertical="center"/>
    </xf>
    <xf numFmtId="0" fontId="0" fillId="0" borderId="0" xfId="0"/>
    <xf numFmtId="0" fontId="7" fillId="0" borderId="4" xfId="4">
      <alignment vertical="top" wrapText="1"/>
    </xf>
    <xf numFmtId="176" fontId="7" fillId="0" borderId="4" xfId="4" applyNumberFormat="1">
      <alignment vertical="top" wrapText="1"/>
    </xf>
    <xf numFmtId="0" fontId="7" fillId="0" borderId="4" xfId="4">
      <alignment vertical="top" wrapText="1"/>
    </xf>
    <xf numFmtId="0" fontId="1" fillId="0" borderId="0" xfId="1">
      <alignment vertical="center"/>
    </xf>
    <xf numFmtId="0" fontId="0" fillId="0" borderId="0" xfId="0"/>
    <xf numFmtId="0" fontId="7" fillId="0" borderId="4" xfId="4">
      <alignment vertical="top" wrapText="1"/>
    </xf>
    <xf numFmtId="0" fontId="1" fillId="0" borderId="0" xfId="1">
      <alignment vertical="center"/>
    </xf>
    <xf numFmtId="0" fontId="0" fillId="0" borderId="0" xfId="0"/>
    <xf numFmtId="0" fontId="8" fillId="0" borderId="3" xfId="3">
      <alignment horizontal="center" vertical="center"/>
    </xf>
    <xf numFmtId="0" fontId="7" fillId="0" borderId="4" xfId="4">
      <alignment vertical="top" wrapText="1"/>
    </xf>
    <xf numFmtId="0" fontId="0" fillId="0" borderId="0" xfId="0"/>
    <xf numFmtId="0" fontId="8" fillId="0" borderId="3" xfId="3">
      <alignment horizontal="center" vertical="center"/>
    </xf>
    <xf numFmtId="0" fontId="7" fillId="0" borderId="4" xfId="4">
      <alignment vertical="top" wrapText="1"/>
    </xf>
    <xf numFmtId="0" fontId="0" fillId="0" borderId="0" xfId="0"/>
    <xf numFmtId="0" fontId="7" fillId="0" borderId="4" xfId="4">
      <alignment vertical="top" wrapText="1"/>
    </xf>
    <xf numFmtId="0" fontId="7" fillId="0" borderId="4" xfId="4">
      <alignment vertical="top" wrapText="1"/>
    </xf>
    <xf numFmtId="0" fontId="0" fillId="0" borderId="0" xfId="0"/>
    <xf numFmtId="0" fontId="1" fillId="0" borderId="0" xfId="1">
      <alignment vertical="center"/>
    </xf>
    <xf numFmtId="0" fontId="0" fillId="0" borderId="0" xfId="0"/>
    <xf numFmtId="0" fontId="7" fillId="0" borderId="4" xfId="4">
      <alignment vertical="top" wrapText="1"/>
    </xf>
    <xf numFmtId="0" fontId="1" fillId="0" borderId="0" xfId="1">
      <alignment vertical="center"/>
    </xf>
    <xf numFmtId="0" fontId="0" fillId="0" borderId="0" xfId="0"/>
    <xf numFmtId="0" fontId="5" fillId="2" borderId="9" xfId="0" applyFont="1" applyFill="1" applyBorder="1" applyAlignment="1">
      <alignment horizontal="center" vertical="center"/>
    </xf>
    <xf numFmtId="0" fontId="5" fillId="2" borderId="17" xfId="0" applyFont="1" applyFill="1" applyBorder="1" applyAlignment="1">
      <alignment horizontal="center" vertical="center"/>
    </xf>
    <xf numFmtId="0" fontId="5" fillId="2" borderId="20" xfId="0" applyFont="1" applyFill="1" applyBorder="1" applyAlignment="1">
      <alignment horizontal="center" vertical="center"/>
    </xf>
    <xf numFmtId="0" fontId="5" fillId="2" borderId="21" xfId="0" applyFont="1" applyFill="1" applyBorder="1" applyAlignment="1">
      <alignment horizontal="center" vertical="center"/>
    </xf>
    <xf numFmtId="0" fontId="14" fillId="2" borderId="0" xfId="0" applyFont="1" applyFill="1" applyAlignment="1">
      <alignment horizontal="left" vertical="center"/>
    </xf>
    <xf numFmtId="0" fontId="13" fillId="10" borderId="1" xfId="0" applyFont="1" applyFill="1" applyBorder="1" applyAlignment="1">
      <alignment horizontal="center" vertical="center"/>
    </xf>
    <xf numFmtId="0" fontId="13" fillId="10" borderId="16" xfId="0" applyFont="1" applyFill="1" applyBorder="1" applyAlignment="1">
      <alignment horizontal="center" vertical="center"/>
    </xf>
    <xf numFmtId="0" fontId="11" fillId="9" borderId="5" xfId="0" applyFont="1" applyFill="1" applyBorder="1" applyAlignment="1">
      <alignment horizontal="center" vertical="center"/>
    </xf>
    <xf numFmtId="0" fontId="11" fillId="9" borderId="6" xfId="0" applyFont="1" applyFill="1" applyBorder="1" applyAlignment="1">
      <alignment horizontal="center" vertical="center"/>
    </xf>
    <xf numFmtId="0" fontId="11" fillId="9" borderId="7" xfId="0" applyFont="1" applyFill="1" applyBorder="1" applyAlignment="1">
      <alignment horizontal="center" vertical="center"/>
    </xf>
    <xf numFmtId="0" fontId="6" fillId="10" borderId="2" xfId="0" applyFont="1" applyFill="1" applyBorder="1" applyAlignment="1">
      <alignment horizontal="center" vertical="center"/>
    </xf>
    <xf numFmtId="0" fontId="6" fillId="10" borderId="11" xfId="0" applyFont="1" applyFill="1" applyBorder="1" applyAlignment="1">
      <alignment horizontal="center" vertical="center"/>
    </xf>
    <xf numFmtId="0" fontId="12" fillId="4" borderId="10" xfId="0" applyFont="1" applyFill="1" applyBorder="1" applyAlignment="1">
      <alignment horizontal="center" vertical="center"/>
    </xf>
    <xf numFmtId="0" fontId="12" fillId="4" borderId="12" xfId="0" applyFont="1" applyFill="1" applyBorder="1" applyAlignment="1">
      <alignment horizontal="center" vertical="center"/>
    </xf>
    <xf numFmtId="0" fontId="5" fillId="2" borderId="14" xfId="0" applyFont="1" applyFill="1" applyBorder="1" applyAlignment="1">
      <alignment horizontal="left" vertical="center"/>
    </xf>
    <xf numFmtId="0" fontId="5" fillId="2" borderId="15" xfId="0" applyFont="1" applyFill="1" applyBorder="1" applyAlignment="1">
      <alignment horizontal="left" vertical="center"/>
    </xf>
    <xf numFmtId="0" fontId="5" fillId="2" borderId="10" xfId="0" applyFont="1" applyFill="1" applyBorder="1" applyAlignment="1">
      <alignment horizontal="left" vertical="center"/>
    </xf>
    <xf numFmtId="0" fontId="13" fillId="9" borderId="8" xfId="0" applyFont="1" applyFill="1" applyBorder="1" applyAlignment="1">
      <alignment horizontal="center" vertical="center"/>
    </xf>
    <xf numFmtId="0" fontId="13" fillId="9" borderId="1" xfId="0" applyFont="1" applyFill="1" applyBorder="1" applyAlignment="1">
      <alignment horizontal="center" vertical="center"/>
    </xf>
    <xf numFmtId="0" fontId="13" fillId="9" borderId="16" xfId="0" applyFont="1" applyFill="1" applyBorder="1" applyAlignment="1">
      <alignment horizontal="center" vertical="center"/>
    </xf>
    <xf numFmtId="0" fontId="8" fillId="0" borderId="3" xfId="3">
      <alignment horizontal="center" vertical="center"/>
    </xf>
    <xf numFmtId="0" fontId="8" fillId="0" borderId="3" xfId="3" applyAlignment="1">
      <alignment horizontal="center" vertical="center"/>
    </xf>
    <xf numFmtId="0" fontId="7" fillId="0" borderId="4" xfId="4">
      <alignment vertical="top" wrapText="1"/>
    </xf>
    <xf numFmtId="0" fontId="7" fillId="0" borderId="24" xfId="4" applyBorder="1" applyAlignment="1">
      <alignment horizontal="left" vertical="top" wrapText="1"/>
    </xf>
    <xf numFmtId="0" fontId="7" fillId="0" borderId="25" xfId="4" applyBorder="1" applyAlignment="1">
      <alignment horizontal="left" vertical="top" wrapText="1"/>
    </xf>
    <xf numFmtId="0" fontId="7" fillId="0" borderId="26" xfId="4" applyBorder="1" applyAlignment="1">
      <alignment horizontal="left" vertical="top" wrapText="1"/>
    </xf>
    <xf numFmtId="0" fontId="7" fillId="0" borderId="27" xfId="4" applyBorder="1" applyAlignment="1">
      <alignment horizontal="left" vertical="top" wrapText="1"/>
    </xf>
    <xf numFmtId="0" fontId="7" fillId="0" borderId="0" xfId="4" applyBorder="1" applyAlignment="1">
      <alignment horizontal="left" vertical="top" wrapText="1"/>
    </xf>
    <xf numFmtId="0" fontId="7" fillId="0" borderId="28" xfId="4" applyBorder="1" applyAlignment="1">
      <alignment horizontal="left" vertical="top" wrapText="1"/>
    </xf>
    <xf numFmtId="0" fontId="7" fillId="0" borderId="29" xfId="4" applyBorder="1" applyAlignment="1">
      <alignment horizontal="left" vertical="top" wrapText="1"/>
    </xf>
    <xf numFmtId="0" fontId="7" fillId="0" borderId="23" xfId="4" applyBorder="1" applyAlignment="1">
      <alignment horizontal="left" vertical="top" wrapText="1"/>
    </xf>
    <xf numFmtId="0" fontId="7" fillId="0" borderId="30" xfId="4" applyBorder="1" applyAlignment="1">
      <alignment horizontal="left" vertical="top" wrapText="1"/>
    </xf>
    <xf numFmtId="0" fontId="0" fillId="13" borderId="0" xfId="1" applyFont="1" applyFill="1" applyAlignment="1">
      <alignment horizontal="center" vertical="center"/>
    </xf>
    <xf numFmtId="0" fontId="1" fillId="13" borderId="0" xfId="1" applyFill="1" applyAlignment="1">
      <alignment horizontal="center" vertical="center"/>
    </xf>
    <xf numFmtId="0" fontId="0" fillId="8" borderId="4" xfId="8" applyFont="1">
      <alignment horizontal="center" vertical="center" wrapText="1"/>
    </xf>
    <xf numFmtId="0" fontId="0" fillId="0" borderId="31" xfId="0" applyBorder="1" applyAlignment="1">
      <alignment horizontal="center" vertical="center"/>
    </xf>
    <xf numFmtId="0" fontId="0" fillId="0" borderId="32" xfId="0" applyBorder="1" applyAlignment="1">
      <alignment horizontal="center" vertical="center"/>
    </xf>
    <xf numFmtId="0" fontId="1" fillId="0" borderId="0" xfId="1">
      <alignment vertical="center"/>
    </xf>
    <xf numFmtId="0" fontId="0" fillId="0" borderId="0" xfId="0"/>
    <xf numFmtId="0" fontId="3" fillId="3" borderId="3" xfId="2" applyBorder="1" applyAlignment="1">
      <alignment horizontal="center" vertical="top"/>
    </xf>
    <xf numFmtId="0" fontId="3" fillId="3" borderId="0" xfId="2">
      <alignment horizontal="center" vertical="top"/>
    </xf>
    <xf numFmtId="0" fontId="3" fillId="3" borderId="0" xfId="2" applyAlignment="1">
      <alignment horizontal="center" vertical="top"/>
    </xf>
  </cellXfs>
  <cellStyles count="14">
    <cellStyle name="Grid" xfId="4"/>
    <cellStyle name="Normal" xfId="1"/>
    <cellStyle name="常规" xfId="0" builtinId="0"/>
    <cellStyle name="超链接 2" xfId="10"/>
    <cellStyle name="大标题" xfId="3"/>
    <cellStyle name="横向标题" xfId="5"/>
    <cellStyle name="计算" xfId="13" builtinId="22" hidden="1"/>
    <cellStyle name="适中" xfId="12" builtinId="28" hidden="1"/>
    <cellStyle name="文本" xfId="9"/>
    <cellStyle name="无效" xfId="6"/>
    <cellStyle name="因变Grid" xfId="7"/>
    <cellStyle name="英文标题" xfId="11"/>
    <cellStyle name="中文标题" xfId="2"/>
    <cellStyle name="纵向标题" xfId="8"/>
  </cellStyles>
  <dxfs count="3">
    <dxf>
      <font>
        <color theme="0" tint="-0.499984740745262"/>
      </font>
      <fill>
        <patternFill patternType="solid">
          <fgColor indexed="64"/>
          <bgColor theme="0" tint="-0.249977111117893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</dxfs>
  <tableStyles count="0" defaultTableStyle="TableStyleMedium2" defaultPivotStyle="PivotStyleLight16"/>
  <colors>
    <mruColors>
      <color rgb="FFD5D854"/>
      <color rgb="FFF38279"/>
      <color rgb="FFFF3399"/>
      <color rgb="FFFF66CC"/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E30"/>
  <sheetViews>
    <sheetView workbookViewId="0">
      <selection activeCell="L13" sqref="L13"/>
    </sheetView>
  </sheetViews>
  <sheetFormatPr defaultColWidth="10.875" defaultRowHeight="17.25" x14ac:dyDescent="0.2"/>
  <cols>
    <col min="1" max="1" width="4.125" style="1" customWidth="1"/>
    <col min="2" max="2" width="11.5" style="1" bestFit="1" customWidth="1"/>
    <col min="3" max="3" width="10.875" style="1"/>
    <col min="4" max="4" width="11.375" style="1" customWidth="1"/>
    <col min="5" max="5" width="43.875" style="1" customWidth="1"/>
    <col min="6" max="16384" width="10.875" style="1"/>
  </cols>
  <sheetData>
    <row r="1" spans="2:5" ht="18" thickBot="1" x14ac:dyDescent="0.25"/>
    <row r="2" spans="2:5" ht="29.1" customHeight="1" x14ac:dyDescent="0.2">
      <c r="B2" s="220" t="s">
        <v>13</v>
      </c>
      <c r="C2" s="221"/>
      <c r="D2" s="221"/>
      <c r="E2" s="222"/>
    </row>
    <row r="3" spans="2:5" ht="35.1" customHeight="1" x14ac:dyDescent="0.2">
      <c r="B3" s="2" t="s">
        <v>0</v>
      </c>
      <c r="C3" s="3" t="s">
        <v>11</v>
      </c>
      <c r="D3" s="223" t="s">
        <v>1</v>
      </c>
      <c r="E3" s="225" t="s">
        <v>14</v>
      </c>
    </row>
    <row r="4" spans="2:5" ht="35.1" customHeight="1" x14ac:dyDescent="0.2">
      <c r="B4" s="2" t="s">
        <v>2</v>
      </c>
      <c r="C4" s="3" t="s">
        <v>12</v>
      </c>
      <c r="D4" s="224"/>
      <c r="E4" s="226"/>
    </row>
    <row r="5" spans="2:5" ht="35.1" customHeight="1" x14ac:dyDescent="0.2">
      <c r="B5" s="4" t="s">
        <v>3</v>
      </c>
      <c r="C5" s="227" t="s">
        <v>15</v>
      </c>
      <c r="D5" s="228"/>
      <c r="E5" s="229"/>
    </row>
    <row r="6" spans="2:5" ht="18" x14ac:dyDescent="0.2">
      <c r="B6" s="230" t="s">
        <v>4</v>
      </c>
      <c r="C6" s="231"/>
      <c r="D6" s="231"/>
      <c r="E6" s="232"/>
    </row>
    <row r="7" spans="2:5" ht="18" x14ac:dyDescent="0.2">
      <c r="B7" s="5" t="s">
        <v>5</v>
      </c>
      <c r="C7" s="6" t="s">
        <v>6</v>
      </c>
      <c r="D7" s="218" t="s">
        <v>7</v>
      </c>
      <c r="E7" s="219"/>
    </row>
    <row r="8" spans="2:5" x14ac:dyDescent="0.2">
      <c r="B8" s="7">
        <v>43490</v>
      </c>
      <c r="C8" s="8" t="s">
        <v>10</v>
      </c>
      <c r="D8" s="213" t="s">
        <v>8</v>
      </c>
      <c r="E8" s="214"/>
    </row>
    <row r="9" spans="2:5" x14ac:dyDescent="0.2">
      <c r="B9" s="7"/>
      <c r="C9" s="8"/>
      <c r="D9" s="213"/>
      <c r="E9" s="214"/>
    </row>
    <row r="10" spans="2:5" x14ac:dyDescent="0.2">
      <c r="B10" s="9"/>
      <c r="C10" s="8"/>
      <c r="D10" s="213"/>
      <c r="E10" s="214"/>
    </row>
    <row r="11" spans="2:5" x14ac:dyDescent="0.2">
      <c r="B11" s="9"/>
      <c r="C11" s="8"/>
      <c r="D11" s="213"/>
      <c r="E11" s="214"/>
    </row>
    <row r="12" spans="2:5" x14ac:dyDescent="0.2">
      <c r="B12" s="9"/>
      <c r="C12" s="8"/>
      <c r="D12" s="213"/>
      <c r="E12" s="214"/>
    </row>
    <row r="13" spans="2:5" x14ac:dyDescent="0.2">
      <c r="B13" s="9"/>
      <c r="C13" s="8"/>
      <c r="D13" s="213"/>
      <c r="E13" s="214"/>
    </row>
    <row r="14" spans="2:5" x14ac:dyDescent="0.2">
      <c r="B14" s="9"/>
      <c r="C14" s="8"/>
      <c r="D14" s="213"/>
      <c r="E14" s="214"/>
    </row>
    <row r="15" spans="2:5" x14ac:dyDescent="0.2">
      <c r="B15" s="9"/>
      <c r="C15" s="8"/>
      <c r="D15" s="213"/>
      <c r="E15" s="214"/>
    </row>
    <row r="16" spans="2:5" x14ac:dyDescent="0.2">
      <c r="B16" s="9"/>
      <c r="C16" s="8"/>
      <c r="D16" s="213"/>
      <c r="E16" s="214"/>
    </row>
    <row r="17" spans="2:5" x14ac:dyDescent="0.2">
      <c r="B17" s="9"/>
      <c r="C17" s="8"/>
      <c r="D17" s="213"/>
      <c r="E17" s="214"/>
    </row>
    <row r="18" spans="2:5" x14ac:dyDescent="0.2">
      <c r="B18" s="9"/>
      <c r="C18" s="8"/>
      <c r="D18" s="213"/>
      <c r="E18" s="214"/>
    </row>
    <row r="19" spans="2:5" x14ac:dyDescent="0.2">
      <c r="B19" s="9"/>
      <c r="C19" s="8"/>
      <c r="D19" s="213"/>
      <c r="E19" s="214"/>
    </row>
    <row r="20" spans="2:5" x14ac:dyDescent="0.2">
      <c r="B20" s="9"/>
      <c r="C20" s="8"/>
      <c r="D20" s="213"/>
      <c r="E20" s="214"/>
    </row>
    <row r="21" spans="2:5" x14ac:dyDescent="0.2">
      <c r="B21" s="9"/>
      <c r="C21" s="8"/>
      <c r="D21" s="213"/>
      <c r="E21" s="214"/>
    </row>
    <row r="22" spans="2:5" x14ac:dyDescent="0.2">
      <c r="B22" s="9"/>
      <c r="C22" s="8"/>
      <c r="D22" s="213"/>
      <c r="E22" s="214"/>
    </row>
    <row r="23" spans="2:5" x14ac:dyDescent="0.2">
      <c r="B23" s="9"/>
      <c r="C23" s="8"/>
      <c r="D23" s="213"/>
      <c r="E23" s="214"/>
    </row>
    <row r="24" spans="2:5" x14ac:dyDescent="0.2">
      <c r="B24" s="9"/>
      <c r="C24" s="8"/>
      <c r="D24" s="213"/>
      <c r="E24" s="214"/>
    </row>
    <row r="25" spans="2:5" x14ac:dyDescent="0.2">
      <c r="B25" s="9"/>
      <c r="C25" s="8"/>
      <c r="D25" s="213"/>
      <c r="E25" s="214"/>
    </row>
    <row r="26" spans="2:5" x14ac:dyDescent="0.2">
      <c r="B26" s="9"/>
      <c r="C26" s="8"/>
      <c r="D26" s="213"/>
      <c r="E26" s="214"/>
    </row>
    <row r="27" spans="2:5" x14ac:dyDescent="0.2">
      <c r="B27" s="9"/>
      <c r="C27" s="8"/>
      <c r="D27" s="213"/>
      <c r="E27" s="214"/>
    </row>
    <row r="28" spans="2:5" ht="18" thickBot="1" x14ac:dyDescent="0.25">
      <c r="B28" s="10"/>
      <c r="C28" s="11"/>
      <c r="D28" s="215"/>
      <c r="E28" s="216"/>
    </row>
    <row r="30" spans="2:5" x14ac:dyDescent="0.2">
      <c r="B30" s="217" t="s">
        <v>9</v>
      </c>
      <c r="C30" s="217"/>
      <c r="D30" s="217"/>
      <c r="E30" s="217"/>
    </row>
  </sheetData>
  <mergeCells count="28">
    <mergeCell ref="D7:E7"/>
    <mergeCell ref="B2:E2"/>
    <mergeCell ref="D3:D4"/>
    <mergeCell ref="E3:E4"/>
    <mergeCell ref="C5:E5"/>
    <mergeCell ref="B6:E6"/>
    <mergeCell ref="D19:E19"/>
    <mergeCell ref="D8:E8"/>
    <mergeCell ref="D9:E9"/>
    <mergeCell ref="D10:E10"/>
    <mergeCell ref="D11:E11"/>
    <mergeCell ref="D12:E12"/>
    <mergeCell ref="D13:E13"/>
    <mergeCell ref="D14:E14"/>
    <mergeCell ref="D15:E15"/>
    <mergeCell ref="D16:E16"/>
    <mergeCell ref="D17:E17"/>
    <mergeCell ref="D18:E18"/>
    <mergeCell ref="D26:E26"/>
    <mergeCell ref="D27:E27"/>
    <mergeCell ref="D28:E28"/>
    <mergeCell ref="B30:E30"/>
    <mergeCell ref="D20:E20"/>
    <mergeCell ref="D21:E21"/>
    <mergeCell ref="D22:E22"/>
    <mergeCell ref="D23:E23"/>
    <mergeCell ref="D24:E24"/>
    <mergeCell ref="D25:E25"/>
  </mergeCells>
  <phoneticPr fontId="2" type="noConversion"/>
  <conditionalFormatting sqref="C4">
    <cfRule type="containsText" dxfId="2" priority="1" operator="containsText" text="迭代">
      <formula>NOT(ISERROR(SEARCH("迭代",C4)))</formula>
    </cfRule>
    <cfRule type="containsText" dxfId="1" priority="2" operator="containsText" text="初稿">
      <formula>NOT(ISERROR(SEARCH("初稿",C4)))</formula>
    </cfRule>
    <cfRule type="containsText" dxfId="0" priority="3" operator="containsText" text="废弃">
      <formula>NOT(ISERROR(SEARCH("废弃",C4)))</formula>
    </cfRule>
  </conditionalFormatting>
  <dataValidations count="1">
    <dataValidation type="list" allowBlank="1" showInputMessage="1" showErrorMessage="1" sqref="C4">
      <formula1>"草案,初稿,迭代,废弃"</formula1>
    </dataValidation>
  </dataValidations>
  <pageMargins left="0.75" right="0.75" top="1" bottom="1" header="0.5" footer="0.5"/>
  <pageSetup paperSize="9" orientation="portrait" horizontalDpi="4294967292" verticalDpi="429496729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2:G71"/>
  <sheetViews>
    <sheetView topLeftCell="A7" workbookViewId="0">
      <selection activeCell="K26" sqref="K26"/>
    </sheetView>
  </sheetViews>
  <sheetFormatPr defaultRowHeight="14.25" x14ac:dyDescent="0.2"/>
  <cols>
    <col min="1" max="1" width="16" customWidth="1"/>
    <col min="4" max="4" width="9.75" customWidth="1"/>
    <col min="5" max="5" width="10.375" customWidth="1"/>
    <col min="11" max="11" width="15" customWidth="1"/>
    <col min="12" max="12" width="38.25" customWidth="1"/>
    <col min="13" max="13" width="37.75" customWidth="1"/>
    <col min="14" max="14" width="37" customWidth="1"/>
    <col min="15" max="15" width="38.375" customWidth="1"/>
    <col min="16" max="16" width="36" customWidth="1"/>
    <col min="17" max="17" width="32.5" customWidth="1"/>
    <col min="18" max="18" width="22.875" customWidth="1"/>
    <col min="19" max="19" width="27.375" customWidth="1"/>
    <col min="20" max="20" width="22.375" customWidth="1"/>
  </cols>
  <sheetData>
    <row r="2" spans="1:7" ht="17.25" x14ac:dyDescent="0.2">
      <c r="A2" s="12" t="s">
        <v>16</v>
      </c>
      <c r="B2" s="12" t="s">
        <v>17</v>
      </c>
      <c r="C2" s="12" t="s">
        <v>18</v>
      </c>
      <c r="D2" s="12" t="s">
        <v>212</v>
      </c>
      <c r="E2" s="12" t="s">
        <v>297</v>
      </c>
    </row>
    <row r="3" spans="1:7" ht="16.5" x14ac:dyDescent="0.2">
      <c r="A3" s="13" t="s">
        <v>19</v>
      </c>
      <c r="B3" s="13">
        <v>1000</v>
      </c>
      <c r="C3" s="13"/>
      <c r="D3" s="37">
        <v>0.1</v>
      </c>
      <c r="E3" s="51"/>
    </row>
    <row r="4" spans="1:7" ht="16.5" x14ac:dyDescent="0.2">
      <c r="A4" s="30" t="s">
        <v>195</v>
      </c>
      <c r="B4" s="30">
        <v>200</v>
      </c>
      <c r="C4" s="30">
        <v>0.2</v>
      </c>
      <c r="D4" s="37"/>
      <c r="E4" s="51"/>
    </row>
    <row r="5" spans="1:7" ht="16.5" x14ac:dyDescent="0.2">
      <c r="A5" s="30" t="s">
        <v>196</v>
      </c>
      <c r="B5" s="30">
        <v>500</v>
      </c>
      <c r="C5" s="30">
        <v>0.5</v>
      </c>
      <c r="D5" s="37"/>
      <c r="E5" s="51"/>
    </row>
    <row r="6" spans="1:7" ht="16.5" x14ac:dyDescent="0.2">
      <c r="A6" s="30" t="s">
        <v>197</v>
      </c>
      <c r="B6" s="30">
        <v>1000</v>
      </c>
      <c r="C6" s="30">
        <v>1</v>
      </c>
      <c r="D6" s="37"/>
      <c r="E6" s="51"/>
    </row>
    <row r="7" spans="1:7" ht="16.5" x14ac:dyDescent="0.2">
      <c r="A7" s="30" t="s">
        <v>198</v>
      </c>
      <c r="B7" s="30">
        <v>2500</v>
      </c>
      <c r="C7" s="30">
        <v>2.5</v>
      </c>
      <c r="D7" s="37"/>
      <c r="E7" s="51"/>
    </row>
    <row r="8" spans="1:7" ht="16.5" x14ac:dyDescent="0.2">
      <c r="A8" s="30" t="s">
        <v>194</v>
      </c>
      <c r="B8" s="30">
        <v>10000</v>
      </c>
      <c r="C8" s="30">
        <v>10</v>
      </c>
      <c r="D8" s="37"/>
      <c r="E8" s="51"/>
    </row>
    <row r="9" spans="1:7" ht="16.5" x14ac:dyDescent="0.2">
      <c r="A9" s="13" t="s">
        <v>415</v>
      </c>
      <c r="B9" s="13">
        <v>5000</v>
      </c>
      <c r="C9" s="13"/>
      <c r="D9" s="37"/>
      <c r="E9" s="51"/>
      <c r="G9">
        <v>20</v>
      </c>
    </row>
    <row r="10" spans="1:7" ht="16.5" x14ac:dyDescent="0.2">
      <c r="A10" s="13" t="s">
        <v>416</v>
      </c>
      <c r="B10" s="13">
        <v>12000</v>
      </c>
      <c r="C10" s="13"/>
      <c r="D10" s="37"/>
      <c r="E10" s="51"/>
      <c r="G10" s="168">
        <v>20</v>
      </c>
    </row>
    <row r="11" spans="1:7" ht="16.5" x14ac:dyDescent="0.2">
      <c r="A11" s="13" t="s">
        <v>417</v>
      </c>
      <c r="B11" s="13">
        <v>35000</v>
      </c>
      <c r="C11" s="13"/>
      <c r="D11" s="37"/>
      <c r="E11" s="51"/>
      <c r="G11" s="168">
        <v>10</v>
      </c>
    </row>
    <row r="12" spans="1:7" s="168" customFormat="1" ht="16.5" x14ac:dyDescent="0.2">
      <c r="A12" s="166" t="s">
        <v>1196</v>
      </c>
      <c r="B12" s="166">
        <v>100000</v>
      </c>
      <c r="C12" s="166"/>
      <c r="D12" s="166"/>
      <c r="E12" s="166"/>
      <c r="G12" s="168">
        <v>5</v>
      </c>
    </row>
    <row r="13" spans="1:7" s="168" customFormat="1" ht="16.5" x14ac:dyDescent="0.2">
      <c r="A13" s="166" t="s">
        <v>1527</v>
      </c>
      <c r="B13" s="166"/>
      <c r="C13" s="166">
        <v>200</v>
      </c>
      <c r="D13" s="166"/>
      <c r="E13" s="166"/>
    </row>
    <row r="14" spans="1:7" ht="16.5" x14ac:dyDescent="0.2">
      <c r="A14" s="13" t="s">
        <v>20</v>
      </c>
      <c r="B14" s="13"/>
      <c r="C14" s="13">
        <v>10</v>
      </c>
      <c r="D14" s="37"/>
      <c r="E14" s="51"/>
    </row>
    <row r="15" spans="1:7" ht="16.5" x14ac:dyDescent="0.2">
      <c r="A15" s="13" t="s">
        <v>21</v>
      </c>
      <c r="B15" s="13"/>
      <c r="C15" s="13">
        <v>1</v>
      </c>
      <c r="D15" s="37"/>
      <c r="E15" s="51"/>
    </row>
    <row r="16" spans="1:7" ht="16.5" x14ac:dyDescent="0.2">
      <c r="A16" s="13" t="s">
        <v>307</v>
      </c>
      <c r="B16" s="13"/>
      <c r="C16" s="13">
        <v>40</v>
      </c>
      <c r="D16" s="37"/>
      <c r="E16" s="51">
        <v>1</v>
      </c>
    </row>
    <row r="17" spans="1:5" ht="16.5" x14ac:dyDescent="0.2">
      <c r="A17" s="34" t="s">
        <v>308</v>
      </c>
      <c r="B17" s="13"/>
      <c r="C17" s="34">
        <v>40</v>
      </c>
      <c r="D17" s="37"/>
      <c r="E17" s="51">
        <v>1</v>
      </c>
    </row>
    <row r="18" spans="1:5" ht="16.5" x14ac:dyDescent="0.2">
      <c r="A18" s="34" t="s">
        <v>309</v>
      </c>
      <c r="B18" s="13"/>
      <c r="C18" s="13">
        <v>120</v>
      </c>
      <c r="D18" s="37"/>
      <c r="E18" s="51">
        <v>2</v>
      </c>
    </row>
    <row r="19" spans="1:5" ht="16.5" x14ac:dyDescent="0.2">
      <c r="A19" s="34" t="s">
        <v>310</v>
      </c>
      <c r="B19" s="34"/>
      <c r="C19" s="34">
        <v>40</v>
      </c>
      <c r="D19" s="37"/>
      <c r="E19" s="51">
        <v>1</v>
      </c>
    </row>
    <row r="20" spans="1:5" ht="16.5" x14ac:dyDescent="0.2">
      <c r="A20" s="34" t="s">
        <v>311</v>
      </c>
      <c r="B20" s="34"/>
      <c r="C20" s="34">
        <v>40</v>
      </c>
      <c r="D20" s="37"/>
      <c r="E20" s="51">
        <v>1</v>
      </c>
    </row>
    <row r="21" spans="1:5" ht="18" customHeight="1" x14ac:dyDescent="0.2">
      <c r="A21" s="34" t="s">
        <v>312</v>
      </c>
      <c r="B21" s="34"/>
      <c r="C21" s="49">
        <v>40</v>
      </c>
      <c r="D21" s="37"/>
      <c r="E21" s="51">
        <v>1</v>
      </c>
    </row>
    <row r="22" spans="1:5" ht="19.5" customHeight="1" x14ac:dyDescent="0.2">
      <c r="A22" s="34" t="s">
        <v>313</v>
      </c>
      <c r="B22" s="34"/>
      <c r="C22" s="49">
        <v>120</v>
      </c>
      <c r="D22" s="37"/>
      <c r="E22" s="51">
        <v>2</v>
      </c>
    </row>
    <row r="23" spans="1:5" ht="16.5" x14ac:dyDescent="0.2">
      <c r="A23" s="34" t="s">
        <v>314</v>
      </c>
      <c r="B23" s="34"/>
      <c r="C23" s="49">
        <v>280</v>
      </c>
      <c r="D23" s="37"/>
      <c r="E23" s="51">
        <v>3</v>
      </c>
    </row>
    <row r="24" spans="1:5" ht="16.5" x14ac:dyDescent="0.2">
      <c r="A24" s="34" t="s">
        <v>315</v>
      </c>
      <c r="B24" s="34"/>
      <c r="C24" s="34">
        <v>40</v>
      </c>
      <c r="D24" s="37"/>
      <c r="E24" s="51">
        <v>1</v>
      </c>
    </row>
    <row r="25" spans="1:5" ht="16.5" x14ac:dyDescent="0.2">
      <c r="A25" s="34" t="s">
        <v>316</v>
      </c>
      <c r="B25" s="34"/>
      <c r="C25" s="49">
        <v>120</v>
      </c>
      <c r="D25" s="37"/>
      <c r="E25" s="51">
        <v>2</v>
      </c>
    </row>
    <row r="26" spans="1:5" ht="16.5" x14ac:dyDescent="0.2">
      <c r="A26" s="34" t="s">
        <v>317</v>
      </c>
      <c r="B26" s="34"/>
      <c r="C26" s="49">
        <v>120</v>
      </c>
      <c r="D26" s="37"/>
      <c r="E26" s="51">
        <v>2</v>
      </c>
    </row>
    <row r="27" spans="1:5" ht="16.5" x14ac:dyDescent="0.2">
      <c r="A27" s="34" t="s">
        <v>318</v>
      </c>
      <c r="B27" s="34"/>
      <c r="C27" s="49">
        <v>280</v>
      </c>
      <c r="D27" s="37"/>
      <c r="E27" s="51">
        <v>3</v>
      </c>
    </row>
    <row r="28" spans="1:5" ht="16.5" x14ac:dyDescent="0.2">
      <c r="A28" s="34" t="s">
        <v>319</v>
      </c>
      <c r="B28" s="34"/>
      <c r="C28" s="34">
        <v>280</v>
      </c>
      <c r="D28" s="37"/>
      <c r="E28" s="51">
        <v>3</v>
      </c>
    </row>
    <row r="29" spans="1:5" ht="16.5" x14ac:dyDescent="0.2">
      <c r="A29" s="34" t="s">
        <v>320</v>
      </c>
      <c r="B29" s="34"/>
      <c r="C29" s="49">
        <v>600</v>
      </c>
      <c r="D29" s="37"/>
      <c r="E29" s="51">
        <v>4</v>
      </c>
    </row>
    <row r="30" spans="1:5" ht="16.5" x14ac:dyDescent="0.2">
      <c r="A30" s="34" t="s">
        <v>321</v>
      </c>
      <c r="B30" s="34"/>
      <c r="C30" s="49">
        <v>40</v>
      </c>
      <c r="D30" s="37"/>
      <c r="E30" s="51">
        <v>1</v>
      </c>
    </row>
    <row r="31" spans="1:5" ht="16.5" x14ac:dyDescent="0.2">
      <c r="A31" s="34" t="s">
        <v>322</v>
      </c>
      <c r="B31" s="34"/>
      <c r="C31" s="49">
        <v>120</v>
      </c>
      <c r="D31" s="37"/>
      <c r="E31" s="51">
        <v>2</v>
      </c>
    </row>
    <row r="32" spans="1:5" ht="16.5" x14ac:dyDescent="0.2">
      <c r="A32" s="34" t="s">
        <v>323</v>
      </c>
      <c r="B32" s="34"/>
      <c r="C32" s="34">
        <v>120</v>
      </c>
      <c r="D32" s="37"/>
      <c r="E32" s="51">
        <v>2</v>
      </c>
    </row>
    <row r="33" spans="1:5" ht="16.5" x14ac:dyDescent="0.2">
      <c r="A33" s="34" t="s">
        <v>324</v>
      </c>
      <c r="B33" s="34"/>
      <c r="C33" s="49">
        <v>280</v>
      </c>
      <c r="D33" s="37"/>
      <c r="E33" s="51">
        <v>3</v>
      </c>
    </row>
    <row r="34" spans="1:5" ht="16.5" x14ac:dyDescent="0.2">
      <c r="A34" s="34" t="s">
        <v>325</v>
      </c>
      <c r="B34" s="34"/>
      <c r="C34" s="49">
        <v>280</v>
      </c>
      <c r="D34" s="37"/>
      <c r="E34" s="51">
        <v>3</v>
      </c>
    </row>
    <row r="35" spans="1:5" ht="16.5" x14ac:dyDescent="0.2">
      <c r="A35" s="34" t="s">
        <v>326</v>
      </c>
      <c r="B35" s="34"/>
      <c r="C35" s="49">
        <v>600</v>
      </c>
      <c r="D35" s="37"/>
      <c r="E35" s="51">
        <v>4</v>
      </c>
    </row>
    <row r="36" spans="1:5" ht="16.5" x14ac:dyDescent="0.2">
      <c r="A36" s="34" t="s">
        <v>327</v>
      </c>
      <c r="B36" s="34"/>
      <c r="C36" s="49">
        <v>40</v>
      </c>
      <c r="D36" s="37"/>
      <c r="E36" s="51">
        <v>1</v>
      </c>
    </row>
    <row r="37" spans="1:5" ht="16.5" x14ac:dyDescent="0.2">
      <c r="A37" s="34" t="s">
        <v>328</v>
      </c>
      <c r="B37" s="34"/>
      <c r="C37" s="49">
        <v>120</v>
      </c>
      <c r="D37" s="37"/>
      <c r="E37" s="51">
        <v>2</v>
      </c>
    </row>
    <row r="38" spans="1:5" ht="16.5" x14ac:dyDescent="0.2">
      <c r="A38" s="34" t="s">
        <v>329</v>
      </c>
      <c r="B38" s="34"/>
      <c r="C38" s="49">
        <v>120</v>
      </c>
      <c r="D38" s="37"/>
      <c r="E38" s="51">
        <v>2</v>
      </c>
    </row>
    <row r="39" spans="1:5" ht="16.5" x14ac:dyDescent="0.2">
      <c r="A39" s="34" t="s">
        <v>330</v>
      </c>
      <c r="B39" s="34"/>
      <c r="C39" s="49">
        <v>280</v>
      </c>
      <c r="D39" s="37"/>
      <c r="E39" s="51">
        <v>3</v>
      </c>
    </row>
    <row r="40" spans="1:5" ht="16.5" x14ac:dyDescent="0.2">
      <c r="A40" s="34" t="s">
        <v>331</v>
      </c>
      <c r="B40" s="34"/>
      <c r="C40" s="49">
        <v>280</v>
      </c>
      <c r="D40" s="37"/>
      <c r="E40" s="51">
        <v>3</v>
      </c>
    </row>
    <row r="41" spans="1:5" ht="16.5" x14ac:dyDescent="0.2">
      <c r="A41" s="34" t="s">
        <v>332</v>
      </c>
      <c r="B41" s="34"/>
      <c r="C41" s="49">
        <v>600</v>
      </c>
      <c r="D41" s="37"/>
      <c r="E41" s="51">
        <v>4</v>
      </c>
    </row>
    <row r="42" spans="1:5" ht="16.5" x14ac:dyDescent="0.2">
      <c r="A42" s="34" t="s">
        <v>333</v>
      </c>
      <c r="B42" s="34"/>
      <c r="C42" s="49">
        <v>120</v>
      </c>
      <c r="D42" s="37"/>
      <c r="E42" s="51">
        <v>2</v>
      </c>
    </row>
    <row r="43" spans="1:5" ht="16.5" x14ac:dyDescent="0.2">
      <c r="A43" s="34" t="s">
        <v>334</v>
      </c>
      <c r="B43" s="34"/>
      <c r="C43" s="49">
        <v>120</v>
      </c>
      <c r="D43" s="37"/>
      <c r="E43" s="51">
        <v>2</v>
      </c>
    </row>
    <row r="44" spans="1:5" ht="16.5" x14ac:dyDescent="0.2">
      <c r="A44" s="34" t="s">
        <v>335</v>
      </c>
      <c r="B44" s="34"/>
      <c r="C44" s="49">
        <v>120</v>
      </c>
      <c r="D44" s="37"/>
      <c r="E44" s="51">
        <v>2</v>
      </c>
    </row>
    <row r="45" spans="1:5" ht="16.5" x14ac:dyDescent="0.2">
      <c r="A45" s="34" t="s">
        <v>336</v>
      </c>
      <c r="B45" s="34"/>
      <c r="C45" s="49">
        <v>280</v>
      </c>
      <c r="D45" s="37"/>
      <c r="E45" s="51">
        <v>3</v>
      </c>
    </row>
    <row r="46" spans="1:5" ht="16.5" x14ac:dyDescent="0.2">
      <c r="A46" s="53" t="s">
        <v>337</v>
      </c>
      <c r="B46" s="53"/>
      <c r="C46" s="53">
        <v>280</v>
      </c>
      <c r="D46" s="53"/>
      <c r="E46" s="53">
        <v>3</v>
      </c>
    </row>
    <row r="47" spans="1:5" ht="16.5" x14ac:dyDescent="0.2">
      <c r="A47" s="53" t="s">
        <v>338</v>
      </c>
      <c r="B47" s="53"/>
      <c r="C47" s="53">
        <v>280</v>
      </c>
      <c r="D47" s="53"/>
      <c r="E47" s="53">
        <v>3</v>
      </c>
    </row>
    <row r="48" spans="1:5" ht="16.5" x14ac:dyDescent="0.2">
      <c r="A48" s="53" t="s">
        <v>339</v>
      </c>
      <c r="B48" s="53"/>
      <c r="C48" s="53">
        <v>600</v>
      </c>
      <c r="D48" s="53"/>
      <c r="E48" s="53">
        <v>4</v>
      </c>
    </row>
    <row r="49" spans="1:5" ht="16.5" x14ac:dyDescent="0.2">
      <c r="A49" s="53" t="s">
        <v>340</v>
      </c>
      <c r="B49" s="53"/>
      <c r="C49" s="53">
        <v>600</v>
      </c>
      <c r="D49" s="53"/>
      <c r="E49" s="53">
        <v>4</v>
      </c>
    </row>
    <row r="50" spans="1:5" ht="16.5" x14ac:dyDescent="0.2">
      <c r="A50" s="53" t="s">
        <v>341</v>
      </c>
      <c r="B50" s="53"/>
      <c r="C50" s="53">
        <v>120</v>
      </c>
      <c r="D50" s="53"/>
      <c r="E50" s="53">
        <v>2</v>
      </c>
    </row>
    <row r="51" spans="1:5" ht="16.5" x14ac:dyDescent="0.2">
      <c r="A51" s="53" t="s">
        <v>342</v>
      </c>
      <c r="B51" s="53"/>
      <c r="C51" s="53">
        <v>120</v>
      </c>
      <c r="D51" s="53"/>
      <c r="E51" s="53">
        <v>2</v>
      </c>
    </row>
    <row r="52" spans="1:5" ht="16.5" x14ac:dyDescent="0.2">
      <c r="A52" s="53" t="s">
        <v>343</v>
      </c>
      <c r="B52" s="53"/>
      <c r="C52" s="53">
        <v>120</v>
      </c>
      <c r="D52" s="53"/>
      <c r="E52" s="53">
        <v>2</v>
      </c>
    </row>
    <row r="53" spans="1:5" ht="16.5" x14ac:dyDescent="0.2">
      <c r="A53" s="53" t="s">
        <v>344</v>
      </c>
      <c r="B53" s="53"/>
      <c r="C53" s="53">
        <v>280</v>
      </c>
      <c r="D53" s="53"/>
      <c r="E53" s="53">
        <v>3</v>
      </c>
    </row>
    <row r="54" spans="1:5" ht="16.5" x14ac:dyDescent="0.2">
      <c r="A54" s="53" t="s">
        <v>345</v>
      </c>
      <c r="B54" s="53"/>
      <c r="C54" s="53">
        <v>280</v>
      </c>
      <c r="D54" s="53"/>
      <c r="E54" s="53">
        <v>3</v>
      </c>
    </row>
    <row r="55" spans="1:5" ht="16.5" x14ac:dyDescent="0.2">
      <c r="A55" s="53" t="s">
        <v>346</v>
      </c>
      <c r="B55" s="53"/>
      <c r="C55" s="53">
        <v>280</v>
      </c>
      <c r="D55" s="53"/>
      <c r="E55" s="53">
        <v>3</v>
      </c>
    </row>
    <row r="56" spans="1:5" ht="16.5" x14ac:dyDescent="0.2">
      <c r="A56" s="53" t="s">
        <v>347</v>
      </c>
      <c r="B56" s="53"/>
      <c r="C56" s="53">
        <v>600</v>
      </c>
      <c r="D56" s="53"/>
      <c r="E56" s="53">
        <v>4</v>
      </c>
    </row>
    <row r="57" spans="1:5" ht="16.5" x14ac:dyDescent="0.2">
      <c r="A57" s="53" t="s">
        <v>348</v>
      </c>
      <c r="B57" s="53"/>
      <c r="C57" s="53">
        <v>600</v>
      </c>
      <c r="D57" s="53"/>
      <c r="E57" s="53">
        <v>4</v>
      </c>
    </row>
    <row r="58" spans="1:5" ht="15.75" customHeight="1" x14ac:dyDescent="0.2">
      <c r="A58" s="47" t="s">
        <v>278</v>
      </c>
      <c r="B58" s="47"/>
      <c r="C58" s="47">
        <v>150</v>
      </c>
      <c r="D58" s="47"/>
      <c r="E58" s="51"/>
    </row>
    <row r="59" spans="1:5" ht="16.5" x14ac:dyDescent="0.2">
      <c r="A59" s="16" t="s">
        <v>24</v>
      </c>
      <c r="B59" s="16"/>
      <c r="C59" s="16">
        <v>7</v>
      </c>
      <c r="D59" s="37"/>
      <c r="E59" s="51"/>
    </row>
    <row r="60" spans="1:5" ht="16.5" x14ac:dyDescent="0.2">
      <c r="A60" s="16" t="s">
        <v>25</v>
      </c>
      <c r="B60" s="16"/>
      <c r="C60" s="16">
        <v>35</v>
      </c>
      <c r="D60" s="37"/>
      <c r="E60" s="51"/>
    </row>
    <row r="61" spans="1:5" ht="16.5" x14ac:dyDescent="0.2">
      <c r="A61" s="16" t="s">
        <v>26</v>
      </c>
      <c r="B61" s="16"/>
      <c r="C61" s="16">
        <v>100</v>
      </c>
      <c r="D61" s="37"/>
      <c r="E61" s="51"/>
    </row>
    <row r="62" spans="1:5" ht="16.5" x14ac:dyDescent="0.2">
      <c r="A62" s="13" t="s">
        <v>27</v>
      </c>
      <c r="B62" s="13"/>
      <c r="C62" s="13">
        <v>10</v>
      </c>
      <c r="D62" s="37"/>
      <c r="E62" s="51"/>
    </row>
    <row r="63" spans="1:5" ht="16.5" x14ac:dyDescent="0.2">
      <c r="A63" s="13" t="s">
        <v>28</v>
      </c>
      <c r="B63" s="13"/>
      <c r="C63" s="13">
        <v>50</v>
      </c>
      <c r="D63" s="37"/>
      <c r="E63" s="51"/>
    </row>
    <row r="64" spans="1:5" ht="16.5" x14ac:dyDescent="0.2">
      <c r="A64" s="13" t="s">
        <v>29</v>
      </c>
      <c r="B64" s="13"/>
      <c r="C64" s="13">
        <v>200</v>
      </c>
      <c r="D64" s="37"/>
      <c r="E64" s="51"/>
    </row>
    <row r="65" spans="1:5" ht="16.5" x14ac:dyDescent="0.2">
      <c r="A65" s="13" t="s">
        <v>22</v>
      </c>
      <c r="B65" s="13"/>
      <c r="C65" s="13">
        <v>350</v>
      </c>
      <c r="D65" s="37"/>
      <c r="E65" s="51"/>
    </row>
    <row r="66" spans="1:5" ht="16.5" x14ac:dyDescent="0.2">
      <c r="A66" s="13" t="s">
        <v>23</v>
      </c>
      <c r="B66" s="13"/>
      <c r="C66" s="13">
        <v>75</v>
      </c>
      <c r="D66" s="37"/>
      <c r="E66" s="51"/>
    </row>
    <row r="67" spans="1:5" ht="16.5" x14ac:dyDescent="0.2">
      <c r="A67" s="13" t="s">
        <v>1554</v>
      </c>
      <c r="B67" s="13">
        <v>5000</v>
      </c>
      <c r="C67" s="13">
        <v>5</v>
      </c>
      <c r="D67" s="37"/>
      <c r="E67" s="51"/>
    </row>
    <row r="68" spans="1:5" ht="16.5" x14ac:dyDescent="0.2">
      <c r="A68" s="183" t="s">
        <v>1555</v>
      </c>
      <c r="B68" s="13">
        <v>10000</v>
      </c>
      <c r="C68" s="13">
        <v>10</v>
      </c>
      <c r="D68" s="37"/>
      <c r="E68" s="51"/>
    </row>
    <row r="69" spans="1:5" ht="16.5" x14ac:dyDescent="0.2">
      <c r="A69" s="183" t="s">
        <v>1556</v>
      </c>
      <c r="B69" s="13">
        <v>20000</v>
      </c>
      <c r="C69" s="13">
        <v>20</v>
      </c>
      <c r="D69" s="37"/>
      <c r="E69" s="51"/>
    </row>
    <row r="70" spans="1:5" s="185" customFormat="1" ht="16.5" x14ac:dyDescent="0.2">
      <c r="A70" s="183" t="s">
        <v>1557</v>
      </c>
      <c r="B70" s="183">
        <v>50000</v>
      </c>
      <c r="C70" s="183">
        <v>50</v>
      </c>
      <c r="D70" s="183"/>
      <c r="E70" s="183"/>
    </row>
    <row r="71" spans="1:5" ht="16.5" x14ac:dyDescent="0.2">
      <c r="A71" s="24" t="s">
        <v>131</v>
      </c>
      <c r="B71" s="24"/>
      <c r="C71" s="24">
        <v>1</v>
      </c>
      <c r="D71" s="37"/>
      <c r="E71" s="51"/>
    </row>
  </sheetData>
  <phoneticPr fontId="2" type="noConversion"/>
  <pageMargins left="0.7" right="0.7" top="0.75" bottom="0.75" header="0.3" footer="0.3"/>
  <pageSetup paperSize="9" orientation="portrait" horizontalDpi="4294967295" verticalDpi="4294967295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2:CK156"/>
  <sheetViews>
    <sheetView topLeftCell="G1" zoomScaleNormal="100" workbookViewId="0">
      <selection activeCell="Z15" sqref="J15:Z15"/>
    </sheetView>
  </sheetViews>
  <sheetFormatPr defaultRowHeight="14.25" x14ac:dyDescent="0.2"/>
  <cols>
    <col min="2" max="2" width="9.625" bestFit="1" customWidth="1"/>
    <col min="3" max="3" width="9.75" customWidth="1"/>
    <col min="4" max="4" width="9.75" style="154" customWidth="1"/>
    <col min="5" max="5" width="9.75" customWidth="1"/>
    <col min="10" max="10" width="9" customWidth="1"/>
    <col min="11" max="11" width="10.875" customWidth="1"/>
    <col min="12" max="12" width="9.625" customWidth="1"/>
    <col min="13" max="13" width="9.625" style="162" customWidth="1"/>
    <col min="14" max="14" width="9.375" customWidth="1"/>
    <col min="15" max="15" width="9.875" customWidth="1"/>
    <col min="16" max="16" width="7.5" customWidth="1"/>
    <col min="17" max="17" width="7.125" customWidth="1"/>
    <col min="18" max="18" width="7.5" customWidth="1"/>
    <col min="19" max="19" width="8.5" customWidth="1"/>
    <col min="20" max="21" width="7.75" customWidth="1"/>
    <col min="22" max="23" width="9" customWidth="1"/>
    <col min="24" max="25" width="8.25" customWidth="1"/>
    <col min="26" max="27" width="8.25" style="157" customWidth="1"/>
    <col min="28" max="28" width="43.5" customWidth="1"/>
    <col min="29" max="36" width="9" customWidth="1"/>
    <col min="38" max="39" width="9" style="162"/>
    <col min="40" max="40" width="10.625" style="162" customWidth="1"/>
    <col min="42" max="42" width="9" style="162"/>
    <col min="43" max="47" width="9" customWidth="1"/>
    <col min="49" max="55" width="9" customWidth="1"/>
    <col min="56" max="56" width="11.875" customWidth="1"/>
    <col min="57" max="58" width="9" customWidth="1"/>
    <col min="59" max="59" width="9" style="165" customWidth="1"/>
    <col min="62" max="64" width="9" style="122"/>
    <col min="72" max="72" width="9" style="122"/>
    <col min="76" max="80" width="9" style="176"/>
    <col min="82" max="82" width="9" style="176"/>
    <col min="83" max="84" width="10.625" customWidth="1"/>
  </cols>
  <sheetData>
    <row r="2" spans="1:89" ht="20.25" x14ac:dyDescent="0.2">
      <c r="V2" t="s">
        <v>1373</v>
      </c>
      <c r="BB2" s="233" t="s">
        <v>1044</v>
      </c>
      <c r="BC2" s="233"/>
      <c r="BD2" s="233"/>
      <c r="BE2" s="233"/>
      <c r="BF2" s="233"/>
      <c r="BG2" s="233"/>
      <c r="BH2" s="233"/>
      <c r="BI2" s="233"/>
      <c r="BJ2" s="233"/>
      <c r="BR2" s="233" t="s">
        <v>1040</v>
      </c>
      <c r="BS2" s="233"/>
      <c r="BT2" s="233"/>
      <c r="BU2" s="233"/>
    </row>
    <row r="3" spans="1:89" ht="17.25" x14ac:dyDescent="0.2">
      <c r="A3" s="12" t="s">
        <v>81</v>
      </c>
      <c r="B3" s="12" t="s">
        <v>82</v>
      </c>
      <c r="C3" s="12" t="s">
        <v>85</v>
      </c>
      <c r="D3" s="12" t="s">
        <v>1368</v>
      </c>
      <c r="E3" s="12" t="s">
        <v>86</v>
      </c>
      <c r="G3" s="27" t="s">
        <v>83</v>
      </c>
      <c r="H3" s="24">
        <v>100</v>
      </c>
      <c r="J3" s="12" t="s">
        <v>91</v>
      </c>
      <c r="K3" s="12" t="s">
        <v>79</v>
      </c>
      <c r="L3" s="12" t="s">
        <v>210</v>
      </c>
      <c r="M3" s="12" t="s">
        <v>1383</v>
      </c>
      <c r="N3" s="12" t="s">
        <v>80</v>
      </c>
      <c r="O3" s="12" t="s">
        <v>89</v>
      </c>
      <c r="P3" s="12" t="s">
        <v>461</v>
      </c>
      <c r="Q3" s="12" t="s">
        <v>461</v>
      </c>
      <c r="R3" s="12" t="s">
        <v>461</v>
      </c>
      <c r="S3" s="12" t="s">
        <v>390</v>
      </c>
      <c r="T3" s="12" t="s">
        <v>440</v>
      </c>
      <c r="U3" s="12" t="s">
        <v>441</v>
      </c>
      <c r="V3" s="12" t="s">
        <v>90</v>
      </c>
      <c r="W3" s="12" t="s">
        <v>441</v>
      </c>
      <c r="X3" s="12" t="s">
        <v>439</v>
      </c>
      <c r="Y3" s="12" t="s">
        <v>441</v>
      </c>
      <c r="Z3" s="12" t="s">
        <v>1371</v>
      </c>
      <c r="AA3" s="12" t="s">
        <v>1372</v>
      </c>
      <c r="AB3" s="12" t="s">
        <v>88</v>
      </c>
      <c r="AC3" s="12" t="s">
        <v>494</v>
      </c>
      <c r="AD3" s="12" t="s">
        <v>495</v>
      </c>
      <c r="AF3" s="45" t="s">
        <v>271</v>
      </c>
      <c r="AG3" s="45" t="s">
        <v>272</v>
      </c>
      <c r="AH3" s="45" t="s">
        <v>273</v>
      </c>
      <c r="AI3" s="45" t="s">
        <v>274</v>
      </c>
      <c r="AL3" s="23" t="s">
        <v>1382</v>
      </c>
      <c r="AM3" s="23" t="s">
        <v>1385</v>
      </c>
      <c r="AN3" s="23" t="s">
        <v>1386</v>
      </c>
      <c r="AO3" s="23" t="s">
        <v>1387</v>
      </c>
      <c r="AR3" s="12" t="s">
        <v>473</v>
      </c>
      <c r="AS3" s="12" t="s">
        <v>482</v>
      </c>
      <c r="AT3" s="12" t="s">
        <v>472</v>
      </c>
      <c r="AU3" s="12" t="s">
        <v>483</v>
      </c>
      <c r="AW3" s="45" t="s">
        <v>487</v>
      </c>
      <c r="AX3" s="45" t="s">
        <v>472</v>
      </c>
      <c r="AY3" s="23" t="s">
        <v>486</v>
      </c>
      <c r="BB3" s="12" t="s">
        <v>473</v>
      </c>
      <c r="BC3" s="12" t="s">
        <v>502</v>
      </c>
      <c r="BD3" s="12" t="s">
        <v>501</v>
      </c>
      <c r="BE3" s="12" t="s">
        <v>472</v>
      </c>
      <c r="BF3" s="12" t="s">
        <v>483</v>
      </c>
      <c r="BG3" s="12" t="s">
        <v>1388</v>
      </c>
      <c r="BH3" s="12" t="s">
        <v>496</v>
      </c>
      <c r="BI3" s="12" t="s">
        <v>1047</v>
      </c>
      <c r="BJ3" s="12" t="s">
        <v>1046</v>
      </c>
      <c r="BM3" s="12" t="s">
        <v>497</v>
      </c>
      <c r="BN3" s="12" t="s">
        <v>503</v>
      </c>
      <c r="BO3" s="12" t="s">
        <v>521</v>
      </c>
      <c r="BP3" s="12" t="s">
        <v>498</v>
      </c>
      <c r="BR3" s="45" t="s">
        <v>1041</v>
      </c>
      <c r="BS3" s="45" t="s">
        <v>1042</v>
      </c>
      <c r="BT3" s="45" t="s">
        <v>1045</v>
      </c>
      <c r="BU3" s="45" t="s">
        <v>1043</v>
      </c>
      <c r="BX3" s="12" t="s">
        <v>1540</v>
      </c>
      <c r="BY3" s="12" t="s">
        <v>1541</v>
      </c>
      <c r="BZ3" s="12" t="s">
        <v>1542</v>
      </c>
      <c r="CA3" s="175"/>
      <c r="CB3" s="175"/>
      <c r="CC3" s="12" t="s">
        <v>1538</v>
      </c>
      <c r="CD3" s="12" t="s">
        <v>1543</v>
      </c>
      <c r="CE3" s="12" t="s">
        <v>1539</v>
      </c>
      <c r="CF3" s="12" t="s">
        <v>1544</v>
      </c>
      <c r="CG3" s="12" t="s">
        <v>1545</v>
      </c>
      <c r="CJ3" s="23" t="s">
        <v>1546</v>
      </c>
      <c r="CK3" s="23" t="s">
        <v>1547</v>
      </c>
    </row>
    <row r="4" spans="1:89" ht="17.25" x14ac:dyDescent="0.2">
      <c r="A4" s="24">
        <v>24</v>
      </c>
      <c r="B4" s="24">
        <v>30</v>
      </c>
      <c r="C4" s="24">
        <v>34</v>
      </c>
      <c r="D4" s="153">
        <v>42</v>
      </c>
      <c r="E4" s="24">
        <v>48</v>
      </c>
      <c r="G4" s="27" t="s">
        <v>84</v>
      </c>
      <c r="H4" s="24">
        <v>400</v>
      </c>
      <c r="J4" s="159">
        <v>0</v>
      </c>
      <c r="K4" s="159">
        <v>0</v>
      </c>
      <c r="L4" s="159">
        <v>0</v>
      </c>
      <c r="M4" s="159">
        <v>0</v>
      </c>
      <c r="N4" s="159">
        <v>0</v>
      </c>
      <c r="O4" s="159">
        <v>0</v>
      </c>
      <c r="P4" s="159">
        <v>0</v>
      </c>
      <c r="Q4" s="159">
        <v>0</v>
      </c>
      <c r="R4" s="159">
        <v>0</v>
      </c>
      <c r="S4" s="159">
        <v>0</v>
      </c>
      <c r="T4" s="159">
        <v>0</v>
      </c>
      <c r="U4" s="159">
        <v>0</v>
      </c>
      <c r="V4" s="159">
        <v>0</v>
      </c>
      <c r="W4" s="159">
        <v>0</v>
      </c>
      <c r="X4" s="159">
        <v>0</v>
      </c>
      <c r="Y4" s="159">
        <v>0</v>
      </c>
      <c r="Z4" s="159">
        <v>0</v>
      </c>
      <c r="AA4" s="159">
        <v>0</v>
      </c>
      <c r="AB4" s="159">
        <v>0</v>
      </c>
      <c r="AC4" s="159">
        <v>0</v>
      </c>
      <c r="AD4" s="159">
        <v>0</v>
      </c>
      <c r="AF4" s="69">
        <v>0</v>
      </c>
      <c r="AG4" s="69"/>
      <c r="AH4" s="69"/>
      <c r="AI4" s="69"/>
      <c r="AL4" s="159">
        <v>1</v>
      </c>
      <c r="AM4" s="159">
        <f>MATCH(AL4-1,$M$4:$M$34,1)</f>
        <v>1</v>
      </c>
      <c r="AN4" s="159">
        <f>INDEX($U$5:$U$34,AM4)</f>
        <v>0</v>
      </c>
      <c r="AR4" s="72">
        <v>1</v>
      </c>
      <c r="AS4" s="72" t="s">
        <v>474</v>
      </c>
      <c r="AT4" s="72">
        <v>2</v>
      </c>
      <c r="AU4" s="72">
        <f>SUM(AT$4:AT4)</f>
        <v>2</v>
      </c>
      <c r="AV4" s="70"/>
      <c r="AW4" s="72">
        <v>1</v>
      </c>
      <c r="AX4" s="72">
        <v>5</v>
      </c>
      <c r="AY4" s="72">
        <v>3</v>
      </c>
      <c r="AZ4" s="70"/>
      <c r="BB4" s="72">
        <v>1</v>
      </c>
      <c r="BC4" s="72" t="s">
        <v>474</v>
      </c>
      <c r="BD4" s="74" t="s">
        <v>474</v>
      </c>
      <c r="BE4" s="72">
        <v>1</v>
      </c>
      <c r="BF4" s="72">
        <f>SUM(BE$4:BE4)</f>
        <v>1</v>
      </c>
      <c r="BG4" s="164">
        <v>1</v>
      </c>
      <c r="BH4" s="73">
        <v>5</v>
      </c>
      <c r="BI4" s="121">
        <v>1</v>
      </c>
      <c r="BJ4" s="121">
        <f>INDEX($BS$4:$BS$23,BI4)</f>
        <v>1</v>
      </c>
      <c r="BM4" s="73" t="s">
        <v>474</v>
      </c>
      <c r="BN4" s="74" t="s">
        <v>504</v>
      </c>
      <c r="BO4" s="75">
        <v>1</v>
      </c>
      <c r="BP4" s="73">
        <v>10</v>
      </c>
      <c r="BR4" s="121">
        <v>1</v>
      </c>
      <c r="BS4" s="121">
        <v>1</v>
      </c>
      <c r="BT4" s="121">
        <v>10</v>
      </c>
      <c r="BU4" s="121" t="s">
        <v>522</v>
      </c>
      <c r="BX4" s="174">
        <v>0</v>
      </c>
      <c r="BY4" s="174">
        <v>0</v>
      </c>
      <c r="BZ4" s="174">
        <v>0</v>
      </c>
      <c r="CA4" s="175"/>
      <c r="CB4" s="175"/>
      <c r="CC4" s="174">
        <v>1</v>
      </c>
      <c r="CD4" s="174">
        <f>MATCH(CC4,$BY$4:$BY$34,1)</f>
        <v>1</v>
      </c>
      <c r="CE4" s="21">
        <v>5.5555555555555552E-2</v>
      </c>
      <c r="CF4" s="14">
        <f>INDEX($BZ$4:$BZ$34,CD4+1)*CE4</f>
        <v>0</v>
      </c>
      <c r="CG4" s="14">
        <f>SUM(CF$4:CF4)</f>
        <v>0</v>
      </c>
      <c r="CJ4" s="174">
        <v>1</v>
      </c>
      <c r="CK4" s="174">
        <f>MATCH(CJ4,$CG$4:$CG$153,1)</f>
        <v>27</v>
      </c>
    </row>
    <row r="5" spans="1:89" ht="16.5" x14ac:dyDescent="0.2">
      <c r="J5" s="24">
        <v>1</v>
      </c>
      <c r="K5" s="24" t="s">
        <v>1380</v>
      </c>
      <c r="L5" s="37">
        <v>1</v>
      </c>
      <c r="M5" s="159">
        <v>7</v>
      </c>
      <c r="N5" s="24">
        <v>0</v>
      </c>
      <c r="O5" s="24">
        <v>0</v>
      </c>
      <c r="P5" s="71"/>
      <c r="Q5" s="71"/>
      <c r="R5" s="71"/>
      <c r="S5" s="57">
        <v>1</v>
      </c>
      <c r="T5" s="14">
        <f>ROUND((SUM($N$5:$N5)-SUM($O$5:$O5)+SUM(P$5:P5))/B$4,2)</f>
        <v>0</v>
      </c>
      <c r="U5" s="14">
        <f>T5</f>
        <v>0</v>
      </c>
      <c r="V5" s="14">
        <f>ROUND((SUM($N$5:$N5)-SUM($O$5:$O5)+SUM(Q$5:Q5))/C$4,2)</f>
        <v>0</v>
      </c>
      <c r="W5" s="14">
        <f>V5</f>
        <v>0</v>
      </c>
      <c r="X5" s="14">
        <f>ROUND((SUM($N$5:$N5)-SUM($O$5:$O5)+SUM(R$5:R5))/D$4,2)</f>
        <v>0</v>
      </c>
      <c r="Y5" s="14">
        <f>X5</f>
        <v>0</v>
      </c>
      <c r="Z5" s="14">
        <f>ROUND((SUM($N$5:$N5)+SUM(R$5:R5))/E$4,2)</f>
        <v>0</v>
      </c>
      <c r="AA5" s="14">
        <v>0</v>
      </c>
      <c r="AB5" s="24"/>
      <c r="AC5" s="14">
        <f>AA5</f>
        <v>0</v>
      </c>
      <c r="AD5" s="14">
        <f>SUM(AC$5:AC5)</f>
        <v>0</v>
      </c>
      <c r="AF5" s="69">
        <v>0</v>
      </c>
      <c r="AG5" s="69"/>
      <c r="AH5" s="69"/>
      <c r="AI5" s="69"/>
      <c r="AL5" s="159">
        <v>2</v>
      </c>
      <c r="AM5" s="159">
        <f t="shared" ref="AM5:AM68" si="0">MATCH(AL5-1,$M$4:$M$34,1)</f>
        <v>1</v>
      </c>
      <c r="AN5" s="159">
        <f>INDEX($W$5:$W$34,AM4)</f>
        <v>0</v>
      </c>
      <c r="AR5" s="72">
        <v>2</v>
      </c>
      <c r="AS5" s="72" t="s">
        <v>475</v>
      </c>
      <c r="AT5" s="72">
        <v>3</v>
      </c>
      <c r="AU5" s="72">
        <f>SUM(AT$4:AT5)</f>
        <v>5</v>
      </c>
      <c r="AV5" s="70"/>
      <c r="AW5" s="72">
        <v>2</v>
      </c>
      <c r="AX5" s="72">
        <v>5</v>
      </c>
      <c r="AY5" s="72">
        <v>8</v>
      </c>
      <c r="AZ5" s="70"/>
      <c r="BB5" s="72">
        <v>2</v>
      </c>
      <c r="BC5" s="72" t="s">
        <v>475</v>
      </c>
      <c r="BD5" s="74" t="s">
        <v>475</v>
      </c>
      <c r="BE5" s="72">
        <v>2</v>
      </c>
      <c r="BF5" s="72">
        <f>SUM(BE$4:BE5)</f>
        <v>3</v>
      </c>
      <c r="BG5" s="164">
        <v>5</v>
      </c>
      <c r="BH5" s="73">
        <v>15</v>
      </c>
      <c r="BI5" s="121">
        <v>1</v>
      </c>
      <c r="BJ5" s="121">
        <f t="shared" ref="BJ5:BJ23" si="1">INDEX($BS$4:$BS$23,BI5)</f>
        <v>1</v>
      </c>
      <c r="BM5" s="73" t="s">
        <v>475</v>
      </c>
      <c r="BN5" s="74" t="s">
        <v>505</v>
      </c>
      <c r="BO5" s="75">
        <v>10</v>
      </c>
      <c r="BP5" s="73">
        <v>30</v>
      </c>
      <c r="BR5" s="121">
        <v>2</v>
      </c>
      <c r="BS5" s="121">
        <v>10</v>
      </c>
      <c r="BT5" s="121">
        <v>20</v>
      </c>
      <c r="BU5" s="121" t="s">
        <v>523</v>
      </c>
      <c r="BX5" s="174">
        <v>1</v>
      </c>
      <c r="BY5" s="174">
        <v>10</v>
      </c>
      <c r="BZ5" s="174">
        <f t="shared" ref="BZ5:BZ34" si="2">AA5</f>
        <v>0</v>
      </c>
      <c r="CA5" s="175"/>
      <c r="CB5" s="175"/>
      <c r="CC5" s="174">
        <v>2</v>
      </c>
      <c r="CD5" s="174">
        <f t="shared" ref="CD5:CD68" si="3">MATCH(CC5,$BY$4:$BY$34,1)</f>
        <v>1</v>
      </c>
      <c r="CE5" s="21">
        <v>6.9444444444444448E-2</v>
      </c>
      <c r="CF5" s="14">
        <f t="shared" ref="CF5:CF68" si="4">INDEX($BZ$4:$BZ$34,CD5+1)*CE5</f>
        <v>0</v>
      </c>
      <c r="CG5" s="14">
        <f>SUM(CF$4:CF5)</f>
        <v>0</v>
      </c>
      <c r="CJ5" s="174">
        <v>2</v>
      </c>
      <c r="CK5" s="174">
        <f t="shared" ref="CK5:CK63" si="5">MATCH(CJ5,$CG$4:$CG$153,1)</f>
        <v>36</v>
      </c>
    </row>
    <row r="6" spans="1:89" ht="17.25" x14ac:dyDescent="0.2">
      <c r="A6" s="12" t="s">
        <v>87</v>
      </c>
      <c r="F6" t="s">
        <v>408</v>
      </c>
      <c r="J6" s="158">
        <v>2</v>
      </c>
      <c r="K6" s="158" t="s">
        <v>1381</v>
      </c>
      <c r="L6" s="37">
        <v>7</v>
      </c>
      <c r="M6" s="159">
        <v>15</v>
      </c>
      <c r="N6" s="24">
        <v>4</v>
      </c>
      <c r="O6" s="153">
        <v>2</v>
      </c>
      <c r="P6" s="71"/>
      <c r="Q6" s="71"/>
      <c r="R6" s="71"/>
      <c r="S6" s="71">
        <v>1</v>
      </c>
      <c r="T6" s="14">
        <f>ROUND((SUM($N$5:$N6)-SUM($O$5:$O6)+SUM(P$5:P6))/B$4,2)</f>
        <v>7.0000000000000007E-2</v>
      </c>
      <c r="U6" s="14">
        <f>T6-T5</f>
        <v>7.0000000000000007E-2</v>
      </c>
      <c r="V6" s="14">
        <f>ROUND((SUM($N$5:$N6)-SUM($O$5:$O6)+SUM(Q$5:Q6))/C$4,2)</f>
        <v>0.06</v>
      </c>
      <c r="W6" s="14">
        <f>V6-V5</f>
        <v>0.06</v>
      </c>
      <c r="X6" s="14">
        <f>ROUND((SUM($N$5:$N6)-SUM($O$5:$O6)+SUM(R$5:R6))/D$4,2)</f>
        <v>0.05</v>
      </c>
      <c r="Y6" s="14">
        <f>X6-X5</f>
        <v>0.05</v>
      </c>
      <c r="Z6" s="14">
        <f>ROUND((SUM($N$5:$N6)+SUM(R$5:R6))/E$4,2)</f>
        <v>0.08</v>
      </c>
      <c r="AA6" s="14">
        <f>Z6-Z5</f>
        <v>0.08</v>
      </c>
      <c r="AB6" s="24"/>
      <c r="AC6" s="14">
        <f t="shared" ref="AC6:AC34" si="6">AA6</f>
        <v>0.08</v>
      </c>
      <c r="AD6" s="14">
        <f>SUM(AC$5:AC6)</f>
        <v>0.08</v>
      </c>
      <c r="AF6" s="69">
        <v>5</v>
      </c>
      <c r="AG6" s="69"/>
      <c r="AH6" s="69"/>
      <c r="AI6" s="69"/>
      <c r="AL6" s="159">
        <v>3</v>
      </c>
      <c r="AM6" s="159">
        <f t="shared" si="0"/>
        <v>1</v>
      </c>
      <c r="AN6" s="159">
        <f>INDEX($AA$5:$AA$34,AM4)</f>
        <v>0</v>
      </c>
      <c r="AR6" s="72">
        <v>3</v>
      </c>
      <c r="AS6" s="72" t="s">
        <v>476</v>
      </c>
      <c r="AT6" s="72">
        <v>3</v>
      </c>
      <c r="AU6" s="72">
        <f>SUM(AT$4:AT6)</f>
        <v>8</v>
      </c>
      <c r="AV6" s="70"/>
      <c r="AW6" s="72">
        <v>3</v>
      </c>
      <c r="AX6" s="72">
        <v>5</v>
      </c>
      <c r="AY6" s="72">
        <v>13</v>
      </c>
      <c r="AZ6" s="70"/>
      <c r="BB6" s="72">
        <v>3</v>
      </c>
      <c r="BC6" s="72" t="s">
        <v>488</v>
      </c>
      <c r="BD6" s="74" t="s">
        <v>475</v>
      </c>
      <c r="BE6" s="72">
        <v>2</v>
      </c>
      <c r="BF6" s="72">
        <f>SUM(BE$4:BE6)</f>
        <v>5</v>
      </c>
      <c r="BG6" s="164">
        <v>15</v>
      </c>
      <c r="BH6" s="73">
        <v>25</v>
      </c>
      <c r="BI6" s="121">
        <v>2</v>
      </c>
      <c r="BJ6" s="121">
        <f t="shared" si="1"/>
        <v>10</v>
      </c>
      <c r="BM6" s="73" t="s">
        <v>476</v>
      </c>
      <c r="BN6" s="74" t="s">
        <v>506</v>
      </c>
      <c r="BO6" s="75">
        <v>30</v>
      </c>
      <c r="BP6" s="73">
        <v>50</v>
      </c>
      <c r="BR6" s="121">
        <v>3</v>
      </c>
      <c r="BS6" s="121">
        <v>20</v>
      </c>
      <c r="BT6" s="121">
        <v>30</v>
      </c>
      <c r="BU6" s="121" t="s">
        <v>524</v>
      </c>
      <c r="BX6" s="174">
        <v>10</v>
      </c>
      <c r="BY6" s="174">
        <v>15</v>
      </c>
      <c r="BZ6" s="174">
        <f t="shared" si="2"/>
        <v>0.08</v>
      </c>
      <c r="CA6" s="175"/>
      <c r="CB6" s="175"/>
      <c r="CC6" s="174">
        <v>3</v>
      </c>
      <c r="CD6" s="174">
        <f t="shared" si="3"/>
        <v>1</v>
      </c>
      <c r="CE6" s="21">
        <v>8.3333333333333329E-2</v>
      </c>
      <c r="CF6" s="14">
        <f t="shared" si="4"/>
        <v>0</v>
      </c>
      <c r="CG6" s="14">
        <f>SUM(CF$4:CF6)</f>
        <v>0</v>
      </c>
      <c r="CJ6" s="174">
        <v>3</v>
      </c>
      <c r="CK6" s="174">
        <f t="shared" si="5"/>
        <v>45</v>
      </c>
    </row>
    <row r="7" spans="1:89" ht="18" customHeight="1" x14ac:dyDescent="0.2">
      <c r="A7" s="24">
        <v>50</v>
      </c>
      <c r="F7" t="s">
        <v>407</v>
      </c>
      <c r="J7" s="158">
        <v>3</v>
      </c>
      <c r="K7" s="158" t="s">
        <v>1369</v>
      </c>
      <c r="L7" s="71">
        <v>15</v>
      </c>
      <c r="M7" s="159">
        <v>25</v>
      </c>
      <c r="N7" s="153">
        <v>20</v>
      </c>
      <c r="O7" s="71">
        <v>4</v>
      </c>
      <c r="P7" s="71">
        <v>12</v>
      </c>
      <c r="Q7" s="71">
        <v>12</v>
      </c>
      <c r="R7" s="71"/>
      <c r="S7" s="71">
        <v>1</v>
      </c>
      <c r="T7" s="14">
        <f>ROUND((SUM($N$5:$N7)-SUM($O$5:$O7)+SUM(P$5:P7))/B$4,2)</f>
        <v>1</v>
      </c>
      <c r="U7" s="14">
        <f>T7-T6</f>
        <v>0.92999999999999994</v>
      </c>
      <c r="V7" s="14">
        <f>ROUND((SUM($N$5:$N7)-SUM($O$5:$O7)+SUM(Q$5:Q7))/C$4,2)</f>
        <v>0.88</v>
      </c>
      <c r="W7" s="14">
        <f>V7-V6</f>
        <v>0.82000000000000006</v>
      </c>
      <c r="X7" s="14">
        <f>ROUND((SUM($N$5:$N7)-SUM($O$5:$O7)+SUM(R$5:R7))/D$4,2)</f>
        <v>0.43</v>
      </c>
      <c r="Y7" s="14">
        <f>X7-X6</f>
        <v>0.38</v>
      </c>
      <c r="Z7" s="14">
        <f>ROUND((SUM($N$5:$N7)+SUM(R$5:R7))/E$4,2)</f>
        <v>0.5</v>
      </c>
      <c r="AA7" s="14">
        <f t="shared" ref="AA7:AA34" si="7">Z7-Z6</f>
        <v>0.42</v>
      </c>
      <c r="AB7" s="24"/>
      <c r="AC7" s="14">
        <f t="shared" si="6"/>
        <v>0.42</v>
      </c>
      <c r="AD7" s="14">
        <f>SUM(AC$5:AC7)</f>
        <v>0.5</v>
      </c>
      <c r="AF7" s="69">
        <v>10</v>
      </c>
      <c r="AG7" s="69">
        <v>5</v>
      </c>
      <c r="AH7" s="69"/>
      <c r="AI7" s="69"/>
      <c r="AL7" s="159">
        <v>4</v>
      </c>
      <c r="AM7" s="159">
        <f t="shared" si="0"/>
        <v>1</v>
      </c>
      <c r="AN7" s="161"/>
      <c r="AR7" s="72">
        <v>4</v>
      </c>
      <c r="AS7" s="72" t="s">
        <v>480</v>
      </c>
      <c r="AT7" s="72">
        <v>4</v>
      </c>
      <c r="AU7" s="72">
        <f>SUM(AT$4:AT7)</f>
        <v>12</v>
      </c>
      <c r="AV7" s="70"/>
      <c r="AW7" s="72">
        <v>4</v>
      </c>
      <c r="AX7" s="72">
        <v>5</v>
      </c>
      <c r="AY7" s="72">
        <v>18</v>
      </c>
      <c r="AZ7" s="70"/>
      <c r="BB7" s="72">
        <v>4</v>
      </c>
      <c r="BC7" s="72" t="s">
        <v>476</v>
      </c>
      <c r="BD7" s="74" t="s">
        <v>476</v>
      </c>
      <c r="BE7" s="72">
        <v>2</v>
      </c>
      <c r="BF7" s="72">
        <f>SUM(BE$4:BE7)</f>
        <v>7</v>
      </c>
      <c r="BG7" s="164">
        <v>25</v>
      </c>
      <c r="BH7" s="73">
        <v>35</v>
      </c>
      <c r="BI7" s="121">
        <v>3</v>
      </c>
      <c r="BJ7" s="121">
        <f t="shared" si="1"/>
        <v>20</v>
      </c>
      <c r="BM7" s="73" t="s">
        <v>480</v>
      </c>
      <c r="BN7" s="74" t="s">
        <v>507</v>
      </c>
      <c r="BO7" s="75">
        <v>50</v>
      </c>
      <c r="BP7" s="73">
        <v>70</v>
      </c>
      <c r="BR7" s="121">
        <v>4</v>
      </c>
      <c r="BS7" s="121">
        <v>30</v>
      </c>
      <c r="BT7" s="121">
        <v>40</v>
      </c>
      <c r="BU7" s="121" t="s">
        <v>525</v>
      </c>
      <c r="BX7" s="174">
        <v>15</v>
      </c>
      <c r="BY7" s="174">
        <v>25</v>
      </c>
      <c r="BZ7" s="174">
        <f t="shared" si="2"/>
        <v>0.42</v>
      </c>
      <c r="CA7" s="175"/>
      <c r="CB7" s="175"/>
      <c r="CC7" s="174">
        <v>4</v>
      </c>
      <c r="CD7" s="174">
        <f t="shared" si="3"/>
        <v>1</v>
      </c>
      <c r="CE7" s="21">
        <v>9.7222222222222224E-2</v>
      </c>
      <c r="CF7" s="14">
        <f t="shared" si="4"/>
        <v>0</v>
      </c>
      <c r="CG7" s="14">
        <f>SUM(CF$4:CF7)</f>
        <v>0</v>
      </c>
      <c r="CJ7" s="174">
        <v>4</v>
      </c>
      <c r="CK7" s="174">
        <f t="shared" si="5"/>
        <v>52</v>
      </c>
    </row>
    <row r="8" spans="1:89" ht="16.5" x14ac:dyDescent="0.2">
      <c r="A8" s="24">
        <v>50</v>
      </c>
      <c r="B8" s="14">
        <f>SUM(A7:A8)</f>
        <v>100</v>
      </c>
      <c r="J8" s="158">
        <v>4</v>
      </c>
      <c r="K8" s="158" t="s">
        <v>1370</v>
      </c>
      <c r="L8" s="155">
        <v>25</v>
      </c>
      <c r="M8" s="159">
        <v>30</v>
      </c>
      <c r="N8" s="155">
        <v>22</v>
      </c>
      <c r="O8" s="155">
        <v>4</v>
      </c>
      <c r="P8" s="155"/>
      <c r="Q8" s="155"/>
      <c r="R8" s="155">
        <v>12</v>
      </c>
      <c r="S8" s="155">
        <v>1</v>
      </c>
      <c r="T8" s="14">
        <f>ROUND((SUM($N$5:$N8)-SUM($O$5:$O8)+SUM(P$5:P8))/B$4,2)</f>
        <v>1.6</v>
      </c>
      <c r="U8" s="14">
        <f>T8-T7</f>
        <v>0.60000000000000009</v>
      </c>
      <c r="V8" s="14">
        <f>ROUND((SUM($N$5:$N8)-SUM($O$5:$O8)+SUM(Q$5:Q8))/C$4,2)</f>
        <v>1.41</v>
      </c>
      <c r="W8" s="14">
        <f>V8-V7</f>
        <v>0.52999999999999992</v>
      </c>
      <c r="X8" s="14">
        <f>ROUND((SUM($N$5:$N8)-SUM($O$5:$O8)+SUM(R$5:R8))/D$4,2)</f>
        <v>1.1399999999999999</v>
      </c>
      <c r="Y8" s="14">
        <f>X8-X7</f>
        <v>0.71</v>
      </c>
      <c r="Z8" s="14">
        <f>ROUND((SUM($N$5:$N8)+SUM(R$5:R8))/E$4,2)</f>
        <v>1.21</v>
      </c>
      <c r="AA8" s="14">
        <f t="shared" si="7"/>
        <v>0.71</v>
      </c>
      <c r="AC8" s="14">
        <f t="shared" si="6"/>
        <v>0.71</v>
      </c>
      <c r="AD8" s="14">
        <f>SUM(AC$5:AC8)</f>
        <v>1.21</v>
      </c>
      <c r="AF8" s="69">
        <v>20</v>
      </c>
      <c r="AG8" s="69">
        <v>10</v>
      </c>
      <c r="AH8" s="69">
        <v>5</v>
      </c>
      <c r="AI8" s="69"/>
      <c r="AL8" s="159">
        <v>5</v>
      </c>
      <c r="AM8" s="159">
        <f t="shared" si="0"/>
        <v>1</v>
      </c>
      <c r="AN8" s="161"/>
      <c r="AR8" s="72">
        <v>5</v>
      </c>
      <c r="AS8" s="72" t="s">
        <v>477</v>
      </c>
      <c r="AT8" s="72">
        <v>4</v>
      </c>
      <c r="AU8" s="72">
        <f>SUM(AT$4:AT8)</f>
        <v>16</v>
      </c>
      <c r="AV8" s="70"/>
      <c r="AW8" s="72">
        <v>5</v>
      </c>
      <c r="AX8" s="72">
        <v>5</v>
      </c>
      <c r="AY8" s="72">
        <v>23</v>
      </c>
      <c r="AZ8" s="70"/>
      <c r="BB8" s="72">
        <v>5</v>
      </c>
      <c r="BC8" s="72" t="s">
        <v>479</v>
      </c>
      <c r="BD8" s="74" t="s">
        <v>476</v>
      </c>
      <c r="BE8" s="72">
        <v>2</v>
      </c>
      <c r="BF8" s="72">
        <f>SUM(BE$4:BE8)</f>
        <v>9</v>
      </c>
      <c r="BG8" s="164">
        <v>35</v>
      </c>
      <c r="BH8" s="73">
        <v>42</v>
      </c>
      <c r="BI8" s="121">
        <v>4</v>
      </c>
      <c r="BJ8" s="121">
        <f t="shared" si="1"/>
        <v>30</v>
      </c>
      <c r="BM8" s="73" t="s">
        <v>477</v>
      </c>
      <c r="BN8" s="74" t="s">
        <v>508</v>
      </c>
      <c r="BO8" s="75">
        <v>70</v>
      </c>
      <c r="BP8" s="73">
        <v>90</v>
      </c>
      <c r="BR8" s="121">
        <v>5</v>
      </c>
      <c r="BS8" s="121">
        <v>40</v>
      </c>
      <c r="BT8" s="121">
        <v>50</v>
      </c>
      <c r="BU8" s="121" t="s">
        <v>526</v>
      </c>
      <c r="BX8" s="174">
        <v>25</v>
      </c>
      <c r="BY8" s="174">
        <v>30</v>
      </c>
      <c r="BZ8" s="174">
        <f t="shared" si="2"/>
        <v>0.71</v>
      </c>
      <c r="CA8" s="175"/>
      <c r="CB8" s="175"/>
      <c r="CC8" s="174">
        <v>5</v>
      </c>
      <c r="CD8" s="174">
        <f t="shared" si="3"/>
        <v>1</v>
      </c>
      <c r="CE8" s="21">
        <v>0.1111111111111111</v>
      </c>
      <c r="CF8" s="14">
        <f t="shared" si="4"/>
        <v>0</v>
      </c>
      <c r="CG8" s="14">
        <f>SUM(CF$4:CF8)</f>
        <v>0</v>
      </c>
      <c r="CJ8" s="174">
        <v>5</v>
      </c>
      <c r="CK8" s="174">
        <f t="shared" si="5"/>
        <v>58</v>
      </c>
    </row>
    <row r="9" spans="1:89" ht="16.5" x14ac:dyDescent="0.2">
      <c r="A9" s="24">
        <v>75</v>
      </c>
      <c r="F9" t="s">
        <v>1378</v>
      </c>
      <c r="J9" s="158">
        <v>5</v>
      </c>
      <c r="K9" s="71" t="s">
        <v>447</v>
      </c>
      <c r="L9" s="71">
        <v>30</v>
      </c>
      <c r="M9" s="159">
        <v>35</v>
      </c>
      <c r="N9" s="155">
        <v>24</v>
      </c>
      <c r="O9" s="159">
        <v>4</v>
      </c>
      <c r="P9" s="71"/>
      <c r="Q9" s="153"/>
      <c r="R9" s="153"/>
      <c r="S9" s="71">
        <v>1</v>
      </c>
      <c r="T9" s="14">
        <f>ROUND((SUM($N$5:$N9)-SUM($O$5:$O9)+SUM(P$5:P9))/B$4,2)</f>
        <v>2.27</v>
      </c>
      <c r="U9" s="14">
        <f>T9-T7</f>
        <v>1.27</v>
      </c>
      <c r="V9" s="14">
        <f>ROUND((SUM($N$5:$N9)-SUM($O$5:$O9)+SUM(Q$5:Q9))/C$4,2)</f>
        <v>2</v>
      </c>
      <c r="W9" s="14">
        <f>V9-V7</f>
        <v>1.1200000000000001</v>
      </c>
      <c r="X9" s="14">
        <f>ROUND((SUM($N$5:$N9)-SUM($O$5:$O9)+SUM(R$5:R9))/D$4,2)</f>
        <v>1.62</v>
      </c>
      <c r="Y9" s="14">
        <f>X9-X7</f>
        <v>1.1900000000000002</v>
      </c>
      <c r="Z9" s="14">
        <f>ROUND((SUM($N$5:$N9)+SUM(R$5:R9))/E$4,2)</f>
        <v>1.71</v>
      </c>
      <c r="AA9" s="14">
        <f t="shared" si="7"/>
        <v>0.5</v>
      </c>
      <c r="AB9" s="24"/>
      <c r="AC9" s="14">
        <f t="shared" si="6"/>
        <v>0.5</v>
      </c>
      <c r="AD9" s="14">
        <f>SUM(AC$5:AC9)</f>
        <v>1.71</v>
      </c>
      <c r="AF9" s="69">
        <v>30</v>
      </c>
      <c r="AG9" s="69">
        <v>15</v>
      </c>
      <c r="AH9" s="69">
        <v>10</v>
      </c>
      <c r="AI9" s="69">
        <v>5</v>
      </c>
      <c r="AL9" s="159">
        <v>6</v>
      </c>
      <c r="AM9" s="159">
        <f t="shared" si="0"/>
        <v>1</v>
      </c>
      <c r="AN9" s="161"/>
      <c r="AR9" s="72">
        <v>6</v>
      </c>
      <c r="AS9" s="72" t="s">
        <v>478</v>
      </c>
      <c r="AT9" s="72">
        <v>4</v>
      </c>
      <c r="AU9" s="72">
        <f>SUM(AT$4:AT9)</f>
        <v>20</v>
      </c>
      <c r="AV9" s="70"/>
      <c r="AW9" s="72">
        <v>6</v>
      </c>
      <c r="AX9" s="72">
        <v>5</v>
      </c>
      <c r="AY9" s="72">
        <v>28</v>
      </c>
      <c r="AZ9" s="70"/>
      <c r="BB9" s="72">
        <v>6</v>
      </c>
      <c r="BC9" s="74" t="s">
        <v>512</v>
      </c>
      <c r="BD9" s="74" t="s">
        <v>476</v>
      </c>
      <c r="BE9" s="72">
        <v>2</v>
      </c>
      <c r="BF9" s="72">
        <f>SUM(BE$4:BE9)</f>
        <v>11</v>
      </c>
      <c r="BG9" s="164">
        <v>42</v>
      </c>
      <c r="BH9" s="73">
        <v>47</v>
      </c>
      <c r="BI9" s="121">
        <v>5</v>
      </c>
      <c r="BJ9" s="121">
        <f t="shared" si="1"/>
        <v>40</v>
      </c>
      <c r="BM9" s="73" t="s">
        <v>478</v>
      </c>
      <c r="BN9" s="74" t="s">
        <v>509</v>
      </c>
      <c r="BO9" s="75">
        <v>90</v>
      </c>
      <c r="BP9" s="73">
        <v>110</v>
      </c>
      <c r="BR9" s="121">
        <v>6</v>
      </c>
      <c r="BS9" s="121">
        <v>50</v>
      </c>
      <c r="BT9" s="121">
        <v>60</v>
      </c>
      <c r="BU9" s="121" t="s">
        <v>512</v>
      </c>
      <c r="BX9" s="174">
        <v>30</v>
      </c>
      <c r="BY9" s="174">
        <v>35</v>
      </c>
      <c r="BZ9" s="174">
        <f t="shared" si="2"/>
        <v>0.5</v>
      </c>
      <c r="CA9" s="175"/>
      <c r="CB9" s="175"/>
      <c r="CC9" s="174">
        <v>6</v>
      </c>
      <c r="CD9" s="174">
        <f t="shared" si="3"/>
        <v>1</v>
      </c>
      <c r="CE9" s="21">
        <v>0.125</v>
      </c>
      <c r="CF9" s="14">
        <f t="shared" si="4"/>
        <v>0</v>
      </c>
      <c r="CG9" s="14">
        <f>SUM(CF$4:CF9)</f>
        <v>0</v>
      </c>
      <c r="CJ9" s="174">
        <v>6</v>
      </c>
      <c r="CK9" s="174">
        <f t="shared" si="5"/>
        <v>64</v>
      </c>
    </row>
    <row r="10" spans="1:89" ht="16.5" x14ac:dyDescent="0.2">
      <c r="A10" s="159">
        <v>75</v>
      </c>
      <c r="F10" t="s">
        <v>1379</v>
      </c>
      <c r="J10" s="158">
        <v>6</v>
      </c>
      <c r="K10" s="71" t="s">
        <v>448</v>
      </c>
      <c r="L10" s="71">
        <v>35</v>
      </c>
      <c r="M10" s="159">
        <v>40</v>
      </c>
      <c r="N10" s="155">
        <v>26</v>
      </c>
      <c r="O10" s="159">
        <v>4</v>
      </c>
      <c r="P10" s="71"/>
      <c r="Q10" s="71"/>
      <c r="R10" s="71"/>
      <c r="S10" s="71">
        <v>1</v>
      </c>
      <c r="T10" s="14">
        <f>ROUND((SUM($N$5:$N10)-SUM($O$5:$O10)+SUM(P$5:P10))/B$4,2)</f>
        <v>3</v>
      </c>
      <c r="U10" s="14">
        <f t="shared" ref="U10:U34" si="8">T10-T9</f>
        <v>0.73</v>
      </c>
      <c r="V10" s="14">
        <f>ROUND((SUM($N$5:$N10)-SUM($O$5:$O10)+SUM(Q$5:Q10))/C$4,2)</f>
        <v>2.65</v>
      </c>
      <c r="W10" s="14">
        <f t="shared" ref="W10:W34" si="9">V10-V9</f>
        <v>0.64999999999999991</v>
      </c>
      <c r="X10" s="14">
        <f>ROUND((SUM($N$5:$N10)-SUM($O$5:$O10)+SUM(R$5:R10))/D$4,2)</f>
        <v>2.14</v>
      </c>
      <c r="Y10" s="14">
        <f t="shared" ref="Y10:Y34" si="10">X10-X9</f>
        <v>0.52</v>
      </c>
      <c r="Z10" s="14">
        <f>ROUND((SUM($N$5:$N10)+SUM(R$5:R10))/E$4,2)</f>
        <v>2.25</v>
      </c>
      <c r="AA10" s="14">
        <f t="shared" si="7"/>
        <v>0.54</v>
      </c>
      <c r="AB10" s="24"/>
      <c r="AC10" s="14">
        <f t="shared" si="6"/>
        <v>0.54</v>
      </c>
      <c r="AD10" s="14">
        <f>SUM(AC$5:AC10)</f>
        <v>2.25</v>
      </c>
      <c r="AF10" s="69">
        <v>40</v>
      </c>
      <c r="AG10" s="69">
        <v>20</v>
      </c>
      <c r="AH10" s="69">
        <v>15</v>
      </c>
      <c r="AI10" s="69">
        <v>10</v>
      </c>
      <c r="AL10" s="159">
        <v>7</v>
      </c>
      <c r="AM10" s="159">
        <f t="shared" si="0"/>
        <v>1</v>
      </c>
      <c r="AN10" s="161"/>
      <c r="AR10" s="72">
        <v>7</v>
      </c>
      <c r="AS10" s="72" t="s">
        <v>484</v>
      </c>
      <c r="AT10" s="72">
        <v>5</v>
      </c>
      <c r="AU10" s="72">
        <f>SUM(AT$4:AT10)</f>
        <v>25</v>
      </c>
      <c r="AV10" s="70"/>
      <c r="AW10" s="72">
        <v>7</v>
      </c>
      <c r="AX10" s="72">
        <v>5</v>
      </c>
      <c r="AY10" s="72">
        <v>33</v>
      </c>
      <c r="AZ10" s="70"/>
      <c r="BB10" s="72">
        <v>7</v>
      </c>
      <c r="BC10" s="72" t="s">
        <v>480</v>
      </c>
      <c r="BD10" s="74" t="s">
        <v>480</v>
      </c>
      <c r="BE10" s="72">
        <v>2</v>
      </c>
      <c r="BF10" s="72">
        <f>SUM(BE$4:BE10)</f>
        <v>13</v>
      </c>
      <c r="BG10" s="164">
        <v>47</v>
      </c>
      <c r="BH10" s="73">
        <v>52</v>
      </c>
      <c r="BI10" s="121">
        <v>6</v>
      </c>
      <c r="BJ10" s="121">
        <f t="shared" si="1"/>
        <v>50</v>
      </c>
      <c r="BM10" s="73" t="s">
        <v>484</v>
      </c>
      <c r="BN10" s="74" t="s">
        <v>510</v>
      </c>
      <c r="BO10" s="75">
        <v>110</v>
      </c>
      <c r="BP10" s="73">
        <v>135</v>
      </c>
      <c r="BR10" s="121">
        <v>7</v>
      </c>
      <c r="BS10" s="121">
        <v>60</v>
      </c>
      <c r="BT10" s="121">
        <v>65</v>
      </c>
      <c r="BU10" s="121" t="s">
        <v>527</v>
      </c>
      <c r="BX10" s="174">
        <v>35</v>
      </c>
      <c r="BY10" s="174">
        <v>40</v>
      </c>
      <c r="BZ10" s="174">
        <f t="shared" si="2"/>
        <v>0.54</v>
      </c>
      <c r="CA10" s="175"/>
      <c r="CB10" s="175"/>
      <c r="CC10" s="174">
        <v>7</v>
      </c>
      <c r="CD10" s="174">
        <f t="shared" si="3"/>
        <v>1</v>
      </c>
      <c r="CE10" s="21">
        <v>0.1388888888888889</v>
      </c>
      <c r="CF10" s="14">
        <f t="shared" si="4"/>
        <v>0</v>
      </c>
      <c r="CG10" s="14">
        <f>SUM(CF$4:CF10)</f>
        <v>0</v>
      </c>
      <c r="CJ10" s="174">
        <v>7</v>
      </c>
      <c r="CK10" s="174">
        <f t="shared" si="5"/>
        <v>68</v>
      </c>
    </row>
    <row r="11" spans="1:89" ht="16.5" x14ac:dyDescent="0.2">
      <c r="A11" s="24">
        <v>100</v>
      </c>
      <c r="B11" s="14">
        <f>SUM(A7:A11)</f>
        <v>350</v>
      </c>
      <c r="J11" s="158">
        <v>7</v>
      </c>
      <c r="K11" s="71" t="s">
        <v>449</v>
      </c>
      <c r="L11" s="71">
        <v>40</v>
      </c>
      <c r="M11" s="159">
        <v>45</v>
      </c>
      <c r="N11" s="155">
        <v>28</v>
      </c>
      <c r="O11" s="159">
        <v>4</v>
      </c>
      <c r="P11" s="71"/>
      <c r="Q11" s="71"/>
      <c r="R11" s="71"/>
      <c r="S11" s="71">
        <v>1</v>
      </c>
      <c r="T11" s="14">
        <f>ROUND((SUM($N$5:$N11)-SUM($O$5:$O11)+SUM(P$5:P11))/B$4,2)</f>
        <v>3.8</v>
      </c>
      <c r="U11" s="14">
        <f t="shared" si="8"/>
        <v>0.79999999999999982</v>
      </c>
      <c r="V11" s="14">
        <f>ROUND((SUM($N$5:$N11)-SUM($O$5:$O11)+SUM(Q$5:Q11))/C$4,2)</f>
        <v>3.35</v>
      </c>
      <c r="W11" s="14">
        <f t="shared" si="9"/>
        <v>0.70000000000000018</v>
      </c>
      <c r="X11" s="14">
        <f>ROUND((SUM($N$5:$N11)-SUM($O$5:$O11)+SUM(R$5:R11))/D$4,2)</f>
        <v>2.71</v>
      </c>
      <c r="Y11" s="14">
        <f t="shared" si="10"/>
        <v>0.56999999999999984</v>
      </c>
      <c r="Z11" s="14">
        <f>ROUND((SUM($N$5:$N11)+SUM(R$5:R11))/E$4,2)</f>
        <v>2.83</v>
      </c>
      <c r="AA11" s="14">
        <f t="shared" si="7"/>
        <v>0.58000000000000007</v>
      </c>
      <c r="AB11" s="24"/>
      <c r="AC11" s="14">
        <f t="shared" si="6"/>
        <v>0.58000000000000007</v>
      </c>
      <c r="AD11" s="14">
        <f>SUM(AC$5:AC11)</f>
        <v>2.83</v>
      </c>
      <c r="AF11" s="69">
        <v>50</v>
      </c>
      <c r="AG11" s="69">
        <v>30</v>
      </c>
      <c r="AH11" s="69">
        <v>20</v>
      </c>
      <c r="AI11" s="69">
        <v>15</v>
      </c>
      <c r="AL11" s="159">
        <v>8</v>
      </c>
      <c r="AM11" s="159">
        <f t="shared" si="0"/>
        <v>2</v>
      </c>
      <c r="AN11" s="159">
        <f>INDEX($U$5:$U$34,AM11)</f>
        <v>7.0000000000000007E-2</v>
      </c>
      <c r="AR11" s="72">
        <v>8</v>
      </c>
      <c r="AS11" s="72" t="s">
        <v>485</v>
      </c>
      <c r="AT11" s="72">
        <v>5</v>
      </c>
      <c r="AU11" s="72">
        <f>SUM(AT$4:AT11)</f>
        <v>30</v>
      </c>
      <c r="AV11" s="70"/>
      <c r="AW11" s="72">
        <v>8</v>
      </c>
      <c r="AX11" s="72">
        <v>5</v>
      </c>
      <c r="AY11" s="72">
        <v>38</v>
      </c>
      <c r="AZ11" s="70"/>
      <c r="BB11" s="72">
        <v>8</v>
      </c>
      <c r="BC11" s="72" t="s">
        <v>513</v>
      </c>
      <c r="BD11" s="74" t="s">
        <v>480</v>
      </c>
      <c r="BE11" s="72">
        <v>2</v>
      </c>
      <c r="BF11" s="72">
        <f>SUM(BE$4:BE11)</f>
        <v>15</v>
      </c>
      <c r="BG11" s="164">
        <v>52</v>
      </c>
      <c r="BH11" s="73">
        <v>57</v>
      </c>
      <c r="BI11" s="121">
        <v>7</v>
      </c>
      <c r="BJ11" s="121">
        <f t="shared" si="1"/>
        <v>60</v>
      </c>
      <c r="BM11" s="73" t="s">
        <v>485</v>
      </c>
      <c r="BN11" s="74" t="s">
        <v>511</v>
      </c>
      <c r="BO11" s="75">
        <v>135</v>
      </c>
      <c r="BP11" s="73">
        <v>150</v>
      </c>
      <c r="BR11" s="121">
        <v>8</v>
      </c>
      <c r="BS11" s="121">
        <v>65</v>
      </c>
      <c r="BT11" s="121">
        <v>70</v>
      </c>
      <c r="BU11" s="121" t="s">
        <v>528</v>
      </c>
      <c r="BX11" s="174">
        <v>40</v>
      </c>
      <c r="BY11" s="174">
        <v>45</v>
      </c>
      <c r="BZ11" s="174">
        <f t="shared" si="2"/>
        <v>0.58000000000000007</v>
      </c>
      <c r="CA11" s="175"/>
      <c r="CB11" s="175"/>
      <c r="CC11" s="174">
        <v>8</v>
      </c>
      <c r="CD11" s="174">
        <f t="shared" si="3"/>
        <v>1</v>
      </c>
      <c r="CE11" s="21">
        <v>0.15277777777777779</v>
      </c>
      <c r="CF11" s="14">
        <f t="shared" si="4"/>
        <v>0</v>
      </c>
      <c r="CG11" s="14">
        <f>SUM(CF$4:CF11)</f>
        <v>0</v>
      </c>
      <c r="CJ11" s="174">
        <v>8</v>
      </c>
      <c r="CK11" s="174">
        <f t="shared" si="5"/>
        <v>72</v>
      </c>
    </row>
    <row r="12" spans="1:89" ht="16.5" x14ac:dyDescent="0.2">
      <c r="A12" s="60">
        <v>100</v>
      </c>
      <c r="J12" s="158">
        <v>8</v>
      </c>
      <c r="K12" s="71" t="s">
        <v>450</v>
      </c>
      <c r="L12" s="71">
        <v>45</v>
      </c>
      <c r="M12" s="159">
        <v>50</v>
      </c>
      <c r="N12" s="155">
        <v>30</v>
      </c>
      <c r="O12" s="159">
        <v>4</v>
      </c>
      <c r="P12" s="71"/>
      <c r="Q12" s="71"/>
      <c r="R12" s="71"/>
      <c r="S12" s="71">
        <v>1</v>
      </c>
      <c r="T12" s="14">
        <f>ROUND((SUM($N$5:$N12)-SUM($O$5:$O12)+SUM(P$5:P12))/B$4,2)</f>
        <v>4.67</v>
      </c>
      <c r="U12" s="14">
        <f t="shared" si="8"/>
        <v>0.87000000000000011</v>
      </c>
      <c r="V12" s="14">
        <f>ROUND((SUM($N$5:$N12)-SUM($O$5:$O12)+SUM(Q$5:Q12))/C$4,2)</f>
        <v>4.12</v>
      </c>
      <c r="W12" s="14">
        <f t="shared" si="9"/>
        <v>0.77</v>
      </c>
      <c r="X12" s="14">
        <f>ROUND((SUM($N$5:$N12)-SUM($O$5:$O12)+SUM(R$5:R12))/D$4,2)</f>
        <v>3.33</v>
      </c>
      <c r="Y12" s="14">
        <f t="shared" si="10"/>
        <v>0.62000000000000011</v>
      </c>
      <c r="Z12" s="14">
        <f>ROUND((SUM($N$5:$N12)+SUM(R$5:R12))/E$4,2)</f>
        <v>3.46</v>
      </c>
      <c r="AA12" s="14">
        <f t="shared" si="7"/>
        <v>0.62999999999999989</v>
      </c>
      <c r="AB12" s="24"/>
      <c r="AC12" s="14">
        <f t="shared" si="6"/>
        <v>0.62999999999999989</v>
      </c>
      <c r="AD12" s="14">
        <f>SUM(AC$5:AC12)</f>
        <v>3.46</v>
      </c>
      <c r="AF12" s="69">
        <v>60</v>
      </c>
      <c r="AG12" s="69">
        <v>40</v>
      </c>
      <c r="AH12" s="69">
        <v>25</v>
      </c>
      <c r="AI12" s="69">
        <v>20</v>
      </c>
      <c r="AL12" s="159">
        <v>9</v>
      </c>
      <c r="AM12" s="159">
        <f t="shared" si="0"/>
        <v>2</v>
      </c>
      <c r="AN12" s="159">
        <f>INDEX($W$5:$W$34,AM11)</f>
        <v>0.06</v>
      </c>
      <c r="AV12" s="70"/>
      <c r="AW12" s="72">
        <v>9</v>
      </c>
      <c r="AX12" s="72">
        <v>2</v>
      </c>
      <c r="AY12" s="72">
        <v>40</v>
      </c>
      <c r="AZ12" s="70"/>
      <c r="BB12" s="72">
        <v>9</v>
      </c>
      <c r="BC12" s="74" t="s">
        <v>489</v>
      </c>
      <c r="BD12" s="74" t="s">
        <v>480</v>
      </c>
      <c r="BE12" s="72">
        <v>3</v>
      </c>
      <c r="BF12" s="72">
        <f>SUM(BE$4:BE12)</f>
        <v>18</v>
      </c>
      <c r="BG12" s="164">
        <v>57</v>
      </c>
      <c r="BH12" s="73">
        <v>65</v>
      </c>
      <c r="BI12" s="121">
        <v>8</v>
      </c>
      <c r="BJ12" s="121">
        <f t="shared" si="1"/>
        <v>65</v>
      </c>
      <c r="BR12" s="121">
        <v>9</v>
      </c>
      <c r="BS12" s="121">
        <v>70</v>
      </c>
      <c r="BT12" s="121">
        <v>80</v>
      </c>
      <c r="BU12" s="121" t="s">
        <v>489</v>
      </c>
      <c r="BX12" s="174">
        <v>45</v>
      </c>
      <c r="BY12" s="174">
        <v>50</v>
      </c>
      <c r="BZ12" s="174">
        <f t="shared" si="2"/>
        <v>0.62999999999999989</v>
      </c>
      <c r="CA12" s="175"/>
      <c r="CB12" s="175"/>
      <c r="CC12" s="174">
        <v>9</v>
      </c>
      <c r="CD12" s="174">
        <f t="shared" si="3"/>
        <v>1</v>
      </c>
      <c r="CE12" s="21">
        <v>0.16666666666666666</v>
      </c>
      <c r="CF12" s="14">
        <f t="shared" si="4"/>
        <v>0</v>
      </c>
      <c r="CG12" s="14">
        <f>SUM(CF$4:CF12)</f>
        <v>0</v>
      </c>
      <c r="CJ12" s="174">
        <v>9</v>
      </c>
      <c r="CK12" s="174">
        <f t="shared" si="5"/>
        <v>76</v>
      </c>
    </row>
    <row r="13" spans="1:89" ht="16.5" x14ac:dyDescent="0.2">
      <c r="A13" s="24">
        <v>200</v>
      </c>
      <c r="J13" s="158">
        <v>9</v>
      </c>
      <c r="K13" s="71" t="s">
        <v>451</v>
      </c>
      <c r="L13" s="71">
        <v>50</v>
      </c>
      <c r="M13" s="159">
        <v>55</v>
      </c>
      <c r="N13" s="155">
        <v>34</v>
      </c>
      <c r="O13" s="159">
        <v>4</v>
      </c>
      <c r="P13" s="71"/>
      <c r="Q13" s="71"/>
      <c r="R13" s="71"/>
      <c r="S13" s="71">
        <v>1</v>
      </c>
      <c r="T13" s="14">
        <f>ROUND((SUM($N$5:$N13)-SUM($O$5:$O13)+SUM(P$5:P13))/B$4,2)</f>
        <v>5.67</v>
      </c>
      <c r="U13" s="14">
        <f t="shared" si="8"/>
        <v>1</v>
      </c>
      <c r="V13" s="14">
        <f>ROUND((SUM($N$5:$N13)-SUM($O$5:$O13)+SUM(Q$5:Q13))/C$4,2)</f>
        <v>5</v>
      </c>
      <c r="W13" s="14">
        <f t="shared" si="9"/>
        <v>0.87999999999999989</v>
      </c>
      <c r="X13" s="14">
        <f>ROUND((SUM($N$5:$N13)-SUM($O$5:$O13)+SUM(R$5:R13))/D$4,2)</f>
        <v>4.05</v>
      </c>
      <c r="Y13" s="14">
        <f t="shared" si="10"/>
        <v>0.71999999999999975</v>
      </c>
      <c r="Z13" s="14">
        <f>ROUND((SUM($N$5:$N13)+SUM(R$5:R13))/E$4,2)</f>
        <v>4.17</v>
      </c>
      <c r="AA13" s="14">
        <f t="shared" si="7"/>
        <v>0.71</v>
      </c>
      <c r="AB13" s="24"/>
      <c r="AC13" s="14">
        <f t="shared" si="6"/>
        <v>0.71</v>
      </c>
      <c r="AD13" s="14">
        <f>SUM(AC$5:AC13)</f>
        <v>4.17</v>
      </c>
      <c r="AF13" s="69">
        <v>70</v>
      </c>
      <c r="AG13" s="69">
        <v>50</v>
      </c>
      <c r="AH13" s="69">
        <v>30</v>
      </c>
      <c r="AI13" s="69">
        <v>25</v>
      </c>
      <c r="AL13" s="159">
        <v>10</v>
      </c>
      <c r="AM13" s="159">
        <f t="shared" si="0"/>
        <v>2</v>
      </c>
      <c r="AN13" s="159">
        <f>INDEX($AA$5:$AA$34,AM11)</f>
        <v>0.08</v>
      </c>
      <c r="AV13" s="70"/>
      <c r="AW13" s="72">
        <v>10</v>
      </c>
      <c r="AX13" s="72">
        <v>3</v>
      </c>
      <c r="AY13" s="72">
        <v>43</v>
      </c>
      <c r="AZ13" s="70"/>
      <c r="BB13" s="72">
        <v>10</v>
      </c>
      <c r="BC13" s="72" t="s">
        <v>514</v>
      </c>
      <c r="BD13" s="74" t="s">
        <v>477</v>
      </c>
      <c r="BE13" s="72">
        <v>3</v>
      </c>
      <c r="BF13" s="72">
        <f>SUM(BE$4:BE13)</f>
        <v>21</v>
      </c>
      <c r="BG13" s="164">
        <v>65</v>
      </c>
      <c r="BH13" s="73">
        <v>72</v>
      </c>
      <c r="BI13" s="121">
        <v>9</v>
      </c>
      <c r="BJ13" s="121">
        <f t="shared" si="1"/>
        <v>70</v>
      </c>
      <c r="BR13" s="121">
        <v>10</v>
      </c>
      <c r="BS13" s="121">
        <v>80</v>
      </c>
      <c r="BT13" s="121">
        <v>85</v>
      </c>
      <c r="BU13" s="121" t="s">
        <v>529</v>
      </c>
      <c r="BX13" s="174">
        <v>50</v>
      </c>
      <c r="BY13" s="174">
        <v>55</v>
      </c>
      <c r="BZ13" s="174">
        <f t="shared" si="2"/>
        <v>0.71</v>
      </c>
      <c r="CA13" s="175"/>
      <c r="CB13" s="175"/>
      <c r="CC13" s="174">
        <v>10</v>
      </c>
      <c r="CD13" s="174">
        <f t="shared" si="3"/>
        <v>2</v>
      </c>
      <c r="CE13" s="21">
        <v>0.13333333333333333</v>
      </c>
      <c r="CF13" s="14">
        <f t="shared" si="4"/>
        <v>1.0666666666666666E-2</v>
      </c>
      <c r="CG13" s="14">
        <f>SUM(CF$4:CF13)</f>
        <v>1.0666666666666666E-2</v>
      </c>
      <c r="CJ13" s="174">
        <v>10</v>
      </c>
      <c r="CK13" s="174">
        <f t="shared" si="5"/>
        <v>79</v>
      </c>
    </row>
    <row r="14" spans="1:89" ht="16.5" x14ac:dyDescent="0.2">
      <c r="A14" s="60">
        <v>200</v>
      </c>
      <c r="J14" s="158">
        <v>10</v>
      </c>
      <c r="K14" s="71" t="s">
        <v>452</v>
      </c>
      <c r="L14" s="71">
        <v>55</v>
      </c>
      <c r="M14" s="159">
        <v>60</v>
      </c>
      <c r="N14" s="155">
        <v>40</v>
      </c>
      <c r="O14" s="159">
        <v>4</v>
      </c>
      <c r="P14" s="71"/>
      <c r="Q14" s="71"/>
      <c r="R14" s="71"/>
      <c r="S14" s="71">
        <v>1</v>
      </c>
      <c r="T14" s="14">
        <f>ROUND((SUM($N$5:$N14)-SUM($O$5:$O14)+SUM(P$5:P14))/B$4,2)</f>
        <v>6.87</v>
      </c>
      <c r="U14" s="14">
        <f t="shared" si="8"/>
        <v>1.2000000000000002</v>
      </c>
      <c r="V14" s="14">
        <f>ROUND((SUM($N$5:$N14)-SUM($O$5:$O14)+SUM(Q$5:Q14))/C$4,2)</f>
        <v>6.06</v>
      </c>
      <c r="W14" s="14">
        <f t="shared" si="9"/>
        <v>1.0599999999999996</v>
      </c>
      <c r="X14" s="14">
        <f>ROUND((SUM($N$5:$N14)-SUM($O$5:$O14)+SUM(R$5:R14))/D$4,2)</f>
        <v>4.9000000000000004</v>
      </c>
      <c r="Y14" s="14">
        <f t="shared" si="10"/>
        <v>0.85000000000000053</v>
      </c>
      <c r="Z14" s="14">
        <f>ROUND((SUM($N$5:$N14)+SUM(R$5:R14))/E$4,2)</f>
        <v>5</v>
      </c>
      <c r="AA14" s="14">
        <f t="shared" si="7"/>
        <v>0.83000000000000007</v>
      </c>
      <c r="AB14" s="24"/>
      <c r="AC14" s="14">
        <f t="shared" si="6"/>
        <v>0.83000000000000007</v>
      </c>
      <c r="AD14" s="14">
        <f>SUM(AC$5:AC14)</f>
        <v>5</v>
      </c>
      <c r="AF14" s="69">
        <v>80</v>
      </c>
      <c r="AG14" s="69">
        <v>60</v>
      </c>
      <c r="AH14" s="69">
        <v>40</v>
      </c>
      <c r="AI14" s="69">
        <v>30</v>
      </c>
      <c r="AL14" s="159">
        <v>11</v>
      </c>
      <c r="AM14" s="159">
        <f t="shared" si="0"/>
        <v>2</v>
      </c>
      <c r="AN14" s="161"/>
      <c r="AV14" s="70"/>
      <c r="AW14" s="72">
        <v>11</v>
      </c>
      <c r="AX14" s="72">
        <v>2</v>
      </c>
      <c r="AY14" s="72">
        <v>45</v>
      </c>
      <c r="AZ14" s="70"/>
      <c r="BB14" s="72">
        <v>11</v>
      </c>
      <c r="BC14" s="72" t="s">
        <v>515</v>
      </c>
      <c r="BD14" s="74" t="s">
        <v>477</v>
      </c>
      <c r="BE14" s="72">
        <v>3</v>
      </c>
      <c r="BF14" s="72">
        <f>SUM(BE$4:BE14)</f>
        <v>24</v>
      </c>
      <c r="BG14" s="164">
        <v>72</v>
      </c>
      <c r="BH14" s="73">
        <v>80</v>
      </c>
      <c r="BI14" s="121">
        <v>10</v>
      </c>
      <c r="BJ14" s="121">
        <f t="shared" si="1"/>
        <v>80</v>
      </c>
      <c r="BR14" s="121">
        <v>11</v>
      </c>
      <c r="BS14" s="121">
        <v>85</v>
      </c>
      <c r="BT14" s="121">
        <v>90</v>
      </c>
      <c r="BU14" s="121" t="s">
        <v>530</v>
      </c>
      <c r="BX14" s="174">
        <v>55</v>
      </c>
      <c r="BY14" s="174">
        <v>60</v>
      </c>
      <c r="BZ14" s="174">
        <f t="shared" si="2"/>
        <v>0.83000000000000007</v>
      </c>
      <c r="CA14" s="175"/>
      <c r="CB14" s="175"/>
      <c r="CC14" s="174">
        <v>11</v>
      </c>
      <c r="CD14" s="174">
        <f t="shared" si="3"/>
        <v>2</v>
      </c>
      <c r="CE14" s="21">
        <v>0.16666666666666666</v>
      </c>
      <c r="CF14" s="14">
        <f t="shared" si="4"/>
        <v>1.3333333333333332E-2</v>
      </c>
      <c r="CG14" s="14">
        <f>SUM(CF$4:CF14)</f>
        <v>2.4E-2</v>
      </c>
      <c r="CJ14" s="174">
        <v>11</v>
      </c>
      <c r="CK14" s="174">
        <f t="shared" si="5"/>
        <v>81</v>
      </c>
    </row>
    <row r="15" spans="1:89" ht="16.5" x14ac:dyDescent="0.2">
      <c r="A15" s="24">
        <v>500</v>
      </c>
      <c r="J15" s="158">
        <v>11</v>
      </c>
      <c r="K15" s="71" t="s">
        <v>453</v>
      </c>
      <c r="L15" s="71">
        <v>60</v>
      </c>
      <c r="M15" s="159">
        <v>65</v>
      </c>
      <c r="N15" s="155">
        <v>45</v>
      </c>
      <c r="O15" s="159">
        <v>4</v>
      </c>
      <c r="P15" s="71"/>
      <c r="Q15" s="71"/>
      <c r="R15" s="71"/>
      <c r="S15" s="71">
        <v>1</v>
      </c>
      <c r="T15" s="14">
        <f>ROUND((SUM($N$5:$N15)-SUM($O$5:$O15)+SUM(P$5:P15))/B$4,2)</f>
        <v>8.23</v>
      </c>
      <c r="U15" s="14">
        <f t="shared" si="8"/>
        <v>1.3600000000000003</v>
      </c>
      <c r="V15" s="14">
        <f>ROUND((SUM($N$5:$N15)-SUM($O$5:$O15)+SUM(Q$5:Q15))/C$4,2)</f>
        <v>7.26</v>
      </c>
      <c r="W15" s="14">
        <f t="shared" si="9"/>
        <v>1.2000000000000002</v>
      </c>
      <c r="X15" s="14">
        <f>ROUND((SUM($N$5:$N15)-SUM($O$5:$O15)+SUM(R$5:R15))/D$4,2)</f>
        <v>5.88</v>
      </c>
      <c r="Y15" s="14">
        <f t="shared" si="10"/>
        <v>0.97999999999999954</v>
      </c>
      <c r="Z15" s="14">
        <f>ROUND((SUM($N$5:$N15)+SUM(R$5:R15))/E$4,2)</f>
        <v>5.94</v>
      </c>
      <c r="AA15" s="14">
        <f t="shared" si="7"/>
        <v>0.94000000000000039</v>
      </c>
      <c r="AB15" s="24"/>
      <c r="AC15" s="14">
        <f t="shared" si="6"/>
        <v>0.94000000000000039</v>
      </c>
      <c r="AD15" s="14">
        <f>SUM(AC$5:AC15)</f>
        <v>5.94</v>
      </c>
      <c r="AF15" s="69">
        <v>90</v>
      </c>
      <c r="AG15" s="69">
        <v>70</v>
      </c>
      <c r="AH15" s="69">
        <v>50</v>
      </c>
      <c r="AI15" s="69">
        <v>40</v>
      </c>
      <c r="AL15" s="159">
        <v>12</v>
      </c>
      <c r="AM15" s="159">
        <f t="shared" si="0"/>
        <v>2</v>
      </c>
      <c r="AN15" s="161"/>
      <c r="AW15" s="72">
        <v>12</v>
      </c>
      <c r="AX15" s="72">
        <v>3</v>
      </c>
      <c r="AY15" s="72">
        <v>48</v>
      </c>
      <c r="AZ15" s="70"/>
      <c r="BB15" s="72">
        <v>12</v>
      </c>
      <c r="BC15" s="74" t="s">
        <v>490</v>
      </c>
      <c r="BD15" s="74" t="s">
        <v>477</v>
      </c>
      <c r="BE15" s="72">
        <v>3</v>
      </c>
      <c r="BF15" s="72">
        <f>SUM(BE$4:BE15)</f>
        <v>27</v>
      </c>
      <c r="BG15" s="164">
        <v>80</v>
      </c>
      <c r="BH15" s="73">
        <v>87</v>
      </c>
      <c r="BI15" s="121">
        <v>11</v>
      </c>
      <c r="BJ15" s="121">
        <f t="shared" si="1"/>
        <v>85</v>
      </c>
      <c r="BR15" s="121">
        <v>12</v>
      </c>
      <c r="BS15" s="121">
        <v>90</v>
      </c>
      <c r="BT15" s="121">
        <v>95</v>
      </c>
      <c r="BU15" s="121" t="s">
        <v>490</v>
      </c>
      <c r="BX15" s="174">
        <v>60</v>
      </c>
      <c r="BY15" s="174">
        <v>65</v>
      </c>
      <c r="BZ15" s="174">
        <f t="shared" si="2"/>
        <v>0.94000000000000039</v>
      </c>
      <c r="CA15" s="175"/>
      <c r="CB15" s="175"/>
      <c r="CC15" s="174">
        <v>12</v>
      </c>
      <c r="CD15" s="174">
        <f t="shared" si="3"/>
        <v>2</v>
      </c>
      <c r="CE15" s="21">
        <v>0.2</v>
      </c>
      <c r="CF15" s="14">
        <f t="shared" si="4"/>
        <v>1.6E-2</v>
      </c>
      <c r="CG15" s="14">
        <f>SUM(CF$4:CF15)</f>
        <v>0.04</v>
      </c>
      <c r="CJ15" s="174">
        <v>12</v>
      </c>
      <c r="CK15" s="174">
        <f t="shared" si="5"/>
        <v>84</v>
      </c>
    </row>
    <row r="16" spans="1:89" ht="16.5" x14ac:dyDescent="0.2">
      <c r="A16" s="24">
        <v>500</v>
      </c>
      <c r="J16" s="158">
        <v>12</v>
      </c>
      <c r="K16" s="71" t="s">
        <v>454</v>
      </c>
      <c r="L16" s="71">
        <v>65</v>
      </c>
      <c r="M16" s="159">
        <v>70</v>
      </c>
      <c r="N16" s="155">
        <v>51</v>
      </c>
      <c r="O16" s="159">
        <v>4</v>
      </c>
      <c r="P16" s="71"/>
      <c r="Q16" s="71"/>
      <c r="R16" s="71"/>
      <c r="S16" s="71">
        <v>1</v>
      </c>
      <c r="T16" s="14">
        <f>ROUND((SUM($N$5:$N16)-SUM($O$5:$O16)+SUM(P$5:P16))/B$4,2)</f>
        <v>9.8000000000000007</v>
      </c>
      <c r="U16" s="14">
        <f t="shared" si="8"/>
        <v>1.5700000000000003</v>
      </c>
      <c r="V16" s="14">
        <f>ROUND((SUM($N$5:$N16)-SUM($O$5:$O16)+SUM(Q$5:Q16))/C$4,2)</f>
        <v>8.65</v>
      </c>
      <c r="W16" s="14">
        <f t="shared" si="9"/>
        <v>1.3900000000000006</v>
      </c>
      <c r="X16" s="14">
        <f>ROUND((SUM($N$5:$N16)-SUM($O$5:$O16)+SUM(R$5:R16))/D$4,2)</f>
        <v>7</v>
      </c>
      <c r="Y16" s="14">
        <f t="shared" si="10"/>
        <v>1.1200000000000001</v>
      </c>
      <c r="Z16" s="14">
        <f>ROUND((SUM($N$5:$N16)+SUM(R$5:R16))/E$4,2)</f>
        <v>7</v>
      </c>
      <c r="AA16" s="14">
        <f t="shared" si="7"/>
        <v>1.0599999999999996</v>
      </c>
      <c r="AB16" s="24"/>
      <c r="AC16" s="14">
        <f t="shared" si="6"/>
        <v>1.0599999999999996</v>
      </c>
      <c r="AD16" s="14">
        <f>SUM(AC$5:AC16)</f>
        <v>7</v>
      </c>
      <c r="AF16" s="69">
        <v>100</v>
      </c>
      <c r="AG16" s="69">
        <v>80</v>
      </c>
      <c r="AH16" s="69">
        <v>60</v>
      </c>
      <c r="AI16" s="69">
        <v>50</v>
      </c>
      <c r="AL16" s="159">
        <v>13</v>
      </c>
      <c r="AM16" s="159">
        <f t="shared" si="0"/>
        <v>2</v>
      </c>
      <c r="AN16" s="161"/>
      <c r="AW16" s="72">
        <v>13</v>
      </c>
      <c r="AX16" s="72">
        <v>2</v>
      </c>
      <c r="AY16" s="72">
        <v>50</v>
      </c>
      <c r="AZ16" s="70"/>
      <c r="BB16" s="72">
        <v>13</v>
      </c>
      <c r="BC16" s="72" t="s">
        <v>516</v>
      </c>
      <c r="BD16" s="74" t="s">
        <v>478</v>
      </c>
      <c r="BE16" s="72">
        <v>3</v>
      </c>
      <c r="BF16" s="72">
        <f>SUM(BE$4:BE16)</f>
        <v>30</v>
      </c>
      <c r="BG16" s="164">
        <v>87</v>
      </c>
      <c r="BH16" s="73">
        <v>95</v>
      </c>
      <c r="BI16" s="121">
        <v>12</v>
      </c>
      <c r="BJ16" s="121">
        <f t="shared" si="1"/>
        <v>90</v>
      </c>
      <c r="BR16" s="121">
        <v>13</v>
      </c>
      <c r="BS16" s="121">
        <v>95</v>
      </c>
      <c r="BT16" s="121">
        <v>100</v>
      </c>
      <c r="BU16" s="121" t="s">
        <v>531</v>
      </c>
      <c r="BX16" s="174">
        <v>65</v>
      </c>
      <c r="BY16" s="174">
        <v>70</v>
      </c>
      <c r="BZ16" s="174">
        <f t="shared" si="2"/>
        <v>1.0599999999999996</v>
      </c>
      <c r="CA16" s="175"/>
      <c r="CB16" s="175"/>
      <c r="CC16" s="174">
        <v>13</v>
      </c>
      <c r="CD16" s="174">
        <f t="shared" si="3"/>
        <v>2</v>
      </c>
      <c r="CE16" s="21">
        <v>0.23333333333333334</v>
      </c>
      <c r="CF16" s="14">
        <f t="shared" si="4"/>
        <v>1.8666666666666668E-2</v>
      </c>
      <c r="CG16" s="14">
        <f>SUM(CF$4:CF16)</f>
        <v>5.8666666666666673E-2</v>
      </c>
      <c r="CJ16" s="174">
        <v>13</v>
      </c>
      <c r="CK16" s="174">
        <f t="shared" si="5"/>
        <v>86</v>
      </c>
    </row>
    <row r="17" spans="1:89" ht="16.5" x14ac:dyDescent="0.2">
      <c r="A17" s="24">
        <v>1000</v>
      </c>
      <c r="J17" s="158">
        <v>13</v>
      </c>
      <c r="K17" s="71" t="s">
        <v>455</v>
      </c>
      <c r="L17" s="71">
        <v>70</v>
      </c>
      <c r="M17" s="159">
        <v>75</v>
      </c>
      <c r="N17" s="155">
        <v>65</v>
      </c>
      <c r="O17" s="159">
        <v>4</v>
      </c>
      <c r="P17" s="71"/>
      <c r="Q17" s="71"/>
      <c r="R17" s="71"/>
      <c r="S17" s="71">
        <v>1</v>
      </c>
      <c r="T17" s="14">
        <f>ROUND((SUM($N$5:$N17)-SUM($O$5:$O17)+SUM(P$5:P17))/B$4,2)</f>
        <v>11.83</v>
      </c>
      <c r="U17" s="14">
        <f t="shared" si="8"/>
        <v>2.0299999999999994</v>
      </c>
      <c r="V17" s="14">
        <f>ROUND((SUM($N$5:$N17)-SUM($O$5:$O17)+SUM(Q$5:Q17))/C$4,2)</f>
        <v>10.44</v>
      </c>
      <c r="W17" s="14">
        <f t="shared" si="9"/>
        <v>1.7899999999999991</v>
      </c>
      <c r="X17" s="14">
        <f>ROUND((SUM($N$5:$N17)-SUM($O$5:$O17)+SUM(R$5:R17))/D$4,2)</f>
        <v>8.4499999999999993</v>
      </c>
      <c r="Y17" s="14">
        <f t="shared" si="10"/>
        <v>1.4499999999999993</v>
      </c>
      <c r="Z17" s="14">
        <f>ROUND((SUM($N$5:$N17)+SUM(R$5:R17))/E$4,2)</f>
        <v>8.35</v>
      </c>
      <c r="AA17" s="14">
        <f t="shared" si="7"/>
        <v>1.3499999999999996</v>
      </c>
      <c r="AB17" s="24"/>
      <c r="AC17" s="14">
        <f t="shared" si="6"/>
        <v>1.3499999999999996</v>
      </c>
      <c r="AD17" s="14">
        <f>SUM(AC$5:AC17)</f>
        <v>8.35</v>
      </c>
      <c r="AF17" s="69"/>
      <c r="AG17" s="69">
        <v>90</v>
      </c>
      <c r="AH17" s="69">
        <v>70</v>
      </c>
      <c r="AI17" s="69">
        <v>60</v>
      </c>
      <c r="AL17" s="159">
        <v>14</v>
      </c>
      <c r="AM17" s="159">
        <f t="shared" si="0"/>
        <v>2</v>
      </c>
      <c r="AN17" s="161"/>
      <c r="AW17" s="72">
        <v>14</v>
      </c>
      <c r="AX17" s="72">
        <v>3</v>
      </c>
      <c r="AY17" s="72">
        <v>53</v>
      </c>
      <c r="AZ17" s="70"/>
      <c r="BB17" s="72">
        <v>14</v>
      </c>
      <c r="BC17" s="72" t="s">
        <v>517</v>
      </c>
      <c r="BD17" s="74" t="s">
        <v>478</v>
      </c>
      <c r="BE17" s="72">
        <v>3</v>
      </c>
      <c r="BF17" s="72">
        <f>SUM(BE$4:BE17)</f>
        <v>33</v>
      </c>
      <c r="BG17" s="164">
        <v>95</v>
      </c>
      <c r="BH17" s="73">
        <v>102</v>
      </c>
      <c r="BI17" s="121">
        <v>13</v>
      </c>
      <c r="BJ17" s="121">
        <f t="shared" si="1"/>
        <v>95</v>
      </c>
      <c r="BR17" s="121">
        <v>14</v>
      </c>
      <c r="BS17" s="121">
        <v>100</v>
      </c>
      <c r="BT17" s="121">
        <v>105</v>
      </c>
      <c r="BU17" s="121" t="s">
        <v>532</v>
      </c>
      <c r="BX17" s="174">
        <v>70</v>
      </c>
      <c r="BY17" s="174">
        <v>75</v>
      </c>
      <c r="BZ17" s="174">
        <f t="shared" si="2"/>
        <v>1.3499999999999996</v>
      </c>
      <c r="CA17" s="175"/>
      <c r="CB17" s="175"/>
      <c r="CC17" s="174">
        <v>14</v>
      </c>
      <c r="CD17" s="174">
        <f t="shared" si="3"/>
        <v>2</v>
      </c>
      <c r="CE17" s="21">
        <v>0.26666666666666666</v>
      </c>
      <c r="CF17" s="14">
        <f t="shared" si="4"/>
        <v>2.1333333333333333E-2</v>
      </c>
      <c r="CG17" s="14">
        <f>SUM(CF$4:CF17)</f>
        <v>0.08</v>
      </c>
      <c r="CJ17" s="174">
        <v>14</v>
      </c>
      <c r="CK17" s="174">
        <f t="shared" si="5"/>
        <v>89</v>
      </c>
    </row>
    <row r="18" spans="1:89" ht="16.5" x14ac:dyDescent="0.2">
      <c r="A18" s="71">
        <v>1000</v>
      </c>
      <c r="J18" s="158">
        <v>14</v>
      </c>
      <c r="K18" s="71" t="s">
        <v>456</v>
      </c>
      <c r="L18" s="71">
        <v>75</v>
      </c>
      <c r="M18" s="159">
        <v>80</v>
      </c>
      <c r="N18" s="155">
        <v>76</v>
      </c>
      <c r="O18" s="159">
        <v>4</v>
      </c>
      <c r="P18" s="71"/>
      <c r="Q18" s="71"/>
      <c r="R18" s="71"/>
      <c r="S18" s="71">
        <v>1</v>
      </c>
      <c r="T18" s="14">
        <f>ROUND((SUM($N$5:$N18)-SUM($O$5:$O18)+SUM(P$5:P18))/B$4,2)</f>
        <v>14.23</v>
      </c>
      <c r="U18" s="14">
        <f t="shared" si="8"/>
        <v>2.4000000000000004</v>
      </c>
      <c r="V18" s="14">
        <f>ROUND((SUM($N$5:$N18)-SUM($O$5:$O18)+SUM(Q$5:Q18))/C$4,2)</f>
        <v>12.56</v>
      </c>
      <c r="W18" s="14">
        <f t="shared" si="9"/>
        <v>2.120000000000001</v>
      </c>
      <c r="X18" s="14">
        <f>ROUND((SUM($N$5:$N18)-SUM($O$5:$O18)+SUM(R$5:R18))/D$4,2)</f>
        <v>10.17</v>
      </c>
      <c r="Y18" s="14">
        <f t="shared" si="10"/>
        <v>1.7200000000000006</v>
      </c>
      <c r="Z18" s="14">
        <f>ROUND((SUM($N$5:$N18)+SUM(R$5:R18))/E$4,2)</f>
        <v>9.94</v>
      </c>
      <c r="AA18" s="14">
        <f t="shared" si="7"/>
        <v>1.5899999999999999</v>
      </c>
      <c r="AB18" s="24"/>
      <c r="AC18" s="14">
        <f t="shared" si="6"/>
        <v>1.5899999999999999</v>
      </c>
      <c r="AD18" s="14">
        <f>SUM(AC$5:AC18)</f>
        <v>9.94</v>
      </c>
      <c r="AF18" s="69"/>
      <c r="AG18" s="69">
        <v>100</v>
      </c>
      <c r="AH18" s="69">
        <v>80</v>
      </c>
      <c r="AI18" s="69">
        <v>70</v>
      </c>
      <c r="AL18" s="159">
        <v>15</v>
      </c>
      <c r="AM18" s="159">
        <f t="shared" si="0"/>
        <v>2</v>
      </c>
      <c r="AN18" s="161"/>
      <c r="AW18" s="72">
        <v>15</v>
      </c>
      <c r="AX18" s="72">
        <v>2</v>
      </c>
      <c r="AY18" s="72">
        <v>55</v>
      </c>
      <c r="AZ18" s="70"/>
      <c r="BB18" s="72">
        <v>15</v>
      </c>
      <c r="BC18" s="74" t="s">
        <v>481</v>
      </c>
      <c r="BD18" s="74" t="s">
        <v>478</v>
      </c>
      <c r="BE18" s="72">
        <v>3</v>
      </c>
      <c r="BF18" s="72">
        <f>SUM(BE$4:BE18)</f>
        <v>36</v>
      </c>
      <c r="BG18" s="164">
        <v>102</v>
      </c>
      <c r="BH18" s="73">
        <v>110</v>
      </c>
      <c r="BI18" s="121">
        <v>14</v>
      </c>
      <c r="BJ18" s="121">
        <f t="shared" si="1"/>
        <v>100</v>
      </c>
      <c r="BR18" s="121">
        <v>15</v>
      </c>
      <c r="BS18" s="121">
        <v>105</v>
      </c>
      <c r="BT18" s="121">
        <v>110</v>
      </c>
      <c r="BU18" s="121" t="s">
        <v>481</v>
      </c>
      <c r="BX18" s="174">
        <v>75</v>
      </c>
      <c r="BY18" s="174">
        <v>80</v>
      </c>
      <c r="BZ18" s="174">
        <f t="shared" si="2"/>
        <v>1.5899999999999999</v>
      </c>
      <c r="CA18" s="175"/>
      <c r="CB18" s="175"/>
      <c r="CC18" s="174">
        <v>15</v>
      </c>
      <c r="CD18" s="174">
        <f t="shared" si="3"/>
        <v>3</v>
      </c>
      <c r="CE18" s="21">
        <v>8.1632653061224483E-2</v>
      </c>
      <c r="CF18" s="14">
        <f t="shared" si="4"/>
        <v>3.428571428571428E-2</v>
      </c>
      <c r="CG18" s="14">
        <f>SUM(CF$4:CF18)</f>
        <v>0.11428571428571428</v>
      </c>
      <c r="CJ18" s="174">
        <v>15</v>
      </c>
      <c r="CK18" s="174">
        <f t="shared" si="5"/>
        <v>91</v>
      </c>
    </row>
    <row r="19" spans="1:89" ht="16.5" x14ac:dyDescent="0.2">
      <c r="J19" s="158">
        <v>15</v>
      </c>
      <c r="K19" s="71" t="s">
        <v>457</v>
      </c>
      <c r="L19" s="71">
        <v>80</v>
      </c>
      <c r="M19" s="159">
        <v>85</v>
      </c>
      <c r="N19" s="155">
        <v>90</v>
      </c>
      <c r="O19" s="159">
        <v>4</v>
      </c>
      <c r="P19" s="71"/>
      <c r="Q19" s="71"/>
      <c r="R19" s="71"/>
      <c r="S19" s="71">
        <v>1</v>
      </c>
      <c r="T19" s="14">
        <f>ROUND((SUM($N$5:$N19)-SUM($O$5:$O19)+SUM(P$5:P19))/B$4,2)</f>
        <v>17.100000000000001</v>
      </c>
      <c r="U19" s="14">
        <f t="shared" si="8"/>
        <v>2.870000000000001</v>
      </c>
      <c r="V19" s="14">
        <f>ROUND((SUM($N$5:$N19)-SUM($O$5:$O19)+SUM(Q$5:Q19))/C$4,2)</f>
        <v>15.09</v>
      </c>
      <c r="W19" s="14">
        <f t="shared" si="9"/>
        <v>2.5299999999999994</v>
      </c>
      <c r="X19" s="14">
        <f>ROUND((SUM($N$5:$N19)-SUM($O$5:$O19)+SUM(R$5:R19))/D$4,2)</f>
        <v>12.21</v>
      </c>
      <c r="Y19" s="14">
        <f t="shared" si="10"/>
        <v>2.0400000000000009</v>
      </c>
      <c r="Z19" s="14">
        <f>ROUND((SUM($N$5:$N19)+SUM(R$5:R19))/E$4,2)</f>
        <v>11.81</v>
      </c>
      <c r="AA19" s="14">
        <f t="shared" si="7"/>
        <v>1.870000000000001</v>
      </c>
      <c r="AB19" s="62"/>
      <c r="AC19" s="14">
        <f t="shared" si="6"/>
        <v>1.870000000000001</v>
      </c>
      <c r="AD19" s="14">
        <f>SUM(AC$5:AC19)</f>
        <v>11.81</v>
      </c>
      <c r="AF19" s="69"/>
      <c r="AG19" s="69"/>
      <c r="AH19" s="69">
        <v>90</v>
      </c>
      <c r="AI19" s="69">
        <v>80</v>
      </c>
      <c r="AL19" s="159">
        <v>16</v>
      </c>
      <c r="AM19" s="159">
        <f t="shared" si="0"/>
        <v>3</v>
      </c>
      <c r="AN19" s="159">
        <f>INDEX($U$5:$U$34,AM19)</f>
        <v>0.92999999999999994</v>
      </c>
      <c r="AW19" s="72">
        <v>16</v>
      </c>
      <c r="AX19" s="72">
        <v>3</v>
      </c>
      <c r="AY19" s="72">
        <v>58</v>
      </c>
      <c r="AZ19" s="70"/>
      <c r="BB19" s="72">
        <v>16</v>
      </c>
      <c r="BC19" s="72" t="s">
        <v>484</v>
      </c>
      <c r="BD19" s="74" t="s">
        <v>484</v>
      </c>
      <c r="BE19" s="72">
        <v>3</v>
      </c>
      <c r="BF19" s="72">
        <f>SUM(BE$4:BE19)</f>
        <v>39</v>
      </c>
      <c r="BG19" s="164">
        <v>110</v>
      </c>
      <c r="BH19" s="73">
        <v>117</v>
      </c>
      <c r="BI19" s="121">
        <v>15</v>
      </c>
      <c r="BJ19" s="121">
        <f t="shared" si="1"/>
        <v>105</v>
      </c>
      <c r="BR19" s="121">
        <v>16</v>
      </c>
      <c r="BS19" s="121">
        <v>110</v>
      </c>
      <c r="BT19" s="121">
        <v>120</v>
      </c>
      <c r="BU19" s="121" t="s">
        <v>533</v>
      </c>
      <c r="BX19" s="174">
        <v>80</v>
      </c>
      <c r="BY19" s="174">
        <v>85</v>
      </c>
      <c r="BZ19" s="174">
        <f t="shared" si="2"/>
        <v>1.870000000000001</v>
      </c>
      <c r="CA19" s="175"/>
      <c r="CB19" s="175"/>
      <c r="CC19" s="174">
        <v>16</v>
      </c>
      <c r="CD19" s="174">
        <f t="shared" si="3"/>
        <v>3</v>
      </c>
      <c r="CE19" s="21">
        <v>8.5714285714285715E-2</v>
      </c>
      <c r="CF19" s="14">
        <f t="shared" si="4"/>
        <v>3.5999999999999997E-2</v>
      </c>
      <c r="CG19" s="14">
        <f>SUM(CF$4:CF19)</f>
        <v>0.15028571428571427</v>
      </c>
      <c r="CJ19" s="174">
        <v>16</v>
      </c>
      <c r="CK19" s="174">
        <f t="shared" si="5"/>
        <v>93</v>
      </c>
    </row>
    <row r="20" spans="1:89" ht="16.5" x14ac:dyDescent="0.2">
      <c r="J20" s="158">
        <v>16</v>
      </c>
      <c r="K20" s="71" t="s">
        <v>458</v>
      </c>
      <c r="L20" s="71">
        <v>85</v>
      </c>
      <c r="M20" s="159">
        <v>90</v>
      </c>
      <c r="N20" s="155">
        <v>105</v>
      </c>
      <c r="O20" s="159">
        <v>4</v>
      </c>
      <c r="P20" s="71"/>
      <c r="Q20" s="71"/>
      <c r="R20" s="71"/>
      <c r="S20" s="71">
        <v>1</v>
      </c>
      <c r="T20" s="14">
        <f>ROUND((SUM($N$5:$N20)-SUM($O$5:$O20)+SUM(P$5:P20))/B$4,2)</f>
        <v>20.47</v>
      </c>
      <c r="U20" s="14">
        <f t="shared" si="8"/>
        <v>3.3699999999999974</v>
      </c>
      <c r="V20" s="14">
        <f>ROUND((SUM($N$5:$N20)-SUM($O$5:$O20)+SUM(Q$5:Q20))/C$4,2)</f>
        <v>18.059999999999999</v>
      </c>
      <c r="W20" s="14">
        <f t="shared" si="9"/>
        <v>2.9699999999999989</v>
      </c>
      <c r="X20" s="14">
        <f>ROUND((SUM($N$5:$N20)-SUM($O$5:$O20)+SUM(R$5:R20))/D$4,2)</f>
        <v>14.62</v>
      </c>
      <c r="Y20" s="14">
        <f t="shared" si="10"/>
        <v>2.4099999999999984</v>
      </c>
      <c r="Z20" s="14">
        <f>ROUND((SUM($N$5:$N20)+SUM(R$5:R20))/E$4,2)</f>
        <v>14</v>
      </c>
      <c r="AA20" s="14">
        <f t="shared" si="7"/>
        <v>2.1899999999999995</v>
      </c>
      <c r="AB20" s="62"/>
      <c r="AC20" s="14">
        <f t="shared" si="6"/>
        <v>2.1899999999999995</v>
      </c>
      <c r="AD20" s="14">
        <f>SUM(AC$5:AC20)</f>
        <v>14</v>
      </c>
      <c r="AF20" s="69"/>
      <c r="AG20" s="69"/>
      <c r="AH20" s="69">
        <v>100</v>
      </c>
      <c r="AI20" s="69">
        <v>90</v>
      </c>
      <c r="AL20" s="159">
        <v>17</v>
      </c>
      <c r="AM20" s="159">
        <f t="shared" si="0"/>
        <v>3</v>
      </c>
      <c r="AN20" s="159">
        <f>INDEX($W$5:$W$34,AM19)</f>
        <v>0.82000000000000006</v>
      </c>
      <c r="AW20" s="72">
        <v>17</v>
      </c>
      <c r="AX20" s="72">
        <v>2</v>
      </c>
      <c r="AY20" s="72">
        <v>60</v>
      </c>
      <c r="AZ20" s="70"/>
      <c r="BB20" s="72">
        <v>17</v>
      </c>
      <c r="BC20" s="72" t="s">
        <v>518</v>
      </c>
      <c r="BD20" s="74" t="s">
        <v>484</v>
      </c>
      <c r="BE20" s="72">
        <v>3</v>
      </c>
      <c r="BF20" s="72">
        <f>SUM(BE$4:BE20)</f>
        <v>42</v>
      </c>
      <c r="BG20" s="164">
        <v>117</v>
      </c>
      <c r="BH20" s="73">
        <v>125</v>
      </c>
      <c r="BI20" s="121">
        <v>16</v>
      </c>
      <c r="BJ20" s="121">
        <f t="shared" si="1"/>
        <v>110</v>
      </c>
      <c r="BR20" s="121">
        <v>17</v>
      </c>
      <c r="BS20" s="121">
        <v>120</v>
      </c>
      <c r="BT20" s="121">
        <v>130</v>
      </c>
      <c r="BU20" s="121" t="s">
        <v>534</v>
      </c>
      <c r="BX20" s="174">
        <v>85</v>
      </c>
      <c r="BY20" s="174">
        <v>90</v>
      </c>
      <c r="BZ20" s="174">
        <f t="shared" si="2"/>
        <v>2.1899999999999995</v>
      </c>
      <c r="CA20" s="175"/>
      <c r="CB20" s="175"/>
      <c r="CC20" s="174">
        <v>17</v>
      </c>
      <c r="CD20" s="174">
        <f t="shared" si="3"/>
        <v>3</v>
      </c>
      <c r="CE20" s="21">
        <v>8.9795918367346947E-2</v>
      </c>
      <c r="CF20" s="14">
        <f t="shared" si="4"/>
        <v>3.7714285714285714E-2</v>
      </c>
      <c r="CG20" s="14">
        <f>SUM(CF$4:CF20)</f>
        <v>0.188</v>
      </c>
      <c r="CJ20" s="174">
        <v>17</v>
      </c>
      <c r="CK20" s="174">
        <f t="shared" si="5"/>
        <v>95</v>
      </c>
    </row>
    <row r="21" spans="1:89" ht="16.5" x14ac:dyDescent="0.2">
      <c r="J21" s="158">
        <v>17</v>
      </c>
      <c r="K21" s="71" t="s">
        <v>459</v>
      </c>
      <c r="L21" s="71">
        <v>90</v>
      </c>
      <c r="M21" s="159">
        <v>95</v>
      </c>
      <c r="N21" s="71">
        <v>112</v>
      </c>
      <c r="O21" s="159">
        <v>4</v>
      </c>
      <c r="P21" s="71"/>
      <c r="Q21" s="71"/>
      <c r="R21" s="71"/>
      <c r="S21" s="71">
        <v>1</v>
      </c>
      <c r="T21" s="14">
        <f>ROUND((SUM($N$5:$N21)-SUM($O$5:$O21)+SUM(P$5:P21))/B$4,2)</f>
        <v>24.07</v>
      </c>
      <c r="U21" s="14">
        <f t="shared" si="8"/>
        <v>3.6000000000000014</v>
      </c>
      <c r="V21" s="14">
        <f>ROUND((SUM($N$5:$N21)-SUM($O$5:$O21)+SUM(Q$5:Q21))/C$4,2)</f>
        <v>21.24</v>
      </c>
      <c r="W21" s="14">
        <f t="shared" si="9"/>
        <v>3.1799999999999997</v>
      </c>
      <c r="X21" s="14">
        <f>ROUND((SUM($N$5:$N21)-SUM($O$5:$O21)+SUM(R$5:R21))/D$4,2)</f>
        <v>17.190000000000001</v>
      </c>
      <c r="Y21" s="14">
        <f t="shared" si="10"/>
        <v>2.5700000000000021</v>
      </c>
      <c r="Z21" s="14">
        <f>ROUND((SUM($N$5:$N21)+SUM(R$5:R21))/E$4,2)</f>
        <v>16.329999999999998</v>
      </c>
      <c r="AA21" s="14">
        <f t="shared" si="7"/>
        <v>2.3299999999999983</v>
      </c>
      <c r="AB21" s="62"/>
      <c r="AC21" s="14">
        <f t="shared" si="6"/>
        <v>2.3299999999999983</v>
      </c>
      <c r="AD21" s="14">
        <f>SUM(AC$5:AC21)</f>
        <v>16.329999999999998</v>
      </c>
      <c r="AF21" s="69"/>
      <c r="AG21" s="69"/>
      <c r="AH21" s="69"/>
      <c r="AI21" s="69">
        <v>100</v>
      </c>
      <c r="AL21" s="159">
        <v>18</v>
      </c>
      <c r="AM21" s="159">
        <f t="shared" si="0"/>
        <v>3</v>
      </c>
      <c r="AN21" s="159">
        <f>INDEX($AA$5:$AA$34,AM19)</f>
        <v>0.42</v>
      </c>
      <c r="AW21" s="72">
        <v>18</v>
      </c>
      <c r="AX21" s="72">
        <v>3</v>
      </c>
      <c r="AY21" s="72">
        <v>63</v>
      </c>
      <c r="AZ21" s="70"/>
      <c r="BB21" s="72">
        <v>18</v>
      </c>
      <c r="BC21" s="72" t="s">
        <v>491</v>
      </c>
      <c r="BD21" s="74" t="s">
        <v>484</v>
      </c>
      <c r="BE21" s="72">
        <v>3</v>
      </c>
      <c r="BF21" s="72">
        <f>SUM(BE$4:BE21)</f>
        <v>45</v>
      </c>
      <c r="BG21" s="164">
        <v>125</v>
      </c>
      <c r="BH21" s="73">
        <v>132</v>
      </c>
      <c r="BI21" s="121">
        <v>17</v>
      </c>
      <c r="BJ21" s="121">
        <f t="shared" si="1"/>
        <v>120</v>
      </c>
      <c r="BR21" s="121">
        <v>18</v>
      </c>
      <c r="BS21" s="121">
        <v>130</v>
      </c>
      <c r="BT21" s="121">
        <v>135</v>
      </c>
      <c r="BU21" s="121" t="s">
        <v>491</v>
      </c>
      <c r="BX21" s="174">
        <v>90</v>
      </c>
      <c r="BY21" s="174">
        <v>95</v>
      </c>
      <c r="BZ21" s="174">
        <f t="shared" si="2"/>
        <v>2.3299999999999983</v>
      </c>
      <c r="CA21" s="175"/>
      <c r="CB21" s="175"/>
      <c r="CC21" s="174">
        <v>18</v>
      </c>
      <c r="CD21" s="174">
        <f t="shared" si="3"/>
        <v>3</v>
      </c>
      <c r="CE21" s="21">
        <v>9.3877551020408151E-2</v>
      </c>
      <c r="CF21" s="14">
        <f t="shared" si="4"/>
        <v>3.9428571428571424E-2</v>
      </c>
      <c r="CG21" s="14">
        <f>SUM(CF$4:CF21)</f>
        <v>0.22742857142857142</v>
      </c>
      <c r="CJ21" s="174">
        <v>18</v>
      </c>
      <c r="CK21" s="174">
        <f t="shared" si="5"/>
        <v>97</v>
      </c>
    </row>
    <row r="22" spans="1:89" ht="16.5" x14ac:dyDescent="0.2">
      <c r="J22" s="158">
        <v>18</v>
      </c>
      <c r="K22" s="71" t="s">
        <v>460</v>
      </c>
      <c r="L22" s="71">
        <v>95</v>
      </c>
      <c r="M22" s="159">
        <v>100</v>
      </c>
      <c r="N22" s="155">
        <v>120</v>
      </c>
      <c r="O22" s="159">
        <v>4</v>
      </c>
      <c r="P22" s="71"/>
      <c r="Q22" s="71"/>
      <c r="R22" s="71"/>
      <c r="S22" s="71">
        <v>1</v>
      </c>
      <c r="T22" s="14">
        <f>ROUND((SUM($N$5:$N22)-SUM($O$5:$O22)+SUM(P$5:P22))/B$4,2)</f>
        <v>27.93</v>
      </c>
      <c r="U22" s="14">
        <f t="shared" si="8"/>
        <v>3.8599999999999994</v>
      </c>
      <c r="V22" s="14">
        <f>ROUND((SUM($N$5:$N22)-SUM($O$5:$O22)+SUM(Q$5:Q22))/C$4,2)</f>
        <v>24.65</v>
      </c>
      <c r="W22" s="14">
        <f t="shared" si="9"/>
        <v>3.41</v>
      </c>
      <c r="X22" s="14">
        <f>ROUND((SUM($N$5:$N22)-SUM($O$5:$O22)+SUM(R$5:R22))/D$4,2)</f>
        <v>19.95</v>
      </c>
      <c r="Y22" s="14">
        <f t="shared" si="10"/>
        <v>2.759999999999998</v>
      </c>
      <c r="Z22" s="14">
        <f>ROUND((SUM($N$5:$N22)+SUM(R$5:R22))/E$4,2)</f>
        <v>18.829999999999998</v>
      </c>
      <c r="AA22" s="14">
        <f t="shared" si="7"/>
        <v>2.5</v>
      </c>
      <c r="AB22" s="62"/>
      <c r="AC22" s="14">
        <f t="shared" si="6"/>
        <v>2.5</v>
      </c>
      <c r="AD22" s="14">
        <f>SUM(AC$5:AC22)</f>
        <v>18.829999999999998</v>
      </c>
      <c r="AF22" s="69"/>
      <c r="AG22" s="69"/>
      <c r="AH22" s="69"/>
      <c r="AI22" s="69"/>
      <c r="AL22" s="159">
        <v>19</v>
      </c>
      <c r="AM22" s="159">
        <f t="shared" si="0"/>
        <v>3</v>
      </c>
      <c r="AN22" s="161"/>
      <c r="AW22" s="72">
        <v>19</v>
      </c>
      <c r="AX22" s="72">
        <v>2</v>
      </c>
      <c r="AY22" s="72">
        <v>65</v>
      </c>
      <c r="AZ22" s="70"/>
      <c r="BB22" s="72">
        <v>19</v>
      </c>
      <c r="BC22" s="72" t="s">
        <v>519</v>
      </c>
      <c r="BD22" s="74" t="s">
        <v>485</v>
      </c>
      <c r="BE22" s="72">
        <v>3</v>
      </c>
      <c r="BF22" s="72">
        <f>SUM(BE$4:BE22)</f>
        <v>48</v>
      </c>
      <c r="BG22" s="164">
        <v>132</v>
      </c>
      <c r="BH22" s="73">
        <v>140</v>
      </c>
      <c r="BI22" s="121">
        <v>18</v>
      </c>
      <c r="BJ22" s="121">
        <f t="shared" si="1"/>
        <v>130</v>
      </c>
      <c r="BR22" s="121">
        <v>19</v>
      </c>
      <c r="BS22" s="121">
        <v>135</v>
      </c>
      <c r="BT22" s="121">
        <v>140</v>
      </c>
      <c r="BU22" s="121" t="s">
        <v>535</v>
      </c>
      <c r="BX22" s="174">
        <v>95</v>
      </c>
      <c r="BY22" s="174">
        <v>100</v>
      </c>
      <c r="BZ22" s="174">
        <f t="shared" si="2"/>
        <v>2.5</v>
      </c>
      <c r="CA22" s="175"/>
      <c r="CB22" s="175"/>
      <c r="CC22" s="174">
        <v>19</v>
      </c>
      <c r="CD22" s="174">
        <f t="shared" si="3"/>
        <v>3</v>
      </c>
      <c r="CE22" s="21">
        <v>9.7959183673469383E-2</v>
      </c>
      <c r="CF22" s="14">
        <f t="shared" si="4"/>
        <v>4.1142857142857141E-2</v>
      </c>
      <c r="CG22" s="14">
        <f>SUM(CF$4:CF22)</f>
        <v>0.26857142857142857</v>
      </c>
      <c r="CJ22" s="174">
        <v>19</v>
      </c>
      <c r="CK22" s="174">
        <f t="shared" si="5"/>
        <v>99</v>
      </c>
    </row>
    <row r="23" spans="1:89" ht="16.5" x14ac:dyDescent="0.2">
      <c r="J23" s="158">
        <v>19</v>
      </c>
      <c r="K23" s="62" t="s">
        <v>462</v>
      </c>
      <c r="L23" s="71">
        <v>100</v>
      </c>
      <c r="M23" s="159">
        <v>105</v>
      </c>
      <c r="N23" s="155">
        <v>125</v>
      </c>
      <c r="O23" s="159">
        <v>4</v>
      </c>
      <c r="P23" s="71"/>
      <c r="Q23" s="71"/>
      <c r="R23" s="71"/>
      <c r="S23" s="71">
        <v>1</v>
      </c>
      <c r="T23" s="14">
        <f>ROUND((SUM($N$5:$N23)-SUM($O$5:$O23)+SUM(P$5:P23))/B$4,2)</f>
        <v>31.97</v>
      </c>
      <c r="U23" s="14">
        <f t="shared" si="8"/>
        <v>4.0399999999999991</v>
      </c>
      <c r="V23" s="14">
        <f>ROUND((SUM($N$5:$N23)-SUM($O$5:$O23)+SUM(Q$5:Q23))/C$4,2)</f>
        <v>28.21</v>
      </c>
      <c r="W23" s="14">
        <f t="shared" si="9"/>
        <v>3.5600000000000023</v>
      </c>
      <c r="X23" s="14">
        <f>ROUND((SUM($N$5:$N23)-SUM($O$5:$O23)+SUM(R$5:R23))/D$4,2)</f>
        <v>22.83</v>
      </c>
      <c r="Y23" s="14">
        <f t="shared" si="10"/>
        <v>2.879999999999999</v>
      </c>
      <c r="Z23" s="14">
        <f>ROUND((SUM($N$5:$N23)+SUM(R$5:R23))/E$4,2)</f>
        <v>21.44</v>
      </c>
      <c r="AA23" s="14">
        <f t="shared" si="7"/>
        <v>2.610000000000003</v>
      </c>
      <c r="AB23" s="62"/>
      <c r="AC23" s="14">
        <f t="shared" si="6"/>
        <v>2.610000000000003</v>
      </c>
      <c r="AD23" s="14">
        <f>SUM(AC$5:AC23)</f>
        <v>21.44</v>
      </c>
      <c r="AF23" s="69"/>
      <c r="AG23" s="69"/>
      <c r="AH23" s="69"/>
      <c r="AI23" s="69"/>
      <c r="AL23" s="159">
        <v>20</v>
      </c>
      <c r="AM23" s="159">
        <f t="shared" si="0"/>
        <v>3</v>
      </c>
      <c r="AN23" s="161"/>
      <c r="AW23" s="72">
        <v>20</v>
      </c>
      <c r="AX23" s="72">
        <v>3</v>
      </c>
      <c r="AY23" s="72">
        <v>68</v>
      </c>
      <c r="AZ23" s="70"/>
      <c r="BB23" s="72">
        <v>20</v>
      </c>
      <c r="BC23" s="72" t="s">
        <v>520</v>
      </c>
      <c r="BD23" s="74" t="s">
        <v>485</v>
      </c>
      <c r="BE23" s="72">
        <v>4</v>
      </c>
      <c r="BF23" s="72">
        <f>SUM(BE$4:BE23)</f>
        <v>52</v>
      </c>
      <c r="BG23" s="164">
        <v>140</v>
      </c>
      <c r="BH23" s="73">
        <v>150</v>
      </c>
      <c r="BI23" s="121">
        <v>19</v>
      </c>
      <c r="BJ23" s="121">
        <f t="shared" si="1"/>
        <v>135</v>
      </c>
      <c r="BR23" s="121">
        <v>20</v>
      </c>
      <c r="BS23" s="121">
        <v>140</v>
      </c>
      <c r="BT23" s="121">
        <v>150</v>
      </c>
      <c r="BU23" s="121" t="s">
        <v>960</v>
      </c>
      <c r="BX23" s="174">
        <v>100</v>
      </c>
      <c r="BY23" s="174">
        <v>105</v>
      </c>
      <c r="BZ23" s="174">
        <f t="shared" si="2"/>
        <v>2.610000000000003</v>
      </c>
      <c r="CA23" s="175"/>
      <c r="CB23" s="175"/>
      <c r="CC23" s="174">
        <v>20</v>
      </c>
      <c r="CD23" s="174">
        <f t="shared" si="3"/>
        <v>3</v>
      </c>
      <c r="CE23" s="21">
        <v>0.10204081632653061</v>
      </c>
      <c r="CF23" s="14">
        <f t="shared" si="4"/>
        <v>4.2857142857142858E-2</v>
      </c>
      <c r="CG23" s="14">
        <f>SUM(CF$4:CF23)</f>
        <v>0.31142857142857144</v>
      </c>
      <c r="CJ23" s="174">
        <v>20</v>
      </c>
      <c r="CK23" s="174">
        <f t="shared" si="5"/>
        <v>101</v>
      </c>
    </row>
    <row r="24" spans="1:89" ht="16.5" x14ac:dyDescent="0.2">
      <c r="J24" s="158">
        <v>20</v>
      </c>
      <c r="K24" s="62" t="s">
        <v>463</v>
      </c>
      <c r="L24" s="71">
        <v>105</v>
      </c>
      <c r="M24" s="159">
        <v>110</v>
      </c>
      <c r="N24" s="155">
        <v>130</v>
      </c>
      <c r="O24" s="159">
        <v>4</v>
      </c>
      <c r="P24" s="71"/>
      <c r="Q24" s="71"/>
      <c r="R24" s="71"/>
      <c r="S24" s="71">
        <v>1</v>
      </c>
      <c r="T24" s="14">
        <f>ROUND((SUM($N$5:$N24)-SUM($O$5:$O24)+SUM(P$5:P24))/B$4,2)</f>
        <v>36.17</v>
      </c>
      <c r="U24" s="14">
        <f t="shared" si="8"/>
        <v>4.2000000000000028</v>
      </c>
      <c r="V24" s="14">
        <f>ROUND((SUM($N$5:$N24)-SUM($O$5:$O24)+SUM(Q$5:Q24))/C$4,2)</f>
        <v>31.91</v>
      </c>
      <c r="W24" s="14">
        <f t="shared" si="9"/>
        <v>3.6999999999999993</v>
      </c>
      <c r="X24" s="14">
        <f>ROUND((SUM($N$5:$N24)-SUM($O$5:$O24)+SUM(R$5:R24))/D$4,2)</f>
        <v>25.83</v>
      </c>
      <c r="Y24" s="14">
        <f t="shared" si="10"/>
        <v>3</v>
      </c>
      <c r="Z24" s="14">
        <f>ROUND((SUM($N$5:$N24)+SUM(R$5:R24))/E$4,2)</f>
        <v>24.15</v>
      </c>
      <c r="AA24" s="14">
        <f t="shared" si="7"/>
        <v>2.7099999999999973</v>
      </c>
      <c r="AB24" s="62"/>
      <c r="AC24" s="14">
        <f t="shared" si="6"/>
        <v>2.7099999999999973</v>
      </c>
      <c r="AD24" s="14">
        <f>SUM(AC$5:AC24)</f>
        <v>24.15</v>
      </c>
      <c r="AL24" s="159">
        <v>21</v>
      </c>
      <c r="AM24" s="159">
        <f t="shared" si="0"/>
        <v>3</v>
      </c>
      <c r="AN24" s="161"/>
      <c r="AW24" s="72">
        <v>21</v>
      </c>
      <c r="AX24" s="72">
        <v>2</v>
      </c>
      <c r="AY24" s="72">
        <v>70</v>
      </c>
      <c r="AZ24" s="70"/>
      <c r="BX24" s="174">
        <v>105</v>
      </c>
      <c r="BY24" s="174">
        <v>110</v>
      </c>
      <c r="BZ24" s="174">
        <f t="shared" si="2"/>
        <v>2.7099999999999973</v>
      </c>
      <c r="CA24" s="175"/>
      <c r="CB24" s="175"/>
      <c r="CC24" s="174">
        <v>21</v>
      </c>
      <c r="CD24" s="174">
        <f t="shared" si="3"/>
        <v>3</v>
      </c>
      <c r="CE24" s="21">
        <v>0.10612244897959185</v>
      </c>
      <c r="CF24" s="14">
        <f t="shared" si="4"/>
        <v>4.4571428571428574E-2</v>
      </c>
      <c r="CG24" s="14">
        <f>SUM(CF$4:CF24)</f>
        <v>0.35600000000000004</v>
      </c>
      <c r="CJ24" s="174">
        <v>21</v>
      </c>
      <c r="CK24" s="174">
        <f t="shared" si="5"/>
        <v>103</v>
      </c>
    </row>
    <row r="25" spans="1:89" ht="16.5" x14ac:dyDescent="0.2">
      <c r="J25" s="158">
        <v>21</v>
      </c>
      <c r="K25" s="71" t="s">
        <v>464</v>
      </c>
      <c r="L25" s="71">
        <v>110</v>
      </c>
      <c r="M25" s="159">
        <v>115</v>
      </c>
      <c r="N25" s="155">
        <v>137</v>
      </c>
      <c r="O25" s="159">
        <v>4</v>
      </c>
      <c r="P25" s="71"/>
      <c r="Q25" s="71"/>
      <c r="R25" s="71"/>
      <c r="S25" s="71">
        <v>1</v>
      </c>
      <c r="T25" s="14">
        <f>ROUND((SUM($N$5:$N25)-SUM($O$5:$O25)+SUM(P$5:P25))/B$4,2)</f>
        <v>40.6</v>
      </c>
      <c r="U25" s="14">
        <f t="shared" si="8"/>
        <v>4.43</v>
      </c>
      <c r="V25" s="14">
        <f>ROUND((SUM($N$5:$N25)-SUM($O$5:$O25)+SUM(Q$5:Q25))/C$4,2)</f>
        <v>35.82</v>
      </c>
      <c r="W25" s="14">
        <f t="shared" si="9"/>
        <v>3.91</v>
      </c>
      <c r="X25" s="14">
        <f>ROUND((SUM($N$5:$N25)-SUM($O$5:$O25)+SUM(R$5:R25))/D$4,2)</f>
        <v>29</v>
      </c>
      <c r="Y25" s="14">
        <f t="shared" si="10"/>
        <v>3.1700000000000017</v>
      </c>
      <c r="Z25" s="14">
        <f>ROUND((SUM($N$5:$N25)+SUM(R$5:R25))/E$4,2)</f>
        <v>27</v>
      </c>
      <c r="AA25" s="14">
        <f t="shared" si="7"/>
        <v>2.8500000000000014</v>
      </c>
      <c r="AB25" s="62"/>
      <c r="AC25" s="14">
        <f t="shared" si="6"/>
        <v>2.8500000000000014</v>
      </c>
      <c r="AD25" s="14">
        <f>SUM(AC$5:AC25)</f>
        <v>27</v>
      </c>
      <c r="AL25" s="159">
        <v>22</v>
      </c>
      <c r="AM25" s="159">
        <f t="shared" si="0"/>
        <v>3</v>
      </c>
      <c r="AN25" s="161"/>
      <c r="AW25" s="72">
        <v>22</v>
      </c>
      <c r="AX25" s="72">
        <v>3</v>
      </c>
      <c r="AY25" s="72">
        <v>73</v>
      </c>
      <c r="AZ25" s="70"/>
      <c r="BX25" s="174">
        <v>110</v>
      </c>
      <c r="BY25" s="174">
        <v>115</v>
      </c>
      <c r="BZ25" s="174">
        <f t="shared" si="2"/>
        <v>2.8500000000000014</v>
      </c>
      <c r="CA25" s="175"/>
      <c r="CB25" s="175"/>
      <c r="CC25" s="174">
        <v>22</v>
      </c>
      <c r="CD25" s="174">
        <f t="shared" si="3"/>
        <v>3</v>
      </c>
      <c r="CE25" s="21">
        <v>0.11020408163265306</v>
      </c>
      <c r="CF25" s="14">
        <f t="shared" si="4"/>
        <v>4.6285714285714284E-2</v>
      </c>
      <c r="CG25" s="14">
        <f>SUM(CF$4:CF25)</f>
        <v>0.4022857142857143</v>
      </c>
      <c r="CJ25" s="174">
        <v>22</v>
      </c>
      <c r="CK25" s="174">
        <f t="shared" si="5"/>
        <v>105</v>
      </c>
    </row>
    <row r="26" spans="1:89" ht="16.5" x14ac:dyDescent="0.2">
      <c r="J26" s="158">
        <v>22</v>
      </c>
      <c r="K26" s="71" t="s">
        <v>465</v>
      </c>
      <c r="L26" s="71">
        <v>115</v>
      </c>
      <c r="M26" s="159">
        <v>120</v>
      </c>
      <c r="N26" s="155">
        <v>144</v>
      </c>
      <c r="O26" s="159">
        <v>4</v>
      </c>
      <c r="P26" s="71"/>
      <c r="Q26" s="71"/>
      <c r="R26" s="71"/>
      <c r="S26" s="71">
        <v>1</v>
      </c>
      <c r="T26" s="14">
        <f>ROUND((SUM($N$5:$N26)-SUM($O$5:$O26)+SUM(P$5:P26))/B$4,2)</f>
        <v>45.27</v>
      </c>
      <c r="U26" s="14">
        <f t="shared" si="8"/>
        <v>4.6700000000000017</v>
      </c>
      <c r="V26" s="14">
        <f>ROUND((SUM($N$5:$N26)-SUM($O$5:$O26)+SUM(Q$5:Q26))/C$4,2)</f>
        <v>39.94</v>
      </c>
      <c r="W26" s="14">
        <f t="shared" si="9"/>
        <v>4.1199999999999974</v>
      </c>
      <c r="X26" s="14">
        <f>ROUND((SUM($N$5:$N26)-SUM($O$5:$O26)+SUM(R$5:R26))/D$4,2)</f>
        <v>32.33</v>
      </c>
      <c r="Y26" s="14">
        <f t="shared" si="10"/>
        <v>3.3299999999999983</v>
      </c>
      <c r="Z26" s="14">
        <f>ROUND((SUM($N$5:$N26)+SUM(R$5:R26))/E$4,2)</f>
        <v>30</v>
      </c>
      <c r="AA26" s="14">
        <f t="shared" si="7"/>
        <v>3</v>
      </c>
      <c r="AB26" s="62"/>
      <c r="AC26" s="14">
        <f t="shared" si="6"/>
        <v>3</v>
      </c>
      <c r="AD26" s="14">
        <f>SUM(AC$5:AC26)</f>
        <v>30</v>
      </c>
      <c r="AL26" s="159">
        <v>23</v>
      </c>
      <c r="AM26" s="159">
        <f t="shared" si="0"/>
        <v>3</v>
      </c>
      <c r="AN26" s="161"/>
      <c r="AW26" s="72">
        <v>23</v>
      </c>
      <c r="AX26" s="72">
        <v>2</v>
      </c>
      <c r="AY26" s="72">
        <v>75</v>
      </c>
      <c r="AZ26" s="70"/>
      <c r="BX26" s="174">
        <v>115</v>
      </c>
      <c r="BY26" s="174">
        <v>120</v>
      </c>
      <c r="BZ26" s="174">
        <f t="shared" si="2"/>
        <v>3</v>
      </c>
      <c r="CA26" s="175"/>
      <c r="CB26" s="175"/>
      <c r="CC26" s="174">
        <v>23</v>
      </c>
      <c r="CD26" s="174">
        <f t="shared" si="3"/>
        <v>3</v>
      </c>
      <c r="CE26" s="21">
        <v>0.11428571428571428</v>
      </c>
      <c r="CF26" s="14">
        <f t="shared" si="4"/>
        <v>4.7999999999999994E-2</v>
      </c>
      <c r="CG26" s="14">
        <f>SUM(CF$4:CF26)</f>
        <v>0.45028571428571429</v>
      </c>
      <c r="CJ26" s="174">
        <v>23</v>
      </c>
      <c r="CK26" s="174">
        <f t="shared" si="5"/>
        <v>107</v>
      </c>
    </row>
    <row r="27" spans="1:89" ht="16.5" x14ac:dyDescent="0.2">
      <c r="J27" s="158">
        <v>23</v>
      </c>
      <c r="K27" s="71" t="s">
        <v>466</v>
      </c>
      <c r="L27" s="71">
        <v>120</v>
      </c>
      <c r="M27" s="159">
        <v>125</v>
      </c>
      <c r="N27" s="155">
        <v>160</v>
      </c>
      <c r="O27" s="159">
        <v>4</v>
      </c>
      <c r="P27" s="71"/>
      <c r="Q27" s="71"/>
      <c r="R27" s="71"/>
      <c r="S27" s="71">
        <v>1</v>
      </c>
      <c r="T27" s="14">
        <f>ROUND((SUM($N$5:$N27)-SUM($O$5:$O27)+SUM(P$5:P27))/B$4,2)</f>
        <v>50.47</v>
      </c>
      <c r="U27" s="14">
        <f t="shared" si="8"/>
        <v>5.1999999999999957</v>
      </c>
      <c r="V27" s="14">
        <f>ROUND((SUM($N$5:$N27)-SUM($O$5:$O27)+SUM(Q$5:Q27))/C$4,2)</f>
        <v>44.53</v>
      </c>
      <c r="W27" s="14">
        <f t="shared" si="9"/>
        <v>4.5900000000000034</v>
      </c>
      <c r="X27" s="14">
        <f>ROUND((SUM($N$5:$N27)-SUM($O$5:$O27)+SUM(R$5:R27))/D$4,2)</f>
        <v>36.049999999999997</v>
      </c>
      <c r="Y27" s="14">
        <f t="shared" si="10"/>
        <v>3.7199999999999989</v>
      </c>
      <c r="Z27" s="14">
        <f>ROUND((SUM($N$5:$N27)+SUM(R$5:R27))/E$4,2)</f>
        <v>33.33</v>
      </c>
      <c r="AA27" s="14">
        <f t="shared" si="7"/>
        <v>3.3299999999999983</v>
      </c>
      <c r="AB27" s="62"/>
      <c r="AC27" s="14">
        <f t="shared" si="6"/>
        <v>3.3299999999999983</v>
      </c>
      <c r="AD27" s="14">
        <f>SUM(AC$5:AC27)</f>
        <v>33.33</v>
      </c>
      <c r="AL27" s="159">
        <v>24</v>
      </c>
      <c r="AM27" s="159">
        <f t="shared" si="0"/>
        <v>3</v>
      </c>
      <c r="AN27" s="161"/>
      <c r="AW27" s="72">
        <v>24</v>
      </c>
      <c r="AX27" s="72">
        <v>3</v>
      </c>
      <c r="AY27" s="72">
        <v>78</v>
      </c>
      <c r="AZ27" s="70"/>
      <c r="BX27" s="174">
        <v>120</v>
      </c>
      <c r="BY27" s="174">
        <v>125</v>
      </c>
      <c r="BZ27" s="174">
        <f t="shared" si="2"/>
        <v>3.3299999999999983</v>
      </c>
      <c r="CA27" s="175"/>
      <c r="CB27" s="175"/>
      <c r="CC27" s="174">
        <v>24</v>
      </c>
      <c r="CD27" s="174">
        <f t="shared" si="3"/>
        <v>3</v>
      </c>
      <c r="CE27" s="21">
        <v>0.1183673469387755</v>
      </c>
      <c r="CF27" s="14">
        <f t="shared" si="4"/>
        <v>4.9714285714285711E-2</v>
      </c>
      <c r="CG27" s="14">
        <f>SUM(CF$4:CF27)</f>
        <v>0.5</v>
      </c>
      <c r="CJ27" s="174">
        <v>24</v>
      </c>
      <c r="CK27" s="174">
        <f t="shared" si="5"/>
        <v>108</v>
      </c>
    </row>
    <row r="28" spans="1:89" ht="16.5" x14ac:dyDescent="0.2">
      <c r="J28" s="158">
        <v>24</v>
      </c>
      <c r="K28" s="71" t="s">
        <v>467</v>
      </c>
      <c r="L28" s="71">
        <v>125</v>
      </c>
      <c r="M28" s="159">
        <v>130</v>
      </c>
      <c r="N28" s="155">
        <v>180</v>
      </c>
      <c r="O28" s="159">
        <v>4</v>
      </c>
      <c r="P28" s="71"/>
      <c r="Q28" s="71"/>
      <c r="R28" s="71"/>
      <c r="S28" s="71">
        <v>1</v>
      </c>
      <c r="T28" s="14">
        <f>ROUND((SUM($N$5:$N28)-SUM($O$5:$O28)+SUM(P$5:P28))/B$4,2)</f>
        <v>56.33</v>
      </c>
      <c r="U28" s="14">
        <f t="shared" si="8"/>
        <v>5.8599999999999994</v>
      </c>
      <c r="V28" s="14">
        <f>ROUND((SUM($N$5:$N28)-SUM($O$5:$O28)+SUM(Q$5:Q28))/C$4,2)</f>
        <v>49.71</v>
      </c>
      <c r="W28" s="14">
        <f t="shared" si="9"/>
        <v>5.18</v>
      </c>
      <c r="X28" s="14">
        <f>ROUND((SUM($N$5:$N28)-SUM($O$5:$O28)+SUM(R$5:R28))/D$4,2)</f>
        <v>40.24</v>
      </c>
      <c r="Y28" s="14">
        <f t="shared" si="10"/>
        <v>4.1900000000000048</v>
      </c>
      <c r="Z28" s="14">
        <f>ROUND((SUM($N$5:$N28)+SUM(R$5:R28))/E$4,2)</f>
        <v>37.08</v>
      </c>
      <c r="AA28" s="14">
        <f t="shared" si="7"/>
        <v>3.75</v>
      </c>
      <c r="AB28" s="62"/>
      <c r="AC28" s="14">
        <f t="shared" si="6"/>
        <v>3.75</v>
      </c>
      <c r="AD28" s="14">
        <f>SUM(AC$5:AC28)</f>
        <v>37.08</v>
      </c>
      <c r="AL28" s="159">
        <v>25</v>
      </c>
      <c r="AM28" s="159">
        <f t="shared" si="0"/>
        <v>3</v>
      </c>
      <c r="AN28" s="161"/>
      <c r="AW28" s="72">
        <v>25</v>
      </c>
      <c r="AX28" s="72">
        <v>2</v>
      </c>
      <c r="AY28" s="72">
        <v>80</v>
      </c>
      <c r="AZ28" s="70"/>
      <c r="BX28" s="174">
        <v>125</v>
      </c>
      <c r="BY28" s="174">
        <v>130</v>
      </c>
      <c r="BZ28" s="174">
        <f t="shared" si="2"/>
        <v>3.75</v>
      </c>
      <c r="CA28" s="175"/>
      <c r="CB28" s="175"/>
      <c r="CC28" s="174">
        <v>25</v>
      </c>
      <c r="CD28" s="174">
        <f t="shared" si="3"/>
        <v>4</v>
      </c>
      <c r="CE28" s="21">
        <v>0.18181818181818182</v>
      </c>
      <c r="CF28" s="14">
        <f t="shared" si="4"/>
        <v>0.12909090909090909</v>
      </c>
      <c r="CG28" s="14">
        <f>SUM(CF$4:CF28)</f>
        <v>0.62909090909090915</v>
      </c>
      <c r="CJ28" s="174">
        <v>25</v>
      </c>
      <c r="CK28" s="174">
        <f t="shared" si="5"/>
        <v>110</v>
      </c>
    </row>
    <row r="29" spans="1:89" ht="16.5" x14ac:dyDescent="0.2">
      <c r="J29" s="158">
        <v>25</v>
      </c>
      <c r="K29" s="71" t="s">
        <v>468</v>
      </c>
      <c r="L29" s="71">
        <v>130</v>
      </c>
      <c r="M29" s="159">
        <v>135</v>
      </c>
      <c r="N29" s="155">
        <v>210</v>
      </c>
      <c r="O29" s="159">
        <v>4</v>
      </c>
      <c r="P29" s="71"/>
      <c r="Q29" s="71"/>
      <c r="R29" s="71"/>
      <c r="S29" s="71">
        <v>1</v>
      </c>
      <c r="T29" s="14">
        <f>ROUND((SUM($N$5:$N29)-SUM($O$5:$O29)+SUM(P$5:P29))/B$4,2)</f>
        <v>63.2</v>
      </c>
      <c r="U29" s="14">
        <f t="shared" si="8"/>
        <v>6.8700000000000045</v>
      </c>
      <c r="V29" s="14">
        <f>ROUND((SUM($N$5:$N29)-SUM($O$5:$O29)+SUM(Q$5:Q29))/C$4,2)</f>
        <v>55.76</v>
      </c>
      <c r="W29" s="14">
        <f t="shared" si="9"/>
        <v>6.0499999999999972</v>
      </c>
      <c r="X29" s="14">
        <f>ROUND((SUM($N$5:$N29)-SUM($O$5:$O29)+SUM(R$5:R29))/D$4,2)</f>
        <v>45.14</v>
      </c>
      <c r="Y29" s="14">
        <f t="shared" si="10"/>
        <v>4.8999999999999986</v>
      </c>
      <c r="Z29" s="14">
        <f>ROUND((SUM($N$5:$N29)+SUM(R$5:R29))/E$4,2)</f>
        <v>41.46</v>
      </c>
      <c r="AA29" s="14">
        <f t="shared" si="7"/>
        <v>4.3800000000000026</v>
      </c>
      <c r="AB29" s="62"/>
      <c r="AC29" s="14">
        <f t="shared" si="6"/>
        <v>4.3800000000000026</v>
      </c>
      <c r="AD29" s="14">
        <f>SUM(AC$5:AC29)</f>
        <v>41.46</v>
      </c>
      <c r="AL29" s="159">
        <v>26</v>
      </c>
      <c r="AM29" s="159">
        <f t="shared" si="0"/>
        <v>4</v>
      </c>
      <c r="AN29" s="159">
        <f>INDEX($U$5:$U$34,AM29)</f>
        <v>0.60000000000000009</v>
      </c>
      <c r="AW29" s="72">
        <v>26</v>
      </c>
      <c r="AX29" s="72">
        <v>3</v>
      </c>
      <c r="AY29" s="72">
        <v>83</v>
      </c>
      <c r="AZ29" s="70"/>
      <c r="BX29" s="174">
        <v>130</v>
      </c>
      <c r="BY29" s="174">
        <v>135</v>
      </c>
      <c r="BZ29" s="174">
        <f t="shared" si="2"/>
        <v>4.3800000000000026</v>
      </c>
      <c r="CA29" s="175"/>
      <c r="CB29" s="175"/>
      <c r="CC29" s="174">
        <v>26</v>
      </c>
      <c r="CD29" s="174">
        <f t="shared" si="3"/>
        <v>4</v>
      </c>
      <c r="CE29" s="21">
        <v>0.19090909090909092</v>
      </c>
      <c r="CF29" s="14">
        <f t="shared" si="4"/>
        <v>0.13554545454545455</v>
      </c>
      <c r="CG29" s="14">
        <f>SUM(CF$4:CF29)</f>
        <v>0.76463636363636367</v>
      </c>
      <c r="CJ29" s="174">
        <v>26</v>
      </c>
      <c r="CK29" s="174">
        <f t="shared" si="5"/>
        <v>112</v>
      </c>
    </row>
    <row r="30" spans="1:89" ht="16.5" x14ac:dyDescent="0.2">
      <c r="J30" s="158">
        <v>26</v>
      </c>
      <c r="K30" s="71" t="s">
        <v>469</v>
      </c>
      <c r="L30" s="71">
        <v>135</v>
      </c>
      <c r="M30" s="159">
        <v>140</v>
      </c>
      <c r="N30" s="155">
        <v>250</v>
      </c>
      <c r="O30" s="159">
        <v>4</v>
      </c>
      <c r="P30" s="71"/>
      <c r="Q30" s="71"/>
      <c r="R30" s="71"/>
      <c r="S30" s="71">
        <v>1</v>
      </c>
      <c r="T30" s="14">
        <f>ROUND((SUM($N$5:$N30)-SUM($O$5:$O30)+SUM(P$5:P30))/B$4,2)</f>
        <v>71.400000000000006</v>
      </c>
      <c r="U30" s="14">
        <f t="shared" si="8"/>
        <v>8.2000000000000028</v>
      </c>
      <c r="V30" s="14">
        <f>ROUND((SUM($N$5:$N30)-SUM($O$5:$O30)+SUM(Q$5:Q30))/C$4,2)</f>
        <v>63</v>
      </c>
      <c r="W30" s="14">
        <f t="shared" si="9"/>
        <v>7.240000000000002</v>
      </c>
      <c r="X30" s="14">
        <f>ROUND((SUM($N$5:$N30)-SUM($O$5:$O30)+SUM(R$5:R30))/D$4,2)</f>
        <v>51</v>
      </c>
      <c r="Y30" s="14">
        <f t="shared" si="10"/>
        <v>5.8599999999999994</v>
      </c>
      <c r="Z30" s="14">
        <f>ROUND((SUM($N$5:$N30)+SUM(R$5:R30))/E$4,2)</f>
        <v>46.67</v>
      </c>
      <c r="AA30" s="14">
        <f t="shared" si="7"/>
        <v>5.2100000000000009</v>
      </c>
      <c r="AB30" s="62"/>
      <c r="AC30" s="14">
        <f t="shared" si="6"/>
        <v>5.2100000000000009</v>
      </c>
      <c r="AD30" s="14">
        <f>SUM(AC$5:AC30)</f>
        <v>46.67</v>
      </c>
      <c r="AL30" s="159">
        <v>27</v>
      </c>
      <c r="AM30" s="159">
        <f t="shared" si="0"/>
        <v>4</v>
      </c>
      <c r="AN30" s="159">
        <f>INDEX($W$5:$W$34,AM29)</f>
        <v>0.52999999999999992</v>
      </c>
      <c r="AW30" s="72">
        <v>27</v>
      </c>
      <c r="AX30" s="72">
        <v>2</v>
      </c>
      <c r="AY30" s="72">
        <v>85</v>
      </c>
      <c r="AZ30" s="70"/>
      <c r="BX30" s="174">
        <v>135</v>
      </c>
      <c r="BY30" s="174">
        <v>140</v>
      </c>
      <c r="BZ30" s="174">
        <f t="shared" si="2"/>
        <v>5.2100000000000009</v>
      </c>
      <c r="CA30" s="175"/>
      <c r="CB30" s="175"/>
      <c r="CC30" s="174">
        <v>27</v>
      </c>
      <c r="CD30" s="174">
        <f t="shared" si="3"/>
        <v>4</v>
      </c>
      <c r="CE30" s="21">
        <v>0.2</v>
      </c>
      <c r="CF30" s="14">
        <f t="shared" si="4"/>
        <v>0.14199999999999999</v>
      </c>
      <c r="CG30" s="14">
        <f>SUM(CF$4:CF30)</f>
        <v>0.90663636363636368</v>
      </c>
      <c r="CJ30" s="174">
        <v>27</v>
      </c>
      <c r="CK30" s="174">
        <f t="shared" si="5"/>
        <v>113</v>
      </c>
    </row>
    <row r="31" spans="1:89" ht="16.5" x14ac:dyDescent="0.2">
      <c r="J31" s="158">
        <v>27</v>
      </c>
      <c r="K31" s="71" t="s">
        <v>470</v>
      </c>
      <c r="L31" s="71">
        <v>140</v>
      </c>
      <c r="M31" s="159">
        <v>145</v>
      </c>
      <c r="N31" s="155">
        <v>300</v>
      </c>
      <c r="O31" s="159">
        <v>4</v>
      </c>
      <c r="P31" s="71"/>
      <c r="Q31" s="71"/>
      <c r="R31" s="71"/>
      <c r="S31" s="71">
        <v>1</v>
      </c>
      <c r="T31" s="14">
        <f>ROUND((SUM($N$5:$N31)-SUM($O$5:$O31)+SUM(P$5:P31))/B$4,2)</f>
        <v>81.27</v>
      </c>
      <c r="U31" s="14">
        <f t="shared" si="8"/>
        <v>9.8699999999999903</v>
      </c>
      <c r="V31" s="14">
        <f>ROUND((SUM($N$5:$N31)-SUM($O$5:$O31)+SUM(Q$5:Q31))/C$4,2)</f>
        <v>71.709999999999994</v>
      </c>
      <c r="W31" s="14">
        <f t="shared" si="9"/>
        <v>8.7099999999999937</v>
      </c>
      <c r="X31" s="14">
        <f>ROUND((SUM($N$5:$N31)-SUM($O$5:$O31)+SUM(R$5:R31))/D$4,2)</f>
        <v>58.05</v>
      </c>
      <c r="Y31" s="14">
        <f t="shared" si="10"/>
        <v>7.0499999999999972</v>
      </c>
      <c r="Z31" s="14">
        <f>ROUND((SUM($N$5:$N31)+SUM(R$5:R31))/E$4,2)</f>
        <v>52.92</v>
      </c>
      <c r="AA31" s="14">
        <f t="shared" si="7"/>
        <v>6.25</v>
      </c>
      <c r="AB31" s="62"/>
      <c r="AC31" s="14">
        <f t="shared" si="6"/>
        <v>6.25</v>
      </c>
      <c r="AD31" s="14">
        <f>SUM(AC$5:AC31)</f>
        <v>52.92</v>
      </c>
      <c r="AL31" s="159">
        <v>28</v>
      </c>
      <c r="AM31" s="159">
        <f t="shared" si="0"/>
        <v>4</v>
      </c>
      <c r="AN31" s="159">
        <f>INDEX($AA$5:$AA$34,AM29)</f>
        <v>0.71</v>
      </c>
      <c r="AW31" s="72">
        <v>28</v>
      </c>
      <c r="AX31" s="72">
        <v>3</v>
      </c>
      <c r="AY31" s="72">
        <v>88</v>
      </c>
      <c r="AZ31" s="70"/>
      <c r="BX31" s="174">
        <v>140</v>
      </c>
      <c r="BY31" s="174">
        <v>145</v>
      </c>
      <c r="BZ31" s="174">
        <f t="shared" si="2"/>
        <v>6.25</v>
      </c>
      <c r="CA31" s="175"/>
      <c r="CB31" s="175"/>
      <c r="CC31" s="174">
        <v>28</v>
      </c>
      <c r="CD31" s="174">
        <f t="shared" si="3"/>
        <v>4</v>
      </c>
      <c r="CE31" s="21">
        <v>0.20909090909090908</v>
      </c>
      <c r="CF31" s="14">
        <f t="shared" si="4"/>
        <v>0.14845454545454545</v>
      </c>
      <c r="CG31" s="14">
        <f>SUM(CF$4:CF31)</f>
        <v>1.0550909090909091</v>
      </c>
      <c r="CJ31" s="174">
        <v>28</v>
      </c>
      <c r="CK31" s="174">
        <f t="shared" si="5"/>
        <v>115</v>
      </c>
    </row>
    <row r="32" spans="1:89" ht="16.5" x14ac:dyDescent="0.2">
      <c r="J32" s="158">
        <v>28</v>
      </c>
      <c r="K32" s="71" t="s">
        <v>471</v>
      </c>
      <c r="L32" s="71">
        <v>145</v>
      </c>
      <c r="M32" s="159">
        <v>150</v>
      </c>
      <c r="N32" s="155">
        <v>340</v>
      </c>
      <c r="O32" s="159">
        <v>4</v>
      </c>
      <c r="P32" s="71"/>
      <c r="Q32" s="71"/>
      <c r="R32" s="71"/>
      <c r="S32" s="71">
        <v>1</v>
      </c>
      <c r="T32" s="14">
        <f>ROUND((SUM($N$5:$N32)-SUM($O$5:$O32)+SUM(P$5:P32))/B$4,2)</f>
        <v>92.47</v>
      </c>
      <c r="U32" s="14">
        <f t="shared" si="8"/>
        <v>11.200000000000003</v>
      </c>
      <c r="V32" s="14">
        <f>ROUND((SUM($N$5:$N32)-SUM($O$5:$O32)+SUM(Q$5:Q32))/C$4,2)</f>
        <v>81.59</v>
      </c>
      <c r="W32" s="14">
        <f t="shared" si="9"/>
        <v>9.8800000000000097</v>
      </c>
      <c r="X32" s="14">
        <f>ROUND((SUM($N$5:$N32)-SUM($O$5:$O32)+SUM(R$5:R32))/D$4,2)</f>
        <v>66.05</v>
      </c>
      <c r="Y32" s="14">
        <f t="shared" si="10"/>
        <v>8</v>
      </c>
      <c r="Z32" s="14">
        <f>ROUND((SUM($N$5:$N32)+SUM(R$5:R32))/E$4,2)</f>
        <v>60</v>
      </c>
      <c r="AA32" s="14">
        <f t="shared" si="7"/>
        <v>7.0799999999999983</v>
      </c>
      <c r="AB32" s="62"/>
      <c r="AC32" s="14">
        <f t="shared" si="6"/>
        <v>7.0799999999999983</v>
      </c>
      <c r="AD32" s="14">
        <f>SUM(AC$5:AC32)</f>
        <v>60</v>
      </c>
      <c r="AL32" s="159">
        <v>29</v>
      </c>
      <c r="AM32" s="159">
        <f t="shared" si="0"/>
        <v>4</v>
      </c>
      <c r="AN32" s="161"/>
      <c r="AW32" s="72">
        <v>29</v>
      </c>
      <c r="AX32" s="72">
        <v>2</v>
      </c>
      <c r="AY32" s="72">
        <v>90</v>
      </c>
      <c r="AZ32" s="70"/>
      <c r="BX32" s="174">
        <v>145</v>
      </c>
      <c r="BY32" s="174">
        <v>150</v>
      </c>
      <c r="BZ32" s="174">
        <f t="shared" si="2"/>
        <v>7.0799999999999983</v>
      </c>
      <c r="CA32" s="175"/>
      <c r="CB32" s="175"/>
      <c r="CC32" s="174">
        <v>29</v>
      </c>
      <c r="CD32" s="174">
        <f t="shared" si="3"/>
        <v>4</v>
      </c>
      <c r="CE32" s="21">
        <v>0.21818181818181817</v>
      </c>
      <c r="CF32" s="14">
        <f t="shared" si="4"/>
        <v>0.15490909090909089</v>
      </c>
      <c r="CG32" s="14">
        <f>SUM(CF$4:CF32)</f>
        <v>1.21</v>
      </c>
      <c r="CJ32" s="174">
        <v>29</v>
      </c>
      <c r="CK32" s="174">
        <f t="shared" si="5"/>
        <v>117</v>
      </c>
    </row>
    <row r="33" spans="10:89" ht="16.5" x14ac:dyDescent="0.2">
      <c r="J33" s="158">
        <v>29</v>
      </c>
      <c r="K33" s="155" t="s">
        <v>1375</v>
      </c>
      <c r="L33" s="155">
        <v>150</v>
      </c>
      <c r="M33" s="159">
        <v>150</v>
      </c>
      <c r="N33" s="155">
        <v>1440</v>
      </c>
      <c r="O33" s="159">
        <v>4</v>
      </c>
      <c r="P33" s="155"/>
      <c r="Q33" s="155"/>
      <c r="R33" s="155"/>
      <c r="S33" s="155">
        <v>1</v>
      </c>
      <c r="T33" s="14">
        <f>ROUND((SUM($N$5:$N33)-SUM($O$5:$O33)+SUM(P$5:P33))/B$4,2)</f>
        <v>140.33000000000001</v>
      </c>
      <c r="U33" s="14">
        <f t="shared" si="8"/>
        <v>47.860000000000014</v>
      </c>
      <c r="V33" s="14">
        <f>ROUND((SUM($N$5:$N33)-SUM($O$5:$O33)+SUM(Q$5:Q33))/C$4,2)</f>
        <v>123.82</v>
      </c>
      <c r="W33" s="14">
        <f t="shared" si="9"/>
        <v>42.22999999999999</v>
      </c>
      <c r="X33" s="14">
        <f>ROUND((SUM($N$5:$N33)-SUM($O$5:$O33)+SUM(R$5:R33))/D$4,2)</f>
        <v>100.24</v>
      </c>
      <c r="Y33" s="14">
        <f t="shared" si="10"/>
        <v>34.19</v>
      </c>
      <c r="Z33" s="14">
        <f>ROUND((SUM($N$5:$N33)+SUM(R$5:R33))/E$4,2)</f>
        <v>90</v>
      </c>
      <c r="AA33" s="14">
        <f t="shared" si="7"/>
        <v>30</v>
      </c>
      <c r="AB33" s="155"/>
      <c r="AC33" s="14">
        <f t="shared" si="6"/>
        <v>30</v>
      </c>
      <c r="AD33" s="14">
        <f>SUM(AC$5:AC33)</f>
        <v>90</v>
      </c>
      <c r="AL33" s="159">
        <v>30</v>
      </c>
      <c r="AM33" s="159">
        <f t="shared" si="0"/>
        <v>4</v>
      </c>
      <c r="AN33" s="161"/>
      <c r="AW33" s="72">
        <v>30</v>
      </c>
      <c r="AX33" s="72">
        <v>3</v>
      </c>
      <c r="AY33" s="72">
        <v>93</v>
      </c>
      <c r="AZ33" s="70"/>
      <c r="BX33" s="174">
        <v>150</v>
      </c>
      <c r="BY33" s="174">
        <v>150</v>
      </c>
      <c r="BZ33" s="174">
        <f t="shared" si="2"/>
        <v>30</v>
      </c>
      <c r="CA33" s="175"/>
      <c r="CB33" s="175"/>
      <c r="CC33" s="174">
        <v>30</v>
      </c>
      <c r="CD33" s="174">
        <f t="shared" si="3"/>
        <v>5</v>
      </c>
      <c r="CE33" s="21">
        <v>0.18181818181818182</v>
      </c>
      <c r="CF33" s="14">
        <f t="shared" si="4"/>
        <v>9.0909090909090912E-2</v>
      </c>
      <c r="CG33" s="14">
        <f>SUM(CF$4:CF33)</f>
        <v>1.3009090909090908</v>
      </c>
      <c r="CJ33" s="174">
        <v>30</v>
      </c>
      <c r="CK33" s="174">
        <f t="shared" si="5"/>
        <v>118</v>
      </c>
    </row>
    <row r="34" spans="10:89" ht="16.5" x14ac:dyDescent="0.2">
      <c r="J34" s="158">
        <v>30</v>
      </c>
      <c r="K34" s="155" t="s">
        <v>1376</v>
      </c>
      <c r="L34" s="155">
        <v>150</v>
      </c>
      <c r="M34" s="159">
        <v>150</v>
      </c>
      <c r="N34" s="155">
        <v>2880</v>
      </c>
      <c r="O34" s="159">
        <v>4</v>
      </c>
      <c r="P34" s="155"/>
      <c r="Q34" s="155"/>
      <c r="R34" s="155"/>
      <c r="S34" s="155">
        <v>1</v>
      </c>
      <c r="T34" s="14">
        <f>ROUND((SUM($N$5:$N34)-SUM($O$5:$O34)+SUM(P$5:P34))/B$4,2)</f>
        <v>236.2</v>
      </c>
      <c r="U34" s="14">
        <f t="shared" si="8"/>
        <v>95.869999999999976</v>
      </c>
      <c r="V34" s="14">
        <f>ROUND((SUM($N$5:$N34)-SUM($O$5:$O34)+SUM(Q$5:Q34))/C$4,2)</f>
        <v>208.41</v>
      </c>
      <c r="W34" s="14">
        <f t="shared" si="9"/>
        <v>84.59</v>
      </c>
      <c r="X34" s="14">
        <f>ROUND((SUM($N$5:$N34)-SUM($O$5:$O34)+SUM(R$5:R34))/D$4,2)</f>
        <v>168.71</v>
      </c>
      <c r="Y34" s="14">
        <f t="shared" si="10"/>
        <v>68.470000000000013</v>
      </c>
      <c r="Z34" s="14">
        <f>ROUND((SUM($N$5:$N34)+SUM(R$5:R34))/E$4,2)</f>
        <v>150</v>
      </c>
      <c r="AA34" s="14">
        <f t="shared" si="7"/>
        <v>60</v>
      </c>
      <c r="AB34" s="155"/>
      <c r="AC34" s="14">
        <f t="shared" si="6"/>
        <v>60</v>
      </c>
      <c r="AD34" s="14">
        <f>SUM(AC$5:AC34)</f>
        <v>150</v>
      </c>
      <c r="AL34" s="159">
        <v>31</v>
      </c>
      <c r="AM34" s="159">
        <f t="shared" si="0"/>
        <v>5</v>
      </c>
      <c r="AN34" s="159">
        <f>INDEX($U$5:$U$34,AM34)</f>
        <v>1.27</v>
      </c>
      <c r="AW34" s="72">
        <v>31</v>
      </c>
      <c r="AX34" s="72">
        <v>2</v>
      </c>
      <c r="AY34" s="72">
        <v>95</v>
      </c>
      <c r="AZ34" s="70"/>
      <c r="BX34" s="174">
        <v>150</v>
      </c>
      <c r="BY34" s="174">
        <v>150</v>
      </c>
      <c r="BZ34" s="174">
        <f t="shared" si="2"/>
        <v>60</v>
      </c>
      <c r="CA34" s="175"/>
      <c r="CB34" s="175"/>
      <c r="CC34" s="174">
        <v>31</v>
      </c>
      <c r="CD34" s="174">
        <f t="shared" si="3"/>
        <v>5</v>
      </c>
      <c r="CE34" s="21">
        <v>0.19090909090909092</v>
      </c>
      <c r="CF34" s="14">
        <f t="shared" si="4"/>
        <v>9.5454545454545459E-2</v>
      </c>
      <c r="CG34" s="14">
        <f>SUM(CF$4:CF34)</f>
        <v>1.3963636363636363</v>
      </c>
      <c r="CJ34" s="174">
        <v>31</v>
      </c>
      <c r="CK34" s="174">
        <f t="shared" si="5"/>
        <v>120</v>
      </c>
    </row>
    <row r="35" spans="10:89" ht="16.5" x14ac:dyDescent="0.2">
      <c r="T35">
        <v>120</v>
      </c>
      <c r="AA35" s="157">
        <v>60</v>
      </c>
      <c r="AL35" s="159">
        <v>32</v>
      </c>
      <c r="AM35" s="159">
        <f t="shared" si="0"/>
        <v>5</v>
      </c>
      <c r="AN35" s="159">
        <f>INDEX($W$5:$W$34,AM34)</f>
        <v>1.1200000000000001</v>
      </c>
      <c r="AW35" s="72">
        <v>32</v>
      </c>
      <c r="AX35" s="72">
        <v>3</v>
      </c>
      <c r="AY35" s="72">
        <v>98</v>
      </c>
      <c r="AZ35" s="70"/>
      <c r="BX35" s="175"/>
      <c r="BY35" s="175"/>
      <c r="BZ35" s="175"/>
      <c r="CA35" s="175"/>
      <c r="CB35" s="175"/>
      <c r="CC35" s="174">
        <v>32</v>
      </c>
      <c r="CD35" s="174">
        <f t="shared" si="3"/>
        <v>5</v>
      </c>
      <c r="CE35" s="21">
        <v>0.2</v>
      </c>
      <c r="CF35" s="14">
        <f t="shared" si="4"/>
        <v>0.1</v>
      </c>
      <c r="CG35" s="14">
        <f>SUM(CF$4:CF35)</f>
        <v>1.4963636363636363</v>
      </c>
      <c r="CJ35" s="174">
        <v>32</v>
      </c>
      <c r="CK35" s="174">
        <f t="shared" si="5"/>
        <v>122</v>
      </c>
    </row>
    <row r="36" spans="10:89" ht="16.5" x14ac:dyDescent="0.2">
      <c r="AB36">
        <v>54</v>
      </c>
      <c r="AL36" s="159">
        <v>33</v>
      </c>
      <c r="AM36" s="159">
        <f t="shared" si="0"/>
        <v>5</v>
      </c>
      <c r="AN36" s="159">
        <f>INDEX($AA$5:$AA$34,AM34)</f>
        <v>0.5</v>
      </c>
      <c r="AW36" s="72">
        <v>33</v>
      </c>
      <c r="AX36" s="72">
        <v>2</v>
      </c>
      <c r="AY36" s="72">
        <v>100</v>
      </c>
      <c r="AZ36" s="70"/>
      <c r="BX36" s="175"/>
      <c r="BY36" s="175"/>
      <c r="BZ36" s="175"/>
      <c r="CA36" s="175"/>
      <c r="CB36" s="175"/>
      <c r="CC36" s="174">
        <v>33</v>
      </c>
      <c r="CD36" s="174">
        <f t="shared" si="3"/>
        <v>5</v>
      </c>
      <c r="CE36" s="21">
        <v>0.20909090909090908</v>
      </c>
      <c r="CF36" s="14">
        <f t="shared" si="4"/>
        <v>0.10454545454545454</v>
      </c>
      <c r="CG36" s="14">
        <f>SUM(CF$4:CF36)</f>
        <v>1.6009090909090908</v>
      </c>
      <c r="CJ36" s="174">
        <v>33</v>
      </c>
      <c r="CK36" s="174">
        <f t="shared" si="5"/>
        <v>123</v>
      </c>
    </row>
    <row r="37" spans="10:89" ht="16.5" x14ac:dyDescent="0.2">
      <c r="AB37">
        <v>48</v>
      </c>
      <c r="AL37" s="159">
        <v>34</v>
      </c>
      <c r="AM37" s="159">
        <f t="shared" si="0"/>
        <v>5</v>
      </c>
      <c r="AN37" s="161"/>
      <c r="AW37" s="72">
        <v>34</v>
      </c>
      <c r="AX37" s="72">
        <v>3</v>
      </c>
      <c r="AY37" s="72">
        <v>103</v>
      </c>
      <c r="AZ37" s="70"/>
      <c r="BX37" s="175"/>
      <c r="BY37" s="175"/>
      <c r="BZ37" s="175"/>
      <c r="CA37" s="175"/>
      <c r="CB37" s="175"/>
      <c r="CC37" s="174">
        <v>34</v>
      </c>
      <c r="CD37" s="174">
        <f t="shared" si="3"/>
        <v>5</v>
      </c>
      <c r="CE37" s="21">
        <v>0.21818181818181817</v>
      </c>
      <c r="CF37" s="14">
        <f t="shared" si="4"/>
        <v>0.10909090909090909</v>
      </c>
      <c r="CG37" s="14">
        <f>SUM(CF$4:CF37)</f>
        <v>1.71</v>
      </c>
      <c r="CJ37" s="174">
        <v>34</v>
      </c>
      <c r="CK37" s="174">
        <f t="shared" si="5"/>
        <v>124</v>
      </c>
    </row>
    <row r="38" spans="10:89" ht="16.5" x14ac:dyDescent="0.2">
      <c r="AL38" s="159">
        <v>35</v>
      </c>
      <c r="AM38" s="159">
        <f t="shared" si="0"/>
        <v>5</v>
      </c>
      <c r="AN38" s="161"/>
      <c r="AW38" s="72">
        <v>35</v>
      </c>
      <c r="AX38" s="72">
        <v>2</v>
      </c>
      <c r="AY38" s="72">
        <v>105</v>
      </c>
      <c r="AZ38" s="70"/>
      <c r="BX38" s="175"/>
      <c r="BY38" s="175"/>
      <c r="BZ38" s="175"/>
      <c r="CA38" s="175"/>
      <c r="CB38" s="175"/>
      <c r="CC38" s="174">
        <v>35</v>
      </c>
      <c r="CD38" s="174">
        <f t="shared" si="3"/>
        <v>6</v>
      </c>
      <c r="CE38" s="21">
        <v>0.18181818181818182</v>
      </c>
      <c r="CF38" s="14">
        <f t="shared" si="4"/>
        <v>9.818181818181819E-2</v>
      </c>
      <c r="CG38" s="14">
        <f>SUM(CF$4:CF38)</f>
        <v>1.8081818181818181</v>
      </c>
      <c r="CJ38" s="174">
        <v>35</v>
      </c>
      <c r="CK38" s="174">
        <f t="shared" si="5"/>
        <v>126</v>
      </c>
    </row>
    <row r="39" spans="10:89" ht="16.5" x14ac:dyDescent="0.2">
      <c r="AL39" s="159">
        <v>36</v>
      </c>
      <c r="AM39" s="159">
        <f t="shared" si="0"/>
        <v>6</v>
      </c>
      <c r="AN39" s="159">
        <f>INDEX($U$5:$U$34,AM39)</f>
        <v>0.73</v>
      </c>
      <c r="AW39" s="72">
        <v>36</v>
      </c>
      <c r="AX39" s="72">
        <v>3</v>
      </c>
      <c r="AY39" s="72">
        <v>108</v>
      </c>
      <c r="AZ39" s="70"/>
      <c r="BX39" s="175"/>
      <c r="BY39" s="175"/>
      <c r="BZ39" s="175"/>
      <c r="CA39" s="175"/>
      <c r="CB39" s="175"/>
      <c r="CC39" s="174">
        <v>36</v>
      </c>
      <c r="CD39" s="174">
        <f t="shared" si="3"/>
        <v>6</v>
      </c>
      <c r="CE39" s="21">
        <v>0.19090909090909092</v>
      </c>
      <c r="CF39" s="14">
        <f t="shared" si="4"/>
        <v>0.10309090909090911</v>
      </c>
      <c r="CG39" s="14">
        <f>SUM(CF$4:CF39)</f>
        <v>1.9112727272727272</v>
      </c>
      <c r="CJ39" s="174">
        <v>36</v>
      </c>
      <c r="CK39" s="174">
        <f t="shared" si="5"/>
        <v>127</v>
      </c>
    </row>
    <row r="40" spans="10:89" ht="16.5" x14ac:dyDescent="0.2">
      <c r="AL40" s="159">
        <v>37</v>
      </c>
      <c r="AM40" s="159">
        <f t="shared" si="0"/>
        <v>6</v>
      </c>
      <c r="AN40" s="159">
        <f>INDEX($W$5:$W$34,AM39)</f>
        <v>0.64999999999999991</v>
      </c>
      <c r="AW40" s="72">
        <v>37</v>
      </c>
      <c r="AX40" s="72">
        <v>2</v>
      </c>
      <c r="AY40" s="72">
        <v>110</v>
      </c>
      <c r="AZ40" s="70"/>
      <c r="BX40" s="175"/>
      <c r="BY40" s="175"/>
      <c r="BZ40" s="175"/>
      <c r="CA40" s="175"/>
      <c r="CB40" s="175"/>
      <c r="CC40" s="174">
        <v>37</v>
      </c>
      <c r="CD40" s="174">
        <f t="shared" si="3"/>
        <v>6</v>
      </c>
      <c r="CE40" s="21">
        <v>0.2</v>
      </c>
      <c r="CF40" s="14">
        <f t="shared" si="4"/>
        <v>0.10800000000000001</v>
      </c>
      <c r="CG40" s="14">
        <f>SUM(CF$4:CF40)</f>
        <v>2.0192727272727273</v>
      </c>
      <c r="CJ40" s="174">
        <v>37</v>
      </c>
      <c r="CK40" s="174">
        <f t="shared" si="5"/>
        <v>128</v>
      </c>
    </row>
    <row r="41" spans="10:89" ht="16.5" x14ac:dyDescent="0.2">
      <c r="AL41" s="159">
        <v>38</v>
      </c>
      <c r="AM41" s="159">
        <f t="shared" si="0"/>
        <v>6</v>
      </c>
      <c r="AN41" s="159">
        <f>INDEX($AA$5:$AA$34,AM39)</f>
        <v>0.54</v>
      </c>
      <c r="AW41" s="72">
        <v>38</v>
      </c>
      <c r="AX41" s="72">
        <v>3</v>
      </c>
      <c r="AY41" s="72">
        <v>113</v>
      </c>
      <c r="AZ41" s="70"/>
      <c r="BX41" s="175"/>
      <c r="BY41" s="175"/>
      <c r="BZ41" s="175"/>
      <c r="CA41" s="175"/>
      <c r="CB41" s="175"/>
      <c r="CC41" s="174">
        <v>38</v>
      </c>
      <c r="CD41" s="174">
        <f t="shared" si="3"/>
        <v>6</v>
      </c>
      <c r="CE41" s="21">
        <v>0.20909090909090908</v>
      </c>
      <c r="CF41" s="14">
        <f t="shared" si="4"/>
        <v>0.1129090909090909</v>
      </c>
      <c r="CG41" s="14">
        <f>SUM(CF$4:CF41)</f>
        <v>2.1321818181818184</v>
      </c>
      <c r="CJ41" s="174">
        <v>38</v>
      </c>
      <c r="CK41" s="174">
        <f t="shared" si="5"/>
        <v>130</v>
      </c>
    </row>
    <row r="42" spans="10:89" ht="16.5" x14ac:dyDescent="0.2">
      <c r="AL42" s="159">
        <v>39</v>
      </c>
      <c r="AM42" s="159">
        <f t="shared" si="0"/>
        <v>6</v>
      </c>
      <c r="AN42" s="161"/>
      <c r="AW42" s="72">
        <v>39</v>
      </c>
      <c r="AX42" s="72">
        <v>2</v>
      </c>
      <c r="AY42" s="72">
        <v>115</v>
      </c>
      <c r="AZ42" s="70"/>
      <c r="BX42" s="175"/>
      <c r="BY42" s="175"/>
      <c r="BZ42" s="175"/>
      <c r="CA42" s="175"/>
      <c r="CB42" s="175"/>
      <c r="CC42" s="174">
        <v>39</v>
      </c>
      <c r="CD42" s="174">
        <f t="shared" si="3"/>
        <v>6</v>
      </c>
      <c r="CE42" s="21">
        <v>0.21818181818181817</v>
      </c>
      <c r="CF42" s="14">
        <f t="shared" si="4"/>
        <v>0.11781818181818182</v>
      </c>
      <c r="CG42" s="14">
        <f>SUM(CF$4:CF42)</f>
        <v>2.25</v>
      </c>
      <c r="CJ42" s="174">
        <v>39</v>
      </c>
      <c r="CK42" s="174">
        <f t="shared" si="5"/>
        <v>131</v>
      </c>
    </row>
    <row r="43" spans="10:89" ht="16.5" x14ac:dyDescent="0.2">
      <c r="AL43" s="159">
        <v>40</v>
      </c>
      <c r="AM43" s="159">
        <f t="shared" si="0"/>
        <v>6</v>
      </c>
      <c r="AN43" s="161"/>
      <c r="AW43" s="72">
        <v>40</v>
      </c>
      <c r="AX43" s="72">
        <v>3</v>
      </c>
      <c r="AY43" s="72">
        <v>118</v>
      </c>
      <c r="AZ43" s="70"/>
      <c r="BX43" s="175"/>
      <c r="BY43" s="175"/>
      <c r="BZ43" s="175"/>
      <c r="CA43" s="175"/>
      <c r="CB43" s="175"/>
      <c r="CC43" s="174">
        <v>40</v>
      </c>
      <c r="CD43" s="174">
        <f t="shared" si="3"/>
        <v>7</v>
      </c>
      <c r="CE43" s="21">
        <v>0.18181818181818182</v>
      </c>
      <c r="CF43" s="14">
        <f t="shared" si="4"/>
        <v>0.10545454545454547</v>
      </c>
      <c r="CG43" s="14">
        <f>SUM(CF$4:CF43)</f>
        <v>2.3554545454545455</v>
      </c>
      <c r="CJ43" s="174">
        <v>40</v>
      </c>
      <c r="CK43" s="174">
        <f t="shared" si="5"/>
        <v>132</v>
      </c>
    </row>
    <row r="44" spans="10:89" ht="16.5" x14ac:dyDescent="0.2">
      <c r="AL44" s="159">
        <v>41</v>
      </c>
      <c r="AM44" s="159">
        <f t="shared" si="0"/>
        <v>7</v>
      </c>
      <c r="AN44" s="159">
        <f>INDEX($U$5:$U$34,AM44)</f>
        <v>0.79999999999999982</v>
      </c>
      <c r="AW44" s="72">
        <v>41</v>
      </c>
      <c r="AX44" s="72">
        <v>2</v>
      </c>
      <c r="AY44" s="72">
        <v>120</v>
      </c>
      <c r="AZ44" s="70"/>
      <c r="BX44" s="175"/>
      <c r="BY44" s="175"/>
      <c r="BZ44" s="175"/>
      <c r="CA44" s="175"/>
      <c r="CB44" s="175"/>
      <c r="CC44" s="174">
        <v>41</v>
      </c>
      <c r="CD44" s="174">
        <f t="shared" si="3"/>
        <v>7</v>
      </c>
      <c r="CE44" s="21">
        <v>0.19090909090909092</v>
      </c>
      <c r="CF44" s="14">
        <f t="shared" si="4"/>
        <v>0.11072727272727274</v>
      </c>
      <c r="CG44" s="14">
        <f>SUM(CF$4:CF44)</f>
        <v>2.466181818181818</v>
      </c>
      <c r="CJ44" s="174">
        <v>41</v>
      </c>
      <c r="CK44" s="174">
        <f t="shared" si="5"/>
        <v>133</v>
      </c>
    </row>
    <row r="45" spans="10:89" ht="16.5" x14ac:dyDescent="0.2">
      <c r="AL45" s="159">
        <v>42</v>
      </c>
      <c r="AM45" s="159">
        <f t="shared" si="0"/>
        <v>7</v>
      </c>
      <c r="AN45" s="159">
        <f>INDEX($W$5:$W$34,AM44)</f>
        <v>0.70000000000000018</v>
      </c>
      <c r="AW45" s="72">
        <v>42</v>
      </c>
      <c r="AX45" s="72">
        <v>3</v>
      </c>
      <c r="AY45" s="72">
        <v>123</v>
      </c>
      <c r="AZ45" s="70"/>
      <c r="BX45" s="175"/>
      <c r="BY45" s="175"/>
      <c r="BZ45" s="175"/>
      <c r="CA45" s="175"/>
      <c r="CB45" s="175"/>
      <c r="CC45" s="174">
        <v>42</v>
      </c>
      <c r="CD45" s="174">
        <f t="shared" si="3"/>
        <v>7</v>
      </c>
      <c r="CE45" s="21">
        <v>0.2</v>
      </c>
      <c r="CF45" s="14">
        <f t="shared" si="4"/>
        <v>0.11600000000000002</v>
      </c>
      <c r="CG45" s="14">
        <f>SUM(CF$4:CF45)</f>
        <v>2.5821818181818181</v>
      </c>
      <c r="CJ45" s="174">
        <v>42</v>
      </c>
      <c r="CK45" s="174">
        <f t="shared" si="5"/>
        <v>134</v>
      </c>
    </row>
    <row r="46" spans="10:89" ht="16.5" x14ac:dyDescent="0.2">
      <c r="AL46" s="159">
        <v>43</v>
      </c>
      <c r="AM46" s="159">
        <f t="shared" si="0"/>
        <v>7</v>
      </c>
      <c r="AN46" s="159">
        <f>INDEX($AA$5:$AA$34,AM44)</f>
        <v>0.58000000000000007</v>
      </c>
      <c r="AW46" s="72">
        <v>43</v>
      </c>
      <c r="AX46" s="72">
        <v>2</v>
      </c>
      <c r="AY46" s="72">
        <v>125</v>
      </c>
      <c r="AZ46" s="70"/>
      <c r="BX46" s="175"/>
      <c r="BY46" s="175"/>
      <c r="BZ46" s="175"/>
      <c r="CA46" s="175"/>
      <c r="CB46" s="175"/>
      <c r="CC46" s="174">
        <v>43</v>
      </c>
      <c r="CD46" s="174">
        <f t="shared" si="3"/>
        <v>7</v>
      </c>
      <c r="CE46" s="21">
        <v>0.20909090909090908</v>
      </c>
      <c r="CF46" s="14">
        <f t="shared" si="4"/>
        <v>0.12127272727272728</v>
      </c>
      <c r="CG46" s="14">
        <f>SUM(CF$4:CF46)</f>
        <v>2.7034545454545453</v>
      </c>
      <c r="CJ46" s="174">
        <v>43</v>
      </c>
      <c r="CK46" s="174">
        <f t="shared" si="5"/>
        <v>135</v>
      </c>
    </row>
    <row r="47" spans="10:89" ht="16.5" x14ac:dyDescent="0.2">
      <c r="AL47" s="159">
        <v>44</v>
      </c>
      <c r="AM47" s="159">
        <f t="shared" si="0"/>
        <v>7</v>
      </c>
      <c r="AN47" s="161"/>
      <c r="AW47" s="72">
        <v>44</v>
      </c>
      <c r="AX47" s="72">
        <v>3</v>
      </c>
      <c r="AY47" s="72">
        <v>128</v>
      </c>
      <c r="AZ47" s="70"/>
      <c r="BX47" s="175"/>
      <c r="BY47" s="175"/>
      <c r="BZ47" s="175"/>
      <c r="CA47" s="175"/>
      <c r="CB47" s="175"/>
      <c r="CC47" s="174">
        <v>44</v>
      </c>
      <c r="CD47" s="174">
        <f t="shared" si="3"/>
        <v>7</v>
      </c>
      <c r="CE47" s="21">
        <v>0.21818181818181817</v>
      </c>
      <c r="CF47" s="14">
        <f t="shared" si="4"/>
        <v>0.12654545454545454</v>
      </c>
      <c r="CG47" s="14">
        <f>SUM(CF$4:CF47)</f>
        <v>2.83</v>
      </c>
      <c r="CJ47" s="174">
        <v>44</v>
      </c>
      <c r="CK47" s="174">
        <f t="shared" si="5"/>
        <v>136</v>
      </c>
    </row>
    <row r="48" spans="10:89" ht="16.5" x14ac:dyDescent="0.2">
      <c r="AL48" s="159">
        <v>45</v>
      </c>
      <c r="AM48" s="159">
        <f t="shared" si="0"/>
        <v>7</v>
      </c>
      <c r="AN48" s="161"/>
      <c r="AW48" s="72">
        <v>45</v>
      </c>
      <c r="AX48" s="72">
        <v>2</v>
      </c>
      <c r="AY48" s="72">
        <v>130</v>
      </c>
      <c r="AZ48" s="70"/>
      <c r="BX48" s="175"/>
      <c r="BY48" s="175"/>
      <c r="BZ48" s="175"/>
      <c r="CA48" s="175"/>
      <c r="CB48" s="175"/>
      <c r="CC48" s="174">
        <v>45</v>
      </c>
      <c r="CD48" s="174">
        <f t="shared" si="3"/>
        <v>8</v>
      </c>
      <c r="CE48" s="21">
        <v>0.18181818181818182</v>
      </c>
      <c r="CF48" s="14">
        <f t="shared" si="4"/>
        <v>0.11454545454545453</v>
      </c>
      <c r="CG48" s="14">
        <f>SUM(CF$4:CF48)</f>
        <v>2.9445454545454548</v>
      </c>
      <c r="CJ48" s="174">
        <v>45</v>
      </c>
      <c r="CK48" s="174">
        <f t="shared" si="5"/>
        <v>137</v>
      </c>
    </row>
    <row r="49" spans="38:89" ht="16.5" x14ac:dyDescent="0.2">
      <c r="AL49" s="159">
        <v>46</v>
      </c>
      <c r="AM49" s="159">
        <f t="shared" si="0"/>
        <v>8</v>
      </c>
      <c r="AN49" s="159">
        <f>INDEX($U$5:$U$34,AM49)</f>
        <v>0.87000000000000011</v>
      </c>
      <c r="AW49" s="72">
        <v>46</v>
      </c>
      <c r="AX49" s="72">
        <v>3</v>
      </c>
      <c r="AY49" s="72">
        <v>133</v>
      </c>
      <c r="AZ49" s="70"/>
      <c r="BX49" s="175"/>
      <c r="BY49" s="175"/>
      <c r="BZ49" s="175"/>
      <c r="CA49" s="175"/>
      <c r="CB49" s="175"/>
      <c r="CC49" s="174">
        <v>46</v>
      </c>
      <c r="CD49" s="174">
        <f t="shared" si="3"/>
        <v>8</v>
      </c>
      <c r="CE49" s="21">
        <v>0.19090909090909092</v>
      </c>
      <c r="CF49" s="14">
        <f t="shared" si="4"/>
        <v>0.12027272727272725</v>
      </c>
      <c r="CG49" s="14">
        <f>SUM(CF$4:CF49)</f>
        <v>3.0648181818181821</v>
      </c>
      <c r="CJ49" s="174">
        <v>46</v>
      </c>
      <c r="CK49" s="174">
        <f t="shared" si="5"/>
        <v>138</v>
      </c>
    </row>
    <row r="50" spans="38:89" ht="16.5" x14ac:dyDescent="0.2">
      <c r="AL50" s="159">
        <v>47</v>
      </c>
      <c r="AM50" s="159">
        <f t="shared" si="0"/>
        <v>8</v>
      </c>
      <c r="AN50" s="159">
        <f>INDEX($W$5:$W$34,AM49)</f>
        <v>0.77</v>
      </c>
      <c r="AW50" s="72">
        <v>47</v>
      </c>
      <c r="AX50" s="72">
        <v>2</v>
      </c>
      <c r="AY50" s="72">
        <v>135</v>
      </c>
      <c r="AZ50" s="70"/>
      <c r="BX50" s="175"/>
      <c r="BY50" s="175"/>
      <c r="BZ50" s="175"/>
      <c r="CA50" s="175"/>
      <c r="CB50" s="175"/>
      <c r="CC50" s="174">
        <v>47</v>
      </c>
      <c r="CD50" s="174">
        <f t="shared" si="3"/>
        <v>8</v>
      </c>
      <c r="CE50" s="21">
        <v>0.2</v>
      </c>
      <c r="CF50" s="14">
        <f t="shared" si="4"/>
        <v>0.12599999999999997</v>
      </c>
      <c r="CG50" s="14">
        <f>SUM(CF$4:CF50)</f>
        <v>3.190818181818182</v>
      </c>
      <c r="CJ50" s="174">
        <v>47</v>
      </c>
      <c r="CK50" s="174">
        <f t="shared" si="5"/>
        <v>139</v>
      </c>
    </row>
    <row r="51" spans="38:89" ht="16.5" x14ac:dyDescent="0.2">
      <c r="AL51" s="159">
        <v>48</v>
      </c>
      <c r="AM51" s="159">
        <f t="shared" si="0"/>
        <v>8</v>
      </c>
      <c r="AN51" s="159">
        <f>INDEX($AA$5:$AA$34,AM49)</f>
        <v>0.62999999999999989</v>
      </c>
      <c r="AW51" s="72">
        <v>48</v>
      </c>
      <c r="AX51" s="72">
        <v>3</v>
      </c>
      <c r="AY51" s="72">
        <v>138</v>
      </c>
      <c r="AZ51" s="70"/>
      <c r="BX51" s="175"/>
      <c r="BY51" s="175"/>
      <c r="BZ51" s="175"/>
      <c r="CA51" s="175"/>
      <c r="CB51" s="175"/>
      <c r="CC51" s="174">
        <v>48</v>
      </c>
      <c r="CD51" s="174">
        <f t="shared" si="3"/>
        <v>8</v>
      </c>
      <c r="CE51" s="21">
        <v>0.20909090909090908</v>
      </c>
      <c r="CF51" s="14">
        <f t="shared" si="4"/>
        <v>0.13172727272727269</v>
      </c>
      <c r="CG51" s="14">
        <f>SUM(CF$4:CF51)</f>
        <v>3.3225454545454545</v>
      </c>
      <c r="CJ51" s="174">
        <v>48</v>
      </c>
      <c r="CK51" s="174">
        <f t="shared" si="5"/>
        <v>140</v>
      </c>
    </row>
    <row r="52" spans="38:89" ht="16.5" x14ac:dyDescent="0.2">
      <c r="AL52" s="159">
        <v>49</v>
      </c>
      <c r="AM52" s="159">
        <f t="shared" si="0"/>
        <v>8</v>
      </c>
      <c r="AN52" s="161"/>
      <c r="AW52" s="72">
        <v>49</v>
      </c>
      <c r="AX52" s="72">
        <v>2</v>
      </c>
      <c r="AY52" s="72">
        <v>140</v>
      </c>
      <c r="AZ52" s="70"/>
      <c r="BX52" s="175"/>
      <c r="BY52" s="175"/>
      <c r="BZ52" s="175"/>
      <c r="CA52" s="175"/>
      <c r="CB52" s="175"/>
      <c r="CC52" s="174">
        <v>49</v>
      </c>
      <c r="CD52" s="174">
        <f t="shared" si="3"/>
        <v>8</v>
      </c>
      <c r="CE52" s="21">
        <v>0.21818181818181817</v>
      </c>
      <c r="CF52" s="14">
        <f t="shared" si="4"/>
        <v>0.13745454545454541</v>
      </c>
      <c r="CG52" s="14">
        <f>SUM(CF$4:CF52)</f>
        <v>3.46</v>
      </c>
      <c r="CJ52" s="174">
        <v>49</v>
      </c>
      <c r="CK52" s="174">
        <f t="shared" si="5"/>
        <v>141</v>
      </c>
    </row>
    <row r="53" spans="38:89" ht="16.5" x14ac:dyDescent="0.2">
      <c r="AL53" s="159">
        <v>50</v>
      </c>
      <c r="AM53" s="159">
        <f t="shared" si="0"/>
        <v>8</v>
      </c>
      <c r="AN53" s="161"/>
      <c r="AW53" s="72">
        <v>50</v>
      </c>
      <c r="AX53" s="72">
        <v>3</v>
      </c>
      <c r="AY53" s="72">
        <v>143</v>
      </c>
      <c r="AZ53" s="70"/>
      <c r="BX53" s="175"/>
      <c r="BY53" s="175"/>
      <c r="BZ53" s="175"/>
      <c r="CA53" s="175"/>
      <c r="CB53" s="175"/>
      <c r="CC53" s="174">
        <v>50</v>
      </c>
      <c r="CD53" s="174">
        <f t="shared" si="3"/>
        <v>9</v>
      </c>
      <c r="CE53" s="21">
        <v>0.18181818181818182</v>
      </c>
      <c r="CF53" s="14">
        <f t="shared" si="4"/>
        <v>0.12909090909090909</v>
      </c>
      <c r="CG53" s="14">
        <f>SUM(CF$4:CF53)</f>
        <v>3.5890909090909089</v>
      </c>
      <c r="CJ53" s="174">
        <v>50</v>
      </c>
      <c r="CK53" s="174">
        <f t="shared" si="5"/>
        <v>141</v>
      </c>
    </row>
    <row r="54" spans="38:89" ht="16.5" x14ac:dyDescent="0.2">
      <c r="AL54" s="159">
        <v>51</v>
      </c>
      <c r="AM54" s="159">
        <f t="shared" si="0"/>
        <v>9</v>
      </c>
      <c r="AN54" s="159">
        <f>INDEX($U$5:$U$34,AM54)</f>
        <v>1</v>
      </c>
      <c r="AW54" s="72">
        <v>51</v>
      </c>
      <c r="AX54" s="72">
        <v>2</v>
      </c>
      <c r="AY54" s="72">
        <v>145</v>
      </c>
      <c r="AZ54" s="70"/>
      <c r="BX54" s="175"/>
      <c r="BY54" s="175"/>
      <c r="BZ54" s="175"/>
      <c r="CA54" s="175"/>
      <c r="CB54" s="175"/>
      <c r="CC54" s="174">
        <v>51</v>
      </c>
      <c r="CD54" s="174">
        <f t="shared" si="3"/>
        <v>9</v>
      </c>
      <c r="CE54" s="21">
        <v>0.19090909090909092</v>
      </c>
      <c r="CF54" s="14">
        <f t="shared" si="4"/>
        <v>0.13554545454545455</v>
      </c>
      <c r="CG54" s="14">
        <f>SUM(CF$4:CF54)</f>
        <v>3.7246363636363635</v>
      </c>
      <c r="CJ54" s="174">
        <v>51</v>
      </c>
      <c r="CK54" s="174">
        <f t="shared" si="5"/>
        <v>142</v>
      </c>
    </row>
    <row r="55" spans="38:89" ht="16.5" x14ac:dyDescent="0.2">
      <c r="AL55" s="159">
        <v>52</v>
      </c>
      <c r="AM55" s="159">
        <f t="shared" si="0"/>
        <v>9</v>
      </c>
      <c r="AN55" s="159">
        <f>INDEX($W$5:$W$34,AM54)</f>
        <v>0.87999999999999989</v>
      </c>
      <c r="AW55" s="72">
        <v>52</v>
      </c>
      <c r="AX55" s="72">
        <v>3</v>
      </c>
      <c r="AY55" s="72">
        <v>148</v>
      </c>
      <c r="AZ55" s="70"/>
      <c r="BX55" s="175"/>
      <c r="BY55" s="175"/>
      <c r="BZ55" s="175"/>
      <c r="CA55" s="175"/>
      <c r="CB55" s="175"/>
      <c r="CC55" s="174">
        <v>52</v>
      </c>
      <c r="CD55" s="174">
        <f t="shared" si="3"/>
        <v>9</v>
      </c>
      <c r="CE55" s="21">
        <v>0.2</v>
      </c>
      <c r="CF55" s="14">
        <f t="shared" si="4"/>
        <v>0.14199999999999999</v>
      </c>
      <c r="CG55" s="14">
        <f>SUM(CF$4:CF55)</f>
        <v>3.8666363636363634</v>
      </c>
      <c r="CJ55" s="174">
        <v>52</v>
      </c>
      <c r="CK55" s="174">
        <f t="shared" si="5"/>
        <v>143</v>
      </c>
    </row>
    <row r="56" spans="38:89" ht="16.5" x14ac:dyDescent="0.2">
      <c r="AL56" s="159">
        <v>53</v>
      </c>
      <c r="AM56" s="159">
        <f t="shared" si="0"/>
        <v>9</v>
      </c>
      <c r="AN56" s="159">
        <f>INDEX($AA$5:$AA$34,AM54)</f>
        <v>0.71</v>
      </c>
      <c r="AW56" s="70"/>
      <c r="AX56" s="70"/>
      <c r="AY56" s="70"/>
      <c r="BX56" s="175"/>
      <c r="BY56" s="175"/>
      <c r="BZ56" s="175"/>
      <c r="CA56" s="175"/>
      <c r="CB56" s="175"/>
      <c r="CC56" s="174">
        <v>53</v>
      </c>
      <c r="CD56" s="174">
        <f t="shared" si="3"/>
        <v>9</v>
      </c>
      <c r="CE56" s="21">
        <v>0.20909090909090908</v>
      </c>
      <c r="CF56" s="14">
        <f t="shared" si="4"/>
        <v>0.14845454545454545</v>
      </c>
      <c r="CG56" s="14">
        <f>SUM(CF$4:CF56)</f>
        <v>4.015090909090909</v>
      </c>
      <c r="CJ56" s="174">
        <v>53</v>
      </c>
      <c r="CK56" s="174">
        <f t="shared" si="5"/>
        <v>144</v>
      </c>
    </row>
    <row r="57" spans="38:89" ht="16.5" x14ac:dyDescent="0.2">
      <c r="AL57" s="159">
        <v>54</v>
      </c>
      <c r="AM57" s="159">
        <f t="shared" si="0"/>
        <v>9</v>
      </c>
      <c r="AN57" s="161"/>
      <c r="AW57" s="70"/>
      <c r="AX57" s="70"/>
      <c r="AY57" s="70"/>
      <c r="BX57" s="175"/>
      <c r="BY57" s="175"/>
      <c r="BZ57" s="175"/>
      <c r="CA57" s="175"/>
      <c r="CB57" s="175"/>
      <c r="CC57" s="174">
        <v>54</v>
      </c>
      <c r="CD57" s="174">
        <f t="shared" si="3"/>
        <v>9</v>
      </c>
      <c r="CE57" s="21">
        <v>0.21818181818181817</v>
      </c>
      <c r="CF57" s="14">
        <f t="shared" si="4"/>
        <v>0.15490909090909089</v>
      </c>
      <c r="CG57" s="14">
        <f>SUM(CF$4:CF57)</f>
        <v>4.17</v>
      </c>
      <c r="CJ57" s="174">
        <v>54</v>
      </c>
      <c r="CK57" s="174">
        <f t="shared" si="5"/>
        <v>144</v>
      </c>
    </row>
    <row r="58" spans="38:89" ht="16.5" x14ac:dyDescent="0.2">
      <c r="AL58" s="159">
        <v>55</v>
      </c>
      <c r="AM58" s="159">
        <f t="shared" si="0"/>
        <v>9</v>
      </c>
      <c r="AN58" s="161"/>
      <c r="AW58" s="70"/>
      <c r="AX58" s="70"/>
      <c r="AY58" s="70"/>
      <c r="BX58" s="175"/>
      <c r="BY58" s="175"/>
      <c r="BZ58" s="175"/>
      <c r="CA58" s="175"/>
      <c r="CB58" s="175"/>
      <c r="CC58" s="174">
        <v>55</v>
      </c>
      <c r="CD58" s="174">
        <f t="shared" si="3"/>
        <v>10</v>
      </c>
      <c r="CE58" s="21">
        <v>0.18181818181818182</v>
      </c>
      <c r="CF58" s="14">
        <f t="shared" si="4"/>
        <v>0.15090909090909094</v>
      </c>
      <c r="CG58" s="14">
        <f>SUM(CF$4:CF58)</f>
        <v>4.3209090909090913</v>
      </c>
      <c r="CJ58" s="174">
        <v>55</v>
      </c>
      <c r="CK58" s="174">
        <f t="shared" si="5"/>
        <v>145</v>
      </c>
    </row>
    <row r="59" spans="38:89" ht="16.5" x14ac:dyDescent="0.2">
      <c r="AL59" s="159">
        <v>56</v>
      </c>
      <c r="AM59" s="159">
        <f t="shared" si="0"/>
        <v>10</v>
      </c>
      <c r="AN59" s="159">
        <f>INDEX($U$5:$U$34,AM59)</f>
        <v>1.2000000000000002</v>
      </c>
      <c r="AW59" s="70"/>
      <c r="AX59" s="70"/>
      <c r="AY59" s="70"/>
      <c r="BX59" s="175"/>
      <c r="BY59" s="175"/>
      <c r="BZ59" s="175"/>
      <c r="CA59" s="175"/>
      <c r="CB59" s="175"/>
      <c r="CC59" s="174">
        <v>56</v>
      </c>
      <c r="CD59" s="174">
        <f t="shared" si="3"/>
        <v>10</v>
      </c>
      <c r="CE59" s="21">
        <v>0.19090909090909092</v>
      </c>
      <c r="CF59" s="14">
        <f t="shared" si="4"/>
        <v>0.15845454545454549</v>
      </c>
      <c r="CG59" s="14">
        <f>SUM(CF$4:CF59)</f>
        <v>4.4793636363636367</v>
      </c>
      <c r="CJ59" s="174">
        <v>56</v>
      </c>
      <c r="CK59" s="174">
        <f t="shared" si="5"/>
        <v>146</v>
      </c>
    </row>
    <row r="60" spans="38:89" ht="16.5" x14ac:dyDescent="0.2">
      <c r="AL60" s="159">
        <v>57</v>
      </c>
      <c r="AM60" s="159">
        <f t="shared" si="0"/>
        <v>10</v>
      </c>
      <c r="AN60" s="159">
        <f>INDEX($W$5:$W$34,AM59)</f>
        <v>1.0599999999999996</v>
      </c>
      <c r="AW60" s="70"/>
      <c r="AX60" s="70"/>
      <c r="AY60" s="70"/>
      <c r="BX60" s="175"/>
      <c r="BY60" s="175"/>
      <c r="BZ60" s="175"/>
      <c r="CA60" s="175"/>
      <c r="CB60" s="175"/>
      <c r="CC60" s="174">
        <v>57</v>
      </c>
      <c r="CD60" s="174">
        <f t="shared" si="3"/>
        <v>10</v>
      </c>
      <c r="CE60" s="21">
        <v>0.2</v>
      </c>
      <c r="CF60" s="14">
        <f t="shared" si="4"/>
        <v>0.16600000000000004</v>
      </c>
      <c r="CG60" s="14">
        <f>SUM(CF$4:CF60)</f>
        <v>4.645363636363637</v>
      </c>
      <c r="CJ60" s="174">
        <v>57</v>
      </c>
      <c r="CK60" s="174">
        <f t="shared" si="5"/>
        <v>147</v>
      </c>
    </row>
    <row r="61" spans="38:89" ht="16.5" x14ac:dyDescent="0.2">
      <c r="AL61" s="159">
        <v>58</v>
      </c>
      <c r="AM61" s="159">
        <f t="shared" si="0"/>
        <v>10</v>
      </c>
      <c r="AN61" s="159">
        <f>INDEX($AA$5:$AA$34,AM59)</f>
        <v>0.83000000000000007</v>
      </c>
      <c r="AW61" s="70"/>
      <c r="AX61" s="70"/>
      <c r="AY61" s="70"/>
      <c r="BX61" s="175"/>
      <c r="BY61" s="175"/>
      <c r="BZ61" s="175"/>
      <c r="CA61" s="175"/>
      <c r="CB61" s="175"/>
      <c r="CC61" s="174">
        <v>58</v>
      </c>
      <c r="CD61" s="174">
        <f t="shared" si="3"/>
        <v>10</v>
      </c>
      <c r="CE61" s="21">
        <v>0.20909090909090908</v>
      </c>
      <c r="CF61" s="14">
        <f t="shared" si="4"/>
        <v>0.17354545454545456</v>
      </c>
      <c r="CG61" s="14">
        <f>SUM(CF$4:CF61)</f>
        <v>4.8189090909090915</v>
      </c>
      <c r="CJ61" s="174">
        <v>58</v>
      </c>
      <c r="CK61" s="174">
        <f t="shared" si="5"/>
        <v>147</v>
      </c>
    </row>
    <row r="62" spans="38:89" ht="16.5" x14ac:dyDescent="0.2">
      <c r="AL62" s="159">
        <v>59</v>
      </c>
      <c r="AM62" s="159">
        <f t="shared" si="0"/>
        <v>10</v>
      </c>
      <c r="AN62" s="161"/>
      <c r="AW62" s="70"/>
      <c r="AX62" s="70"/>
      <c r="AY62" s="70"/>
      <c r="BX62" s="175"/>
      <c r="BY62" s="175"/>
      <c r="BZ62" s="175"/>
      <c r="CA62" s="175"/>
      <c r="CB62" s="175"/>
      <c r="CC62" s="174">
        <v>59</v>
      </c>
      <c r="CD62" s="174">
        <f t="shared" si="3"/>
        <v>10</v>
      </c>
      <c r="CE62" s="21">
        <v>0.21818181818181817</v>
      </c>
      <c r="CF62" s="14">
        <f t="shared" si="4"/>
        <v>0.18109090909090911</v>
      </c>
      <c r="CG62" s="14">
        <f>SUM(CF$4:CF62)</f>
        <v>5.0000000000000009</v>
      </c>
      <c r="CJ62" s="174">
        <v>59</v>
      </c>
      <c r="CK62" s="174">
        <f t="shared" si="5"/>
        <v>148</v>
      </c>
    </row>
    <row r="63" spans="38:89" ht="16.5" x14ac:dyDescent="0.2">
      <c r="AL63" s="159">
        <v>60</v>
      </c>
      <c r="AM63" s="159">
        <f t="shared" si="0"/>
        <v>10</v>
      </c>
      <c r="AN63" s="161"/>
      <c r="AW63" s="70"/>
      <c r="AX63" s="70"/>
      <c r="AY63" s="70"/>
      <c r="BX63" s="175"/>
      <c r="BY63" s="175"/>
      <c r="BZ63" s="175"/>
      <c r="CA63" s="175"/>
      <c r="CB63" s="175"/>
      <c r="CC63" s="174">
        <v>60</v>
      </c>
      <c r="CD63" s="174">
        <f t="shared" si="3"/>
        <v>11</v>
      </c>
      <c r="CE63" s="21">
        <v>0.18181818181818182</v>
      </c>
      <c r="CF63" s="14">
        <f t="shared" si="4"/>
        <v>0.17090909090909098</v>
      </c>
      <c r="CG63" s="14">
        <f>SUM(CF$4:CF63)</f>
        <v>5.1709090909090918</v>
      </c>
      <c r="CJ63" s="174">
        <v>60</v>
      </c>
      <c r="CK63" s="174">
        <f t="shared" si="5"/>
        <v>148</v>
      </c>
    </row>
    <row r="64" spans="38:89" ht="16.5" x14ac:dyDescent="0.2">
      <c r="AL64" s="159">
        <v>61</v>
      </c>
      <c r="AM64" s="159">
        <f t="shared" si="0"/>
        <v>11</v>
      </c>
      <c r="AN64" s="159">
        <f>INDEX($U$5:$U$34,AM64)</f>
        <v>1.3600000000000003</v>
      </c>
      <c r="AX64" s="70"/>
      <c r="AY64" s="70"/>
      <c r="BX64" s="175"/>
      <c r="BY64" s="175"/>
      <c r="BZ64" s="175"/>
      <c r="CA64" s="175"/>
      <c r="CB64" s="175"/>
      <c r="CC64" s="174">
        <v>61</v>
      </c>
      <c r="CD64" s="174">
        <f t="shared" si="3"/>
        <v>11</v>
      </c>
      <c r="CE64" s="21">
        <v>0.19090909090909092</v>
      </c>
      <c r="CF64" s="14">
        <f t="shared" si="4"/>
        <v>0.17945454545454553</v>
      </c>
      <c r="CG64" s="14">
        <f>SUM(CF$4:CF64)</f>
        <v>5.3503636363636371</v>
      </c>
    </row>
    <row r="65" spans="38:85" ht="16.5" x14ac:dyDescent="0.2">
      <c r="AL65" s="159">
        <v>62</v>
      </c>
      <c r="AM65" s="159">
        <f t="shared" si="0"/>
        <v>11</v>
      </c>
      <c r="AN65" s="159">
        <f>INDEX($W$5:$W$34,AM64)</f>
        <v>1.2000000000000002</v>
      </c>
      <c r="AX65" s="70"/>
      <c r="AY65" s="70"/>
      <c r="BX65" s="175"/>
      <c r="BY65" s="175"/>
      <c r="BZ65" s="175"/>
      <c r="CA65" s="175"/>
      <c r="CB65" s="175"/>
      <c r="CC65" s="174">
        <v>62</v>
      </c>
      <c r="CD65" s="174">
        <f t="shared" si="3"/>
        <v>11</v>
      </c>
      <c r="CE65" s="21">
        <v>0.2</v>
      </c>
      <c r="CF65" s="14">
        <f t="shared" si="4"/>
        <v>0.18800000000000008</v>
      </c>
      <c r="CG65" s="14">
        <f>SUM(CF$4:CF65)</f>
        <v>5.5383636363636368</v>
      </c>
    </row>
    <row r="66" spans="38:85" ht="16.5" x14ac:dyDescent="0.2">
      <c r="AL66" s="159">
        <v>63</v>
      </c>
      <c r="AM66" s="159">
        <f t="shared" si="0"/>
        <v>11</v>
      </c>
      <c r="AN66" s="159">
        <f>INDEX($AA$5:$AA$34,AM64)</f>
        <v>0.94000000000000039</v>
      </c>
      <c r="AX66" s="70"/>
      <c r="AY66" s="70"/>
      <c r="BX66" s="175"/>
      <c r="BY66" s="175"/>
      <c r="BZ66" s="175"/>
      <c r="CA66" s="175"/>
      <c r="CB66" s="175"/>
      <c r="CC66" s="174">
        <v>63</v>
      </c>
      <c r="CD66" s="174">
        <f t="shared" si="3"/>
        <v>11</v>
      </c>
      <c r="CE66" s="21">
        <v>0.20909090909090908</v>
      </c>
      <c r="CF66" s="14">
        <f t="shared" si="4"/>
        <v>0.19654545454545461</v>
      </c>
      <c r="CG66" s="14">
        <f>SUM(CF$4:CF66)</f>
        <v>5.7349090909090918</v>
      </c>
    </row>
    <row r="67" spans="38:85" ht="16.5" x14ac:dyDescent="0.2">
      <c r="AL67" s="159">
        <v>64</v>
      </c>
      <c r="AM67" s="159">
        <f t="shared" si="0"/>
        <v>11</v>
      </c>
      <c r="AN67" s="161"/>
      <c r="AX67" s="70"/>
      <c r="AY67" s="70"/>
      <c r="BX67" s="175"/>
      <c r="BY67" s="175"/>
      <c r="BZ67" s="175"/>
      <c r="CA67" s="175"/>
      <c r="CB67" s="175"/>
      <c r="CC67" s="174">
        <v>64</v>
      </c>
      <c r="CD67" s="174">
        <f t="shared" si="3"/>
        <v>11</v>
      </c>
      <c r="CE67" s="21">
        <v>0.21818181818181817</v>
      </c>
      <c r="CF67" s="14">
        <f t="shared" si="4"/>
        <v>0.20509090909090916</v>
      </c>
      <c r="CG67" s="14">
        <f>SUM(CF$4:CF67)</f>
        <v>5.9400000000000013</v>
      </c>
    </row>
    <row r="68" spans="38:85" ht="16.5" x14ac:dyDescent="0.2">
      <c r="AL68" s="159">
        <v>65</v>
      </c>
      <c r="AM68" s="159">
        <f t="shared" si="0"/>
        <v>11</v>
      </c>
      <c r="AN68" s="161"/>
      <c r="AX68" s="70"/>
      <c r="AY68" s="70"/>
      <c r="BX68" s="175"/>
      <c r="BY68" s="175"/>
      <c r="BZ68" s="175"/>
      <c r="CA68" s="175"/>
      <c r="CB68" s="175"/>
      <c r="CC68" s="174">
        <v>65</v>
      </c>
      <c r="CD68" s="174">
        <f t="shared" si="3"/>
        <v>12</v>
      </c>
      <c r="CE68" s="21">
        <v>0.18181818181818182</v>
      </c>
      <c r="CF68" s="14">
        <f t="shared" si="4"/>
        <v>0.19272727272727266</v>
      </c>
      <c r="CG68" s="14">
        <f>SUM(CF$4:CF68)</f>
        <v>6.1327272727272737</v>
      </c>
    </row>
    <row r="69" spans="38:85" ht="16.5" x14ac:dyDescent="0.2">
      <c r="AL69" s="159">
        <v>66</v>
      </c>
      <c r="AM69" s="159">
        <f t="shared" ref="AM69:AM132" si="11">MATCH(AL69-1,$M$4:$M$34,1)</f>
        <v>12</v>
      </c>
      <c r="AN69" s="159">
        <f>INDEX($U$5:$U$34,AM69)</f>
        <v>1.5700000000000003</v>
      </c>
      <c r="AX69" s="70"/>
      <c r="AY69" s="70"/>
      <c r="BX69" s="175"/>
      <c r="BY69" s="175"/>
      <c r="BZ69" s="175"/>
      <c r="CA69" s="175"/>
      <c r="CB69" s="175"/>
      <c r="CC69" s="174">
        <v>66</v>
      </c>
      <c r="CD69" s="174">
        <f t="shared" ref="CD69:CD132" si="12">MATCH(CC69,$BY$4:$BY$34,1)</f>
        <v>12</v>
      </c>
      <c r="CE69" s="21">
        <v>0.19090909090909092</v>
      </c>
      <c r="CF69" s="14">
        <f t="shared" ref="CF69:CF132" si="13">INDEX($BZ$4:$BZ$34,CD69+1)*CE69</f>
        <v>0.2023636363636363</v>
      </c>
      <c r="CG69" s="14">
        <f>SUM(CF$4:CF69)</f>
        <v>6.3350909090909102</v>
      </c>
    </row>
    <row r="70" spans="38:85" ht="16.5" x14ac:dyDescent="0.2">
      <c r="AL70" s="159">
        <v>67</v>
      </c>
      <c r="AM70" s="159">
        <f t="shared" si="11"/>
        <v>12</v>
      </c>
      <c r="AN70" s="159">
        <f>INDEX($W$5:$W$34,AM69)</f>
        <v>1.3900000000000006</v>
      </c>
      <c r="AX70" s="70"/>
      <c r="AY70" s="70"/>
      <c r="BX70" s="175"/>
      <c r="BY70" s="175"/>
      <c r="BZ70" s="175"/>
      <c r="CA70" s="175"/>
      <c r="CB70" s="175"/>
      <c r="CC70" s="174">
        <v>67</v>
      </c>
      <c r="CD70" s="174">
        <f t="shared" si="12"/>
        <v>12</v>
      </c>
      <c r="CE70" s="21">
        <v>0.2</v>
      </c>
      <c r="CF70" s="14">
        <f t="shared" si="13"/>
        <v>0.21199999999999994</v>
      </c>
      <c r="CG70" s="14">
        <f>SUM(CF$4:CF70)</f>
        <v>6.54709090909091</v>
      </c>
    </row>
    <row r="71" spans="38:85" ht="16.5" x14ac:dyDescent="0.2">
      <c r="AL71" s="159">
        <v>68</v>
      </c>
      <c r="AM71" s="159">
        <f t="shared" si="11"/>
        <v>12</v>
      </c>
      <c r="AN71" s="159">
        <f>INDEX($AA$5:$AA$34,AM69)</f>
        <v>1.0599999999999996</v>
      </c>
      <c r="AX71" s="70"/>
      <c r="AY71" s="70"/>
      <c r="BX71" s="175"/>
      <c r="BY71" s="175"/>
      <c r="BZ71" s="175"/>
      <c r="CA71" s="175"/>
      <c r="CB71" s="175"/>
      <c r="CC71" s="174">
        <v>68</v>
      </c>
      <c r="CD71" s="174">
        <f t="shared" si="12"/>
        <v>12</v>
      </c>
      <c r="CE71" s="21">
        <v>0.20909090909090908</v>
      </c>
      <c r="CF71" s="14">
        <f t="shared" si="13"/>
        <v>0.22163636363636355</v>
      </c>
      <c r="CG71" s="14">
        <f>SUM(CF$4:CF71)</f>
        <v>6.7687272727272738</v>
      </c>
    </row>
    <row r="72" spans="38:85" ht="16.5" x14ac:dyDescent="0.2">
      <c r="AL72" s="159">
        <v>69</v>
      </c>
      <c r="AM72" s="159">
        <f t="shared" si="11"/>
        <v>12</v>
      </c>
      <c r="AN72" s="161"/>
      <c r="AX72" s="70"/>
      <c r="AY72" s="70"/>
      <c r="BX72" s="175"/>
      <c r="BY72" s="175"/>
      <c r="BZ72" s="175"/>
      <c r="CA72" s="175"/>
      <c r="CB72" s="175"/>
      <c r="CC72" s="174">
        <v>69</v>
      </c>
      <c r="CD72" s="174">
        <f t="shared" si="12"/>
        <v>12</v>
      </c>
      <c r="CE72" s="21">
        <v>0.21818181818181817</v>
      </c>
      <c r="CF72" s="14">
        <f t="shared" si="13"/>
        <v>0.23127272727272719</v>
      </c>
      <c r="CG72" s="14">
        <f>SUM(CF$4:CF72)</f>
        <v>7.0000000000000009</v>
      </c>
    </row>
    <row r="73" spans="38:85" ht="16.5" x14ac:dyDescent="0.2">
      <c r="AL73" s="159">
        <v>70</v>
      </c>
      <c r="AM73" s="159">
        <f t="shared" si="11"/>
        <v>12</v>
      </c>
      <c r="AN73" s="161"/>
      <c r="AX73" s="70"/>
      <c r="AY73" s="70"/>
      <c r="BX73" s="175"/>
      <c r="BY73" s="175"/>
      <c r="BZ73" s="175"/>
      <c r="CA73" s="175"/>
      <c r="CB73" s="175"/>
      <c r="CC73" s="174">
        <v>70</v>
      </c>
      <c r="CD73" s="174">
        <f t="shared" si="12"/>
        <v>13</v>
      </c>
      <c r="CE73" s="21">
        <v>0.18181818181818182</v>
      </c>
      <c r="CF73" s="14">
        <f t="shared" si="13"/>
        <v>0.2454545454545454</v>
      </c>
      <c r="CG73" s="14">
        <f>SUM(CF$4:CF73)</f>
        <v>7.245454545454546</v>
      </c>
    </row>
    <row r="74" spans="38:85" ht="16.5" x14ac:dyDescent="0.2">
      <c r="AL74" s="159">
        <v>71</v>
      </c>
      <c r="AM74" s="159">
        <f t="shared" si="11"/>
        <v>13</v>
      </c>
      <c r="AN74" s="159">
        <f>INDEX($U$5:$U$34,AM74)</f>
        <v>2.0299999999999994</v>
      </c>
      <c r="AX74" s="70"/>
      <c r="AY74" s="70"/>
      <c r="BX74" s="175"/>
      <c r="BY74" s="175"/>
      <c r="BZ74" s="175"/>
      <c r="CA74" s="175"/>
      <c r="CB74" s="175"/>
      <c r="CC74" s="174">
        <v>71</v>
      </c>
      <c r="CD74" s="174">
        <f t="shared" si="12"/>
        <v>13</v>
      </c>
      <c r="CE74" s="21">
        <v>0.19090909090909092</v>
      </c>
      <c r="CF74" s="14">
        <f t="shared" si="13"/>
        <v>0.25772727272727269</v>
      </c>
      <c r="CG74" s="14">
        <f>SUM(CF$4:CF74)</f>
        <v>7.5031818181818188</v>
      </c>
    </row>
    <row r="75" spans="38:85" ht="16.5" x14ac:dyDescent="0.2">
      <c r="AL75" s="159">
        <v>72</v>
      </c>
      <c r="AM75" s="159">
        <f t="shared" si="11"/>
        <v>13</v>
      </c>
      <c r="AN75" s="159">
        <f>INDEX($W$5:$W$34,AM74)</f>
        <v>1.7899999999999991</v>
      </c>
      <c r="AX75" s="70"/>
      <c r="AY75" s="70"/>
      <c r="BX75" s="175"/>
      <c r="BY75" s="175"/>
      <c r="BZ75" s="175"/>
      <c r="CA75" s="175"/>
      <c r="CB75" s="175"/>
      <c r="CC75" s="174">
        <v>72</v>
      </c>
      <c r="CD75" s="174">
        <f t="shared" si="12"/>
        <v>13</v>
      </c>
      <c r="CE75" s="21">
        <v>0.2</v>
      </c>
      <c r="CF75" s="14">
        <f t="shared" si="13"/>
        <v>0.26999999999999996</v>
      </c>
      <c r="CG75" s="14">
        <f>SUM(CF$4:CF75)</f>
        <v>7.7731818181818184</v>
      </c>
    </row>
    <row r="76" spans="38:85" ht="16.5" x14ac:dyDescent="0.2">
      <c r="AL76" s="159">
        <v>73</v>
      </c>
      <c r="AM76" s="159">
        <f t="shared" si="11"/>
        <v>13</v>
      </c>
      <c r="AN76" s="159">
        <f>INDEX($AA$5:$AA$34,AM74)</f>
        <v>1.3499999999999996</v>
      </c>
      <c r="AX76" s="70"/>
      <c r="AY76" s="70"/>
      <c r="BX76" s="175"/>
      <c r="BY76" s="175"/>
      <c r="BZ76" s="175"/>
      <c r="CA76" s="175"/>
      <c r="CB76" s="175"/>
      <c r="CC76" s="174">
        <v>73</v>
      </c>
      <c r="CD76" s="174">
        <f t="shared" si="12"/>
        <v>13</v>
      </c>
      <c r="CE76" s="21">
        <v>0.20909090909090908</v>
      </c>
      <c r="CF76" s="14">
        <f t="shared" si="13"/>
        <v>0.28227272727272718</v>
      </c>
      <c r="CG76" s="14">
        <f>SUM(CF$4:CF76)</f>
        <v>8.0554545454545448</v>
      </c>
    </row>
    <row r="77" spans="38:85" ht="16.5" x14ac:dyDescent="0.2">
      <c r="AL77" s="159">
        <v>74</v>
      </c>
      <c r="AM77" s="159">
        <f t="shared" si="11"/>
        <v>13</v>
      </c>
      <c r="AN77" s="161"/>
      <c r="AX77" s="70"/>
      <c r="AY77" s="70"/>
      <c r="BX77" s="175"/>
      <c r="BY77" s="175"/>
      <c r="BZ77" s="175"/>
      <c r="CA77" s="175"/>
      <c r="CB77" s="175"/>
      <c r="CC77" s="174">
        <v>74</v>
      </c>
      <c r="CD77" s="174">
        <f t="shared" si="12"/>
        <v>13</v>
      </c>
      <c r="CE77" s="21">
        <v>0.21818181818181817</v>
      </c>
      <c r="CF77" s="14">
        <f t="shared" si="13"/>
        <v>0.29454545454545444</v>
      </c>
      <c r="CG77" s="14">
        <f>SUM(CF$4:CF77)</f>
        <v>8.35</v>
      </c>
    </row>
    <row r="78" spans="38:85" ht="16.5" x14ac:dyDescent="0.2">
      <c r="AL78" s="159">
        <v>75</v>
      </c>
      <c r="AM78" s="159">
        <f t="shared" si="11"/>
        <v>13</v>
      </c>
      <c r="AN78" s="161"/>
      <c r="AX78" s="70"/>
      <c r="AY78" s="70"/>
      <c r="BX78" s="175"/>
      <c r="BY78" s="175"/>
      <c r="BZ78" s="175"/>
      <c r="CA78" s="175"/>
      <c r="CB78" s="175"/>
      <c r="CC78" s="174">
        <v>75</v>
      </c>
      <c r="CD78" s="174">
        <f t="shared" si="12"/>
        <v>14</v>
      </c>
      <c r="CE78" s="21">
        <v>0.18181818181818182</v>
      </c>
      <c r="CF78" s="14">
        <f t="shared" si="13"/>
        <v>0.28909090909090907</v>
      </c>
      <c r="CG78" s="14">
        <f>SUM(CF$4:CF78)</f>
        <v>8.6390909090909087</v>
      </c>
    </row>
    <row r="79" spans="38:85" ht="16.5" x14ac:dyDescent="0.2">
      <c r="AL79" s="159">
        <v>76</v>
      </c>
      <c r="AM79" s="159">
        <f t="shared" si="11"/>
        <v>14</v>
      </c>
      <c r="AN79" s="159">
        <f>INDEX($U$5:$U$34,AM79)</f>
        <v>2.4000000000000004</v>
      </c>
      <c r="AX79" s="70"/>
      <c r="AY79" s="70"/>
      <c r="BX79" s="175"/>
      <c r="BY79" s="175"/>
      <c r="BZ79" s="175"/>
      <c r="CA79" s="175"/>
      <c r="CB79" s="175"/>
      <c r="CC79" s="174">
        <v>76</v>
      </c>
      <c r="CD79" s="174">
        <f t="shared" si="12"/>
        <v>14</v>
      </c>
      <c r="CE79" s="21">
        <v>0.19090909090909092</v>
      </c>
      <c r="CF79" s="14">
        <f t="shared" si="13"/>
        <v>0.30354545454545451</v>
      </c>
      <c r="CG79" s="14">
        <f>SUM(CF$4:CF79)</f>
        <v>8.9426363636363639</v>
      </c>
    </row>
    <row r="80" spans="38:85" ht="16.5" x14ac:dyDescent="0.2">
      <c r="AL80" s="159">
        <v>77</v>
      </c>
      <c r="AM80" s="159">
        <f t="shared" si="11"/>
        <v>14</v>
      </c>
      <c r="AN80" s="159">
        <f>INDEX($W$5:$W$34,AM79)</f>
        <v>2.120000000000001</v>
      </c>
      <c r="AX80" s="70"/>
      <c r="AY80" s="70"/>
      <c r="BX80" s="175"/>
      <c r="BY80" s="175"/>
      <c r="BZ80" s="175"/>
      <c r="CA80" s="175"/>
      <c r="CB80" s="175"/>
      <c r="CC80" s="174">
        <v>77</v>
      </c>
      <c r="CD80" s="174">
        <f t="shared" si="12"/>
        <v>14</v>
      </c>
      <c r="CE80" s="21">
        <v>0.2</v>
      </c>
      <c r="CF80" s="14">
        <f t="shared" si="13"/>
        <v>0.318</v>
      </c>
      <c r="CG80" s="14">
        <f>SUM(CF$4:CF80)</f>
        <v>9.2606363636363636</v>
      </c>
    </row>
    <row r="81" spans="38:85" ht="16.5" x14ac:dyDescent="0.2">
      <c r="AL81" s="159">
        <v>78</v>
      </c>
      <c r="AM81" s="159">
        <f t="shared" si="11"/>
        <v>14</v>
      </c>
      <c r="AN81" s="159">
        <f>INDEX($AA$5:$AA$34,AM79)</f>
        <v>1.5899999999999999</v>
      </c>
      <c r="AX81" s="70"/>
      <c r="AY81" s="70"/>
      <c r="BX81" s="175"/>
      <c r="BY81" s="175"/>
      <c r="BZ81" s="175"/>
      <c r="CA81" s="175"/>
      <c r="CB81" s="175"/>
      <c r="CC81" s="174">
        <v>78</v>
      </c>
      <c r="CD81" s="174">
        <f t="shared" si="12"/>
        <v>14</v>
      </c>
      <c r="CE81" s="21">
        <v>0.20909090909090908</v>
      </c>
      <c r="CF81" s="14">
        <f t="shared" si="13"/>
        <v>0.33245454545454539</v>
      </c>
      <c r="CG81" s="14">
        <f>SUM(CF$4:CF81)</f>
        <v>9.5930909090909093</v>
      </c>
    </row>
    <row r="82" spans="38:85" ht="16.5" x14ac:dyDescent="0.2">
      <c r="AL82" s="159">
        <v>79</v>
      </c>
      <c r="AM82" s="159">
        <f t="shared" si="11"/>
        <v>14</v>
      </c>
      <c r="AN82" s="161"/>
      <c r="AX82" s="70"/>
      <c r="AY82" s="70"/>
      <c r="BX82" s="175"/>
      <c r="BY82" s="175"/>
      <c r="BZ82" s="175"/>
      <c r="CA82" s="175"/>
      <c r="CB82" s="175"/>
      <c r="CC82" s="174">
        <v>79</v>
      </c>
      <c r="CD82" s="174">
        <f t="shared" si="12"/>
        <v>14</v>
      </c>
      <c r="CE82" s="21">
        <v>0.21818181818181817</v>
      </c>
      <c r="CF82" s="14">
        <f t="shared" si="13"/>
        <v>0.34690909090909083</v>
      </c>
      <c r="CG82" s="14">
        <f>SUM(CF$4:CF82)</f>
        <v>9.94</v>
      </c>
    </row>
    <row r="83" spans="38:85" ht="16.5" x14ac:dyDescent="0.2">
      <c r="AL83" s="159">
        <v>80</v>
      </c>
      <c r="AM83" s="159">
        <f t="shared" si="11"/>
        <v>14</v>
      </c>
      <c r="AN83" s="161"/>
      <c r="AX83" s="70"/>
      <c r="AY83" s="70"/>
      <c r="BX83" s="175"/>
      <c r="BY83" s="175"/>
      <c r="BZ83" s="175"/>
      <c r="CA83" s="175"/>
      <c r="CB83" s="175"/>
      <c r="CC83" s="174">
        <v>80</v>
      </c>
      <c r="CD83" s="174">
        <f t="shared" si="12"/>
        <v>15</v>
      </c>
      <c r="CE83" s="21">
        <v>0.18181818181818182</v>
      </c>
      <c r="CF83" s="14">
        <f t="shared" si="13"/>
        <v>0.34000000000000019</v>
      </c>
      <c r="CG83" s="14">
        <f>SUM(CF$4:CF83)</f>
        <v>10.28</v>
      </c>
    </row>
    <row r="84" spans="38:85" ht="16.5" x14ac:dyDescent="0.2">
      <c r="AL84" s="159">
        <v>81</v>
      </c>
      <c r="AM84" s="159">
        <f t="shared" si="11"/>
        <v>15</v>
      </c>
      <c r="AN84" s="159">
        <f>INDEX($U$5:$U$34,AM84)</f>
        <v>2.870000000000001</v>
      </c>
      <c r="AX84" s="70"/>
      <c r="AY84" s="70"/>
      <c r="BX84" s="175"/>
      <c r="BY84" s="175"/>
      <c r="BZ84" s="175"/>
      <c r="CA84" s="175"/>
      <c r="CB84" s="175"/>
      <c r="CC84" s="174">
        <v>81</v>
      </c>
      <c r="CD84" s="174">
        <f t="shared" si="12"/>
        <v>15</v>
      </c>
      <c r="CE84" s="21">
        <v>0.19090909090909092</v>
      </c>
      <c r="CF84" s="14">
        <f t="shared" si="13"/>
        <v>0.35700000000000021</v>
      </c>
      <c r="CG84" s="14">
        <f>SUM(CF$4:CF84)</f>
        <v>10.637</v>
      </c>
    </row>
    <row r="85" spans="38:85" ht="16.5" x14ac:dyDescent="0.2">
      <c r="AL85" s="159">
        <v>82</v>
      </c>
      <c r="AM85" s="159">
        <f t="shared" si="11"/>
        <v>15</v>
      </c>
      <c r="AN85" s="159">
        <f>INDEX($W$5:$W$34,AM84)</f>
        <v>2.5299999999999994</v>
      </c>
      <c r="AX85" s="70"/>
      <c r="AY85" s="70"/>
      <c r="BX85" s="175"/>
      <c r="BY85" s="175"/>
      <c r="BZ85" s="175"/>
      <c r="CA85" s="175"/>
      <c r="CB85" s="175"/>
      <c r="CC85" s="174">
        <v>82</v>
      </c>
      <c r="CD85" s="174">
        <f t="shared" si="12"/>
        <v>15</v>
      </c>
      <c r="CE85" s="21">
        <v>0.2</v>
      </c>
      <c r="CF85" s="14">
        <f t="shared" si="13"/>
        <v>0.37400000000000022</v>
      </c>
      <c r="CG85" s="14">
        <f>SUM(CF$4:CF85)</f>
        <v>11.011000000000001</v>
      </c>
    </row>
    <row r="86" spans="38:85" ht="16.5" x14ac:dyDescent="0.2">
      <c r="AL86" s="159">
        <v>83</v>
      </c>
      <c r="AM86" s="159">
        <f t="shared" si="11"/>
        <v>15</v>
      </c>
      <c r="AN86" s="159">
        <f>INDEX($AA$5:$AA$34,AM84)</f>
        <v>1.870000000000001</v>
      </c>
      <c r="AX86" s="70"/>
      <c r="AY86" s="70"/>
      <c r="BX86" s="175"/>
      <c r="BY86" s="175"/>
      <c r="BZ86" s="175"/>
      <c r="CA86" s="175"/>
      <c r="CB86" s="175"/>
      <c r="CC86" s="174">
        <v>83</v>
      </c>
      <c r="CD86" s="174">
        <f t="shared" si="12"/>
        <v>15</v>
      </c>
      <c r="CE86" s="21">
        <v>0.20909090909090908</v>
      </c>
      <c r="CF86" s="14">
        <f t="shared" si="13"/>
        <v>0.39100000000000018</v>
      </c>
      <c r="CG86" s="14">
        <f>SUM(CF$4:CF86)</f>
        <v>11.402000000000001</v>
      </c>
    </row>
    <row r="87" spans="38:85" ht="16.5" x14ac:dyDescent="0.2">
      <c r="AL87" s="159">
        <v>84</v>
      </c>
      <c r="AM87" s="159">
        <f t="shared" si="11"/>
        <v>15</v>
      </c>
      <c r="AN87" s="161"/>
      <c r="AX87" s="70"/>
      <c r="AY87" s="70"/>
      <c r="BX87" s="175"/>
      <c r="BY87" s="175"/>
      <c r="BZ87" s="175"/>
      <c r="CA87" s="175"/>
      <c r="CB87" s="175"/>
      <c r="CC87" s="174">
        <v>84</v>
      </c>
      <c r="CD87" s="174">
        <f t="shared" si="12"/>
        <v>15</v>
      </c>
      <c r="CE87" s="21">
        <v>0.21818181818181817</v>
      </c>
      <c r="CF87" s="14">
        <f t="shared" si="13"/>
        <v>0.4080000000000002</v>
      </c>
      <c r="CG87" s="14">
        <f>SUM(CF$4:CF87)</f>
        <v>11.81</v>
      </c>
    </row>
    <row r="88" spans="38:85" ht="16.5" x14ac:dyDescent="0.2">
      <c r="AL88" s="159">
        <v>85</v>
      </c>
      <c r="AM88" s="159">
        <f t="shared" si="11"/>
        <v>15</v>
      </c>
      <c r="AN88" s="161"/>
      <c r="AX88" s="70"/>
      <c r="AY88" s="70"/>
      <c r="BX88" s="175"/>
      <c r="BY88" s="175"/>
      <c r="BZ88" s="175"/>
      <c r="CA88" s="175"/>
      <c r="CB88" s="175"/>
      <c r="CC88" s="174">
        <v>85</v>
      </c>
      <c r="CD88" s="174">
        <f t="shared" si="12"/>
        <v>16</v>
      </c>
      <c r="CE88" s="21">
        <v>0.18181818181818182</v>
      </c>
      <c r="CF88" s="14">
        <f t="shared" si="13"/>
        <v>0.39818181818181808</v>
      </c>
      <c r="CG88" s="14">
        <f>SUM(CF$4:CF88)</f>
        <v>12.208181818181819</v>
      </c>
    </row>
    <row r="89" spans="38:85" ht="16.5" x14ac:dyDescent="0.2">
      <c r="AL89" s="159">
        <v>86</v>
      </c>
      <c r="AM89" s="159">
        <f t="shared" si="11"/>
        <v>16</v>
      </c>
      <c r="AN89" s="159">
        <f>INDEX($U$5:$U$34,AM89)</f>
        <v>3.3699999999999974</v>
      </c>
      <c r="AX89" s="70"/>
      <c r="AY89" s="70"/>
      <c r="BX89" s="175"/>
      <c r="BY89" s="175"/>
      <c r="BZ89" s="175"/>
      <c r="CA89" s="175"/>
      <c r="CB89" s="175"/>
      <c r="CC89" s="174">
        <v>86</v>
      </c>
      <c r="CD89" s="174">
        <f t="shared" si="12"/>
        <v>16</v>
      </c>
      <c r="CE89" s="21">
        <v>0.19090909090909092</v>
      </c>
      <c r="CF89" s="14">
        <f t="shared" si="13"/>
        <v>0.41809090909090901</v>
      </c>
      <c r="CG89" s="14">
        <f>SUM(CF$4:CF89)</f>
        <v>12.626272727272728</v>
      </c>
    </row>
    <row r="90" spans="38:85" ht="16.5" x14ac:dyDescent="0.2">
      <c r="AL90" s="159">
        <v>87</v>
      </c>
      <c r="AM90" s="159">
        <f t="shared" si="11"/>
        <v>16</v>
      </c>
      <c r="AN90" s="159">
        <f>INDEX($W$5:$W$34,AM89)</f>
        <v>2.9699999999999989</v>
      </c>
      <c r="AX90" s="70"/>
      <c r="AY90" s="70"/>
      <c r="BX90" s="175"/>
      <c r="BY90" s="175"/>
      <c r="BZ90" s="175"/>
      <c r="CA90" s="175"/>
      <c r="CB90" s="175"/>
      <c r="CC90" s="174">
        <v>87</v>
      </c>
      <c r="CD90" s="174">
        <f t="shared" si="12"/>
        <v>16</v>
      </c>
      <c r="CE90" s="21">
        <v>0.2</v>
      </c>
      <c r="CF90" s="14">
        <f t="shared" si="13"/>
        <v>0.43799999999999994</v>
      </c>
      <c r="CG90" s="14">
        <f>SUM(CF$4:CF90)</f>
        <v>13.064272727272728</v>
      </c>
    </row>
    <row r="91" spans="38:85" ht="16.5" x14ac:dyDescent="0.2">
      <c r="AL91" s="159">
        <v>88</v>
      </c>
      <c r="AM91" s="159">
        <f t="shared" si="11"/>
        <v>16</v>
      </c>
      <c r="AN91" s="159">
        <f>INDEX($AA$5:$AA$34,AM89)</f>
        <v>2.1899999999999995</v>
      </c>
      <c r="AX91" s="70"/>
      <c r="AY91" s="70"/>
      <c r="BX91" s="175"/>
      <c r="BY91" s="175"/>
      <c r="BZ91" s="175"/>
      <c r="CA91" s="175"/>
      <c r="CB91" s="175"/>
      <c r="CC91" s="174">
        <v>88</v>
      </c>
      <c r="CD91" s="174">
        <f t="shared" si="12"/>
        <v>16</v>
      </c>
      <c r="CE91" s="21">
        <v>0.20909090909090908</v>
      </c>
      <c r="CF91" s="14">
        <f t="shared" si="13"/>
        <v>0.45790909090909077</v>
      </c>
      <c r="CG91" s="14">
        <f>SUM(CF$4:CF91)</f>
        <v>13.522181818181819</v>
      </c>
    </row>
    <row r="92" spans="38:85" ht="16.5" x14ac:dyDescent="0.2">
      <c r="AL92" s="159">
        <v>89</v>
      </c>
      <c r="AM92" s="159">
        <f t="shared" si="11"/>
        <v>16</v>
      </c>
      <c r="AN92" s="161"/>
      <c r="BX92" s="175"/>
      <c r="BY92" s="175"/>
      <c r="BZ92" s="175"/>
      <c r="CA92" s="175"/>
      <c r="CB92" s="175"/>
      <c r="CC92" s="174">
        <v>89</v>
      </c>
      <c r="CD92" s="174">
        <f t="shared" si="12"/>
        <v>16</v>
      </c>
      <c r="CE92" s="21">
        <v>0.21818181818181817</v>
      </c>
      <c r="CF92" s="14">
        <f t="shared" si="13"/>
        <v>0.4778181818181817</v>
      </c>
      <c r="CG92" s="14">
        <f>SUM(CF$4:CF92)</f>
        <v>14</v>
      </c>
    </row>
    <row r="93" spans="38:85" ht="16.5" x14ac:dyDescent="0.2">
      <c r="AL93" s="159">
        <v>90</v>
      </c>
      <c r="AM93" s="159">
        <f t="shared" si="11"/>
        <v>16</v>
      </c>
      <c r="AN93" s="161"/>
      <c r="BX93" s="175"/>
      <c r="BY93" s="175"/>
      <c r="BZ93" s="175"/>
      <c r="CA93" s="175"/>
      <c r="CB93" s="175"/>
      <c r="CC93" s="174">
        <v>90</v>
      </c>
      <c r="CD93" s="174">
        <f t="shared" si="12"/>
        <v>17</v>
      </c>
      <c r="CE93" s="21">
        <v>0.18181818181818182</v>
      </c>
      <c r="CF93" s="14">
        <f t="shared" si="13"/>
        <v>0.42363636363636331</v>
      </c>
      <c r="CG93" s="14">
        <f>SUM(CF$4:CF93)</f>
        <v>14.423636363636364</v>
      </c>
    </row>
    <row r="94" spans="38:85" ht="16.5" x14ac:dyDescent="0.2">
      <c r="AL94" s="159">
        <v>91</v>
      </c>
      <c r="AM94" s="159">
        <f t="shared" si="11"/>
        <v>17</v>
      </c>
      <c r="AN94" s="159">
        <f>INDEX($U$5:$U$34,AM94)</f>
        <v>3.6000000000000014</v>
      </c>
      <c r="BX94" s="175"/>
      <c r="BY94" s="175"/>
      <c r="BZ94" s="175"/>
      <c r="CA94" s="175"/>
      <c r="CB94" s="175"/>
      <c r="CC94" s="174">
        <v>91</v>
      </c>
      <c r="CD94" s="174">
        <f t="shared" si="12"/>
        <v>17</v>
      </c>
      <c r="CE94" s="21">
        <v>0.19090909090909092</v>
      </c>
      <c r="CF94" s="14">
        <f t="shared" si="13"/>
        <v>0.4448181818181815</v>
      </c>
      <c r="CG94" s="14">
        <f>SUM(CF$4:CF94)</f>
        <v>14.868454545454545</v>
      </c>
    </row>
    <row r="95" spans="38:85" ht="16.5" x14ac:dyDescent="0.2">
      <c r="AL95" s="159">
        <v>92</v>
      </c>
      <c r="AM95" s="159">
        <f t="shared" si="11"/>
        <v>17</v>
      </c>
      <c r="AN95" s="159">
        <f>INDEX($W$5:$W$34,AM94)</f>
        <v>3.1799999999999997</v>
      </c>
      <c r="BX95" s="175"/>
      <c r="BY95" s="175"/>
      <c r="BZ95" s="175"/>
      <c r="CA95" s="175"/>
      <c r="CB95" s="175"/>
      <c r="CC95" s="174">
        <v>92</v>
      </c>
      <c r="CD95" s="174">
        <f t="shared" si="12"/>
        <v>17</v>
      </c>
      <c r="CE95" s="21">
        <v>0.2</v>
      </c>
      <c r="CF95" s="14">
        <f t="shared" si="13"/>
        <v>0.46599999999999969</v>
      </c>
      <c r="CG95" s="14">
        <f>SUM(CF$4:CF95)</f>
        <v>15.334454545454545</v>
      </c>
    </row>
    <row r="96" spans="38:85" ht="16.5" x14ac:dyDescent="0.2">
      <c r="AL96" s="159">
        <v>93</v>
      </c>
      <c r="AM96" s="159">
        <f t="shared" si="11"/>
        <v>17</v>
      </c>
      <c r="AN96" s="159">
        <f>INDEX($AA$5:$AA$34,AM94)</f>
        <v>2.3299999999999983</v>
      </c>
      <c r="BX96" s="175"/>
      <c r="BY96" s="175"/>
      <c r="BZ96" s="175"/>
      <c r="CA96" s="175"/>
      <c r="CB96" s="175"/>
      <c r="CC96" s="174">
        <v>93</v>
      </c>
      <c r="CD96" s="174">
        <f t="shared" si="12"/>
        <v>17</v>
      </c>
      <c r="CE96" s="21">
        <v>0.20909090909090908</v>
      </c>
      <c r="CF96" s="14">
        <f t="shared" si="13"/>
        <v>0.48718181818181777</v>
      </c>
      <c r="CG96" s="14">
        <f>SUM(CF$4:CF96)</f>
        <v>15.821636363636362</v>
      </c>
    </row>
    <row r="97" spans="38:85" ht="16.5" x14ac:dyDescent="0.2">
      <c r="AL97" s="159">
        <v>94</v>
      </c>
      <c r="AM97" s="159">
        <f t="shared" si="11"/>
        <v>17</v>
      </c>
      <c r="AN97" s="161"/>
      <c r="BX97" s="175"/>
      <c r="BY97" s="175"/>
      <c r="BZ97" s="175"/>
      <c r="CA97" s="175"/>
      <c r="CB97" s="175"/>
      <c r="CC97" s="174">
        <v>94</v>
      </c>
      <c r="CD97" s="174">
        <f t="shared" si="12"/>
        <v>17</v>
      </c>
      <c r="CE97" s="21">
        <v>0.21818181818181817</v>
      </c>
      <c r="CF97" s="14">
        <f t="shared" si="13"/>
        <v>0.50836363636363602</v>
      </c>
      <c r="CG97" s="14">
        <f>SUM(CF$4:CF97)</f>
        <v>16.329999999999998</v>
      </c>
    </row>
    <row r="98" spans="38:85" ht="16.5" x14ac:dyDescent="0.2">
      <c r="AL98" s="159">
        <v>95</v>
      </c>
      <c r="AM98" s="159">
        <f t="shared" si="11"/>
        <v>17</v>
      </c>
      <c r="AN98" s="161"/>
      <c r="BX98" s="175"/>
      <c r="BY98" s="175"/>
      <c r="BZ98" s="175"/>
      <c r="CA98" s="175"/>
      <c r="CB98" s="175"/>
      <c r="CC98" s="174">
        <v>95</v>
      </c>
      <c r="CD98" s="174">
        <f t="shared" si="12"/>
        <v>18</v>
      </c>
      <c r="CE98" s="21">
        <v>0.18181818181818182</v>
      </c>
      <c r="CF98" s="14">
        <f t="shared" si="13"/>
        <v>0.45454545454545459</v>
      </c>
      <c r="CG98" s="14">
        <f>SUM(CF$4:CF98)</f>
        <v>16.784545454545452</v>
      </c>
    </row>
    <row r="99" spans="38:85" ht="16.5" x14ac:dyDescent="0.2">
      <c r="AL99" s="159">
        <v>96</v>
      </c>
      <c r="AM99" s="159">
        <f t="shared" si="11"/>
        <v>18</v>
      </c>
      <c r="AN99" s="159">
        <f>INDEX($U$5:$U$34,AM99)</f>
        <v>3.8599999999999994</v>
      </c>
      <c r="BX99" s="175"/>
      <c r="BY99" s="175"/>
      <c r="BZ99" s="175"/>
      <c r="CA99" s="175"/>
      <c r="CB99" s="175"/>
      <c r="CC99" s="174">
        <v>96</v>
      </c>
      <c r="CD99" s="174">
        <f t="shared" si="12"/>
        <v>18</v>
      </c>
      <c r="CE99" s="21">
        <v>0.19090909090909092</v>
      </c>
      <c r="CF99" s="14">
        <f t="shared" si="13"/>
        <v>0.47727272727272729</v>
      </c>
      <c r="CG99" s="14">
        <f>SUM(CF$4:CF99)</f>
        <v>17.261818181818178</v>
      </c>
    </row>
    <row r="100" spans="38:85" ht="16.5" x14ac:dyDescent="0.2">
      <c r="AL100" s="159">
        <v>97</v>
      </c>
      <c r="AM100" s="159">
        <f t="shared" si="11"/>
        <v>18</v>
      </c>
      <c r="AN100" s="159">
        <f>INDEX($W$5:$W$34,AM99)</f>
        <v>3.41</v>
      </c>
      <c r="BX100" s="175"/>
      <c r="BY100" s="175"/>
      <c r="BZ100" s="175"/>
      <c r="CA100" s="175"/>
      <c r="CB100" s="175"/>
      <c r="CC100" s="174">
        <v>97</v>
      </c>
      <c r="CD100" s="174">
        <f t="shared" si="12"/>
        <v>18</v>
      </c>
      <c r="CE100" s="21">
        <v>0.2</v>
      </c>
      <c r="CF100" s="14">
        <f t="shared" si="13"/>
        <v>0.5</v>
      </c>
      <c r="CG100" s="14">
        <f>SUM(CF$4:CF100)</f>
        <v>17.761818181818178</v>
      </c>
    </row>
    <row r="101" spans="38:85" ht="16.5" x14ac:dyDescent="0.2">
      <c r="AL101" s="159">
        <v>98</v>
      </c>
      <c r="AM101" s="159">
        <f t="shared" si="11"/>
        <v>18</v>
      </c>
      <c r="AN101" s="159">
        <f>INDEX($AA$5:$AA$34,AM99)</f>
        <v>2.5</v>
      </c>
      <c r="BX101" s="175"/>
      <c r="BY101" s="175"/>
      <c r="BZ101" s="175"/>
      <c r="CA101" s="175"/>
      <c r="CB101" s="175"/>
      <c r="CC101" s="174">
        <v>98</v>
      </c>
      <c r="CD101" s="174">
        <f t="shared" si="12"/>
        <v>18</v>
      </c>
      <c r="CE101" s="21">
        <v>0.20909090909090908</v>
      </c>
      <c r="CF101" s="14">
        <f t="shared" si="13"/>
        <v>0.52272727272727271</v>
      </c>
      <c r="CG101" s="14">
        <f>SUM(CF$4:CF101)</f>
        <v>18.284545454545452</v>
      </c>
    </row>
    <row r="102" spans="38:85" ht="16.5" x14ac:dyDescent="0.2">
      <c r="AL102" s="159">
        <v>99</v>
      </c>
      <c r="AM102" s="159">
        <f t="shared" si="11"/>
        <v>18</v>
      </c>
      <c r="AN102" s="161"/>
      <c r="BX102" s="175"/>
      <c r="BY102" s="175"/>
      <c r="BZ102" s="175"/>
      <c r="CA102" s="175"/>
      <c r="CB102" s="175"/>
      <c r="CC102" s="174">
        <v>99</v>
      </c>
      <c r="CD102" s="174">
        <f t="shared" si="12"/>
        <v>18</v>
      </c>
      <c r="CE102" s="21">
        <v>0.21818181818181817</v>
      </c>
      <c r="CF102" s="14">
        <f t="shared" si="13"/>
        <v>0.54545454545454541</v>
      </c>
      <c r="CG102" s="14">
        <f>SUM(CF$4:CF102)</f>
        <v>18.829999999999998</v>
      </c>
    </row>
    <row r="103" spans="38:85" ht="16.5" x14ac:dyDescent="0.2">
      <c r="AL103" s="159">
        <v>100</v>
      </c>
      <c r="AM103" s="159">
        <f t="shared" si="11"/>
        <v>18</v>
      </c>
      <c r="AN103" s="161"/>
      <c r="BX103" s="175"/>
      <c r="BY103" s="175"/>
      <c r="BZ103" s="175"/>
      <c r="CA103" s="175"/>
      <c r="CB103" s="175"/>
      <c r="CC103" s="174">
        <v>100</v>
      </c>
      <c r="CD103" s="174">
        <f t="shared" si="12"/>
        <v>19</v>
      </c>
      <c r="CE103" s="21">
        <v>0.18181818181818182</v>
      </c>
      <c r="CF103" s="14">
        <f t="shared" si="13"/>
        <v>0.4745454545454551</v>
      </c>
      <c r="CG103" s="14">
        <f>SUM(CF$4:CF103)</f>
        <v>19.304545454545455</v>
      </c>
    </row>
    <row r="104" spans="38:85" ht="16.5" x14ac:dyDescent="0.2">
      <c r="AL104" s="159">
        <v>101</v>
      </c>
      <c r="AM104" s="159">
        <f t="shared" si="11"/>
        <v>19</v>
      </c>
      <c r="AN104" s="159">
        <f>INDEX($U$5:$U$34,AM104)</f>
        <v>4.0399999999999991</v>
      </c>
      <c r="BX104" s="175"/>
      <c r="BY104" s="175"/>
      <c r="BZ104" s="175"/>
      <c r="CA104" s="175"/>
      <c r="CB104" s="175"/>
      <c r="CC104" s="174">
        <v>101</v>
      </c>
      <c r="CD104" s="174">
        <f t="shared" si="12"/>
        <v>19</v>
      </c>
      <c r="CE104" s="21">
        <v>0.19090909090909092</v>
      </c>
      <c r="CF104" s="14">
        <f t="shared" si="13"/>
        <v>0.49827272727272787</v>
      </c>
      <c r="CG104" s="14">
        <f>SUM(CF$4:CF104)</f>
        <v>19.802818181818182</v>
      </c>
    </row>
    <row r="105" spans="38:85" ht="16.5" x14ac:dyDescent="0.2">
      <c r="AL105" s="159">
        <v>102</v>
      </c>
      <c r="AM105" s="159">
        <f t="shared" si="11"/>
        <v>19</v>
      </c>
      <c r="AN105" s="159">
        <f>INDEX($W$5:$W$34,AM104)</f>
        <v>3.5600000000000023</v>
      </c>
      <c r="BX105" s="175"/>
      <c r="BY105" s="175"/>
      <c r="BZ105" s="175"/>
      <c r="CA105" s="175"/>
      <c r="CB105" s="175"/>
      <c r="CC105" s="174">
        <v>102</v>
      </c>
      <c r="CD105" s="174">
        <f t="shared" si="12"/>
        <v>19</v>
      </c>
      <c r="CE105" s="21">
        <v>0.2</v>
      </c>
      <c r="CF105" s="14">
        <f t="shared" si="13"/>
        <v>0.52200000000000057</v>
      </c>
      <c r="CG105" s="14">
        <f>SUM(CF$4:CF105)</f>
        <v>20.324818181818184</v>
      </c>
    </row>
    <row r="106" spans="38:85" ht="16.5" x14ac:dyDescent="0.2">
      <c r="AL106" s="159">
        <v>103</v>
      </c>
      <c r="AM106" s="159">
        <f t="shared" si="11"/>
        <v>19</v>
      </c>
      <c r="AN106" s="159">
        <f>INDEX($AA$5:$AA$34,AM104)</f>
        <v>2.610000000000003</v>
      </c>
      <c r="BX106" s="175"/>
      <c r="BY106" s="175"/>
      <c r="BZ106" s="175"/>
      <c r="CA106" s="175"/>
      <c r="CB106" s="175"/>
      <c r="CC106" s="174">
        <v>103</v>
      </c>
      <c r="CD106" s="174">
        <f t="shared" si="12"/>
        <v>19</v>
      </c>
      <c r="CE106" s="21">
        <v>0.20909090909090908</v>
      </c>
      <c r="CF106" s="14">
        <f t="shared" si="13"/>
        <v>0.54572727272727328</v>
      </c>
      <c r="CG106" s="14">
        <f>SUM(CF$4:CF106)</f>
        <v>20.870545454545457</v>
      </c>
    </row>
    <row r="107" spans="38:85" ht="16.5" x14ac:dyDescent="0.2">
      <c r="AL107" s="159">
        <v>104</v>
      </c>
      <c r="AM107" s="159">
        <f t="shared" si="11"/>
        <v>19</v>
      </c>
      <c r="AN107" s="161"/>
      <c r="BX107" s="175"/>
      <c r="BY107" s="175"/>
      <c r="BZ107" s="175"/>
      <c r="CA107" s="175"/>
      <c r="CB107" s="175"/>
      <c r="CC107" s="174">
        <v>104</v>
      </c>
      <c r="CD107" s="174">
        <f t="shared" si="12"/>
        <v>19</v>
      </c>
      <c r="CE107" s="21">
        <v>0.21818181818181817</v>
      </c>
      <c r="CF107" s="14">
        <f t="shared" si="13"/>
        <v>0.5694545454545461</v>
      </c>
      <c r="CG107" s="14">
        <f>SUM(CF$4:CF107)</f>
        <v>21.440000000000005</v>
      </c>
    </row>
    <row r="108" spans="38:85" ht="16.5" x14ac:dyDescent="0.2">
      <c r="AL108" s="159">
        <v>105</v>
      </c>
      <c r="AM108" s="159">
        <f t="shared" si="11"/>
        <v>19</v>
      </c>
      <c r="AN108" s="161"/>
      <c r="BX108" s="175"/>
      <c r="BY108" s="175"/>
      <c r="BZ108" s="175"/>
      <c r="CA108" s="175"/>
      <c r="CB108" s="175"/>
      <c r="CC108" s="174">
        <v>105</v>
      </c>
      <c r="CD108" s="174">
        <f t="shared" si="12"/>
        <v>20</v>
      </c>
      <c r="CE108" s="21">
        <v>0.18181818181818182</v>
      </c>
      <c r="CF108" s="14">
        <f t="shared" si="13"/>
        <v>0.49272727272727224</v>
      </c>
      <c r="CG108" s="14">
        <f>SUM(CF$4:CF108)</f>
        <v>21.932727272727277</v>
      </c>
    </row>
    <row r="109" spans="38:85" ht="16.5" x14ac:dyDescent="0.2">
      <c r="AL109" s="159">
        <v>106</v>
      </c>
      <c r="AM109" s="159">
        <f t="shared" si="11"/>
        <v>20</v>
      </c>
      <c r="AN109" s="159">
        <f>INDEX($U$5:$U$34,AM109)</f>
        <v>4.2000000000000028</v>
      </c>
      <c r="BX109" s="175"/>
      <c r="BY109" s="175"/>
      <c r="BZ109" s="175"/>
      <c r="CA109" s="175"/>
      <c r="CB109" s="175"/>
      <c r="CC109" s="174">
        <v>106</v>
      </c>
      <c r="CD109" s="174">
        <f t="shared" si="12"/>
        <v>20</v>
      </c>
      <c r="CE109" s="21">
        <v>0.19090909090909092</v>
      </c>
      <c r="CF109" s="14">
        <f t="shared" si="13"/>
        <v>0.51736363636363591</v>
      </c>
      <c r="CG109" s="14">
        <f>SUM(CF$4:CF109)</f>
        <v>22.450090909090914</v>
      </c>
    </row>
    <row r="110" spans="38:85" ht="16.5" x14ac:dyDescent="0.2">
      <c r="AL110" s="159">
        <v>107</v>
      </c>
      <c r="AM110" s="159">
        <f t="shared" si="11"/>
        <v>20</v>
      </c>
      <c r="AN110" s="159">
        <f>INDEX($W$5:$W$34,AM109)</f>
        <v>3.6999999999999993</v>
      </c>
      <c r="BX110" s="175"/>
      <c r="BY110" s="175"/>
      <c r="BZ110" s="175"/>
      <c r="CA110" s="175"/>
      <c r="CB110" s="175"/>
      <c r="CC110" s="174">
        <v>107</v>
      </c>
      <c r="CD110" s="174">
        <f t="shared" si="12"/>
        <v>20</v>
      </c>
      <c r="CE110" s="21">
        <v>0.2</v>
      </c>
      <c r="CF110" s="14">
        <f t="shared" si="13"/>
        <v>0.54199999999999948</v>
      </c>
      <c r="CG110" s="14">
        <f>SUM(CF$4:CF110)</f>
        <v>22.992090909090912</v>
      </c>
    </row>
    <row r="111" spans="38:85" ht="16.5" x14ac:dyDescent="0.2">
      <c r="AL111" s="159">
        <v>108</v>
      </c>
      <c r="AM111" s="159">
        <f t="shared" si="11"/>
        <v>20</v>
      </c>
      <c r="AN111" s="159">
        <f>INDEX($AA$5:$AA$34,AM109)</f>
        <v>2.7099999999999973</v>
      </c>
      <c r="BX111" s="175"/>
      <c r="BY111" s="175"/>
      <c r="BZ111" s="175"/>
      <c r="CA111" s="175"/>
      <c r="CB111" s="175"/>
      <c r="CC111" s="174">
        <v>108</v>
      </c>
      <c r="CD111" s="174">
        <f t="shared" si="12"/>
        <v>20</v>
      </c>
      <c r="CE111" s="21">
        <v>0.20909090909090908</v>
      </c>
      <c r="CF111" s="14">
        <f t="shared" si="13"/>
        <v>0.56663636363636305</v>
      </c>
      <c r="CG111" s="14">
        <f>SUM(CF$4:CF111)</f>
        <v>23.558727272727275</v>
      </c>
    </row>
    <row r="112" spans="38:85" ht="16.5" x14ac:dyDescent="0.2">
      <c r="AL112" s="159">
        <v>109</v>
      </c>
      <c r="AM112" s="159">
        <f t="shared" si="11"/>
        <v>20</v>
      </c>
      <c r="AN112" s="161"/>
      <c r="BX112" s="175"/>
      <c r="BY112" s="175"/>
      <c r="BZ112" s="175"/>
      <c r="CA112" s="175"/>
      <c r="CB112" s="175"/>
      <c r="CC112" s="174">
        <v>109</v>
      </c>
      <c r="CD112" s="174">
        <f t="shared" si="12"/>
        <v>20</v>
      </c>
      <c r="CE112" s="21">
        <v>0.21818181818181817</v>
      </c>
      <c r="CF112" s="14">
        <f t="shared" si="13"/>
        <v>0.59127272727272662</v>
      </c>
      <c r="CG112" s="14">
        <f>SUM(CF$4:CF112)</f>
        <v>24.150000000000002</v>
      </c>
    </row>
    <row r="113" spans="38:85" ht="16.5" x14ac:dyDescent="0.2">
      <c r="AL113" s="159">
        <v>110</v>
      </c>
      <c r="AM113" s="159">
        <f t="shared" si="11"/>
        <v>20</v>
      </c>
      <c r="AN113" s="161"/>
      <c r="BX113" s="175"/>
      <c r="BY113" s="175"/>
      <c r="BZ113" s="175"/>
      <c r="CA113" s="175"/>
      <c r="CB113" s="175"/>
      <c r="CC113" s="174">
        <v>110</v>
      </c>
      <c r="CD113" s="174">
        <f t="shared" si="12"/>
        <v>21</v>
      </c>
      <c r="CE113" s="21">
        <v>0.18181818181818182</v>
      </c>
      <c r="CF113" s="14">
        <f t="shared" si="13"/>
        <v>0.51818181818181841</v>
      </c>
      <c r="CG113" s="14">
        <f>SUM(CF$4:CF113)</f>
        <v>24.668181818181822</v>
      </c>
    </row>
    <row r="114" spans="38:85" ht="16.5" x14ac:dyDescent="0.2">
      <c r="AL114" s="159">
        <v>111</v>
      </c>
      <c r="AM114" s="159">
        <f t="shared" si="11"/>
        <v>21</v>
      </c>
      <c r="AN114" s="159">
        <f>INDEX($U$5:$U$34,AM114)</f>
        <v>4.43</v>
      </c>
      <c r="BX114" s="175"/>
      <c r="BY114" s="175"/>
      <c r="BZ114" s="175"/>
      <c r="CA114" s="175"/>
      <c r="CB114" s="175"/>
      <c r="CC114" s="174">
        <v>111</v>
      </c>
      <c r="CD114" s="174">
        <f t="shared" si="12"/>
        <v>21</v>
      </c>
      <c r="CE114" s="21">
        <v>0.19090909090909092</v>
      </c>
      <c r="CF114" s="14">
        <f t="shared" si="13"/>
        <v>0.5440909090909094</v>
      </c>
      <c r="CG114" s="14">
        <f>SUM(CF$4:CF114)</f>
        <v>25.21227272727273</v>
      </c>
    </row>
    <row r="115" spans="38:85" ht="16.5" x14ac:dyDescent="0.2">
      <c r="AL115" s="159">
        <v>112</v>
      </c>
      <c r="AM115" s="159">
        <f t="shared" si="11"/>
        <v>21</v>
      </c>
      <c r="AN115" s="159">
        <f>INDEX($W$5:$W$34,AM114)</f>
        <v>3.91</v>
      </c>
      <c r="BX115" s="175"/>
      <c r="BY115" s="175"/>
      <c r="BZ115" s="175"/>
      <c r="CA115" s="175"/>
      <c r="CB115" s="175"/>
      <c r="CC115" s="174">
        <v>112</v>
      </c>
      <c r="CD115" s="174">
        <f t="shared" si="12"/>
        <v>21</v>
      </c>
      <c r="CE115" s="21">
        <v>0.2</v>
      </c>
      <c r="CF115" s="14">
        <f t="shared" si="13"/>
        <v>0.57000000000000028</v>
      </c>
      <c r="CG115" s="14">
        <f>SUM(CF$4:CF115)</f>
        <v>25.78227272727273</v>
      </c>
    </row>
    <row r="116" spans="38:85" ht="16.5" x14ac:dyDescent="0.2">
      <c r="AL116" s="159">
        <v>113</v>
      </c>
      <c r="AM116" s="159">
        <f t="shared" si="11"/>
        <v>21</v>
      </c>
      <c r="AN116" s="159">
        <f>INDEX($AA$5:$AA$34,AM114)</f>
        <v>2.8500000000000014</v>
      </c>
      <c r="BX116" s="175"/>
      <c r="BY116" s="175"/>
      <c r="BZ116" s="175"/>
      <c r="CA116" s="175"/>
      <c r="CB116" s="175"/>
      <c r="CC116" s="174">
        <v>113</v>
      </c>
      <c r="CD116" s="174">
        <f t="shared" si="12"/>
        <v>21</v>
      </c>
      <c r="CE116" s="21">
        <v>0.20909090909090908</v>
      </c>
      <c r="CF116" s="14">
        <f t="shared" si="13"/>
        <v>0.59590909090909117</v>
      </c>
      <c r="CG116" s="14">
        <f>SUM(CF$4:CF116)</f>
        <v>26.378181818181822</v>
      </c>
    </row>
    <row r="117" spans="38:85" ht="16.5" x14ac:dyDescent="0.2">
      <c r="AL117" s="159">
        <v>114</v>
      </c>
      <c r="AM117" s="159">
        <f t="shared" si="11"/>
        <v>21</v>
      </c>
      <c r="AN117" s="161"/>
      <c r="BX117" s="175"/>
      <c r="BY117" s="175"/>
      <c r="BZ117" s="175"/>
      <c r="CA117" s="175"/>
      <c r="CB117" s="175"/>
      <c r="CC117" s="174">
        <v>114</v>
      </c>
      <c r="CD117" s="174">
        <f t="shared" si="12"/>
        <v>21</v>
      </c>
      <c r="CE117" s="21">
        <v>0.21818181818181817</v>
      </c>
      <c r="CF117" s="14">
        <f t="shared" si="13"/>
        <v>0.62181818181818205</v>
      </c>
      <c r="CG117" s="14">
        <f>SUM(CF$4:CF117)</f>
        <v>27.000000000000004</v>
      </c>
    </row>
    <row r="118" spans="38:85" ht="16.5" x14ac:dyDescent="0.2">
      <c r="AL118" s="159">
        <v>115</v>
      </c>
      <c r="AM118" s="159">
        <f t="shared" si="11"/>
        <v>21</v>
      </c>
      <c r="AN118" s="161"/>
      <c r="BX118" s="175"/>
      <c r="BY118" s="175"/>
      <c r="BZ118" s="175"/>
      <c r="CA118" s="175"/>
      <c r="CB118" s="175"/>
      <c r="CC118" s="174">
        <v>115</v>
      </c>
      <c r="CD118" s="174">
        <f t="shared" si="12"/>
        <v>22</v>
      </c>
      <c r="CE118" s="21">
        <v>0.18181818181818182</v>
      </c>
      <c r="CF118" s="14">
        <f t="shared" si="13"/>
        <v>0.54545454545454541</v>
      </c>
      <c r="CG118" s="14">
        <f>SUM(CF$4:CF118)</f>
        <v>27.54545454545455</v>
      </c>
    </row>
    <row r="119" spans="38:85" ht="16.5" x14ac:dyDescent="0.2">
      <c r="AL119" s="159">
        <v>116</v>
      </c>
      <c r="AM119" s="159">
        <f t="shared" si="11"/>
        <v>22</v>
      </c>
      <c r="AN119" s="159">
        <f>INDEX($U$5:$U$34,AM119)</f>
        <v>4.6700000000000017</v>
      </c>
      <c r="BX119" s="175"/>
      <c r="BY119" s="175"/>
      <c r="BZ119" s="175"/>
      <c r="CA119" s="175"/>
      <c r="CB119" s="175"/>
      <c r="CC119" s="174">
        <v>116</v>
      </c>
      <c r="CD119" s="174">
        <f t="shared" si="12"/>
        <v>22</v>
      </c>
      <c r="CE119" s="21">
        <v>0.19090909090909092</v>
      </c>
      <c r="CF119" s="14">
        <f t="shared" si="13"/>
        <v>0.57272727272727275</v>
      </c>
      <c r="CG119" s="14">
        <f>SUM(CF$4:CF119)</f>
        <v>28.118181818181824</v>
      </c>
    </row>
    <row r="120" spans="38:85" ht="16.5" x14ac:dyDescent="0.2">
      <c r="AL120" s="159">
        <v>117</v>
      </c>
      <c r="AM120" s="159">
        <f t="shared" si="11"/>
        <v>22</v>
      </c>
      <c r="AN120" s="159">
        <f>INDEX($W$5:$W$34,AM119)</f>
        <v>4.1199999999999974</v>
      </c>
      <c r="BX120" s="175"/>
      <c r="BY120" s="175"/>
      <c r="BZ120" s="175"/>
      <c r="CA120" s="175"/>
      <c r="CB120" s="175"/>
      <c r="CC120" s="174">
        <v>117</v>
      </c>
      <c r="CD120" s="174">
        <f t="shared" si="12"/>
        <v>22</v>
      </c>
      <c r="CE120" s="21">
        <v>0.2</v>
      </c>
      <c r="CF120" s="14">
        <f t="shared" si="13"/>
        <v>0.60000000000000009</v>
      </c>
      <c r="CG120" s="14">
        <f>SUM(CF$4:CF120)</f>
        <v>28.718181818181826</v>
      </c>
    </row>
    <row r="121" spans="38:85" ht="16.5" x14ac:dyDescent="0.2">
      <c r="AL121" s="159">
        <v>118</v>
      </c>
      <c r="AM121" s="159">
        <f t="shared" si="11"/>
        <v>22</v>
      </c>
      <c r="AN121" s="159">
        <f>INDEX($AA$5:$AA$34,AM119)</f>
        <v>3</v>
      </c>
      <c r="BX121" s="175"/>
      <c r="BY121" s="175"/>
      <c r="BZ121" s="175"/>
      <c r="CA121" s="175"/>
      <c r="CB121" s="175"/>
      <c r="CC121" s="174">
        <v>118</v>
      </c>
      <c r="CD121" s="174">
        <f t="shared" si="12"/>
        <v>22</v>
      </c>
      <c r="CE121" s="21">
        <v>0.20909090909090908</v>
      </c>
      <c r="CF121" s="14">
        <f t="shared" si="13"/>
        <v>0.6272727272727272</v>
      </c>
      <c r="CG121" s="14">
        <f>SUM(CF$4:CF121)</f>
        <v>29.345454545454555</v>
      </c>
    </row>
    <row r="122" spans="38:85" ht="16.5" x14ac:dyDescent="0.2">
      <c r="AL122" s="159">
        <v>119</v>
      </c>
      <c r="AM122" s="159">
        <f t="shared" si="11"/>
        <v>22</v>
      </c>
      <c r="AN122" s="161"/>
      <c r="BX122" s="175"/>
      <c r="BY122" s="175"/>
      <c r="BZ122" s="175"/>
      <c r="CA122" s="175"/>
      <c r="CB122" s="175"/>
      <c r="CC122" s="174">
        <v>119</v>
      </c>
      <c r="CD122" s="174">
        <f t="shared" si="12"/>
        <v>22</v>
      </c>
      <c r="CE122" s="21">
        <v>0.21818181818181817</v>
      </c>
      <c r="CF122" s="14">
        <f t="shared" si="13"/>
        <v>0.65454545454545454</v>
      </c>
      <c r="CG122" s="14">
        <f>SUM(CF$4:CF122)</f>
        <v>30.000000000000011</v>
      </c>
    </row>
    <row r="123" spans="38:85" ht="16.5" x14ac:dyDescent="0.2">
      <c r="AL123" s="159">
        <v>120</v>
      </c>
      <c r="AM123" s="159">
        <f t="shared" si="11"/>
        <v>22</v>
      </c>
      <c r="AN123" s="161"/>
      <c r="BX123" s="175"/>
      <c r="BY123" s="175"/>
      <c r="BZ123" s="175"/>
      <c r="CA123" s="175"/>
      <c r="CB123" s="175"/>
      <c r="CC123" s="174">
        <v>120</v>
      </c>
      <c r="CD123" s="174">
        <f t="shared" si="12"/>
        <v>23</v>
      </c>
      <c r="CE123" s="21">
        <v>0.18181818181818182</v>
      </c>
      <c r="CF123" s="14">
        <f t="shared" si="13"/>
        <v>0.60545454545454513</v>
      </c>
      <c r="CG123" s="14">
        <f>SUM(CF$4:CF123)</f>
        <v>30.605454545454556</v>
      </c>
    </row>
    <row r="124" spans="38:85" ht="16.5" x14ac:dyDescent="0.2">
      <c r="AL124" s="159">
        <v>121</v>
      </c>
      <c r="AM124" s="159">
        <f t="shared" si="11"/>
        <v>23</v>
      </c>
      <c r="AN124" s="159">
        <f>INDEX($U$5:$U$34,AM124)</f>
        <v>5.1999999999999957</v>
      </c>
      <c r="BX124" s="175"/>
      <c r="BY124" s="175"/>
      <c r="BZ124" s="175"/>
      <c r="CA124" s="175"/>
      <c r="CB124" s="175"/>
      <c r="CC124" s="174">
        <v>121</v>
      </c>
      <c r="CD124" s="174">
        <f t="shared" si="12"/>
        <v>23</v>
      </c>
      <c r="CE124" s="21">
        <v>0.19090909090909092</v>
      </c>
      <c r="CF124" s="14">
        <f t="shared" si="13"/>
        <v>0.63572727272727247</v>
      </c>
      <c r="CG124" s="14">
        <f>SUM(CF$4:CF124)</f>
        <v>31.241181818181829</v>
      </c>
    </row>
    <row r="125" spans="38:85" ht="16.5" x14ac:dyDescent="0.2">
      <c r="AL125" s="159">
        <v>122</v>
      </c>
      <c r="AM125" s="159">
        <f t="shared" si="11"/>
        <v>23</v>
      </c>
      <c r="AN125" s="159">
        <f>INDEX($W$5:$W$34,AM124)</f>
        <v>4.5900000000000034</v>
      </c>
      <c r="BX125" s="175"/>
      <c r="BY125" s="175"/>
      <c r="BZ125" s="175"/>
      <c r="CA125" s="175"/>
      <c r="CB125" s="175"/>
      <c r="CC125" s="174">
        <v>122</v>
      </c>
      <c r="CD125" s="174">
        <f t="shared" si="12"/>
        <v>23</v>
      </c>
      <c r="CE125" s="21">
        <v>0.2</v>
      </c>
      <c r="CF125" s="14">
        <f t="shared" si="13"/>
        <v>0.6659999999999997</v>
      </c>
      <c r="CG125" s="14">
        <f>SUM(CF$4:CF125)</f>
        <v>31.907181818181829</v>
      </c>
    </row>
    <row r="126" spans="38:85" ht="16.5" x14ac:dyDescent="0.2">
      <c r="AL126" s="159">
        <v>123</v>
      </c>
      <c r="AM126" s="159">
        <f t="shared" si="11"/>
        <v>23</v>
      </c>
      <c r="AN126" s="159">
        <f>INDEX($AA$5:$AA$34,AM124)</f>
        <v>3.3299999999999983</v>
      </c>
      <c r="BX126" s="175"/>
      <c r="BY126" s="175"/>
      <c r="BZ126" s="175"/>
      <c r="CA126" s="175"/>
      <c r="CB126" s="175"/>
      <c r="CC126" s="174">
        <v>123</v>
      </c>
      <c r="CD126" s="174">
        <f t="shared" si="12"/>
        <v>23</v>
      </c>
      <c r="CE126" s="21">
        <v>0.20909090909090908</v>
      </c>
      <c r="CF126" s="14">
        <f t="shared" si="13"/>
        <v>0.69627272727272682</v>
      </c>
      <c r="CG126" s="14">
        <f>SUM(CF$4:CF126)</f>
        <v>32.603454545454554</v>
      </c>
    </row>
    <row r="127" spans="38:85" ht="16.5" x14ac:dyDescent="0.2">
      <c r="AL127" s="159">
        <v>124</v>
      </c>
      <c r="AM127" s="159">
        <f t="shared" si="11"/>
        <v>23</v>
      </c>
      <c r="AN127" s="161"/>
      <c r="BX127" s="175"/>
      <c r="BY127" s="175"/>
      <c r="BZ127" s="175"/>
      <c r="CA127" s="175"/>
      <c r="CB127" s="175"/>
      <c r="CC127" s="174">
        <v>124</v>
      </c>
      <c r="CD127" s="174">
        <f t="shared" si="12"/>
        <v>23</v>
      </c>
      <c r="CE127" s="21">
        <v>0.21818181818181817</v>
      </c>
      <c r="CF127" s="14">
        <f t="shared" si="13"/>
        <v>0.72654545454545416</v>
      </c>
      <c r="CG127" s="14">
        <f>SUM(CF$4:CF127)</f>
        <v>33.330000000000005</v>
      </c>
    </row>
    <row r="128" spans="38:85" ht="16.5" x14ac:dyDescent="0.2">
      <c r="AL128" s="159">
        <v>125</v>
      </c>
      <c r="AM128" s="159">
        <f t="shared" si="11"/>
        <v>23</v>
      </c>
      <c r="AN128" s="161"/>
      <c r="BX128" s="175"/>
      <c r="BY128" s="175"/>
      <c r="BZ128" s="175"/>
      <c r="CA128" s="175"/>
      <c r="CB128" s="175"/>
      <c r="CC128" s="174">
        <v>125</v>
      </c>
      <c r="CD128" s="174">
        <f t="shared" si="12"/>
        <v>24</v>
      </c>
      <c r="CE128" s="21">
        <v>0.18181818181818182</v>
      </c>
      <c r="CF128" s="14">
        <f t="shared" si="13"/>
        <v>0.68181818181818188</v>
      </c>
      <c r="CG128" s="14">
        <f>SUM(CF$4:CF128)</f>
        <v>34.011818181818185</v>
      </c>
    </row>
    <row r="129" spans="38:85" ht="16.5" x14ac:dyDescent="0.2">
      <c r="AL129" s="159">
        <v>126</v>
      </c>
      <c r="AM129" s="159">
        <f t="shared" si="11"/>
        <v>24</v>
      </c>
      <c r="AN129" s="159">
        <f>INDEX($U$5:$U$34,AM129)</f>
        <v>5.8599999999999994</v>
      </c>
      <c r="BX129" s="175"/>
      <c r="BY129" s="175"/>
      <c r="BZ129" s="175"/>
      <c r="CA129" s="175"/>
      <c r="CB129" s="175"/>
      <c r="CC129" s="174">
        <v>126</v>
      </c>
      <c r="CD129" s="174">
        <f t="shared" si="12"/>
        <v>24</v>
      </c>
      <c r="CE129" s="21">
        <v>0.19090909090909092</v>
      </c>
      <c r="CF129" s="14">
        <f t="shared" si="13"/>
        <v>0.71590909090909094</v>
      </c>
      <c r="CG129" s="14">
        <f>SUM(CF$4:CF129)</f>
        <v>34.727727272727279</v>
      </c>
    </row>
    <row r="130" spans="38:85" ht="16.5" x14ac:dyDescent="0.2">
      <c r="AL130" s="159">
        <v>127</v>
      </c>
      <c r="AM130" s="159">
        <f t="shared" si="11"/>
        <v>24</v>
      </c>
      <c r="AN130" s="159">
        <f>INDEX($W$5:$W$34,AM129)</f>
        <v>5.18</v>
      </c>
      <c r="BX130" s="175"/>
      <c r="BY130" s="175"/>
      <c r="BZ130" s="175"/>
      <c r="CA130" s="175"/>
      <c r="CB130" s="175"/>
      <c r="CC130" s="174">
        <v>127</v>
      </c>
      <c r="CD130" s="174">
        <f t="shared" si="12"/>
        <v>24</v>
      </c>
      <c r="CE130" s="21">
        <v>0.2</v>
      </c>
      <c r="CF130" s="14">
        <f t="shared" si="13"/>
        <v>0.75</v>
      </c>
      <c r="CG130" s="14">
        <f>SUM(CF$4:CF130)</f>
        <v>35.477727272727279</v>
      </c>
    </row>
    <row r="131" spans="38:85" ht="16.5" x14ac:dyDescent="0.2">
      <c r="AL131" s="159">
        <v>128</v>
      </c>
      <c r="AM131" s="159">
        <f t="shared" si="11"/>
        <v>24</v>
      </c>
      <c r="AN131" s="159">
        <f>INDEX($AA$5:$AA$34,AM129)</f>
        <v>3.75</v>
      </c>
      <c r="BX131" s="175"/>
      <c r="BY131" s="175"/>
      <c r="BZ131" s="175"/>
      <c r="CA131" s="175"/>
      <c r="CB131" s="175"/>
      <c r="CC131" s="174">
        <v>128</v>
      </c>
      <c r="CD131" s="174">
        <f t="shared" si="12"/>
        <v>24</v>
      </c>
      <c r="CE131" s="21">
        <v>0.20909090909090908</v>
      </c>
      <c r="CF131" s="14">
        <f t="shared" si="13"/>
        <v>0.78409090909090906</v>
      </c>
      <c r="CG131" s="14">
        <f>SUM(CF$4:CF131)</f>
        <v>36.261818181818185</v>
      </c>
    </row>
    <row r="132" spans="38:85" ht="16.5" x14ac:dyDescent="0.2">
      <c r="AL132" s="159">
        <v>129</v>
      </c>
      <c r="AM132" s="159">
        <f t="shared" si="11"/>
        <v>24</v>
      </c>
      <c r="AN132" s="161"/>
      <c r="BX132" s="175"/>
      <c r="BY132" s="175"/>
      <c r="BZ132" s="175"/>
      <c r="CA132" s="175"/>
      <c r="CB132" s="175"/>
      <c r="CC132" s="174">
        <v>129</v>
      </c>
      <c r="CD132" s="174">
        <f t="shared" si="12"/>
        <v>24</v>
      </c>
      <c r="CE132" s="21">
        <v>0.21818181818181817</v>
      </c>
      <c r="CF132" s="14">
        <f t="shared" si="13"/>
        <v>0.81818181818181812</v>
      </c>
      <c r="CG132" s="14">
        <f>SUM(CF$4:CF132)</f>
        <v>37.080000000000005</v>
      </c>
    </row>
    <row r="133" spans="38:85" ht="16.5" x14ac:dyDescent="0.2">
      <c r="AL133" s="159">
        <v>130</v>
      </c>
      <c r="AM133" s="159">
        <f t="shared" ref="AM133:AM153" si="14">MATCH(AL133-1,$M$4:$M$34,1)</f>
        <v>24</v>
      </c>
      <c r="AN133" s="161"/>
      <c r="BX133" s="175"/>
      <c r="BY133" s="175"/>
      <c r="BZ133" s="175"/>
      <c r="CA133" s="175"/>
      <c r="CB133" s="175"/>
      <c r="CC133" s="174">
        <v>130</v>
      </c>
      <c r="CD133" s="174">
        <f t="shared" ref="CD133:CD152" si="15">MATCH(CC133,$BY$4:$BY$34,1)</f>
        <v>25</v>
      </c>
      <c r="CE133" s="21">
        <v>0.18181818181818182</v>
      </c>
      <c r="CF133" s="14">
        <f t="shared" ref="CF133:CF153" si="16">INDEX($BZ$4:$BZ$34,CD133+1)*CE133</f>
        <v>0.79636363636363683</v>
      </c>
      <c r="CG133" s="14">
        <f>SUM(CF$4:CF133)</f>
        <v>37.876363636363642</v>
      </c>
    </row>
    <row r="134" spans="38:85" ht="16.5" x14ac:dyDescent="0.2">
      <c r="AL134" s="159">
        <v>131</v>
      </c>
      <c r="AM134" s="159">
        <f t="shared" si="14"/>
        <v>25</v>
      </c>
      <c r="AN134" s="159">
        <f>INDEX($U$5:$U$34,AM134)</f>
        <v>6.8700000000000045</v>
      </c>
      <c r="BX134" s="175"/>
      <c r="BY134" s="175"/>
      <c r="BZ134" s="175"/>
      <c r="CA134" s="175"/>
      <c r="CB134" s="175"/>
      <c r="CC134" s="174">
        <v>131</v>
      </c>
      <c r="CD134" s="174">
        <f t="shared" si="15"/>
        <v>25</v>
      </c>
      <c r="CE134" s="21">
        <v>0.19090909090909092</v>
      </c>
      <c r="CF134" s="14">
        <f t="shared" si="16"/>
        <v>0.83618181818181869</v>
      </c>
      <c r="CG134" s="14">
        <f>SUM(CF$4:CF134)</f>
        <v>38.712545454545463</v>
      </c>
    </row>
    <row r="135" spans="38:85" ht="16.5" x14ac:dyDescent="0.2">
      <c r="AL135" s="159">
        <v>132</v>
      </c>
      <c r="AM135" s="159">
        <f t="shared" si="14"/>
        <v>25</v>
      </c>
      <c r="AN135" s="159">
        <f>INDEX($W$5:$W$34,AM134)</f>
        <v>6.0499999999999972</v>
      </c>
      <c r="BX135" s="175"/>
      <c r="BY135" s="175"/>
      <c r="BZ135" s="175"/>
      <c r="CA135" s="175"/>
      <c r="CB135" s="175"/>
      <c r="CC135" s="174">
        <v>132</v>
      </c>
      <c r="CD135" s="174">
        <f t="shared" si="15"/>
        <v>25</v>
      </c>
      <c r="CE135" s="21">
        <v>0.2</v>
      </c>
      <c r="CF135" s="14">
        <f t="shared" si="16"/>
        <v>0.87600000000000056</v>
      </c>
      <c r="CG135" s="14">
        <f>SUM(CF$4:CF135)</f>
        <v>39.588545454545461</v>
      </c>
    </row>
    <row r="136" spans="38:85" ht="16.5" x14ac:dyDescent="0.2">
      <c r="AL136" s="159">
        <v>133</v>
      </c>
      <c r="AM136" s="159">
        <f t="shared" si="14"/>
        <v>25</v>
      </c>
      <c r="AN136" s="159">
        <f>INDEX($AA$5:$AA$34,AM134)</f>
        <v>4.3800000000000026</v>
      </c>
      <c r="BX136" s="175"/>
      <c r="BY136" s="175"/>
      <c r="BZ136" s="175"/>
      <c r="CA136" s="175"/>
      <c r="CB136" s="175"/>
      <c r="CC136" s="174">
        <v>133</v>
      </c>
      <c r="CD136" s="174">
        <f t="shared" si="15"/>
        <v>25</v>
      </c>
      <c r="CE136" s="21">
        <v>0.20909090909090908</v>
      </c>
      <c r="CF136" s="14">
        <f t="shared" si="16"/>
        <v>0.91581818181818231</v>
      </c>
      <c r="CG136" s="14">
        <f>SUM(CF$4:CF136)</f>
        <v>40.504363636363642</v>
      </c>
    </row>
    <row r="137" spans="38:85" ht="16.5" x14ac:dyDescent="0.2">
      <c r="AL137" s="159">
        <v>134</v>
      </c>
      <c r="AM137" s="159">
        <f t="shared" si="14"/>
        <v>25</v>
      </c>
      <c r="AN137" s="161"/>
      <c r="BX137" s="175"/>
      <c r="BY137" s="175"/>
      <c r="BZ137" s="175"/>
      <c r="CA137" s="175"/>
      <c r="CB137" s="175"/>
      <c r="CC137" s="174">
        <v>134</v>
      </c>
      <c r="CD137" s="174">
        <f t="shared" si="15"/>
        <v>25</v>
      </c>
      <c r="CE137" s="21">
        <v>0.21818181818181817</v>
      </c>
      <c r="CF137" s="14">
        <f t="shared" si="16"/>
        <v>0.95563636363636417</v>
      </c>
      <c r="CG137" s="14">
        <f>SUM(CF$4:CF137)</f>
        <v>41.460000000000008</v>
      </c>
    </row>
    <row r="138" spans="38:85" ht="16.5" x14ac:dyDescent="0.2">
      <c r="AL138" s="159">
        <v>135</v>
      </c>
      <c r="AM138" s="159">
        <f t="shared" si="14"/>
        <v>25</v>
      </c>
      <c r="AN138" s="161"/>
      <c r="BX138" s="175"/>
      <c r="BY138" s="175"/>
      <c r="BZ138" s="175"/>
      <c r="CA138" s="175"/>
      <c r="CB138" s="175"/>
      <c r="CC138" s="174">
        <v>135</v>
      </c>
      <c r="CD138" s="174">
        <f t="shared" si="15"/>
        <v>26</v>
      </c>
      <c r="CE138" s="21">
        <v>0.18181818181818182</v>
      </c>
      <c r="CF138" s="14">
        <f t="shared" si="16"/>
        <v>0.94727272727272749</v>
      </c>
      <c r="CG138" s="14">
        <f>SUM(CF$4:CF138)</f>
        <v>42.407272727272733</v>
      </c>
    </row>
    <row r="139" spans="38:85" ht="16.5" x14ac:dyDescent="0.2">
      <c r="AL139" s="159">
        <v>136</v>
      </c>
      <c r="AM139" s="159">
        <f t="shared" si="14"/>
        <v>26</v>
      </c>
      <c r="AN139" s="159">
        <f>INDEX($U$5:$U$34,AM139)</f>
        <v>8.2000000000000028</v>
      </c>
      <c r="BX139" s="175"/>
      <c r="BY139" s="175"/>
      <c r="BZ139" s="175"/>
      <c r="CA139" s="175"/>
      <c r="CB139" s="175"/>
      <c r="CC139" s="174">
        <v>136</v>
      </c>
      <c r="CD139" s="174">
        <f t="shared" si="15"/>
        <v>26</v>
      </c>
      <c r="CE139" s="21">
        <v>0.19090909090909092</v>
      </c>
      <c r="CF139" s="14">
        <f t="shared" si="16"/>
        <v>0.99463636363636387</v>
      </c>
      <c r="CG139" s="14">
        <f>SUM(CF$4:CF139)</f>
        <v>43.401909090909101</v>
      </c>
    </row>
    <row r="140" spans="38:85" ht="16.5" x14ac:dyDescent="0.2">
      <c r="AL140" s="159">
        <v>137</v>
      </c>
      <c r="AM140" s="159">
        <f t="shared" si="14"/>
        <v>26</v>
      </c>
      <c r="AN140" s="159">
        <f>INDEX($W$5:$W$34,AM139)</f>
        <v>7.240000000000002</v>
      </c>
      <c r="BX140" s="175"/>
      <c r="BY140" s="175"/>
      <c r="BZ140" s="175"/>
      <c r="CA140" s="175"/>
      <c r="CB140" s="175"/>
      <c r="CC140" s="174">
        <v>137</v>
      </c>
      <c r="CD140" s="174">
        <f t="shared" si="15"/>
        <v>26</v>
      </c>
      <c r="CE140" s="21">
        <v>0.2</v>
      </c>
      <c r="CF140" s="14">
        <f t="shared" si="16"/>
        <v>1.0420000000000003</v>
      </c>
      <c r="CG140" s="14">
        <f>SUM(CF$4:CF140)</f>
        <v>44.443909090909102</v>
      </c>
    </row>
    <row r="141" spans="38:85" ht="16.5" x14ac:dyDescent="0.2">
      <c r="AL141" s="159">
        <v>138</v>
      </c>
      <c r="AM141" s="159">
        <f t="shared" si="14"/>
        <v>26</v>
      </c>
      <c r="AN141" s="159">
        <f>INDEX($AA$5:$AA$34,AM139)</f>
        <v>5.2100000000000009</v>
      </c>
      <c r="BX141" s="175"/>
      <c r="BY141" s="175"/>
      <c r="BZ141" s="175"/>
      <c r="CA141" s="175"/>
      <c r="CB141" s="175"/>
      <c r="CC141" s="174">
        <v>138</v>
      </c>
      <c r="CD141" s="174">
        <f t="shared" si="15"/>
        <v>26</v>
      </c>
      <c r="CE141" s="21">
        <v>0.20909090909090908</v>
      </c>
      <c r="CF141" s="14">
        <f t="shared" si="16"/>
        <v>1.0893636363636365</v>
      </c>
      <c r="CG141" s="14">
        <f>SUM(CF$4:CF141)</f>
        <v>45.533272727272738</v>
      </c>
    </row>
    <row r="142" spans="38:85" ht="16.5" x14ac:dyDescent="0.2">
      <c r="AL142" s="159">
        <v>139</v>
      </c>
      <c r="AM142" s="159">
        <f t="shared" si="14"/>
        <v>26</v>
      </c>
      <c r="AN142" s="161"/>
      <c r="BX142" s="175"/>
      <c r="BY142" s="175"/>
      <c r="BZ142" s="175"/>
      <c r="CA142" s="175"/>
      <c r="CB142" s="175"/>
      <c r="CC142" s="174">
        <v>139</v>
      </c>
      <c r="CD142" s="174">
        <f t="shared" si="15"/>
        <v>26</v>
      </c>
      <c r="CE142" s="21">
        <v>0.21818181818181817</v>
      </c>
      <c r="CF142" s="14">
        <f t="shared" si="16"/>
        <v>1.1367272727272728</v>
      </c>
      <c r="CG142" s="14">
        <f>SUM(CF$4:CF142)</f>
        <v>46.670000000000009</v>
      </c>
    </row>
    <row r="143" spans="38:85" ht="16.5" x14ac:dyDescent="0.2">
      <c r="AL143" s="159">
        <v>140</v>
      </c>
      <c r="AM143" s="159">
        <f t="shared" si="14"/>
        <v>26</v>
      </c>
      <c r="AN143" s="161"/>
      <c r="BX143" s="175"/>
      <c r="BY143" s="175"/>
      <c r="BZ143" s="175"/>
      <c r="CA143" s="175"/>
      <c r="CB143" s="175"/>
      <c r="CC143" s="174">
        <v>140</v>
      </c>
      <c r="CD143" s="174">
        <f t="shared" si="15"/>
        <v>27</v>
      </c>
      <c r="CE143" s="21">
        <v>0.18181818181818182</v>
      </c>
      <c r="CF143" s="14">
        <f t="shared" si="16"/>
        <v>1.1363636363636365</v>
      </c>
      <c r="CG143" s="14">
        <f>SUM(CF$4:CF143)</f>
        <v>47.806363636363642</v>
      </c>
    </row>
    <row r="144" spans="38:85" ht="16.5" x14ac:dyDescent="0.2">
      <c r="AL144" s="159">
        <v>141</v>
      </c>
      <c r="AM144" s="159">
        <f t="shared" si="14"/>
        <v>27</v>
      </c>
      <c r="AN144" s="159">
        <f>INDEX($U$5:$U$34,AM144)</f>
        <v>9.8699999999999903</v>
      </c>
      <c r="BX144" s="175"/>
      <c r="BY144" s="175"/>
      <c r="BZ144" s="175"/>
      <c r="CA144" s="175"/>
      <c r="CB144" s="175"/>
      <c r="CC144" s="174">
        <v>141</v>
      </c>
      <c r="CD144" s="174">
        <f t="shared" si="15"/>
        <v>27</v>
      </c>
      <c r="CE144" s="21">
        <v>0.19090909090909092</v>
      </c>
      <c r="CF144" s="14">
        <f t="shared" si="16"/>
        <v>1.1931818181818183</v>
      </c>
      <c r="CG144" s="14">
        <f>SUM(CF$4:CF144)</f>
        <v>48.999545454545462</v>
      </c>
    </row>
    <row r="145" spans="38:85" ht="16.5" x14ac:dyDescent="0.2">
      <c r="AL145" s="159">
        <v>142</v>
      </c>
      <c r="AM145" s="159">
        <f t="shared" si="14"/>
        <v>27</v>
      </c>
      <c r="AN145" s="159">
        <f>INDEX($W$5:$W$34,AM144)</f>
        <v>8.7099999999999937</v>
      </c>
      <c r="BX145" s="175"/>
      <c r="BY145" s="175"/>
      <c r="BZ145" s="175"/>
      <c r="CA145" s="175"/>
      <c r="CB145" s="175"/>
      <c r="CC145" s="174">
        <v>142</v>
      </c>
      <c r="CD145" s="174">
        <f t="shared" si="15"/>
        <v>27</v>
      </c>
      <c r="CE145" s="21">
        <v>0.2</v>
      </c>
      <c r="CF145" s="14">
        <f t="shared" si="16"/>
        <v>1.25</v>
      </c>
      <c r="CG145" s="14">
        <f>SUM(CF$4:CF145)</f>
        <v>50.249545454545462</v>
      </c>
    </row>
    <row r="146" spans="38:85" ht="16.5" x14ac:dyDescent="0.2">
      <c r="AL146" s="159">
        <v>143</v>
      </c>
      <c r="AM146" s="159">
        <f t="shared" si="14"/>
        <v>27</v>
      </c>
      <c r="AN146" s="159">
        <f>INDEX($AA$5:$AA$34,AM144)</f>
        <v>6.25</v>
      </c>
      <c r="BX146" s="175"/>
      <c r="BY146" s="175"/>
      <c r="BZ146" s="175"/>
      <c r="CA146" s="175"/>
      <c r="CB146" s="175"/>
      <c r="CC146" s="174">
        <v>143</v>
      </c>
      <c r="CD146" s="174">
        <f t="shared" si="15"/>
        <v>27</v>
      </c>
      <c r="CE146" s="21">
        <v>0.20909090909090908</v>
      </c>
      <c r="CF146" s="14">
        <f t="shared" si="16"/>
        <v>1.3068181818181817</v>
      </c>
      <c r="CG146" s="14">
        <f>SUM(CF$4:CF146)</f>
        <v>51.556363636363642</v>
      </c>
    </row>
    <row r="147" spans="38:85" ht="16.5" x14ac:dyDescent="0.2">
      <c r="AL147" s="159">
        <v>144</v>
      </c>
      <c r="AM147" s="159">
        <f t="shared" si="14"/>
        <v>27</v>
      </c>
      <c r="AN147" s="161"/>
      <c r="BX147" s="175"/>
      <c r="BY147" s="175"/>
      <c r="BZ147" s="175"/>
      <c r="CA147" s="175"/>
      <c r="CB147" s="175"/>
      <c r="CC147" s="174">
        <v>144</v>
      </c>
      <c r="CD147" s="174">
        <f t="shared" si="15"/>
        <v>27</v>
      </c>
      <c r="CE147" s="21">
        <v>0.21818181818181817</v>
      </c>
      <c r="CF147" s="14">
        <f t="shared" si="16"/>
        <v>1.3636363636363635</v>
      </c>
      <c r="CG147" s="14">
        <f>SUM(CF$4:CF147)</f>
        <v>52.920000000000009</v>
      </c>
    </row>
    <row r="148" spans="38:85" ht="16.5" x14ac:dyDescent="0.2">
      <c r="AL148" s="159">
        <v>145</v>
      </c>
      <c r="AM148" s="159">
        <f t="shared" si="14"/>
        <v>27</v>
      </c>
      <c r="AN148" s="161"/>
      <c r="BX148" s="175"/>
      <c r="BY148" s="175"/>
      <c r="BZ148" s="175"/>
      <c r="CA148" s="175"/>
      <c r="CB148" s="175"/>
      <c r="CC148" s="174">
        <v>145</v>
      </c>
      <c r="CD148" s="174">
        <f t="shared" si="15"/>
        <v>28</v>
      </c>
      <c r="CE148" s="21">
        <v>0.18181818181818182</v>
      </c>
      <c r="CF148" s="14">
        <f t="shared" si="16"/>
        <v>1.2872727272727269</v>
      </c>
      <c r="CG148" s="14">
        <f>SUM(CF$4:CF148)</f>
        <v>54.207272727272738</v>
      </c>
    </row>
    <row r="149" spans="38:85" ht="16.5" x14ac:dyDescent="0.2">
      <c r="AL149" s="159">
        <v>146</v>
      </c>
      <c r="AM149" s="159">
        <f t="shared" si="14"/>
        <v>28</v>
      </c>
      <c r="AN149" s="159">
        <f>INDEX($U$5:$U$34,AM149)</f>
        <v>11.200000000000003</v>
      </c>
      <c r="BX149" s="175"/>
      <c r="BY149" s="175"/>
      <c r="BZ149" s="175"/>
      <c r="CA149" s="175"/>
      <c r="CB149" s="175"/>
      <c r="CC149" s="174">
        <v>146</v>
      </c>
      <c r="CD149" s="174">
        <f t="shared" si="15"/>
        <v>28</v>
      </c>
      <c r="CE149" s="21">
        <v>0.19090909090909092</v>
      </c>
      <c r="CF149" s="14">
        <f t="shared" si="16"/>
        <v>1.3516363636363633</v>
      </c>
      <c r="CG149" s="14">
        <f>SUM(CF$4:CF149)</f>
        <v>55.558909090909104</v>
      </c>
    </row>
    <row r="150" spans="38:85" ht="16.5" x14ac:dyDescent="0.2">
      <c r="AL150" s="159">
        <v>147</v>
      </c>
      <c r="AM150" s="159">
        <f t="shared" si="14"/>
        <v>28</v>
      </c>
      <c r="AN150" s="159">
        <f>INDEX($W$5:$W$34,AM149)</f>
        <v>9.8800000000000097</v>
      </c>
      <c r="BX150" s="175"/>
      <c r="BY150" s="175"/>
      <c r="BZ150" s="175"/>
      <c r="CA150" s="175"/>
      <c r="CB150" s="175"/>
      <c r="CC150" s="174">
        <v>147</v>
      </c>
      <c r="CD150" s="174">
        <f t="shared" si="15"/>
        <v>28</v>
      </c>
      <c r="CE150" s="21">
        <v>0.2</v>
      </c>
      <c r="CF150" s="14">
        <f t="shared" si="16"/>
        <v>1.4159999999999997</v>
      </c>
      <c r="CG150" s="14">
        <f>SUM(CF$4:CF150)</f>
        <v>56.974909090909101</v>
      </c>
    </row>
    <row r="151" spans="38:85" ht="16.5" x14ac:dyDescent="0.2">
      <c r="AL151" s="159">
        <v>148</v>
      </c>
      <c r="AM151" s="159">
        <f t="shared" si="14"/>
        <v>28</v>
      </c>
      <c r="AN151" s="159">
        <f>INDEX($AA$5:$AA$34,AM149)</f>
        <v>7.0799999999999983</v>
      </c>
      <c r="BX151" s="175"/>
      <c r="BY151" s="175"/>
      <c r="BZ151" s="175"/>
      <c r="CA151" s="175"/>
      <c r="CB151" s="175"/>
      <c r="CC151" s="174">
        <v>148</v>
      </c>
      <c r="CD151" s="174">
        <f t="shared" si="15"/>
        <v>28</v>
      </c>
      <c r="CE151" s="21">
        <v>0.20909090909090908</v>
      </c>
      <c r="CF151" s="14">
        <f t="shared" si="16"/>
        <v>1.4803636363636359</v>
      </c>
      <c r="CG151" s="14">
        <f>SUM(CF$4:CF151)</f>
        <v>58.455272727272735</v>
      </c>
    </row>
    <row r="152" spans="38:85" ht="16.5" x14ac:dyDescent="0.2">
      <c r="AL152" s="159">
        <v>149</v>
      </c>
      <c r="AM152" s="159">
        <f t="shared" si="14"/>
        <v>28</v>
      </c>
      <c r="AN152" s="161"/>
      <c r="BX152" s="175"/>
      <c r="BY152" s="175"/>
      <c r="BZ152" s="175"/>
      <c r="CA152" s="175"/>
      <c r="CB152" s="175"/>
      <c r="CC152" s="174">
        <v>149</v>
      </c>
      <c r="CD152" s="174">
        <f t="shared" si="15"/>
        <v>28</v>
      </c>
      <c r="CE152" s="21">
        <v>0.21818181818181817</v>
      </c>
      <c r="CF152" s="14">
        <f t="shared" si="16"/>
        <v>1.5447272727272723</v>
      </c>
      <c r="CG152" s="14">
        <f>SUM(CF$4:CF152)</f>
        <v>60.000000000000007</v>
      </c>
    </row>
    <row r="153" spans="38:85" ht="16.5" x14ac:dyDescent="0.2">
      <c r="AL153" s="159">
        <v>150</v>
      </c>
      <c r="AM153" s="159">
        <f t="shared" si="14"/>
        <v>28</v>
      </c>
      <c r="AN153" s="161"/>
      <c r="BX153" s="175"/>
      <c r="BY153" s="175"/>
      <c r="BZ153" s="175"/>
      <c r="CA153" s="175"/>
      <c r="CB153" s="175"/>
      <c r="CC153" s="174">
        <v>150</v>
      </c>
      <c r="CD153" s="174">
        <v>28</v>
      </c>
      <c r="CE153" s="21">
        <v>0.21818181818181817</v>
      </c>
      <c r="CF153" s="14">
        <f t="shared" si="16"/>
        <v>1.5447272727272723</v>
      </c>
      <c r="CG153" s="14">
        <f>SUM(CF$4:CF153)</f>
        <v>61.544727272727279</v>
      </c>
    </row>
    <row r="154" spans="38:85" x14ac:dyDescent="0.2">
      <c r="BX154" s="175"/>
      <c r="BY154" s="175"/>
      <c r="BZ154" s="175"/>
      <c r="CA154" s="175"/>
    </row>
    <row r="155" spans="38:85" x14ac:dyDescent="0.2">
      <c r="BX155" s="175"/>
      <c r="BY155" s="175"/>
      <c r="BZ155" s="175"/>
      <c r="CA155" s="175"/>
    </row>
    <row r="156" spans="38:85" x14ac:dyDescent="0.2">
      <c r="BX156" s="175"/>
      <c r="BY156" s="175"/>
      <c r="BZ156" s="175"/>
      <c r="CA156" s="175"/>
    </row>
  </sheetData>
  <mergeCells count="2">
    <mergeCell ref="BR2:BU2"/>
    <mergeCell ref="BB2:BJ2"/>
  </mergeCells>
  <phoneticPr fontId="2" type="noConversion"/>
  <pageMargins left="0.7" right="0.7" top="0.75" bottom="0.75" header="0.3" footer="0.3"/>
  <pageSetup paperSize="9" orientation="portrait" horizontalDpi="4294967295" verticalDpi="4294967295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FC304"/>
  <sheetViews>
    <sheetView tabSelected="1" topLeftCell="V1" workbookViewId="0">
      <selection activeCell="AD6" sqref="AD6:AD35"/>
    </sheetView>
  </sheetViews>
  <sheetFormatPr defaultRowHeight="14.25" x14ac:dyDescent="0.2"/>
  <cols>
    <col min="3" max="3" width="9" style="168"/>
    <col min="4" max="5" width="9" style="111"/>
    <col min="6" max="6" width="8.875" customWidth="1"/>
    <col min="7" max="7" width="9.625" customWidth="1"/>
    <col min="8" max="8" width="12.25" customWidth="1"/>
    <col min="9" max="9" width="11.375" customWidth="1"/>
    <col min="10" max="10" width="13" customWidth="1"/>
    <col min="11" max="11" width="13.5" customWidth="1"/>
    <col min="12" max="12" width="15.875" customWidth="1"/>
    <col min="13" max="13" width="15" customWidth="1"/>
    <col min="14" max="14" width="14.25" customWidth="1"/>
    <col min="15" max="15" width="14.5" customWidth="1"/>
    <col min="16" max="16" width="14.5" style="122" customWidth="1"/>
    <col min="17" max="17" width="12.875" customWidth="1"/>
    <col min="18" max="18" width="10.25" customWidth="1"/>
    <col min="19" max="19" width="9.75" customWidth="1"/>
    <col min="20" max="20" width="15.625" customWidth="1"/>
    <col min="21" max="21" width="15.125" customWidth="1"/>
    <col min="22" max="25" width="15.625" customWidth="1"/>
    <col min="26" max="26" width="11.75" customWidth="1"/>
    <col min="27" max="27" width="11.75" style="182" customWidth="1"/>
    <col min="28" max="28" width="11.75" customWidth="1"/>
    <col min="29" max="29" width="13.625" customWidth="1"/>
    <col min="30" max="30" width="13.625" style="212" customWidth="1"/>
    <col min="31" max="31" width="12.75" style="157" customWidth="1"/>
    <col min="32" max="32" width="14" customWidth="1"/>
    <col min="33" max="33" width="13.5" style="120" customWidth="1"/>
    <col min="34" max="34" width="12.875" style="120" customWidth="1"/>
    <col min="35" max="35" width="10.5" customWidth="1"/>
    <col min="48" max="50" width="11.125" customWidth="1"/>
    <col min="54" max="54" width="9.625" customWidth="1"/>
    <col min="55" max="55" width="10.5" customWidth="1"/>
    <col min="56" max="58" width="10.625" customWidth="1"/>
    <col min="59" max="60" width="10.625" style="182" customWidth="1"/>
    <col min="73" max="73" width="9" style="114"/>
    <col min="77" max="77" width="9" style="111"/>
    <col min="78" max="78" width="10.625" style="120" customWidth="1"/>
    <col min="79" max="79" width="10.125" style="120" customWidth="1"/>
    <col min="80" max="80" width="11.375" style="120" customWidth="1"/>
    <col min="81" max="81" width="10.75" style="120" customWidth="1"/>
    <col min="82" max="82" width="9" style="120"/>
    <col min="83" max="83" width="41.125" style="120" customWidth="1"/>
    <col min="84" max="84" width="9" style="120"/>
    <col min="85" max="85" width="13.875" customWidth="1"/>
    <col min="86" max="86" width="10.5" customWidth="1"/>
    <col min="87" max="87" width="17.5" customWidth="1"/>
    <col min="88" max="88" width="11.375" customWidth="1"/>
    <col min="89" max="89" width="12.625" customWidth="1"/>
    <col min="94" max="94" width="9" style="117"/>
    <col min="95" max="95" width="9" style="120"/>
    <col min="98" max="98" width="10.25" style="117" customWidth="1"/>
    <col min="99" max="103" width="10.25" style="120" customWidth="1"/>
    <col min="104" max="104" width="50.375" style="120" customWidth="1"/>
    <col min="105" max="105" width="10.25" style="120" customWidth="1"/>
    <col min="106" max="106" width="15.875" customWidth="1"/>
    <col min="108" max="108" width="24.875" customWidth="1"/>
    <col min="109" max="109" width="13.625" customWidth="1"/>
    <col min="110" max="110" width="11.25" customWidth="1"/>
    <col min="111" max="111" width="11.5" customWidth="1"/>
    <col min="117" max="120" width="9" style="168"/>
    <col min="121" max="121" width="9" style="120"/>
    <col min="122" max="122" width="14.625" customWidth="1"/>
    <col min="127" max="127" width="47.25" customWidth="1"/>
    <col min="128" max="128" width="18.75" customWidth="1"/>
    <col min="129" max="129" width="18.375" customWidth="1"/>
    <col min="130" max="130" width="14.25" customWidth="1"/>
    <col min="131" max="131" width="13.75" customWidth="1"/>
    <col min="132" max="132" width="17.75" customWidth="1"/>
    <col min="133" max="133" width="16.125" style="120" customWidth="1"/>
    <col min="134" max="134" width="14.25" style="120" customWidth="1"/>
    <col min="136" max="137" width="9" style="178"/>
    <col min="146" max="146" width="10.625" customWidth="1"/>
    <col min="147" max="147" width="13.875" customWidth="1"/>
    <col min="152" max="152" width="32.375" customWidth="1"/>
    <col min="153" max="153" width="11.75" customWidth="1"/>
    <col min="154" max="154" width="15.625" customWidth="1"/>
    <col min="155" max="155" width="13" customWidth="1"/>
    <col min="156" max="156" width="15.625" customWidth="1"/>
    <col min="157" max="157" width="12.625" customWidth="1"/>
    <col min="158" max="158" width="15.625" customWidth="1"/>
    <col min="159" max="159" width="10.625" customWidth="1"/>
  </cols>
  <sheetData>
    <row r="1" spans="1:159" x14ac:dyDescent="0.2">
      <c r="DJ1" s="168"/>
      <c r="DK1" s="168"/>
      <c r="DL1" s="168"/>
    </row>
    <row r="2" spans="1:159" ht="16.5" x14ac:dyDescent="0.2">
      <c r="AH2" s="120">
        <v>0.25</v>
      </c>
      <c r="CR2" s="44">
        <v>1.5</v>
      </c>
      <c r="CS2" s="44">
        <v>2</v>
      </c>
      <c r="CT2" s="44"/>
      <c r="CU2" s="44"/>
      <c r="CV2" s="44"/>
      <c r="CW2" s="44"/>
      <c r="CX2" s="44"/>
      <c r="CY2" s="44"/>
      <c r="CZ2" s="44"/>
      <c r="DA2" s="44"/>
      <c r="DB2" s="111"/>
      <c r="DC2" s="111"/>
      <c r="DD2" s="111"/>
      <c r="DE2" s="111"/>
      <c r="DF2" s="111"/>
      <c r="DG2" s="111"/>
      <c r="DJ2" s="168"/>
      <c r="DK2" s="168"/>
      <c r="DL2" s="168"/>
      <c r="EM2" s="44">
        <v>1.5</v>
      </c>
      <c r="EN2" s="44">
        <v>2.5</v>
      </c>
      <c r="EP2">
        <v>2</v>
      </c>
    </row>
    <row r="3" spans="1:159" ht="20.25" x14ac:dyDescent="0.2">
      <c r="A3" s="234" t="s">
        <v>95</v>
      </c>
      <c r="B3" s="234"/>
      <c r="C3" s="234"/>
      <c r="D3" s="234"/>
      <c r="E3" s="234"/>
      <c r="F3" s="234"/>
      <c r="G3" s="234"/>
      <c r="H3" s="234"/>
      <c r="I3" s="234"/>
      <c r="J3" s="234"/>
      <c r="K3" s="234"/>
      <c r="L3" s="234"/>
      <c r="M3" s="234"/>
      <c r="O3" s="233" t="s">
        <v>104</v>
      </c>
      <c r="P3" s="233"/>
      <c r="Q3" s="233"/>
      <c r="R3" s="233"/>
      <c r="S3" s="233"/>
      <c r="T3" s="233"/>
      <c r="U3" s="233"/>
      <c r="V3" s="233"/>
      <c r="W3" s="233"/>
      <c r="X3" s="233"/>
      <c r="Y3" s="233"/>
      <c r="Z3" s="233"/>
      <c r="AA3" s="179"/>
      <c r="AC3" s="233" t="s">
        <v>110</v>
      </c>
      <c r="AD3" s="233"/>
      <c r="AE3" s="233"/>
      <c r="AF3" s="233"/>
      <c r="AG3" s="233"/>
      <c r="AH3" s="233"/>
      <c r="AI3" s="233"/>
      <c r="AJ3" s="233"/>
      <c r="AK3" s="233"/>
      <c r="AL3" s="233"/>
      <c r="AM3" s="233"/>
      <c r="AN3" s="233"/>
      <c r="AO3" s="233"/>
      <c r="AP3" s="233"/>
      <c r="AS3" s="234" t="s">
        <v>92</v>
      </c>
      <c r="AT3" s="234"/>
      <c r="AU3" s="234"/>
      <c r="AV3" s="234"/>
      <c r="AW3" s="234"/>
      <c r="AX3" s="234"/>
      <c r="BA3" s="234" t="s">
        <v>367</v>
      </c>
      <c r="BB3" s="234"/>
      <c r="BC3" s="234"/>
      <c r="BD3" s="234"/>
      <c r="BE3" s="234"/>
      <c r="BF3" s="234"/>
      <c r="BG3" s="234"/>
      <c r="BH3" s="180"/>
      <c r="BK3" s="233" t="s">
        <v>37</v>
      </c>
      <c r="BL3" s="233"/>
      <c r="BM3" s="233"/>
      <c r="BN3" s="233"/>
      <c r="BO3" s="233"/>
      <c r="BP3" s="233"/>
      <c r="BS3" s="234" t="s">
        <v>254</v>
      </c>
      <c r="BT3" s="234"/>
      <c r="BU3" s="234"/>
      <c r="BV3" s="234"/>
      <c r="BW3" s="234"/>
      <c r="BX3" s="234"/>
      <c r="BY3" s="234"/>
      <c r="BZ3" s="234"/>
      <c r="CA3" s="234"/>
      <c r="CB3" s="234"/>
      <c r="CC3" s="234"/>
      <c r="CD3" s="234"/>
      <c r="CE3" s="234"/>
      <c r="CF3" s="234"/>
      <c r="CG3" s="234"/>
      <c r="CH3" s="234"/>
      <c r="CI3" s="234"/>
      <c r="CJ3" s="234"/>
      <c r="CK3" s="234"/>
      <c r="CL3" s="234"/>
      <c r="CO3" s="234" t="s">
        <v>255</v>
      </c>
      <c r="CP3" s="234"/>
      <c r="CQ3" s="234"/>
      <c r="CR3" s="234"/>
      <c r="CS3" s="234"/>
      <c r="CT3" s="234"/>
      <c r="CU3" s="234"/>
      <c r="CV3" s="234"/>
      <c r="CW3" s="234"/>
      <c r="CX3" s="234"/>
      <c r="CY3" s="234"/>
      <c r="CZ3" s="234"/>
      <c r="DA3" s="234"/>
      <c r="DB3" s="234"/>
      <c r="DC3" s="234"/>
      <c r="DD3" s="234"/>
      <c r="DE3" s="234"/>
      <c r="DF3" s="234"/>
      <c r="DG3" s="234"/>
      <c r="DJ3" s="233" t="s">
        <v>1033</v>
      </c>
      <c r="DK3" s="233"/>
      <c r="DL3" s="233"/>
      <c r="DM3" s="233"/>
      <c r="DN3" s="233"/>
      <c r="DO3" s="233"/>
      <c r="DP3" s="233"/>
      <c r="DQ3" s="233"/>
      <c r="DR3" s="233"/>
      <c r="DS3" s="233"/>
      <c r="DT3" s="233"/>
      <c r="DU3" s="233"/>
      <c r="DV3" s="233"/>
      <c r="DW3" s="233"/>
      <c r="DX3" s="233"/>
      <c r="DY3" s="233"/>
      <c r="DZ3" s="233"/>
      <c r="EA3" s="233"/>
      <c r="EB3" s="233"/>
      <c r="EC3" s="233"/>
      <c r="ED3" s="233"/>
      <c r="EI3" s="233" t="s">
        <v>1396</v>
      </c>
      <c r="EJ3" s="233"/>
      <c r="EK3" s="233"/>
      <c r="EL3" s="233"/>
      <c r="EM3" s="233"/>
      <c r="EN3" s="233"/>
      <c r="EO3" s="233"/>
      <c r="EP3" s="233"/>
      <c r="EQ3" s="233"/>
      <c r="ER3" s="233"/>
      <c r="ES3" s="233"/>
      <c r="ET3" s="233"/>
      <c r="EU3" s="233"/>
      <c r="EV3" s="233"/>
      <c r="EW3" s="233"/>
      <c r="EX3" s="233"/>
      <c r="EY3" s="233"/>
      <c r="EZ3" s="233"/>
      <c r="FA3" s="233"/>
      <c r="FB3" s="233"/>
      <c r="FC3" s="233"/>
    </row>
    <row r="4" spans="1:159" ht="17.25" x14ac:dyDescent="0.2">
      <c r="A4" s="12" t="s">
        <v>31</v>
      </c>
      <c r="B4" s="12" t="s">
        <v>536</v>
      </c>
      <c r="C4" s="12" t="s">
        <v>1520</v>
      </c>
      <c r="D4" s="12" t="s">
        <v>998</v>
      </c>
      <c r="E4" s="12" t="s">
        <v>999</v>
      </c>
      <c r="F4" s="12" t="s">
        <v>96</v>
      </c>
      <c r="G4" s="12" t="s">
        <v>33</v>
      </c>
      <c r="H4" s="12" t="s">
        <v>97</v>
      </c>
      <c r="I4" s="12" t="s">
        <v>99</v>
      </c>
      <c r="J4" s="12" t="s">
        <v>100</v>
      </c>
      <c r="K4" s="12" t="s">
        <v>98</v>
      </c>
      <c r="L4" s="12" t="s">
        <v>101</v>
      </c>
      <c r="M4" s="12" t="s">
        <v>103</v>
      </c>
      <c r="O4" s="12" t="s">
        <v>31</v>
      </c>
      <c r="P4" s="12" t="s">
        <v>1048</v>
      </c>
      <c r="Q4" s="12" t="s">
        <v>109</v>
      </c>
      <c r="R4" s="12" t="s">
        <v>431</v>
      </c>
      <c r="S4" s="12" t="s">
        <v>105</v>
      </c>
      <c r="T4" s="12" t="s">
        <v>106</v>
      </c>
      <c r="U4" s="12" t="s">
        <v>96</v>
      </c>
      <c r="V4" s="12" t="s">
        <v>107</v>
      </c>
      <c r="W4" s="12" t="s">
        <v>108</v>
      </c>
      <c r="X4" s="12" t="s">
        <v>102</v>
      </c>
      <c r="Y4" s="12" t="s">
        <v>203</v>
      </c>
      <c r="Z4" s="12" t="s">
        <v>204</v>
      </c>
      <c r="AA4" s="12"/>
      <c r="AC4" s="12" t="s">
        <v>31</v>
      </c>
      <c r="AD4" s="12" t="s">
        <v>1607</v>
      </c>
      <c r="AE4" s="12" t="s">
        <v>1374</v>
      </c>
      <c r="AF4" s="12" t="s">
        <v>109</v>
      </c>
      <c r="AG4" s="12" t="s">
        <v>1009</v>
      </c>
      <c r="AH4" s="12" t="s">
        <v>1061</v>
      </c>
      <c r="AI4" s="12" t="s">
        <v>431</v>
      </c>
      <c r="AJ4" s="12" t="s">
        <v>106</v>
      </c>
      <c r="AK4" s="12" t="s">
        <v>96</v>
      </c>
      <c r="AL4" s="12" t="s">
        <v>1010</v>
      </c>
      <c r="AM4" s="12" t="s">
        <v>108</v>
      </c>
      <c r="AN4" s="12" t="s">
        <v>1011</v>
      </c>
      <c r="AO4" s="12" t="s">
        <v>203</v>
      </c>
      <c r="AP4" s="12" t="s">
        <v>204</v>
      </c>
      <c r="AS4" s="12" t="s">
        <v>30</v>
      </c>
      <c r="AT4" s="12" t="s">
        <v>31</v>
      </c>
      <c r="AU4" s="12" t="s">
        <v>32</v>
      </c>
      <c r="AV4" s="12" t="s">
        <v>33</v>
      </c>
      <c r="AW4" s="12" t="s">
        <v>107</v>
      </c>
      <c r="AX4" s="12" t="s">
        <v>102</v>
      </c>
      <c r="BA4" s="12" t="s">
        <v>30</v>
      </c>
      <c r="BB4" s="12" t="s">
        <v>31</v>
      </c>
      <c r="BC4" s="12" t="s">
        <v>32</v>
      </c>
      <c r="BD4" s="12" t="s">
        <v>36</v>
      </c>
      <c r="BE4" s="12" t="s">
        <v>93</v>
      </c>
      <c r="BF4" s="12" t="s">
        <v>94</v>
      </c>
      <c r="BG4" s="12" t="s">
        <v>1552</v>
      </c>
      <c r="BH4" s="12" t="s">
        <v>1553</v>
      </c>
      <c r="BK4" s="12" t="s">
        <v>30</v>
      </c>
      <c r="BL4" s="12" t="s">
        <v>31</v>
      </c>
      <c r="BM4" s="12" t="s">
        <v>32</v>
      </c>
      <c r="BN4" s="12" t="s">
        <v>36</v>
      </c>
      <c r="BO4" s="12" t="s">
        <v>93</v>
      </c>
      <c r="BP4" s="12" t="s">
        <v>94</v>
      </c>
      <c r="BS4" s="12" t="s">
        <v>245</v>
      </c>
      <c r="BT4" s="12" t="s">
        <v>246</v>
      </c>
      <c r="BU4" s="12" t="s">
        <v>1001</v>
      </c>
      <c r="BV4" s="12" t="s">
        <v>247</v>
      </c>
      <c r="BW4" s="12" t="s">
        <v>250</v>
      </c>
      <c r="BX4" s="12" t="s">
        <v>251</v>
      </c>
      <c r="BY4" s="12" t="s">
        <v>1000</v>
      </c>
      <c r="BZ4" s="12" t="s">
        <v>1016</v>
      </c>
      <c r="CA4" s="12" t="s">
        <v>1017</v>
      </c>
      <c r="CB4" s="12" t="s">
        <v>1018</v>
      </c>
      <c r="CC4" s="12" t="s">
        <v>1019</v>
      </c>
      <c r="CD4" s="12" t="s">
        <v>1020</v>
      </c>
      <c r="CE4" s="12" t="s">
        <v>1021</v>
      </c>
      <c r="CF4" s="12" t="s">
        <v>1022</v>
      </c>
      <c r="CG4" s="12" t="s">
        <v>1012</v>
      </c>
      <c r="CH4" s="12" t="s">
        <v>1013</v>
      </c>
      <c r="CI4" s="12" t="s">
        <v>248</v>
      </c>
      <c r="CJ4" s="12" t="s">
        <v>249</v>
      </c>
      <c r="CK4" s="12" t="s">
        <v>1014</v>
      </c>
      <c r="CL4" s="12" t="s">
        <v>1015</v>
      </c>
      <c r="CO4" s="45" t="s">
        <v>256</v>
      </c>
      <c r="CP4" s="45" t="s">
        <v>1002</v>
      </c>
      <c r="CQ4" s="45" t="s">
        <v>1027</v>
      </c>
      <c r="CR4" s="12" t="s">
        <v>250</v>
      </c>
      <c r="CS4" s="12" t="s">
        <v>251</v>
      </c>
      <c r="CT4" s="12" t="s">
        <v>1003</v>
      </c>
      <c r="CU4" s="12" t="s">
        <v>1016</v>
      </c>
      <c r="CV4" s="12" t="s">
        <v>1017</v>
      </c>
      <c r="CW4" s="12" t="s">
        <v>1018</v>
      </c>
      <c r="CX4" s="12" t="s">
        <v>1019</v>
      </c>
      <c r="CY4" s="12" t="s">
        <v>1020</v>
      </c>
      <c r="CZ4" s="12" t="s">
        <v>1021</v>
      </c>
      <c r="DA4" s="12" t="s">
        <v>1022</v>
      </c>
      <c r="DB4" s="12" t="s">
        <v>1023</v>
      </c>
      <c r="DC4" s="12" t="s">
        <v>1024</v>
      </c>
      <c r="DD4" s="12" t="s">
        <v>248</v>
      </c>
      <c r="DE4" s="12" t="s">
        <v>249</v>
      </c>
      <c r="DF4" s="12" t="s">
        <v>1025</v>
      </c>
      <c r="DG4" s="12" t="s">
        <v>1015</v>
      </c>
      <c r="DJ4" s="12" t="s">
        <v>245</v>
      </c>
      <c r="DK4" s="12" t="s">
        <v>111</v>
      </c>
      <c r="DL4" s="12" t="s">
        <v>1001</v>
      </c>
      <c r="DM4" s="12" t="s">
        <v>217</v>
      </c>
      <c r="DN4" s="12" t="s">
        <v>250</v>
      </c>
      <c r="DO4" s="12" t="s">
        <v>251</v>
      </c>
      <c r="DP4" s="12" t="s">
        <v>1000</v>
      </c>
      <c r="DQ4" s="12" t="s">
        <v>1039</v>
      </c>
      <c r="DR4" s="12" t="s">
        <v>1028</v>
      </c>
      <c r="DS4" s="12" t="s">
        <v>1017</v>
      </c>
      <c r="DT4" s="12" t="s">
        <v>146</v>
      </c>
      <c r="DU4" s="12" t="s">
        <v>1029</v>
      </c>
      <c r="DV4" s="12" t="s">
        <v>217</v>
      </c>
      <c r="DW4" s="12" t="s">
        <v>303</v>
      </c>
      <c r="DX4" s="12" t="s">
        <v>1030</v>
      </c>
      <c r="DY4" s="12" t="s">
        <v>1524</v>
      </c>
      <c r="DZ4" s="12" t="s">
        <v>1525</v>
      </c>
      <c r="EA4" s="12" t="s">
        <v>1031</v>
      </c>
      <c r="EB4" s="12" t="s">
        <v>1032</v>
      </c>
      <c r="EC4" s="12" t="s">
        <v>1035</v>
      </c>
      <c r="ED4" s="12" t="s">
        <v>1036</v>
      </c>
      <c r="EI4" s="12" t="s">
        <v>30</v>
      </c>
      <c r="EJ4" s="12" t="s">
        <v>31</v>
      </c>
      <c r="EK4" s="12" t="s">
        <v>45</v>
      </c>
      <c r="EL4" s="12" t="s">
        <v>217</v>
      </c>
      <c r="EM4" s="12" t="s">
        <v>250</v>
      </c>
      <c r="EN4" s="12" t="s">
        <v>251</v>
      </c>
      <c r="EO4" s="12" t="s">
        <v>1000</v>
      </c>
      <c r="EP4" s="12" t="s">
        <v>1039</v>
      </c>
      <c r="EQ4" s="12" t="s">
        <v>795</v>
      </c>
      <c r="ER4" s="12" t="s">
        <v>1017</v>
      </c>
      <c r="ES4" s="12" t="s">
        <v>146</v>
      </c>
      <c r="ET4" s="12" t="s">
        <v>797</v>
      </c>
      <c r="EU4" s="12" t="s">
        <v>217</v>
      </c>
      <c r="EV4" s="12" t="s">
        <v>303</v>
      </c>
      <c r="EW4" s="12" t="s">
        <v>1030</v>
      </c>
      <c r="EX4" s="12" t="s">
        <v>1521</v>
      </c>
      <c r="EY4" s="12" t="s">
        <v>1522</v>
      </c>
      <c r="EZ4" s="12" t="s">
        <v>1523</v>
      </c>
      <c r="FA4" s="12" t="s">
        <v>1032</v>
      </c>
      <c r="FB4" s="12" t="s">
        <v>1035</v>
      </c>
      <c r="FC4" s="12" t="s">
        <v>1036</v>
      </c>
    </row>
    <row r="5" spans="1:159" ht="16.5" x14ac:dyDescent="0.2">
      <c r="A5" s="24">
        <v>0</v>
      </c>
      <c r="B5" s="109">
        <v>0</v>
      </c>
      <c r="C5" s="166"/>
      <c r="D5" s="109">
        <v>0</v>
      </c>
      <c r="E5" s="109">
        <v>0</v>
      </c>
      <c r="F5" s="109">
        <v>0</v>
      </c>
      <c r="G5" s="109">
        <v>0</v>
      </c>
      <c r="H5" s="109">
        <v>0</v>
      </c>
      <c r="I5" s="109">
        <v>0</v>
      </c>
      <c r="J5" s="109">
        <v>0</v>
      </c>
      <c r="K5" s="109">
        <v>0</v>
      </c>
      <c r="L5" s="24">
        <v>10</v>
      </c>
      <c r="M5" s="24">
        <v>0</v>
      </c>
      <c r="O5" s="24">
        <v>0</v>
      </c>
      <c r="P5" s="121">
        <v>0</v>
      </c>
      <c r="Q5" s="24">
        <v>0</v>
      </c>
      <c r="R5" s="14">
        <f>SUM(Q$5:Q5)</f>
        <v>0</v>
      </c>
      <c r="S5" s="24">
        <v>0</v>
      </c>
      <c r="T5" s="24">
        <v>0</v>
      </c>
      <c r="U5" s="24">
        <v>0</v>
      </c>
      <c r="V5" s="24">
        <v>0</v>
      </c>
      <c r="W5" s="24">
        <v>0</v>
      </c>
      <c r="X5" s="24">
        <v>0</v>
      </c>
      <c r="Y5" s="34">
        <v>0</v>
      </c>
      <c r="Z5" s="34">
        <v>0</v>
      </c>
      <c r="AA5" s="181"/>
      <c r="AC5" s="24">
        <v>0</v>
      </c>
      <c r="AD5" s="210"/>
      <c r="AE5" s="155"/>
      <c r="AF5" s="24">
        <v>0</v>
      </c>
      <c r="AG5" s="118"/>
      <c r="AH5" s="118"/>
      <c r="AI5" s="67">
        <f>SUM(AF$5:AF5)</f>
        <v>0</v>
      </c>
      <c r="AJ5" s="24">
        <v>0</v>
      </c>
      <c r="AK5" s="24">
        <v>0</v>
      </c>
      <c r="AL5" s="24">
        <v>0</v>
      </c>
      <c r="AM5" s="24">
        <v>0</v>
      </c>
      <c r="AN5" s="24">
        <v>0</v>
      </c>
      <c r="AO5" s="34"/>
      <c r="AP5" s="34"/>
      <c r="AS5" s="24">
        <v>1</v>
      </c>
      <c r="AT5" s="14">
        <f>MATCH(AS5-1,$E$5:$E$35,1)</f>
        <v>1</v>
      </c>
      <c r="AU5" s="24">
        <f>AS5-INDEX($E$5:$E$35,AT5)</f>
        <v>1</v>
      </c>
      <c r="AV5" s="24">
        <f>INDEX($G$6:$G$35,AT5)</f>
        <v>5</v>
      </c>
      <c r="AW5" s="24">
        <f>INT(INDEX($I$5:$I$35,AT5)+AU5*INDEX($J$6:$J$35,AT5))</f>
        <v>2</v>
      </c>
      <c r="AX5" s="24">
        <f>INT(INDEX($L$5:$L$35,AT5)+AU5*INDEX($M$6:$M$35,AT5))</f>
        <v>13</v>
      </c>
      <c r="BA5" s="17">
        <v>1</v>
      </c>
      <c r="BB5" s="14">
        <f t="shared" ref="BB5:BB68" si="0">INDEX($O$5:$O$36,MATCH(BA5-1,$R$5:$R$36,1))+1</f>
        <v>1</v>
      </c>
      <c r="BC5" s="14">
        <f>BA5-INDEX($R$5:$R$36,BB5)</f>
        <v>1</v>
      </c>
      <c r="BD5" s="14">
        <v>50</v>
      </c>
      <c r="BE5" s="14">
        <f t="shared" ref="BE5:BE68" si="1">INDEX($V$6:$V$35,BB5)</f>
        <v>300</v>
      </c>
      <c r="BF5" s="14">
        <f t="shared" ref="BF5:BF68" si="2">INDEX($X$6:$X$35,BB5)</f>
        <v>1125</v>
      </c>
      <c r="BG5" s="14">
        <f>INDEX($AA$6:$AA$33,BB5)</f>
        <v>0</v>
      </c>
      <c r="BH5" s="14">
        <f>11000+INT(BG5)</f>
        <v>11000</v>
      </c>
      <c r="BK5" s="17">
        <v>1</v>
      </c>
      <c r="BL5" s="14">
        <f>INDEX($AC$5:$AC$35,MATCH(BK5-1,$AI$5:$AI$35,1))+1</f>
        <v>1</v>
      </c>
      <c r="BM5" s="14">
        <f>BK5-INDEX($AI$5:$AI$35,BL5)</f>
        <v>1</v>
      </c>
      <c r="BN5" s="14">
        <f t="shared" ref="BN5:BN68" si="3">INDEX($AJ$6:$AJ$35,BL5)</f>
        <v>100</v>
      </c>
      <c r="BO5" s="14">
        <f t="shared" ref="BO5:BO68" si="4">INDEX($AL$6:$AL$35,BL5)</f>
        <v>1200</v>
      </c>
      <c r="BP5" s="14">
        <f t="shared" ref="BP5:BP68" si="5">INDEX($AN$6:$AN$35,BL5)</f>
        <v>2250</v>
      </c>
      <c r="BS5" s="109">
        <v>1</v>
      </c>
      <c r="BT5" s="109">
        <f>INDEX($A$6:$A$35,INT((BS5-1)/3)+1)</f>
        <v>1</v>
      </c>
      <c r="BU5" s="112">
        <f>INDEX($B$6:$B$35,BT5)</f>
        <v>10</v>
      </c>
      <c r="BV5" s="109">
        <f t="shared" ref="BV5:BV49" si="6">MOD(BS5-1,3)+1</f>
        <v>1</v>
      </c>
      <c r="BW5" s="109">
        <v>60</v>
      </c>
      <c r="BX5" s="109">
        <v>90</v>
      </c>
      <c r="BY5" s="109">
        <v>1</v>
      </c>
      <c r="BZ5" s="14">
        <f>10000+CB5*10+BV5</f>
        <v>11011</v>
      </c>
      <c r="CA5" s="118">
        <v>1</v>
      </c>
      <c r="CB5" s="14">
        <f>100+BT5</f>
        <v>101</v>
      </c>
      <c r="CC5" s="118" t="s">
        <v>1026</v>
      </c>
      <c r="CD5" s="14">
        <f>BV5</f>
        <v>1</v>
      </c>
      <c r="CE5" s="118" t="str">
        <f>CG5&amp;CH5&amp;" "&amp;CI5&amp;CJ5&amp;" "&amp;CK5&amp;CL5</f>
        <v xml:space="preserve">钻石50 金币600 </v>
      </c>
      <c r="CF5" s="14">
        <f>CD5*10</f>
        <v>10</v>
      </c>
      <c r="CG5" s="109" t="s">
        <v>253</v>
      </c>
      <c r="CH5" s="109">
        <v>50</v>
      </c>
      <c r="CI5" s="166" t="s">
        <v>67</v>
      </c>
      <c r="CJ5" s="109">
        <f>INDEX($I$6:$I$35,BT5)*BW5</f>
        <v>600</v>
      </c>
      <c r="CK5" s="109"/>
      <c r="CL5" s="109"/>
      <c r="CO5" s="109">
        <f t="shared" ref="CO5:CO36" si="7">BT5</f>
        <v>1</v>
      </c>
      <c r="CP5" s="115">
        <f t="shared" ref="CP5:CP36" si="8">BU5+10</f>
        <v>20</v>
      </c>
      <c r="CQ5" s="118">
        <v>1</v>
      </c>
      <c r="CR5" s="109">
        <f t="shared" ref="CR5:CR36" si="9">BW5*CR$2</f>
        <v>90</v>
      </c>
      <c r="CS5" s="109">
        <f t="shared" ref="CS5:CS36" si="10">BX5*CS$2</f>
        <v>180</v>
      </c>
      <c r="CT5" s="115">
        <v>1</v>
      </c>
      <c r="CU5" s="14">
        <f t="shared" ref="CU5:CU36" si="11">10000+CW5*10+CQ5</f>
        <v>12011</v>
      </c>
      <c r="CV5" s="118">
        <v>2</v>
      </c>
      <c r="CW5" s="14">
        <f t="shared" ref="CW5:CW36" si="12">200+CO5</f>
        <v>201</v>
      </c>
      <c r="CX5" s="118" t="s">
        <v>1026</v>
      </c>
      <c r="CY5" s="14">
        <f t="shared" ref="CY5:CY36" si="13">CQ5</f>
        <v>1</v>
      </c>
      <c r="CZ5" s="166" t="str">
        <f>DB5&amp;DC5&amp;DD5&amp;DE5&amp;DF5&amp;DG5</f>
        <v>钻石10020级-新手套守护灵の头盔1金币900</v>
      </c>
      <c r="DA5" s="14">
        <f>CY5*10</f>
        <v>10</v>
      </c>
      <c r="DB5" s="109" t="s">
        <v>257</v>
      </c>
      <c r="DC5" s="109">
        <v>100</v>
      </c>
      <c r="DD5" s="109" t="s">
        <v>1425</v>
      </c>
      <c r="DE5" s="109">
        <v>1</v>
      </c>
      <c r="DF5" s="109" t="s">
        <v>252</v>
      </c>
      <c r="DG5" s="109">
        <f t="shared" ref="DG5:DG36" si="14">INDEX($I$6:$I$35,BT5)*CR5</f>
        <v>900</v>
      </c>
      <c r="DJ5" s="118">
        <v>1</v>
      </c>
      <c r="DK5" s="14">
        <f>INT((DJ5-1)/3)+1</f>
        <v>1</v>
      </c>
      <c r="DL5" s="118">
        <f t="shared" ref="DL5:DL36" si="15">BU5</f>
        <v>10</v>
      </c>
      <c r="DM5" s="166">
        <f t="shared" ref="DM5:DM68" si="16">MOD(DJ5-1,3)+1</f>
        <v>1</v>
      </c>
      <c r="DN5" s="166">
        <v>60</v>
      </c>
      <c r="DO5" s="166">
        <v>180</v>
      </c>
      <c r="DP5" s="166">
        <v>1</v>
      </c>
      <c r="DQ5" s="118">
        <v>60</v>
      </c>
      <c r="DR5" s="118">
        <f>20000+DT5*10+DV5</f>
        <v>21011</v>
      </c>
      <c r="DS5" s="118">
        <v>1</v>
      </c>
      <c r="DT5" s="14">
        <f t="shared" ref="DT5:DT36" si="17">DK5+100</f>
        <v>101</v>
      </c>
      <c r="DU5" s="118" t="s">
        <v>1034</v>
      </c>
      <c r="DV5" s="118">
        <v>1</v>
      </c>
      <c r="DW5" s="166" t="str">
        <f t="shared" ref="DW5:DW36" si="18">EA5&amp;EB5&amp;DY5&amp;DZ5&amp;EC5&amp;ED5</f>
        <v>绿色基础材料8守护灵初级抽卡券4守护灵经验1500</v>
      </c>
      <c r="DX5" s="14">
        <f>DT5*100+3</f>
        <v>10103</v>
      </c>
      <c r="DY5" s="118" t="s">
        <v>1606</v>
      </c>
      <c r="DZ5" s="118">
        <v>4</v>
      </c>
      <c r="EA5" s="14" t="str">
        <f>INDEX(挂机升级突破!$DT$4:$DX$4,DP5)</f>
        <v>绿色基础材料</v>
      </c>
      <c r="EB5" s="14">
        <f>ROUND(INDEX(挂机升级突破!$G$7:$K$37,DK5+2,章节关卡!DP5)/INDEX(挂机升级突破!$G$5:$K$5,章节关卡!DP5)*INDEX(挂机升级突破!$G$4:$K$4,章节关卡!DP5)*章节关卡!DO5,0)</f>
        <v>8</v>
      </c>
      <c r="EC5" s="118" t="s">
        <v>1398</v>
      </c>
      <c r="ED5" s="14">
        <f t="shared" ref="ED5:ED36" si="19">INDEX($L$6:$L$35,DK5)*DQ5</f>
        <v>1500</v>
      </c>
      <c r="EE5" s="178">
        <v>20</v>
      </c>
      <c r="EI5" s="166">
        <v>1</v>
      </c>
      <c r="EJ5" s="14">
        <f>INT((EI5-1)/3)+1</f>
        <v>1</v>
      </c>
      <c r="EK5" s="166">
        <f>INDEX($B$6:$B$35,EJ5+1)</f>
        <v>15</v>
      </c>
      <c r="EL5" s="166">
        <f t="shared" ref="EL5:EL68" si="20">MOD(EI5-1,3)+1</f>
        <v>1</v>
      </c>
      <c r="EM5" s="166">
        <f t="shared" ref="EM5:EM36" si="21">DN5*EM$2</f>
        <v>90</v>
      </c>
      <c r="EN5" s="166">
        <f>DO5*EN$2*2</f>
        <v>900</v>
      </c>
      <c r="EO5" s="166">
        <v>1</v>
      </c>
      <c r="EP5" s="14">
        <f t="shared" ref="EP5:EP36" si="22">DQ5*EP$2</f>
        <v>120</v>
      </c>
      <c r="EQ5" s="14">
        <f>20000+ES5*10+EU5</f>
        <v>22011</v>
      </c>
      <c r="ER5" s="166">
        <v>1</v>
      </c>
      <c r="ES5" s="14">
        <f>EJ5+200</f>
        <v>201</v>
      </c>
      <c r="ET5" s="166" t="s">
        <v>1034</v>
      </c>
      <c r="EU5" s="166">
        <v>1</v>
      </c>
      <c r="EV5" s="166"/>
      <c r="EW5" s="14">
        <f>ES5*100+3</f>
        <v>20103</v>
      </c>
      <c r="EX5" s="166" t="s">
        <v>1397</v>
      </c>
      <c r="EY5" s="166">
        <v>20</v>
      </c>
      <c r="EZ5" s="14" t="str">
        <f>INDEX(挂机升级突破!$DT$4:$EC$4,EO5)</f>
        <v>绿色基础材料</v>
      </c>
      <c r="FA5" s="14">
        <v>80</v>
      </c>
      <c r="FB5" s="166" t="s">
        <v>1399</v>
      </c>
      <c r="FC5" s="166">
        <f t="shared" ref="FC5:FC36" si="23">INDEX($L$6:$L$35,EJ5+2)*EM5</f>
        <v>3150</v>
      </c>
    </row>
    <row r="6" spans="1:159" ht="16.5" x14ac:dyDescent="0.2">
      <c r="A6" s="24">
        <v>1</v>
      </c>
      <c r="B6" s="76">
        <v>10</v>
      </c>
      <c r="C6" s="166">
        <f>节奏总表!N5*60</f>
        <v>0</v>
      </c>
      <c r="D6" s="109">
        <v>4</v>
      </c>
      <c r="E6" s="14">
        <f>SUM(D$5:D6)</f>
        <v>4</v>
      </c>
      <c r="F6" s="24">
        <v>5</v>
      </c>
      <c r="G6" s="24">
        <v>5</v>
      </c>
      <c r="H6" s="76">
        <v>5</v>
      </c>
      <c r="I6" s="24">
        <v>10</v>
      </c>
      <c r="J6" s="24">
        <f t="shared" ref="J6:J20" si="24">(I6-I5)/$F6</f>
        <v>2</v>
      </c>
      <c r="K6" s="24">
        <v>5</v>
      </c>
      <c r="L6" s="24">
        <f t="shared" ref="L6:L20" si="25">G6*K6</f>
        <v>25</v>
      </c>
      <c r="M6" s="24">
        <f>(L6-L5)/$F6</f>
        <v>3</v>
      </c>
      <c r="O6" s="24">
        <v>1</v>
      </c>
      <c r="P6" s="121">
        <v>1</v>
      </c>
      <c r="Q6" s="24">
        <v>10</v>
      </c>
      <c r="R6" s="14">
        <f>SUM(Q$5:Q6)</f>
        <v>10</v>
      </c>
      <c r="S6" s="24">
        <v>10</v>
      </c>
      <c r="T6" s="24">
        <f t="shared" ref="T6:T35" si="26">INDEX($G$6:$G$35,O6)*S6</f>
        <v>50</v>
      </c>
      <c r="U6" s="24">
        <v>30</v>
      </c>
      <c r="V6" s="24">
        <f t="shared" ref="V6:V35" si="27">INDEX($I$6:$I$35,O6)*U6</f>
        <v>300</v>
      </c>
      <c r="W6" s="24">
        <v>45</v>
      </c>
      <c r="X6" s="24">
        <f t="shared" ref="X6:X35" si="28">INDEX($L$6:$L$37,O6)*W6</f>
        <v>1125</v>
      </c>
      <c r="Y6" s="34">
        <v>60</v>
      </c>
      <c r="Z6" s="34">
        <f t="shared" ref="Z6:Z35" si="29">INDEX($L$6:$L$35,O6)*Y6</f>
        <v>1500</v>
      </c>
      <c r="AA6" s="181">
        <f>INDEX(节奏总表!$Z$5:$Z$32,章节关卡!O6)</f>
        <v>0</v>
      </c>
      <c r="AC6" s="24">
        <v>1</v>
      </c>
      <c r="AD6" s="210">
        <v>20</v>
      </c>
      <c r="AE6" s="155">
        <v>3</v>
      </c>
      <c r="AF6" s="24">
        <v>10</v>
      </c>
      <c r="AG6" s="118">
        <f>INDEX(节奏总表!$N$5:$N$34,章节关卡!AE6)</f>
        <v>20</v>
      </c>
      <c r="AH6" s="155">
        <v>140</v>
      </c>
      <c r="AI6" s="14">
        <f>SUM(AF$5:AF6)</f>
        <v>10</v>
      </c>
      <c r="AJ6" s="14">
        <f>ROUND(INDEX($G$6:$G$35,AC6+2)*AH6/50,0)*5</f>
        <v>100</v>
      </c>
      <c r="AK6" s="24">
        <v>60</v>
      </c>
      <c r="AL6" s="14">
        <f>INDEX($I$6:$I$35,AE6)*AK6</f>
        <v>1200</v>
      </c>
      <c r="AM6" s="24">
        <v>90</v>
      </c>
      <c r="AN6" s="14">
        <f t="shared" ref="AN6:AN35" si="30">INDEX($L$6:$L$35,AC6)*AM6</f>
        <v>2250</v>
      </c>
      <c r="AO6" s="34">
        <v>120</v>
      </c>
      <c r="AP6" s="14">
        <f t="shared" ref="AP6:AP35" si="31">INDEX($L$6:$L$35,AC6)*AO6</f>
        <v>3000</v>
      </c>
      <c r="AS6" s="24">
        <v>2</v>
      </c>
      <c r="AT6" s="14">
        <f t="shared" ref="AT6:AT69" si="32">MATCH(AS6-1,$E$5:$E$35,1)</f>
        <v>1</v>
      </c>
      <c r="AU6" s="109">
        <f t="shared" ref="AU6:AU69" si="33">AS6-INDEX($E$5:$E$35,AT6)</f>
        <v>2</v>
      </c>
      <c r="AV6" s="109">
        <f t="shared" ref="AV6:AV69" si="34">INDEX($G$6:$G$35,AT6)</f>
        <v>5</v>
      </c>
      <c r="AW6" s="109">
        <f t="shared" ref="AW6:AW69" si="35">INT(INDEX($I$5:$I$35,AT6)+AU6*INDEX($J$6:$J$35,AT6))</f>
        <v>4</v>
      </c>
      <c r="AX6" s="109">
        <f t="shared" ref="AX6:AX69" si="36">INT(INDEX($L$5:$L$35,AT6)+AU6*INDEX($M$6:$M$35,AT6))</f>
        <v>16</v>
      </c>
      <c r="BA6" s="17">
        <v>2</v>
      </c>
      <c r="BB6" s="14">
        <f t="shared" si="0"/>
        <v>1</v>
      </c>
      <c r="BC6" s="14">
        <f t="shared" ref="BC6:BC69" si="37">BA6-INDEX($R$5:$R$36,BB6)</f>
        <v>2</v>
      </c>
      <c r="BD6" s="14">
        <v>50</v>
      </c>
      <c r="BE6" s="14">
        <f t="shared" si="1"/>
        <v>300</v>
      </c>
      <c r="BF6" s="14">
        <f t="shared" si="2"/>
        <v>1125</v>
      </c>
      <c r="BG6" s="14">
        <f t="shared" ref="BG6:BG69" si="38">INDEX($AA$6:$AA$33,BB6)</f>
        <v>0</v>
      </c>
      <c r="BH6" s="14">
        <f t="shared" ref="BH6:BH69" si="39">11000+INT(BG6)</f>
        <v>11000</v>
      </c>
      <c r="BK6" s="17">
        <v>2</v>
      </c>
      <c r="BL6" s="14">
        <f t="shared" ref="BL6:BL69" si="40">INDEX($AC$5:$AC$35,MATCH(BK6-1,$AI$5:$AI$35,1))+1</f>
        <v>1</v>
      </c>
      <c r="BM6" s="14">
        <f t="shared" ref="BM6:BM69" si="41">BK6-INDEX($AI$5:$AI$35,BL6)</f>
        <v>2</v>
      </c>
      <c r="BN6" s="14">
        <f t="shared" si="3"/>
        <v>100</v>
      </c>
      <c r="BO6" s="14">
        <f t="shared" si="4"/>
        <v>1200</v>
      </c>
      <c r="BP6" s="14">
        <f t="shared" si="5"/>
        <v>2250</v>
      </c>
      <c r="BS6" s="109">
        <v>2</v>
      </c>
      <c r="BT6" s="109">
        <f t="shared" ref="BT6:BT69" si="42">INDEX($A$6:$A$35,INT((BS6-1)/3)+1)</f>
        <v>1</v>
      </c>
      <c r="BU6" s="112">
        <f t="shared" ref="BU6:BU69" si="43">INDEX($B$6:$B$35,BT6)</f>
        <v>10</v>
      </c>
      <c r="BV6" s="109">
        <f t="shared" si="6"/>
        <v>2</v>
      </c>
      <c r="BW6" s="109">
        <v>120</v>
      </c>
      <c r="BX6" s="109">
        <v>180</v>
      </c>
      <c r="BY6" s="109">
        <v>1</v>
      </c>
      <c r="BZ6" s="14">
        <f t="shared" ref="BZ6:BZ69" si="44">10000+CB6*10+BV6</f>
        <v>11012</v>
      </c>
      <c r="CA6" s="118">
        <v>1</v>
      </c>
      <c r="CB6" s="14">
        <f t="shared" ref="CB6:CB69" si="45">100+BT6</f>
        <v>101</v>
      </c>
      <c r="CC6" s="118" t="s">
        <v>1026</v>
      </c>
      <c r="CD6" s="14">
        <f t="shared" ref="CD6:CD69" si="46">BV6</f>
        <v>2</v>
      </c>
      <c r="CE6" s="166" t="str">
        <f t="shared" ref="CE6:CE69" si="47">CG6&amp;CH6&amp;" "&amp;CI6&amp;CJ6&amp;" "&amp;CK6&amp;CL6</f>
        <v xml:space="preserve">守护灵抽卡券2 金币1200 </v>
      </c>
      <c r="CF6" s="14">
        <f t="shared" ref="CF6:CF69" si="48">CD6*10</f>
        <v>20</v>
      </c>
      <c r="CG6" s="109" t="s">
        <v>258</v>
      </c>
      <c r="CH6" s="109">
        <v>2</v>
      </c>
      <c r="CI6" s="166" t="s">
        <v>67</v>
      </c>
      <c r="CJ6" s="166">
        <f t="shared" ref="CJ6" si="49">INDEX($I$6:$I$35,BT6)*BW6</f>
        <v>1200</v>
      </c>
      <c r="CK6" s="109"/>
      <c r="CL6" s="109"/>
      <c r="CO6" s="115">
        <f t="shared" si="7"/>
        <v>1</v>
      </c>
      <c r="CP6" s="115">
        <f t="shared" si="8"/>
        <v>20</v>
      </c>
      <c r="CQ6" s="118">
        <v>2</v>
      </c>
      <c r="CR6" s="109">
        <f t="shared" si="9"/>
        <v>180</v>
      </c>
      <c r="CS6" s="109">
        <f t="shared" si="10"/>
        <v>360</v>
      </c>
      <c r="CT6" s="115">
        <v>1</v>
      </c>
      <c r="CU6" s="14">
        <f t="shared" si="11"/>
        <v>12012</v>
      </c>
      <c r="CV6" s="118">
        <v>2</v>
      </c>
      <c r="CW6" s="14">
        <f t="shared" si="12"/>
        <v>201</v>
      </c>
      <c r="CX6" s="118" t="s">
        <v>1026</v>
      </c>
      <c r="CY6" s="14">
        <f t="shared" si="13"/>
        <v>2</v>
      </c>
      <c r="CZ6" s="166" t="str">
        <f t="shared" ref="CZ6:CZ69" si="50">DB6&amp;DC6&amp;DD6&amp;DE6&amp;DF6&amp;DG6</f>
        <v>熔炼值50020级-新手套守护灵の铠甲1金币1800</v>
      </c>
      <c r="DA6" s="14">
        <f t="shared" ref="DA6:DA69" si="51">CY6*10</f>
        <v>20</v>
      </c>
      <c r="DB6" s="109" t="s">
        <v>1005</v>
      </c>
      <c r="DC6" s="109">
        <v>500</v>
      </c>
      <c r="DD6" s="115" t="s">
        <v>1426</v>
      </c>
      <c r="DE6" s="115">
        <v>1</v>
      </c>
      <c r="DF6" s="109" t="s">
        <v>252</v>
      </c>
      <c r="DG6" s="115">
        <f t="shared" si="14"/>
        <v>1800</v>
      </c>
      <c r="DJ6" s="118">
        <v>2</v>
      </c>
      <c r="DK6" s="14">
        <f t="shared" ref="DK6:DK69" si="52">INT((DJ6-1)/3)+1</f>
        <v>1</v>
      </c>
      <c r="DL6" s="118">
        <f t="shared" si="15"/>
        <v>10</v>
      </c>
      <c r="DM6" s="166">
        <f t="shared" si="16"/>
        <v>2</v>
      </c>
      <c r="DN6" s="166">
        <v>120</v>
      </c>
      <c r="DO6" s="166">
        <v>360</v>
      </c>
      <c r="DP6" s="166">
        <v>1</v>
      </c>
      <c r="DQ6" s="118">
        <v>90</v>
      </c>
      <c r="DR6" s="118">
        <f t="shared" ref="DR6:DR69" si="53">20000+DT6*10+DV6</f>
        <v>21012</v>
      </c>
      <c r="DS6" s="118">
        <v>1</v>
      </c>
      <c r="DT6" s="14">
        <f t="shared" si="17"/>
        <v>101</v>
      </c>
      <c r="DU6" s="118" t="s">
        <v>1034</v>
      </c>
      <c r="DV6" s="118">
        <v>2</v>
      </c>
      <c r="DW6" s="166" t="str">
        <f t="shared" si="18"/>
        <v>绿色基础材料15守护灵初级抽卡券6守护灵经验2250</v>
      </c>
      <c r="DX6" s="14">
        <f>DT6*100+6</f>
        <v>10106</v>
      </c>
      <c r="DY6" s="118" t="s">
        <v>1606</v>
      </c>
      <c r="DZ6" s="118">
        <v>6</v>
      </c>
      <c r="EA6" s="14" t="str">
        <f>INDEX(挂机升级突破!$DT$4:$DX$4,DP6)</f>
        <v>绿色基础材料</v>
      </c>
      <c r="EB6" s="14">
        <f>ROUND(INDEX(挂机升级突破!$G$7:$K$37,DK6+2,章节关卡!DP6)/INDEX(挂机升级突破!$G$5:$K$5,章节关卡!DP6)*INDEX(挂机升级突破!$G$4:$K$4,章节关卡!DP6)*章节关卡!DO6,0)</f>
        <v>15</v>
      </c>
      <c r="EC6" s="118" t="s">
        <v>1038</v>
      </c>
      <c r="ED6" s="14">
        <f t="shared" si="19"/>
        <v>2250</v>
      </c>
      <c r="EE6" s="178">
        <v>30</v>
      </c>
      <c r="EI6" s="166">
        <v>2</v>
      </c>
      <c r="EJ6" s="14">
        <f t="shared" ref="EJ6:EJ69" si="54">INT((EI6-1)/3)+1</f>
        <v>1</v>
      </c>
      <c r="EK6" s="166">
        <f t="shared" ref="EK6:EK69" si="55">INDEX($B$6:$B$35,EJ6+1)</f>
        <v>15</v>
      </c>
      <c r="EL6" s="166">
        <f t="shared" si="20"/>
        <v>2</v>
      </c>
      <c r="EM6" s="166">
        <f t="shared" si="21"/>
        <v>180</v>
      </c>
      <c r="EN6" s="177">
        <f t="shared" ref="EN6:EN7" si="56">DO6*EN$2*2</f>
        <v>1800</v>
      </c>
      <c r="EO6" s="166">
        <v>1</v>
      </c>
      <c r="EP6" s="14">
        <f t="shared" si="22"/>
        <v>180</v>
      </c>
      <c r="EQ6" s="14">
        <f t="shared" ref="EQ6:EQ69" si="57">20000+ES6*10+EU6</f>
        <v>22012</v>
      </c>
      <c r="ER6" s="166">
        <v>1</v>
      </c>
      <c r="ES6" s="14">
        <f t="shared" ref="ES6:ES69" si="58">EJ6+200</f>
        <v>201</v>
      </c>
      <c r="ET6" s="166" t="s">
        <v>1034</v>
      </c>
      <c r="EU6" s="166">
        <v>2</v>
      </c>
      <c r="EV6" s="166"/>
      <c r="EW6" s="14">
        <f>ES6*100+6</f>
        <v>20106</v>
      </c>
      <c r="EX6" s="166" t="s">
        <v>1397</v>
      </c>
      <c r="EY6" s="166">
        <v>30</v>
      </c>
      <c r="EZ6" s="14" t="str">
        <f>INDEX(挂机升级突破!$DT$4:$EC$4,EO6)</f>
        <v>绿色基础材料</v>
      </c>
      <c r="FA6" s="14">
        <v>120</v>
      </c>
      <c r="FB6" s="166" t="s">
        <v>1399</v>
      </c>
      <c r="FC6" s="166">
        <f t="shared" si="23"/>
        <v>6300</v>
      </c>
    </row>
    <row r="7" spans="1:159" ht="16.5" x14ac:dyDescent="0.2">
      <c r="A7" s="24">
        <v>2</v>
      </c>
      <c r="B7" s="76">
        <v>15</v>
      </c>
      <c r="C7" s="166">
        <f>节奏总表!N6*60</f>
        <v>240</v>
      </c>
      <c r="D7" s="109">
        <v>4</v>
      </c>
      <c r="E7" s="14">
        <f>SUM(D$5:D7)</f>
        <v>8</v>
      </c>
      <c r="F7" s="76">
        <v>5</v>
      </c>
      <c r="G7" s="24">
        <v>6</v>
      </c>
      <c r="H7" s="24">
        <v>5</v>
      </c>
      <c r="I7" s="24">
        <v>15</v>
      </c>
      <c r="J7" s="24">
        <f t="shared" si="24"/>
        <v>1</v>
      </c>
      <c r="K7" s="76">
        <v>5</v>
      </c>
      <c r="L7" s="24">
        <f t="shared" si="25"/>
        <v>30</v>
      </c>
      <c r="M7" s="24">
        <f t="shared" ref="M7:M20" si="59">(L7-L6)/$F7</f>
        <v>1</v>
      </c>
      <c r="O7" s="24">
        <v>2</v>
      </c>
      <c r="P7" s="121">
        <v>5</v>
      </c>
      <c r="Q7" s="107">
        <v>10</v>
      </c>
      <c r="R7" s="14">
        <f>SUM(Q$5:Q7)</f>
        <v>20</v>
      </c>
      <c r="S7" s="24">
        <v>20</v>
      </c>
      <c r="T7" s="109">
        <f t="shared" si="26"/>
        <v>120</v>
      </c>
      <c r="U7" s="24">
        <v>30</v>
      </c>
      <c r="V7" s="109">
        <f t="shared" si="27"/>
        <v>450</v>
      </c>
      <c r="W7" s="109">
        <v>45</v>
      </c>
      <c r="X7" s="76">
        <f t="shared" si="28"/>
        <v>1350</v>
      </c>
      <c r="Y7" s="34">
        <v>90</v>
      </c>
      <c r="Z7" s="109">
        <f t="shared" si="29"/>
        <v>2700</v>
      </c>
      <c r="AA7" s="181">
        <f>INDEX(节奏总表!$Z$5:$Z$32,章节关卡!O7)</f>
        <v>0.08</v>
      </c>
      <c r="AC7" s="77">
        <v>2</v>
      </c>
      <c r="AD7" s="210">
        <v>27</v>
      </c>
      <c r="AE7" s="155">
        <v>4</v>
      </c>
      <c r="AF7" s="109">
        <v>10</v>
      </c>
      <c r="AG7" s="155">
        <f>INDEX(节奏总表!$N$5:$N$34,章节关卡!AE7)</f>
        <v>22</v>
      </c>
      <c r="AH7" s="155">
        <f t="shared" ref="AH7:AH9" si="60">ROUND(AG7*AH$2*60,0)</f>
        <v>330</v>
      </c>
      <c r="AI7" s="14">
        <f>SUM(AF$5:AF7)</f>
        <v>20</v>
      </c>
      <c r="AJ7" s="14">
        <f t="shared" ref="AJ7:AJ33" si="61">ROUND(INDEX($G$6:$G$35,AC7+2)*AH7/500,0)*50</f>
        <v>250</v>
      </c>
      <c r="AK7" s="24">
        <v>60</v>
      </c>
      <c r="AL7" s="14">
        <f t="shared" ref="AL7:AL35" si="62">INDEX($I$6:$I$35,AC7)*AK7</f>
        <v>900</v>
      </c>
      <c r="AM7" s="54">
        <v>90</v>
      </c>
      <c r="AN7" s="14">
        <f t="shared" si="30"/>
        <v>2700</v>
      </c>
      <c r="AO7" s="34">
        <v>180</v>
      </c>
      <c r="AP7" s="14">
        <f t="shared" si="31"/>
        <v>5400</v>
      </c>
      <c r="AS7" s="24">
        <v>3</v>
      </c>
      <c r="AT7" s="14">
        <f t="shared" si="32"/>
        <v>1</v>
      </c>
      <c r="AU7" s="109">
        <f t="shared" si="33"/>
        <v>3</v>
      </c>
      <c r="AV7" s="109">
        <f t="shared" si="34"/>
        <v>5</v>
      </c>
      <c r="AW7" s="109">
        <f t="shared" si="35"/>
        <v>6</v>
      </c>
      <c r="AX7" s="109">
        <f t="shared" si="36"/>
        <v>19</v>
      </c>
      <c r="BA7" s="109">
        <v>3</v>
      </c>
      <c r="BB7" s="14">
        <f t="shared" si="0"/>
        <v>1</v>
      </c>
      <c r="BC7" s="14">
        <f t="shared" si="37"/>
        <v>3</v>
      </c>
      <c r="BD7" s="14">
        <v>50</v>
      </c>
      <c r="BE7" s="14">
        <f t="shared" si="1"/>
        <v>300</v>
      </c>
      <c r="BF7" s="14">
        <f t="shared" si="2"/>
        <v>1125</v>
      </c>
      <c r="BG7" s="14">
        <f t="shared" si="38"/>
        <v>0</v>
      </c>
      <c r="BH7" s="14">
        <f t="shared" si="39"/>
        <v>11000</v>
      </c>
      <c r="BK7" s="109">
        <v>3</v>
      </c>
      <c r="BL7" s="14">
        <f t="shared" si="40"/>
        <v>1</v>
      </c>
      <c r="BM7" s="14">
        <f t="shared" si="41"/>
        <v>3</v>
      </c>
      <c r="BN7" s="14">
        <f t="shared" si="3"/>
        <v>100</v>
      </c>
      <c r="BO7" s="14">
        <f t="shared" si="4"/>
        <v>1200</v>
      </c>
      <c r="BP7" s="14">
        <f t="shared" si="5"/>
        <v>2250</v>
      </c>
      <c r="BS7" s="109">
        <v>3</v>
      </c>
      <c r="BT7" s="109">
        <f t="shared" si="42"/>
        <v>1</v>
      </c>
      <c r="BU7" s="112">
        <f t="shared" si="43"/>
        <v>10</v>
      </c>
      <c r="BV7" s="109">
        <f t="shared" si="6"/>
        <v>3</v>
      </c>
      <c r="BW7" s="109">
        <v>180</v>
      </c>
      <c r="BX7" s="109">
        <v>270</v>
      </c>
      <c r="BY7" s="109">
        <v>1</v>
      </c>
      <c r="BZ7" s="14">
        <f t="shared" si="44"/>
        <v>11013</v>
      </c>
      <c r="CA7" s="118">
        <v>1</v>
      </c>
      <c r="CB7" s="14">
        <f t="shared" si="45"/>
        <v>101</v>
      </c>
      <c r="CC7" s="118" t="s">
        <v>1026</v>
      </c>
      <c r="CD7" s="14">
        <f t="shared" si="46"/>
        <v>3</v>
      </c>
      <c r="CE7" s="166" t="str">
        <f t="shared" si="47"/>
        <v xml:space="preserve">守护灵抽卡券3 2小时扫荡券1 </v>
      </c>
      <c r="CF7" s="14">
        <f t="shared" si="48"/>
        <v>30</v>
      </c>
      <c r="CG7" s="109" t="s">
        <v>258</v>
      </c>
      <c r="CH7" s="109">
        <v>3</v>
      </c>
      <c r="CI7" s="166" t="s">
        <v>1395</v>
      </c>
      <c r="CJ7" s="166">
        <v>1</v>
      </c>
      <c r="CK7" s="109"/>
      <c r="CL7" s="109"/>
      <c r="CO7" s="115">
        <f t="shared" si="7"/>
        <v>1</v>
      </c>
      <c r="CP7" s="115">
        <f t="shared" si="8"/>
        <v>20</v>
      </c>
      <c r="CQ7" s="118">
        <v>3</v>
      </c>
      <c r="CR7" s="109">
        <f t="shared" si="9"/>
        <v>270</v>
      </c>
      <c r="CS7" s="109">
        <f t="shared" si="10"/>
        <v>540</v>
      </c>
      <c r="CT7" s="115">
        <v>1</v>
      </c>
      <c r="CU7" s="14">
        <f t="shared" si="11"/>
        <v>12013</v>
      </c>
      <c r="CV7" s="118">
        <v>2</v>
      </c>
      <c r="CW7" s="14">
        <f t="shared" si="12"/>
        <v>201</v>
      </c>
      <c r="CX7" s="118" t="s">
        <v>1026</v>
      </c>
      <c r="CY7" s="14">
        <f t="shared" si="13"/>
        <v>3</v>
      </c>
      <c r="CZ7" s="166" t="str">
        <f t="shared" si="50"/>
        <v>守护灵抽卡券520级-新手套守护灵の裤子1金币2700</v>
      </c>
      <c r="DA7" s="14">
        <f t="shared" si="51"/>
        <v>30</v>
      </c>
      <c r="DB7" s="109" t="s">
        <v>1004</v>
      </c>
      <c r="DC7" s="109">
        <v>5</v>
      </c>
      <c r="DD7" s="115" t="s">
        <v>1427</v>
      </c>
      <c r="DE7" s="115">
        <v>1</v>
      </c>
      <c r="DF7" s="109" t="s">
        <v>252</v>
      </c>
      <c r="DG7" s="115">
        <f t="shared" si="14"/>
        <v>2700</v>
      </c>
      <c r="DJ7" s="118">
        <v>3</v>
      </c>
      <c r="DK7" s="14">
        <f t="shared" si="52"/>
        <v>1</v>
      </c>
      <c r="DL7" s="118">
        <f t="shared" si="15"/>
        <v>10</v>
      </c>
      <c r="DM7" s="166">
        <f t="shared" si="16"/>
        <v>3</v>
      </c>
      <c r="DN7" s="166">
        <v>180</v>
      </c>
      <c r="DO7" s="166">
        <v>540</v>
      </c>
      <c r="DP7" s="166">
        <v>1</v>
      </c>
      <c r="DQ7" s="118">
        <v>120</v>
      </c>
      <c r="DR7" s="118">
        <f t="shared" si="53"/>
        <v>21013</v>
      </c>
      <c r="DS7" s="118">
        <v>1</v>
      </c>
      <c r="DT7" s="14">
        <f t="shared" si="17"/>
        <v>101</v>
      </c>
      <c r="DU7" s="118" t="s">
        <v>1034</v>
      </c>
      <c r="DV7" s="118">
        <v>3</v>
      </c>
      <c r="DW7" s="166" t="str">
        <f t="shared" si="18"/>
        <v>绿色基础材料23玄铁6守护灵经验3000</v>
      </c>
      <c r="DX7" s="14">
        <f>DT7*100+9</f>
        <v>10109</v>
      </c>
      <c r="DY7" s="118" t="s">
        <v>415</v>
      </c>
      <c r="DZ7" s="118">
        <v>6</v>
      </c>
      <c r="EA7" s="14" t="str">
        <f>INDEX(挂机升级突破!$DT$4:$DX$4,DP7)</f>
        <v>绿色基础材料</v>
      </c>
      <c r="EB7" s="14">
        <f>ROUND(INDEX(挂机升级突破!$G$7:$K$37,DK7+2,章节关卡!DP7)/INDEX(挂机升级突破!$G$5:$K$5,章节关卡!DP7)*INDEX(挂机升级突破!$G$4:$K$4,章节关卡!DP7)*章节关卡!DO7,0)</f>
        <v>23</v>
      </c>
      <c r="EC7" s="118" t="s">
        <v>1038</v>
      </c>
      <c r="ED7" s="14">
        <f t="shared" si="19"/>
        <v>3000</v>
      </c>
      <c r="EE7" s="178">
        <v>50</v>
      </c>
      <c r="EI7" s="166">
        <v>3</v>
      </c>
      <c r="EJ7" s="14">
        <f t="shared" si="54"/>
        <v>1</v>
      </c>
      <c r="EK7" s="166">
        <f t="shared" si="55"/>
        <v>15</v>
      </c>
      <c r="EL7" s="166">
        <f t="shared" si="20"/>
        <v>3</v>
      </c>
      <c r="EM7" s="166">
        <f t="shared" si="21"/>
        <v>270</v>
      </c>
      <c r="EN7" s="177">
        <f t="shared" si="56"/>
        <v>2700</v>
      </c>
      <c r="EO7" s="166">
        <v>6</v>
      </c>
      <c r="EP7" s="14">
        <f t="shared" si="22"/>
        <v>240</v>
      </c>
      <c r="EQ7" s="14">
        <f t="shared" si="57"/>
        <v>22013</v>
      </c>
      <c r="ER7" s="166">
        <v>1</v>
      </c>
      <c r="ES7" s="14">
        <f t="shared" si="58"/>
        <v>201</v>
      </c>
      <c r="ET7" s="166" t="s">
        <v>1034</v>
      </c>
      <c r="EU7" s="166">
        <v>3</v>
      </c>
      <c r="EV7" s="166"/>
      <c r="EW7" s="14">
        <f>ES7*100+9</f>
        <v>20109</v>
      </c>
      <c r="EX7" s="166" t="s">
        <v>1397</v>
      </c>
      <c r="EY7" s="166">
        <v>50</v>
      </c>
      <c r="EZ7" s="14" t="str">
        <f>INDEX(挂机升级突破!$DT$4:$EC$4,EO7)</f>
        <v>玄铁</v>
      </c>
      <c r="FA7" s="14">
        <v>5</v>
      </c>
      <c r="FB7" s="166" t="s">
        <v>1399</v>
      </c>
      <c r="FC7" s="166">
        <f t="shared" si="23"/>
        <v>9450</v>
      </c>
    </row>
    <row r="8" spans="1:159" ht="16.5" x14ac:dyDescent="0.2">
      <c r="A8" s="24">
        <v>3</v>
      </c>
      <c r="B8" s="76">
        <v>20</v>
      </c>
      <c r="C8" s="166">
        <f>节奏总表!N7*60</f>
        <v>1200</v>
      </c>
      <c r="D8" s="109">
        <v>4</v>
      </c>
      <c r="E8" s="14">
        <f>SUM(D$5:D8)</f>
        <v>12</v>
      </c>
      <c r="F8" s="76">
        <v>5</v>
      </c>
      <c r="G8" s="76">
        <v>7</v>
      </c>
      <c r="H8" s="76">
        <v>5</v>
      </c>
      <c r="I8" s="24">
        <v>20</v>
      </c>
      <c r="J8" s="24">
        <f t="shared" si="24"/>
        <v>1</v>
      </c>
      <c r="K8" s="76">
        <v>5</v>
      </c>
      <c r="L8" s="24">
        <f t="shared" si="25"/>
        <v>35</v>
      </c>
      <c r="M8" s="24">
        <f t="shared" si="59"/>
        <v>1</v>
      </c>
      <c r="O8" s="24">
        <v>3</v>
      </c>
      <c r="P8" s="121">
        <v>15</v>
      </c>
      <c r="Q8" s="107">
        <v>10</v>
      </c>
      <c r="R8" s="14">
        <f>SUM(Q$5:Q8)</f>
        <v>30</v>
      </c>
      <c r="S8" s="24">
        <v>20</v>
      </c>
      <c r="T8" s="109">
        <f t="shared" si="26"/>
        <v>140</v>
      </c>
      <c r="U8" s="24">
        <v>30</v>
      </c>
      <c r="V8" s="109">
        <f t="shared" si="27"/>
        <v>600</v>
      </c>
      <c r="W8" s="109">
        <v>45</v>
      </c>
      <c r="X8" s="76">
        <f t="shared" si="28"/>
        <v>1575</v>
      </c>
      <c r="Y8" s="34">
        <v>120</v>
      </c>
      <c r="Z8" s="109">
        <f t="shared" si="29"/>
        <v>4200</v>
      </c>
      <c r="AA8" s="181">
        <f>INDEX(节奏总表!$Z$5:$Z$32,章节关卡!O8)</f>
        <v>0.5</v>
      </c>
      <c r="AC8" s="77">
        <v>3</v>
      </c>
      <c r="AD8" s="210">
        <v>32</v>
      </c>
      <c r="AE8" s="172">
        <v>5</v>
      </c>
      <c r="AF8" s="109">
        <v>10</v>
      </c>
      <c r="AG8" s="155">
        <f>INDEX(节奏总表!$N$5:$N$34,章节关卡!AE8)</f>
        <v>24</v>
      </c>
      <c r="AH8" s="155">
        <f t="shared" si="60"/>
        <v>360</v>
      </c>
      <c r="AI8" s="14">
        <f>SUM(AF$5:AF8)</f>
        <v>30</v>
      </c>
      <c r="AJ8" s="14">
        <f t="shared" si="61"/>
        <v>300</v>
      </c>
      <c r="AK8" s="24">
        <v>60</v>
      </c>
      <c r="AL8" s="14">
        <f t="shared" si="62"/>
        <v>1200</v>
      </c>
      <c r="AM8" s="54">
        <v>90</v>
      </c>
      <c r="AN8" s="14">
        <f t="shared" si="30"/>
        <v>3150</v>
      </c>
      <c r="AO8" s="34">
        <v>240</v>
      </c>
      <c r="AP8" s="14">
        <f t="shared" si="31"/>
        <v>8400</v>
      </c>
      <c r="AS8" s="24">
        <v>4</v>
      </c>
      <c r="AT8" s="14">
        <f t="shared" si="32"/>
        <v>1</v>
      </c>
      <c r="AU8" s="109">
        <f t="shared" si="33"/>
        <v>4</v>
      </c>
      <c r="AV8" s="109">
        <f t="shared" si="34"/>
        <v>5</v>
      </c>
      <c r="AW8" s="109">
        <f t="shared" si="35"/>
        <v>8</v>
      </c>
      <c r="AX8" s="109">
        <f t="shared" si="36"/>
        <v>22</v>
      </c>
      <c r="BA8" s="109">
        <v>4</v>
      </c>
      <c r="BB8" s="14">
        <f t="shared" si="0"/>
        <v>1</v>
      </c>
      <c r="BC8" s="14">
        <f t="shared" si="37"/>
        <v>4</v>
      </c>
      <c r="BD8" s="14">
        <v>50</v>
      </c>
      <c r="BE8" s="14">
        <f t="shared" si="1"/>
        <v>300</v>
      </c>
      <c r="BF8" s="14">
        <f t="shared" si="2"/>
        <v>1125</v>
      </c>
      <c r="BG8" s="14">
        <f t="shared" si="38"/>
        <v>0</v>
      </c>
      <c r="BH8" s="14">
        <f t="shared" si="39"/>
        <v>11000</v>
      </c>
      <c r="BK8" s="109">
        <v>4</v>
      </c>
      <c r="BL8" s="14">
        <f t="shared" si="40"/>
        <v>1</v>
      </c>
      <c r="BM8" s="14">
        <f t="shared" si="41"/>
        <v>4</v>
      </c>
      <c r="BN8" s="14">
        <f t="shared" si="3"/>
        <v>100</v>
      </c>
      <c r="BO8" s="14">
        <f t="shared" si="4"/>
        <v>1200</v>
      </c>
      <c r="BP8" s="14">
        <f t="shared" si="5"/>
        <v>2250</v>
      </c>
      <c r="BS8" s="109">
        <v>4</v>
      </c>
      <c r="BT8" s="109">
        <f t="shared" si="42"/>
        <v>2</v>
      </c>
      <c r="BU8" s="112">
        <f t="shared" si="43"/>
        <v>15</v>
      </c>
      <c r="BV8" s="109">
        <f t="shared" si="6"/>
        <v>1</v>
      </c>
      <c r="BW8" s="109">
        <v>60</v>
      </c>
      <c r="BX8" s="109">
        <v>90</v>
      </c>
      <c r="BY8" s="109">
        <v>1</v>
      </c>
      <c r="BZ8" s="14">
        <f t="shared" si="44"/>
        <v>11021</v>
      </c>
      <c r="CA8" s="118">
        <v>1</v>
      </c>
      <c r="CB8" s="14">
        <f t="shared" si="45"/>
        <v>102</v>
      </c>
      <c r="CC8" s="118" t="s">
        <v>1026</v>
      </c>
      <c r="CD8" s="14">
        <f t="shared" si="46"/>
        <v>1</v>
      </c>
      <c r="CE8" s="166" t="str">
        <f t="shared" si="47"/>
        <v xml:space="preserve">钻石60 金币900 </v>
      </c>
      <c r="CF8" s="14">
        <f t="shared" si="48"/>
        <v>10</v>
      </c>
      <c r="CG8" s="109" t="s">
        <v>19</v>
      </c>
      <c r="CH8" s="109">
        <v>60</v>
      </c>
      <c r="CI8" s="112" t="s">
        <v>358</v>
      </c>
      <c r="CJ8" s="115">
        <f>INDEX($I$6:$I$35,BT8)*BW8</f>
        <v>900</v>
      </c>
      <c r="CK8" s="109"/>
      <c r="CL8" s="109"/>
      <c r="CO8" s="115">
        <f t="shared" si="7"/>
        <v>2</v>
      </c>
      <c r="CP8" s="115">
        <f t="shared" si="8"/>
        <v>25</v>
      </c>
      <c r="CQ8" s="118">
        <v>1</v>
      </c>
      <c r="CR8" s="109">
        <f t="shared" si="9"/>
        <v>90</v>
      </c>
      <c r="CS8" s="109">
        <f t="shared" si="10"/>
        <v>180</v>
      </c>
      <c r="CT8" s="115">
        <v>6</v>
      </c>
      <c r="CU8" s="14">
        <f t="shared" si="11"/>
        <v>12021</v>
      </c>
      <c r="CV8" s="118">
        <v>2</v>
      </c>
      <c r="CW8" s="14">
        <f t="shared" si="12"/>
        <v>202</v>
      </c>
      <c r="CX8" s="118" t="s">
        <v>1026</v>
      </c>
      <c r="CY8" s="14">
        <f t="shared" si="13"/>
        <v>1</v>
      </c>
      <c r="CZ8" s="166" t="str">
        <f t="shared" si="50"/>
        <v>钻石10020级-新手套守护灵の鞋子1金币1350</v>
      </c>
      <c r="DA8" s="14">
        <f t="shared" si="51"/>
        <v>10</v>
      </c>
      <c r="DB8" s="115" t="s">
        <v>257</v>
      </c>
      <c r="DC8" s="115">
        <v>100</v>
      </c>
      <c r="DD8" s="115" t="s">
        <v>1428</v>
      </c>
      <c r="DE8" s="115">
        <v>1</v>
      </c>
      <c r="DF8" s="109" t="s">
        <v>252</v>
      </c>
      <c r="DG8" s="115">
        <f t="shared" si="14"/>
        <v>1350</v>
      </c>
      <c r="DJ8" s="118">
        <v>4</v>
      </c>
      <c r="DK8" s="14">
        <f t="shared" si="52"/>
        <v>2</v>
      </c>
      <c r="DL8" s="118">
        <f t="shared" si="15"/>
        <v>15</v>
      </c>
      <c r="DM8" s="166">
        <f t="shared" si="16"/>
        <v>1</v>
      </c>
      <c r="DN8" s="166">
        <v>60</v>
      </c>
      <c r="DO8" s="166">
        <v>180</v>
      </c>
      <c r="DP8" s="166">
        <v>1</v>
      </c>
      <c r="DQ8" s="118">
        <v>90</v>
      </c>
      <c r="DR8" s="118">
        <f t="shared" si="53"/>
        <v>21021</v>
      </c>
      <c r="DS8" s="118">
        <v>1</v>
      </c>
      <c r="DT8" s="14">
        <f t="shared" si="17"/>
        <v>102</v>
      </c>
      <c r="DU8" s="118" t="s">
        <v>1034</v>
      </c>
      <c r="DV8" s="118">
        <v>1</v>
      </c>
      <c r="DW8" s="166" t="str">
        <f t="shared" si="18"/>
        <v>绿色基础材料11守护灵初级抽卡券4守护灵经验2700</v>
      </c>
      <c r="DX8" s="14">
        <f t="shared" ref="DX8" si="63">DT8*100+3</f>
        <v>10203</v>
      </c>
      <c r="DY8" s="191" t="s">
        <v>1606</v>
      </c>
      <c r="DZ8" s="191">
        <v>4</v>
      </c>
      <c r="EA8" s="14" t="str">
        <f>INDEX(挂机升级突破!$DT$4:$DX$4,DP8)</f>
        <v>绿色基础材料</v>
      </c>
      <c r="EB8" s="14">
        <f>ROUND(INDEX(挂机升级突破!$G$7:$K$37,DK8+2,章节关卡!DP8)/INDEX(挂机升级突破!$G$5:$K$5,章节关卡!DP8)*INDEX(挂机升级突破!$G$4:$K$4,章节关卡!DP8)*章节关卡!DO8,0)</f>
        <v>11</v>
      </c>
      <c r="EC8" s="118" t="s">
        <v>1038</v>
      </c>
      <c r="ED8" s="14">
        <f t="shared" si="19"/>
        <v>2700</v>
      </c>
      <c r="EE8" s="178">
        <v>20</v>
      </c>
      <c r="EI8" s="166">
        <v>4</v>
      </c>
      <c r="EJ8" s="14">
        <f t="shared" si="54"/>
        <v>2</v>
      </c>
      <c r="EK8" s="166">
        <f t="shared" si="55"/>
        <v>20</v>
      </c>
      <c r="EL8" s="166">
        <f t="shared" si="20"/>
        <v>1</v>
      </c>
      <c r="EM8" s="166">
        <f t="shared" si="21"/>
        <v>90</v>
      </c>
      <c r="EN8" s="166">
        <f t="shared" ref="EN8:EN36" si="64">DO8*EN$2</f>
        <v>450</v>
      </c>
      <c r="EO8" s="166">
        <v>6</v>
      </c>
      <c r="EP8" s="14">
        <f t="shared" si="22"/>
        <v>180</v>
      </c>
      <c r="EQ8" s="14">
        <f t="shared" si="57"/>
        <v>22021</v>
      </c>
      <c r="ER8" s="166">
        <v>1</v>
      </c>
      <c r="ES8" s="14">
        <f t="shared" si="58"/>
        <v>202</v>
      </c>
      <c r="ET8" s="166" t="s">
        <v>1034</v>
      </c>
      <c r="EU8" s="166">
        <v>1</v>
      </c>
      <c r="EV8" s="166"/>
      <c r="EW8" s="14">
        <f t="shared" ref="EW8" si="65">ES8*100+3</f>
        <v>20203</v>
      </c>
      <c r="EX8" s="166" t="s">
        <v>1397</v>
      </c>
      <c r="EY8" s="166">
        <v>20</v>
      </c>
      <c r="EZ8" s="14" t="str">
        <f>INDEX(挂机升级突破!$DT$4:$EC$4,EO8)</f>
        <v>玄铁</v>
      </c>
      <c r="FA8" s="14">
        <f>ROUND(INDEX(挂机升级突破!$G$7:$R$37,EJ8+3,EO8)/INDEX(挂机升级突破!$G$5:$R$5,章节关卡!EO8)*INDEX(挂机升级突破!$G$4:$R$4,章节关卡!EO8)*章节关卡!EN8*1.5,0)</f>
        <v>2</v>
      </c>
      <c r="FB8" s="166" t="s">
        <v>1399</v>
      </c>
      <c r="FC8" s="166">
        <f t="shared" si="23"/>
        <v>3600</v>
      </c>
    </row>
    <row r="9" spans="1:159" ht="16.5" x14ac:dyDescent="0.2">
      <c r="A9" s="24">
        <v>4</v>
      </c>
      <c r="B9" s="76">
        <v>25</v>
      </c>
      <c r="C9" s="166">
        <f>节奏总表!N8*60</f>
        <v>1320</v>
      </c>
      <c r="D9" s="109">
        <v>4</v>
      </c>
      <c r="E9" s="14">
        <f>SUM(D$5:D9)</f>
        <v>16</v>
      </c>
      <c r="F9" s="76">
        <v>5</v>
      </c>
      <c r="G9" s="76">
        <v>8</v>
      </c>
      <c r="H9" s="76">
        <v>5</v>
      </c>
      <c r="I9" s="34">
        <v>25</v>
      </c>
      <c r="J9" s="24">
        <f t="shared" si="24"/>
        <v>1</v>
      </c>
      <c r="K9" s="76">
        <v>5</v>
      </c>
      <c r="L9" s="24">
        <f t="shared" si="25"/>
        <v>40</v>
      </c>
      <c r="M9" s="24">
        <f t="shared" si="59"/>
        <v>1</v>
      </c>
      <c r="O9" s="24">
        <v>4</v>
      </c>
      <c r="P9" s="121">
        <v>25</v>
      </c>
      <c r="Q9" s="107">
        <v>10</v>
      </c>
      <c r="R9" s="14">
        <f>SUM(Q$5:Q9)</f>
        <v>40</v>
      </c>
      <c r="S9" s="24">
        <v>20</v>
      </c>
      <c r="T9" s="109">
        <f t="shared" si="26"/>
        <v>160</v>
      </c>
      <c r="U9" s="24">
        <v>30</v>
      </c>
      <c r="V9" s="109">
        <f t="shared" si="27"/>
        <v>750</v>
      </c>
      <c r="W9" s="109">
        <v>45</v>
      </c>
      <c r="X9" s="76">
        <f t="shared" si="28"/>
        <v>1800</v>
      </c>
      <c r="Y9" s="34">
        <v>120</v>
      </c>
      <c r="Z9" s="109">
        <f t="shared" si="29"/>
        <v>4800</v>
      </c>
      <c r="AA9" s="181">
        <f>INDEX(节奏总表!$Z$5:$Z$32,章节关卡!O9)</f>
        <v>1.21</v>
      </c>
      <c r="AC9" s="77">
        <v>4</v>
      </c>
      <c r="AD9" s="210">
        <v>37</v>
      </c>
      <c r="AE9" s="172">
        <v>6</v>
      </c>
      <c r="AF9" s="109">
        <v>10</v>
      </c>
      <c r="AG9" s="155">
        <f>INDEX(节奏总表!$N$5:$N$34,章节关卡!AE9)</f>
        <v>26</v>
      </c>
      <c r="AH9" s="155">
        <f t="shared" si="60"/>
        <v>390</v>
      </c>
      <c r="AI9" s="14">
        <f>SUM(AF$5:AF9)</f>
        <v>40</v>
      </c>
      <c r="AJ9" s="14">
        <f t="shared" si="61"/>
        <v>400</v>
      </c>
      <c r="AK9" s="24">
        <v>60</v>
      </c>
      <c r="AL9" s="14">
        <f t="shared" si="62"/>
        <v>1500</v>
      </c>
      <c r="AM9" s="54">
        <v>90</v>
      </c>
      <c r="AN9" s="14">
        <f t="shared" si="30"/>
        <v>3600</v>
      </c>
      <c r="AO9" s="34">
        <v>240</v>
      </c>
      <c r="AP9" s="14">
        <f t="shared" si="31"/>
        <v>9600</v>
      </c>
      <c r="AS9" s="24">
        <v>5</v>
      </c>
      <c r="AT9" s="14">
        <f t="shared" si="32"/>
        <v>2</v>
      </c>
      <c r="AU9" s="109">
        <f t="shared" si="33"/>
        <v>1</v>
      </c>
      <c r="AV9" s="109">
        <f t="shared" si="34"/>
        <v>6</v>
      </c>
      <c r="AW9" s="109">
        <f t="shared" si="35"/>
        <v>11</v>
      </c>
      <c r="AX9" s="109">
        <f t="shared" si="36"/>
        <v>26</v>
      </c>
      <c r="BA9" s="109">
        <v>5</v>
      </c>
      <c r="BB9" s="14">
        <f t="shared" si="0"/>
        <v>1</v>
      </c>
      <c r="BC9" s="14">
        <f t="shared" si="37"/>
        <v>5</v>
      </c>
      <c r="BD9" s="14">
        <v>50</v>
      </c>
      <c r="BE9" s="14">
        <f t="shared" si="1"/>
        <v>300</v>
      </c>
      <c r="BF9" s="14">
        <f t="shared" si="2"/>
        <v>1125</v>
      </c>
      <c r="BG9" s="14">
        <f t="shared" si="38"/>
        <v>0</v>
      </c>
      <c r="BH9" s="14">
        <f t="shared" si="39"/>
        <v>11000</v>
      </c>
      <c r="BK9" s="109">
        <v>5</v>
      </c>
      <c r="BL9" s="14">
        <f t="shared" si="40"/>
        <v>1</v>
      </c>
      <c r="BM9" s="14">
        <f t="shared" si="41"/>
        <v>5</v>
      </c>
      <c r="BN9" s="14">
        <f t="shared" si="3"/>
        <v>100</v>
      </c>
      <c r="BO9" s="14">
        <f t="shared" si="4"/>
        <v>1200</v>
      </c>
      <c r="BP9" s="14">
        <f t="shared" si="5"/>
        <v>2250</v>
      </c>
      <c r="BS9" s="109">
        <v>5</v>
      </c>
      <c r="BT9" s="109">
        <f t="shared" si="42"/>
        <v>2</v>
      </c>
      <c r="BU9" s="112">
        <f t="shared" si="43"/>
        <v>15</v>
      </c>
      <c r="BV9" s="109">
        <f t="shared" si="6"/>
        <v>2</v>
      </c>
      <c r="BW9" s="109">
        <v>120</v>
      </c>
      <c r="BX9" s="109">
        <v>180</v>
      </c>
      <c r="BY9" s="109">
        <v>1</v>
      </c>
      <c r="BZ9" s="14">
        <f t="shared" si="44"/>
        <v>11022</v>
      </c>
      <c r="CA9" s="118">
        <v>1</v>
      </c>
      <c r="CB9" s="14">
        <f t="shared" si="45"/>
        <v>102</v>
      </c>
      <c r="CC9" s="118" t="s">
        <v>1026</v>
      </c>
      <c r="CD9" s="14">
        <f t="shared" si="46"/>
        <v>2</v>
      </c>
      <c r="CE9" s="166" t="str">
        <f t="shared" si="47"/>
        <v>守护灵抽卡券2 2小时扫荡券1 金币1800</v>
      </c>
      <c r="CF9" s="14">
        <f t="shared" si="48"/>
        <v>20</v>
      </c>
      <c r="CG9" s="115" t="s">
        <v>258</v>
      </c>
      <c r="CH9" s="115">
        <v>2</v>
      </c>
      <c r="CI9" s="112" t="s">
        <v>1395</v>
      </c>
      <c r="CJ9" s="115">
        <v>1</v>
      </c>
      <c r="CK9" s="109" t="s">
        <v>252</v>
      </c>
      <c r="CL9" s="109">
        <f t="shared" ref="CL8:CL36" si="66">INDEX($I$6:$I$35,BT9)*BW9</f>
        <v>1800</v>
      </c>
      <c r="CO9" s="115">
        <f t="shared" si="7"/>
        <v>2</v>
      </c>
      <c r="CP9" s="115">
        <f t="shared" si="8"/>
        <v>25</v>
      </c>
      <c r="CQ9" s="118">
        <v>2</v>
      </c>
      <c r="CR9" s="109">
        <f t="shared" si="9"/>
        <v>180</v>
      </c>
      <c r="CS9" s="109">
        <f t="shared" si="10"/>
        <v>360</v>
      </c>
      <c r="CT9" s="115">
        <v>6</v>
      </c>
      <c r="CU9" s="14">
        <f t="shared" si="11"/>
        <v>12022</v>
      </c>
      <c r="CV9" s="118">
        <v>2</v>
      </c>
      <c r="CW9" s="14">
        <f t="shared" si="12"/>
        <v>202</v>
      </c>
      <c r="CX9" s="118" t="s">
        <v>1026</v>
      </c>
      <c r="CY9" s="14">
        <f t="shared" si="13"/>
        <v>2</v>
      </c>
      <c r="CZ9" s="166" t="str">
        <f t="shared" si="50"/>
        <v>熔炼值60020级-新手套守护灵の护手1金币2700</v>
      </c>
      <c r="DA9" s="14">
        <f t="shared" si="51"/>
        <v>20</v>
      </c>
      <c r="DB9" s="115" t="s">
        <v>1005</v>
      </c>
      <c r="DC9" s="115">
        <v>600</v>
      </c>
      <c r="DD9" s="115" t="s">
        <v>1429</v>
      </c>
      <c r="DE9" s="115">
        <v>1</v>
      </c>
      <c r="DF9" s="109" t="s">
        <v>252</v>
      </c>
      <c r="DG9" s="115">
        <f t="shared" si="14"/>
        <v>2700</v>
      </c>
      <c r="DJ9" s="118">
        <v>5</v>
      </c>
      <c r="DK9" s="14">
        <f t="shared" si="52"/>
        <v>2</v>
      </c>
      <c r="DL9" s="118">
        <f t="shared" si="15"/>
        <v>15</v>
      </c>
      <c r="DM9" s="166">
        <f t="shared" si="16"/>
        <v>2</v>
      </c>
      <c r="DN9" s="166">
        <v>120</v>
      </c>
      <c r="DO9" s="166">
        <v>360</v>
      </c>
      <c r="DP9" s="166">
        <v>1</v>
      </c>
      <c r="DQ9" s="118">
        <v>120</v>
      </c>
      <c r="DR9" s="118">
        <f t="shared" si="53"/>
        <v>21022</v>
      </c>
      <c r="DS9" s="118">
        <v>1</v>
      </c>
      <c r="DT9" s="14">
        <f t="shared" si="17"/>
        <v>102</v>
      </c>
      <c r="DU9" s="118" t="s">
        <v>1034</v>
      </c>
      <c r="DV9" s="118">
        <v>2</v>
      </c>
      <c r="DW9" s="166" t="str">
        <f t="shared" si="18"/>
        <v>绿色基础材料23守护灵初级抽卡券6守护灵经验3600</v>
      </c>
      <c r="DX9" s="14">
        <f t="shared" ref="DX9" si="67">DT9*100+6</f>
        <v>10206</v>
      </c>
      <c r="DY9" s="191" t="s">
        <v>1606</v>
      </c>
      <c r="DZ9" s="191">
        <v>6</v>
      </c>
      <c r="EA9" s="14" t="str">
        <f>INDEX(挂机升级突破!$DT$4:$DX$4,DP9)</f>
        <v>绿色基础材料</v>
      </c>
      <c r="EB9" s="14">
        <f>ROUND(INDEX(挂机升级突破!$G$7:$K$37,DK9+2,章节关卡!DP9)/INDEX(挂机升级突破!$G$5:$K$5,章节关卡!DP9)*INDEX(挂机升级突破!$G$4:$K$4,章节关卡!DP9)*章节关卡!DO9,0)</f>
        <v>23</v>
      </c>
      <c r="EC9" s="118" t="s">
        <v>1038</v>
      </c>
      <c r="ED9" s="14">
        <f t="shared" si="19"/>
        <v>3600</v>
      </c>
      <c r="EE9" s="178">
        <v>50</v>
      </c>
      <c r="EI9" s="166">
        <v>5</v>
      </c>
      <c r="EJ9" s="14">
        <f t="shared" si="54"/>
        <v>2</v>
      </c>
      <c r="EK9" s="166">
        <f t="shared" si="55"/>
        <v>20</v>
      </c>
      <c r="EL9" s="166">
        <f t="shared" si="20"/>
        <v>2</v>
      </c>
      <c r="EM9" s="166">
        <f t="shared" si="21"/>
        <v>180</v>
      </c>
      <c r="EN9" s="166">
        <f t="shared" si="64"/>
        <v>900</v>
      </c>
      <c r="EO9" s="166">
        <v>6</v>
      </c>
      <c r="EP9" s="14">
        <f t="shared" si="22"/>
        <v>240</v>
      </c>
      <c r="EQ9" s="14">
        <f t="shared" si="57"/>
        <v>22022</v>
      </c>
      <c r="ER9" s="166">
        <v>1</v>
      </c>
      <c r="ES9" s="14">
        <f t="shared" si="58"/>
        <v>202</v>
      </c>
      <c r="ET9" s="166" t="s">
        <v>1034</v>
      </c>
      <c r="EU9" s="166">
        <v>2</v>
      </c>
      <c r="EV9" s="166"/>
      <c r="EW9" s="14">
        <f t="shared" ref="EW9" si="68">ES9*100+6</f>
        <v>20206</v>
      </c>
      <c r="EX9" s="166" t="s">
        <v>1397</v>
      </c>
      <c r="EY9" s="166">
        <v>30</v>
      </c>
      <c r="EZ9" s="14" t="str">
        <f>INDEX(挂机升级突破!$DT$4:$EC$4,EO9)</f>
        <v>玄铁</v>
      </c>
      <c r="FA9" s="14">
        <f>ROUND(INDEX(挂机升级突破!$G$7:$R$37,EJ9+3,EO9)/INDEX(挂机升级突破!$G$5:$R$5,章节关卡!EO9)*INDEX(挂机升级突破!$G$4:$R$4,章节关卡!EO9)*章节关卡!EN9*1.5,0)</f>
        <v>3</v>
      </c>
      <c r="FB9" s="166" t="s">
        <v>1399</v>
      </c>
      <c r="FC9" s="166">
        <f t="shared" si="23"/>
        <v>7200</v>
      </c>
    </row>
    <row r="10" spans="1:159" ht="16.5" x14ac:dyDescent="0.2">
      <c r="A10" s="24">
        <v>5</v>
      </c>
      <c r="B10" s="76">
        <v>30</v>
      </c>
      <c r="C10" s="166">
        <f>节奏总表!N9*60</f>
        <v>1440</v>
      </c>
      <c r="D10" s="109">
        <v>4</v>
      </c>
      <c r="E10" s="14">
        <f>SUM(D$5:D10)</f>
        <v>20</v>
      </c>
      <c r="F10" s="76">
        <v>5</v>
      </c>
      <c r="G10" s="76">
        <v>9</v>
      </c>
      <c r="H10" s="76">
        <v>5</v>
      </c>
      <c r="I10" s="24">
        <v>30</v>
      </c>
      <c r="J10" s="24">
        <f t="shared" si="24"/>
        <v>1</v>
      </c>
      <c r="K10" s="76">
        <v>5</v>
      </c>
      <c r="L10" s="24">
        <f t="shared" si="25"/>
        <v>45</v>
      </c>
      <c r="M10" s="24">
        <f t="shared" si="59"/>
        <v>1</v>
      </c>
      <c r="O10" s="24">
        <v>5</v>
      </c>
      <c r="P10" s="121">
        <v>30</v>
      </c>
      <c r="Q10" s="107">
        <v>10</v>
      </c>
      <c r="R10" s="14">
        <f>SUM(Q$5:Q10)</f>
        <v>50</v>
      </c>
      <c r="S10" s="24">
        <v>20</v>
      </c>
      <c r="T10" s="109">
        <f t="shared" si="26"/>
        <v>180</v>
      </c>
      <c r="U10" s="24">
        <v>30</v>
      </c>
      <c r="V10" s="109">
        <f t="shared" si="27"/>
        <v>900</v>
      </c>
      <c r="W10" s="109">
        <v>45</v>
      </c>
      <c r="X10" s="76">
        <f t="shared" si="28"/>
        <v>2025</v>
      </c>
      <c r="Y10" s="34">
        <v>150</v>
      </c>
      <c r="Z10" s="109">
        <f t="shared" si="29"/>
        <v>6750</v>
      </c>
      <c r="AA10" s="181">
        <f>INDEX(节奏总表!$Z$5:$Z$32,章节关卡!O10)</f>
        <v>1.71</v>
      </c>
      <c r="AC10" s="77">
        <v>5</v>
      </c>
      <c r="AD10" s="210">
        <v>42</v>
      </c>
      <c r="AE10" s="172">
        <v>7</v>
      </c>
      <c r="AF10" s="109">
        <v>10</v>
      </c>
      <c r="AG10" s="155">
        <f>INDEX(节奏总表!$N$5:$N$34,章节关卡!AE10)</f>
        <v>28</v>
      </c>
      <c r="AH10" s="118">
        <f t="shared" ref="AH10:AH31" si="69">ROUND(AG10*AH$2*60,0)</f>
        <v>420</v>
      </c>
      <c r="AI10" s="14">
        <f>SUM(AF$5:AF10)</f>
        <v>50</v>
      </c>
      <c r="AJ10" s="14">
        <f t="shared" si="61"/>
        <v>500</v>
      </c>
      <c r="AK10" s="24">
        <v>60</v>
      </c>
      <c r="AL10" s="14">
        <f t="shared" si="62"/>
        <v>1800</v>
      </c>
      <c r="AM10" s="54">
        <v>90</v>
      </c>
      <c r="AN10" s="14">
        <f t="shared" si="30"/>
        <v>4050</v>
      </c>
      <c r="AO10" s="34">
        <v>300</v>
      </c>
      <c r="AP10" s="14">
        <f t="shared" si="31"/>
        <v>13500</v>
      </c>
      <c r="AS10" s="24">
        <v>6</v>
      </c>
      <c r="AT10" s="14">
        <f t="shared" si="32"/>
        <v>2</v>
      </c>
      <c r="AU10" s="109">
        <f t="shared" si="33"/>
        <v>2</v>
      </c>
      <c r="AV10" s="109">
        <f t="shared" si="34"/>
        <v>6</v>
      </c>
      <c r="AW10" s="109">
        <f t="shared" si="35"/>
        <v>12</v>
      </c>
      <c r="AX10" s="109">
        <f t="shared" si="36"/>
        <v>27</v>
      </c>
      <c r="BA10" s="109">
        <v>6</v>
      </c>
      <c r="BB10" s="14">
        <f t="shared" si="0"/>
        <v>1</v>
      </c>
      <c r="BC10" s="14">
        <f t="shared" si="37"/>
        <v>6</v>
      </c>
      <c r="BD10" s="14">
        <v>50</v>
      </c>
      <c r="BE10" s="14">
        <f t="shared" si="1"/>
        <v>300</v>
      </c>
      <c r="BF10" s="14">
        <f t="shared" si="2"/>
        <v>1125</v>
      </c>
      <c r="BG10" s="14">
        <f t="shared" si="38"/>
        <v>0</v>
      </c>
      <c r="BH10" s="14">
        <f t="shared" si="39"/>
        <v>11000</v>
      </c>
      <c r="BK10" s="109">
        <v>6</v>
      </c>
      <c r="BL10" s="14">
        <f t="shared" si="40"/>
        <v>1</v>
      </c>
      <c r="BM10" s="14">
        <f t="shared" si="41"/>
        <v>6</v>
      </c>
      <c r="BN10" s="14">
        <f t="shared" si="3"/>
        <v>100</v>
      </c>
      <c r="BO10" s="14">
        <f t="shared" si="4"/>
        <v>1200</v>
      </c>
      <c r="BP10" s="14">
        <f t="shared" si="5"/>
        <v>2250</v>
      </c>
      <c r="BS10" s="109">
        <v>6</v>
      </c>
      <c r="BT10" s="109">
        <f t="shared" si="42"/>
        <v>2</v>
      </c>
      <c r="BU10" s="112">
        <f t="shared" si="43"/>
        <v>15</v>
      </c>
      <c r="BV10" s="109">
        <f t="shared" si="6"/>
        <v>3</v>
      </c>
      <c r="BW10" s="109">
        <v>180</v>
      </c>
      <c r="BX10" s="109">
        <v>270</v>
      </c>
      <c r="BY10" s="109">
        <v>1</v>
      </c>
      <c r="BZ10" s="14">
        <f t="shared" si="44"/>
        <v>11023</v>
      </c>
      <c r="CA10" s="118">
        <v>1</v>
      </c>
      <c r="CB10" s="14">
        <f t="shared" si="45"/>
        <v>102</v>
      </c>
      <c r="CC10" s="118" t="s">
        <v>1026</v>
      </c>
      <c r="CD10" s="14">
        <f t="shared" si="46"/>
        <v>3</v>
      </c>
      <c r="CE10" s="166" t="str">
        <f t="shared" si="47"/>
        <v>守护灵抽卡券3 2小时扫荡券1 金币2700</v>
      </c>
      <c r="CF10" s="14">
        <f t="shared" si="48"/>
        <v>30</v>
      </c>
      <c r="CG10" s="115" t="s">
        <v>258</v>
      </c>
      <c r="CH10" s="115">
        <v>3</v>
      </c>
      <c r="CI10" s="112" t="s">
        <v>1395</v>
      </c>
      <c r="CJ10" s="115">
        <v>1</v>
      </c>
      <c r="CK10" s="109" t="s">
        <v>252</v>
      </c>
      <c r="CL10" s="109">
        <f t="shared" si="66"/>
        <v>2700</v>
      </c>
      <c r="CO10" s="115">
        <f t="shared" si="7"/>
        <v>2</v>
      </c>
      <c r="CP10" s="115">
        <f t="shared" si="8"/>
        <v>25</v>
      </c>
      <c r="CQ10" s="118">
        <v>3</v>
      </c>
      <c r="CR10" s="109">
        <f t="shared" si="9"/>
        <v>270</v>
      </c>
      <c r="CS10" s="109">
        <f t="shared" si="10"/>
        <v>540</v>
      </c>
      <c r="CT10" s="115">
        <v>6</v>
      </c>
      <c r="CU10" s="14">
        <f t="shared" si="11"/>
        <v>12023</v>
      </c>
      <c r="CV10" s="118">
        <v>2</v>
      </c>
      <c r="CW10" s="14">
        <f t="shared" si="12"/>
        <v>202</v>
      </c>
      <c r="CX10" s="118" t="s">
        <v>1026</v>
      </c>
      <c r="CY10" s="14">
        <f t="shared" si="13"/>
        <v>3</v>
      </c>
      <c r="CZ10" s="166" t="str">
        <f t="shared" si="50"/>
        <v>守护灵抽卡券520级-新手套守护灵の灵器1金币4050</v>
      </c>
      <c r="DA10" s="14">
        <f t="shared" si="51"/>
        <v>30</v>
      </c>
      <c r="DB10" s="115" t="s">
        <v>1004</v>
      </c>
      <c r="DC10" s="115">
        <v>5</v>
      </c>
      <c r="DD10" s="115" t="s">
        <v>1430</v>
      </c>
      <c r="DE10" s="115">
        <v>1</v>
      </c>
      <c r="DF10" s="109" t="s">
        <v>252</v>
      </c>
      <c r="DG10" s="115">
        <f t="shared" si="14"/>
        <v>4050</v>
      </c>
      <c r="DJ10" s="118">
        <v>6</v>
      </c>
      <c r="DK10" s="14">
        <f t="shared" si="52"/>
        <v>2</v>
      </c>
      <c r="DL10" s="118">
        <f t="shared" si="15"/>
        <v>15</v>
      </c>
      <c r="DM10" s="166">
        <f t="shared" si="16"/>
        <v>3</v>
      </c>
      <c r="DN10" s="166">
        <v>180</v>
      </c>
      <c r="DO10" s="166">
        <v>540</v>
      </c>
      <c r="DP10" s="166">
        <v>1</v>
      </c>
      <c r="DQ10" s="118">
        <v>150</v>
      </c>
      <c r="DR10" s="118">
        <f t="shared" si="53"/>
        <v>21023</v>
      </c>
      <c r="DS10" s="118">
        <v>1</v>
      </c>
      <c r="DT10" s="14">
        <f t="shared" si="17"/>
        <v>102</v>
      </c>
      <c r="DU10" s="118" t="s">
        <v>1034</v>
      </c>
      <c r="DV10" s="118">
        <v>3</v>
      </c>
      <c r="DW10" s="166" t="str">
        <f t="shared" si="18"/>
        <v>绿色基础材料34玄铁8守护灵经验4500</v>
      </c>
      <c r="DX10" s="14">
        <f t="shared" ref="DX10" si="70">DT10*100+9</f>
        <v>10209</v>
      </c>
      <c r="DY10" s="191" t="s">
        <v>415</v>
      </c>
      <c r="DZ10" s="191">
        <v>8</v>
      </c>
      <c r="EA10" s="14" t="str">
        <f>INDEX(挂机升级突破!$DT$4:$DX$4,DP10)</f>
        <v>绿色基础材料</v>
      </c>
      <c r="EB10" s="14">
        <f>ROUND(INDEX(挂机升级突破!$G$7:$K$37,DK10+2,章节关卡!DP10)/INDEX(挂机升级突破!$G$5:$K$5,章节关卡!DP10)*INDEX(挂机升级突破!$G$4:$K$4,章节关卡!DP10)*章节关卡!DO10,0)</f>
        <v>34</v>
      </c>
      <c r="EC10" s="118" t="s">
        <v>1038</v>
      </c>
      <c r="ED10" s="14">
        <f t="shared" si="19"/>
        <v>4500</v>
      </c>
      <c r="EE10" s="178">
        <v>70</v>
      </c>
      <c r="EI10" s="166">
        <v>6</v>
      </c>
      <c r="EJ10" s="14">
        <f t="shared" si="54"/>
        <v>2</v>
      </c>
      <c r="EK10" s="166">
        <f t="shared" si="55"/>
        <v>20</v>
      </c>
      <c r="EL10" s="166">
        <f t="shared" si="20"/>
        <v>3</v>
      </c>
      <c r="EM10" s="166">
        <f t="shared" si="21"/>
        <v>270</v>
      </c>
      <c r="EN10" s="166">
        <f t="shared" si="64"/>
        <v>1350</v>
      </c>
      <c r="EO10" s="166">
        <v>6</v>
      </c>
      <c r="EP10" s="14">
        <f t="shared" si="22"/>
        <v>300</v>
      </c>
      <c r="EQ10" s="14">
        <f t="shared" si="57"/>
        <v>22023</v>
      </c>
      <c r="ER10" s="166">
        <v>1</v>
      </c>
      <c r="ES10" s="14">
        <f t="shared" si="58"/>
        <v>202</v>
      </c>
      <c r="ET10" s="166" t="s">
        <v>1034</v>
      </c>
      <c r="EU10" s="166">
        <v>3</v>
      </c>
      <c r="EV10" s="166"/>
      <c r="EW10" s="14">
        <f t="shared" ref="EW10" si="71">ES10*100+9</f>
        <v>20209</v>
      </c>
      <c r="EX10" s="166" t="s">
        <v>1397</v>
      </c>
      <c r="EY10" s="166">
        <v>50</v>
      </c>
      <c r="EZ10" s="14" t="str">
        <f>INDEX(挂机升级突破!$DT$4:$EC$4,EO10)</f>
        <v>玄铁</v>
      </c>
      <c r="FA10" s="14">
        <f>ROUND(INDEX(挂机升级突破!$G$7:$R$37,EJ10+3,EO10)/INDEX(挂机升级突破!$G$5:$R$5,章节关卡!EO10)*INDEX(挂机升级突破!$G$4:$R$4,章节关卡!EO10)*章节关卡!EN10*1.5,0)</f>
        <v>5</v>
      </c>
      <c r="FB10" s="166" t="s">
        <v>1399</v>
      </c>
      <c r="FC10" s="166">
        <f t="shared" si="23"/>
        <v>10800</v>
      </c>
    </row>
    <row r="11" spans="1:159" ht="16.5" x14ac:dyDescent="0.2">
      <c r="A11" s="24">
        <v>6</v>
      </c>
      <c r="B11" s="76">
        <v>35</v>
      </c>
      <c r="C11" s="166">
        <f>节奏总表!N10*60</f>
        <v>1560</v>
      </c>
      <c r="D11" s="109">
        <v>4</v>
      </c>
      <c r="E11" s="14">
        <f>SUM(D$5:D11)</f>
        <v>24</v>
      </c>
      <c r="F11" s="76">
        <v>5</v>
      </c>
      <c r="G11" s="76">
        <v>10</v>
      </c>
      <c r="H11" s="76">
        <v>5</v>
      </c>
      <c r="I11" s="24">
        <v>35</v>
      </c>
      <c r="J11" s="24">
        <f t="shared" si="24"/>
        <v>1</v>
      </c>
      <c r="K11" s="76">
        <v>5</v>
      </c>
      <c r="L11" s="24">
        <f t="shared" si="25"/>
        <v>50</v>
      </c>
      <c r="M11" s="24">
        <f t="shared" si="59"/>
        <v>1</v>
      </c>
      <c r="O11" s="24">
        <v>6</v>
      </c>
      <c r="P11" s="121">
        <v>35</v>
      </c>
      <c r="Q11" s="107">
        <v>10</v>
      </c>
      <c r="R11" s="14">
        <f>SUM(Q$5:Q11)</f>
        <v>60</v>
      </c>
      <c r="S11" s="24">
        <v>20</v>
      </c>
      <c r="T11" s="109">
        <f t="shared" si="26"/>
        <v>200</v>
      </c>
      <c r="U11" s="24">
        <v>30</v>
      </c>
      <c r="V11" s="109">
        <f t="shared" si="27"/>
        <v>1050</v>
      </c>
      <c r="W11" s="109">
        <v>45</v>
      </c>
      <c r="X11" s="76">
        <f t="shared" si="28"/>
        <v>2250</v>
      </c>
      <c r="Y11" s="34">
        <v>150</v>
      </c>
      <c r="Z11" s="109">
        <f t="shared" si="29"/>
        <v>7500</v>
      </c>
      <c r="AA11" s="181">
        <f>INDEX(节奏总表!$Z$5:$Z$32,章节关卡!O11)</f>
        <v>2.25</v>
      </c>
      <c r="AC11" s="77">
        <v>6</v>
      </c>
      <c r="AD11" s="210">
        <v>47</v>
      </c>
      <c r="AE11" s="172">
        <v>8</v>
      </c>
      <c r="AF11" s="109">
        <v>10</v>
      </c>
      <c r="AG11" s="155">
        <f>INDEX(节奏总表!$N$5:$N$34,章节关卡!AE11)</f>
        <v>30</v>
      </c>
      <c r="AH11" s="118">
        <f t="shared" si="69"/>
        <v>450</v>
      </c>
      <c r="AI11" s="14">
        <f>SUM(AF$5:AF11)</f>
        <v>60</v>
      </c>
      <c r="AJ11" s="14">
        <f t="shared" si="61"/>
        <v>650</v>
      </c>
      <c r="AK11" s="24">
        <v>60</v>
      </c>
      <c r="AL11" s="14">
        <f t="shared" si="62"/>
        <v>2100</v>
      </c>
      <c r="AM11" s="54">
        <v>90</v>
      </c>
      <c r="AN11" s="14">
        <f t="shared" si="30"/>
        <v>4500</v>
      </c>
      <c r="AO11" s="34">
        <v>300</v>
      </c>
      <c r="AP11" s="14">
        <f t="shared" si="31"/>
        <v>15000</v>
      </c>
      <c r="AS11" s="24">
        <v>7</v>
      </c>
      <c r="AT11" s="14">
        <f t="shared" si="32"/>
        <v>2</v>
      </c>
      <c r="AU11" s="109">
        <f t="shared" si="33"/>
        <v>3</v>
      </c>
      <c r="AV11" s="109">
        <f t="shared" si="34"/>
        <v>6</v>
      </c>
      <c r="AW11" s="109">
        <f t="shared" si="35"/>
        <v>13</v>
      </c>
      <c r="AX11" s="109">
        <f t="shared" si="36"/>
        <v>28</v>
      </c>
      <c r="BA11" s="109">
        <v>7</v>
      </c>
      <c r="BB11" s="14">
        <f t="shared" si="0"/>
        <v>1</v>
      </c>
      <c r="BC11" s="14">
        <f t="shared" si="37"/>
        <v>7</v>
      </c>
      <c r="BD11" s="14">
        <v>75</v>
      </c>
      <c r="BE11" s="14">
        <f t="shared" si="1"/>
        <v>300</v>
      </c>
      <c r="BF11" s="14">
        <f t="shared" si="2"/>
        <v>1125</v>
      </c>
      <c r="BG11" s="14">
        <f t="shared" si="38"/>
        <v>0</v>
      </c>
      <c r="BH11" s="14">
        <f t="shared" si="39"/>
        <v>11000</v>
      </c>
      <c r="BK11" s="109">
        <v>7</v>
      </c>
      <c r="BL11" s="14">
        <f t="shared" si="40"/>
        <v>1</v>
      </c>
      <c r="BM11" s="14">
        <f t="shared" si="41"/>
        <v>7</v>
      </c>
      <c r="BN11" s="14">
        <f t="shared" si="3"/>
        <v>100</v>
      </c>
      <c r="BO11" s="14">
        <f t="shared" si="4"/>
        <v>1200</v>
      </c>
      <c r="BP11" s="14">
        <f t="shared" si="5"/>
        <v>2250</v>
      </c>
      <c r="BS11" s="109">
        <v>7</v>
      </c>
      <c r="BT11" s="109">
        <f t="shared" si="42"/>
        <v>3</v>
      </c>
      <c r="BU11" s="112">
        <f t="shared" si="43"/>
        <v>20</v>
      </c>
      <c r="BV11" s="109">
        <f t="shared" si="6"/>
        <v>1</v>
      </c>
      <c r="BW11" s="109">
        <v>90</v>
      </c>
      <c r="BX11" s="109">
        <v>135</v>
      </c>
      <c r="BY11" s="109">
        <v>1</v>
      </c>
      <c r="BZ11" s="14">
        <f t="shared" si="44"/>
        <v>11031</v>
      </c>
      <c r="CA11" s="118">
        <v>1</v>
      </c>
      <c r="CB11" s="14">
        <f t="shared" si="45"/>
        <v>103</v>
      </c>
      <c r="CC11" s="118" t="s">
        <v>1026</v>
      </c>
      <c r="CD11" s="14">
        <f t="shared" si="46"/>
        <v>1</v>
      </c>
      <c r="CE11" s="166" t="str">
        <f t="shared" si="47"/>
        <v xml:space="preserve">钻石70 金币1800 </v>
      </c>
      <c r="CF11" s="14">
        <f t="shared" si="48"/>
        <v>10</v>
      </c>
      <c r="CG11" s="109" t="s">
        <v>19</v>
      </c>
      <c r="CH11" s="109">
        <v>70</v>
      </c>
      <c r="CI11" s="210" t="s">
        <v>358</v>
      </c>
      <c r="CJ11" s="210">
        <f>INDEX($I$6:$I$35,BT11)*BW11</f>
        <v>1800</v>
      </c>
      <c r="CK11" s="210"/>
      <c r="CL11" s="210"/>
      <c r="CO11" s="115">
        <f t="shared" si="7"/>
        <v>3</v>
      </c>
      <c r="CP11" s="115">
        <f t="shared" si="8"/>
        <v>30</v>
      </c>
      <c r="CQ11" s="118">
        <v>1</v>
      </c>
      <c r="CR11" s="109">
        <f t="shared" si="9"/>
        <v>135</v>
      </c>
      <c r="CS11" s="109">
        <f t="shared" si="10"/>
        <v>270</v>
      </c>
      <c r="CT11" s="115">
        <v>6</v>
      </c>
      <c r="CU11" s="14">
        <f t="shared" si="11"/>
        <v>12031</v>
      </c>
      <c r="CV11" s="118">
        <v>2</v>
      </c>
      <c r="CW11" s="14">
        <f t="shared" si="12"/>
        <v>203</v>
      </c>
      <c r="CX11" s="118" t="s">
        <v>1026</v>
      </c>
      <c r="CY11" s="14">
        <f t="shared" si="13"/>
        <v>1</v>
      </c>
      <c r="CZ11" s="166" t="str">
        <f t="shared" si="50"/>
        <v>钻石10020级-新手套寄灵人の头盔1金币2700</v>
      </c>
      <c r="DA11" s="14">
        <f t="shared" si="51"/>
        <v>10</v>
      </c>
      <c r="DB11" s="115" t="s">
        <v>257</v>
      </c>
      <c r="DC11" s="115">
        <v>100</v>
      </c>
      <c r="DD11" s="115" t="s">
        <v>1431</v>
      </c>
      <c r="DE11" s="115">
        <v>1</v>
      </c>
      <c r="DF11" s="109" t="s">
        <v>252</v>
      </c>
      <c r="DG11" s="115">
        <f t="shared" si="14"/>
        <v>2700</v>
      </c>
      <c r="DJ11" s="118">
        <v>7</v>
      </c>
      <c r="DK11" s="14">
        <f t="shared" si="52"/>
        <v>3</v>
      </c>
      <c r="DL11" s="118">
        <f t="shared" si="15"/>
        <v>20</v>
      </c>
      <c r="DM11" s="166">
        <f t="shared" si="16"/>
        <v>1</v>
      </c>
      <c r="DN11" s="166">
        <v>90</v>
      </c>
      <c r="DO11" s="166">
        <v>270</v>
      </c>
      <c r="DP11" s="166">
        <v>1</v>
      </c>
      <c r="DQ11" s="118">
        <v>90</v>
      </c>
      <c r="DR11" s="118">
        <f t="shared" si="53"/>
        <v>21031</v>
      </c>
      <c r="DS11" s="118">
        <v>1</v>
      </c>
      <c r="DT11" s="14">
        <f t="shared" si="17"/>
        <v>103</v>
      </c>
      <c r="DU11" s="118" t="s">
        <v>1034</v>
      </c>
      <c r="DV11" s="118">
        <v>1</v>
      </c>
      <c r="DW11" s="166" t="str">
        <f t="shared" si="18"/>
        <v>绿色基础材料23守护灵初级抽卡券4守护灵经验3150</v>
      </c>
      <c r="DX11" s="14">
        <f t="shared" ref="DX11" si="72">DT11*100+3</f>
        <v>10303</v>
      </c>
      <c r="DY11" s="191" t="s">
        <v>1606</v>
      </c>
      <c r="DZ11" s="191">
        <v>4</v>
      </c>
      <c r="EA11" s="14" t="str">
        <f>INDEX(挂机升级突破!$DT$4:$DX$4,DP11)</f>
        <v>绿色基础材料</v>
      </c>
      <c r="EB11" s="14">
        <f>ROUND(INDEX(挂机升级突破!$G$7:$K$37,DK11+2,章节关卡!DP11)/INDEX(挂机升级突破!$G$5:$K$5,章节关卡!DP11)*INDEX(挂机升级突破!$G$4:$K$4,章节关卡!DP11)*章节关卡!DO11,0)</f>
        <v>23</v>
      </c>
      <c r="EC11" s="118" t="s">
        <v>1038</v>
      </c>
      <c r="ED11" s="14">
        <f t="shared" si="19"/>
        <v>3150</v>
      </c>
      <c r="EE11" s="178">
        <v>50</v>
      </c>
      <c r="EI11" s="166">
        <v>7</v>
      </c>
      <c r="EJ11" s="14">
        <f t="shared" si="54"/>
        <v>3</v>
      </c>
      <c r="EK11" s="166">
        <f t="shared" si="55"/>
        <v>25</v>
      </c>
      <c r="EL11" s="166">
        <f t="shared" si="20"/>
        <v>1</v>
      </c>
      <c r="EM11" s="166">
        <f t="shared" si="21"/>
        <v>135</v>
      </c>
      <c r="EN11" s="166">
        <f t="shared" si="64"/>
        <v>675</v>
      </c>
      <c r="EO11" s="166">
        <v>6</v>
      </c>
      <c r="EP11" s="14">
        <f t="shared" si="22"/>
        <v>180</v>
      </c>
      <c r="EQ11" s="14">
        <f t="shared" si="57"/>
        <v>22031</v>
      </c>
      <c r="ER11" s="166">
        <v>1</v>
      </c>
      <c r="ES11" s="14">
        <f t="shared" si="58"/>
        <v>203</v>
      </c>
      <c r="ET11" s="166" t="s">
        <v>1034</v>
      </c>
      <c r="EU11" s="166">
        <v>1</v>
      </c>
      <c r="EV11" s="166"/>
      <c r="EW11" s="14">
        <f t="shared" ref="EW11" si="73">ES11*100+3</f>
        <v>20303</v>
      </c>
      <c r="EX11" s="166" t="s">
        <v>1397</v>
      </c>
      <c r="EY11" s="166">
        <v>20</v>
      </c>
      <c r="EZ11" s="14" t="str">
        <f>INDEX(挂机升级突破!$DT$4:$EC$4,EO11)</f>
        <v>玄铁</v>
      </c>
      <c r="FA11" s="14">
        <f>ROUND(INDEX(挂机升级突破!$G$7:$R$37,EJ11+3,EO11)/INDEX(挂机升级突破!$G$5:$R$5,章节关卡!EO11)*INDEX(挂机升级突破!$G$4:$R$4,章节关卡!EO11)*章节关卡!EN11*1.5,0)</f>
        <v>4</v>
      </c>
      <c r="FB11" s="166" t="s">
        <v>1399</v>
      </c>
      <c r="FC11" s="166">
        <f t="shared" si="23"/>
        <v>6075</v>
      </c>
    </row>
    <row r="12" spans="1:159" ht="16.5" x14ac:dyDescent="0.2">
      <c r="A12" s="24">
        <v>7</v>
      </c>
      <c r="B12" s="76">
        <v>40</v>
      </c>
      <c r="C12" s="166">
        <f>节奏总表!N11*60</f>
        <v>1680</v>
      </c>
      <c r="D12" s="109">
        <v>4</v>
      </c>
      <c r="E12" s="14">
        <f>SUM(D$5:D12)</f>
        <v>28</v>
      </c>
      <c r="F12" s="76">
        <v>5</v>
      </c>
      <c r="G12" s="76">
        <v>12</v>
      </c>
      <c r="H12" s="76">
        <v>5</v>
      </c>
      <c r="I12" s="24">
        <v>40</v>
      </c>
      <c r="J12" s="24">
        <f t="shared" si="24"/>
        <v>1</v>
      </c>
      <c r="K12" s="76">
        <v>5</v>
      </c>
      <c r="L12" s="24">
        <f t="shared" si="25"/>
        <v>60</v>
      </c>
      <c r="M12" s="24">
        <f t="shared" si="59"/>
        <v>2</v>
      </c>
      <c r="O12" s="24">
        <v>7</v>
      </c>
      <c r="P12" s="121">
        <v>40</v>
      </c>
      <c r="Q12" s="107">
        <v>10</v>
      </c>
      <c r="R12" s="14">
        <f>SUM(Q$5:Q12)</f>
        <v>70</v>
      </c>
      <c r="S12" s="24">
        <v>20</v>
      </c>
      <c r="T12" s="109">
        <f t="shared" si="26"/>
        <v>240</v>
      </c>
      <c r="U12" s="24">
        <v>30</v>
      </c>
      <c r="V12" s="109">
        <f t="shared" si="27"/>
        <v>1200</v>
      </c>
      <c r="W12" s="109">
        <v>45</v>
      </c>
      <c r="X12" s="76">
        <f t="shared" si="28"/>
        <v>2700</v>
      </c>
      <c r="Y12" s="34">
        <v>150</v>
      </c>
      <c r="Z12" s="109">
        <f t="shared" si="29"/>
        <v>9000</v>
      </c>
      <c r="AA12" s="181">
        <f>INDEX(节奏总表!$Z$5:$Z$32,章节关卡!O12)</f>
        <v>2.83</v>
      </c>
      <c r="AC12" s="77">
        <v>7</v>
      </c>
      <c r="AD12" s="210">
        <v>52</v>
      </c>
      <c r="AE12" s="172">
        <v>9</v>
      </c>
      <c r="AF12" s="109">
        <v>10</v>
      </c>
      <c r="AG12" s="155">
        <f>INDEX(节奏总表!$N$5:$N$34,章节关卡!AE12)</f>
        <v>34</v>
      </c>
      <c r="AH12" s="118">
        <f t="shared" si="69"/>
        <v>510</v>
      </c>
      <c r="AI12" s="14">
        <f>SUM(AF$5:AF12)</f>
        <v>70</v>
      </c>
      <c r="AJ12" s="14">
        <f t="shared" si="61"/>
        <v>800</v>
      </c>
      <c r="AK12" s="24">
        <v>60</v>
      </c>
      <c r="AL12" s="14">
        <f t="shared" si="62"/>
        <v>2400</v>
      </c>
      <c r="AM12" s="54">
        <v>90</v>
      </c>
      <c r="AN12" s="14">
        <f t="shared" si="30"/>
        <v>5400</v>
      </c>
      <c r="AO12" s="34">
        <v>300</v>
      </c>
      <c r="AP12" s="14">
        <f t="shared" si="31"/>
        <v>18000</v>
      </c>
      <c r="AS12" s="24">
        <v>8</v>
      </c>
      <c r="AT12" s="14">
        <f t="shared" si="32"/>
        <v>2</v>
      </c>
      <c r="AU12" s="109">
        <f t="shared" si="33"/>
        <v>4</v>
      </c>
      <c r="AV12" s="109">
        <f t="shared" si="34"/>
        <v>6</v>
      </c>
      <c r="AW12" s="109">
        <f t="shared" si="35"/>
        <v>14</v>
      </c>
      <c r="AX12" s="109">
        <f t="shared" si="36"/>
        <v>29</v>
      </c>
      <c r="BA12" s="109">
        <v>8</v>
      </c>
      <c r="BB12" s="14">
        <f t="shared" si="0"/>
        <v>1</v>
      </c>
      <c r="BC12" s="14">
        <f t="shared" si="37"/>
        <v>8</v>
      </c>
      <c r="BD12" s="14">
        <v>75</v>
      </c>
      <c r="BE12" s="14">
        <f t="shared" si="1"/>
        <v>300</v>
      </c>
      <c r="BF12" s="14">
        <f t="shared" si="2"/>
        <v>1125</v>
      </c>
      <c r="BG12" s="14">
        <f t="shared" si="38"/>
        <v>0</v>
      </c>
      <c r="BH12" s="14">
        <f t="shared" si="39"/>
        <v>11000</v>
      </c>
      <c r="BK12" s="109">
        <v>8</v>
      </c>
      <c r="BL12" s="14">
        <f t="shared" si="40"/>
        <v>1</v>
      </c>
      <c r="BM12" s="14">
        <f t="shared" si="41"/>
        <v>8</v>
      </c>
      <c r="BN12" s="14">
        <f t="shared" si="3"/>
        <v>100</v>
      </c>
      <c r="BO12" s="14">
        <f t="shared" si="4"/>
        <v>1200</v>
      </c>
      <c r="BP12" s="14">
        <f t="shared" si="5"/>
        <v>2250</v>
      </c>
      <c r="BS12" s="109">
        <v>8</v>
      </c>
      <c r="BT12" s="109">
        <f t="shared" si="42"/>
        <v>3</v>
      </c>
      <c r="BU12" s="112">
        <f t="shared" si="43"/>
        <v>20</v>
      </c>
      <c r="BV12" s="109">
        <f t="shared" si="6"/>
        <v>2</v>
      </c>
      <c r="BW12" s="109">
        <v>150</v>
      </c>
      <c r="BX12" s="109">
        <v>225</v>
      </c>
      <c r="BY12" s="109">
        <v>1</v>
      </c>
      <c r="BZ12" s="14">
        <f t="shared" si="44"/>
        <v>11032</v>
      </c>
      <c r="CA12" s="118">
        <v>1</v>
      </c>
      <c r="CB12" s="14">
        <f t="shared" si="45"/>
        <v>103</v>
      </c>
      <c r="CC12" s="118" t="s">
        <v>1026</v>
      </c>
      <c r="CD12" s="14">
        <f t="shared" si="46"/>
        <v>2</v>
      </c>
      <c r="CE12" s="166" t="str">
        <f t="shared" si="47"/>
        <v>守护灵抽卡券2 2小时扫荡券1 金币3000</v>
      </c>
      <c r="CF12" s="14">
        <f t="shared" si="48"/>
        <v>20</v>
      </c>
      <c r="CG12" s="115" t="s">
        <v>258</v>
      </c>
      <c r="CH12" s="115">
        <v>2</v>
      </c>
      <c r="CI12" s="210" t="s">
        <v>1395</v>
      </c>
      <c r="CJ12" s="210">
        <v>1</v>
      </c>
      <c r="CK12" s="210" t="s">
        <v>252</v>
      </c>
      <c r="CL12" s="210">
        <f t="shared" ref="CL12:CL13" si="74">INDEX($I$6:$I$35,BT12)*BW12</f>
        <v>3000</v>
      </c>
      <c r="CO12" s="115">
        <f t="shared" si="7"/>
        <v>3</v>
      </c>
      <c r="CP12" s="115">
        <f t="shared" si="8"/>
        <v>30</v>
      </c>
      <c r="CQ12" s="118">
        <v>2</v>
      </c>
      <c r="CR12" s="109">
        <f t="shared" si="9"/>
        <v>225</v>
      </c>
      <c r="CS12" s="109">
        <f t="shared" si="10"/>
        <v>450</v>
      </c>
      <c r="CT12" s="115">
        <v>6</v>
      </c>
      <c r="CU12" s="14">
        <f t="shared" si="11"/>
        <v>12032</v>
      </c>
      <c r="CV12" s="118">
        <v>2</v>
      </c>
      <c r="CW12" s="14">
        <f t="shared" si="12"/>
        <v>203</v>
      </c>
      <c r="CX12" s="118" t="s">
        <v>1026</v>
      </c>
      <c r="CY12" s="14">
        <f t="shared" si="13"/>
        <v>2</v>
      </c>
      <c r="CZ12" s="166" t="str">
        <f t="shared" si="50"/>
        <v>熔炼值70020级-新手套寄灵人の铠甲1金币4500</v>
      </c>
      <c r="DA12" s="14">
        <f t="shared" si="51"/>
        <v>20</v>
      </c>
      <c r="DB12" s="115" t="s">
        <v>1005</v>
      </c>
      <c r="DC12" s="115">
        <v>700</v>
      </c>
      <c r="DD12" s="115" t="s">
        <v>1432</v>
      </c>
      <c r="DE12" s="115">
        <v>1</v>
      </c>
      <c r="DF12" s="109" t="s">
        <v>252</v>
      </c>
      <c r="DG12" s="115">
        <f t="shared" si="14"/>
        <v>4500</v>
      </c>
      <c r="DJ12" s="118">
        <v>8</v>
      </c>
      <c r="DK12" s="14">
        <f t="shared" si="52"/>
        <v>3</v>
      </c>
      <c r="DL12" s="118">
        <f t="shared" si="15"/>
        <v>20</v>
      </c>
      <c r="DM12" s="166">
        <f t="shared" si="16"/>
        <v>2</v>
      </c>
      <c r="DN12" s="166">
        <v>150</v>
      </c>
      <c r="DO12" s="166">
        <v>450</v>
      </c>
      <c r="DP12" s="166">
        <v>1</v>
      </c>
      <c r="DQ12" s="118">
        <v>120</v>
      </c>
      <c r="DR12" s="118">
        <f t="shared" si="53"/>
        <v>21032</v>
      </c>
      <c r="DS12" s="118">
        <v>1</v>
      </c>
      <c r="DT12" s="14">
        <f t="shared" si="17"/>
        <v>103</v>
      </c>
      <c r="DU12" s="118" t="s">
        <v>1034</v>
      </c>
      <c r="DV12" s="118">
        <v>2</v>
      </c>
      <c r="DW12" s="166" t="str">
        <f t="shared" si="18"/>
        <v>绿色基础材料38守护灵初级抽卡券6守护灵经验4200</v>
      </c>
      <c r="DX12" s="14">
        <f t="shared" ref="DX12" si="75">DT12*100+6</f>
        <v>10306</v>
      </c>
      <c r="DY12" s="191" t="s">
        <v>1606</v>
      </c>
      <c r="DZ12" s="191">
        <v>6</v>
      </c>
      <c r="EA12" s="14" t="str">
        <f>INDEX(挂机升级突破!$DT$4:$DX$4,DP12)</f>
        <v>绿色基础材料</v>
      </c>
      <c r="EB12" s="14">
        <f>ROUND(INDEX(挂机升级突破!$G$7:$K$37,DK12+2,章节关卡!DP12)/INDEX(挂机升级突破!$G$5:$K$5,章节关卡!DP12)*INDEX(挂机升级突破!$G$4:$K$4,章节关卡!DP12)*章节关卡!DO12,0)</f>
        <v>38</v>
      </c>
      <c r="EC12" s="118" t="s">
        <v>1038</v>
      </c>
      <c r="ED12" s="14">
        <f t="shared" si="19"/>
        <v>4200</v>
      </c>
      <c r="EE12" s="178">
        <v>75</v>
      </c>
      <c r="EI12" s="166">
        <v>8</v>
      </c>
      <c r="EJ12" s="14">
        <f t="shared" si="54"/>
        <v>3</v>
      </c>
      <c r="EK12" s="166">
        <f t="shared" si="55"/>
        <v>25</v>
      </c>
      <c r="EL12" s="166">
        <f t="shared" si="20"/>
        <v>2</v>
      </c>
      <c r="EM12" s="166">
        <f t="shared" si="21"/>
        <v>225</v>
      </c>
      <c r="EN12" s="166">
        <f t="shared" si="64"/>
        <v>1125</v>
      </c>
      <c r="EO12" s="166">
        <v>6</v>
      </c>
      <c r="EP12" s="14">
        <f t="shared" si="22"/>
        <v>240</v>
      </c>
      <c r="EQ12" s="14">
        <f t="shared" si="57"/>
        <v>22032</v>
      </c>
      <c r="ER12" s="166">
        <v>1</v>
      </c>
      <c r="ES12" s="14">
        <f t="shared" si="58"/>
        <v>203</v>
      </c>
      <c r="ET12" s="166" t="s">
        <v>1034</v>
      </c>
      <c r="EU12" s="166">
        <v>2</v>
      </c>
      <c r="EV12" s="166"/>
      <c r="EW12" s="14">
        <f t="shared" ref="EW12" si="76">ES12*100+6</f>
        <v>20306</v>
      </c>
      <c r="EX12" s="166" t="s">
        <v>1397</v>
      </c>
      <c r="EY12" s="166">
        <v>30</v>
      </c>
      <c r="EZ12" s="14" t="str">
        <f>INDEX(挂机升级突破!$DT$4:$EC$4,EO12)</f>
        <v>玄铁</v>
      </c>
      <c r="FA12" s="14">
        <f>ROUND(INDEX(挂机升级突破!$G$7:$R$37,EJ12+3,EO12)/INDEX(挂机升级突破!$G$5:$R$5,章节关卡!EO12)*INDEX(挂机升级突破!$G$4:$R$4,章节关卡!EO12)*章节关卡!EN12*1.5,0)</f>
        <v>7</v>
      </c>
      <c r="FB12" s="166" t="s">
        <v>1399</v>
      </c>
      <c r="FC12" s="166">
        <f t="shared" si="23"/>
        <v>10125</v>
      </c>
    </row>
    <row r="13" spans="1:159" ht="16.5" x14ac:dyDescent="0.2">
      <c r="A13" s="24">
        <v>8</v>
      </c>
      <c r="B13" s="76">
        <v>45</v>
      </c>
      <c r="C13" s="166">
        <f>节奏总表!N12*60</f>
        <v>1800</v>
      </c>
      <c r="D13" s="109">
        <v>4</v>
      </c>
      <c r="E13" s="14">
        <f>SUM(D$5:D13)</f>
        <v>32</v>
      </c>
      <c r="F13" s="76">
        <v>5</v>
      </c>
      <c r="G13" s="76">
        <v>14</v>
      </c>
      <c r="H13" s="76">
        <v>5</v>
      </c>
      <c r="I13" s="24">
        <v>45</v>
      </c>
      <c r="J13" s="24">
        <f t="shared" si="24"/>
        <v>1</v>
      </c>
      <c r="K13" s="76">
        <v>5</v>
      </c>
      <c r="L13" s="24">
        <f t="shared" si="25"/>
        <v>70</v>
      </c>
      <c r="M13" s="24">
        <f t="shared" si="59"/>
        <v>2</v>
      </c>
      <c r="O13" s="24">
        <v>8</v>
      </c>
      <c r="P13" s="121">
        <v>45</v>
      </c>
      <c r="Q13" s="107">
        <v>10</v>
      </c>
      <c r="R13" s="14">
        <f>SUM(Q$5:Q13)</f>
        <v>80</v>
      </c>
      <c r="S13" s="24">
        <v>20</v>
      </c>
      <c r="T13" s="109">
        <f t="shared" si="26"/>
        <v>280</v>
      </c>
      <c r="U13" s="24">
        <v>30</v>
      </c>
      <c r="V13" s="109">
        <f t="shared" si="27"/>
        <v>1350</v>
      </c>
      <c r="W13" s="109">
        <v>45</v>
      </c>
      <c r="X13" s="76">
        <f t="shared" si="28"/>
        <v>3150</v>
      </c>
      <c r="Y13" s="34">
        <v>150</v>
      </c>
      <c r="Z13" s="109">
        <f t="shared" si="29"/>
        <v>10500</v>
      </c>
      <c r="AA13" s="181">
        <f>INDEX(节奏总表!$Z$5:$Z$32,章节关卡!O13)</f>
        <v>3.46</v>
      </c>
      <c r="AC13" s="77">
        <v>8</v>
      </c>
      <c r="AD13" s="210">
        <v>57</v>
      </c>
      <c r="AE13" s="172">
        <v>10</v>
      </c>
      <c r="AF13" s="109">
        <v>10</v>
      </c>
      <c r="AG13" s="155">
        <f>INDEX(节奏总表!$N$5:$N$34,章节关卡!AE13)</f>
        <v>40</v>
      </c>
      <c r="AH13" s="118">
        <f t="shared" si="69"/>
        <v>600</v>
      </c>
      <c r="AI13" s="14">
        <f>SUM(AF$5:AF13)</f>
        <v>80</v>
      </c>
      <c r="AJ13" s="14">
        <f t="shared" si="61"/>
        <v>1100</v>
      </c>
      <c r="AK13" s="24">
        <v>60</v>
      </c>
      <c r="AL13" s="14">
        <f t="shared" si="62"/>
        <v>2700</v>
      </c>
      <c r="AM13" s="54">
        <v>90</v>
      </c>
      <c r="AN13" s="14">
        <f t="shared" si="30"/>
        <v>6300</v>
      </c>
      <c r="AO13" s="34">
        <v>300</v>
      </c>
      <c r="AP13" s="14">
        <f t="shared" si="31"/>
        <v>21000</v>
      </c>
      <c r="AS13" s="24">
        <v>9</v>
      </c>
      <c r="AT13" s="14">
        <f t="shared" si="32"/>
        <v>3</v>
      </c>
      <c r="AU13" s="109">
        <f t="shared" si="33"/>
        <v>1</v>
      </c>
      <c r="AV13" s="109">
        <f t="shared" si="34"/>
        <v>7</v>
      </c>
      <c r="AW13" s="109">
        <f t="shared" si="35"/>
        <v>16</v>
      </c>
      <c r="AX13" s="109">
        <f t="shared" si="36"/>
        <v>31</v>
      </c>
      <c r="BA13" s="109">
        <v>9</v>
      </c>
      <c r="BB13" s="14">
        <f t="shared" si="0"/>
        <v>1</v>
      </c>
      <c r="BC13" s="14">
        <f t="shared" si="37"/>
        <v>9</v>
      </c>
      <c r="BD13" s="14">
        <v>75</v>
      </c>
      <c r="BE13" s="14">
        <f t="shared" si="1"/>
        <v>300</v>
      </c>
      <c r="BF13" s="14">
        <f t="shared" si="2"/>
        <v>1125</v>
      </c>
      <c r="BG13" s="14">
        <f t="shared" si="38"/>
        <v>0</v>
      </c>
      <c r="BH13" s="14">
        <f t="shared" si="39"/>
        <v>11000</v>
      </c>
      <c r="BK13" s="109">
        <v>9</v>
      </c>
      <c r="BL13" s="14">
        <f t="shared" si="40"/>
        <v>1</v>
      </c>
      <c r="BM13" s="14">
        <f t="shared" si="41"/>
        <v>9</v>
      </c>
      <c r="BN13" s="14">
        <f t="shared" si="3"/>
        <v>100</v>
      </c>
      <c r="BO13" s="14">
        <f t="shared" si="4"/>
        <v>1200</v>
      </c>
      <c r="BP13" s="14">
        <f t="shared" si="5"/>
        <v>2250</v>
      </c>
      <c r="BS13" s="109">
        <v>9</v>
      </c>
      <c r="BT13" s="109">
        <f t="shared" si="42"/>
        <v>3</v>
      </c>
      <c r="BU13" s="112">
        <f t="shared" si="43"/>
        <v>20</v>
      </c>
      <c r="BV13" s="109">
        <f t="shared" si="6"/>
        <v>3</v>
      </c>
      <c r="BW13" s="109">
        <v>210</v>
      </c>
      <c r="BX13" s="109">
        <v>315</v>
      </c>
      <c r="BY13" s="109">
        <v>1</v>
      </c>
      <c r="BZ13" s="14">
        <f t="shared" si="44"/>
        <v>11033</v>
      </c>
      <c r="CA13" s="118">
        <v>1</v>
      </c>
      <c r="CB13" s="14">
        <f t="shared" si="45"/>
        <v>103</v>
      </c>
      <c r="CC13" s="118" t="s">
        <v>1026</v>
      </c>
      <c r="CD13" s="14">
        <f t="shared" si="46"/>
        <v>3</v>
      </c>
      <c r="CE13" s="166" t="str">
        <f t="shared" si="47"/>
        <v>守护灵抽卡券3 2小时扫荡券1 金币4200</v>
      </c>
      <c r="CF13" s="14">
        <f t="shared" si="48"/>
        <v>30</v>
      </c>
      <c r="CG13" s="115" t="s">
        <v>258</v>
      </c>
      <c r="CH13" s="115">
        <v>3</v>
      </c>
      <c r="CI13" s="210" t="s">
        <v>1395</v>
      </c>
      <c r="CJ13" s="210">
        <v>1</v>
      </c>
      <c r="CK13" s="210" t="s">
        <v>252</v>
      </c>
      <c r="CL13" s="210">
        <f t="shared" si="74"/>
        <v>4200</v>
      </c>
      <c r="CO13" s="115">
        <f t="shared" si="7"/>
        <v>3</v>
      </c>
      <c r="CP13" s="115">
        <f t="shared" si="8"/>
        <v>30</v>
      </c>
      <c r="CQ13" s="118">
        <v>3</v>
      </c>
      <c r="CR13" s="109">
        <f t="shared" si="9"/>
        <v>315</v>
      </c>
      <c r="CS13" s="109">
        <f t="shared" si="10"/>
        <v>630</v>
      </c>
      <c r="CT13" s="115">
        <v>6</v>
      </c>
      <c r="CU13" s="14">
        <f t="shared" si="11"/>
        <v>12033</v>
      </c>
      <c r="CV13" s="118">
        <v>2</v>
      </c>
      <c r="CW13" s="14">
        <f t="shared" si="12"/>
        <v>203</v>
      </c>
      <c r="CX13" s="118" t="s">
        <v>1026</v>
      </c>
      <c r="CY13" s="14">
        <f t="shared" si="13"/>
        <v>3</v>
      </c>
      <c r="CZ13" s="166" t="str">
        <f t="shared" si="50"/>
        <v>守护灵抽卡券520级-新手套寄灵人の裤子1金币6300</v>
      </c>
      <c r="DA13" s="14">
        <f t="shared" si="51"/>
        <v>30</v>
      </c>
      <c r="DB13" s="115" t="s">
        <v>1004</v>
      </c>
      <c r="DC13" s="115">
        <v>5</v>
      </c>
      <c r="DD13" s="115" t="s">
        <v>1433</v>
      </c>
      <c r="DE13" s="115">
        <v>1</v>
      </c>
      <c r="DF13" s="109" t="s">
        <v>252</v>
      </c>
      <c r="DG13" s="115">
        <f t="shared" si="14"/>
        <v>6300</v>
      </c>
      <c r="DJ13" s="118">
        <v>9</v>
      </c>
      <c r="DK13" s="14">
        <f t="shared" si="52"/>
        <v>3</v>
      </c>
      <c r="DL13" s="118">
        <f t="shared" si="15"/>
        <v>20</v>
      </c>
      <c r="DM13" s="166">
        <f t="shared" si="16"/>
        <v>3</v>
      </c>
      <c r="DN13" s="166">
        <v>210</v>
      </c>
      <c r="DO13" s="166">
        <v>630</v>
      </c>
      <c r="DP13" s="166">
        <v>1</v>
      </c>
      <c r="DQ13" s="118">
        <v>150</v>
      </c>
      <c r="DR13" s="118">
        <f t="shared" si="53"/>
        <v>21033</v>
      </c>
      <c r="DS13" s="118">
        <v>1</v>
      </c>
      <c r="DT13" s="14">
        <f t="shared" si="17"/>
        <v>103</v>
      </c>
      <c r="DU13" s="118" t="s">
        <v>1034</v>
      </c>
      <c r="DV13" s="118">
        <v>3</v>
      </c>
      <c r="DW13" s="166" t="str">
        <f t="shared" si="18"/>
        <v>绿色基础材料53玄铁10守护灵经验5250</v>
      </c>
      <c r="DX13" s="14">
        <f t="shared" ref="DX13" si="77">DT13*100+9</f>
        <v>10309</v>
      </c>
      <c r="DY13" s="191" t="s">
        <v>415</v>
      </c>
      <c r="DZ13" s="191">
        <v>10</v>
      </c>
      <c r="EA13" s="14" t="str">
        <f>INDEX(挂机升级突破!$DT$4:$DX$4,DP13)</f>
        <v>绿色基础材料</v>
      </c>
      <c r="EB13" s="14">
        <f>ROUND(INDEX(挂机升级突破!$G$7:$K$37,DK13+2,章节关卡!DP13)/INDEX(挂机升级突破!$G$5:$K$5,章节关卡!DP13)*INDEX(挂机升级突破!$G$4:$K$4,章节关卡!DP13)*章节关卡!DO13,0)</f>
        <v>53</v>
      </c>
      <c r="EC13" s="118" t="s">
        <v>1038</v>
      </c>
      <c r="ED13" s="14">
        <f t="shared" si="19"/>
        <v>5250</v>
      </c>
      <c r="EE13" s="178">
        <v>100</v>
      </c>
      <c r="EI13" s="166">
        <v>9</v>
      </c>
      <c r="EJ13" s="14">
        <f t="shared" si="54"/>
        <v>3</v>
      </c>
      <c r="EK13" s="166">
        <f t="shared" si="55"/>
        <v>25</v>
      </c>
      <c r="EL13" s="166">
        <f t="shared" si="20"/>
        <v>3</v>
      </c>
      <c r="EM13" s="166">
        <f t="shared" si="21"/>
        <v>315</v>
      </c>
      <c r="EN13" s="166">
        <f t="shared" si="64"/>
        <v>1575</v>
      </c>
      <c r="EO13" s="166">
        <v>6</v>
      </c>
      <c r="EP13" s="14">
        <f t="shared" si="22"/>
        <v>300</v>
      </c>
      <c r="EQ13" s="14">
        <f t="shared" si="57"/>
        <v>22033</v>
      </c>
      <c r="ER13" s="166">
        <v>1</v>
      </c>
      <c r="ES13" s="14">
        <f t="shared" si="58"/>
        <v>203</v>
      </c>
      <c r="ET13" s="166" t="s">
        <v>1034</v>
      </c>
      <c r="EU13" s="166">
        <v>3</v>
      </c>
      <c r="EV13" s="166"/>
      <c r="EW13" s="14">
        <f t="shared" ref="EW13" si="78">ES13*100+9</f>
        <v>20309</v>
      </c>
      <c r="EX13" s="166" t="s">
        <v>1397</v>
      </c>
      <c r="EY13" s="166">
        <v>50</v>
      </c>
      <c r="EZ13" s="14" t="str">
        <f>INDEX(挂机升级突破!$DT$4:$EC$4,EO13)</f>
        <v>玄铁</v>
      </c>
      <c r="FA13" s="14">
        <f>ROUND(INDEX(挂机升级突破!$G$7:$R$37,EJ13+3,EO13)/INDEX(挂机升级突破!$G$5:$R$5,章节关卡!EO13)*INDEX(挂机升级突破!$G$4:$R$4,章节关卡!EO13)*章节关卡!EN13*1.5,0)</f>
        <v>10</v>
      </c>
      <c r="FB13" s="166" t="s">
        <v>1399</v>
      </c>
      <c r="FC13" s="166">
        <f t="shared" si="23"/>
        <v>14175</v>
      </c>
    </row>
    <row r="14" spans="1:159" ht="16.5" x14ac:dyDescent="0.2">
      <c r="A14" s="24">
        <v>9</v>
      </c>
      <c r="B14" s="76">
        <v>50</v>
      </c>
      <c r="C14" s="166">
        <f>节奏总表!N13*60</f>
        <v>2040</v>
      </c>
      <c r="D14" s="109">
        <v>4</v>
      </c>
      <c r="E14" s="14">
        <f>SUM(D$5:D14)</f>
        <v>36</v>
      </c>
      <c r="F14" s="76">
        <v>5</v>
      </c>
      <c r="G14" s="76">
        <v>16</v>
      </c>
      <c r="H14" s="76">
        <v>5</v>
      </c>
      <c r="I14" s="24">
        <v>50</v>
      </c>
      <c r="J14" s="24">
        <f t="shared" si="24"/>
        <v>1</v>
      </c>
      <c r="K14" s="76">
        <v>5</v>
      </c>
      <c r="L14" s="24">
        <f t="shared" si="25"/>
        <v>80</v>
      </c>
      <c r="M14" s="24">
        <f t="shared" si="59"/>
        <v>2</v>
      </c>
      <c r="O14" s="24">
        <v>9</v>
      </c>
      <c r="P14" s="121">
        <v>50</v>
      </c>
      <c r="Q14" s="107">
        <v>10</v>
      </c>
      <c r="R14" s="14">
        <f>SUM(Q$5:Q14)</f>
        <v>90</v>
      </c>
      <c r="S14" s="24">
        <v>20</v>
      </c>
      <c r="T14" s="109">
        <f t="shared" si="26"/>
        <v>320</v>
      </c>
      <c r="U14" s="24">
        <v>30</v>
      </c>
      <c r="V14" s="109">
        <f t="shared" si="27"/>
        <v>1500</v>
      </c>
      <c r="W14" s="109">
        <v>45</v>
      </c>
      <c r="X14" s="76">
        <f t="shared" si="28"/>
        <v>3600</v>
      </c>
      <c r="Y14" s="34">
        <v>150</v>
      </c>
      <c r="Z14" s="109">
        <f t="shared" si="29"/>
        <v>12000</v>
      </c>
      <c r="AA14" s="181">
        <f>INDEX(节奏总表!$Z$5:$Z$32,章节关卡!O14)</f>
        <v>4.17</v>
      </c>
      <c r="AC14" s="77">
        <v>9</v>
      </c>
      <c r="AD14" s="210">
        <v>62</v>
      </c>
      <c r="AE14" s="172">
        <v>11</v>
      </c>
      <c r="AF14" s="109">
        <v>10</v>
      </c>
      <c r="AG14" s="155">
        <f>INDEX(节奏总表!$N$5:$N$34,章节关卡!AE14)</f>
        <v>45</v>
      </c>
      <c r="AH14" s="118">
        <f t="shared" si="69"/>
        <v>675</v>
      </c>
      <c r="AI14" s="14">
        <f>SUM(AF$5:AF14)</f>
        <v>90</v>
      </c>
      <c r="AJ14" s="14">
        <f t="shared" si="61"/>
        <v>1350</v>
      </c>
      <c r="AK14" s="24">
        <v>60</v>
      </c>
      <c r="AL14" s="14">
        <f t="shared" si="62"/>
        <v>3000</v>
      </c>
      <c r="AM14" s="54">
        <v>90</v>
      </c>
      <c r="AN14" s="14">
        <f t="shared" si="30"/>
        <v>7200</v>
      </c>
      <c r="AO14" s="109">
        <v>300</v>
      </c>
      <c r="AP14" s="14">
        <f t="shared" si="31"/>
        <v>24000</v>
      </c>
      <c r="AS14" s="24">
        <v>10</v>
      </c>
      <c r="AT14" s="14">
        <f t="shared" si="32"/>
        <v>3</v>
      </c>
      <c r="AU14" s="109">
        <f t="shared" si="33"/>
        <v>2</v>
      </c>
      <c r="AV14" s="109">
        <f t="shared" si="34"/>
        <v>7</v>
      </c>
      <c r="AW14" s="109">
        <f t="shared" si="35"/>
        <v>17</v>
      </c>
      <c r="AX14" s="109">
        <f t="shared" si="36"/>
        <v>32</v>
      </c>
      <c r="BA14" s="109">
        <v>10</v>
      </c>
      <c r="BB14" s="14">
        <f t="shared" si="0"/>
        <v>1</v>
      </c>
      <c r="BC14" s="14">
        <f t="shared" si="37"/>
        <v>10</v>
      </c>
      <c r="BD14" s="14">
        <v>100</v>
      </c>
      <c r="BE14" s="14">
        <f t="shared" si="1"/>
        <v>300</v>
      </c>
      <c r="BF14" s="14">
        <f t="shared" si="2"/>
        <v>1125</v>
      </c>
      <c r="BG14" s="14">
        <f t="shared" si="38"/>
        <v>0</v>
      </c>
      <c r="BH14" s="14">
        <f t="shared" si="39"/>
        <v>11000</v>
      </c>
      <c r="BK14" s="109">
        <v>10</v>
      </c>
      <c r="BL14" s="14">
        <f t="shared" si="40"/>
        <v>1</v>
      </c>
      <c r="BM14" s="14">
        <f t="shared" si="41"/>
        <v>10</v>
      </c>
      <c r="BN14" s="14">
        <f t="shared" si="3"/>
        <v>100</v>
      </c>
      <c r="BO14" s="14">
        <f t="shared" si="4"/>
        <v>1200</v>
      </c>
      <c r="BP14" s="14">
        <f t="shared" si="5"/>
        <v>2250</v>
      </c>
      <c r="BS14" s="109">
        <v>10</v>
      </c>
      <c r="BT14" s="109">
        <f t="shared" si="42"/>
        <v>4</v>
      </c>
      <c r="BU14" s="112">
        <f t="shared" si="43"/>
        <v>25</v>
      </c>
      <c r="BV14" s="109">
        <f t="shared" si="6"/>
        <v>1</v>
      </c>
      <c r="BW14" s="109">
        <v>90</v>
      </c>
      <c r="BX14" s="109">
        <v>135</v>
      </c>
      <c r="BY14" s="112">
        <v>1</v>
      </c>
      <c r="BZ14" s="14">
        <f t="shared" si="44"/>
        <v>11041</v>
      </c>
      <c r="CA14" s="118">
        <v>1</v>
      </c>
      <c r="CB14" s="14">
        <f t="shared" si="45"/>
        <v>104</v>
      </c>
      <c r="CC14" s="118" t="s">
        <v>1026</v>
      </c>
      <c r="CD14" s="14">
        <f t="shared" si="46"/>
        <v>1</v>
      </c>
      <c r="CE14" s="166" t="str">
        <f t="shared" si="47"/>
        <v xml:space="preserve">钻石80 金币2250 </v>
      </c>
      <c r="CF14" s="14">
        <f t="shared" si="48"/>
        <v>10</v>
      </c>
      <c r="CG14" s="109" t="s">
        <v>19</v>
      </c>
      <c r="CH14" s="109">
        <v>80</v>
      </c>
      <c r="CI14" s="210" t="s">
        <v>358</v>
      </c>
      <c r="CJ14" s="210">
        <f>INDEX($I$6:$I$35,BT14)*BW14</f>
        <v>2250</v>
      </c>
      <c r="CK14" s="210"/>
      <c r="CL14" s="210"/>
      <c r="CO14" s="115">
        <f t="shared" si="7"/>
        <v>4</v>
      </c>
      <c r="CP14" s="115">
        <f t="shared" si="8"/>
        <v>35</v>
      </c>
      <c r="CQ14" s="118">
        <v>1</v>
      </c>
      <c r="CR14" s="109">
        <f t="shared" si="9"/>
        <v>135</v>
      </c>
      <c r="CS14" s="109">
        <f t="shared" si="10"/>
        <v>270</v>
      </c>
      <c r="CT14" s="115">
        <v>6</v>
      </c>
      <c r="CU14" s="14">
        <f t="shared" si="11"/>
        <v>12041</v>
      </c>
      <c r="CV14" s="118">
        <v>2</v>
      </c>
      <c r="CW14" s="14">
        <f t="shared" si="12"/>
        <v>204</v>
      </c>
      <c r="CX14" s="118" t="s">
        <v>1026</v>
      </c>
      <c r="CY14" s="14">
        <f t="shared" si="13"/>
        <v>1</v>
      </c>
      <c r="CZ14" s="166" t="str">
        <f t="shared" si="50"/>
        <v>钻石10020级-新手套寄灵人の鞋子1金币3375</v>
      </c>
      <c r="DA14" s="14">
        <f t="shared" si="51"/>
        <v>10</v>
      </c>
      <c r="DB14" s="115" t="s">
        <v>257</v>
      </c>
      <c r="DC14" s="115">
        <v>100</v>
      </c>
      <c r="DD14" s="115" t="s">
        <v>1434</v>
      </c>
      <c r="DE14" s="115">
        <v>1</v>
      </c>
      <c r="DF14" s="109" t="s">
        <v>252</v>
      </c>
      <c r="DG14" s="115">
        <f t="shared" si="14"/>
        <v>3375</v>
      </c>
      <c r="DJ14" s="118">
        <v>10</v>
      </c>
      <c r="DK14" s="14">
        <f t="shared" si="52"/>
        <v>4</v>
      </c>
      <c r="DL14" s="118">
        <f t="shared" si="15"/>
        <v>25</v>
      </c>
      <c r="DM14" s="166">
        <f t="shared" si="16"/>
        <v>1</v>
      </c>
      <c r="DN14" s="166">
        <v>90</v>
      </c>
      <c r="DO14" s="166">
        <v>270</v>
      </c>
      <c r="DP14" s="166">
        <v>1</v>
      </c>
      <c r="DQ14" s="118">
        <v>90</v>
      </c>
      <c r="DR14" s="118">
        <f t="shared" si="53"/>
        <v>21041</v>
      </c>
      <c r="DS14" s="118">
        <v>1</v>
      </c>
      <c r="DT14" s="14">
        <f t="shared" si="17"/>
        <v>104</v>
      </c>
      <c r="DU14" s="118" t="s">
        <v>1034</v>
      </c>
      <c r="DV14" s="118">
        <v>1</v>
      </c>
      <c r="DW14" s="166" t="str">
        <f t="shared" si="18"/>
        <v>绿色基础材料23守护灵初级抽卡券4守护灵经验3600</v>
      </c>
      <c r="DX14" s="14">
        <f t="shared" ref="DX14" si="79">DT14*100+3</f>
        <v>10403</v>
      </c>
      <c r="DY14" s="191" t="s">
        <v>1606</v>
      </c>
      <c r="DZ14" s="191">
        <v>4</v>
      </c>
      <c r="EA14" s="14" t="str">
        <f>INDEX(挂机升级突破!$DT$4:$DX$4,DP14)</f>
        <v>绿色基础材料</v>
      </c>
      <c r="EB14" s="14">
        <f>ROUND(INDEX(挂机升级突破!$G$7:$K$37,DK14+2,章节关卡!DP14)/INDEX(挂机升级突破!$G$5:$K$5,章节关卡!DP14)*INDEX(挂机升级突破!$G$4:$K$4,章节关卡!DP14)*章节关卡!DO14,0)</f>
        <v>23</v>
      </c>
      <c r="EC14" s="118" t="s">
        <v>1038</v>
      </c>
      <c r="ED14" s="14">
        <f t="shared" si="19"/>
        <v>3600</v>
      </c>
      <c r="EE14" s="178">
        <v>50</v>
      </c>
      <c r="EI14" s="166">
        <v>10</v>
      </c>
      <c r="EJ14" s="14">
        <f t="shared" si="54"/>
        <v>4</v>
      </c>
      <c r="EK14" s="166">
        <f t="shared" si="55"/>
        <v>30</v>
      </c>
      <c r="EL14" s="166">
        <f t="shared" si="20"/>
        <v>1</v>
      </c>
      <c r="EM14" s="166">
        <f t="shared" si="21"/>
        <v>135</v>
      </c>
      <c r="EN14" s="166">
        <f t="shared" si="64"/>
        <v>675</v>
      </c>
      <c r="EO14" s="166">
        <v>6</v>
      </c>
      <c r="EP14" s="14">
        <f t="shared" si="22"/>
        <v>180</v>
      </c>
      <c r="EQ14" s="14">
        <f t="shared" si="57"/>
        <v>22041</v>
      </c>
      <c r="ER14" s="166">
        <v>1</v>
      </c>
      <c r="ES14" s="14">
        <f t="shared" si="58"/>
        <v>204</v>
      </c>
      <c r="ET14" s="166" t="s">
        <v>1034</v>
      </c>
      <c r="EU14" s="166">
        <v>1</v>
      </c>
      <c r="EV14" s="166"/>
      <c r="EW14" s="14">
        <f t="shared" ref="EW14" si="80">ES14*100+3</f>
        <v>20403</v>
      </c>
      <c r="EX14" s="166" t="s">
        <v>1397</v>
      </c>
      <c r="EY14" s="166">
        <v>20</v>
      </c>
      <c r="EZ14" s="14" t="str">
        <f>INDEX(挂机升级突破!$DT$4:$EC$4,EO14)</f>
        <v>玄铁</v>
      </c>
      <c r="FA14" s="14">
        <f>ROUND(INDEX(挂机升级突破!$G$7:$R$37,EJ14+3,EO14)/INDEX(挂机升级突破!$G$5:$R$5,章节关卡!EO14)*INDEX(挂机升级突破!$G$4:$R$4,章节关卡!EO14)*章节关卡!EN14*1.5,0)</f>
        <v>6</v>
      </c>
      <c r="FB14" s="166" t="s">
        <v>1399</v>
      </c>
      <c r="FC14" s="166">
        <f t="shared" si="23"/>
        <v>6750</v>
      </c>
    </row>
    <row r="15" spans="1:159" ht="16.5" x14ac:dyDescent="0.2">
      <c r="A15" s="24">
        <v>10</v>
      </c>
      <c r="B15" s="76">
        <v>55</v>
      </c>
      <c r="C15" s="166">
        <f>节奏总表!N14*60</f>
        <v>2400</v>
      </c>
      <c r="D15" s="109">
        <v>4</v>
      </c>
      <c r="E15" s="14">
        <f>SUM(D$5:D15)</f>
        <v>40</v>
      </c>
      <c r="F15" s="76">
        <v>5</v>
      </c>
      <c r="G15" s="76">
        <v>18</v>
      </c>
      <c r="H15" s="76">
        <v>5</v>
      </c>
      <c r="I15" s="24">
        <v>55</v>
      </c>
      <c r="J15" s="24">
        <f t="shared" si="24"/>
        <v>1</v>
      </c>
      <c r="K15" s="76">
        <v>5</v>
      </c>
      <c r="L15" s="24">
        <f t="shared" si="25"/>
        <v>90</v>
      </c>
      <c r="M15" s="24">
        <f t="shared" si="59"/>
        <v>2</v>
      </c>
      <c r="O15" s="24">
        <v>10</v>
      </c>
      <c r="P15" s="121">
        <v>55</v>
      </c>
      <c r="Q15" s="107">
        <v>10</v>
      </c>
      <c r="R15" s="14">
        <f>SUM(Q$5:Q15)</f>
        <v>100</v>
      </c>
      <c r="S15" s="24">
        <v>20</v>
      </c>
      <c r="T15" s="109">
        <f t="shared" si="26"/>
        <v>360</v>
      </c>
      <c r="U15" s="24">
        <v>30</v>
      </c>
      <c r="V15" s="109">
        <f t="shared" si="27"/>
        <v>1650</v>
      </c>
      <c r="W15" s="109">
        <v>45</v>
      </c>
      <c r="X15" s="76">
        <f t="shared" si="28"/>
        <v>4050</v>
      </c>
      <c r="Y15" s="34">
        <v>150</v>
      </c>
      <c r="Z15" s="109">
        <f t="shared" si="29"/>
        <v>13500</v>
      </c>
      <c r="AA15" s="181">
        <f>INDEX(节奏总表!$Z$5:$Z$32,章节关卡!O15)</f>
        <v>5</v>
      </c>
      <c r="AC15" s="77">
        <v>10</v>
      </c>
      <c r="AD15" s="210">
        <v>67</v>
      </c>
      <c r="AE15" s="172">
        <v>12</v>
      </c>
      <c r="AF15" s="109">
        <v>10</v>
      </c>
      <c r="AG15" s="155">
        <f>INDEX(节奏总表!$N$5:$N$34,章节关卡!AE15)</f>
        <v>51</v>
      </c>
      <c r="AH15" s="118">
        <f t="shared" si="69"/>
        <v>765</v>
      </c>
      <c r="AI15" s="14">
        <f>SUM(AF$5:AF15)</f>
        <v>100</v>
      </c>
      <c r="AJ15" s="14">
        <f t="shared" si="61"/>
        <v>1700</v>
      </c>
      <c r="AK15" s="24">
        <v>60</v>
      </c>
      <c r="AL15" s="14">
        <f t="shared" si="62"/>
        <v>3300</v>
      </c>
      <c r="AM15" s="54">
        <v>90</v>
      </c>
      <c r="AN15" s="14">
        <f t="shared" si="30"/>
        <v>8100</v>
      </c>
      <c r="AO15" s="109">
        <v>300</v>
      </c>
      <c r="AP15" s="14">
        <f t="shared" si="31"/>
        <v>27000</v>
      </c>
      <c r="AS15" s="24">
        <v>11</v>
      </c>
      <c r="AT15" s="14">
        <f t="shared" si="32"/>
        <v>3</v>
      </c>
      <c r="AU15" s="109">
        <f t="shared" si="33"/>
        <v>3</v>
      </c>
      <c r="AV15" s="109">
        <f t="shared" si="34"/>
        <v>7</v>
      </c>
      <c r="AW15" s="109">
        <f t="shared" si="35"/>
        <v>18</v>
      </c>
      <c r="AX15" s="109">
        <f t="shared" si="36"/>
        <v>33</v>
      </c>
      <c r="BA15" s="109">
        <v>11</v>
      </c>
      <c r="BB15" s="14">
        <f t="shared" si="0"/>
        <v>2</v>
      </c>
      <c r="BC15" s="14">
        <f t="shared" si="37"/>
        <v>1</v>
      </c>
      <c r="BD15" s="14">
        <f t="shared" ref="BD15:BD78" si="81">INDEX($T$6:$T$35,BB15)</f>
        <v>120</v>
      </c>
      <c r="BE15" s="14">
        <f t="shared" si="1"/>
        <v>450</v>
      </c>
      <c r="BF15" s="14">
        <f t="shared" si="2"/>
        <v>1350</v>
      </c>
      <c r="BG15" s="14">
        <f t="shared" si="38"/>
        <v>0.08</v>
      </c>
      <c r="BH15" s="14">
        <f t="shared" si="39"/>
        <v>11000</v>
      </c>
      <c r="BK15" s="109">
        <v>11</v>
      </c>
      <c r="BL15" s="14">
        <f t="shared" si="40"/>
        <v>2</v>
      </c>
      <c r="BM15" s="14">
        <f t="shared" si="41"/>
        <v>1</v>
      </c>
      <c r="BN15" s="14">
        <f t="shared" si="3"/>
        <v>250</v>
      </c>
      <c r="BO15" s="14">
        <f t="shared" si="4"/>
        <v>900</v>
      </c>
      <c r="BP15" s="14">
        <f t="shared" si="5"/>
        <v>2700</v>
      </c>
      <c r="BS15" s="109">
        <v>11</v>
      </c>
      <c r="BT15" s="109">
        <f t="shared" si="42"/>
        <v>4</v>
      </c>
      <c r="BU15" s="112">
        <f t="shared" si="43"/>
        <v>25</v>
      </c>
      <c r="BV15" s="109">
        <f t="shared" si="6"/>
        <v>2</v>
      </c>
      <c r="BW15" s="109">
        <v>150</v>
      </c>
      <c r="BX15" s="109">
        <v>225</v>
      </c>
      <c r="BY15" s="112">
        <v>1</v>
      </c>
      <c r="BZ15" s="14">
        <f t="shared" si="44"/>
        <v>11042</v>
      </c>
      <c r="CA15" s="118">
        <v>1</v>
      </c>
      <c r="CB15" s="14">
        <f t="shared" si="45"/>
        <v>104</v>
      </c>
      <c r="CC15" s="118" t="s">
        <v>1026</v>
      </c>
      <c r="CD15" s="14">
        <f t="shared" si="46"/>
        <v>2</v>
      </c>
      <c r="CE15" s="166" t="str">
        <f t="shared" si="47"/>
        <v>守护灵抽卡券2 2小时扫荡券1 金币3750</v>
      </c>
      <c r="CF15" s="14">
        <f t="shared" si="48"/>
        <v>20</v>
      </c>
      <c r="CG15" s="115" t="s">
        <v>258</v>
      </c>
      <c r="CH15" s="115">
        <v>2</v>
      </c>
      <c r="CI15" s="210" t="s">
        <v>1395</v>
      </c>
      <c r="CJ15" s="210">
        <v>1</v>
      </c>
      <c r="CK15" s="210" t="s">
        <v>252</v>
      </c>
      <c r="CL15" s="210">
        <f t="shared" ref="CL15:CL16" si="82">INDEX($I$6:$I$35,BT15)*BW15</f>
        <v>3750</v>
      </c>
      <c r="CO15" s="115">
        <f t="shared" si="7"/>
        <v>4</v>
      </c>
      <c r="CP15" s="115">
        <f t="shared" si="8"/>
        <v>35</v>
      </c>
      <c r="CQ15" s="118">
        <v>2</v>
      </c>
      <c r="CR15" s="109">
        <f t="shared" si="9"/>
        <v>225</v>
      </c>
      <c r="CS15" s="109">
        <f t="shared" si="10"/>
        <v>450</v>
      </c>
      <c r="CT15" s="115">
        <v>6</v>
      </c>
      <c r="CU15" s="14">
        <f t="shared" si="11"/>
        <v>12042</v>
      </c>
      <c r="CV15" s="118">
        <v>2</v>
      </c>
      <c r="CW15" s="14">
        <f t="shared" si="12"/>
        <v>204</v>
      </c>
      <c r="CX15" s="118" t="s">
        <v>1026</v>
      </c>
      <c r="CY15" s="14">
        <f t="shared" si="13"/>
        <v>2</v>
      </c>
      <c r="CZ15" s="166" t="str">
        <f t="shared" si="50"/>
        <v>熔炼值80020级-新手套寄灵人の护手1金币5625</v>
      </c>
      <c r="DA15" s="14">
        <f t="shared" si="51"/>
        <v>20</v>
      </c>
      <c r="DB15" s="115" t="s">
        <v>1005</v>
      </c>
      <c r="DC15" s="115">
        <v>800</v>
      </c>
      <c r="DD15" s="115" t="s">
        <v>1435</v>
      </c>
      <c r="DE15" s="115">
        <v>1</v>
      </c>
      <c r="DF15" s="109" t="s">
        <v>252</v>
      </c>
      <c r="DG15" s="115">
        <f t="shared" si="14"/>
        <v>5625</v>
      </c>
      <c r="DJ15" s="118">
        <v>11</v>
      </c>
      <c r="DK15" s="14">
        <f t="shared" si="52"/>
        <v>4</v>
      </c>
      <c r="DL15" s="118">
        <f t="shared" si="15"/>
        <v>25</v>
      </c>
      <c r="DM15" s="166">
        <f t="shared" si="16"/>
        <v>2</v>
      </c>
      <c r="DN15" s="166">
        <v>150</v>
      </c>
      <c r="DO15" s="166">
        <v>450</v>
      </c>
      <c r="DP15" s="166">
        <v>1</v>
      </c>
      <c r="DQ15" s="118">
        <v>120</v>
      </c>
      <c r="DR15" s="118">
        <f t="shared" si="53"/>
        <v>21042</v>
      </c>
      <c r="DS15" s="118">
        <v>1</v>
      </c>
      <c r="DT15" s="14">
        <f t="shared" si="17"/>
        <v>104</v>
      </c>
      <c r="DU15" s="118" t="s">
        <v>1034</v>
      </c>
      <c r="DV15" s="118">
        <v>2</v>
      </c>
      <c r="DW15" s="166" t="str">
        <f t="shared" si="18"/>
        <v>绿色基础材料38守护灵初级抽卡券6守护灵经验4800</v>
      </c>
      <c r="DX15" s="14">
        <f t="shared" ref="DX15" si="83">DT15*100+6</f>
        <v>10406</v>
      </c>
      <c r="DY15" s="191" t="s">
        <v>1606</v>
      </c>
      <c r="DZ15" s="191">
        <v>6</v>
      </c>
      <c r="EA15" s="14" t="str">
        <f>INDEX(挂机升级突破!$DT$4:$DX$4,DP15)</f>
        <v>绿色基础材料</v>
      </c>
      <c r="EB15" s="14">
        <f>ROUND(INDEX(挂机升级突破!$G$7:$K$37,DK15+2,章节关卡!DP15)/INDEX(挂机升级突破!$G$5:$K$5,章节关卡!DP15)*INDEX(挂机升级突破!$G$4:$K$4,章节关卡!DP15)*章节关卡!DO15,0)</f>
        <v>38</v>
      </c>
      <c r="EC15" s="118" t="s">
        <v>1038</v>
      </c>
      <c r="ED15" s="14">
        <f t="shared" si="19"/>
        <v>4800</v>
      </c>
      <c r="EE15" s="178">
        <v>75</v>
      </c>
      <c r="EI15" s="166">
        <v>11</v>
      </c>
      <c r="EJ15" s="14">
        <f t="shared" si="54"/>
        <v>4</v>
      </c>
      <c r="EK15" s="166">
        <f t="shared" si="55"/>
        <v>30</v>
      </c>
      <c r="EL15" s="166">
        <f t="shared" si="20"/>
        <v>2</v>
      </c>
      <c r="EM15" s="166">
        <f t="shared" si="21"/>
        <v>225</v>
      </c>
      <c r="EN15" s="166">
        <f t="shared" si="64"/>
        <v>1125</v>
      </c>
      <c r="EO15" s="166">
        <v>6</v>
      </c>
      <c r="EP15" s="14">
        <f t="shared" si="22"/>
        <v>240</v>
      </c>
      <c r="EQ15" s="14">
        <f t="shared" si="57"/>
        <v>22042</v>
      </c>
      <c r="ER15" s="166">
        <v>1</v>
      </c>
      <c r="ES15" s="14">
        <f t="shared" si="58"/>
        <v>204</v>
      </c>
      <c r="ET15" s="166" t="s">
        <v>1034</v>
      </c>
      <c r="EU15" s="166">
        <v>2</v>
      </c>
      <c r="EV15" s="166"/>
      <c r="EW15" s="14">
        <f t="shared" ref="EW15" si="84">ES15*100+6</f>
        <v>20406</v>
      </c>
      <c r="EX15" s="166" t="s">
        <v>1397</v>
      </c>
      <c r="EY15" s="166">
        <v>30</v>
      </c>
      <c r="EZ15" s="14" t="str">
        <f>INDEX(挂机升级突破!$DT$4:$EC$4,EO15)</f>
        <v>玄铁</v>
      </c>
      <c r="FA15" s="14">
        <f>ROUND(INDEX(挂机升级突破!$G$7:$R$37,EJ15+3,EO15)/INDEX(挂机升级突破!$G$5:$R$5,章节关卡!EO15)*INDEX(挂机升级突破!$G$4:$R$4,章节关卡!EO15)*章节关卡!EN15*1.5,0)</f>
        <v>11</v>
      </c>
      <c r="FB15" s="166" t="s">
        <v>1399</v>
      </c>
      <c r="FC15" s="166">
        <f t="shared" si="23"/>
        <v>11250</v>
      </c>
    </row>
    <row r="16" spans="1:159" ht="16.5" x14ac:dyDescent="0.2">
      <c r="A16" s="24">
        <v>11</v>
      </c>
      <c r="B16" s="76">
        <v>60</v>
      </c>
      <c r="C16" s="166">
        <f>节奏总表!N15*60</f>
        <v>2700</v>
      </c>
      <c r="D16" s="109">
        <v>4</v>
      </c>
      <c r="E16" s="14">
        <f>SUM(D$5:D16)</f>
        <v>44</v>
      </c>
      <c r="F16" s="76">
        <v>5</v>
      </c>
      <c r="G16" s="76">
        <v>20</v>
      </c>
      <c r="H16" s="76">
        <v>5</v>
      </c>
      <c r="I16" s="34">
        <v>60</v>
      </c>
      <c r="J16" s="24">
        <f t="shared" si="24"/>
        <v>1</v>
      </c>
      <c r="K16" s="76">
        <v>5</v>
      </c>
      <c r="L16" s="24">
        <f t="shared" si="25"/>
        <v>100</v>
      </c>
      <c r="M16" s="24">
        <f t="shared" si="59"/>
        <v>2</v>
      </c>
      <c r="O16" s="24">
        <v>11</v>
      </c>
      <c r="P16" s="121">
        <v>60</v>
      </c>
      <c r="Q16" s="107">
        <v>10</v>
      </c>
      <c r="R16" s="14">
        <f>SUM(Q$5:Q16)</f>
        <v>110</v>
      </c>
      <c r="S16" s="24">
        <v>20</v>
      </c>
      <c r="T16" s="109">
        <f t="shared" si="26"/>
        <v>400</v>
      </c>
      <c r="U16" s="24">
        <v>30</v>
      </c>
      <c r="V16" s="109">
        <f t="shared" si="27"/>
        <v>1800</v>
      </c>
      <c r="W16" s="109">
        <v>45</v>
      </c>
      <c r="X16" s="76">
        <f t="shared" si="28"/>
        <v>4500</v>
      </c>
      <c r="Y16" s="34">
        <v>150</v>
      </c>
      <c r="Z16" s="109">
        <f t="shared" si="29"/>
        <v>15000</v>
      </c>
      <c r="AA16" s="181">
        <f>INDEX(节奏总表!$Z$5:$Z$32,章节关卡!O16)</f>
        <v>5.94</v>
      </c>
      <c r="AC16" s="77">
        <v>11</v>
      </c>
      <c r="AD16" s="210">
        <v>72</v>
      </c>
      <c r="AE16" s="172">
        <v>13</v>
      </c>
      <c r="AF16" s="109">
        <v>10</v>
      </c>
      <c r="AG16" s="155">
        <f>INDEX(节奏总表!$N$5:$N$34,章节关卡!AE16)</f>
        <v>65</v>
      </c>
      <c r="AH16" s="118">
        <f t="shared" si="69"/>
        <v>975</v>
      </c>
      <c r="AI16" s="14">
        <f>SUM(AF$5:AF16)</f>
        <v>110</v>
      </c>
      <c r="AJ16" s="14">
        <f t="shared" si="61"/>
        <v>2450</v>
      </c>
      <c r="AK16" s="24">
        <v>60</v>
      </c>
      <c r="AL16" s="14">
        <f t="shared" si="62"/>
        <v>3600</v>
      </c>
      <c r="AM16" s="54">
        <v>90</v>
      </c>
      <c r="AN16" s="14">
        <f t="shared" si="30"/>
        <v>9000</v>
      </c>
      <c r="AO16" s="109">
        <v>300</v>
      </c>
      <c r="AP16" s="14">
        <f t="shared" si="31"/>
        <v>30000</v>
      </c>
      <c r="AS16" s="24">
        <v>12</v>
      </c>
      <c r="AT16" s="14">
        <f t="shared" si="32"/>
        <v>3</v>
      </c>
      <c r="AU16" s="109">
        <f t="shared" si="33"/>
        <v>4</v>
      </c>
      <c r="AV16" s="109">
        <f t="shared" si="34"/>
        <v>7</v>
      </c>
      <c r="AW16" s="109">
        <f t="shared" si="35"/>
        <v>19</v>
      </c>
      <c r="AX16" s="109">
        <f t="shared" si="36"/>
        <v>34</v>
      </c>
      <c r="BA16" s="109">
        <v>12</v>
      </c>
      <c r="BB16" s="14">
        <f t="shared" si="0"/>
        <v>2</v>
      </c>
      <c r="BC16" s="14">
        <f t="shared" si="37"/>
        <v>2</v>
      </c>
      <c r="BD16" s="14">
        <f t="shared" si="81"/>
        <v>120</v>
      </c>
      <c r="BE16" s="14">
        <f t="shared" si="1"/>
        <v>450</v>
      </c>
      <c r="BF16" s="14">
        <f t="shared" si="2"/>
        <v>1350</v>
      </c>
      <c r="BG16" s="14">
        <f t="shared" si="38"/>
        <v>0.08</v>
      </c>
      <c r="BH16" s="14">
        <f t="shared" si="39"/>
        <v>11000</v>
      </c>
      <c r="BK16" s="109">
        <v>12</v>
      </c>
      <c r="BL16" s="14">
        <f t="shared" si="40"/>
        <v>2</v>
      </c>
      <c r="BM16" s="14">
        <f t="shared" si="41"/>
        <v>2</v>
      </c>
      <c r="BN16" s="14">
        <f t="shared" si="3"/>
        <v>250</v>
      </c>
      <c r="BO16" s="14">
        <f t="shared" si="4"/>
        <v>900</v>
      </c>
      <c r="BP16" s="14">
        <f t="shared" si="5"/>
        <v>2700</v>
      </c>
      <c r="BS16" s="109">
        <v>12</v>
      </c>
      <c r="BT16" s="109">
        <f t="shared" si="42"/>
        <v>4</v>
      </c>
      <c r="BU16" s="112">
        <f t="shared" si="43"/>
        <v>25</v>
      </c>
      <c r="BV16" s="109">
        <f t="shared" si="6"/>
        <v>3</v>
      </c>
      <c r="BW16" s="109">
        <v>210</v>
      </c>
      <c r="BX16" s="109">
        <v>315</v>
      </c>
      <c r="BY16" s="112">
        <v>1</v>
      </c>
      <c r="BZ16" s="14">
        <f t="shared" si="44"/>
        <v>11043</v>
      </c>
      <c r="CA16" s="118">
        <v>1</v>
      </c>
      <c r="CB16" s="14">
        <f t="shared" si="45"/>
        <v>104</v>
      </c>
      <c r="CC16" s="118" t="s">
        <v>1026</v>
      </c>
      <c r="CD16" s="14">
        <f t="shared" si="46"/>
        <v>3</v>
      </c>
      <c r="CE16" s="166" t="str">
        <f t="shared" si="47"/>
        <v>守护灵抽卡券3 2小时扫荡券1 金币5250</v>
      </c>
      <c r="CF16" s="14">
        <f t="shared" si="48"/>
        <v>30</v>
      </c>
      <c r="CG16" s="115" t="s">
        <v>258</v>
      </c>
      <c r="CH16" s="115">
        <v>3</v>
      </c>
      <c r="CI16" s="210" t="s">
        <v>1395</v>
      </c>
      <c r="CJ16" s="210">
        <v>1</v>
      </c>
      <c r="CK16" s="210" t="s">
        <v>252</v>
      </c>
      <c r="CL16" s="210">
        <f t="shared" si="82"/>
        <v>5250</v>
      </c>
      <c r="CO16" s="115">
        <f t="shared" si="7"/>
        <v>4</v>
      </c>
      <c r="CP16" s="115">
        <f t="shared" si="8"/>
        <v>35</v>
      </c>
      <c r="CQ16" s="118">
        <v>3</v>
      </c>
      <c r="CR16" s="109">
        <f t="shared" si="9"/>
        <v>315</v>
      </c>
      <c r="CS16" s="109">
        <f t="shared" si="10"/>
        <v>630</v>
      </c>
      <c r="CT16" s="115">
        <v>6</v>
      </c>
      <c r="CU16" s="14">
        <f t="shared" si="11"/>
        <v>12043</v>
      </c>
      <c r="CV16" s="118">
        <v>2</v>
      </c>
      <c r="CW16" s="14">
        <f t="shared" si="12"/>
        <v>204</v>
      </c>
      <c r="CX16" s="118" t="s">
        <v>1026</v>
      </c>
      <c r="CY16" s="14">
        <f t="shared" si="13"/>
        <v>3</v>
      </c>
      <c r="CZ16" s="166" t="str">
        <f t="shared" si="50"/>
        <v>守护灵抽卡券520级-新手套寄灵人の灵器1金币7875</v>
      </c>
      <c r="DA16" s="14">
        <f t="shared" si="51"/>
        <v>30</v>
      </c>
      <c r="DB16" s="115" t="s">
        <v>1004</v>
      </c>
      <c r="DC16" s="115">
        <v>5</v>
      </c>
      <c r="DD16" s="115" t="s">
        <v>1436</v>
      </c>
      <c r="DE16" s="115">
        <v>1</v>
      </c>
      <c r="DF16" s="109" t="s">
        <v>252</v>
      </c>
      <c r="DG16" s="115">
        <f t="shared" si="14"/>
        <v>7875</v>
      </c>
      <c r="DJ16" s="118">
        <v>12</v>
      </c>
      <c r="DK16" s="14">
        <f t="shared" si="52"/>
        <v>4</v>
      </c>
      <c r="DL16" s="118">
        <f t="shared" si="15"/>
        <v>25</v>
      </c>
      <c r="DM16" s="166">
        <f t="shared" si="16"/>
        <v>3</v>
      </c>
      <c r="DN16" s="166">
        <v>210</v>
      </c>
      <c r="DO16" s="166">
        <v>630</v>
      </c>
      <c r="DP16" s="166">
        <v>1</v>
      </c>
      <c r="DQ16" s="118">
        <v>150</v>
      </c>
      <c r="DR16" s="118">
        <f t="shared" si="53"/>
        <v>21043</v>
      </c>
      <c r="DS16" s="118">
        <v>1</v>
      </c>
      <c r="DT16" s="14">
        <f t="shared" si="17"/>
        <v>104</v>
      </c>
      <c r="DU16" s="118" t="s">
        <v>1034</v>
      </c>
      <c r="DV16" s="118">
        <v>3</v>
      </c>
      <c r="DW16" s="166" t="str">
        <f t="shared" si="18"/>
        <v>绿色基础材料53玄铁10守护灵经验6000</v>
      </c>
      <c r="DX16" s="14">
        <f t="shared" ref="DX16" si="85">DT16*100+9</f>
        <v>10409</v>
      </c>
      <c r="DY16" s="191" t="s">
        <v>415</v>
      </c>
      <c r="DZ16" s="191">
        <v>10</v>
      </c>
      <c r="EA16" s="14" t="str">
        <f>INDEX(挂机升级突破!$DT$4:$DX$4,DP16)</f>
        <v>绿色基础材料</v>
      </c>
      <c r="EB16" s="14">
        <f>ROUND(INDEX(挂机升级突破!$G$7:$K$37,DK16+2,章节关卡!DP16)/INDEX(挂机升级突破!$G$5:$K$5,章节关卡!DP16)*INDEX(挂机升级突破!$G$4:$K$4,章节关卡!DP16)*章节关卡!DO16,0)</f>
        <v>53</v>
      </c>
      <c r="EC16" s="118" t="s">
        <v>1038</v>
      </c>
      <c r="ED16" s="14">
        <f t="shared" si="19"/>
        <v>6000</v>
      </c>
      <c r="EE16" s="178">
        <v>720</v>
      </c>
      <c r="EI16" s="166">
        <v>12</v>
      </c>
      <c r="EJ16" s="14">
        <f t="shared" si="54"/>
        <v>4</v>
      </c>
      <c r="EK16" s="166">
        <f t="shared" si="55"/>
        <v>30</v>
      </c>
      <c r="EL16" s="166">
        <f t="shared" si="20"/>
        <v>3</v>
      </c>
      <c r="EM16" s="166">
        <f t="shared" si="21"/>
        <v>315</v>
      </c>
      <c r="EN16" s="166">
        <f t="shared" si="64"/>
        <v>1575</v>
      </c>
      <c r="EO16" s="166">
        <v>6</v>
      </c>
      <c r="EP16" s="14">
        <f t="shared" si="22"/>
        <v>300</v>
      </c>
      <c r="EQ16" s="14">
        <f t="shared" si="57"/>
        <v>22043</v>
      </c>
      <c r="ER16" s="166">
        <v>1</v>
      </c>
      <c r="ES16" s="14">
        <f t="shared" si="58"/>
        <v>204</v>
      </c>
      <c r="ET16" s="166" t="s">
        <v>1034</v>
      </c>
      <c r="EU16" s="166">
        <v>3</v>
      </c>
      <c r="EV16" s="166"/>
      <c r="EW16" s="14">
        <f t="shared" ref="EW16" si="86">ES16*100+9</f>
        <v>20409</v>
      </c>
      <c r="EX16" s="166" t="s">
        <v>1397</v>
      </c>
      <c r="EY16" s="166">
        <v>50</v>
      </c>
      <c r="EZ16" s="14" t="str">
        <f>INDEX(挂机升级突破!$DT$4:$EC$4,EO16)</f>
        <v>玄铁</v>
      </c>
      <c r="FA16" s="14">
        <f>ROUND(INDEX(挂机升级突破!$G$7:$R$37,EJ16+3,EO16)/INDEX(挂机升级突破!$G$5:$R$5,章节关卡!EO16)*INDEX(挂机升级突破!$G$4:$R$4,章节关卡!EO16)*章节关卡!EN16*1.5,0)</f>
        <v>15</v>
      </c>
      <c r="FB16" s="166" t="s">
        <v>1399</v>
      </c>
      <c r="FC16" s="166">
        <f t="shared" si="23"/>
        <v>15750</v>
      </c>
    </row>
    <row r="17" spans="1:159" ht="16.5" x14ac:dyDescent="0.2">
      <c r="A17" s="24">
        <v>12</v>
      </c>
      <c r="B17" s="76">
        <v>65</v>
      </c>
      <c r="C17" s="166">
        <f>节奏总表!N16*60</f>
        <v>3060</v>
      </c>
      <c r="D17" s="109">
        <v>4</v>
      </c>
      <c r="E17" s="14">
        <f>SUM(D$5:D17)</f>
        <v>48</v>
      </c>
      <c r="F17" s="76">
        <v>5</v>
      </c>
      <c r="G17" s="76">
        <v>22</v>
      </c>
      <c r="H17" s="76">
        <v>5</v>
      </c>
      <c r="I17" s="24">
        <v>65</v>
      </c>
      <c r="J17" s="24">
        <f t="shared" si="24"/>
        <v>1</v>
      </c>
      <c r="K17" s="76">
        <v>5</v>
      </c>
      <c r="L17" s="24">
        <f t="shared" si="25"/>
        <v>110</v>
      </c>
      <c r="M17" s="24">
        <f t="shared" si="59"/>
        <v>2</v>
      </c>
      <c r="O17" s="24">
        <v>12</v>
      </c>
      <c r="P17" s="121">
        <v>65</v>
      </c>
      <c r="Q17" s="107">
        <v>10</v>
      </c>
      <c r="R17" s="14">
        <f>SUM(Q$5:Q17)</f>
        <v>120</v>
      </c>
      <c r="S17" s="24">
        <v>20</v>
      </c>
      <c r="T17" s="109">
        <f t="shared" si="26"/>
        <v>440</v>
      </c>
      <c r="U17" s="24">
        <v>30</v>
      </c>
      <c r="V17" s="109">
        <f t="shared" si="27"/>
        <v>1950</v>
      </c>
      <c r="W17" s="109">
        <v>45</v>
      </c>
      <c r="X17" s="76">
        <f t="shared" si="28"/>
        <v>4950</v>
      </c>
      <c r="Y17" s="34">
        <v>150</v>
      </c>
      <c r="Z17" s="109">
        <f t="shared" si="29"/>
        <v>16500</v>
      </c>
      <c r="AA17" s="181">
        <f>INDEX(节奏总表!$Z$5:$Z$32,章节关卡!O17)</f>
        <v>7</v>
      </c>
      <c r="AC17" s="77">
        <v>12</v>
      </c>
      <c r="AD17" s="210">
        <v>77</v>
      </c>
      <c r="AE17" s="172">
        <v>14</v>
      </c>
      <c r="AF17" s="109">
        <v>10</v>
      </c>
      <c r="AG17" s="155">
        <f>INDEX(节奏总表!$N$5:$N$34,章节关卡!AE17)</f>
        <v>76</v>
      </c>
      <c r="AH17" s="118">
        <f t="shared" si="69"/>
        <v>1140</v>
      </c>
      <c r="AI17" s="14">
        <f>SUM(AF$5:AF17)</f>
        <v>120</v>
      </c>
      <c r="AJ17" s="14">
        <f t="shared" si="61"/>
        <v>3100</v>
      </c>
      <c r="AK17" s="24">
        <v>60</v>
      </c>
      <c r="AL17" s="14">
        <f t="shared" si="62"/>
        <v>3900</v>
      </c>
      <c r="AM17" s="54">
        <v>90</v>
      </c>
      <c r="AN17" s="14">
        <f t="shared" si="30"/>
        <v>9900</v>
      </c>
      <c r="AO17" s="109">
        <v>300</v>
      </c>
      <c r="AP17" s="14">
        <f t="shared" si="31"/>
        <v>33000</v>
      </c>
      <c r="AS17" s="24">
        <v>13</v>
      </c>
      <c r="AT17" s="14">
        <f t="shared" si="32"/>
        <v>4</v>
      </c>
      <c r="AU17" s="109">
        <f t="shared" si="33"/>
        <v>1</v>
      </c>
      <c r="AV17" s="109">
        <f t="shared" si="34"/>
        <v>8</v>
      </c>
      <c r="AW17" s="109">
        <f t="shared" si="35"/>
        <v>21</v>
      </c>
      <c r="AX17" s="109">
        <f t="shared" si="36"/>
        <v>36</v>
      </c>
      <c r="BA17" s="109">
        <v>13</v>
      </c>
      <c r="BB17" s="14">
        <f t="shared" si="0"/>
        <v>2</v>
      </c>
      <c r="BC17" s="14">
        <f t="shared" si="37"/>
        <v>3</v>
      </c>
      <c r="BD17" s="14">
        <f t="shared" si="81"/>
        <v>120</v>
      </c>
      <c r="BE17" s="14">
        <f t="shared" si="1"/>
        <v>450</v>
      </c>
      <c r="BF17" s="14">
        <f t="shared" si="2"/>
        <v>1350</v>
      </c>
      <c r="BG17" s="14">
        <f t="shared" si="38"/>
        <v>0.08</v>
      </c>
      <c r="BH17" s="14">
        <f t="shared" si="39"/>
        <v>11000</v>
      </c>
      <c r="BK17" s="109">
        <v>13</v>
      </c>
      <c r="BL17" s="14">
        <f t="shared" si="40"/>
        <v>2</v>
      </c>
      <c r="BM17" s="14">
        <f t="shared" si="41"/>
        <v>3</v>
      </c>
      <c r="BN17" s="14">
        <f t="shared" si="3"/>
        <v>250</v>
      </c>
      <c r="BO17" s="14">
        <f t="shared" si="4"/>
        <v>900</v>
      </c>
      <c r="BP17" s="14">
        <f t="shared" si="5"/>
        <v>2700</v>
      </c>
      <c r="BS17" s="109">
        <v>13</v>
      </c>
      <c r="BT17" s="109">
        <f t="shared" si="42"/>
        <v>5</v>
      </c>
      <c r="BU17" s="112">
        <f t="shared" si="43"/>
        <v>30</v>
      </c>
      <c r="BV17" s="109">
        <f t="shared" si="6"/>
        <v>1</v>
      </c>
      <c r="BW17" s="109">
        <v>120</v>
      </c>
      <c r="BX17" s="109">
        <v>180</v>
      </c>
      <c r="BY17" s="109">
        <v>2</v>
      </c>
      <c r="BZ17" s="14">
        <f t="shared" si="44"/>
        <v>11051</v>
      </c>
      <c r="CA17" s="118">
        <v>1</v>
      </c>
      <c r="CB17" s="14">
        <f t="shared" si="45"/>
        <v>105</v>
      </c>
      <c r="CC17" s="118" t="s">
        <v>1026</v>
      </c>
      <c r="CD17" s="14">
        <f t="shared" si="46"/>
        <v>1</v>
      </c>
      <c r="CE17" s="166" t="str">
        <f t="shared" si="47"/>
        <v xml:space="preserve">钻石90 金币3600 </v>
      </c>
      <c r="CF17" s="14">
        <f t="shared" si="48"/>
        <v>10</v>
      </c>
      <c r="CG17" s="109" t="s">
        <v>19</v>
      </c>
      <c r="CH17" s="109">
        <v>90</v>
      </c>
      <c r="CI17" s="210" t="s">
        <v>358</v>
      </c>
      <c r="CJ17" s="210">
        <f>INDEX($I$6:$I$35,BT17)*BW17</f>
        <v>3600</v>
      </c>
      <c r="CK17" s="210"/>
      <c r="CL17" s="210"/>
      <c r="CO17" s="115">
        <f t="shared" si="7"/>
        <v>5</v>
      </c>
      <c r="CP17" s="115">
        <f t="shared" si="8"/>
        <v>40</v>
      </c>
      <c r="CQ17" s="118">
        <v>1</v>
      </c>
      <c r="CR17" s="109">
        <f t="shared" si="9"/>
        <v>180</v>
      </c>
      <c r="CS17" s="109">
        <f t="shared" si="10"/>
        <v>360</v>
      </c>
      <c r="CT17" s="115">
        <v>6</v>
      </c>
      <c r="CU17" s="14">
        <f t="shared" si="11"/>
        <v>12051</v>
      </c>
      <c r="CV17" s="118">
        <v>2</v>
      </c>
      <c r="CW17" s="14">
        <f t="shared" si="12"/>
        <v>205</v>
      </c>
      <c r="CX17" s="118" t="s">
        <v>1026</v>
      </c>
      <c r="CY17" s="14">
        <f t="shared" si="13"/>
        <v>1</v>
      </c>
      <c r="CZ17" s="166" t="str">
        <f t="shared" si="50"/>
        <v>钻石10040级-攻击套寄灵人の头盔1金币5400</v>
      </c>
      <c r="DA17" s="14">
        <f t="shared" si="51"/>
        <v>10</v>
      </c>
      <c r="DB17" s="115" t="s">
        <v>257</v>
      </c>
      <c r="DC17" s="115">
        <v>100</v>
      </c>
      <c r="DD17" s="115" t="s">
        <v>1437</v>
      </c>
      <c r="DE17" s="115">
        <v>1</v>
      </c>
      <c r="DF17" s="109" t="s">
        <v>252</v>
      </c>
      <c r="DG17" s="115">
        <f t="shared" si="14"/>
        <v>5400</v>
      </c>
      <c r="DJ17" s="118">
        <v>13</v>
      </c>
      <c r="DK17" s="14">
        <f t="shared" si="52"/>
        <v>5</v>
      </c>
      <c r="DL17" s="118">
        <f t="shared" si="15"/>
        <v>30</v>
      </c>
      <c r="DM17" s="166">
        <f t="shared" si="16"/>
        <v>1</v>
      </c>
      <c r="DN17" s="166">
        <v>120</v>
      </c>
      <c r="DO17" s="166">
        <v>540</v>
      </c>
      <c r="DP17" s="166">
        <v>2</v>
      </c>
      <c r="DQ17" s="118">
        <v>90</v>
      </c>
      <c r="DR17" s="118">
        <f t="shared" si="53"/>
        <v>21051</v>
      </c>
      <c r="DS17" s="118">
        <v>1</v>
      </c>
      <c r="DT17" s="14">
        <f t="shared" si="17"/>
        <v>105</v>
      </c>
      <c r="DU17" s="118" t="s">
        <v>1034</v>
      </c>
      <c r="DV17" s="118">
        <v>1</v>
      </c>
      <c r="DW17" s="166" t="str">
        <f t="shared" si="18"/>
        <v>蓝色基础材料8守护灵初级抽卡券4守护灵经验4050</v>
      </c>
      <c r="DX17" s="14">
        <f t="shared" ref="DX17" si="87">DT17*100+3</f>
        <v>10503</v>
      </c>
      <c r="DY17" s="191" t="s">
        <v>1606</v>
      </c>
      <c r="DZ17" s="191">
        <v>4</v>
      </c>
      <c r="EA17" s="14" t="str">
        <f>INDEX(挂机升级突破!$DT$4:$DX$4,DP17)</f>
        <v>蓝色基础材料</v>
      </c>
      <c r="EB17" s="14">
        <f>ROUND(INDEX(挂机升级突破!$G$7:$K$37,DK17+2,章节关卡!DP17)/INDEX(挂机升级突破!$G$5:$K$5,章节关卡!DP17)*INDEX(挂机升级突破!$G$4:$K$4,章节关卡!DP17)*章节关卡!DO17,0)</f>
        <v>8</v>
      </c>
      <c r="EC17" s="118" t="s">
        <v>1038</v>
      </c>
      <c r="ED17" s="14">
        <f t="shared" si="19"/>
        <v>4050</v>
      </c>
      <c r="EI17" s="166">
        <v>13</v>
      </c>
      <c r="EJ17" s="14">
        <f t="shared" si="54"/>
        <v>5</v>
      </c>
      <c r="EK17" s="166">
        <f t="shared" si="55"/>
        <v>35</v>
      </c>
      <c r="EL17" s="166">
        <f t="shared" si="20"/>
        <v>1</v>
      </c>
      <c r="EM17" s="166">
        <f t="shared" si="21"/>
        <v>180</v>
      </c>
      <c r="EN17" s="166">
        <f t="shared" si="64"/>
        <v>1350</v>
      </c>
      <c r="EO17" s="166">
        <v>6</v>
      </c>
      <c r="EP17" s="14">
        <f t="shared" si="22"/>
        <v>180</v>
      </c>
      <c r="EQ17" s="14">
        <f t="shared" si="57"/>
        <v>22051</v>
      </c>
      <c r="ER17" s="166">
        <v>1</v>
      </c>
      <c r="ES17" s="14">
        <f t="shared" si="58"/>
        <v>205</v>
      </c>
      <c r="ET17" s="166" t="s">
        <v>1034</v>
      </c>
      <c r="EU17" s="166">
        <v>1</v>
      </c>
      <c r="EV17" s="166"/>
      <c r="EW17" s="14">
        <f t="shared" ref="EW17" si="88">ES17*100+3</f>
        <v>20503</v>
      </c>
      <c r="EX17" s="166" t="s">
        <v>1397</v>
      </c>
      <c r="EY17" s="166">
        <v>20</v>
      </c>
      <c r="EZ17" s="14" t="str">
        <f>INDEX(挂机升级突破!$DT$4:$EC$4,EO17)</f>
        <v>玄铁</v>
      </c>
      <c r="FA17" s="14">
        <f>ROUND(INDEX(挂机升级突破!$G$7:$R$37,EJ17+3,EO17)/INDEX(挂机升级突破!$G$5:$R$5,章节关卡!EO17)*INDEX(挂机升级突破!$G$4:$R$4,章节关卡!EO17)*章节关卡!EN17,0)</f>
        <v>11</v>
      </c>
      <c r="FB17" s="166" t="s">
        <v>1399</v>
      </c>
      <c r="FC17" s="166">
        <f t="shared" si="23"/>
        <v>10800</v>
      </c>
    </row>
    <row r="18" spans="1:159" ht="16.5" x14ac:dyDescent="0.2">
      <c r="A18" s="24">
        <v>13</v>
      </c>
      <c r="B18" s="76">
        <v>70</v>
      </c>
      <c r="C18" s="166">
        <f>节奏总表!N17*60</f>
        <v>3900</v>
      </c>
      <c r="D18" s="109">
        <v>4</v>
      </c>
      <c r="E18" s="14">
        <f>SUM(D$5:D18)</f>
        <v>52</v>
      </c>
      <c r="F18" s="76">
        <v>5</v>
      </c>
      <c r="G18" s="76">
        <v>25</v>
      </c>
      <c r="H18" s="76">
        <v>5</v>
      </c>
      <c r="I18" s="24">
        <v>70</v>
      </c>
      <c r="J18" s="24">
        <f t="shared" si="24"/>
        <v>1</v>
      </c>
      <c r="K18" s="76">
        <v>5</v>
      </c>
      <c r="L18" s="24">
        <f t="shared" si="25"/>
        <v>125</v>
      </c>
      <c r="M18" s="24">
        <f t="shared" si="59"/>
        <v>3</v>
      </c>
      <c r="O18" s="24">
        <v>13</v>
      </c>
      <c r="P18" s="121">
        <v>70</v>
      </c>
      <c r="Q18" s="107">
        <v>10</v>
      </c>
      <c r="R18" s="14">
        <f>SUM(Q$5:Q18)</f>
        <v>130</v>
      </c>
      <c r="S18" s="24">
        <v>20</v>
      </c>
      <c r="T18" s="109">
        <f t="shared" si="26"/>
        <v>500</v>
      </c>
      <c r="U18" s="24">
        <v>30</v>
      </c>
      <c r="V18" s="109">
        <f t="shared" si="27"/>
        <v>2100</v>
      </c>
      <c r="W18" s="109">
        <v>45</v>
      </c>
      <c r="X18" s="76">
        <f t="shared" si="28"/>
        <v>5625</v>
      </c>
      <c r="Y18" s="34">
        <v>150</v>
      </c>
      <c r="Z18" s="109">
        <f t="shared" si="29"/>
        <v>18750</v>
      </c>
      <c r="AA18" s="181">
        <f>INDEX(节奏总表!$Z$5:$Z$32,章节关卡!O18)</f>
        <v>8.35</v>
      </c>
      <c r="AC18" s="77">
        <v>13</v>
      </c>
      <c r="AD18" s="210">
        <v>82</v>
      </c>
      <c r="AE18" s="172">
        <v>15</v>
      </c>
      <c r="AF18" s="109">
        <v>10</v>
      </c>
      <c r="AG18" s="155">
        <f>INDEX(节奏总表!$N$5:$N$34,章节关卡!AE18)</f>
        <v>90</v>
      </c>
      <c r="AH18" s="118">
        <f t="shared" si="69"/>
        <v>1350</v>
      </c>
      <c r="AI18" s="14">
        <f>SUM(AF$5:AF18)</f>
        <v>130</v>
      </c>
      <c r="AJ18" s="14">
        <f t="shared" si="61"/>
        <v>4050</v>
      </c>
      <c r="AK18" s="24">
        <v>60</v>
      </c>
      <c r="AL18" s="14">
        <f t="shared" si="62"/>
        <v>4200</v>
      </c>
      <c r="AM18" s="54">
        <v>90</v>
      </c>
      <c r="AN18" s="14">
        <f t="shared" si="30"/>
        <v>11250</v>
      </c>
      <c r="AO18" s="109">
        <v>300</v>
      </c>
      <c r="AP18" s="14">
        <f t="shared" si="31"/>
        <v>37500</v>
      </c>
      <c r="AS18" s="24">
        <v>14</v>
      </c>
      <c r="AT18" s="14">
        <f t="shared" si="32"/>
        <v>4</v>
      </c>
      <c r="AU18" s="109">
        <f t="shared" si="33"/>
        <v>2</v>
      </c>
      <c r="AV18" s="109">
        <f t="shared" si="34"/>
        <v>8</v>
      </c>
      <c r="AW18" s="109">
        <f t="shared" si="35"/>
        <v>22</v>
      </c>
      <c r="AX18" s="109">
        <f t="shared" si="36"/>
        <v>37</v>
      </c>
      <c r="BA18" s="109">
        <v>14</v>
      </c>
      <c r="BB18" s="14">
        <f t="shared" si="0"/>
        <v>2</v>
      </c>
      <c r="BC18" s="14">
        <f t="shared" si="37"/>
        <v>4</v>
      </c>
      <c r="BD18" s="14">
        <f t="shared" si="81"/>
        <v>120</v>
      </c>
      <c r="BE18" s="14">
        <f t="shared" si="1"/>
        <v>450</v>
      </c>
      <c r="BF18" s="14">
        <f t="shared" si="2"/>
        <v>1350</v>
      </c>
      <c r="BG18" s="14">
        <f t="shared" si="38"/>
        <v>0.08</v>
      </c>
      <c r="BH18" s="14">
        <f t="shared" si="39"/>
        <v>11000</v>
      </c>
      <c r="BK18" s="109">
        <v>14</v>
      </c>
      <c r="BL18" s="14">
        <f t="shared" si="40"/>
        <v>2</v>
      </c>
      <c r="BM18" s="14">
        <f t="shared" si="41"/>
        <v>4</v>
      </c>
      <c r="BN18" s="14">
        <f t="shared" si="3"/>
        <v>250</v>
      </c>
      <c r="BO18" s="14">
        <f t="shared" si="4"/>
        <v>900</v>
      </c>
      <c r="BP18" s="14">
        <f t="shared" si="5"/>
        <v>2700</v>
      </c>
      <c r="BS18" s="109">
        <v>14</v>
      </c>
      <c r="BT18" s="109">
        <f t="shared" si="42"/>
        <v>5</v>
      </c>
      <c r="BU18" s="112">
        <f t="shared" si="43"/>
        <v>30</v>
      </c>
      <c r="BV18" s="109">
        <f t="shared" si="6"/>
        <v>2</v>
      </c>
      <c r="BW18" s="109">
        <v>240</v>
      </c>
      <c r="BX18" s="109">
        <v>360</v>
      </c>
      <c r="BY18" s="112">
        <v>2</v>
      </c>
      <c r="BZ18" s="14">
        <f t="shared" si="44"/>
        <v>11052</v>
      </c>
      <c r="CA18" s="118">
        <v>1</v>
      </c>
      <c r="CB18" s="14">
        <f t="shared" si="45"/>
        <v>105</v>
      </c>
      <c r="CC18" s="118" t="s">
        <v>1026</v>
      </c>
      <c r="CD18" s="14">
        <f t="shared" si="46"/>
        <v>2</v>
      </c>
      <c r="CE18" s="166" t="str">
        <f t="shared" si="47"/>
        <v>守护灵抽卡券2 2小时扫荡券1 金币7200</v>
      </c>
      <c r="CF18" s="14">
        <f t="shared" si="48"/>
        <v>20</v>
      </c>
      <c r="CG18" s="115" t="s">
        <v>258</v>
      </c>
      <c r="CH18" s="115">
        <v>2</v>
      </c>
      <c r="CI18" s="210" t="s">
        <v>1395</v>
      </c>
      <c r="CJ18" s="210">
        <v>1</v>
      </c>
      <c r="CK18" s="210" t="s">
        <v>252</v>
      </c>
      <c r="CL18" s="210">
        <f t="shared" ref="CL18:CL19" si="89">INDEX($I$6:$I$35,BT18)*BW18</f>
        <v>7200</v>
      </c>
      <c r="CO18" s="115">
        <f t="shared" si="7"/>
        <v>5</v>
      </c>
      <c r="CP18" s="115">
        <f t="shared" si="8"/>
        <v>40</v>
      </c>
      <c r="CQ18" s="118">
        <v>2</v>
      </c>
      <c r="CR18" s="109">
        <f t="shared" si="9"/>
        <v>360</v>
      </c>
      <c r="CS18" s="109">
        <f t="shared" si="10"/>
        <v>720</v>
      </c>
      <c r="CT18" s="115">
        <v>6</v>
      </c>
      <c r="CU18" s="14">
        <f t="shared" si="11"/>
        <v>12052</v>
      </c>
      <c r="CV18" s="118">
        <v>2</v>
      </c>
      <c r="CW18" s="14">
        <f t="shared" si="12"/>
        <v>205</v>
      </c>
      <c r="CX18" s="118" t="s">
        <v>1026</v>
      </c>
      <c r="CY18" s="14">
        <f t="shared" si="13"/>
        <v>2</v>
      </c>
      <c r="CZ18" s="166" t="str">
        <f t="shared" si="50"/>
        <v>熔炼值100040级-攻击套寄灵人の铠甲1金币10800</v>
      </c>
      <c r="DA18" s="14">
        <f t="shared" si="51"/>
        <v>20</v>
      </c>
      <c r="DB18" s="115" t="s">
        <v>1005</v>
      </c>
      <c r="DC18" s="115">
        <v>1000</v>
      </c>
      <c r="DD18" s="115" t="s">
        <v>1438</v>
      </c>
      <c r="DE18" s="115">
        <v>1</v>
      </c>
      <c r="DF18" s="109" t="s">
        <v>252</v>
      </c>
      <c r="DG18" s="115">
        <f t="shared" si="14"/>
        <v>10800</v>
      </c>
      <c r="DJ18" s="118">
        <v>14</v>
      </c>
      <c r="DK18" s="14">
        <f t="shared" si="52"/>
        <v>5</v>
      </c>
      <c r="DL18" s="118">
        <f t="shared" si="15"/>
        <v>30</v>
      </c>
      <c r="DM18" s="166">
        <f t="shared" si="16"/>
        <v>2</v>
      </c>
      <c r="DN18" s="166">
        <v>240</v>
      </c>
      <c r="DO18" s="166">
        <v>1080</v>
      </c>
      <c r="DP18" s="166">
        <v>2</v>
      </c>
      <c r="DQ18" s="118">
        <v>120</v>
      </c>
      <c r="DR18" s="118">
        <f t="shared" si="53"/>
        <v>21052</v>
      </c>
      <c r="DS18" s="118">
        <v>1</v>
      </c>
      <c r="DT18" s="14">
        <f t="shared" si="17"/>
        <v>105</v>
      </c>
      <c r="DU18" s="118" t="s">
        <v>1034</v>
      </c>
      <c r="DV18" s="118">
        <v>2</v>
      </c>
      <c r="DW18" s="166" t="str">
        <f t="shared" si="18"/>
        <v>蓝色基础材料16守护灵初级抽卡券6守护灵经验5400</v>
      </c>
      <c r="DX18" s="14">
        <f t="shared" ref="DX18" si="90">DT18*100+6</f>
        <v>10506</v>
      </c>
      <c r="DY18" s="191" t="s">
        <v>1606</v>
      </c>
      <c r="DZ18" s="191">
        <v>6</v>
      </c>
      <c r="EA18" s="14" t="str">
        <f>INDEX(挂机升级突破!$DT$4:$DX$4,DP18)</f>
        <v>蓝色基础材料</v>
      </c>
      <c r="EB18" s="14">
        <f>ROUND(INDEX(挂机升级突破!$G$7:$K$37,DK18+2,章节关卡!DP18)/INDEX(挂机升级突破!$G$5:$K$5,章节关卡!DP18)*INDEX(挂机升级突破!$G$4:$K$4,章节关卡!DP18)*章节关卡!DO18,0)</f>
        <v>16</v>
      </c>
      <c r="EC18" s="118" t="s">
        <v>1038</v>
      </c>
      <c r="ED18" s="14">
        <f t="shared" si="19"/>
        <v>5400</v>
      </c>
      <c r="EI18" s="166">
        <v>14</v>
      </c>
      <c r="EJ18" s="14">
        <f t="shared" si="54"/>
        <v>5</v>
      </c>
      <c r="EK18" s="166">
        <f t="shared" si="55"/>
        <v>35</v>
      </c>
      <c r="EL18" s="166">
        <f t="shared" si="20"/>
        <v>2</v>
      </c>
      <c r="EM18" s="166">
        <f t="shared" si="21"/>
        <v>360</v>
      </c>
      <c r="EN18" s="166">
        <f t="shared" si="64"/>
        <v>2700</v>
      </c>
      <c r="EO18" s="166">
        <v>6</v>
      </c>
      <c r="EP18" s="14">
        <f t="shared" si="22"/>
        <v>240</v>
      </c>
      <c r="EQ18" s="14">
        <f t="shared" si="57"/>
        <v>22052</v>
      </c>
      <c r="ER18" s="166">
        <v>1</v>
      </c>
      <c r="ES18" s="14">
        <f t="shared" si="58"/>
        <v>205</v>
      </c>
      <c r="ET18" s="166" t="s">
        <v>1034</v>
      </c>
      <c r="EU18" s="166">
        <v>2</v>
      </c>
      <c r="EV18" s="166"/>
      <c r="EW18" s="14">
        <f t="shared" ref="EW18" si="91">ES18*100+6</f>
        <v>20506</v>
      </c>
      <c r="EX18" s="166" t="s">
        <v>1397</v>
      </c>
      <c r="EY18" s="166">
        <v>30</v>
      </c>
      <c r="EZ18" s="14" t="str">
        <f>INDEX(挂机升级突破!$DT$4:$EC$4,EO18)</f>
        <v>玄铁</v>
      </c>
      <c r="FA18" s="14">
        <f>ROUND(INDEX(挂机升级突破!$G$7:$R$37,EJ18+3,EO18)/INDEX(挂机升级突破!$G$5:$R$5,章节关卡!EO18)*INDEX(挂机升级突破!$G$4:$R$4,章节关卡!EO18)*章节关卡!EN18,0)</f>
        <v>22</v>
      </c>
      <c r="FB18" s="166" t="s">
        <v>1399</v>
      </c>
      <c r="FC18" s="166">
        <f t="shared" si="23"/>
        <v>21600</v>
      </c>
    </row>
    <row r="19" spans="1:159" ht="16.5" x14ac:dyDescent="0.2">
      <c r="A19" s="24">
        <v>14</v>
      </c>
      <c r="B19" s="76">
        <v>75</v>
      </c>
      <c r="C19" s="166">
        <f>节奏总表!N18*60</f>
        <v>4560</v>
      </c>
      <c r="D19" s="109">
        <v>4</v>
      </c>
      <c r="E19" s="14">
        <f>SUM(D$5:D19)</f>
        <v>56</v>
      </c>
      <c r="F19" s="76">
        <v>5</v>
      </c>
      <c r="G19" s="76">
        <v>27</v>
      </c>
      <c r="H19" s="76">
        <v>5</v>
      </c>
      <c r="I19" s="24">
        <v>75</v>
      </c>
      <c r="J19" s="24">
        <f t="shared" si="24"/>
        <v>1</v>
      </c>
      <c r="K19" s="76">
        <v>5</v>
      </c>
      <c r="L19" s="24">
        <f t="shared" si="25"/>
        <v>135</v>
      </c>
      <c r="M19" s="24">
        <f t="shared" si="59"/>
        <v>2</v>
      </c>
      <c r="O19" s="24">
        <v>14</v>
      </c>
      <c r="P19" s="121">
        <v>75</v>
      </c>
      <c r="Q19" s="107">
        <v>10</v>
      </c>
      <c r="R19" s="14">
        <f>SUM(Q$5:Q19)</f>
        <v>140</v>
      </c>
      <c r="S19" s="24">
        <v>20</v>
      </c>
      <c r="T19" s="109">
        <f t="shared" si="26"/>
        <v>540</v>
      </c>
      <c r="U19" s="24">
        <v>30</v>
      </c>
      <c r="V19" s="109">
        <f t="shared" si="27"/>
        <v>2250</v>
      </c>
      <c r="W19" s="109">
        <v>45</v>
      </c>
      <c r="X19" s="76">
        <f t="shared" si="28"/>
        <v>6075</v>
      </c>
      <c r="Y19" s="34">
        <v>150</v>
      </c>
      <c r="Z19" s="109">
        <f t="shared" si="29"/>
        <v>20250</v>
      </c>
      <c r="AA19" s="181">
        <f>INDEX(节奏总表!$Z$5:$Z$32,章节关卡!O19)</f>
        <v>9.94</v>
      </c>
      <c r="AC19" s="77">
        <v>14</v>
      </c>
      <c r="AD19" s="210">
        <v>87</v>
      </c>
      <c r="AE19" s="172">
        <v>16</v>
      </c>
      <c r="AF19" s="109">
        <v>10</v>
      </c>
      <c r="AG19" s="155">
        <f>INDEX(节奏总表!$N$5:$N$34,章节关卡!AE19)</f>
        <v>105</v>
      </c>
      <c r="AH19" s="118">
        <f t="shared" si="69"/>
        <v>1575</v>
      </c>
      <c r="AI19" s="14">
        <f>SUM(AF$5:AF19)</f>
        <v>140</v>
      </c>
      <c r="AJ19" s="14">
        <f t="shared" si="61"/>
        <v>5050</v>
      </c>
      <c r="AK19" s="24">
        <v>60</v>
      </c>
      <c r="AL19" s="14">
        <f t="shared" si="62"/>
        <v>4500</v>
      </c>
      <c r="AM19" s="54">
        <v>90</v>
      </c>
      <c r="AN19" s="14">
        <f t="shared" si="30"/>
        <v>12150</v>
      </c>
      <c r="AO19" s="109">
        <v>300</v>
      </c>
      <c r="AP19" s="14">
        <f t="shared" si="31"/>
        <v>40500</v>
      </c>
      <c r="AS19" s="24">
        <v>15</v>
      </c>
      <c r="AT19" s="14">
        <f t="shared" si="32"/>
        <v>4</v>
      </c>
      <c r="AU19" s="109">
        <f t="shared" si="33"/>
        <v>3</v>
      </c>
      <c r="AV19" s="109">
        <f t="shared" si="34"/>
        <v>8</v>
      </c>
      <c r="AW19" s="109">
        <f t="shared" si="35"/>
        <v>23</v>
      </c>
      <c r="AX19" s="109">
        <f t="shared" si="36"/>
        <v>38</v>
      </c>
      <c r="BA19" s="109">
        <v>15</v>
      </c>
      <c r="BB19" s="14">
        <f t="shared" si="0"/>
        <v>2</v>
      </c>
      <c r="BC19" s="14">
        <f t="shared" si="37"/>
        <v>5</v>
      </c>
      <c r="BD19" s="14">
        <f t="shared" si="81"/>
        <v>120</v>
      </c>
      <c r="BE19" s="14">
        <f t="shared" si="1"/>
        <v>450</v>
      </c>
      <c r="BF19" s="14">
        <f t="shared" si="2"/>
        <v>1350</v>
      </c>
      <c r="BG19" s="14">
        <f t="shared" si="38"/>
        <v>0.08</v>
      </c>
      <c r="BH19" s="14">
        <f t="shared" si="39"/>
        <v>11000</v>
      </c>
      <c r="BK19" s="109">
        <v>15</v>
      </c>
      <c r="BL19" s="14">
        <f t="shared" si="40"/>
        <v>2</v>
      </c>
      <c r="BM19" s="14">
        <f t="shared" si="41"/>
        <v>5</v>
      </c>
      <c r="BN19" s="14">
        <f t="shared" si="3"/>
        <v>250</v>
      </c>
      <c r="BO19" s="14">
        <f t="shared" si="4"/>
        <v>900</v>
      </c>
      <c r="BP19" s="14">
        <f t="shared" si="5"/>
        <v>2700</v>
      </c>
      <c r="BS19" s="109">
        <v>15</v>
      </c>
      <c r="BT19" s="109">
        <f t="shared" si="42"/>
        <v>5</v>
      </c>
      <c r="BU19" s="112">
        <f t="shared" si="43"/>
        <v>30</v>
      </c>
      <c r="BV19" s="109">
        <f t="shared" si="6"/>
        <v>3</v>
      </c>
      <c r="BW19" s="109">
        <v>360</v>
      </c>
      <c r="BX19" s="109">
        <v>540</v>
      </c>
      <c r="BY19" s="112">
        <v>2</v>
      </c>
      <c r="BZ19" s="14">
        <f t="shared" si="44"/>
        <v>11053</v>
      </c>
      <c r="CA19" s="118">
        <v>1</v>
      </c>
      <c r="CB19" s="14">
        <f t="shared" si="45"/>
        <v>105</v>
      </c>
      <c r="CC19" s="118" t="s">
        <v>1026</v>
      </c>
      <c r="CD19" s="14">
        <f t="shared" si="46"/>
        <v>3</v>
      </c>
      <c r="CE19" s="166" t="str">
        <f t="shared" si="47"/>
        <v>守护灵抽卡券3 2小时扫荡券1 金币10800</v>
      </c>
      <c r="CF19" s="14">
        <f t="shared" si="48"/>
        <v>30</v>
      </c>
      <c r="CG19" s="115" t="s">
        <v>258</v>
      </c>
      <c r="CH19" s="115">
        <v>3</v>
      </c>
      <c r="CI19" s="210" t="s">
        <v>1395</v>
      </c>
      <c r="CJ19" s="210">
        <v>1</v>
      </c>
      <c r="CK19" s="210" t="s">
        <v>252</v>
      </c>
      <c r="CL19" s="210">
        <f t="shared" si="89"/>
        <v>10800</v>
      </c>
      <c r="CO19" s="115">
        <f t="shared" si="7"/>
        <v>5</v>
      </c>
      <c r="CP19" s="115">
        <f t="shared" si="8"/>
        <v>40</v>
      </c>
      <c r="CQ19" s="118">
        <v>3</v>
      </c>
      <c r="CR19" s="109">
        <f t="shared" si="9"/>
        <v>540</v>
      </c>
      <c r="CS19" s="109">
        <f t="shared" si="10"/>
        <v>1080</v>
      </c>
      <c r="CT19" s="115">
        <v>6</v>
      </c>
      <c r="CU19" s="14">
        <f t="shared" si="11"/>
        <v>12053</v>
      </c>
      <c r="CV19" s="118">
        <v>2</v>
      </c>
      <c r="CW19" s="14">
        <f t="shared" si="12"/>
        <v>205</v>
      </c>
      <c r="CX19" s="118" t="s">
        <v>1026</v>
      </c>
      <c r="CY19" s="14">
        <f t="shared" si="13"/>
        <v>3</v>
      </c>
      <c r="CZ19" s="166" t="str">
        <f t="shared" si="50"/>
        <v>守护灵抽卡券540级-攻击套寄灵人の鞋子1金币16200</v>
      </c>
      <c r="DA19" s="14">
        <f t="shared" si="51"/>
        <v>30</v>
      </c>
      <c r="DB19" s="115" t="s">
        <v>1004</v>
      </c>
      <c r="DC19" s="115">
        <v>5</v>
      </c>
      <c r="DD19" s="115" t="s">
        <v>1439</v>
      </c>
      <c r="DE19" s="115">
        <v>1</v>
      </c>
      <c r="DF19" s="109" t="s">
        <v>252</v>
      </c>
      <c r="DG19" s="115">
        <f t="shared" si="14"/>
        <v>16200</v>
      </c>
      <c r="DJ19" s="118">
        <v>15</v>
      </c>
      <c r="DK19" s="14">
        <f t="shared" si="52"/>
        <v>5</v>
      </c>
      <c r="DL19" s="118">
        <f t="shared" si="15"/>
        <v>30</v>
      </c>
      <c r="DM19" s="166">
        <f t="shared" si="16"/>
        <v>3</v>
      </c>
      <c r="DN19" s="166">
        <v>360</v>
      </c>
      <c r="DO19" s="166">
        <v>1620</v>
      </c>
      <c r="DP19" s="166">
        <v>2</v>
      </c>
      <c r="DQ19" s="118">
        <v>150</v>
      </c>
      <c r="DR19" s="118">
        <f t="shared" si="53"/>
        <v>21053</v>
      </c>
      <c r="DS19" s="118">
        <v>1</v>
      </c>
      <c r="DT19" s="14">
        <f t="shared" si="17"/>
        <v>105</v>
      </c>
      <c r="DU19" s="118" t="s">
        <v>1034</v>
      </c>
      <c r="DV19" s="118">
        <v>3</v>
      </c>
      <c r="DW19" s="166" t="str">
        <f t="shared" si="18"/>
        <v>蓝色基础材料24玄铁12守护灵经验6750</v>
      </c>
      <c r="DX19" s="14">
        <f t="shared" ref="DX19" si="92">DT19*100+9</f>
        <v>10509</v>
      </c>
      <c r="DY19" s="191" t="s">
        <v>415</v>
      </c>
      <c r="DZ19" s="191">
        <v>12</v>
      </c>
      <c r="EA19" s="14" t="str">
        <f>INDEX(挂机升级突破!$DT$4:$DX$4,DP19)</f>
        <v>蓝色基础材料</v>
      </c>
      <c r="EB19" s="14">
        <f>ROUND(INDEX(挂机升级突破!$G$7:$K$37,DK19+2,章节关卡!DP19)/INDEX(挂机升级突破!$G$5:$K$5,章节关卡!DP19)*INDEX(挂机升级突破!$G$4:$K$4,章节关卡!DP19)*章节关卡!DO19,0)</f>
        <v>24</v>
      </c>
      <c r="EC19" s="118" t="s">
        <v>1038</v>
      </c>
      <c r="ED19" s="14">
        <f t="shared" si="19"/>
        <v>6750</v>
      </c>
      <c r="EI19" s="166">
        <v>15</v>
      </c>
      <c r="EJ19" s="14">
        <f t="shared" si="54"/>
        <v>5</v>
      </c>
      <c r="EK19" s="166">
        <f t="shared" si="55"/>
        <v>35</v>
      </c>
      <c r="EL19" s="166">
        <f t="shared" si="20"/>
        <v>3</v>
      </c>
      <c r="EM19" s="166">
        <f t="shared" si="21"/>
        <v>540</v>
      </c>
      <c r="EN19" s="166">
        <f t="shared" si="64"/>
        <v>4050</v>
      </c>
      <c r="EO19" s="166">
        <v>6</v>
      </c>
      <c r="EP19" s="14">
        <f t="shared" si="22"/>
        <v>300</v>
      </c>
      <c r="EQ19" s="14">
        <f t="shared" si="57"/>
        <v>22053</v>
      </c>
      <c r="ER19" s="166">
        <v>1</v>
      </c>
      <c r="ES19" s="14">
        <f t="shared" si="58"/>
        <v>205</v>
      </c>
      <c r="ET19" s="166" t="s">
        <v>1034</v>
      </c>
      <c r="EU19" s="166">
        <v>3</v>
      </c>
      <c r="EV19" s="166"/>
      <c r="EW19" s="14">
        <f t="shared" ref="EW19" si="93">ES19*100+9</f>
        <v>20509</v>
      </c>
      <c r="EX19" s="166" t="s">
        <v>1397</v>
      </c>
      <c r="EY19" s="166">
        <v>50</v>
      </c>
      <c r="EZ19" s="14" t="str">
        <f>INDEX(挂机升级突破!$DT$4:$EC$4,EO19)</f>
        <v>玄铁</v>
      </c>
      <c r="FA19" s="14">
        <f>ROUND(INDEX(挂机升级突破!$G$7:$R$37,EJ19+3,EO19)/INDEX(挂机升级突破!$G$5:$R$5,章节关卡!EO19)*INDEX(挂机升级突破!$G$4:$R$4,章节关卡!EO19)*章节关卡!EN19,0)</f>
        <v>33</v>
      </c>
      <c r="FB19" s="166" t="s">
        <v>1399</v>
      </c>
      <c r="FC19" s="166">
        <f t="shared" si="23"/>
        <v>32400</v>
      </c>
    </row>
    <row r="20" spans="1:159" ht="16.5" x14ac:dyDescent="0.2">
      <c r="A20" s="24">
        <v>15</v>
      </c>
      <c r="B20" s="76">
        <v>80</v>
      </c>
      <c r="C20" s="166">
        <f>节奏总表!N19*60</f>
        <v>5400</v>
      </c>
      <c r="D20" s="109">
        <v>4</v>
      </c>
      <c r="E20" s="14">
        <f>SUM(D$5:D20)</f>
        <v>60</v>
      </c>
      <c r="F20" s="76">
        <v>5</v>
      </c>
      <c r="G20" s="76">
        <v>30</v>
      </c>
      <c r="H20" s="76">
        <v>5</v>
      </c>
      <c r="I20" s="24">
        <v>80</v>
      </c>
      <c r="J20" s="24">
        <f t="shared" si="24"/>
        <v>1</v>
      </c>
      <c r="K20" s="76">
        <v>5</v>
      </c>
      <c r="L20" s="24">
        <f t="shared" si="25"/>
        <v>150</v>
      </c>
      <c r="M20" s="24">
        <f t="shared" si="59"/>
        <v>3</v>
      </c>
      <c r="O20" s="24">
        <v>15</v>
      </c>
      <c r="P20" s="121">
        <v>80</v>
      </c>
      <c r="Q20" s="107">
        <v>10</v>
      </c>
      <c r="R20" s="14">
        <f>SUM(Q$5:Q20)</f>
        <v>150</v>
      </c>
      <c r="S20" s="24">
        <v>20</v>
      </c>
      <c r="T20" s="109">
        <f t="shared" si="26"/>
        <v>600</v>
      </c>
      <c r="U20" s="24">
        <v>30</v>
      </c>
      <c r="V20" s="109">
        <f t="shared" si="27"/>
        <v>2400</v>
      </c>
      <c r="W20" s="109">
        <v>45</v>
      </c>
      <c r="X20" s="76">
        <f t="shared" si="28"/>
        <v>6750</v>
      </c>
      <c r="Y20" s="34">
        <v>150</v>
      </c>
      <c r="Z20" s="109">
        <f t="shared" si="29"/>
        <v>22500</v>
      </c>
      <c r="AA20" s="181">
        <f>INDEX(节奏总表!$Z$5:$Z$32,章节关卡!O20)</f>
        <v>11.81</v>
      </c>
      <c r="AC20" s="77">
        <v>15</v>
      </c>
      <c r="AD20" s="210">
        <v>92</v>
      </c>
      <c r="AE20" s="172">
        <v>17</v>
      </c>
      <c r="AF20" s="109">
        <v>10</v>
      </c>
      <c r="AG20" s="155">
        <f>INDEX(节奏总表!$N$5:$N$34,章节关卡!AE20)</f>
        <v>112</v>
      </c>
      <c r="AH20" s="118">
        <f t="shared" si="69"/>
        <v>1680</v>
      </c>
      <c r="AI20" s="14">
        <f>SUM(AF$5:AF20)</f>
        <v>150</v>
      </c>
      <c r="AJ20" s="14">
        <f t="shared" si="61"/>
        <v>5900</v>
      </c>
      <c r="AK20" s="24">
        <v>60</v>
      </c>
      <c r="AL20" s="14">
        <f t="shared" si="62"/>
        <v>4800</v>
      </c>
      <c r="AM20" s="54">
        <v>90</v>
      </c>
      <c r="AN20" s="14">
        <f t="shared" si="30"/>
        <v>13500</v>
      </c>
      <c r="AO20" s="109">
        <v>300</v>
      </c>
      <c r="AP20" s="14">
        <f t="shared" si="31"/>
        <v>45000</v>
      </c>
      <c r="AS20" s="24">
        <v>16</v>
      </c>
      <c r="AT20" s="14">
        <f t="shared" si="32"/>
        <v>4</v>
      </c>
      <c r="AU20" s="109">
        <f t="shared" si="33"/>
        <v>4</v>
      </c>
      <c r="AV20" s="109">
        <f t="shared" si="34"/>
        <v>8</v>
      </c>
      <c r="AW20" s="109">
        <f t="shared" si="35"/>
        <v>24</v>
      </c>
      <c r="AX20" s="109">
        <f t="shared" si="36"/>
        <v>39</v>
      </c>
      <c r="BA20" s="109">
        <v>16</v>
      </c>
      <c r="BB20" s="14">
        <f t="shared" si="0"/>
        <v>2</v>
      </c>
      <c r="BC20" s="14">
        <f t="shared" si="37"/>
        <v>6</v>
      </c>
      <c r="BD20" s="14">
        <f t="shared" si="81"/>
        <v>120</v>
      </c>
      <c r="BE20" s="14">
        <f t="shared" si="1"/>
        <v>450</v>
      </c>
      <c r="BF20" s="14">
        <f t="shared" si="2"/>
        <v>1350</v>
      </c>
      <c r="BG20" s="14">
        <f t="shared" si="38"/>
        <v>0.08</v>
      </c>
      <c r="BH20" s="14">
        <f t="shared" si="39"/>
        <v>11000</v>
      </c>
      <c r="BK20" s="109">
        <v>16</v>
      </c>
      <c r="BL20" s="14">
        <f t="shared" si="40"/>
        <v>2</v>
      </c>
      <c r="BM20" s="14">
        <f t="shared" si="41"/>
        <v>6</v>
      </c>
      <c r="BN20" s="14">
        <f t="shared" si="3"/>
        <v>250</v>
      </c>
      <c r="BO20" s="14">
        <f t="shared" si="4"/>
        <v>900</v>
      </c>
      <c r="BP20" s="14">
        <f t="shared" si="5"/>
        <v>2700</v>
      </c>
      <c r="BS20" s="109">
        <v>16</v>
      </c>
      <c r="BT20" s="109">
        <f t="shared" si="42"/>
        <v>6</v>
      </c>
      <c r="BU20" s="112">
        <f t="shared" si="43"/>
        <v>35</v>
      </c>
      <c r="BV20" s="109">
        <f t="shared" si="6"/>
        <v>1</v>
      </c>
      <c r="BW20" s="109">
        <v>120</v>
      </c>
      <c r="BX20" s="109">
        <v>180</v>
      </c>
      <c r="BY20" s="112">
        <v>2</v>
      </c>
      <c r="BZ20" s="14">
        <f t="shared" si="44"/>
        <v>11061</v>
      </c>
      <c r="CA20" s="118">
        <v>1</v>
      </c>
      <c r="CB20" s="14">
        <f t="shared" si="45"/>
        <v>106</v>
      </c>
      <c r="CC20" s="118" t="s">
        <v>1026</v>
      </c>
      <c r="CD20" s="14">
        <f t="shared" si="46"/>
        <v>1</v>
      </c>
      <c r="CE20" s="166" t="str">
        <f t="shared" si="47"/>
        <v xml:space="preserve">钻石100 金币4200 </v>
      </c>
      <c r="CF20" s="14">
        <f t="shared" si="48"/>
        <v>10</v>
      </c>
      <c r="CG20" s="109" t="s">
        <v>19</v>
      </c>
      <c r="CH20" s="109">
        <v>100</v>
      </c>
      <c r="CI20" s="210" t="s">
        <v>358</v>
      </c>
      <c r="CJ20" s="210">
        <f>INDEX($I$6:$I$35,BT20)*BW20</f>
        <v>4200</v>
      </c>
      <c r="CK20" s="210"/>
      <c r="CL20" s="210"/>
      <c r="CO20" s="115">
        <f t="shared" si="7"/>
        <v>6</v>
      </c>
      <c r="CP20" s="115">
        <f t="shared" si="8"/>
        <v>45</v>
      </c>
      <c r="CQ20" s="118">
        <v>1</v>
      </c>
      <c r="CR20" s="109">
        <f t="shared" si="9"/>
        <v>180</v>
      </c>
      <c r="CS20" s="109">
        <f t="shared" si="10"/>
        <v>360</v>
      </c>
      <c r="CT20" s="115">
        <v>6</v>
      </c>
      <c r="CU20" s="14">
        <f t="shared" si="11"/>
        <v>12061</v>
      </c>
      <c r="CV20" s="118">
        <v>2</v>
      </c>
      <c r="CW20" s="14">
        <f t="shared" si="12"/>
        <v>206</v>
      </c>
      <c r="CX20" s="118" t="s">
        <v>1026</v>
      </c>
      <c r="CY20" s="14">
        <f t="shared" si="13"/>
        <v>1</v>
      </c>
      <c r="CZ20" s="166" t="str">
        <f t="shared" si="50"/>
        <v>钻石10040级-攻击套寄灵人の项链1金币6300</v>
      </c>
      <c r="DA20" s="14">
        <f t="shared" si="51"/>
        <v>10</v>
      </c>
      <c r="DB20" s="115" t="s">
        <v>257</v>
      </c>
      <c r="DC20" s="115">
        <v>100</v>
      </c>
      <c r="DD20" s="115" t="s">
        <v>1440</v>
      </c>
      <c r="DE20" s="115">
        <v>1</v>
      </c>
      <c r="DF20" s="109" t="s">
        <v>252</v>
      </c>
      <c r="DG20" s="115">
        <f t="shared" si="14"/>
        <v>6300</v>
      </c>
      <c r="DJ20" s="118">
        <v>16</v>
      </c>
      <c r="DK20" s="14">
        <f t="shared" si="52"/>
        <v>6</v>
      </c>
      <c r="DL20" s="118">
        <f t="shared" si="15"/>
        <v>35</v>
      </c>
      <c r="DM20" s="166">
        <f t="shared" si="16"/>
        <v>1</v>
      </c>
      <c r="DN20" s="166">
        <v>120</v>
      </c>
      <c r="DO20" s="166">
        <v>540</v>
      </c>
      <c r="DP20" s="166">
        <v>2</v>
      </c>
      <c r="DQ20" s="118">
        <v>90</v>
      </c>
      <c r="DR20" s="118">
        <f t="shared" si="53"/>
        <v>21061</v>
      </c>
      <c r="DS20" s="118">
        <v>1</v>
      </c>
      <c r="DT20" s="14">
        <f t="shared" si="17"/>
        <v>106</v>
      </c>
      <c r="DU20" s="118" t="s">
        <v>1034</v>
      </c>
      <c r="DV20" s="118">
        <v>1</v>
      </c>
      <c r="DW20" s="166" t="str">
        <f t="shared" si="18"/>
        <v>蓝色基础材料11守护灵初级抽卡券4守护灵经验4500</v>
      </c>
      <c r="DX20" s="14">
        <f t="shared" ref="DX20" si="94">DT20*100+3</f>
        <v>10603</v>
      </c>
      <c r="DY20" s="191" t="s">
        <v>1606</v>
      </c>
      <c r="DZ20" s="191">
        <v>4</v>
      </c>
      <c r="EA20" s="14" t="str">
        <f>INDEX(挂机升级突破!$DT$4:$DX$4,DP20)</f>
        <v>蓝色基础材料</v>
      </c>
      <c r="EB20" s="14">
        <f>ROUND(INDEX(挂机升级突破!$G$7:$K$37,DK20+2,章节关卡!DP20)/INDEX(挂机升级突破!$G$5:$K$5,章节关卡!DP20)*INDEX(挂机升级突破!$G$4:$K$4,章节关卡!DP20)*章节关卡!DO20,0)</f>
        <v>11</v>
      </c>
      <c r="EC20" s="118" t="s">
        <v>1038</v>
      </c>
      <c r="ED20" s="14">
        <f t="shared" si="19"/>
        <v>4500</v>
      </c>
      <c r="EI20" s="166">
        <v>16</v>
      </c>
      <c r="EJ20" s="14">
        <f t="shared" si="54"/>
        <v>6</v>
      </c>
      <c r="EK20" s="166">
        <f t="shared" si="55"/>
        <v>40</v>
      </c>
      <c r="EL20" s="166">
        <f t="shared" si="20"/>
        <v>1</v>
      </c>
      <c r="EM20" s="166">
        <f t="shared" si="21"/>
        <v>180</v>
      </c>
      <c r="EN20" s="166">
        <f t="shared" si="64"/>
        <v>1350</v>
      </c>
      <c r="EO20" s="166">
        <v>6</v>
      </c>
      <c r="EP20" s="14">
        <f t="shared" si="22"/>
        <v>180</v>
      </c>
      <c r="EQ20" s="14">
        <f t="shared" si="57"/>
        <v>22061</v>
      </c>
      <c r="ER20" s="166">
        <v>1</v>
      </c>
      <c r="ES20" s="14">
        <f t="shared" si="58"/>
        <v>206</v>
      </c>
      <c r="ET20" s="166" t="s">
        <v>1034</v>
      </c>
      <c r="EU20" s="166">
        <v>1</v>
      </c>
      <c r="EV20" s="166"/>
      <c r="EW20" s="14">
        <f t="shared" ref="EW20" si="95">ES20*100+3</f>
        <v>20603</v>
      </c>
      <c r="EX20" s="166" t="s">
        <v>1397</v>
      </c>
      <c r="EY20" s="166">
        <v>20</v>
      </c>
      <c r="EZ20" s="14" t="str">
        <f>INDEX(挂机升级突破!$DT$4:$EC$4,EO20)</f>
        <v>玄铁</v>
      </c>
      <c r="FA20" s="14">
        <f>ROUND(INDEX(挂机升级突破!$G$7:$R$37,EJ20+3,EO20)/INDEX(挂机升级突破!$G$5:$R$5,章节关卡!EO20)*INDEX(挂机升级突破!$G$4:$R$4,章节关卡!EO20)*章节关卡!EN20,0)</f>
        <v>14</v>
      </c>
      <c r="FB20" s="166" t="s">
        <v>1399</v>
      </c>
      <c r="FC20" s="166">
        <f t="shared" si="23"/>
        <v>12600</v>
      </c>
    </row>
    <row r="21" spans="1:159" ht="16.5" x14ac:dyDescent="0.2">
      <c r="A21" s="64">
        <v>16</v>
      </c>
      <c r="B21" s="76">
        <v>85</v>
      </c>
      <c r="C21" s="166">
        <f>节奏总表!N20*60</f>
        <v>6300</v>
      </c>
      <c r="D21" s="109">
        <v>4</v>
      </c>
      <c r="E21" s="14">
        <f>SUM(D$5:D21)</f>
        <v>64</v>
      </c>
      <c r="F21" s="76">
        <v>5</v>
      </c>
      <c r="G21" s="76">
        <v>32</v>
      </c>
      <c r="H21" s="76">
        <v>5</v>
      </c>
      <c r="I21" s="64">
        <v>90</v>
      </c>
      <c r="J21" s="64">
        <f>(I21-I20)/$F21</f>
        <v>2</v>
      </c>
      <c r="K21" s="76">
        <v>5</v>
      </c>
      <c r="L21" s="64">
        <f>G21*K21</f>
        <v>160</v>
      </c>
      <c r="M21" s="64">
        <f>(L21-L20)/$F21</f>
        <v>2</v>
      </c>
      <c r="O21" s="64">
        <v>16</v>
      </c>
      <c r="P21" s="121">
        <v>85</v>
      </c>
      <c r="Q21" s="107">
        <v>10</v>
      </c>
      <c r="R21" s="14">
        <f>SUM(Q$5:Q21)</f>
        <v>160</v>
      </c>
      <c r="S21" s="64">
        <v>20</v>
      </c>
      <c r="T21" s="109">
        <f t="shared" si="26"/>
        <v>640</v>
      </c>
      <c r="U21" s="64">
        <v>30</v>
      </c>
      <c r="V21" s="109">
        <f t="shared" si="27"/>
        <v>2700</v>
      </c>
      <c r="W21" s="109">
        <v>45</v>
      </c>
      <c r="X21" s="76">
        <f t="shared" si="28"/>
        <v>7200</v>
      </c>
      <c r="Y21" s="64">
        <v>150</v>
      </c>
      <c r="Z21" s="109">
        <f t="shared" si="29"/>
        <v>24000</v>
      </c>
      <c r="AA21" s="181">
        <f>INDEX(节奏总表!$Z$5:$Z$32,章节关卡!O21)</f>
        <v>14</v>
      </c>
      <c r="AC21" s="77">
        <v>16</v>
      </c>
      <c r="AD21" s="210">
        <v>97</v>
      </c>
      <c r="AE21" s="172">
        <v>18</v>
      </c>
      <c r="AF21" s="109">
        <v>10</v>
      </c>
      <c r="AG21" s="155">
        <f>INDEX(节奏总表!$N$5:$N$34,章节关卡!AE21)</f>
        <v>120</v>
      </c>
      <c r="AH21" s="118">
        <f t="shared" si="69"/>
        <v>1800</v>
      </c>
      <c r="AI21" s="14">
        <f>SUM(AF$5:AF21)</f>
        <v>160</v>
      </c>
      <c r="AJ21" s="14">
        <f t="shared" si="61"/>
        <v>6650</v>
      </c>
      <c r="AK21" s="64">
        <v>60</v>
      </c>
      <c r="AL21" s="14">
        <f t="shared" si="62"/>
        <v>5400</v>
      </c>
      <c r="AM21" s="64">
        <v>90</v>
      </c>
      <c r="AN21" s="14">
        <f t="shared" si="30"/>
        <v>14400</v>
      </c>
      <c r="AO21" s="109">
        <v>300</v>
      </c>
      <c r="AP21" s="14">
        <f t="shared" si="31"/>
        <v>48000</v>
      </c>
      <c r="AS21" s="24">
        <v>17</v>
      </c>
      <c r="AT21" s="14">
        <f t="shared" si="32"/>
        <v>5</v>
      </c>
      <c r="AU21" s="109">
        <f t="shared" si="33"/>
        <v>1</v>
      </c>
      <c r="AV21" s="109">
        <f t="shared" si="34"/>
        <v>9</v>
      </c>
      <c r="AW21" s="109">
        <f t="shared" si="35"/>
        <v>26</v>
      </c>
      <c r="AX21" s="109">
        <f t="shared" si="36"/>
        <v>41</v>
      </c>
      <c r="BA21" s="109">
        <v>17</v>
      </c>
      <c r="BB21" s="14">
        <f t="shared" si="0"/>
        <v>2</v>
      </c>
      <c r="BC21" s="14">
        <f t="shared" si="37"/>
        <v>7</v>
      </c>
      <c r="BD21" s="14">
        <f t="shared" si="81"/>
        <v>120</v>
      </c>
      <c r="BE21" s="14">
        <f t="shared" si="1"/>
        <v>450</v>
      </c>
      <c r="BF21" s="14">
        <f t="shared" si="2"/>
        <v>1350</v>
      </c>
      <c r="BG21" s="14">
        <f t="shared" si="38"/>
        <v>0.08</v>
      </c>
      <c r="BH21" s="14">
        <f t="shared" si="39"/>
        <v>11000</v>
      </c>
      <c r="BK21" s="109">
        <v>17</v>
      </c>
      <c r="BL21" s="14">
        <f t="shared" si="40"/>
        <v>2</v>
      </c>
      <c r="BM21" s="14">
        <f t="shared" si="41"/>
        <v>7</v>
      </c>
      <c r="BN21" s="14">
        <f t="shared" si="3"/>
        <v>250</v>
      </c>
      <c r="BO21" s="14">
        <f t="shared" si="4"/>
        <v>900</v>
      </c>
      <c r="BP21" s="14">
        <f t="shared" si="5"/>
        <v>2700</v>
      </c>
      <c r="BS21" s="109">
        <v>17</v>
      </c>
      <c r="BT21" s="109">
        <f t="shared" si="42"/>
        <v>6</v>
      </c>
      <c r="BU21" s="112">
        <f t="shared" si="43"/>
        <v>35</v>
      </c>
      <c r="BV21" s="109">
        <f t="shared" si="6"/>
        <v>2</v>
      </c>
      <c r="BW21" s="109">
        <v>240</v>
      </c>
      <c r="BX21" s="109">
        <v>360</v>
      </c>
      <c r="BY21" s="112">
        <v>2</v>
      </c>
      <c r="BZ21" s="14">
        <f t="shared" si="44"/>
        <v>11062</v>
      </c>
      <c r="CA21" s="118">
        <v>1</v>
      </c>
      <c r="CB21" s="14">
        <f t="shared" si="45"/>
        <v>106</v>
      </c>
      <c r="CC21" s="118" t="s">
        <v>1026</v>
      </c>
      <c r="CD21" s="14">
        <f t="shared" si="46"/>
        <v>2</v>
      </c>
      <c r="CE21" s="166" t="str">
        <f t="shared" si="47"/>
        <v>守护灵抽卡券2 2小时扫荡券1 金币8400</v>
      </c>
      <c r="CF21" s="14">
        <f t="shared" si="48"/>
        <v>20</v>
      </c>
      <c r="CG21" s="115" t="s">
        <v>258</v>
      </c>
      <c r="CH21" s="115">
        <v>2</v>
      </c>
      <c r="CI21" s="210" t="s">
        <v>1395</v>
      </c>
      <c r="CJ21" s="210">
        <v>1</v>
      </c>
      <c r="CK21" s="210" t="s">
        <v>252</v>
      </c>
      <c r="CL21" s="210">
        <f t="shared" ref="CL21:CL22" si="96">INDEX($I$6:$I$35,BT21)*BW21</f>
        <v>8400</v>
      </c>
      <c r="CO21" s="115">
        <f t="shared" si="7"/>
        <v>6</v>
      </c>
      <c r="CP21" s="115">
        <f t="shared" si="8"/>
        <v>45</v>
      </c>
      <c r="CQ21" s="118">
        <v>2</v>
      </c>
      <c r="CR21" s="109">
        <f t="shared" si="9"/>
        <v>360</v>
      </c>
      <c r="CS21" s="109">
        <f t="shared" si="10"/>
        <v>720</v>
      </c>
      <c r="CT21" s="115">
        <v>6</v>
      </c>
      <c r="CU21" s="14">
        <f t="shared" si="11"/>
        <v>12062</v>
      </c>
      <c r="CV21" s="118">
        <v>2</v>
      </c>
      <c r="CW21" s="14">
        <f t="shared" si="12"/>
        <v>206</v>
      </c>
      <c r="CX21" s="118" t="s">
        <v>1026</v>
      </c>
      <c r="CY21" s="14">
        <f t="shared" si="13"/>
        <v>2</v>
      </c>
      <c r="CZ21" s="166" t="str">
        <f t="shared" si="50"/>
        <v>熔炼值105040级-攻击套寄灵人の戒指1金币12600</v>
      </c>
      <c r="DA21" s="14">
        <f t="shared" si="51"/>
        <v>20</v>
      </c>
      <c r="DB21" s="115" t="s">
        <v>1005</v>
      </c>
      <c r="DC21" s="115">
        <v>1050</v>
      </c>
      <c r="DD21" s="115" t="s">
        <v>1441</v>
      </c>
      <c r="DE21" s="115">
        <v>1</v>
      </c>
      <c r="DF21" s="109" t="s">
        <v>252</v>
      </c>
      <c r="DG21" s="115">
        <f t="shared" si="14"/>
        <v>12600</v>
      </c>
      <c r="DJ21" s="118">
        <v>17</v>
      </c>
      <c r="DK21" s="14">
        <f t="shared" si="52"/>
        <v>6</v>
      </c>
      <c r="DL21" s="118">
        <f t="shared" si="15"/>
        <v>35</v>
      </c>
      <c r="DM21" s="166">
        <f t="shared" si="16"/>
        <v>2</v>
      </c>
      <c r="DN21" s="166">
        <v>240</v>
      </c>
      <c r="DO21" s="166">
        <v>1080</v>
      </c>
      <c r="DP21" s="166">
        <v>2</v>
      </c>
      <c r="DQ21" s="118">
        <v>120</v>
      </c>
      <c r="DR21" s="118">
        <f t="shared" si="53"/>
        <v>21062</v>
      </c>
      <c r="DS21" s="118">
        <v>1</v>
      </c>
      <c r="DT21" s="14">
        <f t="shared" si="17"/>
        <v>106</v>
      </c>
      <c r="DU21" s="118" t="s">
        <v>1034</v>
      </c>
      <c r="DV21" s="118">
        <v>2</v>
      </c>
      <c r="DW21" s="166" t="str">
        <f t="shared" si="18"/>
        <v>蓝色基础材料23守护灵初级抽卡券6守护灵经验6000</v>
      </c>
      <c r="DX21" s="14">
        <f t="shared" ref="DX21" si="97">DT21*100+6</f>
        <v>10606</v>
      </c>
      <c r="DY21" s="191" t="s">
        <v>1606</v>
      </c>
      <c r="DZ21" s="191">
        <v>6</v>
      </c>
      <c r="EA21" s="14" t="str">
        <f>INDEX(挂机升级突破!$DT$4:$DX$4,DP21)</f>
        <v>蓝色基础材料</v>
      </c>
      <c r="EB21" s="14">
        <f>ROUND(INDEX(挂机升级突破!$G$7:$K$37,DK21+2,章节关卡!DP21)/INDEX(挂机升级突破!$G$5:$K$5,章节关卡!DP21)*INDEX(挂机升级突破!$G$4:$K$4,章节关卡!DP21)*章节关卡!DO21,0)</f>
        <v>23</v>
      </c>
      <c r="EC21" s="118" t="s">
        <v>1038</v>
      </c>
      <c r="ED21" s="14">
        <f t="shared" si="19"/>
        <v>6000</v>
      </c>
      <c r="EI21" s="166">
        <v>17</v>
      </c>
      <c r="EJ21" s="14">
        <f t="shared" si="54"/>
        <v>6</v>
      </c>
      <c r="EK21" s="166">
        <f t="shared" si="55"/>
        <v>40</v>
      </c>
      <c r="EL21" s="166">
        <f t="shared" si="20"/>
        <v>2</v>
      </c>
      <c r="EM21" s="166">
        <f t="shared" si="21"/>
        <v>360</v>
      </c>
      <c r="EN21" s="166">
        <f t="shared" si="64"/>
        <v>2700</v>
      </c>
      <c r="EO21" s="166">
        <v>6</v>
      </c>
      <c r="EP21" s="14">
        <f t="shared" si="22"/>
        <v>240</v>
      </c>
      <c r="EQ21" s="14">
        <f t="shared" si="57"/>
        <v>22062</v>
      </c>
      <c r="ER21" s="166">
        <v>1</v>
      </c>
      <c r="ES21" s="14">
        <f t="shared" si="58"/>
        <v>206</v>
      </c>
      <c r="ET21" s="166" t="s">
        <v>1034</v>
      </c>
      <c r="EU21" s="166">
        <v>2</v>
      </c>
      <c r="EV21" s="166"/>
      <c r="EW21" s="14">
        <f t="shared" ref="EW21" si="98">ES21*100+6</f>
        <v>20606</v>
      </c>
      <c r="EX21" s="166" t="s">
        <v>1397</v>
      </c>
      <c r="EY21" s="166">
        <v>30</v>
      </c>
      <c r="EZ21" s="14" t="str">
        <f>INDEX(挂机升级突破!$DT$4:$EC$4,EO21)</f>
        <v>玄铁</v>
      </c>
      <c r="FA21" s="14">
        <f>ROUND(INDEX(挂机升级突破!$G$7:$R$37,EJ21+3,EO21)/INDEX(挂机升级突破!$G$5:$R$5,章节关卡!EO21)*INDEX(挂机升级突破!$G$4:$R$4,章节关卡!EO21)*章节关卡!EN21,0)</f>
        <v>27</v>
      </c>
      <c r="FB21" s="166" t="s">
        <v>1399</v>
      </c>
      <c r="FC21" s="166">
        <f t="shared" si="23"/>
        <v>25200</v>
      </c>
    </row>
    <row r="22" spans="1:159" ht="16.5" x14ac:dyDescent="0.2">
      <c r="A22" s="64">
        <v>17</v>
      </c>
      <c r="B22" s="76">
        <v>90</v>
      </c>
      <c r="C22" s="166">
        <f>节奏总表!N21*60</f>
        <v>6720</v>
      </c>
      <c r="D22" s="109">
        <v>4</v>
      </c>
      <c r="E22" s="14">
        <f>SUM(D$5:D22)</f>
        <v>68</v>
      </c>
      <c r="F22" s="76">
        <v>5</v>
      </c>
      <c r="G22" s="76">
        <v>35</v>
      </c>
      <c r="H22" s="76">
        <v>5</v>
      </c>
      <c r="I22" s="64">
        <v>100</v>
      </c>
      <c r="J22" s="64">
        <f>(I22-I21)/$F22</f>
        <v>2</v>
      </c>
      <c r="K22" s="76">
        <v>5</v>
      </c>
      <c r="L22" s="64">
        <f>G22*K22</f>
        <v>175</v>
      </c>
      <c r="M22" s="64">
        <f>(L22-L21)/$F22</f>
        <v>3</v>
      </c>
      <c r="O22" s="64">
        <v>17</v>
      </c>
      <c r="P22" s="121">
        <v>90</v>
      </c>
      <c r="Q22" s="107">
        <v>10</v>
      </c>
      <c r="R22" s="14">
        <f>SUM(Q$5:Q22)</f>
        <v>170</v>
      </c>
      <c r="S22" s="64">
        <v>20</v>
      </c>
      <c r="T22" s="109">
        <f t="shared" si="26"/>
        <v>700</v>
      </c>
      <c r="U22" s="64">
        <v>30</v>
      </c>
      <c r="V22" s="109">
        <f t="shared" si="27"/>
        <v>3000</v>
      </c>
      <c r="W22" s="109">
        <v>45</v>
      </c>
      <c r="X22" s="76">
        <f t="shared" si="28"/>
        <v>7875</v>
      </c>
      <c r="Y22" s="64">
        <v>150</v>
      </c>
      <c r="Z22" s="109">
        <f t="shared" si="29"/>
        <v>26250</v>
      </c>
      <c r="AA22" s="181">
        <f>INDEX(节奏总表!$Z$5:$Z$32,章节关卡!O22)</f>
        <v>16.329999999999998</v>
      </c>
      <c r="AC22" s="77">
        <v>17</v>
      </c>
      <c r="AD22" s="210">
        <v>102</v>
      </c>
      <c r="AE22" s="172">
        <v>19</v>
      </c>
      <c r="AF22" s="109">
        <v>10</v>
      </c>
      <c r="AG22" s="155">
        <f>INDEX(节奏总表!$N$5:$N$34,章节关卡!AE22)</f>
        <v>125</v>
      </c>
      <c r="AH22" s="118">
        <f t="shared" si="69"/>
        <v>1875</v>
      </c>
      <c r="AI22" s="14">
        <f>SUM(AF$5:AF22)</f>
        <v>170</v>
      </c>
      <c r="AJ22" s="14">
        <f t="shared" si="61"/>
        <v>7500</v>
      </c>
      <c r="AK22" s="64">
        <v>60</v>
      </c>
      <c r="AL22" s="14">
        <f t="shared" si="62"/>
        <v>6000</v>
      </c>
      <c r="AM22" s="64">
        <v>90</v>
      </c>
      <c r="AN22" s="14">
        <f t="shared" si="30"/>
        <v>15750</v>
      </c>
      <c r="AO22" s="109">
        <v>300</v>
      </c>
      <c r="AP22" s="14">
        <f t="shared" si="31"/>
        <v>52500</v>
      </c>
      <c r="AS22" s="24">
        <v>18</v>
      </c>
      <c r="AT22" s="14">
        <f t="shared" si="32"/>
        <v>5</v>
      </c>
      <c r="AU22" s="109">
        <f t="shared" si="33"/>
        <v>2</v>
      </c>
      <c r="AV22" s="109">
        <f t="shared" si="34"/>
        <v>9</v>
      </c>
      <c r="AW22" s="109">
        <f t="shared" si="35"/>
        <v>27</v>
      </c>
      <c r="AX22" s="109">
        <f t="shared" si="36"/>
        <v>42</v>
      </c>
      <c r="BA22" s="109">
        <v>18</v>
      </c>
      <c r="BB22" s="14">
        <f t="shared" si="0"/>
        <v>2</v>
      </c>
      <c r="BC22" s="14">
        <f t="shared" si="37"/>
        <v>8</v>
      </c>
      <c r="BD22" s="14">
        <f t="shared" si="81"/>
        <v>120</v>
      </c>
      <c r="BE22" s="14">
        <f t="shared" si="1"/>
        <v>450</v>
      </c>
      <c r="BF22" s="14">
        <f t="shared" si="2"/>
        <v>1350</v>
      </c>
      <c r="BG22" s="14">
        <f t="shared" si="38"/>
        <v>0.08</v>
      </c>
      <c r="BH22" s="14">
        <f t="shared" si="39"/>
        <v>11000</v>
      </c>
      <c r="BK22" s="109">
        <v>18</v>
      </c>
      <c r="BL22" s="14">
        <f t="shared" si="40"/>
        <v>2</v>
      </c>
      <c r="BM22" s="14">
        <f t="shared" si="41"/>
        <v>8</v>
      </c>
      <c r="BN22" s="14">
        <f t="shared" si="3"/>
        <v>250</v>
      </c>
      <c r="BO22" s="14">
        <f t="shared" si="4"/>
        <v>900</v>
      </c>
      <c r="BP22" s="14">
        <f t="shared" si="5"/>
        <v>2700</v>
      </c>
      <c r="BS22" s="109">
        <v>18</v>
      </c>
      <c r="BT22" s="109">
        <f t="shared" si="42"/>
        <v>6</v>
      </c>
      <c r="BU22" s="112">
        <f t="shared" si="43"/>
        <v>35</v>
      </c>
      <c r="BV22" s="109">
        <f t="shared" si="6"/>
        <v>3</v>
      </c>
      <c r="BW22" s="109">
        <v>360</v>
      </c>
      <c r="BX22" s="109">
        <v>540</v>
      </c>
      <c r="BY22" s="112">
        <v>2</v>
      </c>
      <c r="BZ22" s="14">
        <f t="shared" si="44"/>
        <v>11063</v>
      </c>
      <c r="CA22" s="118">
        <v>1</v>
      </c>
      <c r="CB22" s="14">
        <f t="shared" si="45"/>
        <v>106</v>
      </c>
      <c r="CC22" s="118" t="s">
        <v>1026</v>
      </c>
      <c r="CD22" s="14">
        <f t="shared" si="46"/>
        <v>3</v>
      </c>
      <c r="CE22" s="166" t="str">
        <f t="shared" si="47"/>
        <v>守护灵抽卡券3 2小时扫荡券1 金币12600</v>
      </c>
      <c r="CF22" s="14">
        <f t="shared" si="48"/>
        <v>30</v>
      </c>
      <c r="CG22" s="115" t="s">
        <v>258</v>
      </c>
      <c r="CH22" s="115">
        <v>3</v>
      </c>
      <c r="CI22" s="210" t="s">
        <v>1395</v>
      </c>
      <c r="CJ22" s="210">
        <v>1</v>
      </c>
      <c r="CK22" s="210" t="s">
        <v>252</v>
      </c>
      <c r="CL22" s="210">
        <f t="shared" si="96"/>
        <v>12600</v>
      </c>
      <c r="CO22" s="115">
        <f t="shared" si="7"/>
        <v>6</v>
      </c>
      <c r="CP22" s="115">
        <f t="shared" si="8"/>
        <v>45</v>
      </c>
      <c r="CQ22" s="118">
        <v>3</v>
      </c>
      <c r="CR22" s="109">
        <f t="shared" si="9"/>
        <v>540</v>
      </c>
      <c r="CS22" s="109">
        <f t="shared" si="10"/>
        <v>1080</v>
      </c>
      <c r="CT22" s="115">
        <v>6</v>
      </c>
      <c r="CU22" s="14">
        <f t="shared" si="11"/>
        <v>12063</v>
      </c>
      <c r="CV22" s="118">
        <v>2</v>
      </c>
      <c r="CW22" s="14">
        <f t="shared" si="12"/>
        <v>206</v>
      </c>
      <c r="CX22" s="118" t="s">
        <v>1026</v>
      </c>
      <c r="CY22" s="14">
        <f t="shared" si="13"/>
        <v>3</v>
      </c>
      <c r="CZ22" s="166" t="str">
        <f t="shared" si="50"/>
        <v>守护灵抽卡券540级-攻击套寄灵人の灵器1金币18900</v>
      </c>
      <c r="DA22" s="14">
        <f t="shared" si="51"/>
        <v>30</v>
      </c>
      <c r="DB22" s="115" t="s">
        <v>1004</v>
      </c>
      <c r="DC22" s="115">
        <v>5</v>
      </c>
      <c r="DD22" s="115" t="s">
        <v>1442</v>
      </c>
      <c r="DE22" s="115">
        <v>1</v>
      </c>
      <c r="DF22" s="109" t="s">
        <v>252</v>
      </c>
      <c r="DG22" s="115">
        <f t="shared" si="14"/>
        <v>18900</v>
      </c>
      <c r="DJ22" s="118">
        <v>18</v>
      </c>
      <c r="DK22" s="14">
        <f t="shared" si="52"/>
        <v>6</v>
      </c>
      <c r="DL22" s="118">
        <f t="shared" si="15"/>
        <v>35</v>
      </c>
      <c r="DM22" s="166">
        <f t="shared" si="16"/>
        <v>3</v>
      </c>
      <c r="DN22" s="166">
        <v>360</v>
      </c>
      <c r="DO22" s="166">
        <v>1620</v>
      </c>
      <c r="DP22" s="166">
        <v>2</v>
      </c>
      <c r="DQ22" s="118">
        <v>150</v>
      </c>
      <c r="DR22" s="118">
        <f t="shared" si="53"/>
        <v>21063</v>
      </c>
      <c r="DS22" s="118">
        <v>1</v>
      </c>
      <c r="DT22" s="14">
        <f t="shared" si="17"/>
        <v>106</v>
      </c>
      <c r="DU22" s="118" t="s">
        <v>1034</v>
      </c>
      <c r="DV22" s="118">
        <v>3</v>
      </c>
      <c r="DW22" s="166" t="str">
        <f t="shared" si="18"/>
        <v>蓝色基础材料34玄铁15守护灵经验7500</v>
      </c>
      <c r="DX22" s="14">
        <f t="shared" ref="DX22" si="99">DT22*100+9</f>
        <v>10609</v>
      </c>
      <c r="DY22" s="191" t="s">
        <v>415</v>
      </c>
      <c r="DZ22" s="191">
        <v>15</v>
      </c>
      <c r="EA22" s="14" t="str">
        <f>INDEX(挂机升级突破!$DT$4:$DX$4,DP22)</f>
        <v>蓝色基础材料</v>
      </c>
      <c r="EB22" s="14">
        <f>ROUND(INDEX(挂机升级突破!$G$7:$K$37,DK22+2,章节关卡!DP22)/INDEX(挂机升级突破!$G$5:$K$5,章节关卡!DP22)*INDEX(挂机升级突破!$G$4:$K$4,章节关卡!DP22)*章节关卡!DO22,0)</f>
        <v>34</v>
      </c>
      <c r="EC22" s="118" t="s">
        <v>1038</v>
      </c>
      <c r="ED22" s="14">
        <f t="shared" si="19"/>
        <v>7500</v>
      </c>
      <c r="EI22" s="166">
        <v>18</v>
      </c>
      <c r="EJ22" s="14">
        <f t="shared" si="54"/>
        <v>6</v>
      </c>
      <c r="EK22" s="166">
        <f t="shared" si="55"/>
        <v>40</v>
      </c>
      <c r="EL22" s="166">
        <f t="shared" si="20"/>
        <v>3</v>
      </c>
      <c r="EM22" s="166">
        <f t="shared" si="21"/>
        <v>540</v>
      </c>
      <c r="EN22" s="166">
        <f t="shared" si="64"/>
        <v>4050</v>
      </c>
      <c r="EO22" s="166">
        <v>6</v>
      </c>
      <c r="EP22" s="14">
        <f t="shared" si="22"/>
        <v>300</v>
      </c>
      <c r="EQ22" s="14">
        <f t="shared" si="57"/>
        <v>22063</v>
      </c>
      <c r="ER22" s="166">
        <v>1</v>
      </c>
      <c r="ES22" s="14">
        <f t="shared" si="58"/>
        <v>206</v>
      </c>
      <c r="ET22" s="166" t="s">
        <v>1034</v>
      </c>
      <c r="EU22" s="166">
        <v>3</v>
      </c>
      <c r="EV22" s="166"/>
      <c r="EW22" s="14">
        <f t="shared" ref="EW22" si="100">ES22*100+9</f>
        <v>20609</v>
      </c>
      <c r="EX22" s="166" t="s">
        <v>1397</v>
      </c>
      <c r="EY22" s="166">
        <v>50</v>
      </c>
      <c r="EZ22" s="14" t="str">
        <f>INDEX(挂机升级突破!$DT$4:$EC$4,EO22)</f>
        <v>玄铁</v>
      </c>
      <c r="FA22" s="14">
        <f>ROUND(INDEX(挂机升级突破!$G$7:$R$37,EJ22+3,EO22)/INDEX(挂机升级突破!$G$5:$R$5,章节关卡!EO22)*INDEX(挂机升级突破!$G$4:$R$4,章节关卡!EO22)*章节关卡!EN22,0)</f>
        <v>41</v>
      </c>
      <c r="FB22" s="166" t="s">
        <v>1399</v>
      </c>
      <c r="FC22" s="166">
        <f t="shared" si="23"/>
        <v>37800</v>
      </c>
    </row>
    <row r="23" spans="1:159" ht="16.5" x14ac:dyDescent="0.2">
      <c r="A23" s="64">
        <v>18</v>
      </c>
      <c r="B23" s="76">
        <v>95</v>
      </c>
      <c r="C23" s="166">
        <f>节奏总表!N22*60</f>
        <v>7200</v>
      </c>
      <c r="D23" s="109">
        <v>4</v>
      </c>
      <c r="E23" s="14">
        <f>SUM(D$5:D23)</f>
        <v>72</v>
      </c>
      <c r="F23" s="76">
        <v>5</v>
      </c>
      <c r="G23" s="76">
        <v>37</v>
      </c>
      <c r="H23" s="76">
        <v>5</v>
      </c>
      <c r="I23" s="76">
        <v>110</v>
      </c>
      <c r="J23" s="64">
        <f>(I23-I22)/$F23</f>
        <v>2</v>
      </c>
      <c r="K23" s="76">
        <v>5</v>
      </c>
      <c r="L23" s="64">
        <f>G23*K23</f>
        <v>185</v>
      </c>
      <c r="M23" s="64">
        <f>(L23-L22)/$F23</f>
        <v>2</v>
      </c>
      <c r="O23" s="64">
        <v>18</v>
      </c>
      <c r="P23" s="121">
        <v>95</v>
      </c>
      <c r="Q23" s="107">
        <v>10</v>
      </c>
      <c r="R23" s="14">
        <f>SUM(Q$5:Q23)</f>
        <v>180</v>
      </c>
      <c r="S23" s="64">
        <v>20</v>
      </c>
      <c r="T23" s="109">
        <f t="shared" si="26"/>
        <v>740</v>
      </c>
      <c r="U23" s="64">
        <v>30</v>
      </c>
      <c r="V23" s="109">
        <f t="shared" si="27"/>
        <v>3300</v>
      </c>
      <c r="W23" s="109">
        <v>45</v>
      </c>
      <c r="X23" s="76">
        <f t="shared" si="28"/>
        <v>8325</v>
      </c>
      <c r="Y23" s="64">
        <v>150</v>
      </c>
      <c r="Z23" s="109">
        <f t="shared" si="29"/>
        <v>27750</v>
      </c>
      <c r="AA23" s="181">
        <f>INDEX(节奏总表!$Z$5:$Z$32,章节关卡!O23)</f>
        <v>18.829999999999998</v>
      </c>
      <c r="AC23" s="77">
        <v>18</v>
      </c>
      <c r="AD23" s="210">
        <v>107</v>
      </c>
      <c r="AE23" s="172">
        <v>20</v>
      </c>
      <c r="AF23" s="109">
        <v>10</v>
      </c>
      <c r="AG23" s="155">
        <f>INDEX(节奏总表!$N$5:$N$34,章节关卡!AE23)</f>
        <v>130</v>
      </c>
      <c r="AH23" s="118">
        <f t="shared" si="69"/>
        <v>1950</v>
      </c>
      <c r="AI23" s="14">
        <f>SUM(AF$5:AF23)</f>
        <v>180</v>
      </c>
      <c r="AJ23" s="14">
        <f t="shared" si="61"/>
        <v>8200</v>
      </c>
      <c r="AK23" s="64">
        <v>60</v>
      </c>
      <c r="AL23" s="14">
        <f t="shared" si="62"/>
        <v>6600</v>
      </c>
      <c r="AM23" s="64">
        <v>90</v>
      </c>
      <c r="AN23" s="14">
        <f t="shared" si="30"/>
        <v>16650</v>
      </c>
      <c r="AO23" s="109">
        <v>300</v>
      </c>
      <c r="AP23" s="14">
        <f t="shared" si="31"/>
        <v>55500</v>
      </c>
      <c r="AS23" s="24">
        <v>19</v>
      </c>
      <c r="AT23" s="14">
        <f t="shared" si="32"/>
        <v>5</v>
      </c>
      <c r="AU23" s="109">
        <f t="shared" si="33"/>
        <v>3</v>
      </c>
      <c r="AV23" s="109">
        <f t="shared" si="34"/>
        <v>9</v>
      </c>
      <c r="AW23" s="109">
        <f t="shared" si="35"/>
        <v>28</v>
      </c>
      <c r="AX23" s="109">
        <f t="shared" si="36"/>
        <v>43</v>
      </c>
      <c r="BA23" s="109">
        <v>19</v>
      </c>
      <c r="BB23" s="14">
        <f t="shared" si="0"/>
        <v>2</v>
      </c>
      <c r="BC23" s="14">
        <f t="shared" si="37"/>
        <v>9</v>
      </c>
      <c r="BD23" s="14">
        <f t="shared" si="81"/>
        <v>120</v>
      </c>
      <c r="BE23" s="14">
        <f t="shared" si="1"/>
        <v>450</v>
      </c>
      <c r="BF23" s="14">
        <f t="shared" si="2"/>
        <v>1350</v>
      </c>
      <c r="BG23" s="14">
        <f t="shared" si="38"/>
        <v>0.08</v>
      </c>
      <c r="BH23" s="14">
        <f t="shared" si="39"/>
        <v>11000</v>
      </c>
      <c r="BK23" s="109">
        <v>19</v>
      </c>
      <c r="BL23" s="14">
        <f t="shared" si="40"/>
        <v>2</v>
      </c>
      <c r="BM23" s="14">
        <f t="shared" si="41"/>
        <v>9</v>
      </c>
      <c r="BN23" s="14">
        <f t="shared" si="3"/>
        <v>250</v>
      </c>
      <c r="BO23" s="14">
        <f t="shared" si="4"/>
        <v>900</v>
      </c>
      <c r="BP23" s="14">
        <f t="shared" si="5"/>
        <v>2700</v>
      </c>
      <c r="BS23" s="109">
        <v>19</v>
      </c>
      <c r="BT23" s="109">
        <f t="shared" si="42"/>
        <v>7</v>
      </c>
      <c r="BU23" s="112">
        <f t="shared" si="43"/>
        <v>40</v>
      </c>
      <c r="BV23" s="109">
        <f t="shared" si="6"/>
        <v>1</v>
      </c>
      <c r="BW23" s="109">
        <v>120</v>
      </c>
      <c r="BX23" s="109">
        <v>180</v>
      </c>
      <c r="BY23" s="112">
        <v>2</v>
      </c>
      <c r="BZ23" s="14">
        <f t="shared" si="44"/>
        <v>11071</v>
      </c>
      <c r="CA23" s="118">
        <v>1</v>
      </c>
      <c r="CB23" s="14">
        <f t="shared" si="45"/>
        <v>107</v>
      </c>
      <c r="CC23" s="118" t="s">
        <v>1026</v>
      </c>
      <c r="CD23" s="14">
        <f t="shared" si="46"/>
        <v>1</v>
      </c>
      <c r="CE23" s="166" t="str">
        <f t="shared" si="47"/>
        <v xml:space="preserve">钻石100 金币4800 </v>
      </c>
      <c r="CF23" s="14">
        <f t="shared" si="48"/>
        <v>10</v>
      </c>
      <c r="CG23" s="109" t="s">
        <v>19</v>
      </c>
      <c r="CH23" s="115">
        <v>100</v>
      </c>
      <c r="CI23" s="210" t="s">
        <v>358</v>
      </c>
      <c r="CJ23" s="210">
        <f>INDEX($I$6:$I$35,BT23)*BW23</f>
        <v>4800</v>
      </c>
      <c r="CK23" s="210"/>
      <c r="CL23" s="210"/>
      <c r="CO23" s="115">
        <f t="shared" si="7"/>
        <v>7</v>
      </c>
      <c r="CP23" s="115">
        <f t="shared" si="8"/>
        <v>50</v>
      </c>
      <c r="CQ23" s="118">
        <v>1</v>
      </c>
      <c r="CR23" s="109">
        <f t="shared" si="9"/>
        <v>180</v>
      </c>
      <c r="CS23" s="109">
        <f t="shared" si="10"/>
        <v>360</v>
      </c>
      <c r="CT23" s="115">
        <v>6</v>
      </c>
      <c r="CU23" s="14">
        <f t="shared" si="11"/>
        <v>12071</v>
      </c>
      <c r="CV23" s="118">
        <v>2</v>
      </c>
      <c r="CW23" s="14">
        <f t="shared" si="12"/>
        <v>207</v>
      </c>
      <c r="CX23" s="118" t="s">
        <v>1026</v>
      </c>
      <c r="CY23" s="14">
        <f t="shared" si="13"/>
        <v>1</v>
      </c>
      <c r="CZ23" s="166" t="str">
        <f t="shared" si="50"/>
        <v>钻石10040级-攻击套守护灵の头盔1金币7200</v>
      </c>
      <c r="DA23" s="14">
        <f t="shared" si="51"/>
        <v>10</v>
      </c>
      <c r="DB23" s="115" t="s">
        <v>257</v>
      </c>
      <c r="DC23" s="115">
        <v>100</v>
      </c>
      <c r="DD23" s="115" t="s">
        <v>1443</v>
      </c>
      <c r="DE23" s="115">
        <v>1</v>
      </c>
      <c r="DF23" s="109" t="s">
        <v>252</v>
      </c>
      <c r="DG23" s="115">
        <f t="shared" si="14"/>
        <v>7200</v>
      </c>
      <c r="DJ23" s="118">
        <v>19</v>
      </c>
      <c r="DK23" s="14">
        <f t="shared" si="52"/>
        <v>7</v>
      </c>
      <c r="DL23" s="118">
        <f t="shared" si="15"/>
        <v>40</v>
      </c>
      <c r="DM23" s="166">
        <f t="shared" si="16"/>
        <v>1</v>
      </c>
      <c r="DN23" s="166">
        <v>120</v>
      </c>
      <c r="DO23" s="166">
        <v>540</v>
      </c>
      <c r="DP23" s="166">
        <v>2</v>
      </c>
      <c r="DQ23" s="118">
        <v>90</v>
      </c>
      <c r="DR23" s="118">
        <f t="shared" si="53"/>
        <v>21071</v>
      </c>
      <c r="DS23" s="118">
        <v>1</v>
      </c>
      <c r="DT23" s="14">
        <f t="shared" si="17"/>
        <v>107</v>
      </c>
      <c r="DU23" s="118" t="s">
        <v>1034</v>
      </c>
      <c r="DV23" s="118">
        <v>1</v>
      </c>
      <c r="DW23" s="166" t="str">
        <f t="shared" si="18"/>
        <v>蓝色基础材料15守护灵初级抽卡券2守护灵经验5400</v>
      </c>
      <c r="DX23" s="14">
        <f t="shared" ref="DX23" si="101">DT23*100+3</f>
        <v>10703</v>
      </c>
      <c r="DY23" s="118" t="s">
        <v>1606</v>
      </c>
      <c r="DZ23" s="118">
        <v>2</v>
      </c>
      <c r="EA23" s="14" t="str">
        <f>INDEX(挂机升级突破!$DT$4:$DX$4,DP23)</f>
        <v>蓝色基础材料</v>
      </c>
      <c r="EB23" s="14">
        <f>ROUND(INDEX(挂机升级突破!$G$7:$K$37,DK23+2,章节关卡!DP23)/INDEX(挂机升级突破!$G$5:$K$5,章节关卡!DP23)*INDEX(挂机升级突破!$G$4:$K$4,章节关卡!DP23)*章节关卡!DO23,0)</f>
        <v>15</v>
      </c>
      <c r="EC23" s="118" t="s">
        <v>1038</v>
      </c>
      <c r="ED23" s="14">
        <f t="shared" si="19"/>
        <v>5400</v>
      </c>
      <c r="EI23" s="166">
        <v>19</v>
      </c>
      <c r="EJ23" s="14">
        <f t="shared" si="54"/>
        <v>7</v>
      </c>
      <c r="EK23" s="166">
        <f t="shared" si="55"/>
        <v>45</v>
      </c>
      <c r="EL23" s="166">
        <f t="shared" si="20"/>
        <v>1</v>
      </c>
      <c r="EM23" s="166">
        <f t="shared" si="21"/>
        <v>180</v>
      </c>
      <c r="EN23" s="166">
        <f t="shared" si="64"/>
        <v>1350</v>
      </c>
      <c r="EO23" s="166">
        <v>6</v>
      </c>
      <c r="EP23" s="14">
        <f t="shared" si="22"/>
        <v>180</v>
      </c>
      <c r="EQ23" s="14">
        <f t="shared" si="57"/>
        <v>22071</v>
      </c>
      <c r="ER23" s="166">
        <v>1</v>
      </c>
      <c r="ES23" s="14">
        <f t="shared" si="58"/>
        <v>207</v>
      </c>
      <c r="ET23" s="166" t="s">
        <v>1034</v>
      </c>
      <c r="EU23" s="166">
        <v>1</v>
      </c>
      <c r="EV23" s="166"/>
      <c r="EW23" s="14">
        <f t="shared" ref="EW23" si="102">ES23*100+3</f>
        <v>20703</v>
      </c>
      <c r="EX23" s="166" t="s">
        <v>1397</v>
      </c>
      <c r="EY23" s="166">
        <v>20</v>
      </c>
      <c r="EZ23" s="14" t="str">
        <f>INDEX(挂机升级突破!$DT$4:$EC$4,EO23)</f>
        <v>玄铁</v>
      </c>
      <c r="FA23" s="14">
        <f>ROUND(INDEX(挂机升级突破!$G$7:$R$37,EJ23+3,EO23)/INDEX(挂机升级突破!$G$5:$R$5,章节关卡!EO23)*INDEX(挂机升级突破!$G$4:$R$4,章节关卡!EO23)*章节关卡!EN23,0)</f>
        <v>17</v>
      </c>
      <c r="FB23" s="166" t="s">
        <v>1399</v>
      </c>
      <c r="FC23" s="166">
        <f t="shared" si="23"/>
        <v>14400</v>
      </c>
    </row>
    <row r="24" spans="1:159" ht="16.5" x14ac:dyDescent="0.2">
      <c r="A24" s="64">
        <v>19</v>
      </c>
      <c r="B24" s="76">
        <v>100</v>
      </c>
      <c r="C24" s="166">
        <f>节奏总表!N23*60</f>
        <v>7500</v>
      </c>
      <c r="D24" s="109">
        <v>4</v>
      </c>
      <c r="E24" s="14">
        <f>SUM(D$5:D24)</f>
        <v>76</v>
      </c>
      <c r="F24" s="76">
        <v>5</v>
      </c>
      <c r="G24" s="76">
        <v>40</v>
      </c>
      <c r="H24" s="76">
        <v>5</v>
      </c>
      <c r="I24" s="76">
        <v>120</v>
      </c>
      <c r="J24" s="64">
        <f>(I24-I23)/$F24</f>
        <v>2</v>
      </c>
      <c r="K24" s="76">
        <v>5</v>
      </c>
      <c r="L24" s="64">
        <f>G24*K24</f>
        <v>200</v>
      </c>
      <c r="M24" s="64">
        <f>(L24-L23)/$F24</f>
        <v>3</v>
      </c>
      <c r="O24" s="64">
        <v>19</v>
      </c>
      <c r="P24" s="121">
        <v>100</v>
      </c>
      <c r="Q24" s="107">
        <v>10</v>
      </c>
      <c r="R24" s="14">
        <f>SUM(Q$5:Q24)</f>
        <v>190</v>
      </c>
      <c r="S24" s="64">
        <v>20</v>
      </c>
      <c r="T24" s="109">
        <f t="shared" si="26"/>
        <v>800</v>
      </c>
      <c r="U24" s="64">
        <v>30</v>
      </c>
      <c r="V24" s="109">
        <f t="shared" si="27"/>
        <v>3600</v>
      </c>
      <c r="W24" s="109">
        <v>45</v>
      </c>
      <c r="X24" s="76">
        <f t="shared" si="28"/>
        <v>9000</v>
      </c>
      <c r="Y24" s="64">
        <v>150</v>
      </c>
      <c r="Z24" s="109">
        <f t="shared" si="29"/>
        <v>30000</v>
      </c>
      <c r="AA24" s="181">
        <f>INDEX(节奏总表!$Z$5:$Z$32,章节关卡!O24)</f>
        <v>21.44</v>
      </c>
      <c r="AC24" s="77">
        <v>19</v>
      </c>
      <c r="AD24" s="210">
        <v>112</v>
      </c>
      <c r="AE24" s="172">
        <v>21</v>
      </c>
      <c r="AF24" s="109">
        <v>10</v>
      </c>
      <c r="AG24" s="155">
        <f>INDEX(节奏总表!$N$5:$N$34,章节关卡!AE24)</f>
        <v>137</v>
      </c>
      <c r="AH24" s="118">
        <f t="shared" si="69"/>
        <v>2055</v>
      </c>
      <c r="AI24" s="14">
        <f>SUM(AF$5:AF24)</f>
        <v>190</v>
      </c>
      <c r="AJ24" s="14">
        <f t="shared" si="61"/>
        <v>9250</v>
      </c>
      <c r="AK24" s="64">
        <v>60</v>
      </c>
      <c r="AL24" s="14">
        <f t="shared" si="62"/>
        <v>7200</v>
      </c>
      <c r="AM24" s="64">
        <v>90</v>
      </c>
      <c r="AN24" s="14">
        <f t="shared" si="30"/>
        <v>18000</v>
      </c>
      <c r="AO24" s="109">
        <v>300</v>
      </c>
      <c r="AP24" s="14">
        <f t="shared" si="31"/>
        <v>60000</v>
      </c>
      <c r="AS24" s="24">
        <v>20</v>
      </c>
      <c r="AT24" s="14">
        <f t="shared" si="32"/>
        <v>5</v>
      </c>
      <c r="AU24" s="109">
        <f t="shared" si="33"/>
        <v>4</v>
      </c>
      <c r="AV24" s="109">
        <f t="shared" si="34"/>
        <v>9</v>
      </c>
      <c r="AW24" s="109">
        <f t="shared" si="35"/>
        <v>29</v>
      </c>
      <c r="AX24" s="109">
        <f t="shared" si="36"/>
        <v>44</v>
      </c>
      <c r="BA24" s="109">
        <v>20</v>
      </c>
      <c r="BB24" s="14">
        <f t="shared" si="0"/>
        <v>2</v>
      </c>
      <c r="BC24" s="14">
        <f t="shared" si="37"/>
        <v>10</v>
      </c>
      <c r="BD24" s="14">
        <f t="shared" si="81"/>
        <v>120</v>
      </c>
      <c r="BE24" s="14">
        <f t="shared" si="1"/>
        <v>450</v>
      </c>
      <c r="BF24" s="14">
        <f t="shared" si="2"/>
        <v>1350</v>
      </c>
      <c r="BG24" s="14">
        <f t="shared" si="38"/>
        <v>0.08</v>
      </c>
      <c r="BH24" s="14">
        <f t="shared" si="39"/>
        <v>11000</v>
      </c>
      <c r="BK24" s="109">
        <v>20</v>
      </c>
      <c r="BL24" s="14">
        <f t="shared" si="40"/>
        <v>2</v>
      </c>
      <c r="BM24" s="14">
        <f t="shared" si="41"/>
        <v>10</v>
      </c>
      <c r="BN24" s="14">
        <f t="shared" si="3"/>
        <v>250</v>
      </c>
      <c r="BO24" s="14">
        <f t="shared" si="4"/>
        <v>900</v>
      </c>
      <c r="BP24" s="14">
        <f t="shared" si="5"/>
        <v>2700</v>
      </c>
      <c r="BS24" s="109">
        <v>20</v>
      </c>
      <c r="BT24" s="109">
        <f t="shared" si="42"/>
        <v>7</v>
      </c>
      <c r="BU24" s="112">
        <f t="shared" si="43"/>
        <v>40</v>
      </c>
      <c r="BV24" s="109">
        <f t="shared" si="6"/>
        <v>2</v>
      </c>
      <c r="BW24" s="109">
        <v>240</v>
      </c>
      <c r="BX24" s="109">
        <v>360</v>
      </c>
      <c r="BY24" s="112">
        <v>2</v>
      </c>
      <c r="BZ24" s="14">
        <f t="shared" si="44"/>
        <v>11072</v>
      </c>
      <c r="CA24" s="118">
        <v>1</v>
      </c>
      <c r="CB24" s="14">
        <f t="shared" si="45"/>
        <v>107</v>
      </c>
      <c r="CC24" s="118" t="s">
        <v>1026</v>
      </c>
      <c r="CD24" s="14">
        <f t="shared" si="46"/>
        <v>2</v>
      </c>
      <c r="CE24" s="166" t="str">
        <f t="shared" si="47"/>
        <v>守护灵抽卡券2 2小时扫荡券1 金币9600</v>
      </c>
      <c r="CF24" s="14">
        <f t="shared" si="48"/>
        <v>20</v>
      </c>
      <c r="CG24" s="109" t="s">
        <v>258</v>
      </c>
      <c r="CH24" s="115">
        <v>2</v>
      </c>
      <c r="CI24" s="210" t="s">
        <v>1395</v>
      </c>
      <c r="CJ24" s="210">
        <v>1</v>
      </c>
      <c r="CK24" s="210" t="s">
        <v>252</v>
      </c>
      <c r="CL24" s="210">
        <f t="shared" ref="CL24:CL25" si="103">INDEX($I$6:$I$35,BT24)*BW24</f>
        <v>9600</v>
      </c>
      <c r="CO24" s="115">
        <f t="shared" si="7"/>
        <v>7</v>
      </c>
      <c r="CP24" s="115">
        <f t="shared" si="8"/>
        <v>50</v>
      </c>
      <c r="CQ24" s="118">
        <v>2</v>
      </c>
      <c r="CR24" s="109">
        <f t="shared" si="9"/>
        <v>360</v>
      </c>
      <c r="CS24" s="109">
        <f t="shared" si="10"/>
        <v>720</v>
      </c>
      <c r="CT24" s="115">
        <v>6</v>
      </c>
      <c r="CU24" s="14">
        <f t="shared" si="11"/>
        <v>12072</v>
      </c>
      <c r="CV24" s="118">
        <v>2</v>
      </c>
      <c r="CW24" s="14">
        <f t="shared" si="12"/>
        <v>207</v>
      </c>
      <c r="CX24" s="118" t="s">
        <v>1026</v>
      </c>
      <c r="CY24" s="14">
        <f t="shared" si="13"/>
        <v>2</v>
      </c>
      <c r="CZ24" s="166" t="str">
        <f t="shared" si="50"/>
        <v>熔炼值110040级-攻击套守护灵の铠甲1金币14400</v>
      </c>
      <c r="DA24" s="14">
        <f t="shared" si="51"/>
        <v>20</v>
      </c>
      <c r="DB24" s="115" t="s">
        <v>1005</v>
      </c>
      <c r="DC24" s="115">
        <v>1100</v>
      </c>
      <c r="DD24" s="115" t="s">
        <v>1444</v>
      </c>
      <c r="DE24" s="115">
        <v>1</v>
      </c>
      <c r="DF24" s="109" t="s">
        <v>252</v>
      </c>
      <c r="DG24" s="115">
        <f t="shared" si="14"/>
        <v>14400</v>
      </c>
      <c r="DJ24" s="118">
        <v>20</v>
      </c>
      <c r="DK24" s="14">
        <f t="shared" si="52"/>
        <v>7</v>
      </c>
      <c r="DL24" s="118">
        <f t="shared" si="15"/>
        <v>40</v>
      </c>
      <c r="DM24" s="166">
        <f t="shared" si="16"/>
        <v>2</v>
      </c>
      <c r="DN24" s="166">
        <v>240</v>
      </c>
      <c r="DO24" s="166">
        <v>1080</v>
      </c>
      <c r="DP24" s="166">
        <v>2</v>
      </c>
      <c r="DQ24" s="118">
        <v>120</v>
      </c>
      <c r="DR24" s="118">
        <f t="shared" si="53"/>
        <v>21072</v>
      </c>
      <c r="DS24" s="118">
        <v>1</v>
      </c>
      <c r="DT24" s="14">
        <f t="shared" si="17"/>
        <v>107</v>
      </c>
      <c r="DU24" s="118" t="s">
        <v>1034</v>
      </c>
      <c r="DV24" s="118">
        <v>2</v>
      </c>
      <c r="DW24" s="166" t="str">
        <f t="shared" si="18"/>
        <v>蓝色基础材料29守护灵初级抽卡券3守护灵经验7200</v>
      </c>
      <c r="DX24" s="14">
        <f t="shared" ref="DX24" si="104">DT24*100+6</f>
        <v>10706</v>
      </c>
      <c r="DY24" s="118" t="s">
        <v>1606</v>
      </c>
      <c r="DZ24" s="118">
        <v>3</v>
      </c>
      <c r="EA24" s="14" t="str">
        <f>INDEX(挂机升级突破!$DT$4:$DX$4,DP24)</f>
        <v>蓝色基础材料</v>
      </c>
      <c r="EB24" s="14">
        <f>ROUND(INDEX(挂机升级突破!$G$7:$K$37,DK24+2,章节关卡!DP24)/INDEX(挂机升级突破!$G$5:$K$5,章节关卡!DP24)*INDEX(挂机升级突破!$G$4:$K$4,章节关卡!DP24)*章节关卡!DO24,0)</f>
        <v>29</v>
      </c>
      <c r="EC24" s="118" t="s">
        <v>1038</v>
      </c>
      <c r="ED24" s="14">
        <f t="shared" si="19"/>
        <v>7200</v>
      </c>
      <c r="EI24" s="166">
        <v>20</v>
      </c>
      <c r="EJ24" s="14">
        <f t="shared" si="54"/>
        <v>7</v>
      </c>
      <c r="EK24" s="166">
        <f t="shared" si="55"/>
        <v>45</v>
      </c>
      <c r="EL24" s="166">
        <f t="shared" si="20"/>
        <v>2</v>
      </c>
      <c r="EM24" s="166">
        <f t="shared" si="21"/>
        <v>360</v>
      </c>
      <c r="EN24" s="166">
        <f t="shared" si="64"/>
        <v>2700</v>
      </c>
      <c r="EO24" s="166">
        <v>6</v>
      </c>
      <c r="EP24" s="14">
        <f t="shared" si="22"/>
        <v>240</v>
      </c>
      <c r="EQ24" s="14">
        <f t="shared" si="57"/>
        <v>22072</v>
      </c>
      <c r="ER24" s="166">
        <v>1</v>
      </c>
      <c r="ES24" s="14">
        <f t="shared" si="58"/>
        <v>207</v>
      </c>
      <c r="ET24" s="166" t="s">
        <v>1034</v>
      </c>
      <c r="EU24" s="166">
        <v>2</v>
      </c>
      <c r="EV24" s="166"/>
      <c r="EW24" s="14">
        <f t="shared" ref="EW24" si="105">ES24*100+6</f>
        <v>20706</v>
      </c>
      <c r="EX24" s="166" t="s">
        <v>1397</v>
      </c>
      <c r="EY24" s="166">
        <v>30</v>
      </c>
      <c r="EZ24" s="14" t="str">
        <f>INDEX(挂机升级突破!$DT$4:$EC$4,EO24)</f>
        <v>玄铁</v>
      </c>
      <c r="FA24" s="14">
        <f>ROUND(INDEX(挂机升级突破!$G$7:$R$37,EJ24+3,EO24)/INDEX(挂机升级突破!$G$5:$R$5,章节关卡!EO24)*INDEX(挂机升级突破!$G$4:$R$4,章节关卡!EO24)*章节关卡!EN24,0)</f>
        <v>34</v>
      </c>
      <c r="FB24" s="166" t="s">
        <v>1399</v>
      </c>
      <c r="FC24" s="166">
        <f t="shared" si="23"/>
        <v>28800</v>
      </c>
    </row>
    <row r="25" spans="1:159" ht="16.5" x14ac:dyDescent="0.2">
      <c r="A25" s="64">
        <v>20</v>
      </c>
      <c r="B25" s="76">
        <v>105</v>
      </c>
      <c r="C25" s="166">
        <f>节奏总表!N24*60</f>
        <v>7800</v>
      </c>
      <c r="D25" s="109">
        <v>4</v>
      </c>
      <c r="E25" s="14">
        <f>SUM(D$5:D25)</f>
        <v>80</v>
      </c>
      <c r="F25" s="76">
        <v>5</v>
      </c>
      <c r="G25" s="76">
        <v>42</v>
      </c>
      <c r="H25" s="76">
        <v>5</v>
      </c>
      <c r="I25" s="76">
        <v>130</v>
      </c>
      <c r="J25" s="64">
        <f>(I25-I24)/$F25</f>
        <v>2</v>
      </c>
      <c r="K25" s="76">
        <v>5</v>
      </c>
      <c r="L25" s="64">
        <f>G25*K25</f>
        <v>210</v>
      </c>
      <c r="M25" s="64">
        <f>(L25-L24)/$F25</f>
        <v>2</v>
      </c>
      <c r="O25" s="64">
        <v>20</v>
      </c>
      <c r="P25" s="121">
        <v>105</v>
      </c>
      <c r="Q25" s="107">
        <v>10</v>
      </c>
      <c r="R25" s="14">
        <f>SUM(Q$5:Q25)</f>
        <v>200</v>
      </c>
      <c r="S25" s="64">
        <v>20</v>
      </c>
      <c r="T25" s="109">
        <f t="shared" si="26"/>
        <v>840</v>
      </c>
      <c r="U25" s="64">
        <v>30</v>
      </c>
      <c r="V25" s="109">
        <f t="shared" si="27"/>
        <v>3900</v>
      </c>
      <c r="W25" s="109">
        <v>45</v>
      </c>
      <c r="X25" s="76">
        <f t="shared" si="28"/>
        <v>9450</v>
      </c>
      <c r="Y25" s="64">
        <v>150</v>
      </c>
      <c r="Z25" s="109">
        <f t="shared" si="29"/>
        <v>31500</v>
      </c>
      <c r="AA25" s="181">
        <f>INDEX(节奏总表!$Z$5:$Z$32,章节关卡!O25)</f>
        <v>24.15</v>
      </c>
      <c r="AC25" s="77">
        <v>20</v>
      </c>
      <c r="AD25" s="210">
        <v>117</v>
      </c>
      <c r="AE25" s="172">
        <v>22</v>
      </c>
      <c r="AF25" s="109">
        <v>10</v>
      </c>
      <c r="AG25" s="155">
        <f>INDEX(节奏总表!$N$5:$N$34,章节关卡!AE25)</f>
        <v>144</v>
      </c>
      <c r="AH25" s="118">
        <f t="shared" si="69"/>
        <v>2160</v>
      </c>
      <c r="AI25" s="14">
        <f>SUM(AF$5:AF25)</f>
        <v>200</v>
      </c>
      <c r="AJ25" s="14">
        <f t="shared" si="61"/>
        <v>10150</v>
      </c>
      <c r="AK25" s="64">
        <v>60</v>
      </c>
      <c r="AL25" s="14">
        <f t="shared" si="62"/>
        <v>7800</v>
      </c>
      <c r="AM25" s="64">
        <v>90</v>
      </c>
      <c r="AN25" s="14">
        <f t="shared" si="30"/>
        <v>18900</v>
      </c>
      <c r="AO25" s="109">
        <v>300</v>
      </c>
      <c r="AP25" s="14">
        <f t="shared" si="31"/>
        <v>63000</v>
      </c>
      <c r="AS25" s="24">
        <v>21</v>
      </c>
      <c r="AT25" s="14">
        <f t="shared" si="32"/>
        <v>6</v>
      </c>
      <c r="AU25" s="109">
        <f t="shared" si="33"/>
        <v>1</v>
      </c>
      <c r="AV25" s="109">
        <f t="shared" si="34"/>
        <v>10</v>
      </c>
      <c r="AW25" s="109">
        <f t="shared" si="35"/>
        <v>31</v>
      </c>
      <c r="AX25" s="109">
        <f t="shared" si="36"/>
        <v>46</v>
      </c>
      <c r="BA25" s="109">
        <v>21</v>
      </c>
      <c r="BB25" s="14">
        <f t="shared" si="0"/>
        <v>3</v>
      </c>
      <c r="BC25" s="14">
        <f t="shared" si="37"/>
        <v>1</v>
      </c>
      <c r="BD25" s="14">
        <f t="shared" si="81"/>
        <v>140</v>
      </c>
      <c r="BE25" s="14">
        <f t="shared" si="1"/>
        <v>600</v>
      </c>
      <c r="BF25" s="14">
        <f t="shared" si="2"/>
        <v>1575</v>
      </c>
      <c r="BG25" s="14">
        <f t="shared" si="38"/>
        <v>0.5</v>
      </c>
      <c r="BH25" s="14">
        <f t="shared" si="39"/>
        <v>11000</v>
      </c>
      <c r="BK25" s="109">
        <v>21</v>
      </c>
      <c r="BL25" s="14">
        <f t="shared" si="40"/>
        <v>3</v>
      </c>
      <c r="BM25" s="14">
        <f t="shared" si="41"/>
        <v>1</v>
      </c>
      <c r="BN25" s="14">
        <f t="shared" si="3"/>
        <v>300</v>
      </c>
      <c r="BO25" s="14">
        <f t="shared" si="4"/>
        <v>1200</v>
      </c>
      <c r="BP25" s="14">
        <f t="shared" si="5"/>
        <v>3150</v>
      </c>
      <c r="BS25" s="109">
        <v>21</v>
      </c>
      <c r="BT25" s="109">
        <f t="shared" si="42"/>
        <v>7</v>
      </c>
      <c r="BU25" s="112">
        <f t="shared" si="43"/>
        <v>40</v>
      </c>
      <c r="BV25" s="109">
        <f t="shared" si="6"/>
        <v>3</v>
      </c>
      <c r="BW25" s="109">
        <v>360</v>
      </c>
      <c r="BX25" s="109">
        <v>540</v>
      </c>
      <c r="BY25" s="112">
        <v>2</v>
      </c>
      <c r="BZ25" s="14">
        <f t="shared" si="44"/>
        <v>11073</v>
      </c>
      <c r="CA25" s="118">
        <v>1</v>
      </c>
      <c r="CB25" s="14">
        <f t="shared" si="45"/>
        <v>107</v>
      </c>
      <c r="CC25" s="118" t="s">
        <v>1026</v>
      </c>
      <c r="CD25" s="14">
        <f t="shared" si="46"/>
        <v>3</v>
      </c>
      <c r="CE25" s="166" t="str">
        <f t="shared" si="47"/>
        <v>守护灵抽卡券3 2小时扫荡券1 金币14400</v>
      </c>
      <c r="CF25" s="14">
        <f t="shared" si="48"/>
        <v>30</v>
      </c>
      <c r="CG25" s="109" t="s">
        <v>258</v>
      </c>
      <c r="CH25" s="115">
        <v>3</v>
      </c>
      <c r="CI25" s="210" t="s">
        <v>1395</v>
      </c>
      <c r="CJ25" s="210">
        <v>1</v>
      </c>
      <c r="CK25" s="210" t="s">
        <v>252</v>
      </c>
      <c r="CL25" s="210">
        <f t="shared" si="103"/>
        <v>14400</v>
      </c>
      <c r="CO25" s="115">
        <f t="shared" si="7"/>
        <v>7</v>
      </c>
      <c r="CP25" s="115">
        <f t="shared" si="8"/>
        <v>50</v>
      </c>
      <c r="CQ25" s="118">
        <v>3</v>
      </c>
      <c r="CR25" s="109">
        <f t="shared" si="9"/>
        <v>540</v>
      </c>
      <c r="CS25" s="109">
        <f t="shared" si="10"/>
        <v>1080</v>
      </c>
      <c r="CT25" s="115">
        <v>6</v>
      </c>
      <c r="CU25" s="14">
        <f t="shared" si="11"/>
        <v>12073</v>
      </c>
      <c r="CV25" s="118">
        <v>2</v>
      </c>
      <c r="CW25" s="14">
        <f t="shared" si="12"/>
        <v>207</v>
      </c>
      <c r="CX25" s="118" t="s">
        <v>1026</v>
      </c>
      <c r="CY25" s="14">
        <f t="shared" si="13"/>
        <v>3</v>
      </c>
      <c r="CZ25" s="166" t="str">
        <f t="shared" si="50"/>
        <v>守护灵抽卡券540级-攻击套守护灵の鞋子1金币21600</v>
      </c>
      <c r="DA25" s="14">
        <f t="shared" si="51"/>
        <v>30</v>
      </c>
      <c r="DB25" s="115" t="s">
        <v>1004</v>
      </c>
      <c r="DC25" s="115">
        <v>5</v>
      </c>
      <c r="DD25" s="115" t="s">
        <v>1445</v>
      </c>
      <c r="DE25" s="115">
        <v>1</v>
      </c>
      <c r="DF25" s="109" t="s">
        <v>252</v>
      </c>
      <c r="DG25" s="115">
        <f t="shared" si="14"/>
        <v>21600</v>
      </c>
      <c r="DJ25" s="118">
        <v>21</v>
      </c>
      <c r="DK25" s="14">
        <f t="shared" si="52"/>
        <v>7</v>
      </c>
      <c r="DL25" s="118">
        <f t="shared" si="15"/>
        <v>40</v>
      </c>
      <c r="DM25" s="166">
        <f t="shared" si="16"/>
        <v>3</v>
      </c>
      <c r="DN25" s="166">
        <v>360</v>
      </c>
      <c r="DO25" s="166">
        <v>1620</v>
      </c>
      <c r="DP25" s="166">
        <v>2</v>
      </c>
      <c r="DQ25" s="118">
        <v>150</v>
      </c>
      <c r="DR25" s="118">
        <f t="shared" si="53"/>
        <v>21073</v>
      </c>
      <c r="DS25" s="118">
        <v>1</v>
      </c>
      <c r="DT25" s="14">
        <f t="shared" si="17"/>
        <v>107</v>
      </c>
      <c r="DU25" s="118" t="s">
        <v>1034</v>
      </c>
      <c r="DV25" s="118">
        <v>3</v>
      </c>
      <c r="DW25" s="166" t="str">
        <f t="shared" si="18"/>
        <v>蓝色基础材料44守护灵初级抽卡券5守护灵经验9000</v>
      </c>
      <c r="DX25" s="14">
        <f t="shared" ref="DX25" si="106">DT25*100+9</f>
        <v>10709</v>
      </c>
      <c r="DY25" s="118" t="s">
        <v>1606</v>
      </c>
      <c r="DZ25" s="118">
        <v>5</v>
      </c>
      <c r="EA25" s="14" t="str">
        <f>INDEX(挂机升级突破!$DT$4:$DX$4,DP25)</f>
        <v>蓝色基础材料</v>
      </c>
      <c r="EB25" s="14">
        <f>ROUND(INDEX(挂机升级突破!$G$7:$K$37,DK25+2,章节关卡!DP25)/INDEX(挂机升级突破!$G$5:$K$5,章节关卡!DP25)*INDEX(挂机升级突破!$G$4:$K$4,章节关卡!DP25)*章节关卡!DO25,0)</f>
        <v>44</v>
      </c>
      <c r="EC25" s="118" t="s">
        <v>1038</v>
      </c>
      <c r="ED25" s="14">
        <f t="shared" si="19"/>
        <v>9000</v>
      </c>
      <c r="EI25" s="166">
        <v>21</v>
      </c>
      <c r="EJ25" s="14">
        <f t="shared" si="54"/>
        <v>7</v>
      </c>
      <c r="EK25" s="166">
        <f t="shared" si="55"/>
        <v>45</v>
      </c>
      <c r="EL25" s="166">
        <f t="shared" si="20"/>
        <v>3</v>
      </c>
      <c r="EM25" s="166">
        <f t="shared" si="21"/>
        <v>540</v>
      </c>
      <c r="EN25" s="166">
        <f t="shared" si="64"/>
        <v>4050</v>
      </c>
      <c r="EO25" s="166">
        <v>6</v>
      </c>
      <c r="EP25" s="14">
        <f t="shared" si="22"/>
        <v>300</v>
      </c>
      <c r="EQ25" s="14">
        <f t="shared" si="57"/>
        <v>22073</v>
      </c>
      <c r="ER25" s="166">
        <v>1</v>
      </c>
      <c r="ES25" s="14">
        <f t="shared" si="58"/>
        <v>207</v>
      </c>
      <c r="ET25" s="166" t="s">
        <v>1034</v>
      </c>
      <c r="EU25" s="166">
        <v>3</v>
      </c>
      <c r="EV25" s="166"/>
      <c r="EW25" s="14">
        <f t="shared" ref="EW25" si="107">ES25*100+9</f>
        <v>20709</v>
      </c>
      <c r="EX25" s="166" t="s">
        <v>1397</v>
      </c>
      <c r="EY25" s="166">
        <v>50</v>
      </c>
      <c r="EZ25" s="14" t="str">
        <f>INDEX(挂机升级突破!$DT$4:$EC$4,EO25)</f>
        <v>玄铁</v>
      </c>
      <c r="FA25" s="14">
        <f>ROUND(INDEX(挂机升级突破!$G$7:$R$37,EJ25+3,EO25)/INDEX(挂机升级突破!$G$5:$R$5,章节关卡!EO25)*INDEX(挂机升级突破!$G$4:$R$4,章节关卡!EO25)*章节关卡!EN25,0)</f>
        <v>51</v>
      </c>
      <c r="FB25" s="166" t="s">
        <v>1399</v>
      </c>
      <c r="FC25" s="166">
        <f t="shared" si="23"/>
        <v>43200</v>
      </c>
    </row>
    <row r="26" spans="1:159" ht="16.5" x14ac:dyDescent="0.2">
      <c r="A26" s="76">
        <v>21</v>
      </c>
      <c r="B26" s="76">
        <v>110</v>
      </c>
      <c r="C26" s="166">
        <f>节奏总表!N25*60</f>
        <v>8220</v>
      </c>
      <c r="D26" s="109">
        <v>4</v>
      </c>
      <c r="E26" s="14">
        <f>SUM(D$5:D26)</f>
        <v>84</v>
      </c>
      <c r="F26" s="76">
        <v>5</v>
      </c>
      <c r="G26" s="76">
        <v>45</v>
      </c>
      <c r="H26" s="76">
        <v>5</v>
      </c>
      <c r="I26" s="76">
        <v>140</v>
      </c>
      <c r="J26" s="76">
        <f t="shared" ref="J26:J34" si="108">(I26-I25)/$F26</f>
        <v>2</v>
      </c>
      <c r="K26" s="76">
        <v>5</v>
      </c>
      <c r="L26" s="76">
        <f t="shared" ref="L26:L34" si="109">G26*K26</f>
        <v>225</v>
      </c>
      <c r="M26" s="76">
        <f t="shared" ref="M26:M34" si="110">(L26-L25)/$F26</f>
        <v>3</v>
      </c>
      <c r="O26" s="76">
        <v>21</v>
      </c>
      <c r="P26" s="121">
        <v>110</v>
      </c>
      <c r="Q26" s="107">
        <v>10</v>
      </c>
      <c r="R26" s="14">
        <f>SUM(Q$5:Q26)</f>
        <v>210</v>
      </c>
      <c r="S26" s="76">
        <v>20</v>
      </c>
      <c r="T26" s="109">
        <f t="shared" si="26"/>
        <v>900</v>
      </c>
      <c r="U26" s="76">
        <v>30</v>
      </c>
      <c r="V26" s="109">
        <f t="shared" si="27"/>
        <v>4200</v>
      </c>
      <c r="W26" s="109">
        <v>45</v>
      </c>
      <c r="X26" s="76">
        <f t="shared" si="28"/>
        <v>10125</v>
      </c>
      <c r="Y26" s="76">
        <v>151</v>
      </c>
      <c r="Z26" s="109">
        <f t="shared" si="29"/>
        <v>33975</v>
      </c>
      <c r="AA26" s="181">
        <f>INDEX(节奏总表!$Z$5:$Z$32,章节关卡!O26)</f>
        <v>27</v>
      </c>
      <c r="AC26" s="77">
        <v>21</v>
      </c>
      <c r="AD26" s="210">
        <v>122</v>
      </c>
      <c r="AE26" s="172">
        <v>23</v>
      </c>
      <c r="AF26" s="109">
        <v>10</v>
      </c>
      <c r="AG26" s="155">
        <f>INDEX(节奏总表!$N$5:$N$34,章节关卡!AE26)</f>
        <v>160</v>
      </c>
      <c r="AH26" s="118">
        <f t="shared" si="69"/>
        <v>2400</v>
      </c>
      <c r="AI26" s="14">
        <f>SUM(AF$5:AF26)</f>
        <v>210</v>
      </c>
      <c r="AJ26" s="14">
        <f t="shared" si="61"/>
        <v>12000</v>
      </c>
      <c r="AK26" s="109">
        <v>60</v>
      </c>
      <c r="AL26" s="14">
        <f t="shared" si="62"/>
        <v>8400</v>
      </c>
      <c r="AM26" s="109">
        <v>90</v>
      </c>
      <c r="AN26" s="14">
        <f t="shared" si="30"/>
        <v>20250</v>
      </c>
      <c r="AO26" s="109">
        <v>300</v>
      </c>
      <c r="AP26" s="14">
        <f t="shared" si="31"/>
        <v>67500</v>
      </c>
      <c r="AS26" s="24">
        <v>22</v>
      </c>
      <c r="AT26" s="14">
        <f t="shared" si="32"/>
        <v>6</v>
      </c>
      <c r="AU26" s="109">
        <f t="shared" si="33"/>
        <v>2</v>
      </c>
      <c r="AV26" s="109">
        <f t="shared" si="34"/>
        <v>10</v>
      </c>
      <c r="AW26" s="109">
        <f t="shared" si="35"/>
        <v>32</v>
      </c>
      <c r="AX26" s="109">
        <f t="shared" si="36"/>
        <v>47</v>
      </c>
      <c r="BA26" s="109">
        <v>22</v>
      </c>
      <c r="BB26" s="14">
        <f t="shared" si="0"/>
        <v>3</v>
      </c>
      <c r="BC26" s="14">
        <f t="shared" si="37"/>
        <v>2</v>
      </c>
      <c r="BD26" s="14">
        <f t="shared" si="81"/>
        <v>140</v>
      </c>
      <c r="BE26" s="14">
        <f t="shared" si="1"/>
        <v>600</v>
      </c>
      <c r="BF26" s="14">
        <f t="shared" si="2"/>
        <v>1575</v>
      </c>
      <c r="BG26" s="14">
        <f t="shared" si="38"/>
        <v>0.5</v>
      </c>
      <c r="BH26" s="14">
        <f t="shared" si="39"/>
        <v>11000</v>
      </c>
      <c r="BK26" s="109">
        <v>22</v>
      </c>
      <c r="BL26" s="14">
        <f t="shared" si="40"/>
        <v>3</v>
      </c>
      <c r="BM26" s="14">
        <f t="shared" si="41"/>
        <v>2</v>
      </c>
      <c r="BN26" s="14">
        <f t="shared" si="3"/>
        <v>300</v>
      </c>
      <c r="BO26" s="14">
        <f t="shared" si="4"/>
        <v>1200</v>
      </c>
      <c r="BP26" s="14">
        <f t="shared" si="5"/>
        <v>3150</v>
      </c>
      <c r="BS26" s="109">
        <v>22</v>
      </c>
      <c r="BT26" s="109">
        <f t="shared" si="42"/>
        <v>8</v>
      </c>
      <c r="BU26" s="112">
        <f t="shared" si="43"/>
        <v>45</v>
      </c>
      <c r="BV26" s="109">
        <f t="shared" si="6"/>
        <v>1</v>
      </c>
      <c r="BW26" s="109">
        <v>120</v>
      </c>
      <c r="BX26" s="109">
        <v>180</v>
      </c>
      <c r="BY26" s="112">
        <v>2</v>
      </c>
      <c r="BZ26" s="14">
        <f t="shared" si="44"/>
        <v>11081</v>
      </c>
      <c r="CA26" s="118">
        <v>1</v>
      </c>
      <c r="CB26" s="14">
        <f t="shared" si="45"/>
        <v>108</v>
      </c>
      <c r="CC26" s="118" t="s">
        <v>1026</v>
      </c>
      <c r="CD26" s="14">
        <f t="shared" si="46"/>
        <v>1</v>
      </c>
      <c r="CE26" s="166" t="str">
        <f t="shared" si="47"/>
        <v xml:space="preserve">钻石100 金币5400 </v>
      </c>
      <c r="CF26" s="14">
        <f t="shared" si="48"/>
        <v>10</v>
      </c>
      <c r="CG26" s="115" t="s">
        <v>19</v>
      </c>
      <c r="CH26" s="115">
        <v>100</v>
      </c>
      <c r="CI26" s="210" t="s">
        <v>358</v>
      </c>
      <c r="CJ26" s="210">
        <f>INDEX($I$6:$I$35,BT26)*BW26</f>
        <v>5400</v>
      </c>
      <c r="CK26" s="210"/>
      <c r="CL26" s="210"/>
      <c r="CO26" s="115">
        <f t="shared" si="7"/>
        <v>8</v>
      </c>
      <c r="CP26" s="115">
        <f t="shared" si="8"/>
        <v>55</v>
      </c>
      <c r="CQ26" s="118">
        <v>1</v>
      </c>
      <c r="CR26" s="109">
        <f t="shared" si="9"/>
        <v>180</v>
      </c>
      <c r="CS26" s="109">
        <f t="shared" si="10"/>
        <v>360</v>
      </c>
      <c r="CT26" s="115">
        <v>7</v>
      </c>
      <c r="CU26" s="14">
        <f t="shared" si="11"/>
        <v>12081</v>
      </c>
      <c r="CV26" s="118">
        <v>2</v>
      </c>
      <c r="CW26" s="14">
        <f t="shared" si="12"/>
        <v>208</v>
      </c>
      <c r="CX26" s="118" t="s">
        <v>1026</v>
      </c>
      <c r="CY26" s="14">
        <f t="shared" si="13"/>
        <v>1</v>
      </c>
      <c r="CZ26" s="166" t="str">
        <f t="shared" si="50"/>
        <v>钻石10040级-攻击套守护灵の项链1金币8100</v>
      </c>
      <c r="DA26" s="14">
        <f t="shared" si="51"/>
        <v>10</v>
      </c>
      <c r="DB26" s="115" t="s">
        <v>257</v>
      </c>
      <c r="DC26" s="115">
        <v>100</v>
      </c>
      <c r="DD26" s="115" t="s">
        <v>1446</v>
      </c>
      <c r="DE26" s="115">
        <v>1</v>
      </c>
      <c r="DF26" s="109" t="s">
        <v>252</v>
      </c>
      <c r="DG26" s="115">
        <f t="shared" si="14"/>
        <v>8100</v>
      </c>
      <c r="DJ26" s="118">
        <v>22</v>
      </c>
      <c r="DK26" s="14">
        <f t="shared" si="52"/>
        <v>8</v>
      </c>
      <c r="DL26" s="118">
        <f t="shared" si="15"/>
        <v>45</v>
      </c>
      <c r="DM26" s="166">
        <f t="shared" si="16"/>
        <v>1</v>
      </c>
      <c r="DN26" s="166">
        <v>120</v>
      </c>
      <c r="DO26" s="166">
        <v>540</v>
      </c>
      <c r="DP26" s="166">
        <v>2</v>
      </c>
      <c r="DQ26" s="118">
        <v>90</v>
      </c>
      <c r="DR26" s="118">
        <f t="shared" si="53"/>
        <v>21081</v>
      </c>
      <c r="DS26" s="118">
        <v>1</v>
      </c>
      <c r="DT26" s="14">
        <f t="shared" si="17"/>
        <v>108</v>
      </c>
      <c r="DU26" s="118" t="s">
        <v>1034</v>
      </c>
      <c r="DV26" s="118">
        <v>1</v>
      </c>
      <c r="DW26" s="166" t="str">
        <f t="shared" si="18"/>
        <v>蓝色基础材料18守护灵初级抽卡券2守护灵经验6300</v>
      </c>
      <c r="DX26" s="14">
        <f t="shared" ref="DX26" si="111">DT26*100+3</f>
        <v>10803</v>
      </c>
      <c r="DY26" s="118" t="s">
        <v>1606</v>
      </c>
      <c r="DZ26" s="118">
        <v>2</v>
      </c>
      <c r="EA26" s="14" t="str">
        <f>INDEX(挂机升级突破!$DT$4:$DX$4,DP26)</f>
        <v>蓝色基础材料</v>
      </c>
      <c r="EB26" s="14">
        <f>ROUND(INDEX(挂机升级突破!$G$7:$K$37,DK26+2,章节关卡!DP26)/INDEX(挂机升级突破!$G$5:$K$5,章节关卡!DP26)*INDEX(挂机升级突破!$G$4:$K$4,章节关卡!DP26)*章节关卡!DO26,0)</f>
        <v>18</v>
      </c>
      <c r="EC26" s="118" t="s">
        <v>1038</v>
      </c>
      <c r="ED26" s="14">
        <f t="shared" si="19"/>
        <v>6300</v>
      </c>
      <c r="EI26" s="166">
        <v>22</v>
      </c>
      <c r="EJ26" s="14">
        <f t="shared" si="54"/>
        <v>8</v>
      </c>
      <c r="EK26" s="166">
        <f t="shared" si="55"/>
        <v>50</v>
      </c>
      <c r="EL26" s="166">
        <f t="shared" si="20"/>
        <v>1</v>
      </c>
      <c r="EM26" s="166">
        <f t="shared" si="21"/>
        <v>180</v>
      </c>
      <c r="EN26" s="166">
        <f t="shared" si="64"/>
        <v>1350</v>
      </c>
      <c r="EO26" s="166">
        <v>7</v>
      </c>
      <c r="EP26" s="14">
        <f t="shared" si="22"/>
        <v>180</v>
      </c>
      <c r="EQ26" s="14">
        <f t="shared" si="57"/>
        <v>22081</v>
      </c>
      <c r="ER26" s="166">
        <v>1</v>
      </c>
      <c r="ES26" s="14">
        <f t="shared" si="58"/>
        <v>208</v>
      </c>
      <c r="ET26" s="166" t="s">
        <v>1034</v>
      </c>
      <c r="EU26" s="166">
        <v>1</v>
      </c>
      <c r="EV26" s="166"/>
      <c r="EW26" s="14">
        <f t="shared" ref="EW26" si="112">ES26*100+3</f>
        <v>20803</v>
      </c>
      <c r="EX26" s="166" t="s">
        <v>1397</v>
      </c>
      <c r="EY26" s="166">
        <v>20</v>
      </c>
      <c r="EZ26" s="14" t="str">
        <f>INDEX(挂机升级突破!$DT$4:$EC$4,EO26)</f>
        <v>乌金</v>
      </c>
      <c r="FA26" s="14">
        <f>ROUND(INDEX(挂机升级突破!$G$7:$R$37,EJ26+3,EO26)/INDEX(挂机升级突破!$G$5:$R$5,章节关卡!EO26)*INDEX(挂机升级突破!$G$4:$R$4,章节关卡!EO26)*章节关卡!EN26,0)</f>
        <v>1</v>
      </c>
      <c r="FB26" s="166" t="s">
        <v>1399</v>
      </c>
      <c r="FC26" s="166">
        <f t="shared" si="23"/>
        <v>16200</v>
      </c>
    </row>
    <row r="27" spans="1:159" ht="16.5" x14ac:dyDescent="0.2">
      <c r="A27" s="76">
        <v>22</v>
      </c>
      <c r="B27" s="76">
        <v>115</v>
      </c>
      <c r="C27" s="166">
        <f>节奏总表!N26*60</f>
        <v>8640</v>
      </c>
      <c r="D27" s="109">
        <v>4</v>
      </c>
      <c r="E27" s="14">
        <f>SUM(D$5:D27)</f>
        <v>88</v>
      </c>
      <c r="F27" s="76">
        <v>5</v>
      </c>
      <c r="G27" s="76">
        <v>47</v>
      </c>
      <c r="H27" s="76">
        <v>5</v>
      </c>
      <c r="I27" s="76">
        <v>150</v>
      </c>
      <c r="J27" s="76">
        <f t="shared" si="108"/>
        <v>2</v>
      </c>
      <c r="K27" s="76">
        <v>5</v>
      </c>
      <c r="L27" s="76">
        <f t="shared" si="109"/>
        <v>235</v>
      </c>
      <c r="M27" s="76">
        <f t="shared" si="110"/>
        <v>2</v>
      </c>
      <c r="O27" s="76">
        <v>22</v>
      </c>
      <c r="P27" s="121">
        <v>115</v>
      </c>
      <c r="Q27" s="107">
        <v>10</v>
      </c>
      <c r="R27" s="14">
        <f>SUM(Q$5:Q27)</f>
        <v>220</v>
      </c>
      <c r="S27" s="76">
        <v>20</v>
      </c>
      <c r="T27" s="109">
        <f t="shared" si="26"/>
        <v>940</v>
      </c>
      <c r="U27" s="76">
        <v>30</v>
      </c>
      <c r="V27" s="109">
        <f t="shared" si="27"/>
        <v>4500</v>
      </c>
      <c r="W27" s="109">
        <v>45</v>
      </c>
      <c r="X27" s="76">
        <f t="shared" si="28"/>
        <v>10575</v>
      </c>
      <c r="Y27" s="76">
        <v>152</v>
      </c>
      <c r="Z27" s="109">
        <f t="shared" si="29"/>
        <v>35720</v>
      </c>
      <c r="AA27" s="181">
        <f>INDEX(节奏总表!$Z$5:$Z$32,章节关卡!O27)</f>
        <v>30</v>
      </c>
      <c r="AC27" s="77">
        <v>22</v>
      </c>
      <c r="AD27" s="210">
        <v>127</v>
      </c>
      <c r="AE27" s="172">
        <v>24</v>
      </c>
      <c r="AF27" s="109">
        <v>10</v>
      </c>
      <c r="AG27" s="155">
        <f>INDEX(节奏总表!$N$5:$N$34,章节关卡!AE27)</f>
        <v>180</v>
      </c>
      <c r="AH27" s="118">
        <f t="shared" si="69"/>
        <v>2700</v>
      </c>
      <c r="AI27" s="14">
        <f>SUM(AF$5:AF27)</f>
        <v>220</v>
      </c>
      <c r="AJ27" s="14">
        <f t="shared" si="61"/>
        <v>14850</v>
      </c>
      <c r="AK27" s="109">
        <v>60</v>
      </c>
      <c r="AL27" s="14">
        <f t="shared" si="62"/>
        <v>9000</v>
      </c>
      <c r="AM27" s="109">
        <v>90</v>
      </c>
      <c r="AN27" s="14">
        <f t="shared" si="30"/>
        <v>21150</v>
      </c>
      <c r="AO27" s="109">
        <v>300</v>
      </c>
      <c r="AP27" s="14">
        <f t="shared" si="31"/>
        <v>70500</v>
      </c>
      <c r="AS27" s="24">
        <v>23</v>
      </c>
      <c r="AT27" s="14">
        <f t="shared" si="32"/>
        <v>6</v>
      </c>
      <c r="AU27" s="109">
        <f t="shared" si="33"/>
        <v>3</v>
      </c>
      <c r="AV27" s="109">
        <f t="shared" si="34"/>
        <v>10</v>
      </c>
      <c r="AW27" s="109">
        <f t="shared" si="35"/>
        <v>33</v>
      </c>
      <c r="AX27" s="109">
        <f t="shared" si="36"/>
        <v>48</v>
      </c>
      <c r="BA27" s="109">
        <v>23</v>
      </c>
      <c r="BB27" s="14">
        <f t="shared" si="0"/>
        <v>3</v>
      </c>
      <c r="BC27" s="14">
        <f t="shared" si="37"/>
        <v>3</v>
      </c>
      <c r="BD27" s="14">
        <f t="shared" si="81"/>
        <v>140</v>
      </c>
      <c r="BE27" s="14">
        <f t="shared" si="1"/>
        <v>600</v>
      </c>
      <c r="BF27" s="14">
        <f t="shared" si="2"/>
        <v>1575</v>
      </c>
      <c r="BG27" s="14">
        <f t="shared" si="38"/>
        <v>0.5</v>
      </c>
      <c r="BH27" s="14">
        <f t="shared" si="39"/>
        <v>11000</v>
      </c>
      <c r="BK27" s="109">
        <v>23</v>
      </c>
      <c r="BL27" s="14">
        <f t="shared" si="40"/>
        <v>3</v>
      </c>
      <c r="BM27" s="14">
        <f t="shared" si="41"/>
        <v>3</v>
      </c>
      <c r="BN27" s="14">
        <f t="shared" si="3"/>
        <v>300</v>
      </c>
      <c r="BO27" s="14">
        <f t="shared" si="4"/>
        <v>1200</v>
      </c>
      <c r="BP27" s="14">
        <f t="shared" si="5"/>
        <v>3150</v>
      </c>
      <c r="BS27" s="109">
        <v>23</v>
      </c>
      <c r="BT27" s="109">
        <f t="shared" si="42"/>
        <v>8</v>
      </c>
      <c r="BU27" s="112">
        <f t="shared" si="43"/>
        <v>45</v>
      </c>
      <c r="BV27" s="109">
        <f t="shared" si="6"/>
        <v>2</v>
      </c>
      <c r="BW27" s="109">
        <v>240</v>
      </c>
      <c r="BX27" s="109">
        <v>360</v>
      </c>
      <c r="BY27" s="112">
        <v>2</v>
      </c>
      <c r="BZ27" s="14">
        <f t="shared" si="44"/>
        <v>11082</v>
      </c>
      <c r="CA27" s="118">
        <v>1</v>
      </c>
      <c r="CB27" s="14">
        <f t="shared" si="45"/>
        <v>108</v>
      </c>
      <c r="CC27" s="118" t="s">
        <v>1026</v>
      </c>
      <c r="CD27" s="14">
        <f t="shared" si="46"/>
        <v>2</v>
      </c>
      <c r="CE27" s="166" t="str">
        <f t="shared" si="47"/>
        <v>守护灵抽卡券2 2小时扫荡券1 金币10800</v>
      </c>
      <c r="CF27" s="14">
        <f t="shared" si="48"/>
        <v>20</v>
      </c>
      <c r="CG27" s="115" t="s">
        <v>258</v>
      </c>
      <c r="CH27" s="115">
        <v>2</v>
      </c>
      <c r="CI27" s="210" t="s">
        <v>1395</v>
      </c>
      <c r="CJ27" s="210">
        <v>1</v>
      </c>
      <c r="CK27" s="210" t="s">
        <v>252</v>
      </c>
      <c r="CL27" s="210">
        <f t="shared" ref="CL27:CL28" si="113">INDEX($I$6:$I$35,BT27)*BW27</f>
        <v>10800</v>
      </c>
      <c r="CO27" s="115">
        <f t="shared" si="7"/>
        <v>8</v>
      </c>
      <c r="CP27" s="115">
        <f t="shared" si="8"/>
        <v>55</v>
      </c>
      <c r="CQ27" s="118">
        <v>2</v>
      </c>
      <c r="CR27" s="109">
        <f t="shared" si="9"/>
        <v>360</v>
      </c>
      <c r="CS27" s="109">
        <f t="shared" si="10"/>
        <v>720</v>
      </c>
      <c r="CT27" s="115">
        <v>7</v>
      </c>
      <c r="CU27" s="14">
        <f t="shared" si="11"/>
        <v>12082</v>
      </c>
      <c r="CV27" s="118">
        <v>2</v>
      </c>
      <c r="CW27" s="14">
        <f t="shared" si="12"/>
        <v>208</v>
      </c>
      <c r="CX27" s="118" t="s">
        <v>1026</v>
      </c>
      <c r="CY27" s="14">
        <f t="shared" si="13"/>
        <v>2</v>
      </c>
      <c r="CZ27" s="166" t="str">
        <f t="shared" si="50"/>
        <v>熔炼值115040级-攻击套守护灵の戒指1金币16200</v>
      </c>
      <c r="DA27" s="14">
        <f t="shared" si="51"/>
        <v>20</v>
      </c>
      <c r="DB27" s="115" t="s">
        <v>1005</v>
      </c>
      <c r="DC27" s="115">
        <v>1150</v>
      </c>
      <c r="DD27" s="115" t="s">
        <v>1447</v>
      </c>
      <c r="DE27" s="115">
        <v>1</v>
      </c>
      <c r="DF27" s="109" t="s">
        <v>252</v>
      </c>
      <c r="DG27" s="115">
        <f t="shared" si="14"/>
        <v>16200</v>
      </c>
      <c r="DJ27" s="118">
        <v>23</v>
      </c>
      <c r="DK27" s="14">
        <f t="shared" si="52"/>
        <v>8</v>
      </c>
      <c r="DL27" s="118">
        <f t="shared" si="15"/>
        <v>45</v>
      </c>
      <c r="DM27" s="166">
        <f t="shared" si="16"/>
        <v>2</v>
      </c>
      <c r="DN27" s="166">
        <v>240</v>
      </c>
      <c r="DO27" s="166">
        <v>1080</v>
      </c>
      <c r="DP27" s="166">
        <v>2</v>
      </c>
      <c r="DQ27" s="118">
        <v>120</v>
      </c>
      <c r="DR27" s="118">
        <f t="shared" si="53"/>
        <v>21082</v>
      </c>
      <c r="DS27" s="118">
        <v>1</v>
      </c>
      <c r="DT27" s="14">
        <f t="shared" si="17"/>
        <v>108</v>
      </c>
      <c r="DU27" s="118" t="s">
        <v>1034</v>
      </c>
      <c r="DV27" s="118">
        <v>2</v>
      </c>
      <c r="DW27" s="166" t="str">
        <f t="shared" si="18"/>
        <v>蓝色基础材料36守护灵初级抽卡券3守护灵经验8400</v>
      </c>
      <c r="DX27" s="14">
        <f t="shared" ref="DX27" si="114">DT27*100+6</f>
        <v>10806</v>
      </c>
      <c r="DY27" s="118" t="s">
        <v>1606</v>
      </c>
      <c r="DZ27" s="118">
        <v>3</v>
      </c>
      <c r="EA27" s="14" t="str">
        <f>INDEX(挂机升级突破!$DT$4:$DX$4,DP27)</f>
        <v>蓝色基础材料</v>
      </c>
      <c r="EB27" s="14">
        <f>ROUND(INDEX(挂机升级突破!$G$7:$K$37,DK27+2,章节关卡!DP27)/INDEX(挂机升级突破!$G$5:$K$5,章节关卡!DP27)*INDEX(挂机升级突破!$G$4:$K$4,章节关卡!DP27)*章节关卡!DO27,0)</f>
        <v>36</v>
      </c>
      <c r="EC27" s="118" t="s">
        <v>1038</v>
      </c>
      <c r="ED27" s="14">
        <f t="shared" si="19"/>
        <v>8400</v>
      </c>
      <c r="EI27" s="166">
        <v>23</v>
      </c>
      <c r="EJ27" s="14">
        <f t="shared" si="54"/>
        <v>8</v>
      </c>
      <c r="EK27" s="166">
        <f t="shared" si="55"/>
        <v>50</v>
      </c>
      <c r="EL27" s="166">
        <f t="shared" si="20"/>
        <v>2</v>
      </c>
      <c r="EM27" s="166">
        <f t="shared" si="21"/>
        <v>360</v>
      </c>
      <c r="EN27" s="166">
        <f t="shared" si="64"/>
        <v>2700</v>
      </c>
      <c r="EO27" s="166">
        <v>7</v>
      </c>
      <c r="EP27" s="14">
        <f t="shared" si="22"/>
        <v>240</v>
      </c>
      <c r="EQ27" s="14">
        <f t="shared" si="57"/>
        <v>22082</v>
      </c>
      <c r="ER27" s="166">
        <v>1</v>
      </c>
      <c r="ES27" s="14">
        <f t="shared" si="58"/>
        <v>208</v>
      </c>
      <c r="ET27" s="166" t="s">
        <v>1034</v>
      </c>
      <c r="EU27" s="166">
        <v>2</v>
      </c>
      <c r="EV27" s="166"/>
      <c r="EW27" s="14">
        <f t="shared" ref="EW27" si="115">ES27*100+6</f>
        <v>20806</v>
      </c>
      <c r="EX27" s="166" t="s">
        <v>1397</v>
      </c>
      <c r="EY27" s="166">
        <v>30</v>
      </c>
      <c r="EZ27" s="14" t="str">
        <f>INDEX(挂机升级突破!$DT$4:$EC$4,EO27)</f>
        <v>乌金</v>
      </c>
      <c r="FA27" s="14">
        <f>ROUND(INDEX(挂机升级突破!$G$7:$R$37,EJ27+3,EO27)/INDEX(挂机升级突破!$G$5:$R$5,章节关卡!EO27)*INDEX(挂机升级突破!$G$4:$R$4,章节关卡!EO27)*章节关卡!EN27,0)</f>
        <v>3</v>
      </c>
      <c r="FB27" s="166" t="s">
        <v>1399</v>
      </c>
      <c r="FC27" s="166">
        <f t="shared" si="23"/>
        <v>32400</v>
      </c>
    </row>
    <row r="28" spans="1:159" ht="16.5" x14ac:dyDescent="0.2">
      <c r="A28" s="76">
        <v>23</v>
      </c>
      <c r="B28" s="76">
        <v>120</v>
      </c>
      <c r="C28" s="166">
        <f>节奏总表!N27*60</f>
        <v>9600</v>
      </c>
      <c r="D28" s="109">
        <v>4</v>
      </c>
      <c r="E28" s="14">
        <f>SUM(D$5:D28)</f>
        <v>92</v>
      </c>
      <c r="F28" s="76">
        <v>5</v>
      </c>
      <c r="G28" s="76">
        <v>50</v>
      </c>
      <c r="H28" s="76">
        <v>5</v>
      </c>
      <c r="I28" s="76">
        <v>160</v>
      </c>
      <c r="J28" s="76">
        <f t="shared" si="108"/>
        <v>2</v>
      </c>
      <c r="K28" s="76">
        <v>5</v>
      </c>
      <c r="L28" s="76">
        <f t="shared" si="109"/>
        <v>250</v>
      </c>
      <c r="M28" s="76">
        <f t="shared" si="110"/>
        <v>3</v>
      </c>
      <c r="O28" s="76">
        <v>23</v>
      </c>
      <c r="P28" s="121">
        <v>120</v>
      </c>
      <c r="Q28" s="107">
        <v>10</v>
      </c>
      <c r="R28" s="14">
        <f>SUM(Q$5:Q28)</f>
        <v>230</v>
      </c>
      <c r="S28" s="76">
        <v>20</v>
      </c>
      <c r="T28" s="109">
        <f t="shared" si="26"/>
        <v>1000</v>
      </c>
      <c r="U28" s="76">
        <v>30</v>
      </c>
      <c r="V28" s="109">
        <f t="shared" si="27"/>
        <v>4800</v>
      </c>
      <c r="W28" s="109">
        <v>45</v>
      </c>
      <c r="X28" s="76">
        <f t="shared" si="28"/>
        <v>11250</v>
      </c>
      <c r="Y28" s="76">
        <v>153</v>
      </c>
      <c r="Z28" s="109">
        <f t="shared" si="29"/>
        <v>38250</v>
      </c>
      <c r="AA28" s="181">
        <f>INDEX(节奏总表!$Z$5:$Z$32,章节关卡!O28)</f>
        <v>33.33</v>
      </c>
      <c r="AC28" s="77">
        <v>23</v>
      </c>
      <c r="AD28" s="210">
        <v>132</v>
      </c>
      <c r="AE28" s="172">
        <v>25</v>
      </c>
      <c r="AF28" s="109">
        <v>10</v>
      </c>
      <c r="AG28" s="155">
        <f>INDEX(节奏总表!$N$5:$N$34,章节关卡!AE28)</f>
        <v>210</v>
      </c>
      <c r="AH28" s="118">
        <f t="shared" si="69"/>
        <v>3150</v>
      </c>
      <c r="AI28" s="14">
        <f>SUM(AF$5:AF28)</f>
        <v>230</v>
      </c>
      <c r="AJ28" s="14">
        <f t="shared" si="61"/>
        <v>18900</v>
      </c>
      <c r="AK28" s="109">
        <v>60</v>
      </c>
      <c r="AL28" s="14">
        <f t="shared" si="62"/>
        <v>9600</v>
      </c>
      <c r="AM28" s="109">
        <v>90</v>
      </c>
      <c r="AN28" s="14">
        <f t="shared" si="30"/>
        <v>22500</v>
      </c>
      <c r="AO28" s="109">
        <v>300</v>
      </c>
      <c r="AP28" s="14">
        <f t="shared" si="31"/>
        <v>75000</v>
      </c>
      <c r="AS28" s="24">
        <v>24</v>
      </c>
      <c r="AT28" s="14">
        <f t="shared" si="32"/>
        <v>6</v>
      </c>
      <c r="AU28" s="109">
        <f t="shared" si="33"/>
        <v>4</v>
      </c>
      <c r="AV28" s="109">
        <f t="shared" si="34"/>
        <v>10</v>
      </c>
      <c r="AW28" s="109">
        <f t="shared" si="35"/>
        <v>34</v>
      </c>
      <c r="AX28" s="109">
        <f t="shared" si="36"/>
        <v>49</v>
      </c>
      <c r="BA28" s="109">
        <v>24</v>
      </c>
      <c r="BB28" s="14">
        <f t="shared" si="0"/>
        <v>3</v>
      </c>
      <c r="BC28" s="14">
        <f t="shared" si="37"/>
        <v>4</v>
      </c>
      <c r="BD28" s="14">
        <f t="shared" si="81"/>
        <v>140</v>
      </c>
      <c r="BE28" s="14">
        <f t="shared" si="1"/>
        <v>600</v>
      </c>
      <c r="BF28" s="14">
        <f t="shared" si="2"/>
        <v>1575</v>
      </c>
      <c r="BG28" s="14">
        <f t="shared" si="38"/>
        <v>0.5</v>
      </c>
      <c r="BH28" s="14">
        <f t="shared" si="39"/>
        <v>11000</v>
      </c>
      <c r="BK28" s="109">
        <v>24</v>
      </c>
      <c r="BL28" s="14">
        <f t="shared" si="40"/>
        <v>3</v>
      </c>
      <c r="BM28" s="14">
        <f t="shared" si="41"/>
        <v>4</v>
      </c>
      <c r="BN28" s="14">
        <f t="shared" si="3"/>
        <v>300</v>
      </c>
      <c r="BO28" s="14">
        <f t="shared" si="4"/>
        <v>1200</v>
      </c>
      <c r="BP28" s="14">
        <f t="shared" si="5"/>
        <v>3150</v>
      </c>
      <c r="BS28" s="109">
        <v>24</v>
      </c>
      <c r="BT28" s="109">
        <f t="shared" si="42"/>
        <v>8</v>
      </c>
      <c r="BU28" s="112">
        <f t="shared" si="43"/>
        <v>45</v>
      </c>
      <c r="BV28" s="109">
        <f t="shared" si="6"/>
        <v>3</v>
      </c>
      <c r="BW28" s="109">
        <v>360</v>
      </c>
      <c r="BX28" s="109">
        <v>540</v>
      </c>
      <c r="BY28" s="112">
        <v>2</v>
      </c>
      <c r="BZ28" s="14">
        <f t="shared" si="44"/>
        <v>11083</v>
      </c>
      <c r="CA28" s="118">
        <v>1</v>
      </c>
      <c r="CB28" s="14">
        <f t="shared" si="45"/>
        <v>108</v>
      </c>
      <c r="CC28" s="118" t="s">
        <v>1026</v>
      </c>
      <c r="CD28" s="14">
        <f t="shared" si="46"/>
        <v>3</v>
      </c>
      <c r="CE28" s="166" t="str">
        <f t="shared" si="47"/>
        <v>守护灵抽卡券3 2小时扫荡券1 金币16200</v>
      </c>
      <c r="CF28" s="14">
        <f t="shared" si="48"/>
        <v>30</v>
      </c>
      <c r="CG28" s="115" t="s">
        <v>258</v>
      </c>
      <c r="CH28" s="115">
        <v>3</v>
      </c>
      <c r="CI28" s="210" t="s">
        <v>1395</v>
      </c>
      <c r="CJ28" s="210">
        <v>1</v>
      </c>
      <c r="CK28" s="210" t="s">
        <v>252</v>
      </c>
      <c r="CL28" s="210">
        <f t="shared" si="113"/>
        <v>16200</v>
      </c>
      <c r="CO28" s="115">
        <f t="shared" si="7"/>
        <v>8</v>
      </c>
      <c r="CP28" s="115">
        <f t="shared" si="8"/>
        <v>55</v>
      </c>
      <c r="CQ28" s="118">
        <v>3</v>
      </c>
      <c r="CR28" s="109">
        <f t="shared" si="9"/>
        <v>540</v>
      </c>
      <c r="CS28" s="109">
        <f t="shared" si="10"/>
        <v>1080</v>
      </c>
      <c r="CT28" s="115">
        <v>7</v>
      </c>
      <c r="CU28" s="14">
        <f t="shared" si="11"/>
        <v>12083</v>
      </c>
      <c r="CV28" s="118">
        <v>2</v>
      </c>
      <c r="CW28" s="14">
        <f t="shared" si="12"/>
        <v>208</v>
      </c>
      <c r="CX28" s="118" t="s">
        <v>1026</v>
      </c>
      <c r="CY28" s="14">
        <f t="shared" si="13"/>
        <v>3</v>
      </c>
      <c r="CZ28" s="166" t="str">
        <f t="shared" si="50"/>
        <v>守护灵抽卡券540级-攻击套守护灵の灵器1金币24300</v>
      </c>
      <c r="DA28" s="14">
        <f t="shared" si="51"/>
        <v>30</v>
      </c>
      <c r="DB28" s="115" t="s">
        <v>1004</v>
      </c>
      <c r="DC28" s="115">
        <v>5</v>
      </c>
      <c r="DD28" s="115" t="s">
        <v>1448</v>
      </c>
      <c r="DE28" s="115">
        <v>1</v>
      </c>
      <c r="DF28" s="109" t="s">
        <v>252</v>
      </c>
      <c r="DG28" s="115">
        <f t="shared" si="14"/>
        <v>24300</v>
      </c>
      <c r="DJ28" s="118">
        <v>24</v>
      </c>
      <c r="DK28" s="14">
        <f t="shared" si="52"/>
        <v>8</v>
      </c>
      <c r="DL28" s="118">
        <f t="shared" si="15"/>
        <v>45</v>
      </c>
      <c r="DM28" s="166">
        <f t="shared" si="16"/>
        <v>3</v>
      </c>
      <c r="DN28" s="166">
        <v>360</v>
      </c>
      <c r="DO28" s="166">
        <v>1620</v>
      </c>
      <c r="DP28" s="166">
        <v>2</v>
      </c>
      <c r="DQ28" s="118">
        <v>150</v>
      </c>
      <c r="DR28" s="118">
        <f t="shared" si="53"/>
        <v>21083</v>
      </c>
      <c r="DS28" s="118">
        <v>1</v>
      </c>
      <c r="DT28" s="14">
        <f t="shared" si="17"/>
        <v>108</v>
      </c>
      <c r="DU28" s="118" t="s">
        <v>1034</v>
      </c>
      <c r="DV28" s="118">
        <v>3</v>
      </c>
      <c r="DW28" s="166" t="str">
        <f t="shared" si="18"/>
        <v>蓝色基础材料54守护灵初级抽卡券5守护灵经验10500</v>
      </c>
      <c r="DX28" s="14">
        <f t="shared" ref="DX28" si="116">DT28*100+9</f>
        <v>10809</v>
      </c>
      <c r="DY28" s="118" t="s">
        <v>1606</v>
      </c>
      <c r="DZ28" s="118">
        <v>5</v>
      </c>
      <c r="EA28" s="14" t="str">
        <f>INDEX(挂机升级突破!$DT$4:$DX$4,DP28)</f>
        <v>蓝色基础材料</v>
      </c>
      <c r="EB28" s="14">
        <f>ROUND(INDEX(挂机升级突破!$G$7:$K$37,DK28+2,章节关卡!DP28)/INDEX(挂机升级突破!$G$5:$K$5,章节关卡!DP28)*INDEX(挂机升级突破!$G$4:$K$4,章节关卡!DP28)*章节关卡!DO28,0)</f>
        <v>54</v>
      </c>
      <c r="EC28" s="118" t="s">
        <v>1038</v>
      </c>
      <c r="ED28" s="14">
        <f t="shared" si="19"/>
        <v>10500</v>
      </c>
      <c r="EI28" s="166">
        <v>24</v>
      </c>
      <c r="EJ28" s="14">
        <f t="shared" si="54"/>
        <v>8</v>
      </c>
      <c r="EK28" s="166">
        <f t="shared" si="55"/>
        <v>50</v>
      </c>
      <c r="EL28" s="166">
        <f t="shared" si="20"/>
        <v>3</v>
      </c>
      <c r="EM28" s="166">
        <f t="shared" si="21"/>
        <v>540</v>
      </c>
      <c r="EN28" s="166">
        <f t="shared" si="64"/>
        <v>4050</v>
      </c>
      <c r="EO28" s="166">
        <v>7</v>
      </c>
      <c r="EP28" s="14">
        <f t="shared" si="22"/>
        <v>300</v>
      </c>
      <c r="EQ28" s="14">
        <f t="shared" si="57"/>
        <v>22083</v>
      </c>
      <c r="ER28" s="166">
        <v>1</v>
      </c>
      <c r="ES28" s="14">
        <f t="shared" si="58"/>
        <v>208</v>
      </c>
      <c r="ET28" s="166" t="s">
        <v>1034</v>
      </c>
      <c r="EU28" s="166">
        <v>3</v>
      </c>
      <c r="EV28" s="166"/>
      <c r="EW28" s="14">
        <f t="shared" ref="EW28" si="117">ES28*100+9</f>
        <v>20809</v>
      </c>
      <c r="EX28" s="166" t="s">
        <v>1397</v>
      </c>
      <c r="EY28" s="166">
        <v>50</v>
      </c>
      <c r="EZ28" s="14" t="str">
        <f>INDEX(挂机升级突破!$DT$4:$EC$4,EO28)</f>
        <v>乌金</v>
      </c>
      <c r="FA28" s="14">
        <f>ROUND(INDEX(挂机升级突破!$G$7:$R$37,EJ28+3,EO28)/INDEX(挂机升级突破!$G$5:$R$5,章节关卡!EO28)*INDEX(挂机升级突破!$G$4:$R$4,章节关卡!EO28)*章节关卡!EN28,0)</f>
        <v>4</v>
      </c>
      <c r="FB28" s="166" t="s">
        <v>1399</v>
      </c>
      <c r="FC28" s="166">
        <f t="shared" si="23"/>
        <v>48600</v>
      </c>
    </row>
    <row r="29" spans="1:159" ht="16.5" x14ac:dyDescent="0.2">
      <c r="A29" s="76">
        <v>24</v>
      </c>
      <c r="B29" s="76">
        <v>125</v>
      </c>
      <c r="C29" s="166">
        <f>节奏总表!N28*60</f>
        <v>10800</v>
      </c>
      <c r="D29" s="109">
        <v>4</v>
      </c>
      <c r="E29" s="14">
        <f>SUM(D$5:D29)</f>
        <v>96</v>
      </c>
      <c r="F29" s="76">
        <v>5</v>
      </c>
      <c r="G29" s="76">
        <v>55</v>
      </c>
      <c r="H29" s="76">
        <v>5</v>
      </c>
      <c r="I29" s="76">
        <v>170</v>
      </c>
      <c r="J29" s="76">
        <f t="shared" si="108"/>
        <v>2</v>
      </c>
      <c r="K29" s="76">
        <v>5</v>
      </c>
      <c r="L29" s="76">
        <f t="shared" si="109"/>
        <v>275</v>
      </c>
      <c r="M29" s="76">
        <f t="shared" si="110"/>
        <v>5</v>
      </c>
      <c r="O29" s="76">
        <v>24</v>
      </c>
      <c r="P29" s="121">
        <v>125</v>
      </c>
      <c r="Q29" s="107">
        <v>10</v>
      </c>
      <c r="R29" s="14">
        <f>SUM(Q$5:Q29)</f>
        <v>240</v>
      </c>
      <c r="S29" s="76">
        <v>20</v>
      </c>
      <c r="T29" s="109">
        <f t="shared" si="26"/>
        <v>1100</v>
      </c>
      <c r="U29" s="76">
        <v>30</v>
      </c>
      <c r="V29" s="109">
        <f t="shared" si="27"/>
        <v>5100</v>
      </c>
      <c r="W29" s="109">
        <v>45</v>
      </c>
      <c r="X29" s="76">
        <f t="shared" si="28"/>
        <v>12375</v>
      </c>
      <c r="Y29" s="76">
        <v>154</v>
      </c>
      <c r="Z29" s="109">
        <f t="shared" si="29"/>
        <v>42350</v>
      </c>
      <c r="AA29" s="181">
        <f>INDEX(节奏总表!$Z$5:$Z$32,章节关卡!O29)</f>
        <v>37.08</v>
      </c>
      <c r="AC29" s="77">
        <v>24</v>
      </c>
      <c r="AD29" s="210">
        <v>137</v>
      </c>
      <c r="AE29" s="172">
        <v>26</v>
      </c>
      <c r="AF29" s="109">
        <v>10</v>
      </c>
      <c r="AG29" s="155">
        <f>INDEX(节奏总表!$N$5:$N$34,章节关卡!AE29)</f>
        <v>250</v>
      </c>
      <c r="AH29" s="118">
        <f t="shared" si="69"/>
        <v>3750</v>
      </c>
      <c r="AI29" s="14">
        <f>SUM(AF$5:AF29)</f>
        <v>240</v>
      </c>
      <c r="AJ29" s="14">
        <f t="shared" si="61"/>
        <v>24400</v>
      </c>
      <c r="AK29" s="109">
        <v>60</v>
      </c>
      <c r="AL29" s="14">
        <f t="shared" si="62"/>
        <v>10200</v>
      </c>
      <c r="AM29" s="109">
        <v>90</v>
      </c>
      <c r="AN29" s="14">
        <f t="shared" si="30"/>
        <v>24750</v>
      </c>
      <c r="AO29" s="109">
        <v>300</v>
      </c>
      <c r="AP29" s="14">
        <f t="shared" si="31"/>
        <v>82500</v>
      </c>
      <c r="AS29" s="24">
        <v>25</v>
      </c>
      <c r="AT29" s="14">
        <f t="shared" si="32"/>
        <v>7</v>
      </c>
      <c r="AU29" s="109">
        <f t="shared" si="33"/>
        <v>1</v>
      </c>
      <c r="AV29" s="109">
        <f t="shared" si="34"/>
        <v>12</v>
      </c>
      <c r="AW29" s="109">
        <f t="shared" si="35"/>
        <v>36</v>
      </c>
      <c r="AX29" s="109">
        <f t="shared" si="36"/>
        <v>52</v>
      </c>
      <c r="BA29" s="109">
        <v>25</v>
      </c>
      <c r="BB29" s="14">
        <f t="shared" si="0"/>
        <v>3</v>
      </c>
      <c r="BC29" s="14">
        <f t="shared" si="37"/>
        <v>5</v>
      </c>
      <c r="BD29" s="14">
        <f t="shared" si="81"/>
        <v>140</v>
      </c>
      <c r="BE29" s="14">
        <f t="shared" si="1"/>
        <v>600</v>
      </c>
      <c r="BF29" s="14">
        <f t="shared" si="2"/>
        <v>1575</v>
      </c>
      <c r="BG29" s="14">
        <f t="shared" si="38"/>
        <v>0.5</v>
      </c>
      <c r="BH29" s="14">
        <f t="shared" si="39"/>
        <v>11000</v>
      </c>
      <c r="BK29" s="109">
        <v>25</v>
      </c>
      <c r="BL29" s="14">
        <f t="shared" si="40"/>
        <v>3</v>
      </c>
      <c r="BM29" s="14">
        <f t="shared" si="41"/>
        <v>5</v>
      </c>
      <c r="BN29" s="14">
        <f t="shared" si="3"/>
        <v>300</v>
      </c>
      <c r="BO29" s="14">
        <f t="shared" si="4"/>
        <v>1200</v>
      </c>
      <c r="BP29" s="14">
        <f t="shared" si="5"/>
        <v>3150</v>
      </c>
      <c r="BS29" s="109">
        <v>25</v>
      </c>
      <c r="BT29" s="109">
        <f t="shared" si="42"/>
        <v>9</v>
      </c>
      <c r="BU29" s="112">
        <f t="shared" si="43"/>
        <v>50</v>
      </c>
      <c r="BV29" s="109">
        <f t="shared" si="6"/>
        <v>1</v>
      </c>
      <c r="BW29" s="109">
        <v>120</v>
      </c>
      <c r="BX29" s="109">
        <v>180</v>
      </c>
      <c r="BY29" s="112">
        <v>2</v>
      </c>
      <c r="BZ29" s="14">
        <f t="shared" si="44"/>
        <v>11091</v>
      </c>
      <c r="CA29" s="118">
        <v>1</v>
      </c>
      <c r="CB29" s="14">
        <f t="shared" si="45"/>
        <v>109</v>
      </c>
      <c r="CC29" s="118" t="s">
        <v>1026</v>
      </c>
      <c r="CD29" s="14">
        <f t="shared" si="46"/>
        <v>1</v>
      </c>
      <c r="CE29" s="166" t="str">
        <f t="shared" si="47"/>
        <v xml:space="preserve">钻石100 金币6000 </v>
      </c>
      <c r="CF29" s="14">
        <f t="shared" si="48"/>
        <v>10</v>
      </c>
      <c r="CG29" s="115" t="s">
        <v>19</v>
      </c>
      <c r="CH29" s="115">
        <v>100</v>
      </c>
      <c r="CI29" s="210" t="s">
        <v>358</v>
      </c>
      <c r="CJ29" s="210">
        <f>INDEX($I$6:$I$35,BT29)*BW29</f>
        <v>6000</v>
      </c>
      <c r="CK29" s="210"/>
      <c r="CL29" s="210"/>
      <c r="CO29" s="115">
        <f t="shared" si="7"/>
        <v>9</v>
      </c>
      <c r="CP29" s="115">
        <f t="shared" si="8"/>
        <v>60</v>
      </c>
      <c r="CQ29" s="118">
        <v>1</v>
      </c>
      <c r="CR29" s="109">
        <f t="shared" si="9"/>
        <v>180</v>
      </c>
      <c r="CS29" s="109">
        <f t="shared" si="10"/>
        <v>360</v>
      </c>
      <c r="CT29" s="115">
        <v>7</v>
      </c>
      <c r="CU29" s="14">
        <f t="shared" si="11"/>
        <v>12091</v>
      </c>
      <c r="CV29" s="118">
        <v>2</v>
      </c>
      <c r="CW29" s="14">
        <f t="shared" si="12"/>
        <v>209</v>
      </c>
      <c r="CX29" s="118" t="s">
        <v>1026</v>
      </c>
      <c r="CY29" s="14">
        <f t="shared" si="13"/>
        <v>1</v>
      </c>
      <c r="CZ29" s="166" t="str">
        <f t="shared" si="50"/>
        <v>钻石10060级-防御套守护灵の头盔1金币9000</v>
      </c>
      <c r="DA29" s="14">
        <f t="shared" si="51"/>
        <v>10</v>
      </c>
      <c r="DB29" s="115" t="s">
        <v>257</v>
      </c>
      <c r="DC29" s="115">
        <v>100</v>
      </c>
      <c r="DD29" s="115" t="s">
        <v>1449</v>
      </c>
      <c r="DE29" s="115">
        <v>1</v>
      </c>
      <c r="DF29" s="109" t="s">
        <v>252</v>
      </c>
      <c r="DG29" s="115">
        <f t="shared" si="14"/>
        <v>9000</v>
      </c>
      <c r="DJ29" s="118">
        <v>25</v>
      </c>
      <c r="DK29" s="14">
        <f t="shared" si="52"/>
        <v>9</v>
      </c>
      <c r="DL29" s="118">
        <f t="shared" si="15"/>
        <v>50</v>
      </c>
      <c r="DM29" s="166">
        <f t="shared" si="16"/>
        <v>1</v>
      </c>
      <c r="DN29" s="166">
        <v>120</v>
      </c>
      <c r="DO29" s="166">
        <v>540</v>
      </c>
      <c r="DP29" s="166">
        <v>2</v>
      </c>
      <c r="DQ29" s="118">
        <v>90</v>
      </c>
      <c r="DR29" s="118">
        <f t="shared" si="53"/>
        <v>21091</v>
      </c>
      <c r="DS29" s="118">
        <v>1</v>
      </c>
      <c r="DT29" s="14">
        <f t="shared" si="17"/>
        <v>109</v>
      </c>
      <c r="DU29" s="118" t="s">
        <v>1034</v>
      </c>
      <c r="DV29" s="118">
        <v>1</v>
      </c>
      <c r="DW29" s="166" t="str">
        <f t="shared" si="18"/>
        <v>蓝色基础材料23守护灵初级抽卡券2守护灵经验7200</v>
      </c>
      <c r="DX29" s="14">
        <f t="shared" ref="DX29" si="118">DT29*100+3</f>
        <v>10903</v>
      </c>
      <c r="DY29" s="118" t="s">
        <v>1606</v>
      </c>
      <c r="DZ29" s="118">
        <v>2</v>
      </c>
      <c r="EA29" s="14" t="str">
        <f>INDEX(挂机升级突破!$DT$4:$DX$4,DP29)</f>
        <v>蓝色基础材料</v>
      </c>
      <c r="EB29" s="14">
        <f>ROUND(INDEX(挂机升级突破!$G$7:$K$37,DK29+2,章节关卡!DP29)/INDEX(挂机升级突破!$G$5:$K$5,章节关卡!DP29)*INDEX(挂机升级突破!$G$4:$K$4,章节关卡!DP29)*章节关卡!DO29,0)</f>
        <v>23</v>
      </c>
      <c r="EC29" s="118" t="s">
        <v>1038</v>
      </c>
      <c r="ED29" s="14">
        <f t="shared" si="19"/>
        <v>7200</v>
      </c>
      <c r="EI29" s="166">
        <v>25</v>
      </c>
      <c r="EJ29" s="14">
        <f t="shared" si="54"/>
        <v>9</v>
      </c>
      <c r="EK29" s="166">
        <f t="shared" si="55"/>
        <v>55</v>
      </c>
      <c r="EL29" s="166">
        <f t="shared" si="20"/>
        <v>1</v>
      </c>
      <c r="EM29" s="166">
        <f t="shared" si="21"/>
        <v>180</v>
      </c>
      <c r="EN29" s="166">
        <f t="shared" si="64"/>
        <v>1350</v>
      </c>
      <c r="EO29" s="166">
        <v>7</v>
      </c>
      <c r="EP29" s="14">
        <f t="shared" si="22"/>
        <v>180</v>
      </c>
      <c r="EQ29" s="14">
        <f t="shared" si="57"/>
        <v>22091</v>
      </c>
      <c r="ER29" s="166">
        <v>1</v>
      </c>
      <c r="ES29" s="14">
        <f t="shared" si="58"/>
        <v>209</v>
      </c>
      <c r="ET29" s="166" t="s">
        <v>1034</v>
      </c>
      <c r="EU29" s="166">
        <v>1</v>
      </c>
      <c r="EV29" s="166"/>
      <c r="EW29" s="14">
        <f t="shared" ref="EW29" si="119">ES29*100+3</f>
        <v>20903</v>
      </c>
      <c r="EX29" s="166" t="s">
        <v>1397</v>
      </c>
      <c r="EY29" s="166">
        <v>20</v>
      </c>
      <c r="EZ29" s="14" t="str">
        <f>INDEX(挂机升级突破!$DT$4:$EC$4,EO29)</f>
        <v>乌金</v>
      </c>
      <c r="FA29" s="14">
        <f>ROUND(INDEX(挂机升级突破!$G$7:$R$37,EJ29+3,EO29)/INDEX(挂机升级突破!$G$5:$R$5,章节关卡!EO29)*INDEX(挂机升级突破!$G$4:$R$4,章节关卡!EO29)*章节关卡!EN29,0)</f>
        <v>2</v>
      </c>
      <c r="FB29" s="166" t="s">
        <v>1399</v>
      </c>
      <c r="FC29" s="166">
        <f t="shared" si="23"/>
        <v>18000</v>
      </c>
    </row>
    <row r="30" spans="1:159" ht="16.5" x14ac:dyDescent="0.2">
      <c r="A30" s="76">
        <v>25</v>
      </c>
      <c r="B30" s="76">
        <v>130</v>
      </c>
      <c r="C30" s="166">
        <f>节奏总表!N29*60</f>
        <v>12600</v>
      </c>
      <c r="D30" s="109">
        <v>4</v>
      </c>
      <c r="E30" s="14">
        <f>SUM(D$5:D30)</f>
        <v>100</v>
      </c>
      <c r="F30" s="76">
        <v>5</v>
      </c>
      <c r="G30" s="76">
        <v>60</v>
      </c>
      <c r="H30" s="76">
        <v>5</v>
      </c>
      <c r="I30" s="76">
        <v>180</v>
      </c>
      <c r="J30" s="76">
        <f t="shared" si="108"/>
        <v>2</v>
      </c>
      <c r="K30" s="76">
        <v>5</v>
      </c>
      <c r="L30" s="76">
        <f t="shared" si="109"/>
        <v>300</v>
      </c>
      <c r="M30" s="76">
        <f t="shared" si="110"/>
        <v>5</v>
      </c>
      <c r="O30" s="76">
        <v>25</v>
      </c>
      <c r="P30" s="121">
        <v>130</v>
      </c>
      <c r="Q30" s="107">
        <v>10</v>
      </c>
      <c r="R30" s="14">
        <f>SUM(Q$5:Q30)</f>
        <v>250</v>
      </c>
      <c r="S30" s="76">
        <v>20</v>
      </c>
      <c r="T30" s="109">
        <f t="shared" si="26"/>
        <v>1200</v>
      </c>
      <c r="U30" s="76">
        <v>30</v>
      </c>
      <c r="V30" s="109">
        <f t="shared" si="27"/>
        <v>5400</v>
      </c>
      <c r="W30" s="109">
        <v>45</v>
      </c>
      <c r="X30" s="76">
        <f t="shared" si="28"/>
        <v>13500</v>
      </c>
      <c r="Y30" s="76">
        <v>155</v>
      </c>
      <c r="Z30" s="109">
        <f t="shared" si="29"/>
        <v>46500</v>
      </c>
      <c r="AA30" s="181">
        <f>INDEX(节奏总表!$Z$5:$Z$32,章节关卡!O30)</f>
        <v>41.46</v>
      </c>
      <c r="AC30" s="77">
        <v>25</v>
      </c>
      <c r="AD30" s="210">
        <v>142</v>
      </c>
      <c r="AE30" s="172">
        <v>27</v>
      </c>
      <c r="AF30" s="109">
        <v>10</v>
      </c>
      <c r="AG30" s="155">
        <f>INDEX(节奏总表!$N$5:$N$34,章节关卡!AE30)</f>
        <v>300</v>
      </c>
      <c r="AH30" s="118">
        <f t="shared" si="69"/>
        <v>4500</v>
      </c>
      <c r="AI30" s="14">
        <f>SUM(AF$5:AF30)</f>
        <v>250</v>
      </c>
      <c r="AJ30" s="14">
        <f t="shared" si="61"/>
        <v>31500</v>
      </c>
      <c r="AK30" s="109">
        <v>60</v>
      </c>
      <c r="AL30" s="14">
        <f t="shared" si="62"/>
        <v>10800</v>
      </c>
      <c r="AM30" s="109">
        <v>90</v>
      </c>
      <c r="AN30" s="14">
        <f t="shared" si="30"/>
        <v>27000</v>
      </c>
      <c r="AO30" s="109">
        <v>300</v>
      </c>
      <c r="AP30" s="14">
        <f t="shared" si="31"/>
        <v>90000</v>
      </c>
      <c r="AS30" s="24">
        <v>26</v>
      </c>
      <c r="AT30" s="14">
        <f t="shared" si="32"/>
        <v>7</v>
      </c>
      <c r="AU30" s="109">
        <f t="shared" si="33"/>
        <v>2</v>
      </c>
      <c r="AV30" s="109">
        <f t="shared" si="34"/>
        <v>12</v>
      </c>
      <c r="AW30" s="109">
        <f t="shared" si="35"/>
        <v>37</v>
      </c>
      <c r="AX30" s="109">
        <f t="shared" si="36"/>
        <v>54</v>
      </c>
      <c r="BA30" s="109">
        <v>26</v>
      </c>
      <c r="BB30" s="14">
        <f t="shared" si="0"/>
        <v>3</v>
      </c>
      <c r="BC30" s="14">
        <f t="shared" si="37"/>
        <v>6</v>
      </c>
      <c r="BD30" s="14">
        <f t="shared" si="81"/>
        <v>140</v>
      </c>
      <c r="BE30" s="14">
        <f t="shared" si="1"/>
        <v>600</v>
      </c>
      <c r="BF30" s="14">
        <f t="shared" si="2"/>
        <v>1575</v>
      </c>
      <c r="BG30" s="14">
        <f t="shared" si="38"/>
        <v>0.5</v>
      </c>
      <c r="BH30" s="14">
        <f t="shared" si="39"/>
        <v>11000</v>
      </c>
      <c r="BK30" s="109">
        <v>26</v>
      </c>
      <c r="BL30" s="14">
        <f t="shared" si="40"/>
        <v>3</v>
      </c>
      <c r="BM30" s="14">
        <f t="shared" si="41"/>
        <v>6</v>
      </c>
      <c r="BN30" s="14">
        <f t="shared" si="3"/>
        <v>300</v>
      </c>
      <c r="BO30" s="14">
        <f t="shared" si="4"/>
        <v>1200</v>
      </c>
      <c r="BP30" s="14">
        <f t="shared" si="5"/>
        <v>3150</v>
      </c>
      <c r="BS30" s="109">
        <v>26</v>
      </c>
      <c r="BT30" s="109">
        <f t="shared" si="42"/>
        <v>9</v>
      </c>
      <c r="BU30" s="112">
        <f t="shared" si="43"/>
        <v>50</v>
      </c>
      <c r="BV30" s="109">
        <f t="shared" si="6"/>
        <v>2</v>
      </c>
      <c r="BW30" s="109">
        <v>240</v>
      </c>
      <c r="BX30" s="109">
        <v>360</v>
      </c>
      <c r="BY30" s="112">
        <v>2</v>
      </c>
      <c r="BZ30" s="14">
        <f t="shared" si="44"/>
        <v>11092</v>
      </c>
      <c r="CA30" s="118">
        <v>1</v>
      </c>
      <c r="CB30" s="14">
        <f t="shared" si="45"/>
        <v>109</v>
      </c>
      <c r="CC30" s="118" t="s">
        <v>1026</v>
      </c>
      <c r="CD30" s="14">
        <f t="shared" si="46"/>
        <v>2</v>
      </c>
      <c r="CE30" s="166" t="str">
        <f t="shared" si="47"/>
        <v>守护灵抽卡券2 2小时扫荡券1 金币12000</v>
      </c>
      <c r="CF30" s="14">
        <f t="shared" si="48"/>
        <v>20</v>
      </c>
      <c r="CG30" s="115" t="s">
        <v>258</v>
      </c>
      <c r="CH30" s="115">
        <v>2</v>
      </c>
      <c r="CI30" s="210" t="s">
        <v>1395</v>
      </c>
      <c r="CJ30" s="210">
        <v>1</v>
      </c>
      <c r="CK30" s="210" t="s">
        <v>252</v>
      </c>
      <c r="CL30" s="210">
        <f t="shared" ref="CL30:CL31" si="120">INDEX($I$6:$I$35,BT30)*BW30</f>
        <v>12000</v>
      </c>
      <c r="CO30" s="115">
        <f t="shared" si="7"/>
        <v>9</v>
      </c>
      <c r="CP30" s="115">
        <f t="shared" si="8"/>
        <v>60</v>
      </c>
      <c r="CQ30" s="118">
        <v>2</v>
      </c>
      <c r="CR30" s="109">
        <f t="shared" si="9"/>
        <v>360</v>
      </c>
      <c r="CS30" s="109">
        <f t="shared" si="10"/>
        <v>720</v>
      </c>
      <c r="CT30" s="115">
        <v>7</v>
      </c>
      <c r="CU30" s="14">
        <f t="shared" si="11"/>
        <v>12092</v>
      </c>
      <c r="CV30" s="118">
        <v>2</v>
      </c>
      <c r="CW30" s="14">
        <f t="shared" si="12"/>
        <v>209</v>
      </c>
      <c r="CX30" s="118" t="s">
        <v>1026</v>
      </c>
      <c r="CY30" s="14">
        <f t="shared" si="13"/>
        <v>2</v>
      </c>
      <c r="CZ30" s="166" t="str">
        <f t="shared" si="50"/>
        <v>熔炼值120060级-防御套守护灵の铠甲1金币18000</v>
      </c>
      <c r="DA30" s="14">
        <f t="shared" si="51"/>
        <v>20</v>
      </c>
      <c r="DB30" s="115" t="s">
        <v>1005</v>
      </c>
      <c r="DC30" s="115">
        <v>1200</v>
      </c>
      <c r="DD30" s="115" t="s">
        <v>1450</v>
      </c>
      <c r="DE30" s="115">
        <v>1</v>
      </c>
      <c r="DF30" s="109" t="s">
        <v>252</v>
      </c>
      <c r="DG30" s="115">
        <f t="shared" si="14"/>
        <v>18000</v>
      </c>
      <c r="DJ30" s="118">
        <v>26</v>
      </c>
      <c r="DK30" s="14">
        <f t="shared" si="52"/>
        <v>9</v>
      </c>
      <c r="DL30" s="118">
        <f t="shared" si="15"/>
        <v>50</v>
      </c>
      <c r="DM30" s="166">
        <f t="shared" si="16"/>
        <v>2</v>
      </c>
      <c r="DN30" s="166">
        <v>240</v>
      </c>
      <c r="DO30" s="166">
        <v>1080</v>
      </c>
      <c r="DP30" s="166">
        <v>2</v>
      </c>
      <c r="DQ30" s="118">
        <v>120</v>
      </c>
      <c r="DR30" s="118">
        <f t="shared" si="53"/>
        <v>21092</v>
      </c>
      <c r="DS30" s="118">
        <v>1</v>
      </c>
      <c r="DT30" s="14">
        <f t="shared" si="17"/>
        <v>109</v>
      </c>
      <c r="DU30" s="118" t="s">
        <v>1034</v>
      </c>
      <c r="DV30" s="118">
        <v>2</v>
      </c>
      <c r="DW30" s="166" t="str">
        <f t="shared" si="18"/>
        <v>蓝色基础材料45守护灵初级抽卡券3守护灵经验9600</v>
      </c>
      <c r="DX30" s="14">
        <f t="shared" ref="DX30" si="121">DT30*100+6</f>
        <v>10906</v>
      </c>
      <c r="DY30" s="118" t="s">
        <v>1606</v>
      </c>
      <c r="DZ30" s="118">
        <v>3</v>
      </c>
      <c r="EA30" s="14" t="str">
        <f>INDEX(挂机升级突破!$DT$4:$DX$4,DP30)</f>
        <v>蓝色基础材料</v>
      </c>
      <c r="EB30" s="14">
        <f>ROUND(INDEX(挂机升级突破!$G$7:$K$37,DK30+2,章节关卡!DP30)/INDEX(挂机升级突破!$G$5:$K$5,章节关卡!DP30)*INDEX(挂机升级突破!$G$4:$K$4,章节关卡!DP30)*章节关卡!DO30,0)</f>
        <v>45</v>
      </c>
      <c r="EC30" s="118" t="s">
        <v>1038</v>
      </c>
      <c r="ED30" s="14">
        <f t="shared" si="19"/>
        <v>9600</v>
      </c>
      <c r="EI30" s="166">
        <v>26</v>
      </c>
      <c r="EJ30" s="14">
        <f t="shared" si="54"/>
        <v>9</v>
      </c>
      <c r="EK30" s="166">
        <f t="shared" si="55"/>
        <v>55</v>
      </c>
      <c r="EL30" s="166">
        <f t="shared" si="20"/>
        <v>2</v>
      </c>
      <c r="EM30" s="166">
        <f t="shared" si="21"/>
        <v>360</v>
      </c>
      <c r="EN30" s="166">
        <f t="shared" si="64"/>
        <v>2700</v>
      </c>
      <c r="EO30" s="166">
        <v>7</v>
      </c>
      <c r="EP30" s="14">
        <f t="shared" si="22"/>
        <v>240</v>
      </c>
      <c r="EQ30" s="14">
        <f t="shared" si="57"/>
        <v>22092</v>
      </c>
      <c r="ER30" s="166">
        <v>1</v>
      </c>
      <c r="ES30" s="14">
        <f t="shared" si="58"/>
        <v>209</v>
      </c>
      <c r="ET30" s="166" t="s">
        <v>1034</v>
      </c>
      <c r="EU30" s="166">
        <v>2</v>
      </c>
      <c r="EV30" s="166"/>
      <c r="EW30" s="14">
        <f t="shared" ref="EW30" si="122">ES30*100+6</f>
        <v>20906</v>
      </c>
      <c r="EX30" s="166" t="s">
        <v>1397</v>
      </c>
      <c r="EY30" s="166">
        <v>30</v>
      </c>
      <c r="EZ30" s="14" t="str">
        <f>INDEX(挂机升级突破!$DT$4:$EC$4,EO30)</f>
        <v>乌金</v>
      </c>
      <c r="FA30" s="14">
        <f>ROUND(INDEX(挂机升级突破!$G$7:$R$37,EJ30+3,EO30)/INDEX(挂机升级突破!$G$5:$R$5,章节关卡!EO30)*INDEX(挂机升级突破!$G$4:$R$4,章节关卡!EO30)*章节关卡!EN30,0)</f>
        <v>5</v>
      </c>
      <c r="FB30" s="166" t="s">
        <v>1399</v>
      </c>
      <c r="FC30" s="166">
        <f t="shared" si="23"/>
        <v>36000</v>
      </c>
    </row>
    <row r="31" spans="1:159" ht="16.5" x14ac:dyDescent="0.2">
      <c r="A31" s="76">
        <v>26</v>
      </c>
      <c r="B31" s="76">
        <v>135</v>
      </c>
      <c r="C31" s="166">
        <f>节奏总表!N30*60</f>
        <v>15000</v>
      </c>
      <c r="D31" s="109">
        <v>4</v>
      </c>
      <c r="E31" s="14">
        <f>SUM(D$5:D31)</f>
        <v>104</v>
      </c>
      <c r="F31" s="76">
        <v>5</v>
      </c>
      <c r="G31" s="76">
        <v>65</v>
      </c>
      <c r="H31" s="76">
        <v>5</v>
      </c>
      <c r="I31" s="76">
        <v>190</v>
      </c>
      <c r="J31" s="76">
        <f t="shared" si="108"/>
        <v>2</v>
      </c>
      <c r="K31" s="76">
        <v>5</v>
      </c>
      <c r="L31" s="76">
        <f t="shared" si="109"/>
        <v>325</v>
      </c>
      <c r="M31" s="76">
        <f t="shared" si="110"/>
        <v>5</v>
      </c>
      <c r="O31" s="76">
        <v>26</v>
      </c>
      <c r="P31" s="121">
        <v>135</v>
      </c>
      <c r="Q31" s="107">
        <v>10</v>
      </c>
      <c r="R31" s="14">
        <f>SUM(Q$5:Q31)</f>
        <v>260</v>
      </c>
      <c r="S31" s="76">
        <v>20</v>
      </c>
      <c r="T31" s="109">
        <f t="shared" si="26"/>
        <v>1300</v>
      </c>
      <c r="U31" s="76">
        <v>30</v>
      </c>
      <c r="V31" s="109">
        <f t="shared" si="27"/>
        <v>5700</v>
      </c>
      <c r="W31" s="109">
        <v>45</v>
      </c>
      <c r="X31" s="76">
        <f t="shared" si="28"/>
        <v>14625</v>
      </c>
      <c r="Y31" s="76">
        <v>156</v>
      </c>
      <c r="Z31" s="109">
        <f t="shared" si="29"/>
        <v>50700</v>
      </c>
      <c r="AA31" s="181">
        <f>INDEX(节奏总表!$Z$5:$Z$32,章节关卡!O31)</f>
        <v>46.67</v>
      </c>
      <c r="AC31" s="77">
        <v>26</v>
      </c>
      <c r="AD31" s="210">
        <v>147</v>
      </c>
      <c r="AE31" s="172">
        <v>28</v>
      </c>
      <c r="AF31" s="109">
        <v>10</v>
      </c>
      <c r="AG31" s="155">
        <f>INDEX(节奏总表!$N$5:$N$34,章节关卡!AE31)</f>
        <v>340</v>
      </c>
      <c r="AH31" s="118">
        <f t="shared" si="69"/>
        <v>5100</v>
      </c>
      <c r="AI31" s="14">
        <f>SUM(AF$5:AF31)</f>
        <v>260</v>
      </c>
      <c r="AJ31" s="14">
        <f t="shared" si="61"/>
        <v>38250</v>
      </c>
      <c r="AK31" s="109">
        <v>60</v>
      </c>
      <c r="AL31" s="14">
        <f t="shared" si="62"/>
        <v>11400</v>
      </c>
      <c r="AM31" s="109">
        <v>90</v>
      </c>
      <c r="AN31" s="14">
        <f t="shared" si="30"/>
        <v>29250</v>
      </c>
      <c r="AO31" s="109">
        <v>300</v>
      </c>
      <c r="AP31" s="14">
        <f t="shared" si="31"/>
        <v>97500</v>
      </c>
      <c r="AS31" s="24">
        <v>27</v>
      </c>
      <c r="AT31" s="14">
        <f t="shared" si="32"/>
        <v>7</v>
      </c>
      <c r="AU31" s="109">
        <f t="shared" si="33"/>
        <v>3</v>
      </c>
      <c r="AV31" s="109">
        <f t="shared" si="34"/>
        <v>12</v>
      </c>
      <c r="AW31" s="109">
        <f t="shared" si="35"/>
        <v>38</v>
      </c>
      <c r="AX31" s="109">
        <f t="shared" si="36"/>
        <v>56</v>
      </c>
      <c r="BA31" s="109">
        <v>27</v>
      </c>
      <c r="BB31" s="14">
        <f t="shared" si="0"/>
        <v>3</v>
      </c>
      <c r="BC31" s="14">
        <f t="shared" si="37"/>
        <v>7</v>
      </c>
      <c r="BD31" s="14">
        <f t="shared" si="81"/>
        <v>140</v>
      </c>
      <c r="BE31" s="14">
        <f t="shared" si="1"/>
        <v>600</v>
      </c>
      <c r="BF31" s="14">
        <f t="shared" si="2"/>
        <v>1575</v>
      </c>
      <c r="BG31" s="14">
        <f t="shared" si="38"/>
        <v>0.5</v>
      </c>
      <c r="BH31" s="14">
        <f t="shared" si="39"/>
        <v>11000</v>
      </c>
      <c r="BK31" s="109">
        <v>27</v>
      </c>
      <c r="BL31" s="14">
        <f t="shared" si="40"/>
        <v>3</v>
      </c>
      <c r="BM31" s="14">
        <f t="shared" si="41"/>
        <v>7</v>
      </c>
      <c r="BN31" s="14">
        <f t="shared" si="3"/>
        <v>300</v>
      </c>
      <c r="BO31" s="14">
        <f t="shared" si="4"/>
        <v>1200</v>
      </c>
      <c r="BP31" s="14">
        <f t="shared" si="5"/>
        <v>3150</v>
      </c>
      <c r="BS31" s="109">
        <v>27</v>
      </c>
      <c r="BT31" s="109">
        <f t="shared" si="42"/>
        <v>9</v>
      </c>
      <c r="BU31" s="112">
        <f t="shared" si="43"/>
        <v>50</v>
      </c>
      <c r="BV31" s="109">
        <f t="shared" si="6"/>
        <v>3</v>
      </c>
      <c r="BW31" s="109">
        <v>360</v>
      </c>
      <c r="BX31" s="109">
        <v>540</v>
      </c>
      <c r="BY31" s="112">
        <v>2</v>
      </c>
      <c r="BZ31" s="14">
        <f t="shared" si="44"/>
        <v>11093</v>
      </c>
      <c r="CA31" s="118">
        <v>1</v>
      </c>
      <c r="CB31" s="14">
        <f t="shared" si="45"/>
        <v>109</v>
      </c>
      <c r="CC31" s="118" t="s">
        <v>1026</v>
      </c>
      <c r="CD31" s="14">
        <f t="shared" si="46"/>
        <v>3</v>
      </c>
      <c r="CE31" s="166" t="str">
        <f t="shared" si="47"/>
        <v>守护灵抽卡券3 2小时扫荡券1 金币18000</v>
      </c>
      <c r="CF31" s="14">
        <f t="shared" si="48"/>
        <v>30</v>
      </c>
      <c r="CG31" s="115" t="s">
        <v>258</v>
      </c>
      <c r="CH31" s="115">
        <v>3</v>
      </c>
      <c r="CI31" s="210" t="s">
        <v>1395</v>
      </c>
      <c r="CJ31" s="210">
        <v>1</v>
      </c>
      <c r="CK31" s="210" t="s">
        <v>252</v>
      </c>
      <c r="CL31" s="210">
        <f t="shared" si="120"/>
        <v>18000</v>
      </c>
      <c r="CO31" s="115">
        <f t="shared" si="7"/>
        <v>9</v>
      </c>
      <c r="CP31" s="115">
        <f t="shared" si="8"/>
        <v>60</v>
      </c>
      <c r="CQ31" s="118">
        <v>3</v>
      </c>
      <c r="CR31" s="109">
        <f t="shared" si="9"/>
        <v>540</v>
      </c>
      <c r="CS31" s="109">
        <f t="shared" si="10"/>
        <v>1080</v>
      </c>
      <c r="CT31" s="115">
        <v>7</v>
      </c>
      <c r="CU31" s="14">
        <f t="shared" si="11"/>
        <v>12093</v>
      </c>
      <c r="CV31" s="118">
        <v>2</v>
      </c>
      <c r="CW31" s="14">
        <f t="shared" si="12"/>
        <v>209</v>
      </c>
      <c r="CX31" s="118" t="s">
        <v>1026</v>
      </c>
      <c r="CY31" s="14">
        <f t="shared" si="13"/>
        <v>3</v>
      </c>
      <c r="CZ31" s="166" t="str">
        <f t="shared" si="50"/>
        <v>守护灵抽卡券560级-防御套守护灵の裤子1金币27000</v>
      </c>
      <c r="DA31" s="14">
        <f t="shared" si="51"/>
        <v>30</v>
      </c>
      <c r="DB31" s="115" t="s">
        <v>1004</v>
      </c>
      <c r="DC31" s="115">
        <v>5</v>
      </c>
      <c r="DD31" s="115" t="s">
        <v>1451</v>
      </c>
      <c r="DE31" s="115">
        <v>1</v>
      </c>
      <c r="DF31" s="109" t="s">
        <v>252</v>
      </c>
      <c r="DG31" s="115">
        <f t="shared" si="14"/>
        <v>27000</v>
      </c>
      <c r="DJ31" s="118">
        <v>27</v>
      </c>
      <c r="DK31" s="14">
        <f t="shared" si="52"/>
        <v>9</v>
      </c>
      <c r="DL31" s="118">
        <f t="shared" si="15"/>
        <v>50</v>
      </c>
      <c r="DM31" s="166">
        <f t="shared" si="16"/>
        <v>3</v>
      </c>
      <c r="DN31" s="166">
        <v>360</v>
      </c>
      <c r="DO31" s="166">
        <v>1620</v>
      </c>
      <c r="DP31" s="166">
        <v>2</v>
      </c>
      <c r="DQ31" s="118">
        <v>150</v>
      </c>
      <c r="DR31" s="118">
        <f t="shared" si="53"/>
        <v>21093</v>
      </c>
      <c r="DS31" s="118">
        <v>1</v>
      </c>
      <c r="DT31" s="14">
        <f t="shared" si="17"/>
        <v>109</v>
      </c>
      <c r="DU31" s="118" t="s">
        <v>1034</v>
      </c>
      <c r="DV31" s="118">
        <v>3</v>
      </c>
      <c r="DW31" s="166" t="str">
        <f t="shared" si="18"/>
        <v>蓝色基础材料68守护灵初级抽卡券5守护灵经验12000</v>
      </c>
      <c r="DX31" s="14">
        <f t="shared" ref="DX31" si="123">DT31*100+9</f>
        <v>10909</v>
      </c>
      <c r="DY31" s="118" t="s">
        <v>1606</v>
      </c>
      <c r="DZ31" s="118">
        <v>5</v>
      </c>
      <c r="EA31" s="14" t="str">
        <f>INDEX(挂机升级突破!$DT$4:$DX$4,DP31)</f>
        <v>蓝色基础材料</v>
      </c>
      <c r="EB31" s="14">
        <f>ROUND(INDEX(挂机升级突破!$G$7:$K$37,DK31+2,章节关卡!DP31)/INDEX(挂机升级突破!$G$5:$K$5,章节关卡!DP31)*INDEX(挂机升级突破!$G$4:$K$4,章节关卡!DP31)*章节关卡!DO31,0)</f>
        <v>68</v>
      </c>
      <c r="EC31" s="118" t="s">
        <v>1038</v>
      </c>
      <c r="ED31" s="14">
        <f t="shared" si="19"/>
        <v>12000</v>
      </c>
      <c r="EI31" s="166">
        <v>27</v>
      </c>
      <c r="EJ31" s="14">
        <f t="shared" si="54"/>
        <v>9</v>
      </c>
      <c r="EK31" s="166">
        <f t="shared" si="55"/>
        <v>55</v>
      </c>
      <c r="EL31" s="166">
        <f t="shared" si="20"/>
        <v>3</v>
      </c>
      <c r="EM31" s="166">
        <f t="shared" si="21"/>
        <v>540</v>
      </c>
      <c r="EN31" s="166">
        <f t="shared" si="64"/>
        <v>4050</v>
      </c>
      <c r="EO31" s="166">
        <v>7</v>
      </c>
      <c r="EP31" s="14">
        <f t="shared" si="22"/>
        <v>300</v>
      </c>
      <c r="EQ31" s="14">
        <f t="shared" si="57"/>
        <v>22093</v>
      </c>
      <c r="ER31" s="166">
        <v>1</v>
      </c>
      <c r="ES31" s="14">
        <f t="shared" si="58"/>
        <v>209</v>
      </c>
      <c r="ET31" s="166" t="s">
        <v>1034</v>
      </c>
      <c r="EU31" s="166">
        <v>3</v>
      </c>
      <c r="EV31" s="166"/>
      <c r="EW31" s="14">
        <f t="shared" ref="EW31" si="124">ES31*100+9</f>
        <v>20909</v>
      </c>
      <c r="EX31" s="166" t="s">
        <v>1397</v>
      </c>
      <c r="EY31" s="166">
        <v>50</v>
      </c>
      <c r="EZ31" s="14" t="str">
        <f>INDEX(挂机升级突破!$DT$4:$EC$4,EO31)</f>
        <v>乌金</v>
      </c>
      <c r="FA31" s="14">
        <f>ROUND(INDEX(挂机升级突破!$G$7:$R$37,EJ31+3,EO31)/INDEX(挂机升级突破!$G$5:$R$5,章节关卡!EO31)*INDEX(挂机升级突破!$G$4:$R$4,章节关卡!EO31)*章节关卡!EN31,0)</f>
        <v>7</v>
      </c>
      <c r="FB31" s="166" t="s">
        <v>1399</v>
      </c>
      <c r="FC31" s="166">
        <f t="shared" si="23"/>
        <v>54000</v>
      </c>
    </row>
    <row r="32" spans="1:159" ht="16.5" x14ac:dyDescent="0.2">
      <c r="A32" s="76">
        <v>27</v>
      </c>
      <c r="B32" s="76">
        <v>140</v>
      </c>
      <c r="C32" s="166">
        <f>节奏总表!N31*60</f>
        <v>18000</v>
      </c>
      <c r="D32" s="109">
        <v>4</v>
      </c>
      <c r="E32" s="14">
        <f>SUM(D$5:D32)</f>
        <v>108</v>
      </c>
      <c r="F32" s="76">
        <v>5</v>
      </c>
      <c r="G32" s="76">
        <v>70</v>
      </c>
      <c r="H32" s="76">
        <v>5</v>
      </c>
      <c r="I32" s="76">
        <v>200</v>
      </c>
      <c r="J32" s="76">
        <f t="shared" si="108"/>
        <v>2</v>
      </c>
      <c r="K32" s="76">
        <v>5</v>
      </c>
      <c r="L32" s="76">
        <f t="shared" si="109"/>
        <v>350</v>
      </c>
      <c r="M32" s="76">
        <f t="shared" si="110"/>
        <v>5</v>
      </c>
      <c r="O32" s="76">
        <v>27</v>
      </c>
      <c r="P32" s="121">
        <v>140</v>
      </c>
      <c r="Q32" s="107">
        <v>10</v>
      </c>
      <c r="R32" s="14">
        <f>SUM(Q$5:Q32)</f>
        <v>270</v>
      </c>
      <c r="S32" s="76">
        <v>20</v>
      </c>
      <c r="T32" s="109">
        <f t="shared" si="26"/>
        <v>1400</v>
      </c>
      <c r="U32" s="76">
        <v>30</v>
      </c>
      <c r="V32" s="109">
        <f t="shared" si="27"/>
        <v>6000</v>
      </c>
      <c r="W32" s="109">
        <v>45</v>
      </c>
      <c r="X32" s="76">
        <f t="shared" si="28"/>
        <v>15750</v>
      </c>
      <c r="Y32" s="76">
        <v>157</v>
      </c>
      <c r="Z32" s="109">
        <f t="shared" si="29"/>
        <v>54950</v>
      </c>
      <c r="AA32" s="181">
        <f>INDEX(节奏总表!$Z$5:$Z$32,章节关卡!O32)</f>
        <v>52.92</v>
      </c>
      <c r="AC32" s="77">
        <v>27</v>
      </c>
      <c r="AD32" s="210">
        <v>150</v>
      </c>
      <c r="AE32" s="172">
        <v>29</v>
      </c>
      <c r="AF32" s="109">
        <v>10</v>
      </c>
      <c r="AG32" s="155">
        <f>INDEX(节奏总表!$N$5:$N$34,章节关卡!AE32)</f>
        <v>1440</v>
      </c>
      <c r="AH32" s="118">
        <f>AH31</f>
        <v>5100</v>
      </c>
      <c r="AI32" s="14">
        <f>SUM(AF$5:AF32)</f>
        <v>270</v>
      </c>
      <c r="AJ32" s="14">
        <f t="shared" si="61"/>
        <v>40800</v>
      </c>
      <c r="AK32" s="109">
        <v>60</v>
      </c>
      <c r="AL32" s="14">
        <f t="shared" si="62"/>
        <v>12000</v>
      </c>
      <c r="AM32" s="109">
        <v>90</v>
      </c>
      <c r="AN32" s="14">
        <f t="shared" si="30"/>
        <v>31500</v>
      </c>
      <c r="AO32" s="109">
        <v>300</v>
      </c>
      <c r="AP32" s="14">
        <f t="shared" si="31"/>
        <v>105000</v>
      </c>
      <c r="AS32" s="24">
        <v>28</v>
      </c>
      <c r="AT32" s="14">
        <f t="shared" si="32"/>
        <v>7</v>
      </c>
      <c r="AU32" s="109">
        <f t="shared" si="33"/>
        <v>4</v>
      </c>
      <c r="AV32" s="109">
        <f t="shared" si="34"/>
        <v>12</v>
      </c>
      <c r="AW32" s="109">
        <f t="shared" si="35"/>
        <v>39</v>
      </c>
      <c r="AX32" s="109">
        <f t="shared" si="36"/>
        <v>58</v>
      </c>
      <c r="BA32" s="109">
        <v>28</v>
      </c>
      <c r="BB32" s="14">
        <f t="shared" si="0"/>
        <v>3</v>
      </c>
      <c r="BC32" s="14">
        <f t="shared" si="37"/>
        <v>8</v>
      </c>
      <c r="BD32" s="14">
        <f t="shared" si="81"/>
        <v>140</v>
      </c>
      <c r="BE32" s="14">
        <f t="shared" si="1"/>
        <v>600</v>
      </c>
      <c r="BF32" s="14">
        <f t="shared" si="2"/>
        <v>1575</v>
      </c>
      <c r="BG32" s="14">
        <f t="shared" si="38"/>
        <v>0.5</v>
      </c>
      <c r="BH32" s="14">
        <f t="shared" si="39"/>
        <v>11000</v>
      </c>
      <c r="BK32" s="109">
        <v>28</v>
      </c>
      <c r="BL32" s="14">
        <f t="shared" si="40"/>
        <v>3</v>
      </c>
      <c r="BM32" s="14">
        <f t="shared" si="41"/>
        <v>8</v>
      </c>
      <c r="BN32" s="14">
        <f t="shared" si="3"/>
        <v>300</v>
      </c>
      <c r="BO32" s="14">
        <f t="shared" si="4"/>
        <v>1200</v>
      </c>
      <c r="BP32" s="14">
        <f t="shared" si="5"/>
        <v>3150</v>
      </c>
      <c r="BS32" s="109">
        <v>28</v>
      </c>
      <c r="BT32" s="109">
        <f t="shared" si="42"/>
        <v>10</v>
      </c>
      <c r="BU32" s="112">
        <f t="shared" si="43"/>
        <v>55</v>
      </c>
      <c r="BV32" s="109">
        <f t="shared" si="6"/>
        <v>1</v>
      </c>
      <c r="BW32" s="109">
        <v>120</v>
      </c>
      <c r="BX32" s="109">
        <v>180</v>
      </c>
      <c r="BY32" s="109">
        <v>3</v>
      </c>
      <c r="BZ32" s="14">
        <f t="shared" si="44"/>
        <v>11101</v>
      </c>
      <c r="CA32" s="118">
        <v>1</v>
      </c>
      <c r="CB32" s="14">
        <f t="shared" si="45"/>
        <v>110</v>
      </c>
      <c r="CC32" s="118" t="s">
        <v>1026</v>
      </c>
      <c r="CD32" s="14">
        <f t="shared" si="46"/>
        <v>1</v>
      </c>
      <c r="CE32" s="166" t="str">
        <f t="shared" si="47"/>
        <v xml:space="preserve">钻石100 金币6600 </v>
      </c>
      <c r="CF32" s="14">
        <f t="shared" si="48"/>
        <v>10</v>
      </c>
      <c r="CG32" s="115" t="s">
        <v>19</v>
      </c>
      <c r="CH32" s="115">
        <v>100</v>
      </c>
      <c r="CI32" s="210" t="s">
        <v>358</v>
      </c>
      <c r="CJ32" s="210">
        <f>INDEX($I$6:$I$35,BT32)*BW32</f>
        <v>6600</v>
      </c>
      <c r="CK32" s="210"/>
      <c r="CL32" s="210"/>
      <c r="CO32" s="115">
        <f t="shared" si="7"/>
        <v>10</v>
      </c>
      <c r="CP32" s="115">
        <f t="shared" si="8"/>
        <v>65</v>
      </c>
      <c r="CQ32" s="118">
        <v>1</v>
      </c>
      <c r="CR32" s="109">
        <f t="shared" si="9"/>
        <v>180</v>
      </c>
      <c r="CS32" s="109">
        <f t="shared" si="10"/>
        <v>360</v>
      </c>
      <c r="CT32" s="115">
        <v>7</v>
      </c>
      <c r="CU32" s="14">
        <f t="shared" si="11"/>
        <v>12101</v>
      </c>
      <c r="CV32" s="118">
        <v>2</v>
      </c>
      <c r="CW32" s="14">
        <f t="shared" si="12"/>
        <v>210</v>
      </c>
      <c r="CX32" s="118" t="s">
        <v>1026</v>
      </c>
      <c r="CY32" s="14">
        <f t="shared" si="13"/>
        <v>1</v>
      </c>
      <c r="CZ32" s="166" t="str">
        <f t="shared" si="50"/>
        <v>钻石10060级-防御套守护灵の鞋子1金币9900</v>
      </c>
      <c r="DA32" s="14">
        <f t="shared" si="51"/>
        <v>10</v>
      </c>
      <c r="DB32" s="115" t="s">
        <v>257</v>
      </c>
      <c r="DC32" s="115">
        <v>100</v>
      </c>
      <c r="DD32" s="115" t="s">
        <v>1452</v>
      </c>
      <c r="DE32" s="115">
        <v>1</v>
      </c>
      <c r="DF32" s="109" t="s">
        <v>252</v>
      </c>
      <c r="DG32" s="115">
        <f t="shared" si="14"/>
        <v>9900</v>
      </c>
      <c r="DJ32" s="118">
        <v>28</v>
      </c>
      <c r="DK32" s="14">
        <f t="shared" si="52"/>
        <v>10</v>
      </c>
      <c r="DL32" s="118">
        <f t="shared" si="15"/>
        <v>55</v>
      </c>
      <c r="DM32" s="166">
        <f t="shared" si="16"/>
        <v>1</v>
      </c>
      <c r="DN32" s="166">
        <v>120</v>
      </c>
      <c r="DO32" s="166">
        <v>720</v>
      </c>
      <c r="DP32" s="166">
        <v>3</v>
      </c>
      <c r="DQ32" s="118">
        <v>90</v>
      </c>
      <c r="DR32" s="118">
        <f t="shared" si="53"/>
        <v>21101</v>
      </c>
      <c r="DS32" s="118">
        <v>1</v>
      </c>
      <c r="DT32" s="14">
        <f t="shared" si="17"/>
        <v>110</v>
      </c>
      <c r="DU32" s="118" t="s">
        <v>1034</v>
      </c>
      <c r="DV32" s="118">
        <v>1</v>
      </c>
      <c r="DW32" s="166" t="str">
        <f t="shared" si="18"/>
        <v>紫色基础材料2守护灵初级抽卡券2守护灵经验8100</v>
      </c>
      <c r="DX32" s="14">
        <f t="shared" ref="DX32" si="125">DT32*100+3</f>
        <v>11003</v>
      </c>
      <c r="DY32" s="118" t="s">
        <v>1606</v>
      </c>
      <c r="DZ32" s="118">
        <v>2</v>
      </c>
      <c r="EA32" s="14" t="str">
        <f>INDEX(挂机升级突破!$DT$4:$DX$4,DP32)</f>
        <v>紫色基础材料</v>
      </c>
      <c r="EB32" s="14">
        <f>ROUND(INDEX(挂机升级突破!$G$7:$K$37,DK32+2,章节关卡!DP32)/INDEX(挂机升级突破!$G$5:$K$5,章节关卡!DP32)*INDEX(挂机升级突破!$G$4:$K$4,章节关卡!DP32)*章节关卡!DO32,0)</f>
        <v>2</v>
      </c>
      <c r="EC32" s="118" t="s">
        <v>1038</v>
      </c>
      <c r="ED32" s="14">
        <f t="shared" si="19"/>
        <v>8100</v>
      </c>
      <c r="EI32" s="166">
        <v>28</v>
      </c>
      <c r="EJ32" s="14">
        <f t="shared" si="54"/>
        <v>10</v>
      </c>
      <c r="EK32" s="166">
        <f t="shared" si="55"/>
        <v>60</v>
      </c>
      <c r="EL32" s="166">
        <f t="shared" si="20"/>
        <v>1</v>
      </c>
      <c r="EM32" s="166">
        <f t="shared" si="21"/>
        <v>180</v>
      </c>
      <c r="EN32" s="166">
        <f t="shared" si="64"/>
        <v>1800</v>
      </c>
      <c r="EO32" s="166">
        <v>7</v>
      </c>
      <c r="EP32" s="14">
        <f t="shared" si="22"/>
        <v>180</v>
      </c>
      <c r="EQ32" s="14">
        <f t="shared" si="57"/>
        <v>22101</v>
      </c>
      <c r="ER32" s="166">
        <v>1</v>
      </c>
      <c r="ES32" s="14">
        <f t="shared" si="58"/>
        <v>210</v>
      </c>
      <c r="ET32" s="166" t="s">
        <v>1034</v>
      </c>
      <c r="EU32" s="166">
        <v>1</v>
      </c>
      <c r="EV32" s="166"/>
      <c r="EW32" s="14">
        <f t="shared" ref="EW32" si="126">ES32*100+3</f>
        <v>21003</v>
      </c>
      <c r="EX32" s="166" t="s">
        <v>1397</v>
      </c>
      <c r="EY32" s="166">
        <v>20</v>
      </c>
      <c r="EZ32" s="14" t="str">
        <f>INDEX(挂机升级突破!$DT$4:$EC$4,EO32)</f>
        <v>乌金</v>
      </c>
      <c r="FA32" s="14">
        <f>ROUND(INDEX(挂机升级突破!$G$7:$R$37,EJ32+3,EO32)/INDEX(挂机升级突破!$G$5:$R$5,章节关卡!EO32)*INDEX(挂机升级突破!$G$4:$R$4,章节关卡!EO32)*章节关卡!EN32,0)</f>
        <v>5</v>
      </c>
      <c r="FB32" s="166" t="s">
        <v>1399</v>
      </c>
      <c r="FC32" s="166">
        <f t="shared" si="23"/>
        <v>19800</v>
      </c>
    </row>
    <row r="33" spans="1:159" ht="16.5" x14ac:dyDescent="0.2">
      <c r="A33" s="76">
        <v>28</v>
      </c>
      <c r="B33" s="76">
        <v>145</v>
      </c>
      <c r="C33" s="166">
        <f>节奏总表!N32*60</f>
        <v>20400</v>
      </c>
      <c r="D33" s="109">
        <v>4</v>
      </c>
      <c r="E33" s="14">
        <f>SUM(D$5:D33)</f>
        <v>112</v>
      </c>
      <c r="F33" s="76">
        <v>5</v>
      </c>
      <c r="G33" s="76">
        <v>75</v>
      </c>
      <c r="H33" s="76">
        <v>5</v>
      </c>
      <c r="I33" s="76">
        <v>210</v>
      </c>
      <c r="J33" s="76">
        <f t="shared" si="108"/>
        <v>2</v>
      </c>
      <c r="K33" s="76">
        <v>5</v>
      </c>
      <c r="L33" s="76">
        <f t="shared" si="109"/>
        <v>375</v>
      </c>
      <c r="M33" s="76">
        <f t="shared" si="110"/>
        <v>5</v>
      </c>
      <c r="O33" s="76">
        <v>28</v>
      </c>
      <c r="P33" s="121">
        <v>145</v>
      </c>
      <c r="Q33" s="107">
        <v>10</v>
      </c>
      <c r="R33" s="14">
        <f>SUM(Q$5:Q33)</f>
        <v>280</v>
      </c>
      <c r="S33" s="76">
        <v>20</v>
      </c>
      <c r="T33" s="109">
        <f t="shared" si="26"/>
        <v>1500</v>
      </c>
      <c r="U33" s="76">
        <v>30</v>
      </c>
      <c r="V33" s="109">
        <f t="shared" si="27"/>
        <v>6300</v>
      </c>
      <c r="W33" s="109">
        <v>45</v>
      </c>
      <c r="X33" s="76">
        <f t="shared" si="28"/>
        <v>16875</v>
      </c>
      <c r="Y33" s="76">
        <v>158</v>
      </c>
      <c r="Z33" s="109">
        <f t="shared" si="29"/>
        <v>59250</v>
      </c>
      <c r="AA33" s="181">
        <f>INDEX(节奏总表!$Z$5:$Z$32,章节关卡!O33)</f>
        <v>60</v>
      </c>
      <c r="AC33" s="77">
        <v>28</v>
      </c>
      <c r="AD33" s="210">
        <v>150</v>
      </c>
      <c r="AE33" s="172">
        <v>30</v>
      </c>
      <c r="AF33" s="109">
        <v>10</v>
      </c>
      <c r="AG33" s="155">
        <f>INDEX(节奏总表!$N$5:$N$34,章节关卡!AE33)</f>
        <v>2880</v>
      </c>
      <c r="AH33" s="155">
        <f t="shared" ref="AH33:AH35" si="127">AH32</f>
        <v>5100</v>
      </c>
      <c r="AI33" s="14">
        <f>SUM(AF$5:AF33)</f>
        <v>280</v>
      </c>
      <c r="AJ33" s="14">
        <f t="shared" si="61"/>
        <v>40800</v>
      </c>
      <c r="AK33" s="109">
        <v>60</v>
      </c>
      <c r="AL33" s="14">
        <f t="shared" si="62"/>
        <v>12600</v>
      </c>
      <c r="AM33" s="109">
        <v>90</v>
      </c>
      <c r="AN33" s="14">
        <f t="shared" si="30"/>
        <v>33750</v>
      </c>
      <c r="AO33" s="109">
        <v>300</v>
      </c>
      <c r="AP33" s="14">
        <f t="shared" si="31"/>
        <v>112500</v>
      </c>
      <c r="AS33" s="24">
        <v>29</v>
      </c>
      <c r="AT33" s="14">
        <f t="shared" si="32"/>
        <v>8</v>
      </c>
      <c r="AU33" s="109">
        <f t="shared" si="33"/>
        <v>1</v>
      </c>
      <c r="AV33" s="109">
        <f t="shared" si="34"/>
        <v>14</v>
      </c>
      <c r="AW33" s="109">
        <f t="shared" si="35"/>
        <v>41</v>
      </c>
      <c r="AX33" s="109">
        <f t="shared" si="36"/>
        <v>62</v>
      </c>
      <c r="BA33" s="109">
        <v>29</v>
      </c>
      <c r="BB33" s="14">
        <f t="shared" si="0"/>
        <v>3</v>
      </c>
      <c r="BC33" s="14">
        <f t="shared" si="37"/>
        <v>9</v>
      </c>
      <c r="BD33" s="14">
        <f t="shared" si="81"/>
        <v>140</v>
      </c>
      <c r="BE33" s="14">
        <f t="shared" si="1"/>
        <v>600</v>
      </c>
      <c r="BF33" s="14">
        <f t="shared" si="2"/>
        <v>1575</v>
      </c>
      <c r="BG33" s="14">
        <f t="shared" si="38"/>
        <v>0.5</v>
      </c>
      <c r="BH33" s="14">
        <f t="shared" si="39"/>
        <v>11000</v>
      </c>
      <c r="BK33" s="109">
        <v>29</v>
      </c>
      <c r="BL33" s="14">
        <f t="shared" si="40"/>
        <v>3</v>
      </c>
      <c r="BM33" s="14">
        <f t="shared" si="41"/>
        <v>9</v>
      </c>
      <c r="BN33" s="14">
        <f t="shared" si="3"/>
        <v>300</v>
      </c>
      <c r="BO33" s="14">
        <f t="shared" si="4"/>
        <v>1200</v>
      </c>
      <c r="BP33" s="14">
        <f t="shared" si="5"/>
        <v>3150</v>
      </c>
      <c r="BS33" s="109">
        <v>29</v>
      </c>
      <c r="BT33" s="109">
        <f t="shared" si="42"/>
        <v>10</v>
      </c>
      <c r="BU33" s="112">
        <f t="shared" si="43"/>
        <v>55</v>
      </c>
      <c r="BV33" s="109">
        <f t="shared" si="6"/>
        <v>2</v>
      </c>
      <c r="BW33" s="109">
        <v>240</v>
      </c>
      <c r="BX33" s="109">
        <v>360</v>
      </c>
      <c r="BY33" s="112">
        <v>3</v>
      </c>
      <c r="BZ33" s="14">
        <f t="shared" si="44"/>
        <v>11102</v>
      </c>
      <c r="CA33" s="118">
        <v>1</v>
      </c>
      <c r="CB33" s="14">
        <f t="shared" si="45"/>
        <v>110</v>
      </c>
      <c r="CC33" s="118" t="s">
        <v>1026</v>
      </c>
      <c r="CD33" s="14">
        <f t="shared" si="46"/>
        <v>2</v>
      </c>
      <c r="CE33" s="166" t="str">
        <f t="shared" si="47"/>
        <v>守护灵抽卡券2 2小时扫荡券1 金币13200</v>
      </c>
      <c r="CF33" s="14">
        <f t="shared" si="48"/>
        <v>20</v>
      </c>
      <c r="CG33" s="115" t="s">
        <v>258</v>
      </c>
      <c r="CH33" s="115">
        <v>2</v>
      </c>
      <c r="CI33" s="210" t="s">
        <v>1395</v>
      </c>
      <c r="CJ33" s="210">
        <v>1</v>
      </c>
      <c r="CK33" s="210" t="s">
        <v>252</v>
      </c>
      <c r="CL33" s="210">
        <f t="shared" ref="CL33:CL34" si="128">INDEX($I$6:$I$35,BT33)*BW33</f>
        <v>13200</v>
      </c>
      <c r="CO33" s="115">
        <f t="shared" si="7"/>
        <v>10</v>
      </c>
      <c r="CP33" s="115">
        <f t="shared" si="8"/>
        <v>65</v>
      </c>
      <c r="CQ33" s="118">
        <v>2</v>
      </c>
      <c r="CR33" s="109">
        <f t="shared" si="9"/>
        <v>360</v>
      </c>
      <c r="CS33" s="109">
        <f t="shared" si="10"/>
        <v>720</v>
      </c>
      <c r="CT33" s="115">
        <v>7</v>
      </c>
      <c r="CU33" s="14">
        <f t="shared" si="11"/>
        <v>12102</v>
      </c>
      <c r="CV33" s="118">
        <v>2</v>
      </c>
      <c r="CW33" s="14">
        <f t="shared" si="12"/>
        <v>210</v>
      </c>
      <c r="CX33" s="118" t="s">
        <v>1026</v>
      </c>
      <c r="CY33" s="14">
        <f t="shared" si="13"/>
        <v>2</v>
      </c>
      <c r="CZ33" s="166" t="str">
        <f t="shared" si="50"/>
        <v>熔炼值135060级-防御套守护灵の护手1金币19800</v>
      </c>
      <c r="DA33" s="14">
        <f t="shared" si="51"/>
        <v>20</v>
      </c>
      <c r="DB33" s="115" t="s">
        <v>1005</v>
      </c>
      <c r="DC33" s="115">
        <v>1350</v>
      </c>
      <c r="DD33" s="115" t="s">
        <v>1453</v>
      </c>
      <c r="DE33" s="115">
        <v>1</v>
      </c>
      <c r="DF33" s="109" t="s">
        <v>252</v>
      </c>
      <c r="DG33" s="115">
        <f t="shared" si="14"/>
        <v>19800</v>
      </c>
      <c r="DJ33" s="118">
        <v>29</v>
      </c>
      <c r="DK33" s="14">
        <f t="shared" si="52"/>
        <v>10</v>
      </c>
      <c r="DL33" s="118">
        <f t="shared" si="15"/>
        <v>55</v>
      </c>
      <c r="DM33" s="166">
        <f t="shared" si="16"/>
        <v>2</v>
      </c>
      <c r="DN33" s="166">
        <v>240</v>
      </c>
      <c r="DO33" s="166">
        <v>1440</v>
      </c>
      <c r="DP33" s="166">
        <v>3</v>
      </c>
      <c r="DQ33" s="118">
        <v>120</v>
      </c>
      <c r="DR33" s="118">
        <f t="shared" si="53"/>
        <v>21102</v>
      </c>
      <c r="DS33" s="118">
        <v>1</v>
      </c>
      <c r="DT33" s="14">
        <f t="shared" si="17"/>
        <v>110</v>
      </c>
      <c r="DU33" s="118" t="s">
        <v>1034</v>
      </c>
      <c r="DV33" s="118">
        <v>2</v>
      </c>
      <c r="DW33" s="166" t="str">
        <f t="shared" si="18"/>
        <v>紫色基础材料5守护灵初级抽卡券3守护灵经验10800</v>
      </c>
      <c r="DX33" s="14">
        <f t="shared" ref="DX33" si="129">DT33*100+6</f>
        <v>11006</v>
      </c>
      <c r="DY33" s="118" t="s">
        <v>1606</v>
      </c>
      <c r="DZ33" s="118">
        <v>3</v>
      </c>
      <c r="EA33" s="14" t="str">
        <f>INDEX(挂机升级突破!$DT$4:$DX$4,DP33)</f>
        <v>紫色基础材料</v>
      </c>
      <c r="EB33" s="14">
        <f>ROUND(INDEX(挂机升级突破!$G$7:$K$37,DK33+2,章节关卡!DP33)/INDEX(挂机升级突破!$G$5:$K$5,章节关卡!DP33)*INDEX(挂机升级突破!$G$4:$K$4,章节关卡!DP33)*章节关卡!DO33,0)</f>
        <v>5</v>
      </c>
      <c r="EC33" s="118" t="s">
        <v>1038</v>
      </c>
      <c r="ED33" s="14">
        <f t="shared" si="19"/>
        <v>10800</v>
      </c>
      <c r="EI33" s="166">
        <v>29</v>
      </c>
      <c r="EJ33" s="14">
        <f t="shared" si="54"/>
        <v>10</v>
      </c>
      <c r="EK33" s="166">
        <f t="shared" si="55"/>
        <v>60</v>
      </c>
      <c r="EL33" s="166">
        <f t="shared" si="20"/>
        <v>2</v>
      </c>
      <c r="EM33" s="166">
        <f t="shared" si="21"/>
        <v>360</v>
      </c>
      <c r="EN33" s="166">
        <f t="shared" si="64"/>
        <v>3600</v>
      </c>
      <c r="EO33" s="166">
        <v>7</v>
      </c>
      <c r="EP33" s="14">
        <f t="shared" si="22"/>
        <v>240</v>
      </c>
      <c r="EQ33" s="14">
        <f t="shared" si="57"/>
        <v>22102</v>
      </c>
      <c r="ER33" s="166">
        <v>1</v>
      </c>
      <c r="ES33" s="14">
        <f t="shared" si="58"/>
        <v>210</v>
      </c>
      <c r="ET33" s="166" t="s">
        <v>1034</v>
      </c>
      <c r="EU33" s="166">
        <v>2</v>
      </c>
      <c r="EV33" s="166"/>
      <c r="EW33" s="14">
        <f t="shared" ref="EW33" si="130">ES33*100+6</f>
        <v>21006</v>
      </c>
      <c r="EX33" s="166" t="s">
        <v>1397</v>
      </c>
      <c r="EY33" s="166">
        <v>30</v>
      </c>
      <c r="EZ33" s="14" t="str">
        <f>INDEX(挂机升级突破!$DT$4:$EC$4,EO33)</f>
        <v>乌金</v>
      </c>
      <c r="FA33" s="14">
        <f>ROUND(INDEX(挂机升级突破!$G$7:$R$37,EJ33+3,EO33)/INDEX(挂机升级突破!$G$5:$R$5,章节关卡!EO33)*INDEX(挂机升级突破!$G$4:$R$4,章节关卡!EO33)*章节关卡!EN33,0)</f>
        <v>9</v>
      </c>
      <c r="FB33" s="166" t="s">
        <v>1399</v>
      </c>
      <c r="FC33" s="166">
        <f t="shared" si="23"/>
        <v>39600</v>
      </c>
    </row>
    <row r="34" spans="1:159" ht="16.5" x14ac:dyDescent="0.2">
      <c r="A34" s="76">
        <v>29</v>
      </c>
      <c r="B34" s="76">
        <v>150</v>
      </c>
      <c r="C34" s="166">
        <f>节奏总表!N33*60</f>
        <v>86400</v>
      </c>
      <c r="D34" s="109">
        <v>4</v>
      </c>
      <c r="E34" s="14">
        <f>SUM(D$5:D34)</f>
        <v>116</v>
      </c>
      <c r="F34" s="76">
        <v>5</v>
      </c>
      <c r="G34" s="76">
        <v>80</v>
      </c>
      <c r="H34" s="76">
        <v>5</v>
      </c>
      <c r="I34" s="76">
        <v>220</v>
      </c>
      <c r="J34" s="76">
        <f t="shared" si="108"/>
        <v>2</v>
      </c>
      <c r="K34" s="76">
        <v>5</v>
      </c>
      <c r="L34" s="76">
        <f t="shared" si="109"/>
        <v>400</v>
      </c>
      <c r="M34" s="76">
        <f t="shared" si="110"/>
        <v>5</v>
      </c>
      <c r="O34" s="76">
        <v>29</v>
      </c>
      <c r="P34" s="121">
        <v>150</v>
      </c>
      <c r="Q34" s="107">
        <v>10</v>
      </c>
      <c r="R34" s="14">
        <f>SUM(Q$5:Q34)</f>
        <v>290</v>
      </c>
      <c r="S34" s="76">
        <v>20</v>
      </c>
      <c r="T34" s="109">
        <f t="shared" si="26"/>
        <v>1600</v>
      </c>
      <c r="U34" s="76">
        <v>30</v>
      </c>
      <c r="V34" s="109">
        <f t="shared" si="27"/>
        <v>6600</v>
      </c>
      <c r="W34" s="109">
        <v>45</v>
      </c>
      <c r="X34" s="76">
        <f t="shared" si="28"/>
        <v>18000</v>
      </c>
      <c r="Y34" s="76">
        <v>159</v>
      </c>
      <c r="Z34" s="109">
        <f t="shared" si="29"/>
        <v>63600</v>
      </c>
      <c r="AA34" s="181"/>
      <c r="AC34" s="77">
        <v>29</v>
      </c>
      <c r="AD34" s="210">
        <v>150</v>
      </c>
      <c r="AE34" s="172">
        <v>30</v>
      </c>
      <c r="AF34" s="109">
        <v>10</v>
      </c>
      <c r="AG34" s="155">
        <f>INDEX(节奏总表!$N$5:$N$34,章节关卡!AE34)</f>
        <v>2880</v>
      </c>
      <c r="AH34" s="155">
        <f t="shared" si="127"/>
        <v>5100</v>
      </c>
      <c r="AI34" s="14">
        <f>SUM(AF$5:AF34)</f>
        <v>290</v>
      </c>
      <c r="AJ34" s="14">
        <f>ROUND(AJ33*1.1,0)</f>
        <v>44880</v>
      </c>
      <c r="AK34" s="109">
        <v>60</v>
      </c>
      <c r="AL34" s="14">
        <f t="shared" si="62"/>
        <v>13200</v>
      </c>
      <c r="AM34" s="109">
        <v>90</v>
      </c>
      <c r="AN34" s="14">
        <f t="shared" si="30"/>
        <v>36000</v>
      </c>
      <c r="AO34" s="109">
        <v>300</v>
      </c>
      <c r="AP34" s="14">
        <f t="shared" si="31"/>
        <v>120000</v>
      </c>
      <c r="AS34" s="24">
        <v>30</v>
      </c>
      <c r="AT34" s="14">
        <f t="shared" si="32"/>
        <v>8</v>
      </c>
      <c r="AU34" s="109">
        <f t="shared" si="33"/>
        <v>2</v>
      </c>
      <c r="AV34" s="109">
        <f t="shared" si="34"/>
        <v>14</v>
      </c>
      <c r="AW34" s="109">
        <f t="shared" si="35"/>
        <v>42</v>
      </c>
      <c r="AX34" s="109">
        <f t="shared" si="36"/>
        <v>64</v>
      </c>
      <c r="BA34" s="109">
        <v>30</v>
      </c>
      <c r="BB34" s="14">
        <f t="shared" si="0"/>
        <v>3</v>
      </c>
      <c r="BC34" s="14">
        <f t="shared" si="37"/>
        <v>10</v>
      </c>
      <c r="BD34" s="14">
        <f t="shared" si="81"/>
        <v>140</v>
      </c>
      <c r="BE34" s="14">
        <f t="shared" si="1"/>
        <v>600</v>
      </c>
      <c r="BF34" s="14">
        <f t="shared" si="2"/>
        <v>1575</v>
      </c>
      <c r="BG34" s="14">
        <f t="shared" si="38"/>
        <v>0.5</v>
      </c>
      <c r="BH34" s="14">
        <f t="shared" si="39"/>
        <v>11000</v>
      </c>
      <c r="BK34" s="109">
        <v>30</v>
      </c>
      <c r="BL34" s="14">
        <f t="shared" si="40"/>
        <v>3</v>
      </c>
      <c r="BM34" s="14">
        <f t="shared" si="41"/>
        <v>10</v>
      </c>
      <c r="BN34" s="14">
        <f t="shared" si="3"/>
        <v>300</v>
      </c>
      <c r="BO34" s="14">
        <f t="shared" si="4"/>
        <v>1200</v>
      </c>
      <c r="BP34" s="14">
        <f t="shared" si="5"/>
        <v>3150</v>
      </c>
      <c r="BS34" s="109">
        <v>30</v>
      </c>
      <c r="BT34" s="109">
        <f t="shared" si="42"/>
        <v>10</v>
      </c>
      <c r="BU34" s="112">
        <f t="shared" si="43"/>
        <v>55</v>
      </c>
      <c r="BV34" s="109">
        <f t="shared" si="6"/>
        <v>3</v>
      </c>
      <c r="BW34" s="109">
        <v>360</v>
      </c>
      <c r="BX34" s="109">
        <v>540</v>
      </c>
      <c r="BY34" s="112">
        <v>3</v>
      </c>
      <c r="BZ34" s="14">
        <f t="shared" si="44"/>
        <v>11103</v>
      </c>
      <c r="CA34" s="118">
        <v>1</v>
      </c>
      <c r="CB34" s="14">
        <f t="shared" si="45"/>
        <v>110</v>
      </c>
      <c r="CC34" s="118" t="s">
        <v>1026</v>
      </c>
      <c r="CD34" s="14">
        <f t="shared" si="46"/>
        <v>3</v>
      </c>
      <c r="CE34" s="166" t="str">
        <f t="shared" si="47"/>
        <v>守护灵抽卡券3 2小时扫荡券1 金币19800</v>
      </c>
      <c r="CF34" s="14">
        <f t="shared" si="48"/>
        <v>30</v>
      </c>
      <c r="CG34" s="115" t="s">
        <v>258</v>
      </c>
      <c r="CH34" s="115">
        <v>3</v>
      </c>
      <c r="CI34" s="210" t="s">
        <v>1395</v>
      </c>
      <c r="CJ34" s="210">
        <v>1</v>
      </c>
      <c r="CK34" s="210" t="s">
        <v>252</v>
      </c>
      <c r="CL34" s="210">
        <f t="shared" si="128"/>
        <v>19800</v>
      </c>
      <c r="CO34" s="115">
        <f t="shared" si="7"/>
        <v>10</v>
      </c>
      <c r="CP34" s="115">
        <f t="shared" si="8"/>
        <v>65</v>
      </c>
      <c r="CQ34" s="118">
        <v>3</v>
      </c>
      <c r="CR34" s="109">
        <f t="shared" si="9"/>
        <v>540</v>
      </c>
      <c r="CS34" s="109">
        <f t="shared" si="10"/>
        <v>1080</v>
      </c>
      <c r="CT34" s="115">
        <v>7</v>
      </c>
      <c r="CU34" s="14">
        <f t="shared" si="11"/>
        <v>12103</v>
      </c>
      <c r="CV34" s="118">
        <v>2</v>
      </c>
      <c r="CW34" s="14">
        <f t="shared" si="12"/>
        <v>210</v>
      </c>
      <c r="CX34" s="118" t="s">
        <v>1026</v>
      </c>
      <c r="CY34" s="14">
        <f t="shared" si="13"/>
        <v>3</v>
      </c>
      <c r="CZ34" s="166" t="str">
        <f t="shared" si="50"/>
        <v>守护灵抽卡券560级-防御套守护灵の灵器1金币29700</v>
      </c>
      <c r="DA34" s="14">
        <f t="shared" si="51"/>
        <v>30</v>
      </c>
      <c r="DB34" s="115" t="s">
        <v>1004</v>
      </c>
      <c r="DC34" s="115">
        <v>5</v>
      </c>
      <c r="DD34" s="115" t="s">
        <v>1454</v>
      </c>
      <c r="DE34" s="115">
        <v>1</v>
      </c>
      <c r="DF34" s="109" t="s">
        <v>252</v>
      </c>
      <c r="DG34" s="115">
        <f t="shared" si="14"/>
        <v>29700</v>
      </c>
      <c r="DJ34" s="118">
        <v>30</v>
      </c>
      <c r="DK34" s="14">
        <f t="shared" si="52"/>
        <v>10</v>
      </c>
      <c r="DL34" s="118">
        <f t="shared" si="15"/>
        <v>55</v>
      </c>
      <c r="DM34" s="166">
        <f t="shared" si="16"/>
        <v>3</v>
      </c>
      <c r="DN34" s="166">
        <v>360</v>
      </c>
      <c r="DO34" s="166">
        <v>2160</v>
      </c>
      <c r="DP34" s="166">
        <v>3</v>
      </c>
      <c r="DQ34" s="118">
        <v>150</v>
      </c>
      <c r="DR34" s="118">
        <f t="shared" si="53"/>
        <v>21103</v>
      </c>
      <c r="DS34" s="118">
        <v>1</v>
      </c>
      <c r="DT34" s="14">
        <f t="shared" si="17"/>
        <v>110</v>
      </c>
      <c r="DU34" s="118" t="s">
        <v>1034</v>
      </c>
      <c r="DV34" s="118">
        <v>3</v>
      </c>
      <c r="DW34" s="166" t="str">
        <f t="shared" si="18"/>
        <v>紫色基础材料7守护灵初级抽卡券5守护灵经验13500</v>
      </c>
      <c r="DX34" s="14">
        <f t="shared" ref="DX34" si="131">DT34*100+9</f>
        <v>11009</v>
      </c>
      <c r="DY34" s="118" t="s">
        <v>1606</v>
      </c>
      <c r="DZ34" s="118">
        <v>5</v>
      </c>
      <c r="EA34" s="14" t="str">
        <f>INDEX(挂机升级突破!$DT$4:$DX$4,DP34)</f>
        <v>紫色基础材料</v>
      </c>
      <c r="EB34" s="14">
        <f>ROUND(INDEX(挂机升级突破!$G$7:$K$37,DK34+2,章节关卡!DP34)/INDEX(挂机升级突破!$G$5:$K$5,章节关卡!DP34)*INDEX(挂机升级突破!$G$4:$K$4,章节关卡!DP34)*章节关卡!DO34,0)</f>
        <v>7</v>
      </c>
      <c r="EC34" s="118" t="s">
        <v>1038</v>
      </c>
      <c r="ED34" s="14">
        <f t="shared" si="19"/>
        <v>13500</v>
      </c>
      <c r="EI34" s="166">
        <v>30</v>
      </c>
      <c r="EJ34" s="14">
        <f t="shared" si="54"/>
        <v>10</v>
      </c>
      <c r="EK34" s="166">
        <f t="shared" si="55"/>
        <v>60</v>
      </c>
      <c r="EL34" s="166">
        <f t="shared" si="20"/>
        <v>3</v>
      </c>
      <c r="EM34" s="166">
        <f t="shared" si="21"/>
        <v>540</v>
      </c>
      <c r="EN34" s="166">
        <f t="shared" si="64"/>
        <v>5400</v>
      </c>
      <c r="EO34" s="166">
        <v>7</v>
      </c>
      <c r="EP34" s="14">
        <f t="shared" si="22"/>
        <v>300</v>
      </c>
      <c r="EQ34" s="14">
        <f t="shared" si="57"/>
        <v>22103</v>
      </c>
      <c r="ER34" s="166">
        <v>1</v>
      </c>
      <c r="ES34" s="14">
        <f t="shared" si="58"/>
        <v>210</v>
      </c>
      <c r="ET34" s="166" t="s">
        <v>1034</v>
      </c>
      <c r="EU34" s="166">
        <v>3</v>
      </c>
      <c r="EV34" s="166"/>
      <c r="EW34" s="14">
        <f t="shared" ref="EW34" si="132">ES34*100+9</f>
        <v>21009</v>
      </c>
      <c r="EX34" s="166" t="s">
        <v>1397</v>
      </c>
      <c r="EY34" s="166">
        <v>50</v>
      </c>
      <c r="EZ34" s="14" t="str">
        <f>INDEX(挂机升级突破!$DT$4:$EC$4,EO34)</f>
        <v>乌金</v>
      </c>
      <c r="FA34" s="14">
        <f>ROUND(INDEX(挂机升级突破!$G$7:$R$37,EJ34+3,EO34)/INDEX(挂机升级突破!$G$5:$R$5,章节关卡!EO34)*INDEX(挂机升级突破!$G$4:$R$4,章节关卡!EO34)*章节关卡!EN34,0)</f>
        <v>14</v>
      </c>
      <c r="FB34" s="166" t="s">
        <v>1399</v>
      </c>
      <c r="FC34" s="166">
        <f t="shared" si="23"/>
        <v>59400</v>
      </c>
    </row>
    <row r="35" spans="1:159" s="108" customFormat="1" ht="16.5" x14ac:dyDescent="0.2">
      <c r="A35" s="107">
        <v>30</v>
      </c>
      <c r="B35" s="107">
        <v>150</v>
      </c>
      <c r="C35" s="166">
        <f>节奏总表!N34*60</f>
        <v>172800</v>
      </c>
      <c r="D35" s="109">
        <v>4</v>
      </c>
      <c r="E35" s="14">
        <f>SUM(D$5:D35)</f>
        <v>120</v>
      </c>
      <c r="F35" s="107">
        <v>5</v>
      </c>
      <c r="G35" s="107">
        <v>80</v>
      </c>
      <c r="H35" s="107">
        <v>5</v>
      </c>
      <c r="I35" s="107">
        <v>220</v>
      </c>
      <c r="J35" s="107">
        <f t="shared" ref="J35" si="133">(I35-I34)/$F35</f>
        <v>0</v>
      </c>
      <c r="K35" s="107">
        <v>6</v>
      </c>
      <c r="L35" s="107">
        <f t="shared" ref="L35" si="134">G35*K35</f>
        <v>480</v>
      </c>
      <c r="M35" s="107">
        <f t="shared" ref="M35" si="135">(L35-L34)/$F35</f>
        <v>16</v>
      </c>
      <c r="O35" s="107">
        <v>30</v>
      </c>
      <c r="P35" s="121">
        <v>150</v>
      </c>
      <c r="Q35" s="107">
        <v>10</v>
      </c>
      <c r="R35" s="14">
        <f>SUM(Q$5:Q35)</f>
        <v>300</v>
      </c>
      <c r="S35" s="155">
        <v>20</v>
      </c>
      <c r="T35" s="109">
        <f t="shared" si="26"/>
        <v>1600</v>
      </c>
      <c r="U35" s="109">
        <v>30</v>
      </c>
      <c r="V35" s="109">
        <f t="shared" si="27"/>
        <v>6600</v>
      </c>
      <c r="W35" s="109">
        <v>45</v>
      </c>
      <c r="X35" s="107">
        <f t="shared" si="28"/>
        <v>21600</v>
      </c>
      <c r="Y35" s="107">
        <v>160</v>
      </c>
      <c r="Z35" s="109">
        <f t="shared" si="29"/>
        <v>76800</v>
      </c>
      <c r="AA35" s="181"/>
      <c r="AC35" s="109">
        <v>30</v>
      </c>
      <c r="AD35" s="210">
        <v>150</v>
      </c>
      <c r="AE35" s="172">
        <v>30</v>
      </c>
      <c r="AF35" s="109">
        <v>10</v>
      </c>
      <c r="AG35" s="155">
        <f>INDEX(节奏总表!$N$5:$N$34,章节关卡!AE35)</f>
        <v>2880</v>
      </c>
      <c r="AH35" s="155">
        <f t="shared" si="127"/>
        <v>5100</v>
      </c>
      <c r="AI35" s="14">
        <f>SUM(AF$5:AF35)</f>
        <v>300</v>
      </c>
      <c r="AJ35" s="14">
        <f>ROUND(AJ34*1.1,0)</f>
        <v>49368</v>
      </c>
      <c r="AK35" s="109">
        <v>60</v>
      </c>
      <c r="AL35" s="14">
        <f t="shared" si="62"/>
        <v>13200</v>
      </c>
      <c r="AM35" s="109">
        <v>90</v>
      </c>
      <c r="AN35" s="14">
        <f t="shared" si="30"/>
        <v>43200</v>
      </c>
      <c r="AO35" s="109">
        <v>300</v>
      </c>
      <c r="AP35" s="14">
        <f t="shared" si="31"/>
        <v>144000</v>
      </c>
      <c r="AS35" s="24">
        <v>31</v>
      </c>
      <c r="AT35" s="14">
        <f t="shared" si="32"/>
        <v>8</v>
      </c>
      <c r="AU35" s="109">
        <f t="shared" si="33"/>
        <v>3</v>
      </c>
      <c r="AV35" s="109">
        <f t="shared" si="34"/>
        <v>14</v>
      </c>
      <c r="AW35" s="109">
        <f t="shared" si="35"/>
        <v>43</v>
      </c>
      <c r="AX35" s="109">
        <f t="shared" si="36"/>
        <v>66</v>
      </c>
      <c r="BA35" s="109">
        <v>31</v>
      </c>
      <c r="BB35" s="14">
        <f t="shared" si="0"/>
        <v>4</v>
      </c>
      <c r="BC35" s="14">
        <f t="shared" si="37"/>
        <v>1</v>
      </c>
      <c r="BD35" s="14">
        <f t="shared" si="81"/>
        <v>160</v>
      </c>
      <c r="BE35" s="14">
        <f t="shared" si="1"/>
        <v>750</v>
      </c>
      <c r="BF35" s="14">
        <f t="shared" si="2"/>
        <v>1800</v>
      </c>
      <c r="BG35" s="14">
        <f t="shared" si="38"/>
        <v>1.21</v>
      </c>
      <c r="BH35" s="14">
        <f t="shared" si="39"/>
        <v>11001</v>
      </c>
      <c r="BK35" s="109">
        <v>31</v>
      </c>
      <c r="BL35" s="14">
        <f t="shared" si="40"/>
        <v>4</v>
      </c>
      <c r="BM35" s="14">
        <f t="shared" si="41"/>
        <v>1</v>
      </c>
      <c r="BN35" s="14">
        <f t="shared" si="3"/>
        <v>400</v>
      </c>
      <c r="BO35" s="14">
        <f t="shared" si="4"/>
        <v>1500</v>
      </c>
      <c r="BP35" s="14">
        <f t="shared" si="5"/>
        <v>3600</v>
      </c>
      <c r="BS35" s="109">
        <v>31</v>
      </c>
      <c r="BT35" s="109">
        <f t="shared" si="42"/>
        <v>11</v>
      </c>
      <c r="BU35" s="112">
        <f t="shared" si="43"/>
        <v>60</v>
      </c>
      <c r="BV35" s="109">
        <f t="shared" si="6"/>
        <v>1</v>
      </c>
      <c r="BW35" s="109">
        <v>120</v>
      </c>
      <c r="BX35" s="109">
        <v>180</v>
      </c>
      <c r="BY35" s="112">
        <v>3</v>
      </c>
      <c r="BZ35" s="14">
        <f t="shared" si="44"/>
        <v>11111</v>
      </c>
      <c r="CA35" s="118">
        <v>1</v>
      </c>
      <c r="CB35" s="14">
        <f t="shared" si="45"/>
        <v>111</v>
      </c>
      <c r="CC35" s="118" t="s">
        <v>1026</v>
      </c>
      <c r="CD35" s="14">
        <f t="shared" si="46"/>
        <v>1</v>
      </c>
      <c r="CE35" s="166" t="str">
        <f t="shared" si="47"/>
        <v xml:space="preserve">钻石100 金币7200 </v>
      </c>
      <c r="CF35" s="14">
        <f t="shared" si="48"/>
        <v>10</v>
      </c>
      <c r="CG35" s="115" t="s">
        <v>19</v>
      </c>
      <c r="CH35" s="115">
        <v>100</v>
      </c>
      <c r="CI35" s="210" t="s">
        <v>358</v>
      </c>
      <c r="CJ35" s="210">
        <f>INDEX($I$6:$I$35,BT35)*BW35</f>
        <v>7200</v>
      </c>
      <c r="CK35" s="210"/>
      <c r="CL35" s="210"/>
      <c r="CO35" s="115">
        <f t="shared" si="7"/>
        <v>11</v>
      </c>
      <c r="CP35" s="115">
        <f t="shared" si="8"/>
        <v>70</v>
      </c>
      <c r="CQ35" s="118">
        <v>1</v>
      </c>
      <c r="CR35" s="109">
        <f t="shared" si="9"/>
        <v>180</v>
      </c>
      <c r="CS35" s="109">
        <f t="shared" si="10"/>
        <v>360</v>
      </c>
      <c r="CT35" s="115">
        <v>7</v>
      </c>
      <c r="CU35" s="14">
        <f t="shared" si="11"/>
        <v>12111</v>
      </c>
      <c r="CV35" s="118">
        <v>2</v>
      </c>
      <c r="CW35" s="14">
        <f t="shared" si="12"/>
        <v>211</v>
      </c>
      <c r="CX35" s="118" t="s">
        <v>1026</v>
      </c>
      <c r="CY35" s="14">
        <f t="shared" si="13"/>
        <v>1</v>
      </c>
      <c r="CZ35" s="166" t="str">
        <f t="shared" si="50"/>
        <v>钻石10060级-防御套寄灵人の头盔1金币10800</v>
      </c>
      <c r="DA35" s="14">
        <f t="shared" si="51"/>
        <v>10</v>
      </c>
      <c r="DB35" s="115" t="s">
        <v>257</v>
      </c>
      <c r="DC35" s="115">
        <v>100</v>
      </c>
      <c r="DD35" s="115" t="s">
        <v>1455</v>
      </c>
      <c r="DE35" s="115">
        <v>1</v>
      </c>
      <c r="DF35" s="109" t="s">
        <v>252</v>
      </c>
      <c r="DG35" s="115">
        <f t="shared" si="14"/>
        <v>10800</v>
      </c>
      <c r="DJ35" s="118">
        <v>31</v>
      </c>
      <c r="DK35" s="14">
        <f t="shared" si="52"/>
        <v>11</v>
      </c>
      <c r="DL35" s="118">
        <f t="shared" si="15"/>
        <v>60</v>
      </c>
      <c r="DM35" s="166">
        <f t="shared" si="16"/>
        <v>1</v>
      </c>
      <c r="DN35" s="166">
        <v>120</v>
      </c>
      <c r="DO35" s="166">
        <v>720</v>
      </c>
      <c r="DP35" s="166">
        <v>3</v>
      </c>
      <c r="DQ35" s="118">
        <v>90</v>
      </c>
      <c r="DR35" s="118">
        <f t="shared" si="53"/>
        <v>21111</v>
      </c>
      <c r="DS35" s="118">
        <v>1</v>
      </c>
      <c r="DT35" s="14">
        <f t="shared" si="17"/>
        <v>111</v>
      </c>
      <c r="DU35" s="118" t="s">
        <v>1034</v>
      </c>
      <c r="DV35" s="118">
        <v>1</v>
      </c>
      <c r="DW35" s="166" t="str">
        <f t="shared" si="18"/>
        <v>紫色基础材料4守护灵初级抽卡券2守护灵经验9000</v>
      </c>
      <c r="DX35" s="14">
        <f t="shared" ref="DX35" si="136">DT35*100+3</f>
        <v>11103</v>
      </c>
      <c r="DY35" s="118" t="s">
        <v>1606</v>
      </c>
      <c r="DZ35" s="118">
        <v>2</v>
      </c>
      <c r="EA35" s="14" t="str">
        <f>INDEX(挂机升级突破!$DT$4:$DX$4,DP35)</f>
        <v>紫色基础材料</v>
      </c>
      <c r="EB35" s="14">
        <f>ROUND(INDEX(挂机升级突破!$G$7:$K$37,DK35+2,章节关卡!DP35)/INDEX(挂机升级突破!$G$5:$K$5,章节关卡!DP35)*INDEX(挂机升级突破!$G$4:$K$4,章节关卡!DP35)*章节关卡!DO35,0)</f>
        <v>4</v>
      </c>
      <c r="EC35" s="118" t="s">
        <v>1038</v>
      </c>
      <c r="ED35" s="14">
        <f t="shared" si="19"/>
        <v>9000</v>
      </c>
      <c r="EF35" s="178"/>
      <c r="EG35" s="178"/>
      <c r="EI35" s="166">
        <v>31</v>
      </c>
      <c r="EJ35" s="14">
        <f t="shared" si="54"/>
        <v>11</v>
      </c>
      <c r="EK35" s="166">
        <f t="shared" si="55"/>
        <v>65</v>
      </c>
      <c r="EL35" s="166">
        <f t="shared" si="20"/>
        <v>1</v>
      </c>
      <c r="EM35" s="166">
        <f t="shared" si="21"/>
        <v>180</v>
      </c>
      <c r="EN35" s="166">
        <f t="shared" si="64"/>
        <v>1800</v>
      </c>
      <c r="EO35" s="166">
        <v>7</v>
      </c>
      <c r="EP35" s="14">
        <f t="shared" si="22"/>
        <v>180</v>
      </c>
      <c r="EQ35" s="14">
        <f t="shared" si="57"/>
        <v>22111</v>
      </c>
      <c r="ER35" s="166">
        <v>1</v>
      </c>
      <c r="ES35" s="14">
        <f t="shared" si="58"/>
        <v>211</v>
      </c>
      <c r="ET35" s="166" t="s">
        <v>1034</v>
      </c>
      <c r="EU35" s="166">
        <v>1</v>
      </c>
      <c r="EV35" s="166"/>
      <c r="EW35" s="14">
        <f t="shared" ref="EW35" si="137">ES35*100+3</f>
        <v>21103</v>
      </c>
      <c r="EX35" s="166" t="s">
        <v>1397</v>
      </c>
      <c r="EY35" s="166">
        <v>20</v>
      </c>
      <c r="EZ35" s="14" t="str">
        <f>INDEX(挂机升级突破!$DT$4:$EC$4,EO35)</f>
        <v>乌金</v>
      </c>
      <c r="FA35" s="14">
        <f>ROUND(INDEX(挂机升级突破!$G$7:$R$37,EJ35+3,EO35)/INDEX(挂机升级突破!$G$5:$R$5,章节关卡!EO35)*INDEX(挂机升级突破!$G$4:$R$4,章节关卡!EO35)*章节关卡!EN35,0)</f>
        <v>6</v>
      </c>
      <c r="FB35" s="166" t="s">
        <v>1399</v>
      </c>
      <c r="FC35" s="166">
        <f t="shared" si="23"/>
        <v>22500</v>
      </c>
    </row>
    <row r="36" spans="1:159" ht="16.5" x14ac:dyDescent="0.2">
      <c r="A36" s="15"/>
      <c r="B36" s="15"/>
      <c r="C36" s="167"/>
      <c r="D36" s="110"/>
      <c r="E36" s="110"/>
      <c r="F36" s="15"/>
      <c r="G36" s="15"/>
      <c r="H36" s="15"/>
      <c r="I36" s="15"/>
      <c r="J36" s="15"/>
      <c r="K36" s="15"/>
      <c r="L36" s="15"/>
      <c r="M36" s="15"/>
      <c r="AS36" s="24">
        <v>32</v>
      </c>
      <c r="AT36" s="14">
        <f t="shared" si="32"/>
        <v>8</v>
      </c>
      <c r="AU36" s="109">
        <f t="shared" si="33"/>
        <v>4</v>
      </c>
      <c r="AV36" s="109">
        <f t="shared" si="34"/>
        <v>14</v>
      </c>
      <c r="AW36" s="109">
        <f t="shared" si="35"/>
        <v>44</v>
      </c>
      <c r="AX36" s="109">
        <f t="shared" si="36"/>
        <v>68</v>
      </c>
      <c r="BA36" s="109">
        <v>32</v>
      </c>
      <c r="BB36" s="14">
        <f t="shared" si="0"/>
        <v>4</v>
      </c>
      <c r="BC36" s="14">
        <f t="shared" si="37"/>
        <v>2</v>
      </c>
      <c r="BD36" s="14">
        <f t="shared" si="81"/>
        <v>160</v>
      </c>
      <c r="BE36" s="14">
        <f t="shared" si="1"/>
        <v>750</v>
      </c>
      <c r="BF36" s="14">
        <f t="shared" si="2"/>
        <v>1800</v>
      </c>
      <c r="BG36" s="14">
        <f t="shared" si="38"/>
        <v>1.21</v>
      </c>
      <c r="BH36" s="14">
        <f t="shared" si="39"/>
        <v>11001</v>
      </c>
      <c r="BK36" s="109">
        <v>32</v>
      </c>
      <c r="BL36" s="14">
        <f t="shared" si="40"/>
        <v>4</v>
      </c>
      <c r="BM36" s="14">
        <f t="shared" si="41"/>
        <v>2</v>
      </c>
      <c r="BN36" s="14">
        <f t="shared" si="3"/>
        <v>400</v>
      </c>
      <c r="BO36" s="14">
        <f t="shared" si="4"/>
        <v>1500</v>
      </c>
      <c r="BP36" s="14">
        <f t="shared" si="5"/>
        <v>3600</v>
      </c>
      <c r="BS36" s="109">
        <v>32</v>
      </c>
      <c r="BT36" s="109">
        <f t="shared" si="42"/>
        <v>11</v>
      </c>
      <c r="BU36" s="112">
        <f t="shared" si="43"/>
        <v>60</v>
      </c>
      <c r="BV36" s="109">
        <f t="shared" si="6"/>
        <v>2</v>
      </c>
      <c r="BW36" s="109">
        <v>240</v>
      </c>
      <c r="BX36" s="109">
        <v>360</v>
      </c>
      <c r="BY36" s="112">
        <v>3</v>
      </c>
      <c r="BZ36" s="14">
        <f t="shared" si="44"/>
        <v>11112</v>
      </c>
      <c r="CA36" s="118">
        <v>1</v>
      </c>
      <c r="CB36" s="14">
        <f t="shared" si="45"/>
        <v>111</v>
      </c>
      <c r="CC36" s="118" t="s">
        <v>1026</v>
      </c>
      <c r="CD36" s="14">
        <f t="shared" si="46"/>
        <v>2</v>
      </c>
      <c r="CE36" s="166" t="str">
        <f t="shared" si="47"/>
        <v>守护灵抽卡券2 2小时扫荡券1 金币14400</v>
      </c>
      <c r="CF36" s="14">
        <f t="shared" si="48"/>
        <v>20</v>
      </c>
      <c r="CG36" s="115" t="s">
        <v>258</v>
      </c>
      <c r="CH36" s="115">
        <v>2</v>
      </c>
      <c r="CI36" s="210" t="s">
        <v>1395</v>
      </c>
      <c r="CJ36" s="210">
        <v>1</v>
      </c>
      <c r="CK36" s="210" t="s">
        <v>252</v>
      </c>
      <c r="CL36" s="210">
        <f t="shared" ref="CL36:CL37" si="138">INDEX($I$6:$I$35,BT36)*BW36</f>
        <v>14400</v>
      </c>
      <c r="CO36" s="115">
        <f t="shared" si="7"/>
        <v>11</v>
      </c>
      <c r="CP36" s="115">
        <f t="shared" si="8"/>
        <v>70</v>
      </c>
      <c r="CQ36" s="118">
        <v>2</v>
      </c>
      <c r="CR36" s="109">
        <f t="shared" si="9"/>
        <v>360</v>
      </c>
      <c r="CS36" s="109">
        <f t="shared" si="10"/>
        <v>720</v>
      </c>
      <c r="CT36" s="115">
        <v>7</v>
      </c>
      <c r="CU36" s="14">
        <f t="shared" si="11"/>
        <v>12112</v>
      </c>
      <c r="CV36" s="118">
        <v>2</v>
      </c>
      <c r="CW36" s="14">
        <f t="shared" si="12"/>
        <v>211</v>
      </c>
      <c r="CX36" s="118" t="s">
        <v>1026</v>
      </c>
      <c r="CY36" s="14">
        <f t="shared" si="13"/>
        <v>2</v>
      </c>
      <c r="CZ36" s="166" t="str">
        <f t="shared" si="50"/>
        <v>熔炼值150060级-防御套寄灵人の铠甲1金币21600</v>
      </c>
      <c r="DA36" s="14">
        <f t="shared" si="51"/>
        <v>20</v>
      </c>
      <c r="DB36" s="115" t="s">
        <v>1005</v>
      </c>
      <c r="DC36" s="115">
        <v>1500</v>
      </c>
      <c r="DD36" s="115" t="s">
        <v>1456</v>
      </c>
      <c r="DE36" s="115">
        <v>1</v>
      </c>
      <c r="DF36" s="109" t="s">
        <v>252</v>
      </c>
      <c r="DG36" s="115">
        <f t="shared" si="14"/>
        <v>21600</v>
      </c>
      <c r="DJ36" s="118">
        <v>32</v>
      </c>
      <c r="DK36" s="14">
        <f t="shared" si="52"/>
        <v>11</v>
      </c>
      <c r="DL36" s="118">
        <f t="shared" si="15"/>
        <v>60</v>
      </c>
      <c r="DM36" s="166">
        <f t="shared" si="16"/>
        <v>2</v>
      </c>
      <c r="DN36" s="166">
        <v>240</v>
      </c>
      <c r="DO36" s="166">
        <v>1440</v>
      </c>
      <c r="DP36" s="166">
        <v>3</v>
      </c>
      <c r="DQ36" s="118">
        <v>120</v>
      </c>
      <c r="DR36" s="118">
        <f t="shared" si="53"/>
        <v>21112</v>
      </c>
      <c r="DS36" s="118">
        <v>1</v>
      </c>
      <c r="DT36" s="14">
        <f t="shared" si="17"/>
        <v>111</v>
      </c>
      <c r="DU36" s="118" t="s">
        <v>1034</v>
      </c>
      <c r="DV36" s="118">
        <v>2</v>
      </c>
      <c r="DW36" s="166" t="str">
        <f t="shared" si="18"/>
        <v>紫色基础材料8守护灵初级抽卡券3守护灵经验12000</v>
      </c>
      <c r="DX36" s="14">
        <f t="shared" ref="DX36" si="139">DT36*100+6</f>
        <v>11106</v>
      </c>
      <c r="DY36" s="118" t="s">
        <v>1606</v>
      </c>
      <c r="DZ36" s="118">
        <v>3</v>
      </c>
      <c r="EA36" s="14" t="str">
        <f>INDEX(挂机升级突破!$DT$4:$DX$4,DP36)</f>
        <v>紫色基础材料</v>
      </c>
      <c r="EB36" s="14">
        <f>ROUND(INDEX(挂机升级突破!$G$7:$K$37,DK36+2,章节关卡!DP36)/INDEX(挂机升级突破!$G$5:$K$5,章节关卡!DP36)*INDEX(挂机升级突破!$G$4:$K$4,章节关卡!DP36)*章节关卡!DO36,0)</f>
        <v>8</v>
      </c>
      <c r="EC36" s="118" t="s">
        <v>1038</v>
      </c>
      <c r="ED36" s="14">
        <f t="shared" si="19"/>
        <v>12000</v>
      </c>
      <c r="EI36" s="166">
        <v>32</v>
      </c>
      <c r="EJ36" s="14">
        <f t="shared" si="54"/>
        <v>11</v>
      </c>
      <c r="EK36" s="166">
        <f t="shared" si="55"/>
        <v>65</v>
      </c>
      <c r="EL36" s="166">
        <f t="shared" si="20"/>
        <v>2</v>
      </c>
      <c r="EM36" s="166">
        <f t="shared" si="21"/>
        <v>360</v>
      </c>
      <c r="EN36" s="166">
        <f t="shared" si="64"/>
        <v>3600</v>
      </c>
      <c r="EO36" s="166">
        <v>7</v>
      </c>
      <c r="EP36" s="14">
        <f t="shared" si="22"/>
        <v>240</v>
      </c>
      <c r="EQ36" s="14">
        <f t="shared" si="57"/>
        <v>22112</v>
      </c>
      <c r="ER36" s="166">
        <v>1</v>
      </c>
      <c r="ES36" s="14">
        <f t="shared" si="58"/>
        <v>211</v>
      </c>
      <c r="ET36" s="166" t="s">
        <v>1034</v>
      </c>
      <c r="EU36" s="166">
        <v>2</v>
      </c>
      <c r="EV36" s="166"/>
      <c r="EW36" s="14">
        <f t="shared" ref="EW36" si="140">ES36*100+6</f>
        <v>21106</v>
      </c>
      <c r="EX36" s="166" t="s">
        <v>1397</v>
      </c>
      <c r="EY36" s="166">
        <v>30</v>
      </c>
      <c r="EZ36" s="14" t="str">
        <f>INDEX(挂机升级突破!$DT$4:$EC$4,EO36)</f>
        <v>乌金</v>
      </c>
      <c r="FA36" s="14">
        <f>ROUND(INDEX(挂机升级突破!$G$7:$R$37,EJ36+3,EO36)/INDEX(挂机升级突破!$G$5:$R$5,章节关卡!EO36)*INDEX(挂机升级突破!$G$4:$R$4,章节关卡!EO36)*章节关卡!EN36,0)</f>
        <v>12</v>
      </c>
      <c r="FB36" s="166" t="s">
        <v>1399</v>
      </c>
      <c r="FC36" s="166">
        <f t="shared" si="23"/>
        <v>45000</v>
      </c>
    </row>
    <row r="37" spans="1:159" ht="16.5" x14ac:dyDescent="0.2">
      <c r="A37" s="15"/>
      <c r="B37" s="15"/>
      <c r="C37" s="167"/>
      <c r="D37" s="110"/>
      <c r="E37" s="110"/>
      <c r="F37" s="15"/>
      <c r="G37" s="15"/>
      <c r="H37" s="15"/>
      <c r="I37" s="15"/>
      <c r="J37" s="15"/>
      <c r="K37" s="15"/>
      <c r="L37" s="15"/>
      <c r="M37" s="15"/>
      <c r="AS37" s="24">
        <v>33</v>
      </c>
      <c r="AT37" s="14">
        <f t="shared" si="32"/>
        <v>9</v>
      </c>
      <c r="AU37" s="109">
        <f t="shared" si="33"/>
        <v>1</v>
      </c>
      <c r="AV37" s="109">
        <f t="shared" si="34"/>
        <v>16</v>
      </c>
      <c r="AW37" s="109">
        <f t="shared" si="35"/>
        <v>46</v>
      </c>
      <c r="AX37" s="109">
        <f t="shared" si="36"/>
        <v>72</v>
      </c>
      <c r="BA37" s="109">
        <v>33</v>
      </c>
      <c r="BB37" s="14">
        <f t="shared" si="0"/>
        <v>4</v>
      </c>
      <c r="BC37" s="14">
        <f t="shared" si="37"/>
        <v>3</v>
      </c>
      <c r="BD37" s="14">
        <f t="shared" si="81"/>
        <v>160</v>
      </c>
      <c r="BE37" s="14">
        <f t="shared" si="1"/>
        <v>750</v>
      </c>
      <c r="BF37" s="14">
        <f t="shared" si="2"/>
        <v>1800</v>
      </c>
      <c r="BG37" s="14">
        <f t="shared" si="38"/>
        <v>1.21</v>
      </c>
      <c r="BH37" s="14">
        <f t="shared" si="39"/>
        <v>11001</v>
      </c>
      <c r="BK37" s="109">
        <v>33</v>
      </c>
      <c r="BL37" s="14">
        <f t="shared" si="40"/>
        <v>4</v>
      </c>
      <c r="BM37" s="14">
        <f t="shared" si="41"/>
        <v>3</v>
      </c>
      <c r="BN37" s="14">
        <f t="shared" si="3"/>
        <v>400</v>
      </c>
      <c r="BO37" s="14">
        <f t="shared" si="4"/>
        <v>1500</v>
      </c>
      <c r="BP37" s="14">
        <f t="shared" si="5"/>
        <v>3600</v>
      </c>
      <c r="BS37" s="109">
        <v>33</v>
      </c>
      <c r="BT37" s="109">
        <f t="shared" si="42"/>
        <v>11</v>
      </c>
      <c r="BU37" s="112">
        <f t="shared" si="43"/>
        <v>60</v>
      </c>
      <c r="BV37" s="109">
        <f t="shared" si="6"/>
        <v>3</v>
      </c>
      <c r="BW37" s="109">
        <v>360</v>
      </c>
      <c r="BX37" s="109">
        <v>540</v>
      </c>
      <c r="BY37" s="112">
        <v>3</v>
      </c>
      <c r="BZ37" s="14">
        <f t="shared" si="44"/>
        <v>11113</v>
      </c>
      <c r="CA37" s="118">
        <v>1</v>
      </c>
      <c r="CB37" s="14">
        <f t="shared" si="45"/>
        <v>111</v>
      </c>
      <c r="CC37" s="118" t="s">
        <v>1026</v>
      </c>
      <c r="CD37" s="14">
        <f t="shared" si="46"/>
        <v>3</v>
      </c>
      <c r="CE37" s="166" t="str">
        <f t="shared" si="47"/>
        <v>守护灵抽卡券3 2小时扫荡券1 金币21600</v>
      </c>
      <c r="CF37" s="14">
        <f t="shared" si="48"/>
        <v>30</v>
      </c>
      <c r="CG37" s="115" t="s">
        <v>258</v>
      </c>
      <c r="CH37" s="115">
        <v>3</v>
      </c>
      <c r="CI37" s="210" t="s">
        <v>1395</v>
      </c>
      <c r="CJ37" s="210">
        <v>1</v>
      </c>
      <c r="CK37" s="210" t="s">
        <v>252</v>
      </c>
      <c r="CL37" s="210">
        <f t="shared" si="138"/>
        <v>21600</v>
      </c>
      <c r="CO37" s="115">
        <f t="shared" ref="CO37:CO68" si="141">BT37</f>
        <v>11</v>
      </c>
      <c r="CP37" s="115">
        <f t="shared" ref="CP37:CP68" si="142">BU37+10</f>
        <v>70</v>
      </c>
      <c r="CQ37" s="118">
        <v>3</v>
      </c>
      <c r="CR37" s="109">
        <f t="shared" ref="CR37:CR68" si="143">BW37*CR$2</f>
        <v>540</v>
      </c>
      <c r="CS37" s="109">
        <f t="shared" ref="CS37:CS68" si="144">BX37*CS$2</f>
        <v>1080</v>
      </c>
      <c r="CT37" s="115">
        <v>7</v>
      </c>
      <c r="CU37" s="14">
        <f t="shared" ref="CU37:CU68" si="145">10000+CW37*10+CQ37</f>
        <v>12113</v>
      </c>
      <c r="CV37" s="118">
        <v>2</v>
      </c>
      <c r="CW37" s="14">
        <f t="shared" ref="CW37:CW68" si="146">200+CO37</f>
        <v>211</v>
      </c>
      <c r="CX37" s="118" t="s">
        <v>1026</v>
      </c>
      <c r="CY37" s="14">
        <f t="shared" ref="CY37:CY68" si="147">CQ37</f>
        <v>3</v>
      </c>
      <c r="CZ37" s="166" t="str">
        <f t="shared" si="50"/>
        <v>守护灵抽卡券560级-防御套寄灵人の裤子1金币32400</v>
      </c>
      <c r="DA37" s="14">
        <f t="shared" si="51"/>
        <v>30</v>
      </c>
      <c r="DB37" s="115" t="s">
        <v>1004</v>
      </c>
      <c r="DC37" s="115">
        <v>5</v>
      </c>
      <c r="DD37" s="115" t="s">
        <v>1457</v>
      </c>
      <c r="DE37" s="115">
        <v>1</v>
      </c>
      <c r="DF37" s="109" t="s">
        <v>252</v>
      </c>
      <c r="DG37" s="115">
        <f t="shared" ref="DG37:DG68" si="148">INDEX($I$6:$I$35,BT37)*CR37</f>
        <v>32400</v>
      </c>
      <c r="DJ37" s="118">
        <v>33</v>
      </c>
      <c r="DK37" s="14">
        <f t="shared" si="52"/>
        <v>11</v>
      </c>
      <c r="DL37" s="118">
        <f t="shared" ref="DL37:DL68" si="149">BU37</f>
        <v>60</v>
      </c>
      <c r="DM37" s="166">
        <f t="shared" si="16"/>
        <v>3</v>
      </c>
      <c r="DN37" s="166">
        <v>360</v>
      </c>
      <c r="DO37" s="166">
        <v>2160</v>
      </c>
      <c r="DP37" s="166">
        <v>3</v>
      </c>
      <c r="DQ37" s="118">
        <v>150</v>
      </c>
      <c r="DR37" s="118">
        <f t="shared" si="53"/>
        <v>21113</v>
      </c>
      <c r="DS37" s="118">
        <v>1</v>
      </c>
      <c r="DT37" s="14">
        <f t="shared" ref="DT37:DT68" si="150">DK37+100</f>
        <v>111</v>
      </c>
      <c r="DU37" s="118" t="s">
        <v>1034</v>
      </c>
      <c r="DV37" s="118">
        <v>3</v>
      </c>
      <c r="DW37" s="166" t="str">
        <f t="shared" ref="DW37:DW68" si="151">EA37&amp;EB37&amp;DY37&amp;DZ37&amp;EC37&amp;ED37</f>
        <v>紫色基础材料13守护灵初级抽卡券5守护灵经验15000</v>
      </c>
      <c r="DX37" s="14">
        <f t="shared" ref="DX37" si="152">DT37*100+9</f>
        <v>11109</v>
      </c>
      <c r="DY37" s="118" t="s">
        <v>1606</v>
      </c>
      <c r="DZ37" s="118">
        <v>5</v>
      </c>
      <c r="EA37" s="14" t="str">
        <f>INDEX(挂机升级突破!$DT$4:$DX$4,DP37)</f>
        <v>紫色基础材料</v>
      </c>
      <c r="EB37" s="14">
        <f>ROUND(INDEX(挂机升级突破!$G$7:$K$37,DK37+2,章节关卡!DP37)/INDEX(挂机升级突破!$G$5:$K$5,章节关卡!DP37)*INDEX(挂机升级突破!$G$4:$K$4,章节关卡!DP37)*章节关卡!DO37,0)</f>
        <v>13</v>
      </c>
      <c r="EC37" s="118" t="s">
        <v>1038</v>
      </c>
      <c r="ED37" s="14">
        <f t="shared" ref="ED37:ED68" si="153">INDEX($L$6:$L$35,DK37)*DQ37</f>
        <v>15000</v>
      </c>
      <c r="EI37" s="166">
        <v>33</v>
      </c>
      <c r="EJ37" s="14">
        <f t="shared" si="54"/>
        <v>11</v>
      </c>
      <c r="EK37" s="166">
        <f t="shared" si="55"/>
        <v>65</v>
      </c>
      <c r="EL37" s="166">
        <f t="shared" si="20"/>
        <v>3</v>
      </c>
      <c r="EM37" s="166">
        <f t="shared" ref="EM37:EM68" si="154">DN37*EM$2</f>
        <v>540</v>
      </c>
      <c r="EN37" s="166">
        <f t="shared" ref="EN37:EN68" si="155">DO37*EN$2</f>
        <v>5400</v>
      </c>
      <c r="EO37" s="166">
        <v>7</v>
      </c>
      <c r="EP37" s="14">
        <f t="shared" ref="EP37:EP68" si="156">DQ37*EP$2</f>
        <v>300</v>
      </c>
      <c r="EQ37" s="14">
        <f t="shared" si="57"/>
        <v>22113</v>
      </c>
      <c r="ER37" s="166">
        <v>1</v>
      </c>
      <c r="ES37" s="14">
        <f t="shared" si="58"/>
        <v>211</v>
      </c>
      <c r="ET37" s="166" t="s">
        <v>1034</v>
      </c>
      <c r="EU37" s="166">
        <v>3</v>
      </c>
      <c r="EV37" s="166"/>
      <c r="EW37" s="14">
        <f t="shared" ref="EW37" si="157">ES37*100+9</f>
        <v>21109</v>
      </c>
      <c r="EX37" s="166" t="s">
        <v>1397</v>
      </c>
      <c r="EY37" s="166">
        <v>50</v>
      </c>
      <c r="EZ37" s="14" t="str">
        <f>INDEX(挂机升级突破!$DT$4:$EC$4,EO37)</f>
        <v>乌金</v>
      </c>
      <c r="FA37" s="14">
        <f>ROUND(INDEX(挂机升级突破!$G$7:$R$37,EJ37+3,EO37)/INDEX(挂机升级突破!$G$5:$R$5,章节关卡!EO37)*INDEX(挂机升级突破!$G$4:$R$4,章节关卡!EO37)*章节关卡!EN37,0)</f>
        <v>18</v>
      </c>
      <c r="FB37" s="166" t="s">
        <v>1399</v>
      </c>
      <c r="FC37" s="166">
        <f t="shared" ref="FC37:FC68" si="158">INDEX($L$6:$L$35,EJ37+2)*EM37</f>
        <v>67500</v>
      </c>
    </row>
    <row r="38" spans="1:159" ht="16.5" x14ac:dyDescent="0.2">
      <c r="Q38" s="43"/>
      <c r="AS38" s="24">
        <v>34</v>
      </c>
      <c r="AT38" s="14">
        <f t="shared" si="32"/>
        <v>9</v>
      </c>
      <c r="AU38" s="109">
        <f t="shared" si="33"/>
        <v>2</v>
      </c>
      <c r="AV38" s="109">
        <f t="shared" si="34"/>
        <v>16</v>
      </c>
      <c r="AW38" s="109">
        <f t="shared" si="35"/>
        <v>47</v>
      </c>
      <c r="AX38" s="109">
        <f t="shared" si="36"/>
        <v>74</v>
      </c>
      <c r="BA38" s="109">
        <v>34</v>
      </c>
      <c r="BB38" s="14">
        <f t="shared" si="0"/>
        <v>4</v>
      </c>
      <c r="BC38" s="14">
        <f t="shared" si="37"/>
        <v>4</v>
      </c>
      <c r="BD38" s="14">
        <f t="shared" si="81"/>
        <v>160</v>
      </c>
      <c r="BE38" s="14">
        <f t="shared" si="1"/>
        <v>750</v>
      </c>
      <c r="BF38" s="14">
        <f t="shared" si="2"/>
        <v>1800</v>
      </c>
      <c r="BG38" s="14">
        <f t="shared" si="38"/>
        <v>1.21</v>
      </c>
      <c r="BH38" s="14">
        <f t="shared" si="39"/>
        <v>11001</v>
      </c>
      <c r="BK38" s="109">
        <v>34</v>
      </c>
      <c r="BL38" s="14">
        <f t="shared" si="40"/>
        <v>4</v>
      </c>
      <c r="BM38" s="14">
        <f t="shared" si="41"/>
        <v>4</v>
      </c>
      <c r="BN38" s="14">
        <f t="shared" si="3"/>
        <v>400</v>
      </c>
      <c r="BO38" s="14">
        <f t="shared" si="4"/>
        <v>1500</v>
      </c>
      <c r="BP38" s="14">
        <f t="shared" si="5"/>
        <v>3600</v>
      </c>
      <c r="BS38" s="109">
        <v>34</v>
      </c>
      <c r="BT38" s="109">
        <f t="shared" si="42"/>
        <v>12</v>
      </c>
      <c r="BU38" s="112">
        <f t="shared" si="43"/>
        <v>65</v>
      </c>
      <c r="BV38" s="109">
        <f t="shared" si="6"/>
        <v>1</v>
      </c>
      <c r="BW38" s="109">
        <v>120</v>
      </c>
      <c r="BX38" s="109">
        <v>180</v>
      </c>
      <c r="BY38" s="112">
        <v>3</v>
      </c>
      <c r="BZ38" s="14">
        <f t="shared" si="44"/>
        <v>11121</v>
      </c>
      <c r="CA38" s="118">
        <v>1</v>
      </c>
      <c r="CB38" s="14">
        <f t="shared" si="45"/>
        <v>112</v>
      </c>
      <c r="CC38" s="118" t="s">
        <v>1026</v>
      </c>
      <c r="CD38" s="14">
        <f t="shared" si="46"/>
        <v>1</v>
      </c>
      <c r="CE38" s="166" t="str">
        <f t="shared" si="47"/>
        <v xml:space="preserve">钻石100 金币7800 </v>
      </c>
      <c r="CF38" s="14">
        <f t="shared" si="48"/>
        <v>10</v>
      </c>
      <c r="CG38" s="115" t="s">
        <v>19</v>
      </c>
      <c r="CH38" s="115">
        <v>100</v>
      </c>
      <c r="CI38" s="210" t="s">
        <v>358</v>
      </c>
      <c r="CJ38" s="210">
        <f>INDEX($I$6:$I$35,BT38)*BW38</f>
        <v>7800</v>
      </c>
      <c r="CK38" s="210"/>
      <c r="CL38" s="210"/>
      <c r="CO38" s="115">
        <f t="shared" si="141"/>
        <v>12</v>
      </c>
      <c r="CP38" s="115">
        <f t="shared" si="142"/>
        <v>75</v>
      </c>
      <c r="CQ38" s="118">
        <v>1</v>
      </c>
      <c r="CR38" s="109">
        <f t="shared" si="143"/>
        <v>180</v>
      </c>
      <c r="CS38" s="109">
        <f t="shared" si="144"/>
        <v>360</v>
      </c>
      <c r="CT38" s="115">
        <v>7</v>
      </c>
      <c r="CU38" s="14">
        <f t="shared" si="145"/>
        <v>12121</v>
      </c>
      <c r="CV38" s="118">
        <v>2</v>
      </c>
      <c r="CW38" s="14">
        <f t="shared" si="146"/>
        <v>212</v>
      </c>
      <c r="CX38" s="118" t="s">
        <v>1026</v>
      </c>
      <c r="CY38" s="14">
        <f t="shared" si="147"/>
        <v>1</v>
      </c>
      <c r="CZ38" s="166" t="str">
        <f t="shared" si="50"/>
        <v>钻石10060级-防御套寄灵人の鞋子1金币11700</v>
      </c>
      <c r="DA38" s="14">
        <f t="shared" si="51"/>
        <v>10</v>
      </c>
      <c r="DB38" s="115" t="s">
        <v>257</v>
      </c>
      <c r="DC38" s="115">
        <v>100</v>
      </c>
      <c r="DD38" s="115" t="s">
        <v>1458</v>
      </c>
      <c r="DE38" s="115">
        <v>1</v>
      </c>
      <c r="DF38" s="109" t="s">
        <v>252</v>
      </c>
      <c r="DG38" s="115">
        <f t="shared" si="148"/>
        <v>11700</v>
      </c>
      <c r="DJ38" s="118">
        <v>34</v>
      </c>
      <c r="DK38" s="14">
        <f t="shared" si="52"/>
        <v>12</v>
      </c>
      <c r="DL38" s="118">
        <f t="shared" si="149"/>
        <v>65</v>
      </c>
      <c r="DM38" s="166">
        <f t="shared" si="16"/>
        <v>1</v>
      </c>
      <c r="DN38" s="166">
        <v>120</v>
      </c>
      <c r="DO38" s="166">
        <v>720</v>
      </c>
      <c r="DP38" s="166">
        <v>3</v>
      </c>
      <c r="DQ38" s="118">
        <v>90</v>
      </c>
      <c r="DR38" s="118">
        <f t="shared" si="53"/>
        <v>21121</v>
      </c>
      <c r="DS38" s="118">
        <v>1</v>
      </c>
      <c r="DT38" s="14">
        <f t="shared" si="150"/>
        <v>112</v>
      </c>
      <c r="DU38" s="118" t="s">
        <v>1034</v>
      </c>
      <c r="DV38" s="118">
        <v>1</v>
      </c>
      <c r="DW38" s="166" t="str">
        <f t="shared" si="151"/>
        <v>紫色基础材料6守护灵初级抽卡券2守护灵经验9900</v>
      </c>
      <c r="DX38" s="14">
        <f t="shared" ref="DX38" si="159">DT38*100+3</f>
        <v>11203</v>
      </c>
      <c r="DY38" s="118" t="s">
        <v>1606</v>
      </c>
      <c r="DZ38" s="118">
        <v>2</v>
      </c>
      <c r="EA38" s="14" t="str">
        <f>INDEX(挂机升级突破!$DT$4:$DX$4,DP38)</f>
        <v>紫色基础材料</v>
      </c>
      <c r="EB38" s="14">
        <f>ROUND(INDEX(挂机升级突破!$G$7:$K$37,DK38+2,章节关卡!DP38)/INDEX(挂机升级突破!$G$5:$K$5,章节关卡!DP38)*INDEX(挂机升级突破!$G$4:$K$4,章节关卡!DP38)*章节关卡!DO38,0)</f>
        <v>6</v>
      </c>
      <c r="EC38" s="118" t="s">
        <v>1038</v>
      </c>
      <c r="ED38" s="14">
        <f t="shared" si="153"/>
        <v>9900</v>
      </c>
      <c r="EI38" s="166">
        <v>34</v>
      </c>
      <c r="EJ38" s="14">
        <f t="shared" si="54"/>
        <v>12</v>
      </c>
      <c r="EK38" s="166">
        <f t="shared" si="55"/>
        <v>70</v>
      </c>
      <c r="EL38" s="166">
        <f t="shared" si="20"/>
        <v>1</v>
      </c>
      <c r="EM38" s="166">
        <f t="shared" si="154"/>
        <v>180</v>
      </c>
      <c r="EN38" s="166">
        <f t="shared" si="155"/>
        <v>1800</v>
      </c>
      <c r="EO38" s="166">
        <v>7</v>
      </c>
      <c r="EP38" s="14">
        <f t="shared" si="156"/>
        <v>180</v>
      </c>
      <c r="EQ38" s="14">
        <f t="shared" si="57"/>
        <v>22121</v>
      </c>
      <c r="ER38" s="166">
        <v>1</v>
      </c>
      <c r="ES38" s="14">
        <f t="shared" si="58"/>
        <v>212</v>
      </c>
      <c r="ET38" s="166" t="s">
        <v>1034</v>
      </c>
      <c r="EU38" s="166">
        <v>1</v>
      </c>
      <c r="EV38" s="166"/>
      <c r="EW38" s="14">
        <f t="shared" ref="EW38" si="160">ES38*100+3</f>
        <v>21203</v>
      </c>
      <c r="EX38" s="166" t="s">
        <v>1397</v>
      </c>
      <c r="EY38" s="166">
        <v>20</v>
      </c>
      <c r="EZ38" s="14" t="str">
        <f>INDEX(挂机升级突破!$DT$4:$EC$4,EO38)</f>
        <v>乌金</v>
      </c>
      <c r="FA38" s="14">
        <f>ROUND(INDEX(挂机升级突破!$G$7:$R$37,EJ38+3,EO38)/INDEX(挂机升级突破!$G$5:$R$5,章节关卡!EO38)*INDEX(挂机升级突破!$G$4:$R$4,章节关卡!EO38)*章节关卡!EN38,0)</f>
        <v>7</v>
      </c>
      <c r="FB38" s="166" t="s">
        <v>1399</v>
      </c>
      <c r="FC38" s="166">
        <f t="shared" si="158"/>
        <v>24300</v>
      </c>
    </row>
    <row r="39" spans="1:159" ht="16.5" x14ac:dyDescent="0.2">
      <c r="Q39" s="43"/>
      <c r="AS39" s="24">
        <v>35</v>
      </c>
      <c r="AT39" s="14">
        <f t="shared" si="32"/>
        <v>9</v>
      </c>
      <c r="AU39" s="109">
        <f t="shared" si="33"/>
        <v>3</v>
      </c>
      <c r="AV39" s="109">
        <f t="shared" si="34"/>
        <v>16</v>
      </c>
      <c r="AW39" s="109">
        <f t="shared" si="35"/>
        <v>48</v>
      </c>
      <c r="AX39" s="109">
        <f t="shared" si="36"/>
        <v>76</v>
      </c>
      <c r="BA39" s="109">
        <v>35</v>
      </c>
      <c r="BB39" s="14">
        <f t="shared" si="0"/>
        <v>4</v>
      </c>
      <c r="BC39" s="14">
        <f t="shared" si="37"/>
        <v>5</v>
      </c>
      <c r="BD39" s="14">
        <f t="shared" si="81"/>
        <v>160</v>
      </c>
      <c r="BE39" s="14">
        <f t="shared" si="1"/>
        <v>750</v>
      </c>
      <c r="BF39" s="14">
        <f t="shared" si="2"/>
        <v>1800</v>
      </c>
      <c r="BG39" s="14">
        <f t="shared" si="38"/>
        <v>1.21</v>
      </c>
      <c r="BH39" s="14">
        <f t="shared" si="39"/>
        <v>11001</v>
      </c>
      <c r="BK39" s="109">
        <v>35</v>
      </c>
      <c r="BL39" s="14">
        <f t="shared" si="40"/>
        <v>4</v>
      </c>
      <c r="BM39" s="14">
        <f t="shared" si="41"/>
        <v>5</v>
      </c>
      <c r="BN39" s="14">
        <f t="shared" si="3"/>
        <v>400</v>
      </c>
      <c r="BO39" s="14">
        <f t="shared" si="4"/>
        <v>1500</v>
      </c>
      <c r="BP39" s="14">
        <f t="shared" si="5"/>
        <v>3600</v>
      </c>
      <c r="BS39" s="109">
        <v>35</v>
      </c>
      <c r="BT39" s="109">
        <f t="shared" si="42"/>
        <v>12</v>
      </c>
      <c r="BU39" s="112">
        <f t="shared" si="43"/>
        <v>65</v>
      </c>
      <c r="BV39" s="109">
        <f t="shared" si="6"/>
        <v>2</v>
      </c>
      <c r="BW39" s="109">
        <v>240</v>
      </c>
      <c r="BX39" s="109">
        <v>360</v>
      </c>
      <c r="BY39" s="112">
        <v>3</v>
      </c>
      <c r="BZ39" s="14">
        <f t="shared" si="44"/>
        <v>11122</v>
      </c>
      <c r="CA39" s="118">
        <v>1</v>
      </c>
      <c r="CB39" s="14">
        <f t="shared" si="45"/>
        <v>112</v>
      </c>
      <c r="CC39" s="118" t="s">
        <v>1026</v>
      </c>
      <c r="CD39" s="14">
        <f t="shared" si="46"/>
        <v>2</v>
      </c>
      <c r="CE39" s="166" t="str">
        <f t="shared" si="47"/>
        <v>守护灵抽卡券2 2小时扫荡券1 金币15600</v>
      </c>
      <c r="CF39" s="14">
        <f t="shared" si="48"/>
        <v>20</v>
      </c>
      <c r="CG39" s="115" t="s">
        <v>258</v>
      </c>
      <c r="CH39" s="115">
        <v>2</v>
      </c>
      <c r="CI39" s="210" t="s">
        <v>1395</v>
      </c>
      <c r="CJ39" s="210">
        <v>1</v>
      </c>
      <c r="CK39" s="210" t="s">
        <v>252</v>
      </c>
      <c r="CL39" s="210">
        <f t="shared" ref="CL39:CL40" si="161">INDEX($I$6:$I$35,BT39)*BW39</f>
        <v>15600</v>
      </c>
      <c r="CO39" s="115">
        <f t="shared" si="141"/>
        <v>12</v>
      </c>
      <c r="CP39" s="115">
        <f t="shared" si="142"/>
        <v>75</v>
      </c>
      <c r="CQ39" s="118">
        <v>2</v>
      </c>
      <c r="CR39" s="109">
        <f t="shared" si="143"/>
        <v>360</v>
      </c>
      <c r="CS39" s="109">
        <f t="shared" si="144"/>
        <v>720</v>
      </c>
      <c r="CT39" s="115">
        <v>7</v>
      </c>
      <c r="CU39" s="14">
        <f t="shared" si="145"/>
        <v>12122</v>
      </c>
      <c r="CV39" s="118">
        <v>2</v>
      </c>
      <c r="CW39" s="14">
        <f t="shared" si="146"/>
        <v>212</v>
      </c>
      <c r="CX39" s="118" t="s">
        <v>1026</v>
      </c>
      <c r="CY39" s="14">
        <f t="shared" si="147"/>
        <v>2</v>
      </c>
      <c r="CZ39" s="166" t="str">
        <f t="shared" si="50"/>
        <v>熔炼值160060级-防御套寄灵人の护手1金币23400</v>
      </c>
      <c r="DA39" s="14">
        <f t="shared" si="51"/>
        <v>20</v>
      </c>
      <c r="DB39" s="115" t="s">
        <v>1005</v>
      </c>
      <c r="DC39" s="115">
        <v>1600</v>
      </c>
      <c r="DD39" s="115" t="s">
        <v>1459</v>
      </c>
      <c r="DE39" s="115">
        <v>1</v>
      </c>
      <c r="DF39" s="109" t="s">
        <v>252</v>
      </c>
      <c r="DG39" s="115">
        <f t="shared" si="148"/>
        <v>23400</v>
      </c>
      <c r="DJ39" s="118">
        <v>35</v>
      </c>
      <c r="DK39" s="14">
        <f t="shared" si="52"/>
        <v>12</v>
      </c>
      <c r="DL39" s="118">
        <f t="shared" si="149"/>
        <v>65</v>
      </c>
      <c r="DM39" s="166">
        <f t="shared" si="16"/>
        <v>2</v>
      </c>
      <c r="DN39" s="166">
        <v>240</v>
      </c>
      <c r="DO39" s="166">
        <v>1440</v>
      </c>
      <c r="DP39" s="166">
        <v>3</v>
      </c>
      <c r="DQ39" s="118">
        <v>120</v>
      </c>
      <c r="DR39" s="118">
        <f t="shared" si="53"/>
        <v>21122</v>
      </c>
      <c r="DS39" s="118">
        <v>1</v>
      </c>
      <c r="DT39" s="14">
        <f t="shared" si="150"/>
        <v>112</v>
      </c>
      <c r="DU39" s="118" t="s">
        <v>1034</v>
      </c>
      <c r="DV39" s="118">
        <v>2</v>
      </c>
      <c r="DW39" s="166" t="str">
        <f t="shared" si="151"/>
        <v>紫色基础材料12守护灵初级抽卡券3守护灵经验13200</v>
      </c>
      <c r="DX39" s="14">
        <f t="shared" ref="DX39" si="162">DT39*100+6</f>
        <v>11206</v>
      </c>
      <c r="DY39" s="118" t="s">
        <v>1606</v>
      </c>
      <c r="DZ39" s="118">
        <v>3</v>
      </c>
      <c r="EA39" s="14" t="str">
        <f>INDEX(挂机升级突破!$DT$4:$DX$4,DP39)</f>
        <v>紫色基础材料</v>
      </c>
      <c r="EB39" s="14">
        <f>ROUND(INDEX(挂机升级突破!$G$7:$K$37,DK39+2,章节关卡!DP39)/INDEX(挂机升级突破!$G$5:$K$5,章节关卡!DP39)*INDEX(挂机升级突破!$G$4:$K$4,章节关卡!DP39)*章节关卡!DO39,0)</f>
        <v>12</v>
      </c>
      <c r="EC39" s="118" t="s">
        <v>1038</v>
      </c>
      <c r="ED39" s="14">
        <f t="shared" si="153"/>
        <v>13200</v>
      </c>
      <c r="EI39" s="166">
        <v>35</v>
      </c>
      <c r="EJ39" s="14">
        <f t="shared" si="54"/>
        <v>12</v>
      </c>
      <c r="EK39" s="166">
        <f t="shared" si="55"/>
        <v>70</v>
      </c>
      <c r="EL39" s="166">
        <f t="shared" si="20"/>
        <v>2</v>
      </c>
      <c r="EM39" s="166">
        <f t="shared" si="154"/>
        <v>360</v>
      </c>
      <c r="EN39" s="166">
        <f t="shared" si="155"/>
        <v>3600</v>
      </c>
      <c r="EO39" s="166">
        <v>7</v>
      </c>
      <c r="EP39" s="14">
        <f t="shared" si="156"/>
        <v>240</v>
      </c>
      <c r="EQ39" s="14">
        <f t="shared" si="57"/>
        <v>22122</v>
      </c>
      <c r="ER39" s="166">
        <v>1</v>
      </c>
      <c r="ES39" s="14">
        <f t="shared" si="58"/>
        <v>212</v>
      </c>
      <c r="ET39" s="166" t="s">
        <v>1034</v>
      </c>
      <c r="EU39" s="166">
        <v>2</v>
      </c>
      <c r="EV39" s="166"/>
      <c r="EW39" s="14">
        <f t="shared" ref="EW39" si="163">ES39*100+6</f>
        <v>21206</v>
      </c>
      <c r="EX39" s="166" t="s">
        <v>1397</v>
      </c>
      <c r="EY39" s="166">
        <v>30</v>
      </c>
      <c r="EZ39" s="14" t="str">
        <f>INDEX(挂机升级突破!$DT$4:$EC$4,EO39)</f>
        <v>乌金</v>
      </c>
      <c r="FA39" s="14">
        <f>ROUND(INDEX(挂机升级突破!$G$7:$R$37,EJ39+3,EO39)/INDEX(挂机升级突破!$G$5:$R$5,章节关卡!EO39)*INDEX(挂机升级突破!$G$4:$R$4,章节关卡!EO39)*章节关卡!EN39,0)</f>
        <v>14</v>
      </c>
      <c r="FB39" s="166" t="s">
        <v>1399</v>
      </c>
      <c r="FC39" s="166">
        <f t="shared" si="158"/>
        <v>48600</v>
      </c>
    </row>
    <row r="40" spans="1:159" ht="16.5" x14ac:dyDescent="0.2">
      <c r="Q40" s="15"/>
      <c r="AC40" s="15"/>
      <c r="AD40" s="211"/>
      <c r="AE40" s="156"/>
      <c r="AF40" s="15"/>
      <c r="AG40" s="119"/>
      <c r="AH40" s="119"/>
      <c r="AI40" s="15"/>
      <c r="AS40" s="24">
        <v>36</v>
      </c>
      <c r="AT40" s="14">
        <f t="shared" si="32"/>
        <v>9</v>
      </c>
      <c r="AU40" s="109">
        <f t="shared" si="33"/>
        <v>4</v>
      </c>
      <c r="AV40" s="109">
        <f t="shared" si="34"/>
        <v>16</v>
      </c>
      <c r="AW40" s="109">
        <f t="shared" si="35"/>
        <v>49</v>
      </c>
      <c r="AX40" s="109">
        <f t="shared" si="36"/>
        <v>78</v>
      </c>
      <c r="BA40" s="109">
        <v>36</v>
      </c>
      <c r="BB40" s="14">
        <f t="shared" si="0"/>
        <v>4</v>
      </c>
      <c r="BC40" s="14">
        <f t="shared" si="37"/>
        <v>6</v>
      </c>
      <c r="BD40" s="14">
        <f t="shared" si="81"/>
        <v>160</v>
      </c>
      <c r="BE40" s="14">
        <f t="shared" si="1"/>
        <v>750</v>
      </c>
      <c r="BF40" s="14">
        <f t="shared" si="2"/>
        <v>1800</v>
      </c>
      <c r="BG40" s="14">
        <f t="shared" si="38"/>
        <v>1.21</v>
      </c>
      <c r="BH40" s="14">
        <f t="shared" si="39"/>
        <v>11001</v>
      </c>
      <c r="BK40" s="109">
        <v>36</v>
      </c>
      <c r="BL40" s="14">
        <f t="shared" si="40"/>
        <v>4</v>
      </c>
      <c r="BM40" s="14">
        <f t="shared" si="41"/>
        <v>6</v>
      </c>
      <c r="BN40" s="14">
        <f t="shared" si="3"/>
        <v>400</v>
      </c>
      <c r="BO40" s="14">
        <f t="shared" si="4"/>
        <v>1500</v>
      </c>
      <c r="BP40" s="14">
        <f t="shared" si="5"/>
        <v>3600</v>
      </c>
      <c r="BS40" s="109">
        <v>36</v>
      </c>
      <c r="BT40" s="109">
        <f t="shared" si="42"/>
        <v>12</v>
      </c>
      <c r="BU40" s="112">
        <f t="shared" si="43"/>
        <v>65</v>
      </c>
      <c r="BV40" s="109">
        <f t="shared" si="6"/>
        <v>3</v>
      </c>
      <c r="BW40" s="109">
        <v>360</v>
      </c>
      <c r="BX40" s="109">
        <v>540</v>
      </c>
      <c r="BY40" s="112">
        <v>3</v>
      </c>
      <c r="BZ40" s="14">
        <f t="shared" si="44"/>
        <v>11123</v>
      </c>
      <c r="CA40" s="118">
        <v>1</v>
      </c>
      <c r="CB40" s="14">
        <f t="shared" si="45"/>
        <v>112</v>
      </c>
      <c r="CC40" s="118" t="s">
        <v>1026</v>
      </c>
      <c r="CD40" s="14">
        <f t="shared" si="46"/>
        <v>3</v>
      </c>
      <c r="CE40" s="166" t="str">
        <f t="shared" si="47"/>
        <v>守护灵抽卡券3 2小时扫荡券1 金币23400</v>
      </c>
      <c r="CF40" s="14">
        <f t="shared" si="48"/>
        <v>30</v>
      </c>
      <c r="CG40" s="115" t="s">
        <v>258</v>
      </c>
      <c r="CH40" s="115">
        <v>3</v>
      </c>
      <c r="CI40" s="210" t="s">
        <v>1395</v>
      </c>
      <c r="CJ40" s="210">
        <v>1</v>
      </c>
      <c r="CK40" s="210" t="s">
        <v>252</v>
      </c>
      <c r="CL40" s="210">
        <f t="shared" si="161"/>
        <v>23400</v>
      </c>
      <c r="CO40" s="115">
        <f t="shared" si="141"/>
        <v>12</v>
      </c>
      <c r="CP40" s="115">
        <f t="shared" si="142"/>
        <v>75</v>
      </c>
      <c r="CQ40" s="118">
        <v>3</v>
      </c>
      <c r="CR40" s="109">
        <f t="shared" si="143"/>
        <v>540</v>
      </c>
      <c r="CS40" s="109">
        <f t="shared" si="144"/>
        <v>1080</v>
      </c>
      <c r="CT40" s="115">
        <v>7</v>
      </c>
      <c r="CU40" s="14">
        <f t="shared" si="145"/>
        <v>12123</v>
      </c>
      <c r="CV40" s="118">
        <v>2</v>
      </c>
      <c r="CW40" s="14">
        <f t="shared" si="146"/>
        <v>212</v>
      </c>
      <c r="CX40" s="118" t="s">
        <v>1026</v>
      </c>
      <c r="CY40" s="14">
        <f t="shared" si="147"/>
        <v>3</v>
      </c>
      <c r="CZ40" s="166" t="str">
        <f t="shared" si="50"/>
        <v>守护灵抽卡券560级-防御套寄灵人の灵器1金币35100</v>
      </c>
      <c r="DA40" s="14">
        <f t="shared" si="51"/>
        <v>30</v>
      </c>
      <c r="DB40" s="115" t="s">
        <v>1004</v>
      </c>
      <c r="DC40" s="115">
        <v>5</v>
      </c>
      <c r="DD40" s="115" t="s">
        <v>1460</v>
      </c>
      <c r="DE40" s="115">
        <v>1</v>
      </c>
      <c r="DF40" s="109" t="s">
        <v>252</v>
      </c>
      <c r="DG40" s="115">
        <f t="shared" si="148"/>
        <v>35100</v>
      </c>
      <c r="DJ40" s="118">
        <v>36</v>
      </c>
      <c r="DK40" s="14">
        <f t="shared" si="52"/>
        <v>12</v>
      </c>
      <c r="DL40" s="118">
        <f t="shared" si="149"/>
        <v>65</v>
      </c>
      <c r="DM40" s="166">
        <f t="shared" si="16"/>
        <v>3</v>
      </c>
      <c r="DN40" s="166">
        <v>360</v>
      </c>
      <c r="DO40" s="166">
        <v>2160</v>
      </c>
      <c r="DP40" s="166">
        <v>3</v>
      </c>
      <c r="DQ40" s="118">
        <v>150</v>
      </c>
      <c r="DR40" s="118">
        <f t="shared" si="53"/>
        <v>21123</v>
      </c>
      <c r="DS40" s="118">
        <v>1</v>
      </c>
      <c r="DT40" s="14">
        <f t="shared" si="150"/>
        <v>112</v>
      </c>
      <c r="DU40" s="118" t="s">
        <v>1034</v>
      </c>
      <c r="DV40" s="118">
        <v>3</v>
      </c>
      <c r="DW40" s="166" t="str">
        <f t="shared" si="151"/>
        <v>紫色基础材料18守护灵初级抽卡券5守护灵经验16500</v>
      </c>
      <c r="DX40" s="14">
        <f t="shared" ref="DX40" si="164">DT40*100+9</f>
        <v>11209</v>
      </c>
      <c r="DY40" s="118" t="s">
        <v>1606</v>
      </c>
      <c r="DZ40" s="118">
        <v>5</v>
      </c>
      <c r="EA40" s="14" t="str">
        <f>INDEX(挂机升级突破!$DT$4:$DX$4,DP40)</f>
        <v>紫色基础材料</v>
      </c>
      <c r="EB40" s="14">
        <f>ROUND(INDEX(挂机升级突破!$G$7:$K$37,DK40+2,章节关卡!DP40)/INDEX(挂机升级突破!$G$5:$K$5,章节关卡!DP40)*INDEX(挂机升级突破!$G$4:$K$4,章节关卡!DP40)*章节关卡!DO40,0)</f>
        <v>18</v>
      </c>
      <c r="EC40" s="118" t="s">
        <v>1038</v>
      </c>
      <c r="ED40" s="14">
        <f t="shared" si="153"/>
        <v>16500</v>
      </c>
      <c r="EI40" s="166">
        <v>36</v>
      </c>
      <c r="EJ40" s="14">
        <f t="shared" si="54"/>
        <v>12</v>
      </c>
      <c r="EK40" s="166">
        <f t="shared" si="55"/>
        <v>70</v>
      </c>
      <c r="EL40" s="166">
        <f t="shared" si="20"/>
        <v>3</v>
      </c>
      <c r="EM40" s="166">
        <f t="shared" si="154"/>
        <v>540</v>
      </c>
      <c r="EN40" s="166">
        <f t="shared" si="155"/>
        <v>5400</v>
      </c>
      <c r="EO40" s="166">
        <v>7</v>
      </c>
      <c r="EP40" s="14">
        <f t="shared" si="156"/>
        <v>300</v>
      </c>
      <c r="EQ40" s="14">
        <f t="shared" si="57"/>
        <v>22123</v>
      </c>
      <c r="ER40" s="166">
        <v>1</v>
      </c>
      <c r="ES40" s="14">
        <f t="shared" si="58"/>
        <v>212</v>
      </c>
      <c r="ET40" s="166" t="s">
        <v>1034</v>
      </c>
      <c r="EU40" s="166">
        <v>3</v>
      </c>
      <c r="EV40" s="166"/>
      <c r="EW40" s="14">
        <f t="shared" ref="EW40" si="165">ES40*100+9</f>
        <v>21209</v>
      </c>
      <c r="EX40" s="166" t="s">
        <v>1397</v>
      </c>
      <c r="EY40" s="166">
        <v>50</v>
      </c>
      <c r="EZ40" s="14" t="str">
        <f>INDEX(挂机升级突破!$DT$4:$EC$4,EO40)</f>
        <v>乌金</v>
      </c>
      <c r="FA40" s="14">
        <f>ROUND(INDEX(挂机升级突破!$G$7:$R$37,EJ40+3,EO40)/INDEX(挂机升级突破!$G$5:$R$5,章节关卡!EO40)*INDEX(挂机升级突破!$G$4:$R$4,章节关卡!EO40)*章节关卡!EN40,0)</f>
        <v>22</v>
      </c>
      <c r="FB40" s="166" t="s">
        <v>1399</v>
      </c>
      <c r="FC40" s="166">
        <f t="shared" si="158"/>
        <v>72900</v>
      </c>
    </row>
    <row r="41" spans="1:159" ht="16.5" x14ac:dyDescent="0.2">
      <c r="Q41" s="15"/>
      <c r="AC41" s="15"/>
      <c r="AD41" s="211"/>
      <c r="AE41" s="156"/>
      <c r="AF41" s="15"/>
      <c r="AG41" s="119"/>
      <c r="AH41" s="119"/>
      <c r="AI41" s="15"/>
      <c r="AS41" s="24">
        <v>37</v>
      </c>
      <c r="AT41" s="14">
        <f t="shared" si="32"/>
        <v>10</v>
      </c>
      <c r="AU41" s="109">
        <f t="shared" si="33"/>
        <v>1</v>
      </c>
      <c r="AV41" s="109">
        <f t="shared" si="34"/>
        <v>18</v>
      </c>
      <c r="AW41" s="109">
        <f t="shared" si="35"/>
        <v>51</v>
      </c>
      <c r="AX41" s="109">
        <f t="shared" si="36"/>
        <v>82</v>
      </c>
      <c r="BA41" s="109">
        <v>37</v>
      </c>
      <c r="BB41" s="14">
        <f t="shared" si="0"/>
        <v>4</v>
      </c>
      <c r="BC41" s="14">
        <f t="shared" si="37"/>
        <v>7</v>
      </c>
      <c r="BD41" s="14">
        <f t="shared" si="81"/>
        <v>160</v>
      </c>
      <c r="BE41" s="14">
        <f t="shared" si="1"/>
        <v>750</v>
      </c>
      <c r="BF41" s="14">
        <f t="shared" si="2"/>
        <v>1800</v>
      </c>
      <c r="BG41" s="14">
        <f t="shared" si="38"/>
        <v>1.21</v>
      </c>
      <c r="BH41" s="14">
        <f t="shared" si="39"/>
        <v>11001</v>
      </c>
      <c r="BK41" s="109">
        <v>37</v>
      </c>
      <c r="BL41" s="14">
        <f t="shared" si="40"/>
        <v>4</v>
      </c>
      <c r="BM41" s="14">
        <f t="shared" si="41"/>
        <v>7</v>
      </c>
      <c r="BN41" s="14">
        <f t="shared" si="3"/>
        <v>400</v>
      </c>
      <c r="BO41" s="14">
        <f t="shared" si="4"/>
        <v>1500</v>
      </c>
      <c r="BP41" s="14">
        <f t="shared" si="5"/>
        <v>3600</v>
      </c>
      <c r="BS41" s="109">
        <v>37</v>
      </c>
      <c r="BT41" s="109">
        <f t="shared" si="42"/>
        <v>13</v>
      </c>
      <c r="BU41" s="112">
        <f t="shared" si="43"/>
        <v>70</v>
      </c>
      <c r="BV41" s="109">
        <f t="shared" si="6"/>
        <v>1</v>
      </c>
      <c r="BW41" s="109">
        <v>120</v>
      </c>
      <c r="BX41" s="109">
        <v>180</v>
      </c>
      <c r="BY41" s="112">
        <v>3</v>
      </c>
      <c r="BZ41" s="14">
        <f t="shared" si="44"/>
        <v>11131</v>
      </c>
      <c r="CA41" s="118">
        <v>1</v>
      </c>
      <c r="CB41" s="14">
        <f t="shared" si="45"/>
        <v>113</v>
      </c>
      <c r="CC41" s="118" t="s">
        <v>1026</v>
      </c>
      <c r="CD41" s="14">
        <f t="shared" si="46"/>
        <v>1</v>
      </c>
      <c r="CE41" s="166" t="str">
        <f t="shared" si="47"/>
        <v xml:space="preserve">钻石100 金币8400 </v>
      </c>
      <c r="CF41" s="14">
        <f t="shared" si="48"/>
        <v>10</v>
      </c>
      <c r="CG41" s="115" t="s">
        <v>19</v>
      </c>
      <c r="CH41" s="115">
        <v>100</v>
      </c>
      <c r="CI41" s="210" t="s">
        <v>358</v>
      </c>
      <c r="CJ41" s="210">
        <f>INDEX($I$6:$I$35,BT41)*BW41</f>
        <v>8400</v>
      </c>
      <c r="CK41" s="210"/>
      <c r="CL41" s="210"/>
      <c r="CO41" s="115">
        <f t="shared" si="141"/>
        <v>13</v>
      </c>
      <c r="CP41" s="115">
        <f t="shared" si="142"/>
        <v>80</v>
      </c>
      <c r="CQ41" s="118">
        <v>1</v>
      </c>
      <c r="CR41" s="109">
        <f t="shared" si="143"/>
        <v>180</v>
      </c>
      <c r="CS41" s="109">
        <f t="shared" si="144"/>
        <v>360</v>
      </c>
      <c r="CT41" s="115">
        <v>7</v>
      </c>
      <c r="CU41" s="14">
        <f t="shared" si="145"/>
        <v>12131</v>
      </c>
      <c r="CV41" s="118">
        <v>2</v>
      </c>
      <c r="CW41" s="14">
        <f t="shared" si="146"/>
        <v>213</v>
      </c>
      <c r="CX41" s="118" t="s">
        <v>1026</v>
      </c>
      <c r="CY41" s="14">
        <f t="shared" si="147"/>
        <v>1</v>
      </c>
      <c r="CZ41" s="166" t="str">
        <f t="shared" si="50"/>
        <v>钻石10080级-攻击套守护灵の头盔1金币12600</v>
      </c>
      <c r="DA41" s="14">
        <f t="shared" si="51"/>
        <v>10</v>
      </c>
      <c r="DB41" s="115" t="s">
        <v>257</v>
      </c>
      <c r="DC41" s="115">
        <v>100</v>
      </c>
      <c r="DD41" s="115" t="s">
        <v>1461</v>
      </c>
      <c r="DE41" s="115">
        <v>1</v>
      </c>
      <c r="DF41" s="109" t="s">
        <v>252</v>
      </c>
      <c r="DG41" s="115">
        <f t="shared" si="148"/>
        <v>12600</v>
      </c>
      <c r="DJ41" s="118">
        <v>37</v>
      </c>
      <c r="DK41" s="14">
        <f t="shared" si="52"/>
        <v>13</v>
      </c>
      <c r="DL41" s="118">
        <f t="shared" si="149"/>
        <v>70</v>
      </c>
      <c r="DM41" s="166">
        <f t="shared" si="16"/>
        <v>1</v>
      </c>
      <c r="DN41" s="166">
        <v>120</v>
      </c>
      <c r="DO41" s="166">
        <v>720</v>
      </c>
      <c r="DP41" s="166">
        <v>3</v>
      </c>
      <c r="DQ41" s="118">
        <v>90</v>
      </c>
      <c r="DR41" s="118">
        <f t="shared" si="53"/>
        <v>21131</v>
      </c>
      <c r="DS41" s="118">
        <v>1</v>
      </c>
      <c r="DT41" s="14">
        <f t="shared" si="150"/>
        <v>113</v>
      </c>
      <c r="DU41" s="118" t="s">
        <v>1034</v>
      </c>
      <c r="DV41" s="118">
        <v>1</v>
      </c>
      <c r="DW41" s="166" t="str">
        <f t="shared" si="151"/>
        <v>紫色基础材料8守护灵初级抽卡券2守护灵经验11250</v>
      </c>
      <c r="DX41" s="14">
        <f t="shared" ref="DX41" si="166">DT41*100+3</f>
        <v>11303</v>
      </c>
      <c r="DY41" s="118" t="s">
        <v>1037</v>
      </c>
      <c r="DZ41" s="118">
        <v>2</v>
      </c>
      <c r="EA41" s="14" t="str">
        <f>INDEX(挂机升级突破!$DT$4:$DX$4,DP41)</f>
        <v>紫色基础材料</v>
      </c>
      <c r="EB41" s="14">
        <f>ROUND(INDEX(挂机升级突破!$G$7:$K$37,DK41+2,章节关卡!DP41)/INDEX(挂机升级突破!$G$5:$K$5,章节关卡!DP41)*INDEX(挂机升级突破!$G$4:$K$4,章节关卡!DP41)*章节关卡!DO41,0)</f>
        <v>8</v>
      </c>
      <c r="EC41" s="118" t="s">
        <v>1038</v>
      </c>
      <c r="ED41" s="14">
        <f t="shared" si="153"/>
        <v>11250</v>
      </c>
      <c r="EI41" s="166">
        <v>37</v>
      </c>
      <c r="EJ41" s="14">
        <f t="shared" si="54"/>
        <v>13</v>
      </c>
      <c r="EK41" s="166">
        <f t="shared" si="55"/>
        <v>75</v>
      </c>
      <c r="EL41" s="166">
        <f t="shared" si="20"/>
        <v>1</v>
      </c>
      <c r="EM41" s="166">
        <f t="shared" si="154"/>
        <v>180</v>
      </c>
      <c r="EN41" s="166">
        <f t="shared" si="155"/>
        <v>1800</v>
      </c>
      <c r="EO41" s="166">
        <v>7</v>
      </c>
      <c r="EP41" s="14">
        <f t="shared" si="156"/>
        <v>180</v>
      </c>
      <c r="EQ41" s="14">
        <f t="shared" si="57"/>
        <v>22131</v>
      </c>
      <c r="ER41" s="166">
        <v>1</v>
      </c>
      <c r="ES41" s="14">
        <f t="shared" si="58"/>
        <v>213</v>
      </c>
      <c r="ET41" s="166" t="s">
        <v>1034</v>
      </c>
      <c r="EU41" s="166">
        <v>1</v>
      </c>
      <c r="EV41" s="166"/>
      <c r="EW41" s="14">
        <f t="shared" ref="EW41" si="167">ES41*100+3</f>
        <v>21303</v>
      </c>
      <c r="EX41" s="166" t="s">
        <v>1397</v>
      </c>
      <c r="EY41" s="166">
        <v>20</v>
      </c>
      <c r="EZ41" s="14" t="str">
        <f>INDEX(挂机升级突破!$DT$4:$EC$4,EO41)</f>
        <v>乌金</v>
      </c>
      <c r="FA41" s="14">
        <f>ROUND(INDEX(挂机升级突破!$G$7:$R$37,EJ41+3,EO41)/INDEX(挂机升级突破!$G$5:$R$5,章节关卡!EO41)*INDEX(挂机升级突破!$G$4:$R$4,章节关卡!EO41)*章节关卡!EN41,0)</f>
        <v>9</v>
      </c>
      <c r="FB41" s="166" t="s">
        <v>1399</v>
      </c>
      <c r="FC41" s="166">
        <f t="shared" si="158"/>
        <v>27000</v>
      </c>
    </row>
    <row r="42" spans="1:159" ht="16.5" x14ac:dyDescent="0.2">
      <c r="Q42" s="15"/>
      <c r="AC42" s="15"/>
      <c r="AD42" s="211"/>
      <c r="AE42" s="156"/>
      <c r="AF42" s="15"/>
      <c r="AG42" s="119"/>
      <c r="AH42" s="119"/>
      <c r="AI42" s="15"/>
      <c r="AS42" s="24">
        <v>38</v>
      </c>
      <c r="AT42" s="14">
        <f t="shared" si="32"/>
        <v>10</v>
      </c>
      <c r="AU42" s="109">
        <f t="shared" si="33"/>
        <v>2</v>
      </c>
      <c r="AV42" s="109">
        <f t="shared" si="34"/>
        <v>18</v>
      </c>
      <c r="AW42" s="109">
        <f t="shared" si="35"/>
        <v>52</v>
      </c>
      <c r="AX42" s="109">
        <f t="shared" si="36"/>
        <v>84</v>
      </c>
      <c r="BA42" s="109">
        <v>38</v>
      </c>
      <c r="BB42" s="14">
        <f t="shared" si="0"/>
        <v>4</v>
      </c>
      <c r="BC42" s="14">
        <f t="shared" si="37"/>
        <v>8</v>
      </c>
      <c r="BD42" s="14">
        <f t="shared" si="81"/>
        <v>160</v>
      </c>
      <c r="BE42" s="14">
        <f t="shared" si="1"/>
        <v>750</v>
      </c>
      <c r="BF42" s="14">
        <f t="shared" si="2"/>
        <v>1800</v>
      </c>
      <c r="BG42" s="14">
        <f t="shared" si="38"/>
        <v>1.21</v>
      </c>
      <c r="BH42" s="14">
        <f t="shared" si="39"/>
        <v>11001</v>
      </c>
      <c r="BK42" s="109">
        <v>38</v>
      </c>
      <c r="BL42" s="14">
        <f t="shared" si="40"/>
        <v>4</v>
      </c>
      <c r="BM42" s="14">
        <f t="shared" si="41"/>
        <v>8</v>
      </c>
      <c r="BN42" s="14">
        <f t="shared" si="3"/>
        <v>400</v>
      </c>
      <c r="BO42" s="14">
        <f t="shared" si="4"/>
        <v>1500</v>
      </c>
      <c r="BP42" s="14">
        <f t="shared" si="5"/>
        <v>3600</v>
      </c>
      <c r="BS42" s="109">
        <v>38</v>
      </c>
      <c r="BT42" s="109">
        <f t="shared" si="42"/>
        <v>13</v>
      </c>
      <c r="BU42" s="112">
        <f t="shared" si="43"/>
        <v>70</v>
      </c>
      <c r="BV42" s="109">
        <f t="shared" si="6"/>
        <v>2</v>
      </c>
      <c r="BW42" s="109">
        <v>240</v>
      </c>
      <c r="BX42" s="109">
        <v>360</v>
      </c>
      <c r="BY42" s="112">
        <v>3</v>
      </c>
      <c r="BZ42" s="14">
        <f t="shared" si="44"/>
        <v>11132</v>
      </c>
      <c r="CA42" s="118">
        <v>1</v>
      </c>
      <c r="CB42" s="14">
        <f t="shared" si="45"/>
        <v>113</v>
      </c>
      <c r="CC42" s="118" t="s">
        <v>1026</v>
      </c>
      <c r="CD42" s="14">
        <f t="shared" si="46"/>
        <v>2</v>
      </c>
      <c r="CE42" s="166" t="str">
        <f t="shared" si="47"/>
        <v>守护灵抽卡券2 2小时扫荡券1 金币16800</v>
      </c>
      <c r="CF42" s="14">
        <f t="shared" si="48"/>
        <v>20</v>
      </c>
      <c r="CG42" s="115" t="s">
        <v>258</v>
      </c>
      <c r="CH42" s="115">
        <v>2</v>
      </c>
      <c r="CI42" s="210" t="s">
        <v>1395</v>
      </c>
      <c r="CJ42" s="210">
        <v>1</v>
      </c>
      <c r="CK42" s="210" t="s">
        <v>252</v>
      </c>
      <c r="CL42" s="210">
        <f t="shared" ref="CL42:CL43" si="168">INDEX($I$6:$I$35,BT42)*BW42</f>
        <v>16800</v>
      </c>
      <c r="CO42" s="115">
        <f t="shared" si="141"/>
        <v>13</v>
      </c>
      <c r="CP42" s="115">
        <f t="shared" si="142"/>
        <v>80</v>
      </c>
      <c r="CQ42" s="118">
        <v>2</v>
      </c>
      <c r="CR42" s="109">
        <f t="shared" si="143"/>
        <v>360</v>
      </c>
      <c r="CS42" s="109">
        <f t="shared" si="144"/>
        <v>720</v>
      </c>
      <c r="CT42" s="115">
        <v>7</v>
      </c>
      <c r="CU42" s="14">
        <f t="shared" si="145"/>
        <v>12132</v>
      </c>
      <c r="CV42" s="118">
        <v>2</v>
      </c>
      <c r="CW42" s="14">
        <f t="shared" si="146"/>
        <v>213</v>
      </c>
      <c r="CX42" s="118" t="s">
        <v>1026</v>
      </c>
      <c r="CY42" s="14">
        <f t="shared" si="147"/>
        <v>2</v>
      </c>
      <c r="CZ42" s="166" t="str">
        <f t="shared" si="50"/>
        <v>熔炼值180080级-攻击套守护灵の铠甲1金币25200</v>
      </c>
      <c r="DA42" s="14">
        <f t="shared" si="51"/>
        <v>20</v>
      </c>
      <c r="DB42" s="115" t="s">
        <v>1005</v>
      </c>
      <c r="DC42" s="115">
        <v>1800</v>
      </c>
      <c r="DD42" s="115" t="s">
        <v>1462</v>
      </c>
      <c r="DE42" s="115">
        <v>1</v>
      </c>
      <c r="DF42" s="109" t="s">
        <v>252</v>
      </c>
      <c r="DG42" s="115">
        <f t="shared" si="148"/>
        <v>25200</v>
      </c>
      <c r="DJ42" s="118">
        <v>38</v>
      </c>
      <c r="DK42" s="14">
        <f t="shared" si="52"/>
        <v>13</v>
      </c>
      <c r="DL42" s="118">
        <f t="shared" si="149"/>
        <v>70</v>
      </c>
      <c r="DM42" s="166">
        <f t="shared" si="16"/>
        <v>2</v>
      </c>
      <c r="DN42" s="166">
        <v>240</v>
      </c>
      <c r="DO42" s="166">
        <v>1440</v>
      </c>
      <c r="DP42" s="166">
        <v>3</v>
      </c>
      <c r="DQ42" s="118">
        <v>120</v>
      </c>
      <c r="DR42" s="118">
        <f t="shared" si="53"/>
        <v>21132</v>
      </c>
      <c r="DS42" s="118">
        <v>1</v>
      </c>
      <c r="DT42" s="14">
        <f t="shared" si="150"/>
        <v>113</v>
      </c>
      <c r="DU42" s="118" t="s">
        <v>1034</v>
      </c>
      <c r="DV42" s="118">
        <v>2</v>
      </c>
      <c r="DW42" s="166" t="str">
        <f t="shared" si="151"/>
        <v>紫色基础材料16守护灵初级抽卡券3守护灵经验15000</v>
      </c>
      <c r="DX42" s="14">
        <f t="shared" ref="DX42" si="169">DT42*100+6</f>
        <v>11306</v>
      </c>
      <c r="DY42" s="118" t="s">
        <v>1037</v>
      </c>
      <c r="DZ42" s="118">
        <v>3</v>
      </c>
      <c r="EA42" s="14" t="str">
        <f>INDEX(挂机升级突破!$DT$4:$DX$4,DP42)</f>
        <v>紫色基础材料</v>
      </c>
      <c r="EB42" s="14">
        <f>ROUND(INDEX(挂机升级突破!$G$7:$K$37,DK42+2,章节关卡!DP42)/INDEX(挂机升级突破!$G$5:$K$5,章节关卡!DP42)*INDEX(挂机升级突破!$G$4:$K$4,章节关卡!DP42)*章节关卡!DO42,0)</f>
        <v>16</v>
      </c>
      <c r="EC42" s="118" t="s">
        <v>1038</v>
      </c>
      <c r="ED42" s="14">
        <f t="shared" si="153"/>
        <v>15000</v>
      </c>
      <c r="EI42" s="166">
        <v>38</v>
      </c>
      <c r="EJ42" s="14">
        <f t="shared" si="54"/>
        <v>13</v>
      </c>
      <c r="EK42" s="166">
        <f t="shared" si="55"/>
        <v>75</v>
      </c>
      <c r="EL42" s="166">
        <f t="shared" si="20"/>
        <v>2</v>
      </c>
      <c r="EM42" s="166">
        <f t="shared" si="154"/>
        <v>360</v>
      </c>
      <c r="EN42" s="166">
        <f t="shared" si="155"/>
        <v>3600</v>
      </c>
      <c r="EO42" s="166">
        <v>7</v>
      </c>
      <c r="EP42" s="14">
        <f t="shared" si="156"/>
        <v>240</v>
      </c>
      <c r="EQ42" s="14">
        <f t="shared" si="57"/>
        <v>22132</v>
      </c>
      <c r="ER42" s="166">
        <v>1</v>
      </c>
      <c r="ES42" s="14">
        <f t="shared" si="58"/>
        <v>213</v>
      </c>
      <c r="ET42" s="166" t="s">
        <v>1034</v>
      </c>
      <c r="EU42" s="166">
        <v>2</v>
      </c>
      <c r="EV42" s="166"/>
      <c r="EW42" s="14">
        <f t="shared" ref="EW42" si="170">ES42*100+6</f>
        <v>21306</v>
      </c>
      <c r="EX42" s="166" t="s">
        <v>1397</v>
      </c>
      <c r="EY42" s="166">
        <v>30</v>
      </c>
      <c r="EZ42" s="14" t="str">
        <f>INDEX(挂机升级突破!$DT$4:$EC$4,EO42)</f>
        <v>乌金</v>
      </c>
      <c r="FA42" s="14">
        <f>ROUND(INDEX(挂机升级突破!$G$7:$R$37,EJ42+3,EO42)/INDEX(挂机升级突破!$G$5:$R$5,章节关卡!EO42)*INDEX(挂机升级突破!$G$4:$R$4,章节关卡!EO42)*章节关卡!EN42,0)</f>
        <v>18</v>
      </c>
      <c r="FB42" s="166" t="s">
        <v>1399</v>
      </c>
      <c r="FC42" s="166">
        <f t="shared" si="158"/>
        <v>54000</v>
      </c>
    </row>
    <row r="43" spans="1:159" ht="16.5" x14ac:dyDescent="0.2">
      <c r="Q43" s="15"/>
      <c r="AS43" s="24">
        <v>39</v>
      </c>
      <c r="AT43" s="14">
        <f t="shared" si="32"/>
        <v>10</v>
      </c>
      <c r="AU43" s="109">
        <f t="shared" si="33"/>
        <v>3</v>
      </c>
      <c r="AV43" s="109">
        <f t="shared" si="34"/>
        <v>18</v>
      </c>
      <c r="AW43" s="109">
        <f t="shared" si="35"/>
        <v>53</v>
      </c>
      <c r="AX43" s="109">
        <f t="shared" si="36"/>
        <v>86</v>
      </c>
      <c r="BA43" s="109">
        <v>39</v>
      </c>
      <c r="BB43" s="14">
        <f t="shared" si="0"/>
        <v>4</v>
      </c>
      <c r="BC43" s="14">
        <f t="shared" si="37"/>
        <v>9</v>
      </c>
      <c r="BD43" s="14">
        <f t="shared" si="81"/>
        <v>160</v>
      </c>
      <c r="BE43" s="14">
        <f t="shared" si="1"/>
        <v>750</v>
      </c>
      <c r="BF43" s="14">
        <f t="shared" si="2"/>
        <v>1800</v>
      </c>
      <c r="BG43" s="14">
        <f t="shared" si="38"/>
        <v>1.21</v>
      </c>
      <c r="BH43" s="14">
        <f t="shared" si="39"/>
        <v>11001</v>
      </c>
      <c r="BK43" s="109">
        <v>39</v>
      </c>
      <c r="BL43" s="14">
        <f t="shared" si="40"/>
        <v>4</v>
      </c>
      <c r="BM43" s="14">
        <f t="shared" si="41"/>
        <v>9</v>
      </c>
      <c r="BN43" s="14">
        <f t="shared" si="3"/>
        <v>400</v>
      </c>
      <c r="BO43" s="14">
        <f t="shared" si="4"/>
        <v>1500</v>
      </c>
      <c r="BP43" s="14">
        <f t="shared" si="5"/>
        <v>3600</v>
      </c>
      <c r="BS43" s="109">
        <v>39</v>
      </c>
      <c r="BT43" s="109">
        <f t="shared" si="42"/>
        <v>13</v>
      </c>
      <c r="BU43" s="112">
        <f t="shared" si="43"/>
        <v>70</v>
      </c>
      <c r="BV43" s="109">
        <f t="shared" si="6"/>
        <v>3</v>
      </c>
      <c r="BW43" s="109">
        <v>360</v>
      </c>
      <c r="BX43" s="109">
        <v>540</v>
      </c>
      <c r="BY43" s="112">
        <v>3</v>
      </c>
      <c r="BZ43" s="14">
        <f t="shared" si="44"/>
        <v>11133</v>
      </c>
      <c r="CA43" s="118">
        <v>1</v>
      </c>
      <c r="CB43" s="14">
        <f t="shared" si="45"/>
        <v>113</v>
      </c>
      <c r="CC43" s="118" t="s">
        <v>1026</v>
      </c>
      <c r="CD43" s="14">
        <f t="shared" si="46"/>
        <v>3</v>
      </c>
      <c r="CE43" s="166" t="str">
        <f t="shared" si="47"/>
        <v>守护灵抽卡券3 2小时扫荡券1 金币25200</v>
      </c>
      <c r="CF43" s="14">
        <f t="shared" si="48"/>
        <v>30</v>
      </c>
      <c r="CG43" s="115" t="s">
        <v>258</v>
      </c>
      <c r="CH43" s="115">
        <v>3</v>
      </c>
      <c r="CI43" s="210" t="s">
        <v>1395</v>
      </c>
      <c r="CJ43" s="210">
        <v>1</v>
      </c>
      <c r="CK43" s="210" t="s">
        <v>252</v>
      </c>
      <c r="CL43" s="210">
        <f t="shared" si="168"/>
        <v>25200</v>
      </c>
      <c r="CO43" s="115">
        <f t="shared" si="141"/>
        <v>13</v>
      </c>
      <c r="CP43" s="115">
        <f t="shared" si="142"/>
        <v>80</v>
      </c>
      <c r="CQ43" s="118">
        <v>3</v>
      </c>
      <c r="CR43" s="109">
        <f t="shared" si="143"/>
        <v>540</v>
      </c>
      <c r="CS43" s="109">
        <f t="shared" si="144"/>
        <v>1080</v>
      </c>
      <c r="CT43" s="115">
        <v>7</v>
      </c>
      <c r="CU43" s="14">
        <f t="shared" si="145"/>
        <v>12133</v>
      </c>
      <c r="CV43" s="118">
        <v>2</v>
      </c>
      <c r="CW43" s="14">
        <f t="shared" si="146"/>
        <v>213</v>
      </c>
      <c r="CX43" s="118" t="s">
        <v>1026</v>
      </c>
      <c r="CY43" s="14">
        <f t="shared" si="147"/>
        <v>3</v>
      </c>
      <c r="CZ43" s="166" t="str">
        <f t="shared" si="50"/>
        <v>守护灵抽卡券580级-攻击套守护灵の鞋子1金币37800</v>
      </c>
      <c r="DA43" s="14">
        <f t="shared" si="51"/>
        <v>30</v>
      </c>
      <c r="DB43" s="115" t="s">
        <v>1004</v>
      </c>
      <c r="DC43" s="115">
        <v>5</v>
      </c>
      <c r="DD43" s="115" t="s">
        <v>1463</v>
      </c>
      <c r="DE43" s="115">
        <v>1</v>
      </c>
      <c r="DF43" s="109" t="s">
        <v>252</v>
      </c>
      <c r="DG43" s="115">
        <f t="shared" si="148"/>
        <v>37800</v>
      </c>
      <c r="DJ43" s="118">
        <v>39</v>
      </c>
      <c r="DK43" s="14">
        <f t="shared" si="52"/>
        <v>13</v>
      </c>
      <c r="DL43" s="118">
        <f t="shared" si="149"/>
        <v>70</v>
      </c>
      <c r="DM43" s="166">
        <f t="shared" si="16"/>
        <v>3</v>
      </c>
      <c r="DN43" s="166">
        <v>360</v>
      </c>
      <c r="DO43" s="166">
        <v>2160</v>
      </c>
      <c r="DP43" s="166">
        <v>3</v>
      </c>
      <c r="DQ43" s="118">
        <v>150</v>
      </c>
      <c r="DR43" s="118">
        <f t="shared" si="53"/>
        <v>21133</v>
      </c>
      <c r="DS43" s="118">
        <v>1</v>
      </c>
      <c r="DT43" s="14">
        <f t="shared" si="150"/>
        <v>113</v>
      </c>
      <c r="DU43" s="118" t="s">
        <v>1034</v>
      </c>
      <c r="DV43" s="118">
        <v>3</v>
      </c>
      <c r="DW43" s="166" t="str">
        <f t="shared" si="151"/>
        <v>紫色基础材料23守护灵初级抽卡券5守护灵经验18750</v>
      </c>
      <c r="DX43" s="14">
        <f t="shared" ref="DX43" si="171">DT43*100+9</f>
        <v>11309</v>
      </c>
      <c r="DY43" s="118" t="s">
        <v>1037</v>
      </c>
      <c r="DZ43" s="118">
        <v>5</v>
      </c>
      <c r="EA43" s="14" t="str">
        <f>INDEX(挂机升级突破!$DT$4:$DX$4,DP43)</f>
        <v>紫色基础材料</v>
      </c>
      <c r="EB43" s="14">
        <f>ROUND(INDEX(挂机升级突破!$G$7:$K$37,DK43+2,章节关卡!DP43)/INDEX(挂机升级突破!$G$5:$K$5,章节关卡!DP43)*INDEX(挂机升级突破!$G$4:$K$4,章节关卡!DP43)*章节关卡!DO43,0)</f>
        <v>23</v>
      </c>
      <c r="EC43" s="118" t="s">
        <v>1038</v>
      </c>
      <c r="ED43" s="14">
        <f t="shared" si="153"/>
        <v>18750</v>
      </c>
      <c r="EI43" s="166">
        <v>39</v>
      </c>
      <c r="EJ43" s="14">
        <f t="shared" si="54"/>
        <v>13</v>
      </c>
      <c r="EK43" s="166">
        <f t="shared" si="55"/>
        <v>75</v>
      </c>
      <c r="EL43" s="166">
        <f t="shared" si="20"/>
        <v>3</v>
      </c>
      <c r="EM43" s="166">
        <f t="shared" si="154"/>
        <v>540</v>
      </c>
      <c r="EN43" s="166">
        <f t="shared" si="155"/>
        <v>5400</v>
      </c>
      <c r="EO43" s="166">
        <v>7</v>
      </c>
      <c r="EP43" s="14">
        <f t="shared" si="156"/>
        <v>300</v>
      </c>
      <c r="EQ43" s="14">
        <f t="shared" si="57"/>
        <v>22133</v>
      </c>
      <c r="ER43" s="166">
        <v>1</v>
      </c>
      <c r="ES43" s="14">
        <f t="shared" si="58"/>
        <v>213</v>
      </c>
      <c r="ET43" s="166" t="s">
        <v>1034</v>
      </c>
      <c r="EU43" s="166">
        <v>3</v>
      </c>
      <c r="EV43" s="166"/>
      <c r="EW43" s="14">
        <f t="shared" ref="EW43" si="172">ES43*100+9</f>
        <v>21309</v>
      </c>
      <c r="EX43" s="166" t="s">
        <v>1397</v>
      </c>
      <c r="EY43" s="166">
        <v>50</v>
      </c>
      <c r="EZ43" s="14" t="str">
        <f>INDEX(挂机升级突破!$DT$4:$EC$4,EO43)</f>
        <v>乌金</v>
      </c>
      <c r="FA43" s="14">
        <f>ROUND(INDEX(挂机升级突破!$G$7:$R$37,EJ43+3,EO43)/INDEX(挂机升级突破!$G$5:$R$5,章节关卡!EO43)*INDEX(挂机升级突破!$G$4:$R$4,章节关卡!EO43)*章节关卡!EN43,0)</f>
        <v>27</v>
      </c>
      <c r="FB43" s="166" t="s">
        <v>1399</v>
      </c>
      <c r="FC43" s="166">
        <f t="shared" si="158"/>
        <v>81000</v>
      </c>
    </row>
    <row r="44" spans="1:159" ht="16.5" x14ac:dyDescent="0.2">
      <c r="Q44" s="15"/>
      <c r="AS44" s="24">
        <v>40</v>
      </c>
      <c r="AT44" s="14">
        <f t="shared" si="32"/>
        <v>10</v>
      </c>
      <c r="AU44" s="109">
        <f t="shared" si="33"/>
        <v>4</v>
      </c>
      <c r="AV44" s="109">
        <f t="shared" si="34"/>
        <v>18</v>
      </c>
      <c r="AW44" s="109">
        <f t="shared" si="35"/>
        <v>54</v>
      </c>
      <c r="AX44" s="109">
        <f t="shared" si="36"/>
        <v>88</v>
      </c>
      <c r="BA44" s="109">
        <v>40</v>
      </c>
      <c r="BB44" s="14">
        <f t="shared" si="0"/>
        <v>4</v>
      </c>
      <c r="BC44" s="14">
        <f t="shared" si="37"/>
        <v>10</v>
      </c>
      <c r="BD44" s="14">
        <f t="shared" si="81"/>
        <v>160</v>
      </c>
      <c r="BE44" s="14">
        <f t="shared" si="1"/>
        <v>750</v>
      </c>
      <c r="BF44" s="14">
        <f t="shared" si="2"/>
        <v>1800</v>
      </c>
      <c r="BG44" s="14">
        <f t="shared" si="38"/>
        <v>1.21</v>
      </c>
      <c r="BH44" s="14">
        <f t="shared" si="39"/>
        <v>11001</v>
      </c>
      <c r="BK44" s="109">
        <v>40</v>
      </c>
      <c r="BL44" s="14">
        <f t="shared" si="40"/>
        <v>4</v>
      </c>
      <c r="BM44" s="14">
        <f t="shared" si="41"/>
        <v>10</v>
      </c>
      <c r="BN44" s="14">
        <f t="shared" si="3"/>
        <v>400</v>
      </c>
      <c r="BO44" s="14">
        <f t="shared" si="4"/>
        <v>1500</v>
      </c>
      <c r="BP44" s="14">
        <f t="shared" si="5"/>
        <v>3600</v>
      </c>
      <c r="BS44" s="109">
        <v>40</v>
      </c>
      <c r="BT44" s="109">
        <f t="shared" si="42"/>
        <v>14</v>
      </c>
      <c r="BU44" s="112">
        <f t="shared" si="43"/>
        <v>75</v>
      </c>
      <c r="BV44" s="109">
        <f t="shared" si="6"/>
        <v>1</v>
      </c>
      <c r="BW44" s="109">
        <v>120</v>
      </c>
      <c r="BX44" s="109">
        <v>180</v>
      </c>
      <c r="BY44" s="112">
        <v>3</v>
      </c>
      <c r="BZ44" s="14">
        <f t="shared" si="44"/>
        <v>11141</v>
      </c>
      <c r="CA44" s="118">
        <v>1</v>
      </c>
      <c r="CB44" s="14">
        <f t="shared" si="45"/>
        <v>114</v>
      </c>
      <c r="CC44" s="118" t="s">
        <v>1026</v>
      </c>
      <c r="CD44" s="14">
        <f t="shared" si="46"/>
        <v>1</v>
      </c>
      <c r="CE44" s="166" t="str">
        <f t="shared" si="47"/>
        <v xml:space="preserve">钻石100 金币9000 </v>
      </c>
      <c r="CF44" s="14">
        <f t="shared" si="48"/>
        <v>10</v>
      </c>
      <c r="CG44" s="115" t="s">
        <v>19</v>
      </c>
      <c r="CH44" s="115">
        <v>100</v>
      </c>
      <c r="CI44" s="210" t="s">
        <v>358</v>
      </c>
      <c r="CJ44" s="210">
        <f>INDEX($I$6:$I$35,BT44)*BW44</f>
        <v>9000</v>
      </c>
      <c r="CK44" s="210"/>
      <c r="CL44" s="210"/>
      <c r="CO44" s="115">
        <f t="shared" si="141"/>
        <v>14</v>
      </c>
      <c r="CP44" s="115">
        <f t="shared" si="142"/>
        <v>85</v>
      </c>
      <c r="CQ44" s="118">
        <v>1</v>
      </c>
      <c r="CR44" s="109">
        <f t="shared" si="143"/>
        <v>180</v>
      </c>
      <c r="CS44" s="109">
        <f t="shared" si="144"/>
        <v>360</v>
      </c>
      <c r="CT44" s="115">
        <v>8</v>
      </c>
      <c r="CU44" s="14">
        <f t="shared" si="145"/>
        <v>12141</v>
      </c>
      <c r="CV44" s="118">
        <v>2</v>
      </c>
      <c r="CW44" s="14">
        <f t="shared" si="146"/>
        <v>214</v>
      </c>
      <c r="CX44" s="118" t="s">
        <v>1026</v>
      </c>
      <c r="CY44" s="14">
        <f t="shared" si="147"/>
        <v>1</v>
      </c>
      <c r="CZ44" s="166" t="str">
        <f t="shared" si="50"/>
        <v>钻石10080级-攻击套守护灵の项链1金币13500</v>
      </c>
      <c r="DA44" s="14">
        <f t="shared" si="51"/>
        <v>10</v>
      </c>
      <c r="DB44" s="115" t="s">
        <v>257</v>
      </c>
      <c r="DC44" s="115">
        <v>100</v>
      </c>
      <c r="DD44" s="115" t="s">
        <v>1464</v>
      </c>
      <c r="DE44" s="115">
        <v>1</v>
      </c>
      <c r="DF44" s="109" t="s">
        <v>252</v>
      </c>
      <c r="DG44" s="115">
        <f t="shared" si="148"/>
        <v>13500</v>
      </c>
      <c r="DJ44" s="118">
        <v>40</v>
      </c>
      <c r="DK44" s="14">
        <f t="shared" si="52"/>
        <v>14</v>
      </c>
      <c r="DL44" s="118">
        <f t="shared" si="149"/>
        <v>75</v>
      </c>
      <c r="DM44" s="166">
        <f t="shared" si="16"/>
        <v>1</v>
      </c>
      <c r="DN44" s="166">
        <v>120</v>
      </c>
      <c r="DO44" s="166">
        <v>720</v>
      </c>
      <c r="DP44" s="166">
        <v>3</v>
      </c>
      <c r="DQ44" s="118">
        <v>90</v>
      </c>
      <c r="DR44" s="118">
        <f t="shared" si="53"/>
        <v>21141</v>
      </c>
      <c r="DS44" s="118">
        <v>1</v>
      </c>
      <c r="DT44" s="14">
        <f t="shared" si="150"/>
        <v>114</v>
      </c>
      <c r="DU44" s="118" t="s">
        <v>1034</v>
      </c>
      <c r="DV44" s="118">
        <v>1</v>
      </c>
      <c r="DW44" s="166" t="str">
        <f t="shared" si="151"/>
        <v>紫色基础材料10守护灵初级抽卡券2守护灵经验12150</v>
      </c>
      <c r="DX44" s="14">
        <f t="shared" ref="DX44" si="173">DT44*100+3</f>
        <v>11403</v>
      </c>
      <c r="DY44" s="118" t="s">
        <v>1037</v>
      </c>
      <c r="DZ44" s="118">
        <v>2</v>
      </c>
      <c r="EA44" s="14" t="str">
        <f>INDEX(挂机升级突破!$DT$4:$DX$4,DP44)</f>
        <v>紫色基础材料</v>
      </c>
      <c r="EB44" s="14">
        <f>ROUND(INDEX(挂机升级突破!$G$7:$K$37,DK44+2,章节关卡!DP44)/INDEX(挂机升级突破!$G$5:$K$5,章节关卡!DP44)*INDEX(挂机升级突破!$G$4:$K$4,章节关卡!DP44)*章节关卡!DO44,0)</f>
        <v>10</v>
      </c>
      <c r="EC44" s="118" t="s">
        <v>1038</v>
      </c>
      <c r="ED44" s="14">
        <f t="shared" si="153"/>
        <v>12150</v>
      </c>
      <c r="EI44" s="166">
        <v>40</v>
      </c>
      <c r="EJ44" s="14">
        <f t="shared" si="54"/>
        <v>14</v>
      </c>
      <c r="EK44" s="166">
        <f t="shared" si="55"/>
        <v>80</v>
      </c>
      <c r="EL44" s="166">
        <f t="shared" si="20"/>
        <v>1</v>
      </c>
      <c r="EM44" s="166">
        <f t="shared" si="154"/>
        <v>180</v>
      </c>
      <c r="EN44" s="166">
        <f t="shared" si="155"/>
        <v>1800</v>
      </c>
      <c r="EO44" s="166">
        <v>8</v>
      </c>
      <c r="EP44" s="14">
        <f t="shared" si="156"/>
        <v>180</v>
      </c>
      <c r="EQ44" s="14">
        <f t="shared" si="57"/>
        <v>22141</v>
      </c>
      <c r="ER44" s="166">
        <v>1</v>
      </c>
      <c r="ES44" s="14">
        <f t="shared" si="58"/>
        <v>214</v>
      </c>
      <c r="ET44" s="166" t="s">
        <v>1034</v>
      </c>
      <c r="EU44" s="166">
        <v>1</v>
      </c>
      <c r="EV44" s="166"/>
      <c r="EW44" s="14">
        <f t="shared" ref="EW44" si="174">ES44*100+3</f>
        <v>21403</v>
      </c>
      <c r="EX44" s="166" t="s">
        <v>1397</v>
      </c>
      <c r="EY44" s="166">
        <v>20</v>
      </c>
      <c r="EZ44" s="14" t="str">
        <f>INDEX(挂机升级突破!$DT$4:$EC$4,EO44)</f>
        <v>银母</v>
      </c>
      <c r="FA44" s="14">
        <f>ROUND(INDEX(挂机升级突破!$G$7:$R$37,EJ44+3,EO44)/INDEX(挂机升级突破!$G$5:$R$5,章节关卡!EO44)*INDEX(挂机升级突破!$G$4:$R$4,章节关卡!EO44)*章节关卡!EN44,0)</f>
        <v>1</v>
      </c>
      <c r="FB44" s="166" t="s">
        <v>1399</v>
      </c>
      <c r="FC44" s="166">
        <f t="shared" si="158"/>
        <v>28800</v>
      </c>
    </row>
    <row r="45" spans="1:159" ht="16.5" x14ac:dyDescent="0.2">
      <c r="Q45" s="15"/>
      <c r="AS45" s="24">
        <v>41</v>
      </c>
      <c r="AT45" s="14">
        <f t="shared" si="32"/>
        <v>11</v>
      </c>
      <c r="AU45" s="109">
        <f t="shared" si="33"/>
        <v>1</v>
      </c>
      <c r="AV45" s="109">
        <f t="shared" si="34"/>
        <v>20</v>
      </c>
      <c r="AW45" s="109">
        <f t="shared" si="35"/>
        <v>56</v>
      </c>
      <c r="AX45" s="109">
        <f t="shared" si="36"/>
        <v>92</v>
      </c>
      <c r="BA45" s="109">
        <v>41</v>
      </c>
      <c r="BB45" s="14">
        <f t="shared" si="0"/>
        <v>5</v>
      </c>
      <c r="BC45" s="14">
        <f t="shared" si="37"/>
        <v>1</v>
      </c>
      <c r="BD45" s="14">
        <f t="shared" si="81"/>
        <v>180</v>
      </c>
      <c r="BE45" s="14">
        <f t="shared" si="1"/>
        <v>900</v>
      </c>
      <c r="BF45" s="14">
        <f t="shared" si="2"/>
        <v>2025</v>
      </c>
      <c r="BG45" s="14">
        <f t="shared" si="38"/>
        <v>1.71</v>
      </c>
      <c r="BH45" s="14">
        <f t="shared" si="39"/>
        <v>11001</v>
      </c>
      <c r="BK45" s="109">
        <v>41</v>
      </c>
      <c r="BL45" s="14">
        <f t="shared" si="40"/>
        <v>5</v>
      </c>
      <c r="BM45" s="14">
        <f t="shared" si="41"/>
        <v>1</v>
      </c>
      <c r="BN45" s="14">
        <f t="shared" si="3"/>
        <v>500</v>
      </c>
      <c r="BO45" s="14">
        <f t="shared" si="4"/>
        <v>1800</v>
      </c>
      <c r="BP45" s="14">
        <f t="shared" si="5"/>
        <v>4050</v>
      </c>
      <c r="BS45" s="109">
        <v>41</v>
      </c>
      <c r="BT45" s="109">
        <f t="shared" si="42"/>
        <v>14</v>
      </c>
      <c r="BU45" s="112">
        <f t="shared" si="43"/>
        <v>75</v>
      </c>
      <c r="BV45" s="109">
        <f t="shared" si="6"/>
        <v>2</v>
      </c>
      <c r="BW45" s="109">
        <v>240</v>
      </c>
      <c r="BX45" s="109">
        <v>360</v>
      </c>
      <c r="BY45" s="112">
        <v>3</v>
      </c>
      <c r="BZ45" s="14">
        <f t="shared" si="44"/>
        <v>11142</v>
      </c>
      <c r="CA45" s="118">
        <v>1</v>
      </c>
      <c r="CB45" s="14">
        <f t="shared" si="45"/>
        <v>114</v>
      </c>
      <c r="CC45" s="118" t="s">
        <v>1026</v>
      </c>
      <c r="CD45" s="14">
        <f t="shared" si="46"/>
        <v>2</v>
      </c>
      <c r="CE45" s="166" t="str">
        <f t="shared" si="47"/>
        <v>守护灵抽卡券2 2小时扫荡券1 金币18000</v>
      </c>
      <c r="CF45" s="14">
        <f t="shared" si="48"/>
        <v>20</v>
      </c>
      <c r="CG45" s="115" t="s">
        <v>258</v>
      </c>
      <c r="CH45" s="115">
        <v>2</v>
      </c>
      <c r="CI45" s="210" t="s">
        <v>1395</v>
      </c>
      <c r="CJ45" s="210">
        <v>1</v>
      </c>
      <c r="CK45" s="210" t="s">
        <v>252</v>
      </c>
      <c r="CL45" s="210">
        <f t="shared" ref="CL45:CL46" si="175">INDEX($I$6:$I$35,BT45)*BW45</f>
        <v>18000</v>
      </c>
      <c r="CO45" s="115">
        <f t="shared" si="141"/>
        <v>14</v>
      </c>
      <c r="CP45" s="115">
        <f t="shared" si="142"/>
        <v>85</v>
      </c>
      <c r="CQ45" s="118">
        <v>2</v>
      </c>
      <c r="CR45" s="109">
        <f t="shared" si="143"/>
        <v>360</v>
      </c>
      <c r="CS45" s="109">
        <f t="shared" si="144"/>
        <v>720</v>
      </c>
      <c r="CT45" s="115">
        <v>8</v>
      </c>
      <c r="CU45" s="14">
        <f t="shared" si="145"/>
        <v>12142</v>
      </c>
      <c r="CV45" s="118">
        <v>2</v>
      </c>
      <c r="CW45" s="14">
        <f t="shared" si="146"/>
        <v>214</v>
      </c>
      <c r="CX45" s="118" t="s">
        <v>1026</v>
      </c>
      <c r="CY45" s="14">
        <f t="shared" si="147"/>
        <v>2</v>
      </c>
      <c r="CZ45" s="166" t="str">
        <f t="shared" si="50"/>
        <v>熔炼值200080级-攻击套守护灵の戒指1金币27000</v>
      </c>
      <c r="DA45" s="14">
        <f t="shared" si="51"/>
        <v>20</v>
      </c>
      <c r="DB45" s="115" t="s">
        <v>1005</v>
      </c>
      <c r="DC45" s="115">
        <v>2000</v>
      </c>
      <c r="DD45" s="115" t="s">
        <v>1465</v>
      </c>
      <c r="DE45" s="115">
        <v>1</v>
      </c>
      <c r="DF45" s="109" t="s">
        <v>252</v>
      </c>
      <c r="DG45" s="115">
        <f t="shared" si="148"/>
        <v>27000</v>
      </c>
      <c r="DJ45" s="118">
        <v>41</v>
      </c>
      <c r="DK45" s="14">
        <f t="shared" si="52"/>
        <v>14</v>
      </c>
      <c r="DL45" s="118">
        <f t="shared" si="149"/>
        <v>75</v>
      </c>
      <c r="DM45" s="166">
        <f t="shared" si="16"/>
        <v>2</v>
      </c>
      <c r="DN45" s="166">
        <v>240</v>
      </c>
      <c r="DO45" s="166">
        <v>1440</v>
      </c>
      <c r="DP45" s="166">
        <v>3</v>
      </c>
      <c r="DQ45" s="118">
        <v>120</v>
      </c>
      <c r="DR45" s="118">
        <f t="shared" si="53"/>
        <v>21142</v>
      </c>
      <c r="DS45" s="118">
        <v>1</v>
      </c>
      <c r="DT45" s="14">
        <f t="shared" si="150"/>
        <v>114</v>
      </c>
      <c r="DU45" s="118" t="s">
        <v>1034</v>
      </c>
      <c r="DV45" s="118">
        <v>2</v>
      </c>
      <c r="DW45" s="166" t="str">
        <f t="shared" si="151"/>
        <v>紫色基础材料19守护灵初级抽卡券3守护灵经验16200</v>
      </c>
      <c r="DX45" s="14">
        <f t="shared" ref="DX45" si="176">DT45*100+6</f>
        <v>11406</v>
      </c>
      <c r="DY45" s="118" t="s">
        <v>1037</v>
      </c>
      <c r="DZ45" s="118">
        <v>3</v>
      </c>
      <c r="EA45" s="14" t="str">
        <f>INDEX(挂机升级突破!$DT$4:$DX$4,DP45)</f>
        <v>紫色基础材料</v>
      </c>
      <c r="EB45" s="14">
        <f>ROUND(INDEX(挂机升级突破!$G$7:$K$37,DK45+2,章节关卡!DP45)/INDEX(挂机升级突破!$G$5:$K$5,章节关卡!DP45)*INDEX(挂机升级突破!$G$4:$K$4,章节关卡!DP45)*章节关卡!DO45,0)</f>
        <v>19</v>
      </c>
      <c r="EC45" s="118" t="s">
        <v>1038</v>
      </c>
      <c r="ED45" s="14">
        <f t="shared" si="153"/>
        <v>16200</v>
      </c>
      <c r="EI45" s="166">
        <v>41</v>
      </c>
      <c r="EJ45" s="14">
        <f t="shared" si="54"/>
        <v>14</v>
      </c>
      <c r="EK45" s="166">
        <f t="shared" si="55"/>
        <v>80</v>
      </c>
      <c r="EL45" s="166">
        <f t="shared" si="20"/>
        <v>2</v>
      </c>
      <c r="EM45" s="166">
        <f t="shared" si="154"/>
        <v>360</v>
      </c>
      <c r="EN45" s="166">
        <f t="shared" si="155"/>
        <v>3600</v>
      </c>
      <c r="EO45" s="166">
        <v>8</v>
      </c>
      <c r="EP45" s="14">
        <f t="shared" si="156"/>
        <v>240</v>
      </c>
      <c r="EQ45" s="14">
        <f t="shared" si="57"/>
        <v>22142</v>
      </c>
      <c r="ER45" s="166">
        <v>1</v>
      </c>
      <c r="ES45" s="14">
        <f t="shared" si="58"/>
        <v>214</v>
      </c>
      <c r="ET45" s="166" t="s">
        <v>1034</v>
      </c>
      <c r="EU45" s="166">
        <v>2</v>
      </c>
      <c r="EV45" s="166"/>
      <c r="EW45" s="14">
        <f t="shared" ref="EW45" si="177">ES45*100+6</f>
        <v>21406</v>
      </c>
      <c r="EX45" s="166" t="s">
        <v>1397</v>
      </c>
      <c r="EY45" s="166">
        <v>30</v>
      </c>
      <c r="EZ45" s="14" t="str">
        <f>INDEX(挂机升级突破!$DT$4:$EC$4,EO45)</f>
        <v>银母</v>
      </c>
      <c r="FA45" s="14">
        <f>ROUND(INDEX(挂机升级突破!$G$7:$R$37,EJ45+3,EO45)/INDEX(挂机升级突破!$G$5:$R$5,章节关卡!EO45)*INDEX(挂机升级突破!$G$4:$R$4,章节关卡!EO45)*章节关卡!EN45,0)</f>
        <v>2</v>
      </c>
      <c r="FB45" s="166" t="s">
        <v>1399</v>
      </c>
      <c r="FC45" s="166">
        <f t="shared" si="158"/>
        <v>57600</v>
      </c>
    </row>
    <row r="46" spans="1:159" ht="16.5" x14ac:dyDescent="0.2">
      <c r="Q46" s="15"/>
      <c r="AS46" s="24">
        <v>42</v>
      </c>
      <c r="AT46" s="14">
        <f t="shared" si="32"/>
        <v>11</v>
      </c>
      <c r="AU46" s="109">
        <f t="shared" si="33"/>
        <v>2</v>
      </c>
      <c r="AV46" s="109">
        <f t="shared" si="34"/>
        <v>20</v>
      </c>
      <c r="AW46" s="109">
        <f t="shared" si="35"/>
        <v>57</v>
      </c>
      <c r="AX46" s="109">
        <f t="shared" si="36"/>
        <v>94</v>
      </c>
      <c r="BA46" s="109">
        <v>42</v>
      </c>
      <c r="BB46" s="14">
        <f t="shared" si="0"/>
        <v>5</v>
      </c>
      <c r="BC46" s="14">
        <f t="shared" si="37"/>
        <v>2</v>
      </c>
      <c r="BD46" s="14">
        <f t="shared" si="81"/>
        <v>180</v>
      </c>
      <c r="BE46" s="14">
        <f t="shared" si="1"/>
        <v>900</v>
      </c>
      <c r="BF46" s="14">
        <f t="shared" si="2"/>
        <v>2025</v>
      </c>
      <c r="BG46" s="14">
        <f t="shared" si="38"/>
        <v>1.71</v>
      </c>
      <c r="BH46" s="14">
        <f t="shared" si="39"/>
        <v>11001</v>
      </c>
      <c r="BK46" s="109">
        <v>42</v>
      </c>
      <c r="BL46" s="14">
        <f t="shared" si="40"/>
        <v>5</v>
      </c>
      <c r="BM46" s="14">
        <f t="shared" si="41"/>
        <v>2</v>
      </c>
      <c r="BN46" s="14">
        <f t="shared" si="3"/>
        <v>500</v>
      </c>
      <c r="BO46" s="14">
        <f t="shared" si="4"/>
        <v>1800</v>
      </c>
      <c r="BP46" s="14">
        <f t="shared" si="5"/>
        <v>4050</v>
      </c>
      <c r="BS46" s="109">
        <v>42</v>
      </c>
      <c r="BT46" s="109">
        <f t="shared" si="42"/>
        <v>14</v>
      </c>
      <c r="BU46" s="112">
        <f t="shared" si="43"/>
        <v>75</v>
      </c>
      <c r="BV46" s="109">
        <f t="shared" si="6"/>
        <v>3</v>
      </c>
      <c r="BW46" s="109">
        <v>360</v>
      </c>
      <c r="BX46" s="109">
        <v>540</v>
      </c>
      <c r="BY46" s="112">
        <v>3</v>
      </c>
      <c r="BZ46" s="14">
        <f t="shared" si="44"/>
        <v>11143</v>
      </c>
      <c r="CA46" s="118">
        <v>1</v>
      </c>
      <c r="CB46" s="14">
        <f t="shared" si="45"/>
        <v>114</v>
      </c>
      <c r="CC46" s="118" t="s">
        <v>1026</v>
      </c>
      <c r="CD46" s="14">
        <f t="shared" si="46"/>
        <v>3</v>
      </c>
      <c r="CE46" s="166" t="str">
        <f t="shared" si="47"/>
        <v>守护灵抽卡券3 2小时扫荡券1 金币27000</v>
      </c>
      <c r="CF46" s="14">
        <f t="shared" si="48"/>
        <v>30</v>
      </c>
      <c r="CG46" s="115" t="s">
        <v>258</v>
      </c>
      <c r="CH46" s="115">
        <v>3</v>
      </c>
      <c r="CI46" s="210" t="s">
        <v>1395</v>
      </c>
      <c r="CJ46" s="210">
        <v>1</v>
      </c>
      <c r="CK46" s="210" t="s">
        <v>252</v>
      </c>
      <c r="CL46" s="210">
        <f t="shared" si="175"/>
        <v>27000</v>
      </c>
      <c r="CO46" s="115">
        <f t="shared" si="141"/>
        <v>14</v>
      </c>
      <c r="CP46" s="115">
        <f t="shared" si="142"/>
        <v>85</v>
      </c>
      <c r="CQ46" s="118">
        <v>3</v>
      </c>
      <c r="CR46" s="109">
        <f t="shared" si="143"/>
        <v>540</v>
      </c>
      <c r="CS46" s="109">
        <f t="shared" si="144"/>
        <v>1080</v>
      </c>
      <c r="CT46" s="115">
        <v>8</v>
      </c>
      <c r="CU46" s="14">
        <f t="shared" si="145"/>
        <v>12143</v>
      </c>
      <c r="CV46" s="118">
        <v>2</v>
      </c>
      <c r="CW46" s="14">
        <f t="shared" si="146"/>
        <v>214</v>
      </c>
      <c r="CX46" s="118" t="s">
        <v>1026</v>
      </c>
      <c r="CY46" s="14">
        <f t="shared" si="147"/>
        <v>3</v>
      </c>
      <c r="CZ46" s="166" t="str">
        <f t="shared" si="50"/>
        <v>守护灵抽卡券580级-攻击套守护灵の灵器1金币40500</v>
      </c>
      <c r="DA46" s="14">
        <f t="shared" si="51"/>
        <v>30</v>
      </c>
      <c r="DB46" s="115" t="s">
        <v>1004</v>
      </c>
      <c r="DC46" s="115">
        <v>5</v>
      </c>
      <c r="DD46" s="115" t="s">
        <v>1466</v>
      </c>
      <c r="DE46" s="115">
        <v>1</v>
      </c>
      <c r="DF46" s="109" t="s">
        <v>252</v>
      </c>
      <c r="DG46" s="115">
        <f t="shared" si="148"/>
        <v>40500</v>
      </c>
      <c r="DJ46" s="118">
        <v>42</v>
      </c>
      <c r="DK46" s="14">
        <f t="shared" si="52"/>
        <v>14</v>
      </c>
      <c r="DL46" s="118">
        <f t="shared" si="149"/>
        <v>75</v>
      </c>
      <c r="DM46" s="166">
        <f t="shared" si="16"/>
        <v>3</v>
      </c>
      <c r="DN46" s="166">
        <v>360</v>
      </c>
      <c r="DO46" s="166">
        <v>2160</v>
      </c>
      <c r="DP46" s="166">
        <v>3</v>
      </c>
      <c r="DQ46" s="118">
        <v>150</v>
      </c>
      <c r="DR46" s="118">
        <f t="shared" si="53"/>
        <v>21143</v>
      </c>
      <c r="DS46" s="118">
        <v>1</v>
      </c>
      <c r="DT46" s="14">
        <f t="shared" si="150"/>
        <v>114</v>
      </c>
      <c r="DU46" s="118" t="s">
        <v>1034</v>
      </c>
      <c r="DV46" s="118">
        <v>3</v>
      </c>
      <c r="DW46" s="166" t="str">
        <f t="shared" si="151"/>
        <v>紫色基础材料29守护灵初级抽卡券5守护灵经验20250</v>
      </c>
      <c r="DX46" s="14">
        <f t="shared" ref="DX46" si="178">DT46*100+9</f>
        <v>11409</v>
      </c>
      <c r="DY46" s="118" t="s">
        <v>1037</v>
      </c>
      <c r="DZ46" s="118">
        <v>5</v>
      </c>
      <c r="EA46" s="14" t="str">
        <f>INDEX(挂机升级突破!$DT$4:$DX$4,DP46)</f>
        <v>紫色基础材料</v>
      </c>
      <c r="EB46" s="14">
        <f>ROUND(INDEX(挂机升级突破!$G$7:$K$37,DK46+2,章节关卡!DP46)/INDEX(挂机升级突破!$G$5:$K$5,章节关卡!DP46)*INDEX(挂机升级突破!$G$4:$K$4,章节关卡!DP46)*章节关卡!DO46,0)</f>
        <v>29</v>
      </c>
      <c r="EC46" s="118" t="s">
        <v>1038</v>
      </c>
      <c r="ED46" s="14">
        <f t="shared" si="153"/>
        <v>20250</v>
      </c>
      <c r="EI46" s="166">
        <v>42</v>
      </c>
      <c r="EJ46" s="14">
        <f t="shared" si="54"/>
        <v>14</v>
      </c>
      <c r="EK46" s="166">
        <f t="shared" si="55"/>
        <v>80</v>
      </c>
      <c r="EL46" s="166">
        <f t="shared" si="20"/>
        <v>3</v>
      </c>
      <c r="EM46" s="166">
        <f t="shared" si="154"/>
        <v>540</v>
      </c>
      <c r="EN46" s="166">
        <f t="shared" si="155"/>
        <v>5400</v>
      </c>
      <c r="EO46" s="166">
        <v>8</v>
      </c>
      <c r="EP46" s="14">
        <f t="shared" si="156"/>
        <v>300</v>
      </c>
      <c r="EQ46" s="14">
        <f t="shared" si="57"/>
        <v>22143</v>
      </c>
      <c r="ER46" s="166">
        <v>1</v>
      </c>
      <c r="ES46" s="14">
        <f t="shared" si="58"/>
        <v>214</v>
      </c>
      <c r="ET46" s="166" t="s">
        <v>1034</v>
      </c>
      <c r="EU46" s="166">
        <v>3</v>
      </c>
      <c r="EV46" s="166"/>
      <c r="EW46" s="14">
        <f t="shared" ref="EW46" si="179">ES46*100+9</f>
        <v>21409</v>
      </c>
      <c r="EX46" s="166" t="s">
        <v>1397</v>
      </c>
      <c r="EY46" s="166">
        <v>50</v>
      </c>
      <c r="EZ46" s="14" t="str">
        <f>INDEX(挂机升级突破!$DT$4:$EC$4,EO46)</f>
        <v>银母</v>
      </c>
      <c r="FA46" s="14">
        <f>ROUND(INDEX(挂机升级突破!$G$7:$R$37,EJ46+3,EO46)/INDEX(挂机升级突破!$G$5:$R$5,章节关卡!EO46)*INDEX(挂机升级突破!$G$4:$R$4,章节关卡!EO46)*章节关卡!EN46,0)</f>
        <v>3</v>
      </c>
      <c r="FB46" s="166" t="s">
        <v>1399</v>
      </c>
      <c r="FC46" s="166">
        <f t="shared" si="158"/>
        <v>86400</v>
      </c>
    </row>
    <row r="47" spans="1:159" ht="16.5" x14ac:dyDescent="0.2">
      <c r="Q47" s="15"/>
      <c r="AS47" s="24">
        <v>43</v>
      </c>
      <c r="AT47" s="14">
        <f t="shared" si="32"/>
        <v>11</v>
      </c>
      <c r="AU47" s="109">
        <f t="shared" si="33"/>
        <v>3</v>
      </c>
      <c r="AV47" s="109">
        <f t="shared" si="34"/>
        <v>20</v>
      </c>
      <c r="AW47" s="109">
        <f t="shared" si="35"/>
        <v>58</v>
      </c>
      <c r="AX47" s="109">
        <f t="shared" si="36"/>
        <v>96</v>
      </c>
      <c r="BA47" s="109">
        <v>43</v>
      </c>
      <c r="BB47" s="14">
        <f t="shared" si="0"/>
        <v>5</v>
      </c>
      <c r="BC47" s="14">
        <f t="shared" si="37"/>
        <v>3</v>
      </c>
      <c r="BD47" s="14">
        <f t="shared" si="81"/>
        <v>180</v>
      </c>
      <c r="BE47" s="14">
        <f t="shared" si="1"/>
        <v>900</v>
      </c>
      <c r="BF47" s="14">
        <f t="shared" si="2"/>
        <v>2025</v>
      </c>
      <c r="BG47" s="14">
        <f t="shared" si="38"/>
        <v>1.71</v>
      </c>
      <c r="BH47" s="14">
        <f t="shared" si="39"/>
        <v>11001</v>
      </c>
      <c r="BK47" s="109">
        <v>43</v>
      </c>
      <c r="BL47" s="14">
        <f t="shared" si="40"/>
        <v>5</v>
      </c>
      <c r="BM47" s="14">
        <f t="shared" si="41"/>
        <v>3</v>
      </c>
      <c r="BN47" s="14">
        <f t="shared" si="3"/>
        <v>500</v>
      </c>
      <c r="BO47" s="14">
        <f t="shared" si="4"/>
        <v>1800</v>
      </c>
      <c r="BP47" s="14">
        <f t="shared" si="5"/>
        <v>4050</v>
      </c>
      <c r="BS47" s="109">
        <v>43</v>
      </c>
      <c r="BT47" s="109">
        <f t="shared" si="42"/>
        <v>15</v>
      </c>
      <c r="BU47" s="112">
        <f t="shared" si="43"/>
        <v>80</v>
      </c>
      <c r="BV47" s="109">
        <f t="shared" si="6"/>
        <v>1</v>
      </c>
      <c r="BW47" s="109">
        <v>120</v>
      </c>
      <c r="BX47" s="109">
        <v>180</v>
      </c>
      <c r="BY47" s="166">
        <v>3</v>
      </c>
      <c r="BZ47" s="14">
        <f t="shared" si="44"/>
        <v>11151</v>
      </c>
      <c r="CA47" s="118">
        <v>1</v>
      </c>
      <c r="CB47" s="14">
        <f t="shared" si="45"/>
        <v>115</v>
      </c>
      <c r="CC47" s="118" t="s">
        <v>1026</v>
      </c>
      <c r="CD47" s="14">
        <f t="shared" si="46"/>
        <v>1</v>
      </c>
      <c r="CE47" s="166" t="str">
        <f t="shared" si="47"/>
        <v xml:space="preserve">钻石100 金币9600 </v>
      </c>
      <c r="CF47" s="14">
        <f t="shared" si="48"/>
        <v>10</v>
      </c>
      <c r="CG47" s="115" t="s">
        <v>19</v>
      </c>
      <c r="CH47" s="115">
        <v>100</v>
      </c>
      <c r="CI47" s="210" t="s">
        <v>358</v>
      </c>
      <c r="CJ47" s="210">
        <f>INDEX($I$6:$I$35,BT47)*BW47</f>
        <v>9600</v>
      </c>
      <c r="CK47" s="210"/>
      <c r="CL47" s="210"/>
      <c r="CO47" s="115">
        <f t="shared" si="141"/>
        <v>15</v>
      </c>
      <c r="CP47" s="115">
        <f t="shared" si="142"/>
        <v>90</v>
      </c>
      <c r="CQ47" s="118">
        <v>1</v>
      </c>
      <c r="CR47" s="109">
        <f t="shared" si="143"/>
        <v>180</v>
      </c>
      <c r="CS47" s="109">
        <f t="shared" si="144"/>
        <v>360</v>
      </c>
      <c r="CT47" s="115">
        <v>8</v>
      </c>
      <c r="CU47" s="14">
        <f t="shared" si="145"/>
        <v>12151</v>
      </c>
      <c r="CV47" s="118">
        <v>2</v>
      </c>
      <c r="CW47" s="14">
        <f t="shared" si="146"/>
        <v>215</v>
      </c>
      <c r="CX47" s="118" t="s">
        <v>1026</v>
      </c>
      <c r="CY47" s="14">
        <f t="shared" si="147"/>
        <v>1</v>
      </c>
      <c r="CZ47" s="166" t="str">
        <f t="shared" si="50"/>
        <v>钻石10080级-攻击套寄灵人の头盔1金币14400</v>
      </c>
      <c r="DA47" s="14">
        <f t="shared" si="51"/>
        <v>10</v>
      </c>
      <c r="DB47" s="115" t="s">
        <v>257</v>
      </c>
      <c r="DC47" s="115">
        <v>100</v>
      </c>
      <c r="DD47" s="115" t="s">
        <v>1467</v>
      </c>
      <c r="DE47" s="115">
        <v>1</v>
      </c>
      <c r="DF47" s="109" t="s">
        <v>252</v>
      </c>
      <c r="DG47" s="115">
        <f t="shared" si="148"/>
        <v>14400</v>
      </c>
      <c r="DJ47" s="118">
        <v>43</v>
      </c>
      <c r="DK47" s="14">
        <f t="shared" si="52"/>
        <v>15</v>
      </c>
      <c r="DL47" s="118">
        <f t="shared" si="149"/>
        <v>80</v>
      </c>
      <c r="DM47" s="166">
        <f t="shared" si="16"/>
        <v>1</v>
      </c>
      <c r="DN47" s="166">
        <v>120</v>
      </c>
      <c r="DO47" s="166">
        <v>720</v>
      </c>
      <c r="DP47" s="166">
        <v>3</v>
      </c>
      <c r="DQ47" s="118">
        <v>90</v>
      </c>
      <c r="DR47" s="118">
        <f t="shared" si="53"/>
        <v>21151</v>
      </c>
      <c r="DS47" s="118">
        <v>1</v>
      </c>
      <c r="DT47" s="14">
        <f t="shared" si="150"/>
        <v>115</v>
      </c>
      <c r="DU47" s="118" t="s">
        <v>1034</v>
      </c>
      <c r="DV47" s="118">
        <v>1</v>
      </c>
      <c r="DW47" s="166" t="str">
        <f t="shared" si="151"/>
        <v>紫色基础材料12守护灵初级抽卡券2守护灵经验13500</v>
      </c>
      <c r="DX47" s="14">
        <f t="shared" ref="DX47" si="180">DT47*100+3</f>
        <v>11503</v>
      </c>
      <c r="DY47" s="118" t="s">
        <v>1037</v>
      </c>
      <c r="DZ47" s="118">
        <v>2</v>
      </c>
      <c r="EA47" s="14" t="str">
        <f>INDEX(挂机升级突破!$DT$4:$DX$4,DP47)</f>
        <v>紫色基础材料</v>
      </c>
      <c r="EB47" s="14">
        <f>ROUND(INDEX(挂机升级突破!$G$7:$K$37,DK47+2,章节关卡!DP47)/INDEX(挂机升级突破!$G$5:$K$5,章节关卡!DP47)*INDEX(挂机升级突破!$G$4:$K$4,章节关卡!DP47)*章节关卡!DO47,0)</f>
        <v>12</v>
      </c>
      <c r="EC47" s="118" t="s">
        <v>1038</v>
      </c>
      <c r="ED47" s="14">
        <f t="shared" si="153"/>
        <v>13500</v>
      </c>
      <c r="EI47" s="166">
        <v>43</v>
      </c>
      <c r="EJ47" s="14">
        <f t="shared" si="54"/>
        <v>15</v>
      </c>
      <c r="EK47" s="166">
        <f t="shared" si="55"/>
        <v>85</v>
      </c>
      <c r="EL47" s="166">
        <f t="shared" si="20"/>
        <v>1</v>
      </c>
      <c r="EM47" s="166">
        <f t="shared" si="154"/>
        <v>180</v>
      </c>
      <c r="EN47" s="166">
        <f t="shared" si="155"/>
        <v>1800</v>
      </c>
      <c r="EO47" s="166">
        <v>8</v>
      </c>
      <c r="EP47" s="14">
        <f t="shared" si="156"/>
        <v>180</v>
      </c>
      <c r="EQ47" s="14">
        <f t="shared" si="57"/>
        <v>22151</v>
      </c>
      <c r="ER47" s="166">
        <v>1</v>
      </c>
      <c r="ES47" s="14">
        <f t="shared" si="58"/>
        <v>215</v>
      </c>
      <c r="ET47" s="166" t="s">
        <v>1034</v>
      </c>
      <c r="EU47" s="166">
        <v>1</v>
      </c>
      <c r="EV47" s="166"/>
      <c r="EW47" s="14">
        <f t="shared" ref="EW47" si="181">ES47*100+3</f>
        <v>21503</v>
      </c>
      <c r="EX47" s="166" t="s">
        <v>1397</v>
      </c>
      <c r="EY47" s="166">
        <v>20</v>
      </c>
      <c r="EZ47" s="14" t="str">
        <f>INDEX(挂机升级突破!$DT$4:$EC$4,EO47)</f>
        <v>银母</v>
      </c>
      <c r="FA47" s="14">
        <f>ROUND(INDEX(挂机升级突破!$G$7:$R$37,EJ47+3,EO47)/INDEX(挂机升级突破!$G$5:$R$5,章节关卡!EO47)*INDEX(挂机升级突破!$G$4:$R$4,章节关卡!EO47)*章节关卡!EN47,0)</f>
        <v>2</v>
      </c>
      <c r="FB47" s="166" t="s">
        <v>1399</v>
      </c>
      <c r="FC47" s="166">
        <f t="shared" si="158"/>
        <v>31500</v>
      </c>
    </row>
    <row r="48" spans="1:159" ht="16.5" x14ac:dyDescent="0.2">
      <c r="Q48" s="15"/>
      <c r="AS48" s="24">
        <v>44</v>
      </c>
      <c r="AT48" s="14">
        <f t="shared" si="32"/>
        <v>11</v>
      </c>
      <c r="AU48" s="109">
        <f t="shared" si="33"/>
        <v>4</v>
      </c>
      <c r="AV48" s="109">
        <f t="shared" si="34"/>
        <v>20</v>
      </c>
      <c r="AW48" s="109">
        <f t="shared" si="35"/>
        <v>59</v>
      </c>
      <c r="AX48" s="109">
        <f t="shared" si="36"/>
        <v>98</v>
      </c>
      <c r="BA48" s="109">
        <v>44</v>
      </c>
      <c r="BB48" s="14">
        <f t="shared" si="0"/>
        <v>5</v>
      </c>
      <c r="BC48" s="14">
        <f t="shared" si="37"/>
        <v>4</v>
      </c>
      <c r="BD48" s="14">
        <f t="shared" si="81"/>
        <v>180</v>
      </c>
      <c r="BE48" s="14">
        <f t="shared" si="1"/>
        <v>900</v>
      </c>
      <c r="BF48" s="14">
        <f t="shared" si="2"/>
        <v>2025</v>
      </c>
      <c r="BG48" s="14">
        <f t="shared" si="38"/>
        <v>1.71</v>
      </c>
      <c r="BH48" s="14">
        <f t="shared" si="39"/>
        <v>11001</v>
      </c>
      <c r="BK48" s="109">
        <v>44</v>
      </c>
      <c r="BL48" s="14">
        <f t="shared" si="40"/>
        <v>5</v>
      </c>
      <c r="BM48" s="14">
        <f t="shared" si="41"/>
        <v>4</v>
      </c>
      <c r="BN48" s="14">
        <f t="shared" si="3"/>
        <v>500</v>
      </c>
      <c r="BO48" s="14">
        <f t="shared" si="4"/>
        <v>1800</v>
      </c>
      <c r="BP48" s="14">
        <f t="shared" si="5"/>
        <v>4050</v>
      </c>
      <c r="BS48" s="109">
        <v>44</v>
      </c>
      <c r="BT48" s="109">
        <f t="shared" si="42"/>
        <v>15</v>
      </c>
      <c r="BU48" s="112">
        <f t="shared" si="43"/>
        <v>80</v>
      </c>
      <c r="BV48" s="109">
        <f t="shared" si="6"/>
        <v>2</v>
      </c>
      <c r="BW48" s="109">
        <v>240</v>
      </c>
      <c r="BX48" s="109">
        <v>360</v>
      </c>
      <c r="BY48" s="166">
        <v>3</v>
      </c>
      <c r="BZ48" s="14">
        <f t="shared" si="44"/>
        <v>11152</v>
      </c>
      <c r="CA48" s="118">
        <v>1</v>
      </c>
      <c r="CB48" s="14">
        <f t="shared" si="45"/>
        <v>115</v>
      </c>
      <c r="CC48" s="118" t="s">
        <v>1026</v>
      </c>
      <c r="CD48" s="14">
        <f t="shared" si="46"/>
        <v>2</v>
      </c>
      <c r="CE48" s="166" t="str">
        <f t="shared" si="47"/>
        <v>守护灵抽卡券2 2小时扫荡券1 金币19200</v>
      </c>
      <c r="CF48" s="14">
        <f t="shared" si="48"/>
        <v>20</v>
      </c>
      <c r="CG48" s="115" t="s">
        <v>258</v>
      </c>
      <c r="CH48" s="115">
        <v>2</v>
      </c>
      <c r="CI48" s="210" t="s">
        <v>1395</v>
      </c>
      <c r="CJ48" s="210">
        <v>1</v>
      </c>
      <c r="CK48" s="210" t="s">
        <v>252</v>
      </c>
      <c r="CL48" s="210">
        <f t="shared" ref="CL48:CL49" si="182">INDEX($I$6:$I$35,BT48)*BW48</f>
        <v>19200</v>
      </c>
      <c r="CO48" s="115">
        <f t="shared" si="141"/>
        <v>15</v>
      </c>
      <c r="CP48" s="115">
        <f t="shared" si="142"/>
        <v>90</v>
      </c>
      <c r="CQ48" s="118">
        <v>2</v>
      </c>
      <c r="CR48" s="109">
        <f t="shared" si="143"/>
        <v>360</v>
      </c>
      <c r="CS48" s="109">
        <f t="shared" si="144"/>
        <v>720</v>
      </c>
      <c r="CT48" s="115">
        <v>8</v>
      </c>
      <c r="CU48" s="14">
        <f t="shared" si="145"/>
        <v>12152</v>
      </c>
      <c r="CV48" s="118">
        <v>2</v>
      </c>
      <c r="CW48" s="14">
        <f t="shared" si="146"/>
        <v>215</v>
      </c>
      <c r="CX48" s="118" t="s">
        <v>1026</v>
      </c>
      <c r="CY48" s="14">
        <f t="shared" si="147"/>
        <v>2</v>
      </c>
      <c r="CZ48" s="166" t="str">
        <f t="shared" si="50"/>
        <v>熔炼值240080级-攻击套寄灵人の铠甲1金币28800</v>
      </c>
      <c r="DA48" s="14">
        <f t="shared" si="51"/>
        <v>20</v>
      </c>
      <c r="DB48" s="115" t="s">
        <v>1005</v>
      </c>
      <c r="DC48" s="115">
        <v>2400</v>
      </c>
      <c r="DD48" s="115" t="s">
        <v>1468</v>
      </c>
      <c r="DE48" s="115">
        <v>1</v>
      </c>
      <c r="DF48" s="109" t="s">
        <v>252</v>
      </c>
      <c r="DG48" s="115">
        <f t="shared" si="148"/>
        <v>28800</v>
      </c>
      <c r="DJ48" s="118">
        <v>44</v>
      </c>
      <c r="DK48" s="14">
        <f t="shared" si="52"/>
        <v>15</v>
      </c>
      <c r="DL48" s="118">
        <f t="shared" si="149"/>
        <v>80</v>
      </c>
      <c r="DM48" s="166">
        <f t="shared" si="16"/>
        <v>2</v>
      </c>
      <c r="DN48" s="166">
        <v>240</v>
      </c>
      <c r="DO48" s="166">
        <v>1440</v>
      </c>
      <c r="DP48" s="166">
        <v>3</v>
      </c>
      <c r="DQ48" s="118">
        <v>120</v>
      </c>
      <c r="DR48" s="118">
        <f t="shared" si="53"/>
        <v>21152</v>
      </c>
      <c r="DS48" s="118">
        <v>1</v>
      </c>
      <c r="DT48" s="14">
        <f t="shared" si="150"/>
        <v>115</v>
      </c>
      <c r="DU48" s="118" t="s">
        <v>1034</v>
      </c>
      <c r="DV48" s="118">
        <v>2</v>
      </c>
      <c r="DW48" s="166" t="str">
        <f t="shared" si="151"/>
        <v>紫色基础材料24守护灵初级抽卡券3守护灵经验18000</v>
      </c>
      <c r="DX48" s="14">
        <f t="shared" ref="DX48" si="183">DT48*100+6</f>
        <v>11506</v>
      </c>
      <c r="DY48" s="118" t="s">
        <v>1037</v>
      </c>
      <c r="DZ48" s="118">
        <v>3</v>
      </c>
      <c r="EA48" s="14" t="str">
        <f>INDEX(挂机升级突破!$DT$4:$DX$4,DP48)</f>
        <v>紫色基础材料</v>
      </c>
      <c r="EB48" s="14">
        <f>ROUND(INDEX(挂机升级突破!$G$7:$K$37,DK48+2,章节关卡!DP48)/INDEX(挂机升级突破!$G$5:$K$5,章节关卡!DP48)*INDEX(挂机升级突破!$G$4:$K$4,章节关卡!DP48)*章节关卡!DO48,0)</f>
        <v>24</v>
      </c>
      <c r="EC48" s="118" t="s">
        <v>1038</v>
      </c>
      <c r="ED48" s="14">
        <f t="shared" si="153"/>
        <v>18000</v>
      </c>
      <c r="EI48" s="166">
        <v>44</v>
      </c>
      <c r="EJ48" s="14">
        <f t="shared" si="54"/>
        <v>15</v>
      </c>
      <c r="EK48" s="166">
        <f t="shared" si="55"/>
        <v>85</v>
      </c>
      <c r="EL48" s="166">
        <f t="shared" si="20"/>
        <v>2</v>
      </c>
      <c r="EM48" s="166">
        <f t="shared" si="154"/>
        <v>360</v>
      </c>
      <c r="EN48" s="166">
        <f t="shared" si="155"/>
        <v>3600</v>
      </c>
      <c r="EO48" s="166">
        <v>8</v>
      </c>
      <c r="EP48" s="14">
        <f t="shared" si="156"/>
        <v>240</v>
      </c>
      <c r="EQ48" s="14">
        <f t="shared" si="57"/>
        <v>22152</v>
      </c>
      <c r="ER48" s="166">
        <v>1</v>
      </c>
      <c r="ES48" s="14">
        <f t="shared" si="58"/>
        <v>215</v>
      </c>
      <c r="ET48" s="166" t="s">
        <v>1034</v>
      </c>
      <c r="EU48" s="166">
        <v>2</v>
      </c>
      <c r="EV48" s="166"/>
      <c r="EW48" s="14">
        <f t="shared" ref="EW48" si="184">ES48*100+6</f>
        <v>21506</v>
      </c>
      <c r="EX48" s="166" t="s">
        <v>1397</v>
      </c>
      <c r="EY48" s="166">
        <v>30</v>
      </c>
      <c r="EZ48" s="14" t="str">
        <f>INDEX(挂机升级突破!$DT$4:$EC$4,EO48)</f>
        <v>银母</v>
      </c>
      <c r="FA48" s="14">
        <f>ROUND(INDEX(挂机升级突破!$G$7:$R$37,EJ48+3,EO48)/INDEX(挂机升级突破!$G$5:$R$5,章节关卡!EO48)*INDEX(挂机升级突破!$G$4:$R$4,章节关卡!EO48)*章节关卡!EN48,0)</f>
        <v>3</v>
      </c>
      <c r="FB48" s="166" t="s">
        <v>1399</v>
      </c>
      <c r="FC48" s="166">
        <f t="shared" si="158"/>
        <v>63000</v>
      </c>
    </row>
    <row r="49" spans="17:159" ht="16.5" x14ac:dyDescent="0.2">
      <c r="Q49" s="15"/>
      <c r="AS49" s="24">
        <v>45</v>
      </c>
      <c r="AT49" s="14">
        <f t="shared" si="32"/>
        <v>12</v>
      </c>
      <c r="AU49" s="109">
        <f t="shared" si="33"/>
        <v>1</v>
      </c>
      <c r="AV49" s="109">
        <f t="shared" si="34"/>
        <v>22</v>
      </c>
      <c r="AW49" s="109">
        <f t="shared" si="35"/>
        <v>61</v>
      </c>
      <c r="AX49" s="109">
        <f t="shared" si="36"/>
        <v>102</v>
      </c>
      <c r="BA49" s="109">
        <v>45</v>
      </c>
      <c r="BB49" s="14">
        <f t="shared" si="0"/>
        <v>5</v>
      </c>
      <c r="BC49" s="14">
        <f t="shared" si="37"/>
        <v>5</v>
      </c>
      <c r="BD49" s="14">
        <f t="shared" si="81"/>
        <v>180</v>
      </c>
      <c r="BE49" s="14">
        <f t="shared" si="1"/>
        <v>900</v>
      </c>
      <c r="BF49" s="14">
        <f t="shared" si="2"/>
        <v>2025</v>
      </c>
      <c r="BG49" s="14">
        <f t="shared" si="38"/>
        <v>1.71</v>
      </c>
      <c r="BH49" s="14">
        <f t="shared" si="39"/>
        <v>11001</v>
      </c>
      <c r="BK49" s="109">
        <v>45</v>
      </c>
      <c r="BL49" s="14">
        <f t="shared" si="40"/>
        <v>5</v>
      </c>
      <c r="BM49" s="14">
        <f t="shared" si="41"/>
        <v>5</v>
      </c>
      <c r="BN49" s="14">
        <f t="shared" si="3"/>
        <v>500</v>
      </c>
      <c r="BO49" s="14">
        <f t="shared" si="4"/>
        <v>1800</v>
      </c>
      <c r="BP49" s="14">
        <f t="shared" si="5"/>
        <v>4050</v>
      </c>
      <c r="BS49" s="109">
        <v>45</v>
      </c>
      <c r="BT49" s="109">
        <f t="shared" si="42"/>
        <v>15</v>
      </c>
      <c r="BU49" s="112">
        <f t="shared" si="43"/>
        <v>80</v>
      </c>
      <c r="BV49" s="109">
        <f t="shared" si="6"/>
        <v>3</v>
      </c>
      <c r="BW49" s="109">
        <v>360</v>
      </c>
      <c r="BX49" s="109">
        <v>540</v>
      </c>
      <c r="BY49" s="166">
        <v>3</v>
      </c>
      <c r="BZ49" s="14">
        <f t="shared" si="44"/>
        <v>11153</v>
      </c>
      <c r="CA49" s="118">
        <v>1</v>
      </c>
      <c r="CB49" s="14">
        <f t="shared" si="45"/>
        <v>115</v>
      </c>
      <c r="CC49" s="118" t="s">
        <v>1026</v>
      </c>
      <c r="CD49" s="14">
        <f t="shared" si="46"/>
        <v>3</v>
      </c>
      <c r="CE49" s="166" t="str">
        <f t="shared" si="47"/>
        <v>守护灵抽卡券3 2小时扫荡券1 金币28800</v>
      </c>
      <c r="CF49" s="14">
        <f t="shared" si="48"/>
        <v>30</v>
      </c>
      <c r="CG49" s="115" t="s">
        <v>258</v>
      </c>
      <c r="CH49" s="115">
        <v>3</v>
      </c>
      <c r="CI49" s="210" t="s">
        <v>1395</v>
      </c>
      <c r="CJ49" s="210">
        <v>1</v>
      </c>
      <c r="CK49" s="210" t="s">
        <v>252</v>
      </c>
      <c r="CL49" s="210">
        <f t="shared" si="182"/>
        <v>28800</v>
      </c>
      <c r="CO49" s="115">
        <f t="shared" si="141"/>
        <v>15</v>
      </c>
      <c r="CP49" s="115">
        <f t="shared" si="142"/>
        <v>90</v>
      </c>
      <c r="CQ49" s="118">
        <v>3</v>
      </c>
      <c r="CR49" s="109">
        <f t="shared" si="143"/>
        <v>540</v>
      </c>
      <c r="CS49" s="109">
        <f t="shared" si="144"/>
        <v>1080</v>
      </c>
      <c r="CT49" s="115">
        <v>8</v>
      </c>
      <c r="CU49" s="14">
        <f t="shared" si="145"/>
        <v>12153</v>
      </c>
      <c r="CV49" s="118">
        <v>2</v>
      </c>
      <c r="CW49" s="14">
        <f t="shared" si="146"/>
        <v>215</v>
      </c>
      <c r="CX49" s="118" t="s">
        <v>1026</v>
      </c>
      <c r="CY49" s="14">
        <f t="shared" si="147"/>
        <v>3</v>
      </c>
      <c r="CZ49" s="166" t="str">
        <f t="shared" si="50"/>
        <v>守护灵抽卡券580级-攻击套寄灵人の鞋子1金币43200</v>
      </c>
      <c r="DA49" s="14">
        <f t="shared" si="51"/>
        <v>30</v>
      </c>
      <c r="DB49" s="115" t="s">
        <v>1004</v>
      </c>
      <c r="DC49" s="115">
        <v>5</v>
      </c>
      <c r="DD49" s="115" t="s">
        <v>1469</v>
      </c>
      <c r="DE49" s="115">
        <v>1</v>
      </c>
      <c r="DF49" s="109" t="s">
        <v>252</v>
      </c>
      <c r="DG49" s="115">
        <f t="shared" si="148"/>
        <v>43200</v>
      </c>
      <c r="DJ49" s="118">
        <v>45</v>
      </c>
      <c r="DK49" s="14">
        <f t="shared" si="52"/>
        <v>15</v>
      </c>
      <c r="DL49" s="118">
        <f t="shared" si="149"/>
        <v>80</v>
      </c>
      <c r="DM49" s="166">
        <f t="shared" si="16"/>
        <v>3</v>
      </c>
      <c r="DN49" s="166">
        <v>360</v>
      </c>
      <c r="DO49" s="166">
        <v>2160</v>
      </c>
      <c r="DP49" s="166">
        <v>3</v>
      </c>
      <c r="DQ49" s="118">
        <v>150</v>
      </c>
      <c r="DR49" s="118">
        <f t="shared" si="53"/>
        <v>21153</v>
      </c>
      <c r="DS49" s="118">
        <v>1</v>
      </c>
      <c r="DT49" s="14">
        <f t="shared" si="150"/>
        <v>115</v>
      </c>
      <c r="DU49" s="118" t="s">
        <v>1034</v>
      </c>
      <c r="DV49" s="118">
        <v>3</v>
      </c>
      <c r="DW49" s="166" t="str">
        <f t="shared" si="151"/>
        <v>紫色基础材料36守护灵初级抽卡券5守护灵经验22500</v>
      </c>
      <c r="DX49" s="14">
        <f t="shared" ref="DX49" si="185">DT49*100+9</f>
        <v>11509</v>
      </c>
      <c r="DY49" s="118" t="s">
        <v>1037</v>
      </c>
      <c r="DZ49" s="118">
        <v>5</v>
      </c>
      <c r="EA49" s="14" t="str">
        <f>INDEX(挂机升级突破!$DT$4:$DX$4,DP49)</f>
        <v>紫色基础材料</v>
      </c>
      <c r="EB49" s="14">
        <f>ROUND(INDEX(挂机升级突破!$G$7:$K$37,DK49+2,章节关卡!DP49)/INDEX(挂机升级突破!$G$5:$K$5,章节关卡!DP49)*INDEX(挂机升级突破!$G$4:$K$4,章节关卡!DP49)*章节关卡!DO49,0)</f>
        <v>36</v>
      </c>
      <c r="EC49" s="118" t="s">
        <v>1038</v>
      </c>
      <c r="ED49" s="14">
        <f t="shared" si="153"/>
        <v>22500</v>
      </c>
      <c r="EI49" s="166">
        <v>45</v>
      </c>
      <c r="EJ49" s="14">
        <f t="shared" si="54"/>
        <v>15</v>
      </c>
      <c r="EK49" s="166">
        <f t="shared" si="55"/>
        <v>85</v>
      </c>
      <c r="EL49" s="166">
        <f t="shared" si="20"/>
        <v>3</v>
      </c>
      <c r="EM49" s="166">
        <f t="shared" si="154"/>
        <v>540</v>
      </c>
      <c r="EN49" s="166">
        <f t="shared" si="155"/>
        <v>5400</v>
      </c>
      <c r="EO49" s="166">
        <v>8</v>
      </c>
      <c r="EP49" s="14">
        <f t="shared" si="156"/>
        <v>300</v>
      </c>
      <c r="EQ49" s="14">
        <f t="shared" si="57"/>
        <v>22153</v>
      </c>
      <c r="ER49" s="166">
        <v>1</v>
      </c>
      <c r="ES49" s="14">
        <f t="shared" si="58"/>
        <v>215</v>
      </c>
      <c r="ET49" s="166" t="s">
        <v>1034</v>
      </c>
      <c r="EU49" s="166">
        <v>3</v>
      </c>
      <c r="EV49" s="166"/>
      <c r="EW49" s="14">
        <f t="shared" ref="EW49" si="186">ES49*100+9</f>
        <v>21509</v>
      </c>
      <c r="EX49" s="166" t="s">
        <v>1397</v>
      </c>
      <c r="EY49" s="166">
        <v>50</v>
      </c>
      <c r="EZ49" s="14" t="str">
        <f>INDEX(挂机升级突破!$DT$4:$EC$4,EO49)</f>
        <v>银母</v>
      </c>
      <c r="FA49" s="14">
        <f>ROUND(INDEX(挂机升级突破!$G$7:$R$37,EJ49+3,EO49)/INDEX(挂机升级突破!$G$5:$R$5,章节关卡!EO49)*INDEX(挂机升级突破!$G$4:$R$4,章节关卡!EO49)*章节关卡!EN49,0)</f>
        <v>5</v>
      </c>
      <c r="FB49" s="166" t="s">
        <v>1399</v>
      </c>
      <c r="FC49" s="166">
        <f t="shared" si="158"/>
        <v>94500</v>
      </c>
    </row>
    <row r="50" spans="17:159" ht="16.5" x14ac:dyDescent="0.2">
      <c r="Q50" s="15"/>
      <c r="AS50" s="24">
        <v>46</v>
      </c>
      <c r="AT50" s="14">
        <f t="shared" si="32"/>
        <v>12</v>
      </c>
      <c r="AU50" s="109">
        <f t="shared" si="33"/>
        <v>2</v>
      </c>
      <c r="AV50" s="109">
        <f t="shared" si="34"/>
        <v>22</v>
      </c>
      <c r="AW50" s="109">
        <f t="shared" si="35"/>
        <v>62</v>
      </c>
      <c r="AX50" s="109">
        <f t="shared" si="36"/>
        <v>104</v>
      </c>
      <c r="BA50" s="109">
        <v>46</v>
      </c>
      <c r="BB50" s="14">
        <f t="shared" si="0"/>
        <v>5</v>
      </c>
      <c r="BC50" s="14">
        <f t="shared" si="37"/>
        <v>6</v>
      </c>
      <c r="BD50" s="14">
        <f t="shared" si="81"/>
        <v>180</v>
      </c>
      <c r="BE50" s="14">
        <f t="shared" si="1"/>
        <v>900</v>
      </c>
      <c r="BF50" s="14">
        <f t="shared" si="2"/>
        <v>2025</v>
      </c>
      <c r="BG50" s="14">
        <f t="shared" si="38"/>
        <v>1.71</v>
      </c>
      <c r="BH50" s="14">
        <f t="shared" si="39"/>
        <v>11001</v>
      </c>
      <c r="BK50" s="109">
        <v>46</v>
      </c>
      <c r="BL50" s="14">
        <f t="shared" si="40"/>
        <v>5</v>
      </c>
      <c r="BM50" s="14">
        <f t="shared" si="41"/>
        <v>6</v>
      </c>
      <c r="BN50" s="14">
        <f t="shared" si="3"/>
        <v>500</v>
      </c>
      <c r="BO50" s="14">
        <f t="shared" si="4"/>
        <v>1800</v>
      </c>
      <c r="BP50" s="14">
        <f t="shared" si="5"/>
        <v>4050</v>
      </c>
      <c r="BS50" s="109">
        <v>46</v>
      </c>
      <c r="BT50" s="109">
        <f t="shared" si="42"/>
        <v>16</v>
      </c>
      <c r="BU50" s="112">
        <f t="shared" si="43"/>
        <v>85</v>
      </c>
      <c r="BV50" s="109">
        <f t="shared" ref="BV50:BV64" si="187">MOD(BS50-1,3)+1</f>
        <v>1</v>
      </c>
      <c r="BW50" s="109">
        <v>120</v>
      </c>
      <c r="BX50" s="109">
        <v>180</v>
      </c>
      <c r="BY50" s="112">
        <v>4</v>
      </c>
      <c r="BZ50" s="14">
        <f t="shared" si="44"/>
        <v>11161</v>
      </c>
      <c r="CA50" s="118">
        <v>1</v>
      </c>
      <c r="CB50" s="14">
        <f t="shared" si="45"/>
        <v>116</v>
      </c>
      <c r="CC50" s="118" t="s">
        <v>1026</v>
      </c>
      <c r="CD50" s="14">
        <f t="shared" si="46"/>
        <v>1</v>
      </c>
      <c r="CE50" s="166" t="str">
        <f t="shared" si="47"/>
        <v xml:space="preserve">钻石100 金币10800 </v>
      </c>
      <c r="CF50" s="14">
        <f t="shared" si="48"/>
        <v>10</v>
      </c>
      <c r="CG50" s="115" t="s">
        <v>19</v>
      </c>
      <c r="CH50" s="115">
        <v>100</v>
      </c>
      <c r="CI50" s="210" t="s">
        <v>358</v>
      </c>
      <c r="CJ50" s="210">
        <f>INDEX($I$6:$I$35,BT50)*BW50</f>
        <v>10800</v>
      </c>
      <c r="CK50" s="210"/>
      <c r="CL50" s="210"/>
      <c r="CO50" s="115">
        <f t="shared" si="141"/>
        <v>16</v>
      </c>
      <c r="CP50" s="115">
        <f t="shared" si="142"/>
        <v>95</v>
      </c>
      <c r="CQ50" s="118">
        <v>1</v>
      </c>
      <c r="CR50" s="109">
        <f t="shared" si="143"/>
        <v>180</v>
      </c>
      <c r="CS50" s="109">
        <f t="shared" si="144"/>
        <v>360</v>
      </c>
      <c r="CT50" s="115">
        <v>8</v>
      </c>
      <c r="CU50" s="14">
        <f t="shared" si="145"/>
        <v>12161</v>
      </c>
      <c r="CV50" s="118">
        <v>2</v>
      </c>
      <c r="CW50" s="14">
        <f t="shared" si="146"/>
        <v>216</v>
      </c>
      <c r="CX50" s="118" t="s">
        <v>1026</v>
      </c>
      <c r="CY50" s="14">
        <f t="shared" si="147"/>
        <v>1</v>
      </c>
      <c r="CZ50" s="166" t="str">
        <f t="shared" si="50"/>
        <v>钻石10080级-攻击套寄灵人の项链1金币16200</v>
      </c>
      <c r="DA50" s="14">
        <f t="shared" si="51"/>
        <v>10</v>
      </c>
      <c r="DB50" s="115" t="s">
        <v>257</v>
      </c>
      <c r="DC50" s="115">
        <v>100</v>
      </c>
      <c r="DD50" s="115" t="s">
        <v>1470</v>
      </c>
      <c r="DE50" s="115">
        <v>1</v>
      </c>
      <c r="DF50" s="109" t="s">
        <v>252</v>
      </c>
      <c r="DG50" s="115">
        <f t="shared" si="148"/>
        <v>16200</v>
      </c>
      <c r="DJ50" s="118">
        <v>46</v>
      </c>
      <c r="DK50" s="14">
        <f t="shared" si="52"/>
        <v>16</v>
      </c>
      <c r="DL50" s="118">
        <f t="shared" si="149"/>
        <v>85</v>
      </c>
      <c r="DM50" s="166">
        <f t="shared" si="16"/>
        <v>1</v>
      </c>
      <c r="DN50" s="166">
        <v>120</v>
      </c>
      <c r="DO50" s="166">
        <v>900</v>
      </c>
      <c r="DP50" s="166">
        <v>4</v>
      </c>
      <c r="DQ50" s="118">
        <v>90</v>
      </c>
      <c r="DR50" s="118">
        <f t="shared" si="53"/>
        <v>21161</v>
      </c>
      <c r="DS50" s="118">
        <v>1</v>
      </c>
      <c r="DT50" s="14">
        <f t="shared" si="150"/>
        <v>116</v>
      </c>
      <c r="DU50" s="118" t="s">
        <v>1034</v>
      </c>
      <c r="DV50" s="118">
        <v>1</v>
      </c>
      <c r="DW50" s="166" t="str">
        <f t="shared" si="151"/>
        <v>橙色基础材料2守护灵初级抽卡券2守护灵经验14400</v>
      </c>
      <c r="DX50" s="14">
        <f t="shared" ref="DX50" si="188">DT50*100+3</f>
        <v>11603</v>
      </c>
      <c r="DY50" s="118" t="s">
        <v>1037</v>
      </c>
      <c r="DZ50" s="118">
        <v>2</v>
      </c>
      <c r="EA50" s="14" t="str">
        <f>INDEX(挂机升级突破!$DT$4:$DX$4,DP50)</f>
        <v>橙色基础材料</v>
      </c>
      <c r="EB50" s="14">
        <f>ROUND(INDEX(挂机升级突破!$G$7:$K$37,DK50+2,章节关卡!DP50)/INDEX(挂机升级突破!$G$5:$K$5,章节关卡!DP50)*INDEX(挂机升级突破!$G$4:$K$4,章节关卡!DP50)*章节关卡!DO50,0)</f>
        <v>2</v>
      </c>
      <c r="EC50" s="118" t="s">
        <v>1038</v>
      </c>
      <c r="ED50" s="14">
        <f t="shared" si="153"/>
        <v>14400</v>
      </c>
      <c r="EI50" s="166">
        <v>46</v>
      </c>
      <c r="EJ50" s="14">
        <f t="shared" si="54"/>
        <v>16</v>
      </c>
      <c r="EK50" s="166">
        <f t="shared" si="55"/>
        <v>90</v>
      </c>
      <c r="EL50" s="166">
        <f t="shared" si="20"/>
        <v>1</v>
      </c>
      <c r="EM50" s="166">
        <f t="shared" si="154"/>
        <v>180</v>
      </c>
      <c r="EN50" s="166">
        <f t="shared" si="155"/>
        <v>2250</v>
      </c>
      <c r="EO50" s="166">
        <v>8</v>
      </c>
      <c r="EP50" s="14">
        <f t="shared" si="156"/>
        <v>180</v>
      </c>
      <c r="EQ50" s="14">
        <f t="shared" si="57"/>
        <v>22161</v>
      </c>
      <c r="ER50" s="166">
        <v>1</v>
      </c>
      <c r="ES50" s="14">
        <f t="shared" si="58"/>
        <v>216</v>
      </c>
      <c r="ET50" s="166" t="s">
        <v>1034</v>
      </c>
      <c r="EU50" s="166">
        <v>1</v>
      </c>
      <c r="EV50" s="166"/>
      <c r="EW50" s="14">
        <f t="shared" ref="EW50" si="189">ES50*100+3</f>
        <v>21603</v>
      </c>
      <c r="EX50" s="166" t="s">
        <v>1397</v>
      </c>
      <c r="EY50" s="166">
        <v>20</v>
      </c>
      <c r="EZ50" s="14" t="str">
        <f>INDEX(挂机升级突破!$DT$4:$EC$4,EO50)</f>
        <v>银母</v>
      </c>
      <c r="FA50" s="14">
        <f>ROUND(INDEX(挂机升级突破!$G$7:$R$37,EJ50+3,EO50)/INDEX(挂机升级突破!$G$5:$R$5,章节关卡!EO50)*INDEX(挂机升级突破!$G$4:$R$4,章节关卡!EO50)*章节关卡!EN50,0)</f>
        <v>3</v>
      </c>
      <c r="FB50" s="166" t="s">
        <v>1399</v>
      </c>
      <c r="FC50" s="166">
        <f t="shared" si="158"/>
        <v>33300</v>
      </c>
    </row>
    <row r="51" spans="17:159" ht="16.5" x14ac:dyDescent="0.2">
      <c r="Q51" s="15"/>
      <c r="AS51" s="24">
        <v>47</v>
      </c>
      <c r="AT51" s="14">
        <f t="shared" si="32"/>
        <v>12</v>
      </c>
      <c r="AU51" s="109">
        <f t="shared" si="33"/>
        <v>3</v>
      </c>
      <c r="AV51" s="109">
        <f t="shared" si="34"/>
        <v>22</v>
      </c>
      <c r="AW51" s="109">
        <f t="shared" si="35"/>
        <v>63</v>
      </c>
      <c r="AX51" s="109">
        <f t="shared" si="36"/>
        <v>106</v>
      </c>
      <c r="BA51" s="109">
        <v>47</v>
      </c>
      <c r="BB51" s="14">
        <f t="shared" si="0"/>
        <v>5</v>
      </c>
      <c r="BC51" s="14">
        <f t="shared" si="37"/>
        <v>7</v>
      </c>
      <c r="BD51" s="14">
        <f t="shared" si="81"/>
        <v>180</v>
      </c>
      <c r="BE51" s="14">
        <f t="shared" si="1"/>
        <v>900</v>
      </c>
      <c r="BF51" s="14">
        <f t="shared" si="2"/>
        <v>2025</v>
      </c>
      <c r="BG51" s="14">
        <f t="shared" si="38"/>
        <v>1.71</v>
      </c>
      <c r="BH51" s="14">
        <f t="shared" si="39"/>
        <v>11001</v>
      </c>
      <c r="BK51" s="109">
        <v>47</v>
      </c>
      <c r="BL51" s="14">
        <f t="shared" si="40"/>
        <v>5</v>
      </c>
      <c r="BM51" s="14">
        <f t="shared" si="41"/>
        <v>7</v>
      </c>
      <c r="BN51" s="14">
        <f t="shared" si="3"/>
        <v>500</v>
      </c>
      <c r="BO51" s="14">
        <f t="shared" si="4"/>
        <v>1800</v>
      </c>
      <c r="BP51" s="14">
        <f t="shared" si="5"/>
        <v>4050</v>
      </c>
      <c r="BS51" s="109">
        <v>47</v>
      </c>
      <c r="BT51" s="109">
        <f t="shared" si="42"/>
        <v>16</v>
      </c>
      <c r="BU51" s="112">
        <f t="shared" si="43"/>
        <v>85</v>
      </c>
      <c r="BV51" s="109">
        <f t="shared" si="187"/>
        <v>2</v>
      </c>
      <c r="BW51" s="109">
        <v>240</v>
      </c>
      <c r="BX51" s="109">
        <v>360</v>
      </c>
      <c r="BY51" s="112">
        <v>4</v>
      </c>
      <c r="BZ51" s="14">
        <f t="shared" si="44"/>
        <v>11162</v>
      </c>
      <c r="CA51" s="118">
        <v>1</v>
      </c>
      <c r="CB51" s="14">
        <f t="shared" si="45"/>
        <v>116</v>
      </c>
      <c r="CC51" s="118" t="s">
        <v>1026</v>
      </c>
      <c r="CD51" s="14">
        <f t="shared" si="46"/>
        <v>2</v>
      </c>
      <c r="CE51" s="166" t="str">
        <f t="shared" si="47"/>
        <v>守护灵抽卡券2 2小时扫荡券1 金币21600</v>
      </c>
      <c r="CF51" s="14">
        <f t="shared" si="48"/>
        <v>20</v>
      </c>
      <c r="CG51" s="115" t="s">
        <v>258</v>
      </c>
      <c r="CH51" s="115">
        <v>2</v>
      </c>
      <c r="CI51" s="210" t="s">
        <v>1395</v>
      </c>
      <c r="CJ51" s="210">
        <v>1</v>
      </c>
      <c r="CK51" s="210" t="s">
        <v>252</v>
      </c>
      <c r="CL51" s="210">
        <f t="shared" ref="CL51:CL52" si="190">INDEX($I$6:$I$35,BT51)*BW51</f>
        <v>21600</v>
      </c>
      <c r="CO51" s="115">
        <f t="shared" si="141"/>
        <v>16</v>
      </c>
      <c r="CP51" s="115">
        <f t="shared" si="142"/>
        <v>95</v>
      </c>
      <c r="CQ51" s="118">
        <v>2</v>
      </c>
      <c r="CR51" s="109">
        <f t="shared" si="143"/>
        <v>360</v>
      </c>
      <c r="CS51" s="109">
        <f t="shared" si="144"/>
        <v>720</v>
      </c>
      <c r="CT51" s="115">
        <v>8</v>
      </c>
      <c r="CU51" s="14">
        <f t="shared" si="145"/>
        <v>12162</v>
      </c>
      <c r="CV51" s="118">
        <v>2</v>
      </c>
      <c r="CW51" s="14">
        <f t="shared" si="146"/>
        <v>216</v>
      </c>
      <c r="CX51" s="118" t="s">
        <v>1026</v>
      </c>
      <c r="CY51" s="14">
        <f t="shared" si="147"/>
        <v>2</v>
      </c>
      <c r="CZ51" s="166" t="str">
        <f t="shared" si="50"/>
        <v>熔炼值275080级-攻击套寄灵人の戒指1金币32400</v>
      </c>
      <c r="DA51" s="14">
        <f t="shared" si="51"/>
        <v>20</v>
      </c>
      <c r="DB51" s="115" t="s">
        <v>1005</v>
      </c>
      <c r="DC51" s="115">
        <v>2750</v>
      </c>
      <c r="DD51" s="115" t="s">
        <v>1471</v>
      </c>
      <c r="DE51" s="115">
        <v>1</v>
      </c>
      <c r="DF51" s="109" t="s">
        <v>252</v>
      </c>
      <c r="DG51" s="115">
        <f t="shared" si="148"/>
        <v>32400</v>
      </c>
      <c r="DJ51" s="118">
        <v>47</v>
      </c>
      <c r="DK51" s="14">
        <f t="shared" si="52"/>
        <v>16</v>
      </c>
      <c r="DL51" s="118">
        <f t="shared" si="149"/>
        <v>85</v>
      </c>
      <c r="DM51" s="166">
        <f t="shared" si="16"/>
        <v>2</v>
      </c>
      <c r="DN51" s="166">
        <v>240</v>
      </c>
      <c r="DO51" s="166">
        <v>1800</v>
      </c>
      <c r="DP51" s="166">
        <v>4</v>
      </c>
      <c r="DQ51" s="118">
        <v>120</v>
      </c>
      <c r="DR51" s="118">
        <f t="shared" si="53"/>
        <v>21162</v>
      </c>
      <c r="DS51" s="118">
        <v>1</v>
      </c>
      <c r="DT51" s="14">
        <f t="shared" si="150"/>
        <v>116</v>
      </c>
      <c r="DU51" s="118" t="s">
        <v>1034</v>
      </c>
      <c r="DV51" s="118">
        <v>2</v>
      </c>
      <c r="DW51" s="166" t="str">
        <f t="shared" si="151"/>
        <v>橙色基础材料3守护灵初级抽卡券3守护灵经验19200</v>
      </c>
      <c r="DX51" s="14">
        <f t="shared" ref="DX51" si="191">DT51*100+6</f>
        <v>11606</v>
      </c>
      <c r="DY51" s="118" t="s">
        <v>1037</v>
      </c>
      <c r="DZ51" s="118">
        <v>3</v>
      </c>
      <c r="EA51" s="14" t="str">
        <f>INDEX(挂机升级突破!$DT$4:$DX$4,DP51)</f>
        <v>橙色基础材料</v>
      </c>
      <c r="EB51" s="14">
        <f>ROUND(INDEX(挂机升级突破!$G$7:$K$37,DK51+2,章节关卡!DP51)/INDEX(挂机升级突破!$G$5:$K$5,章节关卡!DP51)*INDEX(挂机升级突破!$G$4:$K$4,章节关卡!DP51)*章节关卡!DO51,0)</f>
        <v>3</v>
      </c>
      <c r="EC51" s="118" t="s">
        <v>1038</v>
      </c>
      <c r="ED51" s="14">
        <f t="shared" si="153"/>
        <v>19200</v>
      </c>
      <c r="EI51" s="166">
        <v>47</v>
      </c>
      <c r="EJ51" s="14">
        <f t="shared" si="54"/>
        <v>16</v>
      </c>
      <c r="EK51" s="166">
        <f t="shared" si="55"/>
        <v>90</v>
      </c>
      <c r="EL51" s="166">
        <f t="shared" si="20"/>
        <v>2</v>
      </c>
      <c r="EM51" s="166">
        <f t="shared" si="154"/>
        <v>360</v>
      </c>
      <c r="EN51" s="166">
        <f t="shared" si="155"/>
        <v>4500</v>
      </c>
      <c r="EO51" s="166">
        <v>8</v>
      </c>
      <c r="EP51" s="14">
        <f t="shared" si="156"/>
        <v>240</v>
      </c>
      <c r="EQ51" s="14">
        <f t="shared" si="57"/>
        <v>22162</v>
      </c>
      <c r="ER51" s="166">
        <v>1</v>
      </c>
      <c r="ES51" s="14">
        <f t="shared" si="58"/>
        <v>216</v>
      </c>
      <c r="ET51" s="166" t="s">
        <v>1034</v>
      </c>
      <c r="EU51" s="166">
        <v>2</v>
      </c>
      <c r="EV51" s="166"/>
      <c r="EW51" s="14">
        <f t="shared" ref="EW51" si="192">ES51*100+6</f>
        <v>21606</v>
      </c>
      <c r="EX51" s="166" t="s">
        <v>1397</v>
      </c>
      <c r="EY51" s="166">
        <v>30</v>
      </c>
      <c r="EZ51" s="14" t="str">
        <f>INDEX(挂机升级突破!$DT$4:$EC$4,EO51)</f>
        <v>银母</v>
      </c>
      <c r="FA51" s="14">
        <f>ROUND(INDEX(挂机升级突破!$G$7:$R$37,EJ51+3,EO51)/INDEX(挂机升级突破!$G$5:$R$5,章节关卡!EO51)*INDEX(挂机升级突破!$G$4:$R$4,章节关卡!EO51)*章节关卡!EN51,0)</f>
        <v>6</v>
      </c>
      <c r="FB51" s="166" t="s">
        <v>1399</v>
      </c>
      <c r="FC51" s="166">
        <f t="shared" si="158"/>
        <v>66600</v>
      </c>
    </row>
    <row r="52" spans="17:159" ht="16.5" x14ac:dyDescent="0.2">
      <c r="Q52" s="15"/>
      <c r="AS52" s="24">
        <v>48</v>
      </c>
      <c r="AT52" s="14">
        <f t="shared" si="32"/>
        <v>12</v>
      </c>
      <c r="AU52" s="109">
        <f t="shared" si="33"/>
        <v>4</v>
      </c>
      <c r="AV52" s="109">
        <f t="shared" si="34"/>
        <v>22</v>
      </c>
      <c r="AW52" s="109">
        <f t="shared" si="35"/>
        <v>64</v>
      </c>
      <c r="AX52" s="109">
        <f t="shared" si="36"/>
        <v>108</v>
      </c>
      <c r="BA52" s="109">
        <v>48</v>
      </c>
      <c r="BB52" s="14">
        <f t="shared" si="0"/>
        <v>5</v>
      </c>
      <c r="BC52" s="14">
        <f t="shared" si="37"/>
        <v>8</v>
      </c>
      <c r="BD52" s="14">
        <f t="shared" si="81"/>
        <v>180</v>
      </c>
      <c r="BE52" s="14">
        <f t="shared" si="1"/>
        <v>900</v>
      </c>
      <c r="BF52" s="14">
        <f t="shared" si="2"/>
        <v>2025</v>
      </c>
      <c r="BG52" s="14">
        <f t="shared" si="38"/>
        <v>1.71</v>
      </c>
      <c r="BH52" s="14">
        <f t="shared" si="39"/>
        <v>11001</v>
      </c>
      <c r="BK52" s="109">
        <v>48</v>
      </c>
      <c r="BL52" s="14">
        <f t="shared" si="40"/>
        <v>5</v>
      </c>
      <c r="BM52" s="14">
        <f t="shared" si="41"/>
        <v>8</v>
      </c>
      <c r="BN52" s="14">
        <f t="shared" si="3"/>
        <v>500</v>
      </c>
      <c r="BO52" s="14">
        <f t="shared" si="4"/>
        <v>1800</v>
      </c>
      <c r="BP52" s="14">
        <f t="shared" si="5"/>
        <v>4050</v>
      </c>
      <c r="BS52" s="109">
        <v>48</v>
      </c>
      <c r="BT52" s="109">
        <f t="shared" si="42"/>
        <v>16</v>
      </c>
      <c r="BU52" s="112">
        <f t="shared" si="43"/>
        <v>85</v>
      </c>
      <c r="BV52" s="109">
        <f t="shared" si="187"/>
        <v>3</v>
      </c>
      <c r="BW52" s="109">
        <v>360</v>
      </c>
      <c r="BX52" s="109">
        <v>540</v>
      </c>
      <c r="BY52" s="112">
        <v>4</v>
      </c>
      <c r="BZ52" s="14">
        <f t="shared" si="44"/>
        <v>11163</v>
      </c>
      <c r="CA52" s="118">
        <v>1</v>
      </c>
      <c r="CB52" s="14">
        <f t="shared" si="45"/>
        <v>116</v>
      </c>
      <c r="CC52" s="118" t="s">
        <v>1026</v>
      </c>
      <c r="CD52" s="14">
        <f t="shared" si="46"/>
        <v>3</v>
      </c>
      <c r="CE52" s="166" t="str">
        <f t="shared" si="47"/>
        <v>守护灵抽卡券3 2小时扫荡券1 金币32400</v>
      </c>
      <c r="CF52" s="14">
        <f t="shared" si="48"/>
        <v>30</v>
      </c>
      <c r="CG52" s="115" t="s">
        <v>258</v>
      </c>
      <c r="CH52" s="115">
        <v>3</v>
      </c>
      <c r="CI52" s="210" t="s">
        <v>1395</v>
      </c>
      <c r="CJ52" s="210">
        <v>1</v>
      </c>
      <c r="CK52" s="210" t="s">
        <v>252</v>
      </c>
      <c r="CL52" s="210">
        <f t="shared" si="190"/>
        <v>32400</v>
      </c>
      <c r="CO52" s="115">
        <f t="shared" si="141"/>
        <v>16</v>
      </c>
      <c r="CP52" s="115">
        <f t="shared" si="142"/>
        <v>95</v>
      </c>
      <c r="CQ52" s="118">
        <v>3</v>
      </c>
      <c r="CR52" s="109">
        <f t="shared" si="143"/>
        <v>540</v>
      </c>
      <c r="CS52" s="109">
        <f t="shared" si="144"/>
        <v>1080</v>
      </c>
      <c r="CT52" s="115">
        <v>8</v>
      </c>
      <c r="CU52" s="14">
        <f t="shared" si="145"/>
        <v>12163</v>
      </c>
      <c r="CV52" s="118">
        <v>2</v>
      </c>
      <c r="CW52" s="14">
        <f t="shared" si="146"/>
        <v>216</v>
      </c>
      <c r="CX52" s="118" t="s">
        <v>1026</v>
      </c>
      <c r="CY52" s="14">
        <f t="shared" si="147"/>
        <v>3</v>
      </c>
      <c r="CZ52" s="166" t="str">
        <f t="shared" si="50"/>
        <v>守护灵抽卡券580级-攻击套寄灵人の灵器1金币48600</v>
      </c>
      <c r="DA52" s="14">
        <f t="shared" si="51"/>
        <v>30</v>
      </c>
      <c r="DB52" s="115" t="s">
        <v>1004</v>
      </c>
      <c r="DC52" s="115">
        <v>5</v>
      </c>
      <c r="DD52" s="115" t="s">
        <v>1472</v>
      </c>
      <c r="DE52" s="115">
        <v>1</v>
      </c>
      <c r="DF52" s="109" t="s">
        <v>252</v>
      </c>
      <c r="DG52" s="115">
        <f t="shared" si="148"/>
        <v>48600</v>
      </c>
      <c r="DJ52" s="118">
        <v>48</v>
      </c>
      <c r="DK52" s="14">
        <f t="shared" si="52"/>
        <v>16</v>
      </c>
      <c r="DL52" s="118">
        <f t="shared" si="149"/>
        <v>85</v>
      </c>
      <c r="DM52" s="166">
        <f t="shared" si="16"/>
        <v>3</v>
      </c>
      <c r="DN52" s="166">
        <v>360</v>
      </c>
      <c r="DO52" s="166">
        <v>2700</v>
      </c>
      <c r="DP52" s="166">
        <v>4</v>
      </c>
      <c r="DQ52" s="118">
        <v>150</v>
      </c>
      <c r="DR52" s="118">
        <f t="shared" si="53"/>
        <v>21163</v>
      </c>
      <c r="DS52" s="118">
        <v>1</v>
      </c>
      <c r="DT52" s="14">
        <f t="shared" si="150"/>
        <v>116</v>
      </c>
      <c r="DU52" s="118" t="s">
        <v>1034</v>
      </c>
      <c r="DV52" s="118">
        <v>3</v>
      </c>
      <c r="DW52" s="166" t="str">
        <f t="shared" si="151"/>
        <v>橙色基础材料5守护灵初级抽卡券5守护灵经验24000</v>
      </c>
      <c r="DX52" s="14">
        <f t="shared" ref="DX52" si="193">DT52*100+9</f>
        <v>11609</v>
      </c>
      <c r="DY52" s="118" t="s">
        <v>1037</v>
      </c>
      <c r="DZ52" s="118">
        <v>5</v>
      </c>
      <c r="EA52" s="14" t="str">
        <f>INDEX(挂机升级突破!$DT$4:$DX$4,DP52)</f>
        <v>橙色基础材料</v>
      </c>
      <c r="EB52" s="14">
        <f>ROUND(INDEX(挂机升级突破!$G$7:$K$37,DK52+2,章节关卡!DP52)/INDEX(挂机升级突破!$G$5:$K$5,章节关卡!DP52)*INDEX(挂机升级突破!$G$4:$K$4,章节关卡!DP52)*章节关卡!DO52,0)</f>
        <v>5</v>
      </c>
      <c r="EC52" s="118" t="s">
        <v>1038</v>
      </c>
      <c r="ED52" s="14">
        <f t="shared" si="153"/>
        <v>24000</v>
      </c>
      <c r="EI52" s="166">
        <v>48</v>
      </c>
      <c r="EJ52" s="14">
        <f t="shared" si="54"/>
        <v>16</v>
      </c>
      <c r="EK52" s="166">
        <f t="shared" si="55"/>
        <v>90</v>
      </c>
      <c r="EL52" s="166">
        <f t="shared" si="20"/>
        <v>3</v>
      </c>
      <c r="EM52" s="166">
        <f t="shared" si="154"/>
        <v>540</v>
      </c>
      <c r="EN52" s="166">
        <f t="shared" si="155"/>
        <v>6750</v>
      </c>
      <c r="EO52" s="166">
        <v>8</v>
      </c>
      <c r="EP52" s="14">
        <f t="shared" si="156"/>
        <v>300</v>
      </c>
      <c r="EQ52" s="14">
        <f t="shared" si="57"/>
        <v>22163</v>
      </c>
      <c r="ER52" s="166">
        <v>1</v>
      </c>
      <c r="ES52" s="14">
        <f t="shared" si="58"/>
        <v>216</v>
      </c>
      <c r="ET52" s="166" t="s">
        <v>1034</v>
      </c>
      <c r="EU52" s="166">
        <v>3</v>
      </c>
      <c r="EV52" s="166"/>
      <c r="EW52" s="14">
        <f t="shared" ref="EW52" si="194">ES52*100+9</f>
        <v>21609</v>
      </c>
      <c r="EX52" s="166" t="s">
        <v>1397</v>
      </c>
      <c r="EY52" s="166">
        <v>50</v>
      </c>
      <c r="EZ52" s="14" t="str">
        <f>INDEX(挂机升级突破!$DT$4:$EC$4,EO52)</f>
        <v>银母</v>
      </c>
      <c r="FA52" s="14">
        <f>ROUND(INDEX(挂机升级突破!$G$7:$R$37,EJ52+3,EO52)/INDEX(挂机升级突破!$G$5:$R$5,章节关卡!EO52)*INDEX(挂机升级突破!$G$4:$R$4,章节关卡!EO52)*章节关卡!EN52,0)</f>
        <v>8</v>
      </c>
      <c r="FB52" s="166" t="s">
        <v>1399</v>
      </c>
      <c r="FC52" s="166">
        <f t="shared" si="158"/>
        <v>99900</v>
      </c>
    </row>
    <row r="53" spans="17:159" ht="16.5" x14ac:dyDescent="0.2">
      <c r="Q53" s="15"/>
      <c r="AS53" s="24">
        <v>49</v>
      </c>
      <c r="AT53" s="14">
        <f t="shared" si="32"/>
        <v>13</v>
      </c>
      <c r="AU53" s="109">
        <f t="shared" si="33"/>
        <v>1</v>
      </c>
      <c r="AV53" s="109">
        <f t="shared" si="34"/>
        <v>25</v>
      </c>
      <c r="AW53" s="109">
        <f t="shared" si="35"/>
        <v>66</v>
      </c>
      <c r="AX53" s="109">
        <f t="shared" si="36"/>
        <v>113</v>
      </c>
      <c r="BA53" s="109">
        <v>49</v>
      </c>
      <c r="BB53" s="14">
        <f t="shared" si="0"/>
        <v>5</v>
      </c>
      <c r="BC53" s="14">
        <f t="shared" si="37"/>
        <v>9</v>
      </c>
      <c r="BD53" s="14">
        <f t="shared" si="81"/>
        <v>180</v>
      </c>
      <c r="BE53" s="14">
        <f t="shared" si="1"/>
        <v>900</v>
      </c>
      <c r="BF53" s="14">
        <f t="shared" si="2"/>
        <v>2025</v>
      </c>
      <c r="BG53" s="14">
        <f t="shared" si="38"/>
        <v>1.71</v>
      </c>
      <c r="BH53" s="14">
        <f t="shared" si="39"/>
        <v>11001</v>
      </c>
      <c r="BK53" s="109">
        <v>49</v>
      </c>
      <c r="BL53" s="14">
        <f t="shared" si="40"/>
        <v>5</v>
      </c>
      <c r="BM53" s="14">
        <f t="shared" si="41"/>
        <v>9</v>
      </c>
      <c r="BN53" s="14">
        <f t="shared" si="3"/>
        <v>500</v>
      </c>
      <c r="BO53" s="14">
        <f t="shared" si="4"/>
        <v>1800</v>
      </c>
      <c r="BP53" s="14">
        <f t="shared" si="5"/>
        <v>4050</v>
      </c>
      <c r="BS53" s="109">
        <v>49</v>
      </c>
      <c r="BT53" s="109">
        <f t="shared" si="42"/>
        <v>17</v>
      </c>
      <c r="BU53" s="112">
        <f t="shared" si="43"/>
        <v>90</v>
      </c>
      <c r="BV53" s="109">
        <f t="shared" si="187"/>
        <v>1</v>
      </c>
      <c r="BW53" s="109">
        <v>120</v>
      </c>
      <c r="BX53" s="109">
        <v>180</v>
      </c>
      <c r="BY53" s="112">
        <v>4</v>
      </c>
      <c r="BZ53" s="14">
        <f t="shared" si="44"/>
        <v>11171</v>
      </c>
      <c r="CA53" s="118">
        <v>1</v>
      </c>
      <c r="CB53" s="14">
        <f t="shared" si="45"/>
        <v>117</v>
      </c>
      <c r="CC53" s="118" t="s">
        <v>1026</v>
      </c>
      <c r="CD53" s="14">
        <f t="shared" si="46"/>
        <v>1</v>
      </c>
      <c r="CE53" s="166" t="str">
        <f t="shared" si="47"/>
        <v xml:space="preserve">钻石100 金币12000 </v>
      </c>
      <c r="CF53" s="14">
        <f t="shared" si="48"/>
        <v>10</v>
      </c>
      <c r="CG53" s="115" t="s">
        <v>19</v>
      </c>
      <c r="CH53" s="115">
        <v>100</v>
      </c>
      <c r="CI53" s="210" t="s">
        <v>358</v>
      </c>
      <c r="CJ53" s="210">
        <f>INDEX($I$6:$I$35,BT53)*BW53</f>
        <v>12000</v>
      </c>
      <c r="CK53" s="210"/>
      <c r="CL53" s="210"/>
      <c r="CO53" s="115">
        <f t="shared" si="141"/>
        <v>17</v>
      </c>
      <c r="CP53" s="115">
        <f t="shared" si="142"/>
        <v>100</v>
      </c>
      <c r="CQ53" s="118">
        <v>1</v>
      </c>
      <c r="CR53" s="109">
        <f t="shared" si="143"/>
        <v>180</v>
      </c>
      <c r="CS53" s="109">
        <f t="shared" si="144"/>
        <v>360</v>
      </c>
      <c r="CT53" s="115">
        <v>8</v>
      </c>
      <c r="CU53" s="14">
        <f t="shared" si="145"/>
        <v>12171</v>
      </c>
      <c r="CV53" s="118">
        <v>2</v>
      </c>
      <c r="CW53" s="14">
        <f t="shared" si="146"/>
        <v>217</v>
      </c>
      <c r="CX53" s="118" t="s">
        <v>1026</v>
      </c>
      <c r="CY53" s="14">
        <f t="shared" si="147"/>
        <v>1</v>
      </c>
      <c r="CZ53" s="166" t="str">
        <f t="shared" si="50"/>
        <v>钻石10090级-防御套守护灵の头盔1金币18000</v>
      </c>
      <c r="DA53" s="14">
        <f t="shared" si="51"/>
        <v>10</v>
      </c>
      <c r="DB53" s="115" t="s">
        <v>257</v>
      </c>
      <c r="DC53" s="115">
        <v>100</v>
      </c>
      <c r="DD53" s="115" t="s">
        <v>1473</v>
      </c>
      <c r="DE53" s="115">
        <v>1</v>
      </c>
      <c r="DF53" s="109" t="s">
        <v>252</v>
      </c>
      <c r="DG53" s="115">
        <f t="shared" si="148"/>
        <v>18000</v>
      </c>
      <c r="DJ53" s="118">
        <v>49</v>
      </c>
      <c r="DK53" s="14">
        <f t="shared" si="52"/>
        <v>17</v>
      </c>
      <c r="DL53" s="118">
        <f t="shared" si="149"/>
        <v>90</v>
      </c>
      <c r="DM53" s="166">
        <f t="shared" si="16"/>
        <v>1</v>
      </c>
      <c r="DN53" s="166">
        <v>120</v>
      </c>
      <c r="DO53" s="166">
        <v>900</v>
      </c>
      <c r="DP53" s="166">
        <v>4</v>
      </c>
      <c r="DQ53" s="118">
        <v>90</v>
      </c>
      <c r="DR53" s="118">
        <f t="shared" si="53"/>
        <v>21171</v>
      </c>
      <c r="DS53" s="118">
        <v>1</v>
      </c>
      <c r="DT53" s="14">
        <f t="shared" si="150"/>
        <v>117</v>
      </c>
      <c r="DU53" s="118" t="s">
        <v>1034</v>
      </c>
      <c r="DV53" s="118">
        <v>1</v>
      </c>
      <c r="DW53" s="166" t="str">
        <f t="shared" si="151"/>
        <v>橙色基础材料3守护灵初级抽卡券2守护灵经验15750</v>
      </c>
      <c r="DX53" s="14">
        <f t="shared" ref="DX53" si="195">DT53*100+3</f>
        <v>11703</v>
      </c>
      <c r="DY53" s="118" t="s">
        <v>1037</v>
      </c>
      <c r="DZ53" s="118">
        <v>2</v>
      </c>
      <c r="EA53" s="14" t="str">
        <f>INDEX(挂机升级突破!$DT$4:$DX$4,DP53)</f>
        <v>橙色基础材料</v>
      </c>
      <c r="EB53" s="14">
        <f>ROUND(INDEX(挂机升级突破!$G$7:$K$37,DK53+2,章节关卡!DP53)/INDEX(挂机升级突破!$G$5:$K$5,章节关卡!DP53)*INDEX(挂机升级突破!$G$4:$K$4,章节关卡!DP53)*章节关卡!DO53,0)</f>
        <v>3</v>
      </c>
      <c r="EC53" s="118" t="s">
        <v>1038</v>
      </c>
      <c r="ED53" s="14">
        <f t="shared" si="153"/>
        <v>15750</v>
      </c>
      <c r="EI53" s="166">
        <v>49</v>
      </c>
      <c r="EJ53" s="14">
        <f t="shared" si="54"/>
        <v>17</v>
      </c>
      <c r="EK53" s="166">
        <f t="shared" si="55"/>
        <v>95</v>
      </c>
      <c r="EL53" s="166">
        <f t="shared" si="20"/>
        <v>1</v>
      </c>
      <c r="EM53" s="166">
        <f t="shared" si="154"/>
        <v>180</v>
      </c>
      <c r="EN53" s="166">
        <f t="shared" si="155"/>
        <v>2250</v>
      </c>
      <c r="EO53" s="166">
        <v>8</v>
      </c>
      <c r="EP53" s="14">
        <f t="shared" si="156"/>
        <v>180</v>
      </c>
      <c r="EQ53" s="14">
        <f t="shared" si="57"/>
        <v>22171</v>
      </c>
      <c r="ER53" s="166">
        <v>1</v>
      </c>
      <c r="ES53" s="14">
        <f t="shared" si="58"/>
        <v>217</v>
      </c>
      <c r="ET53" s="166" t="s">
        <v>1034</v>
      </c>
      <c r="EU53" s="166">
        <v>1</v>
      </c>
      <c r="EV53" s="166"/>
      <c r="EW53" s="14">
        <f t="shared" ref="EW53" si="196">ES53*100+3</f>
        <v>21703</v>
      </c>
      <c r="EX53" s="166" t="s">
        <v>1397</v>
      </c>
      <c r="EY53" s="166">
        <v>20</v>
      </c>
      <c r="EZ53" s="14" t="str">
        <f>INDEX(挂机升级突破!$DT$4:$EC$4,EO53)</f>
        <v>银母</v>
      </c>
      <c r="FA53" s="14">
        <f>ROUND(INDEX(挂机升级突破!$G$7:$R$37,EJ53+3,EO53)/INDEX(挂机升级突破!$G$5:$R$5,章节关卡!EO53)*INDEX(挂机升级突破!$G$4:$R$4,章节关卡!EO53)*章节关卡!EN53,0)</f>
        <v>4</v>
      </c>
      <c r="FB53" s="166" t="s">
        <v>1399</v>
      </c>
      <c r="FC53" s="166">
        <f t="shared" si="158"/>
        <v>36000</v>
      </c>
    </row>
    <row r="54" spans="17:159" ht="16.5" x14ac:dyDescent="0.2">
      <c r="Q54" s="15"/>
      <c r="AS54" s="24">
        <v>50</v>
      </c>
      <c r="AT54" s="14">
        <f t="shared" si="32"/>
        <v>13</v>
      </c>
      <c r="AU54" s="109">
        <f t="shared" si="33"/>
        <v>2</v>
      </c>
      <c r="AV54" s="109">
        <f t="shared" si="34"/>
        <v>25</v>
      </c>
      <c r="AW54" s="109">
        <f t="shared" si="35"/>
        <v>67</v>
      </c>
      <c r="AX54" s="109">
        <f t="shared" si="36"/>
        <v>116</v>
      </c>
      <c r="BA54" s="109">
        <v>50</v>
      </c>
      <c r="BB54" s="14">
        <f t="shared" si="0"/>
        <v>5</v>
      </c>
      <c r="BC54" s="14">
        <f t="shared" si="37"/>
        <v>10</v>
      </c>
      <c r="BD54" s="14">
        <f t="shared" si="81"/>
        <v>180</v>
      </c>
      <c r="BE54" s="14">
        <f t="shared" si="1"/>
        <v>900</v>
      </c>
      <c r="BF54" s="14">
        <f t="shared" si="2"/>
        <v>2025</v>
      </c>
      <c r="BG54" s="14">
        <f t="shared" si="38"/>
        <v>1.71</v>
      </c>
      <c r="BH54" s="14">
        <f t="shared" si="39"/>
        <v>11001</v>
      </c>
      <c r="BK54" s="109">
        <v>50</v>
      </c>
      <c r="BL54" s="14">
        <f t="shared" si="40"/>
        <v>5</v>
      </c>
      <c r="BM54" s="14">
        <f t="shared" si="41"/>
        <v>10</v>
      </c>
      <c r="BN54" s="14">
        <f t="shared" si="3"/>
        <v>500</v>
      </c>
      <c r="BO54" s="14">
        <f t="shared" si="4"/>
        <v>1800</v>
      </c>
      <c r="BP54" s="14">
        <f t="shared" si="5"/>
        <v>4050</v>
      </c>
      <c r="BS54" s="109">
        <v>50</v>
      </c>
      <c r="BT54" s="109">
        <f t="shared" si="42"/>
        <v>17</v>
      </c>
      <c r="BU54" s="112">
        <f t="shared" si="43"/>
        <v>90</v>
      </c>
      <c r="BV54" s="109">
        <f t="shared" si="187"/>
        <v>2</v>
      </c>
      <c r="BW54" s="109">
        <v>240</v>
      </c>
      <c r="BX54" s="109">
        <v>360</v>
      </c>
      <c r="BY54" s="112">
        <v>4</v>
      </c>
      <c r="BZ54" s="14">
        <f t="shared" si="44"/>
        <v>11172</v>
      </c>
      <c r="CA54" s="118">
        <v>1</v>
      </c>
      <c r="CB54" s="14">
        <f t="shared" si="45"/>
        <v>117</v>
      </c>
      <c r="CC54" s="118" t="s">
        <v>1026</v>
      </c>
      <c r="CD54" s="14">
        <f t="shared" si="46"/>
        <v>2</v>
      </c>
      <c r="CE54" s="166" t="str">
        <f t="shared" si="47"/>
        <v>守护灵抽卡券2 2小时扫荡券1 金币24000</v>
      </c>
      <c r="CF54" s="14">
        <f t="shared" si="48"/>
        <v>20</v>
      </c>
      <c r="CG54" s="115" t="s">
        <v>258</v>
      </c>
      <c r="CH54" s="115">
        <v>2</v>
      </c>
      <c r="CI54" s="210" t="s">
        <v>1395</v>
      </c>
      <c r="CJ54" s="210">
        <v>1</v>
      </c>
      <c r="CK54" s="210" t="s">
        <v>252</v>
      </c>
      <c r="CL54" s="210">
        <f t="shared" ref="CL54:CL55" si="197">INDEX($I$6:$I$35,BT54)*BW54</f>
        <v>24000</v>
      </c>
      <c r="CO54" s="115">
        <f t="shared" si="141"/>
        <v>17</v>
      </c>
      <c r="CP54" s="115">
        <f t="shared" si="142"/>
        <v>100</v>
      </c>
      <c r="CQ54" s="118">
        <v>2</v>
      </c>
      <c r="CR54" s="109">
        <f t="shared" si="143"/>
        <v>360</v>
      </c>
      <c r="CS54" s="109">
        <f t="shared" si="144"/>
        <v>720</v>
      </c>
      <c r="CT54" s="115">
        <v>8</v>
      </c>
      <c r="CU54" s="14">
        <f t="shared" si="145"/>
        <v>12172</v>
      </c>
      <c r="CV54" s="118">
        <v>2</v>
      </c>
      <c r="CW54" s="14">
        <f t="shared" si="146"/>
        <v>217</v>
      </c>
      <c r="CX54" s="118" t="s">
        <v>1026</v>
      </c>
      <c r="CY54" s="14">
        <f t="shared" si="147"/>
        <v>2</v>
      </c>
      <c r="CZ54" s="166" t="str">
        <f t="shared" si="50"/>
        <v>熔炼值300090级-防御套守护灵の铠甲1金币36000</v>
      </c>
      <c r="DA54" s="14">
        <f t="shared" si="51"/>
        <v>20</v>
      </c>
      <c r="DB54" s="115" t="s">
        <v>1005</v>
      </c>
      <c r="DC54" s="115">
        <v>3000</v>
      </c>
      <c r="DD54" s="115" t="s">
        <v>1474</v>
      </c>
      <c r="DE54" s="115">
        <v>1</v>
      </c>
      <c r="DF54" s="109" t="s">
        <v>252</v>
      </c>
      <c r="DG54" s="115">
        <f t="shared" si="148"/>
        <v>36000</v>
      </c>
      <c r="DJ54" s="118">
        <v>50</v>
      </c>
      <c r="DK54" s="14">
        <f t="shared" si="52"/>
        <v>17</v>
      </c>
      <c r="DL54" s="118">
        <f t="shared" si="149"/>
        <v>90</v>
      </c>
      <c r="DM54" s="166">
        <f t="shared" si="16"/>
        <v>2</v>
      </c>
      <c r="DN54" s="166">
        <v>240</v>
      </c>
      <c r="DO54" s="166">
        <v>1800</v>
      </c>
      <c r="DP54" s="166">
        <v>4</v>
      </c>
      <c r="DQ54" s="118">
        <v>120</v>
      </c>
      <c r="DR54" s="118">
        <f t="shared" si="53"/>
        <v>21172</v>
      </c>
      <c r="DS54" s="118">
        <v>1</v>
      </c>
      <c r="DT54" s="14">
        <f t="shared" si="150"/>
        <v>117</v>
      </c>
      <c r="DU54" s="118" t="s">
        <v>1034</v>
      </c>
      <c r="DV54" s="118">
        <v>2</v>
      </c>
      <c r="DW54" s="166" t="str">
        <f t="shared" si="151"/>
        <v>橙色基础材料5守护灵初级抽卡券3守护灵经验21000</v>
      </c>
      <c r="DX54" s="14">
        <f t="shared" ref="DX54" si="198">DT54*100+6</f>
        <v>11706</v>
      </c>
      <c r="DY54" s="118" t="s">
        <v>1037</v>
      </c>
      <c r="DZ54" s="118">
        <v>3</v>
      </c>
      <c r="EA54" s="14" t="str">
        <f>INDEX(挂机升级突破!$DT$4:$DX$4,DP54)</f>
        <v>橙色基础材料</v>
      </c>
      <c r="EB54" s="14">
        <f>ROUND(INDEX(挂机升级突破!$G$7:$K$37,DK54+2,章节关卡!DP54)/INDEX(挂机升级突破!$G$5:$K$5,章节关卡!DP54)*INDEX(挂机升级突破!$G$4:$K$4,章节关卡!DP54)*章节关卡!DO54,0)</f>
        <v>5</v>
      </c>
      <c r="EC54" s="118" t="s">
        <v>1038</v>
      </c>
      <c r="ED54" s="14">
        <f t="shared" si="153"/>
        <v>21000</v>
      </c>
      <c r="EI54" s="166">
        <v>50</v>
      </c>
      <c r="EJ54" s="14">
        <f t="shared" si="54"/>
        <v>17</v>
      </c>
      <c r="EK54" s="166">
        <f t="shared" si="55"/>
        <v>95</v>
      </c>
      <c r="EL54" s="166">
        <f t="shared" si="20"/>
        <v>2</v>
      </c>
      <c r="EM54" s="166">
        <f t="shared" si="154"/>
        <v>360</v>
      </c>
      <c r="EN54" s="166">
        <f t="shared" si="155"/>
        <v>4500</v>
      </c>
      <c r="EO54" s="166">
        <v>8</v>
      </c>
      <c r="EP54" s="14">
        <f t="shared" si="156"/>
        <v>240</v>
      </c>
      <c r="EQ54" s="14">
        <f t="shared" si="57"/>
        <v>22172</v>
      </c>
      <c r="ER54" s="166">
        <v>1</v>
      </c>
      <c r="ES54" s="14">
        <f t="shared" si="58"/>
        <v>217</v>
      </c>
      <c r="ET54" s="166" t="s">
        <v>1034</v>
      </c>
      <c r="EU54" s="166">
        <v>2</v>
      </c>
      <c r="EV54" s="166"/>
      <c r="EW54" s="14">
        <f t="shared" ref="EW54" si="199">ES54*100+6</f>
        <v>21706</v>
      </c>
      <c r="EX54" s="166" t="s">
        <v>1397</v>
      </c>
      <c r="EY54" s="166">
        <v>30</v>
      </c>
      <c r="EZ54" s="14" t="str">
        <f>INDEX(挂机升级突破!$DT$4:$EC$4,EO54)</f>
        <v>银母</v>
      </c>
      <c r="FA54" s="14">
        <f>ROUND(INDEX(挂机升级突破!$G$7:$R$37,EJ54+3,EO54)/INDEX(挂机升级突破!$G$5:$R$5,章节关卡!EO54)*INDEX(挂机升级突破!$G$4:$R$4,章节关卡!EO54)*章节关卡!EN54,0)</f>
        <v>7</v>
      </c>
      <c r="FB54" s="166" t="s">
        <v>1399</v>
      </c>
      <c r="FC54" s="166">
        <f t="shared" si="158"/>
        <v>72000</v>
      </c>
    </row>
    <row r="55" spans="17:159" ht="16.5" x14ac:dyDescent="0.2">
      <c r="Q55" s="15"/>
      <c r="AS55" s="24">
        <v>51</v>
      </c>
      <c r="AT55" s="14">
        <f t="shared" si="32"/>
        <v>13</v>
      </c>
      <c r="AU55" s="109">
        <f t="shared" si="33"/>
        <v>3</v>
      </c>
      <c r="AV55" s="109">
        <f t="shared" si="34"/>
        <v>25</v>
      </c>
      <c r="AW55" s="109">
        <f t="shared" si="35"/>
        <v>68</v>
      </c>
      <c r="AX55" s="109">
        <f t="shared" si="36"/>
        <v>119</v>
      </c>
      <c r="BA55" s="109">
        <v>51</v>
      </c>
      <c r="BB55" s="14">
        <f t="shared" si="0"/>
        <v>6</v>
      </c>
      <c r="BC55" s="14">
        <f t="shared" si="37"/>
        <v>1</v>
      </c>
      <c r="BD55" s="14">
        <f t="shared" si="81"/>
        <v>200</v>
      </c>
      <c r="BE55" s="14">
        <f t="shared" si="1"/>
        <v>1050</v>
      </c>
      <c r="BF55" s="14">
        <f t="shared" si="2"/>
        <v>2250</v>
      </c>
      <c r="BG55" s="14">
        <f t="shared" si="38"/>
        <v>2.25</v>
      </c>
      <c r="BH55" s="14">
        <f t="shared" si="39"/>
        <v>11002</v>
      </c>
      <c r="BK55" s="109">
        <v>51</v>
      </c>
      <c r="BL55" s="14">
        <f t="shared" si="40"/>
        <v>6</v>
      </c>
      <c r="BM55" s="14">
        <f t="shared" si="41"/>
        <v>1</v>
      </c>
      <c r="BN55" s="14">
        <f t="shared" si="3"/>
        <v>650</v>
      </c>
      <c r="BO55" s="14">
        <f t="shared" si="4"/>
        <v>2100</v>
      </c>
      <c r="BP55" s="14">
        <f t="shared" si="5"/>
        <v>4500</v>
      </c>
      <c r="BS55" s="109">
        <v>51</v>
      </c>
      <c r="BT55" s="109">
        <f t="shared" si="42"/>
        <v>17</v>
      </c>
      <c r="BU55" s="112">
        <f t="shared" si="43"/>
        <v>90</v>
      </c>
      <c r="BV55" s="109">
        <f t="shared" si="187"/>
        <v>3</v>
      </c>
      <c r="BW55" s="109">
        <v>360</v>
      </c>
      <c r="BX55" s="109">
        <v>540</v>
      </c>
      <c r="BY55" s="112">
        <v>4</v>
      </c>
      <c r="BZ55" s="14">
        <f t="shared" si="44"/>
        <v>11173</v>
      </c>
      <c r="CA55" s="118">
        <v>1</v>
      </c>
      <c r="CB55" s="14">
        <f t="shared" si="45"/>
        <v>117</v>
      </c>
      <c r="CC55" s="118" t="s">
        <v>1026</v>
      </c>
      <c r="CD55" s="14">
        <f t="shared" si="46"/>
        <v>3</v>
      </c>
      <c r="CE55" s="166" t="str">
        <f t="shared" si="47"/>
        <v>守护灵抽卡券3 2小时扫荡券1 金币36000</v>
      </c>
      <c r="CF55" s="14">
        <f t="shared" si="48"/>
        <v>30</v>
      </c>
      <c r="CG55" s="115" t="s">
        <v>258</v>
      </c>
      <c r="CH55" s="115">
        <v>3</v>
      </c>
      <c r="CI55" s="210" t="s">
        <v>1395</v>
      </c>
      <c r="CJ55" s="210">
        <v>1</v>
      </c>
      <c r="CK55" s="210" t="s">
        <v>252</v>
      </c>
      <c r="CL55" s="210">
        <f t="shared" si="197"/>
        <v>36000</v>
      </c>
      <c r="CO55" s="115">
        <f t="shared" si="141"/>
        <v>17</v>
      </c>
      <c r="CP55" s="115">
        <f t="shared" si="142"/>
        <v>100</v>
      </c>
      <c r="CQ55" s="118">
        <v>3</v>
      </c>
      <c r="CR55" s="109">
        <f t="shared" si="143"/>
        <v>540</v>
      </c>
      <c r="CS55" s="109">
        <f t="shared" si="144"/>
        <v>1080</v>
      </c>
      <c r="CT55" s="115">
        <v>8</v>
      </c>
      <c r="CU55" s="14">
        <f t="shared" si="145"/>
        <v>12173</v>
      </c>
      <c r="CV55" s="118">
        <v>2</v>
      </c>
      <c r="CW55" s="14">
        <f t="shared" si="146"/>
        <v>217</v>
      </c>
      <c r="CX55" s="118" t="s">
        <v>1026</v>
      </c>
      <c r="CY55" s="14">
        <f t="shared" si="147"/>
        <v>3</v>
      </c>
      <c r="CZ55" s="166" t="str">
        <f t="shared" si="50"/>
        <v>守护灵抽卡券590级-防御套守护灵の裤子1金币54000</v>
      </c>
      <c r="DA55" s="14">
        <f t="shared" si="51"/>
        <v>30</v>
      </c>
      <c r="DB55" s="115" t="s">
        <v>1004</v>
      </c>
      <c r="DC55" s="115">
        <v>5</v>
      </c>
      <c r="DD55" s="115" t="s">
        <v>1475</v>
      </c>
      <c r="DE55" s="115">
        <v>1</v>
      </c>
      <c r="DF55" s="109" t="s">
        <v>252</v>
      </c>
      <c r="DG55" s="115">
        <f t="shared" si="148"/>
        <v>54000</v>
      </c>
      <c r="DJ55" s="118">
        <v>51</v>
      </c>
      <c r="DK55" s="14">
        <f t="shared" si="52"/>
        <v>17</v>
      </c>
      <c r="DL55" s="118">
        <f t="shared" si="149"/>
        <v>90</v>
      </c>
      <c r="DM55" s="166">
        <f t="shared" si="16"/>
        <v>3</v>
      </c>
      <c r="DN55" s="166">
        <v>360</v>
      </c>
      <c r="DO55" s="166">
        <v>2700</v>
      </c>
      <c r="DP55" s="166">
        <v>4</v>
      </c>
      <c r="DQ55" s="118">
        <v>150</v>
      </c>
      <c r="DR55" s="118">
        <f t="shared" si="53"/>
        <v>21173</v>
      </c>
      <c r="DS55" s="118">
        <v>1</v>
      </c>
      <c r="DT55" s="14">
        <f t="shared" si="150"/>
        <v>117</v>
      </c>
      <c r="DU55" s="118" t="s">
        <v>1034</v>
      </c>
      <c r="DV55" s="118">
        <v>3</v>
      </c>
      <c r="DW55" s="166" t="str">
        <f t="shared" si="151"/>
        <v>橙色基础材料8守护灵初级抽卡券5守护灵经验26250</v>
      </c>
      <c r="DX55" s="14">
        <f t="shared" ref="DX55" si="200">DT55*100+9</f>
        <v>11709</v>
      </c>
      <c r="DY55" s="118" t="s">
        <v>1037</v>
      </c>
      <c r="DZ55" s="118">
        <v>5</v>
      </c>
      <c r="EA55" s="14" t="str">
        <f>INDEX(挂机升级突破!$DT$4:$DX$4,DP55)</f>
        <v>橙色基础材料</v>
      </c>
      <c r="EB55" s="14">
        <f>ROUND(INDEX(挂机升级突破!$G$7:$K$37,DK55+2,章节关卡!DP55)/INDEX(挂机升级突破!$G$5:$K$5,章节关卡!DP55)*INDEX(挂机升级突破!$G$4:$K$4,章节关卡!DP55)*章节关卡!DO55,0)</f>
        <v>8</v>
      </c>
      <c r="EC55" s="118" t="s">
        <v>1038</v>
      </c>
      <c r="ED55" s="14">
        <f t="shared" si="153"/>
        <v>26250</v>
      </c>
      <c r="EI55" s="166">
        <v>51</v>
      </c>
      <c r="EJ55" s="14">
        <f t="shared" si="54"/>
        <v>17</v>
      </c>
      <c r="EK55" s="166">
        <f t="shared" si="55"/>
        <v>95</v>
      </c>
      <c r="EL55" s="166">
        <f t="shared" si="20"/>
        <v>3</v>
      </c>
      <c r="EM55" s="166">
        <f t="shared" si="154"/>
        <v>540</v>
      </c>
      <c r="EN55" s="166">
        <f t="shared" si="155"/>
        <v>6750</v>
      </c>
      <c r="EO55" s="166">
        <v>8</v>
      </c>
      <c r="EP55" s="14">
        <f t="shared" si="156"/>
        <v>300</v>
      </c>
      <c r="EQ55" s="14">
        <f t="shared" si="57"/>
        <v>22173</v>
      </c>
      <c r="ER55" s="166">
        <v>1</v>
      </c>
      <c r="ES55" s="14">
        <f t="shared" si="58"/>
        <v>217</v>
      </c>
      <c r="ET55" s="166" t="s">
        <v>1034</v>
      </c>
      <c r="EU55" s="166">
        <v>3</v>
      </c>
      <c r="EV55" s="166"/>
      <c r="EW55" s="14">
        <f t="shared" ref="EW55" si="201">ES55*100+9</f>
        <v>21709</v>
      </c>
      <c r="EX55" s="166" t="s">
        <v>1397</v>
      </c>
      <c r="EY55" s="166">
        <v>50</v>
      </c>
      <c r="EZ55" s="14" t="str">
        <f>INDEX(挂机升级突破!$DT$4:$EC$4,EO55)</f>
        <v>银母</v>
      </c>
      <c r="FA55" s="14">
        <f>ROUND(INDEX(挂机升级突破!$G$7:$R$37,EJ55+3,EO55)/INDEX(挂机升级突破!$G$5:$R$5,章节关卡!EO55)*INDEX(挂机升级突破!$G$4:$R$4,章节关卡!EO55)*章节关卡!EN55,0)</f>
        <v>11</v>
      </c>
      <c r="FB55" s="166" t="s">
        <v>1399</v>
      </c>
      <c r="FC55" s="166">
        <f t="shared" si="158"/>
        <v>108000</v>
      </c>
    </row>
    <row r="56" spans="17:159" ht="16.5" x14ac:dyDescent="0.2">
      <c r="AS56" s="24">
        <v>52</v>
      </c>
      <c r="AT56" s="14">
        <f t="shared" si="32"/>
        <v>13</v>
      </c>
      <c r="AU56" s="109">
        <f t="shared" si="33"/>
        <v>4</v>
      </c>
      <c r="AV56" s="109">
        <f t="shared" si="34"/>
        <v>25</v>
      </c>
      <c r="AW56" s="109">
        <f t="shared" si="35"/>
        <v>69</v>
      </c>
      <c r="AX56" s="109">
        <f t="shared" si="36"/>
        <v>122</v>
      </c>
      <c r="BA56" s="109">
        <v>52</v>
      </c>
      <c r="BB56" s="14">
        <f t="shared" si="0"/>
        <v>6</v>
      </c>
      <c r="BC56" s="14">
        <f t="shared" si="37"/>
        <v>2</v>
      </c>
      <c r="BD56" s="14">
        <f t="shared" si="81"/>
        <v>200</v>
      </c>
      <c r="BE56" s="14">
        <f t="shared" si="1"/>
        <v>1050</v>
      </c>
      <c r="BF56" s="14">
        <f t="shared" si="2"/>
        <v>2250</v>
      </c>
      <c r="BG56" s="14">
        <f t="shared" si="38"/>
        <v>2.25</v>
      </c>
      <c r="BH56" s="14">
        <f t="shared" si="39"/>
        <v>11002</v>
      </c>
      <c r="BK56" s="109">
        <v>52</v>
      </c>
      <c r="BL56" s="14">
        <f t="shared" si="40"/>
        <v>6</v>
      </c>
      <c r="BM56" s="14">
        <f t="shared" si="41"/>
        <v>2</v>
      </c>
      <c r="BN56" s="14">
        <f t="shared" si="3"/>
        <v>650</v>
      </c>
      <c r="BO56" s="14">
        <f t="shared" si="4"/>
        <v>2100</v>
      </c>
      <c r="BP56" s="14">
        <f t="shared" si="5"/>
        <v>4500</v>
      </c>
      <c r="BS56" s="109">
        <v>52</v>
      </c>
      <c r="BT56" s="109">
        <f t="shared" si="42"/>
        <v>18</v>
      </c>
      <c r="BU56" s="112">
        <f t="shared" si="43"/>
        <v>95</v>
      </c>
      <c r="BV56" s="109">
        <f t="shared" si="187"/>
        <v>1</v>
      </c>
      <c r="BW56" s="109">
        <v>120</v>
      </c>
      <c r="BX56" s="109">
        <v>180</v>
      </c>
      <c r="BY56" s="112">
        <v>4</v>
      </c>
      <c r="BZ56" s="14">
        <f t="shared" si="44"/>
        <v>11181</v>
      </c>
      <c r="CA56" s="118">
        <v>1</v>
      </c>
      <c r="CB56" s="14">
        <f t="shared" si="45"/>
        <v>118</v>
      </c>
      <c r="CC56" s="118" t="s">
        <v>1026</v>
      </c>
      <c r="CD56" s="14">
        <f t="shared" si="46"/>
        <v>1</v>
      </c>
      <c r="CE56" s="166" t="str">
        <f t="shared" si="47"/>
        <v xml:space="preserve">钻石100 金币13200 </v>
      </c>
      <c r="CF56" s="14">
        <f t="shared" si="48"/>
        <v>10</v>
      </c>
      <c r="CG56" s="115" t="s">
        <v>19</v>
      </c>
      <c r="CH56" s="115">
        <v>100</v>
      </c>
      <c r="CI56" s="210" t="s">
        <v>358</v>
      </c>
      <c r="CJ56" s="210">
        <f>INDEX($I$6:$I$35,BT56)*BW56</f>
        <v>13200</v>
      </c>
      <c r="CK56" s="210"/>
      <c r="CL56" s="210"/>
      <c r="CO56" s="115">
        <f t="shared" si="141"/>
        <v>18</v>
      </c>
      <c r="CP56" s="115">
        <f t="shared" si="142"/>
        <v>105</v>
      </c>
      <c r="CQ56" s="118">
        <v>1</v>
      </c>
      <c r="CR56" s="109">
        <f t="shared" si="143"/>
        <v>180</v>
      </c>
      <c r="CS56" s="109">
        <f t="shared" si="144"/>
        <v>360</v>
      </c>
      <c r="CT56" s="115">
        <v>8</v>
      </c>
      <c r="CU56" s="14">
        <f t="shared" si="145"/>
        <v>12181</v>
      </c>
      <c r="CV56" s="118">
        <v>2</v>
      </c>
      <c r="CW56" s="14">
        <f t="shared" si="146"/>
        <v>218</v>
      </c>
      <c r="CX56" s="118" t="s">
        <v>1026</v>
      </c>
      <c r="CY56" s="14">
        <f t="shared" si="147"/>
        <v>1</v>
      </c>
      <c r="CZ56" s="166" t="str">
        <f t="shared" si="50"/>
        <v>钻石10090级-防御套寄灵人の头盔1金币19800</v>
      </c>
      <c r="DA56" s="14">
        <f t="shared" si="51"/>
        <v>10</v>
      </c>
      <c r="DB56" s="115" t="s">
        <v>257</v>
      </c>
      <c r="DC56" s="115">
        <v>100</v>
      </c>
      <c r="DD56" s="115" t="s">
        <v>1476</v>
      </c>
      <c r="DE56" s="115">
        <v>1</v>
      </c>
      <c r="DF56" s="109" t="s">
        <v>252</v>
      </c>
      <c r="DG56" s="115">
        <f t="shared" si="148"/>
        <v>19800</v>
      </c>
      <c r="DJ56" s="118">
        <v>52</v>
      </c>
      <c r="DK56" s="14">
        <f t="shared" si="52"/>
        <v>18</v>
      </c>
      <c r="DL56" s="118">
        <f t="shared" si="149"/>
        <v>95</v>
      </c>
      <c r="DM56" s="166">
        <f t="shared" si="16"/>
        <v>1</v>
      </c>
      <c r="DN56" s="166">
        <v>120</v>
      </c>
      <c r="DO56" s="166">
        <v>900</v>
      </c>
      <c r="DP56" s="166">
        <v>4</v>
      </c>
      <c r="DQ56" s="118">
        <v>90</v>
      </c>
      <c r="DR56" s="118">
        <f t="shared" si="53"/>
        <v>21181</v>
      </c>
      <c r="DS56" s="118">
        <v>1</v>
      </c>
      <c r="DT56" s="14">
        <f t="shared" si="150"/>
        <v>118</v>
      </c>
      <c r="DU56" s="118" t="s">
        <v>1034</v>
      </c>
      <c r="DV56" s="118">
        <v>1</v>
      </c>
      <c r="DW56" s="166" t="str">
        <f t="shared" si="151"/>
        <v>橙色基础材料4守护灵初级抽卡券2守护灵经验16650</v>
      </c>
      <c r="DX56" s="14">
        <f t="shared" ref="DX56" si="202">DT56*100+3</f>
        <v>11803</v>
      </c>
      <c r="DY56" s="118" t="s">
        <v>1037</v>
      </c>
      <c r="DZ56" s="118">
        <v>2</v>
      </c>
      <c r="EA56" s="14" t="str">
        <f>INDEX(挂机升级突破!$DT$4:$DX$4,DP56)</f>
        <v>橙色基础材料</v>
      </c>
      <c r="EB56" s="14">
        <f>ROUND(INDEX(挂机升级突破!$G$7:$K$37,DK56+2,章节关卡!DP56)/INDEX(挂机升级突破!$G$5:$K$5,章节关卡!DP56)*INDEX(挂机升级突破!$G$4:$K$4,章节关卡!DP56)*章节关卡!DO56,0)</f>
        <v>4</v>
      </c>
      <c r="EC56" s="118" t="s">
        <v>1038</v>
      </c>
      <c r="ED56" s="14">
        <f t="shared" si="153"/>
        <v>16650</v>
      </c>
      <c r="EI56" s="166">
        <v>52</v>
      </c>
      <c r="EJ56" s="14">
        <f t="shared" si="54"/>
        <v>18</v>
      </c>
      <c r="EK56" s="166">
        <f t="shared" si="55"/>
        <v>100</v>
      </c>
      <c r="EL56" s="166">
        <f t="shared" si="20"/>
        <v>1</v>
      </c>
      <c r="EM56" s="166">
        <f t="shared" si="154"/>
        <v>180</v>
      </c>
      <c r="EN56" s="166">
        <f t="shared" si="155"/>
        <v>2250</v>
      </c>
      <c r="EO56" s="166">
        <v>8</v>
      </c>
      <c r="EP56" s="14">
        <f t="shared" si="156"/>
        <v>180</v>
      </c>
      <c r="EQ56" s="14">
        <f t="shared" si="57"/>
        <v>22181</v>
      </c>
      <c r="ER56" s="166">
        <v>1</v>
      </c>
      <c r="ES56" s="14">
        <f t="shared" si="58"/>
        <v>218</v>
      </c>
      <c r="ET56" s="166" t="s">
        <v>1034</v>
      </c>
      <c r="EU56" s="166">
        <v>1</v>
      </c>
      <c r="EV56" s="166"/>
      <c r="EW56" s="14">
        <f t="shared" ref="EW56" si="203">ES56*100+3</f>
        <v>21803</v>
      </c>
      <c r="EX56" s="166" t="s">
        <v>1397</v>
      </c>
      <c r="EY56" s="166">
        <v>20</v>
      </c>
      <c r="EZ56" s="14" t="str">
        <f>INDEX(挂机升级突破!$DT$4:$EC$4,EO56)</f>
        <v>银母</v>
      </c>
      <c r="FA56" s="14">
        <f>ROUND(INDEX(挂机升级突破!$G$7:$R$37,EJ56+3,EO56)/INDEX(挂机升级突破!$G$5:$R$5,章节关卡!EO56)*INDEX(挂机升级突破!$G$4:$R$4,章节关卡!EO56)*章节关卡!EN56,0)</f>
        <v>5</v>
      </c>
      <c r="FB56" s="166" t="s">
        <v>1399</v>
      </c>
      <c r="FC56" s="166">
        <f t="shared" si="158"/>
        <v>37800</v>
      </c>
    </row>
    <row r="57" spans="17:159" ht="16.5" x14ac:dyDescent="0.2">
      <c r="AS57" s="24">
        <v>53</v>
      </c>
      <c r="AT57" s="14">
        <f t="shared" si="32"/>
        <v>14</v>
      </c>
      <c r="AU57" s="109">
        <f t="shared" si="33"/>
        <v>1</v>
      </c>
      <c r="AV57" s="109">
        <f t="shared" si="34"/>
        <v>27</v>
      </c>
      <c r="AW57" s="109">
        <f t="shared" si="35"/>
        <v>71</v>
      </c>
      <c r="AX57" s="109">
        <f t="shared" si="36"/>
        <v>127</v>
      </c>
      <c r="BA57" s="109">
        <v>53</v>
      </c>
      <c r="BB57" s="14">
        <f t="shared" si="0"/>
        <v>6</v>
      </c>
      <c r="BC57" s="14">
        <f t="shared" si="37"/>
        <v>3</v>
      </c>
      <c r="BD57" s="14">
        <f t="shared" si="81"/>
        <v>200</v>
      </c>
      <c r="BE57" s="14">
        <f t="shared" si="1"/>
        <v>1050</v>
      </c>
      <c r="BF57" s="14">
        <f t="shared" si="2"/>
        <v>2250</v>
      </c>
      <c r="BG57" s="14">
        <f t="shared" si="38"/>
        <v>2.25</v>
      </c>
      <c r="BH57" s="14">
        <f t="shared" si="39"/>
        <v>11002</v>
      </c>
      <c r="BK57" s="109">
        <v>53</v>
      </c>
      <c r="BL57" s="14">
        <f t="shared" si="40"/>
        <v>6</v>
      </c>
      <c r="BM57" s="14">
        <f t="shared" si="41"/>
        <v>3</v>
      </c>
      <c r="BN57" s="14">
        <f t="shared" si="3"/>
        <v>650</v>
      </c>
      <c r="BO57" s="14">
        <f t="shared" si="4"/>
        <v>2100</v>
      </c>
      <c r="BP57" s="14">
        <f t="shared" si="5"/>
        <v>4500</v>
      </c>
      <c r="BS57" s="109">
        <v>53</v>
      </c>
      <c r="BT57" s="109">
        <f t="shared" si="42"/>
        <v>18</v>
      </c>
      <c r="BU57" s="112">
        <f t="shared" si="43"/>
        <v>95</v>
      </c>
      <c r="BV57" s="109">
        <f t="shared" si="187"/>
        <v>2</v>
      </c>
      <c r="BW57" s="109">
        <v>240</v>
      </c>
      <c r="BX57" s="109">
        <v>360</v>
      </c>
      <c r="BY57" s="112">
        <v>4</v>
      </c>
      <c r="BZ57" s="14">
        <f t="shared" si="44"/>
        <v>11182</v>
      </c>
      <c r="CA57" s="118">
        <v>1</v>
      </c>
      <c r="CB57" s="14">
        <f t="shared" si="45"/>
        <v>118</v>
      </c>
      <c r="CC57" s="118" t="s">
        <v>1026</v>
      </c>
      <c r="CD57" s="14">
        <f t="shared" si="46"/>
        <v>2</v>
      </c>
      <c r="CE57" s="166" t="str">
        <f t="shared" si="47"/>
        <v>守护灵抽卡券2 2小时扫荡券1 金币26400</v>
      </c>
      <c r="CF57" s="14">
        <f t="shared" si="48"/>
        <v>20</v>
      </c>
      <c r="CG57" s="115" t="s">
        <v>258</v>
      </c>
      <c r="CH57" s="115">
        <v>2</v>
      </c>
      <c r="CI57" s="210" t="s">
        <v>1395</v>
      </c>
      <c r="CJ57" s="210">
        <v>1</v>
      </c>
      <c r="CK57" s="210" t="s">
        <v>252</v>
      </c>
      <c r="CL57" s="210">
        <f t="shared" ref="CL57:CL58" si="204">INDEX($I$6:$I$35,BT57)*BW57</f>
        <v>26400</v>
      </c>
      <c r="CO57" s="115">
        <f t="shared" si="141"/>
        <v>18</v>
      </c>
      <c r="CP57" s="115">
        <f t="shared" si="142"/>
        <v>105</v>
      </c>
      <c r="CQ57" s="118">
        <v>2</v>
      </c>
      <c r="CR57" s="109">
        <f t="shared" si="143"/>
        <v>360</v>
      </c>
      <c r="CS57" s="109">
        <f t="shared" si="144"/>
        <v>720</v>
      </c>
      <c r="CT57" s="115">
        <v>8</v>
      </c>
      <c r="CU57" s="14">
        <f t="shared" si="145"/>
        <v>12182</v>
      </c>
      <c r="CV57" s="118">
        <v>2</v>
      </c>
      <c r="CW57" s="14">
        <f t="shared" si="146"/>
        <v>218</v>
      </c>
      <c r="CX57" s="118" t="s">
        <v>1026</v>
      </c>
      <c r="CY57" s="14">
        <f t="shared" si="147"/>
        <v>2</v>
      </c>
      <c r="CZ57" s="166" t="str">
        <f t="shared" si="50"/>
        <v>熔炼值330090级-防御套寄灵人の铠甲1金币39600</v>
      </c>
      <c r="DA57" s="14">
        <f t="shared" si="51"/>
        <v>20</v>
      </c>
      <c r="DB57" s="115" t="s">
        <v>1005</v>
      </c>
      <c r="DC57" s="115">
        <v>3300</v>
      </c>
      <c r="DD57" s="115" t="s">
        <v>1477</v>
      </c>
      <c r="DE57" s="115">
        <v>1</v>
      </c>
      <c r="DF57" s="109" t="s">
        <v>252</v>
      </c>
      <c r="DG57" s="115">
        <f t="shared" si="148"/>
        <v>39600</v>
      </c>
      <c r="DJ57" s="118">
        <v>53</v>
      </c>
      <c r="DK57" s="14">
        <f t="shared" si="52"/>
        <v>18</v>
      </c>
      <c r="DL57" s="118">
        <f t="shared" si="149"/>
        <v>95</v>
      </c>
      <c r="DM57" s="166">
        <f t="shared" si="16"/>
        <v>2</v>
      </c>
      <c r="DN57" s="166">
        <v>240</v>
      </c>
      <c r="DO57" s="166">
        <v>1800</v>
      </c>
      <c r="DP57" s="166">
        <v>4</v>
      </c>
      <c r="DQ57" s="118">
        <v>120</v>
      </c>
      <c r="DR57" s="118">
        <f t="shared" si="53"/>
        <v>21182</v>
      </c>
      <c r="DS57" s="118">
        <v>1</v>
      </c>
      <c r="DT57" s="14">
        <f t="shared" si="150"/>
        <v>118</v>
      </c>
      <c r="DU57" s="118" t="s">
        <v>1034</v>
      </c>
      <c r="DV57" s="118">
        <v>2</v>
      </c>
      <c r="DW57" s="166" t="str">
        <f t="shared" si="151"/>
        <v>橙色基础材料8守护灵初级抽卡券3守护灵经验22200</v>
      </c>
      <c r="DX57" s="14">
        <f t="shared" ref="DX57" si="205">DT57*100+6</f>
        <v>11806</v>
      </c>
      <c r="DY57" s="118" t="s">
        <v>1037</v>
      </c>
      <c r="DZ57" s="118">
        <v>3</v>
      </c>
      <c r="EA57" s="14" t="str">
        <f>INDEX(挂机升级突破!$DT$4:$DX$4,DP57)</f>
        <v>橙色基础材料</v>
      </c>
      <c r="EB57" s="14">
        <f>ROUND(INDEX(挂机升级突破!$G$7:$K$37,DK57+2,章节关卡!DP57)/INDEX(挂机升级突破!$G$5:$K$5,章节关卡!DP57)*INDEX(挂机升级突破!$G$4:$K$4,章节关卡!DP57)*章节关卡!DO57,0)</f>
        <v>8</v>
      </c>
      <c r="EC57" s="118" t="s">
        <v>1038</v>
      </c>
      <c r="ED57" s="14">
        <f t="shared" si="153"/>
        <v>22200</v>
      </c>
      <c r="EI57" s="166">
        <v>53</v>
      </c>
      <c r="EJ57" s="14">
        <f t="shared" si="54"/>
        <v>18</v>
      </c>
      <c r="EK57" s="166">
        <f t="shared" si="55"/>
        <v>100</v>
      </c>
      <c r="EL57" s="166">
        <f t="shared" si="20"/>
        <v>2</v>
      </c>
      <c r="EM57" s="166">
        <f t="shared" si="154"/>
        <v>360</v>
      </c>
      <c r="EN57" s="166">
        <f t="shared" si="155"/>
        <v>4500</v>
      </c>
      <c r="EO57" s="166">
        <v>8</v>
      </c>
      <c r="EP57" s="14">
        <f t="shared" si="156"/>
        <v>240</v>
      </c>
      <c r="EQ57" s="14">
        <f t="shared" si="57"/>
        <v>22182</v>
      </c>
      <c r="ER57" s="166">
        <v>1</v>
      </c>
      <c r="ES57" s="14">
        <f t="shared" si="58"/>
        <v>218</v>
      </c>
      <c r="ET57" s="166" t="s">
        <v>1034</v>
      </c>
      <c r="EU57" s="166">
        <v>2</v>
      </c>
      <c r="EV57" s="166"/>
      <c r="EW57" s="14">
        <f t="shared" ref="EW57" si="206">ES57*100+6</f>
        <v>21806</v>
      </c>
      <c r="EX57" s="166" t="s">
        <v>1397</v>
      </c>
      <c r="EY57" s="166">
        <v>30</v>
      </c>
      <c r="EZ57" s="14" t="str">
        <f>INDEX(挂机升级突破!$DT$4:$EC$4,EO57)</f>
        <v>银母</v>
      </c>
      <c r="FA57" s="14">
        <f>ROUND(INDEX(挂机升级突破!$G$7:$R$37,EJ57+3,EO57)/INDEX(挂机升级突破!$G$5:$R$5,章节关卡!EO57)*INDEX(挂机升级突破!$G$4:$R$4,章节关卡!EO57)*章节关卡!EN57,0)</f>
        <v>9</v>
      </c>
      <c r="FB57" s="166" t="s">
        <v>1399</v>
      </c>
      <c r="FC57" s="166">
        <f t="shared" si="158"/>
        <v>75600</v>
      </c>
    </row>
    <row r="58" spans="17:159" ht="16.5" x14ac:dyDescent="0.2">
      <c r="AS58" s="24">
        <v>54</v>
      </c>
      <c r="AT58" s="14">
        <f t="shared" si="32"/>
        <v>14</v>
      </c>
      <c r="AU58" s="109">
        <f t="shared" si="33"/>
        <v>2</v>
      </c>
      <c r="AV58" s="109">
        <f t="shared" si="34"/>
        <v>27</v>
      </c>
      <c r="AW58" s="109">
        <f t="shared" si="35"/>
        <v>72</v>
      </c>
      <c r="AX58" s="109">
        <f t="shared" si="36"/>
        <v>129</v>
      </c>
      <c r="BA58" s="109">
        <v>54</v>
      </c>
      <c r="BB58" s="14">
        <f t="shared" si="0"/>
        <v>6</v>
      </c>
      <c r="BC58" s="14">
        <f t="shared" si="37"/>
        <v>4</v>
      </c>
      <c r="BD58" s="14">
        <f t="shared" si="81"/>
        <v>200</v>
      </c>
      <c r="BE58" s="14">
        <f t="shared" si="1"/>
        <v>1050</v>
      </c>
      <c r="BF58" s="14">
        <f t="shared" si="2"/>
        <v>2250</v>
      </c>
      <c r="BG58" s="14">
        <f t="shared" si="38"/>
        <v>2.25</v>
      </c>
      <c r="BH58" s="14">
        <f t="shared" si="39"/>
        <v>11002</v>
      </c>
      <c r="BK58" s="109">
        <v>54</v>
      </c>
      <c r="BL58" s="14">
        <f t="shared" si="40"/>
        <v>6</v>
      </c>
      <c r="BM58" s="14">
        <f t="shared" si="41"/>
        <v>4</v>
      </c>
      <c r="BN58" s="14">
        <f t="shared" si="3"/>
        <v>650</v>
      </c>
      <c r="BO58" s="14">
        <f t="shared" si="4"/>
        <v>2100</v>
      </c>
      <c r="BP58" s="14">
        <f t="shared" si="5"/>
        <v>4500</v>
      </c>
      <c r="BS58" s="109">
        <v>54</v>
      </c>
      <c r="BT58" s="109">
        <f t="shared" si="42"/>
        <v>18</v>
      </c>
      <c r="BU58" s="112">
        <f t="shared" si="43"/>
        <v>95</v>
      </c>
      <c r="BV58" s="109">
        <f t="shared" si="187"/>
        <v>3</v>
      </c>
      <c r="BW58" s="109">
        <v>360</v>
      </c>
      <c r="BX58" s="109">
        <v>540</v>
      </c>
      <c r="BY58" s="112">
        <v>4</v>
      </c>
      <c r="BZ58" s="14">
        <f t="shared" si="44"/>
        <v>11183</v>
      </c>
      <c r="CA58" s="118">
        <v>1</v>
      </c>
      <c r="CB58" s="14">
        <f t="shared" si="45"/>
        <v>118</v>
      </c>
      <c r="CC58" s="118" t="s">
        <v>1026</v>
      </c>
      <c r="CD58" s="14">
        <f t="shared" si="46"/>
        <v>3</v>
      </c>
      <c r="CE58" s="166" t="str">
        <f t="shared" si="47"/>
        <v>守护灵抽卡券3 2小时扫荡券1 金币39600</v>
      </c>
      <c r="CF58" s="14">
        <f t="shared" si="48"/>
        <v>30</v>
      </c>
      <c r="CG58" s="115" t="s">
        <v>258</v>
      </c>
      <c r="CH58" s="115">
        <v>3</v>
      </c>
      <c r="CI58" s="210" t="s">
        <v>1395</v>
      </c>
      <c r="CJ58" s="210">
        <v>1</v>
      </c>
      <c r="CK58" s="210" t="s">
        <v>252</v>
      </c>
      <c r="CL58" s="210">
        <f t="shared" si="204"/>
        <v>39600</v>
      </c>
      <c r="CO58" s="115">
        <f t="shared" si="141"/>
        <v>18</v>
      </c>
      <c r="CP58" s="115">
        <f t="shared" si="142"/>
        <v>105</v>
      </c>
      <c r="CQ58" s="118">
        <v>3</v>
      </c>
      <c r="CR58" s="109">
        <f t="shared" si="143"/>
        <v>540</v>
      </c>
      <c r="CS58" s="109">
        <f t="shared" si="144"/>
        <v>1080</v>
      </c>
      <c r="CT58" s="115">
        <v>8</v>
      </c>
      <c r="CU58" s="14">
        <f t="shared" si="145"/>
        <v>12183</v>
      </c>
      <c r="CV58" s="118">
        <v>2</v>
      </c>
      <c r="CW58" s="14">
        <f t="shared" si="146"/>
        <v>218</v>
      </c>
      <c r="CX58" s="118" t="s">
        <v>1026</v>
      </c>
      <c r="CY58" s="14">
        <f t="shared" si="147"/>
        <v>3</v>
      </c>
      <c r="CZ58" s="166" t="str">
        <f t="shared" si="50"/>
        <v>守护灵抽卡券590级-防御套寄灵人の裤子1金币59400</v>
      </c>
      <c r="DA58" s="14">
        <f t="shared" si="51"/>
        <v>30</v>
      </c>
      <c r="DB58" s="115" t="s">
        <v>1004</v>
      </c>
      <c r="DC58" s="115">
        <v>5</v>
      </c>
      <c r="DD58" s="115" t="s">
        <v>1478</v>
      </c>
      <c r="DE58" s="115">
        <v>1</v>
      </c>
      <c r="DF58" s="109" t="s">
        <v>252</v>
      </c>
      <c r="DG58" s="115">
        <f t="shared" si="148"/>
        <v>59400</v>
      </c>
      <c r="DJ58" s="118">
        <v>54</v>
      </c>
      <c r="DK58" s="14">
        <f t="shared" si="52"/>
        <v>18</v>
      </c>
      <c r="DL58" s="118">
        <f t="shared" si="149"/>
        <v>95</v>
      </c>
      <c r="DM58" s="166">
        <f t="shared" si="16"/>
        <v>3</v>
      </c>
      <c r="DN58" s="166">
        <v>360</v>
      </c>
      <c r="DO58" s="166">
        <v>2700</v>
      </c>
      <c r="DP58" s="166">
        <v>4</v>
      </c>
      <c r="DQ58" s="118">
        <v>150</v>
      </c>
      <c r="DR58" s="118">
        <f t="shared" si="53"/>
        <v>21183</v>
      </c>
      <c r="DS58" s="118">
        <v>1</v>
      </c>
      <c r="DT58" s="14">
        <f t="shared" si="150"/>
        <v>118</v>
      </c>
      <c r="DU58" s="118" t="s">
        <v>1034</v>
      </c>
      <c r="DV58" s="118">
        <v>3</v>
      </c>
      <c r="DW58" s="166" t="str">
        <f t="shared" si="151"/>
        <v>橙色基础材料11守护灵初级抽卡券5守护灵经验27750</v>
      </c>
      <c r="DX58" s="14">
        <f t="shared" ref="DX58" si="207">DT58*100+9</f>
        <v>11809</v>
      </c>
      <c r="DY58" s="118" t="s">
        <v>1037</v>
      </c>
      <c r="DZ58" s="118">
        <v>5</v>
      </c>
      <c r="EA58" s="14" t="str">
        <f>INDEX(挂机升级突破!$DT$4:$DX$4,DP58)</f>
        <v>橙色基础材料</v>
      </c>
      <c r="EB58" s="14">
        <f>ROUND(INDEX(挂机升级突破!$G$7:$K$37,DK58+2,章节关卡!DP58)/INDEX(挂机升级突破!$G$5:$K$5,章节关卡!DP58)*INDEX(挂机升级突破!$G$4:$K$4,章节关卡!DP58)*章节关卡!DO58,0)</f>
        <v>11</v>
      </c>
      <c r="EC58" s="118" t="s">
        <v>1038</v>
      </c>
      <c r="ED58" s="14">
        <f t="shared" si="153"/>
        <v>27750</v>
      </c>
      <c r="EI58" s="166">
        <v>54</v>
      </c>
      <c r="EJ58" s="14">
        <f t="shared" si="54"/>
        <v>18</v>
      </c>
      <c r="EK58" s="166">
        <f t="shared" si="55"/>
        <v>100</v>
      </c>
      <c r="EL58" s="166">
        <f t="shared" si="20"/>
        <v>3</v>
      </c>
      <c r="EM58" s="166">
        <f t="shared" si="154"/>
        <v>540</v>
      </c>
      <c r="EN58" s="166">
        <f t="shared" si="155"/>
        <v>6750</v>
      </c>
      <c r="EO58" s="166">
        <v>8</v>
      </c>
      <c r="EP58" s="14">
        <f t="shared" si="156"/>
        <v>300</v>
      </c>
      <c r="EQ58" s="14">
        <f t="shared" si="57"/>
        <v>22183</v>
      </c>
      <c r="ER58" s="166">
        <v>1</v>
      </c>
      <c r="ES58" s="14">
        <f t="shared" si="58"/>
        <v>218</v>
      </c>
      <c r="ET58" s="166" t="s">
        <v>1034</v>
      </c>
      <c r="EU58" s="166">
        <v>3</v>
      </c>
      <c r="EV58" s="166"/>
      <c r="EW58" s="14">
        <f t="shared" ref="EW58" si="208">ES58*100+9</f>
        <v>21809</v>
      </c>
      <c r="EX58" s="166" t="s">
        <v>1397</v>
      </c>
      <c r="EY58" s="166">
        <v>50</v>
      </c>
      <c r="EZ58" s="14" t="str">
        <f>INDEX(挂机升级突破!$DT$4:$EC$4,EO58)</f>
        <v>银母</v>
      </c>
      <c r="FA58" s="14">
        <f>ROUND(INDEX(挂机升级突破!$G$7:$R$37,EJ58+3,EO58)/INDEX(挂机升级突破!$G$5:$R$5,章节关卡!EO58)*INDEX(挂机升级突破!$G$4:$R$4,章节关卡!EO58)*章节关卡!EN58,0)</f>
        <v>14</v>
      </c>
      <c r="FB58" s="166" t="s">
        <v>1399</v>
      </c>
      <c r="FC58" s="166">
        <f t="shared" si="158"/>
        <v>113400</v>
      </c>
    </row>
    <row r="59" spans="17:159" ht="16.5" x14ac:dyDescent="0.2">
      <c r="AS59" s="24">
        <v>55</v>
      </c>
      <c r="AT59" s="14">
        <f t="shared" si="32"/>
        <v>14</v>
      </c>
      <c r="AU59" s="109">
        <f t="shared" si="33"/>
        <v>3</v>
      </c>
      <c r="AV59" s="109">
        <f t="shared" si="34"/>
        <v>27</v>
      </c>
      <c r="AW59" s="109">
        <f t="shared" si="35"/>
        <v>73</v>
      </c>
      <c r="AX59" s="109">
        <f t="shared" si="36"/>
        <v>131</v>
      </c>
      <c r="BA59" s="109">
        <v>55</v>
      </c>
      <c r="BB59" s="14">
        <f t="shared" si="0"/>
        <v>6</v>
      </c>
      <c r="BC59" s="14">
        <f t="shared" si="37"/>
        <v>5</v>
      </c>
      <c r="BD59" s="14">
        <f t="shared" si="81"/>
        <v>200</v>
      </c>
      <c r="BE59" s="14">
        <f t="shared" si="1"/>
        <v>1050</v>
      </c>
      <c r="BF59" s="14">
        <f t="shared" si="2"/>
        <v>2250</v>
      </c>
      <c r="BG59" s="14">
        <f t="shared" si="38"/>
        <v>2.25</v>
      </c>
      <c r="BH59" s="14">
        <f t="shared" si="39"/>
        <v>11002</v>
      </c>
      <c r="BK59" s="109">
        <v>55</v>
      </c>
      <c r="BL59" s="14">
        <f t="shared" si="40"/>
        <v>6</v>
      </c>
      <c r="BM59" s="14">
        <f t="shared" si="41"/>
        <v>5</v>
      </c>
      <c r="BN59" s="14">
        <f t="shared" si="3"/>
        <v>650</v>
      </c>
      <c r="BO59" s="14">
        <f t="shared" si="4"/>
        <v>2100</v>
      </c>
      <c r="BP59" s="14">
        <f t="shared" si="5"/>
        <v>4500</v>
      </c>
      <c r="BS59" s="109">
        <v>55</v>
      </c>
      <c r="BT59" s="109">
        <f t="shared" si="42"/>
        <v>19</v>
      </c>
      <c r="BU59" s="112">
        <f t="shared" si="43"/>
        <v>100</v>
      </c>
      <c r="BV59" s="109">
        <f t="shared" si="187"/>
        <v>1</v>
      </c>
      <c r="BW59" s="109">
        <v>120</v>
      </c>
      <c r="BX59" s="109">
        <v>180</v>
      </c>
      <c r="BY59" s="112">
        <v>4</v>
      </c>
      <c r="BZ59" s="14">
        <f t="shared" si="44"/>
        <v>11191</v>
      </c>
      <c r="CA59" s="118">
        <v>1</v>
      </c>
      <c r="CB59" s="14">
        <f t="shared" si="45"/>
        <v>119</v>
      </c>
      <c r="CC59" s="118" t="s">
        <v>1026</v>
      </c>
      <c r="CD59" s="14">
        <f t="shared" si="46"/>
        <v>1</v>
      </c>
      <c r="CE59" s="166" t="str">
        <f t="shared" si="47"/>
        <v xml:space="preserve">钻石100 金币14400 </v>
      </c>
      <c r="CF59" s="14">
        <f t="shared" si="48"/>
        <v>10</v>
      </c>
      <c r="CG59" s="115" t="s">
        <v>19</v>
      </c>
      <c r="CH59" s="115">
        <v>100</v>
      </c>
      <c r="CI59" s="210" t="s">
        <v>358</v>
      </c>
      <c r="CJ59" s="210">
        <f>INDEX($I$6:$I$35,BT59)*BW59</f>
        <v>14400</v>
      </c>
      <c r="CK59" s="210"/>
      <c r="CL59" s="210"/>
      <c r="CO59" s="115">
        <f t="shared" si="141"/>
        <v>19</v>
      </c>
      <c r="CP59" s="115">
        <f t="shared" si="142"/>
        <v>110</v>
      </c>
      <c r="CQ59" s="118">
        <v>1</v>
      </c>
      <c r="CR59" s="109">
        <f t="shared" si="143"/>
        <v>180</v>
      </c>
      <c r="CS59" s="109">
        <f t="shared" si="144"/>
        <v>360</v>
      </c>
      <c r="CT59" s="115">
        <v>8</v>
      </c>
      <c r="CU59" s="14">
        <f t="shared" si="145"/>
        <v>12191</v>
      </c>
      <c r="CV59" s="118">
        <v>2</v>
      </c>
      <c r="CW59" s="14">
        <f t="shared" si="146"/>
        <v>219</v>
      </c>
      <c r="CX59" s="118" t="s">
        <v>1026</v>
      </c>
      <c r="CY59" s="14">
        <f t="shared" si="147"/>
        <v>1</v>
      </c>
      <c r="CZ59" s="166" t="str">
        <f t="shared" si="50"/>
        <v>钻石100100级-攻击套守护灵の头盔1金币21600</v>
      </c>
      <c r="DA59" s="14">
        <f t="shared" si="51"/>
        <v>10</v>
      </c>
      <c r="DB59" s="115" t="s">
        <v>257</v>
      </c>
      <c r="DC59" s="115">
        <v>100</v>
      </c>
      <c r="DD59" s="115" t="s">
        <v>1479</v>
      </c>
      <c r="DE59" s="115">
        <v>1</v>
      </c>
      <c r="DF59" s="109" t="s">
        <v>252</v>
      </c>
      <c r="DG59" s="115">
        <f t="shared" si="148"/>
        <v>21600</v>
      </c>
      <c r="DJ59" s="118">
        <v>55</v>
      </c>
      <c r="DK59" s="14">
        <f t="shared" si="52"/>
        <v>19</v>
      </c>
      <c r="DL59" s="118">
        <f t="shared" si="149"/>
        <v>100</v>
      </c>
      <c r="DM59" s="166">
        <f t="shared" si="16"/>
        <v>1</v>
      </c>
      <c r="DN59" s="166">
        <v>120</v>
      </c>
      <c r="DO59" s="166">
        <v>900</v>
      </c>
      <c r="DP59" s="166">
        <v>4</v>
      </c>
      <c r="DQ59" s="118">
        <v>90</v>
      </c>
      <c r="DR59" s="118">
        <f t="shared" si="53"/>
        <v>21191</v>
      </c>
      <c r="DS59" s="118">
        <v>1</v>
      </c>
      <c r="DT59" s="14">
        <f t="shared" si="150"/>
        <v>119</v>
      </c>
      <c r="DU59" s="118" t="s">
        <v>1034</v>
      </c>
      <c r="DV59" s="118">
        <v>1</v>
      </c>
      <c r="DW59" s="166" t="str">
        <f t="shared" si="151"/>
        <v>橙色基础材料5守护灵初级抽卡券2守护灵经验18000</v>
      </c>
      <c r="DX59" s="14">
        <f t="shared" ref="DX59" si="209">DT59*100+3</f>
        <v>11903</v>
      </c>
      <c r="DY59" s="118" t="s">
        <v>1037</v>
      </c>
      <c r="DZ59" s="118">
        <v>2</v>
      </c>
      <c r="EA59" s="14" t="str">
        <f>INDEX(挂机升级突破!$DT$4:$DX$4,DP59)</f>
        <v>橙色基础材料</v>
      </c>
      <c r="EB59" s="14">
        <f>ROUND(INDEX(挂机升级突破!$G$7:$K$37,DK59+2,章节关卡!DP59)/INDEX(挂机升级突破!$G$5:$K$5,章节关卡!DP59)*INDEX(挂机升级突破!$G$4:$K$4,章节关卡!DP59)*章节关卡!DO59,0)</f>
        <v>5</v>
      </c>
      <c r="EC59" s="118" t="s">
        <v>1038</v>
      </c>
      <c r="ED59" s="14">
        <f t="shared" si="153"/>
        <v>18000</v>
      </c>
      <c r="EI59" s="166">
        <v>55</v>
      </c>
      <c r="EJ59" s="14">
        <f t="shared" si="54"/>
        <v>19</v>
      </c>
      <c r="EK59" s="166">
        <f t="shared" si="55"/>
        <v>105</v>
      </c>
      <c r="EL59" s="166">
        <f t="shared" si="20"/>
        <v>1</v>
      </c>
      <c r="EM59" s="166">
        <f t="shared" si="154"/>
        <v>180</v>
      </c>
      <c r="EN59" s="166">
        <f t="shared" si="155"/>
        <v>2250</v>
      </c>
      <c r="EO59" s="166">
        <v>8</v>
      </c>
      <c r="EP59" s="14">
        <f t="shared" si="156"/>
        <v>180</v>
      </c>
      <c r="EQ59" s="14">
        <f t="shared" si="57"/>
        <v>22191</v>
      </c>
      <c r="ER59" s="166">
        <v>1</v>
      </c>
      <c r="ES59" s="14">
        <f t="shared" si="58"/>
        <v>219</v>
      </c>
      <c r="ET59" s="166" t="s">
        <v>1034</v>
      </c>
      <c r="EU59" s="166">
        <v>1</v>
      </c>
      <c r="EV59" s="166"/>
      <c r="EW59" s="14">
        <f t="shared" ref="EW59" si="210">ES59*100+3</f>
        <v>21903</v>
      </c>
      <c r="EX59" s="166" t="s">
        <v>1397</v>
      </c>
      <c r="EY59" s="166">
        <v>20</v>
      </c>
      <c r="EZ59" s="14" t="str">
        <f>INDEX(挂机升级突破!$DT$4:$EC$4,EO59)</f>
        <v>银母</v>
      </c>
      <c r="FA59" s="14">
        <f>ROUND(INDEX(挂机升级突破!$G$7:$R$37,EJ59+3,EO59)/INDEX(挂机升级突破!$G$5:$R$5,章节关卡!EO59)*INDEX(挂机升级突破!$G$4:$R$4,章节关卡!EO59)*章节关卡!EN59,0)</f>
        <v>6</v>
      </c>
      <c r="FB59" s="166" t="s">
        <v>1399</v>
      </c>
      <c r="FC59" s="166">
        <f t="shared" si="158"/>
        <v>40500</v>
      </c>
    </row>
    <row r="60" spans="17:159" ht="16.5" x14ac:dyDescent="0.2">
      <c r="AS60" s="24">
        <v>56</v>
      </c>
      <c r="AT60" s="14">
        <f t="shared" si="32"/>
        <v>14</v>
      </c>
      <c r="AU60" s="109">
        <f t="shared" si="33"/>
        <v>4</v>
      </c>
      <c r="AV60" s="109">
        <f t="shared" si="34"/>
        <v>27</v>
      </c>
      <c r="AW60" s="109">
        <f t="shared" si="35"/>
        <v>74</v>
      </c>
      <c r="AX60" s="109">
        <f t="shared" si="36"/>
        <v>133</v>
      </c>
      <c r="BA60" s="109">
        <v>56</v>
      </c>
      <c r="BB60" s="14">
        <f t="shared" si="0"/>
        <v>6</v>
      </c>
      <c r="BC60" s="14">
        <f t="shared" si="37"/>
        <v>6</v>
      </c>
      <c r="BD60" s="14">
        <f t="shared" si="81"/>
        <v>200</v>
      </c>
      <c r="BE60" s="14">
        <f t="shared" si="1"/>
        <v>1050</v>
      </c>
      <c r="BF60" s="14">
        <f t="shared" si="2"/>
        <v>2250</v>
      </c>
      <c r="BG60" s="14">
        <f t="shared" si="38"/>
        <v>2.25</v>
      </c>
      <c r="BH60" s="14">
        <f t="shared" si="39"/>
        <v>11002</v>
      </c>
      <c r="BK60" s="109">
        <v>56</v>
      </c>
      <c r="BL60" s="14">
        <f t="shared" si="40"/>
        <v>6</v>
      </c>
      <c r="BM60" s="14">
        <f t="shared" si="41"/>
        <v>6</v>
      </c>
      <c r="BN60" s="14">
        <f t="shared" si="3"/>
        <v>650</v>
      </c>
      <c r="BO60" s="14">
        <f t="shared" si="4"/>
        <v>2100</v>
      </c>
      <c r="BP60" s="14">
        <f t="shared" si="5"/>
        <v>4500</v>
      </c>
      <c r="BS60" s="109">
        <v>56</v>
      </c>
      <c r="BT60" s="109">
        <f t="shared" si="42"/>
        <v>19</v>
      </c>
      <c r="BU60" s="112">
        <f t="shared" si="43"/>
        <v>100</v>
      </c>
      <c r="BV60" s="109">
        <f t="shared" si="187"/>
        <v>2</v>
      </c>
      <c r="BW60" s="109">
        <v>240</v>
      </c>
      <c r="BX60" s="109">
        <v>360</v>
      </c>
      <c r="BY60" s="112">
        <v>4</v>
      </c>
      <c r="BZ60" s="14">
        <f t="shared" si="44"/>
        <v>11192</v>
      </c>
      <c r="CA60" s="118">
        <v>1</v>
      </c>
      <c r="CB60" s="14">
        <f t="shared" si="45"/>
        <v>119</v>
      </c>
      <c r="CC60" s="118" t="s">
        <v>1026</v>
      </c>
      <c r="CD60" s="14">
        <f t="shared" si="46"/>
        <v>2</v>
      </c>
      <c r="CE60" s="166" t="str">
        <f t="shared" si="47"/>
        <v>守护灵抽卡券2 2小时扫荡券1 金币28800</v>
      </c>
      <c r="CF60" s="14">
        <f t="shared" si="48"/>
        <v>20</v>
      </c>
      <c r="CG60" s="115" t="s">
        <v>258</v>
      </c>
      <c r="CH60" s="115">
        <v>2</v>
      </c>
      <c r="CI60" s="210" t="s">
        <v>1395</v>
      </c>
      <c r="CJ60" s="210">
        <v>1</v>
      </c>
      <c r="CK60" s="210" t="s">
        <v>252</v>
      </c>
      <c r="CL60" s="210">
        <f t="shared" ref="CL60:CL61" si="211">INDEX($I$6:$I$35,BT60)*BW60</f>
        <v>28800</v>
      </c>
      <c r="CO60" s="115">
        <f t="shared" si="141"/>
        <v>19</v>
      </c>
      <c r="CP60" s="115">
        <f t="shared" si="142"/>
        <v>110</v>
      </c>
      <c r="CQ60" s="118">
        <v>2</v>
      </c>
      <c r="CR60" s="115">
        <f t="shared" si="143"/>
        <v>360</v>
      </c>
      <c r="CS60" s="115">
        <f t="shared" si="144"/>
        <v>720</v>
      </c>
      <c r="CT60" s="115">
        <v>8</v>
      </c>
      <c r="CU60" s="14">
        <f t="shared" si="145"/>
        <v>12192</v>
      </c>
      <c r="CV60" s="118">
        <v>2</v>
      </c>
      <c r="CW60" s="14">
        <f t="shared" si="146"/>
        <v>219</v>
      </c>
      <c r="CX60" s="118" t="s">
        <v>1026</v>
      </c>
      <c r="CY60" s="14">
        <f t="shared" si="147"/>
        <v>2</v>
      </c>
      <c r="CZ60" s="166" t="str">
        <f t="shared" si="50"/>
        <v>熔炼值3600100级-攻击套守护灵の铠甲1金币43200</v>
      </c>
      <c r="DA60" s="14">
        <f t="shared" si="51"/>
        <v>20</v>
      </c>
      <c r="DB60" s="115" t="s">
        <v>1005</v>
      </c>
      <c r="DC60" s="115">
        <v>3600</v>
      </c>
      <c r="DD60" s="115" t="s">
        <v>1480</v>
      </c>
      <c r="DE60" s="115">
        <v>1</v>
      </c>
      <c r="DF60" s="109" t="s">
        <v>252</v>
      </c>
      <c r="DG60" s="115">
        <f t="shared" si="148"/>
        <v>43200</v>
      </c>
      <c r="DJ60" s="118">
        <v>56</v>
      </c>
      <c r="DK60" s="14">
        <f t="shared" si="52"/>
        <v>19</v>
      </c>
      <c r="DL60" s="118">
        <f t="shared" si="149"/>
        <v>100</v>
      </c>
      <c r="DM60" s="166">
        <f t="shared" si="16"/>
        <v>2</v>
      </c>
      <c r="DN60" s="166">
        <v>240</v>
      </c>
      <c r="DO60" s="166">
        <v>1800</v>
      </c>
      <c r="DP60" s="166">
        <v>4</v>
      </c>
      <c r="DQ60" s="118">
        <v>120</v>
      </c>
      <c r="DR60" s="118">
        <f t="shared" si="53"/>
        <v>21192</v>
      </c>
      <c r="DS60" s="118">
        <v>1</v>
      </c>
      <c r="DT60" s="14">
        <f t="shared" si="150"/>
        <v>119</v>
      </c>
      <c r="DU60" s="118" t="s">
        <v>1034</v>
      </c>
      <c r="DV60" s="118">
        <v>2</v>
      </c>
      <c r="DW60" s="166" t="str">
        <f t="shared" si="151"/>
        <v>橙色基础材料10守护灵初级抽卡券3守护灵经验24000</v>
      </c>
      <c r="DX60" s="14">
        <f t="shared" ref="DX60" si="212">DT60*100+6</f>
        <v>11906</v>
      </c>
      <c r="DY60" s="118" t="s">
        <v>1037</v>
      </c>
      <c r="DZ60" s="118">
        <v>3</v>
      </c>
      <c r="EA60" s="14" t="str">
        <f>INDEX(挂机升级突破!$DT$4:$DX$4,DP60)</f>
        <v>橙色基础材料</v>
      </c>
      <c r="EB60" s="14">
        <f>ROUND(INDEX(挂机升级突破!$G$7:$K$37,DK60+2,章节关卡!DP60)/INDEX(挂机升级突破!$G$5:$K$5,章节关卡!DP60)*INDEX(挂机升级突破!$G$4:$K$4,章节关卡!DP60)*章节关卡!DO60,0)</f>
        <v>10</v>
      </c>
      <c r="EC60" s="118" t="s">
        <v>1038</v>
      </c>
      <c r="ED60" s="14">
        <f t="shared" si="153"/>
        <v>24000</v>
      </c>
      <c r="EI60" s="166">
        <v>56</v>
      </c>
      <c r="EJ60" s="14">
        <f t="shared" si="54"/>
        <v>19</v>
      </c>
      <c r="EK60" s="166">
        <f t="shared" si="55"/>
        <v>105</v>
      </c>
      <c r="EL60" s="166">
        <f t="shared" si="20"/>
        <v>2</v>
      </c>
      <c r="EM60" s="166">
        <f t="shared" si="154"/>
        <v>360</v>
      </c>
      <c r="EN60" s="166">
        <f t="shared" si="155"/>
        <v>4500</v>
      </c>
      <c r="EO60" s="166">
        <v>8</v>
      </c>
      <c r="EP60" s="14">
        <f t="shared" si="156"/>
        <v>240</v>
      </c>
      <c r="EQ60" s="14">
        <f t="shared" si="57"/>
        <v>22192</v>
      </c>
      <c r="ER60" s="166">
        <v>1</v>
      </c>
      <c r="ES60" s="14">
        <f t="shared" si="58"/>
        <v>219</v>
      </c>
      <c r="ET60" s="166" t="s">
        <v>1034</v>
      </c>
      <c r="EU60" s="166">
        <v>2</v>
      </c>
      <c r="EV60" s="166"/>
      <c r="EW60" s="14">
        <f t="shared" ref="EW60" si="213">ES60*100+6</f>
        <v>21906</v>
      </c>
      <c r="EX60" s="166" t="s">
        <v>1397</v>
      </c>
      <c r="EY60" s="166">
        <v>30</v>
      </c>
      <c r="EZ60" s="14" t="str">
        <f>INDEX(挂机升级突破!$DT$4:$EC$4,EO60)</f>
        <v>银母</v>
      </c>
      <c r="FA60" s="14">
        <f>ROUND(INDEX(挂机升级突破!$G$7:$R$37,EJ60+3,EO60)/INDEX(挂机升级突破!$G$5:$R$5,章节关卡!EO60)*INDEX(挂机升级突破!$G$4:$R$4,章节关卡!EO60)*章节关卡!EN60,0)</f>
        <v>11</v>
      </c>
      <c r="FB60" s="166" t="s">
        <v>1399</v>
      </c>
      <c r="FC60" s="166">
        <f t="shared" si="158"/>
        <v>81000</v>
      </c>
    </row>
    <row r="61" spans="17:159" ht="16.5" x14ac:dyDescent="0.2">
      <c r="AS61" s="24">
        <v>57</v>
      </c>
      <c r="AT61" s="14">
        <f t="shared" si="32"/>
        <v>15</v>
      </c>
      <c r="AU61" s="109">
        <f t="shared" si="33"/>
        <v>1</v>
      </c>
      <c r="AV61" s="109">
        <f t="shared" si="34"/>
        <v>30</v>
      </c>
      <c r="AW61" s="109">
        <f t="shared" si="35"/>
        <v>76</v>
      </c>
      <c r="AX61" s="109">
        <f t="shared" si="36"/>
        <v>138</v>
      </c>
      <c r="BA61" s="109">
        <v>57</v>
      </c>
      <c r="BB61" s="14">
        <f t="shared" si="0"/>
        <v>6</v>
      </c>
      <c r="BC61" s="14">
        <f t="shared" si="37"/>
        <v>7</v>
      </c>
      <c r="BD61" s="14">
        <f t="shared" si="81"/>
        <v>200</v>
      </c>
      <c r="BE61" s="14">
        <f t="shared" si="1"/>
        <v>1050</v>
      </c>
      <c r="BF61" s="14">
        <f t="shared" si="2"/>
        <v>2250</v>
      </c>
      <c r="BG61" s="14">
        <f t="shared" si="38"/>
        <v>2.25</v>
      </c>
      <c r="BH61" s="14">
        <f t="shared" si="39"/>
        <v>11002</v>
      </c>
      <c r="BK61" s="109">
        <v>57</v>
      </c>
      <c r="BL61" s="14">
        <f t="shared" si="40"/>
        <v>6</v>
      </c>
      <c r="BM61" s="14">
        <f t="shared" si="41"/>
        <v>7</v>
      </c>
      <c r="BN61" s="14">
        <f t="shared" si="3"/>
        <v>650</v>
      </c>
      <c r="BO61" s="14">
        <f t="shared" si="4"/>
        <v>2100</v>
      </c>
      <c r="BP61" s="14">
        <f t="shared" si="5"/>
        <v>4500</v>
      </c>
      <c r="BS61" s="109">
        <v>57</v>
      </c>
      <c r="BT61" s="109">
        <f t="shared" si="42"/>
        <v>19</v>
      </c>
      <c r="BU61" s="112">
        <f t="shared" si="43"/>
        <v>100</v>
      </c>
      <c r="BV61" s="109">
        <f t="shared" si="187"/>
        <v>3</v>
      </c>
      <c r="BW61" s="109">
        <v>360</v>
      </c>
      <c r="BX61" s="109">
        <v>540</v>
      </c>
      <c r="BY61" s="112">
        <v>4</v>
      </c>
      <c r="BZ61" s="14">
        <f t="shared" si="44"/>
        <v>11193</v>
      </c>
      <c r="CA61" s="118">
        <v>1</v>
      </c>
      <c r="CB61" s="14">
        <f t="shared" si="45"/>
        <v>119</v>
      </c>
      <c r="CC61" s="118" t="s">
        <v>1026</v>
      </c>
      <c r="CD61" s="14">
        <f t="shared" si="46"/>
        <v>3</v>
      </c>
      <c r="CE61" s="166" t="str">
        <f t="shared" si="47"/>
        <v>守护灵抽卡券3 2小时扫荡券1 金币43200</v>
      </c>
      <c r="CF61" s="14">
        <f t="shared" si="48"/>
        <v>30</v>
      </c>
      <c r="CG61" s="115" t="s">
        <v>258</v>
      </c>
      <c r="CH61" s="115">
        <v>3</v>
      </c>
      <c r="CI61" s="210" t="s">
        <v>1395</v>
      </c>
      <c r="CJ61" s="210">
        <v>1</v>
      </c>
      <c r="CK61" s="210" t="s">
        <v>252</v>
      </c>
      <c r="CL61" s="210">
        <f t="shared" si="211"/>
        <v>43200</v>
      </c>
      <c r="CO61" s="115">
        <f t="shared" si="141"/>
        <v>19</v>
      </c>
      <c r="CP61" s="115">
        <f t="shared" si="142"/>
        <v>110</v>
      </c>
      <c r="CQ61" s="118">
        <v>3</v>
      </c>
      <c r="CR61" s="115">
        <f t="shared" si="143"/>
        <v>540</v>
      </c>
      <c r="CS61" s="115">
        <f t="shared" si="144"/>
        <v>1080</v>
      </c>
      <c r="CT61" s="115">
        <v>8</v>
      </c>
      <c r="CU61" s="14">
        <f t="shared" si="145"/>
        <v>12193</v>
      </c>
      <c r="CV61" s="118">
        <v>2</v>
      </c>
      <c r="CW61" s="14">
        <f t="shared" si="146"/>
        <v>219</v>
      </c>
      <c r="CX61" s="118" t="s">
        <v>1026</v>
      </c>
      <c r="CY61" s="14">
        <f t="shared" si="147"/>
        <v>3</v>
      </c>
      <c r="CZ61" s="166" t="str">
        <f t="shared" si="50"/>
        <v>守护灵抽卡券5100级-攻击套守护灵の鞋子1金币64800</v>
      </c>
      <c r="DA61" s="14">
        <f t="shared" si="51"/>
        <v>30</v>
      </c>
      <c r="DB61" s="115" t="s">
        <v>1004</v>
      </c>
      <c r="DC61" s="115">
        <v>5</v>
      </c>
      <c r="DD61" s="115" t="s">
        <v>1481</v>
      </c>
      <c r="DE61" s="115">
        <v>1</v>
      </c>
      <c r="DF61" s="109" t="s">
        <v>252</v>
      </c>
      <c r="DG61" s="115">
        <f t="shared" si="148"/>
        <v>64800</v>
      </c>
      <c r="DJ61" s="118">
        <v>57</v>
      </c>
      <c r="DK61" s="14">
        <f t="shared" si="52"/>
        <v>19</v>
      </c>
      <c r="DL61" s="118">
        <f t="shared" si="149"/>
        <v>100</v>
      </c>
      <c r="DM61" s="166">
        <f t="shared" si="16"/>
        <v>3</v>
      </c>
      <c r="DN61" s="166">
        <v>360</v>
      </c>
      <c r="DO61" s="166">
        <v>2700</v>
      </c>
      <c r="DP61" s="166">
        <v>4</v>
      </c>
      <c r="DQ61" s="118">
        <v>150</v>
      </c>
      <c r="DR61" s="118">
        <f t="shared" si="53"/>
        <v>21193</v>
      </c>
      <c r="DS61" s="118">
        <v>1</v>
      </c>
      <c r="DT61" s="14">
        <f t="shared" si="150"/>
        <v>119</v>
      </c>
      <c r="DU61" s="118" t="s">
        <v>1034</v>
      </c>
      <c r="DV61" s="118">
        <v>3</v>
      </c>
      <c r="DW61" s="166" t="str">
        <f t="shared" si="151"/>
        <v>橙色基础材料15守护灵初级抽卡券5守护灵经验30000</v>
      </c>
      <c r="DX61" s="14">
        <f t="shared" ref="DX61" si="214">DT61*100+9</f>
        <v>11909</v>
      </c>
      <c r="DY61" s="118" t="s">
        <v>1037</v>
      </c>
      <c r="DZ61" s="118">
        <v>5</v>
      </c>
      <c r="EA61" s="14" t="str">
        <f>INDEX(挂机升级突破!$DT$4:$DX$4,DP61)</f>
        <v>橙色基础材料</v>
      </c>
      <c r="EB61" s="14">
        <f>ROUND(INDEX(挂机升级突破!$G$7:$K$37,DK61+2,章节关卡!DP61)/INDEX(挂机升级突破!$G$5:$K$5,章节关卡!DP61)*INDEX(挂机升级突破!$G$4:$K$4,章节关卡!DP61)*章节关卡!DO61,0)</f>
        <v>15</v>
      </c>
      <c r="EC61" s="118" t="s">
        <v>1038</v>
      </c>
      <c r="ED61" s="14">
        <f t="shared" si="153"/>
        <v>30000</v>
      </c>
      <c r="EI61" s="166">
        <v>57</v>
      </c>
      <c r="EJ61" s="14">
        <f t="shared" si="54"/>
        <v>19</v>
      </c>
      <c r="EK61" s="166">
        <f t="shared" si="55"/>
        <v>105</v>
      </c>
      <c r="EL61" s="166">
        <f t="shared" si="20"/>
        <v>3</v>
      </c>
      <c r="EM61" s="166">
        <f t="shared" si="154"/>
        <v>540</v>
      </c>
      <c r="EN61" s="166">
        <f t="shared" si="155"/>
        <v>6750</v>
      </c>
      <c r="EO61" s="166">
        <v>8</v>
      </c>
      <c r="EP61" s="14">
        <f t="shared" si="156"/>
        <v>300</v>
      </c>
      <c r="EQ61" s="14">
        <f t="shared" si="57"/>
        <v>22193</v>
      </c>
      <c r="ER61" s="166">
        <v>1</v>
      </c>
      <c r="ES61" s="14">
        <f t="shared" si="58"/>
        <v>219</v>
      </c>
      <c r="ET61" s="166" t="s">
        <v>1034</v>
      </c>
      <c r="EU61" s="166">
        <v>3</v>
      </c>
      <c r="EV61" s="166"/>
      <c r="EW61" s="14">
        <f t="shared" ref="EW61" si="215">ES61*100+9</f>
        <v>21909</v>
      </c>
      <c r="EX61" s="166" t="s">
        <v>1397</v>
      </c>
      <c r="EY61" s="166">
        <v>50</v>
      </c>
      <c r="EZ61" s="14" t="str">
        <f>INDEX(挂机升级突破!$DT$4:$EC$4,EO61)</f>
        <v>银母</v>
      </c>
      <c r="FA61" s="14">
        <f>ROUND(INDEX(挂机升级突破!$G$7:$R$37,EJ61+3,EO61)/INDEX(挂机升级突破!$G$5:$R$5,章节关卡!EO61)*INDEX(挂机升级突破!$G$4:$R$4,章节关卡!EO61)*章节关卡!EN61,0)</f>
        <v>17</v>
      </c>
      <c r="FB61" s="166" t="s">
        <v>1399</v>
      </c>
      <c r="FC61" s="166">
        <f t="shared" si="158"/>
        <v>121500</v>
      </c>
    </row>
    <row r="62" spans="17:159" ht="16.5" x14ac:dyDescent="0.2">
      <c r="AS62" s="24">
        <v>58</v>
      </c>
      <c r="AT62" s="14">
        <f t="shared" si="32"/>
        <v>15</v>
      </c>
      <c r="AU62" s="109">
        <f t="shared" si="33"/>
        <v>2</v>
      </c>
      <c r="AV62" s="109">
        <f t="shared" si="34"/>
        <v>30</v>
      </c>
      <c r="AW62" s="109">
        <f t="shared" si="35"/>
        <v>77</v>
      </c>
      <c r="AX62" s="109">
        <f t="shared" si="36"/>
        <v>141</v>
      </c>
      <c r="BA62" s="109">
        <v>58</v>
      </c>
      <c r="BB62" s="14">
        <f t="shared" si="0"/>
        <v>6</v>
      </c>
      <c r="BC62" s="14">
        <f t="shared" si="37"/>
        <v>8</v>
      </c>
      <c r="BD62" s="14">
        <f t="shared" si="81"/>
        <v>200</v>
      </c>
      <c r="BE62" s="14">
        <f t="shared" si="1"/>
        <v>1050</v>
      </c>
      <c r="BF62" s="14">
        <f t="shared" si="2"/>
        <v>2250</v>
      </c>
      <c r="BG62" s="14">
        <f t="shared" si="38"/>
        <v>2.25</v>
      </c>
      <c r="BH62" s="14">
        <f t="shared" si="39"/>
        <v>11002</v>
      </c>
      <c r="BK62" s="109">
        <v>58</v>
      </c>
      <c r="BL62" s="14">
        <f t="shared" si="40"/>
        <v>6</v>
      </c>
      <c r="BM62" s="14">
        <f t="shared" si="41"/>
        <v>8</v>
      </c>
      <c r="BN62" s="14">
        <f t="shared" si="3"/>
        <v>650</v>
      </c>
      <c r="BO62" s="14">
        <f t="shared" si="4"/>
        <v>2100</v>
      </c>
      <c r="BP62" s="14">
        <f t="shared" si="5"/>
        <v>4500</v>
      </c>
      <c r="BS62" s="109">
        <v>58</v>
      </c>
      <c r="BT62" s="109">
        <f t="shared" si="42"/>
        <v>20</v>
      </c>
      <c r="BU62" s="112">
        <f t="shared" si="43"/>
        <v>105</v>
      </c>
      <c r="BV62" s="109">
        <f t="shared" si="187"/>
        <v>1</v>
      </c>
      <c r="BW62" s="109">
        <v>120</v>
      </c>
      <c r="BX62" s="109">
        <v>180</v>
      </c>
      <c r="BY62" s="112">
        <v>4</v>
      </c>
      <c r="BZ62" s="14">
        <f t="shared" si="44"/>
        <v>11201</v>
      </c>
      <c r="CA62" s="118">
        <v>1</v>
      </c>
      <c r="CB62" s="14">
        <f t="shared" si="45"/>
        <v>120</v>
      </c>
      <c r="CC62" s="118" t="s">
        <v>1026</v>
      </c>
      <c r="CD62" s="14">
        <f t="shared" si="46"/>
        <v>1</v>
      </c>
      <c r="CE62" s="166" t="str">
        <f t="shared" si="47"/>
        <v xml:space="preserve">钻石100 金币15600 </v>
      </c>
      <c r="CF62" s="14">
        <f t="shared" si="48"/>
        <v>10</v>
      </c>
      <c r="CG62" s="115" t="s">
        <v>19</v>
      </c>
      <c r="CH62" s="115">
        <v>100</v>
      </c>
      <c r="CI62" s="210" t="s">
        <v>358</v>
      </c>
      <c r="CJ62" s="210">
        <f>INDEX($I$6:$I$35,BT62)*BW62</f>
        <v>15600</v>
      </c>
      <c r="CK62" s="210"/>
      <c r="CL62" s="210"/>
      <c r="CO62" s="115">
        <f t="shared" si="141"/>
        <v>20</v>
      </c>
      <c r="CP62" s="115">
        <f t="shared" si="142"/>
        <v>115</v>
      </c>
      <c r="CQ62" s="118">
        <v>1</v>
      </c>
      <c r="CR62" s="115">
        <f t="shared" si="143"/>
        <v>180</v>
      </c>
      <c r="CS62" s="115">
        <f t="shared" si="144"/>
        <v>360</v>
      </c>
      <c r="CT62" s="115">
        <v>9</v>
      </c>
      <c r="CU62" s="14">
        <f t="shared" si="145"/>
        <v>12201</v>
      </c>
      <c r="CV62" s="118">
        <v>2</v>
      </c>
      <c r="CW62" s="14">
        <f t="shared" si="146"/>
        <v>220</v>
      </c>
      <c r="CX62" s="118" t="s">
        <v>1026</v>
      </c>
      <c r="CY62" s="14">
        <f t="shared" si="147"/>
        <v>1</v>
      </c>
      <c r="CZ62" s="166" t="str">
        <f t="shared" si="50"/>
        <v>钻石100100级-攻击套寄灵人の头盔1金币23400</v>
      </c>
      <c r="DA62" s="14">
        <f t="shared" si="51"/>
        <v>10</v>
      </c>
      <c r="DB62" s="115" t="s">
        <v>257</v>
      </c>
      <c r="DC62" s="115">
        <v>100</v>
      </c>
      <c r="DD62" s="115" t="s">
        <v>1482</v>
      </c>
      <c r="DE62" s="115">
        <v>1</v>
      </c>
      <c r="DF62" s="109" t="s">
        <v>252</v>
      </c>
      <c r="DG62" s="115">
        <f t="shared" si="148"/>
        <v>23400</v>
      </c>
      <c r="DJ62" s="118">
        <v>58</v>
      </c>
      <c r="DK62" s="14">
        <f t="shared" si="52"/>
        <v>20</v>
      </c>
      <c r="DL62" s="118">
        <f t="shared" si="149"/>
        <v>105</v>
      </c>
      <c r="DM62" s="166">
        <f t="shared" si="16"/>
        <v>1</v>
      </c>
      <c r="DN62" s="166">
        <v>120</v>
      </c>
      <c r="DO62" s="166">
        <v>900</v>
      </c>
      <c r="DP62" s="166">
        <v>4</v>
      </c>
      <c r="DQ62" s="118">
        <v>90</v>
      </c>
      <c r="DR62" s="118">
        <f t="shared" si="53"/>
        <v>21201</v>
      </c>
      <c r="DS62" s="118">
        <v>1</v>
      </c>
      <c r="DT62" s="14">
        <f t="shared" si="150"/>
        <v>120</v>
      </c>
      <c r="DU62" s="118" t="s">
        <v>1034</v>
      </c>
      <c r="DV62" s="118">
        <v>1</v>
      </c>
      <c r="DW62" s="166" t="str">
        <f t="shared" si="151"/>
        <v>橙色基础材料6守护灵初级抽卡券2守护灵经验18900</v>
      </c>
      <c r="DX62" s="14">
        <f t="shared" ref="DX62" si="216">DT62*100+3</f>
        <v>12003</v>
      </c>
      <c r="DY62" s="118" t="s">
        <v>1037</v>
      </c>
      <c r="DZ62" s="118">
        <v>2</v>
      </c>
      <c r="EA62" s="14" t="str">
        <f>INDEX(挂机升级突破!$DT$4:$DX$4,DP62)</f>
        <v>橙色基础材料</v>
      </c>
      <c r="EB62" s="14">
        <f>ROUND(INDEX(挂机升级突破!$G$7:$K$37,DK62+2,章节关卡!DP62)/INDEX(挂机升级突破!$G$5:$K$5,章节关卡!DP62)*INDEX(挂机升级突破!$G$4:$K$4,章节关卡!DP62)*章节关卡!DO62,0)</f>
        <v>6</v>
      </c>
      <c r="EC62" s="118" t="s">
        <v>1038</v>
      </c>
      <c r="ED62" s="14">
        <f t="shared" si="153"/>
        <v>18900</v>
      </c>
      <c r="EI62" s="166">
        <v>58</v>
      </c>
      <c r="EJ62" s="14">
        <f t="shared" si="54"/>
        <v>20</v>
      </c>
      <c r="EK62" s="166">
        <f t="shared" si="55"/>
        <v>110</v>
      </c>
      <c r="EL62" s="166">
        <f t="shared" si="20"/>
        <v>1</v>
      </c>
      <c r="EM62" s="166">
        <f t="shared" si="154"/>
        <v>180</v>
      </c>
      <c r="EN62" s="166">
        <f t="shared" si="155"/>
        <v>2250</v>
      </c>
      <c r="EO62" s="166">
        <v>9</v>
      </c>
      <c r="EP62" s="14">
        <f t="shared" si="156"/>
        <v>180</v>
      </c>
      <c r="EQ62" s="14">
        <f t="shared" si="57"/>
        <v>22201</v>
      </c>
      <c r="ER62" s="166">
        <v>1</v>
      </c>
      <c r="ES62" s="14">
        <f t="shared" si="58"/>
        <v>220</v>
      </c>
      <c r="ET62" s="166" t="s">
        <v>1034</v>
      </c>
      <c r="EU62" s="166">
        <v>1</v>
      </c>
      <c r="EV62" s="166"/>
      <c r="EW62" s="14">
        <f t="shared" ref="EW62" si="217">ES62*100+3</f>
        <v>22003</v>
      </c>
      <c r="EX62" s="166" t="s">
        <v>1397</v>
      </c>
      <c r="EY62" s="166">
        <v>20</v>
      </c>
      <c r="EZ62" s="14" t="str">
        <f>INDEX(挂机升级突破!$DT$4:$EC$4,EO62)</f>
        <v>铀金</v>
      </c>
      <c r="FA62" s="14">
        <f>ROUND(INDEX(挂机升级突破!$G$7:$R$37,EJ62+3,EO62)/INDEX(挂机升级突破!$G$5:$R$5,章节关卡!EO62)*INDEX(挂机升级突破!$G$4:$R$4,章节关卡!EO62)*章节关卡!EN62,0)</f>
        <v>1</v>
      </c>
      <c r="FB62" s="166" t="s">
        <v>1399</v>
      </c>
      <c r="FC62" s="166">
        <f t="shared" si="158"/>
        <v>42300</v>
      </c>
    </row>
    <row r="63" spans="17:159" ht="16.5" x14ac:dyDescent="0.2">
      <c r="AS63" s="24">
        <v>59</v>
      </c>
      <c r="AT63" s="14">
        <f t="shared" si="32"/>
        <v>15</v>
      </c>
      <c r="AU63" s="109">
        <f t="shared" si="33"/>
        <v>3</v>
      </c>
      <c r="AV63" s="109">
        <f t="shared" si="34"/>
        <v>30</v>
      </c>
      <c r="AW63" s="109">
        <f t="shared" si="35"/>
        <v>78</v>
      </c>
      <c r="AX63" s="109">
        <f t="shared" si="36"/>
        <v>144</v>
      </c>
      <c r="BA63" s="109">
        <v>59</v>
      </c>
      <c r="BB63" s="14">
        <f t="shared" si="0"/>
        <v>6</v>
      </c>
      <c r="BC63" s="14">
        <f t="shared" si="37"/>
        <v>9</v>
      </c>
      <c r="BD63" s="14">
        <f t="shared" si="81"/>
        <v>200</v>
      </c>
      <c r="BE63" s="14">
        <f t="shared" si="1"/>
        <v>1050</v>
      </c>
      <c r="BF63" s="14">
        <f t="shared" si="2"/>
        <v>2250</v>
      </c>
      <c r="BG63" s="14">
        <f t="shared" si="38"/>
        <v>2.25</v>
      </c>
      <c r="BH63" s="14">
        <f t="shared" si="39"/>
        <v>11002</v>
      </c>
      <c r="BK63" s="109">
        <v>59</v>
      </c>
      <c r="BL63" s="14">
        <f t="shared" si="40"/>
        <v>6</v>
      </c>
      <c r="BM63" s="14">
        <f t="shared" si="41"/>
        <v>9</v>
      </c>
      <c r="BN63" s="14">
        <f t="shared" si="3"/>
        <v>650</v>
      </c>
      <c r="BO63" s="14">
        <f t="shared" si="4"/>
        <v>2100</v>
      </c>
      <c r="BP63" s="14">
        <f t="shared" si="5"/>
        <v>4500</v>
      </c>
      <c r="BS63" s="109">
        <v>59</v>
      </c>
      <c r="BT63" s="109">
        <f t="shared" si="42"/>
        <v>20</v>
      </c>
      <c r="BU63" s="112">
        <f t="shared" si="43"/>
        <v>105</v>
      </c>
      <c r="BV63" s="109">
        <f t="shared" si="187"/>
        <v>2</v>
      </c>
      <c r="BW63" s="109">
        <v>240</v>
      </c>
      <c r="BX63" s="109">
        <v>360</v>
      </c>
      <c r="BY63" s="112">
        <v>4</v>
      </c>
      <c r="BZ63" s="14">
        <f t="shared" si="44"/>
        <v>11202</v>
      </c>
      <c r="CA63" s="118">
        <v>1</v>
      </c>
      <c r="CB63" s="14">
        <f t="shared" si="45"/>
        <v>120</v>
      </c>
      <c r="CC63" s="118" t="s">
        <v>1026</v>
      </c>
      <c r="CD63" s="14">
        <f t="shared" si="46"/>
        <v>2</v>
      </c>
      <c r="CE63" s="166" t="str">
        <f t="shared" si="47"/>
        <v>守护灵抽卡券2 2小时扫荡券1 金币31200</v>
      </c>
      <c r="CF63" s="14">
        <f t="shared" si="48"/>
        <v>20</v>
      </c>
      <c r="CG63" s="115" t="s">
        <v>258</v>
      </c>
      <c r="CH63" s="115">
        <v>2</v>
      </c>
      <c r="CI63" s="210" t="s">
        <v>1395</v>
      </c>
      <c r="CJ63" s="210">
        <v>1</v>
      </c>
      <c r="CK63" s="210" t="s">
        <v>252</v>
      </c>
      <c r="CL63" s="210">
        <f t="shared" ref="CL63:CL64" si="218">INDEX($I$6:$I$35,BT63)*BW63</f>
        <v>31200</v>
      </c>
      <c r="CO63" s="115">
        <f t="shared" si="141"/>
        <v>20</v>
      </c>
      <c r="CP63" s="115">
        <f t="shared" si="142"/>
        <v>115</v>
      </c>
      <c r="CQ63" s="118">
        <v>2</v>
      </c>
      <c r="CR63" s="115">
        <f t="shared" si="143"/>
        <v>360</v>
      </c>
      <c r="CS63" s="115">
        <f t="shared" si="144"/>
        <v>720</v>
      </c>
      <c r="CT63" s="115">
        <v>9</v>
      </c>
      <c r="CU63" s="14">
        <f t="shared" si="145"/>
        <v>12202</v>
      </c>
      <c r="CV63" s="118">
        <v>2</v>
      </c>
      <c r="CW63" s="14">
        <f t="shared" si="146"/>
        <v>220</v>
      </c>
      <c r="CX63" s="118" t="s">
        <v>1026</v>
      </c>
      <c r="CY63" s="14">
        <f t="shared" si="147"/>
        <v>2</v>
      </c>
      <c r="CZ63" s="166" t="str">
        <f t="shared" si="50"/>
        <v>熔炼值4200100级-攻击套寄灵人の铠甲1金币46800</v>
      </c>
      <c r="DA63" s="14">
        <f t="shared" si="51"/>
        <v>20</v>
      </c>
      <c r="DB63" s="115" t="s">
        <v>1005</v>
      </c>
      <c r="DC63" s="115">
        <v>4200</v>
      </c>
      <c r="DD63" s="115" t="s">
        <v>1483</v>
      </c>
      <c r="DE63" s="115">
        <v>1</v>
      </c>
      <c r="DF63" s="109" t="s">
        <v>252</v>
      </c>
      <c r="DG63" s="115">
        <f t="shared" si="148"/>
        <v>46800</v>
      </c>
      <c r="DJ63" s="118">
        <v>59</v>
      </c>
      <c r="DK63" s="14">
        <f t="shared" si="52"/>
        <v>20</v>
      </c>
      <c r="DL63" s="118">
        <f t="shared" si="149"/>
        <v>105</v>
      </c>
      <c r="DM63" s="166">
        <f t="shared" si="16"/>
        <v>2</v>
      </c>
      <c r="DN63" s="166">
        <v>240</v>
      </c>
      <c r="DO63" s="166">
        <v>1800</v>
      </c>
      <c r="DP63" s="166">
        <v>4</v>
      </c>
      <c r="DQ63" s="118">
        <v>120</v>
      </c>
      <c r="DR63" s="118">
        <f t="shared" si="53"/>
        <v>21202</v>
      </c>
      <c r="DS63" s="118">
        <v>1</v>
      </c>
      <c r="DT63" s="14">
        <f t="shared" si="150"/>
        <v>120</v>
      </c>
      <c r="DU63" s="118" t="s">
        <v>1034</v>
      </c>
      <c r="DV63" s="118">
        <v>2</v>
      </c>
      <c r="DW63" s="166" t="str">
        <f t="shared" si="151"/>
        <v>橙色基础材料12守护灵初级抽卡券3守护灵经验25200</v>
      </c>
      <c r="DX63" s="14">
        <f t="shared" ref="DX63" si="219">DT63*100+6</f>
        <v>12006</v>
      </c>
      <c r="DY63" s="118" t="s">
        <v>1037</v>
      </c>
      <c r="DZ63" s="118">
        <v>3</v>
      </c>
      <c r="EA63" s="14" t="str">
        <f>INDEX(挂机升级突破!$DT$4:$DX$4,DP63)</f>
        <v>橙色基础材料</v>
      </c>
      <c r="EB63" s="14">
        <f>ROUND(INDEX(挂机升级突破!$G$7:$K$37,DK63+2,章节关卡!DP63)/INDEX(挂机升级突破!$G$5:$K$5,章节关卡!DP63)*INDEX(挂机升级突破!$G$4:$K$4,章节关卡!DP63)*章节关卡!DO63,0)</f>
        <v>12</v>
      </c>
      <c r="EC63" s="118" t="s">
        <v>1038</v>
      </c>
      <c r="ED63" s="14">
        <f t="shared" si="153"/>
        <v>25200</v>
      </c>
      <c r="EI63" s="166">
        <v>59</v>
      </c>
      <c r="EJ63" s="14">
        <f t="shared" si="54"/>
        <v>20</v>
      </c>
      <c r="EK63" s="166">
        <f t="shared" si="55"/>
        <v>110</v>
      </c>
      <c r="EL63" s="166">
        <f t="shared" si="20"/>
        <v>2</v>
      </c>
      <c r="EM63" s="166">
        <f t="shared" si="154"/>
        <v>360</v>
      </c>
      <c r="EN63" s="166">
        <f t="shared" si="155"/>
        <v>4500</v>
      </c>
      <c r="EO63" s="166">
        <v>9</v>
      </c>
      <c r="EP63" s="14">
        <f t="shared" si="156"/>
        <v>240</v>
      </c>
      <c r="EQ63" s="14">
        <f t="shared" si="57"/>
        <v>22202</v>
      </c>
      <c r="ER63" s="166">
        <v>1</v>
      </c>
      <c r="ES63" s="14">
        <f t="shared" si="58"/>
        <v>220</v>
      </c>
      <c r="ET63" s="166" t="s">
        <v>1034</v>
      </c>
      <c r="EU63" s="166">
        <v>2</v>
      </c>
      <c r="EV63" s="166"/>
      <c r="EW63" s="14">
        <f t="shared" ref="EW63" si="220">ES63*100+6</f>
        <v>22006</v>
      </c>
      <c r="EX63" s="166" t="s">
        <v>1397</v>
      </c>
      <c r="EY63" s="166">
        <v>30</v>
      </c>
      <c r="EZ63" s="14" t="str">
        <f>INDEX(挂机升级突破!$DT$4:$EC$4,EO63)</f>
        <v>铀金</v>
      </c>
      <c r="FA63" s="14">
        <f>ROUND(INDEX(挂机升级突破!$G$7:$R$37,EJ63+3,EO63)/INDEX(挂机升级突破!$G$5:$R$5,章节关卡!EO63)*INDEX(挂机升级突破!$G$4:$R$4,章节关卡!EO63)*章节关卡!EN63,0)</f>
        <v>1</v>
      </c>
      <c r="FB63" s="166" t="s">
        <v>1399</v>
      </c>
      <c r="FC63" s="166">
        <f t="shared" si="158"/>
        <v>84600</v>
      </c>
    </row>
    <row r="64" spans="17:159" ht="16.5" x14ac:dyDescent="0.2">
      <c r="AS64" s="24">
        <v>60</v>
      </c>
      <c r="AT64" s="14">
        <f t="shared" si="32"/>
        <v>15</v>
      </c>
      <c r="AU64" s="109">
        <f t="shared" si="33"/>
        <v>4</v>
      </c>
      <c r="AV64" s="109">
        <f t="shared" si="34"/>
        <v>30</v>
      </c>
      <c r="AW64" s="109">
        <f t="shared" si="35"/>
        <v>79</v>
      </c>
      <c r="AX64" s="109">
        <f t="shared" si="36"/>
        <v>147</v>
      </c>
      <c r="BA64" s="109">
        <v>60</v>
      </c>
      <c r="BB64" s="14">
        <f t="shared" si="0"/>
        <v>6</v>
      </c>
      <c r="BC64" s="14">
        <f t="shared" si="37"/>
        <v>10</v>
      </c>
      <c r="BD64" s="14">
        <f t="shared" si="81"/>
        <v>200</v>
      </c>
      <c r="BE64" s="14">
        <f t="shared" si="1"/>
        <v>1050</v>
      </c>
      <c r="BF64" s="14">
        <f t="shared" si="2"/>
        <v>2250</v>
      </c>
      <c r="BG64" s="14">
        <f t="shared" si="38"/>
        <v>2.25</v>
      </c>
      <c r="BH64" s="14">
        <f t="shared" si="39"/>
        <v>11002</v>
      </c>
      <c r="BK64" s="109">
        <v>60</v>
      </c>
      <c r="BL64" s="14">
        <f t="shared" si="40"/>
        <v>6</v>
      </c>
      <c r="BM64" s="14">
        <f t="shared" si="41"/>
        <v>10</v>
      </c>
      <c r="BN64" s="14">
        <f t="shared" si="3"/>
        <v>650</v>
      </c>
      <c r="BO64" s="14">
        <f t="shared" si="4"/>
        <v>2100</v>
      </c>
      <c r="BP64" s="14">
        <f t="shared" si="5"/>
        <v>4500</v>
      </c>
      <c r="BS64" s="109">
        <v>60</v>
      </c>
      <c r="BT64" s="109">
        <f t="shared" si="42"/>
        <v>20</v>
      </c>
      <c r="BU64" s="112">
        <f t="shared" si="43"/>
        <v>105</v>
      </c>
      <c r="BV64" s="109">
        <f t="shared" si="187"/>
        <v>3</v>
      </c>
      <c r="BW64" s="109">
        <v>360</v>
      </c>
      <c r="BX64" s="109">
        <v>540</v>
      </c>
      <c r="BY64" s="112">
        <v>4</v>
      </c>
      <c r="BZ64" s="14">
        <f t="shared" si="44"/>
        <v>11203</v>
      </c>
      <c r="CA64" s="118">
        <v>1</v>
      </c>
      <c r="CB64" s="14">
        <f t="shared" si="45"/>
        <v>120</v>
      </c>
      <c r="CC64" s="118" t="s">
        <v>1026</v>
      </c>
      <c r="CD64" s="14">
        <f t="shared" si="46"/>
        <v>3</v>
      </c>
      <c r="CE64" s="166" t="str">
        <f t="shared" si="47"/>
        <v>守护灵抽卡券3 2小时扫荡券1 金币46800</v>
      </c>
      <c r="CF64" s="14">
        <f t="shared" si="48"/>
        <v>30</v>
      </c>
      <c r="CG64" s="115" t="s">
        <v>258</v>
      </c>
      <c r="CH64" s="115">
        <v>3</v>
      </c>
      <c r="CI64" s="210" t="s">
        <v>1395</v>
      </c>
      <c r="CJ64" s="210">
        <v>1</v>
      </c>
      <c r="CK64" s="210" t="s">
        <v>252</v>
      </c>
      <c r="CL64" s="210">
        <f t="shared" si="218"/>
        <v>46800</v>
      </c>
      <c r="CO64" s="115">
        <f t="shared" si="141"/>
        <v>20</v>
      </c>
      <c r="CP64" s="115">
        <f t="shared" si="142"/>
        <v>115</v>
      </c>
      <c r="CQ64" s="118">
        <v>3</v>
      </c>
      <c r="CR64" s="115">
        <f t="shared" si="143"/>
        <v>540</v>
      </c>
      <c r="CS64" s="115">
        <f t="shared" si="144"/>
        <v>1080</v>
      </c>
      <c r="CT64" s="115">
        <v>9</v>
      </c>
      <c r="CU64" s="14">
        <f t="shared" si="145"/>
        <v>12203</v>
      </c>
      <c r="CV64" s="118">
        <v>2</v>
      </c>
      <c r="CW64" s="14">
        <f t="shared" si="146"/>
        <v>220</v>
      </c>
      <c r="CX64" s="118" t="s">
        <v>1026</v>
      </c>
      <c r="CY64" s="14">
        <f t="shared" si="147"/>
        <v>3</v>
      </c>
      <c r="CZ64" s="166" t="str">
        <f t="shared" si="50"/>
        <v>守护灵抽卡券5100级-攻击套寄灵人の鞋子1金币70200</v>
      </c>
      <c r="DA64" s="14">
        <f t="shared" si="51"/>
        <v>30</v>
      </c>
      <c r="DB64" s="115" t="s">
        <v>1004</v>
      </c>
      <c r="DC64" s="115">
        <v>5</v>
      </c>
      <c r="DD64" s="115" t="s">
        <v>1484</v>
      </c>
      <c r="DE64" s="115">
        <v>1</v>
      </c>
      <c r="DF64" s="109" t="s">
        <v>252</v>
      </c>
      <c r="DG64" s="115">
        <f t="shared" si="148"/>
        <v>70200</v>
      </c>
      <c r="DJ64" s="118">
        <v>60</v>
      </c>
      <c r="DK64" s="14">
        <f t="shared" si="52"/>
        <v>20</v>
      </c>
      <c r="DL64" s="118">
        <f t="shared" si="149"/>
        <v>105</v>
      </c>
      <c r="DM64" s="166">
        <f t="shared" si="16"/>
        <v>3</v>
      </c>
      <c r="DN64" s="166">
        <v>360</v>
      </c>
      <c r="DO64" s="166">
        <v>2700</v>
      </c>
      <c r="DP64" s="166">
        <v>4</v>
      </c>
      <c r="DQ64" s="118">
        <v>150</v>
      </c>
      <c r="DR64" s="118">
        <f t="shared" si="53"/>
        <v>21203</v>
      </c>
      <c r="DS64" s="118">
        <v>1</v>
      </c>
      <c r="DT64" s="14">
        <f t="shared" si="150"/>
        <v>120</v>
      </c>
      <c r="DU64" s="118" t="s">
        <v>1034</v>
      </c>
      <c r="DV64" s="118">
        <v>3</v>
      </c>
      <c r="DW64" s="166" t="str">
        <f t="shared" si="151"/>
        <v>橙色基础材料18守护灵初级抽卡券5守护灵经验31500</v>
      </c>
      <c r="DX64" s="14">
        <f t="shared" ref="DX64" si="221">DT64*100+9</f>
        <v>12009</v>
      </c>
      <c r="DY64" s="118" t="s">
        <v>1037</v>
      </c>
      <c r="DZ64" s="118">
        <v>5</v>
      </c>
      <c r="EA64" s="14" t="str">
        <f>INDEX(挂机升级突破!$DT$4:$DX$4,DP64)</f>
        <v>橙色基础材料</v>
      </c>
      <c r="EB64" s="14">
        <f>ROUND(INDEX(挂机升级突破!$G$7:$K$37,DK64+2,章节关卡!DP64)/INDEX(挂机升级突破!$G$5:$K$5,章节关卡!DP64)*INDEX(挂机升级突破!$G$4:$K$4,章节关卡!DP64)*章节关卡!DO64,0)</f>
        <v>18</v>
      </c>
      <c r="EC64" s="118" t="s">
        <v>1038</v>
      </c>
      <c r="ED64" s="14">
        <f t="shared" si="153"/>
        <v>31500</v>
      </c>
      <c r="EI64" s="166">
        <v>60</v>
      </c>
      <c r="EJ64" s="14">
        <f t="shared" si="54"/>
        <v>20</v>
      </c>
      <c r="EK64" s="166">
        <f t="shared" si="55"/>
        <v>110</v>
      </c>
      <c r="EL64" s="166">
        <f t="shared" si="20"/>
        <v>3</v>
      </c>
      <c r="EM64" s="166">
        <f t="shared" si="154"/>
        <v>540</v>
      </c>
      <c r="EN64" s="166">
        <f t="shared" si="155"/>
        <v>6750</v>
      </c>
      <c r="EO64" s="166">
        <v>9</v>
      </c>
      <c r="EP64" s="14">
        <f t="shared" si="156"/>
        <v>300</v>
      </c>
      <c r="EQ64" s="14">
        <f t="shared" si="57"/>
        <v>22203</v>
      </c>
      <c r="ER64" s="166">
        <v>1</v>
      </c>
      <c r="ES64" s="14">
        <f t="shared" si="58"/>
        <v>220</v>
      </c>
      <c r="ET64" s="166" t="s">
        <v>1034</v>
      </c>
      <c r="EU64" s="166">
        <v>3</v>
      </c>
      <c r="EV64" s="166"/>
      <c r="EW64" s="14">
        <f t="shared" ref="EW64" si="222">ES64*100+9</f>
        <v>22009</v>
      </c>
      <c r="EX64" s="166" t="s">
        <v>1397</v>
      </c>
      <c r="EY64" s="166">
        <v>50</v>
      </c>
      <c r="EZ64" s="14" t="str">
        <f>INDEX(挂机升级突破!$DT$4:$EC$4,EO64)</f>
        <v>铀金</v>
      </c>
      <c r="FA64" s="14">
        <f>ROUND(INDEX(挂机升级突破!$G$7:$R$37,EJ64+3,EO64)/INDEX(挂机升级突破!$G$5:$R$5,章节关卡!EO64)*INDEX(挂机升级突破!$G$4:$R$4,章节关卡!EO64)*章节关卡!EN64,0)</f>
        <v>2</v>
      </c>
      <c r="FB64" s="166" t="s">
        <v>1399</v>
      </c>
      <c r="FC64" s="166">
        <f t="shared" si="158"/>
        <v>126900</v>
      </c>
    </row>
    <row r="65" spans="45:159" ht="16.5" x14ac:dyDescent="0.2">
      <c r="AS65" s="24">
        <v>61</v>
      </c>
      <c r="AT65" s="14">
        <f t="shared" si="32"/>
        <v>16</v>
      </c>
      <c r="AU65" s="109">
        <f t="shared" si="33"/>
        <v>1</v>
      </c>
      <c r="AV65" s="109">
        <f t="shared" si="34"/>
        <v>32</v>
      </c>
      <c r="AW65" s="109">
        <f t="shared" si="35"/>
        <v>82</v>
      </c>
      <c r="AX65" s="109">
        <f t="shared" si="36"/>
        <v>152</v>
      </c>
      <c r="BA65" s="109">
        <v>61</v>
      </c>
      <c r="BB65" s="14">
        <f t="shared" si="0"/>
        <v>7</v>
      </c>
      <c r="BC65" s="14">
        <f t="shared" si="37"/>
        <v>1</v>
      </c>
      <c r="BD65" s="14">
        <f t="shared" si="81"/>
        <v>240</v>
      </c>
      <c r="BE65" s="14">
        <f t="shared" si="1"/>
        <v>1200</v>
      </c>
      <c r="BF65" s="14">
        <f t="shared" si="2"/>
        <v>2700</v>
      </c>
      <c r="BG65" s="14">
        <f t="shared" si="38"/>
        <v>2.83</v>
      </c>
      <c r="BH65" s="14">
        <f t="shared" si="39"/>
        <v>11002</v>
      </c>
      <c r="BK65" s="109">
        <v>61</v>
      </c>
      <c r="BL65" s="14">
        <f t="shared" si="40"/>
        <v>7</v>
      </c>
      <c r="BM65" s="14">
        <f t="shared" si="41"/>
        <v>1</v>
      </c>
      <c r="BN65" s="14">
        <f t="shared" si="3"/>
        <v>800</v>
      </c>
      <c r="BO65" s="14">
        <f t="shared" si="4"/>
        <v>2400</v>
      </c>
      <c r="BP65" s="14">
        <f t="shared" si="5"/>
        <v>5400</v>
      </c>
      <c r="BS65" s="109">
        <v>61</v>
      </c>
      <c r="BT65" s="109">
        <f t="shared" si="42"/>
        <v>21</v>
      </c>
      <c r="BU65" s="112">
        <f t="shared" si="43"/>
        <v>110</v>
      </c>
      <c r="BV65" s="109">
        <f t="shared" ref="BV65:BV94" si="223">MOD(BS65-1,3)+1</f>
        <v>1</v>
      </c>
      <c r="BW65" s="109">
        <v>120</v>
      </c>
      <c r="BX65" s="109">
        <v>180</v>
      </c>
      <c r="BY65" s="112">
        <v>4</v>
      </c>
      <c r="BZ65" s="14">
        <f t="shared" si="44"/>
        <v>11211</v>
      </c>
      <c r="CA65" s="118">
        <v>1</v>
      </c>
      <c r="CB65" s="14">
        <f t="shared" si="45"/>
        <v>121</v>
      </c>
      <c r="CC65" s="118" t="s">
        <v>1026</v>
      </c>
      <c r="CD65" s="14">
        <f t="shared" si="46"/>
        <v>1</v>
      </c>
      <c r="CE65" s="166" t="str">
        <f t="shared" si="47"/>
        <v xml:space="preserve">钻石100 金币16800 </v>
      </c>
      <c r="CF65" s="14">
        <f t="shared" si="48"/>
        <v>10</v>
      </c>
      <c r="CG65" s="115" t="s">
        <v>19</v>
      </c>
      <c r="CH65" s="115">
        <v>100</v>
      </c>
      <c r="CI65" s="210" t="s">
        <v>358</v>
      </c>
      <c r="CJ65" s="210">
        <f>INDEX($I$6:$I$35,BT65)*BW65</f>
        <v>16800</v>
      </c>
      <c r="CK65" s="210"/>
      <c r="CL65" s="210"/>
      <c r="CO65" s="115">
        <f t="shared" si="141"/>
        <v>21</v>
      </c>
      <c r="CP65" s="115">
        <f t="shared" si="142"/>
        <v>120</v>
      </c>
      <c r="CQ65" s="118">
        <v>1</v>
      </c>
      <c r="CR65" s="115">
        <f t="shared" si="143"/>
        <v>180</v>
      </c>
      <c r="CS65" s="115">
        <f t="shared" si="144"/>
        <v>360</v>
      </c>
      <c r="CT65" s="115">
        <v>9</v>
      </c>
      <c r="CU65" s="14">
        <f t="shared" si="145"/>
        <v>12211</v>
      </c>
      <c r="CV65" s="118">
        <v>2</v>
      </c>
      <c r="CW65" s="14">
        <f t="shared" si="146"/>
        <v>221</v>
      </c>
      <c r="CX65" s="118" t="s">
        <v>1026</v>
      </c>
      <c r="CY65" s="14">
        <f t="shared" si="147"/>
        <v>1</v>
      </c>
      <c r="CZ65" s="166" t="str">
        <f t="shared" si="50"/>
        <v>钻石100110级-防御套守护灵の头盔1金币25200</v>
      </c>
      <c r="DA65" s="14">
        <f t="shared" si="51"/>
        <v>10</v>
      </c>
      <c r="DB65" s="115" t="s">
        <v>257</v>
      </c>
      <c r="DC65" s="115">
        <v>100</v>
      </c>
      <c r="DD65" s="115" t="s">
        <v>1485</v>
      </c>
      <c r="DE65" s="115">
        <v>1</v>
      </c>
      <c r="DF65" s="115" t="s">
        <v>252</v>
      </c>
      <c r="DG65" s="115">
        <f t="shared" si="148"/>
        <v>25200</v>
      </c>
      <c r="DJ65" s="118">
        <v>61</v>
      </c>
      <c r="DK65" s="14">
        <f t="shared" si="52"/>
        <v>21</v>
      </c>
      <c r="DL65" s="118">
        <f t="shared" si="149"/>
        <v>110</v>
      </c>
      <c r="DM65" s="166">
        <f t="shared" si="16"/>
        <v>1</v>
      </c>
      <c r="DN65" s="166">
        <v>120</v>
      </c>
      <c r="DO65" s="166">
        <v>900</v>
      </c>
      <c r="DP65" s="166">
        <v>4</v>
      </c>
      <c r="DQ65" s="118">
        <v>90</v>
      </c>
      <c r="DR65" s="118">
        <f t="shared" si="53"/>
        <v>21211</v>
      </c>
      <c r="DS65" s="118">
        <v>1</v>
      </c>
      <c r="DT65" s="14">
        <f t="shared" si="150"/>
        <v>121</v>
      </c>
      <c r="DU65" s="118" t="s">
        <v>1034</v>
      </c>
      <c r="DV65" s="118">
        <v>1</v>
      </c>
      <c r="DW65" s="166" t="str">
        <f t="shared" si="151"/>
        <v>橙色基础材料8守护灵初级抽卡券2守护灵经验20250</v>
      </c>
      <c r="DX65" s="14">
        <f t="shared" ref="DX65" si="224">DT65*100+3</f>
        <v>12103</v>
      </c>
      <c r="DY65" s="118" t="s">
        <v>1037</v>
      </c>
      <c r="DZ65" s="118">
        <v>2</v>
      </c>
      <c r="EA65" s="14" t="str">
        <f>INDEX(挂机升级突破!$DT$4:$DX$4,DP65)</f>
        <v>橙色基础材料</v>
      </c>
      <c r="EB65" s="14">
        <f>ROUND(INDEX(挂机升级突破!$G$7:$K$37,DK65+2,章节关卡!DP65)/INDEX(挂机升级突破!$G$5:$K$5,章节关卡!DP65)*INDEX(挂机升级突破!$G$4:$K$4,章节关卡!DP65)*章节关卡!DO65,0)</f>
        <v>8</v>
      </c>
      <c r="EC65" s="118" t="s">
        <v>1038</v>
      </c>
      <c r="ED65" s="14">
        <f t="shared" si="153"/>
        <v>20250</v>
      </c>
      <c r="EI65" s="166">
        <v>61</v>
      </c>
      <c r="EJ65" s="14">
        <f t="shared" si="54"/>
        <v>21</v>
      </c>
      <c r="EK65" s="166">
        <f t="shared" si="55"/>
        <v>115</v>
      </c>
      <c r="EL65" s="166">
        <f t="shared" si="20"/>
        <v>1</v>
      </c>
      <c r="EM65" s="166">
        <f t="shared" si="154"/>
        <v>180</v>
      </c>
      <c r="EN65" s="166">
        <f t="shared" si="155"/>
        <v>2250</v>
      </c>
      <c r="EO65" s="166">
        <v>9</v>
      </c>
      <c r="EP65" s="14">
        <f t="shared" si="156"/>
        <v>180</v>
      </c>
      <c r="EQ65" s="14">
        <f t="shared" si="57"/>
        <v>22211</v>
      </c>
      <c r="ER65" s="166">
        <v>1</v>
      </c>
      <c r="ES65" s="14">
        <f t="shared" si="58"/>
        <v>221</v>
      </c>
      <c r="ET65" s="166" t="s">
        <v>1034</v>
      </c>
      <c r="EU65" s="166">
        <v>1</v>
      </c>
      <c r="EV65" s="166"/>
      <c r="EW65" s="14">
        <f t="shared" ref="EW65" si="225">ES65*100+3</f>
        <v>22103</v>
      </c>
      <c r="EX65" s="166" t="s">
        <v>1397</v>
      </c>
      <c r="EY65" s="166">
        <v>20</v>
      </c>
      <c r="EZ65" s="14" t="str">
        <f>INDEX(挂机升级突破!$DT$4:$EC$4,EO65)</f>
        <v>铀金</v>
      </c>
      <c r="FA65" s="14">
        <f>ROUND(INDEX(挂机升级突破!$G$7:$R$37,EJ65+3,EO65)/INDEX(挂机升级突破!$G$5:$R$5,章节关卡!EO65)*INDEX(挂机升级突破!$G$4:$R$4,章节关卡!EO65)*章节关卡!EN65,0)</f>
        <v>1</v>
      </c>
      <c r="FB65" s="166" t="s">
        <v>1399</v>
      </c>
      <c r="FC65" s="166">
        <f t="shared" si="158"/>
        <v>45000</v>
      </c>
    </row>
    <row r="66" spans="45:159" ht="16.5" x14ac:dyDescent="0.2">
      <c r="AS66" s="24">
        <v>62</v>
      </c>
      <c r="AT66" s="14">
        <f t="shared" si="32"/>
        <v>16</v>
      </c>
      <c r="AU66" s="109">
        <f t="shared" si="33"/>
        <v>2</v>
      </c>
      <c r="AV66" s="109">
        <f t="shared" si="34"/>
        <v>32</v>
      </c>
      <c r="AW66" s="109">
        <f t="shared" si="35"/>
        <v>84</v>
      </c>
      <c r="AX66" s="109">
        <f t="shared" si="36"/>
        <v>154</v>
      </c>
      <c r="BA66" s="109">
        <v>62</v>
      </c>
      <c r="BB66" s="14">
        <f t="shared" si="0"/>
        <v>7</v>
      </c>
      <c r="BC66" s="14">
        <f t="shared" si="37"/>
        <v>2</v>
      </c>
      <c r="BD66" s="14">
        <f t="shared" si="81"/>
        <v>240</v>
      </c>
      <c r="BE66" s="14">
        <f t="shared" si="1"/>
        <v>1200</v>
      </c>
      <c r="BF66" s="14">
        <f t="shared" si="2"/>
        <v>2700</v>
      </c>
      <c r="BG66" s="14">
        <f t="shared" si="38"/>
        <v>2.83</v>
      </c>
      <c r="BH66" s="14">
        <f t="shared" si="39"/>
        <v>11002</v>
      </c>
      <c r="BK66" s="109">
        <v>62</v>
      </c>
      <c r="BL66" s="14">
        <f t="shared" si="40"/>
        <v>7</v>
      </c>
      <c r="BM66" s="14">
        <f t="shared" si="41"/>
        <v>2</v>
      </c>
      <c r="BN66" s="14">
        <f t="shared" si="3"/>
        <v>800</v>
      </c>
      <c r="BO66" s="14">
        <f t="shared" si="4"/>
        <v>2400</v>
      </c>
      <c r="BP66" s="14">
        <f t="shared" si="5"/>
        <v>5400</v>
      </c>
      <c r="BS66" s="109">
        <v>62</v>
      </c>
      <c r="BT66" s="109">
        <f t="shared" si="42"/>
        <v>21</v>
      </c>
      <c r="BU66" s="112">
        <f t="shared" si="43"/>
        <v>110</v>
      </c>
      <c r="BV66" s="109">
        <f t="shared" si="223"/>
        <v>2</v>
      </c>
      <c r="BW66" s="109">
        <v>240</v>
      </c>
      <c r="BX66" s="109">
        <v>360</v>
      </c>
      <c r="BY66" s="112">
        <v>4</v>
      </c>
      <c r="BZ66" s="14">
        <f t="shared" si="44"/>
        <v>11212</v>
      </c>
      <c r="CA66" s="118">
        <v>1</v>
      </c>
      <c r="CB66" s="14">
        <f t="shared" si="45"/>
        <v>121</v>
      </c>
      <c r="CC66" s="118" t="s">
        <v>1026</v>
      </c>
      <c r="CD66" s="14">
        <f t="shared" si="46"/>
        <v>2</v>
      </c>
      <c r="CE66" s="166" t="str">
        <f t="shared" si="47"/>
        <v>守护灵抽卡券2 2小时扫荡券1 金币33600</v>
      </c>
      <c r="CF66" s="14">
        <f t="shared" si="48"/>
        <v>20</v>
      </c>
      <c r="CG66" s="115" t="s">
        <v>258</v>
      </c>
      <c r="CH66" s="115">
        <v>2</v>
      </c>
      <c r="CI66" s="210" t="s">
        <v>1395</v>
      </c>
      <c r="CJ66" s="210">
        <v>1</v>
      </c>
      <c r="CK66" s="210" t="s">
        <v>252</v>
      </c>
      <c r="CL66" s="210">
        <f t="shared" ref="CL66:CL67" si="226">INDEX($I$6:$I$35,BT66)*BW66</f>
        <v>33600</v>
      </c>
      <c r="CO66" s="115">
        <f t="shared" si="141"/>
        <v>21</v>
      </c>
      <c r="CP66" s="115">
        <f t="shared" si="142"/>
        <v>120</v>
      </c>
      <c r="CQ66" s="118">
        <v>2</v>
      </c>
      <c r="CR66" s="115">
        <f t="shared" si="143"/>
        <v>360</v>
      </c>
      <c r="CS66" s="115">
        <f t="shared" si="144"/>
        <v>720</v>
      </c>
      <c r="CT66" s="115">
        <v>9</v>
      </c>
      <c r="CU66" s="14">
        <f t="shared" si="145"/>
        <v>12212</v>
      </c>
      <c r="CV66" s="118">
        <v>2</v>
      </c>
      <c r="CW66" s="14">
        <f t="shared" si="146"/>
        <v>221</v>
      </c>
      <c r="CX66" s="118" t="s">
        <v>1026</v>
      </c>
      <c r="CY66" s="14">
        <f t="shared" si="147"/>
        <v>2</v>
      </c>
      <c r="CZ66" s="166" t="str">
        <f t="shared" si="50"/>
        <v>熔炼值4800110级-防御套守护灵の铠甲1金币50400</v>
      </c>
      <c r="DA66" s="14">
        <f t="shared" si="51"/>
        <v>20</v>
      </c>
      <c r="DB66" s="115" t="s">
        <v>1005</v>
      </c>
      <c r="DC66" s="115">
        <v>4800</v>
      </c>
      <c r="DD66" s="115" t="s">
        <v>1486</v>
      </c>
      <c r="DE66" s="115">
        <v>1</v>
      </c>
      <c r="DF66" s="115" t="s">
        <v>252</v>
      </c>
      <c r="DG66" s="115">
        <f t="shared" si="148"/>
        <v>50400</v>
      </c>
      <c r="DJ66" s="118">
        <v>62</v>
      </c>
      <c r="DK66" s="14">
        <f t="shared" si="52"/>
        <v>21</v>
      </c>
      <c r="DL66" s="118">
        <f t="shared" si="149"/>
        <v>110</v>
      </c>
      <c r="DM66" s="166">
        <f t="shared" si="16"/>
        <v>2</v>
      </c>
      <c r="DN66" s="166">
        <v>240</v>
      </c>
      <c r="DO66" s="166">
        <v>1800</v>
      </c>
      <c r="DP66" s="166">
        <v>4</v>
      </c>
      <c r="DQ66" s="118">
        <v>120</v>
      </c>
      <c r="DR66" s="118">
        <f t="shared" si="53"/>
        <v>21212</v>
      </c>
      <c r="DS66" s="118">
        <v>1</v>
      </c>
      <c r="DT66" s="14">
        <f t="shared" si="150"/>
        <v>121</v>
      </c>
      <c r="DU66" s="118" t="s">
        <v>1034</v>
      </c>
      <c r="DV66" s="118">
        <v>2</v>
      </c>
      <c r="DW66" s="166" t="str">
        <f t="shared" si="151"/>
        <v>橙色基础材料15守护灵初级抽卡券3守护灵经验27000</v>
      </c>
      <c r="DX66" s="14">
        <f t="shared" ref="DX66" si="227">DT66*100+6</f>
        <v>12106</v>
      </c>
      <c r="DY66" s="118" t="s">
        <v>1037</v>
      </c>
      <c r="DZ66" s="118">
        <v>3</v>
      </c>
      <c r="EA66" s="14" t="str">
        <f>INDEX(挂机升级突破!$DT$4:$DX$4,DP66)</f>
        <v>橙色基础材料</v>
      </c>
      <c r="EB66" s="14">
        <f>ROUND(INDEX(挂机升级突破!$G$7:$K$37,DK66+2,章节关卡!DP66)/INDEX(挂机升级突破!$G$5:$K$5,章节关卡!DP66)*INDEX(挂机升级突破!$G$4:$K$4,章节关卡!DP66)*章节关卡!DO66,0)</f>
        <v>15</v>
      </c>
      <c r="EC66" s="118" t="s">
        <v>1038</v>
      </c>
      <c r="ED66" s="14">
        <f t="shared" si="153"/>
        <v>27000</v>
      </c>
      <c r="EI66" s="166">
        <v>62</v>
      </c>
      <c r="EJ66" s="14">
        <f t="shared" si="54"/>
        <v>21</v>
      </c>
      <c r="EK66" s="166">
        <f t="shared" si="55"/>
        <v>115</v>
      </c>
      <c r="EL66" s="166">
        <f t="shared" si="20"/>
        <v>2</v>
      </c>
      <c r="EM66" s="166">
        <f t="shared" si="154"/>
        <v>360</v>
      </c>
      <c r="EN66" s="166">
        <f t="shared" si="155"/>
        <v>4500</v>
      </c>
      <c r="EO66" s="166">
        <v>9</v>
      </c>
      <c r="EP66" s="14">
        <f t="shared" si="156"/>
        <v>240</v>
      </c>
      <c r="EQ66" s="14">
        <f t="shared" si="57"/>
        <v>22212</v>
      </c>
      <c r="ER66" s="166">
        <v>1</v>
      </c>
      <c r="ES66" s="14">
        <f t="shared" si="58"/>
        <v>221</v>
      </c>
      <c r="ET66" s="166" t="s">
        <v>1034</v>
      </c>
      <c r="EU66" s="166">
        <v>2</v>
      </c>
      <c r="EV66" s="166"/>
      <c r="EW66" s="14">
        <f t="shared" ref="EW66" si="228">ES66*100+6</f>
        <v>22106</v>
      </c>
      <c r="EX66" s="166" t="s">
        <v>1397</v>
      </c>
      <c r="EY66" s="166">
        <v>30</v>
      </c>
      <c r="EZ66" s="14" t="str">
        <f>INDEX(挂机升级突破!$DT$4:$EC$4,EO66)</f>
        <v>铀金</v>
      </c>
      <c r="FA66" s="14">
        <f>ROUND(INDEX(挂机升级突破!$G$7:$R$37,EJ66+3,EO66)/INDEX(挂机升级突破!$G$5:$R$5,章节关卡!EO66)*INDEX(挂机升级突破!$G$4:$R$4,章节关卡!EO66)*章节关卡!EN66,0)</f>
        <v>2</v>
      </c>
      <c r="FB66" s="166" t="s">
        <v>1399</v>
      </c>
      <c r="FC66" s="166">
        <f t="shared" si="158"/>
        <v>90000</v>
      </c>
    </row>
    <row r="67" spans="45:159" ht="16.5" x14ac:dyDescent="0.2">
      <c r="AS67" s="24">
        <v>63</v>
      </c>
      <c r="AT67" s="14">
        <f t="shared" si="32"/>
        <v>16</v>
      </c>
      <c r="AU67" s="109">
        <f t="shared" si="33"/>
        <v>3</v>
      </c>
      <c r="AV67" s="109">
        <f t="shared" si="34"/>
        <v>32</v>
      </c>
      <c r="AW67" s="109">
        <f t="shared" si="35"/>
        <v>86</v>
      </c>
      <c r="AX67" s="109">
        <f t="shared" si="36"/>
        <v>156</v>
      </c>
      <c r="BA67" s="109">
        <v>63</v>
      </c>
      <c r="BB67" s="14">
        <f t="shared" si="0"/>
        <v>7</v>
      </c>
      <c r="BC67" s="14">
        <f t="shared" si="37"/>
        <v>3</v>
      </c>
      <c r="BD67" s="14">
        <f t="shared" si="81"/>
        <v>240</v>
      </c>
      <c r="BE67" s="14">
        <f t="shared" si="1"/>
        <v>1200</v>
      </c>
      <c r="BF67" s="14">
        <f t="shared" si="2"/>
        <v>2700</v>
      </c>
      <c r="BG67" s="14">
        <f t="shared" si="38"/>
        <v>2.83</v>
      </c>
      <c r="BH67" s="14">
        <f t="shared" si="39"/>
        <v>11002</v>
      </c>
      <c r="BK67" s="109">
        <v>63</v>
      </c>
      <c r="BL67" s="14">
        <f t="shared" si="40"/>
        <v>7</v>
      </c>
      <c r="BM67" s="14">
        <f t="shared" si="41"/>
        <v>3</v>
      </c>
      <c r="BN67" s="14">
        <f t="shared" si="3"/>
        <v>800</v>
      </c>
      <c r="BO67" s="14">
        <f t="shared" si="4"/>
        <v>2400</v>
      </c>
      <c r="BP67" s="14">
        <f t="shared" si="5"/>
        <v>5400</v>
      </c>
      <c r="BS67" s="109">
        <v>63</v>
      </c>
      <c r="BT67" s="109">
        <f t="shared" si="42"/>
        <v>21</v>
      </c>
      <c r="BU67" s="112">
        <f t="shared" si="43"/>
        <v>110</v>
      </c>
      <c r="BV67" s="109">
        <f t="shared" si="223"/>
        <v>3</v>
      </c>
      <c r="BW67" s="109">
        <v>360</v>
      </c>
      <c r="BX67" s="109">
        <v>540</v>
      </c>
      <c r="BY67" s="112">
        <v>4</v>
      </c>
      <c r="BZ67" s="14">
        <f t="shared" si="44"/>
        <v>11213</v>
      </c>
      <c r="CA67" s="118">
        <v>1</v>
      </c>
      <c r="CB67" s="14">
        <f t="shared" si="45"/>
        <v>121</v>
      </c>
      <c r="CC67" s="118" t="s">
        <v>1026</v>
      </c>
      <c r="CD67" s="14">
        <f t="shared" si="46"/>
        <v>3</v>
      </c>
      <c r="CE67" s="166" t="str">
        <f t="shared" si="47"/>
        <v>守护灵抽卡券3 2小时扫荡券1 金币50400</v>
      </c>
      <c r="CF67" s="14">
        <f t="shared" si="48"/>
        <v>30</v>
      </c>
      <c r="CG67" s="115" t="s">
        <v>258</v>
      </c>
      <c r="CH67" s="115">
        <v>3</v>
      </c>
      <c r="CI67" s="210" t="s">
        <v>1395</v>
      </c>
      <c r="CJ67" s="210">
        <v>1</v>
      </c>
      <c r="CK67" s="210" t="s">
        <v>252</v>
      </c>
      <c r="CL67" s="210">
        <f t="shared" si="226"/>
        <v>50400</v>
      </c>
      <c r="CO67" s="115">
        <f t="shared" si="141"/>
        <v>21</v>
      </c>
      <c r="CP67" s="115">
        <f t="shared" si="142"/>
        <v>120</v>
      </c>
      <c r="CQ67" s="118">
        <v>3</v>
      </c>
      <c r="CR67" s="115">
        <f t="shared" si="143"/>
        <v>540</v>
      </c>
      <c r="CS67" s="115">
        <f t="shared" si="144"/>
        <v>1080</v>
      </c>
      <c r="CT67" s="115">
        <v>9</v>
      </c>
      <c r="CU67" s="14">
        <f t="shared" si="145"/>
        <v>12213</v>
      </c>
      <c r="CV67" s="118">
        <v>2</v>
      </c>
      <c r="CW67" s="14">
        <f t="shared" si="146"/>
        <v>221</v>
      </c>
      <c r="CX67" s="118" t="s">
        <v>1026</v>
      </c>
      <c r="CY67" s="14">
        <f t="shared" si="147"/>
        <v>3</v>
      </c>
      <c r="CZ67" s="166" t="str">
        <f t="shared" si="50"/>
        <v>守护灵抽卡券5110级-防御套守护灵の裤子1金币75600</v>
      </c>
      <c r="DA67" s="14">
        <f t="shared" si="51"/>
        <v>30</v>
      </c>
      <c r="DB67" s="115" t="s">
        <v>1004</v>
      </c>
      <c r="DC67" s="115">
        <v>5</v>
      </c>
      <c r="DD67" s="115" t="s">
        <v>1487</v>
      </c>
      <c r="DE67" s="115">
        <v>1</v>
      </c>
      <c r="DF67" s="115" t="s">
        <v>252</v>
      </c>
      <c r="DG67" s="115">
        <f t="shared" si="148"/>
        <v>75600</v>
      </c>
      <c r="DJ67" s="118">
        <v>63</v>
      </c>
      <c r="DK67" s="14">
        <f t="shared" si="52"/>
        <v>21</v>
      </c>
      <c r="DL67" s="118">
        <f t="shared" si="149"/>
        <v>110</v>
      </c>
      <c r="DM67" s="166">
        <f t="shared" si="16"/>
        <v>3</v>
      </c>
      <c r="DN67" s="166">
        <v>360</v>
      </c>
      <c r="DO67" s="166">
        <v>2700</v>
      </c>
      <c r="DP67" s="166">
        <v>4</v>
      </c>
      <c r="DQ67" s="118">
        <v>150</v>
      </c>
      <c r="DR67" s="118">
        <f t="shared" si="53"/>
        <v>21213</v>
      </c>
      <c r="DS67" s="118">
        <v>1</v>
      </c>
      <c r="DT67" s="14">
        <f t="shared" si="150"/>
        <v>121</v>
      </c>
      <c r="DU67" s="118" t="s">
        <v>1034</v>
      </c>
      <c r="DV67" s="118">
        <v>3</v>
      </c>
      <c r="DW67" s="166" t="str">
        <f t="shared" si="151"/>
        <v>橙色基础材料23守护灵初级抽卡券5守护灵经验33750</v>
      </c>
      <c r="DX67" s="14">
        <f t="shared" ref="DX67" si="229">DT67*100+9</f>
        <v>12109</v>
      </c>
      <c r="DY67" s="118" t="s">
        <v>1037</v>
      </c>
      <c r="DZ67" s="118">
        <v>5</v>
      </c>
      <c r="EA67" s="14" t="str">
        <f>INDEX(挂机升级突破!$DT$4:$DX$4,DP67)</f>
        <v>橙色基础材料</v>
      </c>
      <c r="EB67" s="14">
        <f>ROUND(INDEX(挂机升级突破!$G$7:$K$37,DK67+2,章节关卡!DP67)/INDEX(挂机升级突破!$G$5:$K$5,章节关卡!DP67)*INDEX(挂机升级突破!$G$4:$K$4,章节关卡!DP67)*章节关卡!DO67,0)</f>
        <v>23</v>
      </c>
      <c r="EC67" s="118" t="s">
        <v>1038</v>
      </c>
      <c r="ED67" s="14">
        <f t="shared" si="153"/>
        <v>33750</v>
      </c>
      <c r="EI67" s="166">
        <v>63</v>
      </c>
      <c r="EJ67" s="14">
        <f t="shared" si="54"/>
        <v>21</v>
      </c>
      <c r="EK67" s="166">
        <f t="shared" si="55"/>
        <v>115</v>
      </c>
      <c r="EL67" s="166">
        <f t="shared" si="20"/>
        <v>3</v>
      </c>
      <c r="EM67" s="166">
        <f t="shared" si="154"/>
        <v>540</v>
      </c>
      <c r="EN67" s="166">
        <f t="shared" si="155"/>
        <v>6750</v>
      </c>
      <c r="EO67" s="166">
        <v>9</v>
      </c>
      <c r="EP67" s="14">
        <f t="shared" si="156"/>
        <v>300</v>
      </c>
      <c r="EQ67" s="14">
        <f t="shared" si="57"/>
        <v>22213</v>
      </c>
      <c r="ER67" s="166">
        <v>1</v>
      </c>
      <c r="ES67" s="14">
        <f t="shared" si="58"/>
        <v>221</v>
      </c>
      <c r="ET67" s="166" t="s">
        <v>1034</v>
      </c>
      <c r="EU67" s="166">
        <v>3</v>
      </c>
      <c r="EV67" s="166"/>
      <c r="EW67" s="14">
        <f t="shared" ref="EW67" si="230">ES67*100+9</f>
        <v>22109</v>
      </c>
      <c r="EX67" s="166" t="s">
        <v>1397</v>
      </c>
      <c r="EY67" s="166">
        <v>50</v>
      </c>
      <c r="EZ67" s="14" t="str">
        <f>INDEX(挂机升级突破!$DT$4:$EC$4,EO67)</f>
        <v>铀金</v>
      </c>
      <c r="FA67" s="14">
        <f>ROUND(INDEX(挂机升级突破!$G$7:$R$37,EJ67+3,EO67)/INDEX(挂机升级突破!$G$5:$R$5,章节关卡!EO67)*INDEX(挂机升级突破!$G$4:$R$4,章节关卡!EO67)*章节关卡!EN67,0)</f>
        <v>3</v>
      </c>
      <c r="FB67" s="166" t="s">
        <v>1399</v>
      </c>
      <c r="FC67" s="166">
        <f t="shared" si="158"/>
        <v>135000</v>
      </c>
    </row>
    <row r="68" spans="45:159" ht="16.5" x14ac:dyDescent="0.2">
      <c r="AS68" s="24">
        <v>64</v>
      </c>
      <c r="AT68" s="14">
        <f t="shared" si="32"/>
        <v>16</v>
      </c>
      <c r="AU68" s="109">
        <f t="shared" si="33"/>
        <v>4</v>
      </c>
      <c r="AV68" s="109">
        <f t="shared" si="34"/>
        <v>32</v>
      </c>
      <c r="AW68" s="109">
        <f t="shared" si="35"/>
        <v>88</v>
      </c>
      <c r="AX68" s="109">
        <f t="shared" si="36"/>
        <v>158</v>
      </c>
      <c r="BA68" s="109">
        <v>64</v>
      </c>
      <c r="BB68" s="14">
        <f t="shared" si="0"/>
        <v>7</v>
      </c>
      <c r="BC68" s="14">
        <f t="shared" si="37"/>
        <v>4</v>
      </c>
      <c r="BD68" s="14">
        <f t="shared" si="81"/>
        <v>240</v>
      </c>
      <c r="BE68" s="14">
        <f t="shared" si="1"/>
        <v>1200</v>
      </c>
      <c r="BF68" s="14">
        <f t="shared" si="2"/>
        <v>2700</v>
      </c>
      <c r="BG68" s="14">
        <f t="shared" si="38"/>
        <v>2.83</v>
      </c>
      <c r="BH68" s="14">
        <f t="shared" si="39"/>
        <v>11002</v>
      </c>
      <c r="BK68" s="109">
        <v>64</v>
      </c>
      <c r="BL68" s="14">
        <f t="shared" si="40"/>
        <v>7</v>
      </c>
      <c r="BM68" s="14">
        <f t="shared" si="41"/>
        <v>4</v>
      </c>
      <c r="BN68" s="14">
        <f t="shared" si="3"/>
        <v>800</v>
      </c>
      <c r="BO68" s="14">
        <f t="shared" si="4"/>
        <v>2400</v>
      </c>
      <c r="BP68" s="14">
        <f t="shared" si="5"/>
        <v>5400</v>
      </c>
      <c r="BS68" s="109">
        <v>64</v>
      </c>
      <c r="BT68" s="109">
        <f t="shared" si="42"/>
        <v>22</v>
      </c>
      <c r="BU68" s="112">
        <f t="shared" si="43"/>
        <v>115</v>
      </c>
      <c r="BV68" s="109">
        <f t="shared" si="223"/>
        <v>1</v>
      </c>
      <c r="BW68" s="109">
        <v>120</v>
      </c>
      <c r="BX68" s="109">
        <v>180</v>
      </c>
      <c r="BY68" s="109">
        <v>5</v>
      </c>
      <c r="BZ68" s="14">
        <f t="shared" si="44"/>
        <v>11221</v>
      </c>
      <c r="CA68" s="118">
        <v>1</v>
      </c>
      <c r="CB68" s="14">
        <f t="shared" si="45"/>
        <v>122</v>
      </c>
      <c r="CC68" s="118" t="s">
        <v>1026</v>
      </c>
      <c r="CD68" s="14">
        <f t="shared" si="46"/>
        <v>1</v>
      </c>
      <c r="CE68" s="166" t="str">
        <f t="shared" si="47"/>
        <v xml:space="preserve">钻石100 金币18000 </v>
      </c>
      <c r="CF68" s="14">
        <f t="shared" si="48"/>
        <v>10</v>
      </c>
      <c r="CG68" s="115" t="s">
        <v>19</v>
      </c>
      <c r="CH68" s="115">
        <v>100</v>
      </c>
      <c r="CI68" s="210" t="s">
        <v>358</v>
      </c>
      <c r="CJ68" s="210">
        <f>INDEX($I$6:$I$35,BT68)*BW68</f>
        <v>18000</v>
      </c>
      <c r="CK68" s="210"/>
      <c r="CL68" s="210"/>
      <c r="CO68" s="115">
        <f t="shared" si="141"/>
        <v>22</v>
      </c>
      <c r="CP68" s="115">
        <f t="shared" si="142"/>
        <v>125</v>
      </c>
      <c r="CQ68" s="118">
        <v>1</v>
      </c>
      <c r="CR68" s="115">
        <f t="shared" si="143"/>
        <v>180</v>
      </c>
      <c r="CS68" s="115">
        <f t="shared" si="144"/>
        <v>360</v>
      </c>
      <c r="CT68" s="115">
        <v>9</v>
      </c>
      <c r="CU68" s="14">
        <f t="shared" si="145"/>
        <v>12221</v>
      </c>
      <c r="CV68" s="118">
        <v>2</v>
      </c>
      <c r="CW68" s="14">
        <f t="shared" si="146"/>
        <v>222</v>
      </c>
      <c r="CX68" s="118" t="s">
        <v>1026</v>
      </c>
      <c r="CY68" s="14">
        <f t="shared" si="147"/>
        <v>1</v>
      </c>
      <c r="CZ68" s="166" t="str">
        <f t="shared" si="50"/>
        <v>钻石100110级-防御套寄灵人の头盔1金币27000</v>
      </c>
      <c r="DA68" s="14">
        <f t="shared" si="51"/>
        <v>10</v>
      </c>
      <c r="DB68" s="115" t="s">
        <v>257</v>
      </c>
      <c r="DC68" s="115">
        <v>100</v>
      </c>
      <c r="DD68" s="115" t="s">
        <v>1488</v>
      </c>
      <c r="DE68" s="115">
        <v>1</v>
      </c>
      <c r="DF68" s="115" t="s">
        <v>252</v>
      </c>
      <c r="DG68" s="115">
        <f t="shared" si="148"/>
        <v>27000</v>
      </c>
      <c r="DJ68" s="118">
        <v>64</v>
      </c>
      <c r="DK68" s="14">
        <f t="shared" si="52"/>
        <v>22</v>
      </c>
      <c r="DL68" s="118">
        <f t="shared" si="149"/>
        <v>115</v>
      </c>
      <c r="DM68" s="166">
        <f t="shared" si="16"/>
        <v>1</v>
      </c>
      <c r="DN68" s="166">
        <v>120</v>
      </c>
      <c r="DO68" s="166">
        <v>900</v>
      </c>
      <c r="DP68" s="166">
        <v>5</v>
      </c>
      <c r="DQ68" s="118">
        <v>90</v>
      </c>
      <c r="DR68" s="118">
        <f t="shared" si="53"/>
        <v>21221</v>
      </c>
      <c r="DS68" s="118">
        <v>1</v>
      </c>
      <c r="DT68" s="14">
        <f t="shared" si="150"/>
        <v>122</v>
      </c>
      <c r="DU68" s="118" t="s">
        <v>1034</v>
      </c>
      <c r="DV68" s="118">
        <v>1</v>
      </c>
      <c r="DW68" s="166" t="str">
        <f t="shared" si="151"/>
        <v>红色基础材料1守护灵初级抽卡券2守护灵经验21150</v>
      </c>
      <c r="DX68" s="14">
        <f t="shared" ref="DX68" si="231">DT68*100+3</f>
        <v>12203</v>
      </c>
      <c r="DY68" s="118" t="s">
        <v>1037</v>
      </c>
      <c r="DZ68" s="118">
        <v>2</v>
      </c>
      <c r="EA68" s="14" t="str">
        <f>INDEX(挂机升级突破!$DT$4:$DX$4,DP68)</f>
        <v>红色基础材料</v>
      </c>
      <c r="EB68" s="14">
        <f>ROUND(INDEX(挂机升级突破!$G$7:$K$37,DK68+2,章节关卡!DP68)/INDEX(挂机升级突破!$G$5:$K$5,章节关卡!DP68)*INDEX(挂机升级突破!$G$4:$K$4,章节关卡!DP68)*章节关卡!DO68,0)</f>
        <v>1</v>
      </c>
      <c r="EC68" s="118" t="s">
        <v>1038</v>
      </c>
      <c r="ED68" s="14">
        <f t="shared" si="153"/>
        <v>21150</v>
      </c>
      <c r="EI68" s="166">
        <v>64</v>
      </c>
      <c r="EJ68" s="14">
        <f t="shared" si="54"/>
        <v>22</v>
      </c>
      <c r="EK68" s="166">
        <f t="shared" si="55"/>
        <v>120</v>
      </c>
      <c r="EL68" s="166">
        <f t="shared" si="20"/>
        <v>1</v>
      </c>
      <c r="EM68" s="166">
        <f t="shared" si="154"/>
        <v>180</v>
      </c>
      <c r="EN68" s="166">
        <f t="shared" si="155"/>
        <v>2250</v>
      </c>
      <c r="EO68" s="166">
        <v>9</v>
      </c>
      <c r="EP68" s="14">
        <f t="shared" si="156"/>
        <v>180</v>
      </c>
      <c r="EQ68" s="14">
        <f t="shared" si="57"/>
        <v>22221</v>
      </c>
      <c r="ER68" s="166">
        <v>1</v>
      </c>
      <c r="ES68" s="14">
        <f t="shared" si="58"/>
        <v>222</v>
      </c>
      <c r="ET68" s="166" t="s">
        <v>1034</v>
      </c>
      <c r="EU68" s="166">
        <v>1</v>
      </c>
      <c r="EV68" s="166"/>
      <c r="EW68" s="14">
        <f t="shared" ref="EW68" si="232">ES68*100+3</f>
        <v>22203</v>
      </c>
      <c r="EX68" s="166" t="s">
        <v>1397</v>
      </c>
      <c r="EY68" s="166">
        <v>20</v>
      </c>
      <c r="EZ68" s="14" t="str">
        <f>INDEX(挂机升级突破!$DT$4:$EC$4,EO68)</f>
        <v>铀金</v>
      </c>
      <c r="FA68" s="14">
        <f>ROUND(INDEX(挂机升级突破!$G$7:$R$37,EJ68+3,EO68)/INDEX(挂机升级突破!$G$5:$R$5,章节关卡!EO68)*INDEX(挂机升级突破!$G$4:$R$4,章节关卡!EO68)*章节关卡!EN68,0)</f>
        <v>1</v>
      </c>
      <c r="FB68" s="166" t="s">
        <v>1399</v>
      </c>
      <c r="FC68" s="166">
        <f t="shared" si="158"/>
        <v>49500</v>
      </c>
    </row>
    <row r="69" spans="45:159" ht="16.5" x14ac:dyDescent="0.2">
      <c r="AS69" s="24">
        <v>65</v>
      </c>
      <c r="AT69" s="14">
        <f t="shared" si="32"/>
        <v>17</v>
      </c>
      <c r="AU69" s="109">
        <f t="shared" si="33"/>
        <v>1</v>
      </c>
      <c r="AV69" s="109">
        <f t="shared" si="34"/>
        <v>35</v>
      </c>
      <c r="AW69" s="109">
        <f t="shared" si="35"/>
        <v>92</v>
      </c>
      <c r="AX69" s="109">
        <f t="shared" si="36"/>
        <v>163</v>
      </c>
      <c r="BA69" s="109">
        <v>65</v>
      </c>
      <c r="BB69" s="14">
        <f t="shared" ref="BB69:BB132" si="233">INDEX($O$5:$O$36,MATCH(BA69-1,$R$5:$R$36,1))+1</f>
        <v>7</v>
      </c>
      <c r="BC69" s="14">
        <f t="shared" si="37"/>
        <v>5</v>
      </c>
      <c r="BD69" s="14">
        <f t="shared" si="81"/>
        <v>240</v>
      </c>
      <c r="BE69" s="14">
        <f t="shared" ref="BE69:BE132" si="234">INDEX($V$6:$V$35,BB69)</f>
        <v>1200</v>
      </c>
      <c r="BF69" s="14">
        <f t="shared" ref="BF69:BF132" si="235">INDEX($X$6:$X$35,BB69)</f>
        <v>2700</v>
      </c>
      <c r="BG69" s="14">
        <f t="shared" si="38"/>
        <v>2.83</v>
      </c>
      <c r="BH69" s="14">
        <f t="shared" si="39"/>
        <v>11002</v>
      </c>
      <c r="BK69" s="109">
        <v>65</v>
      </c>
      <c r="BL69" s="14">
        <f t="shared" si="40"/>
        <v>7</v>
      </c>
      <c r="BM69" s="14">
        <f t="shared" si="41"/>
        <v>5</v>
      </c>
      <c r="BN69" s="14">
        <f t="shared" ref="BN69:BN132" si="236">INDEX($AJ$6:$AJ$35,BL69)</f>
        <v>800</v>
      </c>
      <c r="BO69" s="14">
        <f t="shared" ref="BO69:BO132" si="237">INDEX($AL$6:$AL$35,BL69)</f>
        <v>2400</v>
      </c>
      <c r="BP69" s="14">
        <f t="shared" ref="BP69:BP132" si="238">INDEX($AN$6:$AN$35,BL69)</f>
        <v>5400</v>
      </c>
      <c r="BS69" s="109">
        <v>65</v>
      </c>
      <c r="BT69" s="109">
        <f t="shared" si="42"/>
        <v>22</v>
      </c>
      <c r="BU69" s="112">
        <f t="shared" si="43"/>
        <v>115</v>
      </c>
      <c r="BV69" s="109">
        <f t="shared" si="223"/>
        <v>2</v>
      </c>
      <c r="BW69" s="109">
        <v>240</v>
      </c>
      <c r="BX69" s="109">
        <v>360</v>
      </c>
      <c r="BY69" s="112">
        <v>5</v>
      </c>
      <c r="BZ69" s="14">
        <f t="shared" si="44"/>
        <v>11222</v>
      </c>
      <c r="CA69" s="118">
        <v>1</v>
      </c>
      <c r="CB69" s="14">
        <f t="shared" si="45"/>
        <v>122</v>
      </c>
      <c r="CC69" s="118" t="s">
        <v>1026</v>
      </c>
      <c r="CD69" s="14">
        <f t="shared" si="46"/>
        <v>2</v>
      </c>
      <c r="CE69" s="166" t="str">
        <f t="shared" si="47"/>
        <v>守护灵抽卡券2 2小时扫荡券1 金币36000</v>
      </c>
      <c r="CF69" s="14">
        <f t="shared" si="48"/>
        <v>20</v>
      </c>
      <c r="CG69" s="115" t="s">
        <v>258</v>
      </c>
      <c r="CH69" s="115">
        <v>2</v>
      </c>
      <c r="CI69" s="210" t="s">
        <v>1395</v>
      </c>
      <c r="CJ69" s="210">
        <v>1</v>
      </c>
      <c r="CK69" s="210" t="s">
        <v>252</v>
      </c>
      <c r="CL69" s="210">
        <f t="shared" ref="CL69:CL70" si="239">INDEX($I$6:$I$35,BT69)*BW69</f>
        <v>36000</v>
      </c>
      <c r="CO69" s="115">
        <f t="shared" ref="CO69:CO94" si="240">BT69</f>
        <v>22</v>
      </c>
      <c r="CP69" s="115">
        <f t="shared" ref="CP69:CP94" si="241">BU69+10</f>
        <v>125</v>
      </c>
      <c r="CQ69" s="118">
        <v>2</v>
      </c>
      <c r="CR69" s="115">
        <f t="shared" ref="CR69:CR94" si="242">BW69*CR$2</f>
        <v>360</v>
      </c>
      <c r="CS69" s="115">
        <f t="shared" ref="CS69:CS94" si="243">BX69*CS$2</f>
        <v>720</v>
      </c>
      <c r="CT69" s="115">
        <v>9</v>
      </c>
      <c r="CU69" s="14">
        <f t="shared" ref="CU69:CU94" si="244">10000+CW69*10+CQ69</f>
        <v>12222</v>
      </c>
      <c r="CV69" s="118">
        <v>2</v>
      </c>
      <c r="CW69" s="14">
        <f t="shared" ref="CW69:CW94" si="245">200+CO69</f>
        <v>222</v>
      </c>
      <c r="CX69" s="118" t="s">
        <v>1026</v>
      </c>
      <c r="CY69" s="14">
        <f t="shared" ref="CY69:CY94" si="246">CQ69</f>
        <v>2</v>
      </c>
      <c r="CZ69" s="166" t="str">
        <f t="shared" si="50"/>
        <v>熔炼值5400110级-防御套寄灵人の铠甲1金币54000</v>
      </c>
      <c r="DA69" s="14">
        <f t="shared" si="51"/>
        <v>20</v>
      </c>
      <c r="DB69" s="115" t="s">
        <v>1005</v>
      </c>
      <c r="DC69" s="115">
        <v>5400</v>
      </c>
      <c r="DD69" s="115" t="s">
        <v>1489</v>
      </c>
      <c r="DE69" s="115">
        <v>1</v>
      </c>
      <c r="DF69" s="115" t="s">
        <v>252</v>
      </c>
      <c r="DG69" s="115">
        <f t="shared" ref="DG69:DG94" si="247">INDEX($I$6:$I$35,BT69)*CR69</f>
        <v>54000</v>
      </c>
      <c r="DJ69" s="118">
        <v>65</v>
      </c>
      <c r="DK69" s="14">
        <f t="shared" si="52"/>
        <v>22</v>
      </c>
      <c r="DL69" s="118">
        <f t="shared" ref="DL69:DL94" si="248">BU69</f>
        <v>115</v>
      </c>
      <c r="DM69" s="166">
        <f t="shared" ref="DM69:DM94" si="249">MOD(DJ69-1,3)+1</f>
        <v>2</v>
      </c>
      <c r="DN69" s="166">
        <v>240</v>
      </c>
      <c r="DO69" s="166">
        <v>1800</v>
      </c>
      <c r="DP69" s="166">
        <v>5</v>
      </c>
      <c r="DQ69" s="118">
        <v>120</v>
      </c>
      <c r="DR69" s="118">
        <f t="shared" si="53"/>
        <v>21222</v>
      </c>
      <c r="DS69" s="118">
        <v>1</v>
      </c>
      <c r="DT69" s="14">
        <f t="shared" ref="DT69:DT94" si="250">DK69+100</f>
        <v>122</v>
      </c>
      <c r="DU69" s="118" t="s">
        <v>1034</v>
      </c>
      <c r="DV69" s="118">
        <v>2</v>
      </c>
      <c r="DW69" s="166" t="str">
        <f t="shared" ref="DW69:DW94" si="251">EA69&amp;EB69&amp;DY69&amp;DZ69&amp;EC69&amp;ED69</f>
        <v>红色基础材料2守护灵初级抽卡券3守护灵经验28200</v>
      </c>
      <c r="DX69" s="14">
        <f t="shared" ref="DX69" si="252">DT69*100+6</f>
        <v>12206</v>
      </c>
      <c r="DY69" s="118" t="s">
        <v>1037</v>
      </c>
      <c r="DZ69" s="118">
        <v>3</v>
      </c>
      <c r="EA69" s="14" t="str">
        <f>INDEX(挂机升级突破!$DT$4:$DX$4,DP69)</f>
        <v>红色基础材料</v>
      </c>
      <c r="EB69" s="14">
        <f>ROUND(INDEX(挂机升级突破!$G$7:$K$37,DK69+2,章节关卡!DP69)/INDEX(挂机升级突破!$G$5:$K$5,章节关卡!DP69)*INDEX(挂机升级突破!$G$4:$K$4,章节关卡!DP69)*章节关卡!DO69,0)</f>
        <v>2</v>
      </c>
      <c r="EC69" s="118" t="s">
        <v>1038</v>
      </c>
      <c r="ED69" s="14">
        <f t="shared" ref="ED69:ED94" si="253">INDEX($L$6:$L$35,DK69)*DQ69</f>
        <v>28200</v>
      </c>
      <c r="EI69" s="166">
        <v>65</v>
      </c>
      <c r="EJ69" s="14">
        <f t="shared" si="54"/>
        <v>22</v>
      </c>
      <c r="EK69" s="166">
        <f t="shared" si="55"/>
        <v>120</v>
      </c>
      <c r="EL69" s="166">
        <f t="shared" ref="EL69:EL94" si="254">MOD(EI69-1,3)+1</f>
        <v>2</v>
      </c>
      <c r="EM69" s="166">
        <f t="shared" ref="EM69:EM94" si="255">DN69*EM$2</f>
        <v>360</v>
      </c>
      <c r="EN69" s="166">
        <f t="shared" ref="EN69:EN94" si="256">DO69*EN$2</f>
        <v>4500</v>
      </c>
      <c r="EO69" s="166">
        <v>9</v>
      </c>
      <c r="EP69" s="14">
        <f t="shared" ref="EP69:EP94" si="257">DQ69*EP$2</f>
        <v>240</v>
      </c>
      <c r="EQ69" s="14">
        <f t="shared" si="57"/>
        <v>22222</v>
      </c>
      <c r="ER69" s="166">
        <v>1</v>
      </c>
      <c r="ES69" s="14">
        <f t="shared" si="58"/>
        <v>222</v>
      </c>
      <c r="ET69" s="166" t="s">
        <v>1034</v>
      </c>
      <c r="EU69" s="166">
        <v>2</v>
      </c>
      <c r="EV69" s="166"/>
      <c r="EW69" s="14">
        <f t="shared" ref="EW69" si="258">ES69*100+6</f>
        <v>22206</v>
      </c>
      <c r="EX69" s="166" t="s">
        <v>1397</v>
      </c>
      <c r="EY69" s="166">
        <v>30</v>
      </c>
      <c r="EZ69" s="14" t="str">
        <f>INDEX(挂机升级突破!$DT$4:$EC$4,EO69)</f>
        <v>铀金</v>
      </c>
      <c r="FA69" s="14">
        <f>ROUND(INDEX(挂机升级突破!$G$7:$R$37,EJ69+3,EO69)/INDEX(挂机升级突破!$G$5:$R$5,章节关卡!EO69)*INDEX(挂机升级突破!$G$4:$R$4,章节关卡!EO69)*章节关卡!EN69,0)</f>
        <v>3</v>
      </c>
      <c r="FB69" s="166" t="s">
        <v>1399</v>
      </c>
      <c r="FC69" s="166">
        <f t="shared" ref="FC69:FC88" si="259">INDEX($L$6:$L$35,EJ69+2)*EM69</f>
        <v>99000</v>
      </c>
    </row>
    <row r="70" spans="45:159" ht="16.5" x14ac:dyDescent="0.2">
      <c r="AS70" s="24">
        <v>66</v>
      </c>
      <c r="AT70" s="14">
        <f t="shared" ref="AT70:AT124" si="260">MATCH(AS70-1,$E$5:$E$35,1)</f>
        <v>17</v>
      </c>
      <c r="AU70" s="109">
        <f t="shared" ref="AU70:AU124" si="261">AS70-INDEX($E$5:$E$35,AT70)</f>
        <v>2</v>
      </c>
      <c r="AV70" s="109">
        <f t="shared" ref="AV70:AV124" si="262">INDEX($G$6:$G$35,AT70)</f>
        <v>35</v>
      </c>
      <c r="AW70" s="109">
        <f t="shared" ref="AW70:AW124" si="263">INT(INDEX($I$5:$I$35,AT70)+AU70*INDEX($J$6:$J$35,AT70))</f>
        <v>94</v>
      </c>
      <c r="AX70" s="109">
        <f t="shared" ref="AX70:AX124" si="264">INT(INDEX($L$5:$L$35,AT70)+AU70*INDEX($M$6:$M$35,AT70))</f>
        <v>166</v>
      </c>
      <c r="BA70" s="109">
        <v>66</v>
      </c>
      <c r="BB70" s="14">
        <f t="shared" si="233"/>
        <v>7</v>
      </c>
      <c r="BC70" s="14">
        <f t="shared" ref="BC70:BC133" si="265">BA70-INDEX($R$5:$R$36,BB70)</f>
        <v>6</v>
      </c>
      <c r="BD70" s="14">
        <f t="shared" si="81"/>
        <v>240</v>
      </c>
      <c r="BE70" s="14">
        <f t="shared" si="234"/>
        <v>1200</v>
      </c>
      <c r="BF70" s="14">
        <f t="shared" si="235"/>
        <v>2700</v>
      </c>
      <c r="BG70" s="14">
        <f t="shared" ref="BG70:BG133" si="266">INDEX($AA$6:$AA$33,BB70)</f>
        <v>2.83</v>
      </c>
      <c r="BH70" s="14">
        <f t="shared" ref="BH70:BH133" si="267">11000+INT(BG70)</f>
        <v>11002</v>
      </c>
      <c r="BK70" s="109">
        <v>66</v>
      </c>
      <c r="BL70" s="14">
        <f t="shared" ref="BL70:BL133" si="268">INDEX($AC$5:$AC$35,MATCH(BK70-1,$AI$5:$AI$35,1))+1</f>
        <v>7</v>
      </c>
      <c r="BM70" s="14">
        <f t="shared" ref="BM70:BM133" si="269">BK70-INDEX($AI$5:$AI$35,BL70)</f>
        <v>6</v>
      </c>
      <c r="BN70" s="14">
        <f t="shared" si="236"/>
        <v>800</v>
      </c>
      <c r="BO70" s="14">
        <f t="shared" si="237"/>
        <v>2400</v>
      </c>
      <c r="BP70" s="14">
        <f t="shared" si="238"/>
        <v>5400</v>
      </c>
      <c r="BS70" s="109">
        <v>66</v>
      </c>
      <c r="BT70" s="109">
        <f t="shared" ref="BT70:BT94" si="270">INDEX($A$6:$A$35,INT((BS70-1)/3)+1)</f>
        <v>22</v>
      </c>
      <c r="BU70" s="112">
        <f t="shared" ref="BU70:BU94" si="271">INDEX($B$6:$B$35,BT70)</f>
        <v>115</v>
      </c>
      <c r="BV70" s="109">
        <f t="shared" si="223"/>
        <v>3</v>
      </c>
      <c r="BW70" s="109">
        <v>360</v>
      </c>
      <c r="BX70" s="109">
        <v>540</v>
      </c>
      <c r="BY70" s="112">
        <v>5</v>
      </c>
      <c r="BZ70" s="14">
        <f t="shared" ref="BZ70:BZ94" si="272">10000+CB70*10+BV70</f>
        <v>11223</v>
      </c>
      <c r="CA70" s="118">
        <v>1</v>
      </c>
      <c r="CB70" s="14">
        <f t="shared" ref="CB70:CB94" si="273">100+BT70</f>
        <v>122</v>
      </c>
      <c r="CC70" s="118" t="s">
        <v>1026</v>
      </c>
      <c r="CD70" s="14">
        <f t="shared" ref="CD70:CD94" si="274">BV70</f>
        <v>3</v>
      </c>
      <c r="CE70" s="166" t="str">
        <f t="shared" ref="CE70:CE94" si="275">CG70&amp;CH70&amp;" "&amp;CI70&amp;CJ70&amp;" "&amp;CK70&amp;CL70</f>
        <v>守护灵抽卡券3 2小时扫荡券1 金币54000</v>
      </c>
      <c r="CF70" s="14">
        <f t="shared" ref="CF70:CF94" si="276">CD70*10</f>
        <v>30</v>
      </c>
      <c r="CG70" s="115" t="s">
        <v>258</v>
      </c>
      <c r="CH70" s="115">
        <v>3</v>
      </c>
      <c r="CI70" s="210" t="s">
        <v>1395</v>
      </c>
      <c r="CJ70" s="210">
        <v>1</v>
      </c>
      <c r="CK70" s="210" t="s">
        <v>252</v>
      </c>
      <c r="CL70" s="210">
        <f t="shared" si="239"/>
        <v>54000</v>
      </c>
      <c r="CO70" s="115">
        <f t="shared" si="240"/>
        <v>22</v>
      </c>
      <c r="CP70" s="115">
        <f t="shared" si="241"/>
        <v>125</v>
      </c>
      <c r="CQ70" s="118">
        <v>3</v>
      </c>
      <c r="CR70" s="115">
        <f t="shared" si="242"/>
        <v>540</v>
      </c>
      <c r="CS70" s="115">
        <f t="shared" si="243"/>
        <v>1080</v>
      </c>
      <c r="CT70" s="115">
        <v>9</v>
      </c>
      <c r="CU70" s="14">
        <f t="shared" si="244"/>
        <v>12223</v>
      </c>
      <c r="CV70" s="118">
        <v>2</v>
      </c>
      <c r="CW70" s="14">
        <f t="shared" si="245"/>
        <v>222</v>
      </c>
      <c r="CX70" s="118" t="s">
        <v>1026</v>
      </c>
      <c r="CY70" s="14">
        <f t="shared" si="246"/>
        <v>3</v>
      </c>
      <c r="CZ70" s="166" t="str">
        <f t="shared" ref="CZ70:CZ94" si="277">DB70&amp;DC70&amp;DD70&amp;DE70&amp;DF70&amp;DG70</f>
        <v>守护灵抽卡券5110级-防御套寄灵人の裤子1金币81000</v>
      </c>
      <c r="DA70" s="14">
        <f t="shared" ref="DA70:DA94" si="278">CY70*10</f>
        <v>30</v>
      </c>
      <c r="DB70" s="115" t="s">
        <v>1004</v>
      </c>
      <c r="DC70" s="115">
        <v>5</v>
      </c>
      <c r="DD70" s="115" t="s">
        <v>1490</v>
      </c>
      <c r="DE70" s="115">
        <v>1</v>
      </c>
      <c r="DF70" s="115" t="s">
        <v>252</v>
      </c>
      <c r="DG70" s="115">
        <f t="shared" si="247"/>
        <v>81000</v>
      </c>
      <c r="DJ70" s="118">
        <v>66</v>
      </c>
      <c r="DK70" s="14">
        <f t="shared" ref="DK70:DK94" si="279">INT((DJ70-1)/3)+1</f>
        <v>22</v>
      </c>
      <c r="DL70" s="118">
        <f t="shared" si="248"/>
        <v>115</v>
      </c>
      <c r="DM70" s="166">
        <f t="shared" si="249"/>
        <v>3</v>
      </c>
      <c r="DN70" s="166">
        <v>360</v>
      </c>
      <c r="DO70" s="166">
        <v>2700</v>
      </c>
      <c r="DP70" s="166">
        <v>5</v>
      </c>
      <c r="DQ70" s="118">
        <v>150</v>
      </c>
      <c r="DR70" s="118">
        <f t="shared" ref="DR70:DR94" si="280">20000+DT70*10+DV70</f>
        <v>21223</v>
      </c>
      <c r="DS70" s="118">
        <v>1</v>
      </c>
      <c r="DT70" s="14">
        <f t="shared" si="250"/>
        <v>122</v>
      </c>
      <c r="DU70" s="118" t="s">
        <v>1034</v>
      </c>
      <c r="DV70" s="118">
        <v>3</v>
      </c>
      <c r="DW70" s="166" t="str">
        <f t="shared" si="251"/>
        <v>红色基础材料2守护灵初级抽卡券5守护灵经验35250</v>
      </c>
      <c r="DX70" s="14">
        <f t="shared" ref="DX70" si="281">DT70*100+9</f>
        <v>12209</v>
      </c>
      <c r="DY70" s="118" t="s">
        <v>1037</v>
      </c>
      <c r="DZ70" s="118">
        <v>5</v>
      </c>
      <c r="EA70" s="14" t="str">
        <f>INDEX(挂机升级突破!$DT$4:$DX$4,DP70)</f>
        <v>红色基础材料</v>
      </c>
      <c r="EB70" s="14">
        <f>ROUND(INDEX(挂机升级突破!$G$7:$K$37,DK70+2,章节关卡!DP70)/INDEX(挂机升级突破!$G$5:$K$5,章节关卡!DP70)*INDEX(挂机升级突破!$G$4:$K$4,章节关卡!DP70)*章节关卡!DO70,0)</f>
        <v>2</v>
      </c>
      <c r="EC70" s="118" t="s">
        <v>1038</v>
      </c>
      <c r="ED70" s="14">
        <f t="shared" si="253"/>
        <v>35250</v>
      </c>
      <c r="EI70" s="166">
        <v>66</v>
      </c>
      <c r="EJ70" s="14">
        <f t="shared" ref="EJ70:EJ94" si="282">INT((EI70-1)/3)+1</f>
        <v>22</v>
      </c>
      <c r="EK70" s="166">
        <f t="shared" ref="EK70:EK91" si="283">INDEX($B$6:$B$35,EJ70+1)</f>
        <v>120</v>
      </c>
      <c r="EL70" s="166">
        <f t="shared" si="254"/>
        <v>3</v>
      </c>
      <c r="EM70" s="166">
        <f t="shared" si="255"/>
        <v>540</v>
      </c>
      <c r="EN70" s="166">
        <f t="shared" si="256"/>
        <v>6750</v>
      </c>
      <c r="EO70" s="166">
        <v>9</v>
      </c>
      <c r="EP70" s="14">
        <f t="shared" si="257"/>
        <v>300</v>
      </c>
      <c r="EQ70" s="14">
        <f t="shared" ref="EQ70:EQ94" si="284">20000+ES70*10+EU70</f>
        <v>22223</v>
      </c>
      <c r="ER70" s="166">
        <v>1</v>
      </c>
      <c r="ES70" s="14">
        <f t="shared" ref="ES70:ES94" si="285">EJ70+200</f>
        <v>222</v>
      </c>
      <c r="ET70" s="166" t="s">
        <v>1034</v>
      </c>
      <c r="EU70" s="166">
        <v>3</v>
      </c>
      <c r="EV70" s="166"/>
      <c r="EW70" s="14">
        <f t="shared" ref="EW70" si="286">ES70*100+9</f>
        <v>22209</v>
      </c>
      <c r="EX70" s="166" t="s">
        <v>1397</v>
      </c>
      <c r="EY70" s="166">
        <v>50</v>
      </c>
      <c r="EZ70" s="14" t="str">
        <f>INDEX(挂机升级突破!$DT$4:$EC$4,EO70)</f>
        <v>铀金</v>
      </c>
      <c r="FA70" s="14">
        <f>ROUND(INDEX(挂机升级突破!$G$7:$R$37,EJ70+3,EO70)/INDEX(挂机升级突破!$G$5:$R$5,章节关卡!EO70)*INDEX(挂机升级突破!$G$4:$R$4,章节关卡!EO70)*章节关卡!EN70,0)</f>
        <v>4</v>
      </c>
      <c r="FB70" s="166" t="s">
        <v>1399</v>
      </c>
      <c r="FC70" s="166">
        <f t="shared" si="259"/>
        <v>148500</v>
      </c>
    </row>
    <row r="71" spans="45:159" ht="16.5" x14ac:dyDescent="0.2">
      <c r="AS71" s="24">
        <v>67</v>
      </c>
      <c r="AT71" s="14">
        <f t="shared" si="260"/>
        <v>17</v>
      </c>
      <c r="AU71" s="109">
        <f t="shared" si="261"/>
        <v>3</v>
      </c>
      <c r="AV71" s="109">
        <f t="shared" si="262"/>
        <v>35</v>
      </c>
      <c r="AW71" s="109">
        <f t="shared" si="263"/>
        <v>96</v>
      </c>
      <c r="AX71" s="109">
        <f t="shared" si="264"/>
        <v>169</v>
      </c>
      <c r="BA71" s="109">
        <v>67</v>
      </c>
      <c r="BB71" s="14">
        <f t="shared" si="233"/>
        <v>7</v>
      </c>
      <c r="BC71" s="14">
        <f t="shared" si="265"/>
        <v>7</v>
      </c>
      <c r="BD71" s="14">
        <f t="shared" si="81"/>
        <v>240</v>
      </c>
      <c r="BE71" s="14">
        <f t="shared" si="234"/>
        <v>1200</v>
      </c>
      <c r="BF71" s="14">
        <f t="shared" si="235"/>
        <v>2700</v>
      </c>
      <c r="BG71" s="14">
        <f t="shared" si="266"/>
        <v>2.83</v>
      </c>
      <c r="BH71" s="14">
        <f t="shared" si="267"/>
        <v>11002</v>
      </c>
      <c r="BK71" s="109">
        <v>67</v>
      </c>
      <c r="BL71" s="14">
        <f t="shared" si="268"/>
        <v>7</v>
      </c>
      <c r="BM71" s="14">
        <f t="shared" si="269"/>
        <v>7</v>
      </c>
      <c r="BN71" s="14">
        <f t="shared" si="236"/>
        <v>800</v>
      </c>
      <c r="BO71" s="14">
        <f t="shared" si="237"/>
        <v>2400</v>
      </c>
      <c r="BP71" s="14">
        <f t="shared" si="238"/>
        <v>5400</v>
      </c>
      <c r="BS71" s="109">
        <v>67</v>
      </c>
      <c r="BT71" s="109">
        <f t="shared" si="270"/>
        <v>23</v>
      </c>
      <c r="BU71" s="112">
        <f t="shared" si="271"/>
        <v>120</v>
      </c>
      <c r="BV71" s="109">
        <f t="shared" si="223"/>
        <v>1</v>
      </c>
      <c r="BW71" s="109">
        <v>120</v>
      </c>
      <c r="BX71" s="109">
        <v>180</v>
      </c>
      <c r="BY71" s="112">
        <v>5</v>
      </c>
      <c r="BZ71" s="14">
        <f t="shared" si="272"/>
        <v>11231</v>
      </c>
      <c r="CA71" s="118">
        <v>1</v>
      </c>
      <c r="CB71" s="14">
        <f t="shared" si="273"/>
        <v>123</v>
      </c>
      <c r="CC71" s="118" t="s">
        <v>1026</v>
      </c>
      <c r="CD71" s="14">
        <f t="shared" si="274"/>
        <v>1</v>
      </c>
      <c r="CE71" s="166" t="str">
        <f t="shared" si="275"/>
        <v xml:space="preserve">钻石100 金币19200 </v>
      </c>
      <c r="CF71" s="14">
        <f t="shared" si="276"/>
        <v>10</v>
      </c>
      <c r="CG71" s="115" t="s">
        <v>19</v>
      </c>
      <c r="CH71" s="115">
        <v>100</v>
      </c>
      <c r="CI71" s="210" t="s">
        <v>358</v>
      </c>
      <c r="CJ71" s="210">
        <f>INDEX($I$6:$I$35,BT71)*BW71</f>
        <v>19200</v>
      </c>
      <c r="CK71" s="210"/>
      <c r="CL71" s="210"/>
      <c r="CO71" s="115">
        <f t="shared" si="240"/>
        <v>23</v>
      </c>
      <c r="CP71" s="115">
        <f t="shared" si="241"/>
        <v>130</v>
      </c>
      <c r="CQ71" s="118">
        <v>1</v>
      </c>
      <c r="CR71" s="115">
        <f t="shared" si="242"/>
        <v>180</v>
      </c>
      <c r="CS71" s="115">
        <f t="shared" si="243"/>
        <v>360</v>
      </c>
      <c r="CT71" s="115">
        <v>9</v>
      </c>
      <c r="CU71" s="14">
        <f t="shared" si="244"/>
        <v>12231</v>
      </c>
      <c r="CV71" s="118">
        <v>2</v>
      </c>
      <c r="CW71" s="14">
        <f t="shared" si="245"/>
        <v>223</v>
      </c>
      <c r="CX71" s="118" t="s">
        <v>1026</v>
      </c>
      <c r="CY71" s="14">
        <f t="shared" si="246"/>
        <v>1</v>
      </c>
      <c r="CZ71" s="166" t="str">
        <f t="shared" si="277"/>
        <v>钻石100120级-攻击套守护灵の头盔1金币28800</v>
      </c>
      <c r="DA71" s="14">
        <f t="shared" si="278"/>
        <v>10</v>
      </c>
      <c r="DB71" s="115" t="s">
        <v>257</v>
      </c>
      <c r="DC71" s="115">
        <v>100</v>
      </c>
      <c r="DD71" s="115" t="s">
        <v>1491</v>
      </c>
      <c r="DE71" s="115">
        <v>1</v>
      </c>
      <c r="DF71" s="115" t="s">
        <v>252</v>
      </c>
      <c r="DG71" s="115">
        <f t="shared" si="247"/>
        <v>28800</v>
      </c>
      <c r="DJ71" s="118">
        <v>67</v>
      </c>
      <c r="DK71" s="14">
        <f t="shared" si="279"/>
        <v>23</v>
      </c>
      <c r="DL71" s="118">
        <f t="shared" si="248"/>
        <v>120</v>
      </c>
      <c r="DM71" s="166">
        <f t="shared" si="249"/>
        <v>1</v>
      </c>
      <c r="DN71" s="166">
        <v>120</v>
      </c>
      <c r="DO71" s="166">
        <v>900</v>
      </c>
      <c r="DP71" s="166">
        <v>5</v>
      </c>
      <c r="DQ71" s="118">
        <v>90</v>
      </c>
      <c r="DR71" s="118">
        <f t="shared" si="280"/>
        <v>21231</v>
      </c>
      <c r="DS71" s="118">
        <v>1</v>
      </c>
      <c r="DT71" s="14">
        <f t="shared" si="250"/>
        <v>123</v>
      </c>
      <c r="DU71" s="118" t="s">
        <v>1034</v>
      </c>
      <c r="DV71" s="118">
        <v>1</v>
      </c>
      <c r="DW71" s="166" t="str">
        <f t="shared" si="251"/>
        <v>红色基础材料1守护灵初级抽卡券2守护灵经验22500</v>
      </c>
      <c r="DX71" s="14">
        <f t="shared" ref="DX71" si="287">DT71*100+3</f>
        <v>12303</v>
      </c>
      <c r="DY71" s="118" t="s">
        <v>1037</v>
      </c>
      <c r="DZ71" s="118">
        <v>2</v>
      </c>
      <c r="EA71" s="14" t="str">
        <f>INDEX(挂机升级突破!$DT$4:$DX$4,DP71)</f>
        <v>红色基础材料</v>
      </c>
      <c r="EB71" s="14">
        <f>ROUND(INDEX(挂机升级突破!$G$7:$K$37,DK71+2,章节关卡!DP71)/INDEX(挂机升级突破!$G$5:$K$5,章节关卡!DP71)*INDEX(挂机升级突破!$G$4:$K$4,章节关卡!DP71)*章节关卡!DO71,0)</f>
        <v>1</v>
      </c>
      <c r="EC71" s="118" t="s">
        <v>1038</v>
      </c>
      <c r="ED71" s="14">
        <f t="shared" si="253"/>
        <v>22500</v>
      </c>
      <c r="EI71" s="166">
        <v>67</v>
      </c>
      <c r="EJ71" s="14">
        <f t="shared" si="282"/>
        <v>23</v>
      </c>
      <c r="EK71" s="166">
        <f t="shared" si="283"/>
        <v>125</v>
      </c>
      <c r="EL71" s="166">
        <f t="shared" si="254"/>
        <v>1</v>
      </c>
      <c r="EM71" s="166">
        <f t="shared" si="255"/>
        <v>180</v>
      </c>
      <c r="EN71" s="166">
        <f t="shared" si="256"/>
        <v>2250</v>
      </c>
      <c r="EO71" s="166">
        <v>9</v>
      </c>
      <c r="EP71" s="14">
        <f t="shared" si="257"/>
        <v>180</v>
      </c>
      <c r="EQ71" s="14">
        <f t="shared" si="284"/>
        <v>22231</v>
      </c>
      <c r="ER71" s="166">
        <v>1</v>
      </c>
      <c r="ES71" s="14">
        <f t="shared" si="285"/>
        <v>223</v>
      </c>
      <c r="ET71" s="166" t="s">
        <v>1034</v>
      </c>
      <c r="EU71" s="166">
        <v>1</v>
      </c>
      <c r="EV71" s="166"/>
      <c r="EW71" s="14">
        <f t="shared" ref="EW71" si="288">ES71*100+3</f>
        <v>22303</v>
      </c>
      <c r="EX71" s="166" t="s">
        <v>1397</v>
      </c>
      <c r="EY71" s="166">
        <v>20</v>
      </c>
      <c r="EZ71" s="14" t="str">
        <f>INDEX(挂机升级突破!$DT$4:$EC$4,EO71)</f>
        <v>铀金</v>
      </c>
      <c r="FA71" s="14">
        <f>ROUND(INDEX(挂机升级突破!$G$7:$R$37,EJ71+3,EO71)/INDEX(挂机升级突破!$G$5:$R$5,章节关卡!EO71)*INDEX(挂机升级突破!$G$4:$R$4,章节关卡!EO71)*章节关卡!EN71,0)</f>
        <v>2</v>
      </c>
      <c r="FB71" s="166" t="s">
        <v>1399</v>
      </c>
      <c r="FC71" s="166">
        <f t="shared" si="259"/>
        <v>54000</v>
      </c>
    </row>
    <row r="72" spans="45:159" ht="16.5" x14ac:dyDescent="0.2">
      <c r="AS72" s="24">
        <v>68</v>
      </c>
      <c r="AT72" s="14">
        <f t="shared" si="260"/>
        <v>17</v>
      </c>
      <c r="AU72" s="109">
        <f t="shared" si="261"/>
        <v>4</v>
      </c>
      <c r="AV72" s="109">
        <f t="shared" si="262"/>
        <v>35</v>
      </c>
      <c r="AW72" s="109">
        <f t="shared" si="263"/>
        <v>98</v>
      </c>
      <c r="AX72" s="109">
        <f t="shared" si="264"/>
        <v>172</v>
      </c>
      <c r="BA72" s="109">
        <v>68</v>
      </c>
      <c r="BB72" s="14">
        <f t="shared" si="233"/>
        <v>7</v>
      </c>
      <c r="BC72" s="14">
        <f t="shared" si="265"/>
        <v>8</v>
      </c>
      <c r="BD72" s="14">
        <f t="shared" si="81"/>
        <v>240</v>
      </c>
      <c r="BE72" s="14">
        <f t="shared" si="234"/>
        <v>1200</v>
      </c>
      <c r="BF72" s="14">
        <f t="shared" si="235"/>
        <v>2700</v>
      </c>
      <c r="BG72" s="14">
        <f t="shared" si="266"/>
        <v>2.83</v>
      </c>
      <c r="BH72" s="14">
        <f t="shared" si="267"/>
        <v>11002</v>
      </c>
      <c r="BK72" s="109">
        <v>68</v>
      </c>
      <c r="BL72" s="14">
        <f t="shared" si="268"/>
        <v>7</v>
      </c>
      <c r="BM72" s="14">
        <f t="shared" si="269"/>
        <v>8</v>
      </c>
      <c r="BN72" s="14">
        <f t="shared" si="236"/>
        <v>800</v>
      </c>
      <c r="BO72" s="14">
        <f t="shared" si="237"/>
        <v>2400</v>
      </c>
      <c r="BP72" s="14">
        <f t="shared" si="238"/>
        <v>5400</v>
      </c>
      <c r="BS72" s="109">
        <v>68</v>
      </c>
      <c r="BT72" s="109">
        <f t="shared" si="270"/>
        <v>23</v>
      </c>
      <c r="BU72" s="112">
        <f t="shared" si="271"/>
        <v>120</v>
      </c>
      <c r="BV72" s="109">
        <f t="shared" si="223"/>
        <v>2</v>
      </c>
      <c r="BW72" s="109">
        <v>240</v>
      </c>
      <c r="BX72" s="109">
        <v>360</v>
      </c>
      <c r="BY72" s="112">
        <v>5</v>
      </c>
      <c r="BZ72" s="14">
        <f t="shared" si="272"/>
        <v>11232</v>
      </c>
      <c r="CA72" s="118">
        <v>1</v>
      </c>
      <c r="CB72" s="14">
        <f t="shared" si="273"/>
        <v>123</v>
      </c>
      <c r="CC72" s="118" t="s">
        <v>1026</v>
      </c>
      <c r="CD72" s="14">
        <f t="shared" si="274"/>
        <v>2</v>
      </c>
      <c r="CE72" s="166" t="str">
        <f t="shared" si="275"/>
        <v>守护灵抽卡券2 2小时扫荡券1 金币38400</v>
      </c>
      <c r="CF72" s="14">
        <f t="shared" si="276"/>
        <v>20</v>
      </c>
      <c r="CG72" s="115" t="s">
        <v>258</v>
      </c>
      <c r="CH72" s="115">
        <v>2</v>
      </c>
      <c r="CI72" s="210" t="s">
        <v>1395</v>
      </c>
      <c r="CJ72" s="210">
        <v>1</v>
      </c>
      <c r="CK72" s="210" t="s">
        <v>252</v>
      </c>
      <c r="CL72" s="210">
        <f t="shared" ref="CL72:CL73" si="289">INDEX($I$6:$I$35,BT72)*BW72</f>
        <v>38400</v>
      </c>
      <c r="CO72" s="115">
        <f t="shared" si="240"/>
        <v>23</v>
      </c>
      <c r="CP72" s="115">
        <f t="shared" si="241"/>
        <v>130</v>
      </c>
      <c r="CQ72" s="118">
        <v>2</v>
      </c>
      <c r="CR72" s="115">
        <f t="shared" si="242"/>
        <v>360</v>
      </c>
      <c r="CS72" s="115">
        <f t="shared" si="243"/>
        <v>720</v>
      </c>
      <c r="CT72" s="115">
        <v>9</v>
      </c>
      <c r="CU72" s="14">
        <f t="shared" si="244"/>
        <v>12232</v>
      </c>
      <c r="CV72" s="118">
        <v>2</v>
      </c>
      <c r="CW72" s="14">
        <f t="shared" si="245"/>
        <v>223</v>
      </c>
      <c r="CX72" s="118" t="s">
        <v>1026</v>
      </c>
      <c r="CY72" s="14">
        <f t="shared" si="246"/>
        <v>2</v>
      </c>
      <c r="CZ72" s="166" t="str">
        <f t="shared" si="277"/>
        <v>熔炼值6000120级-攻击套守护灵の铠甲1金币57600</v>
      </c>
      <c r="DA72" s="14">
        <f t="shared" si="278"/>
        <v>20</v>
      </c>
      <c r="DB72" s="115" t="s">
        <v>1005</v>
      </c>
      <c r="DC72" s="115">
        <v>6000</v>
      </c>
      <c r="DD72" s="115" t="s">
        <v>1492</v>
      </c>
      <c r="DE72" s="115">
        <v>1</v>
      </c>
      <c r="DF72" s="115" t="s">
        <v>252</v>
      </c>
      <c r="DG72" s="115">
        <f t="shared" si="247"/>
        <v>57600</v>
      </c>
      <c r="DJ72" s="118">
        <v>68</v>
      </c>
      <c r="DK72" s="14">
        <f t="shared" si="279"/>
        <v>23</v>
      </c>
      <c r="DL72" s="118">
        <f t="shared" si="248"/>
        <v>120</v>
      </c>
      <c r="DM72" s="166">
        <f t="shared" si="249"/>
        <v>2</v>
      </c>
      <c r="DN72" s="166">
        <v>240</v>
      </c>
      <c r="DO72" s="166">
        <v>1800</v>
      </c>
      <c r="DP72" s="166">
        <v>5</v>
      </c>
      <c r="DQ72" s="118">
        <v>120</v>
      </c>
      <c r="DR72" s="118">
        <f t="shared" si="280"/>
        <v>21232</v>
      </c>
      <c r="DS72" s="118">
        <v>1</v>
      </c>
      <c r="DT72" s="14">
        <f t="shared" si="250"/>
        <v>123</v>
      </c>
      <c r="DU72" s="118" t="s">
        <v>1034</v>
      </c>
      <c r="DV72" s="118">
        <v>2</v>
      </c>
      <c r="DW72" s="166" t="str">
        <f t="shared" si="251"/>
        <v>红色基础材料3守护灵初级抽卡券3守护灵经验30000</v>
      </c>
      <c r="DX72" s="14">
        <f t="shared" ref="DX72" si="290">DT72*100+6</f>
        <v>12306</v>
      </c>
      <c r="DY72" s="118" t="s">
        <v>1037</v>
      </c>
      <c r="DZ72" s="118">
        <v>3</v>
      </c>
      <c r="EA72" s="14" t="str">
        <f>INDEX(挂机升级突破!$DT$4:$DX$4,DP72)</f>
        <v>红色基础材料</v>
      </c>
      <c r="EB72" s="14">
        <f>ROUND(INDEX(挂机升级突破!$G$7:$K$37,DK72+2,章节关卡!DP72)/INDEX(挂机升级突破!$G$5:$K$5,章节关卡!DP72)*INDEX(挂机升级突破!$G$4:$K$4,章节关卡!DP72)*章节关卡!DO72,0)</f>
        <v>3</v>
      </c>
      <c r="EC72" s="118" t="s">
        <v>1038</v>
      </c>
      <c r="ED72" s="14">
        <f t="shared" si="253"/>
        <v>30000</v>
      </c>
      <c r="EI72" s="166">
        <v>68</v>
      </c>
      <c r="EJ72" s="14">
        <f t="shared" si="282"/>
        <v>23</v>
      </c>
      <c r="EK72" s="166">
        <f t="shared" si="283"/>
        <v>125</v>
      </c>
      <c r="EL72" s="166">
        <f t="shared" si="254"/>
        <v>2</v>
      </c>
      <c r="EM72" s="166">
        <f t="shared" si="255"/>
        <v>360</v>
      </c>
      <c r="EN72" s="166">
        <f t="shared" si="256"/>
        <v>4500</v>
      </c>
      <c r="EO72" s="166">
        <v>9</v>
      </c>
      <c r="EP72" s="14">
        <f t="shared" si="257"/>
        <v>240</v>
      </c>
      <c r="EQ72" s="14">
        <f t="shared" si="284"/>
        <v>22232</v>
      </c>
      <c r="ER72" s="166">
        <v>1</v>
      </c>
      <c r="ES72" s="14">
        <f t="shared" si="285"/>
        <v>223</v>
      </c>
      <c r="ET72" s="166" t="s">
        <v>1034</v>
      </c>
      <c r="EU72" s="166">
        <v>2</v>
      </c>
      <c r="EV72" s="166"/>
      <c r="EW72" s="14">
        <f t="shared" ref="EW72" si="291">ES72*100+6</f>
        <v>22306</v>
      </c>
      <c r="EX72" s="166" t="s">
        <v>1397</v>
      </c>
      <c r="EY72" s="166">
        <v>30</v>
      </c>
      <c r="EZ72" s="14" t="str">
        <f>INDEX(挂机升级突破!$DT$4:$EC$4,EO72)</f>
        <v>铀金</v>
      </c>
      <c r="FA72" s="14">
        <f>ROUND(INDEX(挂机升级突破!$G$7:$R$37,EJ72+3,EO72)/INDEX(挂机升级突破!$G$5:$R$5,章节关卡!EO72)*INDEX(挂机升级突破!$G$4:$R$4,章节关卡!EO72)*章节关卡!EN72,0)</f>
        <v>4</v>
      </c>
      <c r="FB72" s="166" t="s">
        <v>1399</v>
      </c>
      <c r="FC72" s="166">
        <f t="shared" si="259"/>
        <v>108000</v>
      </c>
    </row>
    <row r="73" spans="45:159" ht="16.5" x14ac:dyDescent="0.2">
      <c r="AS73" s="24">
        <v>69</v>
      </c>
      <c r="AT73" s="14">
        <f t="shared" si="260"/>
        <v>18</v>
      </c>
      <c r="AU73" s="109">
        <f t="shared" si="261"/>
        <v>1</v>
      </c>
      <c r="AV73" s="109">
        <f t="shared" si="262"/>
        <v>37</v>
      </c>
      <c r="AW73" s="109">
        <f t="shared" si="263"/>
        <v>102</v>
      </c>
      <c r="AX73" s="109">
        <f t="shared" si="264"/>
        <v>177</v>
      </c>
      <c r="BA73" s="109">
        <v>69</v>
      </c>
      <c r="BB73" s="14">
        <f t="shared" si="233"/>
        <v>7</v>
      </c>
      <c r="BC73" s="14">
        <f t="shared" si="265"/>
        <v>9</v>
      </c>
      <c r="BD73" s="14">
        <f t="shared" si="81"/>
        <v>240</v>
      </c>
      <c r="BE73" s="14">
        <f t="shared" si="234"/>
        <v>1200</v>
      </c>
      <c r="BF73" s="14">
        <f t="shared" si="235"/>
        <v>2700</v>
      </c>
      <c r="BG73" s="14">
        <f t="shared" si="266"/>
        <v>2.83</v>
      </c>
      <c r="BH73" s="14">
        <f t="shared" si="267"/>
        <v>11002</v>
      </c>
      <c r="BK73" s="109">
        <v>69</v>
      </c>
      <c r="BL73" s="14">
        <f t="shared" si="268"/>
        <v>7</v>
      </c>
      <c r="BM73" s="14">
        <f t="shared" si="269"/>
        <v>9</v>
      </c>
      <c r="BN73" s="14">
        <f t="shared" si="236"/>
        <v>800</v>
      </c>
      <c r="BO73" s="14">
        <f t="shared" si="237"/>
        <v>2400</v>
      </c>
      <c r="BP73" s="14">
        <f t="shared" si="238"/>
        <v>5400</v>
      </c>
      <c r="BS73" s="109">
        <v>69</v>
      </c>
      <c r="BT73" s="109">
        <f t="shared" si="270"/>
        <v>23</v>
      </c>
      <c r="BU73" s="112">
        <f t="shared" si="271"/>
        <v>120</v>
      </c>
      <c r="BV73" s="109">
        <f t="shared" si="223"/>
        <v>3</v>
      </c>
      <c r="BW73" s="109">
        <v>360</v>
      </c>
      <c r="BX73" s="109">
        <v>540</v>
      </c>
      <c r="BY73" s="112">
        <v>5</v>
      </c>
      <c r="BZ73" s="14">
        <f t="shared" si="272"/>
        <v>11233</v>
      </c>
      <c r="CA73" s="118">
        <v>1</v>
      </c>
      <c r="CB73" s="14">
        <f t="shared" si="273"/>
        <v>123</v>
      </c>
      <c r="CC73" s="118" t="s">
        <v>1026</v>
      </c>
      <c r="CD73" s="14">
        <f t="shared" si="274"/>
        <v>3</v>
      </c>
      <c r="CE73" s="166" t="str">
        <f t="shared" si="275"/>
        <v>守护灵抽卡券3 2小时扫荡券1 金币57600</v>
      </c>
      <c r="CF73" s="14">
        <f t="shared" si="276"/>
        <v>30</v>
      </c>
      <c r="CG73" s="115" t="s">
        <v>258</v>
      </c>
      <c r="CH73" s="115">
        <v>3</v>
      </c>
      <c r="CI73" s="210" t="s">
        <v>1395</v>
      </c>
      <c r="CJ73" s="210">
        <v>1</v>
      </c>
      <c r="CK73" s="210" t="s">
        <v>252</v>
      </c>
      <c r="CL73" s="210">
        <f t="shared" si="289"/>
        <v>57600</v>
      </c>
      <c r="CO73" s="115">
        <f t="shared" si="240"/>
        <v>23</v>
      </c>
      <c r="CP73" s="115">
        <f t="shared" si="241"/>
        <v>130</v>
      </c>
      <c r="CQ73" s="118">
        <v>3</v>
      </c>
      <c r="CR73" s="115">
        <f t="shared" si="242"/>
        <v>540</v>
      </c>
      <c r="CS73" s="115">
        <f t="shared" si="243"/>
        <v>1080</v>
      </c>
      <c r="CT73" s="115">
        <v>9</v>
      </c>
      <c r="CU73" s="14">
        <f t="shared" si="244"/>
        <v>12233</v>
      </c>
      <c r="CV73" s="118">
        <v>2</v>
      </c>
      <c r="CW73" s="14">
        <f t="shared" si="245"/>
        <v>223</v>
      </c>
      <c r="CX73" s="118" t="s">
        <v>1026</v>
      </c>
      <c r="CY73" s="14">
        <f t="shared" si="246"/>
        <v>3</v>
      </c>
      <c r="CZ73" s="166" t="str">
        <f t="shared" si="277"/>
        <v>守护灵抽卡券5120级-攻击套守护灵の鞋子1金币86400</v>
      </c>
      <c r="DA73" s="14">
        <f t="shared" si="278"/>
        <v>30</v>
      </c>
      <c r="DB73" s="115" t="s">
        <v>1004</v>
      </c>
      <c r="DC73" s="115">
        <v>5</v>
      </c>
      <c r="DD73" s="115" t="s">
        <v>1493</v>
      </c>
      <c r="DE73" s="115">
        <v>1</v>
      </c>
      <c r="DF73" s="115" t="s">
        <v>252</v>
      </c>
      <c r="DG73" s="115">
        <f t="shared" si="247"/>
        <v>86400</v>
      </c>
      <c r="DJ73" s="118">
        <v>69</v>
      </c>
      <c r="DK73" s="14">
        <f t="shared" si="279"/>
        <v>23</v>
      </c>
      <c r="DL73" s="118">
        <f t="shared" si="248"/>
        <v>120</v>
      </c>
      <c r="DM73" s="166">
        <f t="shared" si="249"/>
        <v>3</v>
      </c>
      <c r="DN73" s="166">
        <v>360</v>
      </c>
      <c r="DO73" s="166">
        <v>2700</v>
      </c>
      <c r="DP73" s="166">
        <v>5</v>
      </c>
      <c r="DQ73" s="118">
        <v>150</v>
      </c>
      <c r="DR73" s="118">
        <f t="shared" si="280"/>
        <v>21233</v>
      </c>
      <c r="DS73" s="118">
        <v>1</v>
      </c>
      <c r="DT73" s="14">
        <f t="shared" si="250"/>
        <v>123</v>
      </c>
      <c r="DU73" s="118" t="s">
        <v>1034</v>
      </c>
      <c r="DV73" s="118">
        <v>3</v>
      </c>
      <c r="DW73" s="166" t="str">
        <f t="shared" si="251"/>
        <v>红色基础材料4守护灵初级抽卡券5守护灵经验37500</v>
      </c>
      <c r="DX73" s="14">
        <f t="shared" ref="DX73" si="292">DT73*100+9</f>
        <v>12309</v>
      </c>
      <c r="DY73" s="118" t="s">
        <v>1037</v>
      </c>
      <c r="DZ73" s="118">
        <v>5</v>
      </c>
      <c r="EA73" s="14" t="str">
        <f>INDEX(挂机升级突破!$DT$4:$DX$4,DP73)</f>
        <v>红色基础材料</v>
      </c>
      <c r="EB73" s="14">
        <f>ROUND(INDEX(挂机升级突破!$G$7:$K$37,DK73+2,章节关卡!DP73)/INDEX(挂机升级突破!$G$5:$K$5,章节关卡!DP73)*INDEX(挂机升级突破!$G$4:$K$4,章节关卡!DP73)*章节关卡!DO73,0)</f>
        <v>4</v>
      </c>
      <c r="EC73" s="118" t="s">
        <v>1038</v>
      </c>
      <c r="ED73" s="14">
        <f t="shared" si="253"/>
        <v>37500</v>
      </c>
      <c r="EI73" s="166">
        <v>69</v>
      </c>
      <c r="EJ73" s="14">
        <f t="shared" si="282"/>
        <v>23</v>
      </c>
      <c r="EK73" s="166">
        <f t="shared" si="283"/>
        <v>125</v>
      </c>
      <c r="EL73" s="166">
        <f t="shared" si="254"/>
        <v>3</v>
      </c>
      <c r="EM73" s="166">
        <f t="shared" si="255"/>
        <v>540</v>
      </c>
      <c r="EN73" s="166">
        <f t="shared" si="256"/>
        <v>6750</v>
      </c>
      <c r="EO73" s="166">
        <v>9</v>
      </c>
      <c r="EP73" s="14">
        <f t="shared" si="257"/>
        <v>300</v>
      </c>
      <c r="EQ73" s="14">
        <f t="shared" si="284"/>
        <v>22233</v>
      </c>
      <c r="ER73" s="166">
        <v>1</v>
      </c>
      <c r="ES73" s="14">
        <f t="shared" si="285"/>
        <v>223</v>
      </c>
      <c r="ET73" s="166" t="s">
        <v>1034</v>
      </c>
      <c r="EU73" s="166">
        <v>3</v>
      </c>
      <c r="EV73" s="166"/>
      <c r="EW73" s="14">
        <f t="shared" ref="EW73" si="293">ES73*100+9</f>
        <v>22309</v>
      </c>
      <c r="EX73" s="166" t="s">
        <v>1397</v>
      </c>
      <c r="EY73" s="166">
        <v>50</v>
      </c>
      <c r="EZ73" s="14" t="str">
        <f>INDEX(挂机升级突破!$DT$4:$EC$4,EO73)</f>
        <v>铀金</v>
      </c>
      <c r="FA73" s="14">
        <f>ROUND(INDEX(挂机升级突破!$G$7:$R$37,EJ73+3,EO73)/INDEX(挂机升级突破!$G$5:$R$5,章节关卡!EO73)*INDEX(挂机升级突破!$G$4:$R$4,章节关卡!EO73)*章节关卡!EN73,0)</f>
        <v>5</v>
      </c>
      <c r="FB73" s="166" t="s">
        <v>1399</v>
      </c>
      <c r="FC73" s="166">
        <f t="shared" si="259"/>
        <v>162000</v>
      </c>
    </row>
    <row r="74" spans="45:159" ht="16.5" x14ac:dyDescent="0.2">
      <c r="AS74" s="24">
        <v>70</v>
      </c>
      <c r="AT74" s="14">
        <f t="shared" si="260"/>
        <v>18</v>
      </c>
      <c r="AU74" s="109">
        <f t="shared" si="261"/>
        <v>2</v>
      </c>
      <c r="AV74" s="109">
        <f t="shared" si="262"/>
        <v>37</v>
      </c>
      <c r="AW74" s="109">
        <f t="shared" si="263"/>
        <v>104</v>
      </c>
      <c r="AX74" s="109">
        <f t="shared" si="264"/>
        <v>179</v>
      </c>
      <c r="BA74" s="109">
        <v>70</v>
      </c>
      <c r="BB74" s="14">
        <f t="shared" si="233"/>
        <v>7</v>
      </c>
      <c r="BC74" s="14">
        <f t="shared" si="265"/>
        <v>10</v>
      </c>
      <c r="BD74" s="14">
        <f t="shared" si="81"/>
        <v>240</v>
      </c>
      <c r="BE74" s="14">
        <f t="shared" si="234"/>
        <v>1200</v>
      </c>
      <c r="BF74" s="14">
        <f t="shared" si="235"/>
        <v>2700</v>
      </c>
      <c r="BG74" s="14">
        <f t="shared" si="266"/>
        <v>2.83</v>
      </c>
      <c r="BH74" s="14">
        <f t="shared" si="267"/>
        <v>11002</v>
      </c>
      <c r="BK74" s="109">
        <v>70</v>
      </c>
      <c r="BL74" s="14">
        <f t="shared" si="268"/>
        <v>7</v>
      </c>
      <c r="BM74" s="14">
        <f t="shared" si="269"/>
        <v>10</v>
      </c>
      <c r="BN74" s="14">
        <f t="shared" si="236"/>
        <v>800</v>
      </c>
      <c r="BO74" s="14">
        <f t="shared" si="237"/>
        <v>2400</v>
      </c>
      <c r="BP74" s="14">
        <f t="shared" si="238"/>
        <v>5400</v>
      </c>
      <c r="BS74" s="109">
        <v>70</v>
      </c>
      <c r="BT74" s="109">
        <f t="shared" si="270"/>
        <v>24</v>
      </c>
      <c r="BU74" s="112">
        <f t="shared" si="271"/>
        <v>125</v>
      </c>
      <c r="BV74" s="109">
        <f t="shared" si="223"/>
        <v>1</v>
      </c>
      <c r="BW74" s="109">
        <v>120</v>
      </c>
      <c r="BX74" s="109">
        <v>180</v>
      </c>
      <c r="BY74" s="112">
        <v>5</v>
      </c>
      <c r="BZ74" s="14">
        <f t="shared" si="272"/>
        <v>11241</v>
      </c>
      <c r="CA74" s="118">
        <v>1</v>
      </c>
      <c r="CB74" s="14">
        <f t="shared" si="273"/>
        <v>124</v>
      </c>
      <c r="CC74" s="118" t="s">
        <v>1026</v>
      </c>
      <c r="CD74" s="14">
        <f t="shared" si="274"/>
        <v>1</v>
      </c>
      <c r="CE74" s="166" t="str">
        <f t="shared" si="275"/>
        <v xml:space="preserve">钻石100 金币20400 </v>
      </c>
      <c r="CF74" s="14">
        <f t="shared" si="276"/>
        <v>10</v>
      </c>
      <c r="CG74" s="115" t="s">
        <v>19</v>
      </c>
      <c r="CH74" s="115">
        <v>100</v>
      </c>
      <c r="CI74" s="210" t="s">
        <v>358</v>
      </c>
      <c r="CJ74" s="210">
        <f>INDEX($I$6:$I$35,BT74)*BW74</f>
        <v>20400</v>
      </c>
      <c r="CK74" s="210"/>
      <c r="CL74" s="210"/>
      <c r="CO74" s="115">
        <f t="shared" si="240"/>
        <v>24</v>
      </c>
      <c r="CP74" s="115">
        <f t="shared" si="241"/>
        <v>135</v>
      </c>
      <c r="CQ74" s="118">
        <v>1</v>
      </c>
      <c r="CR74" s="115">
        <f t="shared" si="242"/>
        <v>180</v>
      </c>
      <c r="CS74" s="115">
        <f t="shared" si="243"/>
        <v>360</v>
      </c>
      <c r="CT74" s="115">
        <v>9</v>
      </c>
      <c r="CU74" s="14">
        <f t="shared" si="244"/>
        <v>12241</v>
      </c>
      <c r="CV74" s="118">
        <v>2</v>
      </c>
      <c r="CW74" s="14">
        <f t="shared" si="245"/>
        <v>224</v>
      </c>
      <c r="CX74" s="118" t="s">
        <v>1026</v>
      </c>
      <c r="CY74" s="14">
        <f t="shared" si="246"/>
        <v>1</v>
      </c>
      <c r="CZ74" s="166" t="str">
        <f t="shared" si="277"/>
        <v>钻石100120级-攻击套寄灵人の头盔1金币30600</v>
      </c>
      <c r="DA74" s="14">
        <f t="shared" si="278"/>
        <v>10</v>
      </c>
      <c r="DB74" s="115" t="s">
        <v>257</v>
      </c>
      <c r="DC74" s="115">
        <v>100</v>
      </c>
      <c r="DD74" s="115" t="s">
        <v>1494</v>
      </c>
      <c r="DE74" s="115">
        <v>1</v>
      </c>
      <c r="DF74" s="115" t="s">
        <v>252</v>
      </c>
      <c r="DG74" s="115">
        <f t="shared" si="247"/>
        <v>30600</v>
      </c>
      <c r="DJ74" s="118">
        <v>70</v>
      </c>
      <c r="DK74" s="14">
        <f t="shared" si="279"/>
        <v>24</v>
      </c>
      <c r="DL74" s="118">
        <f t="shared" si="248"/>
        <v>125</v>
      </c>
      <c r="DM74" s="166">
        <f t="shared" si="249"/>
        <v>1</v>
      </c>
      <c r="DN74" s="166">
        <v>120</v>
      </c>
      <c r="DO74" s="166">
        <v>900</v>
      </c>
      <c r="DP74" s="166">
        <v>5</v>
      </c>
      <c r="DQ74" s="118">
        <v>90</v>
      </c>
      <c r="DR74" s="118">
        <f t="shared" si="280"/>
        <v>21241</v>
      </c>
      <c r="DS74" s="118">
        <v>1</v>
      </c>
      <c r="DT74" s="14">
        <f t="shared" si="250"/>
        <v>124</v>
      </c>
      <c r="DU74" s="118" t="s">
        <v>1034</v>
      </c>
      <c r="DV74" s="118">
        <v>1</v>
      </c>
      <c r="DW74" s="166" t="str">
        <f t="shared" si="251"/>
        <v>红色基础材料2守护灵初级抽卡券2守护灵经验24750</v>
      </c>
      <c r="DX74" s="14">
        <f t="shared" ref="DX74" si="294">DT74*100+3</f>
        <v>12403</v>
      </c>
      <c r="DY74" s="118" t="s">
        <v>1037</v>
      </c>
      <c r="DZ74" s="118">
        <v>2</v>
      </c>
      <c r="EA74" s="14" t="str">
        <f>INDEX(挂机升级突破!$DT$4:$DX$4,DP74)</f>
        <v>红色基础材料</v>
      </c>
      <c r="EB74" s="14">
        <f>ROUND(INDEX(挂机升级突破!$G$7:$K$37,DK74+2,章节关卡!DP74)/INDEX(挂机升级突破!$G$5:$K$5,章节关卡!DP74)*INDEX(挂机升级突破!$G$4:$K$4,章节关卡!DP74)*章节关卡!DO74,0)</f>
        <v>2</v>
      </c>
      <c r="EC74" s="118" t="s">
        <v>1038</v>
      </c>
      <c r="ED74" s="14">
        <f t="shared" si="253"/>
        <v>24750</v>
      </c>
      <c r="EI74" s="166">
        <v>70</v>
      </c>
      <c r="EJ74" s="14">
        <f t="shared" si="282"/>
        <v>24</v>
      </c>
      <c r="EK74" s="166">
        <f t="shared" si="283"/>
        <v>130</v>
      </c>
      <c r="EL74" s="166">
        <f t="shared" si="254"/>
        <v>1</v>
      </c>
      <c r="EM74" s="166">
        <f t="shared" si="255"/>
        <v>180</v>
      </c>
      <c r="EN74" s="166">
        <f t="shared" si="256"/>
        <v>2250</v>
      </c>
      <c r="EO74" s="166">
        <v>9</v>
      </c>
      <c r="EP74" s="14">
        <f t="shared" si="257"/>
        <v>180</v>
      </c>
      <c r="EQ74" s="14">
        <f t="shared" si="284"/>
        <v>22241</v>
      </c>
      <c r="ER74" s="166">
        <v>1</v>
      </c>
      <c r="ES74" s="14">
        <f t="shared" si="285"/>
        <v>224</v>
      </c>
      <c r="ET74" s="166" t="s">
        <v>1034</v>
      </c>
      <c r="EU74" s="166">
        <v>1</v>
      </c>
      <c r="EV74" s="166"/>
      <c r="EW74" s="14">
        <f t="shared" ref="EW74" si="295">ES74*100+3</f>
        <v>22403</v>
      </c>
      <c r="EX74" s="166" t="s">
        <v>1397</v>
      </c>
      <c r="EY74" s="166">
        <v>20</v>
      </c>
      <c r="EZ74" s="14" t="str">
        <f>INDEX(挂机升级突破!$DT$4:$EC$4,EO74)</f>
        <v>铀金</v>
      </c>
      <c r="FA74" s="14">
        <f>ROUND(INDEX(挂机升级突破!$G$7:$R$37,EJ74+3,EO74)/INDEX(挂机升级突破!$G$5:$R$5,章节关卡!EO74)*INDEX(挂机升级突破!$G$4:$R$4,章节关卡!EO74)*章节关卡!EN74,0)</f>
        <v>2</v>
      </c>
      <c r="FB74" s="166" t="s">
        <v>1399</v>
      </c>
      <c r="FC74" s="166">
        <f t="shared" si="259"/>
        <v>58500</v>
      </c>
    </row>
    <row r="75" spans="45:159" ht="16.5" x14ac:dyDescent="0.2">
      <c r="AS75" s="24">
        <v>71</v>
      </c>
      <c r="AT75" s="14">
        <f t="shared" si="260"/>
        <v>18</v>
      </c>
      <c r="AU75" s="109">
        <f t="shared" si="261"/>
        <v>3</v>
      </c>
      <c r="AV75" s="109">
        <f t="shared" si="262"/>
        <v>37</v>
      </c>
      <c r="AW75" s="109">
        <f t="shared" si="263"/>
        <v>106</v>
      </c>
      <c r="AX75" s="109">
        <f t="shared" si="264"/>
        <v>181</v>
      </c>
      <c r="BA75" s="109">
        <v>71</v>
      </c>
      <c r="BB75" s="14">
        <f t="shared" si="233"/>
        <v>8</v>
      </c>
      <c r="BC75" s="14">
        <f t="shared" si="265"/>
        <v>1</v>
      </c>
      <c r="BD75" s="14">
        <f t="shared" si="81"/>
        <v>280</v>
      </c>
      <c r="BE75" s="14">
        <f t="shared" si="234"/>
        <v>1350</v>
      </c>
      <c r="BF75" s="14">
        <f t="shared" si="235"/>
        <v>3150</v>
      </c>
      <c r="BG75" s="14">
        <f t="shared" si="266"/>
        <v>3.46</v>
      </c>
      <c r="BH75" s="14">
        <f t="shared" si="267"/>
        <v>11003</v>
      </c>
      <c r="BK75" s="109">
        <v>71</v>
      </c>
      <c r="BL75" s="14">
        <f t="shared" si="268"/>
        <v>8</v>
      </c>
      <c r="BM75" s="14">
        <f t="shared" si="269"/>
        <v>1</v>
      </c>
      <c r="BN75" s="14">
        <f t="shared" si="236"/>
        <v>1100</v>
      </c>
      <c r="BO75" s="14">
        <f t="shared" si="237"/>
        <v>2700</v>
      </c>
      <c r="BP75" s="14">
        <f t="shared" si="238"/>
        <v>6300</v>
      </c>
      <c r="BS75" s="109">
        <v>71</v>
      </c>
      <c r="BT75" s="109">
        <f t="shared" si="270"/>
        <v>24</v>
      </c>
      <c r="BU75" s="112">
        <f t="shared" si="271"/>
        <v>125</v>
      </c>
      <c r="BV75" s="109">
        <f t="shared" si="223"/>
        <v>2</v>
      </c>
      <c r="BW75" s="109">
        <v>240</v>
      </c>
      <c r="BX75" s="109">
        <v>360</v>
      </c>
      <c r="BY75" s="112">
        <v>5</v>
      </c>
      <c r="BZ75" s="14">
        <f t="shared" si="272"/>
        <v>11242</v>
      </c>
      <c r="CA75" s="118">
        <v>1</v>
      </c>
      <c r="CB75" s="14">
        <f t="shared" si="273"/>
        <v>124</v>
      </c>
      <c r="CC75" s="118" t="s">
        <v>1026</v>
      </c>
      <c r="CD75" s="14">
        <f t="shared" si="274"/>
        <v>2</v>
      </c>
      <c r="CE75" s="166" t="str">
        <f t="shared" si="275"/>
        <v>守护灵抽卡券2 2小时扫荡券1 金币40800</v>
      </c>
      <c r="CF75" s="14">
        <f t="shared" si="276"/>
        <v>20</v>
      </c>
      <c r="CG75" s="115" t="s">
        <v>258</v>
      </c>
      <c r="CH75" s="115">
        <v>2</v>
      </c>
      <c r="CI75" s="210" t="s">
        <v>1395</v>
      </c>
      <c r="CJ75" s="210">
        <v>1</v>
      </c>
      <c r="CK75" s="210" t="s">
        <v>252</v>
      </c>
      <c r="CL75" s="210">
        <f t="shared" ref="CL75:CL76" si="296">INDEX($I$6:$I$35,BT75)*BW75</f>
        <v>40800</v>
      </c>
      <c r="CO75" s="115">
        <f t="shared" si="240"/>
        <v>24</v>
      </c>
      <c r="CP75" s="115">
        <f t="shared" si="241"/>
        <v>135</v>
      </c>
      <c r="CQ75" s="118">
        <v>2</v>
      </c>
      <c r="CR75" s="115">
        <f t="shared" si="242"/>
        <v>360</v>
      </c>
      <c r="CS75" s="115">
        <f t="shared" si="243"/>
        <v>720</v>
      </c>
      <c r="CT75" s="115">
        <v>9</v>
      </c>
      <c r="CU75" s="14">
        <f t="shared" si="244"/>
        <v>12242</v>
      </c>
      <c r="CV75" s="118">
        <v>2</v>
      </c>
      <c r="CW75" s="14">
        <f t="shared" si="245"/>
        <v>224</v>
      </c>
      <c r="CX75" s="118" t="s">
        <v>1026</v>
      </c>
      <c r="CY75" s="14">
        <f t="shared" si="246"/>
        <v>2</v>
      </c>
      <c r="CZ75" s="166" t="str">
        <f t="shared" si="277"/>
        <v>熔炼值6500120级-攻击套寄灵人の铠甲1金币61200</v>
      </c>
      <c r="DA75" s="14">
        <f t="shared" si="278"/>
        <v>20</v>
      </c>
      <c r="DB75" s="115" t="s">
        <v>1005</v>
      </c>
      <c r="DC75" s="115">
        <v>6500</v>
      </c>
      <c r="DD75" s="115" t="s">
        <v>1495</v>
      </c>
      <c r="DE75" s="115">
        <v>1</v>
      </c>
      <c r="DF75" s="115" t="s">
        <v>252</v>
      </c>
      <c r="DG75" s="115">
        <f t="shared" si="247"/>
        <v>61200</v>
      </c>
      <c r="DJ75" s="118">
        <v>71</v>
      </c>
      <c r="DK75" s="14">
        <f t="shared" si="279"/>
        <v>24</v>
      </c>
      <c r="DL75" s="118">
        <f t="shared" si="248"/>
        <v>125</v>
      </c>
      <c r="DM75" s="166">
        <f t="shared" si="249"/>
        <v>2</v>
      </c>
      <c r="DN75" s="166">
        <v>240</v>
      </c>
      <c r="DO75" s="166">
        <v>1800</v>
      </c>
      <c r="DP75" s="166">
        <v>5</v>
      </c>
      <c r="DQ75" s="118">
        <v>120</v>
      </c>
      <c r="DR75" s="118">
        <f t="shared" si="280"/>
        <v>21242</v>
      </c>
      <c r="DS75" s="118">
        <v>1</v>
      </c>
      <c r="DT75" s="14">
        <f t="shared" si="250"/>
        <v>124</v>
      </c>
      <c r="DU75" s="118" t="s">
        <v>1034</v>
      </c>
      <c r="DV75" s="118">
        <v>2</v>
      </c>
      <c r="DW75" s="166" t="str">
        <f t="shared" si="251"/>
        <v>红色基础材料4守护灵初级抽卡券3守护灵经验33000</v>
      </c>
      <c r="DX75" s="14">
        <f t="shared" ref="DX75" si="297">DT75*100+6</f>
        <v>12406</v>
      </c>
      <c r="DY75" s="118" t="s">
        <v>1037</v>
      </c>
      <c r="DZ75" s="118">
        <v>3</v>
      </c>
      <c r="EA75" s="14" t="str">
        <f>INDEX(挂机升级突破!$DT$4:$DX$4,DP75)</f>
        <v>红色基础材料</v>
      </c>
      <c r="EB75" s="14">
        <f>ROUND(INDEX(挂机升级突破!$G$7:$K$37,DK75+2,章节关卡!DP75)/INDEX(挂机升级突破!$G$5:$K$5,章节关卡!DP75)*INDEX(挂机升级突破!$G$4:$K$4,章节关卡!DP75)*章节关卡!DO75,0)</f>
        <v>4</v>
      </c>
      <c r="EC75" s="118" t="s">
        <v>1038</v>
      </c>
      <c r="ED75" s="14">
        <f t="shared" si="253"/>
        <v>33000</v>
      </c>
      <c r="EI75" s="166">
        <v>71</v>
      </c>
      <c r="EJ75" s="14">
        <f t="shared" si="282"/>
        <v>24</v>
      </c>
      <c r="EK75" s="166">
        <f t="shared" si="283"/>
        <v>130</v>
      </c>
      <c r="EL75" s="166">
        <f t="shared" si="254"/>
        <v>2</v>
      </c>
      <c r="EM75" s="166">
        <f t="shared" si="255"/>
        <v>360</v>
      </c>
      <c r="EN75" s="166">
        <f t="shared" si="256"/>
        <v>4500</v>
      </c>
      <c r="EO75" s="166">
        <v>9</v>
      </c>
      <c r="EP75" s="14">
        <f t="shared" si="257"/>
        <v>240</v>
      </c>
      <c r="EQ75" s="14">
        <f t="shared" si="284"/>
        <v>22242</v>
      </c>
      <c r="ER75" s="166">
        <v>1</v>
      </c>
      <c r="ES75" s="14">
        <f t="shared" si="285"/>
        <v>224</v>
      </c>
      <c r="ET75" s="166" t="s">
        <v>1034</v>
      </c>
      <c r="EU75" s="166">
        <v>2</v>
      </c>
      <c r="EV75" s="166"/>
      <c r="EW75" s="14">
        <f t="shared" ref="EW75" si="298">ES75*100+6</f>
        <v>22406</v>
      </c>
      <c r="EX75" s="166" t="s">
        <v>1397</v>
      </c>
      <c r="EY75" s="166">
        <v>30</v>
      </c>
      <c r="EZ75" s="14" t="str">
        <f>INDEX(挂机升级突破!$DT$4:$EC$4,EO75)</f>
        <v>铀金</v>
      </c>
      <c r="FA75" s="14">
        <f>ROUND(INDEX(挂机升级突破!$G$7:$R$37,EJ75+3,EO75)/INDEX(挂机升级突破!$G$5:$R$5,章节关卡!EO75)*INDEX(挂机升级突破!$G$4:$R$4,章节关卡!EO75)*章节关卡!EN75,0)</f>
        <v>5</v>
      </c>
      <c r="FB75" s="166" t="s">
        <v>1399</v>
      </c>
      <c r="FC75" s="166">
        <f t="shared" si="259"/>
        <v>117000</v>
      </c>
    </row>
    <row r="76" spans="45:159" ht="16.5" x14ac:dyDescent="0.2">
      <c r="AS76" s="24">
        <v>72</v>
      </c>
      <c r="AT76" s="14">
        <f t="shared" si="260"/>
        <v>18</v>
      </c>
      <c r="AU76" s="109">
        <f t="shared" si="261"/>
        <v>4</v>
      </c>
      <c r="AV76" s="109">
        <f t="shared" si="262"/>
        <v>37</v>
      </c>
      <c r="AW76" s="109">
        <f t="shared" si="263"/>
        <v>108</v>
      </c>
      <c r="AX76" s="109">
        <f t="shared" si="264"/>
        <v>183</v>
      </c>
      <c r="BA76" s="109">
        <v>72</v>
      </c>
      <c r="BB76" s="14">
        <f t="shared" si="233"/>
        <v>8</v>
      </c>
      <c r="BC76" s="14">
        <f t="shared" si="265"/>
        <v>2</v>
      </c>
      <c r="BD76" s="14">
        <f t="shared" si="81"/>
        <v>280</v>
      </c>
      <c r="BE76" s="14">
        <f t="shared" si="234"/>
        <v>1350</v>
      </c>
      <c r="BF76" s="14">
        <f t="shared" si="235"/>
        <v>3150</v>
      </c>
      <c r="BG76" s="14">
        <f t="shared" si="266"/>
        <v>3.46</v>
      </c>
      <c r="BH76" s="14">
        <f t="shared" si="267"/>
        <v>11003</v>
      </c>
      <c r="BK76" s="109">
        <v>72</v>
      </c>
      <c r="BL76" s="14">
        <f t="shared" si="268"/>
        <v>8</v>
      </c>
      <c r="BM76" s="14">
        <f t="shared" si="269"/>
        <v>2</v>
      </c>
      <c r="BN76" s="14">
        <f t="shared" si="236"/>
        <v>1100</v>
      </c>
      <c r="BO76" s="14">
        <f t="shared" si="237"/>
        <v>2700</v>
      </c>
      <c r="BP76" s="14">
        <f t="shared" si="238"/>
        <v>6300</v>
      </c>
      <c r="BS76" s="109">
        <v>72</v>
      </c>
      <c r="BT76" s="109">
        <f t="shared" si="270"/>
        <v>24</v>
      </c>
      <c r="BU76" s="112">
        <f t="shared" si="271"/>
        <v>125</v>
      </c>
      <c r="BV76" s="109">
        <f t="shared" si="223"/>
        <v>3</v>
      </c>
      <c r="BW76" s="109">
        <v>360</v>
      </c>
      <c r="BX76" s="109">
        <v>540</v>
      </c>
      <c r="BY76" s="112">
        <v>5</v>
      </c>
      <c r="BZ76" s="14">
        <f t="shared" si="272"/>
        <v>11243</v>
      </c>
      <c r="CA76" s="118">
        <v>1</v>
      </c>
      <c r="CB76" s="14">
        <f t="shared" si="273"/>
        <v>124</v>
      </c>
      <c r="CC76" s="118" t="s">
        <v>1026</v>
      </c>
      <c r="CD76" s="14">
        <f t="shared" si="274"/>
        <v>3</v>
      </c>
      <c r="CE76" s="166" t="str">
        <f t="shared" si="275"/>
        <v>守护灵抽卡券3 2小时扫荡券1 金币61200</v>
      </c>
      <c r="CF76" s="14">
        <f t="shared" si="276"/>
        <v>30</v>
      </c>
      <c r="CG76" s="115" t="s">
        <v>258</v>
      </c>
      <c r="CH76" s="115">
        <v>3</v>
      </c>
      <c r="CI76" s="210" t="s">
        <v>1395</v>
      </c>
      <c r="CJ76" s="210">
        <v>1</v>
      </c>
      <c r="CK76" s="210" t="s">
        <v>252</v>
      </c>
      <c r="CL76" s="210">
        <f t="shared" si="296"/>
        <v>61200</v>
      </c>
      <c r="CO76" s="115">
        <f t="shared" si="240"/>
        <v>24</v>
      </c>
      <c r="CP76" s="115">
        <f t="shared" si="241"/>
        <v>135</v>
      </c>
      <c r="CQ76" s="118">
        <v>3</v>
      </c>
      <c r="CR76" s="115">
        <f t="shared" si="242"/>
        <v>540</v>
      </c>
      <c r="CS76" s="115">
        <f t="shared" si="243"/>
        <v>1080</v>
      </c>
      <c r="CT76" s="115">
        <v>9</v>
      </c>
      <c r="CU76" s="14">
        <f t="shared" si="244"/>
        <v>12243</v>
      </c>
      <c r="CV76" s="118">
        <v>2</v>
      </c>
      <c r="CW76" s="14">
        <f t="shared" si="245"/>
        <v>224</v>
      </c>
      <c r="CX76" s="118" t="s">
        <v>1026</v>
      </c>
      <c r="CY76" s="14">
        <f t="shared" si="246"/>
        <v>3</v>
      </c>
      <c r="CZ76" s="166" t="str">
        <f t="shared" si="277"/>
        <v>守护灵抽卡券5120级-攻击套寄灵人の鞋子1金币91800</v>
      </c>
      <c r="DA76" s="14">
        <f t="shared" si="278"/>
        <v>30</v>
      </c>
      <c r="DB76" s="115" t="s">
        <v>1004</v>
      </c>
      <c r="DC76" s="115">
        <v>5</v>
      </c>
      <c r="DD76" s="115" t="s">
        <v>1496</v>
      </c>
      <c r="DE76" s="115">
        <v>1</v>
      </c>
      <c r="DF76" s="115" t="s">
        <v>252</v>
      </c>
      <c r="DG76" s="115">
        <f t="shared" si="247"/>
        <v>91800</v>
      </c>
      <c r="DJ76" s="118">
        <v>72</v>
      </c>
      <c r="DK76" s="14">
        <f t="shared" si="279"/>
        <v>24</v>
      </c>
      <c r="DL76" s="118">
        <f t="shared" si="248"/>
        <v>125</v>
      </c>
      <c r="DM76" s="166">
        <f t="shared" si="249"/>
        <v>3</v>
      </c>
      <c r="DN76" s="166">
        <v>360</v>
      </c>
      <c r="DO76" s="166">
        <v>2700</v>
      </c>
      <c r="DP76" s="166">
        <v>5</v>
      </c>
      <c r="DQ76" s="118">
        <v>150</v>
      </c>
      <c r="DR76" s="118">
        <f t="shared" si="280"/>
        <v>21243</v>
      </c>
      <c r="DS76" s="118">
        <v>1</v>
      </c>
      <c r="DT76" s="14">
        <f t="shared" si="250"/>
        <v>124</v>
      </c>
      <c r="DU76" s="118" t="s">
        <v>1034</v>
      </c>
      <c r="DV76" s="118">
        <v>3</v>
      </c>
      <c r="DW76" s="166" t="str">
        <f t="shared" si="251"/>
        <v>红色基础材料6守护灵初级抽卡券5守护灵经验41250</v>
      </c>
      <c r="DX76" s="14">
        <f t="shared" ref="DX76" si="299">DT76*100+9</f>
        <v>12409</v>
      </c>
      <c r="DY76" s="118" t="s">
        <v>1037</v>
      </c>
      <c r="DZ76" s="118">
        <v>5</v>
      </c>
      <c r="EA76" s="14" t="str">
        <f>INDEX(挂机升级突破!$DT$4:$DX$4,DP76)</f>
        <v>红色基础材料</v>
      </c>
      <c r="EB76" s="14">
        <f>ROUND(INDEX(挂机升级突破!$G$7:$K$37,DK76+2,章节关卡!DP76)/INDEX(挂机升级突破!$G$5:$K$5,章节关卡!DP76)*INDEX(挂机升级突破!$G$4:$K$4,章节关卡!DP76)*章节关卡!DO76,0)</f>
        <v>6</v>
      </c>
      <c r="EC76" s="118" t="s">
        <v>1038</v>
      </c>
      <c r="ED76" s="14">
        <f t="shared" si="253"/>
        <v>41250</v>
      </c>
      <c r="EI76" s="166">
        <v>72</v>
      </c>
      <c r="EJ76" s="14">
        <f t="shared" si="282"/>
        <v>24</v>
      </c>
      <c r="EK76" s="166">
        <f t="shared" si="283"/>
        <v>130</v>
      </c>
      <c r="EL76" s="166">
        <f t="shared" si="254"/>
        <v>3</v>
      </c>
      <c r="EM76" s="166">
        <f t="shared" si="255"/>
        <v>540</v>
      </c>
      <c r="EN76" s="166">
        <f t="shared" si="256"/>
        <v>6750</v>
      </c>
      <c r="EO76" s="166">
        <v>9</v>
      </c>
      <c r="EP76" s="14">
        <f t="shared" si="257"/>
        <v>300</v>
      </c>
      <c r="EQ76" s="14">
        <f t="shared" si="284"/>
        <v>22243</v>
      </c>
      <c r="ER76" s="166">
        <v>1</v>
      </c>
      <c r="ES76" s="14">
        <f t="shared" si="285"/>
        <v>224</v>
      </c>
      <c r="ET76" s="166" t="s">
        <v>1034</v>
      </c>
      <c r="EU76" s="166">
        <v>3</v>
      </c>
      <c r="EV76" s="166"/>
      <c r="EW76" s="14">
        <f t="shared" ref="EW76" si="300">ES76*100+9</f>
        <v>22409</v>
      </c>
      <c r="EX76" s="166" t="s">
        <v>1397</v>
      </c>
      <c r="EY76" s="166">
        <v>50</v>
      </c>
      <c r="EZ76" s="14" t="str">
        <f>INDEX(挂机升级突破!$DT$4:$EC$4,EO76)</f>
        <v>铀金</v>
      </c>
      <c r="FA76" s="14">
        <f>ROUND(INDEX(挂机升级突破!$G$7:$R$37,EJ76+3,EO76)/INDEX(挂机升级突破!$G$5:$R$5,章节关卡!EO76)*INDEX(挂机升级突破!$G$4:$R$4,章节关卡!EO76)*章节关卡!EN76,0)</f>
        <v>7</v>
      </c>
      <c r="FB76" s="166" t="s">
        <v>1399</v>
      </c>
      <c r="FC76" s="166">
        <f t="shared" si="259"/>
        <v>175500</v>
      </c>
    </row>
    <row r="77" spans="45:159" ht="16.5" x14ac:dyDescent="0.2">
      <c r="AS77" s="24">
        <v>73</v>
      </c>
      <c r="AT77" s="14">
        <f t="shared" si="260"/>
        <v>19</v>
      </c>
      <c r="AU77" s="109">
        <f t="shared" si="261"/>
        <v>1</v>
      </c>
      <c r="AV77" s="109">
        <f t="shared" si="262"/>
        <v>40</v>
      </c>
      <c r="AW77" s="109">
        <f t="shared" si="263"/>
        <v>112</v>
      </c>
      <c r="AX77" s="109">
        <f t="shared" si="264"/>
        <v>188</v>
      </c>
      <c r="BA77" s="109">
        <v>73</v>
      </c>
      <c r="BB77" s="14">
        <f t="shared" si="233"/>
        <v>8</v>
      </c>
      <c r="BC77" s="14">
        <f t="shared" si="265"/>
        <v>3</v>
      </c>
      <c r="BD77" s="14">
        <f t="shared" si="81"/>
        <v>280</v>
      </c>
      <c r="BE77" s="14">
        <f t="shared" si="234"/>
        <v>1350</v>
      </c>
      <c r="BF77" s="14">
        <f t="shared" si="235"/>
        <v>3150</v>
      </c>
      <c r="BG77" s="14">
        <f t="shared" si="266"/>
        <v>3.46</v>
      </c>
      <c r="BH77" s="14">
        <f t="shared" si="267"/>
        <v>11003</v>
      </c>
      <c r="BK77" s="109">
        <v>73</v>
      </c>
      <c r="BL77" s="14">
        <f t="shared" si="268"/>
        <v>8</v>
      </c>
      <c r="BM77" s="14">
        <f t="shared" si="269"/>
        <v>3</v>
      </c>
      <c r="BN77" s="14">
        <f t="shared" si="236"/>
        <v>1100</v>
      </c>
      <c r="BO77" s="14">
        <f t="shared" si="237"/>
        <v>2700</v>
      </c>
      <c r="BP77" s="14">
        <f t="shared" si="238"/>
        <v>6300</v>
      </c>
      <c r="BS77" s="109">
        <v>73</v>
      </c>
      <c r="BT77" s="109">
        <f t="shared" si="270"/>
        <v>25</v>
      </c>
      <c r="BU77" s="112">
        <f t="shared" si="271"/>
        <v>130</v>
      </c>
      <c r="BV77" s="109">
        <f t="shared" si="223"/>
        <v>1</v>
      </c>
      <c r="BW77" s="109">
        <v>120</v>
      </c>
      <c r="BX77" s="109">
        <v>180</v>
      </c>
      <c r="BY77" s="112">
        <v>5</v>
      </c>
      <c r="BZ77" s="14">
        <f t="shared" si="272"/>
        <v>11251</v>
      </c>
      <c r="CA77" s="118">
        <v>1</v>
      </c>
      <c r="CB77" s="14">
        <f t="shared" si="273"/>
        <v>125</v>
      </c>
      <c r="CC77" s="118" t="s">
        <v>1026</v>
      </c>
      <c r="CD77" s="14">
        <f t="shared" si="274"/>
        <v>1</v>
      </c>
      <c r="CE77" s="166" t="str">
        <f t="shared" si="275"/>
        <v xml:space="preserve">钻石100 金币21600 </v>
      </c>
      <c r="CF77" s="14">
        <f t="shared" si="276"/>
        <v>10</v>
      </c>
      <c r="CG77" s="115" t="s">
        <v>19</v>
      </c>
      <c r="CH77" s="115">
        <v>100</v>
      </c>
      <c r="CI77" s="210" t="s">
        <v>358</v>
      </c>
      <c r="CJ77" s="210">
        <f>INDEX($I$6:$I$35,BT77)*BW77</f>
        <v>21600</v>
      </c>
      <c r="CK77" s="210"/>
      <c r="CL77" s="210"/>
      <c r="CO77" s="115">
        <f t="shared" si="240"/>
        <v>25</v>
      </c>
      <c r="CP77" s="115">
        <f t="shared" si="241"/>
        <v>140</v>
      </c>
      <c r="CQ77" s="118">
        <v>1</v>
      </c>
      <c r="CR77" s="115">
        <f t="shared" si="242"/>
        <v>180</v>
      </c>
      <c r="CS77" s="115">
        <f t="shared" si="243"/>
        <v>360</v>
      </c>
      <c r="CT77" s="115">
        <v>9</v>
      </c>
      <c r="CU77" s="14">
        <f t="shared" si="244"/>
        <v>12251</v>
      </c>
      <c r="CV77" s="118">
        <v>2</v>
      </c>
      <c r="CW77" s="14">
        <f t="shared" si="245"/>
        <v>225</v>
      </c>
      <c r="CX77" s="118" t="s">
        <v>1026</v>
      </c>
      <c r="CY77" s="14">
        <f t="shared" si="246"/>
        <v>1</v>
      </c>
      <c r="CZ77" s="166" t="str">
        <f t="shared" si="277"/>
        <v>钻石100130级-防御套守护灵の头盔1金币32400</v>
      </c>
      <c r="DA77" s="14">
        <f t="shared" si="278"/>
        <v>10</v>
      </c>
      <c r="DB77" s="115" t="s">
        <v>257</v>
      </c>
      <c r="DC77" s="115">
        <v>100</v>
      </c>
      <c r="DD77" s="115" t="s">
        <v>1497</v>
      </c>
      <c r="DE77" s="115">
        <v>1</v>
      </c>
      <c r="DF77" s="115" t="s">
        <v>252</v>
      </c>
      <c r="DG77" s="115">
        <f t="shared" si="247"/>
        <v>32400</v>
      </c>
      <c r="DJ77" s="118">
        <v>73</v>
      </c>
      <c r="DK77" s="14">
        <f t="shared" si="279"/>
        <v>25</v>
      </c>
      <c r="DL77" s="118">
        <f t="shared" si="248"/>
        <v>130</v>
      </c>
      <c r="DM77" s="166">
        <f t="shared" si="249"/>
        <v>1</v>
      </c>
      <c r="DN77" s="166">
        <v>120</v>
      </c>
      <c r="DO77" s="166">
        <v>900</v>
      </c>
      <c r="DP77" s="166">
        <v>5</v>
      </c>
      <c r="DQ77" s="118">
        <v>90</v>
      </c>
      <c r="DR77" s="118">
        <f t="shared" si="280"/>
        <v>21251</v>
      </c>
      <c r="DS77" s="118">
        <v>1</v>
      </c>
      <c r="DT77" s="14">
        <f t="shared" si="250"/>
        <v>125</v>
      </c>
      <c r="DU77" s="118" t="s">
        <v>1034</v>
      </c>
      <c r="DV77" s="118">
        <v>1</v>
      </c>
      <c r="DW77" s="166" t="str">
        <f t="shared" si="251"/>
        <v>红色基础材料2守护灵初级抽卡券2守护灵经验27000</v>
      </c>
      <c r="DX77" s="14">
        <f t="shared" ref="DX77" si="301">DT77*100+3</f>
        <v>12503</v>
      </c>
      <c r="DY77" s="118" t="s">
        <v>1037</v>
      </c>
      <c r="DZ77" s="118">
        <v>2</v>
      </c>
      <c r="EA77" s="14" t="str">
        <f>INDEX(挂机升级突破!$DT$4:$DX$4,DP77)</f>
        <v>红色基础材料</v>
      </c>
      <c r="EB77" s="14">
        <f>ROUND(INDEX(挂机升级突破!$G$7:$K$37,DK77+2,章节关卡!DP77)/INDEX(挂机升级突破!$G$5:$K$5,章节关卡!DP77)*INDEX(挂机升级突破!$G$4:$K$4,章节关卡!DP77)*章节关卡!DO77,0)</f>
        <v>2</v>
      </c>
      <c r="EC77" s="118" t="s">
        <v>1038</v>
      </c>
      <c r="ED77" s="14">
        <f t="shared" si="253"/>
        <v>27000</v>
      </c>
      <c r="EI77" s="166">
        <v>73</v>
      </c>
      <c r="EJ77" s="14">
        <f t="shared" si="282"/>
        <v>25</v>
      </c>
      <c r="EK77" s="166">
        <f t="shared" si="283"/>
        <v>135</v>
      </c>
      <c r="EL77" s="166">
        <f t="shared" si="254"/>
        <v>1</v>
      </c>
      <c r="EM77" s="166">
        <f t="shared" si="255"/>
        <v>180</v>
      </c>
      <c r="EN77" s="166">
        <f t="shared" si="256"/>
        <v>2250</v>
      </c>
      <c r="EO77" s="166">
        <v>9</v>
      </c>
      <c r="EP77" s="14">
        <f t="shared" si="257"/>
        <v>180</v>
      </c>
      <c r="EQ77" s="14">
        <f t="shared" si="284"/>
        <v>22251</v>
      </c>
      <c r="ER77" s="166">
        <v>1</v>
      </c>
      <c r="ES77" s="14">
        <f t="shared" si="285"/>
        <v>225</v>
      </c>
      <c r="ET77" s="166" t="s">
        <v>1034</v>
      </c>
      <c r="EU77" s="166">
        <v>1</v>
      </c>
      <c r="EV77" s="166"/>
      <c r="EW77" s="14">
        <f t="shared" ref="EW77" si="302">ES77*100+3</f>
        <v>22503</v>
      </c>
      <c r="EX77" s="166" t="s">
        <v>1397</v>
      </c>
      <c r="EY77" s="166">
        <v>20</v>
      </c>
      <c r="EZ77" s="14" t="str">
        <f>INDEX(挂机升级突破!$DT$4:$EC$4,EO77)</f>
        <v>铀金</v>
      </c>
      <c r="FA77" s="14">
        <f>ROUND(INDEX(挂机升级突破!$G$7:$R$37,EJ77+3,EO77)/INDEX(挂机升级突破!$G$5:$R$5,章节关卡!EO77)*INDEX(挂机升级突破!$G$4:$R$4,章节关卡!EO77)*章节关卡!EN77,0)</f>
        <v>3</v>
      </c>
      <c r="FB77" s="166" t="s">
        <v>1399</v>
      </c>
      <c r="FC77" s="166">
        <f t="shared" si="259"/>
        <v>63000</v>
      </c>
    </row>
    <row r="78" spans="45:159" ht="16.5" x14ac:dyDescent="0.2">
      <c r="AS78" s="24">
        <v>74</v>
      </c>
      <c r="AT78" s="14">
        <f t="shared" si="260"/>
        <v>19</v>
      </c>
      <c r="AU78" s="109">
        <f t="shared" si="261"/>
        <v>2</v>
      </c>
      <c r="AV78" s="109">
        <f t="shared" si="262"/>
        <v>40</v>
      </c>
      <c r="AW78" s="109">
        <f t="shared" si="263"/>
        <v>114</v>
      </c>
      <c r="AX78" s="109">
        <f t="shared" si="264"/>
        <v>191</v>
      </c>
      <c r="BA78" s="109">
        <v>74</v>
      </c>
      <c r="BB78" s="14">
        <f t="shared" si="233"/>
        <v>8</v>
      </c>
      <c r="BC78" s="14">
        <f t="shared" si="265"/>
        <v>4</v>
      </c>
      <c r="BD78" s="14">
        <f t="shared" si="81"/>
        <v>280</v>
      </c>
      <c r="BE78" s="14">
        <f t="shared" si="234"/>
        <v>1350</v>
      </c>
      <c r="BF78" s="14">
        <f t="shared" si="235"/>
        <v>3150</v>
      </c>
      <c r="BG78" s="14">
        <f t="shared" si="266"/>
        <v>3.46</v>
      </c>
      <c r="BH78" s="14">
        <f t="shared" si="267"/>
        <v>11003</v>
      </c>
      <c r="BK78" s="109">
        <v>74</v>
      </c>
      <c r="BL78" s="14">
        <f t="shared" si="268"/>
        <v>8</v>
      </c>
      <c r="BM78" s="14">
        <f t="shared" si="269"/>
        <v>4</v>
      </c>
      <c r="BN78" s="14">
        <f t="shared" si="236"/>
        <v>1100</v>
      </c>
      <c r="BO78" s="14">
        <f t="shared" si="237"/>
        <v>2700</v>
      </c>
      <c r="BP78" s="14">
        <f t="shared" si="238"/>
        <v>6300</v>
      </c>
      <c r="BS78" s="109">
        <v>74</v>
      </c>
      <c r="BT78" s="109">
        <f t="shared" si="270"/>
        <v>25</v>
      </c>
      <c r="BU78" s="112">
        <f t="shared" si="271"/>
        <v>130</v>
      </c>
      <c r="BV78" s="109">
        <f t="shared" si="223"/>
        <v>2</v>
      </c>
      <c r="BW78" s="109">
        <v>240</v>
      </c>
      <c r="BX78" s="109">
        <v>360</v>
      </c>
      <c r="BY78" s="112">
        <v>5</v>
      </c>
      <c r="BZ78" s="14">
        <f t="shared" si="272"/>
        <v>11252</v>
      </c>
      <c r="CA78" s="118">
        <v>1</v>
      </c>
      <c r="CB78" s="14">
        <f t="shared" si="273"/>
        <v>125</v>
      </c>
      <c r="CC78" s="118" t="s">
        <v>1026</v>
      </c>
      <c r="CD78" s="14">
        <f t="shared" si="274"/>
        <v>2</v>
      </c>
      <c r="CE78" s="166" t="str">
        <f t="shared" si="275"/>
        <v>守护灵抽卡券2 2小时扫荡券1 金币43200</v>
      </c>
      <c r="CF78" s="14">
        <f t="shared" si="276"/>
        <v>20</v>
      </c>
      <c r="CG78" s="115" t="s">
        <v>258</v>
      </c>
      <c r="CH78" s="115">
        <v>2</v>
      </c>
      <c r="CI78" s="210" t="s">
        <v>1395</v>
      </c>
      <c r="CJ78" s="210">
        <v>1</v>
      </c>
      <c r="CK78" s="210" t="s">
        <v>252</v>
      </c>
      <c r="CL78" s="210">
        <f t="shared" ref="CL78:CL79" si="303">INDEX($I$6:$I$35,BT78)*BW78</f>
        <v>43200</v>
      </c>
      <c r="CO78" s="115">
        <f t="shared" si="240"/>
        <v>25</v>
      </c>
      <c r="CP78" s="115">
        <f t="shared" si="241"/>
        <v>140</v>
      </c>
      <c r="CQ78" s="118">
        <v>2</v>
      </c>
      <c r="CR78" s="115">
        <f t="shared" si="242"/>
        <v>360</v>
      </c>
      <c r="CS78" s="115">
        <f t="shared" si="243"/>
        <v>720</v>
      </c>
      <c r="CT78" s="115">
        <v>9</v>
      </c>
      <c r="CU78" s="14">
        <f t="shared" si="244"/>
        <v>12252</v>
      </c>
      <c r="CV78" s="118">
        <v>2</v>
      </c>
      <c r="CW78" s="14">
        <f t="shared" si="245"/>
        <v>225</v>
      </c>
      <c r="CX78" s="118" t="s">
        <v>1026</v>
      </c>
      <c r="CY78" s="14">
        <f t="shared" si="246"/>
        <v>2</v>
      </c>
      <c r="CZ78" s="166" t="str">
        <f t="shared" si="277"/>
        <v>熔炼值7000130级-防御套守护灵の铠甲1金币64800</v>
      </c>
      <c r="DA78" s="14">
        <f t="shared" si="278"/>
        <v>20</v>
      </c>
      <c r="DB78" s="115" t="s">
        <v>1005</v>
      </c>
      <c r="DC78" s="115">
        <v>7000</v>
      </c>
      <c r="DD78" s="115" t="s">
        <v>1498</v>
      </c>
      <c r="DE78" s="115">
        <v>1</v>
      </c>
      <c r="DF78" s="115" t="s">
        <v>252</v>
      </c>
      <c r="DG78" s="115">
        <f t="shared" si="247"/>
        <v>64800</v>
      </c>
      <c r="DJ78" s="118">
        <v>74</v>
      </c>
      <c r="DK78" s="14">
        <f t="shared" si="279"/>
        <v>25</v>
      </c>
      <c r="DL78" s="118">
        <f t="shared" si="248"/>
        <v>130</v>
      </c>
      <c r="DM78" s="166">
        <f t="shared" si="249"/>
        <v>2</v>
      </c>
      <c r="DN78" s="166">
        <v>240</v>
      </c>
      <c r="DO78" s="166">
        <v>1800</v>
      </c>
      <c r="DP78" s="166">
        <v>5</v>
      </c>
      <c r="DQ78" s="118">
        <v>120</v>
      </c>
      <c r="DR78" s="118">
        <f t="shared" si="280"/>
        <v>21252</v>
      </c>
      <c r="DS78" s="118">
        <v>1</v>
      </c>
      <c r="DT78" s="14">
        <f t="shared" si="250"/>
        <v>125</v>
      </c>
      <c r="DU78" s="118" t="s">
        <v>1034</v>
      </c>
      <c r="DV78" s="118">
        <v>2</v>
      </c>
      <c r="DW78" s="166" t="str">
        <f t="shared" si="251"/>
        <v>红色基础材料5守护灵初级抽卡券3守护灵经验36000</v>
      </c>
      <c r="DX78" s="14">
        <f t="shared" ref="DX78" si="304">DT78*100+6</f>
        <v>12506</v>
      </c>
      <c r="DY78" s="118" t="s">
        <v>1037</v>
      </c>
      <c r="DZ78" s="118">
        <v>3</v>
      </c>
      <c r="EA78" s="14" t="str">
        <f>INDEX(挂机升级突破!$DT$4:$DX$4,DP78)</f>
        <v>红色基础材料</v>
      </c>
      <c r="EB78" s="14">
        <f>ROUND(INDEX(挂机升级突破!$G$7:$K$37,DK78+2,章节关卡!DP78)/INDEX(挂机升级突破!$G$5:$K$5,章节关卡!DP78)*INDEX(挂机升级突破!$G$4:$K$4,章节关卡!DP78)*章节关卡!DO78,0)</f>
        <v>5</v>
      </c>
      <c r="EC78" s="118" t="s">
        <v>1038</v>
      </c>
      <c r="ED78" s="14">
        <f t="shared" si="253"/>
        <v>36000</v>
      </c>
      <c r="EI78" s="166">
        <v>74</v>
      </c>
      <c r="EJ78" s="14">
        <f t="shared" si="282"/>
        <v>25</v>
      </c>
      <c r="EK78" s="166">
        <f t="shared" si="283"/>
        <v>135</v>
      </c>
      <c r="EL78" s="166">
        <f t="shared" si="254"/>
        <v>2</v>
      </c>
      <c r="EM78" s="166">
        <f t="shared" si="255"/>
        <v>360</v>
      </c>
      <c r="EN78" s="166">
        <f t="shared" si="256"/>
        <v>4500</v>
      </c>
      <c r="EO78" s="166">
        <v>9</v>
      </c>
      <c r="EP78" s="14">
        <f t="shared" si="257"/>
        <v>240</v>
      </c>
      <c r="EQ78" s="14">
        <f t="shared" si="284"/>
        <v>22252</v>
      </c>
      <c r="ER78" s="166">
        <v>1</v>
      </c>
      <c r="ES78" s="14">
        <f t="shared" si="285"/>
        <v>225</v>
      </c>
      <c r="ET78" s="166" t="s">
        <v>1034</v>
      </c>
      <c r="EU78" s="166">
        <v>2</v>
      </c>
      <c r="EV78" s="166"/>
      <c r="EW78" s="14">
        <f t="shared" ref="EW78" si="305">ES78*100+6</f>
        <v>22506</v>
      </c>
      <c r="EX78" s="166" t="s">
        <v>1397</v>
      </c>
      <c r="EY78" s="166">
        <v>30</v>
      </c>
      <c r="EZ78" s="14" t="str">
        <f>INDEX(挂机升级突破!$DT$4:$EC$4,EO78)</f>
        <v>铀金</v>
      </c>
      <c r="FA78" s="14">
        <f>ROUND(INDEX(挂机升级突破!$G$7:$R$37,EJ78+3,EO78)/INDEX(挂机升级突破!$G$5:$R$5,章节关卡!EO78)*INDEX(挂机升级突破!$G$4:$R$4,章节关卡!EO78)*章节关卡!EN78,0)</f>
        <v>6</v>
      </c>
      <c r="FB78" s="166" t="s">
        <v>1399</v>
      </c>
      <c r="FC78" s="166">
        <f t="shared" si="259"/>
        <v>126000</v>
      </c>
    </row>
    <row r="79" spans="45:159" ht="16.5" x14ac:dyDescent="0.2">
      <c r="AS79" s="24">
        <v>75</v>
      </c>
      <c r="AT79" s="14">
        <f t="shared" si="260"/>
        <v>19</v>
      </c>
      <c r="AU79" s="109">
        <f t="shared" si="261"/>
        <v>3</v>
      </c>
      <c r="AV79" s="109">
        <f t="shared" si="262"/>
        <v>40</v>
      </c>
      <c r="AW79" s="109">
        <f t="shared" si="263"/>
        <v>116</v>
      </c>
      <c r="AX79" s="109">
        <f t="shared" si="264"/>
        <v>194</v>
      </c>
      <c r="BA79" s="109">
        <v>75</v>
      </c>
      <c r="BB79" s="14">
        <f t="shared" si="233"/>
        <v>8</v>
      </c>
      <c r="BC79" s="14">
        <f t="shared" si="265"/>
        <v>5</v>
      </c>
      <c r="BD79" s="14">
        <f t="shared" ref="BD79:BD142" si="306">INDEX($T$6:$T$35,BB79)</f>
        <v>280</v>
      </c>
      <c r="BE79" s="14">
        <f t="shared" si="234"/>
        <v>1350</v>
      </c>
      <c r="BF79" s="14">
        <f t="shared" si="235"/>
        <v>3150</v>
      </c>
      <c r="BG79" s="14">
        <f t="shared" si="266"/>
        <v>3.46</v>
      </c>
      <c r="BH79" s="14">
        <f t="shared" si="267"/>
        <v>11003</v>
      </c>
      <c r="BK79" s="109">
        <v>75</v>
      </c>
      <c r="BL79" s="14">
        <f t="shared" si="268"/>
        <v>8</v>
      </c>
      <c r="BM79" s="14">
        <f t="shared" si="269"/>
        <v>5</v>
      </c>
      <c r="BN79" s="14">
        <f t="shared" si="236"/>
        <v>1100</v>
      </c>
      <c r="BO79" s="14">
        <f t="shared" si="237"/>
        <v>2700</v>
      </c>
      <c r="BP79" s="14">
        <f t="shared" si="238"/>
        <v>6300</v>
      </c>
      <c r="BS79" s="109">
        <v>75</v>
      </c>
      <c r="BT79" s="109">
        <f t="shared" si="270"/>
        <v>25</v>
      </c>
      <c r="BU79" s="112">
        <f t="shared" si="271"/>
        <v>130</v>
      </c>
      <c r="BV79" s="109">
        <f t="shared" si="223"/>
        <v>3</v>
      </c>
      <c r="BW79" s="109">
        <v>360</v>
      </c>
      <c r="BX79" s="109">
        <v>540</v>
      </c>
      <c r="BY79" s="112">
        <v>5</v>
      </c>
      <c r="BZ79" s="14">
        <f t="shared" si="272"/>
        <v>11253</v>
      </c>
      <c r="CA79" s="118">
        <v>1</v>
      </c>
      <c r="CB79" s="14">
        <f t="shared" si="273"/>
        <v>125</v>
      </c>
      <c r="CC79" s="118" t="s">
        <v>1026</v>
      </c>
      <c r="CD79" s="14">
        <f t="shared" si="274"/>
        <v>3</v>
      </c>
      <c r="CE79" s="166" t="str">
        <f t="shared" si="275"/>
        <v>守护灵抽卡券3 2小时扫荡券1 金币64800</v>
      </c>
      <c r="CF79" s="14">
        <f t="shared" si="276"/>
        <v>30</v>
      </c>
      <c r="CG79" s="115" t="s">
        <v>258</v>
      </c>
      <c r="CH79" s="115">
        <v>3</v>
      </c>
      <c r="CI79" s="210" t="s">
        <v>1395</v>
      </c>
      <c r="CJ79" s="210">
        <v>1</v>
      </c>
      <c r="CK79" s="210" t="s">
        <v>252</v>
      </c>
      <c r="CL79" s="210">
        <f t="shared" si="303"/>
        <v>64800</v>
      </c>
      <c r="CO79" s="115">
        <f t="shared" si="240"/>
        <v>25</v>
      </c>
      <c r="CP79" s="115">
        <f t="shared" si="241"/>
        <v>140</v>
      </c>
      <c r="CQ79" s="118">
        <v>3</v>
      </c>
      <c r="CR79" s="115">
        <f t="shared" si="242"/>
        <v>540</v>
      </c>
      <c r="CS79" s="115">
        <f t="shared" si="243"/>
        <v>1080</v>
      </c>
      <c r="CT79" s="115">
        <v>9</v>
      </c>
      <c r="CU79" s="14">
        <f t="shared" si="244"/>
        <v>12253</v>
      </c>
      <c r="CV79" s="118">
        <v>2</v>
      </c>
      <c r="CW79" s="14">
        <f t="shared" si="245"/>
        <v>225</v>
      </c>
      <c r="CX79" s="118" t="s">
        <v>1026</v>
      </c>
      <c r="CY79" s="14">
        <f t="shared" si="246"/>
        <v>3</v>
      </c>
      <c r="CZ79" s="166" t="str">
        <f t="shared" si="277"/>
        <v>守护灵抽卡券5130级-防御套守护灵の裤子1金币97200</v>
      </c>
      <c r="DA79" s="14">
        <f t="shared" si="278"/>
        <v>30</v>
      </c>
      <c r="DB79" s="115" t="s">
        <v>1004</v>
      </c>
      <c r="DC79" s="115">
        <v>5</v>
      </c>
      <c r="DD79" s="115" t="s">
        <v>1499</v>
      </c>
      <c r="DE79" s="115">
        <v>1</v>
      </c>
      <c r="DF79" s="115" t="s">
        <v>252</v>
      </c>
      <c r="DG79" s="115">
        <f t="shared" si="247"/>
        <v>97200</v>
      </c>
      <c r="DJ79" s="118">
        <v>75</v>
      </c>
      <c r="DK79" s="14">
        <f t="shared" si="279"/>
        <v>25</v>
      </c>
      <c r="DL79" s="118">
        <f t="shared" si="248"/>
        <v>130</v>
      </c>
      <c r="DM79" s="166">
        <f t="shared" si="249"/>
        <v>3</v>
      </c>
      <c r="DN79" s="166">
        <v>360</v>
      </c>
      <c r="DO79" s="166">
        <v>2700</v>
      </c>
      <c r="DP79" s="166">
        <v>5</v>
      </c>
      <c r="DQ79" s="118">
        <v>150</v>
      </c>
      <c r="DR79" s="118">
        <f t="shared" si="280"/>
        <v>21253</v>
      </c>
      <c r="DS79" s="118">
        <v>1</v>
      </c>
      <c r="DT79" s="14">
        <f t="shared" si="250"/>
        <v>125</v>
      </c>
      <c r="DU79" s="118" t="s">
        <v>1034</v>
      </c>
      <c r="DV79" s="118">
        <v>3</v>
      </c>
      <c r="DW79" s="166" t="str">
        <f t="shared" si="251"/>
        <v>红色基础材料7守护灵初级抽卡券5守护灵经验45000</v>
      </c>
      <c r="DX79" s="14">
        <f t="shared" ref="DX79" si="307">DT79*100+9</f>
        <v>12509</v>
      </c>
      <c r="DY79" s="118" t="s">
        <v>1037</v>
      </c>
      <c r="DZ79" s="118">
        <v>5</v>
      </c>
      <c r="EA79" s="14" t="str">
        <f>INDEX(挂机升级突破!$DT$4:$DX$4,DP79)</f>
        <v>红色基础材料</v>
      </c>
      <c r="EB79" s="14">
        <f>ROUND(INDEX(挂机升级突破!$G$7:$K$37,DK79+2,章节关卡!DP79)/INDEX(挂机升级突破!$G$5:$K$5,章节关卡!DP79)*INDEX(挂机升级突破!$G$4:$K$4,章节关卡!DP79)*章节关卡!DO79,0)</f>
        <v>7</v>
      </c>
      <c r="EC79" s="118" t="s">
        <v>1038</v>
      </c>
      <c r="ED79" s="14">
        <f t="shared" si="253"/>
        <v>45000</v>
      </c>
      <c r="EI79" s="166">
        <v>75</v>
      </c>
      <c r="EJ79" s="14">
        <f t="shared" si="282"/>
        <v>25</v>
      </c>
      <c r="EK79" s="166">
        <f t="shared" si="283"/>
        <v>135</v>
      </c>
      <c r="EL79" s="166">
        <f t="shared" si="254"/>
        <v>3</v>
      </c>
      <c r="EM79" s="166">
        <f t="shared" si="255"/>
        <v>540</v>
      </c>
      <c r="EN79" s="166">
        <f t="shared" si="256"/>
        <v>6750</v>
      </c>
      <c r="EO79" s="166">
        <v>9</v>
      </c>
      <c r="EP79" s="14">
        <f t="shared" si="257"/>
        <v>300</v>
      </c>
      <c r="EQ79" s="14">
        <f t="shared" si="284"/>
        <v>22253</v>
      </c>
      <c r="ER79" s="166">
        <v>1</v>
      </c>
      <c r="ES79" s="14">
        <f t="shared" si="285"/>
        <v>225</v>
      </c>
      <c r="ET79" s="166" t="s">
        <v>1034</v>
      </c>
      <c r="EU79" s="166">
        <v>3</v>
      </c>
      <c r="EV79" s="166"/>
      <c r="EW79" s="14">
        <f t="shared" ref="EW79" si="308">ES79*100+9</f>
        <v>22509</v>
      </c>
      <c r="EX79" s="166" t="s">
        <v>1397</v>
      </c>
      <c r="EY79" s="166">
        <v>50</v>
      </c>
      <c r="EZ79" s="14" t="str">
        <f>INDEX(挂机升级突破!$DT$4:$EC$4,EO79)</f>
        <v>铀金</v>
      </c>
      <c r="FA79" s="14">
        <f>ROUND(INDEX(挂机升级突破!$G$7:$R$37,EJ79+3,EO79)/INDEX(挂机升级突破!$G$5:$R$5,章节关卡!EO79)*INDEX(挂机升级突破!$G$4:$R$4,章节关卡!EO79)*章节关卡!EN79,0)</f>
        <v>8</v>
      </c>
      <c r="FB79" s="166" t="s">
        <v>1399</v>
      </c>
      <c r="FC79" s="166">
        <f t="shared" si="259"/>
        <v>189000</v>
      </c>
    </row>
    <row r="80" spans="45:159" ht="16.5" x14ac:dyDescent="0.2">
      <c r="AS80" s="24">
        <v>76</v>
      </c>
      <c r="AT80" s="14">
        <f t="shared" si="260"/>
        <v>19</v>
      </c>
      <c r="AU80" s="109">
        <f t="shared" si="261"/>
        <v>4</v>
      </c>
      <c r="AV80" s="109">
        <f t="shared" si="262"/>
        <v>40</v>
      </c>
      <c r="AW80" s="109">
        <f t="shared" si="263"/>
        <v>118</v>
      </c>
      <c r="AX80" s="109">
        <f t="shared" si="264"/>
        <v>197</v>
      </c>
      <c r="BA80" s="109">
        <v>76</v>
      </c>
      <c r="BB80" s="14">
        <f t="shared" si="233"/>
        <v>8</v>
      </c>
      <c r="BC80" s="14">
        <f t="shared" si="265"/>
        <v>6</v>
      </c>
      <c r="BD80" s="14">
        <f t="shared" si="306"/>
        <v>280</v>
      </c>
      <c r="BE80" s="14">
        <f t="shared" si="234"/>
        <v>1350</v>
      </c>
      <c r="BF80" s="14">
        <f t="shared" si="235"/>
        <v>3150</v>
      </c>
      <c r="BG80" s="14">
        <f t="shared" si="266"/>
        <v>3.46</v>
      </c>
      <c r="BH80" s="14">
        <f t="shared" si="267"/>
        <v>11003</v>
      </c>
      <c r="BK80" s="109">
        <v>76</v>
      </c>
      <c r="BL80" s="14">
        <f t="shared" si="268"/>
        <v>8</v>
      </c>
      <c r="BM80" s="14">
        <f t="shared" si="269"/>
        <v>6</v>
      </c>
      <c r="BN80" s="14">
        <f t="shared" si="236"/>
        <v>1100</v>
      </c>
      <c r="BO80" s="14">
        <f t="shared" si="237"/>
        <v>2700</v>
      </c>
      <c r="BP80" s="14">
        <f t="shared" si="238"/>
        <v>6300</v>
      </c>
      <c r="BS80" s="109">
        <v>76</v>
      </c>
      <c r="BT80" s="109">
        <f t="shared" si="270"/>
        <v>26</v>
      </c>
      <c r="BU80" s="112">
        <f t="shared" si="271"/>
        <v>135</v>
      </c>
      <c r="BV80" s="109">
        <f t="shared" si="223"/>
        <v>1</v>
      </c>
      <c r="BW80" s="109">
        <v>120</v>
      </c>
      <c r="BX80" s="109">
        <v>180</v>
      </c>
      <c r="BY80" s="112">
        <v>5</v>
      </c>
      <c r="BZ80" s="14">
        <f t="shared" si="272"/>
        <v>11261</v>
      </c>
      <c r="CA80" s="118">
        <v>1</v>
      </c>
      <c r="CB80" s="14">
        <f t="shared" si="273"/>
        <v>126</v>
      </c>
      <c r="CC80" s="118" t="s">
        <v>1026</v>
      </c>
      <c r="CD80" s="14">
        <f t="shared" si="274"/>
        <v>1</v>
      </c>
      <c r="CE80" s="166" t="str">
        <f t="shared" si="275"/>
        <v xml:space="preserve">钻石100 金币22800 </v>
      </c>
      <c r="CF80" s="14">
        <f t="shared" si="276"/>
        <v>10</v>
      </c>
      <c r="CG80" s="115" t="s">
        <v>19</v>
      </c>
      <c r="CH80" s="115">
        <v>100</v>
      </c>
      <c r="CI80" s="210" t="s">
        <v>358</v>
      </c>
      <c r="CJ80" s="210">
        <f>INDEX($I$6:$I$35,BT80)*BW80</f>
        <v>22800</v>
      </c>
      <c r="CK80" s="210"/>
      <c r="CL80" s="210"/>
      <c r="CO80" s="115">
        <f t="shared" si="240"/>
        <v>26</v>
      </c>
      <c r="CP80" s="115">
        <f t="shared" si="241"/>
        <v>145</v>
      </c>
      <c r="CQ80" s="118">
        <v>1</v>
      </c>
      <c r="CR80" s="115">
        <f t="shared" si="242"/>
        <v>180</v>
      </c>
      <c r="CS80" s="115">
        <f t="shared" si="243"/>
        <v>360</v>
      </c>
      <c r="CT80" s="115">
        <v>9</v>
      </c>
      <c r="CU80" s="14">
        <f t="shared" si="244"/>
        <v>12261</v>
      </c>
      <c r="CV80" s="118">
        <v>2</v>
      </c>
      <c r="CW80" s="14">
        <f t="shared" si="245"/>
        <v>226</v>
      </c>
      <c r="CX80" s="118" t="s">
        <v>1026</v>
      </c>
      <c r="CY80" s="14">
        <f t="shared" si="246"/>
        <v>1</v>
      </c>
      <c r="CZ80" s="166" t="str">
        <f t="shared" si="277"/>
        <v>钻石100130级-防御套寄灵人の头盔1金币34200</v>
      </c>
      <c r="DA80" s="14">
        <f t="shared" si="278"/>
        <v>10</v>
      </c>
      <c r="DB80" s="115" t="s">
        <v>257</v>
      </c>
      <c r="DC80" s="115">
        <v>100</v>
      </c>
      <c r="DD80" s="115" t="s">
        <v>1500</v>
      </c>
      <c r="DE80" s="115">
        <v>1</v>
      </c>
      <c r="DF80" s="115" t="s">
        <v>252</v>
      </c>
      <c r="DG80" s="115">
        <f t="shared" si="247"/>
        <v>34200</v>
      </c>
      <c r="DJ80" s="118">
        <v>76</v>
      </c>
      <c r="DK80" s="14">
        <f t="shared" si="279"/>
        <v>26</v>
      </c>
      <c r="DL80" s="118">
        <f t="shared" si="248"/>
        <v>135</v>
      </c>
      <c r="DM80" s="166">
        <f t="shared" si="249"/>
        <v>1</v>
      </c>
      <c r="DN80" s="166">
        <v>120</v>
      </c>
      <c r="DO80" s="166">
        <v>900</v>
      </c>
      <c r="DP80" s="166">
        <v>5</v>
      </c>
      <c r="DQ80" s="118">
        <v>90</v>
      </c>
      <c r="DR80" s="118">
        <f t="shared" si="280"/>
        <v>21261</v>
      </c>
      <c r="DS80" s="118">
        <v>1</v>
      </c>
      <c r="DT80" s="14">
        <f t="shared" si="250"/>
        <v>126</v>
      </c>
      <c r="DU80" s="118" t="s">
        <v>1034</v>
      </c>
      <c r="DV80" s="118">
        <v>1</v>
      </c>
      <c r="DW80" s="166" t="str">
        <f t="shared" si="251"/>
        <v>红色基础材料3守护灵初级抽卡券2守护灵经验29250</v>
      </c>
      <c r="DX80" s="14">
        <f t="shared" ref="DX80" si="309">DT80*100+3</f>
        <v>12603</v>
      </c>
      <c r="DY80" s="118" t="s">
        <v>1037</v>
      </c>
      <c r="DZ80" s="118">
        <v>2</v>
      </c>
      <c r="EA80" s="14" t="str">
        <f>INDEX(挂机升级突破!$DT$4:$DX$4,DP80)</f>
        <v>红色基础材料</v>
      </c>
      <c r="EB80" s="14">
        <f>ROUND(INDEX(挂机升级突破!$G$7:$K$37,DK80+2,章节关卡!DP80)/INDEX(挂机升级突破!$G$5:$K$5,章节关卡!DP80)*INDEX(挂机升级突破!$G$4:$K$4,章节关卡!DP80)*章节关卡!DO80,0)</f>
        <v>3</v>
      </c>
      <c r="EC80" s="118" t="s">
        <v>1038</v>
      </c>
      <c r="ED80" s="14">
        <f t="shared" si="253"/>
        <v>29250</v>
      </c>
      <c r="EI80" s="166">
        <v>76</v>
      </c>
      <c r="EJ80" s="14">
        <f t="shared" si="282"/>
        <v>26</v>
      </c>
      <c r="EK80" s="166">
        <f t="shared" si="283"/>
        <v>140</v>
      </c>
      <c r="EL80" s="166">
        <f t="shared" si="254"/>
        <v>1</v>
      </c>
      <c r="EM80" s="166">
        <f t="shared" si="255"/>
        <v>180</v>
      </c>
      <c r="EN80" s="166">
        <f t="shared" si="256"/>
        <v>2250</v>
      </c>
      <c r="EO80" s="166">
        <v>9</v>
      </c>
      <c r="EP80" s="14">
        <f t="shared" si="257"/>
        <v>180</v>
      </c>
      <c r="EQ80" s="14">
        <f t="shared" si="284"/>
        <v>22261</v>
      </c>
      <c r="ER80" s="166">
        <v>1</v>
      </c>
      <c r="ES80" s="14">
        <f t="shared" si="285"/>
        <v>226</v>
      </c>
      <c r="ET80" s="166" t="s">
        <v>1034</v>
      </c>
      <c r="EU80" s="166">
        <v>1</v>
      </c>
      <c r="EV80" s="166"/>
      <c r="EW80" s="14">
        <f t="shared" ref="EW80" si="310">ES80*100+3</f>
        <v>22603</v>
      </c>
      <c r="EX80" s="166" t="s">
        <v>1397</v>
      </c>
      <c r="EY80" s="166">
        <v>20</v>
      </c>
      <c r="EZ80" s="14" t="str">
        <f>INDEX(挂机升级突破!$DT$4:$EC$4,EO80)</f>
        <v>铀金</v>
      </c>
      <c r="FA80" s="14">
        <f>ROUND(INDEX(挂机升级突破!$G$7:$R$37,EJ80+3,EO80)/INDEX(挂机升级突破!$G$5:$R$5,章节关卡!EO80)*INDEX(挂机升级突破!$G$4:$R$4,章节关卡!EO80)*章节关卡!EN80,0)</f>
        <v>3</v>
      </c>
      <c r="FB80" s="166" t="s">
        <v>1399</v>
      </c>
      <c r="FC80" s="166">
        <f t="shared" si="259"/>
        <v>67500</v>
      </c>
    </row>
    <row r="81" spans="45:159" ht="16.5" x14ac:dyDescent="0.2">
      <c r="AS81" s="24">
        <v>77</v>
      </c>
      <c r="AT81" s="14">
        <f t="shared" si="260"/>
        <v>20</v>
      </c>
      <c r="AU81" s="109">
        <f t="shared" si="261"/>
        <v>1</v>
      </c>
      <c r="AV81" s="109">
        <f t="shared" si="262"/>
        <v>42</v>
      </c>
      <c r="AW81" s="109">
        <f t="shared" si="263"/>
        <v>122</v>
      </c>
      <c r="AX81" s="109">
        <f t="shared" si="264"/>
        <v>202</v>
      </c>
      <c r="BA81" s="109">
        <v>77</v>
      </c>
      <c r="BB81" s="14">
        <f t="shared" si="233"/>
        <v>8</v>
      </c>
      <c r="BC81" s="14">
        <f t="shared" si="265"/>
        <v>7</v>
      </c>
      <c r="BD81" s="14">
        <f t="shared" si="306"/>
        <v>280</v>
      </c>
      <c r="BE81" s="14">
        <f t="shared" si="234"/>
        <v>1350</v>
      </c>
      <c r="BF81" s="14">
        <f t="shared" si="235"/>
        <v>3150</v>
      </c>
      <c r="BG81" s="14">
        <f t="shared" si="266"/>
        <v>3.46</v>
      </c>
      <c r="BH81" s="14">
        <f t="shared" si="267"/>
        <v>11003</v>
      </c>
      <c r="BK81" s="109">
        <v>77</v>
      </c>
      <c r="BL81" s="14">
        <f t="shared" si="268"/>
        <v>8</v>
      </c>
      <c r="BM81" s="14">
        <f t="shared" si="269"/>
        <v>7</v>
      </c>
      <c r="BN81" s="14">
        <f t="shared" si="236"/>
        <v>1100</v>
      </c>
      <c r="BO81" s="14">
        <f t="shared" si="237"/>
        <v>2700</v>
      </c>
      <c r="BP81" s="14">
        <f t="shared" si="238"/>
        <v>6300</v>
      </c>
      <c r="BS81" s="109">
        <v>77</v>
      </c>
      <c r="BT81" s="109">
        <f t="shared" si="270"/>
        <v>26</v>
      </c>
      <c r="BU81" s="112">
        <f t="shared" si="271"/>
        <v>135</v>
      </c>
      <c r="BV81" s="109">
        <f t="shared" si="223"/>
        <v>2</v>
      </c>
      <c r="BW81" s="109">
        <v>240</v>
      </c>
      <c r="BX81" s="109">
        <v>360</v>
      </c>
      <c r="BY81" s="112">
        <v>5</v>
      </c>
      <c r="BZ81" s="14">
        <f t="shared" si="272"/>
        <v>11262</v>
      </c>
      <c r="CA81" s="118">
        <v>1</v>
      </c>
      <c r="CB81" s="14">
        <f t="shared" si="273"/>
        <v>126</v>
      </c>
      <c r="CC81" s="118" t="s">
        <v>1026</v>
      </c>
      <c r="CD81" s="14">
        <f t="shared" si="274"/>
        <v>2</v>
      </c>
      <c r="CE81" s="166" t="str">
        <f t="shared" si="275"/>
        <v>守护灵抽卡券2 2小时扫荡券1 金币45600</v>
      </c>
      <c r="CF81" s="14">
        <f t="shared" si="276"/>
        <v>20</v>
      </c>
      <c r="CG81" s="115" t="s">
        <v>258</v>
      </c>
      <c r="CH81" s="115">
        <v>2</v>
      </c>
      <c r="CI81" s="210" t="s">
        <v>1395</v>
      </c>
      <c r="CJ81" s="210">
        <v>1</v>
      </c>
      <c r="CK81" s="210" t="s">
        <v>252</v>
      </c>
      <c r="CL81" s="210">
        <f t="shared" ref="CL81:CL82" si="311">INDEX($I$6:$I$35,BT81)*BW81</f>
        <v>45600</v>
      </c>
      <c r="CO81" s="115">
        <f t="shared" si="240"/>
        <v>26</v>
      </c>
      <c r="CP81" s="115">
        <f t="shared" si="241"/>
        <v>145</v>
      </c>
      <c r="CQ81" s="118">
        <v>2</v>
      </c>
      <c r="CR81" s="115">
        <f t="shared" si="242"/>
        <v>360</v>
      </c>
      <c r="CS81" s="115">
        <f t="shared" si="243"/>
        <v>720</v>
      </c>
      <c r="CT81" s="115">
        <v>9</v>
      </c>
      <c r="CU81" s="14">
        <f t="shared" si="244"/>
        <v>12262</v>
      </c>
      <c r="CV81" s="118">
        <v>2</v>
      </c>
      <c r="CW81" s="14">
        <f t="shared" si="245"/>
        <v>226</v>
      </c>
      <c r="CX81" s="118" t="s">
        <v>1026</v>
      </c>
      <c r="CY81" s="14">
        <f t="shared" si="246"/>
        <v>2</v>
      </c>
      <c r="CZ81" s="166" t="str">
        <f t="shared" si="277"/>
        <v>熔炼值7500130级-防御套寄灵人の铠甲1金币68400</v>
      </c>
      <c r="DA81" s="14">
        <f t="shared" si="278"/>
        <v>20</v>
      </c>
      <c r="DB81" s="115" t="s">
        <v>1005</v>
      </c>
      <c r="DC81" s="115">
        <v>7500</v>
      </c>
      <c r="DD81" s="115" t="s">
        <v>1501</v>
      </c>
      <c r="DE81" s="115">
        <v>1</v>
      </c>
      <c r="DF81" s="115" t="s">
        <v>252</v>
      </c>
      <c r="DG81" s="115">
        <f t="shared" si="247"/>
        <v>68400</v>
      </c>
      <c r="DJ81" s="118">
        <v>77</v>
      </c>
      <c r="DK81" s="14">
        <f t="shared" si="279"/>
        <v>26</v>
      </c>
      <c r="DL81" s="118">
        <f t="shared" si="248"/>
        <v>135</v>
      </c>
      <c r="DM81" s="166">
        <f t="shared" si="249"/>
        <v>2</v>
      </c>
      <c r="DN81" s="166">
        <v>240</v>
      </c>
      <c r="DO81" s="166">
        <v>1800</v>
      </c>
      <c r="DP81" s="166">
        <v>5</v>
      </c>
      <c r="DQ81" s="118">
        <v>120</v>
      </c>
      <c r="DR81" s="118">
        <f t="shared" si="280"/>
        <v>21262</v>
      </c>
      <c r="DS81" s="118">
        <v>1</v>
      </c>
      <c r="DT81" s="14">
        <f t="shared" si="250"/>
        <v>126</v>
      </c>
      <c r="DU81" s="118" t="s">
        <v>1034</v>
      </c>
      <c r="DV81" s="118">
        <v>2</v>
      </c>
      <c r="DW81" s="166" t="str">
        <f t="shared" si="251"/>
        <v>红色基础材料6守护灵初级抽卡券3守护灵经验39000</v>
      </c>
      <c r="DX81" s="14">
        <f t="shared" ref="DX81" si="312">DT81*100+6</f>
        <v>12606</v>
      </c>
      <c r="DY81" s="118" t="s">
        <v>1037</v>
      </c>
      <c r="DZ81" s="118">
        <v>3</v>
      </c>
      <c r="EA81" s="14" t="str">
        <f>INDEX(挂机升级突破!$DT$4:$DX$4,DP81)</f>
        <v>红色基础材料</v>
      </c>
      <c r="EB81" s="14">
        <f>ROUND(INDEX(挂机升级突破!$G$7:$K$37,DK81+2,章节关卡!DP81)/INDEX(挂机升级突破!$G$5:$K$5,章节关卡!DP81)*INDEX(挂机升级突破!$G$4:$K$4,章节关卡!DP81)*章节关卡!DO81,0)</f>
        <v>6</v>
      </c>
      <c r="EC81" s="118" t="s">
        <v>1038</v>
      </c>
      <c r="ED81" s="14">
        <f t="shared" si="253"/>
        <v>39000</v>
      </c>
      <c r="EI81" s="166">
        <v>77</v>
      </c>
      <c r="EJ81" s="14">
        <f t="shared" si="282"/>
        <v>26</v>
      </c>
      <c r="EK81" s="166">
        <f t="shared" si="283"/>
        <v>140</v>
      </c>
      <c r="EL81" s="166">
        <f t="shared" si="254"/>
        <v>2</v>
      </c>
      <c r="EM81" s="166">
        <f t="shared" si="255"/>
        <v>360</v>
      </c>
      <c r="EN81" s="166">
        <f t="shared" si="256"/>
        <v>4500</v>
      </c>
      <c r="EO81" s="166">
        <v>9</v>
      </c>
      <c r="EP81" s="14">
        <f t="shared" si="257"/>
        <v>240</v>
      </c>
      <c r="EQ81" s="14">
        <f t="shared" si="284"/>
        <v>22262</v>
      </c>
      <c r="ER81" s="166">
        <v>1</v>
      </c>
      <c r="ES81" s="14">
        <f t="shared" si="285"/>
        <v>226</v>
      </c>
      <c r="ET81" s="166" t="s">
        <v>1034</v>
      </c>
      <c r="EU81" s="166">
        <v>2</v>
      </c>
      <c r="EV81" s="166"/>
      <c r="EW81" s="14">
        <f t="shared" ref="EW81" si="313">ES81*100+6</f>
        <v>22606</v>
      </c>
      <c r="EX81" s="166" t="s">
        <v>1397</v>
      </c>
      <c r="EY81" s="166">
        <v>30</v>
      </c>
      <c r="EZ81" s="14" t="str">
        <f>INDEX(挂机升级突破!$DT$4:$EC$4,EO81)</f>
        <v>铀金</v>
      </c>
      <c r="FA81" s="14">
        <f>ROUND(INDEX(挂机升级突破!$G$7:$R$37,EJ81+3,EO81)/INDEX(挂机升级突破!$G$5:$R$5,章节关卡!EO81)*INDEX(挂机升级突破!$G$4:$R$4,章节关卡!EO81)*章节关卡!EN81,0)</f>
        <v>6</v>
      </c>
      <c r="FB81" s="166" t="s">
        <v>1399</v>
      </c>
      <c r="FC81" s="166">
        <f t="shared" si="259"/>
        <v>135000</v>
      </c>
    </row>
    <row r="82" spans="45:159" ht="16.5" x14ac:dyDescent="0.2">
      <c r="AS82" s="24">
        <v>78</v>
      </c>
      <c r="AT82" s="14">
        <f t="shared" si="260"/>
        <v>20</v>
      </c>
      <c r="AU82" s="109">
        <f t="shared" si="261"/>
        <v>2</v>
      </c>
      <c r="AV82" s="109">
        <f t="shared" si="262"/>
        <v>42</v>
      </c>
      <c r="AW82" s="109">
        <f t="shared" si="263"/>
        <v>124</v>
      </c>
      <c r="AX82" s="109">
        <f t="shared" si="264"/>
        <v>204</v>
      </c>
      <c r="BA82" s="109">
        <v>78</v>
      </c>
      <c r="BB82" s="14">
        <f t="shared" si="233"/>
        <v>8</v>
      </c>
      <c r="BC82" s="14">
        <f t="shared" si="265"/>
        <v>8</v>
      </c>
      <c r="BD82" s="14">
        <f t="shared" si="306"/>
        <v>280</v>
      </c>
      <c r="BE82" s="14">
        <f t="shared" si="234"/>
        <v>1350</v>
      </c>
      <c r="BF82" s="14">
        <f t="shared" si="235"/>
        <v>3150</v>
      </c>
      <c r="BG82" s="14">
        <f t="shared" si="266"/>
        <v>3.46</v>
      </c>
      <c r="BH82" s="14">
        <f t="shared" si="267"/>
        <v>11003</v>
      </c>
      <c r="BK82" s="109">
        <v>78</v>
      </c>
      <c r="BL82" s="14">
        <f t="shared" si="268"/>
        <v>8</v>
      </c>
      <c r="BM82" s="14">
        <f t="shared" si="269"/>
        <v>8</v>
      </c>
      <c r="BN82" s="14">
        <f t="shared" si="236"/>
        <v>1100</v>
      </c>
      <c r="BO82" s="14">
        <f t="shared" si="237"/>
        <v>2700</v>
      </c>
      <c r="BP82" s="14">
        <f t="shared" si="238"/>
        <v>6300</v>
      </c>
      <c r="BS82" s="109">
        <v>78</v>
      </c>
      <c r="BT82" s="109">
        <f t="shared" si="270"/>
        <v>26</v>
      </c>
      <c r="BU82" s="112">
        <f t="shared" si="271"/>
        <v>135</v>
      </c>
      <c r="BV82" s="109">
        <f t="shared" si="223"/>
        <v>3</v>
      </c>
      <c r="BW82" s="109">
        <v>360</v>
      </c>
      <c r="BX82" s="109">
        <v>540</v>
      </c>
      <c r="BY82" s="112">
        <v>5</v>
      </c>
      <c r="BZ82" s="14">
        <f t="shared" si="272"/>
        <v>11263</v>
      </c>
      <c r="CA82" s="118">
        <v>1</v>
      </c>
      <c r="CB82" s="14">
        <f t="shared" si="273"/>
        <v>126</v>
      </c>
      <c r="CC82" s="118" t="s">
        <v>1026</v>
      </c>
      <c r="CD82" s="14">
        <f t="shared" si="274"/>
        <v>3</v>
      </c>
      <c r="CE82" s="166" t="str">
        <f t="shared" si="275"/>
        <v>守护灵抽卡券3 2小时扫荡券1 金币68400</v>
      </c>
      <c r="CF82" s="14">
        <f t="shared" si="276"/>
        <v>30</v>
      </c>
      <c r="CG82" s="115" t="s">
        <v>258</v>
      </c>
      <c r="CH82" s="115">
        <v>3</v>
      </c>
      <c r="CI82" s="210" t="s">
        <v>1395</v>
      </c>
      <c r="CJ82" s="210">
        <v>1</v>
      </c>
      <c r="CK82" s="210" t="s">
        <v>252</v>
      </c>
      <c r="CL82" s="210">
        <f t="shared" si="311"/>
        <v>68400</v>
      </c>
      <c r="CO82" s="115">
        <f t="shared" si="240"/>
        <v>26</v>
      </c>
      <c r="CP82" s="115">
        <f t="shared" si="241"/>
        <v>145</v>
      </c>
      <c r="CQ82" s="118">
        <v>3</v>
      </c>
      <c r="CR82" s="115">
        <f t="shared" si="242"/>
        <v>540</v>
      </c>
      <c r="CS82" s="115">
        <f t="shared" si="243"/>
        <v>1080</v>
      </c>
      <c r="CT82" s="115">
        <v>9</v>
      </c>
      <c r="CU82" s="14">
        <f t="shared" si="244"/>
        <v>12263</v>
      </c>
      <c r="CV82" s="118">
        <v>2</v>
      </c>
      <c r="CW82" s="14">
        <f t="shared" si="245"/>
        <v>226</v>
      </c>
      <c r="CX82" s="118" t="s">
        <v>1026</v>
      </c>
      <c r="CY82" s="14">
        <f t="shared" si="246"/>
        <v>3</v>
      </c>
      <c r="CZ82" s="166" t="str">
        <f t="shared" si="277"/>
        <v>守护灵抽卡券5130级-防御套寄灵人の裤子1金币102600</v>
      </c>
      <c r="DA82" s="14">
        <f t="shared" si="278"/>
        <v>30</v>
      </c>
      <c r="DB82" s="115" t="s">
        <v>1004</v>
      </c>
      <c r="DC82" s="115">
        <v>5</v>
      </c>
      <c r="DD82" s="115" t="s">
        <v>1502</v>
      </c>
      <c r="DE82" s="115">
        <v>1</v>
      </c>
      <c r="DF82" s="115" t="s">
        <v>252</v>
      </c>
      <c r="DG82" s="115">
        <f t="shared" si="247"/>
        <v>102600</v>
      </c>
      <c r="DJ82" s="118">
        <v>78</v>
      </c>
      <c r="DK82" s="14">
        <f t="shared" si="279"/>
        <v>26</v>
      </c>
      <c r="DL82" s="118">
        <f t="shared" si="248"/>
        <v>135</v>
      </c>
      <c r="DM82" s="166">
        <f t="shared" si="249"/>
        <v>3</v>
      </c>
      <c r="DN82" s="166">
        <v>360</v>
      </c>
      <c r="DO82" s="166">
        <v>2700</v>
      </c>
      <c r="DP82" s="166">
        <v>5</v>
      </c>
      <c r="DQ82" s="118">
        <v>150</v>
      </c>
      <c r="DR82" s="118">
        <f t="shared" si="280"/>
        <v>21263</v>
      </c>
      <c r="DS82" s="118">
        <v>1</v>
      </c>
      <c r="DT82" s="14">
        <f t="shared" si="250"/>
        <v>126</v>
      </c>
      <c r="DU82" s="118" t="s">
        <v>1034</v>
      </c>
      <c r="DV82" s="118">
        <v>3</v>
      </c>
      <c r="DW82" s="166" t="str">
        <f t="shared" si="251"/>
        <v>红色基础材料9守护灵初级抽卡券5守护灵经验48750</v>
      </c>
      <c r="DX82" s="14">
        <f t="shared" ref="DX82" si="314">DT82*100+9</f>
        <v>12609</v>
      </c>
      <c r="DY82" s="118" t="s">
        <v>1037</v>
      </c>
      <c r="DZ82" s="118">
        <v>5</v>
      </c>
      <c r="EA82" s="14" t="str">
        <f>INDEX(挂机升级突破!$DT$4:$DX$4,DP82)</f>
        <v>红色基础材料</v>
      </c>
      <c r="EB82" s="14">
        <f>ROUND(INDEX(挂机升级突破!$G$7:$K$37,DK82+2,章节关卡!DP82)/INDEX(挂机升级突破!$G$5:$K$5,章节关卡!DP82)*INDEX(挂机升级突破!$G$4:$K$4,章节关卡!DP82)*章节关卡!DO82,0)</f>
        <v>9</v>
      </c>
      <c r="EC82" s="118" t="s">
        <v>1038</v>
      </c>
      <c r="ED82" s="14">
        <f t="shared" si="253"/>
        <v>48750</v>
      </c>
      <c r="EI82" s="166">
        <v>78</v>
      </c>
      <c r="EJ82" s="14">
        <f t="shared" si="282"/>
        <v>26</v>
      </c>
      <c r="EK82" s="166">
        <f t="shared" si="283"/>
        <v>140</v>
      </c>
      <c r="EL82" s="166">
        <f t="shared" si="254"/>
        <v>3</v>
      </c>
      <c r="EM82" s="166">
        <f t="shared" si="255"/>
        <v>540</v>
      </c>
      <c r="EN82" s="166">
        <f t="shared" si="256"/>
        <v>6750</v>
      </c>
      <c r="EO82" s="166">
        <v>9</v>
      </c>
      <c r="EP82" s="14">
        <f t="shared" si="257"/>
        <v>300</v>
      </c>
      <c r="EQ82" s="14">
        <f t="shared" si="284"/>
        <v>22263</v>
      </c>
      <c r="ER82" s="166">
        <v>1</v>
      </c>
      <c r="ES82" s="14">
        <f t="shared" si="285"/>
        <v>226</v>
      </c>
      <c r="ET82" s="166" t="s">
        <v>1034</v>
      </c>
      <c r="EU82" s="166">
        <v>3</v>
      </c>
      <c r="EV82" s="166"/>
      <c r="EW82" s="14">
        <f t="shared" ref="EW82" si="315">ES82*100+9</f>
        <v>22609</v>
      </c>
      <c r="EX82" s="166" t="s">
        <v>1397</v>
      </c>
      <c r="EY82" s="166">
        <v>50</v>
      </c>
      <c r="EZ82" s="14" t="str">
        <f>INDEX(挂机升级突破!$DT$4:$EC$4,EO82)</f>
        <v>铀金</v>
      </c>
      <c r="FA82" s="14">
        <f>ROUND(INDEX(挂机升级突破!$G$7:$R$37,EJ82+3,EO82)/INDEX(挂机升级突破!$G$5:$R$5,章节关卡!EO82)*INDEX(挂机升级突破!$G$4:$R$4,章节关卡!EO82)*章节关卡!EN82,0)</f>
        <v>8</v>
      </c>
      <c r="FB82" s="166" t="s">
        <v>1399</v>
      </c>
      <c r="FC82" s="166">
        <f t="shared" si="259"/>
        <v>202500</v>
      </c>
    </row>
    <row r="83" spans="45:159" ht="16.5" x14ac:dyDescent="0.2">
      <c r="AS83" s="24">
        <v>79</v>
      </c>
      <c r="AT83" s="14">
        <f t="shared" si="260"/>
        <v>20</v>
      </c>
      <c r="AU83" s="109">
        <f t="shared" si="261"/>
        <v>3</v>
      </c>
      <c r="AV83" s="109">
        <f t="shared" si="262"/>
        <v>42</v>
      </c>
      <c r="AW83" s="109">
        <f t="shared" si="263"/>
        <v>126</v>
      </c>
      <c r="AX83" s="109">
        <f t="shared" si="264"/>
        <v>206</v>
      </c>
      <c r="BA83" s="109">
        <v>79</v>
      </c>
      <c r="BB83" s="14">
        <f t="shared" si="233"/>
        <v>8</v>
      </c>
      <c r="BC83" s="14">
        <f t="shared" si="265"/>
        <v>9</v>
      </c>
      <c r="BD83" s="14">
        <f t="shared" si="306"/>
        <v>280</v>
      </c>
      <c r="BE83" s="14">
        <f t="shared" si="234"/>
        <v>1350</v>
      </c>
      <c r="BF83" s="14">
        <f t="shared" si="235"/>
        <v>3150</v>
      </c>
      <c r="BG83" s="14">
        <f t="shared" si="266"/>
        <v>3.46</v>
      </c>
      <c r="BH83" s="14">
        <f t="shared" si="267"/>
        <v>11003</v>
      </c>
      <c r="BK83" s="109">
        <v>79</v>
      </c>
      <c r="BL83" s="14">
        <f t="shared" si="268"/>
        <v>8</v>
      </c>
      <c r="BM83" s="14">
        <f t="shared" si="269"/>
        <v>9</v>
      </c>
      <c r="BN83" s="14">
        <f t="shared" si="236"/>
        <v>1100</v>
      </c>
      <c r="BO83" s="14">
        <f t="shared" si="237"/>
        <v>2700</v>
      </c>
      <c r="BP83" s="14">
        <f t="shared" si="238"/>
        <v>6300</v>
      </c>
      <c r="BS83" s="109">
        <v>79</v>
      </c>
      <c r="BT83" s="109">
        <f t="shared" si="270"/>
        <v>27</v>
      </c>
      <c r="BU83" s="112">
        <f t="shared" si="271"/>
        <v>140</v>
      </c>
      <c r="BV83" s="109">
        <f t="shared" si="223"/>
        <v>1</v>
      </c>
      <c r="BW83" s="109">
        <v>120</v>
      </c>
      <c r="BX83" s="109">
        <v>180</v>
      </c>
      <c r="BY83" s="112">
        <v>5</v>
      </c>
      <c r="BZ83" s="14">
        <f t="shared" si="272"/>
        <v>11271</v>
      </c>
      <c r="CA83" s="118">
        <v>1</v>
      </c>
      <c r="CB83" s="14">
        <f t="shared" si="273"/>
        <v>127</v>
      </c>
      <c r="CC83" s="118" t="s">
        <v>1026</v>
      </c>
      <c r="CD83" s="14">
        <f t="shared" si="274"/>
        <v>1</v>
      </c>
      <c r="CE83" s="166" t="str">
        <f t="shared" si="275"/>
        <v xml:space="preserve">钻石100 金币24000 </v>
      </c>
      <c r="CF83" s="14">
        <f t="shared" si="276"/>
        <v>10</v>
      </c>
      <c r="CG83" s="115" t="s">
        <v>19</v>
      </c>
      <c r="CH83" s="115">
        <v>100</v>
      </c>
      <c r="CI83" s="210" t="s">
        <v>358</v>
      </c>
      <c r="CJ83" s="210">
        <f>INDEX($I$6:$I$35,BT83)*BW83</f>
        <v>24000</v>
      </c>
      <c r="CK83" s="210"/>
      <c r="CL83" s="210"/>
      <c r="CO83" s="115">
        <f t="shared" si="240"/>
        <v>27</v>
      </c>
      <c r="CP83" s="115">
        <f t="shared" si="241"/>
        <v>150</v>
      </c>
      <c r="CQ83" s="118">
        <v>1</v>
      </c>
      <c r="CR83" s="115">
        <f t="shared" si="242"/>
        <v>180</v>
      </c>
      <c r="CS83" s="115">
        <f t="shared" si="243"/>
        <v>360</v>
      </c>
      <c r="CT83" s="115">
        <v>9</v>
      </c>
      <c r="CU83" s="14">
        <f t="shared" si="244"/>
        <v>12271</v>
      </c>
      <c r="CV83" s="118">
        <v>2</v>
      </c>
      <c r="CW83" s="14">
        <f t="shared" si="245"/>
        <v>227</v>
      </c>
      <c r="CX83" s="118" t="s">
        <v>1026</v>
      </c>
      <c r="CY83" s="14">
        <f t="shared" si="246"/>
        <v>1</v>
      </c>
      <c r="CZ83" s="166" t="str">
        <f t="shared" si="277"/>
        <v>钻石100140级-攻击套守护灵の头盔1金币36000</v>
      </c>
      <c r="DA83" s="14">
        <f t="shared" si="278"/>
        <v>10</v>
      </c>
      <c r="DB83" s="115" t="s">
        <v>257</v>
      </c>
      <c r="DC83" s="115">
        <v>100</v>
      </c>
      <c r="DD83" s="115" t="s">
        <v>1503</v>
      </c>
      <c r="DE83" s="115">
        <v>1</v>
      </c>
      <c r="DF83" s="115" t="s">
        <v>252</v>
      </c>
      <c r="DG83" s="115">
        <f t="shared" si="247"/>
        <v>36000</v>
      </c>
      <c r="DJ83" s="118">
        <v>79</v>
      </c>
      <c r="DK83" s="14">
        <f t="shared" si="279"/>
        <v>27</v>
      </c>
      <c r="DL83" s="118">
        <f t="shared" si="248"/>
        <v>140</v>
      </c>
      <c r="DM83" s="166">
        <f t="shared" si="249"/>
        <v>1</v>
      </c>
      <c r="DN83" s="166">
        <v>120</v>
      </c>
      <c r="DO83" s="166">
        <v>900</v>
      </c>
      <c r="DP83" s="166">
        <v>5</v>
      </c>
      <c r="DQ83" s="118">
        <v>90</v>
      </c>
      <c r="DR83" s="118">
        <f t="shared" si="280"/>
        <v>21271</v>
      </c>
      <c r="DS83" s="118">
        <v>1</v>
      </c>
      <c r="DT83" s="14">
        <f t="shared" si="250"/>
        <v>127</v>
      </c>
      <c r="DU83" s="118" t="s">
        <v>1034</v>
      </c>
      <c r="DV83" s="118">
        <v>1</v>
      </c>
      <c r="DW83" s="166" t="str">
        <f t="shared" si="251"/>
        <v>红色基础材料4守护灵初级抽卡券2守护灵经验31500</v>
      </c>
      <c r="DX83" s="14">
        <f t="shared" ref="DX83" si="316">DT83*100+3</f>
        <v>12703</v>
      </c>
      <c r="DY83" s="118" t="s">
        <v>1037</v>
      </c>
      <c r="DZ83" s="118">
        <v>2</v>
      </c>
      <c r="EA83" s="14" t="str">
        <f>INDEX(挂机升级突破!$DT$4:$DX$4,DP83)</f>
        <v>红色基础材料</v>
      </c>
      <c r="EB83" s="14">
        <f>ROUND(INDEX(挂机升级突破!$G$7:$K$37,DK83+2,章节关卡!DP83)/INDEX(挂机升级突破!$G$5:$K$5,章节关卡!DP83)*INDEX(挂机升级突破!$G$4:$K$4,章节关卡!DP83)*章节关卡!DO83,0)</f>
        <v>4</v>
      </c>
      <c r="EC83" s="118" t="s">
        <v>1038</v>
      </c>
      <c r="ED83" s="14">
        <f t="shared" si="253"/>
        <v>31500</v>
      </c>
      <c r="EI83" s="166">
        <v>79</v>
      </c>
      <c r="EJ83" s="14">
        <f t="shared" si="282"/>
        <v>27</v>
      </c>
      <c r="EK83" s="166">
        <f t="shared" si="283"/>
        <v>145</v>
      </c>
      <c r="EL83" s="166">
        <f t="shared" si="254"/>
        <v>1</v>
      </c>
      <c r="EM83" s="166">
        <f t="shared" si="255"/>
        <v>180</v>
      </c>
      <c r="EN83" s="166">
        <f t="shared" si="256"/>
        <v>2250</v>
      </c>
      <c r="EO83" s="166">
        <v>9</v>
      </c>
      <c r="EP83" s="14">
        <f t="shared" si="257"/>
        <v>180</v>
      </c>
      <c r="EQ83" s="14">
        <f t="shared" si="284"/>
        <v>22271</v>
      </c>
      <c r="ER83" s="166">
        <v>1</v>
      </c>
      <c r="ES83" s="14">
        <f t="shared" si="285"/>
        <v>227</v>
      </c>
      <c r="ET83" s="166" t="s">
        <v>1034</v>
      </c>
      <c r="EU83" s="166">
        <v>1</v>
      </c>
      <c r="EV83" s="166"/>
      <c r="EW83" s="14">
        <f t="shared" ref="EW83" si="317">ES83*100+3</f>
        <v>22703</v>
      </c>
      <c r="EX83" s="166" t="s">
        <v>1397</v>
      </c>
      <c r="EY83" s="166">
        <v>20</v>
      </c>
      <c r="EZ83" s="14" t="str">
        <f>INDEX(挂机升级突破!$DT$4:$EC$4,EO83)</f>
        <v>铀金</v>
      </c>
      <c r="FA83" s="14">
        <f>ROUND(INDEX(挂机升级突破!$G$7:$R$37,EJ83+3,EO83)/INDEX(挂机升级突破!$G$5:$R$5,章节关卡!EO83)*INDEX(挂机升级突破!$G$4:$R$4,章节关卡!EO83)*章节关卡!EN83,0)</f>
        <v>3</v>
      </c>
      <c r="FB83" s="166" t="s">
        <v>1399</v>
      </c>
      <c r="FC83" s="166">
        <f t="shared" si="259"/>
        <v>72000</v>
      </c>
    </row>
    <row r="84" spans="45:159" ht="16.5" x14ac:dyDescent="0.2">
      <c r="AS84" s="24">
        <v>80</v>
      </c>
      <c r="AT84" s="14">
        <f t="shared" si="260"/>
        <v>20</v>
      </c>
      <c r="AU84" s="109">
        <f t="shared" si="261"/>
        <v>4</v>
      </c>
      <c r="AV84" s="109">
        <f t="shared" si="262"/>
        <v>42</v>
      </c>
      <c r="AW84" s="109">
        <f t="shared" si="263"/>
        <v>128</v>
      </c>
      <c r="AX84" s="109">
        <f t="shared" si="264"/>
        <v>208</v>
      </c>
      <c r="BA84" s="109">
        <v>80</v>
      </c>
      <c r="BB84" s="14">
        <f t="shared" si="233"/>
        <v>8</v>
      </c>
      <c r="BC84" s="14">
        <f t="shared" si="265"/>
        <v>10</v>
      </c>
      <c r="BD84" s="14">
        <f t="shared" si="306"/>
        <v>280</v>
      </c>
      <c r="BE84" s="14">
        <f t="shared" si="234"/>
        <v>1350</v>
      </c>
      <c r="BF84" s="14">
        <f t="shared" si="235"/>
        <v>3150</v>
      </c>
      <c r="BG84" s="14">
        <f t="shared" si="266"/>
        <v>3.46</v>
      </c>
      <c r="BH84" s="14">
        <f t="shared" si="267"/>
        <v>11003</v>
      </c>
      <c r="BK84" s="109">
        <v>80</v>
      </c>
      <c r="BL84" s="14">
        <f t="shared" si="268"/>
        <v>8</v>
      </c>
      <c r="BM84" s="14">
        <f t="shared" si="269"/>
        <v>10</v>
      </c>
      <c r="BN84" s="14">
        <f t="shared" si="236"/>
        <v>1100</v>
      </c>
      <c r="BO84" s="14">
        <f t="shared" si="237"/>
        <v>2700</v>
      </c>
      <c r="BP84" s="14">
        <f t="shared" si="238"/>
        <v>6300</v>
      </c>
      <c r="BS84" s="109">
        <v>80</v>
      </c>
      <c r="BT84" s="109">
        <f t="shared" si="270"/>
        <v>27</v>
      </c>
      <c r="BU84" s="112">
        <f t="shared" si="271"/>
        <v>140</v>
      </c>
      <c r="BV84" s="109">
        <f t="shared" si="223"/>
        <v>2</v>
      </c>
      <c r="BW84" s="109">
        <v>240</v>
      </c>
      <c r="BX84" s="109">
        <v>360</v>
      </c>
      <c r="BY84" s="112">
        <v>5</v>
      </c>
      <c r="BZ84" s="14">
        <f t="shared" si="272"/>
        <v>11272</v>
      </c>
      <c r="CA84" s="118">
        <v>1</v>
      </c>
      <c r="CB84" s="14">
        <f t="shared" si="273"/>
        <v>127</v>
      </c>
      <c r="CC84" s="118" t="s">
        <v>1026</v>
      </c>
      <c r="CD84" s="14">
        <f t="shared" si="274"/>
        <v>2</v>
      </c>
      <c r="CE84" s="166" t="str">
        <f t="shared" si="275"/>
        <v>守护灵抽卡券2 2小时扫荡券1 金币48000</v>
      </c>
      <c r="CF84" s="14">
        <f t="shared" si="276"/>
        <v>20</v>
      </c>
      <c r="CG84" s="115" t="s">
        <v>258</v>
      </c>
      <c r="CH84" s="115">
        <v>2</v>
      </c>
      <c r="CI84" s="210" t="s">
        <v>1395</v>
      </c>
      <c r="CJ84" s="210">
        <v>1</v>
      </c>
      <c r="CK84" s="210" t="s">
        <v>252</v>
      </c>
      <c r="CL84" s="210">
        <f t="shared" ref="CL84:CL85" si="318">INDEX($I$6:$I$35,BT84)*BW84</f>
        <v>48000</v>
      </c>
      <c r="CO84" s="115">
        <f t="shared" si="240"/>
        <v>27</v>
      </c>
      <c r="CP84" s="115">
        <f t="shared" si="241"/>
        <v>150</v>
      </c>
      <c r="CQ84" s="118">
        <v>2</v>
      </c>
      <c r="CR84" s="115">
        <f t="shared" si="242"/>
        <v>360</v>
      </c>
      <c r="CS84" s="115">
        <f t="shared" si="243"/>
        <v>720</v>
      </c>
      <c r="CT84" s="115">
        <v>9</v>
      </c>
      <c r="CU84" s="14">
        <f t="shared" si="244"/>
        <v>12272</v>
      </c>
      <c r="CV84" s="118">
        <v>2</v>
      </c>
      <c r="CW84" s="14">
        <f t="shared" si="245"/>
        <v>227</v>
      </c>
      <c r="CX84" s="118" t="s">
        <v>1026</v>
      </c>
      <c r="CY84" s="14">
        <f t="shared" si="246"/>
        <v>2</v>
      </c>
      <c r="CZ84" s="166" t="str">
        <f t="shared" si="277"/>
        <v>熔炼值8000140级-攻击套守护灵の铠甲1金币72000</v>
      </c>
      <c r="DA84" s="14">
        <f t="shared" si="278"/>
        <v>20</v>
      </c>
      <c r="DB84" s="115" t="s">
        <v>1005</v>
      </c>
      <c r="DC84" s="115">
        <v>8000</v>
      </c>
      <c r="DD84" s="115" t="s">
        <v>1504</v>
      </c>
      <c r="DE84" s="115">
        <v>1</v>
      </c>
      <c r="DF84" s="115" t="s">
        <v>252</v>
      </c>
      <c r="DG84" s="115">
        <f t="shared" si="247"/>
        <v>72000</v>
      </c>
      <c r="DJ84" s="118">
        <v>80</v>
      </c>
      <c r="DK84" s="14">
        <f t="shared" si="279"/>
        <v>27</v>
      </c>
      <c r="DL84" s="118">
        <f t="shared" si="248"/>
        <v>140</v>
      </c>
      <c r="DM84" s="166">
        <f t="shared" si="249"/>
        <v>2</v>
      </c>
      <c r="DN84" s="166">
        <v>240</v>
      </c>
      <c r="DO84" s="166">
        <v>1800</v>
      </c>
      <c r="DP84" s="166">
        <v>5</v>
      </c>
      <c r="DQ84" s="118">
        <v>120</v>
      </c>
      <c r="DR84" s="118">
        <f t="shared" si="280"/>
        <v>21272</v>
      </c>
      <c r="DS84" s="118">
        <v>1</v>
      </c>
      <c r="DT84" s="14">
        <f t="shared" si="250"/>
        <v>127</v>
      </c>
      <c r="DU84" s="118" t="s">
        <v>1034</v>
      </c>
      <c r="DV84" s="118">
        <v>2</v>
      </c>
      <c r="DW84" s="166" t="str">
        <f t="shared" si="251"/>
        <v>红色基础材料8守护灵初级抽卡券3守护灵经验42000</v>
      </c>
      <c r="DX84" s="14">
        <f t="shared" ref="DX84" si="319">DT84*100+6</f>
        <v>12706</v>
      </c>
      <c r="DY84" s="118" t="s">
        <v>1037</v>
      </c>
      <c r="DZ84" s="118">
        <v>3</v>
      </c>
      <c r="EA84" s="14" t="str">
        <f>INDEX(挂机升级突破!$DT$4:$DX$4,DP84)</f>
        <v>红色基础材料</v>
      </c>
      <c r="EB84" s="14">
        <f>ROUND(INDEX(挂机升级突破!$G$7:$K$37,DK84+2,章节关卡!DP84)/INDEX(挂机升级突破!$G$5:$K$5,章节关卡!DP84)*INDEX(挂机升级突破!$G$4:$K$4,章节关卡!DP84)*章节关卡!DO84,0)</f>
        <v>8</v>
      </c>
      <c r="EC84" s="118" t="s">
        <v>1038</v>
      </c>
      <c r="ED84" s="14">
        <f t="shared" si="253"/>
        <v>42000</v>
      </c>
      <c r="EI84" s="166">
        <v>80</v>
      </c>
      <c r="EJ84" s="14">
        <f t="shared" si="282"/>
        <v>27</v>
      </c>
      <c r="EK84" s="166">
        <f t="shared" si="283"/>
        <v>145</v>
      </c>
      <c r="EL84" s="166">
        <f t="shared" si="254"/>
        <v>2</v>
      </c>
      <c r="EM84" s="166">
        <f t="shared" si="255"/>
        <v>360</v>
      </c>
      <c r="EN84" s="166">
        <f t="shared" si="256"/>
        <v>4500</v>
      </c>
      <c r="EO84" s="166">
        <v>9</v>
      </c>
      <c r="EP84" s="14">
        <f t="shared" si="257"/>
        <v>240</v>
      </c>
      <c r="EQ84" s="14">
        <f t="shared" si="284"/>
        <v>22272</v>
      </c>
      <c r="ER84" s="166">
        <v>1</v>
      </c>
      <c r="ES84" s="14">
        <f t="shared" si="285"/>
        <v>227</v>
      </c>
      <c r="ET84" s="166" t="s">
        <v>1034</v>
      </c>
      <c r="EU84" s="166">
        <v>2</v>
      </c>
      <c r="EV84" s="166"/>
      <c r="EW84" s="14">
        <f t="shared" ref="EW84" si="320">ES84*100+6</f>
        <v>22706</v>
      </c>
      <c r="EX84" s="166" t="s">
        <v>1397</v>
      </c>
      <c r="EY84" s="166">
        <v>30</v>
      </c>
      <c r="EZ84" s="14" t="str">
        <f>INDEX(挂机升级突破!$DT$4:$EC$4,EO84)</f>
        <v>铀金</v>
      </c>
      <c r="FA84" s="14">
        <f>ROUND(INDEX(挂机升级突破!$G$7:$R$37,EJ84+3,EO84)/INDEX(挂机升级突破!$G$5:$R$5,章节关卡!EO84)*INDEX(挂机升级突破!$G$4:$R$4,章节关卡!EO84)*章节关卡!EN84,0)</f>
        <v>6</v>
      </c>
      <c r="FB84" s="166" t="s">
        <v>1399</v>
      </c>
      <c r="FC84" s="166">
        <f t="shared" si="259"/>
        <v>144000</v>
      </c>
    </row>
    <row r="85" spans="45:159" ht="16.5" x14ac:dyDescent="0.2">
      <c r="AS85" s="24">
        <v>81</v>
      </c>
      <c r="AT85" s="14">
        <f t="shared" si="260"/>
        <v>21</v>
      </c>
      <c r="AU85" s="109">
        <f t="shared" si="261"/>
        <v>1</v>
      </c>
      <c r="AV85" s="109">
        <f t="shared" si="262"/>
        <v>45</v>
      </c>
      <c r="AW85" s="109">
        <f t="shared" si="263"/>
        <v>132</v>
      </c>
      <c r="AX85" s="109">
        <f t="shared" si="264"/>
        <v>213</v>
      </c>
      <c r="BA85" s="109">
        <v>81</v>
      </c>
      <c r="BB85" s="14">
        <f t="shared" si="233"/>
        <v>9</v>
      </c>
      <c r="BC85" s="14">
        <f t="shared" si="265"/>
        <v>1</v>
      </c>
      <c r="BD85" s="14">
        <f t="shared" si="306"/>
        <v>320</v>
      </c>
      <c r="BE85" s="14">
        <f t="shared" si="234"/>
        <v>1500</v>
      </c>
      <c r="BF85" s="14">
        <f t="shared" si="235"/>
        <v>3600</v>
      </c>
      <c r="BG85" s="14">
        <f t="shared" si="266"/>
        <v>4.17</v>
      </c>
      <c r="BH85" s="14">
        <f t="shared" si="267"/>
        <v>11004</v>
      </c>
      <c r="BK85" s="109">
        <v>81</v>
      </c>
      <c r="BL85" s="14">
        <f t="shared" si="268"/>
        <v>9</v>
      </c>
      <c r="BM85" s="14">
        <f t="shared" si="269"/>
        <v>1</v>
      </c>
      <c r="BN85" s="14">
        <f t="shared" si="236"/>
        <v>1350</v>
      </c>
      <c r="BO85" s="14">
        <f t="shared" si="237"/>
        <v>3000</v>
      </c>
      <c r="BP85" s="14">
        <f t="shared" si="238"/>
        <v>7200</v>
      </c>
      <c r="BS85" s="109">
        <v>81</v>
      </c>
      <c r="BT85" s="109">
        <f t="shared" si="270"/>
        <v>27</v>
      </c>
      <c r="BU85" s="112">
        <f t="shared" si="271"/>
        <v>140</v>
      </c>
      <c r="BV85" s="109">
        <f t="shared" si="223"/>
        <v>3</v>
      </c>
      <c r="BW85" s="109">
        <v>360</v>
      </c>
      <c r="BX85" s="109">
        <v>540</v>
      </c>
      <c r="BY85" s="112">
        <v>5</v>
      </c>
      <c r="BZ85" s="14">
        <f t="shared" si="272"/>
        <v>11273</v>
      </c>
      <c r="CA85" s="118">
        <v>1</v>
      </c>
      <c r="CB85" s="14">
        <f t="shared" si="273"/>
        <v>127</v>
      </c>
      <c r="CC85" s="118" t="s">
        <v>1026</v>
      </c>
      <c r="CD85" s="14">
        <f t="shared" si="274"/>
        <v>3</v>
      </c>
      <c r="CE85" s="166" t="str">
        <f t="shared" si="275"/>
        <v>守护灵抽卡券3 2小时扫荡券1 金币72000</v>
      </c>
      <c r="CF85" s="14">
        <f t="shared" si="276"/>
        <v>30</v>
      </c>
      <c r="CG85" s="115" t="s">
        <v>258</v>
      </c>
      <c r="CH85" s="115">
        <v>3</v>
      </c>
      <c r="CI85" s="210" t="s">
        <v>1395</v>
      </c>
      <c r="CJ85" s="210">
        <v>1</v>
      </c>
      <c r="CK85" s="210" t="s">
        <v>252</v>
      </c>
      <c r="CL85" s="210">
        <f t="shared" si="318"/>
        <v>72000</v>
      </c>
      <c r="CO85" s="115">
        <f t="shared" si="240"/>
        <v>27</v>
      </c>
      <c r="CP85" s="115">
        <f t="shared" si="241"/>
        <v>150</v>
      </c>
      <c r="CQ85" s="118">
        <v>3</v>
      </c>
      <c r="CR85" s="115">
        <f t="shared" si="242"/>
        <v>540</v>
      </c>
      <c r="CS85" s="115">
        <f t="shared" si="243"/>
        <v>1080</v>
      </c>
      <c r="CT85" s="115">
        <v>9</v>
      </c>
      <c r="CU85" s="14">
        <f t="shared" si="244"/>
        <v>12273</v>
      </c>
      <c r="CV85" s="118">
        <v>2</v>
      </c>
      <c r="CW85" s="14">
        <f t="shared" si="245"/>
        <v>227</v>
      </c>
      <c r="CX85" s="118" t="s">
        <v>1026</v>
      </c>
      <c r="CY85" s="14">
        <f t="shared" si="246"/>
        <v>3</v>
      </c>
      <c r="CZ85" s="166" t="str">
        <f t="shared" si="277"/>
        <v>守护灵抽卡券5140级-攻击套守护灵の鞋子1金币108000</v>
      </c>
      <c r="DA85" s="14">
        <f t="shared" si="278"/>
        <v>30</v>
      </c>
      <c r="DB85" s="115" t="s">
        <v>1004</v>
      </c>
      <c r="DC85" s="115">
        <v>5</v>
      </c>
      <c r="DD85" s="115" t="s">
        <v>1505</v>
      </c>
      <c r="DE85" s="115">
        <v>1</v>
      </c>
      <c r="DF85" s="115" t="s">
        <v>252</v>
      </c>
      <c r="DG85" s="115">
        <f t="shared" si="247"/>
        <v>108000</v>
      </c>
      <c r="DJ85" s="118">
        <v>81</v>
      </c>
      <c r="DK85" s="14">
        <f t="shared" si="279"/>
        <v>27</v>
      </c>
      <c r="DL85" s="118">
        <f t="shared" si="248"/>
        <v>140</v>
      </c>
      <c r="DM85" s="166">
        <f t="shared" si="249"/>
        <v>3</v>
      </c>
      <c r="DN85" s="166">
        <v>360</v>
      </c>
      <c r="DO85" s="166">
        <v>2700</v>
      </c>
      <c r="DP85" s="166">
        <v>5</v>
      </c>
      <c r="DQ85" s="118">
        <v>150</v>
      </c>
      <c r="DR85" s="118">
        <f t="shared" si="280"/>
        <v>21273</v>
      </c>
      <c r="DS85" s="118">
        <v>1</v>
      </c>
      <c r="DT85" s="14">
        <f t="shared" si="250"/>
        <v>127</v>
      </c>
      <c r="DU85" s="118" t="s">
        <v>1034</v>
      </c>
      <c r="DV85" s="118">
        <v>3</v>
      </c>
      <c r="DW85" s="166" t="str">
        <f t="shared" si="251"/>
        <v>红色基础材料11守护灵初级抽卡券5守护灵经验52500</v>
      </c>
      <c r="DX85" s="14">
        <f t="shared" ref="DX85" si="321">DT85*100+9</f>
        <v>12709</v>
      </c>
      <c r="DY85" s="118" t="s">
        <v>1037</v>
      </c>
      <c r="DZ85" s="118">
        <v>5</v>
      </c>
      <c r="EA85" s="14" t="str">
        <f>INDEX(挂机升级突破!$DT$4:$DX$4,DP85)</f>
        <v>红色基础材料</v>
      </c>
      <c r="EB85" s="14">
        <f>ROUND(INDEX(挂机升级突破!$G$7:$K$37,DK85+2,章节关卡!DP85)/INDEX(挂机升级突破!$G$5:$K$5,章节关卡!DP85)*INDEX(挂机升级突破!$G$4:$K$4,章节关卡!DP85)*章节关卡!DO85,0)</f>
        <v>11</v>
      </c>
      <c r="EC85" s="118" t="s">
        <v>1038</v>
      </c>
      <c r="ED85" s="14">
        <f t="shared" si="253"/>
        <v>52500</v>
      </c>
      <c r="EI85" s="166">
        <v>81</v>
      </c>
      <c r="EJ85" s="14">
        <f t="shared" si="282"/>
        <v>27</v>
      </c>
      <c r="EK85" s="166">
        <f t="shared" si="283"/>
        <v>145</v>
      </c>
      <c r="EL85" s="166">
        <f t="shared" si="254"/>
        <v>3</v>
      </c>
      <c r="EM85" s="166">
        <f t="shared" si="255"/>
        <v>540</v>
      </c>
      <c r="EN85" s="166">
        <f t="shared" si="256"/>
        <v>6750</v>
      </c>
      <c r="EO85" s="166">
        <v>9</v>
      </c>
      <c r="EP85" s="14">
        <f t="shared" si="257"/>
        <v>300</v>
      </c>
      <c r="EQ85" s="14">
        <f t="shared" si="284"/>
        <v>22273</v>
      </c>
      <c r="ER85" s="166">
        <v>1</v>
      </c>
      <c r="ES85" s="14">
        <f t="shared" si="285"/>
        <v>227</v>
      </c>
      <c r="ET85" s="166" t="s">
        <v>1034</v>
      </c>
      <c r="EU85" s="166">
        <v>3</v>
      </c>
      <c r="EV85" s="166"/>
      <c r="EW85" s="14">
        <f t="shared" ref="EW85" si="322">ES85*100+9</f>
        <v>22709</v>
      </c>
      <c r="EX85" s="166" t="s">
        <v>1397</v>
      </c>
      <c r="EY85" s="166">
        <v>50</v>
      </c>
      <c r="EZ85" s="14" t="str">
        <f>INDEX(挂机升级突破!$DT$4:$EC$4,EO85)</f>
        <v>铀金</v>
      </c>
      <c r="FA85" s="14">
        <f>ROUND(INDEX(挂机升级突破!$G$7:$R$37,EJ85+3,EO85)/INDEX(挂机升级突破!$G$5:$R$5,章节关卡!EO85)*INDEX(挂机升级突破!$G$4:$R$4,章节关卡!EO85)*章节关卡!EN85,0)</f>
        <v>8</v>
      </c>
      <c r="FB85" s="166" t="s">
        <v>1399</v>
      </c>
      <c r="FC85" s="166">
        <f t="shared" si="259"/>
        <v>216000</v>
      </c>
    </row>
    <row r="86" spans="45:159" ht="16.5" x14ac:dyDescent="0.2">
      <c r="AS86" s="24">
        <v>82</v>
      </c>
      <c r="AT86" s="14">
        <f t="shared" si="260"/>
        <v>21</v>
      </c>
      <c r="AU86" s="109">
        <f t="shared" si="261"/>
        <v>2</v>
      </c>
      <c r="AV86" s="109">
        <f t="shared" si="262"/>
        <v>45</v>
      </c>
      <c r="AW86" s="109">
        <f t="shared" si="263"/>
        <v>134</v>
      </c>
      <c r="AX86" s="109">
        <f t="shared" si="264"/>
        <v>216</v>
      </c>
      <c r="BA86" s="109">
        <v>82</v>
      </c>
      <c r="BB86" s="14">
        <f t="shared" si="233"/>
        <v>9</v>
      </c>
      <c r="BC86" s="14">
        <f t="shared" si="265"/>
        <v>2</v>
      </c>
      <c r="BD86" s="14">
        <f t="shared" si="306"/>
        <v>320</v>
      </c>
      <c r="BE86" s="14">
        <f t="shared" si="234"/>
        <v>1500</v>
      </c>
      <c r="BF86" s="14">
        <f t="shared" si="235"/>
        <v>3600</v>
      </c>
      <c r="BG86" s="14">
        <f t="shared" si="266"/>
        <v>4.17</v>
      </c>
      <c r="BH86" s="14">
        <f t="shared" si="267"/>
        <v>11004</v>
      </c>
      <c r="BK86" s="109">
        <v>82</v>
      </c>
      <c r="BL86" s="14">
        <f t="shared" si="268"/>
        <v>9</v>
      </c>
      <c r="BM86" s="14">
        <f t="shared" si="269"/>
        <v>2</v>
      </c>
      <c r="BN86" s="14">
        <f t="shared" si="236"/>
        <v>1350</v>
      </c>
      <c r="BO86" s="14">
        <f t="shared" si="237"/>
        <v>3000</v>
      </c>
      <c r="BP86" s="14">
        <f t="shared" si="238"/>
        <v>7200</v>
      </c>
      <c r="BS86" s="109">
        <v>82</v>
      </c>
      <c r="BT86" s="109">
        <f t="shared" si="270"/>
        <v>28</v>
      </c>
      <c r="BU86" s="112">
        <f t="shared" si="271"/>
        <v>145</v>
      </c>
      <c r="BV86" s="109">
        <f t="shared" si="223"/>
        <v>1</v>
      </c>
      <c r="BW86" s="109">
        <v>120</v>
      </c>
      <c r="BX86" s="109">
        <v>180</v>
      </c>
      <c r="BY86" s="112">
        <v>5</v>
      </c>
      <c r="BZ86" s="14">
        <f t="shared" si="272"/>
        <v>11281</v>
      </c>
      <c r="CA86" s="118">
        <v>1</v>
      </c>
      <c r="CB86" s="14">
        <f t="shared" si="273"/>
        <v>128</v>
      </c>
      <c r="CC86" s="118" t="s">
        <v>1026</v>
      </c>
      <c r="CD86" s="14">
        <f t="shared" si="274"/>
        <v>1</v>
      </c>
      <c r="CE86" s="166" t="str">
        <f t="shared" si="275"/>
        <v xml:space="preserve">钻石100 金币25200 </v>
      </c>
      <c r="CF86" s="14">
        <f t="shared" si="276"/>
        <v>10</v>
      </c>
      <c r="CG86" s="115" t="s">
        <v>19</v>
      </c>
      <c r="CH86" s="115">
        <v>100</v>
      </c>
      <c r="CI86" s="210" t="s">
        <v>358</v>
      </c>
      <c r="CJ86" s="210">
        <f>INDEX($I$6:$I$35,BT86)*BW86</f>
        <v>25200</v>
      </c>
      <c r="CK86" s="210"/>
      <c r="CL86" s="210"/>
      <c r="CO86" s="115">
        <f t="shared" si="240"/>
        <v>28</v>
      </c>
      <c r="CP86" s="115">
        <f t="shared" si="241"/>
        <v>155</v>
      </c>
      <c r="CQ86" s="118">
        <v>1</v>
      </c>
      <c r="CR86" s="115">
        <f t="shared" si="242"/>
        <v>180</v>
      </c>
      <c r="CS86" s="115">
        <f t="shared" si="243"/>
        <v>360</v>
      </c>
      <c r="CT86" s="115">
        <v>10</v>
      </c>
      <c r="CU86" s="14">
        <f t="shared" si="244"/>
        <v>12281</v>
      </c>
      <c r="CV86" s="118">
        <v>2</v>
      </c>
      <c r="CW86" s="14">
        <f t="shared" si="245"/>
        <v>228</v>
      </c>
      <c r="CX86" s="118" t="s">
        <v>1026</v>
      </c>
      <c r="CY86" s="14">
        <f t="shared" si="246"/>
        <v>1</v>
      </c>
      <c r="CZ86" s="166" t="str">
        <f t="shared" si="277"/>
        <v>钻石100140级-攻击套寄灵人の头盔1金币37800</v>
      </c>
      <c r="DA86" s="14">
        <f t="shared" si="278"/>
        <v>10</v>
      </c>
      <c r="DB86" s="115" t="s">
        <v>257</v>
      </c>
      <c r="DC86" s="115">
        <v>100</v>
      </c>
      <c r="DD86" s="115" t="s">
        <v>1506</v>
      </c>
      <c r="DE86" s="115">
        <v>1</v>
      </c>
      <c r="DF86" s="115" t="s">
        <v>252</v>
      </c>
      <c r="DG86" s="115">
        <f t="shared" si="247"/>
        <v>37800</v>
      </c>
      <c r="DJ86" s="118">
        <v>82</v>
      </c>
      <c r="DK86" s="14">
        <f t="shared" si="279"/>
        <v>28</v>
      </c>
      <c r="DL86" s="118">
        <f t="shared" si="248"/>
        <v>145</v>
      </c>
      <c r="DM86" s="166">
        <f t="shared" si="249"/>
        <v>1</v>
      </c>
      <c r="DN86" s="166">
        <v>120</v>
      </c>
      <c r="DO86" s="166">
        <v>900</v>
      </c>
      <c r="DP86" s="166">
        <v>5</v>
      </c>
      <c r="DQ86" s="118">
        <v>90</v>
      </c>
      <c r="DR86" s="118">
        <f t="shared" si="280"/>
        <v>21281</v>
      </c>
      <c r="DS86" s="118">
        <v>1</v>
      </c>
      <c r="DT86" s="14">
        <f t="shared" si="250"/>
        <v>128</v>
      </c>
      <c r="DU86" s="118" t="s">
        <v>1034</v>
      </c>
      <c r="DV86" s="118">
        <v>1</v>
      </c>
      <c r="DW86" s="166" t="str">
        <f t="shared" si="251"/>
        <v>红色基础材料4守护灵初级抽卡券2守护灵经验33750</v>
      </c>
      <c r="DX86" s="14">
        <f t="shared" ref="DX86" si="323">DT86*100+3</f>
        <v>12803</v>
      </c>
      <c r="DY86" s="118" t="s">
        <v>1037</v>
      </c>
      <c r="DZ86" s="118">
        <v>2</v>
      </c>
      <c r="EA86" s="14" t="str">
        <f>INDEX(挂机升级突破!$DT$4:$DX$4,DP86)</f>
        <v>红色基础材料</v>
      </c>
      <c r="EB86" s="14">
        <f>ROUND(INDEX(挂机升级突破!$G$7:$K$37,DK86+2,章节关卡!DP86)/INDEX(挂机升级突破!$G$5:$K$5,章节关卡!DP86)*INDEX(挂机升级突破!$G$4:$K$4,章节关卡!DP86)*章节关卡!DO86,0)</f>
        <v>4</v>
      </c>
      <c r="EC86" s="118" t="s">
        <v>1038</v>
      </c>
      <c r="ED86" s="14">
        <f t="shared" si="253"/>
        <v>33750</v>
      </c>
      <c r="EI86" s="166">
        <v>82</v>
      </c>
      <c r="EJ86" s="14">
        <f t="shared" si="282"/>
        <v>28</v>
      </c>
      <c r="EK86" s="166">
        <f t="shared" si="283"/>
        <v>150</v>
      </c>
      <c r="EL86" s="166">
        <f t="shared" si="254"/>
        <v>1</v>
      </c>
      <c r="EM86" s="166">
        <f t="shared" si="255"/>
        <v>180</v>
      </c>
      <c r="EN86" s="166">
        <f t="shared" si="256"/>
        <v>2250</v>
      </c>
      <c r="EO86" s="166">
        <v>10</v>
      </c>
      <c r="EP86" s="14">
        <f t="shared" si="257"/>
        <v>180</v>
      </c>
      <c r="EQ86" s="14">
        <f t="shared" si="284"/>
        <v>22281</v>
      </c>
      <c r="ER86" s="166">
        <v>1</v>
      </c>
      <c r="ES86" s="14">
        <f t="shared" si="285"/>
        <v>228</v>
      </c>
      <c r="ET86" s="166" t="s">
        <v>1034</v>
      </c>
      <c r="EU86" s="166">
        <v>1</v>
      </c>
      <c r="EV86" s="166"/>
      <c r="EW86" s="14">
        <f t="shared" ref="EW86" si="324">ES86*100+3</f>
        <v>22803</v>
      </c>
      <c r="EX86" s="166" t="s">
        <v>1397</v>
      </c>
      <c r="EY86" s="166">
        <v>20</v>
      </c>
      <c r="EZ86" s="14" t="str">
        <f>INDEX(挂机升级突破!$DT$4:$EC$4,EO86)</f>
        <v>灵玉</v>
      </c>
      <c r="FA86" s="14">
        <f>ROUND(INDEX(挂机升级突破!$G$7:$R$37,EJ86+3,EO86)/INDEX(挂机升级突破!$G$5:$R$5,章节关卡!EO86)*INDEX(挂机升级突破!$G$4:$R$4,章节关卡!EO86)*章节关卡!EN86,0)</f>
        <v>2</v>
      </c>
      <c r="FB86" s="166" t="s">
        <v>1399</v>
      </c>
      <c r="FC86" s="166">
        <f t="shared" si="259"/>
        <v>86400</v>
      </c>
    </row>
    <row r="87" spans="45:159" ht="16.5" x14ac:dyDescent="0.2">
      <c r="AS87" s="24">
        <v>83</v>
      </c>
      <c r="AT87" s="14">
        <f t="shared" si="260"/>
        <v>21</v>
      </c>
      <c r="AU87" s="109">
        <f t="shared" si="261"/>
        <v>3</v>
      </c>
      <c r="AV87" s="109">
        <f t="shared" si="262"/>
        <v>45</v>
      </c>
      <c r="AW87" s="109">
        <f t="shared" si="263"/>
        <v>136</v>
      </c>
      <c r="AX87" s="109">
        <f t="shared" si="264"/>
        <v>219</v>
      </c>
      <c r="BA87" s="109">
        <v>83</v>
      </c>
      <c r="BB87" s="14">
        <f t="shared" si="233"/>
        <v>9</v>
      </c>
      <c r="BC87" s="14">
        <f t="shared" si="265"/>
        <v>3</v>
      </c>
      <c r="BD87" s="14">
        <f t="shared" si="306"/>
        <v>320</v>
      </c>
      <c r="BE87" s="14">
        <f t="shared" si="234"/>
        <v>1500</v>
      </c>
      <c r="BF87" s="14">
        <f t="shared" si="235"/>
        <v>3600</v>
      </c>
      <c r="BG87" s="14">
        <f t="shared" si="266"/>
        <v>4.17</v>
      </c>
      <c r="BH87" s="14">
        <f t="shared" si="267"/>
        <v>11004</v>
      </c>
      <c r="BK87" s="109">
        <v>83</v>
      </c>
      <c r="BL87" s="14">
        <f t="shared" si="268"/>
        <v>9</v>
      </c>
      <c r="BM87" s="14">
        <f t="shared" si="269"/>
        <v>3</v>
      </c>
      <c r="BN87" s="14">
        <f t="shared" si="236"/>
        <v>1350</v>
      </c>
      <c r="BO87" s="14">
        <f t="shared" si="237"/>
        <v>3000</v>
      </c>
      <c r="BP87" s="14">
        <f t="shared" si="238"/>
        <v>7200</v>
      </c>
      <c r="BS87" s="109">
        <v>83</v>
      </c>
      <c r="BT87" s="109">
        <f t="shared" si="270"/>
        <v>28</v>
      </c>
      <c r="BU87" s="112">
        <f t="shared" si="271"/>
        <v>145</v>
      </c>
      <c r="BV87" s="109">
        <f t="shared" si="223"/>
        <v>2</v>
      </c>
      <c r="BW87" s="109">
        <v>240</v>
      </c>
      <c r="BX87" s="109">
        <v>360</v>
      </c>
      <c r="BY87" s="112">
        <v>5</v>
      </c>
      <c r="BZ87" s="14">
        <f t="shared" si="272"/>
        <v>11282</v>
      </c>
      <c r="CA87" s="118">
        <v>1</v>
      </c>
      <c r="CB87" s="14">
        <f t="shared" si="273"/>
        <v>128</v>
      </c>
      <c r="CC87" s="118" t="s">
        <v>1026</v>
      </c>
      <c r="CD87" s="14">
        <f t="shared" si="274"/>
        <v>2</v>
      </c>
      <c r="CE87" s="166" t="str">
        <f t="shared" si="275"/>
        <v>守护灵抽卡券2 2小时扫荡券1 金币50400</v>
      </c>
      <c r="CF87" s="14">
        <f t="shared" si="276"/>
        <v>20</v>
      </c>
      <c r="CG87" s="115" t="s">
        <v>258</v>
      </c>
      <c r="CH87" s="115">
        <v>2</v>
      </c>
      <c r="CI87" s="210" t="s">
        <v>1395</v>
      </c>
      <c r="CJ87" s="210">
        <v>1</v>
      </c>
      <c r="CK87" s="210" t="s">
        <v>252</v>
      </c>
      <c r="CL87" s="210">
        <f t="shared" ref="CL87:CL88" si="325">INDEX($I$6:$I$35,BT87)*BW87</f>
        <v>50400</v>
      </c>
      <c r="CO87" s="115">
        <f t="shared" si="240"/>
        <v>28</v>
      </c>
      <c r="CP87" s="115">
        <f t="shared" si="241"/>
        <v>155</v>
      </c>
      <c r="CQ87" s="118">
        <v>2</v>
      </c>
      <c r="CR87" s="115">
        <f t="shared" si="242"/>
        <v>360</v>
      </c>
      <c r="CS87" s="115">
        <f t="shared" si="243"/>
        <v>720</v>
      </c>
      <c r="CT87" s="115">
        <v>10</v>
      </c>
      <c r="CU87" s="14">
        <f t="shared" si="244"/>
        <v>12282</v>
      </c>
      <c r="CV87" s="118">
        <v>2</v>
      </c>
      <c r="CW87" s="14">
        <f t="shared" si="245"/>
        <v>228</v>
      </c>
      <c r="CX87" s="118" t="s">
        <v>1026</v>
      </c>
      <c r="CY87" s="14">
        <f t="shared" si="246"/>
        <v>2</v>
      </c>
      <c r="CZ87" s="166" t="str">
        <f t="shared" si="277"/>
        <v>熔炼值8500140级-攻击套寄灵人の铠甲1金币75600</v>
      </c>
      <c r="DA87" s="14">
        <f t="shared" si="278"/>
        <v>20</v>
      </c>
      <c r="DB87" s="115" t="s">
        <v>1005</v>
      </c>
      <c r="DC87" s="115">
        <v>8500</v>
      </c>
      <c r="DD87" s="115" t="s">
        <v>1507</v>
      </c>
      <c r="DE87" s="115">
        <v>1</v>
      </c>
      <c r="DF87" s="115" t="s">
        <v>252</v>
      </c>
      <c r="DG87" s="115">
        <f t="shared" si="247"/>
        <v>75600</v>
      </c>
      <c r="DJ87" s="118">
        <v>83</v>
      </c>
      <c r="DK87" s="14">
        <f t="shared" si="279"/>
        <v>28</v>
      </c>
      <c r="DL87" s="118">
        <f t="shared" si="248"/>
        <v>145</v>
      </c>
      <c r="DM87" s="166">
        <f t="shared" si="249"/>
        <v>2</v>
      </c>
      <c r="DN87" s="166">
        <v>240</v>
      </c>
      <c r="DO87" s="166">
        <v>1800</v>
      </c>
      <c r="DP87" s="166">
        <v>5</v>
      </c>
      <c r="DQ87" s="118">
        <v>120</v>
      </c>
      <c r="DR87" s="118">
        <f t="shared" si="280"/>
        <v>21282</v>
      </c>
      <c r="DS87" s="118">
        <v>1</v>
      </c>
      <c r="DT87" s="14">
        <f t="shared" si="250"/>
        <v>128</v>
      </c>
      <c r="DU87" s="118" t="s">
        <v>1034</v>
      </c>
      <c r="DV87" s="118">
        <v>2</v>
      </c>
      <c r="DW87" s="166" t="str">
        <f t="shared" si="251"/>
        <v>红色基础材料8守护灵初级抽卡券3守护灵经验45000</v>
      </c>
      <c r="DX87" s="14">
        <f t="shared" ref="DX87" si="326">DT87*100+6</f>
        <v>12806</v>
      </c>
      <c r="DY87" s="118" t="s">
        <v>1037</v>
      </c>
      <c r="DZ87" s="118">
        <v>3</v>
      </c>
      <c r="EA87" s="14" t="str">
        <f>INDEX(挂机升级突破!$DT$4:$DX$4,DP87)</f>
        <v>红色基础材料</v>
      </c>
      <c r="EB87" s="14">
        <f>ROUND(INDEX(挂机升级突破!$G$7:$K$37,DK87+2,章节关卡!DP87)/INDEX(挂机升级突破!$G$5:$K$5,章节关卡!DP87)*INDEX(挂机升级突破!$G$4:$K$4,章节关卡!DP87)*章节关卡!DO87,0)</f>
        <v>8</v>
      </c>
      <c r="EC87" s="118" t="s">
        <v>1038</v>
      </c>
      <c r="ED87" s="14">
        <f t="shared" si="253"/>
        <v>45000</v>
      </c>
      <c r="EI87" s="166">
        <v>83</v>
      </c>
      <c r="EJ87" s="14">
        <f t="shared" si="282"/>
        <v>28</v>
      </c>
      <c r="EK87" s="166">
        <f t="shared" si="283"/>
        <v>150</v>
      </c>
      <c r="EL87" s="166">
        <f t="shared" si="254"/>
        <v>2</v>
      </c>
      <c r="EM87" s="166">
        <f t="shared" si="255"/>
        <v>360</v>
      </c>
      <c r="EN87" s="166">
        <f t="shared" si="256"/>
        <v>4500</v>
      </c>
      <c r="EO87" s="166">
        <v>10</v>
      </c>
      <c r="EP87" s="14">
        <f t="shared" si="257"/>
        <v>240</v>
      </c>
      <c r="EQ87" s="14">
        <f t="shared" si="284"/>
        <v>22282</v>
      </c>
      <c r="ER87" s="166">
        <v>1</v>
      </c>
      <c r="ES87" s="14">
        <f t="shared" si="285"/>
        <v>228</v>
      </c>
      <c r="ET87" s="166" t="s">
        <v>1034</v>
      </c>
      <c r="EU87" s="166">
        <v>2</v>
      </c>
      <c r="EV87" s="166"/>
      <c r="EW87" s="14">
        <f t="shared" ref="EW87" si="327">ES87*100+6</f>
        <v>22806</v>
      </c>
      <c r="EX87" s="166" t="s">
        <v>1397</v>
      </c>
      <c r="EY87" s="166">
        <v>30</v>
      </c>
      <c r="EZ87" s="14" t="str">
        <f>INDEX(挂机升级突破!$DT$4:$EC$4,EO87)</f>
        <v>灵玉</v>
      </c>
      <c r="FA87" s="14">
        <f>ROUND(INDEX(挂机升级突破!$G$7:$R$37,EJ87+3,EO87)/INDEX(挂机升级突破!$G$5:$R$5,章节关卡!EO87)*INDEX(挂机升级突破!$G$4:$R$4,章节关卡!EO87)*章节关卡!EN87,0)</f>
        <v>4</v>
      </c>
      <c r="FB87" s="166" t="s">
        <v>1399</v>
      </c>
      <c r="FC87" s="166">
        <f t="shared" si="259"/>
        <v>172800</v>
      </c>
    </row>
    <row r="88" spans="45:159" ht="16.5" x14ac:dyDescent="0.2">
      <c r="AS88" s="24">
        <v>84</v>
      </c>
      <c r="AT88" s="14">
        <f t="shared" si="260"/>
        <v>21</v>
      </c>
      <c r="AU88" s="109">
        <f t="shared" si="261"/>
        <v>4</v>
      </c>
      <c r="AV88" s="109">
        <f t="shared" si="262"/>
        <v>45</v>
      </c>
      <c r="AW88" s="109">
        <f t="shared" si="263"/>
        <v>138</v>
      </c>
      <c r="AX88" s="109">
        <f t="shared" si="264"/>
        <v>222</v>
      </c>
      <c r="BA88" s="109">
        <v>84</v>
      </c>
      <c r="BB88" s="14">
        <f t="shared" si="233"/>
        <v>9</v>
      </c>
      <c r="BC88" s="14">
        <f t="shared" si="265"/>
        <v>4</v>
      </c>
      <c r="BD88" s="14">
        <f t="shared" si="306"/>
        <v>320</v>
      </c>
      <c r="BE88" s="14">
        <f t="shared" si="234"/>
        <v>1500</v>
      </c>
      <c r="BF88" s="14">
        <f t="shared" si="235"/>
        <v>3600</v>
      </c>
      <c r="BG88" s="14">
        <f t="shared" si="266"/>
        <v>4.17</v>
      </c>
      <c r="BH88" s="14">
        <f t="shared" si="267"/>
        <v>11004</v>
      </c>
      <c r="BK88" s="109">
        <v>84</v>
      </c>
      <c r="BL88" s="14">
        <f t="shared" si="268"/>
        <v>9</v>
      </c>
      <c r="BM88" s="14">
        <f t="shared" si="269"/>
        <v>4</v>
      </c>
      <c r="BN88" s="14">
        <f t="shared" si="236"/>
        <v>1350</v>
      </c>
      <c r="BO88" s="14">
        <f t="shared" si="237"/>
        <v>3000</v>
      </c>
      <c r="BP88" s="14">
        <f t="shared" si="238"/>
        <v>7200</v>
      </c>
      <c r="BS88" s="109">
        <v>84</v>
      </c>
      <c r="BT88" s="109">
        <f t="shared" si="270"/>
        <v>28</v>
      </c>
      <c r="BU88" s="112">
        <f t="shared" si="271"/>
        <v>145</v>
      </c>
      <c r="BV88" s="109">
        <f t="shared" si="223"/>
        <v>3</v>
      </c>
      <c r="BW88" s="109">
        <v>360</v>
      </c>
      <c r="BX88" s="109">
        <v>540</v>
      </c>
      <c r="BY88" s="112">
        <v>5</v>
      </c>
      <c r="BZ88" s="14">
        <f t="shared" si="272"/>
        <v>11283</v>
      </c>
      <c r="CA88" s="118">
        <v>1</v>
      </c>
      <c r="CB88" s="14">
        <f t="shared" si="273"/>
        <v>128</v>
      </c>
      <c r="CC88" s="118" t="s">
        <v>1026</v>
      </c>
      <c r="CD88" s="14">
        <f t="shared" si="274"/>
        <v>3</v>
      </c>
      <c r="CE88" s="166" t="str">
        <f t="shared" si="275"/>
        <v>守护灵抽卡券3 2小时扫荡券1 金币75600</v>
      </c>
      <c r="CF88" s="14">
        <f t="shared" si="276"/>
        <v>30</v>
      </c>
      <c r="CG88" s="115" t="s">
        <v>258</v>
      </c>
      <c r="CH88" s="115">
        <v>3</v>
      </c>
      <c r="CI88" s="210" t="s">
        <v>1395</v>
      </c>
      <c r="CJ88" s="210">
        <v>1</v>
      </c>
      <c r="CK88" s="210" t="s">
        <v>252</v>
      </c>
      <c r="CL88" s="210">
        <f t="shared" si="325"/>
        <v>75600</v>
      </c>
      <c r="CO88" s="115">
        <f t="shared" si="240"/>
        <v>28</v>
      </c>
      <c r="CP88" s="115">
        <f t="shared" si="241"/>
        <v>155</v>
      </c>
      <c r="CQ88" s="118">
        <v>3</v>
      </c>
      <c r="CR88" s="115">
        <f t="shared" si="242"/>
        <v>540</v>
      </c>
      <c r="CS88" s="115">
        <f t="shared" si="243"/>
        <v>1080</v>
      </c>
      <c r="CT88" s="115">
        <v>10</v>
      </c>
      <c r="CU88" s="14">
        <f t="shared" si="244"/>
        <v>12283</v>
      </c>
      <c r="CV88" s="118">
        <v>2</v>
      </c>
      <c r="CW88" s="14">
        <f t="shared" si="245"/>
        <v>228</v>
      </c>
      <c r="CX88" s="118" t="s">
        <v>1026</v>
      </c>
      <c r="CY88" s="14">
        <f t="shared" si="246"/>
        <v>3</v>
      </c>
      <c r="CZ88" s="166" t="str">
        <f t="shared" si="277"/>
        <v>守护灵抽卡券5140级-攻击套寄灵人の鞋子1金币113400</v>
      </c>
      <c r="DA88" s="14">
        <f t="shared" si="278"/>
        <v>30</v>
      </c>
      <c r="DB88" s="115" t="s">
        <v>1004</v>
      </c>
      <c r="DC88" s="115">
        <v>5</v>
      </c>
      <c r="DD88" s="115" t="s">
        <v>1508</v>
      </c>
      <c r="DE88" s="115">
        <v>1</v>
      </c>
      <c r="DF88" s="115" t="s">
        <v>252</v>
      </c>
      <c r="DG88" s="115">
        <f t="shared" si="247"/>
        <v>113400</v>
      </c>
      <c r="DJ88" s="118">
        <v>84</v>
      </c>
      <c r="DK88" s="14">
        <f t="shared" si="279"/>
        <v>28</v>
      </c>
      <c r="DL88" s="118">
        <f t="shared" si="248"/>
        <v>145</v>
      </c>
      <c r="DM88" s="166">
        <f t="shared" si="249"/>
        <v>3</v>
      </c>
      <c r="DN88" s="166">
        <v>360</v>
      </c>
      <c r="DO88" s="166">
        <v>2700</v>
      </c>
      <c r="DP88" s="166">
        <v>5</v>
      </c>
      <c r="DQ88" s="118">
        <v>150</v>
      </c>
      <c r="DR88" s="118">
        <f t="shared" si="280"/>
        <v>21283</v>
      </c>
      <c r="DS88" s="118">
        <v>1</v>
      </c>
      <c r="DT88" s="14">
        <f t="shared" si="250"/>
        <v>128</v>
      </c>
      <c r="DU88" s="118" t="s">
        <v>1034</v>
      </c>
      <c r="DV88" s="118">
        <v>3</v>
      </c>
      <c r="DW88" s="166" t="str">
        <f t="shared" si="251"/>
        <v>红色基础材料11守护灵初级抽卡券5守护灵经验56250</v>
      </c>
      <c r="DX88" s="14">
        <f t="shared" ref="DX88" si="328">DT88*100+9</f>
        <v>12809</v>
      </c>
      <c r="DY88" s="118" t="s">
        <v>1037</v>
      </c>
      <c r="DZ88" s="118">
        <v>5</v>
      </c>
      <c r="EA88" s="14" t="str">
        <f>INDEX(挂机升级突破!$DT$4:$DX$4,DP88)</f>
        <v>红色基础材料</v>
      </c>
      <c r="EB88" s="14">
        <f>ROUND(INDEX(挂机升级突破!$G$7:$K$37,DK88+2,章节关卡!DP88)/INDEX(挂机升级突破!$G$5:$K$5,章节关卡!DP88)*INDEX(挂机升级突破!$G$4:$K$4,章节关卡!DP88)*章节关卡!DO88,0)</f>
        <v>11</v>
      </c>
      <c r="EC88" s="118" t="s">
        <v>1038</v>
      </c>
      <c r="ED88" s="14">
        <f t="shared" si="253"/>
        <v>56250</v>
      </c>
      <c r="EI88" s="166">
        <v>84</v>
      </c>
      <c r="EJ88" s="14">
        <f t="shared" si="282"/>
        <v>28</v>
      </c>
      <c r="EK88" s="166">
        <f t="shared" si="283"/>
        <v>150</v>
      </c>
      <c r="EL88" s="166">
        <f t="shared" si="254"/>
        <v>3</v>
      </c>
      <c r="EM88" s="166">
        <f t="shared" si="255"/>
        <v>540</v>
      </c>
      <c r="EN88" s="166">
        <f t="shared" si="256"/>
        <v>6750</v>
      </c>
      <c r="EO88" s="166">
        <v>10</v>
      </c>
      <c r="EP88" s="14">
        <f t="shared" si="257"/>
        <v>300</v>
      </c>
      <c r="EQ88" s="14">
        <f t="shared" si="284"/>
        <v>22283</v>
      </c>
      <c r="ER88" s="166">
        <v>1</v>
      </c>
      <c r="ES88" s="14">
        <f t="shared" si="285"/>
        <v>228</v>
      </c>
      <c r="ET88" s="166" t="s">
        <v>1034</v>
      </c>
      <c r="EU88" s="166">
        <v>3</v>
      </c>
      <c r="EV88" s="166"/>
      <c r="EW88" s="14">
        <f t="shared" ref="EW88" si="329">ES88*100+9</f>
        <v>22809</v>
      </c>
      <c r="EX88" s="166" t="s">
        <v>1397</v>
      </c>
      <c r="EY88" s="166">
        <v>50</v>
      </c>
      <c r="EZ88" s="14" t="str">
        <f>INDEX(挂机升级突破!$DT$4:$EC$4,EO88)</f>
        <v>灵玉</v>
      </c>
      <c r="FA88" s="14">
        <f>ROUND(INDEX(挂机升级突破!$G$7:$R$37,EJ88+3,EO88)/INDEX(挂机升级突破!$G$5:$R$5,章节关卡!EO88)*INDEX(挂机升级突破!$G$4:$R$4,章节关卡!EO88)*章节关卡!EN88,0)</f>
        <v>6</v>
      </c>
      <c r="FB88" s="166" t="s">
        <v>1399</v>
      </c>
      <c r="FC88" s="166">
        <f t="shared" si="259"/>
        <v>259200</v>
      </c>
    </row>
    <row r="89" spans="45:159" ht="16.5" x14ac:dyDescent="0.2">
      <c r="AS89" s="24">
        <v>85</v>
      </c>
      <c r="AT89" s="14">
        <f t="shared" si="260"/>
        <v>22</v>
      </c>
      <c r="AU89" s="109">
        <f t="shared" si="261"/>
        <v>1</v>
      </c>
      <c r="AV89" s="109">
        <f t="shared" si="262"/>
        <v>47</v>
      </c>
      <c r="AW89" s="109">
        <f t="shared" si="263"/>
        <v>142</v>
      </c>
      <c r="AX89" s="109">
        <f t="shared" si="264"/>
        <v>227</v>
      </c>
      <c r="BA89" s="109">
        <v>85</v>
      </c>
      <c r="BB89" s="14">
        <f t="shared" si="233"/>
        <v>9</v>
      </c>
      <c r="BC89" s="14">
        <f t="shared" si="265"/>
        <v>5</v>
      </c>
      <c r="BD89" s="14">
        <f t="shared" si="306"/>
        <v>320</v>
      </c>
      <c r="BE89" s="14">
        <f t="shared" si="234"/>
        <v>1500</v>
      </c>
      <c r="BF89" s="14">
        <f t="shared" si="235"/>
        <v>3600</v>
      </c>
      <c r="BG89" s="14">
        <f t="shared" si="266"/>
        <v>4.17</v>
      </c>
      <c r="BH89" s="14">
        <f t="shared" si="267"/>
        <v>11004</v>
      </c>
      <c r="BK89" s="109">
        <v>85</v>
      </c>
      <c r="BL89" s="14">
        <f t="shared" si="268"/>
        <v>9</v>
      </c>
      <c r="BM89" s="14">
        <f t="shared" si="269"/>
        <v>5</v>
      </c>
      <c r="BN89" s="14">
        <f t="shared" si="236"/>
        <v>1350</v>
      </c>
      <c r="BO89" s="14">
        <f t="shared" si="237"/>
        <v>3000</v>
      </c>
      <c r="BP89" s="14">
        <f t="shared" si="238"/>
        <v>7200</v>
      </c>
      <c r="BS89" s="109">
        <v>85</v>
      </c>
      <c r="BT89" s="109">
        <f t="shared" si="270"/>
        <v>29</v>
      </c>
      <c r="BU89" s="112">
        <f t="shared" si="271"/>
        <v>150</v>
      </c>
      <c r="BV89" s="109">
        <f t="shared" si="223"/>
        <v>1</v>
      </c>
      <c r="BW89" s="109">
        <v>120</v>
      </c>
      <c r="BX89" s="109">
        <v>180</v>
      </c>
      <c r="BY89" s="112">
        <v>5</v>
      </c>
      <c r="BZ89" s="14">
        <f t="shared" si="272"/>
        <v>11291</v>
      </c>
      <c r="CA89" s="118">
        <v>1</v>
      </c>
      <c r="CB89" s="14">
        <f t="shared" si="273"/>
        <v>129</v>
      </c>
      <c r="CC89" s="118" t="s">
        <v>1026</v>
      </c>
      <c r="CD89" s="14">
        <f t="shared" si="274"/>
        <v>1</v>
      </c>
      <c r="CE89" s="166" t="str">
        <f t="shared" si="275"/>
        <v xml:space="preserve">钻石100 金币26400 </v>
      </c>
      <c r="CF89" s="14">
        <f t="shared" si="276"/>
        <v>10</v>
      </c>
      <c r="CG89" s="115" t="s">
        <v>19</v>
      </c>
      <c r="CH89" s="115">
        <v>100</v>
      </c>
      <c r="CI89" s="210" t="s">
        <v>358</v>
      </c>
      <c r="CJ89" s="210">
        <f>INDEX($I$6:$I$35,BT89)*BW89</f>
        <v>26400</v>
      </c>
      <c r="CK89" s="210"/>
      <c r="CL89" s="210"/>
      <c r="CO89" s="115">
        <f t="shared" si="240"/>
        <v>29</v>
      </c>
      <c r="CP89" s="115">
        <f t="shared" si="241"/>
        <v>160</v>
      </c>
      <c r="CQ89" s="118">
        <v>1</v>
      </c>
      <c r="CR89" s="115">
        <f t="shared" si="242"/>
        <v>180</v>
      </c>
      <c r="CS89" s="115">
        <f t="shared" si="243"/>
        <v>360</v>
      </c>
      <c r="CT89" s="115">
        <v>10</v>
      </c>
      <c r="CU89" s="14">
        <f t="shared" si="244"/>
        <v>12291</v>
      </c>
      <c r="CV89" s="118">
        <v>2</v>
      </c>
      <c r="CW89" s="14">
        <f t="shared" si="245"/>
        <v>229</v>
      </c>
      <c r="CX89" s="118" t="s">
        <v>1026</v>
      </c>
      <c r="CY89" s="14">
        <f t="shared" si="246"/>
        <v>1</v>
      </c>
      <c r="CZ89" s="166" t="str">
        <f t="shared" si="277"/>
        <v>钻石100150级-防御套守护灵の头盔1金币39600</v>
      </c>
      <c r="DA89" s="14">
        <f t="shared" si="278"/>
        <v>10</v>
      </c>
      <c r="DB89" s="115" t="s">
        <v>257</v>
      </c>
      <c r="DC89" s="115">
        <v>100</v>
      </c>
      <c r="DD89" s="115" t="s">
        <v>1509</v>
      </c>
      <c r="DE89" s="115">
        <v>1</v>
      </c>
      <c r="DF89" s="115" t="s">
        <v>252</v>
      </c>
      <c r="DG89" s="115">
        <f t="shared" si="247"/>
        <v>39600</v>
      </c>
      <c r="DJ89" s="118">
        <v>85</v>
      </c>
      <c r="DK89" s="14">
        <f t="shared" si="279"/>
        <v>29</v>
      </c>
      <c r="DL89" s="118">
        <f t="shared" si="248"/>
        <v>150</v>
      </c>
      <c r="DM89" s="166">
        <f t="shared" si="249"/>
        <v>1</v>
      </c>
      <c r="DN89" s="166">
        <v>120</v>
      </c>
      <c r="DO89" s="166">
        <v>900</v>
      </c>
      <c r="DP89" s="166">
        <v>5</v>
      </c>
      <c r="DQ89" s="118">
        <v>90</v>
      </c>
      <c r="DR89" s="118">
        <f t="shared" si="280"/>
        <v>21291</v>
      </c>
      <c r="DS89" s="118">
        <v>1</v>
      </c>
      <c r="DT89" s="14">
        <f t="shared" si="250"/>
        <v>129</v>
      </c>
      <c r="DU89" s="118" t="s">
        <v>1034</v>
      </c>
      <c r="DV89" s="118">
        <v>1</v>
      </c>
      <c r="DW89" s="166" t="str">
        <f t="shared" si="251"/>
        <v>红色基础材料4守护灵初级抽卡券2守护灵经验36000</v>
      </c>
      <c r="DX89" s="14">
        <f t="shared" ref="DX89" si="330">DT89*100+3</f>
        <v>12903</v>
      </c>
      <c r="DY89" s="118" t="s">
        <v>1037</v>
      </c>
      <c r="DZ89" s="118">
        <v>2</v>
      </c>
      <c r="EA89" s="14" t="str">
        <f>INDEX(挂机升级突破!$DT$4:$DX$4,DP89)</f>
        <v>红色基础材料</v>
      </c>
      <c r="EB89" s="14">
        <f>EB86</f>
        <v>4</v>
      </c>
      <c r="EC89" s="118" t="s">
        <v>1038</v>
      </c>
      <c r="ED89" s="14">
        <f t="shared" si="253"/>
        <v>36000</v>
      </c>
      <c r="EI89" s="166">
        <v>85</v>
      </c>
      <c r="EJ89" s="14">
        <f t="shared" si="282"/>
        <v>29</v>
      </c>
      <c r="EK89" s="166">
        <f t="shared" si="283"/>
        <v>150</v>
      </c>
      <c r="EL89" s="166">
        <f t="shared" si="254"/>
        <v>1</v>
      </c>
      <c r="EM89" s="166">
        <f t="shared" si="255"/>
        <v>180</v>
      </c>
      <c r="EN89" s="166">
        <f t="shared" si="256"/>
        <v>2250</v>
      </c>
      <c r="EO89" s="166">
        <v>10</v>
      </c>
      <c r="EP89" s="14">
        <f t="shared" si="257"/>
        <v>180</v>
      </c>
      <c r="EQ89" s="14">
        <f t="shared" si="284"/>
        <v>22291</v>
      </c>
      <c r="ER89" s="166">
        <v>1</v>
      </c>
      <c r="ES89" s="14">
        <f t="shared" si="285"/>
        <v>229</v>
      </c>
      <c r="ET89" s="166" t="s">
        <v>1034</v>
      </c>
      <c r="EU89" s="166">
        <v>1</v>
      </c>
      <c r="EV89" s="166"/>
      <c r="EW89" s="14">
        <f t="shared" ref="EW89" si="331">ES89*100+3</f>
        <v>22903</v>
      </c>
      <c r="EX89" s="166" t="s">
        <v>1397</v>
      </c>
      <c r="EY89" s="166">
        <v>20</v>
      </c>
      <c r="EZ89" s="14" t="str">
        <f>INDEX(挂机升级突破!$DT$4:$EC$4,EO89)</f>
        <v>灵玉</v>
      </c>
      <c r="FA89" s="14">
        <f>FA86</f>
        <v>2</v>
      </c>
      <c r="FB89" s="166" t="s">
        <v>1399</v>
      </c>
      <c r="FC89" s="166">
        <f>FC86</f>
        <v>86400</v>
      </c>
    </row>
    <row r="90" spans="45:159" ht="16.5" x14ac:dyDescent="0.2">
      <c r="AS90" s="24">
        <v>86</v>
      </c>
      <c r="AT90" s="14">
        <f t="shared" si="260"/>
        <v>22</v>
      </c>
      <c r="AU90" s="109">
        <f t="shared" si="261"/>
        <v>2</v>
      </c>
      <c r="AV90" s="109">
        <f t="shared" si="262"/>
        <v>47</v>
      </c>
      <c r="AW90" s="109">
        <f t="shared" si="263"/>
        <v>144</v>
      </c>
      <c r="AX90" s="109">
        <f t="shared" si="264"/>
        <v>229</v>
      </c>
      <c r="BA90" s="109">
        <v>86</v>
      </c>
      <c r="BB90" s="14">
        <f t="shared" si="233"/>
        <v>9</v>
      </c>
      <c r="BC90" s="14">
        <f t="shared" si="265"/>
        <v>6</v>
      </c>
      <c r="BD90" s="14">
        <f t="shared" si="306"/>
        <v>320</v>
      </c>
      <c r="BE90" s="14">
        <f t="shared" si="234"/>
        <v>1500</v>
      </c>
      <c r="BF90" s="14">
        <f t="shared" si="235"/>
        <v>3600</v>
      </c>
      <c r="BG90" s="14">
        <f t="shared" si="266"/>
        <v>4.17</v>
      </c>
      <c r="BH90" s="14">
        <f t="shared" si="267"/>
        <v>11004</v>
      </c>
      <c r="BK90" s="109">
        <v>86</v>
      </c>
      <c r="BL90" s="14">
        <f t="shared" si="268"/>
        <v>9</v>
      </c>
      <c r="BM90" s="14">
        <f t="shared" si="269"/>
        <v>6</v>
      </c>
      <c r="BN90" s="14">
        <f t="shared" si="236"/>
        <v>1350</v>
      </c>
      <c r="BO90" s="14">
        <f t="shared" si="237"/>
        <v>3000</v>
      </c>
      <c r="BP90" s="14">
        <f t="shared" si="238"/>
        <v>7200</v>
      </c>
      <c r="BS90" s="109">
        <v>86</v>
      </c>
      <c r="BT90" s="109">
        <f t="shared" si="270"/>
        <v>29</v>
      </c>
      <c r="BU90" s="112">
        <f t="shared" si="271"/>
        <v>150</v>
      </c>
      <c r="BV90" s="109">
        <f t="shared" si="223"/>
        <v>2</v>
      </c>
      <c r="BW90" s="109">
        <v>240</v>
      </c>
      <c r="BX90" s="109">
        <v>360</v>
      </c>
      <c r="BY90" s="112">
        <v>5</v>
      </c>
      <c r="BZ90" s="14">
        <f t="shared" si="272"/>
        <v>11292</v>
      </c>
      <c r="CA90" s="118">
        <v>1</v>
      </c>
      <c r="CB90" s="14">
        <f t="shared" si="273"/>
        <v>129</v>
      </c>
      <c r="CC90" s="118" t="s">
        <v>1026</v>
      </c>
      <c r="CD90" s="14">
        <f t="shared" si="274"/>
        <v>2</v>
      </c>
      <c r="CE90" s="166" t="str">
        <f t="shared" si="275"/>
        <v>守护灵抽卡券2 2小时扫荡券1 金币52800</v>
      </c>
      <c r="CF90" s="14">
        <f t="shared" si="276"/>
        <v>20</v>
      </c>
      <c r="CG90" s="115" t="s">
        <v>258</v>
      </c>
      <c r="CH90" s="115">
        <v>2</v>
      </c>
      <c r="CI90" s="210" t="s">
        <v>1395</v>
      </c>
      <c r="CJ90" s="210">
        <v>1</v>
      </c>
      <c r="CK90" s="210" t="s">
        <v>252</v>
      </c>
      <c r="CL90" s="210">
        <f t="shared" ref="CL90:CL91" si="332">INDEX($I$6:$I$35,BT90)*BW90</f>
        <v>52800</v>
      </c>
      <c r="CO90" s="115">
        <f t="shared" si="240"/>
        <v>29</v>
      </c>
      <c r="CP90" s="115">
        <f t="shared" si="241"/>
        <v>160</v>
      </c>
      <c r="CQ90" s="118">
        <v>2</v>
      </c>
      <c r="CR90" s="115">
        <f t="shared" si="242"/>
        <v>360</v>
      </c>
      <c r="CS90" s="115">
        <f t="shared" si="243"/>
        <v>720</v>
      </c>
      <c r="CT90" s="115">
        <v>10</v>
      </c>
      <c r="CU90" s="14">
        <f t="shared" si="244"/>
        <v>12292</v>
      </c>
      <c r="CV90" s="118">
        <v>2</v>
      </c>
      <c r="CW90" s="14">
        <f t="shared" si="245"/>
        <v>229</v>
      </c>
      <c r="CX90" s="118" t="s">
        <v>1026</v>
      </c>
      <c r="CY90" s="14">
        <f t="shared" si="246"/>
        <v>2</v>
      </c>
      <c r="CZ90" s="166" t="str">
        <f t="shared" si="277"/>
        <v>熔炼值9000150级-防御套守护灵の铠甲1金币79200</v>
      </c>
      <c r="DA90" s="14">
        <f t="shared" si="278"/>
        <v>20</v>
      </c>
      <c r="DB90" s="115" t="s">
        <v>1005</v>
      </c>
      <c r="DC90" s="115">
        <v>9000</v>
      </c>
      <c r="DD90" s="115" t="s">
        <v>1510</v>
      </c>
      <c r="DE90" s="115">
        <v>1</v>
      </c>
      <c r="DF90" s="115" t="s">
        <v>252</v>
      </c>
      <c r="DG90" s="115">
        <f t="shared" si="247"/>
        <v>79200</v>
      </c>
      <c r="DJ90" s="118">
        <v>86</v>
      </c>
      <c r="DK90" s="14">
        <f t="shared" si="279"/>
        <v>29</v>
      </c>
      <c r="DL90" s="118">
        <f t="shared" si="248"/>
        <v>150</v>
      </c>
      <c r="DM90" s="166">
        <f t="shared" si="249"/>
        <v>2</v>
      </c>
      <c r="DN90" s="166">
        <v>240</v>
      </c>
      <c r="DO90" s="166">
        <v>1800</v>
      </c>
      <c r="DP90" s="166">
        <v>5</v>
      </c>
      <c r="DQ90" s="118">
        <v>120</v>
      </c>
      <c r="DR90" s="118">
        <f t="shared" si="280"/>
        <v>21292</v>
      </c>
      <c r="DS90" s="118">
        <v>1</v>
      </c>
      <c r="DT90" s="14">
        <f t="shared" si="250"/>
        <v>129</v>
      </c>
      <c r="DU90" s="118" t="s">
        <v>1034</v>
      </c>
      <c r="DV90" s="118">
        <v>2</v>
      </c>
      <c r="DW90" s="166" t="str">
        <f t="shared" si="251"/>
        <v>红色基础材料8守护灵初级抽卡券3守护灵经验48000</v>
      </c>
      <c r="DX90" s="14">
        <f t="shared" ref="DX90" si="333">DT90*100+6</f>
        <v>12906</v>
      </c>
      <c r="DY90" s="118" t="s">
        <v>1037</v>
      </c>
      <c r="DZ90" s="118">
        <v>3</v>
      </c>
      <c r="EA90" s="14" t="str">
        <f>INDEX(挂机升级突破!$DT$4:$DX$4,DP90)</f>
        <v>红色基础材料</v>
      </c>
      <c r="EB90" s="14">
        <f t="shared" ref="EB90:EB94" si="334">EB87</f>
        <v>8</v>
      </c>
      <c r="EC90" s="118" t="s">
        <v>1038</v>
      </c>
      <c r="ED90" s="14">
        <f t="shared" si="253"/>
        <v>48000</v>
      </c>
      <c r="EI90" s="166">
        <v>86</v>
      </c>
      <c r="EJ90" s="14">
        <f t="shared" si="282"/>
        <v>29</v>
      </c>
      <c r="EK90" s="166">
        <f t="shared" si="283"/>
        <v>150</v>
      </c>
      <c r="EL90" s="166">
        <f t="shared" si="254"/>
        <v>2</v>
      </c>
      <c r="EM90" s="166">
        <f t="shared" si="255"/>
        <v>360</v>
      </c>
      <c r="EN90" s="166">
        <f t="shared" si="256"/>
        <v>4500</v>
      </c>
      <c r="EO90" s="166">
        <v>10</v>
      </c>
      <c r="EP90" s="14">
        <f t="shared" si="257"/>
        <v>240</v>
      </c>
      <c r="EQ90" s="14">
        <f t="shared" si="284"/>
        <v>22292</v>
      </c>
      <c r="ER90" s="166">
        <v>1</v>
      </c>
      <c r="ES90" s="14">
        <f t="shared" si="285"/>
        <v>229</v>
      </c>
      <c r="ET90" s="166" t="s">
        <v>1034</v>
      </c>
      <c r="EU90" s="166">
        <v>2</v>
      </c>
      <c r="EV90" s="166"/>
      <c r="EW90" s="14">
        <f t="shared" ref="EW90" si="335">ES90*100+6</f>
        <v>22906</v>
      </c>
      <c r="EX90" s="166" t="s">
        <v>1397</v>
      </c>
      <c r="EY90" s="166">
        <v>30</v>
      </c>
      <c r="EZ90" s="14" t="str">
        <f>INDEX(挂机升级突破!$DT$4:$EC$4,EO90)</f>
        <v>灵玉</v>
      </c>
      <c r="FA90" s="14">
        <f t="shared" ref="FA90:FA94" si="336">FA87</f>
        <v>4</v>
      </c>
      <c r="FB90" s="166" t="s">
        <v>1399</v>
      </c>
      <c r="FC90" s="166">
        <f t="shared" ref="FC90:FC94" si="337">FC87</f>
        <v>172800</v>
      </c>
    </row>
    <row r="91" spans="45:159" ht="16.5" x14ac:dyDescent="0.2">
      <c r="AS91" s="24">
        <v>87</v>
      </c>
      <c r="AT91" s="14">
        <f t="shared" si="260"/>
        <v>22</v>
      </c>
      <c r="AU91" s="109">
        <f t="shared" si="261"/>
        <v>3</v>
      </c>
      <c r="AV91" s="109">
        <f t="shared" si="262"/>
        <v>47</v>
      </c>
      <c r="AW91" s="109">
        <f t="shared" si="263"/>
        <v>146</v>
      </c>
      <c r="AX91" s="109">
        <f t="shared" si="264"/>
        <v>231</v>
      </c>
      <c r="BA91" s="109">
        <v>87</v>
      </c>
      <c r="BB91" s="14">
        <f t="shared" si="233"/>
        <v>9</v>
      </c>
      <c r="BC91" s="14">
        <f t="shared" si="265"/>
        <v>7</v>
      </c>
      <c r="BD91" s="14">
        <f t="shared" si="306"/>
        <v>320</v>
      </c>
      <c r="BE91" s="14">
        <f t="shared" si="234"/>
        <v>1500</v>
      </c>
      <c r="BF91" s="14">
        <f t="shared" si="235"/>
        <v>3600</v>
      </c>
      <c r="BG91" s="14">
        <f t="shared" si="266"/>
        <v>4.17</v>
      </c>
      <c r="BH91" s="14">
        <f t="shared" si="267"/>
        <v>11004</v>
      </c>
      <c r="BK91" s="109">
        <v>87</v>
      </c>
      <c r="BL91" s="14">
        <f t="shared" si="268"/>
        <v>9</v>
      </c>
      <c r="BM91" s="14">
        <f t="shared" si="269"/>
        <v>7</v>
      </c>
      <c r="BN91" s="14">
        <f t="shared" si="236"/>
        <v>1350</v>
      </c>
      <c r="BO91" s="14">
        <f t="shared" si="237"/>
        <v>3000</v>
      </c>
      <c r="BP91" s="14">
        <f t="shared" si="238"/>
        <v>7200</v>
      </c>
      <c r="BS91" s="109">
        <v>87</v>
      </c>
      <c r="BT91" s="109">
        <f t="shared" si="270"/>
        <v>29</v>
      </c>
      <c r="BU91" s="112">
        <f t="shared" si="271"/>
        <v>150</v>
      </c>
      <c r="BV91" s="109">
        <f t="shared" si="223"/>
        <v>3</v>
      </c>
      <c r="BW91" s="109">
        <v>360</v>
      </c>
      <c r="BX91" s="109">
        <v>540</v>
      </c>
      <c r="BY91" s="112">
        <v>5</v>
      </c>
      <c r="BZ91" s="14">
        <f t="shared" si="272"/>
        <v>11293</v>
      </c>
      <c r="CA91" s="118">
        <v>1</v>
      </c>
      <c r="CB91" s="14">
        <f t="shared" si="273"/>
        <v>129</v>
      </c>
      <c r="CC91" s="118" t="s">
        <v>1026</v>
      </c>
      <c r="CD91" s="14">
        <f t="shared" si="274"/>
        <v>3</v>
      </c>
      <c r="CE91" s="166" t="str">
        <f t="shared" si="275"/>
        <v>守护灵抽卡券3 2小时扫荡券1 金币79200</v>
      </c>
      <c r="CF91" s="14">
        <f t="shared" si="276"/>
        <v>30</v>
      </c>
      <c r="CG91" s="115" t="s">
        <v>258</v>
      </c>
      <c r="CH91" s="115">
        <v>3</v>
      </c>
      <c r="CI91" s="210" t="s">
        <v>1395</v>
      </c>
      <c r="CJ91" s="210">
        <v>1</v>
      </c>
      <c r="CK91" s="210" t="s">
        <v>252</v>
      </c>
      <c r="CL91" s="210">
        <f t="shared" si="332"/>
        <v>79200</v>
      </c>
      <c r="CO91" s="115">
        <f t="shared" si="240"/>
        <v>29</v>
      </c>
      <c r="CP91" s="115">
        <f t="shared" si="241"/>
        <v>160</v>
      </c>
      <c r="CQ91" s="118">
        <v>3</v>
      </c>
      <c r="CR91" s="115">
        <f t="shared" si="242"/>
        <v>540</v>
      </c>
      <c r="CS91" s="115">
        <f t="shared" si="243"/>
        <v>1080</v>
      </c>
      <c r="CT91" s="115">
        <v>10</v>
      </c>
      <c r="CU91" s="14">
        <f t="shared" si="244"/>
        <v>12293</v>
      </c>
      <c r="CV91" s="118">
        <v>2</v>
      </c>
      <c r="CW91" s="14">
        <f t="shared" si="245"/>
        <v>229</v>
      </c>
      <c r="CX91" s="118" t="s">
        <v>1026</v>
      </c>
      <c r="CY91" s="14">
        <f t="shared" si="246"/>
        <v>3</v>
      </c>
      <c r="CZ91" s="166" t="str">
        <f t="shared" si="277"/>
        <v>守护灵抽卡券5150级-防御套守护灵の裤子1金币118800</v>
      </c>
      <c r="DA91" s="14">
        <f t="shared" si="278"/>
        <v>30</v>
      </c>
      <c r="DB91" s="115" t="s">
        <v>1004</v>
      </c>
      <c r="DC91" s="115">
        <v>5</v>
      </c>
      <c r="DD91" s="115" t="s">
        <v>1511</v>
      </c>
      <c r="DE91" s="115">
        <v>1</v>
      </c>
      <c r="DF91" s="115" t="s">
        <v>252</v>
      </c>
      <c r="DG91" s="115">
        <f t="shared" si="247"/>
        <v>118800</v>
      </c>
      <c r="DJ91" s="118">
        <v>87</v>
      </c>
      <c r="DK91" s="14">
        <f t="shared" si="279"/>
        <v>29</v>
      </c>
      <c r="DL91" s="118">
        <f t="shared" si="248"/>
        <v>150</v>
      </c>
      <c r="DM91" s="166">
        <f t="shared" si="249"/>
        <v>3</v>
      </c>
      <c r="DN91" s="166">
        <v>360</v>
      </c>
      <c r="DO91" s="166">
        <v>2700</v>
      </c>
      <c r="DP91" s="166">
        <v>5</v>
      </c>
      <c r="DQ91" s="118">
        <v>150</v>
      </c>
      <c r="DR91" s="118">
        <f t="shared" si="280"/>
        <v>21293</v>
      </c>
      <c r="DS91" s="118">
        <v>1</v>
      </c>
      <c r="DT91" s="14">
        <f t="shared" si="250"/>
        <v>129</v>
      </c>
      <c r="DU91" s="118" t="s">
        <v>1034</v>
      </c>
      <c r="DV91" s="118">
        <v>3</v>
      </c>
      <c r="DW91" s="166" t="str">
        <f t="shared" si="251"/>
        <v>红色基础材料11守护灵初级抽卡券5守护灵经验60000</v>
      </c>
      <c r="DX91" s="14">
        <f t="shared" ref="DX91" si="338">DT91*100+9</f>
        <v>12909</v>
      </c>
      <c r="DY91" s="118" t="s">
        <v>1037</v>
      </c>
      <c r="DZ91" s="118">
        <v>5</v>
      </c>
      <c r="EA91" s="14" t="str">
        <f>INDEX(挂机升级突破!$DT$4:$DX$4,DP91)</f>
        <v>红色基础材料</v>
      </c>
      <c r="EB91" s="14">
        <f t="shared" si="334"/>
        <v>11</v>
      </c>
      <c r="EC91" s="118" t="s">
        <v>1038</v>
      </c>
      <c r="ED91" s="14">
        <f t="shared" si="253"/>
        <v>60000</v>
      </c>
      <c r="EI91" s="166">
        <v>87</v>
      </c>
      <c r="EJ91" s="14">
        <f t="shared" si="282"/>
        <v>29</v>
      </c>
      <c r="EK91" s="166">
        <f t="shared" si="283"/>
        <v>150</v>
      </c>
      <c r="EL91" s="166">
        <f t="shared" si="254"/>
        <v>3</v>
      </c>
      <c r="EM91" s="166">
        <f t="shared" si="255"/>
        <v>540</v>
      </c>
      <c r="EN91" s="166">
        <f t="shared" si="256"/>
        <v>6750</v>
      </c>
      <c r="EO91" s="166">
        <v>10</v>
      </c>
      <c r="EP91" s="14">
        <f t="shared" si="257"/>
        <v>300</v>
      </c>
      <c r="EQ91" s="14">
        <f t="shared" si="284"/>
        <v>22293</v>
      </c>
      <c r="ER91" s="166">
        <v>1</v>
      </c>
      <c r="ES91" s="14">
        <f t="shared" si="285"/>
        <v>229</v>
      </c>
      <c r="ET91" s="166" t="s">
        <v>1034</v>
      </c>
      <c r="EU91" s="166">
        <v>3</v>
      </c>
      <c r="EV91" s="166"/>
      <c r="EW91" s="14">
        <f t="shared" ref="EW91" si="339">ES91*100+9</f>
        <v>22909</v>
      </c>
      <c r="EX91" s="166" t="s">
        <v>1397</v>
      </c>
      <c r="EY91" s="166">
        <v>50</v>
      </c>
      <c r="EZ91" s="14" t="str">
        <f>INDEX(挂机升级突破!$DT$4:$EC$4,EO91)</f>
        <v>灵玉</v>
      </c>
      <c r="FA91" s="14">
        <f t="shared" si="336"/>
        <v>6</v>
      </c>
      <c r="FB91" s="166" t="s">
        <v>1399</v>
      </c>
      <c r="FC91" s="166">
        <f t="shared" si="337"/>
        <v>259200</v>
      </c>
    </row>
    <row r="92" spans="45:159" ht="16.5" x14ac:dyDescent="0.2">
      <c r="AS92" s="24">
        <v>88</v>
      </c>
      <c r="AT92" s="14">
        <f t="shared" si="260"/>
        <v>22</v>
      </c>
      <c r="AU92" s="109">
        <f t="shared" si="261"/>
        <v>4</v>
      </c>
      <c r="AV92" s="109">
        <f t="shared" si="262"/>
        <v>47</v>
      </c>
      <c r="AW92" s="109">
        <f t="shared" si="263"/>
        <v>148</v>
      </c>
      <c r="AX92" s="109">
        <f t="shared" si="264"/>
        <v>233</v>
      </c>
      <c r="BA92" s="109">
        <v>88</v>
      </c>
      <c r="BB92" s="14">
        <f t="shared" si="233"/>
        <v>9</v>
      </c>
      <c r="BC92" s="14">
        <f t="shared" si="265"/>
        <v>8</v>
      </c>
      <c r="BD92" s="14">
        <f t="shared" si="306"/>
        <v>320</v>
      </c>
      <c r="BE92" s="14">
        <f t="shared" si="234"/>
        <v>1500</v>
      </c>
      <c r="BF92" s="14">
        <f t="shared" si="235"/>
        <v>3600</v>
      </c>
      <c r="BG92" s="14">
        <f t="shared" si="266"/>
        <v>4.17</v>
      </c>
      <c r="BH92" s="14">
        <f t="shared" si="267"/>
        <v>11004</v>
      </c>
      <c r="BK92" s="109">
        <v>88</v>
      </c>
      <c r="BL92" s="14">
        <f t="shared" si="268"/>
        <v>9</v>
      </c>
      <c r="BM92" s="14">
        <f t="shared" si="269"/>
        <v>8</v>
      </c>
      <c r="BN92" s="14">
        <f t="shared" si="236"/>
        <v>1350</v>
      </c>
      <c r="BO92" s="14">
        <f t="shared" si="237"/>
        <v>3000</v>
      </c>
      <c r="BP92" s="14">
        <f t="shared" si="238"/>
        <v>7200</v>
      </c>
      <c r="BS92" s="109">
        <v>88</v>
      </c>
      <c r="BT92" s="109">
        <f t="shared" si="270"/>
        <v>30</v>
      </c>
      <c r="BU92" s="112">
        <f t="shared" si="271"/>
        <v>150</v>
      </c>
      <c r="BV92" s="109">
        <f t="shared" si="223"/>
        <v>1</v>
      </c>
      <c r="BW92" s="109">
        <v>120</v>
      </c>
      <c r="BX92" s="109">
        <v>180</v>
      </c>
      <c r="BY92" s="112">
        <v>5</v>
      </c>
      <c r="BZ92" s="14">
        <f t="shared" si="272"/>
        <v>11301</v>
      </c>
      <c r="CA92" s="118">
        <v>1</v>
      </c>
      <c r="CB92" s="14">
        <f t="shared" si="273"/>
        <v>130</v>
      </c>
      <c r="CC92" s="118" t="s">
        <v>1026</v>
      </c>
      <c r="CD92" s="14">
        <f t="shared" si="274"/>
        <v>1</v>
      </c>
      <c r="CE92" s="166" t="str">
        <f t="shared" si="275"/>
        <v xml:space="preserve">钻石100 金币26400 </v>
      </c>
      <c r="CF92" s="14">
        <f t="shared" si="276"/>
        <v>10</v>
      </c>
      <c r="CG92" s="115" t="s">
        <v>19</v>
      </c>
      <c r="CH92" s="115">
        <v>100</v>
      </c>
      <c r="CI92" s="210" t="s">
        <v>358</v>
      </c>
      <c r="CJ92" s="210">
        <f>INDEX($I$6:$I$35,BT92)*BW92</f>
        <v>26400</v>
      </c>
      <c r="CK92" s="210"/>
      <c r="CL92" s="210"/>
      <c r="CO92" s="115">
        <f t="shared" si="240"/>
        <v>30</v>
      </c>
      <c r="CP92" s="115">
        <f t="shared" si="241"/>
        <v>160</v>
      </c>
      <c r="CQ92" s="118">
        <v>1</v>
      </c>
      <c r="CR92" s="115">
        <f t="shared" si="242"/>
        <v>180</v>
      </c>
      <c r="CS92" s="115">
        <f t="shared" si="243"/>
        <v>360</v>
      </c>
      <c r="CT92" s="115">
        <v>10</v>
      </c>
      <c r="CU92" s="14">
        <f t="shared" si="244"/>
        <v>12301</v>
      </c>
      <c r="CV92" s="118">
        <v>2</v>
      </c>
      <c r="CW92" s="14">
        <f t="shared" si="245"/>
        <v>230</v>
      </c>
      <c r="CX92" s="118" t="s">
        <v>1026</v>
      </c>
      <c r="CY92" s="14">
        <f t="shared" si="246"/>
        <v>1</v>
      </c>
      <c r="CZ92" s="166" t="str">
        <f t="shared" si="277"/>
        <v>钻石100150级-防御套寄灵人の头盔1金币39600</v>
      </c>
      <c r="DA92" s="14">
        <f t="shared" si="278"/>
        <v>10</v>
      </c>
      <c r="DB92" s="115" t="s">
        <v>257</v>
      </c>
      <c r="DC92" s="115">
        <v>100</v>
      </c>
      <c r="DD92" s="115" t="s">
        <v>1512</v>
      </c>
      <c r="DE92" s="115">
        <v>1</v>
      </c>
      <c r="DF92" s="115" t="s">
        <v>252</v>
      </c>
      <c r="DG92" s="115">
        <f t="shared" si="247"/>
        <v>39600</v>
      </c>
      <c r="DJ92" s="118">
        <v>88</v>
      </c>
      <c r="DK92" s="14">
        <f t="shared" si="279"/>
        <v>30</v>
      </c>
      <c r="DL92" s="118">
        <f t="shared" si="248"/>
        <v>150</v>
      </c>
      <c r="DM92" s="166">
        <f t="shared" si="249"/>
        <v>1</v>
      </c>
      <c r="DN92" s="166">
        <v>120</v>
      </c>
      <c r="DO92" s="166">
        <v>900</v>
      </c>
      <c r="DP92" s="166">
        <v>5</v>
      </c>
      <c r="DQ92" s="118">
        <v>90</v>
      </c>
      <c r="DR92" s="118">
        <f t="shared" si="280"/>
        <v>21301</v>
      </c>
      <c r="DS92" s="118">
        <v>1</v>
      </c>
      <c r="DT92" s="14">
        <f t="shared" si="250"/>
        <v>130</v>
      </c>
      <c r="DU92" s="118" t="s">
        <v>1034</v>
      </c>
      <c r="DV92" s="118">
        <v>1</v>
      </c>
      <c r="DW92" s="166" t="str">
        <f t="shared" si="251"/>
        <v>红色基础材料4守护灵初级抽卡券2守护灵经验43200</v>
      </c>
      <c r="DX92" s="14">
        <f t="shared" ref="DX92" si="340">DT92*100+3</f>
        <v>13003</v>
      </c>
      <c r="DY92" s="118" t="s">
        <v>1037</v>
      </c>
      <c r="DZ92" s="118">
        <v>2</v>
      </c>
      <c r="EA92" s="14" t="str">
        <f>INDEX(挂机升级突破!$DT$4:$DX$4,DP92)</f>
        <v>红色基础材料</v>
      </c>
      <c r="EB92" s="14">
        <f t="shared" si="334"/>
        <v>4</v>
      </c>
      <c r="EC92" s="118" t="s">
        <v>1038</v>
      </c>
      <c r="ED92" s="14">
        <f t="shared" si="253"/>
        <v>43200</v>
      </c>
      <c r="EI92" s="166">
        <v>88</v>
      </c>
      <c r="EJ92" s="14">
        <f t="shared" si="282"/>
        <v>30</v>
      </c>
      <c r="EK92" s="166">
        <v>150</v>
      </c>
      <c r="EL92" s="166">
        <f t="shared" si="254"/>
        <v>1</v>
      </c>
      <c r="EM92" s="166">
        <f t="shared" si="255"/>
        <v>180</v>
      </c>
      <c r="EN92" s="166">
        <f t="shared" si="256"/>
        <v>2250</v>
      </c>
      <c r="EO92" s="166">
        <v>10</v>
      </c>
      <c r="EP92" s="14">
        <f t="shared" si="257"/>
        <v>180</v>
      </c>
      <c r="EQ92" s="14">
        <f t="shared" si="284"/>
        <v>22301</v>
      </c>
      <c r="ER92" s="166">
        <v>1</v>
      </c>
      <c r="ES92" s="14">
        <f t="shared" si="285"/>
        <v>230</v>
      </c>
      <c r="ET92" s="166" t="s">
        <v>1034</v>
      </c>
      <c r="EU92" s="166">
        <v>1</v>
      </c>
      <c r="EV92" s="166"/>
      <c r="EW92" s="14">
        <f t="shared" ref="EW92" si="341">ES92*100+3</f>
        <v>23003</v>
      </c>
      <c r="EX92" s="166" t="s">
        <v>1397</v>
      </c>
      <c r="EY92" s="166">
        <v>20</v>
      </c>
      <c r="EZ92" s="14" t="str">
        <f>INDEX(挂机升级突破!$DT$4:$EC$4,EO92)</f>
        <v>灵玉</v>
      </c>
      <c r="FA92" s="14">
        <f t="shared" si="336"/>
        <v>2</v>
      </c>
      <c r="FB92" s="166" t="s">
        <v>1399</v>
      </c>
      <c r="FC92" s="166">
        <f t="shared" si="337"/>
        <v>86400</v>
      </c>
    </row>
    <row r="93" spans="45:159" ht="16.5" x14ac:dyDescent="0.2">
      <c r="AS93" s="24">
        <v>89</v>
      </c>
      <c r="AT93" s="14">
        <f t="shared" si="260"/>
        <v>23</v>
      </c>
      <c r="AU93" s="109">
        <f t="shared" si="261"/>
        <v>1</v>
      </c>
      <c r="AV93" s="109">
        <f t="shared" si="262"/>
        <v>50</v>
      </c>
      <c r="AW93" s="109">
        <f t="shared" si="263"/>
        <v>152</v>
      </c>
      <c r="AX93" s="109">
        <f t="shared" si="264"/>
        <v>238</v>
      </c>
      <c r="BA93" s="109">
        <v>89</v>
      </c>
      <c r="BB93" s="14">
        <f t="shared" si="233"/>
        <v>9</v>
      </c>
      <c r="BC93" s="14">
        <f t="shared" si="265"/>
        <v>9</v>
      </c>
      <c r="BD93" s="14">
        <f t="shared" si="306"/>
        <v>320</v>
      </c>
      <c r="BE93" s="14">
        <f t="shared" si="234"/>
        <v>1500</v>
      </c>
      <c r="BF93" s="14">
        <f t="shared" si="235"/>
        <v>3600</v>
      </c>
      <c r="BG93" s="14">
        <f t="shared" si="266"/>
        <v>4.17</v>
      </c>
      <c r="BH93" s="14">
        <f t="shared" si="267"/>
        <v>11004</v>
      </c>
      <c r="BK93" s="109">
        <v>89</v>
      </c>
      <c r="BL93" s="14">
        <f t="shared" si="268"/>
        <v>9</v>
      </c>
      <c r="BM93" s="14">
        <f t="shared" si="269"/>
        <v>9</v>
      </c>
      <c r="BN93" s="14">
        <f t="shared" si="236"/>
        <v>1350</v>
      </c>
      <c r="BO93" s="14">
        <f t="shared" si="237"/>
        <v>3000</v>
      </c>
      <c r="BP93" s="14">
        <f t="shared" si="238"/>
        <v>7200</v>
      </c>
      <c r="BS93" s="109">
        <v>89</v>
      </c>
      <c r="BT93" s="109">
        <f t="shared" si="270"/>
        <v>30</v>
      </c>
      <c r="BU93" s="112">
        <f t="shared" si="271"/>
        <v>150</v>
      </c>
      <c r="BV93" s="109">
        <f t="shared" si="223"/>
        <v>2</v>
      </c>
      <c r="BW93" s="109">
        <v>240</v>
      </c>
      <c r="BX93" s="109">
        <v>360</v>
      </c>
      <c r="BY93" s="112">
        <v>5</v>
      </c>
      <c r="BZ93" s="14">
        <f t="shared" si="272"/>
        <v>11302</v>
      </c>
      <c r="CA93" s="118">
        <v>1</v>
      </c>
      <c r="CB93" s="14">
        <f t="shared" si="273"/>
        <v>130</v>
      </c>
      <c r="CC93" s="118" t="s">
        <v>1026</v>
      </c>
      <c r="CD93" s="14">
        <f t="shared" si="274"/>
        <v>2</v>
      </c>
      <c r="CE93" s="166" t="str">
        <f t="shared" si="275"/>
        <v>守护灵抽卡券2 2小时扫荡券1 金币52800</v>
      </c>
      <c r="CF93" s="14">
        <f t="shared" si="276"/>
        <v>20</v>
      </c>
      <c r="CG93" s="115" t="s">
        <v>258</v>
      </c>
      <c r="CH93" s="115">
        <v>2</v>
      </c>
      <c r="CI93" s="210" t="s">
        <v>1395</v>
      </c>
      <c r="CJ93" s="210">
        <v>1</v>
      </c>
      <c r="CK93" s="210" t="s">
        <v>252</v>
      </c>
      <c r="CL93" s="210">
        <f t="shared" ref="CL93:CL94" si="342">INDEX($I$6:$I$35,BT93)*BW93</f>
        <v>52800</v>
      </c>
      <c r="CO93" s="115">
        <f t="shared" si="240"/>
        <v>30</v>
      </c>
      <c r="CP93" s="115">
        <f t="shared" si="241"/>
        <v>160</v>
      </c>
      <c r="CQ93" s="118">
        <v>2</v>
      </c>
      <c r="CR93" s="115">
        <f t="shared" si="242"/>
        <v>360</v>
      </c>
      <c r="CS93" s="115">
        <f t="shared" si="243"/>
        <v>720</v>
      </c>
      <c r="CT93" s="115">
        <v>10</v>
      </c>
      <c r="CU93" s="14">
        <f t="shared" si="244"/>
        <v>12302</v>
      </c>
      <c r="CV93" s="118">
        <v>2</v>
      </c>
      <c r="CW93" s="14">
        <f t="shared" si="245"/>
        <v>230</v>
      </c>
      <c r="CX93" s="118" t="s">
        <v>1026</v>
      </c>
      <c r="CY93" s="14">
        <f t="shared" si="246"/>
        <v>2</v>
      </c>
      <c r="CZ93" s="166" t="str">
        <f t="shared" si="277"/>
        <v>熔炼值1000150级-防御套寄灵人の铠甲1金币79200</v>
      </c>
      <c r="DA93" s="14">
        <f t="shared" si="278"/>
        <v>20</v>
      </c>
      <c r="DB93" s="115" t="s">
        <v>1005</v>
      </c>
      <c r="DC93" s="115">
        <v>1000</v>
      </c>
      <c r="DD93" s="115" t="s">
        <v>1513</v>
      </c>
      <c r="DE93" s="115">
        <v>1</v>
      </c>
      <c r="DF93" s="115" t="s">
        <v>252</v>
      </c>
      <c r="DG93" s="115">
        <f t="shared" si="247"/>
        <v>79200</v>
      </c>
      <c r="DJ93" s="118">
        <v>89</v>
      </c>
      <c r="DK93" s="14">
        <f t="shared" si="279"/>
        <v>30</v>
      </c>
      <c r="DL93" s="118">
        <f t="shared" si="248"/>
        <v>150</v>
      </c>
      <c r="DM93" s="166">
        <f t="shared" si="249"/>
        <v>2</v>
      </c>
      <c r="DN93" s="166">
        <v>240</v>
      </c>
      <c r="DO93" s="166">
        <v>1800</v>
      </c>
      <c r="DP93" s="166">
        <v>5</v>
      </c>
      <c r="DQ93" s="118">
        <v>120</v>
      </c>
      <c r="DR93" s="118">
        <f t="shared" si="280"/>
        <v>21302</v>
      </c>
      <c r="DS93" s="118">
        <v>1</v>
      </c>
      <c r="DT93" s="14">
        <f t="shared" si="250"/>
        <v>130</v>
      </c>
      <c r="DU93" s="118" t="s">
        <v>1034</v>
      </c>
      <c r="DV93" s="118">
        <v>2</v>
      </c>
      <c r="DW93" s="166" t="str">
        <f t="shared" si="251"/>
        <v>红色基础材料8守护灵初级抽卡券3守护灵经验57600</v>
      </c>
      <c r="DX93" s="14">
        <f t="shared" ref="DX93" si="343">DT93*100+6</f>
        <v>13006</v>
      </c>
      <c r="DY93" s="118" t="s">
        <v>1037</v>
      </c>
      <c r="DZ93" s="118">
        <v>3</v>
      </c>
      <c r="EA93" s="14" t="str">
        <f>INDEX(挂机升级突破!$DT$4:$DX$4,DP93)</f>
        <v>红色基础材料</v>
      </c>
      <c r="EB93" s="14">
        <f t="shared" si="334"/>
        <v>8</v>
      </c>
      <c r="EC93" s="118" t="s">
        <v>1038</v>
      </c>
      <c r="ED93" s="14">
        <f t="shared" si="253"/>
        <v>57600</v>
      </c>
      <c r="EI93" s="166">
        <v>89</v>
      </c>
      <c r="EJ93" s="14">
        <f t="shared" si="282"/>
        <v>30</v>
      </c>
      <c r="EK93" s="166">
        <v>150</v>
      </c>
      <c r="EL93" s="166">
        <f t="shared" si="254"/>
        <v>2</v>
      </c>
      <c r="EM93" s="166">
        <f t="shared" si="255"/>
        <v>360</v>
      </c>
      <c r="EN93" s="166">
        <f t="shared" si="256"/>
        <v>4500</v>
      </c>
      <c r="EO93" s="166">
        <v>10</v>
      </c>
      <c r="EP93" s="14">
        <f t="shared" si="257"/>
        <v>240</v>
      </c>
      <c r="EQ93" s="14">
        <f t="shared" si="284"/>
        <v>22302</v>
      </c>
      <c r="ER93" s="166">
        <v>1</v>
      </c>
      <c r="ES93" s="14">
        <f t="shared" si="285"/>
        <v>230</v>
      </c>
      <c r="ET93" s="166" t="s">
        <v>1034</v>
      </c>
      <c r="EU93" s="166">
        <v>2</v>
      </c>
      <c r="EV93" s="166"/>
      <c r="EW93" s="14">
        <f t="shared" ref="EW93" si="344">ES93*100+6</f>
        <v>23006</v>
      </c>
      <c r="EX93" s="166" t="s">
        <v>1397</v>
      </c>
      <c r="EY93" s="166">
        <v>30</v>
      </c>
      <c r="EZ93" s="14" t="str">
        <f>INDEX(挂机升级突破!$DT$4:$EC$4,EO93)</f>
        <v>灵玉</v>
      </c>
      <c r="FA93" s="14">
        <f t="shared" si="336"/>
        <v>4</v>
      </c>
      <c r="FB93" s="166" t="s">
        <v>1399</v>
      </c>
      <c r="FC93" s="166">
        <f t="shared" si="337"/>
        <v>172800</v>
      </c>
    </row>
    <row r="94" spans="45:159" ht="16.5" x14ac:dyDescent="0.2">
      <c r="AS94" s="24">
        <v>90</v>
      </c>
      <c r="AT94" s="14">
        <f t="shared" si="260"/>
        <v>23</v>
      </c>
      <c r="AU94" s="109">
        <f t="shared" si="261"/>
        <v>2</v>
      </c>
      <c r="AV94" s="109">
        <f t="shared" si="262"/>
        <v>50</v>
      </c>
      <c r="AW94" s="109">
        <f t="shared" si="263"/>
        <v>154</v>
      </c>
      <c r="AX94" s="109">
        <f t="shared" si="264"/>
        <v>241</v>
      </c>
      <c r="BA94" s="109">
        <v>90</v>
      </c>
      <c r="BB94" s="14">
        <f t="shared" si="233"/>
        <v>9</v>
      </c>
      <c r="BC94" s="14">
        <f t="shared" si="265"/>
        <v>10</v>
      </c>
      <c r="BD94" s="14">
        <f t="shared" si="306"/>
        <v>320</v>
      </c>
      <c r="BE94" s="14">
        <f t="shared" si="234"/>
        <v>1500</v>
      </c>
      <c r="BF94" s="14">
        <f t="shared" si="235"/>
        <v>3600</v>
      </c>
      <c r="BG94" s="14">
        <f t="shared" si="266"/>
        <v>4.17</v>
      </c>
      <c r="BH94" s="14">
        <f t="shared" si="267"/>
        <v>11004</v>
      </c>
      <c r="BK94" s="109">
        <v>90</v>
      </c>
      <c r="BL94" s="14">
        <f t="shared" si="268"/>
        <v>9</v>
      </c>
      <c r="BM94" s="14">
        <f t="shared" si="269"/>
        <v>10</v>
      </c>
      <c r="BN94" s="14">
        <f t="shared" si="236"/>
        <v>1350</v>
      </c>
      <c r="BO94" s="14">
        <f t="shared" si="237"/>
        <v>3000</v>
      </c>
      <c r="BP94" s="14">
        <f t="shared" si="238"/>
        <v>7200</v>
      </c>
      <c r="BS94" s="109">
        <v>90</v>
      </c>
      <c r="BT94" s="109">
        <f t="shared" si="270"/>
        <v>30</v>
      </c>
      <c r="BU94" s="112">
        <f t="shared" si="271"/>
        <v>150</v>
      </c>
      <c r="BV94" s="109">
        <f t="shared" si="223"/>
        <v>3</v>
      </c>
      <c r="BW94" s="109">
        <v>360</v>
      </c>
      <c r="BX94" s="109">
        <v>540</v>
      </c>
      <c r="BY94" s="112">
        <v>5</v>
      </c>
      <c r="BZ94" s="14">
        <f t="shared" si="272"/>
        <v>11303</v>
      </c>
      <c r="CA94" s="118">
        <v>1</v>
      </c>
      <c r="CB94" s="14">
        <f t="shared" si="273"/>
        <v>130</v>
      </c>
      <c r="CC94" s="118" t="s">
        <v>1026</v>
      </c>
      <c r="CD94" s="14">
        <f t="shared" si="274"/>
        <v>3</v>
      </c>
      <c r="CE94" s="166" t="str">
        <f t="shared" si="275"/>
        <v>守护灵抽卡券3 2小时扫荡券1 金币79200</v>
      </c>
      <c r="CF94" s="14">
        <f t="shared" si="276"/>
        <v>30</v>
      </c>
      <c r="CG94" s="115" t="s">
        <v>258</v>
      </c>
      <c r="CH94" s="115">
        <v>3</v>
      </c>
      <c r="CI94" s="210" t="s">
        <v>1395</v>
      </c>
      <c r="CJ94" s="210">
        <v>1</v>
      </c>
      <c r="CK94" s="210" t="s">
        <v>252</v>
      </c>
      <c r="CL94" s="210">
        <f t="shared" si="342"/>
        <v>79200</v>
      </c>
      <c r="CO94" s="115">
        <f t="shared" si="240"/>
        <v>30</v>
      </c>
      <c r="CP94" s="115">
        <f t="shared" si="241"/>
        <v>160</v>
      </c>
      <c r="CQ94" s="118">
        <v>3</v>
      </c>
      <c r="CR94" s="115">
        <f t="shared" si="242"/>
        <v>540</v>
      </c>
      <c r="CS94" s="115">
        <f t="shared" si="243"/>
        <v>1080</v>
      </c>
      <c r="CT94" s="115">
        <v>10</v>
      </c>
      <c r="CU94" s="14">
        <f t="shared" si="244"/>
        <v>12303</v>
      </c>
      <c r="CV94" s="118">
        <v>2</v>
      </c>
      <c r="CW94" s="14">
        <f t="shared" si="245"/>
        <v>230</v>
      </c>
      <c r="CX94" s="118" t="s">
        <v>1026</v>
      </c>
      <c r="CY94" s="14">
        <f t="shared" si="246"/>
        <v>3</v>
      </c>
      <c r="CZ94" s="166" t="str">
        <f t="shared" si="277"/>
        <v>守护灵抽卡券5150级-防御套寄灵人の裤子1金币118800</v>
      </c>
      <c r="DA94" s="14">
        <f t="shared" si="278"/>
        <v>30</v>
      </c>
      <c r="DB94" s="115" t="s">
        <v>1004</v>
      </c>
      <c r="DC94" s="115">
        <v>5</v>
      </c>
      <c r="DD94" s="115" t="s">
        <v>1514</v>
      </c>
      <c r="DE94" s="115">
        <v>1</v>
      </c>
      <c r="DF94" s="115" t="s">
        <v>252</v>
      </c>
      <c r="DG94" s="115">
        <f t="shared" si="247"/>
        <v>118800</v>
      </c>
      <c r="DJ94" s="118">
        <v>90</v>
      </c>
      <c r="DK94" s="14">
        <f t="shared" si="279"/>
        <v>30</v>
      </c>
      <c r="DL94" s="118">
        <f t="shared" si="248"/>
        <v>150</v>
      </c>
      <c r="DM94" s="166">
        <f t="shared" si="249"/>
        <v>3</v>
      </c>
      <c r="DN94" s="166">
        <v>360</v>
      </c>
      <c r="DO94" s="166">
        <v>2700</v>
      </c>
      <c r="DP94" s="166">
        <v>5</v>
      </c>
      <c r="DQ94" s="118">
        <v>150</v>
      </c>
      <c r="DR94" s="118">
        <f t="shared" si="280"/>
        <v>21303</v>
      </c>
      <c r="DS94" s="118">
        <v>1</v>
      </c>
      <c r="DT94" s="14">
        <f t="shared" si="250"/>
        <v>130</v>
      </c>
      <c r="DU94" s="118" t="s">
        <v>1034</v>
      </c>
      <c r="DV94" s="118">
        <v>3</v>
      </c>
      <c r="DW94" s="166" t="str">
        <f t="shared" si="251"/>
        <v>红色基础材料11守护灵初级抽卡券5守护灵经验72000</v>
      </c>
      <c r="DX94" s="14">
        <f t="shared" ref="DX94" si="345">DT94*100+9</f>
        <v>13009</v>
      </c>
      <c r="DY94" s="118" t="s">
        <v>1037</v>
      </c>
      <c r="DZ94" s="118">
        <v>5</v>
      </c>
      <c r="EA94" s="14" t="str">
        <f>INDEX(挂机升级突破!$DT$4:$DX$4,DP94)</f>
        <v>红色基础材料</v>
      </c>
      <c r="EB94" s="14">
        <f t="shared" si="334"/>
        <v>11</v>
      </c>
      <c r="EC94" s="118" t="s">
        <v>1038</v>
      </c>
      <c r="ED94" s="14">
        <f t="shared" si="253"/>
        <v>72000</v>
      </c>
      <c r="EI94" s="166">
        <v>90</v>
      </c>
      <c r="EJ94" s="14">
        <f t="shared" si="282"/>
        <v>30</v>
      </c>
      <c r="EK94" s="166">
        <v>150</v>
      </c>
      <c r="EL94" s="166">
        <f t="shared" si="254"/>
        <v>3</v>
      </c>
      <c r="EM94" s="166">
        <f t="shared" si="255"/>
        <v>540</v>
      </c>
      <c r="EN94" s="166">
        <f t="shared" si="256"/>
        <v>6750</v>
      </c>
      <c r="EO94" s="166">
        <v>10</v>
      </c>
      <c r="EP94" s="14">
        <f t="shared" si="257"/>
        <v>300</v>
      </c>
      <c r="EQ94" s="14">
        <f t="shared" si="284"/>
        <v>22303</v>
      </c>
      <c r="ER94" s="166">
        <v>1</v>
      </c>
      <c r="ES94" s="14">
        <f t="shared" si="285"/>
        <v>230</v>
      </c>
      <c r="ET94" s="166" t="s">
        <v>1034</v>
      </c>
      <c r="EU94" s="166">
        <v>3</v>
      </c>
      <c r="EV94" s="166"/>
      <c r="EW94" s="14">
        <f t="shared" ref="EW94" si="346">ES94*100+9</f>
        <v>23009</v>
      </c>
      <c r="EX94" s="166" t="s">
        <v>1397</v>
      </c>
      <c r="EY94" s="166">
        <v>50</v>
      </c>
      <c r="EZ94" s="14" t="str">
        <f>INDEX(挂机升级突破!$DT$4:$EC$4,EO94)</f>
        <v>灵玉</v>
      </c>
      <c r="FA94" s="14">
        <f t="shared" si="336"/>
        <v>6</v>
      </c>
      <c r="FB94" s="166" t="s">
        <v>1399</v>
      </c>
      <c r="FC94" s="166">
        <f t="shared" si="337"/>
        <v>259200</v>
      </c>
    </row>
    <row r="95" spans="45:159" ht="16.5" x14ac:dyDescent="0.2">
      <c r="AS95" s="24">
        <v>91</v>
      </c>
      <c r="AT95" s="14">
        <f t="shared" si="260"/>
        <v>23</v>
      </c>
      <c r="AU95" s="109">
        <f t="shared" si="261"/>
        <v>3</v>
      </c>
      <c r="AV95" s="109">
        <f t="shared" si="262"/>
        <v>50</v>
      </c>
      <c r="AW95" s="109">
        <f t="shared" si="263"/>
        <v>156</v>
      </c>
      <c r="AX95" s="109">
        <f t="shared" si="264"/>
        <v>244</v>
      </c>
      <c r="BA95" s="109">
        <v>91</v>
      </c>
      <c r="BB95" s="14">
        <f t="shared" si="233"/>
        <v>10</v>
      </c>
      <c r="BC95" s="14">
        <f t="shared" si="265"/>
        <v>1</v>
      </c>
      <c r="BD95" s="14">
        <f t="shared" si="306"/>
        <v>360</v>
      </c>
      <c r="BE95" s="14">
        <f t="shared" si="234"/>
        <v>1650</v>
      </c>
      <c r="BF95" s="14">
        <f t="shared" si="235"/>
        <v>4050</v>
      </c>
      <c r="BG95" s="14">
        <f t="shared" si="266"/>
        <v>5</v>
      </c>
      <c r="BH95" s="14">
        <f t="shared" si="267"/>
        <v>11005</v>
      </c>
      <c r="BK95" s="109">
        <v>91</v>
      </c>
      <c r="BL95" s="14">
        <f t="shared" si="268"/>
        <v>10</v>
      </c>
      <c r="BM95" s="14">
        <f t="shared" si="269"/>
        <v>1</v>
      </c>
      <c r="BN95" s="14">
        <f t="shared" si="236"/>
        <v>1700</v>
      </c>
      <c r="BO95" s="14">
        <f t="shared" si="237"/>
        <v>3300</v>
      </c>
      <c r="BP95" s="14">
        <f t="shared" si="238"/>
        <v>8100</v>
      </c>
    </row>
    <row r="96" spans="45:159" ht="16.5" x14ac:dyDescent="0.2">
      <c r="AS96" s="24">
        <v>92</v>
      </c>
      <c r="AT96" s="14">
        <f t="shared" si="260"/>
        <v>23</v>
      </c>
      <c r="AU96" s="109">
        <f t="shared" si="261"/>
        <v>4</v>
      </c>
      <c r="AV96" s="109">
        <f t="shared" si="262"/>
        <v>50</v>
      </c>
      <c r="AW96" s="109">
        <f t="shared" si="263"/>
        <v>158</v>
      </c>
      <c r="AX96" s="109">
        <f t="shared" si="264"/>
        <v>247</v>
      </c>
      <c r="BA96" s="109">
        <v>92</v>
      </c>
      <c r="BB96" s="14">
        <f t="shared" si="233"/>
        <v>10</v>
      </c>
      <c r="BC96" s="14">
        <f t="shared" si="265"/>
        <v>2</v>
      </c>
      <c r="BD96" s="14">
        <f t="shared" si="306"/>
        <v>360</v>
      </c>
      <c r="BE96" s="14">
        <f t="shared" si="234"/>
        <v>1650</v>
      </c>
      <c r="BF96" s="14">
        <f t="shared" si="235"/>
        <v>4050</v>
      </c>
      <c r="BG96" s="14">
        <f t="shared" si="266"/>
        <v>5</v>
      </c>
      <c r="BH96" s="14">
        <f t="shared" si="267"/>
        <v>11005</v>
      </c>
      <c r="BK96" s="109">
        <v>92</v>
      </c>
      <c r="BL96" s="14">
        <f t="shared" si="268"/>
        <v>10</v>
      </c>
      <c r="BM96" s="14">
        <f t="shared" si="269"/>
        <v>2</v>
      </c>
      <c r="BN96" s="14">
        <f t="shared" si="236"/>
        <v>1700</v>
      </c>
      <c r="BO96" s="14">
        <f t="shared" si="237"/>
        <v>3300</v>
      </c>
      <c r="BP96" s="14">
        <f t="shared" si="238"/>
        <v>8100</v>
      </c>
    </row>
    <row r="97" spans="45:68" ht="16.5" x14ac:dyDescent="0.2">
      <c r="AS97" s="24">
        <v>93</v>
      </c>
      <c r="AT97" s="14">
        <f t="shared" si="260"/>
        <v>24</v>
      </c>
      <c r="AU97" s="109">
        <f t="shared" si="261"/>
        <v>1</v>
      </c>
      <c r="AV97" s="109">
        <f t="shared" si="262"/>
        <v>55</v>
      </c>
      <c r="AW97" s="109">
        <f t="shared" si="263"/>
        <v>162</v>
      </c>
      <c r="AX97" s="109">
        <f t="shared" si="264"/>
        <v>255</v>
      </c>
      <c r="BA97" s="109">
        <v>93</v>
      </c>
      <c r="BB97" s="14">
        <f t="shared" si="233"/>
        <v>10</v>
      </c>
      <c r="BC97" s="14">
        <f t="shared" si="265"/>
        <v>3</v>
      </c>
      <c r="BD97" s="14">
        <f t="shared" si="306"/>
        <v>360</v>
      </c>
      <c r="BE97" s="14">
        <f t="shared" si="234"/>
        <v>1650</v>
      </c>
      <c r="BF97" s="14">
        <f t="shared" si="235"/>
        <v>4050</v>
      </c>
      <c r="BG97" s="14">
        <f t="shared" si="266"/>
        <v>5</v>
      </c>
      <c r="BH97" s="14">
        <f t="shared" si="267"/>
        <v>11005</v>
      </c>
      <c r="BK97" s="109">
        <v>93</v>
      </c>
      <c r="BL97" s="14">
        <f t="shared" si="268"/>
        <v>10</v>
      </c>
      <c r="BM97" s="14">
        <f t="shared" si="269"/>
        <v>3</v>
      </c>
      <c r="BN97" s="14">
        <f t="shared" si="236"/>
        <v>1700</v>
      </c>
      <c r="BO97" s="14">
        <f t="shared" si="237"/>
        <v>3300</v>
      </c>
      <c r="BP97" s="14">
        <f t="shared" si="238"/>
        <v>8100</v>
      </c>
    </row>
    <row r="98" spans="45:68" ht="16.5" x14ac:dyDescent="0.2">
      <c r="AS98" s="24">
        <v>94</v>
      </c>
      <c r="AT98" s="14">
        <f t="shared" si="260"/>
        <v>24</v>
      </c>
      <c r="AU98" s="109">
        <f t="shared" si="261"/>
        <v>2</v>
      </c>
      <c r="AV98" s="109">
        <f t="shared" si="262"/>
        <v>55</v>
      </c>
      <c r="AW98" s="109">
        <f t="shared" si="263"/>
        <v>164</v>
      </c>
      <c r="AX98" s="109">
        <f t="shared" si="264"/>
        <v>260</v>
      </c>
      <c r="BA98" s="109">
        <v>94</v>
      </c>
      <c r="BB98" s="14">
        <f t="shared" si="233"/>
        <v>10</v>
      </c>
      <c r="BC98" s="14">
        <f t="shared" si="265"/>
        <v>4</v>
      </c>
      <c r="BD98" s="14">
        <f t="shared" si="306"/>
        <v>360</v>
      </c>
      <c r="BE98" s="14">
        <f t="shared" si="234"/>
        <v>1650</v>
      </c>
      <c r="BF98" s="14">
        <f t="shared" si="235"/>
        <v>4050</v>
      </c>
      <c r="BG98" s="14">
        <f t="shared" si="266"/>
        <v>5</v>
      </c>
      <c r="BH98" s="14">
        <f t="shared" si="267"/>
        <v>11005</v>
      </c>
      <c r="BK98" s="109">
        <v>94</v>
      </c>
      <c r="BL98" s="14">
        <f t="shared" si="268"/>
        <v>10</v>
      </c>
      <c r="BM98" s="14">
        <f t="shared" si="269"/>
        <v>4</v>
      </c>
      <c r="BN98" s="14">
        <f t="shared" si="236"/>
        <v>1700</v>
      </c>
      <c r="BO98" s="14">
        <f t="shared" si="237"/>
        <v>3300</v>
      </c>
      <c r="BP98" s="14">
        <f t="shared" si="238"/>
        <v>8100</v>
      </c>
    </row>
    <row r="99" spans="45:68" ht="16.5" x14ac:dyDescent="0.2">
      <c r="AS99" s="24">
        <v>95</v>
      </c>
      <c r="AT99" s="14">
        <f t="shared" si="260"/>
        <v>24</v>
      </c>
      <c r="AU99" s="109">
        <f t="shared" si="261"/>
        <v>3</v>
      </c>
      <c r="AV99" s="109">
        <f t="shared" si="262"/>
        <v>55</v>
      </c>
      <c r="AW99" s="109">
        <f t="shared" si="263"/>
        <v>166</v>
      </c>
      <c r="AX99" s="109">
        <f t="shared" si="264"/>
        <v>265</v>
      </c>
      <c r="BA99" s="109">
        <v>95</v>
      </c>
      <c r="BB99" s="14">
        <f t="shared" si="233"/>
        <v>10</v>
      </c>
      <c r="BC99" s="14">
        <f t="shared" si="265"/>
        <v>5</v>
      </c>
      <c r="BD99" s="14">
        <f t="shared" si="306"/>
        <v>360</v>
      </c>
      <c r="BE99" s="14">
        <f t="shared" si="234"/>
        <v>1650</v>
      </c>
      <c r="BF99" s="14">
        <f t="shared" si="235"/>
        <v>4050</v>
      </c>
      <c r="BG99" s="14">
        <f t="shared" si="266"/>
        <v>5</v>
      </c>
      <c r="BH99" s="14">
        <f t="shared" si="267"/>
        <v>11005</v>
      </c>
      <c r="BK99" s="109">
        <v>95</v>
      </c>
      <c r="BL99" s="14">
        <f t="shared" si="268"/>
        <v>10</v>
      </c>
      <c r="BM99" s="14">
        <f t="shared" si="269"/>
        <v>5</v>
      </c>
      <c r="BN99" s="14">
        <f t="shared" si="236"/>
        <v>1700</v>
      </c>
      <c r="BO99" s="14">
        <f t="shared" si="237"/>
        <v>3300</v>
      </c>
      <c r="BP99" s="14">
        <f t="shared" si="238"/>
        <v>8100</v>
      </c>
    </row>
    <row r="100" spans="45:68" ht="16.5" x14ac:dyDescent="0.2">
      <c r="AS100" s="24">
        <v>96</v>
      </c>
      <c r="AT100" s="14">
        <f t="shared" si="260"/>
        <v>24</v>
      </c>
      <c r="AU100" s="109">
        <f t="shared" si="261"/>
        <v>4</v>
      </c>
      <c r="AV100" s="109">
        <f t="shared" si="262"/>
        <v>55</v>
      </c>
      <c r="AW100" s="109">
        <f t="shared" si="263"/>
        <v>168</v>
      </c>
      <c r="AX100" s="109">
        <f t="shared" si="264"/>
        <v>270</v>
      </c>
      <c r="BA100" s="109">
        <v>96</v>
      </c>
      <c r="BB100" s="14">
        <f t="shared" si="233"/>
        <v>10</v>
      </c>
      <c r="BC100" s="14">
        <f t="shared" si="265"/>
        <v>6</v>
      </c>
      <c r="BD100" s="14">
        <f t="shared" si="306"/>
        <v>360</v>
      </c>
      <c r="BE100" s="14">
        <f t="shared" si="234"/>
        <v>1650</v>
      </c>
      <c r="BF100" s="14">
        <f t="shared" si="235"/>
        <v>4050</v>
      </c>
      <c r="BG100" s="14">
        <f t="shared" si="266"/>
        <v>5</v>
      </c>
      <c r="BH100" s="14">
        <f t="shared" si="267"/>
        <v>11005</v>
      </c>
      <c r="BK100" s="109">
        <v>96</v>
      </c>
      <c r="BL100" s="14">
        <f t="shared" si="268"/>
        <v>10</v>
      </c>
      <c r="BM100" s="14">
        <f t="shared" si="269"/>
        <v>6</v>
      </c>
      <c r="BN100" s="14">
        <f t="shared" si="236"/>
        <v>1700</v>
      </c>
      <c r="BO100" s="14">
        <f t="shared" si="237"/>
        <v>3300</v>
      </c>
      <c r="BP100" s="14">
        <f t="shared" si="238"/>
        <v>8100</v>
      </c>
    </row>
    <row r="101" spans="45:68" ht="16.5" x14ac:dyDescent="0.2">
      <c r="AS101" s="24">
        <v>97</v>
      </c>
      <c r="AT101" s="14">
        <f t="shared" si="260"/>
        <v>25</v>
      </c>
      <c r="AU101" s="109">
        <f t="shared" si="261"/>
        <v>1</v>
      </c>
      <c r="AV101" s="109">
        <f t="shared" si="262"/>
        <v>60</v>
      </c>
      <c r="AW101" s="109">
        <f t="shared" si="263"/>
        <v>172</v>
      </c>
      <c r="AX101" s="109">
        <f t="shared" si="264"/>
        <v>280</v>
      </c>
      <c r="BA101" s="109">
        <v>97</v>
      </c>
      <c r="BB101" s="14">
        <f t="shared" si="233"/>
        <v>10</v>
      </c>
      <c r="BC101" s="14">
        <f t="shared" si="265"/>
        <v>7</v>
      </c>
      <c r="BD101" s="14">
        <f t="shared" si="306"/>
        <v>360</v>
      </c>
      <c r="BE101" s="14">
        <f t="shared" si="234"/>
        <v>1650</v>
      </c>
      <c r="BF101" s="14">
        <f t="shared" si="235"/>
        <v>4050</v>
      </c>
      <c r="BG101" s="14">
        <f t="shared" si="266"/>
        <v>5</v>
      </c>
      <c r="BH101" s="14">
        <f t="shared" si="267"/>
        <v>11005</v>
      </c>
      <c r="BK101" s="109">
        <v>97</v>
      </c>
      <c r="BL101" s="14">
        <f t="shared" si="268"/>
        <v>10</v>
      </c>
      <c r="BM101" s="14">
        <f t="shared" si="269"/>
        <v>7</v>
      </c>
      <c r="BN101" s="14">
        <f t="shared" si="236"/>
        <v>1700</v>
      </c>
      <c r="BO101" s="14">
        <f t="shared" si="237"/>
        <v>3300</v>
      </c>
      <c r="BP101" s="14">
        <f t="shared" si="238"/>
        <v>8100</v>
      </c>
    </row>
    <row r="102" spans="45:68" ht="16.5" x14ac:dyDescent="0.2">
      <c r="AS102" s="24">
        <v>98</v>
      </c>
      <c r="AT102" s="14">
        <f t="shared" si="260"/>
        <v>25</v>
      </c>
      <c r="AU102" s="109">
        <f t="shared" si="261"/>
        <v>2</v>
      </c>
      <c r="AV102" s="109">
        <f t="shared" si="262"/>
        <v>60</v>
      </c>
      <c r="AW102" s="109">
        <f t="shared" si="263"/>
        <v>174</v>
      </c>
      <c r="AX102" s="109">
        <f t="shared" si="264"/>
        <v>285</v>
      </c>
      <c r="BA102" s="109">
        <v>98</v>
      </c>
      <c r="BB102" s="14">
        <f t="shared" si="233"/>
        <v>10</v>
      </c>
      <c r="BC102" s="14">
        <f t="shared" si="265"/>
        <v>8</v>
      </c>
      <c r="BD102" s="14">
        <f t="shared" si="306"/>
        <v>360</v>
      </c>
      <c r="BE102" s="14">
        <f t="shared" si="234"/>
        <v>1650</v>
      </c>
      <c r="BF102" s="14">
        <f t="shared" si="235"/>
        <v>4050</v>
      </c>
      <c r="BG102" s="14">
        <f t="shared" si="266"/>
        <v>5</v>
      </c>
      <c r="BH102" s="14">
        <f t="shared" si="267"/>
        <v>11005</v>
      </c>
      <c r="BK102" s="109">
        <v>98</v>
      </c>
      <c r="BL102" s="14">
        <f t="shared" si="268"/>
        <v>10</v>
      </c>
      <c r="BM102" s="14">
        <f t="shared" si="269"/>
        <v>8</v>
      </c>
      <c r="BN102" s="14">
        <f t="shared" si="236"/>
        <v>1700</v>
      </c>
      <c r="BO102" s="14">
        <f t="shared" si="237"/>
        <v>3300</v>
      </c>
      <c r="BP102" s="14">
        <f t="shared" si="238"/>
        <v>8100</v>
      </c>
    </row>
    <row r="103" spans="45:68" ht="16.5" x14ac:dyDescent="0.2">
      <c r="AS103" s="24">
        <v>99</v>
      </c>
      <c r="AT103" s="14">
        <f t="shared" si="260"/>
        <v>25</v>
      </c>
      <c r="AU103" s="109">
        <f t="shared" si="261"/>
        <v>3</v>
      </c>
      <c r="AV103" s="109">
        <f t="shared" si="262"/>
        <v>60</v>
      </c>
      <c r="AW103" s="109">
        <f t="shared" si="263"/>
        <v>176</v>
      </c>
      <c r="AX103" s="109">
        <f t="shared" si="264"/>
        <v>290</v>
      </c>
      <c r="BA103" s="109">
        <v>99</v>
      </c>
      <c r="BB103" s="14">
        <f t="shared" si="233"/>
        <v>10</v>
      </c>
      <c r="BC103" s="14">
        <f t="shared" si="265"/>
        <v>9</v>
      </c>
      <c r="BD103" s="14">
        <f t="shared" si="306"/>
        <v>360</v>
      </c>
      <c r="BE103" s="14">
        <f t="shared" si="234"/>
        <v>1650</v>
      </c>
      <c r="BF103" s="14">
        <f t="shared" si="235"/>
        <v>4050</v>
      </c>
      <c r="BG103" s="14">
        <f t="shared" si="266"/>
        <v>5</v>
      </c>
      <c r="BH103" s="14">
        <f t="shared" si="267"/>
        <v>11005</v>
      </c>
      <c r="BK103" s="109">
        <v>99</v>
      </c>
      <c r="BL103" s="14">
        <f t="shared" si="268"/>
        <v>10</v>
      </c>
      <c r="BM103" s="14">
        <f t="shared" si="269"/>
        <v>9</v>
      </c>
      <c r="BN103" s="14">
        <f t="shared" si="236"/>
        <v>1700</v>
      </c>
      <c r="BO103" s="14">
        <f t="shared" si="237"/>
        <v>3300</v>
      </c>
      <c r="BP103" s="14">
        <f t="shared" si="238"/>
        <v>8100</v>
      </c>
    </row>
    <row r="104" spans="45:68" ht="16.5" x14ac:dyDescent="0.2">
      <c r="AS104" s="24">
        <v>100</v>
      </c>
      <c r="AT104" s="14">
        <f t="shared" si="260"/>
        <v>25</v>
      </c>
      <c r="AU104" s="109">
        <f t="shared" si="261"/>
        <v>4</v>
      </c>
      <c r="AV104" s="109">
        <f t="shared" si="262"/>
        <v>60</v>
      </c>
      <c r="AW104" s="109">
        <f t="shared" si="263"/>
        <v>178</v>
      </c>
      <c r="AX104" s="109">
        <f t="shared" si="264"/>
        <v>295</v>
      </c>
      <c r="BA104" s="109">
        <v>100</v>
      </c>
      <c r="BB104" s="14">
        <f t="shared" si="233"/>
        <v>10</v>
      </c>
      <c r="BC104" s="14">
        <f t="shared" si="265"/>
        <v>10</v>
      </c>
      <c r="BD104" s="14">
        <f t="shared" si="306"/>
        <v>360</v>
      </c>
      <c r="BE104" s="14">
        <f t="shared" si="234"/>
        <v>1650</v>
      </c>
      <c r="BF104" s="14">
        <f t="shared" si="235"/>
        <v>4050</v>
      </c>
      <c r="BG104" s="14">
        <f t="shared" si="266"/>
        <v>5</v>
      </c>
      <c r="BH104" s="14">
        <f t="shared" si="267"/>
        <v>11005</v>
      </c>
      <c r="BK104" s="109">
        <v>100</v>
      </c>
      <c r="BL104" s="14">
        <f t="shared" si="268"/>
        <v>10</v>
      </c>
      <c r="BM104" s="14">
        <f t="shared" si="269"/>
        <v>10</v>
      </c>
      <c r="BN104" s="14">
        <f t="shared" si="236"/>
        <v>1700</v>
      </c>
      <c r="BO104" s="14">
        <f t="shared" si="237"/>
        <v>3300</v>
      </c>
      <c r="BP104" s="14">
        <f t="shared" si="238"/>
        <v>8100</v>
      </c>
    </row>
    <row r="105" spans="45:68" ht="16.5" x14ac:dyDescent="0.2">
      <c r="AS105" s="24">
        <v>101</v>
      </c>
      <c r="AT105" s="14">
        <f t="shared" si="260"/>
        <v>26</v>
      </c>
      <c r="AU105" s="109">
        <f t="shared" si="261"/>
        <v>1</v>
      </c>
      <c r="AV105" s="109">
        <f t="shared" si="262"/>
        <v>65</v>
      </c>
      <c r="AW105" s="109">
        <f t="shared" si="263"/>
        <v>182</v>
      </c>
      <c r="AX105" s="109">
        <f t="shared" si="264"/>
        <v>305</v>
      </c>
      <c r="BA105" s="109">
        <v>101</v>
      </c>
      <c r="BB105" s="14">
        <f t="shared" si="233"/>
        <v>11</v>
      </c>
      <c r="BC105" s="14">
        <f t="shared" si="265"/>
        <v>1</v>
      </c>
      <c r="BD105" s="14">
        <f t="shared" si="306"/>
        <v>400</v>
      </c>
      <c r="BE105" s="14">
        <f t="shared" si="234"/>
        <v>1800</v>
      </c>
      <c r="BF105" s="14">
        <f t="shared" si="235"/>
        <v>4500</v>
      </c>
      <c r="BG105" s="14">
        <f t="shared" si="266"/>
        <v>5.94</v>
      </c>
      <c r="BH105" s="14">
        <f t="shared" si="267"/>
        <v>11005</v>
      </c>
      <c r="BK105" s="109">
        <v>101</v>
      </c>
      <c r="BL105" s="14">
        <f t="shared" si="268"/>
        <v>11</v>
      </c>
      <c r="BM105" s="14">
        <f t="shared" si="269"/>
        <v>1</v>
      </c>
      <c r="BN105" s="14">
        <f t="shared" si="236"/>
        <v>2450</v>
      </c>
      <c r="BO105" s="14">
        <f t="shared" si="237"/>
        <v>3600</v>
      </c>
      <c r="BP105" s="14">
        <f t="shared" si="238"/>
        <v>9000</v>
      </c>
    </row>
    <row r="106" spans="45:68" ht="16.5" x14ac:dyDescent="0.2">
      <c r="AS106" s="24">
        <v>102</v>
      </c>
      <c r="AT106" s="14">
        <f t="shared" si="260"/>
        <v>26</v>
      </c>
      <c r="AU106" s="109">
        <f t="shared" si="261"/>
        <v>2</v>
      </c>
      <c r="AV106" s="109">
        <f t="shared" si="262"/>
        <v>65</v>
      </c>
      <c r="AW106" s="109">
        <f t="shared" si="263"/>
        <v>184</v>
      </c>
      <c r="AX106" s="109">
        <f t="shared" si="264"/>
        <v>310</v>
      </c>
      <c r="BA106" s="109">
        <v>102</v>
      </c>
      <c r="BB106" s="14">
        <f t="shared" si="233"/>
        <v>11</v>
      </c>
      <c r="BC106" s="14">
        <f t="shared" si="265"/>
        <v>2</v>
      </c>
      <c r="BD106" s="14">
        <f t="shared" si="306"/>
        <v>400</v>
      </c>
      <c r="BE106" s="14">
        <f t="shared" si="234"/>
        <v>1800</v>
      </c>
      <c r="BF106" s="14">
        <f t="shared" si="235"/>
        <v>4500</v>
      </c>
      <c r="BG106" s="14">
        <f t="shared" si="266"/>
        <v>5.94</v>
      </c>
      <c r="BH106" s="14">
        <f t="shared" si="267"/>
        <v>11005</v>
      </c>
      <c r="BK106" s="109">
        <v>102</v>
      </c>
      <c r="BL106" s="14">
        <f t="shared" si="268"/>
        <v>11</v>
      </c>
      <c r="BM106" s="14">
        <f t="shared" si="269"/>
        <v>2</v>
      </c>
      <c r="BN106" s="14">
        <f t="shared" si="236"/>
        <v>2450</v>
      </c>
      <c r="BO106" s="14">
        <f t="shared" si="237"/>
        <v>3600</v>
      </c>
      <c r="BP106" s="14">
        <f t="shared" si="238"/>
        <v>9000</v>
      </c>
    </row>
    <row r="107" spans="45:68" ht="16.5" x14ac:dyDescent="0.2">
      <c r="AS107" s="24">
        <v>103</v>
      </c>
      <c r="AT107" s="14">
        <f t="shared" si="260"/>
        <v>26</v>
      </c>
      <c r="AU107" s="109">
        <f t="shared" si="261"/>
        <v>3</v>
      </c>
      <c r="AV107" s="109">
        <f t="shared" si="262"/>
        <v>65</v>
      </c>
      <c r="AW107" s="109">
        <f t="shared" si="263"/>
        <v>186</v>
      </c>
      <c r="AX107" s="109">
        <f t="shared" si="264"/>
        <v>315</v>
      </c>
      <c r="BA107" s="109">
        <v>103</v>
      </c>
      <c r="BB107" s="14">
        <f t="shared" si="233"/>
        <v>11</v>
      </c>
      <c r="BC107" s="14">
        <f t="shared" si="265"/>
        <v>3</v>
      </c>
      <c r="BD107" s="14">
        <f t="shared" si="306"/>
        <v>400</v>
      </c>
      <c r="BE107" s="14">
        <f t="shared" si="234"/>
        <v>1800</v>
      </c>
      <c r="BF107" s="14">
        <f t="shared" si="235"/>
        <v>4500</v>
      </c>
      <c r="BG107" s="14">
        <f t="shared" si="266"/>
        <v>5.94</v>
      </c>
      <c r="BH107" s="14">
        <f t="shared" si="267"/>
        <v>11005</v>
      </c>
      <c r="BK107" s="109">
        <v>103</v>
      </c>
      <c r="BL107" s="14">
        <f t="shared" si="268"/>
        <v>11</v>
      </c>
      <c r="BM107" s="14">
        <f t="shared" si="269"/>
        <v>3</v>
      </c>
      <c r="BN107" s="14">
        <f t="shared" si="236"/>
        <v>2450</v>
      </c>
      <c r="BO107" s="14">
        <f t="shared" si="237"/>
        <v>3600</v>
      </c>
      <c r="BP107" s="14">
        <f t="shared" si="238"/>
        <v>9000</v>
      </c>
    </row>
    <row r="108" spans="45:68" ht="16.5" x14ac:dyDescent="0.2">
      <c r="AS108" s="24">
        <v>104</v>
      </c>
      <c r="AT108" s="14">
        <f t="shared" si="260"/>
        <v>26</v>
      </c>
      <c r="AU108" s="109">
        <f t="shared" si="261"/>
        <v>4</v>
      </c>
      <c r="AV108" s="109">
        <f t="shared" si="262"/>
        <v>65</v>
      </c>
      <c r="AW108" s="109">
        <f t="shared" si="263"/>
        <v>188</v>
      </c>
      <c r="AX108" s="109">
        <f t="shared" si="264"/>
        <v>320</v>
      </c>
      <c r="BA108" s="109">
        <v>104</v>
      </c>
      <c r="BB108" s="14">
        <f t="shared" si="233"/>
        <v>11</v>
      </c>
      <c r="BC108" s="14">
        <f t="shared" si="265"/>
        <v>4</v>
      </c>
      <c r="BD108" s="14">
        <f t="shared" si="306"/>
        <v>400</v>
      </c>
      <c r="BE108" s="14">
        <f t="shared" si="234"/>
        <v>1800</v>
      </c>
      <c r="BF108" s="14">
        <f t="shared" si="235"/>
        <v>4500</v>
      </c>
      <c r="BG108" s="14">
        <f t="shared" si="266"/>
        <v>5.94</v>
      </c>
      <c r="BH108" s="14">
        <f t="shared" si="267"/>
        <v>11005</v>
      </c>
      <c r="BK108" s="109">
        <v>104</v>
      </c>
      <c r="BL108" s="14">
        <f t="shared" si="268"/>
        <v>11</v>
      </c>
      <c r="BM108" s="14">
        <f t="shared" si="269"/>
        <v>4</v>
      </c>
      <c r="BN108" s="14">
        <f t="shared" si="236"/>
        <v>2450</v>
      </c>
      <c r="BO108" s="14">
        <f t="shared" si="237"/>
        <v>3600</v>
      </c>
      <c r="BP108" s="14">
        <f t="shared" si="238"/>
        <v>9000</v>
      </c>
    </row>
    <row r="109" spans="45:68" ht="16.5" x14ac:dyDescent="0.2">
      <c r="AS109" s="24">
        <v>105</v>
      </c>
      <c r="AT109" s="14">
        <f t="shared" si="260"/>
        <v>27</v>
      </c>
      <c r="AU109" s="109">
        <f t="shared" si="261"/>
        <v>1</v>
      </c>
      <c r="AV109" s="109">
        <f t="shared" si="262"/>
        <v>70</v>
      </c>
      <c r="AW109" s="109">
        <f t="shared" si="263"/>
        <v>192</v>
      </c>
      <c r="AX109" s="109">
        <f t="shared" si="264"/>
        <v>330</v>
      </c>
      <c r="BA109" s="109">
        <v>105</v>
      </c>
      <c r="BB109" s="14">
        <f t="shared" si="233"/>
        <v>11</v>
      </c>
      <c r="BC109" s="14">
        <f t="shared" si="265"/>
        <v>5</v>
      </c>
      <c r="BD109" s="14">
        <f t="shared" si="306"/>
        <v>400</v>
      </c>
      <c r="BE109" s="14">
        <f t="shared" si="234"/>
        <v>1800</v>
      </c>
      <c r="BF109" s="14">
        <f t="shared" si="235"/>
        <v>4500</v>
      </c>
      <c r="BG109" s="14">
        <f t="shared" si="266"/>
        <v>5.94</v>
      </c>
      <c r="BH109" s="14">
        <f t="shared" si="267"/>
        <v>11005</v>
      </c>
      <c r="BK109" s="109">
        <v>105</v>
      </c>
      <c r="BL109" s="14">
        <f t="shared" si="268"/>
        <v>11</v>
      </c>
      <c r="BM109" s="14">
        <f t="shared" si="269"/>
        <v>5</v>
      </c>
      <c r="BN109" s="14">
        <f t="shared" si="236"/>
        <v>2450</v>
      </c>
      <c r="BO109" s="14">
        <f t="shared" si="237"/>
        <v>3600</v>
      </c>
      <c r="BP109" s="14">
        <f t="shared" si="238"/>
        <v>9000</v>
      </c>
    </row>
    <row r="110" spans="45:68" ht="16.5" x14ac:dyDescent="0.2">
      <c r="AS110" s="24">
        <v>106</v>
      </c>
      <c r="AT110" s="14">
        <f t="shared" si="260"/>
        <v>27</v>
      </c>
      <c r="AU110" s="109">
        <f t="shared" si="261"/>
        <v>2</v>
      </c>
      <c r="AV110" s="109">
        <f t="shared" si="262"/>
        <v>70</v>
      </c>
      <c r="AW110" s="109">
        <f t="shared" si="263"/>
        <v>194</v>
      </c>
      <c r="AX110" s="109">
        <f t="shared" si="264"/>
        <v>335</v>
      </c>
      <c r="BA110" s="109">
        <v>106</v>
      </c>
      <c r="BB110" s="14">
        <f t="shared" si="233"/>
        <v>11</v>
      </c>
      <c r="BC110" s="14">
        <f t="shared" si="265"/>
        <v>6</v>
      </c>
      <c r="BD110" s="14">
        <f t="shared" si="306"/>
        <v>400</v>
      </c>
      <c r="BE110" s="14">
        <f t="shared" si="234"/>
        <v>1800</v>
      </c>
      <c r="BF110" s="14">
        <f t="shared" si="235"/>
        <v>4500</v>
      </c>
      <c r="BG110" s="14">
        <f t="shared" si="266"/>
        <v>5.94</v>
      </c>
      <c r="BH110" s="14">
        <f t="shared" si="267"/>
        <v>11005</v>
      </c>
      <c r="BK110" s="109">
        <v>106</v>
      </c>
      <c r="BL110" s="14">
        <f t="shared" si="268"/>
        <v>11</v>
      </c>
      <c r="BM110" s="14">
        <f t="shared" si="269"/>
        <v>6</v>
      </c>
      <c r="BN110" s="14">
        <f t="shared" si="236"/>
        <v>2450</v>
      </c>
      <c r="BO110" s="14">
        <f t="shared" si="237"/>
        <v>3600</v>
      </c>
      <c r="BP110" s="14">
        <f t="shared" si="238"/>
        <v>9000</v>
      </c>
    </row>
    <row r="111" spans="45:68" ht="16.5" x14ac:dyDescent="0.2">
      <c r="AS111" s="24">
        <v>107</v>
      </c>
      <c r="AT111" s="14">
        <f t="shared" si="260"/>
        <v>27</v>
      </c>
      <c r="AU111" s="109">
        <f t="shared" si="261"/>
        <v>3</v>
      </c>
      <c r="AV111" s="109">
        <f t="shared" si="262"/>
        <v>70</v>
      </c>
      <c r="AW111" s="109">
        <f t="shared" si="263"/>
        <v>196</v>
      </c>
      <c r="AX111" s="109">
        <f t="shared" si="264"/>
        <v>340</v>
      </c>
      <c r="BA111" s="109">
        <v>107</v>
      </c>
      <c r="BB111" s="14">
        <f t="shared" si="233"/>
        <v>11</v>
      </c>
      <c r="BC111" s="14">
        <f t="shared" si="265"/>
        <v>7</v>
      </c>
      <c r="BD111" s="14">
        <f t="shared" si="306"/>
        <v>400</v>
      </c>
      <c r="BE111" s="14">
        <f t="shared" si="234"/>
        <v>1800</v>
      </c>
      <c r="BF111" s="14">
        <f t="shared" si="235"/>
        <v>4500</v>
      </c>
      <c r="BG111" s="14">
        <f t="shared" si="266"/>
        <v>5.94</v>
      </c>
      <c r="BH111" s="14">
        <f t="shared" si="267"/>
        <v>11005</v>
      </c>
      <c r="BK111" s="109">
        <v>107</v>
      </c>
      <c r="BL111" s="14">
        <f t="shared" si="268"/>
        <v>11</v>
      </c>
      <c r="BM111" s="14">
        <f t="shared" si="269"/>
        <v>7</v>
      </c>
      <c r="BN111" s="14">
        <f t="shared" si="236"/>
        <v>2450</v>
      </c>
      <c r="BO111" s="14">
        <f t="shared" si="237"/>
        <v>3600</v>
      </c>
      <c r="BP111" s="14">
        <f t="shared" si="238"/>
        <v>9000</v>
      </c>
    </row>
    <row r="112" spans="45:68" ht="16.5" x14ac:dyDescent="0.2">
      <c r="AS112" s="24">
        <v>108</v>
      </c>
      <c r="AT112" s="14">
        <f t="shared" si="260"/>
        <v>27</v>
      </c>
      <c r="AU112" s="109">
        <f t="shared" si="261"/>
        <v>4</v>
      </c>
      <c r="AV112" s="109">
        <f t="shared" si="262"/>
        <v>70</v>
      </c>
      <c r="AW112" s="109">
        <f t="shared" si="263"/>
        <v>198</v>
      </c>
      <c r="AX112" s="109">
        <f t="shared" si="264"/>
        <v>345</v>
      </c>
      <c r="BA112" s="109">
        <v>108</v>
      </c>
      <c r="BB112" s="14">
        <f t="shared" si="233"/>
        <v>11</v>
      </c>
      <c r="BC112" s="14">
        <f t="shared" si="265"/>
        <v>8</v>
      </c>
      <c r="BD112" s="14">
        <f t="shared" si="306"/>
        <v>400</v>
      </c>
      <c r="BE112" s="14">
        <f t="shared" si="234"/>
        <v>1800</v>
      </c>
      <c r="BF112" s="14">
        <f t="shared" si="235"/>
        <v>4500</v>
      </c>
      <c r="BG112" s="14">
        <f t="shared" si="266"/>
        <v>5.94</v>
      </c>
      <c r="BH112" s="14">
        <f t="shared" si="267"/>
        <v>11005</v>
      </c>
      <c r="BK112" s="109">
        <v>108</v>
      </c>
      <c r="BL112" s="14">
        <f t="shared" si="268"/>
        <v>11</v>
      </c>
      <c r="BM112" s="14">
        <f t="shared" si="269"/>
        <v>8</v>
      </c>
      <c r="BN112" s="14">
        <f t="shared" si="236"/>
        <v>2450</v>
      </c>
      <c r="BO112" s="14">
        <f t="shared" si="237"/>
        <v>3600</v>
      </c>
      <c r="BP112" s="14">
        <f t="shared" si="238"/>
        <v>9000</v>
      </c>
    </row>
    <row r="113" spans="45:68" ht="16.5" x14ac:dyDescent="0.2">
      <c r="AS113" s="24">
        <v>109</v>
      </c>
      <c r="AT113" s="14">
        <f t="shared" si="260"/>
        <v>28</v>
      </c>
      <c r="AU113" s="109">
        <f t="shared" si="261"/>
        <v>1</v>
      </c>
      <c r="AV113" s="109">
        <f t="shared" si="262"/>
        <v>75</v>
      </c>
      <c r="AW113" s="109">
        <f t="shared" si="263"/>
        <v>202</v>
      </c>
      <c r="AX113" s="109">
        <f t="shared" si="264"/>
        <v>355</v>
      </c>
      <c r="BA113" s="109">
        <v>109</v>
      </c>
      <c r="BB113" s="14">
        <f t="shared" si="233"/>
        <v>11</v>
      </c>
      <c r="BC113" s="14">
        <f t="shared" si="265"/>
        <v>9</v>
      </c>
      <c r="BD113" s="14">
        <f t="shared" si="306"/>
        <v>400</v>
      </c>
      <c r="BE113" s="14">
        <f t="shared" si="234"/>
        <v>1800</v>
      </c>
      <c r="BF113" s="14">
        <f t="shared" si="235"/>
        <v>4500</v>
      </c>
      <c r="BG113" s="14">
        <f t="shared" si="266"/>
        <v>5.94</v>
      </c>
      <c r="BH113" s="14">
        <f t="shared" si="267"/>
        <v>11005</v>
      </c>
      <c r="BK113" s="109">
        <v>109</v>
      </c>
      <c r="BL113" s="14">
        <f t="shared" si="268"/>
        <v>11</v>
      </c>
      <c r="BM113" s="14">
        <f t="shared" si="269"/>
        <v>9</v>
      </c>
      <c r="BN113" s="14">
        <f t="shared" si="236"/>
        <v>2450</v>
      </c>
      <c r="BO113" s="14">
        <f t="shared" si="237"/>
        <v>3600</v>
      </c>
      <c r="BP113" s="14">
        <f t="shared" si="238"/>
        <v>9000</v>
      </c>
    </row>
    <row r="114" spans="45:68" ht="16.5" x14ac:dyDescent="0.2">
      <c r="AS114" s="24">
        <v>110</v>
      </c>
      <c r="AT114" s="14">
        <f t="shared" si="260"/>
        <v>28</v>
      </c>
      <c r="AU114" s="109">
        <f t="shared" si="261"/>
        <v>2</v>
      </c>
      <c r="AV114" s="109">
        <f t="shared" si="262"/>
        <v>75</v>
      </c>
      <c r="AW114" s="109">
        <f t="shared" si="263"/>
        <v>204</v>
      </c>
      <c r="AX114" s="109">
        <f t="shared" si="264"/>
        <v>360</v>
      </c>
      <c r="BA114" s="109">
        <v>110</v>
      </c>
      <c r="BB114" s="14">
        <f t="shared" si="233"/>
        <v>11</v>
      </c>
      <c r="BC114" s="14">
        <f t="shared" si="265"/>
        <v>10</v>
      </c>
      <c r="BD114" s="14">
        <f t="shared" si="306"/>
        <v>400</v>
      </c>
      <c r="BE114" s="14">
        <f t="shared" si="234"/>
        <v>1800</v>
      </c>
      <c r="BF114" s="14">
        <f t="shared" si="235"/>
        <v>4500</v>
      </c>
      <c r="BG114" s="14">
        <f t="shared" si="266"/>
        <v>5.94</v>
      </c>
      <c r="BH114" s="14">
        <f t="shared" si="267"/>
        <v>11005</v>
      </c>
      <c r="BK114" s="109">
        <v>110</v>
      </c>
      <c r="BL114" s="14">
        <f t="shared" si="268"/>
        <v>11</v>
      </c>
      <c r="BM114" s="14">
        <f t="shared" si="269"/>
        <v>10</v>
      </c>
      <c r="BN114" s="14">
        <f t="shared" si="236"/>
        <v>2450</v>
      </c>
      <c r="BO114" s="14">
        <f t="shared" si="237"/>
        <v>3600</v>
      </c>
      <c r="BP114" s="14">
        <f t="shared" si="238"/>
        <v>9000</v>
      </c>
    </row>
    <row r="115" spans="45:68" ht="16.5" x14ac:dyDescent="0.2">
      <c r="AS115" s="24">
        <v>111</v>
      </c>
      <c r="AT115" s="14">
        <f t="shared" si="260"/>
        <v>28</v>
      </c>
      <c r="AU115" s="109">
        <f t="shared" si="261"/>
        <v>3</v>
      </c>
      <c r="AV115" s="109">
        <f t="shared" si="262"/>
        <v>75</v>
      </c>
      <c r="AW115" s="109">
        <f t="shared" si="263"/>
        <v>206</v>
      </c>
      <c r="AX115" s="109">
        <f t="shared" si="264"/>
        <v>365</v>
      </c>
      <c r="BA115" s="109">
        <v>111</v>
      </c>
      <c r="BB115" s="14">
        <f t="shared" si="233"/>
        <v>12</v>
      </c>
      <c r="BC115" s="14">
        <f t="shared" si="265"/>
        <v>1</v>
      </c>
      <c r="BD115" s="14">
        <f t="shared" si="306"/>
        <v>440</v>
      </c>
      <c r="BE115" s="14">
        <f t="shared" si="234"/>
        <v>1950</v>
      </c>
      <c r="BF115" s="14">
        <f t="shared" si="235"/>
        <v>4950</v>
      </c>
      <c r="BG115" s="14">
        <f t="shared" si="266"/>
        <v>7</v>
      </c>
      <c r="BH115" s="14">
        <f t="shared" si="267"/>
        <v>11007</v>
      </c>
      <c r="BK115" s="109">
        <v>111</v>
      </c>
      <c r="BL115" s="14">
        <f t="shared" si="268"/>
        <v>12</v>
      </c>
      <c r="BM115" s="14">
        <f t="shared" si="269"/>
        <v>1</v>
      </c>
      <c r="BN115" s="14">
        <f t="shared" si="236"/>
        <v>3100</v>
      </c>
      <c r="BO115" s="14">
        <f t="shared" si="237"/>
        <v>3900</v>
      </c>
      <c r="BP115" s="14">
        <f t="shared" si="238"/>
        <v>9900</v>
      </c>
    </row>
    <row r="116" spans="45:68" ht="16.5" x14ac:dyDescent="0.2">
      <c r="AS116" s="24">
        <v>112</v>
      </c>
      <c r="AT116" s="14">
        <f t="shared" si="260"/>
        <v>28</v>
      </c>
      <c r="AU116" s="109">
        <f t="shared" si="261"/>
        <v>4</v>
      </c>
      <c r="AV116" s="109">
        <f t="shared" si="262"/>
        <v>75</v>
      </c>
      <c r="AW116" s="109">
        <f t="shared" si="263"/>
        <v>208</v>
      </c>
      <c r="AX116" s="109">
        <f t="shared" si="264"/>
        <v>370</v>
      </c>
      <c r="BA116" s="109">
        <v>112</v>
      </c>
      <c r="BB116" s="14">
        <f t="shared" si="233"/>
        <v>12</v>
      </c>
      <c r="BC116" s="14">
        <f t="shared" si="265"/>
        <v>2</v>
      </c>
      <c r="BD116" s="14">
        <f t="shared" si="306"/>
        <v>440</v>
      </c>
      <c r="BE116" s="14">
        <f t="shared" si="234"/>
        <v>1950</v>
      </c>
      <c r="BF116" s="14">
        <f t="shared" si="235"/>
        <v>4950</v>
      </c>
      <c r="BG116" s="14">
        <f t="shared" si="266"/>
        <v>7</v>
      </c>
      <c r="BH116" s="14">
        <f t="shared" si="267"/>
        <v>11007</v>
      </c>
      <c r="BK116" s="109">
        <v>112</v>
      </c>
      <c r="BL116" s="14">
        <f t="shared" si="268"/>
        <v>12</v>
      </c>
      <c r="BM116" s="14">
        <f t="shared" si="269"/>
        <v>2</v>
      </c>
      <c r="BN116" s="14">
        <f t="shared" si="236"/>
        <v>3100</v>
      </c>
      <c r="BO116" s="14">
        <f t="shared" si="237"/>
        <v>3900</v>
      </c>
      <c r="BP116" s="14">
        <f t="shared" si="238"/>
        <v>9900</v>
      </c>
    </row>
    <row r="117" spans="45:68" ht="16.5" x14ac:dyDescent="0.2">
      <c r="AS117" s="24">
        <v>113</v>
      </c>
      <c r="AT117" s="14">
        <f t="shared" si="260"/>
        <v>29</v>
      </c>
      <c r="AU117" s="109">
        <f t="shared" si="261"/>
        <v>1</v>
      </c>
      <c r="AV117" s="109">
        <f t="shared" si="262"/>
        <v>80</v>
      </c>
      <c r="AW117" s="109">
        <f t="shared" si="263"/>
        <v>212</v>
      </c>
      <c r="AX117" s="109">
        <f t="shared" si="264"/>
        <v>380</v>
      </c>
      <c r="BA117" s="109">
        <v>113</v>
      </c>
      <c r="BB117" s="14">
        <f t="shared" si="233"/>
        <v>12</v>
      </c>
      <c r="BC117" s="14">
        <f t="shared" si="265"/>
        <v>3</v>
      </c>
      <c r="BD117" s="14">
        <f t="shared" si="306"/>
        <v>440</v>
      </c>
      <c r="BE117" s="14">
        <f t="shared" si="234"/>
        <v>1950</v>
      </c>
      <c r="BF117" s="14">
        <f t="shared" si="235"/>
        <v>4950</v>
      </c>
      <c r="BG117" s="14">
        <f t="shared" si="266"/>
        <v>7</v>
      </c>
      <c r="BH117" s="14">
        <f t="shared" si="267"/>
        <v>11007</v>
      </c>
      <c r="BK117" s="109">
        <v>113</v>
      </c>
      <c r="BL117" s="14">
        <f t="shared" si="268"/>
        <v>12</v>
      </c>
      <c r="BM117" s="14">
        <f t="shared" si="269"/>
        <v>3</v>
      </c>
      <c r="BN117" s="14">
        <f t="shared" si="236"/>
        <v>3100</v>
      </c>
      <c r="BO117" s="14">
        <f t="shared" si="237"/>
        <v>3900</v>
      </c>
      <c r="BP117" s="14">
        <f t="shared" si="238"/>
        <v>9900</v>
      </c>
    </row>
    <row r="118" spans="45:68" ht="16.5" x14ac:dyDescent="0.2">
      <c r="AS118" s="24">
        <v>114</v>
      </c>
      <c r="AT118" s="14">
        <f t="shared" si="260"/>
        <v>29</v>
      </c>
      <c r="AU118" s="109">
        <f t="shared" si="261"/>
        <v>2</v>
      </c>
      <c r="AV118" s="109">
        <f t="shared" si="262"/>
        <v>80</v>
      </c>
      <c r="AW118" s="109">
        <f t="shared" si="263"/>
        <v>214</v>
      </c>
      <c r="AX118" s="109">
        <f t="shared" si="264"/>
        <v>385</v>
      </c>
      <c r="BA118" s="109">
        <v>114</v>
      </c>
      <c r="BB118" s="14">
        <f t="shared" si="233"/>
        <v>12</v>
      </c>
      <c r="BC118" s="14">
        <f t="shared" si="265"/>
        <v>4</v>
      </c>
      <c r="BD118" s="14">
        <f t="shared" si="306"/>
        <v>440</v>
      </c>
      <c r="BE118" s="14">
        <f t="shared" si="234"/>
        <v>1950</v>
      </c>
      <c r="BF118" s="14">
        <f t="shared" si="235"/>
        <v>4950</v>
      </c>
      <c r="BG118" s="14">
        <f t="shared" si="266"/>
        <v>7</v>
      </c>
      <c r="BH118" s="14">
        <f t="shared" si="267"/>
        <v>11007</v>
      </c>
      <c r="BK118" s="109">
        <v>114</v>
      </c>
      <c r="BL118" s="14">
        <f t="shared" si="268"/>
        <v>12</v>
      </c>
      <c r="BM118" s="14">
        <f t="shared" si="269"/>
        <v>4</v>
      </c>
      <c r="BN118" s="14">
        <f t="shared" si="236"/>
        <v>3100</v>
      </c>
      <c r="BO118" s="14">
        <f t="shared" si="237"/>
        <v>3900</v>
      </c>
      <c r="BP118" s="14">
        <f t="shared" si="238"/>
        <v>9900</v>
      </c>
    </row>
    <row r="119" spans="45:68" ht="16.5" x14ac:dyDescent="0.2">
      <c r="AS119" s="24">
        <v>115</v>
      </c>
      <c r="AT119" s="14">
        <f t="shared" si="260"/>
        <v>29</v>
      </c>
      <c r="AU119" s="109">
        <f t="shared" si="261"/>
        <v>3</v>
      </c>
      <c r="AV119" s="109">
        <f t="shared" si="262"/>
        <v>80</v>
      </c>
      <c r="AW119" s="109">
        <f t="shared" si="263"/>
        <v>216</v>
      </c>
      <c r="AX119" s="109">
        <f t="shared" si="264"/>
        <v>390</v>
      </c>
      <c r="BA119" s="109">
        <v>115</v>
      </c>
      <c r="BB119" s="14">
        <f t="shared" si="233"/>
        <v>12</v>
      </c>
      <c r="BC119" s="14">
        <f t="shared" si="265"/>
        <v>5</v>
      </c>
      <c r="BD119" s="14">
        <f t="shared" si="306"/>
        <v>440</v>
      </c>
      <c r="BE119" s="14">
        <f t="shared" si="234"/>
        <v>1950</v>
      </c>
      <c r="BF119" s="14">
        <f t="shared" si="235"/>
        <v>4950</v>
      </c>
      <c r="BG119" s="14">
        <f t="shared" si="266"/>
        <v>7</v>
      </c>
      <c r="BH119" s="14">
        <f t="shared" si="267"/>
        <v>11007</v>
      </c>
      <c r="BK119" s="109">
        <v>115</v>
      </c>
      <c r="BL119" s="14">
        <f t="shared" si="268"/>
        <v>12</v>
      </c>
      <c r="BM119" s="14">
        <f t="shared" si="269"/>
        <v>5</v>
      </c>
      <c r="BN119" s="14">
        <f t="shared" si="236"/>
        <v>3100</v>
      </c>
      <c r="BO119" s="14">
        <f t="shared" si="237"/>
        <v>3900</v>
      </c>
      <c r="BP119" s="14">
        <f t="shared" si="238"/>
        <v>9900</v>
      </c>
    </row>
    <row r="120" spans="45:68" ht="16.5" x14ac:dyDescent="0.2">
      <c r="AS120" s="24">
        <v>116</v>
      </c>
      <c r="AT120" s="14">
        <f t="shared" si="260"/>
        <v>29</v>
      </c>
      <c r="AU120" s="109">
        <f t="shared" si="261"/>
        <v>4</v>
      </c>
      <c r="AV120" s="109">
        <f t="shared" si="262"/>
        <v>80</v>
      </c>
      <c r="AW120" s="109">
        <f t="shared" si="263"/>
        <v>218</v>
      </c>
      <c r="AX120" s="109">
        <f t="shared" si="264"/>
        <v>395</v>
      </c>
      <c r="BA120" s="109">
        <v>116</v>
      </c>
      <c r="BB120" s="14">
        <f t="shared" si="233"/>
        <v>12</v>
      </c>
      <c r="BC120" s="14">
        <f t="shared" si="265"/>
        <v>6</v>
      </c>
      <c r="BD120" s="14">
        <f t="shared" si="306"/>
        <v>440</v>
      </c>
      <c r="BE120" s="14">
        <f t="shared" si="234"/>
        <v>1950</v>
      </c>
      <c r="BF120" s="14">
        <f t="shared" si="235"/>
        <v>4950</v>
      </c>
      <c r="BG120" s="14">
        <f t="shared" si="266"/>
        <v>7</v>
      </c>
      <c r="BH120" s="14">
        <f t="shared" si="267"/>
        <v>11007</v>
      </c>
      <c r="BK120" s="109">
        <v>116</v>
      </c>
      <c r="BL120" s="14">
        <f t="shared" si="268"/>
        <v>12</v>
      </c>
      <c r="BM120" s="14">
        <f t="shared" si="269"/>
        <v>6</v>
      </c>
      <c r="BN120" s="14">
        <f t="shared" si="236"/>
        <v>3100</v>
      </c>
      <c r="BO120" s="14">
        <f t="shared" si="237"/>
        <v>3900</v>
      </c>
      <c r="BP120" s="14">
        <f t="shared" si="238"/>
        <v>9900</v>
      </c>
    </row>
    <row r="121" spans="45:68" ht="16.5" x14ac:dyDescent="0.2">
      <c r="AS121" s="24">
        <v>117</v>
      </c>
      <c r="AT121" s="14">
        <f t="shared" si="260"/>
        <v>30</v>
      </c>
      <c r="AU121" s="109">
        <f t="shared" si="261"/>
        <v>1</v>
      </c>
      <c r="AV121" s="109">
        <f t="shared" si="262"/>
        <v>80</v>
      </c>
      <c r="AW121" s="109">
        <f t="shared" si="263"/>
        <v>220</v>
      </c>
      <c r="AX121" s="109">
        <f t="shared" si="264"/>
        <v>416</v>
      </c>
      <c r="BA121" s="109">
        <v>117</v>
      </c>
      <c r="BB121" s="14">
        <f t="shared" si="233"/>
        <v>12</v>
      </c>
      <c r="BC121" s="14">
        <f t="shared" si="265"/>
        <v>7</v>
      </c>
      <c r="BD121" s="14">
        <f t="shared" si="306"/>
        <v>440</v>
      </c>
      <c r="BE121" s="14">
        <f t="shared" si="234"/>
        <v>1950</v>
      </c>
      <c r="BF121" s="14">
        <f t="shared" si="235"/>
        <v>4950</v>
      </c>
      <c r="BG121" s="14">
        <f t="shared" si="266"/>
        <v>7</v>
      </c>
      <c r="BH121" s="14">
        <f t="shared" si="267"/>
        <v>11007</v>
      </c>
      <c r="BK121" s="109">
        <v>117</v>
      </c>
      <c r="BL121" s="14">
        <f t="shared" si="268"/>
        <v>12</v>
      </c>
      <c r="BM121" s="14">
        <f t="shared" si="269"/>
        <v>7</v>
      </c>
      <c r="BN121" s="14">
        <f t="shared" si="236"/>
        <v>3100</v>
      </c>
      <c r="BO121" s="14">
        <f t="shared" si="237"/>
        <v>3900</v>
      </c>
      <c r="BP121" s="14">
        <f t="shared" si="238"/>
        <v>9900</v>
      </c>
    </row>
    <row r="122" spans="45:68" ht="16.5" x14ac:dyDescent="0.2">
      <c r="AS122" s="24">
        <v>118</v>
      </c>
      <c r="AT122" s="14">
        <f t="shared" si="260"/>
        <v>30</v>
      </c>
      <c r="AU122" s="109">
        <f t="shared" si="261"/>
        <v>2</v>
      </c>
      <c r="AV122" s="109">
        <f t="shared" si="262"/>
        <v>80</v>
      </c>
      <c r="AW122" s="109">
        <f t="shared" si="263"/>
        <v>220</v>
      </c>
      <c r="AX122" s="109">
        <f t="shared" si="264"/>
        <v>432</v>
      </c>
      <c r="BA122" s="109">
        <v>118</v>
      </c>
      <c r="BB122" s="14">
        <f t="shared" si="233"/>
        <v>12</v>
      </c>
      <c r="BC122" s="14">
        <f t="shared" si="265"/>
        <v>8</v>
      </c>
      <c r="BD122" s="14">
        <f t="shared" si="306"/>
        <v>440</v>
      </c>
      <c r="BE122" s="14">
        <f t="shared" si="234"/>
        <v>1950</v>
      </c>
      <c r="BF122" s="14">
        <f t="shared" si="235"/>
        <v>4950</v>
      </c>
      <c r="BG122" s="14">
        <f t="shared" si="266"/>
        <v>7</v>
      </c>
      <c r="BH122" s="14">
        <f t="shared" si="267"/>
        <v>11007</v>
      </c>
      <c r="BK122" s="109">
        <v>118</v>
      </c>
      <c r="BL122" s="14">
        <f t="shared" si="268"/>
        <v>12</v>
      </c>
      <c r="BM122" s="14">
        <f t="shared" si="269"/>
        <v>8</v>
      </c>
      <c r="BN122" s="14">
        <f t="shared" si="236"/>
        <v>3100</v>
      </c>
      <c r="BO122" s="14">
        <f t="shared" si="237"/>
        <v>3900</v>
      </c>
      <c r="BP122" s="14">
        <f t="shared" si="238"/>
        <v>9900</v>
      </c>
    </row>
    <row r="123" spans="45:68" ht="16.5" x14ac:dyDescent="0.2">
      <c r="AS123" s="24">
        <v>119</v>
      </c>
      <c r="AT123" s="14">
        <f t="shared" si="260"/>
        <v>30</v>
      </c>
      <c r="AU123" s="109">
        <f t="shared" si="261"/>
        <v>3</v>
      </c>
      <c r="AV123" s="109">
        <f t="shared" si="262"/>
        <v>80</v>
      </c>
      <c r="AW123" s="109">
        <f t="shared" si="263"/>
        <v>220</v>
      </c>
      <c r="AX123" s="109">
        <f t="shared" si="264"/>
        <v>448</v>
      </c>
      <c r="BA123" s="109">
        <v>119</v>
      </c>
      <c r="BB123" s="14">
        <f t="shared" si="233"/>
        <v>12</v>
      </c>
      <c r="BC123" s="14">
        <f t="shared" si="265"/>
        <v>9</v>
      </c>
      <c r="BD123" s="14">
        <f t="shared" si="306"/>
        <v>440</v>
      </c>
      <c r="BE123" s="14">
        <f t="shared" si="234"/>
        <v>1950</v>
      </c>
      <c r="BF123" s="14">
        <f t="shared" si="235"/>
        <v>4950</v>
      </c>
      <c r="BG123" s="14">
        <f t="shared" si="266"/>
        <v>7</v>
      </c>
      <c r="BH123" s="14">
        <f t="shared" si="267"/>
        <v>11007</v>
      </c>
      <c r="BK123" s="109">
        <v>119</v>
      </c>
      <c r="BL123" s="14">
        <f t="shared" si="268"/>
        <v>12</v>
      </c>
      <c r="BM123" s="14">
        <f t="shared" si="269"/>
        <v>9</v>
      </c>
      <c r="BN123" s="14">
        <f t="shared" si="236"/>
        <v>3100</v>
      </c>
      <c r="BO123" s="14">
        <f t="shared" si="237"/>
        <v>3900</v>
      </c>
      <c r="BP123" s="14">
        <f t="shared" si="238"/>
        <v>9900</v>
      </c>
    </row>
    <row r="124" spans="45:68" ht="16.5" x14ac:dyDescent="0.2">
      <c r="AS124" s="24">
        <v>120</v>
      </c>
      <c r="AT124" s="14">
        <f t="shared" si="260"/>
        <v>30</v>
      </c>
      <c r="AU124" s="109">
        <f t="shared" si="261"/>
        <v>4</v>
      </c>
      <c r="AV124" s="109">
        <f t="shared" si="262"/>
        <v>80</v>
      </c>
      <c r="AW124" s="109">
        <f t="shared" si="263"/>
        <v>220</v>
      </c>
      <c r="AX124" s="109">
        <f t="shared" si="264"/>
        <v>464</v>
      </c>
      <c r="BA124" s="109">
        <v>120</v>
      </c>
      <c r="BB124" s="14">
        <f t="shared" si="233"/>
        <v>12</v>
      </c>
      <c r="BC124" s="14">
        <f t="shared" si="265"/>
        <v>10</v>
      </c>
      <c r="BD124" s="14">
        <f t="shared" si="306"/>
        <v>440</v>
      </c>
      <c r="BE124" s="14">
        <f t="shared" si="234"/>
        <v>1950</v>
      </c>
      <c r="BF124" s="14">
        <f t="shared" si="235"/>
        <v>4950</v>
      </c>
      <c r="BG124" s="14">
        <f t="shared" si="266"/>
        <v>7</v>
      </c>
      <c r="BH124" s="14">
        <f t="shared" si="267"/>
        <v>11007</v>
      </c>
      <c r="BK124" s="109">
        <v>120</v>
      </c>
      <c r="BL124" s="14">
        <f t="shared" si="268"/>
        <v>12</v>
      </c>
      <c r="BM124" s="14">
        <f t="shared" si="269"/>
        <v>10</v>
      </c>
      <c r="BN124" s="14">
        <f t="shared" si="236"/>
        <v>3100</v>
      </c>
      <c r="BO124" s="14">
        <f t="shared" si="237"/>
        <v>3900</v>
      </c>
      <c r="BP124" s="14">
        <f t="shared" si="238"/>
        <v>9900</v>
      </c>
    </row>
    <row r="125" spans="45:68" ht="16.5" x14ac:dyDescent="0.2">
      <c r="AS125" s="110"/>
      <c r="AT125" s="110"/>
      <c r="AU125" s="110"/>
      <c r="AV125" s="110"/>
      <c r="AW125" s="110"/>
      <c r="AX125" s="110"/>
      <c r="BA125" s="109">
        <v>121</v>
      </c>
      <c r="BB125" s="14">
        <f t="shared" si="233"/>
        <v>13</v>
      </c>
      <c r="BC125" s="14">
        <f t="shared" si="265"/>
        <v>1</v>
      </c>
      <c r="BD125" s="14">
        <f t="shared" si="306"/>
        <v>500</v>
      </c>
      <c r="BE125" s="14">
        <f t="shared" si="234"/>
        <v>2100</v>
      </c>
      <c r="BF125" s="14">
        <f t="shared" si="235"/>
        <v>5625</v>
      </c>
      <c r="BG125" s="14">
        <f t="shared" si="266"/>
        <v>8.35</v>
      </c>
      <c r="BH125" s="14">
        <f t="shared" si="267"/>
        <v>11008</v>
      </c>
      <c r="BK125" s="109">
        <v>121</v>
      </c>
      <c r="BL125" s="14">
        <f t="shared" si="268"/>
        <v>13</v>
      </c>
      <c r="BM125" s="14">
        <f t="shared" si="269"/>
        <v>1</v>
      </c>
      <c r="BN125" s="14">
        <f t="shared" si="236"/>
        <v>4050</v>
      </c>
      <c r="BO125" s="14">
        <f t="shared" si="237"/>
        <v>4200</v>
      </c>
      <c r="BP125" s="14">
        <f t="shared" si="238"/>
        <v>11250</v>
      </c>
    </row>
    <row r="126" spans="45:68" ht="16.5" x14ac:dyDescent="0.2">
      <c r="AS126" s="110"/>
      <c r="AT126" s="110"/>
      <c r="AU126" s="110"/>
      <c r="AV126" s="110"/>
      <c r="AW126" s="110"/>
      <c r="AX126" s="110"/>
      <c r="BA126" s="109">
        <v>122</v>
      </c>
      <c r="BB126" s="14">
        <f t="shared" si="233"/>
        <v>13</v>
      </c>
      <c r="BC126" s="14">
        <f t="shared" si="265"/>
        <v>2</v>
      </c>
      <c r="BD126" s="14">
        <f t="shared" si="306"/>
        <v>500</v>
      </c>
      <c r="BE126" s="14">
        <f t="shared" si="234"/>
        <v>2100</v>
      </c>
      <c r="BF126" s="14">
        <f t="shared" si="235"/>
        <v>5625</v>
      </c>
      <c r="BG126" s="14">
        <f t="shared" si="266"/>
        <v>8.35</v>
      </c>
      <c r="BH126" s="14">
        <f t="shared" si="267"/>
        <v>11008</v>
      </c>
      <c r="BK126" s="109">
        <v>122</v>
      </c>
      <c r="BL126" s="14">
        <f t="shared" si="268"/>
        <v>13</v>
      </c>
      <c r="BM126" s="14">
        <f t="shared" si="269"/>
        <v>2</v>
      </c>
      <c r="BN126" s="14">
        <f t="shared" si="236"/>
        <v>4050</v>
      </c>
      <c r="BO126" s="14">
        <f t="shared" si="237"/>
        <v>4200</v>
      </c>
      <c r="BP126" s="14">
        <f t="shared" si="238"/>
        <v>11250</v>
      </c>
    </row>
    <row r="127" spans="45:68" ht="16.5" x14ac:dyDescent="0.2">
      <c r="AS127" s="110"/>
      <c r="AT127" s="110"/>
      <c r="AU127" s="110"/>
      <c r="AV127" s="110"/>
      <c r="AW127" s="110"/>
      <c r="AX127" s="110"/>
      <c r="BA127" s="109">
        <v>123</v>
      </c>
      <c r="BB127" s="14">
        <f t="shared" si="233"/>
        <v>13</v>
      </c>
      <c r="BC127" s="14">
        <f t="shared" si="265"/>
        <v>3</v>
      </c>
      <c r="BD127" s="14">
        <f t="shared" si="306"/>
        <v>500</v>
      </c>
      <c r="BE127" s="14">
        <f t="shared" si="234"/>
        <v>2100</v>
      </c>
      <c r="BF127" s="14">
        <f t="shared" si="235"/>
        <v>5625</v>
      </c>
      <c r="BG127" s="14">
        <f t="shared" si="266"/>
        <v>8.35</v>
      </c>
      <c r="BH127" s="14">
        <f t="shared" si="267"/>
        <v>11008</v>
      </c>
      <c r="BK127" s="109">
        <v>123</v>
      </c>
      <c r="BL127" s="14">
        <f t="shared" si="268"/>
        <v>13</v>
      </c>
      <c r="BM127" s="14">
        <f t="shared" si="269"/>
        <v>3</v>
      </c>
      <c r="BN127" s="14">
        <f t="shared" si="236"/>
        <v>4050</v>
      </c>
      <c r="BO127" s="14">
        <f t="shared" si="237"/>
        <v>4200</v>
      </c>
      <c r="BP127" s="14">
        <f t="shared" si="238"/>
        <v>11250</v>
      </c>
    </row>
    <row r="128" spans="45:68" ht="16.5" x14ac:dyDescent="0.2">
      <c r="AS128" s="110"/>
      <c r="AT128" s="110"/>
      <c r="AU128" s="110"/>
      <c r="AV128" s="110"/>
      <c r="AW128" s="110"/>
      <c r="AX128" s="110"/>
      <c r="BA128" s="109">
        <v>124</v>
      </c>
      <c r="BB128" s="14">
        <f t="shared" si="233"/>
        <v>13</v>
      </c>
      <c r="BC128" s="14">
        <f t="shared" si="265"/>
        <v>4</v>
      </c>
      <c r="BD128" s="14">
        <f t="shared" si="306"/>
        <v>500</v>
      </c>
      <c r="BE128" s="14">
        <f t="shared" si="234"/>
        <v>2100</v>
      </c>
      <c r="BF128" s="14">
        <f t="shared" si="235"/>
        <v>5625</v>
      </c>
      <c r="BG128" s="14">
        <f t="shared" si="266"/>
        <v>8.35</v>
      </c>
      <c r="BH128" s="14">
        <f t="shared" si="267"/>
        <v>11008</v>
      </c>
      <c r="BK128" s="109">
        <v>124</v>
      </c>
      <c r="BL128" s="14">
        <f t="shared" si="268"/>
        <v>13</v>
      </c>
      <c r="BM128" s="14">
        <f t="shared" si="269"/>
        <v>4</v>
      </c>
      <c r="BN128" s="14">
        <f t="shared" si="236"/>
        <v>4050</v>
      </c>
      <c r="BO128" s="14">
        <f t="shared" si="237"/>
        <v>4200</v>
      </c>
      <c r="BP128" s="14">
        <f t="shared" si="238"/>
        <v>11250</v>
      </c>
    </row>
    <row r="129" spans="45:68" ht="16.5" x14ac:dyDescent="0.2">
      <c r="AS129" s="110"/>
      <c r="AT129" s="110"/>
      <c r="AU129" s="110"/>
      <c r="AV129" s="110"/>
      <c r="AW129" s="110"/>
      <c r="AX129" s="110"/>
      <c r="BA129" s="109">
        <v>125</v>
      </c>
      <c r="BB129" s="14">
        <f t="shared" si="233"/>
        <v>13</v>
      </c>
      <c r="BC129" s="14">
        <f t="shared" si="265"/>
        <v>5</v>
      </c>
      <c r="BD129" s="14">
        <f t="shared" si="306"/>
        <v>500</v>
      </c>
      <c r="BE129" s="14">
        <f t="shared" si="234"/>
        <v>2100</v>
      </c>
      <c r="BF129" s="14">
        <f t="shared" si="235"/>
        <v>5625</v>
      </c>
      <c r="BG129" s="14">
        <f t="shared" si="266"/>
        <v>8.35</v>
      </c>
      <c r="BH129" s="14">
        <f t="shared" si="267"/>
        <v>11008</v>
      </c>
      <c r="BK129" s="109">
        <v>125</v>
      </c>
      <c r="BL129" s="14">
        <f t="shared" si="268"/>
        <v>13</v>
      </c>
      <c r="BM129" s="14">
        <f t="shared" si="269"/>
        <v>5</v>
      </c>
      <c r="BN129" s="14">
        <f t="shared" si="236"/>
        <v>4050</v>
      </c>
      <c r="BO129" s="14">
        <f t="shared" si="237"/>
        <v>4200</v>
      </c>
      <c r="BP129" s="14">
        <f t="shared" si="238"/>
        <v>11250</v>
      </c>
    </row>
    <row r="130" spans="45:68" ht="16.5" x14ac:dyDescent="0.2">
      <c r="AS130" s="110"/>
      <c r="AT130" s="110"/>
      <c r="AU130" s="110"/>
      <c r="AV130" s="110"/>
      <c r="AW130" s="110"/>
      <c r="AX130" s="110"/>
      <c r="BA130" s="109">
        <v>126</v>
      </c>
      <c r="BB130" s="14">
        <f t="shared" si="233"/>
        <v>13</v>
      </c>
      <c r="BC130" s="14">
        <f t="shared" si="265"/>
        <v>6</v>
      </c>
      <c r="BD130" s="14">
        <f t="shared" si="306"/>
        <v>500</v>
      </c>
      <c r="BE130" s="14">
        <f t="shared" si="234"/>
        <v>2100</v>
      </c>
      <c r="BF130" s="14">
        <f t="shared" si="235"/>
        <v>5625</v>
      </c>
      <c r="BG130" s="14">
        <f t="shared" si="266"/>
        <v>8.35</v>
      </c>
      <c r="BH130" s="14">
        <f t="shared" si="267"/>
        <v>11008</v>
      </c>
      <c r="BK130" s="109">
        <v>126</v>
      </c>
      <c r="BL130" s="14">
        <f t="shared" si="268"/>
        <v>13</v>
      </c>
      <c r="BM130" s="14">
        <f t="shared" si="269"/>
        <v>6</v>
      </c>
      <c r="BN130" s="14">
        <f t="shared" si="236"/>
        <v>4050</v>
      </c>
      <c r="BO130" s="14">
        <f t="shared" si="237"/>
        <v>4200</v>
      </c>
      <c r="BP130" s="14">
        <f t="shared" si="238"/>
        <v>11250</v>
      </c>
    </row>
    <row r="131" spans="45:68" ht="16.5" x14ac:dyDescent="0.2">
      <c r="AS131" s="110"/>
      <c r="AT131" s="110"/>
      <c r="AU131" s="110"/>
      <c r="AV131" s="110"/>
      <c r="AW131" s="110"/>
      <c r="AX131" s="110"/>
      <c r="BA131" s="109">
        <v>127</v>
      </c>
      <c r="BB131" s="14">
        <f t="shared" si="233"/>
        <v>13</v>
      </c>
      <c r="BC131" s="14">
        <f t="shared" si="265"/>
        <v>7</v>
      </c>
      <c r="BD131" s="14">
        <f t="shared" si="306"/>
        <v>500</v>
      </c>
      <c r="BE131" s="14">
        <f t="shared" si="234"/>
        <v>2100</v>
      </c>
      <c r="BF131" s="14">
        <f t="shared" si="235"/>
        <v>5625</v>
      </c>
      <c r="BG131" s="14">
        <f t="shared" si="266"/>
        <v>8.35</v>
      </c>
      <c r="BH131" s="14">
        <f t="shared" si="267"/>
        <v>11008</v>
      </c>
      <c r="BK131" s="109">
        <v>127</v>
      </c>
      <c r="BL131" s="14">
        <f t="shared" si="268"/>
        <v>13</v>
      </c>
      <c r="BM131" s="14">
        <f t="shared" si="269"/>
        <v>7</v>
      </c>
      <c r="BN131" s="14">
        <f t="shared" si="236"/>
        <v>4050</v>
      </c>
      <c r="BO131" s="14">
        <f t="shared" si="237"/>
        <v>4200</v>
      </c>
      <c r="BP131" s="14">
        <f t="shared" si="238"/>
        <v>11250</v>
      </c>
    </row>
    <row r="132" spans="45:68" ht="16.5" x14ac:dyDescent="0.2">
      <c r="AS132" s="110"/>
      <c r="AT132" s="110"/>
      <c r="AU132" s="110"/>
      <c r="AV132" s="110"/>
      <c r="AW132" s="110"/>
      <c r="AX132" s="110"/>
      <c r="BA132" s="109">
        <v>128</v>
      </c>
      <c r="BB132" s="14">
        <f t="shared" si="233"/>
        <v>13</v>
      </c>
      <c r="BC132" s="14">
        <f t="shared" si="265"/>
        <v>8</v>
      </c>
      <c r="BD132" s="14">
        <f t="shared" si="306"/>
        <v>500</v>
      </c>
      <c r="BE132" s="14">
        <f t="shared" si="234"/>
        <v>2100</v>
      </c>
      <c r="BF132" s="14">
        <f t="shared" si="235"/>
        <v>5625</v>
      </c>
      <c r="BG132" s="14">
        <f t="shared" si="266"/>
        <v>8.35</v>
      </c>
      <c r="BH132" s="14">
        <f t="shared" si="267"/>
        <v>11008</v>
      </c>
      <c r="BK132" s="109">
        <v>128</v>
      </c>
      <c r="BL132" s="14">
        <f t="shared" si="268"/>
        <v>13</v>
      </c>
      <c r="BM132" s="14">
        <f t="shared" si="269"/>
        <v>8</v>
      </c>
      <c r="BN132" s="14">
        <f t="shared" si="236"/>
        <v>4050</v>
      </c>
      <c r="BO132" s="14">
        <f t="shared" si="237"/>
        <v>4200</v>
      </c>
      <c r="BP132" s="14">
        <f t="shared" si="238"/>
        <v>11250</v>
      </c>
    </row>
    <row r="133" spans="45:68" ht="16.5" x14ac:dyDescent="0.2">
      <c r="AS133" s="110"/>
      <c r="AT133" s="110"/>
      <c r="AU133" s="110"/>
      <c r="AV133" s="110"/>
      <c r="AW133" s="110"/>
      <c r="AX133" s="110"/>
      <c r="BA133" s="109">
        <v>129</v>
      </c>
      <c r="BB133" s="14">
        <f t="shared" ref="BB133:BB196" si="347">INDEX($O$5:$O$36,MATCH(BA133-1,$R$5:$R$36,1))+1</f>
        <v>13</v>
      </c>
      <c r="BC133" s="14">
        <f t="shared" si="265"/>
        <v>9</v>
      </c>
      <c r="BD133" s="14">
        <f t="shared" si="306"/>
        <v>500</v>
      </c>
      <c r="BE133" s="14">
        <f t="shared" ref="BE133:BE196" si="348">INDEX($V$6:$V$35,BB133)</f>
        <v>2100</v>
      </c>
      <c r="BF133" s="14">
        <f t="shared" ref="BF133:BF196" si="349">INDEX($X$6:$X$35,BB133)</f>
        <v>5625</v>
      </c>
      <c r="BG133" s="14">
        <f t="shared" si="266"/>
        <v>8.35</v>
      </c>
      <c r="BH133" s="14">
        <f t="shared" si="267"/>
        <v>11008</v>
      </c>
      <c r="BK133" s="109">
        <v>129</v>
      </c>
      <c r="BL133" s="14">
        <f t="shared" si="268"/>
        <v>13</v>
      </c>
      <c r="BM133" s="14">
        <f t="shared" si="269"/>
        <v>9</v>
      </c>
      <c r="BN133" s="14">
        <f t="shared" ref="BN133:BN196" si="350">INDEX($AJ$6:$AJ$35,BL133)</f>
        <v>4050</v>
      </c>
      <c r="BO133" s="14">
        <f t="shared" ref="BO133:BO196" si="351">INDEX($AL$6:$AL$35,BL133)</f>
        <v>4200</v>
      </c>
      <c r="BP133" s="14">
        <f t="shared" ref="BP133:BP196" si="352">INDEX($AN$6:$AN$35,BL133)</f>
        <v>11250</v>
      </c>
    </row>
    <row r="134" spans="45:68" ht="16.5" x14ac:dyDescent="0.2">
      <c r="AS134" s="110"/>
      <c r="AT134" s="110"/>
      <c r="AU134" s="110"/>
      <c r="AV134" s="110"/>
      <c r="AW134" s="110"/>
      <c r="AX134" s="110"/>
      <c r="BA134" s="109">
        <v>130</v>
      </c>
      <c r="BB134" s="14">
        <f t="shared" si="347"/>
        <v>13</v>
      </c>
      <c r="BC134" s="14">
        <f t="shared" ref="BC134:BC197" si="353">BA134-INDEX($R$5:$R$36,BB134)</f>
        <v>10</v>
      </c>
      <c r="BD134" s="14">
        <f t="shared" si="306"/>
        <v>500</v>
      </c>
      <c r="BE134" s="14">
        <f t="shared" si="348"/>
        <v>2100</v>
      </c>
      <c r="BF134" s="14">
        <f t="shared" si="349"/>
        <v>5625</v>
      </c>
      <c r="BG134" s="14">
        <f t="shared" ref="BG134:BG197" si="354">INDEX($AA$6:$AA$33,BB134)</f>
        <v>8.35</v>
      </c>
      <c r="BH134" s="14">
        <f t="shared" ref="BH134:BH197" si="355">11000+INT(BG134)</f>
        <v>11008</v>
      </c>
      <c r="BK134" s="109">
        <v>130</v>
      </c>
      <c r="BL134" s="14">
        <f t="shared" ref="BL134:BL197" si="356">INDEX($AC$5:$AC$35,MATCH(BK134-1,$AI$5:$AI$35,1))+1</f>
        <v>13</v>
      </c>
      <c r="BM134" s="14">
        <f t="shared" ref="BM134:BM197" si="357">BK134-INDEX($AI$5:$AI$35,BL134)</f>
        <v>10</v>
      </c>
      <c r="BN134" s="14">
        <f t="shared" si="350"/>
        <v>4050</v>
      </c>
      <c r="BO134" s="14">
        <f t="shared" si="351"/>
        <v>4200</v>
      </c>
      <c r="BP134" s="14">
        <f t="shared" si="352"/>
        <v>11250</v>
      </c>
    </row>
    <row r="135" spans="45:68" ht="16.5" x14ac:dyDescent="0.2">
      <c r="AS135" s="110"/>
      <c r="AT135" s="110"/>
      <c r="AU135" s="110"/>
      <c r="AV135" s="110"/>
      <c r="AW135" s="110"/>
      <c r="AX135" s="110"/>
      <c r="BA135" s="109">
        <v>131</v>
      </c>
      <c r="BB135" s="14">
        <f t="shared" si="347"/>
        <v>14</v>
      </c>
      <c r="BC135" s="14">
        <f t="shared" si="353"/>
        <v>1</v>
      </c>
      <c r="BD135" s="14">
        <f t="shared" si="306"/>
        <v>540</v>
      </c>
      <c r="BE135" s="14">
        <f t="shared" si="348"/>
        <v>2250</v>
      </c>
      <c r="BF135" s="14">
        <f t="shared" si="349"/>
        <v>6075</v>
      </c>
      <c r="BG135" s="14">
        <f t="shared" si="354"/>
        <v>9.94</v>
      </c>
      <c r="BH135" s="14">
        <f t="shared" si="355"/>
        <v>11009</v>
      </c>
      <c r="BK135" s="109">
        <v>131</v>
      </c>
      <c r="BL135" s="14">
        <f t="shared" si="356"/>
        <v>14</v>
      </c>
      <c r="BM135" s="14">
        <f t="shared" si="357"/>
        <v>1</v>
      </c>
      <c r="BN135" s="14">
        <f t="shared" si="350"/>
        <v>5050</v>
      </c>
      <c r="BO135" s="14">
        <f t="shared" si="351"/>
        <v>4500</v>
      </c>
      <c r="BP135" s="14">
        <f t="shared" si="352"/>
        <v>12150</v>
      </c>
    </row>
    <row r="136" spans="45:68" ht="16.5" x14ac:dyDescent="0.2">
      <c r="AS136" s="110"/>
      <c r="AT136" s="110"/>
      <c r="AU136" s="110"/>
      <c r="AV136" s="110"/>
      <c r="AW136" s="110"/>
      <c r="AX136" s="110"/>
      <c r="BA136" s="109">
        <v>132</v>
      </c>
      <c r="BB136" s="14">
        <f t="shared" si="347"/>
        <v>14</v>
      </c>
      <c r="BC136" s="14">
        <f t="shared" si="353"/>
        <v>2</v>
      </c>
      <c r="BD136" s="14">
        <f t="shared" si="306"/>
        <v>540</v>
      </c>
      <c r="BE136" s="14">
        <f t="shared" si="348"/>
        <v>2250</v>
      </c>
      <c r="BF136" s="14">
        <f t="shared" si="349"/>
        <v>6075</v>
      </c>
      <c r="BG136" s="14">
        <f t="shared" si="354"/>
        <v>9.94</v>
      </c>
      <c r="BH136" s="14">
        <f t="shared" si="355"/>
        <v>11009</v>
      </c>
      <c r="BK136" s="109">
        <v>132</v>
      </c>
      <c r="BL136" s="14">
        <f t="shared" si="356"/>
        <v>14</v>
      </c>
      <c r="BM136" s="14">
        <f t="shared" si="357"/>
        <v>2</v>
      </c>
      <c r="BN136" s="14">
        <f t="shared" si="350"/>
        <v>5050</v>
      </c>
      <c r="BO136" s="14">
        <f t="shared" si="351"/>
        <v>4500</v>
      </c>
      <c r="BP136" s="14">
        <f t="shared" si="352"/>
        <v>12150</v>
      </c>
    </row>
    <row r="137" spans="45:68" ht="16.5" x14ac:dyDescent="0.2">
      <c r="AS137" s="110"/>
      <c r="AT137" s="110"/>
      <c r="AU137" s="110"/>
      <c r="AV137" s="110"/>
      <c r="AW137" s="110"/>
      <c r="AX137" s="110"/>
      <c r="BA137" s="109">
        <v>133</v>
      </c>
      <c r="BB137" s="14">
        <f t="shared" si="347"/>
        <v>14</v>
      </c>
      <c r="BC137" s="14">
        <f t="shared" si="353"/>
        <v>3</v>
      </c>
      <c r="BD137" s="14">
        <f t="shared" si="306"/>
        <v>540</v>
      </c>
      <c r="BE137" s="14">
        <f t="shared" si="348"/>
        <v>2250</v>
      </c>
      <c r="BF137" s="14">
        <f t="shared" si="349"/>
        <v>6075</v>
      </c>
      <c r="BG137" s="14">
        <f t="shared" si="354"/>
        <v>9.94</v>
      </c>
      <c r="BH137" s="14">
        <f t="shared" si="355"/>
        <v>11009</v>
      </c>
      <c r="BK137" s="109">
        <v>133</v>
      </c>
      <c r="BL137" s="14">
        <f t="shared" si="356"/>
        <v>14</v>
      </c>
      <c r="BM137" s="14">
        <f t="shared" si="357"/>
        <v>3</v>
      </c>
      <c r="BN137" s="14">
        <f t="shared" si="350"/>
        <v>5050</v>
      </c>
      <c r="BO137" s="14">
        <f t="shared" si="351"/>
        <v>4500</v>
      </c>
      <c r="BP137" s="14">
        <f t="shared" si="352"/>
        <v>12150</v>
      </c>
    </row>
    <row r="138" spans="45:68" ht="16.5" x14ac:dyDescent="0.2">
      <c r="AS138" s="110"/>
      <c r="AT138" s="110"/>
      <c r="AU138" s="110"/>
      <c r="AV138" s="110"/>
      <c r="AW138" s="110"/>
      <c r="AX138" s="110"/>
      <c r="BA138" s="109">
        <v>134</v>
      </c>
      <c r="BB138" s="14">
        <f t="shared" si="347"/>
        <v>14</v>
      </c>
      <c r="BC138" s="14">
        <f t="shared" si="353"/>
        <v>4</v>
      </c>
      <c r="BD138" s="14">
        <f t="shared" si="306"/>
        <v>540</v>
      </c>
      <c r="BE138" s="14">
        <f t="shared" si="348"/>
        <v>2250</v>
      </c>
      <c r="BF138" s="14">
        <f t="shared" si="349"/>
        <v>6075</v>
      </c>
      <c r="BG138" s="14">
        <f t="shared" si="354"/>
        <v>9.94</v>
      </c>
      <c r="BH138" s="14">
        <f t="shared" si="355"/>
        <v>11009</v>
      </c>
      <c r="BK138" s="109">
        <v>134</v>
      </c>
      <c r="BL138" s="14">
        <f t="shared" si="356"/>
        <v>14</v>
      </c>
      <c r="BM138" s="14">
        <f t="shared" si="357"/>
        <v>4</v>
      </c>
      <c r="BN138" s="14">
        <f t="shared" si="350"/>
        <v>5050</v>
      </c>
      <c r="BO138" s="14">
        <f t="shared" si="351"/>
        <v>4500</v>
      </c>
      <c r="BP138" s="14">
        <f t="shared" si="352"/>
        <v>12150</v>
      </c>
    </row>
    <row r="139" spans="45:68" ht="16.5" x14ac:dyDescent="0.2">
      <c r="AS139" s="110"/>
      <c r="AT139" s="110"/>
      <c r="AU139" s="110"/>
      <c r="AV139" s="110"/>
      <c r="AW139" s="110"/>
      <c r="AX139" s="110"/>
      <c r="BA139" s="109">
        <v>135</v>
      </c>
      <c r="BB139" s="14">
        <f t="shared" si="347"/>
        <v>14</v>
      </c>
      <c r="BC139" s="14">
        <f t="shared" si="353"/>
        <v>5</v>
      </c>
      <c r="BD139" s="14">
        <f t="shared" si="306"/>
        <v>540</v>
      </c>
      <c r="BE139" s="14">
        <f t="shared" si="348"/>
        <v>2250</v>
      </c>
      <c r="BF139" s="14">
        <f t="shared" si="349"/>
        <v>6075</v>
      </c>
      <c r="BG139" s="14">
        <f t="shared" si="354"/>
        <v>9.94</v>
      </c>
      <c r="BH139" s="14">
        <f t="shared" si="355"/>
        <v>11009</v>
      </c>
      <c r="BK139" s="109">
        <v>135</v>
      </c>
      <c r="BL139" s="14">
        <f t="shared" si="356"/>
        <v>14</v>
      </c>
      <c r="BM139" s="14">
        <f t="shared" si="357"/>
        <v>5</v>
      </c>
      <c r="BN139" s="14">
        <f t="shared" si="350"/>
        <v>5050</v>
      </c>
      <c r="BO139" s="14">
        <f t="shared" si="351"/>
        <v>4500</v>
      </c>
      <c r="BP139" s="14">
        <f t="shared" si="352"/>
        <v>12150</v>
      </c>
    </row>
    <row r="140" spans="45:68" ht="16.5" x14ac:dyDescent="0.2">
      <c r="AS140" s="110"/>
      <c r="AT140" s="110"/>
      <c r="AU140" s="110"/>
      <c r="AV140" s="110"/>
      <c r="AW140" s="110"/>
      <c r="AX140" s="110"/>
      <c r="BA140" s="109">
        <v>136</v>
      </c>
      <c r="BB140" s="14">
        <f t="shared" si="347"/>
        <v>14</v>
      </c>
      <c r="BC140" s="14">
        <f t="shared" si="353"/>
        <v>6</v>
      </c>
      <c r="BD140" s="14">
        <f t="shared" si="306"/>
        <v>540</v>
      </c>
      <c r="BE140" s="14">
        <f t="shared" si="348"/>
        <v>2250</v>
      </c>
      <c r="BF140" s="14">
        <f t="shared" si="349"/>
        <v>6075</v>
      </c>
      <c r="BG140" s="14">
        <f t="shared" si="354"/>
        <v>9.94</v>
      </c>
      <c r="BH140" s="14">
        <f t="shared" si="355"/>
        <v>11009</v>
      </c>
      <c r="BK140" s="109">
        <v>136</v>
      </c>
      <c r="BL140" s="14">
        <f t="shared" si="356"/>
        <v>14</v>
      </c>
      <c r="BM140" s="14">
        <f t="shared" si="357"/>
        <v>6</v>
      </c>
      <c r="BN140" s="14">
        <f t="shared" si="350"/>
        <v>5050</v>
      </c>
      <c r="BO140" s="14">
        <f t="shared" si="351"/>
        <v>4500</v>
      </c>
      <c r="BP140" s="14">
        <f t="shared" si="352"/>
        <v>12150</v>
      </c>
    </row>
    <row r="141" spans="45:68" ht="16.5" x14ac:dyDescent="0.2">
      <c r="AS141" s="110"/>
      <c r="AT141" s="110"/>
      <c r="AU141" s="110"/>
      <c r="AV141" s="110"/>
      <c r="AW141" s="110"/>
      <c r="AX141" s="110"/>
      <c r="BA141" s="109">
        <v>137</v>
      </c>
      <c r="BB141" s="14">
        <f t="shared" si="347"/>
        <v>14</v>
      </c>
      <c r="BC141" s="14">
        <f t="shared" si="353"/>
        <v>7</v>
      </c>
      <c r="BD141" s="14">
        <f t="shared" si="306"/>
        <v>540</v>
      </c>
      <c r="BE141" s="14">
        <f t="shared" si="348"/>
        <v>2250</v>
      </c>
      <c r="BF141" s="14">
        <f t="shared" si="349"/>
        <v>6075</v>
      </c>
      <c r="BG141" s="14">
        <f t="shared" si="354"/>
        <v>9.94</v>
      </c>
      <c r="BH141" s="14">
        <f t="shared" si="355"/>
        <v>11009</v>
      </c>
      <c r="BK141" s="109">
        <v>137</v>
      </c>
      <c r="BL141" s="14">
        <f t="shared" si="356"/>
        <v>14</v>
      </c>
      <c r="BM141" s="14">
        <f t="shared" si="357"/>
        <v>7</v>
      </c>
      <c r="BN141" s="14">
        <f t="shared" si="350"/>
        <v>5050</v>
      </c>
      <c r="BO141" s="14">
        <f t="shared" si="351"/>
        <v>4500</v>
      </c>
      <c r="BP141" s="14">
        <f t="shared" si="352"/>
        <v>12150</v>
      </c>
    </row>
    <row r="142" spans="45:68" ht="16.5" x14ac:dyDescent="0.2">
      <c r="AS142" s="110"/>
      <c r="AT142" s="110"/>
      <c r="AU142" s="110"/>
      <c r="AV142" s="110"/>
      <c r="AW142" s="110"/>
      <c r="AX142" s="110"/>
      <c r="BA142" s="109">
        <v>138</v>
      </c>
      <c r="BB142" s="14">
        <f t="shared" si="347"/>
        <v>14</v>
      </c>
      <c r="BC142" s="14">
        <f t="shared" si="353"/>
        <v>8</v>
      </c>
      <c r="BD142" s="14">
        <f t="shared" si="306"/>
        <v>540</v>
      </c>
      <c r="BE142" s="14">
        <f t="shared" si="348"/>
        <v>2250</v>
      </c>
      <c r="BF142" s="14">
        <f t="shared" si="349"/>
        <v>6075</v>
      </c>
      <c r="BG142" s="14">
        <f t="shared" si="354"/>
        <v>9.94</v>
      </c>
      <c r="BH142" s="14">
        <f t="shared" si="355"/>
        <v>11009</v>
      </c>
      <c r="BK142" s="109">
        <v>138</v>
      </c>
      <c r="BL142" s="14">
        <f t="shared" si="356"/>
        <v>14</v>
      </c>
      <c r="BM142" s="14">
        <f t="shared" si="357"/>
        <v>8</v>
      </c>
      <c r="BN142" s="14">
        <f t="shared" si="350"/>
        <v>5050</v>
      </c>
      <c r="BO142" s="14">
        <f t="shared" si="351"/>
        <v>4500</v>
      </c>
      <c r="BP142" s="14">
        <f t="shared" si="352"/>
        <v>12150</v>
      </c>
    </row>
    <row r="143" spans="45:68" ht="16.5" x14ac:dyDescent="0.2">
      <c r="AS143" s="110"/>
      <c r="AT143" s="110"/>
      <c r="AU143" s="110"/>
      <c r="AV143" s="110"/>
      <c r="AW143" s="110"/>
      <c r="AX143" s="110"/>
      <c r="BA143" s="109">
        <v>139</v>
      </c>
      <c r="BB143" s="14">
        <f t="shared" si="347"/>
        <v>14</v>
      </c>
      <c r="BC143" s="14">
        <f t="shared" si="353"/>
        <v>9</v>
      </c>
      <c r="BD143" s="14">
        <f t="shared" ref="BD143:BD206" si="358">INDEX($T$6:$T$35,BB143)</f>
        <v>540</v>
      </c>
      <c r="BE143" s="14">
        <f t="shared" si="348"/>
        <v>2250</v>
      </c>
      <c r="BF143" s="14">
        <f t="shared" si="349"/>
        <v>6075</v>
      </c>
      <c r="BG143" s="14">
        <f t="shared" si="354"/>
        <v>9.94</v>
      </c>
      <c r="BH143" s="14">
        <f t="shared" si="355"/>
        <v>11009</v>
      </c>
      <c r="BK143" s="109">
        <v>139</v>
      </c>
      <c r="BL143" s="14">
        <f t="shared" si="356"/>
        <v>14</v>
      </c>
      <c r="BM143" s="14">
        <f t="shared" si="357"/>
        <v>9</v>
      </c>
      <c r="BN143" s="14">
        <f t="shared" si="350"/>
        <v>5050</v>
      </c>
      <c r="BO143" s="14">
        <f t="shared" si="351"/>
        <v>4500</v>
      </c>
      <c r="BP143" s="14">
        <f t="shared" si="352"/>
        <v>12150</v>
      </c>
    </row>
    <row r="144" spans="45:68" ht="16.5" x14ac:dyDescent="0.2">
      <c r="AS144" s="110"/>
      <c r="AT144" s="110"/>
      <c r="AU144" s="110"/>
      <c r="AV144" s="110"/>
      <c r="AW144" s="110"/>
      <c r="AX144" s="110"/>
      <c r="BA144" s="109">
        <v>140</v>
      </c>
      <c r="BB144" s="14">
        <f t="shared" si="347"/>
        <v>14</v>
      </c>
      <c r="BC144" s="14">
        <f t="shared" si="353"/>
        <v>10</v>
      </c>
      <c r="BD144" s="14">
        <f t="shared" si="358"/>
        <v>540</v>
      </c>
      <c r="BE144" s="14">
        <f t="shared" si="348"/>
        <v>2250</v>
      </c>
      <c r="BF144" s="14">
        <f t="shared" si="349"/>
        <v>6075</v>
      </c>
      <c r="BG144" s="14">
        <f t="shared" si="354"/>
        <v>9.94</v>
      </c>
      <c r="BH144" s="14">
        <f t="shared" si="355"/>
        <v>11009</v>
      </c>
      <c r="BK144" s="109">
        <v>140</v>
      </c>
      <c r="BL144" s="14">
        <f t="shared" si="356"/>
        <v>14</v>
      </c>
      <c r="BM144" s="14">
        <f t="shared" si="357"/>
        <v>10</v>
      </c>
      <c r="BN144" s="14">
        <f t="shared" si="350"/>
        <v>5050</v>
      </c>
      <c r="BO144" s="14">
        <f t="shared" si="351"/>
        <v>4500</v>
      </c>
      <c r="BP144" s="14">
        <f t="shared" si="352"/>
        <v>12150</v>
      </c>
    </row>
    <row r="145" spans="45:68" ht="16.5" x14ac:dyDescent="0.2">
      <c r="AS145" s="110"/>
      <c r="AT145" s="110"/>
      <c r="AU145" s="110"/>
      <c r="AV145" s="110"/>
      <c r="AW145" s="110"/>
      <c r="AX145" s="110"/>
      <c r="BA145" s="109">
        <v>141</v>
      </c>
      <c r="BB145" s="14">
        <f t="shared" si="347"/>
        <v>15</v>
      </c>
      <c r="BC145" s="14">
        <f t="shared" si="353"/>
        <v>1</v>
      </c>
      <c r="BD145" s="14">
        <f t="shared" si="358"/>
        <v>600</v>
      </c>
      <c r="BE145" s="14">
        <f t="shared" si="348"/>
        <v>2400</v>
      </c>
      <c r="BF145" s="14">
        <f t="shared" si="349"/>
        <v>6750</v>
      </c>
      <c r="BG145" s="14">
        <f t="shared" si="354"/>
        <v>11.81</v>
      </c>
      <c r="BH145" s="14">
        <f t="shared" si="355"/>
        <v>11011</v>
      </c>
      <c r="BK145" s="109">
        <v>141</v>
      </c>
      <c r="BL145" s="14">
        <f t="shared" si="356"/>
        <v>15</v>
      </c>
      <c r="BM145" s="14">
        <f t="shared" si="357"/>
        <v>1</v>
      </c>
      <c r="BN145" s="14">
        <f t="shared" si="350"/>
        <v>5900</v>
      </c>
      <c r="BO145" s="14">
        <f t="shared" si="351"/>
        <v>4800</v>
      </c>
      <c r="BP145" s="14">
        <f t="shared" si="352"/>
        <v>13500</v>
      </c>
    </row>
    <row r="146" spans="45:68" ht="16.5" x14ac:dyDescent="0.2">
      <c r="AS146" s="110"/>
      <c r="AT146" s="110"/>
      <c r="AU146" s="110"/>
      <c r="AV146" s="110"/>
      <c r="AW146" s="110"/>
      <c r="AX146" s="110"/>
      <c r="BA146" s="109">
        <v>142</v>
      </c>
      <c r="BB146" s="14">
        <f t="shared" si="347"/>
        <v>15</v>
      </c>
      <c r="BC146" s="14">
        <f t="shared" si="353"/>
        <v>2</v>
      </c>
      <c r="BD146" s="14">
        <f t="shared" si="358"/>
        <v>600</v>
      </c>
      <c r="BE146" s="14">
        <f t="shared" si="348"/>
        <v>2400</v>
      </c>
      <c r="BF146" s="14">
        <f t="shared" si="349"/>
        <v>6750</v>
      </c>
      <c r="BG146" s="14">
        <f t="shared" si="354"/>
        <v>11.81</v>
      </c>
      <c r="BH146" s="14">
        <f t="shared" si="355"/>
        <v>11011</v>
      </c>
      <c r="BK146" s="109">
        <v>142</v>
      </c>
      <c r="BL146" s="14">
        <f t="shared" si="356"/>
        <v>15</v>
      </c>
      <c r="BM146" s="14">
        <f t="shared" si="357"/>
        <v>2</v>
      </c>
      <c r="BN146" s="14">
        <f t="shared" si="350"/>
        <v>5900</v>
      </c>
      <c r="BO146" s="14">
        <f t="shared" si="351"/>
        <v>4800</v>
      </c>
      <c r="BP146" s="14">
        <f t="shared" si="352"/>
        <v>13500</v>
      </c>
    </row>
    <row r="147" spans="45:68" ht="16.5" x14ac:dyDescent="0.2">
      <c r="AS147" s="110"/>
      <c r="AT147" s="110"/>
      <c r="AU147" s="110"/>
      <c r="AV147" s="110"/>
      <c r="AW147" s="110"/>
      <c r="AX147" s="110"/>
      <c r="BA147" s="109">
        <v>143</v>
      </c>
      <c r="BB147" s="14">
        <f t="shared" si="347"/>
        <v>15</v>
      </c>
      <c r="BC147" s="14">
        <f t="shared" si="353"/>
        <v>3</v>
      </c>
      <c r="BD147" s="14">
        <f t="shared" si="358"/>
        <v>600</v>
      </c>
      <c r="BE147" s="14">
        <f t="shared" si="348"/>
        <v>2400</v>
      </c>
      <c r="BF147" s="14">
        <f t="shared" si="349"/>
        <v>6750</v>
      </c>
      <c r="BG147" s="14">
        <f t="shared" si="354"/>
        <v>11.81</v>
      </c>
      <c r="BH147" s="14">
        <f t="shared" si="355"/>
        <v>11011</v>
      </c>
      <c r="BK147" s="109">
        <v>143</v>
      </c>
      <c r="BL147" s="14">
        <f t="shared" si="356"/>
        <v>15</v>
      </c>
      <c r="BM147" s="14">
        <f t="shared" si="357"/>
        <v>3</v>
      </c>
      <c r="BN147" s="14">
        <f t="shared" si="350"/>
        <v>5900</v>
      </c>
      <c r="BO147" s="14">
        <f t="shared" si="351"/>
        <v>4800</v>
      </c>
      <c r="BP147" s="14">
        <f t="shared" si="352"/>
        <v>13500</v>
      </c>
    </row>
    <row r="148" spans="45:68" ht="16.5" x14ac:dyDescent="0.2">
      <c r="AS148" s="110"/>
      <c r="AT148" s="110"/>
      <c r="AU148" s="110"/>
      <c r="AV148" s="110"/>
      <c r="AW148" s="110"/>
      <c r="AX148" s="110"/>
      <c r="BA148" s="109">
        <v>144</v>
      </c>
      <c r="BB148" s="14">
        <f t="shared" si="347"/>
        <v>15</v>
      </c>
      <c r="BC148" s="14">
        <f t="shared" si="353"/>
        <v>4</v>
      </c>
      <c r="BD148" s="14">
        <f t="shared" si="358"/>
        <v>600</v>
      </c>
      <c r="BE148" s="14">
        <f t="shared" si="348"/>
        <v>2400</v>
      </c>
      <c r="BF148" s="14">
        <f t="shared" si="349"/>
        <v>6750</v>
      </c>
      <c r="BG148" s="14">
        <f t="shared" si="354"/>
        <v>11.81</v>
      </c>
      <c r="BH148" s="14">
        <f t="shared" si="355"/>
        <v>11011</v>
      </c>
      <c r="BK148" s="109">
        <v>144</v>
      </c>
      <c r="BL148" s="14">
        <f t="shared" si="356"/>
        <v>15</v>
      </c>
      <c r="BM148" s="14">
        <f t="shared" si="357"/>
        <v>4</v>
      </c>
      <c r="BN148" s="14">
        <f t="shared" si="350"/>
        <v>5900</v>
      </c>
      <c r="BO148" s="14">
        <f t="shared" si="351"/>
        <v>4800</v>
      </c>
      <c r="BP148" s="14">
        <f t="shared" si="352"/>
        <v>13500</v>
      </c>
    </row>
    <row r="149" spans="45:68" ht="16.5" x14ac:dyDescent="0.2">
      <c r="AS149" s="110"/>
      <c r="AT149" s="110"/>
      <c r="AU149" s="110"/>
      <c r="AV149" s="110"/>
      <c r="AW149" s="110"/>
      <c r="AX149" s="110"/>
      <c r="BA149" s="109">
        <v>145</v>
      </c>
      <c r="BB149" s="14">
        <f t="shared" si="347"/>
        <v>15</v>
      </c>
      <c r="BC149" s="14">
        <f t="shared" si="353"/>
        <v>5</v>
      </c>
      <c r="BD149" s="14">
        <f t="shared" si="358"/>
        <v>600</v>
      </c>
      <c r="BE149" s="14">
        <f t="shared" si="348"/>
        <v>2400</v>
      </c>
      <c r="BF149" s="14">
        <f t="shared" si="349"/>
        <v>6750</v>
      </c>
      <c r="BG149" s="14">
        <f t="shared" si="354"/>
        <v>11.81</v>
      </c>
      <c r="BH149" s="14">
        <f t="shared" si="355"/>
        <v>11011</v>
      </c>
      <c r="BK149" s="109">
        <v>145</v>
      </c>
      <c r="BL149" s="14">
        <f t="shared" si="356"/>
        <v>15</v>
      </c>
      <c r="BM149" s="14">
        <f t="shared" si="357"/>
        <v>5</v>
      </c>
      <c r="BN149" s="14">
        <f t="shared" si="350"/>
        <v>5900</v>
      </c>
      <c r="BO149" s="14">
        <f t="shared" si="351"/>
        <v>4800</v>
      </c>
      <c r="BP149" s="14">
        <f t="shared" si="352"/>
        <v>13500</v>
      </c>
    </row>
    <row r="150" spans="45:68" ht="16.5" x14ac:dyDescent="0.2">
      <c r="AS150" s="110"/>
      <c r="AT150" s="110"/>
      <c r="AU150" s="110"/>
      <c r="AV150" s="110"/>
      <c r="AW150" s="110"/>
      <c r="AX150" s="110"/>
      <c r="BA150" s="109">
        <v>146</v>
      </c>
      <c r="BB150" s="14">
        <f t="shared" si="347"/>
        <v>15</v>
      </c>
      <c r="BC150" s="14">
        <f t="shared" si="353"/>
        <v>6</v>
      </c>
      <c r="BD150" s="14">
        <f t="shared" si="358"/>
        <v>600</v>
      </c>
      <c r="BE150" s="14">
        <f t="shared" si="348"/>
        <v>2400</v>
      </c>
      <c r="BF150" s="14">
        <f t="shared" si="349"/>
        <v>6750</v>
      </c>
      <c r="BG150" s="14">
        <f t="shared" si="354"/>
        <v>11.81</v>
      </c>
      <c r="BH150" s="14">
        <f t="shared" si="355"/>
        <v>11011</v>
      </c>
      <c r="BK150" s="109">
        <v>146</v>
      </c>
      <c r="BL150" s="14">
        <f t="shared" si="356"/>
        <v>15</v>
      </c>
      <c r="BM150" s="14">
        <f t="shared" si="357"/>
        <v>6</v>
      </c>
      <c r="BN150" s="14">
        <f t="shared" si="350"/>
        <v>5900</v>
      </c>
      <c r="BO150" s="14">
        <f t="shared" si="351"/>
        <v>4800</v>
      </c>
      <c r="BP150" s="14">
        <f t="shared" si="352"/>
        <v>13500</v>
      </c>
    </row>
    <row r="151" spans="45:68" ht="16.5" x14ac:dyDescent="0.2">
      <c r="AS151" s="110"/>
      <c r="AT151" s="110"/>
      <c r="AU151" s="110"/>
      <c r="AV151" s="110"/>
      <c r="AW151" s="110"/>
      <c r="AX151" s="110"/>
      <c r="BA151" s="109">
        <v>147</v>
      </c>
      <c r="BB151" s="14">
        <f t="shared" si="347"/>
        <v>15</v>
      </c>
      <c r="BC151" s="14">
        <f t="shared" si="353"/>
        <v>7</v>
      </c>
      <c r="BD151" s="14">
        <f t="shared" si="358"/>
        <v>600</v>
      </c>
      <c r="BE151" s="14">
        <f t="shared" si="348"/>
        <v>2400</v>
      </c>
      <c r="BF151" s="14">
        <f t="shared" si="349"/>
        <v>6750</v>
      </c>
      <c r="BG151" s="14">
        <f t="shared" si="354"/>
        <v>11.81</v>
      </c>
      <c r="BH151" s="14">
        <f t="shared" si="355"/>
        <v>11011</v>
      </c>
      <c r="BK151" s="109">
        <v>147</v>
      </c>
      <c r="BL151" s="14">
        <f t="shared" si="356"/>
        <v>15</v>
      </c>
      <c r="BM151" s="14">
        <f t="shared" si="357"/>
        <v>7</v>
      </c>
      <c r="BN151" s="14">
        <f t="shared" si="350"/>
        <v>5900</v>
      </c>
      <c r="BO151" s="14">
        <f t="shared" si="351"/>
        <v>4800</v>
      </c>
      <c r="BP151" s="14">
        <f t="shared" si="352"/>
        <v>13500</v>
      </c>
    </row>
    <row r="152" spans="45:68" ht="16.5" x14ac:dyDescent="0.2">
      <c r="AS152" s="110"/>
      <c r="AT152" s="110"/>
      <c r="AU152" s="110"/>
      <c r="AV152" s="110"/>
      <c r="AW152" s="110"/>
      <c r="AX152" s="110"/>
      <c r="BA152" s="109">
        <v>148</v>
      </c>
      <c r="BB152" s="14">
        <f t="shared" si="347"/>
        <v>15</v>
      </c>
      <c r="BC152" s="14">
        <f t="shared" si="353"/>
        <v>8</v>
      </c>
      <c r="BD152" s="14">
        <f t="shared" si="358"/>
        <v>600</v>
      </c>
      <c r="BE152" s="14">
        <f t="shared" si="348"/>
        <v>2400</v>
      </c>
      <c r="BF152" s="14">
        <f t="shared" si="349"/>
        <v>6750</v>
      </c>
      <c r="BG152" s="14">
        <f t="shared" si="354"/>
        <v>11.81</v>
      </c>
      <c r="BH152" s="14">
        <f t="shared" si="355"/>
        <v>11011</v>
      </c>
      <c r="BK152" s="109">
        <v>148</v>
      </c>
      <c r="BL152" s="14">
        <f t="shared" si="356"/>
        <v>15</v>
      </c>
      <c r="BM152" s="14">
        <f t="shared" si="357"/>
        <v>8</v>
      </c>
      <c r="BN152" s="14">
        <f t="shared" si="350"/>
        <v>5900</v>
      </c>
      <c r="BO152" s="14">
        <f t="shared" si="351"/>
        <v>4800</v>
      </c>
      <c r="BP152" s="14">
        <f t="shared" si="352"/>
        <v>13500</v>
      </c>
    </row>
    <row r="153" spans="45:68" ht="16.5" x14ac:dyDescent="0.2">
      <c r="AS153" s="110"/>
      <c r="AT153" s="110"/>
      <c r="AU153" s="110"/>
      <c r="AV153" s="110"/>
      <c r="AW153" s="110"/>
      <c r="AX153" s="110"/>
      <c r="BA153" s="109">
        <v>149</v>
      </c>
      <c r="BB153" s="14">
        <f t="shared" si="347"/>
        <v>15</v>
      </c>
      <c r="BC153" s="14">
        <f t="shared" si="353"/>
        <v>9</v>
      </c>
      <c r="BD153" s="14">
        <f t="shared" si="358"/>
        <v>600</v>
      </c>
      <c r="BE153" s="14">
        <f t="shared" si="348"/>
        <v>2400</v>
      </c>
      <c r="BF153" s="14">
        <f t="shared" si="349"/>
        <v>6750</v>
      </c>
      <c r="BG153" s="14">
        <f t="shared" si="354"/>
        <v>11.81</v>
      </c>
      <c r="BH153" s="14">
        <f t="shared" si="355"/>
        <v>11011</v>
      </c>
      <c r="BK153" s="109">
        <v>149</v>
      </c>
      <c r="BL153" s="14">
        <f t="shared" si="356"/>
        <v>15</v>
      </c>
      <c r="BM153" s="14">
        <f t="shared" si="357"/>
        <v>9</v>
      </c>
      <c r="BN153" s="14">
        <f t="shared" si="350"/>
        <v>5900</v>
      </c>
      <c r="BO153" s="14">
        <f t="shared" si="351"/>
        <v>4800</v>
      </c>
      <c r="BP153" s="14">
        <f t="shared" si="352"/>
        <v>13500</v>
      </c>
    </row>
    <row r="154" spans="45:68" ht="16.5" x14ac:dyDescent="0.2">
      <c r="AS154" s="110"/>
      <c r="AT154" s="110"/>
      <c r="AU154" s="110"/>
      <c r="AV154" s="110"/>
      <c r="AW154" s="110"/>
      <c r="AX154" s="110"/>
      <c r="BA154" s="109">
        <v>150</v>
      </c>
      <c r="BB154" s="14">
        <f t="shared" si="347"/>
        <v>15</v>
      </c>
      <c r="BC154" s="14">
        <f t="shared" si="353"/>
        <v>10</v>
      </c>
      <c r="BD154" s="14">
        <f t="shared" si="358"/>
        <v>600</v>
      </c>
      <c r="BE154" s="14">
        <f t="shared" si="348"/>
        <v>2400</v>
      </c>
      <c r="BF154" s="14">
        <f t="shared" si="349"/>
        <v>6750</v>
      </c>
      <c r="BG154" s="14">
        <f t="shared" si="354"/>
        <v>11.81</v>
      </c>
      <c r="BH154" s="14">
        <f t="shared" si="355"/>
        <v>11011</v>
      </c>
      <c r="BK154" s="109">
        <v>150</v>
      </c>
      <c r="BL154" s="14">
        <f t="shared" si="356"/>
        <v>15</v>
      </c>
      <c r="BM154" s="14">
        <f t="shared" si="357"/>
        <v>10</v>
      </c>
      <c r="BN154" s="14">
        <f t="shared" si="350"/>
        <v>5900</v>
      </c>
      <c r="BO154" s="14">
        <f t="shared" si="351"/>
        <v>4800</v>
      </c>
      <c r="BP154" s="14">
        <f t="shared" si="352"/>
        <v>13500</v>
      </c>
    </row>
    <row r="155" spans="45:68" ht="16.5" x14ac:dyDescent="0.2">
      <c r="AS155" s="110"/>
      <c r="AT155" s="110"/>
      <c r="AU155" s="110"/>
      <c r="AV155" s="110"/>
      <c r="AW155" s="110"/>
      <c r="AX155" s="110"/>
      <c r="BA155" s="109">
        <v>151</v>
      </c>
      <c r="BB155" s="14">
        <f t="shared" si="347"/>
        <v>16</v>
      </c>
      <c r="BC155" s="14">
        <f t="shared" si="353"/>
        <v>1</v>
      </c>
      <c r="BD155" s="14">
        <f t="shared" si="358"/>
        <v>640</v>
      </c>
      <c r="BE155" s="14">
        <f t="shared" si="348"/>
        <v>2700</v>
      </c>
      <c r="BF155" s="14">
        <f t="shared" si="349"/>
        <v>7200</v>
      </c>
      <c r="BG155" s="14">
        <f t="shared" si="354"/>
        <v>14</v>
      </c>
      <c r="BH155" s="14">
        <f t="shared" si="355"/>
        <v>11014</v>
      </c>
      <c r="BK155" s="109">
        <v>151</v>
      </c>
      <c r="BL155" s="14">
        <f t="shared" si="356"/>
        <v>16</v>
      </c>
      <c r="BM155" s="14">
        <f t="shared" si="357"/>
        <v>1</v>
      </c>
      <c r="BN155" s="14">
        <f t="shared" si="350"/>
        <v>6650</v>
      </c>
      <c r="BO155" s="14">
        <f t="shared" si="351"/>
        <v>5400</v>
      </c>
      <c r="BP155" s="14">
        <f t="shared" si="352"/>
        <v>14400</v>
      </c>
    </row>
    <row r="156" spans="45:68" ht="16.5" x14ac:dyDescent="0.2">
      <c r="AS156" s="110"/>
      <c r="AT156" s="110"/>
      <c r="AU156" s="110"/>
      <c r="AV156" s="110"/>
      <c r="AW156" s="110"/>
      <c r="AX156" s="110"/>
      <c r="BA156" s="109">
        <v>152</v>
      </c>
      <c r="BB156" s="14">
        <f t="shared" si="347"/>
        <v>16</v>
      </c>
      <c r="BC156" s="14">
        <f t="shared" si="353"/>
        <v>2</v>
      </c>
      <c r="BD156" s="14">
        <f t="shared" si="358"/>
        <v>640</v>
      </c>
      <c r="BE156" s="14">
        <f t="shared" si="348"/>
        <v>2700</v>
      </c>
      <c r="BF156" s="14">
        <f t="shared" si="349"/>
        <v>7200</v>
      </c>
      <c r="BG156" s="14">
        <f t="shared" si="354"/>
        <v>14</v>
      </c>
      <c r="BH156" s="14">
        <f t="shared" si="355"/>
        <v>11014</v>
      </c>
      <c r="BK156" s="109">
        <v>152</v>
      </c>
      <c r="BL156" s="14">
        <f t="shared" si="356"/>
        <v>16</v>
      </c>
      <c r="BM156" s="14">
        <f t="shared" si="357"/>
        <v>2</v>
      </c>
      <c r="BN156" s="14">
        <f t="shared" si="350"/>
        <v>6650</v>
      </c>
      <c r="BO156" s="14">
        <f t="shared" si="351"/>
        <v>5400</v>
      </c>
      <c r="BP156" s="14">
        <f t="shared" si="352"/>
        <v>14400</v>
      </c>
    </row>
    <row r="157" spans="45:68" ht="16.5" x14ac:dyDescent="0.2">
      <c r="AS157" s="110"/>
      <c r="AT157" s="110"/>
      <c r="AU157" s="110"/>
      <c r="AV157" s="110"/>
      <c r="AW157" s="110"/>
      <c r="AX157" s="110"/>
      <c r="BA157" s="109">
        <v>153</v>
      </c>
      <c r="BB157" s="14">
        <f t="shared" si="347"/>
        <v>16</v>
      </c>
      <c r="BC157" s="14">
        <f t="shared" si="353"/>
        <v>3</v>
      </c>
      <c r="BD157" s="14">
        <f t="shared" si="358"/>
        <v>640</v>
      </c>
      <c r="BE157" s="14">
        <f t="shared" si="348"/>
        <v>2700</v>
      </c>
      <c r="BF157" s="14">
        <f t="shared" si="349"/>
        <v>7200</v>
      </c>
      <c r="BG157" s="14">
        <f t="shared" si="354"/>
        <v>14</v>
      </c>
      <c r="BH157" s="14">
        <f t="shared" si="355"/>
        <v>11014</v>
      </c>
      <c r="BK157" s="109">
        <v>153</v>
      </c>
      <c r="BL157" s="14">
        <f t="shared" si="356"/>
        <v>16</v>
      </c>
      <c r="BM157" s="14">
        <f t="shared" si="357"/>
        <v>3</v>
      </c>
      <c r="BN157" s="14">
        <f t="shared" si="350"/>
        <v>6650</v>
      </c>
      <c r="BO157" s="14">
        <f t="shared" si="351"/>
        <v>5400</v>
      </c>
      <c r="BP157" s="14">
        <f t="shared" si="352"/>
        <v>14400</v>
      </c>
    </row>
    <row r="158" spans="45:68" ht="16.5" x14ac:dyDescent="0.2">
      <c r="AS158" s="110"/>
      <c r="AT158" s="110"/>
      <c r="AU158" s="110"/>
      <c r="AV158" s="110"/>
      <c r="AW158" s="110"/>
      <c r="AX158" s="110"/>
      <c r="BA158" s="109">
        <v>154</v>
      </c>
      <c r="BB158" s="14">
        <f t="shared" si="347"/>
        <v>16</v>
      </c>
      <c r="BC158" s="14">
        <f t="shared" si="353"/>
        <v>4</v>
      </c>
      <c r="BD158" s="14">
        <f t="shared" si="358"/>
        <v>640</v>
      </c>
      <c r="BE158" s="14">
        <f t="shared" si="348"/>
        <v>2700</v>
      </c>
      <c r="BF158" s="14">
        <f t="shared" si="349"/>
        <v>7200</v>
      </c>
      <c r="BG158" s="14">
        <f t="shared" si="354"/>
        <v>14</v>
      </c>
      <c r="BH158" s="14">
        <f t="shared" si="355"/>
        <v>11014</v>
      </c>
      <c r="BK158" s="109">
        <v>154</v>
      </c>
      <c r="BL158" s="14">
        <f t="shared" si="356"/>
        <v>16</v>
      </c>
      <c r="BM158" s="14">
        <f t="shared" si="357"/>
        <v>4</v>
      </c>
      <c r="BN158" s="14">
        <f t="shared" si="350"/>
        <v>6650</v>
      </c>
      <c r="BO158" s="14">
        <f t="shared" si="351"/>
        <v>5400</v>
      </c>
      <c r="BP158" s="14">
        <f t="shared" si="352"/>
        <v>14400</v>
      </c>
    </row>
    <row r="159" spans="45:68" ht="16.5" x14ac:dyDescent="0.2">
      <c r="AS159" s="110"/>
      <c r="AT159" s="110"/>
      <c r="AU159" s="110"/>
      <c r="AV159" s="110"/>
      <c r="AW159" s="110"/>
      <c r="AX159" s="110"/>
      <c r="BA159" s="109">
        <v>155</v>
      </c>
      <c r="BB159" s="14">
        <f t="shared" si="347"/>
        <v>16</v>
      </c>
      <c r="BC159" s="14">
        <f t="shared" si="353"/>
        <v>5</v>
      </c>
      <c r="BD159" s="14">
        <f t="shared" si="358"/>
        <v>640</v>
      </c>
      <c r="BE159" s="14">
        <f t="shared" si="348"/>
        <v>2700</v>
      </c>
      <c r="BF159" s="14">
        <f t="shared" si="349"/>
        <v>7200</v>
      </c>
      <c r="BG159" s="14">
        <f t="shared" si="354"/>
        <v>14</v>
      </c>
      <c r="BH159" s="14">
        <f t="shared" si="355"/>
        <v>11014</v>
      </c>
      <c r="BK159" s="109">
        <v>155</v>
      </c>
      <c r="BL159" s="14">
        <f t="shared" si="356"/>
        <v>16</v>
      </c>
      <c r="BM159" s="14">
        <f t="shared" si="357"/>
        <v>5</v>
      </c>
      <c r="BN159" s="14">
        <f t="shared" si="350"/>
        <v>6650</v>
      </c>
      <c r="BO159" s="14">
        <f t="shared" si="351"/>
        <v>5400</v>
      </c>
      <c r="BP159" s="14">
        <f t="shared" si="352"/>
        <v>14400</v>
      </c>
    </row>
    <row r="160" spans="45:68" ht="16.5" x14ac:dyDescent="0.2">
      <c r="AS160" s="110"/>
      <c r="AT160" s="110"/>
      <c r="AU160" s="110"/>
      <c r="AV160" s="110"/>
      <c r="AW160" s="110"/>
      <c r="AX160" s="110"/>
      <c r="BA160" s="109">
        <v>156</v>
      </c>
      <c r="BB160" s="14">
        <f t="shared" si="347"/>
        <v>16</v>
      </c>
      <c r="BC160" s="14">
        <f t="shared" si="353"/>
        <v>6</v>
      </c>
      <c r="BD160" s="14">
        <f t="shared" si="358"/>
        <v>640</v>
      </c>
      <c r="BE160" s="14">
        <f t="shared" si="348"/>
        <v>2700</v>
      </c>
      <c r="BF160" s="14">
        <f t="shared" si="349"/>
        <v>7200</v>
      </c>
      <c r="BG160" s="14">
        <f t="shared" si="354"/>
        <v>14</v>
      </c>
      <c r="BH160" s="14">
        <f t="shared" si="355"/>
        <v>11014</v>
      </c>
      <c r="BK160" s="109">
        <v>156</v>
      </c>
      <c r="BL160" s="14">
        <f t="shared" si="356"/>
        <v>16</v>
      </c>
      <c r="BM160" s="14">
        <f t="shared" si="357"/>
        <v>6</v>
      </c>
      <c r="BN160" s="14">
        <f t="shared" si="350"/>
        <v>6650</v>
      </c>
      <c r="BO160" s="14">
        <f t="shared" si="351"/>
        <v>5400</v>
      </c>
      <c r="BP160" s="14">
        <f t="shared" si="352"/>
        <v>14400</v>
      </c>
    </row>
    <row r="161" spans="45:68" ht="16.5" x14ac:dyDescent="0.2">
      <c r="AS161" s="110"/>
      <c r="AT161" s="110"/>
      <c r="AU161" s="110"/>
      <c r="AV161" s="110"/>
      <c r="AW161" s="110"/>
      <c r="AX161" s="110"/>
      <c r="BA161" s="109">
        <v>157</v>
      </c>
      <c r="BB161" s="14">
        <f t="shared" si="347"/>
        <v>16</v>
      </c>
      <c r="BC161" s="14">
        <f t="shared" si="353"/>
        <v>7</v>
      </c>
      <c r="BD161" s="14">
        <f t="shared" si="358"/>
        <v>640</v>
      </c>
      <c r="BE161" s="14">
        <f t="shared" si="348"/>
        <v>2700</v>
      </c>
      <c r="BF161" s="14">
        <f t="shared" si="349"/>
        <v>7200</v>
      </c>
      <c r="BG161" s="14">
        <f t="shared" si="354"/>
        <v>14</v>
      </c>
      <c r="BH161" s="14">
        <f t="shared" si="355"/>
        <v>11014</v>
      </c>
      <c r="BK161" s="109">
        <v>157</v>
      </c>
      <c r="BL161" s="14">
        <f t="shared" si="356"/>
        <v>16</v>
      </c>
      <c r="BM161" s="14">
        <f t="shared" si="357"/>
        <v>7</v>
      </c>
      <c r="BN161" s="14">
        <f t="shared" si="350"/>
        <v>6650</v>
      </c>
      <c r="BO161" s="14">
        <f t="shared" si="351"/>
        <v>5400</v>
      </c>
      <c r="BP161" s="14">
        <f t="shared" si="352"/>
        <v>14400</v>
      </c>
    </row>
    <row r="162" spans="45:68" ht="16.5" x14ac:dyDescent="0.2">
      <c r="AS162" s="110"/>
      <c r="AT162" s="110"/>
      <c r="AU162" s="110"/>
      <c r="AV162" s="110"/>
      <c r="AW162" s="110"/>
      <c r="AX162" s="110"/>
      <c r="BA162" s="109">
        <v>158</v>
      </c>
      <c r="BB162" s="14">
        <f t="shared" si="347"/>
        <v>16</v>
      </c>
      <c r="BC162" s="14">
        <f t="shared" si="353"/>
        <v>8</v>
      </c>
      <c r="BD162" s="14">
        <f t="shared" si="358"/>
        <v>640</v>
      </c>
      <c r="BE162" s="14">
        <f t="shared" si="348"/>
        <v>2700</v>
      </c>
      <c r="BF162" s="14">
        <f t="shared" si="349"/>
        <v>7200</v>
      </c>
      <c r="BG162" s="14">
        <f t="shared" si="354"/>
        <v>14</v>
      </c>
      <c r="BH162" s="14">
        <f t="shared" si="355"/>
        <v>11014</v>
      </c>
      <c r="BK162" s="109">
        <v>158</v>
      </c>
      <c r="BL162" s="14">
        <f t="shared" si="356"/>
        <v>16</v>
      </c>
      <c r="BM162" s="14">
        <f t="shared" si="357"/>
        <v>8</v>
      </c>
      <c r="BN162" s="14">
        <f t="shared" si="350"/>
        <v>6650</v>
      </c>
      <c r="BO162" s="14">
        <f t="shared" si="351"/>
        <v>5400</v>
      </c>
      <c r="BP162" s="14">
        <f t="shared" si="352"/>
        <v>14400</v>
      </c>
    </row>
    <row r="163" spans="45:68" ht="16.5" x14ac:dyDescent="0.2">
      <c r="AS163" s="110"/>
      <c r="AT163" s="110"/>
      <c r="AU163" s="110"/>
      <c r="AV163" s="110"/>
      <c r="AW163" s="110"/>
      <c r="AX163" s="110"/>
      <c r="BA163" s="109">
        <v>159</v>
      </c>
      <c r="BB163" s="14">
        <f t="shared" si="347"/>
        <v>16</v>
      </c>
      <c r="BC163" s="14">
        <f t="shared" si="353"/>
        <v>9</v>
      </c>
      <c r="BD163" s="14">
        <f t="shared" si="358"/>
        <v>640</v>
      </c>
      <c r="BE163" s="14">
        <f t="shared" si="348"/>
        <v>2700</v>
      </c>
      <c r="BF163" s="14">
        <f t="shared" si="349"/>
        <v>7200</v>
      </c>
      <c r="BG163" s="14">
        <f t="shared" si="354"/>
        <v>14</v>
      </c>
      <c r="BH163" s="14">
        <f t="shared" si="355"/>
        <v>11014</v>
      </c>
      <c r="BK163" s="109">
        <v>159</v>
      </c>
      <c r="BL163" s="14">
        <f t="shared" si="356"/>
        <v>16</v>
      </c>
      <c r="BM163" s="14">
        <f t="shared" si="357"/>
        <v>9</v>
      </c>
      <c r="BN163" s="14">
        <f t="shared" si="350"/>
        <v>6650</v>
      </c>
      <c r="BO163" s="14">
        <f t="shared" si="351"/>
        <v>5400</v>
      </c>
      <c r="BP163" s="14">
        <f t="shared" si="352"/>
        <v>14400</v>
      </c>
    </row>
    <row r="164" spans="45:68" ht="16.5" x14ac:dyDescent="0.2">
      <c r="AS164" s="110"/>
      <c r="AT164" s="110"/>
      <c r="AU164" s="110"/>
      <c r="AV164" s="110"/>
      <c r="AW164" s="110"/>
      <c r="AX164" s="110"/>
      <c r="BA164" s="109">
        <v>160</v>
      </c>
      <c r="BB164" s="14">
        <f t="shared" si="347"/>
        <v>16</v>
      </c>
      <c r="BC164" s="14">
        <f t="shared" si="353"/>
        <v>10</v>
      </c>
      <c r="BD164" s="14">
        <f t="shared" si="358"/>
        <v>640</v>
      </c>
      <c r="BE164" s="14">
        <f t="shared" si="348"/>
        <v>2700</v>
      </c>
      <c r="BF164" s="14">
        <f t="shared" si="349"/>
        <v>7200</v>
      </c>
      <c r="BG164" s="14">
        <f t="shared" si="354"/>
        <v>14</v>
      </c>
      <c r="BH164" s="14">
        <f t="shared" si="355"/>
        <v>11014</v>
      </c>
      <c r="BK164" s="109">
        <v>160</v>
      </c>
      <c r="BL164" s="14">
        <f t="shared" si="356"/>
        <v>16</v>
      </c>
      <c r="BM164" s="14">
        <f t="shared" si="357"/>
        <v>10</v>
      </c>
      <c r="BN164" s="14">
        <f t="shared" si="350"/>
        <v>6650</v>
      </c>
      <c r="BO164" s="14">
        <f t="shared" si="351"/>
        <v>5400</v>
      </c>
      <c r="BP164" s="14">
        <f t="shared" si="352"/>
        <v>14400</v>
      </c>
    </row>
    <row r="165" spans="45:68" ht="16.5" x14ac:dyDescent="0.2">
      <c r="AS165" s="110"/>
      <c r="AT165" s="110"/>
      <c r="AU165" s="110"/>
      <c r="AV165" s="110"/>
      <c r="AW165" s="110"/>
      <c r="AX165" s="110"/>
      <c r="BA165" s="109">
        <v>161</v>
      </c>
      <c r="BB165" s="14">
        <f t="shared" si="347"/>
        <v>17</v>
      </c>
      <c r="BC165" s="14">
        <f t="shared" si="353"/>
        <v>1</v>
      </c>
      <c r="BD165" s="14">
        <f t="shared" si="358"/>
        <v>700</v>
      </c>
      <c r="BE165" s="14">
        <f t="shared" si="348"/>
        <v>3000</v>
      </c>
      <c r="BF165" s="14">
        <f t="shared" si="349"/>
        <v>7875</v>
      </c>
      <c r="BG165" s="14">
        <f t="shared" si="354"/>
        <v>16.329999999999998</v>
      </c>
      <c r="BH165" s="14">
        <f t="shared" si="355"/>
        <v>11016</v>
      </c>
      <c r="BK165" s="109">
        <v>161</v>
      </c>
      <c r="BL165" s="14">
        <f t="shared" si="356"/>
        <v>17</v>
      </c>
      <c r="BM165" s="14">
        <f t="shared" si="357"/>
        <v>1</v>
      </c>
      <c r="BN165" s="14">
        <f t="shared" si="350"/>
        <v>7500</v>
      </c>
      <c r="BO165" s="14">
        <f t="shared" si="351"/>
        <v>6000</v>
      </c>
      <c r="BP165" s="14">
        <f t="shared" si="352"/>
        <v>15750</v>
      </c>
    </row>
    <row r="166" spans="45:68" ht="16.5" x14ac:dyDescent="0.2">
      <c r="AS166" s="110"/>
      <c r="AT166" s="110"/>
      <c r="AU166" s="110"/>
      <c r="AV166" s="110"/>
      <c r="AW166" s="110"/>
      <c r="AX166" s="110"/>
      <c r="BA166" s="109">
        <v>162</v>
      </c>
      <c r="BB166" s="14">
        <f t="shared" si="347"/>
        <v>17</v>
      </c>
      <c r="BC166" s="14">
        <f t="shared" si="353"/>
        <v>2</v>
      </c>
      <c r="BD166" s="14">
        <f t="shared" si="358"/>
        <v>700</v>
      </c>
      <c r="BE166" s="14">
        <f t="shared" si="348"/>
        <v>3000</v>
      </c>
      <c r="BF166" s="14">
        <f t="shared" si="349"/>
        <v>7875</v>
      </c>
      <c r="BG166" s="14">
        <f t="shared" si="354"/>
        <v>16.329999999999998</v>
      </c>
      <c r="BH166" s="14">
        <f t="shared" si="355"/>
        <v>11016</v>
      </c>
      <c r="BK166" s="109">
        <v>162</v>
      </c>
      <c r="BL166" s="14">
        <f t="shared" si="356"/>
        <v>17</v>
      </c>
      <c r="BM166" s="14">
        <f t="shared" si="357"/>
        <v>2</v>
      </c>
      <c r="BN166" s="14">
        <f t="shared" si="350"/>
        <v>7500</v>
      </c>
      <c r="BO166" s="14">
        <f t="shared" si="351"/>
        <v>6000</v>
      </c>
      <c r="BP166" s="14">
        <f t="shared" si="352"/>
        <v>15750</v>
      </c>
    </row>
    <row r="167" spans="45:68" ht="16.5" x14ac:dyDescent="0.2">
      <c r="AS167" s="110"/>
      <c r="AT167" s="110"/>
      <c r="AU167" s="110"/>
      <c r="AV167" s="110"/>
      <c r="AW167" s="110"/>
      <c r="AX167" s="110"/>
      <c r="BA167" s="109">
        <v>163</v>
      </c>
      <c r="BB167" s="14">
        <f t="shared" si="347"/>
        <v>17</v>
      </c>
      <c r="BC167" s="14">
        <f t="shared" si="353"/>
        <v>3</v>
      </c>
      <c r="BD167" s="14">
        <f t="shared" si="358"/>
        <v>700</v>
      </c>
      <c r="BE167" s="14">
        <f t="shared" si="348"/>
        <v>3000</v>
      </c>
      <c r="BF167" s="14">
        <f t="shared" si="349"/>
        <v>7875</v>
      </c>
      <c r="BG167" s="14">
        <f t="shared" si="354"/>
        <v>16.329999999999998</v>
      </c>
      <c r="BH167" s="14">
        <f t="shared" si="355"/>
        <v>11016</v>
      </c>
      <c r="BK167" s="109">
        <v>163</v>
      </c>
      <c r="BL167" s="14">
        <f t="shared" si="356"/>
        <v>17</v>
      </c>
      <c r="BM167" s="14">
        <f t="shared" si="357"/>
        <v>3</v>
      </c>
      <c r="BN167" s="14">
        <f t="shared" si="350"/>
        <v>7500</v>
      </c>
      <c r="BO167" s="14">
        <f t="shared" si="351"/>
        <v>6000</v>
      </c>
      <c r="BP167" s="14">
        <f t="shared" si="352"/>
        <v>15750</v>
      </c>
    </row>
    <row r="168" spans="45:68" ht="16.5" x14ac:dyDescent="0.2">
      <c r="AS168" s="110"/>
      <c r="AT168" s="110"/>
      <c r="AU168" s="110"/>
      <c r="AV168" s="110"/>
      <c r="AW168" s="110"/>
      <c r="AX168" s="110"/>
      <c r="BA168" s="109">
        <v>164</v>
      </c>
      <c r="BB168" s="14">
        <f t="shared" si="347"/>
        <v>17</v>
      </c>
      <c r="BC168" s="14">
        <f t="shared" si="353"/>
        <v>4</v>
      </c>
      <c r="BD168" s="14">
        <f t="shared" si="358"/>
        <v>700</v>
      </c>
      <c r="BE168" s="14">
        <f t="shared" si="348"/>
        <v>3000</v>
      </c>
      <c r="BF168" s="14">
        <f t="shared" si="349"/>
        <v>7875</v>
      </c>
      <c r="BG168" s="14">
        <f t="shared" si="354"/>
        <v>16.329999999999998</v>
      </c>
      <c r="BH168" s="14">
        <f t="shared" si="355"/>
        <v>11016</v>
      </c>
      <c r="BK168" s="109">
        <v>164</v>
      </c>
      <c r="BL168" s="14">
        <f t="shared" si="356"/>
        <v>17</v>
      </c>
      <c r="BM168" s="14">
        <f t="shared" si="357"/>
        <v>4</v>
      </c>
      <c r="BN168" s="14">
        <f t="shared" si="350"/>
        <v>7500</v>
      </c>
      <c r="BO168" s="14">
        <f t="shared" si="351"/>
        <v>6000</v>
      </c>
      <c r="BP168" s="14">
        <f t="shared" si="352"/>
        <v>15750</v>
      </c>
    </row>
    <row r="169" spans="45:68" ht="16.5" x14ac:dyDescent="0.2">
      <c r="AS169" s="110"/>
      <c r="AT169" s="110"/>
      <c r="AU169" s="110"/>
      <c r="AV169" s="110"/>
      <c r="AW169" s="110"/>
      <c r="AX169" s="110"/>
      <c r="BA169" s="109">
        <v>165</v>
      </c>
      <c r="BB169" s="14">
        <f t="shared" si="347"/>
        <v>17</v>
      </c>
      <c r="BC169" s="14">
        <f t="shared" si="353"/>
        <v>5</v>
      </c>
      <c r="BD169" s="14">
        <f t="shared" si="358"/>
        <v>700</v>
      </c>
      <c r="BE169" s="14">
        <f t="shared" si="348"/>
        <v>3000</v>
      </c>
      <c r="BF169" s="14">
        <f t="shared" si="349"/>
        <v>7875</v>
      </c>
      <c r="BG169" s="14">
        <f t="shared" si="354"/>
        <v>16.329999999999998</v>
      </c>
      <c r="BH169" s="14">
        <f t="shared" si="355"/>
        <v>11016</v>
      </c>
      <c r="BK169" s="109">
        <v>165</v>
      </c>
      <c r="BL169" s="14">
        <f t="shared" si="356"/>
        <v>17</v>
      </c>
      <c r="BM169" s="14">
        <f t="shared" si="357"/>
        <v>5</v>
      </c>
      <c r="BN169" s="14">
        <f t="shared" si="350"/>
        <v>7500</v>
      </c>
      <c r="BO169" s="14">
        <f t="shared" si="351"/>
        <v>6000</v>
      </c>
      <c r="BP169" s="14">
        <f t="shared" si="352"/>
        <v>15750</v>
      </c>
    </row>
    <row r="170" spans="45:68" ht="16.5" x14ac:dyDescent="0.2">
      <c r="AS170" s="110"/>
      <c r="AT170" s="110"/>
      <c r="AU170" s="110"/>
      <c r="AV170" s="110"/>
      <c r="AW170" s="110"/>
      <c r="AX170" s="110"/>
      <c r="BA170" s="109">
        <v>166</v>
      </c>
      <c r="BB170" s="14">
        <f t="shared" si="347"/>
        <v>17</v>
      </c>
      <c r="BC170" s="14">
        <f t="shared" si="353"/>
        <v>6</v>
      </c>
      <c r="BD170" s="14">
        <f t="shared" si="358"/>
        <v>700</v>
      </c>
      <c r="BE170" s="14">
        <f t="shared" si="348"/>
        <v>3000</v>
      </c>
      <c r="BF170" s="14">
        <f t="shared" si="349"/>
        <v>7875</v>
      </c>
      <c r="BG170" s="14">
        <f t="shared" si="354"/>
        <v>16.329999999999998</v>
      </c>
      <c r="BH170" s="14">
        <f t="shared" si="355"/>
        <v>11016</v>
      </c>
      <c r="BK170" s="109">
        <v>166</v>
      </c>
      <c r="BL170" s="14">
        <f t="shared" si="356"/>
        <v>17</v>
      </c>
      <c r="BM170" s="14">
        <f t="shared" si="357"/>
        <v>6</v>
      </c>
      <c r="BN170" s="14">
        <f t="shared" si="350"/>
        <v>7500</v>
      </c>
      <c r="BO170" s="14">
        <f t="shared" si="351"/>
        <v>6000</v>
      </c>
      <c r="BP170" s="14">
        <f t="shared" si="352"/>
        <v>15750</v>
      </c>
    </row>
    <row r="171" spans="45:68" ht="16.5" x14ac:dyDescent="0.2">
      <c r="AS171" s="110"/>
      <c r="AT171" s="110"/>
      <c r="AU171" s="110"/>
      <c r="AV171" s="110"/>
      <c r="AW171" s="110"/>
      <c r="AX171" s="110"/>
      <c r="BA171" s="109">
        <v>167</v>
      </c>
      <c r="BB171" s="14">
        <f t="shared" si="347"/>
        <v>17</v>
      </c>
      <c r="BC171" s="14">
        <f t="shared" si="353"/>
        <v>7</v>
      </c>
      <c r="BD171" s="14">
        <f t="shared" si="358"/>
        <v>700</v>
      </c>
      <c r="BE171" s="14">
        <f t="shared" si="348"/>
        <v>3000</v>
      </c>
      <c r="BF171" s="14">
        <f t="shared" si="349"/>
        <v>7875</v>
      </c>
      <c r="BG171" s="14">
        <f t="shared" si="354"/>
        <v>16.329999999999998</v>
      </c>
      <c r="BH171" s="14">
        <f t="shared" si="355"/>
        <v>11016</v>
      </c>
      <c r="BK171" s="109">
        <v>167</v>
      </c>
      <c r="BL171" s="14">
        <f t="shared" si="356"/>
        <v>17</v>
      </c>
      <c r="BM171" s="14">
        <f t="shared" si="357"/>
        <v>7</v>
      </c>
      <c r="BN171" s="14">
        <f t="shared" si="350"/>
        <v>7500</v>
      </c>
      <c r="BO171" s="14">
        <f t="shared" si="351"/>
        <v>6000</v>
      </c>
      <c r="BP171" s="14">
        <f t="shared" si="352"/>
        <v>15750</v>
      </c>
    </row>
    <row r="172" spans="45:68" ht="16.5" x14ac:dyDescent="0.2">
      <c r="AS172" s="110"/>
      <c r="AT172" s="110"/>
      <c r="AU172" s="110"/>
      <c r="AV172" s="110"/>
      <c r="AW172" s="110"/>
      <c r="AX172" s="110"/>
      <c r="BA172" s="109">
        <v>168</v>
      </c>
      <c r="BB172" s="14">
        <f t="shared" si="347"/>
        <v>17</v>
      </c>
      <c r="BC172" s="14">
        <f t="shared" si="353"/>
        <v>8</v>
      </c>
      <c r="BD172" s="14">
        <f t="shared" si="358"/>
        <v>700</v>
      </c>
      <c r="BE172" s="14">
        <f t="shared" si="348"/>
        <v>3000</v>
      </c>
      <c r="BF172" s="14">
        <f t="shared" si="349"/>
        <v>7875</v>
      </c>
      <c r="BG172" s="14">
        <f t="shared" si="354"/>
        <v>16.329999999999998</v>
      </c>
      <c r="BH172" s="14">
        <f t="shared" si="355"/>
        <v>11016</v>
      </c>
      <c r="BK172" s="109">
        <v>168</v>
      </c>
      <c r="BL172" s="14">
        <f t="shared" si="356"/>
        <v>17</v>
      </c>
      <c r="BM172" s="14">
        <f t="shared" si="357"/>
        <v>8</v>
      </c>
      <c r="BN172" s="14">
        <f t="shared" si="350"/>
        <v>7500</v>
      </c>
      <c r="BO172" s="14">
        <f t="shared" si="351"/>
        <v>6000</v>
      </c>
      <c r="BP172" s="14">
        <f t="shared" si="352"/>
        <v>15750</v>
      </c>
    </row>
    <row r="173" spans="45:68" ht="16.5" x14ac:dyDescent="0.2">
      <c r="AS173" s="110"/>
      <c r="AT173" s="110"/>
      <c r="AU173" s="110"/>
      <c r="AV173" s="110"/>
      <c r="AW173" s="110"/>
      <c r="AX173" s="110"/>
      <c r="BA173" s="109">
        <v>169</v>
      </c>
      <c r="BB173" s="14">
        <f t="shared" si="347"/>
        <v>17</v>
      </c>
      <c r="BC173" s="14">
        <f t="shared" si="353"/>
        <v>9</v>
      </c>
      <c r="BD173" s="14">
        <f t="shared" si="358"/>
        <v>700</v>
      </c>
      <c r="BE173" s="14">
        <f t="shared" si="348"/>
        <v>3000</v>
      </c>
      <c r="BF173" s="14">
        <f t="shared" si="349"/>
        <v>7875</v>
      </c>
      <c r="BG173" s="14">
        <f t="shared" si="354"/>
        <v>16.329999999999998</v>
      </c>
      <c r="BH173" s="14">
        <f t="shared" si="355"/>
        <v>11016</v>
      </c>
      <c r="BK173" s="109">
        <v>169</v>
      </c>
      <c r="BL173" s="14">
        <f t="shared" si="356"/>
        <v>17</v>
      </c>
      <c r="BM173" s="14">
        <f t="shared" si="357"/>
        <v>9</v>
      </c>
      <c r="BN173" s="14">
        <f t="shared" si="350"/>
        <v>7500</v>
      </c>
      <c r="BO173" s="14">
        <f t="shared" si="351"/>
        <v>6000</v>
      </c>
      <c r="BP173" s="14">
        <f t="shared" si="352"/>
        <v>15750</v>
      </c>
    </row>
    <row r="174" spans="45:68" ht="16.5" x14ac:dyDescent="0.2">
      <c r="AS174" s="110"/>
      <c r="AT174" s="110"/>
      <c r="AU174" s="110"/>
      <c r="AV174" s="110"/>
      <c r="AW174" s="110"/>
      <c r="AX174" s="110"/>
      <c r="BA174" s="109">
        <v>170</v>
      </c>
      <c r="BB174" s="14">
        <f t="shared" si="347"/>
        <v>17</v>
      </c>
      <c r="BC174" s="14">
        <f t="shared" si="353"/>
        <v>10</v>
      </c>
      <c r="BD174" s="14">
        <f t="shared" si="358"/>
        <v>700</v>
      </c>
      <c r="BE174" s="14">
        <f t="shared" si="348"/>
        <v>3000</v>
      </c>
      <c r="BF174" s="14">
        <f t="shared" si="349"/>
        <v>7875</v>
      </c>
      <c r="BG174" s="14">
        <f t="shared" si="354"/>
        <v>16.329999999999998</v>
      </c>
      <c r="BH174" s="14">
        <f t="shared" si="355"/>
        <v>11016</v>
      </c>
      <c r="BK174" s="109">
        <v>170</v>
      </c>
      <c r="BL174" s="14">
        <f t="shared" si="356"/>
        <v>17</v>
      </c>
      <c r="BM174" s="14">
        <f t="shared" si="357"/>
        <v>10</v>
      </c>
      <c r="BN174" s="14">
        <f t="shared" si="350"/>
        <v>7500</v>
      </c>
      <c r="BO174" s="14">
        <f t="shared" si="351"/>
        <v>6000</v>
      </c>
      <c r="BP174" s="14">
        <f t="shared" si="352"/>
        <v>15750</v>
      </c>
    </row>
    <row r="175" spans="45:68" ht="16.5" x14ac:dyDescent="0.2">
      <c r="AS175" s="110"/>
      <c r="AT175" s="110"/>
      <c r="AU175" s="110"/>
      <c r="AV175" s="110"/>
      <c r="AW175" s="110"/>
      <c r="AX175" s="110"/>
      <c r="BA175" s="109">
        <v>171</v>
      </c>
      <c r="BB175" s="14">
        <f t="shared" si="347"/>
        <v>18</v>
      </c>
      <c r="BC175" s="14">
        <f t="shared" si="353"/>
        <v>1</v>
      </c>
      <c r="BD175" s="14">
        <f t="shared" si="358"/>
        <v>740</v>
      </c>
      <c r="BE175" s="14">
        <f t="shared" si="348"/>
        <v>3300</v>
      </c>
      <c r="BF175" s="14">
        <f t="shared" si="349"/>
        <v>8325</v>
      </c>
      <c r="BG175" s="14">
        <f t="shared" si="354"/>
        <v>18.829999999999998</v>
      </c>
      <c r="BH175" s="14">
        <f t="shared" si="355"/>
        <v>11018</v>
      </c>
      <c r="BK175" s="109">
        <v>171</v>
      </c>
      <c r="BL175" s="14">
        <f t="shared" si="356"/>
        <v>18</v>
      </c>
      <c r="BM175" s="14">
        <f t="shared" si="357"/>
        <v>1</v>
      </c>
      <c r="BN175" s="14">
        <f t="shared" si="350"/>
        <v>8200</v>
      </c>
      <c r="BO175" s="14">
        <f t="shared" si="351"/>
        <v>6600</v>
      </c>
      <c r="BP175" s="14">
        <f t="shared" si="352"/>
        <v>16650</v>
      </c>
    </row>
    <row r="176" spans="45:68" ht="16.5" x14ac:dyDescent="0.2">
      <c r="AS176" s="110"/>
      <c r="AT176" s="110"/>
      <c r="AU176" s="110"/>
      <c r="AV176" s="110"/>
      <c r="AW176" s="110"/>
      <c r="AX176" s="110"/>
      <c r="BA176" s="109">
        <v>172</v>
      </c>
      <c r="BB176" s="14">
        <f t="shared" si="347"/>
        <v>18</v>
      </c>
      <c r="BC176" s="14">
        <f t="shared" si="353"/>
        <v>2</v>
      </c>
      <c r="BD176" s="14">
        <f t="shared" si="358"/>
        <v>740</v>
      </c>
      <c r="BE176" s="14">
        <f t="shared" si="348"/>
        <v>3300</v>
      </c>
      <c r="BF176" s="14">
        <f t="shared" si="349"/>
        <v>8325</v>
      </c>
      <c r="BG176" s="14">
        <f t="shared" si="354"/>
        <v>18.829999999999998</v>
      </c>
      <c r="BH176" s="14">
        <f t="shared" si="355"/>
        <v>11018</v>
      </c>
      <c r="BK176" s="109">
        <v>172</v>
      </c>
      <c r="BL176" s="14">
        <f t="shared" si="356"/>
        <v>18</v>
      </c>
      <c r="BM176" s="14">
        <f t="shared" si="357"/>
        <v>2</v>
      </c>
      <c r="BN176" s="14">
        <f t="shared" si="350"/>
        <v>8200</v>
      </c>
      <c r="BO176" s="14">
        <f t="shared" si="351"/>
        <v>6600</v>
      </c>
      <c r="BP176" s="14">
        <f t="shared" si="352"/>
        <v>16650</v>
      </c>
    </row>
    <row r="177" spans="45:68" ht="16.5" x14ac:dyDescent="0.2">
      <c r="AS177" s="110"/>
      <c r="AT177" s="110"/>
      <c r="AU177" s="110"/>
      <c r="AV177" s="110"/>
      <c r="AW177" s="110"/>
      <c r="AX177" s="110"/>
      <c r="BA177" s="109">
        <v>173</v>
      </c>
      <c r="BB177" s="14">
        <f t="shared" si="347"/>
        <v>18</v>
      </c>
      <c r="BC177" s="14">
        <f t="shared" si="353"/>
        <v>3</v>
      </c>
      <c r="BD177" s="14">
        <f t="shared" si="358"/>
        <v>740</v>
      </c>
      <c r="BE177" s="14">
        <f t="shared" si="348"/>
        <v>3300</v>
      </c>
      <c r="BF177" s="14">
        <f t="shared" si="349"/>
        <v>8325</v>
      </c>
      <c r="BG177" s="14">
        <f t="shared" si="354"/>
        <v>18.829999999999998</v>
      </c>
      <c r="BH177" s="14">
        <f t="shared" si="355"/>
        <v>11018</v>
      </c>
      <c r="BK177" s="109">
        <v>173</v>
      </c>
      <c r="BL177" s="14">
        <f t="shared" si="356"/>
        <v>18</v>
      </c>
      <c r="BM177" s="14">
        <f t="shared" si="357"/>
        <v>3</v>
      </c>
      <c r="BN177" s="14">
        <f t="shared" si="350"/>
        <v>8200</v>
      </c>
      <c r="BO177" s="14">
        <f t="shared" si="351"/>
        <v>6600</v>
      </c>
      <c r="BP177" s="14">
        <f t="shared" si="352"/>
        <v>16650</v>
      </c>
    </row>
    <row r="178" spans="45:68" ht="16.5" x14ac:dyDescent="0.2">
      <c r="AS178" s="110"/>
      <c r="AT178" s="110"/>
      <c r="AU178" s="110"/>
      <c r="AV178" s="110"/>
      <c r="AW178" s="110"/>
      <c r="AX178" s="110"/>
      <c r="BA178" s="109">
        <v>174</v>
      </c>
      <c r="BB178" s="14">
        <f t="shared" si="347"/>
        <v>18</v>
      </c>
      <c r="BC178" s="14">
        <f t="shared" si="353"/>
        <v>4</v>
      </c>
      <c r="BD178" s="14">
        <f t="shared" si="358"/>
        <v>740</v>
      </c>
      <c r="BE178" s="14">
        <f t="shared" si="348"/>
        <v>3300</v>
      </c>
      <c r="BF178" s="14">
        <f t="shared" si="349"/>
        <v>8325</v>
      </c>
      <c r="BG178" s="14">
        <f t="shared" si="354"/>
        <v>18.829999999999998</v>
      </c>
      <c r="BH178" s="14">
        <f t="shared" si="355"/>
        <v>11018</v>
      </c>
      <c r="BK178" s="109">
        <v>174</v>
      </c>
      <c r="BL178" s="14">
        <f t="shared" si="356"/>
        <v>18</v>
      </c>
      <c r="BM178" s="14">
        <f t="shared" si="357"/>
        <v>4</v>
      </c>
      <c r="BN178" s="14">
        <f t="shared" si="350"/>
        <v>8200</v>
      </c>
      <c r="BO178" s="14">
        <f t="shared" si="351"/>
        <v>6600</v>
      </c>
      <c r="BP178" s="14">
        <f t="shared" si="352"/>
        <v>16650</v>
      </c>
    </row>
    <row r="179" spans="45:68" ht="16.5" x14ac:dyDescent="0.2">
      <c r="AS179" s="110"/>
      <c r="AT179" s="110"/>
      <c r="AU179" s="110"/>
      <c r="AV179" s="110"/>
      <c r="AW179" s="110"/>
      <c r="AX179" s="110"/>
      <c r="BA179" s="109">
        <v>175</v>
      </c>
      <c r="BB179" s="14">
        <f t="shared" si="347"/>
        <v>18</v>
      </c>
      <c r="BC179" s="14">
        <f t="shared" si="353"/>
        <v>5</v>
      </c>
      <c r="BD179" s="14">
        <f t="shared" si="358"/>
        <v>740</v>
      </c>
      <c r="BE179" s="14">
        <f t="shared" si="348"/>
        <v>3300</v>
      </c>
      <c r="BF179" s="14">
        <f t="shared" si="349"/>
        <v>8325</v>
      </c>
      <c r="BG179" s="14">
        <f t="shared" si="354"/>
        <v>18.829999999999998</v>
      </c>
      <c r="BH179" s="14">
        <f t="shared" si="355"/>
        <v>11018</v>
      </c>
      <c r="BK179" s="109">
        <v>175</v>
      </c>
      <c r="BL179" s="14">
        <f t="shared" si="356"/>
        <v>18</v>
      </c>
      <c r="BM179" s="14">
        <f t="shared" si="357"/>
        <v>5</v>
      </c>
      <c r="BN179" s="14">
        <f t="shared" si="350"/>
        <v>8200</v>
      </c>
      <c r="BO179" s="14">
        <f t="shared" si="351"/>
        <v>6600</v>
      </c>
      <c r="BP179" s="14">
        <f t="shared" si="352"/>
        <v>16650</v>
      </c>
    </row>
    <row r="180" spans="45:68" ht="16.5" x14ac:dyDescent="0.2">
      <c r="AS180" s="110"/>
      <c r="AT180" s="110"/>
      <c r="AU180" s="110"/>
      <c r="AV180" s="110"/>
      <c r="AW180" s="110"/>
      <c r="AX180" s="110"/>
      <c r="BA180" s="109">
        <v>176</v>
      </c>
      <c r="BB180" s="14">
        <f t="shared" si="347"/>
        <v>18</v>
      </c>
      <c r="BC180" s="14">
        <f t="shared" si="353"/>
        <v>6</v>
      </c>
      <c r="BD180" s="14">
        <f t="shared" si="358"/>
        <v>740</v>
      </c>
      <c r="BE180" s="14">
        <f t="shared" si="348"/>
        <v>3300</v>
      </c>
      <c r="BF180" s="14">
        <f t="shared" si="349"/>
        <v>8325</v>
      </c>
      <c r="BG180" s="14">
        <f t="shared" si="354"/>
        <v>18.829999999999998</v>
      </c>
      <c r="BH180" s="14">
        <f t="shared" si="355"/>
        <v>11018</v>
      </c>
      <c r="BK180" s="109">
        <v>176</v>
      </c>
      <c r="BL180" s="14">
        <f t="shared" si="356"/>
        <v>18</v>
      </c>
      <c r="BM180" s="14">
        <f t="shared" si="357"/>
        <v>6</v>
      </c>
      <c r="BN180" s="14">
        <f t="shared" si="350"/>
        <v>8200</v>
      </c>
      <c r="BO180" s="14">
        <f t="shared" si="351"/>
        <v>6600</v>
      </c>
      <c r="BP180" s="14">
        <f t="shared" si="352"/>
        <v>16650</v>
      </c>
    </row>
    <row r="181" spans="45:68" ht="16.5" x14ac:dyDescent="0.2">
      <c r="AS181" s="110"/>
      <c r="AT181" s="110"/>
      <c r="AU181" s="110"/>
      <c r="AV181" s="110"/>
      <c r="AW181" s="110"/>
      <c r="AX181" s="110"/>
      <c r="BA181" s="109">
        <v>177</v>
      </c>
      <c r="BB181" s="14">
        <f t="shared" si="347"/>
        <v>18</v>
      </c>
      <c r="BC181" s="14">
        <f t="shared" si="353"/>
        <v>7</v>
      </c>
      <c r="BD181" s="14">
        <f t="shared" si="358"/>
        <v>740</v>
      </c>
      <c r="BE181" s="14">
        <f t="shared" si="348"/>
        <v>3300</v>
      </c>
      <c r="BF181" s="14">
        <f t="shared" si="349"/>
        <v>8325</v>
      </c>
      <c r="BG181" s="14">
        <f t="shared" si="354"/>
        <v>18.829999999999998</v>
      </c>
      <c r="BH181" s="14">
        <f t="shared" si="355"/>
        <v>11018</v>
      </c>
      <c r="BK181" s="109">
        <v>177</v>
      </c>
      <c r="BL181" s="14">
        <f t="shared" si="356"/>
        <v>18</v>
      </c>
      <c r="BM181" s="14">
        <f t="shared" si="357"/>
        <v>7</v>
      </c>
      <c r="BN181" s="14">
        <f t="shared" si="350"/>
        <v>8200</v>
      </c>
      <c r="BO181" s="14">
        <f t="shared" si="351"/>
        <v>6600</v>
      </c>
      <c r="BP181" s="14">
        <f t="shared" si="352"/>
        <v>16650</v>
      </c>
    </row>
    <row r="182" spans="45:68" ht="16.5" x14ac:dyDescent="0.2">
      <c r="AS182" s="110"/>
      <c r="AT182" s="110"/>
      <c r="AU182" s="110"/>
      <c r="AV182" s="110"/>
      <c r="AW182" s="110"/>
      <c r="AX182" s="110"/>
      <c r="BA182" s="109">
        <v>178</v>
      </c>
      <c r="BB182" s="14">
        <f t="shared" si="347"/>
        <v>18</v>
      </c>
      <c r="BC182" s="14">
        <f t="shared" si="353"/>
        <v>8</v>
      </c>
      <c r="BD182" s="14">
        <f t="shared" si="358"/>
        <v>740</v>
      </c>
      <c r="BE182" s="14">
        <f t="shared" si="348"/>
        <v>3300</v>
      </c>
      <c r="BF182" s="14">
        <f t="shared" si="349"/>
        <v>8325</v>
      </c>
      <c r="BG182" s="14">
        <f t="shared" si="354"/>
        <v>18.829999999999998</v>
      </c>
      <c r="BH182" s="14">
        <f t="shared" si="355"/>
        <v>11018</v>
      </c>
      <c r="BK182" s="109">
        <v>178</v>
      </c>
      <c r="BL182" s="14">
        <f t="shared" si="356"/>
        <v>18</v>
      </c>
      <c r="BM182" s="14">
        <f t="shared" si="357"/>
        <v>8</v>
      </c>
      <c r="BN182" s="14">
        <f t="shared" si="350"/>
        <v>8200</v>
      </c>
      <c r="BO182" s="14">
        <f t="shared" si="351"/>
        <v>6600</v>
      </c>
      <c r="BP182" s="14">
        <f t="shared" si="352"/>
        <v>16650</v>
      </c>
    </row>
    <row r="183" spans="45:68" ht="16.5" x14ac:dyDescent="0.2">
      <c r="AS183" s="110"/>
      <c r="AT183" s="110"/>
      <c r="AU183" s="110"/>
      <c r="AV183" s="110"/>
      <c r="AW183" s="110"/>
      <c r="AX183" s="110"/>
      <c r="BA183" s="109">
        <v>179</v>
      </c>
      <c r="BB183" s="14">
        <f t="shared" si="347"/>
        <v>18</v>
      </c>
      <c r="BC183" s="14">
        <f t="shared" si="353"/>
        <v>9</v>
      </c>
      <c r="BD183" s="14">
        <f t="shared" si="358"/>
        <v>740</v>
      </c>
      <c r="BE183" s="14">
        <f t="shared" si="348"/>
        <v>3300</v>
      </c>
      <c r="BF183" s="14">
        <f t="shared" si="349"/>
        <v>8325</v>
      </c>
      <c r="BG183" s="14">
        <f t="shared" si="354"/>
        <v>18.829999999999998</v>
      </c>
      <c r="BH183" s="14">
        <f t="shared" si="355"/>
        <v>11018</v>
      </c>
      <c r="BK183" s="109">
        <v>179</v>
      </c>
      <c r="BL183" s="14">
        <f t="shared" si="356"/>
        <v>18</v>
      </c>
      <c r="BM183" s="14">
        <f t="shared" si="357"/>
        <v>9</v>
      </c>
      <c r="BN183" s="14">
        <f t="shared" si="350"/>
        <v>8200</v>
      </c>
      <c r="BO183" s="14">
        <f t="shared" si="351"/>
        <v>6600</v>
      </c>
      <c r="BP183" s="14">
        <f t="shared" si="352"/>
        <v>16650</v>
      </c>
    </row>
    <row r="184" spans="45:68" ht="16.5" x14ac:dyDescent="0.2">
      <c r="AS184" s="110"/>
      <c r="AT184" s="110"/>
      <c r="AU184" s="110"/>
      <c r="AV184" s="110"/>
      <c r="AW184" s="110"/>
      <c r="AX184" s="110"/>
      <c r="BA184" s="109">
        <v>180</v>
      </c>
      <c r="BB184" s="14">
        <f t="shared" si="347"/>
        <v>18</v>
      </c>
      <c r="BC184" s="14">
        <f t="shared" si="353"/>
        <v>10</v>
      </c>
      <c r="BD184" s="14">
        <f t="shared" si="358"/>
        <v>740</v>
      </c>
      <c r="BE184" s="14">
        <f t="shared" si="348"/>
        <v>3300</v>
      </c>
      <c r="BF184" s="14">
        <f t="shared" si="349"/>
        <v>8325</v>
      </c>
      <c r="BG184" s="14">
        <f t="shared" si="354"/>
        <v>18.829999999999998</v>
      </c>
      <c r="BH184" s="14">
        <f t="shared" si="355"/>
        <v>11018</v>
      </c>
      <c r="BK184" s="109">
        <v>180</v>
      </c>
      <c r="BL184" s="14">
        <f t="shared" si="356"/>
        <v>18</v>
      </c>
      <c r="BM184" s="14">
        <f t="shared" si="357"/>
        <v>10</v>
      </c>
      <c r="BN184" s="14">
        <f t="shared" si="350"/>
        <v>8200</v>
      </c>
      <c r="BO184" s="14">
        <f t="shared" si="351"/>
        <v>6600</v>
      </c>
      <c r="BP184" s="14">
        <f t="shared" si="352"/>
        <v>16650</v>
      </c>
    </row>
    <row r="185" spans="45:68" ht="16.5" x14ac:dyDescent="0.2">
      <c r="AS185" s="110"/>
      <c r="AT185" s="110"/>
      <c r="AU185" s="110"/>
      <c r="AV185" s="110"/>
      <c r="AW185" s="110"/>
      <c r="AX185" s="110"/>
      <c r="BA185" s="109">
        <v>181</v>
      </c>
      <c r="BB185" s="14">
        <f t="shared" si="347"/>
        <v>19</v>
      </c>
      <c r="BC185" s="14">
        <f t="shared" si="353"/>
        <v>1</v>
      </c>
      <c r="BD185" s="14">
        <f t="shared" si="358"/>
        <v>800</v>
      </c>
      <c r="BE185" s="14">
        <f t="shared" si="348"/>
        <v>3600</v>
      </c>
      <c r="BF185" s="14">
        <f t="shared" si="349"/>
        <v>9000</v>
      </c>
      <c r="BG185" s="14">
        <f t="shared" si="354"/>
        <v>21.44</v>
      </c>
      <c r="BH185" s="14">
        <f t="shared" si="355"/>
        <v>11021</v>
      </c>
      <c r="BK185" s="109">
        <v>181</v>
      </c>
      <c r="BL185" s="14">
        <f t="shared" si="356"/>
        <v>19</v>
      </c>
      <c r="BM185" s="14">
        <f t="shared" si="357"/>
        <v>1</v>
      </c>
      <c r="BN185" s="14">
        <f t="shared" si="350"/>
        <v>9250</v>
      </c>
      <c r="BO185" s="14">
        <f t="shared" si="351"/>
        <v>7200</v>
      </c>
      <c r="BP185" s="14">
        <f t="shared" si="352"/>
        <v>18000</v>
      </c>
    </row>
    <row r="186" spans="45:68" ht="16.5" x14ac:dyDescent="0.2">
      <c r="AS186" s="110"/>
      <c r="AT186" s="110"/>
      <c r="AU186" s="110"/>
      <c r="AV186" s="110"/>
      <c r="AW186" s="110"/>
      <c r="AX186" s="110"/>
      <c r="BA186" s="109">
        <v>182</v>
      </c>
      <c r="BB186" s="14">
        <f t="shared" si="347"/>
        <v>19</v>
      </c>
      <c r="BC186" s="14">
        <f t="shared" si="353"/>
        <v>2</v>
      </c>
      <c r="BD186" s="14">
        <f t="shared" si="358"/>
        <v>800</v>
      </c>
      <c r="BE186" s="14">
        <f t="shared" si="348"/>
        <v>3600</v>
      </c>
      <c r="BF186" s="14">
        <f t="shared" si="349"/>
        <v>9000</v>
      </c>
      <c r="BG186" s="14">
        <f t="shared" si="354"/>
        <v>21.44</v>
      </c>
      <c r="BH186" s="14">
        <f t="shared" si="355"/>
        <v>11021</v>
      </c>
      <c r="BK186" s="109">
        <v>182</v>
      </c>
      <c r="BL186" s="14">
        <f t="shared" si="356"/>
        <v>19</v>
      </c>
      <c r="BM186" s="14">
        <f t="shared" si="357"/>
        <v>2</v>
      </c>
      <c r="BN186" s="14">
        <f t="shared" si="350"/>
        <v>9250</v>
      </c>
      <c r="BO186" s="14">
        <f t="shared" si="351"/>
        <v>7200</v>
      </c>
      <c r="BP186" s="14">
        <f t="shared" si="352"/>
        <v>18000</v>
      </c>
    </row>
    <row r="187" spans="45:68" ht="16.5" x14ac:dyDescent="0.2">
      <c r="AS187" s="110"/>
      <c r="AT187" s="110"/>
      <c r="AU187" s="110"/>
      <c r="AV187" s="110"/>
      <c r="AW187" s="110"/>
      <c r="AX187" s="110"/>
      <c r="BA187" s="109">
        <v>183</v>
      </c>
      <c r="BB187" s="14">
        <f t="shared" si="347"/>
        <v>19</v>
      </c>
      <c r="BC187" s="14">
        <f t="shared" si="353"/>
        <v>3</v>
      </c>
      <c r="BD187" s="14">
        <f t="shared" si="358"/>
        <v>800</v>
      </c>
      <c r="BE187" s="14">
        <f t="shared" si="348"/>
        <v>3600</v>
      </c>
      <c r="BF187" s="14">
        <f t="shared" si="349"/>
        <v>9000</v>
      </c>
      <c r="BG187" s="14">
        <f t="shared" si="354"/>
        <v>21.44</v>
      </c>
      <c r="BH187" s="14">
        <f t="shared" si="355"/>
        <v>11021</v>
      </c>
      <c r="BK187" s="109">
        <v>183</v>
      </c>
      <c r="BL187" s="14">
        <f t="shared" si="356"/>
        <v>19</v>
      </c>
      <c r="BM187" s="14">
        <f t="shared" si="357"/>
        <v>3</v>
      </c>
      <c r="BN187" s="14">
        <f t="shared" si="350"/>
        <v>9250</v>
      </c>
      <c r="BO187" s="14">
        <f t="shared" si="351"/>
        <v>7200</v>
      </c>
      <c r="BP187" s="14">
        <f t="shared" si="352"/>
        <v>18000</v>
      </c>
    </row>
    <row r="188" spans="45:68" ht="16.5" x14ac:dyDescent="0.2">
      <c r="AS188" s="110"/>
      <c r="AT188" s="110"/>
      <c r="AU188" s="110"/>
      <c r="AV188" s="110"/>
      <c r="AW188" s="110"/>
      <c r="AX188" s="110"/>
      <c r="BA188" s="109">
        <v>184</v>
      </c>
      <c r="BB188" s="14">
        <f t="shared" si="347"/>
        <v>19</v>
      </c>
      <c r="BC188" s="14">
        <f t="shared" si="353"/>
        <v>4</v>
      </c>
      <c r="BD188" s="14">
        <f t="shared" si="358"/>
        <v>800</v>
      </c>
      <c r="BE188" s="14">
        <f t="shared" si="348"/>
        <v>3600</v>
      </c>
      <c r="BF188" s="14">
        <f t="shared" si="349"/>
        <v>9000</v>
      </c>
      <c r="BG188" s="14">
        <f t="shared" si="354"/>
        <v>21.44</v>
      </c>
      <c r="BH188" s="14">
        <f t="shared" si="355"/>
        <v>11021</v>
      </c>
      <c r="BK188" s="109">
        <v>184</v>
      </c>
      <c r="BL188" s="14">
        <f t="shared" si="356"/>
        <v>19</v>
      </c>
      <c r="BM188" s="14">
        <f t="shared" si="357"/>
        <v>4</v>
      </c>
      <c r="BN188" s="14">
        <f t="shared" si="350"/>
        <v>9250</v>
      </c>
      <c r="BO188" s="14">
        <f t="shared" si="351"/>
        <v>7200</v>
      </c>
      <c r="BP188" s="14">
        <f t="shared" si="352"/>
        <v>18000</v>
      </c>
    </row>
    <row r="189" spans="45:68" ht="16.5" x14ac:dyDescent="0.2">
      <c r="AS189" s="110"/>
      <c r="AT189" s="110"/>
      <c r="AU189" s="110"/>
      <c r="AV189" s="110"/>
      <c r="AW189" s="110"/>
      <c r="AX189" s="110"/>
      <c r="BA189" s="109">
        <v>185</v>
      </c>
      <c r="BB189" s="14">
        <f t="shared" si="347"/>
        <v>19</v>
      </c>
      <c r="BC189" s="14">
        <f t="shared" si="353"/>
        <v>5</v>
      </c>
      <c r="BD189" s="14">
        <f t="shared" si="358"/>
        <v>800</v>
      </c>
      <c r="BE189" s="14">
        <f t="shared" si="348"/>
        <v>3600</v>
      </c>
      <c r="BF189" s="14">
        <f t="shared" si="349"/>
        <v>9000</v>
      </c>
      <c r="BG189" s="14">
        <f t="shared" si="354"/>
        <v>21.44</v>
      </c>
      <c r="BH189" s="14">
        <f t="shared" si="355"/>
        <v>11021</v>
      </c>
      <c r="BK189" s="109">
        <v>185</v>
      </c>
      <c r="BL189" s="14">
        <f t="shared" si="356"/>
        <v>19</v>
      </c>
      <c r="BM189" s="14">
        <f t="shared" si="357"/>
        <v>5</v>
      </c>
      <c r="BN189" s="14">
        <f t="shared" si="350"/>
        <v>9250</v>
      </c>
      <c r="BO189" s="14">
        <f t="shared" si="351"/>
        <v>7200</v>
      </c>
      <c r="BP189" s="14">
        <f t="shared" si="352"/>
        <v>18000</v>
      </c>
    </row>
    <row r="190" spans="45:68" ht="16.5" x14ac:dyDescent="0.2">
      <c r="AS190" s="110"/>
      <c r="AT190" s="110"/>
      <c r="AU190" s="110"/>
      <c r="AV190" s="110"/>
      <c r="AW190" s="110"/>
      <c r="AX190" s="110"/>
      <c r="BA190" s="109">
        <v>186</v>
      </c>
      <c r="BB190" s="14">
        <f t="shared" si="347"/>
        <v>19</v>
      </c>
      <c r="BC190" s="14">
        <f t="shared" si="353"/>
        <v>6</v>
      </c>
      <c r="BD190" s="14">
        <f t="shared" si="358"/>
        <v>800</v>
      </c>
      <c r="BE190" s="14">
        <f t="shared" si="348"/>
        <v>3600</v>
      </c>
      <c r="BF190" s="14">
        <f t="shared" si="349"/>
        <v>9000</v>
      </c>
      <c r="BG190" s="14">
        <f t="shared" si="354"/>
        <v>21.44</v>
      </c>
      <c r="BH190" s="14">
        <f t="shared" si="355"/>
        <v>11021</v>
      </c>
      <c r="BK190" s="109">
        <v>186</v>
      </c>
      <c r="BL190" s="14">
        <f t="shared" si="356"/>
        <v>19</v>
      </c>
      <c r="BM190" s="14">
        <f t="shared" si="357"/>
        <v>6</v>
      </c>
      <c r="BN190" s="14">
        <f t="shared" si="350"/>
        <v>9250</v>
      </c>
      <c r="BO190" s="14">
        <f t="shared" si="351"/>
        <v>7200</v>
      </c>
      <c r="BP190" s="14">
        <f t="shared" si="352"/>
        <v>18000</v>
      </c>
    </row>
    <row r="191" spans="45:68" ht="16.5" x14ac:dyDescent="0.2">
      <c r="AS191" s="110"/>
      <c r="AT191" s="110"/>
      <c r="AU191" s="110"/>
      <c r="AV191" s="110"/>
      <c r="AW191" s="110"/>
      <c r="AX191" s="110"/>
      <c r="BA191" s="109">
        <v>187</v>
      </c>
      <c r="BB191" s="14">
        <f t="shared" si="347"/>
        <v>19</v>
      </c>
      <c r="BC191" s="14">
        <f t="shared" si="353"/>
        <v>7</v>
      </c>
      <c r="BD191" s="14">
        <f t="shared" si="358"/>
        <v>800</v>
      </c>
      <c r="BE191" s="14">
        <f t="shared" si="348"/>
        <v>3600</v>
      </c>
      <c r="BF191" s="14">
        <f t="shared" si="349"/>
        <v>9000</v>
      </c>
      <c r="BG191" s="14">
        <f t="shared" si="354"/>
        <v>21.44</v>
      </c>
      <c r="BH191" s="14">
        <f t="shared" si="355"/>
        <v>11021</v>
      </c>
      <c r="BK191" s="109">
        <v>187</v>
      </c>
      <c r="BL191" s="14">
        <f t="shared" si="356"/>
        <v>19</v>
      </c>
      <c r="BM191" s="14">
        <f t="shared" si="357"/>
        <v>7</v>
      </c>
      <c r="BN191" s="14">
        <f t="shared" si="350"/>
        <v>9250</v>
      </c>
      <c r="BO191" s="14">
        <f t="shared" si="351"/>
        <v>7200</v>
      </c>
      <c r="BP191" s="14">
        <f t="shared" si="352"/>
        <v>18000</v>
      </c>
    </row>
    <row r="192" spans="45:68" ht="16.5" x14ac:dyDescent="0.2">
      <c r="AS192" s="110"/>
      <c r="AT192" s="110"/>
      <c r="AU192" s="110"/>
      <c r="AV192" s="110"/>
      <c r="AW192" s="110"/>
      <c r="AX192" s="110"/>
      <c r="BA192" s="109">
        <v>188</v>
      </c>
      <c r="BB192" s="14">
        <f t="shared" si="347"/>
        <v>19</v>
      </c>
      <c r="BC192" s="14">
        <f t="shared" si="353"/>
        <v>8</v>
      </c>
      <c r="BD192" s="14">
        <f t="shared" si="358"/>
        <v>800</v>
      </c>
      <c r="BE192" s="14">
        <f t="shared" si="348"/>
        <v>3600</v>
      </c>
      <c r="BF192" s="14">
        <f t="shared" si="349"/>
        <v>9000</v>
      </c>
      <c r="BG192" s="14">
        <f t="shared" si="354"/>
        <v>21.44</v>
      </c>
      <c r="BH192" s="14">
        <f t="shared" si="355"/>
        <v>11021</v>
      </c>
      <c r="BK192" s="109">
        <v>188</v>
      </c>
      <c r="BL192" s="14">
        <f t="shared" si="356"/>
        <v>19</v>
      </c>
      <c r="BM192" s="14">
        <f t="shared" si="357"/>
        <v>8</v>
      </c>
      <c r="BN192" s="14">
        <f t="shared" si="350"/>
        <v>9250</v>
      </c>
      <c r="BO192" s="14">
        <f t="shared" si="351"/>
        <v>7200</v>
      </c>
      <c r="BP192" s="14">
        <f t="shared" si="352"/>
        <v>18000</v>
      </c>
    </row>
    <row r="193" spans="45:68" ht="16.5" x14ac:dyDescent="0.2">
      <c r="AS193" s="110"/>
      <c r="AT193" s="110"/>
      <c r="AU193" s="110"/>
      <c r="AV193" s="110"/>
      <c r="AW193" s="110"/>
      <c r="AX193" s="110"/>
      <c r="BA193" s="109">
        <v>189</v>
      </c>
      <c r="BB193" s="14">
        <f t="shared" si="347"/>
        <v>19</v>
      </c>
      <c r="BC193" s="14">
        <f t="shared" si="353"/>
        <v>9</v>
      </c>
      <c r="BD193" s="14">
        <f t="shared" si="358"/>
        <v>800</v>
      </c>
      <c r="BE193" s="14">
        <f t="shared" si="348"/>
        <v>3600</v>
      </c>
      <c r="BF193" s="14">
        <f t="shared" si="349"/>
        <v>9000</v>
      </c>
      <c r="BG193" s="14">
        <f t="shared" si="354"/>
        <v>21.44</v>
      </c>
      <c r="BH193" s="14">
        <f t="shared" si="355"/>
        <v>11021</v>
      </c>
      <c r="BK193" s="109">
        <v>189</v>
      </c>
      <c r="BL193" s="14">
        <f t="shared" si="356"/>
        <v>19</v>
      </c>
      <c r="BM193" s="14">
        <f t="shared" si="357"/>
        <v>9</v>
      </c>
      <c r="BN193" s="14">
        <f t="shared" si="350"/>
        <v>9250</v>
      </c>
      <c r="BO193" s="14">
        <f t="shared" si="351"/>
        <v>7200</v>
      </c>
      <c r="BP193" s="14">
        <f t="shared" si="352"/>
        <v>18000</v>
      </c>
    </row>
    <row r="194" spans="45:68" ht="16.5" x14ac:dyDescent="0.2">
      <c r="AS194" s="110"/>
      <c r="AT194" s="110"/>
      <c r="AU194" s="110"/>
      <c r="AV194" s="110"/>
      <c r="AW194" s="110"/>
      <c r="AX194" s="110"/>
      <c r="BA194" s="109">
        <v>190</v>
      </c>
      <c r="BB194" s="14">
        <f t="shared" si="347"/>
        <v>19</v>
      </c>
      <c r="BC194" s="14">
        <f t="shared" si="353"/>
        <v>10</v>
      </c>
      <c r="BD194" s="14">
        <f t="shared" si="358"/>
        <v>800</v>
      </c>
      <c r="BE194" s="14">
        <f t="shared" si="348"/>
        <v>3600</v>
      </c>
      <c r="BF194" s="14">
        <f t="shared" si="349"/>
        <v>9000</v>
      </c>
      <c r="BG194" s="14">
        <f t="shared" si="354"/>
        <v>21.44</v>
      </c>
      <c r="BH194" s="14">
        <f t="shared" si="355"/>
        <v>11021</v>
      </c>
      <c r="BK194" s="109">
        <v>190</v>
      </c>
      <c r="BL194" s="14">
        <f t="shared" si="356"/>
        <v>19</v>
      </c>
      <c r="BM194" s="14">
        <f t="shared" si="357"/>
        <v>10</v>
      </c>
      <c r="BN194" s="14">
        <f t="shared" si="350"/>
        <v>9250</v>
      </c>
      <c r="BO194" s="14">
        <f t="shared" si="351"/>
        <v>7200</v>
      </c>
      <c r="BP194" s="14">
        <f t="shared" si="352"/>
        <v>18000</v>
      </c>
    </row>
    <row r="195" spans="45:68" ht="16.5" x14ac:dyDescent="0.2">
      <c r="AS195" s="110"/>
      <c r="AT195" s="110"/>
      <c r="AU195" s="110"/>
      <c r="AV195" s="110"/>
      <c r="AW195" s="110"/>
      <c r="AX195" s="110"/>
      <c r="BA195" s="109">
        <v>191</v>
      </c>
      <c r="BB195" s="14">
        <f t="shared" si="347"/>
        <v>20</v>
      </c>
      <c r="BC195" s="14">
        <f t="shared" si="353"/>
        <v>1</v>
      </c>
      <c r="BD195" s="14">
        <f t="shared" si="358"/>
        <v>840</v>
      </c>
      <c r="BE195" s="14">
        <f t="shared" si="348"/>
        <v>3900</v>
      </c>
      <c r="BF195" s="14">
        <f t="shared" si="349"/>
        <v>9450</v>
      </c>
      <c r="BG195" s="14">
        <f t="shared" si="354"/>
        <v>24.15</v>
      </c>
      <c r="BH195" s="14">
        <f t="shared" si="355"/>
        <v>11024</v>
      </c>
      <c r="BK195" s="109">
        <v>191</v>
      </c>
      <c r="BL195" s="14">
        <f t="shared" si="356"/>
        <v>20</v>
      </c>
      <c r="BM195" s="14">
        <f t="shared" si="357"/>
        <v>1</v>
      </c>
      <c r="BN195" s="14">
        <f t="shared" si="350"/>
        <v>10150</v>
      </c>
      <c r="BO195" s="14">
        <f t="shared" si="351"/>
        <v>7800</v>
      </c>
      <c r="BP195" s="14">
        <f t="shared" si="352"/>
        <v>18900</v>
      </c>
    </row>
    <row r="196" spans="45:68" ht="16.5" x14ac:dyDescent="0.2">
      <c r="AS196" s="110"/>
      <c r="AT196" s="110"/>
      <c r="AU196" s="110"/>
      <c r="AV196" s="110"/>
      <c r="AW196" s="110"/>
      <c r="AX196" s="110"/>
      <c r="BA196" s="109">
        <v>192</v>
      </c>
      <c r="BB196" s="14">
        <f t="shared" si="347"/>
        <v>20</v>
      </c>
      <c r="BC196" s="14">
        <f t="shared" si="353"/>
        <v>2</v>
      </c>
      <c r="BD196" s="14">
        <f t="shared" si="358"/>
        <v>840</v>
      </c>
      <c r="BE196" s="14">
        <f t="shared" si="348"/>
        <v>3900</v>
      </c>
      <c r="BF196" s="14">
        <f t="shared" si="349"/>
        <v>9450</v>
      </c>
      <c r="BG196" s="14">
        <f t="shared" si="354"/>
        <v>24.15</v>
      </c>
      <c r="BH196" s="14">
        <f t="shared" si="355"/>
        <v>11024</v>
      </c>
      <c r="BK196" s="109">
        <v>192</v>
      </c>
      <c r="BL196" s="14">
        <f t="shared" si="356"/>
        <v>20</v>
      </c>
      <c r="BM196" s="14">
        <f t="shared" si="357"/>
        <v>2</v>
      </c>
      <c r="BN196" s="14">
        <f t="shared" si="350"/>
        <v>10150</v>
      </c>
      <c r="BO196" s="14">
        <f t="shared" si="351"/>
        <v>7800</v>
      </c>
      <c r="BP196" s="14">
        <f t="shared" si="352"/>
        <v>18900</v>
      </c>
    </row>
    <row r="197" spans="45:68" ht="16.5" x14ac:dyDescent="0.2">
      <c r="AS197" s="110"/>
      <c r="AT197" s="110"/>
      <c r="AU197" s="110"/>
      <c r="AV197" s="110"/>
      <c r="AW197" s="110"/>
      <c r="AX197" s="110"/>
      <c r="BA197" s="109">
        <v>193</v>
      </c>
      <c r="BB197" s="14">
        <f t="shared" ref="BB197:BB260" si="359">INDEX($O$5:$O$36,MATCH(BA197-1,$R$5:$R$36,1))+1</f>
        <v>20</v>
      </c>
      <c r="BC197" s="14">
        <f t="shared" si="353"/>
        <v>3</v>
      </c>
      <c r="BD197" s="14">
        <f t="shared" si="358"/>
        <v>840</v>
      </c>
      <c r="BE197" s="14">
        <f t="shared" ref="BE197:BE260" si="360">INDEX($V$6:$V$35,BB197)</f>
        <v>3900</v>
      </c>
      <c r="BF197" s="14">
        <f t="shared" ref="BF197:BF260" si="361">INDEX($X$6:$X$35,BB197)</f>
        <v>9450</v>
      </c>
      <c r="BG197" s="14">
        <f t="shared" si="354"/>
        <v>24.15</v>
      </c>
      <c r="BH197" s="14">
        <f t="shared" si="355"/>
        <v>11024</v>
      </c>
      <c r="BK197" s="109">
        <v>193</v>
      </c>
      <c r="BL197" s="14">
        <f t="shared" si="356"/>
        <v>20</v>
      </c>
      <c r="BM197" s="14">
        <f t="shared" si="357"/>
        <v>3</v>
      </c>
      <c r="BN197" s="14">
        <f t="shared" ref="BN197:BN260" si="362">INDEX($AJ$6:$AJ$35,BL197)</f>
        <v>10150</v>
      </c>
      <c r="BO197" s="14">
        <f t="shared" ref="BO197:BO260" si="363">INDEX($AL$6:$AL$35,BL197)</f>
        <v>7800</v>
      </c>
      <c r="BP197" s="14">
        <f t="shared" ref="BP197:BP260" si="364">INDEX($AN$6:$AN$35,BL197)</f>
        <v>18900</v>
      </c>
    </row>
    <row r="198" spans="45:68" ht="16.5" x14ac:dyDescent="0.2">
      <c r="AS198" s="110"/>
      <c r="AT198" s="110"/>
      <c r="AU198" s="110"/>
      <c r="AV198" s="110"/>
      <c r="AW198" s="110"/>
      <c r="AX198" s="110"/>
      <c r="BA198" s="109">
        <v>194</v>
      </c>
      <c r="BB198" s="14">
        <f t="shared" si="359"/>
        <v>20</v>
      </c>
      <c r="BC198" s="14">
        <f t="shared" ref="BC198:BC261" si="365">BA198-INDEX($R$5:$R$36,BB198)</f>
        <v>4</v>
      </c>
      <c r="BD198" s="14">
        <f t="shared" si="358"/>
        <v>840</v>
      </c>
      <c r="BE198" s="14">
        <f t="shared" si="360"/>
        <v>3900</v>
      </c>
      <c r="BF198" s="14">
        <f t="shared" si="361"/>
        <v>9450</v>
      </c>
      <c r="BG198" s="14">
        <f t="shared" ref="BG198:BG261" si="366">INDEX($AA$6:$AA$33,BB198)</f>
        <v>24.15</v>
      </c>
      <c r="BH198" s="14">
        <f t="shared" ref="BH198:BH261" si="367">11000+INT(BG198)</f>
        <v>11024</v>
      </c>
      <c r="BK198" s="109">
        <v>194</v>
      </c>
      <c r="BL198" s="14">
        <f t="shared" ref="BL198:BL261" si="368">INDEX($AC$5:$AC$35,MATCH(BK198-1,$AI$5:$AI$35,1))+1</f>
        <v>20</v>
      </c>
      <c r="BM198" s="14">
        <f t="shared" ref="BM198:BM207" si="369">BK198-INDEX($AI$5:$AI$35,BL198)</f>
        <v>4</v>
      </c>
      <c r="BN198" s="14">
        <f t="shared" si="362"/>
        <v>10150</v>
      </c>
      <c r="BO198" s="14">
        <f t="shared" si="363"/>
        <v>7800</v>
      </c>
      <c r="BP198" s="14">
        <f t="shared" si="364"/>
        <v>18900</v>
      </c>
    </row>
    <row r="199" spans="45:68" ht="16.5" x14ac:dyDescent="0.2">
      <c r="AS199" s="110"/>
      <c r="AT199" s="110"/>
      <c r="AU199" s="110"/>
      <c r="AV199" s="110"/>
      <c r="AW199" s="110"/>
      <c r="AX199" s="110"/>
      <c r="BA199" s="109">
        <v>195</v>
      </c>
      <c r="BB199" s="14">
        <f t="shared" si="359"/>
        <v>20</v>
      </c>
      <c r="BC199" s="14">
        <f t="shared" si="365"/>
        <v>5</v>
      </c>
      <c r="BD199" s="14">
        <f t="shared" si="358"/>
        <v>840</v>
      </c>
      <c r="BE199" s="14">
        <f t="shared" si="360"/>
        <v>3900</v>
      </c>
      <c r="BF199" s="14">
        <f t="shared" si="361"/>
        <v>9450</v>
      </c>
      <c r="BG199" s="14">
        <f t="shared" si="366"/>
        <v>24.15</v>
      </c>
      <c r="BH199" s="14">
        <f t="shared" si="367"/>
        <v>11024</v>
      </c>
      <c r="BK199" s="109">
        <v>195</v>
      </c>
      <c r="BL199" s="14">
        <f t="shared" si="368"/>
        <v>20</v>
      </c>
      <c r="BM199" s="14">
        <f t="shared" si="369"/>
        <v>5</v>
      </c>
      <c r="BN199" s="14">
        <f t="shared" si="362"/>
        <v>10150</v>
      </c>
      <c r="BO199" s="14">
        <f t="shared" si="363"/>
        <v>7800</v>
      </c>
      <c r="BP199" s="14">
        <f t="shared" si="364"/>
        <v>18900</v>
      </c>
    </row>
    <row r="200" spans="45:68" ht="16.5" x14ac:dyDescent="0.2">
      <c r="AS200" s="110"/>
      <c r="AT200" s="110"/>
      <c r="AU200" s="110"/>
      <c r="AV200" s="110"/>
      <c r="AW200" s="110"/>
      <c r="AX200" s="110"/>
      <c r="BA200" s="109">
        <v>196</v>
      </c>
      <c r="BB200" s="14">
        <f t="shared" si="359"/>
        <v>20</v>
      </c>
      <c r="BC200" s="14">
        <f t="shared" si="365"/>
        <v>6</v>
      </c>
      <c r="BD200" s="14">
        <f t="shared" si="358"/>
        <v>840</v>
      </c>
      <c r="BE200" s="14">
        <f t="shared" si="360"/>
        <v>3900</v>
      </c>
      <c r="BF200" s="14">
        <f t="shared" si="361"/>
        <v>9450</v>
      </c>
      <c r="BG200" s="14">
        <f t="shared" si="366"/>
        <v>24.15</v>
      </c>
      <c r="BH200" s="14">
        <f t="shared" si="367"/>
        <v>11024</v>
      </c>
      <c r="BK200" s="109">
        <v>196</v>
      </c>
      <c r="BL200" s="14">
        <f t="shared" si="368"/>
        <v>20</v>
      </c>
      <c r="BM200" s="14">
        <f t="shared" si="369"/>
        <v>6</v>
      </c>
      <c r="BN200" s="14">
        <f t="shared" si="362"/>
        <v>10150</v>
      </c>
      <c r="BO200" s="14">
        <f t="shared" si="363"/>
        <v>7800</v>
      </c>
      <c r="BP200" s="14">
        <f t="shared" si="364"/>
        <v>18900</v>
      </c>
    </row>
    <row r="201" spans="45:68" ht="16.5" x14ac:dyDescent="0.2">
      <c r="AS201" s="110"/>
      <c r="AT201" s="110"/>
      <c r="AU201" s="110"/>
      <c r="AV201" s="110"/>
      <c r="AW201" s="110"/>
      <c r="AX201" s="110"/>
      <c r="BA201" s="109">
        <v>197</v>
      </c>
      <c r="BB201" s="14">
        <f t="shared" si="359"/>
        <v>20</v>
      </c>
      <c r="BC201" s="14">
        <f t="shared" si="365"/>
        <v>7</v>
      </c>
      <c r="BD201" s="14">
        <f t="shared" si="358"/>
        <v>840</v>
      </c>
      <c r="BE201" s="14">
        <f t="shared" si="360"/>
        <v>3900</v>
      </c>
      <c r="BF201" s="14">
        <f t="shared" si="361"/>
        <v>9450</v>
      </c>
      <c r="BG201" s="14">
        <f t="shared" si="366"/>
        <v>24.15</v>
      </c>
      <c r="BH201" s="14">
        <f t="shared" si="367"/>
        <v>11024</v>
      </c>
      <c r="BK201" s="109">
        <v>197</v>
      </c>
      <c r="BL201" s="14">
        <f t="shared" si="368"/>
        <v>20</v>
      </c>
      <c r="BM201" s="14">
        <f t="shared" si="369"/>
        <v>7</v>
      </c>
      <c r="BN201" s="14">
        <f t="shared" si="362"/>
        <v>10150</v>
      </c>
      <c r="BO201" s="14">
        <f t="shared" si="363"/>
        <v>7800</v>
      </c>
      <c r="BP201" s="14">
        <f t="shared" si="364"/>
        <v>18900</v>
      </c>
    </row>
    <row r="202" spans="45:68" ht="16.5" x14ac:dyDescent="0.2">
      <c r="AS202" s="110"/>
      <c r="AT202" s="110"/>
      <c r="AU202" s="110"/>
      <c r="AV202" s="110"/>
      <c r="AW202" s="110"/>
      <c r="AX202" s="110"/>
      <c r="BA202" s="109">
        <v>198</v>
      </c>
      <c r="BB202" s="14">
        <f t="shared" si="359"/>
        <v>20</v>
      </c>
      <c r="BC202" s="14">
        <f t="shared" si="365"/>
        <v>8</v>
      </c>
      <c r="BD202" s="14">
        <f t="shared" si="358"/>
        <v>840</v>
      </c>
      <c r="BE202" s="14">
        <f t="shared" si="360"/>
        <v>3900</v>
      </c>
      <c r="BF202" s="14">
        <f t="shared" si="361"/>
        <v>9450</v>
      </c>
      <c r="BG202" s="14">
        <f t="shared" si="366"/>
        <v>24.15</v>
      </c>
      <c r="BH202" s="14">
        <f t="shared" si="367"/>
        <v>11024</v>
      </c>
      <c r="BK202" s="109">
        <v>198</v>
      </c>
      <c r="BL202" s="14">
        <f t="shared" si="368"/>
        <v>20</v>
      </c>
      <c r="BM202" s="14">
        <f t="shared" si="369"/>
        <v>8</v>
      </c>
      <c r="BN202" s="14">
        <f t="shared" si="362"/>
        <v>10150</v>
      </c>
      <c r="BO202" s="14">
        <f t="shared" si="363"/>
        <v>7800</v>
      </c>
      <c r="BP202" s="14">
        <f t="shared" si="364"/>
        <v>18900</v>
      </c>
    </row>
    <row r="203" spans="45:68" ht="16.5" x14ac:dyDescent="0.2">
      <c r="AS203" s="110"/>
      <c r="AT203" s="110"/>
      <c r="AU203" s="110"/>
      <c r="AV203" s="110"/>
      <c r="AW203" s="110"/>
      <c r="AX203" s="110"/>
      <c r="BA203" s="109">
        <v>199</v>
      </c>
      <c r="BB203" s="14">
        <f t="shared" si="359"/>
        <v>20</v>
      </c>
      <c r="BC203" s="14">
        <f t="shared" si="365"/>
        <v>9</v>
      </c>
      <c r="BD203" s="14">
        <f t="shared" si="358"/>
        <v>840</v>
      </c>
      <c r="BE203" s="14">
        <f t="shared" si="360"/>
        <v>3900</v>
      </c>
      <c r="BF203" s="14">
        <f t="shared" si="361"/>
        <v>9450</v>
      </c>
      <c r="BG203" s="14">
        <f t="shared" si="366"/>
        <v>24.15</v>
      </c>
      <c r="BH203" s="14">
        <f t="shared" si="367"/>
        <v>11024</v>
      </c>
      <c r="BK203" s="109">
        <v>199</v>
      </c>
      <c r="BL203" s="14">
        <f t="shared" si="368"/>
        <v>20</v>
      </c>
      <c r="BM203" s="14">
        <f t="shared" si="369"/>
        <v>9</v>
      </c>
      <c r="BN203" s="14">
        <f t="shared" si="362"/>
        <v>10150</v>
      </c>
      <c r="BO203" s="14">
        <f t="shared" si="363"/>
        <v>7800</v>
      </c>
      <c r="BP203" s="14">
        <f t="shared" si="364"/>
        <v>18900</v>
      </c>
    </row>
    <row r="204" spans="45:68" ht="16.5" x14ac:dyDescent="0.2">
      <c r="AS204" s="110"/>
      <c r="AT204" s="110"/>
      <c r="AU204" s="110"/>
      <c r="AV204" s="110"/>
      <c r="AW204" s="110"/>
      <c r="AX204" s="110"/>
      <c r="BA204" s="109">
        <v>200</v>
      </c>
      <c r="BB204" s="14">
        <f t="shared" si="359"/>
        <v>20</v>
      </c>
      <c r="BC204" s="14">
        <f t="shared" si="365"/>
        <v>10</v>
      </c>
      <c r="BD204" s="14">
        <f t="shared" si="358"/>
        <v>840</v>
      </c>
      <c r="BE204" s="14">
        <f t="shared" si="360"/>
        <v>3900</v>
      </c>
      <c r="BF204" s="14">
        <f t="shared" si="361"/>
        <v>9450</v>
      </c>
      <c r="BG204" s="14">
        <f t="shared" si="366"/>
        <v>24.15</v>
      </c>
      <c r="BH204" s="14">
        <f t="shared" si="367"/>
        <v>11024</v>
      </c>
      <c r="BK204" s="109">
        <v>200</v>
      </c>
      <c r="BL204" s="14">
        <f t="shared" si="368"/>
        <v>20</v>
      </c>
      <c r="BM204" s="14">
        <f t="shared" si="369"/>
        <v>10</v>
      </c>
      <c r="BN204" s="14">
        <f t="shared" si="362"/>
        <v>10150</v>
      </c>
      <c r="BO204" s="14">
        <f t="shared" si="363"/>
        <v>7800</v>
      </c>
      <c r="BP204" s="14">
        <f t="shared" si="364"/>
        <v>18900</v>
      </c>
    </row>
    <row r="205" spans="45:68" ht="16.5" x14ac:dyDescent="0.2">
      <c r="AS205" s="110"/>
      <c r="AT205" s="110"/>
      <c r="AU205" s="110"/>
      <c r="AV205" s="110"/>
      <c r="AW205" s="110"/>
      <c r="AX205" s="110"/>
      <c r="BA205" s="109">
        <v>201</v>
      </c>
      <c r="BB205" s="14">
        <f t="shared" si="359"/>
        <v>21</v>
      </c>
      <c r="BC205" s="14">
        <f t="shared" si="365"/>
        <v>1</v>
      </c>
      <c r="BD205" s="14">
        <f t="shared" si="358"/>
        <v>900</v>
      </c>
      <c r="BE205" s="14">
        <f t="shared" si="360"/>
        <v>4200</v>
      </c>
      <c r="BF205" s="14">
        <f t="shared" si="361"/>
        <v>10125</v>
      </c>
      <c r="BG205" s="14">
        <f t="shared" si="366"/>
        <v>27</v>
      </c>
      <c r="BH205" s="14">
        <f t="shared" si="367"/>
        <v>11027</v>
      </c>
      <c r="BK205" s="109">
        <v>201</v>
      </c>
      <c r="BL205" s="14">
        <f t="shared" si="368"/>
        <v>21</v>
      </c>
      <c r="BM205" s="14">
        <f t="shared" si="369"/>
        <v>1</v>
      </c>
      <c r="BN205" s="14">
        <f t="shared" si="362"/>
        <v>12000</v>
      </c>
      <c r="BO205" s="14">
        <f t="shared" si="363"/>
        <v>8400</v>
      </c>
      <c r="BP205" s="14">
        <f t="shared" si="364"/>
        <v>20250</v>
      </c>
    </row>
    <row r="206" spans="45:68" ht="16.5" x14ac:dyDescent="0.2">
      <c r="AS206" s="110"/>
      <c r="AT206" s="110"/>
      <c r="AU206" s="110"/>
      <c r="AV206" s="110"/>
      <c r="AW206" s="110"/>
      <c r="AX206" s="110"/>
      <c r="BA206" s="109">
        <v>202</v>
      </c>
      <c r="BB206" s="14">
        <f t="shared" si="359"/>
        <v>21</v>
      </c>
      <c r="BC206" s="14">
        <f t="shared" si="365"/>
        <v>2</v>
      </c>
      <c r="BD206" s="14">
        <f t="shared" si="358"/>
        <v>900</v>
      </c>
      <c r="BE206" s="14">
        <f t="shared" si="360"/>
        <v>4200</v>
      </c>
      <c r="BF206" s="14">
        <f t="shared" si="361"/>
        <v>10125</v>
      </c>
      <c r="BG206" s="14">
        <f t="shared" si="366"/>
        <v>27</v>
      </c>
      <c r="BH206" s="14">
        <f t="shared" si="367"/>
        <v>11027</v>
      </c>
      <c r="BK206" s="109">
        <v>202</v>
      </c>
      <c r="BL206" s="14">
        <f t="shared" si="368"/>
        <v>21</v>
      </c>
      <c r="BM206" s="14">
        <f t="shared" si="369"/>
        <v>2</v>
      </c>
      <c r="BN206" s="14">
        <f t="shared" si="362"/>
        <v>12000</v>
      </c>
      <c r="BO206" s="14">
        <f t="shared" si="363"/>
        <v>8400</v>
      </c>
      <c r="BP206" s="14">
        <f t="shared" si="364"/>
        <v>20250</v>
      </c>
    </row>
    <row r="207" spans="45:68" ht="16.5" x14ac:dyDescent="0.2">
      <c r="AS207" s="110"/>
      <c r="AT207" s="110"/>
      <c r="AU207" s="110"/>
      <c r="AV207" s="110"/>
      <c r="AW207" s="110"/>
      <c r="AX207" s="110"/>
      <c r="BA207" s="109">
        <v>203</v>
      </c>
      <c r="BB207" s="14">
        <f t="shared" si="359"/>
        <v>21</v>
      </c>
      <c r="BC207" s="14">
        <f t="shared" si="365"/>
        <v>3</v>
      </c>
      <c r="BD207" s="14">
        <f t="shared" ref="BD207:BD270" si="370">INDEX($T$6:$T$35,BB207)</f>
        <v>900</v>
      </c>
      <c r="BE207" s="14">
        <f t="shared" si="360"/>
        <v>4200</v>
      </c>
      <c r="BF207" s="14">
        <f t="shared" si="361"/>
        <v>10125</v>
      </c>
      <c r="BG207" s="14">
        <f t="shared" si="366"/>
        <v>27</v>
      </c>
      <c r="BH207" s="14">
        <f t="shared" si="367"/>
        <v>11027</v>
      </c>
      <c r="BK207" s="109">
        <v>203</v>
      </c>
      <c r="BL207" s="14">
        <f t="shared" si="368"/>
        <v>21</v>
      </c>
      <c r="BM207" s="14">
        <f t="shared" si="369"/>
        <v>3</v>
      </c>
      <c r="BN207" s="14">
        <f t="shared" si="362"/>
        <v>12000</v>
      </c>
      <c r="BO207" s="14">
        <f t="shared" si="363"/>
        <v>8400</v>
      </c>
      <c r="BP207" s="14">
        <f t="shared" si="364"/>
        <v>20250</v>
      </c>
    </row>
    <row r="208" spans="45:68" ht="16.5" x14ac:dyDescent="0.2">
      <c r="AS208" s="110"/>
      <c r="AT208" s="110"/>
      <c r="AU208" s="110"/>
      <c r="AV208" s="110"/>
      <c r="AW208" s="110"/>
      <c r="AX208" s="110"/>
      <c r="BA208" s="109">
        <v>204</v>
      </c>
      <c r="BB208" s="14">
        <f t="shared" si="359"/>
        <v>21</v>
      </c>
      <c r="BC208" s="14">
        <f t="shared" si="365"/>
        <v>4</v>
      </c>
      <c r="BD208" s="14">
        <f t="shared" si="370"/>
        <v>900</v>
      </c>
      <c r="BE208" s="14">
        <f t="shared" si="360"/>
        <v>4200</v>
      </c>
      <c r="BF208" s="14">
        <f t="shared" si="361"/>
        <v>10125</v>
      </c>
      <c r="BG208" s="14">
        <f t="shared" si="366"/>
        <v>27</v>
      </c>
      <c r="BH208" s="14">
        <f t="shared" si="367"/>
        <v>11027</v>
      </c>
      <c r="BK208" s="109">
        <v>204</v>
      </c>
      <c r="BL208" s="14">
        <f t="shared" si="368"/>
        <v>21</v>
      </c>
      <c r="BM208" s="14">
        <f t="shared" ref="BM208:BM271" si="371">BK208-INDEX($AI$5:$AI$35,BL208)</f>
        <v>4</v>
      </c>
      <c r="BN208" s="14">
        <f t="shared" si="362"/>
        <v>12000</v>
      </c>
      <c r="BO208" s="14">
        <f t="shared" si="363"/>
        <v>8400</v>
      </c>
      <c r="BP208" s="14">
        <f t="shared" si="364"/>
        <v>20250</v>
      </c>
    </row>
    <row r="209" spans="45:68" ht="16.5" x14ac:dyDescent="0.2">
      <c r="AS209" s="110"/>
      <c r="AT209" s="110"/>
      <c r="AU209" s="110"/>
      <c r="AV209" s="110"/>
      <c r="AW209" s="110"/>
      <c r="AX209" s="110"/>
      <c r="BA209" s="109">
        <v>205</v>
      </c>
      <c r="BB209" s="14">
        <f t="shared" si="359"/>
        <v>21</v>
      </c>
      <c r="BC209" s="14">
        <f t="shared" si="365"/>
        <v>5</v>
      </c>
      <c r="BD209" s="14">
        <f t="shared" si="370"/>
        <v>900</v>
      </c>
      <c r="BE209" s="14">
        <f t="shared" si="360"/>
        <v>4200</v>
      </c>
      <c r="BF209" s="14">
        <f t="shared" si="361"/>
        <v>10125</v>
      </c>
      <c r="BG209" s="14">
        <f t="shared" si="366"/>
        <v>27</v>
      </c>
      <c r="BH209" s="14">
        <f t="shared" si="367"/>
        <v>11027</v>
      </c>
      <c r="BK209" s="109">
        <v>205</v>
      </c>
      <c r="BL209" s="14">
        <f t="shared" si="368"/>
        <v>21</v>
      </c>
      <c r="BM209" s="14">
        <f t="shared" si="371"/>
        <v>5</v>
      </c>
      <c r="BN209" s="14">
        <f t="shared" si="362"/>
        <v>12000</v>
      </c>
      <c r="BO209" s="14">
        <f t="shared" si="363"/>
        <v>8400</v>
      </c>
      <c r="BP209" s="14">
        <f t="shared" si="364"/>
        <v>20250</v>
      </c>
    </row>
    <row r="210" spans="45:68" ht="16.5" x14ac:dyDescent="0.2">
      <c r="AS210" s="110"/>
      <c r="AT210" s="110"/>
      <c r="AU210" s="110"/>
      <c r="AV210" s="110"/>
      <c r="AW210" s="110"/>
      <c r="AX210" s="110"/>
      <c r="BA210" s="109">
        <v>206</v>
      </c>
      <c r="BB210" s="14">
        <f t="shared" si="359"/>
        <v>21</v>
      </c>
      <c r="BC210" s="14">
        <f t="shared" si="365"/>
        <v>6</v>
      </c>
      <c r="BD210" s="14">
        <f t="shared" si="370"/>
        <v>900</v>
      </c>
      <c r="BE210" s="14">
        <f t="shared" si="360"/>
        <v>4200</v>
      </c>
      <c r="BF210" s="14">
        <f t="shared" si="361"/>
        <v>10125</v>
      </c>
      <c r="BG210" s="14">
        <f t="shared" si="366"/>
        <v>27</v>
      </c>
      <c r="BH210" s="14">
        <f t="shared" si="367"/>
        <v>11027</v>
      </c>
      <c r="BK210" s="109">
        <v>206</v>
      </c>
      <c r="BL210" s="14">
        <f t="shared" si="368"/>
        <v>21</v>
      </c>
      <c r="BM210" s="14">
        <f t="shared" si="371"/>
        <v>6</v>
      </c>
      <c r="BN210" s="14">
        <f t="shared" si="362"/>
        <v>12000</v>
      </c>
      <c r="BO210" s="14">
        <f t="shared" si="363"/>
        <v>8400</v>
      </c>
      <c r="BP210" s="14">
        <f t="shared" si="364"/>
        <v>20250</v>
      </c>
    </row>
    <row r="211" spans="45:68" ht="16.5" x14ac:dyDescent="0.2">
      <c r="AS211" s="110"/>
      <c r="AT211" s="110"/>
      <c r="AU211" s="110"/>
      <c r="AV211" s="110"/>
      <c r="AW211" s="110"/>
      <c r="AX211" s="110"/>
      <c r="BA211" s="109">
        <v>207</v>
      </c>
      <c r="BB211" s="14">
        <f t="shared" si="359"/>
        <v>21</v>
      </c>
      <c r="BC211" s="14">
        <f t="shared" si="365"/>
        <v>7</v>
      </c>
      <c r="BD211" s="14">
        <f t="shared" si="370"/>
        <v>900</v>
      </c>
      <c r="BE211" s="14">
        <f t="shared" si="360"/>
        <v>4200</v>
      </c>
      <c r="BF211" s="14">
        <f t="shared" si="361"/>
        <v>10125</v>
      </c>
      <c r="BG211" s="14">
        <f t="shared" si="366"/>
        <v>27</v>
      </c>
      <c r="BH211" s="14">
        <f t="shared" si="367"/>
        <v>11027</v>
      </c>
      <c r="BK211" s="109">
        <v>207</v>
      </c>
      <c r="BL211" s="14">
        <f t="shared" si="368"/>
        <v>21</v>
      </c>
      <c r="BM211" s="14">
        <f t="shared" si="371"/>
        <v>7</v>
      </c>
      <c r="BN211" s="14">
        <f t="shared" si="362"/>
        <v>12000</v>
      </c>
      <c r="BO211" s="14">
        <f t="shared" si="363"/>
        <v>8400</v>
      </c>
      <c r="BP211" s="14">
        <f t="shared" si="364"/>
        <v>20250</v>
      </c>
    </row>
    <row r="212" spans="45:68" ht="16.5" x14ac:dyDescent="0.2">
      <c r="AS212" s="110"/>
      <c r="AT212" s="110"/>
      <c r="AU212" s="110"/>
      <c r="AV212" s="110"/>
      <c r="AW212" s="110"/>
      <c r="AX212" s="110"/>
      <c r="BA212" s="109">
        <v>208</v>
      </c>
      <c r="BB212" s="14">
        <f t="shared" si="359"/>
        <v>21</v>
      </c>
      <c r="BC212" s="14">
        <f t="shared" si="365"/>
        <v>8</v>
      </c>
      <c r="BD212" s="14">
        <f t="shared" si="370"/>
        <v>900</v>
      </c>
      <c r="BE212" s="14">
        <f t="shared" si="360"/>
        <v>4200</v>
      </c>
      <c r="BF212" s="14">
        <f t="shared" si="361"/>
        <v>10125</v>
      </c>
      <c r="BG212" s="14">
        <f t="shared" si="366"/>
        <v>27</v>
      </c>
      <c r="BH212" s="14">
        <f t="shared" si="367"/>
        <v>11027</v>
      </c>
      <c r="BK212" s="109">
        <v>208</v>
      </c>
      <c r="BL212" s="14">
        <f t="shared" si="368"/>
        <v>21</v>
      </c>
      <c r="BM212" s="14">
        <f t="shared" si="371"/>
        <v>8</v>
      </c>
      <c r="BN212" s="14">
        <f t="shared" si="362"/>
        <v>12000</v>
      </c>
      <c r="BO212" s="14">
        <f t="shared" si="363"/>
        <v>8400</v>
      </c>
      <c r="BP212" s="14">
        <f t="shared" si="364"/>
        <v>20250</v>
      </c>
    </row>
    <row r="213" spans="45:68" ht="16.5" x14ac:dyDescent="0.2">
      <c r="AS213" s="110"/>
      <c r="AT213" s="110"/>
      <c r="AU213" s="110"/>
      <c r="AV213" s="110"/>
      <c r="AW213" s="110"/>
      <c r="AX213" s="110"/>
      <c r="BA213" s="109">
        <v>209</v>
      </c>
      <c r="BB213" s="14">
        <f t="shared" si="359"/>
        <v>21</v>
      </c>
      <c r="BC213" s="14">
        <f t="shared" si="365"/>
        <v>9</v>
      </c>
      <c r="BD213" s="14">
        <f t="shared" si="370"/>
        <v>900</v>
      </c>
      <c r="BE213" s="14">
        <f t="shared" si="360"/>
        <v>4200</v>
      </c>
      <c r="BF213" s="14">
        <f t="shared" si="361"/>
        <v>10125</v>
      </c>
      <c r="BG213" s="14">
        <f t="shared" si="366"/>
        <v>27</v>
      </c>
      <c r="BH213" s="14">
        <f t="shared" si="367"/>
        <v>11027</v>
      </c>
      <c r="BK213" s="109">
        <v>209</v>
      </c>
      <c r="BL213" s="14">
        <f t="shared" si="368"/>
        <v>21</v>
      </c>
      <c r="BM213" s="14">
        <f t="shared" si="371"/>
        <v>9</v>
      </c>
      <c r="BN213" s="14">
        <f t="shared" si="362"/>
        <v>12000</v>
      </c>
      <c r="BO213" s="14">
        <f t="shared" si="363"/>
        <v>8400</v>
      </c>
      <c r="BP213" s="14">
        <f t="shared" si="364"/>
        <v>20250</v>
      </c>
    </row>
    <row r="214" spans="45:68" ht="16.5" x14ac:dyDescent="0.2">
      <c r="AS214" s="110"/>
      <c r="AT214" s="110"/>
      <c r="AU214" s="110"/>
      <c r="AV214" s="110"/>
      <c r="AW214" s="110"/>
      <c r="AX214" s="110"/>
      <c r="BA214" s="109">
        <v>210</v>
      </c>
      <c r="BB214" s="14">
        <f t="shared" si="359"/>
        <v>21</v>
      </c>
      <c r="BC214" s="14">
        <f t="shared" si="365"/>
        <v>10</v>
      </c>
      <c r="BD214" s="14">
        <f t="shared" si="370"/>
        <v>900</v>
      </c>
      <c r="BE214" s="14">
        <f t="shared" si="360"/>
        <v>4200</v>
      </c>
      <c r="BF214" s="14">
        <f t="shared" si="361"/>
        <v>10125</v>
      </c>
      <c r="BG214" s="14">
        <f t="shared" si="366"/>
        <v>27</v>
      </c>
      <c r="BH214" s="14">
        <f t="shared" si="367"/>
        <v>11027</v>
      </c>
      <c r="BK214" s="109">
        <v>210</v>
      </c>
      <c r="BL214" s="14">
        <f t="shared" si="368"/>
        <v>21</v>
      </c>
      <c r="BM214" s="14">
        <f t="shared" si="371"/>
        <v>10</v>
      </c>
      <c r="BN214" s="14">
        <f t="shared" si="362"/>
        <v>12000</v>
      </c>
      <c r="BO214" s="14">
        <f t="shared" si="363"/>
        <v>8400</v>
      </c>
      <c r="BP214" s="14">
        <f t="shared" si="364"/>
        <v>20250</v>
      </c>
    </row>
    <row r="215" spans="45:68" ht="16.5" x14ac:dyDescent="0.2">
      <c r="AS215" s="110"/>
      <c r="AT215" s="110"/>
      <c r="AU215" s="110"/>
      <c r="AV215" s="110"/>
      <c r="AW215" s="110"/>
      <c r="AX215" s="110"/>
      <c r="BA215" s="109">
        <v>211</v>
      </c>
      <c r="BB215" s="14">
        <f t="shared" si="359"/>
        <v>22</v>
      </c>
      <c r="BC215" s="14">
        <f t="shared" si="365"/>
        <v>1</v>
      </c>
      <c r="BD215" s="14">
        <f t="shared" si="370"/>
        <v>940</v>
      </c>
      <c r="BE215" s="14">
        <f t="shared" si="360"/>
        <v>4500</v>
      </c>
      <c r="BF215" s="14">
        <f t="shared" si="361"/>
        <v>10575</v>
      </c>
      <c r="BG215" s="14">
        <f t="shared" si="366"/>
        <v>30</v>
      </c>
      <c r="BH215" s="14">
        <f t="shared" si="367"/>
        <v>11030</v>
      </c>
      <c r="BK215" s="109">
        <v>211</v>
      </c>
      <c r="BL215" s="14">
        <f t="shared" si="368"/>
        <v>22</v>
      </c>
      <c r="BM215" s="14">
        <f t="shared" si="371"/>
        <v>1</v>
      </c>
      <c r="BN215" s="14">
        <f t="shared" si="362"/>
        <v>14850</v>
      </c>
      <c r="BO215" s="14">
        <f t="shared" si="363"/>
        <v>9000</v>
      </c>
      <c r="BP215" s="14">
        <f t="shared" si="364"/>
        <v>21150</v>
      </c>
    </row>
    <row r="216" spans="45:68" ht="16.5" x14ac:dyDescent="0.2">
      <c r="AS216" s="110"/>
      <c r="AT216" s="110"/>
      <c r="AU216" s="110"/>
      <c r="AV216" s="110"/>
      <c r="AW216" s="110"/>
      <c r="AX216" s="110"/>
      <c r="BA216" s="109">
        <v>212</v>
      </c>
      <c r="BB216" s="14">
        <f t="shared" si="359"/>
        <v>22</v>
      </c>
      <c r="BC216" s="14">
        <f t="shared" si="365"/>
        <v>2</v>
      </c>
      <c r="BD216" s="14">
        <f t="shared" si="370"/>
        <v>940</v>
      </c>
      <c r="BE216" s="14">
        <f t="shared" si="360"/>
        <v>4500</v>
      </c>
      <c r="BF216" s="14">
        <f t="shared" si="361"/>
        <v>10575</v>
      </c>
      <c r="BG216" s="14">
        <f t="shared" si="366"/>
        <v>30</v>
      </c>
      <c r="BH216" s="14">
        <f t="shared" si="367"/>
        <v>11030</v>
      </c>
      <c r="BK216" s="109">
        <v>212</v>
      </c>
      <c r="BL216" s="14">
        <f t="shared" si="368"/>
        <v>22</v>
      </c>
      <c r="BM216" s="14">
        <f t="shared" si="371"/>
        <v>2</v>
      </c>
      <c r="BN216" s="14">
        <f t="shared" si="362"/>
        <v>14850</v>
      </c>
      <c r="BO216" s="14">
        <f t="shared" si="363"/>
        <v>9000</v>
      </c>
      <c r="BP216" s="14">
        <f t="shared" si="364"/>
        <v>21150</v>
      </c>
    </row>
    <row r="217" spans="45:68" ht="16.5" x14ac:dyDescent="0.2">
      <c r="AS217" s="110"/>
      <c r="AT217" s="110"/>
      <c r="AU217" s="110"/>
      <c r="AV217" s="110"/>
      <c r="AW217" s="110"/>
      <c r="AX217" s="110"/>
      <c r="BA217" s="109">
        <v>213</v>
      </c>
      <c r="BB217" s="14">
        <f t="shared" si="359"/>
        <v>22</v>
      </c>
      <c r="BC217" s="14">
        <f t="shared" si="365"/>
        <v>3</v>
      </c>
      <c r="BD217" s="14">
        <f t="shared" si="370"/>
        <v>940</v>
      </c>
      <c r="BE217" s="14">
        <f t="shared" si="360"/>
        <v>4500</v>
      </c>
      <c r="BF217" s="14">
        <f t="shared" si="361"/>
        <v>10575</v>
      </c>
      <c r="BG217" s="14">
        <f t="shared" si="366"/>
        <v>30</v>
      </c>
      <c r="BH217" s="14">
        <f t="shared" si="367"/>
        <v>11030</v>
      </c>
      <c r="BK217" s="109">
        <v>213</v>
      </c>
      <c r="BL217" s="14">
        <f t="shared" si="368"/>
        <v>22</v>
      </c>
      <c r="BM217" s="14">
        <f t="shared" si="371"/>
        <v>3</v>
      </c>
      <c r="BN217" s="14">
        <f t="shared" si="362"/>
        <v>14850</v>
      </c>
      <c r="BO217" s="14">
        <f t="shared" si="363"/>
        <v>9000</v>
      </c>
      <c r="BP217" s="14">
        <f t="shared" si="364"/>
        <v>21150</v>
      </c>
    </row>
    <row r="218" spans="45:68" ht="16.5" x14ac:dyDescent="0.2">
      <c r="AS218" s="110"/>
      <c r="AT218" s="110"/>
      <c r="AU218" s="110"/>
      <c r="AV218" s="110"/>
      <c r="AW218" s="110"/>
      <c r="AX218" s="110"/>
      <c r="BA218" s="109">
        <v>214</v>
      </c>
      <c r="BB218" s="14">
        <f t="shared" si="359"/>
        <v>22</v>
      </c>
      <c r="BC218" s="14">
        <f t="shared" si="365"/>
        <v>4</v>
      </c>
      <c r="BD218" s="14">
        <f t="shared" si="370"/>
        <v>940</v>
      </c>
      <c r="BE218" s="14">
        <f t="shared" si="360"/>
        <v>4500</v>
      </c>
      <c r="BF218" s="14">
        <f t="shared" si="361"/>
        <v>10575</v>
      </c>
      <c r="BG218" s="14">
        <f t="shared" si="366"/>
        <v>30</v>
      </c>
      <c r="BH218" s="14">
        <f t="shared" si="367"/>
        <v>11030</v>
      </c>
      <c r="BK218" s="109">
        <v>214</v>
      </c>
      <c r="BL218" s="14">
        <f t="shared" si="368"/>
        <v>22</v>
      </c>
      <c r="BM218" s="14">
        <f t="shared" si="371"/>
        <v>4</v>
      </c>
      <c r="BN218" s="14">
        <f t="shared" si="362"/>
        <v>14850</v>
      </c>
      <c r="BO218" s="14">
        <f t="shared" si="363"/>
        <v>9000</v>
      </c>
      <c r="BP218" s="14">
        <f t="shared" si="364"/>
        <v>21150</v>
      </c>
    </row>
    <row r="219" spans="45:68" ht="16.5" x14ac:dyDescent="0.2">
      <c r="AS219" s="110"/>
      <c r="AT219" s="110"/>
      <c r="AU219" s="110"/>
      <c r="AV219" s="110"/>
      <c r="AW219" s="110"/>
      <c r="AX219" s="110"/>
      <c r="BA219" s="109">
        <v>215</v>
      </c>
      <c r="BB219" s="14">
        <f t="shared" si="359"/>
        <v>22</v>
      </c>
      <c r="BC219" s="14">
        <f t="shared" si="365"/>
        <v>5</v>
      </c>
      <c r="BD219" s="14">
        <f t="shared" si="370"/>
        <v>940</v>
      </c>
      <c r="BE219" s="14">
        <f t="shared" si="360"/>
        <v>4500</v>
      </c>
      <c r="BF219" s="14">
        <f t="shared" si="361"/>
        <v>10575</v>
      </c>
      <c r="BG219" s="14">
        <f t="shared" si="366"/>
        <v>30</v>
      </c>
      <c r="BH219" s="14">
        <f t="shared" si="367"/>
        <v>11030</v>
      </c>
      <c r="BK219" s="109">
        <v>215</v>
      </c>
      <c r="BL219" s="14">
        <f t="shared" si="368"/>
        <v>22</v>
      </c>
      <c r="BM219" s="14">
        <f t="shared" si="371"/>
        <v>5</v>
      </c>
      <c r="BN219" s="14">
        <f t="shared" si="362"/>
        <v>14850</v>
      </c>
      <c r="BO219" s="14">
        <f t="shared" si="363"/>
        <v>9000</v>
      </c>
      <c r="BP219" s="14">
        <f t="shared" si="364"/>
        <v>21150</v>
      </c>
    </row>
    <row r="220" spans="45:68" ht="16.5" x14ac:dyDescent="0.2">
      <c r="AS220" s="110"/>
      <c r="AT220" s="110"/>
      <c r="AU220" s="110"/>
      <c r="AV220" s="110"/>
      <c r="AW220" s="110"/>
      <c r="AX220" s="110"/>
      <c r="BA220" s="109">
        <v>216</v>
      </c>
      <c r="BB220" s="14">
        <f t="shared" si="359"/>
        <v>22</v>
      </c>
      <c r="BC220" s="14">
        <f t="shared" si="365"/>
        <v>6</v>
      </c>
      <c r="BD220" s="14">
        <f t="shared" si="370"/>
        <v>940</v>
      </c>
      <c r="BE220" s="14">
        <f t="shared" si="360"/>
        <v>4500</v>
      </c>
      <c r="BF220" s="14">
        <f t="shared" si="361"/>
        <v>10575</v>
      </c>
      <c r="BG220" s="14">
        <f t="shared" si="366"/>
        <v>30</v>
      </c>
      <c r="BH220" s="14">
        <f t="shared" si="367"/>
        <v>11030</v>
      </c>
      <c r="BK220" s="109">
        <v>216</v>
      </c>
      <c r="BL220" s="14">
        <f t="shared" si="368"/>
        <v>22</v>
      </c>
      <c r="BM220" s="14">
        <f t="shared" si="371"/>
        <v>6</v>
      </c>
      <c r="BN220" s="14">
        <f t="shared" si="362"/>
        <v>14850</v>
      </c>
      <c r="BO220" s="14">
        <f t="shared" si="363"/>
        <v>9000</v>
      </c>
      <c r="BP220" s="14">
        <f t="shared" si="364"/>
        <v>21150</v>
      </c>
    </row>
    <row r="221" spans="45:68" ht="16.5" x14ac:dyDescent="0.2">
      <c r="AS221" s="110"/>
      <c r="AT221" s="110"/>
      <c r="AU221" s="110"/>
      <c r="AV221" s="110"/>
      <c r="AW221" s="110"/>
      <c r="AX221" s="110"/>
      <c r="BA221" s="109">
        <v>217</v>
      </c>
      <c r="BB221" s="14">
        <f t="shared" si="359"/>
        <v>22</v>
      </c>
      <c r="BC221" s="14">
        <f t="shared" si="365"/>
        <v>7</v>
      </c>
      <c r="BD221" s="14">
        <f t="shared" si="370"/>
        <v>940</v>
      </c>
      <c r="BE221" s="14">
        <f t="shared" si="360"/>
        <v>4500</v>
      </c>
      <c r="BF221" s="14">
        <f t="shared" si="361"/>
        <v>10575</v>
      </c>
      <c r="BG221" s="14">
        <f t="shared" si="366"/>
        <v>30</v>
      </c>
      <c r="BH221" s="14">
        <f t="shared" si="367"/>
        <v>11030</v>
      </c>
      <c r="BK221" s="109">
        <v>217</v>
      </c>
      <c r="BL221" s="14">
        <f t="shared" si="368"/>
        <v>22</v>
      </c>
      <c r="BM221" s="14">
        <f t="shared" si="371"/>
        <v>7</v>
      </c>
      <c r="BN221" s="14">
        <f t="shared" si="362"/>
        <v>14850</v>
      </c>
      <c r="BO221" s="14">
        <f t="shared" si="363"/>
        <v>9000</v>
      </c>
      <c r="BP221" s="14">
        <f t="shared" si="364"/>
        <v>21150</v>
      </c>
    </row>
    <row r="222" spans="45:68" ht="16.5" x14ac:dyDescent="0.2">
      <c r="AS222" s="110"/>
      <c r="AT222" s="110"/>
      <c r="AU222" s="110"/>
      <c r="AV222" s="110"/>
      <c r="AW222" s="110"/>
      <c r="AX222" s="110"/>
      <c r="BA222" s="109">
        <v>218</v>
      </c>
      <c r="BB222" s="14">
        <f t="shared" si="359"/>
        <v>22</v>
      </c>
      <c r="BC222" s="14">
        <f t="shared" si="365"/>
        <v>8</v>
      </c>
      <c r="BD222" s="14">
        <f t="shared" si="370"/>
        <v>940</v>
      </c>
      <c r="BE222" s="14">
        <f t="shared" si="360"/>
        <v>4500</v>
      </c>
      <c r="BF222" s="14">
        <f t="shared" si="361"/>
        <v>10575</v>
      </c>
      <c r="BG222" s="14">
        <f t="shared" si="366"/>
        <v>30</v>
      </c>
      <c r="BH222" s="14">
        <f t="shared" si="367"/>
        <v>11030</v>
      </c>
      <c r="BK222" s="109">
        <v>218</v>
      </c>
      <c r="BL222" s="14">
        <f t="shared" si="368"/>
        <v>22</v>
      </c>
      <c r="BM222" s="14">
        <f t="shared" si="371"/>
        <v>8</v>
      </c>
      <c r="BN222" s="14">
        <f t="shared" si="362"/>
        <v>14850</v>
      </c>
      <c r="BO222" s="14">
        <f t="shared" si="363"/>
        <v>9000</v>
      </c>
      <c r="BP222" s="14">
        <f t="shared" si="364"/>
        <v>21150</v>
      </c>
    </row>
    <row r="223" spans="45:68" ht="16.5" x14ac:dyDescent="0.2">
      <c r="AS223" s="110"/>
      <c r="AT223" s="110"/>
      <c r="AU223" s="110"/>
      <c r="AV223" s="110"/>
      <c r="AW223" s="110"/>
      <c r="AX223" s="110"/>
      <c r="BA223" s="109">
        <v>219</v>
      </c>
      <c r="BB223" s="14">
        <f t="shared" si="359"/>
        <v>22</v>
      </c>
      <c r="BC223" s="14">
        <f t="shared" si="365"/>
        <v>9</v>
      </c>
      <c r="BD223" s="14">
        <f t="shared" si="370"/>
        <v>940</v>
      </c>
      <c r="BE223" s="14">
        <f t="shared" si="360"/>
        <v>4500</v>
      </c>
      <c r="BF223" s="14">
        <f t="shared" si="361"/>
        <v>10575</v>
      </c>
      <c r="BG223" s="14">
        <f t="shared" si="366"/>
        <v>30</v>
      </c>
      <c r="BH223" s="14">
        <f t="shared" si="367"/>
        <v>11030</v>
      </c>
      <c r="BK223" s="109">
        <v>219</v>
      </c>
      <c r="BL223" s="14">
        <f t="shared" si="368"/>
        <v>22</v>
      </c>
      <c r="BM223" s="14">
        <f t="shared" si="371"/>
        <v>9</v>
      </c>
      <c r="BN223" s="14">
        <f t="shared" si="362"/>
        <v>14850</v>
      </c>
      <c r="BO223" s="14">
        <f t="shared" si="363"/>
        <v>9000</v>
      </c>
      <c r="BP223" s="14">
        <f t="shared" si="364"/>
        <v>21150</v>
      </c>
    </row>
    <row r="224" spans="45:68" ht="16.5" x14ac:dyDescent="0.2">
      <c r="AS224" s="110"/>
      <c r="AT224" s="110"/>
      <c r="AU224" s="110"/>
      <c r="AV224" s="110"/>
      <c r="AW224" s="110"/>
      <c r="AX224" s="110"/>
      <c r="BA224" s="109">
        <v>220</v>
      </c>
      <c r="BB224" s="14">
        <f t="shared" si="359"/>
        <v>22</v>
      </c>
      <c r="BC224" s="14">
        <f t="shared" si="365"/>
        <v>10</v>
      </c>
      <c r="BD224" s="14">
        <f t="shared" si="370"/>
        <v>940</v>
      </c>
      <c r="BE224" s="14">
        <f t="shared" si="360"/>
        <v>4500</v>
      </c>
      <c r="BF224" s="14">
        <f t="shared" si="361"/>
        <v>10575</v>
      </c>
      <c r="BG224" s="14">
        <f t="shared" si="366"/>
        <v>30</v>
      </c>
      <c r="BH224" s="14">
        <f t="shared" si="367"/>
        <v>11030</v>
      </c>
      <c r="BK224" s="109">
        <v>220</v>
      </c>
      <c r="BL224" s="14">
        <f t="shared" si="368"/>
        <v>22</v>
      </c>
      <c r="BM224" s="14">
        <f t="shared" si="371"/>
        <v>10</v>
      </c>
      <c r="BN224" s="14">
        <f t="shared" si="362"/>
        <v>14850</v>
      </c>
      <c r="BO224" s="14">
        <f t="shared" si="363"/>
        <v>9000</v>
      </c>
      <c r="BP224" s="14">
        <f t="shared" si="364"/>
        <v>21150</v>
      </c>
    </row>
    <row r="225" spans="45:68" ht="16.5" x14ac:dyDescent="0.2">
      <c r="AS225" s="110"/>
      <c r="AT225" s="110"/>
      <c r="AU225" s="110"/>
      <c r="AV225" s="110"/>
      <c r="AW225" s="110"/>
      <c r="AX225" s="110"/>
      <c r="BA225" s="109">
        <v>221</v>
      </c>
      <c r="BB225" s="14">
        <f t="shared" si="359"/>
        <v>23</v>
      </c>
      <c r="BC225" s="14">
        <f t="shared" si="365"/>
        <v>1</v>
      </c>
      <c r="BD225" s="14">
        <f t="shared" si="370"/>
        <v>1000</v>
      </c>
      <c r="BE225" s="14">
        <f t="shared" si="360"/>
        <v>4800</v>
      </c>
      <c r="BF225" s="14">
        <f t="shared" si="361"/>
        <v>11250</v>
      </c>
      <c r="BG225" s="14">
        <f t="shared" si="366"/>
        <v>33.33</v>
      </c>
      <c r="BH225" s="14">
        <f t="shared" si="367"/>
        <v>11033</v>
      </c>
      <c r="BK225" s="109">
        <v>221</v>
      </c>
      <c r="BL225" s="14">
        <f t="shared" si="368"/>
        <v>23</v>
      </c>
      <c r="BM225" s="14">
        <f t="shared" si="371"/>
        <v>1</v>
      </c>
      <c r="BN225" s="14">
        <f t="shared" si="362"/>
        <v>18900</v>
      </c>
      <c r="BO225" s="14">
        <f t="shared" si="363"/>
        <v>9600</v>
      </c>
      <c r="BP225" s="14">
        <f t="shared" si="364"/>
        <v>22500</v>
      </c>
    </row>
    <row r="226" spans="45:68" ht="16.5" x14ac:dyDescent="0.2">
      <c r="AS226" s="110"/>
      <c r="AT226" s="110"/>
      <c r="AU226" s="110"/>
      <c r="AV226" s="110"/>
      <c r="AW226" s="110"/>
      <c r="AX226" s="110"/>
      <c r="BA226" s="109">
        <v>222</v>
      </c>
      <c r="BB226" s="14">
        <f t="shared" si="359"/>
        <v>23</v>
      </c>
      <c r="BC226" s="14">
        <f t="shared" si="365"/>
        <v>2</v>
      </c>
      <c r="BD226" s="14">
        <f t="shared" si="370"/>
        <v>1000</v>
      </c>
      <c r="BE226" s="14">
        <f t="shared" si="360"/>
        <v>4800</v>
      </c>
      <c r="BF226" s="14">
        <f t="shared" si="361"/>
        <v>11250</v>
      </c>
      <c r="BG226" s="14">
        <f t="shared" si="366"/>
        <v>33.33</v>
      </c>
      <c r="BH226" s="14">
        <f t="shared" si="367"/>
        <v>11033</v>
      </c>
      <c r="BK226" s="109">
        <v>222</v>
      </c>
      <c r="BL226" s="14">
        <f t="shared" si="368"/>
        <v>23</v>
      </c>
      <c r="BM226" s="14">
        <f t="shared" si="371"/>
        <v>2</v>
      </c>
      <c r="BN226" s="14">
        <f t="shared" si="362"/>
        <v>18900</v>
      </c>
      <c r="BO226" s="14">
        <f t="shared" si="363"/>
        <v>9600</v>
      </c>
      <c r="BP226" s="14">
        <f t="shared" si="364"/>
        <v>22500</v>
      </c>
    </row>
    <row r="227" spans="45:68" ht="16.5" x14ac:dyDescent="0.2">
      <c r="AS227" s="110"/>
      <c r="AT227" s="110"/>
      <c r="AU227" s="110"/>
      <c r="AV227" s="110"/>
      <c r="AW227" s="110"/>
      <c r="AX227" s="110"/>
      <c r="BA227" s="109">
        <v>223</v>
      </c>
      <c r="BB227" s="14">
        <f t="shared" si="359"/>
        <v>23</v>
      </c>
      <c r="BC227" s="14">
        <f t="shared" si="365"/>
        <v>3</v>
      </c>
      <c r="BD227" s="14">
        <f t="shared" si="370"/>
        <v>1000</v>
      </c>
      <c r="BE227" s="14">
        <f t="shared" si="360"/>
        <v>4800</v>
      </c>
      <c r="BF227" s="14">
        <f t="shared" si="361"/>
        <v>11250</v>
      </c>
      <c r="BG227" s="14">
        <f t="shared" si="366"/>
        <v>33.33</v>
      </c>
      <c r="BH227" s="14">
        <f t="shared" si="367"/>
        <v>11033</v>
      </c>
      <c r="BK227" s="109">
        <v>223</v>
      </c>
      <c r="BL227" s="14">
        <f t="shared" si="368"/>
        <v>23</v>
      </c>
      <c r="BM227" s="14">
        <f t="shared" si="371"/>
        <v>3</v>
      </c>
      <c r="BN227" s="14">
        <f t="shared" si="362"/>
        <v>18900</v>
      </c>
      <c r="BO227" s="14">
        <f t="shared" si="363"/>
        <v>9600</v>
      </c>
      <c r="BP227" s="14">
        <f t="shared" si="364"/>
        <v>22500</v>
      </c>
    </row>
    <row r="228" spans="45:68" ht="16.5" x14ac:dyDescent="0.2">
      <c r="AS228" s="110"/>
      <c r="AT228" s="110"/>
      <c r="AU228" s="110"/>
      <c r="AV228" s="110"/>
      <c r="AW228" s="110"/>
      <c r="AX228" s="110"/>
      <c r="BA228" s="109">
        <v>224</v>
      </c>
      <c r="BB228" s="14">
        <f t="shared" si="359"/>
        <v>23</v>
      </c>
      <c r="BC228" s="14">
        <f t="shared" si="365"/>
        <v>4</v>
      </c>
      <c r="BD228" s="14">
        <f t="shared" si="370"/>
        <v>1000</v>
      </c>
      <c r="BE228" s="14">
        <f t="shared" si="360"/>
        <v>4800</v>
      </c>
      <c r="BF228" s="14">
        <f t="shared" si="361"/>
        <v>11250</v>
      </c>
      <c r="BG228" s="14">
        <f t="shared" si="366"/>
        <v>33.33</v>
      </c>
      <c r="BH228" s="14">
        <f t="shared" si="367"/>
        <v>11033</v>
      </c>
      <c r="BK228" s="109">
        <v>224</v>
      </c>
      <c r="BL228" s="14">
        <f t="shared" si="368"/>
        <v>23</v>
      </c>
      <c r="BM228" s="14">
        <f t="shared" si="371"/>
        <v>4</v>
      </c>
      <c r="BN228" s="14">
        <f t="shared" si="362"/>
        <v>18900</v>
      </c>
      <c r="BO228" s="14">
        <f t="shared" si="363"/>
        <v>9600</v>
      </c>
      <c r="BP228" s="14">
        <f t="shared" si="364"/>
        <v>22500</v>
      </c>
    </row>
    <row r="229" spans="45:68" ht="16.5" x14ac:dyDescent="0.2">
      <c r="AS229" s="110"/>
      <c r="AT229" s="110"/>
      <c r="AU229" s="110"/>
      <c r="AV229" s="110"/>
      <c r="AW229" s="110"/>
      <c r="AX229" s="110"/>
      <c r="BA229" s="109">
        <v>225</v>
      </c>
      <c r="BB229" s="14">
        <f t="shared" si="359"/>
        <v>23</v>
      </c>
      <c r="BC229" s="14">
        <f t="shared" si="365"/>
        <v>5</v>
      </c>
      <c r="BD229" s="14">
        <f t="shared" si="370"/>
        <v>1000</v>
      </c>
      <c r="BE229" s="14">
        <f t="shared" si="360"/>
        <v>4800</v>
      </c>
      <c r="BF229" s="14">
        <f t="shared" si="361"/>
        <v>11250</v>
      </c>
      <c r="BG229" s="14">
        <f t="shared" si="366"/>
        <v>33.33</v>
      </c>
      <c r="BH229" s="14">
        <f t="shared" si="367"/>
        <v>11033</v>
      </c>
      <c r="BK229" s="109">
        <v>225</v>
      </c>
      <c r="BL229" s="14">
        <f t="shared" si="368"/>
        <v>23</v>
      </c>
      <c r="BM229" s="14">
        <f t="shared" si="371"/>
        <v>5</v>
      </c>
      <c r="BN229" s="14">
        <f t="shared" si="362"/>
        <v>18900</v>
      </c>
      <c r="BO229" s="14">
        <f t="shared" si="363"/>
        <v>9600</v>
      </c>
      <c r="BP229" s="14">
        <f t="shared" si="364"/>
        <v>22500</v>
      </c>
    </row>
    <row r="230" spans="45:68" ht="16.5" x14ac:dyDescent="0.2">
      <c r="AS230" s="110"/>
      <c r="AT230" s="110"/>
      <c r="AU230" s="110"/>
      <c r="AV230" s="110"/>
      <c r="AW230" s="110"/>
      <c r="AX230" s="110"/>
      <c r="BA230" s="109">
        <v>226</v>
      </c>
      <c r="BB230" s="14">
        <f t="shared" si="359"/>
        <v>23</v>
      </c>
      <c r="BC230" s="14">
        <f t="shared" si="365"/>
        <v>6</v>
      </c>
      <c r="BD230" s="14">
        <f t="shared" si="370"/>
        <v>1000</v>
      </c>
      <c r="BE230" s="14">
        <f t="shared" si="360"/>
        <v>4800</v>
      </c>
      <c r="BF230" s="14">
        <f t="shared" si="361"/>
        <v>11250</v>
      </c>
      <c r="BG230" s="14">
        <f t="shared" si="366"/>
        <v>33.33</v>
      </c>
      <c r="BH230" s="14">
        <f t="shared" si="367"/>
        <v>11033</v>
      </c>
      <c r="BK230" s="109">
        <v>226</v>
      </c>
      <c r="BL230" s="14">
        <f t="shared" si="368"/>
        <v>23</v>
      </c>
      <c r="BM230" s="14">
        <f t="shared" si="371"/>
        <v>6</v>
      </c>
      <c r="BN230" s="14">
        <f t="shared" si="362"/>
        <v>18900</v>
      </c>
      <c r="BO230" s="14">
        <f t="shared" si="363"/>
        <v>9600</v>
      </c>
      <c r="BP230" s="14">
        <f t="shared" si="364"/>
        <v>22500</v>
      </c>
    </row>
    <row r="231" spans="45:68" ht="16.5" x14ac:dyDescent="0.2">
      <c r="AS231" s="110"/>
      <c r="AT231" s="110"/>
      <c r="AU231" s="110"/>
      <c r="AV231" s="110"/>
      <c r="AW231" s="110"/>
      <c r="AX231" s="110"/>
      <c r="BA231" s="109">
        <v>227</v>
      </c>
      <c r="BB231" s="14">
        <f t="shared" si="359"/>
        <v>23</v>
      </c>
      <c r="BC231" s="14">
        <f t="shared" si="365"/>
        <v>7</v>
      </c>
      <c r="BD231" s="14">
        <f t="shared" si="370"/>
        <v>1000</v>
      </c>
      <c r="BE231" s="14">
        <f t="shared" si="360"/>
        <v>4800</v>
      </c>
      <c r="BF231" s="14">
        <f t="shared" si="361"/>
        <v>11250</v>
      </c>
      <c r="BG231" s="14">
        <f t="shared" si="366"/>
        <v>33.33</v>
      </c>
      <c r="BH231" s="14">
        <f t="shared" si="367"/>
        <v>11033</v>
      </c>
      <c r="BK231" s="109">
        <v>227</v>
      </c>
      <c r="BL231" s="14">
        <f t="shared" si="368"/>
        <v>23</v>
      </c>
      <c r="BM231" s="14">
        <f t="shared" si="371"/>
        <v>7</v>
      </c>
      <c r="BN231" s="14">
        <f t="shared" si="362"/>
        <v>18900</v>
      </c>
      <c r="BO231" s="14">
        <f t="shared" si="363"/>
        <v>9600</v>
      </c>
      <c r="BP231" s="14">
        <f t="shared" si="364"/>
        <v>22500</v>
      </c>
    </row>
    <row r="232" spans="45:68" ht="16.5" x14ac:dyDescent="0.2">
      <c r="AS232" s="110"/>
      <c r="AT232" s="110"/>
      <c r="AU232" s="110"/>
      <c r="AV232" s="110"/>
      <c r="AW232" s="110"/>
      <c r="AX232" s="110"/>
      <c r="BA232" s="109">
        <v>228</v>
      </c>
      <c r="BB232" s="14">
        <f t="shared" si="359"/>
        <v>23</v>
      </c>
      <c r="BC232" s="14">
        <f t="shared" si="365"/>
        <v>8</v>
      </c>
      <c r="BD232" s="14">
        <f t="shared" si="370"/>
        <v>1000</v>
      </c>
      <c r="BE232" s="14">
        <f t="shared" si="360"/>
        <v>4800</v>
      </c>
      <c r="BF232" s="14">
        <f t="shared" si="361"/>
        <v>11250</v>
      </c>
      <c r="BG232" s="14">
        <f t="shared" si="366"/>
        <v>33.33</v>
      </c>
      <c r="BH232" s="14">
        <f t="shared" si="367"/>
        <v>11033</v>
      </c>
      <c r="BK232" s="109">
        <v>228</v>
      </c>
      <c r="BL232" s="14">
        <f t="shared" si="368"/>
        <v>23</v>
      </c>
      <c r="BM232" s="14">
        <f t="shared" si="371"/>
        <v>8</v>
      </c>
      <c r="BN232" s="14">
        <f t="shared" si="362"/>
        <v>18900</v>
      </c>
      <c r="BO232" s="14">
        <f t="shared" si="363"/>
        <v>9600</v>
      </c>
      <c r="BP232" s="14">
        <f t="shared" si="364"/>
        <v>22500</v>
      </c>
    </row>
    <row r="233" spans="45:68" ht="16.5" x14ac:dyDescent="0.2">
      <c r="AS233" s="110"/>
      <c r="AT233" s="110"/>
      <c r="AU233" s="110"/>
      <c r="AV233" s="110"/>
      <c r="AW233" s="110"/>
      <c r="AX233" s="110"/>
      <c r="BA233" s="109">
        <v>229</v>
      </c>
      <c r="BB233" s="14">
        <f t="shared" si="359"/>
        <v>23</v>
      </c>
      <c r="BC233" s="14">
        <f t="shared" si="365"/>
        <v>9</v>
      </c>
      <c r="BD233" s="14">
        <f t="shared" si="370"/>
        <v>1000</v>
      </c>
      <c r="BE233" s="14">
        <f t="shared" si="360"/>
        <v>4800</v>
      </c>
      <c r="BF233" s="14">
        <f t="shared" si="361"/>
        <v>11250</v>
      </c>
      <c r="BG233" s="14">
        <f t="shared" si="366"/>
        <v>33.33</v>
      </c>
      <c r="BH233" s="14">
        <f t="shared" si="367"/>
        <v>11033</v>
      </c>
      <c r="BK233" s="109">
        <v>229</v>
      </c>
      <c r="BL233" s="14">
        <f t="shared" si="368"/>
        <v>23</v>
      </c>
      <c r="BM233" s="14">
        <f t="shared" si="371"/>
        <v>9</v>
      </c>
      <c r="BN233" s="14">
        <f t="shared" si="362"/>
        <v>18900</v>
      </c>
      <c r="BO233" s="14">
        <f t="shared" si="363"/>
        <v>9600</v>
      </c>
      <c r="BP233" s="14">
        <f t="shared" si="364"/>
        <v>22500</v>
      </c>
    </row>
    <row r="234" spans="45:68" ht="16.5" x14ac:dyDescent="0.2">
      <c r="AS234" s="110"/>
      <c r="AT234" s="110"/>
      <c r="AU234" s="110"/>
      <c r="AV234" s="110"/>
      <c r="AW234" s="110"/>
      <c r="AX234" s="110"/>
      <c r="BA234" s="109">
        <v>230</v>
      </c>
      <c r="BB234" s="14">
        <f t="shared" si="359"/>
        <v>23</v>
      </c>
      <c r="BC234" s="14">
        <f t="shared" si="365"/>
        <v>10</v>
      </c>
      <c r="BD234" s="14">
        <f t="shared" si="370"/>
        <v>1000</v>
      </c>
      <c r="BE234" s="14">
        <f t="shared" si="360"/>
        <v>4800</v>
      </c>
      <c r="BF234" s="14">
        <f t="shared" si="361"/>
        <v>11250</v>
      </c>
      <c r="BG234" s="14">
        <f t="shared" si="366"/>
        <v>33.33</v>
      </c>
      <c r="BH234" s="14">
        <f t="shared" si="367"/>
        <v>11033</v>
      </c>
      <c r="BK234" s="109">
        <v>230</v>
      </c>
      <c r="BL234" s="14">
        <f t="shared" si="368"/>
        <v>23</v>
      </c>
      <c r="BM234" s="14">
        <f t="shared" si="371"/>
        <v>10</v>
      </c>
      <c r="BN234" s="14">
        <f t="shared" si="362"/>
        <v>18900</v>
      </c>
      <c r="BO234" s="14">
        <f t="shared" si="363"/>
        <v>9600</v>
      </c>
      <c r="BP234" s="14">
        <f t="shared" si="364"/>
        <v>22500</v>
      </c>
    </row>
    <row r="235" spans="45:68" ht="16.5" x14ac:dyDescent="0.2">
      <c r="AS235" s="110"/>
      <c r="AT235" s="110"/>
      <c r="AU235" s="110"/>
      <c r="AV235" s="110"/>
      <c r="AW235" s="110"/>
      <c r="AX235" s="110"/>
      <c r="BA235" s="109">
        <v>231</v>
      </c>
      <c r="BB235" s="14">
        <f t="shared" si="359"/>
        <v>24</v>
      </c>
      <c r="BC235" s="14">
        <f t="shared" si="365"/>
        <v>1</v>
      </c>
      <c r="BD235" s="14">
        <f t="shared" si="370"/>
        <v>1100</v>
      </c>
      <c r="BE235" s="14">
        <f t="shared" si="360"/>
        <v>5100</v>
      </c>
      <c r="BF235" s="14">
        <f t="shared" si="361"/>
        <v>12375</v>
      </c>
      <c r="BG235" s="14">
        <f t="shared" si="366"/>
        <v>37.08</v>
      </c>
      <c r="BH235" s="14">
        <f t="shared" si="367"/>
        <v>11037</v>
      </c>
      <c r="BK235" s="109">
        <v>231</v>
      </c>
      <c r="BL235" s="14">
        <f t="shared" si="368"/>
        <v>24</v>
      </c>
      <c r="BM235" s="14">
        <f t="shared" si="371"/>
        <v>1</v>
      </c>
      <c r="BN235" s="14">
        <f t="shared" si="362"/>
        <v>24400</v>
      </c>
      <c r="BO235" s="14">
        <f t="shared" si="363"/>
        <v>10200</v>
      </c>
      <c r="BP235" s="14">
        <f t="shared" si="364"/>
        <v>24750</v>
      </c>
    </row>
    <row r="236" spans="45:68" ht="16.5" x14ac:dyDescent="0.2">
      <c r="AS236" s="110"/>
      <c r="AT236" s="110"/>
      <c r="AU236" s="110"/>
      <c r="AV236" s="110"/>
      <c r="AW236" s="110"/>
      <c r="AX236" s="110"/>
      <c r="BA236" s="109">
        <v>232</v>
      </c>
      <c r="BB236" s="14">
        <f t="shared" si="359"/>
        <v>24</v>
      </c>
      <c r="BC236" s="14">
        <f t="shared" si="365"/>
        <v>2</v>
      </c>
      <c r="BD236" s="14">
        <f t="shared" si="370"/>
        <v>1100</v>
      </c>
      <c r="BE236" s="14">
        <f t="shared" si="360"/>
        <v>5100</v>
      </c>
      <c r="BF236" s="14">
        <f t="shared" si="361"/>
        <v>12375</v>
      </c>
      <c r="BG236" s="14">
        <f t="shared" si="366"/>
        <v>37.08</v>
      </c>
      <c r="BH236" s="14">
        <f t="shared" si="367"/>
        <v>11037</v>
      </c>
      <c r="BK236" s="109">
        <v>232</v>
      </c>
      <c r="BL236" s="14">
        <f t="shared" si="368"/>
        <v>24</v>
      </c>
      <c r="BM236" s="14">
        <f t="shared" si="371"/>
        <v>2</v>
      </c>
      <c r="BN236" s="14">
        <f t="shared" si="362"/>
        <v>24400</v>
      </c>
      <c r="BO236" s="14">
        <f t="shared" si="363"/>
        <v>10200</v>
      </c>
      <c r="BP236" s="14">
        <f t="shared" si="364"/>
        <v>24750</v>
      </c>
    </row>
    <row r="237" spans="45:68" ht="16.5" x14ac:dyDescent="0.2">
      <c r="AS237" s="110"/>
      <c r="AT237" s="110"/>
      <c r="AU237" s="110"/>
      <c r="AV237" s="110"/>
      <c r="AW237" s="110"/>
      <c r="AX237" s="110"/>
      <c r="BA237" s="109">
        <v>233</v>
      </c>
      <c r="BB237" s="14">
        <f t="shared" si="359"/>
        <v>24</v>
      </c>
      <c r="BC237" s="14">
        <f t="shared" si="365"/>
        <v>3</v>
      </c>
      <c r="BD237" s="14">
        <f t="shared" si="370"/>
        <v>1100</v>
      </c>
      <c r="BE237" s="14">
        <f t="shared" si="360"/>
        <v>5100</v>
      </c>
      <c r="BF237" s="14">
        <f t="shared" si="361"/>
        <v>12375</v>
      </c>
      <c r="BG237" s="14">
        <f t="shared" si="366"/>
        <v>37.08</v>
      </c>
      <c r="BH237" s="14">
        <f t="shared" si="367"/>
        <v>11037</v>
      </c>
      <c r="BK237" s="109">
        <v>233</v>
      </c>
      <c r="BL237" s="14">
        <f t="shared" si="368"/>
        <v>24</v>
      </c>
      <c r="BM237" s="14">
        <f t="shared" si="371"/>
        <v>3</v>
      </c>
      <c r="BN237" s="14">
        <f t="shared" si="362"/>
        <v>24400</v>
      </c>
      <c r="BO237" s="14">
        <f t="shared" si="363"/>
        <v>10200</v>
      </c>
      <c r="BP237" s="14">
        <f t="shared" si="364"/>
        <v>24750</v>
      </c>
    </row>
    <row r="238" spans="45:68" ht="16.5" x14ac:dyDescent="0.2">
      <c r="AS238" s="110"/>
      <c r="AT238" s="110"/>
      <c r="AU238" s="110"/>
      <c r="AV238" s="110"/>
      <c r="AW238" s="110"/>
      <c r="AX238" s="110"/>
      <c r="BA238" s="109">
        <v>234</v>
      </c>
      <c r="BB238" s="14">
        <f t="shared" si="359"/>
        <v>24</v>
      </c>
      <c r="BC238" s="14">
        <f t="shared" si="365"/>
        <v>4</v>
      </c>
      <c r="BD238" s="14">
        <f t="shared" si="370"/>
        <v>1100</v>
      </c>
      <c r="BE238" s="14">
        <f t="shared" si="360"/>
        <v>5100</v>
      </c>
      <c r="BF238" s="14">
        <f t="shared" si="361"/>
        <v>12375</v>
      </c>
      <c r="BG238" s="14">
        <f t="shared" si="366"/>
        <v>37.08</v>
      </c>
      <c r="BH238" s="14">
        <f t="shared" si="367"/>
        <v>11037</v>
      </c>
      <c r="BK238" s="109">
        <v>234</v>
      </c>
      <c r="BL238" s="14">
        <f t="shared" si="368"/>
        <v>24</v>
      </c>
      <c r="BM238" s="14">
        <f t="shared" si="371"/>
        <v>4</v>
      </c>
      <c r="BN238" s="14">
        <f t="shared" si="362"/>
        <v>24400</v>
      </c>
      <c r="BO238" s="14">
        <f t="shared" si="363"/>
        <v>10200</v>
      </c>
      <c r="BP238" s="14">
        <f t="shared" si="364"/>
        <v>24750</v>
      </c>
    </row>
    <row r="239" spans="45:68" ht="16.5" x14ac:dyDescent="0.2">
      <c r="AS239" s="110"/>
      <c r="AT239" s="110"/>
      <c r="AU239" s="110"/>
      <c r="AV239" s="110"/>
      <c r="AW239" s="110"/>
      <c r="AX239" s="110"/>
      <c r="BA239" s="109">
        <v>235</v>
      </c>
      <c r="BB239" s="14">
        <f t="shared" si="359"/>
        <v>24</v>
      </c>
      <c r="BC239" s="14">
        <f t="shared" si="365"/>
        <v>5</v>
      </c>
      <c r="BD239" s="14">
        <f t="shared" si="370"/>
        <v>1100</v>
      </c>
      <c r="BE239" s="14">
        <f t="shared" si="360"/>
        <v>5100</v>
      </c>
      <c r="BF239" s="14">
        <f t="shared" si="361"/>
        <v>12375</v>
      </c>
      <c r="BG239" s="14">
        <f t="shared" si="366"/>
        <v>37.08</v>
      </c>
      <c r="BH239" s="14">
        <f t="shared" si="367"/>
        <v>11037</v>
      </c>
      <c r="BK239" s="109">
        <v>235</v>
      </c>
      <c r="BL239" s="14">
        <f t="shared" si="368"/>
        <v>24</v>
      </c>
      <c r="BM239" s="14">
        <f t="shared" si="371"/>
        <v>5</v>
      </c>
      <c r="BN239" s="14">
        <f t="shared" si="362"/>
        <v>24400</v>
      </c>
      <c r="BO239" s="14">
        <f t="shared" si="363"/>
        <v>10200</v>
      </c>
      <c r="BP239" s="14">
        <f t="shared" si="364"/>
        <v>24750</v>
      </c>
    </row>
    <row r="240" spans="45:68" ht="16.5" x14ac:dyDescent="0.2">
      <c r="AS240" s="110"/>
      <c r="AT240" s="110"/>
      <c r="AU240" s="110"/>
      <c r="AV240" s="110"/>
      <c r="AW240" s="110"/>
      <c r="AX240" s="110"/>
      <c r="BA240" s="109">
        <v>236</v>
      </c>
      <c r="BB240" s="14">
        <f t="shared" si="359"/>
        <v>24</v>
      </c>
      <c r="BC240" s="14">
        <f t="shared" si="365"/>
        <v>6</v>
      </c>
      <c r="BD240" s="14">
        <f t="shared" si="370"/>
        <v>1100</v>
      </c>
      <c r="BE240" s="14">
        <f t="shared" si="360"/>
        <v>5100</v>
      </c>
      <c r="BF240" s="14">
        <f t="shared" si="361"/>
        <v>12375</v>
      </c>
      <c r="BG240" s="14">
        <f t="shared" si="366"/>
        <v>37.08</v>
      </c>
      <c r="BH240" s="14">
        <f t="shared" si="367"/>
        <v>11037</v>
      </c>
      <c r="BK240" s="109">
        <v>236</v>
      </c>
      <c r="BL240" s="14">
        <f t="shared" si="368"/>
        <v>24</v>
      </c>
      <c r="BM240" s="14">
        <f t="shared" si="371"/>
        <v>6</v>
      </c>
      <c r="BN240" s="14">
        <f t="shared" si="362"/>
        <v>24400</v>
      </c>
      <c r="BO240" s="14">
        <f t="shared" si="363"/>
        <v>10200</v>
      </c>
      <c r="BP240" s="14">
        <f t="shared" si="364"/>
        <v>24750</v>
      </c>
    </row>
    <row r="241" spans="45:68" ht="16.5" x14ac:dyDescent="0.2">
      <c r="AS241" s="110"/>
      <c r="AT241" s="110"/>
      <c r="AU241" s="110"/>
      <c r="AV241" s="110"/>
      <c r="AW241" s="110"/>
      <c r="AX241" s="110"/>
      <c r="BA241" s="109">
        <v>237</v>
      </c>
      <c r="BB241" s="14">
        <f t="shared" si="359"/>
        <v>24</v>
      </c>
      <c r="BC241" s="14">
        <f t="shared" si="365"/>
        <v>7</v>
      </c>
      <c r="BD241" s="14">
        <f t="shared" si="370"/>
        <v>1100</v>
      </c>
      <c r="BE241" s="14">
        <f t="shared" si="360"/>
        <v>5100</v>
      </c>
      <c r="BF241" s="14">
        <f t="shared" si="361"/>
        <v>12375</v>
      </c>
      <c r="BG241" s="14">
        <f t="shared" si="366"/>
        <v>37.08</v>
      </c>
      <c r="BH241" s="14">
        <f t="shared" si="367"/>
        <v>11037</v>
      </c>
      <c r="BK241" s="109">
        <v>237</v>
      </c>
      <c r="BL241" s="14">
        <f t="shared" si="368"/>
        <v>24</v>
      </c>
      <c r="BM241" s="14">
        <f t="shared" si="371"/>
        <v>7</v>
      </c>
      <c r="BN241" s="14">
        <f t="shared" si="362"/>
        <v>24400</v>
      </c>
      <c r="BO241" s="14">
        <f t="shared" si="363"/>
        <v>10200</v>
      </c>
      <c r="BP241" s="14">
        <f t="shared" si="364"/>
        <v>24750</v>
      </c>
    </row>
    <row r="242" spans="45:68" ht="16.5" x14ac:dyDescent="0.2">
      <c r="AS242" s="110"/>
      <c r="AT242" s="110"/>
      <c r="AU242" s="110"/>
      <c r="AV242" s="110"/>
      <c r="AW242" s="110"/>
      <c r="AX242" s="110"/>
      <c r="BA242" s="109">
        <v>238</v>
      </c>
      <c r="BB242" s="14">
        <f t="shared" si="359"/>
        <v>24</v>
      </c>
      <c r="BC242" s="14">
        <f t="shared" si="365"/>
        <v>8</v>
      </c>
      <c r="BD242" s="14">
        <f t="shared" si="370"/>
        <v>1100</v>
      </c>
      <c r="BE242" s="14">
        <f t="shared" si="360"/>
        <v>5100</v>
      </c>
      <c r="BF242" s="14">
        <f t="shared" si="361"/>
        <v>12375</v>
      </c>
      <c r="BG242" s="14">
        <f t="shared" si="366"/>
        <v>37.08</v>
      </c>
      <c r="BH242" s="14">
        <f t="shared" si="367"/>
        <v>11037</v>
      </c>
      <c r="BK242" s="109">
        <v>238</v>
      </c>
      <c r="BL242" s="14">
        <f t="shared" si="368"/>
        <v>24</v>
      </c>
      <c r="BM242" s="14">
        <f t="shared" si="371"/>
        <v>8</v>
      </c>
      <c r="BN242" s="14">
        <f t="shared" si="362"/>
        <v>24400</v>
      </c>
      <c r="BO242" s="14">
        <f t="shared" si="363"/>
        <v>10200</v>
      </c>
      <c r="BP242" s="14">
        <f t="shared" si="364"/>
        <v>24750</v>
      </c>
    </row>
    <row r="243" spans="45:68" ht="16.5" x14ac:dyDescent="0.2">
      <c r="AS243" s="110"/>
      <c r="AT243" s="110"/>
      <c r="AU243" s="110"/>
      <c r="AV243" s="110"/>
      <c r="AW243" s="110"/>
      <c r="AX243" s="110"/>
      <c r="BA243" s="109">
        <v>239</v>
      </c>
      <c r="BB243" s="14">
        <f t="shared" si="359"/>
        <v>24</v>
      </c>
      <c r="BC243" s="14">
        <f t="shared" si="365"/>
        <v>9</v>
      </c>
      <c r="BD243" s="14">
        <f t="shared" si="370"/>
        <v>1100</v>
      </c>
      <c r="BE243" s="14">
        <f t="shared" si="360"/>
        <v>5100</v>
      </c>
      <c r="BF243" s="14">
        <f t="shared" si="361"/>
        <v>12375</v>
      </c>
      <c r="BG243" s="14">
        <f t="shared" si="366"/>
        <v>37.08</v>
      </c>
      <c r="BH243" s="14">
        <f t="shared" si="367"/>
        <v>11037</v>
      </c>
      <c r="BK243" s="109">
        <v>239</v>
      </c>
      <c r="BL243" s="14">
        <f t="shared" si="368"/>
        <v>24</v>
      </c>
      <c r="BM243" s="14">
        <f t="shared" si="371"/>
        <v>9</v>
      </c>
      <c r="BN243" s="14">
        <f t="shared" si="362"/>
        <v>24400</v>
      </c>
      <c r="BO243" s="14">
        <f t="shared" si="363"/>
        <v>10200</v>
      </c>
      <c r="BP243" s="14">
        <f t="shared" si="364"/>
        <v>24750</v>
      </c>
    </row>
    <row r="244" spans="45:68" ht="16.5" x14ac:dyDescent="0.2">
      <c r="AS244" s="110"/>
      <c r="AT244" s="110"/>
      <c r="AU244" s="110"/>
      <c r="AV244" s="110"/>
      <c r="AW244" s="110"/>
      <c r="AX244" s="110"/>
      <c r="BA244" s="109">
        <v>240</v>
      </c>
      <c r="BB244" s="14">
        <f t="shared" si="359"/>
        <v>24</v>
      </c>
      <c r="BC244" s="14">
        <f t="shared" si="365"/>
        <v>10</v>
      </c>
      <c r="BD244" s="14">
        <f t="shared" si="370"/>
        <v>1100</v>
      </c>
      <c r="BE244" s="14">
        <f t="shared" si="360"/>
        <v>5100</v>
      </c>
      <c r="BF244" s="14">
        <f t="shared" si="361"/>
        <v>12375</v>
      </c>
      <c r="BG244" s="14">
        <f t="shared" si="366"/>
        <v>37.08</v>
      </c>
      <c r="BH244" s="14">
        <f t="shared" si="367"/>
        <v>11037</v>
      </c>
      <c r="BK244" s="109">
        <v>240</v>
      </c>
      <c r="BL244" s="14">
        <f t="shared" si="368"/>
        <v>24</v>
      </c>
      <c r="BM244" s="14">
        <f t="shared" si="371"/>
        <v>10</v>
      </c>
      <c r="BN244" s="14">
        <f t="shared" si="362"/>
        <v>24400</v>
      </c>
      <c r="BO244" s="14">
        <f t="shared" si="363"/>
        <v>10200</v>
      </c>
      <c r="BP244" s="14">
        <f t="shared" si="364"/>
        <v>24750</v>
      </c>
    </row>
    <row r="245" spans="45:68" ht="16.5" x14ac:dyDescent="0.2">
      <c r="AS245" s="110"/>
      <c r="AT245" s="110"/>
      <c r="AU245" s="110"/>
      <c r="AV245" s="110"/>
      <c r="AW245" s="110"/>
      <c r="AX245" s="110"/>
      <c r="BA245" s="109">
        <v>241</v>
      </c>
      <c r="BB245" s="14">
        <f t="shared" si="359"/>
        <v>25</v>
      </c>
      <c r="BC245" s="14">
        <f t="shared" si="365"/>
        <v>1</v>
      </c>
      <c r="BD245" s="14">
        <f t="shared" si="370"/>
        <v>1200</v>
      </c>
      <c r="BE245" s="14">
        <f t="shared" si="360"/>
        <v>5400</v>
      </c>
      <c r="BF245" s="14">
        <f t="shared" si="361"/>
        <v>13500</v>
      </c>
      <c r="BG245" s="14">
        <f t="shared" si="366"/>
        <v>41.46</v>
      </c>
      <c r="BH245" s="14">
        <f t="shared" si="367"/>
        <v>11041</v>
      </c>
      <c r="BK245" s="109">
        <v>241</v>
      </c>
      <c r="BL245" s="14">
        <f t="shared" si="368"/>
        <v>25</v>
      </c>
      <c r="BM245" s="14">
        <f t="shared" si="371"/>
        <v>1</v>
      </c>
      <c r="BN245" s="14">
        <f t="shared" si="362"/>
        <v>31500</v>
      </c>
      <c r="BO245" s="14">
        <f t="shared" si="363"/>
        <v>10800</v>
      </c>
      <c r="BP245" s="14">
        <f t="shared" si="364"/>
        <v>27000</v>
      </c>
    </row>
    <row r="246" spans="45:68" ht="16.5" x14ac:dyDescent="0.2">
      <c r="AS246" s="110"/>
      <c r="AT246" s="110"/>
      <c r="AU246" s="110"/>
      <c r="AV246" s="110"/>
      <c r="AW246" s="110"/>
      <c r="AX246" s="110"/>
      <c r="BA246" s="109">
        <v>242</v>
      </c>
      <c r="BB246" s="14">
        <f t="shared" si="359"/>
        <v>25</v>
      </c>
      <c r="BC246" s="14">
        <f t="shared" si="365"/>
        <v>2</v>
      </c>
      <c r="BD246" s="14">
        <f t="shared" si="370"/>
        <v>1200</v>
      </c>
      <c r="BE246" s="14">
        <f t="shared" si="360"/>
        <v>5400</v>
      </c>
      <c r="BF246" s="14">
        <f t="shared" si="361"/>
        <v>13500</v>
      </c>
      <c r="BG246" s="14">
        <f t="shared" si="366"/>
        <v>41.46</v>
      </c>
      <c r="BH246" s="14">
        <f t="shared" si="367"/>
        <v>11041</v>
      </c>
      <c r="BK246" s="109">
        <v>242</v>
      </c>
      <c r="BL246" s="14">
        <f t="shared" si="368"/>
        <v>25</v>
      </c>
      <c r="BM246" s="14">
        <f t="shared" si="371"/>
        <v>2</v>
      </c>
      <c r="BN246" s="14">
        <f t="shared" si="362"/>
        <v>31500</v>
      </c>
      <c r="BO246" s="14">
        <f t="shared" si="363"/>
        <v>10800</v>
      </c>
      <c r="BP246" s="14">
        <f t="shared" si="364"/>
        <v>27000</v>
      </c>
    </row>
    <row r="247" spans="45:68" ht="16.5" x14ac:dyDescent="0.2">
      <c r="AS247" s="110"/>
      <c r="AT247" s="110"/>
      <c r="AU247" s="110"/>
      <c r="AV247" s="110"/>
      <c r="AW247" s="110"/>
      <c r="AX247" s="110"/>
      <c r="BA247" s="109">
        <v>243</v>
      </c>
      <c r="BB247" s="14">
        <f t="shared" si="359"/>
        <v>25</v>
      </c>
      <c r="BC247" s="14">
        <f t="shared" si="365"/>
        <v>3</v>
      </c>
      <c r="BD247" s="14">
        <f t="shared" si="370"/>
        <v>1200</v>
      </c>
      <c r="BE247" s="14">
        <f t="shared" si="360"/>
        <v>5400</v>
      </c>
      <c r="BF247" s="14">
        <f t="shared" si="361"/>
        <v>13500</v>
      </c>
      <c r="BG247" s="14">
        <f t="shared" si="366"/>
        <v>41.46</v>
      </c>
      <c r="BH247" s="14">
        <f t="shared" si="367"/>
        <v>11041</v>
      </c>
      <c r="BK247" s="109">
        <v>243</v>
      </c>
      <c r="BL247" s="14">
        <f t="shared" si="368"/>
        <v>25</v>
      </c>
      <c r="BM247" s="14">
        <f t="shared" si="371"/>
        <v>3</v>
      </c>
      <c r="BN247" s="14">
        <f t="shared" si="362"/>
        <v>31500</v>
      </c>
      <c r="BO247" s="14">
        <f t="shared" si="363"/>
        <v>10800</v>
      </c>
      <c r="BP247" s="14">
        <f t="shared" si="364"/>
        <v>27000</v>
      </c>
    </row>
    <row r="248" spans="45:68" ht="16.5" x14ac:dyDescent="0.2">
      <c r="AS248" s="110"/>
      <c r="AT248" s="110"/>
      <c r="AU248" s="110"/>
      <c r="AV248" s="110"/>
      <c r="AW248" s="110"/>
      <c r="AX248" s="110"/>
      <c r="BA248" s="109">
        <v>244</v>
      </c>
      <c r="BB248" s="14">
        <f t="shared" si="359"/>
        <v>25</v>
      </c>
      <c r="BC248" s="14">
        <f t="shared" si="365"/>
        <v>4</v>
      </c>
      <c r="BD248" s="14">
        <f t="shared" si="370"/>
        <v>1200</v>
      </c>
      <c r="BE248" s="14">
        <f t="shared" si="360"/>
        <v>5400</v>
      </c>
      <c r="BF248" s="14">
        <f t="shared" si="361"/>
        <v>13500</v>
      </c>
      <c r="BG248" s="14">
        <f t="shared" si="366"/>
        <v>41.46</v>
      </c>
      <c r="BH248" s="14">
        <f t="shared" si="367"/>
        <v>11041</v>
      </c>
      <c r="BK248" s="109">
        <v>244</v>
      </c>
      <c r="BL248" s="14">
        <f t="shared" si="368"/>
        <v>25</v>
      </c>
      <c r="BM248" s="14">
        <f t="shared" si="371"/>
        <v>4</v>
      </c>
      <c r="BN248" s="14">
        <f t="shared" si="362"/>
        <v>31500</v>
      </c>
      <c r="BO248" s="14">
        <f t="shared" si="363"/>
        <v>10800</v>
      </c>
      <c r="BP248" s="14">
        <f t="shared" si="364"/>
        <v>27000</v>
      </c>
    </row>
    <row r="249" spans="45:68" ht="16.5" x14ac:dyDescent="0.2">
      <c r="AS249" s="110"/>
      <c r="AT249" s="110"/>
      <c r="AU249" s="110"/>
      <c r="AV249" s="110"/>
      <c r="AW249" s="110"/>
      <c r="AX249" s="110"/>
      <c r="BA249" s="109">
        <v>245</v>
      </c>
      <c r="BB249" s="14">
        <f t="shared" si="359"/>
        <v>25</v>
      </c>
      <c r="BC249" s="14">
        <f t="shared" si="365"/>
        <v>5</v>
      </c>
      <c r="BD249" s="14">
        <f t="shared" si="370"/>
        <v>1200</v>
      </c>
      <c r="BE249" s="14">
        <f t="shared" si="360"/>
        <v>5400</v>
      </c>
      <c r="BF249" s="14">
        <f t="shared" si="361"/>
        <v>13500</v>
      </c>
      <c r="BG249" s="14">
        <f t="shared" si="366"/>
        <v>41.46</v>
      </c>
      <c r="BH249" s="14">
        <f t="shared" si="367"/>
        <v>11041</v>
      </c>
      <c r="BK249" s="109">
        <v>245</v>
      </c>
      <c r="BL249" s="14">
        <f t="shared" si="368"/>
        <v>25</v>
      </c>
      <c r="BM249" s="14">
        <f t="shared" si="371"/>
        <v>5</v>
      </c>
      <c r="BN249" s="14">
        <f t="shared" si="362"/>
        <v>31500</v>
      </c>
      <c r="BO249" s="14">
        <f t="shared" si="363"/>
        <v>10800</v>
      </c>
      <c r="BP249" s="14">
        <f t="shared" si="364"/>
        <v>27000</v>
      </c>
    </row>
    <row r="250" spans="45:68" ht="16.5" x14ac:dyDescent="0.2">
      <c r="AS250" s="110"/>
      <c r="AT250" s="110"/>
      <c r="AU250" s="110"/>
      <c r="AV250" s="110"/>
      <c r="AW250" s="110"/>
      <c r="AX250" s="110"/>
      <c r="BA250" s="109">
        <v>246</v>
      </c>
      <c r="BB250" s="14">
        <f t="shared" si="359"/>
        <v>25</v>
      </c>
      <c r="BC250" s="14">
        <f t="shared" si="365"/>
        <v>6</v>
      </c>
      <c r="BD250" s="14">
        <f t="shared" si="370"/>
        <v>1200</v>
      </c>
      <c r="BE250" s="14">
        <f t="shared" si="360"/>
        <v>5400</v>
      </c>
      <c r="BF250" s="14">
        <f t="shared" si="361"/>
        <v>13500</v>
      </c>
      <c r="BG250" s="14">
        <f t="shared" si="366"/>
        <v>41.46</v>
      </c>
      <c r="BH250" s="14">
        <f t="shared" si="367"/>
        <v>11041</v>
      </c>
      <c r="BK250" s="109">
        <v>246</v>
      </c>
      <c r="BL250" s="14">
        <f t="shared" si="368"/>
        <v>25</v>
      </c>
      <c r="BM250" s="14">
        <f t="shared" si="371"/>
        <v>6</v>
      </c>
      <c r="BN250" s="14">
        <f t="shared" si="362"/>
        <v>31500</v>
      </c>
      <c r="BO250" s="14">
        <f t="shared" si="363"/>
        <v>10800</v>
      </c>
      <c r="BP250" s="14">
        <f t="shared" si="364"/>
        <v>27000</v>
      </c>
    </row>
    <row r="251" spans="45:68" ht="16.5" x14ac:dyDescent="0.2">
      <c r="AS251" s="110"/>
      <c r="AT251" s="110"/>
      <c r="AU251" s="110"/>
      <c r="AV251" s="110"/>
      <c r="AW251" s="110"/>
      <c r="AX251" s="110"/>
      <c r="BA251" s="109">
        <v>247</v>
      </c>
      <c r="BB251" s="14">
        <f t="shared" si="359"/>
        <v>25</v>
      </c>
      <c r="BC251" s="14">
        <f t="shared" si="365"/>
        <v>7</v>
      </c>
      <c r="BD251" s="14">
        <f t="shared" si="370"/>
        <v>1200</v>
      </c>
      <c r="BE251" s="14">
        <f t="shared" si="360"/>
        <v>5400</v>
      </c>
      <c r="BF251" s="14">
        <f t="shared" si="361"/>
        <v>13500</v>
      </c>
      <c r="BG251" s="14">
        <f t="shared" si="366"/>
        <v>41.46</v>
      </c>
      <c r="BH251" s="14">
        <f t="shared" si="367"/>
        <v>11041</v>
      </c>
      <c r="BK251" s="109">
        <v>247</v>
      </c>
      <c r="BL251" s="14">
        <f t="shared" si="368"/>
        <v>25</v>
      </c>
      <c r="BM251" s="14">
        <f t="shared" si="371"/>
        <v>7</v>
      </c>
      <c r="BN251" s="14">
        <f t="shared" si="362"/>
        <v>31500</v>
      </c>
      <c r="BO251" s="14">
        <f t="shared" si="363"/>
        <v>10800</v>
      </c>
      <c r="BP251" s="14">
        <f t="shared" si="364"/>
        <v>27000</v>
      </c>
    </row>
    <row r="252" spans="45:68" ht="16.5" x14ac:dyDescent="0.2">
      <c r="AS252" s="110"/>
      <c r="AT252" s="110"/>
      <c r="AU252" s="110"/>
      <c r="AV252" s="110"/>
      <c r="AW252" s="110"/>
      <c r="AX252" s="110"/>
      <c r="BA252" s="109">
        <v>248</v>
      </c>
      <c r="BB252" s="14">
        <f t="shared" si="359"/>
        <v>25</v>
      </c>
      <c r="BC252" s="14">
        <f t="shared" si="365"/>
        <v>8</v>
      </c>
      <c r="BD252" s="14">
        <f t="shared" si="370"/>
        <v>1200</v>
      </c>
      <c r="BE252" s="14">
        <f t="shared" si="360"/>
        <v>5400</v>
      </c>
      <c r="BF252" s="14">
        <f t="shared" si="361"/>
        <v>13500</v>
      </c>
      <c r="BG252" s="14">
        <f t="shared" si="366"/>
        <v>41.46</v>
      </c>
      <c r="BH252" s="14">
        <f t="shared" si="367"/>
        <v>11041</v>
      </c>
      <c r="BK252" s="109">
        <v>248</v>
      </c>
      <c r="BL252" s="14">
        <f t="shared" si="368"/>
        <v>25</v>
      </c>
      <c r="BM252" s="14">
        <f t="shared" si="371"/>
        <v>8</v>
      </c>
      <c r="BN252" s="14">
        <f t="shared" si="362"/>
        <v>31500</v>
      </c>
      <c r="BO252" s="14">
        <f t="shared" si="363"/>
        <v>10800</v>
      </c>
      <c r="BP252" s="14">
        <f t="shared" si="364"/>
        <v>27000</v>
      </c>
    </row>
    <row r="253" spans="45:68" ht="16.5" x14ac:dyDescent="0.2">
      <c r="AS253" s="110"/>
      <c r="AT253" s="110"/>
      <c r="AU253" s="110"/>
      <c r="AV253" s="110"/>
      <c r="AW253" s="110"/>
      <c r="AX253" s="110"/>
      <c r="BA253" s="109">
        <v>249</v>
      </c>
      <c r="BB253" s="14">
        <f t="shared" si="359"/>
        <v>25</v>
      </c>
      <c r="BC253" s="14">
        <f t="shared" si="365"/>
        <v>9</v>
      </c>
      <c r="BD253" s="14">
        <f t="shared" si="370"/>
        <v>1200</v>
      </c>
      <c r="BE253" s="14">
        <f t="shared" si="360"/>
        <v>5400</v>
      </c>
      <c r="BF253" s="14">
        <f t="shared" si="361"/>
        <v>13500</v>
      </c>
      <c r="BG253" s="14">
        <f t="shared" si="366"/>
        <v>41.46</v>
      </c>
      <c r="BH253" s="14">
        <f t="shared" si="367"/>
        <v>11041</v>
      </c>
      <c r="BK253" s="109">
        <v>249</v>
      </c>
      <c r="BL253" s="14">
        <f t="shared" si="368"/>
        <v>25</v>
      </c>
      <c r="BM253" s="14">
        <f t="shared" si="371"/>
        <v>9</v>
      </c>
      <c r="BN253" s="14">
        <f t="shared" si="362"/>
        <v>31500</v>
      </c>
      <c r="BO253" s="14">
        <f t="shared" si="363"/>
        <v>10800</v>
      </c>
      <c r="BP253" s="14">
        <f t="shared" si="364"/>
        <v>27000</v>
      </c>
    </row>
    <row r="254" spans="45:68" ht="16.5" x14ac:dyDescent="0.2">
      <c r="AS254" s="110"/>
      <c r="AT254" s="110"/>
      <c r="AU254" s="110"/>
      <c r="AV254" s="110"/>
      <c r="AW254" s="110"/>
      <c r="AX254" s="110"/>
      <c r="BA254" s="109">
        <v>250</v>
      </c>
      <c r="BB254" s="14">
        <f t="shared" si="359"/>
        <v>25</v>
      </c>
      <c r="BC254" s="14">
        <f t="shared" si="365"/>
        <v>10</v>
      </c>
      <c r="BD254" s="14">
        <f t="shared" si="370"/>
        <v>1200</v>
      </c>
      <c r="BE254" s="14">
        <f t="shared" si="360"/>
        <v>5400</v>
      </c>
      <c r="BF254" s="14">
        <f t="shared" si="361"/>
        <v>13500</v>
      </c>
      <c r="BG254" s="14">
        <f t="shared" si="366"/>
        <v>41.46</v>
      </c>
      <c r="BH254" s="14">
        <f t="shared" si="367"/>
        <v>11041</v>
      </c>
      <c r="BK254" s="109">
        <v>250</v>
      </c>
      <c r="BL254" s="14">
        <f t="shared" si="368"/>
        <v>25</v>
      </c>
      <c r="BM254" s="14">
        <f t="shared" si="371"/>
        <v>10</v>
      </c>
      <c r="BN254" s="14">
        <f t="shared" si="362"/>
        <v>31500</v>
      </c>
      <c r="BO254" s="14">
        <f t="shared" si="363"/>
        <v>10800</v>
      </c>
      <c r="BP254" s="14">
        <f t="shared" si="364"/>
        <v>27000</v>
      </c>
    </row>
    <row r="255" spans="45:68" ht="16.5" x14ac:dyDescent="0.2">
      <c r="AS255" s="110"/>
      <c r="AT255" s="110"/>
      <c r="AU255" s="110"/>
      <c r="AV255" s="110"/>
      <c r="AW255" s="110"/>
      <c r="AX255" s="110"/>
      <c r="BA255" s="109">
        <v>251</v>
      </c>
      <c r="BB255" s="14">
        <f t="shared" si="359"/>
        <v>26</v>
      </c>
      <c r="BC255" s="14">
        <f t="shared" si="365"/>
        <v>1</v>
      </c>
      <c r="BD255" s="14">
        <f t="shared" si="370"/>
        <v>1300</v>
      </c>
      <c r="BE255" s="14">
        <f t="shared" si="360"/>
        <v>5700</v>
      </c>
      <c r="BF255" s="14">
        <f t="shared" si="361"/>
        <v>14625</v>
      </c>
      <c r="BG255" s="14">
        <f t="shared" si="366"/>
        <v>46.67</v>
      </c>
      <c r="BH255" s="14">
        <f t="shared" si="367"/>
        <v>11046</v>
      </c>
      <c r="BK255" s="109">
        <v>251</v>
      </c>
      <c r="BL255" s="14">
        <f t="shared" si="368"/>
        <v>26</v>
      </c>
      <c r="BM255" s="14">
        <f t="shared" si="371"/>
        <v>1</v>
      </c>
      <c r="BN255" s="14">
        <f t="shared" si="362"/>
        <v>38250</v>
      </c>
      <c r="BO255" s="14">
        <f t="shared" si="363"/>
        <v>11400</v>
      </c>
      <c r="BP255" s="14">
        <f t="shared" si="364"/>
        <v>29250</v>
      </c>
    </row>
    <row r="256" spans="45:68" ht="16.5" x14ac:dyDescent="0.2">
      <c r="AS256" s="110"/>
      <c r="AT256" s="110"/>
      <c r="AU256" s="110"/>
      <c r="AV256" s="110"/>
      <c r="AW256" s="110"/>
      <c r="AX256" s="110"/>
      <c r="BA256" s="109">
        <v>252</v>
      </c>
      <c r="BB256" s="14">
        <f t="shared" si="359"/>
        <v>26</v>
      </c>
      <c r="BC256" s="14">
        <f t="shared" si="365"/>
        <v>2</v>
      </c>
      <c r="BD256" s="14">
        <f t="shared" si="370"/>
        <v>1300</v>
      </c>
      <c r="BE256" s="14">
        <f t="shared" si="360"/>
        <v>5700</v>
      </c>
      <c r="BF256" s="14">
        <f t="shared" si="361"/>
        <v>14625</v>
      </c>
      <c r="BG256" s="14">
        <f t="shared" si="366"/>
        <v>46.67</v>
      </c>
      <c r="BH256" s="14">
        <f t="shared" si="367"/>
        <v>11046</v>
      </c>
      <c r="BK256" s="109">
        <v>252</v>
      </c>
      <c r="BL256" s="14">
        <f t="shared" si="368"/>
        <v>26</v>
      </c>
      <c r="BM256" s="14">
        <f t="shared" si="371"/>
        <v>2</v>
      </c>
      <c r="BN256" s="14">
        <f t="shared" si="362"/>
        <v>38250</v>
      </c>
      <c r="BO256" s="14">
        <f t="shared" si="363"/>
        <v>11400</v>
      </c>
      <c r="BP256" s="14">
        <f t="shared" si="364"/>
        <v>29250</v>
      </c>
    </row>
    <row r="257" spans="45:68" ht="16.5" x14ac:dyDescent="0.2">
      <c r="AS257" s="110"/>
      <c r="AT257" s="110"/>
      <c r="AU257" s="110"/>
      <c r="AV257" s="110"/>
      <c r="AW257" s="110"/>
      <c r="AX257" s="110"/>
      <c r="BA257" s="109">
        <v>253</v>
      </c>
      <c r="BB257" s="14">
        <f t="shared" si="359"/>
        <v>26</v>
      </c>
      <c r="BC257" s="14">
        <f t="shared" si="365"/>
        <v>3</v>
      </c>
      <c r="BD257" s="14">
        <f t="shared" si="370"/>
        <v>1300</v>
      </c>
      <c r="BE257" s="14">
        <f t="shared" si="360"/>
        <v>5700</v>
      </c>
      <c r="BF257" s="14">
        <f t="shared" si="361"/>
        <v>14625</v>
      </c>
      <c r="BG257" s="14">
        <f t="shared" si="366"/>
        <v>46.67</v>
      </c>
      <c r="BH257" s="14">
        <f t="shared" si="367"/>
        <v>11046</v>
      </c>
      <c r="BK257" s="109">
        <v>253</v>
      </c>
      <c r="BL257" s="14">
        <f t="shared" si="368"/>
        <v>26</v>
      </c>
      <c r="BM257" s="14">
        <f t="shared" si="371"/>
        <v>3</v>
      </c>
      <c r="BN257" s="14">
        <f t="shared" si="362"/>
        <v>38250</v>
      </c>
      <c r="BO257" s="14">
        <f t="shared" si="363"/>
        <v>11400</v>
      </c>
      <c r="BP257" s="14">
        <f t="shared" si="364"/>
        <v>29250</v>
      </c>
    </row>
    <row r="258" spans="45:68" ht="16.5" x14ac:dyDescent="0.2">
      <c r="AS258" s="110"/>
      <c r="AT258" s="110"/>
      <c r="AU258" s="110"/>
      <c r="AV258" s="110"/>
      <c r="AW258" s="110"/>
      <c r="AX258" s="110"/>
      <c r="BA258" s="109">
        <v>254</v>
      </c>
      <c r="BB258" s="14">
        <f t="shared" si="359"/>
        <v>26</v>
      </c>
      <c r="BC258" s="14">
        <f t="shared" si="365"/>
        <v>4</v>
      </c>
      <c r="BD258" s="14">
        <f t="shared" si="370"/>
        <v>1300</v>
      </c>
      <c r="BE258" s="14">
        <f t="shared" si="360"/>
        <v>5700</v>
      </c>
      <c r="BF258" s="14">
        <f t="shared" si="361"/>
        <v>14625</v>
      </c>
      <c r="BG258" s="14">
        <f t="shared" si="366"/>
        <v>46.67</v>
      </c>
      <c r="BH258" s="14">
        <f t="shared" si="367"/>
        <v>11046</v>
      </c>
      <c r="BK258" s="109">
        <v>254</v>
      </c>
      <c r="BL258" s="14">
        <f t="shared" si="368"/>
        <v>26</v>
      </c>
      <c r="BM258" s="14">
        <f t="shared" si="371"/>
        <v>4</v>
      </c>
      <c r="BN258" s="14">
        <f t="shared" si="362"/>
        <v>38250</v>
      </c>
      <c r="BO258" s="14">
        <f t="shared" si="363"/>
        <v>11400</v>
      </c>
      <c r="BP258" s="14">
        <f t="shared" si="364"/>
        <v>29250</v>
      </c>
    </row>
    <row r="259" spans="45:68" ht="16.5" x14ac:dyDescent="0.2">
      <c r="AS259" s="110"/>
      <c r="AT259" s="110"/>
      <c r="AU259" s="110"/>
      <c r="AV259" s="110"/>
      <c r="AW259" s="110"/>
      <c r="AX259" s="110"/>
      <c r="BA259" s="109">
        <v>255</v>
      </c>
      <c r="BB259" s="14">
        <f t="shared" si="359"/>
        <v>26</v>
      </c>
      <c r="BC259" s="14">
        <f t="shared" si="365"/>
        <v>5</v>
      </c>
      <c r="BD259" s="14">
        <f t="shared" si="370"/>
        <v>1300</v>
      </c>
      <c r="BE259" s="14">
        <f t="shared" si="360"/>
        <v>5700</v>
      </c>
      <c r="BF259" s="14">
        <f t="shared" si="361"/>
        <v>14625</v>
      </c>
      <c r="BG259" s="14">
        <f t="shared" si="366"/>
        <v>46.67</v>
      </c>
      <c r="BH259" s="14">
        <f t="shared" si="367"/>
        <v>11046</v>
      </c>
      <c r="BK259" s="109">
        <v>255</v>
      </c>
      <c r="BL259" s="14">
        <f t="shared" si="368"/>
        <v>26</v>
      </c>
      <c r="BM259" s="14">
        <f t="shared" si="371"/>
        <v>5</v>
      </c>
      <c r="BN259" s="14">
        <f t="shared" si="362"/>
        <v>38250</v>
      </c>
      <c r="BO259" s="14">
        <f t="shared" si="363"/>
        <v>11400</v>
      </c>
      <c r="BP259" s="14">
        <f t="shared" si="364"/>
        <v>29250</v>
      </c>
    </row>
    <row r="260" spans="45:68" ht="16.5" x14ac:dyDescent="0.2">
      <c r="AS260" s="110"/>
      <c r="AT260" s="110"/>
      <c r="AU260" s="110"/>
      <c r="AV260" s="110"/>
      <c r="AW260" s="110"/>
      <c r="AX260" s="110"/>
      <c r="BA260" s="109">
        <v>256</v>
      </c>
      <c r="BB260" s="14">
        <f t="shared" si="359"/>
        <v>26</v>
      </c>
      <c r="BC260" s="14">
        <f t="shared" si="365"/>
        <v>6</v>
      </c>
      <c r="BD260" s="14">
        <f t="shared" si="370"/>
        <v>1300</v>
      </c>
      <c r="BE260" s="14">
        <f t="shared" si="360"/>
        <v>5700</v>
      </c>
      <c r="BF260" s="14">
        <f t="shared" si="361"/>
        <v>14625</v>
      </c>
      <c r="BG260" s="14">
        <f t="shared" si="366"/>
        <v>46.67</v>
      </c>
      <c r="BH260" s="14">
        <f t="shared" si="367"/>
        <v>11046</v>
      </c>
      <c r="BK260" s="109">
        <v>256</v>
      </c>
      <c r="BL260" s="14">
        <f t="shared" si="368"/>
        <v>26</v>
      </c>
      <c r="BM260" s="14">
        <f t="shared" si="371"/>
        <v>6</v>
      </c>
      <c r="BN260" s="14">
        <f t="shared" si="362"/>
        <v>38250</v>
      </c>
      <c r="BO260" s="14">
        <f t="shared" si="363"/>
        <v>11400</v>
      </c>
      <c r="BP260" s="14">
        <f t="shared" si="364"/>
        <v>29250</v>
      </c>
    </row>
    <row r="261" spans="45:68" ht="16.5" x14ac:dyDescent="0.2">
      <c r="AS261" s="110"/>
      <c r="AT261" s="110"/>
      <c r="AU261" s="110"/>
      <c r="AV261" s="110"/>
      <c r="AW261" s="110"/>
      <c r="AX261" s="110"/>
      <c r="BA261" s="109">
        <v>257</v>
      </c>
      <c r="BB261" s="14">
        <f t="shared" ref="BB261:BB304" si="372">INDEX($O$5:$O$36,MATCH(BA261-1,$R$5:$R$36,1))+1</f>
        <v>26</v>
      </c>
      <c r="BC261" s="14">
        <f t="shared" si="365"/>
        <v>7</v>
      </c>
      <c r="BD261" s="14">
        <f t="shared" si="370"/>
        <v>1300</v>
      </c>
      <c r="BE261" s="14">
        <f t="shared" ref="BE261:BE304" si="373">INDEX($V$6:$V$35,BB261)</f>
        <v>5700</v>
      </c>
      <c r="BF261" s="14">
        <f t="shared" ref="BF261:BF304" si="374">INDEX($X$6:$X$35,BB261)</f>
        <v>14625</v>
      </c>
      <c r="BG261" s="14">
        <f t="shared" si="366"/>
        <v>46.67</v>
      </c>
      <c r="BH261" s="14">
        <f t="shared" si="367"/>
        <v>11046</v>
      </c>
      <c r="BK261" s="109">
        <v>257</v>
      </c>
      <c r="BL261" s="14">
        <f t="shared" si="368"/>
        <v>26</v>
      </c>
      <c r="BM261" s="14">
        <f t="shared" si="371"/>
        <v>7</v>
      </c>
      <c r="BN261" s="14">
        <f t="shared" ref="BN261:BN304" si="375">INDEX($AJ$6:$AJ$35,BL261)</f>
        <v>38250</v>
      </c>
      <c r="BO261" s="14">
        <f t="shared" ref="BO261:BO304" si="376">INDEX($AL$6:$AL$35,BL261)</f>
        <v>11400</v>
      </c>
      <c r="BP261" s="14">
        <f t="shared" ref="BP261:BP304" si="377">INDEX($AN$6:$AN$35,BL261)</f>
        <v>29250</v>
      </c>
    </row>
    <row r="262" spans="45:68" ht="16.5" x14ac:dyDescent="0.2">
      <c r="AS262" s="110"/>
      <c r="AT262" s="110"/>
      <c r="AU262" s="110"/>
      <c r="AV262" s="110"/>
      <c r="AW262" s="110"/>
      <c r="AX262" s="110"/>
      <c r="BA262" s="109">
        <v>258</v>
      </c>
      <c r="BB262" s="14">
        <f t="shared" si="372"/>
        <v>26</v>
      </c>
      <c r="BC262" s="14">
        <f t="shared" ref="BC262:BC304" si="378">BA262-INDEX($R$5:$R$36,BB262)</f>
        <v>8</v>
      </c>
      <c r="BD262" s="14">
        <f t="shared" si="370"/>
        <v>1300</v>
      </c>
      <c r="BE262" s="14">
        <f t="shared" si="373"/>
        <v>5700</v>
      </c>
      <c r="BF262" s="14">
        <f t="shared" si="374"/>
        <v>14625</v>
      </c>
      <c r="BG262" s="14">
        <f t="shared" ref="BG262:BG304" si="379">INDEX($AA$6:$AA$33,BB262)</f>
        <v>46.67</v>
      </c>
      <c r="BH262" s="14">
        <f t="shared" ref="BH262:BH304" si="380">11000+INT(BG262)</f>
        <v>11046</v>
      </c>
      <c r="BK262" s="109">
        <v>258</v>
      </c>
      <c r="BL262" s="14">
        <f t="shared" ref="BL262:BL304" si="381">INDEX($AC$5:$AC$35,MATCH(BK262-1,$AI$5:$AI$35,1))+1</f>
        <v>26</v>
      </c>
      <c r="BM262" s="14">
        <f t="shared" si="371"/>
        <v>8</v>
      </c>
      <c r="BN262" s="14">
        <f t="shared" si="375"/>
        <v>38250</v>
      </c>
      <c r="BO262" s="14">
        <f t="shared" si="376"/>
        <v>11400</v>
      </c>
      <c r="BP262" s="14">
        <f t="shared" si="377"/>
        <v>29250</v>
      </c>
    </row>
    <row r="263" spans="45:68" ht="16.5" x14ac:dyDescent="0.2">
      <c r="AS263" s="110"/>
      <c r="AT263" s="110"/>
      <c r="AU263" s="110"/>
      <c r="AV263" s="110"/>
      <c r="AW263" s="110"/>
      <c r="AX263" s="110"/>
      <c r="BA263" s="109">
        <v>259</v>
      </c>
      <c r="BB263" s="14">
        <f t="shared" si="372"/>
        <v>26</v>
      </c>
      <c r="BC263" s="14">
        <f t="shared" si="378"/>
        <v>9</v>
      </c>
      <c r="BD263" s="14">
        <f t="shared" si="370"/>
        <v>1300</v>
      </c>
      <c r="BE263" s="14">
        <f t="shared" si="373"/>
        <v>5700</v>
      </c>
      <c r="BF263" s="14">
        <f t="shared" si="374"/>
        <v>14625</v>
      </c>
      <c r="BG263" s="14">
        <f t="shared" si="379"/>
        <v>46.67</v>
      </c>
      <c r="BH263" s="14">
        <f t="shared" si="380"/>
        <v>11046</v>
      </c>
      <c r="BK263" s="109">
        <v>259</v>
      </c>
      <c r="BL263" s="14">
        <f t="shared" si="381"/>
        <v>26</v>
      </c>
      <c r="BM263" s="14">
        <f t="shared" si="371"/>
        <v>9</v>
      </c>
      <c r="BN263" s="14">
        <f t="shared" si="375"/>
        <v>38250</v>
      </c>
      <c r="BO263" s="14">
        <f t="shared" si="376"/>
        <v>11400</v>
      </c>
      <c r="BP263" s="14">
        <f t="shared" si="377"/>
        <v>29250</v>
      </c>
    </row>
    <row r="264" spans="45:68" ht="16.5" x14ac:dyDescent="0.2">
      <c r="AS264" s="110"/>
      <c r="AT264" s="110"/>
      <c r="AU264" s="110"/>
      <c r="AV264" s="110"/>
      <c r="AW264" s="110"/>
      <c r="AX264" s="110"/>
      <c r="BA264" s="109">
        <v>260</v>
      </c>
      <c r="BB264" s="14">
        <f t="shared" si="372"/>
        <v>26</v>
      </c>
      <c r="BC264" s="14">
        <f t="shared" si="378"/>
        <v>10</v>
      </c>
      <c r="BD264" s="14">
        <f t="shared" si="370"/>
        <v>1300</v>
      </c>
      <c r="BE264" s="14">
        <f t="shared" si="373"/>
        <v>5700</v>
      </c>
      <c r="BF264" s="14">
        <f t="shared" si="374"/>
        <v>14625</v>
      </c>
      <c r="BG264" s="14">
        <f t="shared" si="379"/>
        <v>46.67</v>
      </c>
      <c r="BH264" s="14">
        <f t="shared" si="380"/>
        <v>11046</v>
      </c>
      <c r="BK264" s="109">
        <v>260</v>
      </c>
      <c r="BL264" s="14">
        <f t="shared" si="381"/>
        <v>26</v>
      </c>
      <c r="BM264" s="14">
        <f t="shared" si="371"/>
        <v>10</v>
      </c>
      <c r="BN264" s="14">
        <f t="shared" si="375"/>
        <v>38250</v>
      </c>
      <c r="BO264" s="14">
        <f t="shared" si="376"/>
        <v>11400</v>
      </c>
      <c r="BP264" s="14">
        <f t="shared" si="377"/>
        <v>29250</v>
      </c>
    </row>
    <row r="265" spans="45:68" ht="16.5" x14ac:dyDescent="0.2">
      <c r="AS265" s="110"/>
      <c r="AT265" s="110"/>
      <c r="AU265" s="110"/>
      <c r="AV265" s="110"/>
      <c r="AW265" s="110"/>
      <c r="AX265" s="110"/>
      <c r="BA265" s="109">
        <v>261</v>
      </c>
      <c r="BB265" s="14">
        <f t="shared" si="372"/>
        <v>27</v>
      </c>
      <c r="BC265" s="14">
        <f t="shared" si="378"/>
        <v>1</v>
      </c>
      <c r="BD265" s="14">
        <f t="shared" si="370"/>
        <v>1400</v>
      </c>
      <c r="BE265" s="14">
        <f t="shared" si="373"/>
        <v>6000</v>
      </c>
      <c r="BF265" s="14">
        <f t="shared" si="374"/>
        <v>15750</v>
      </c>
      <c r="BG265" s="14">
        <f t="shared" si="379"/>
        <v>52.92</v>
      </c>
      <c r="BH265" s="14">
        <f t="shared" si="380"/>
        <v>11052</v>
      </c>
      <c r="BK265" s="109">
        <v>261</v>
      </c>
      <c r="BL265" s="14">
        <f t="shared" si="381"/>
        <v>27</v>
      </c>
      <c r="BM265" s="14">
        <f t="shared" si="371"/>
        <v>1</v>
      </c>
      <c r="BN265" s="14">
        <f t="shared" si="375"/>
        <v>40800</v>
      </c>
      <c r="BO265" s="14">
        <f t="shared" si="376"/>
        <v>12000</v>
      </c>
      <c r="BP265" s="14">
        <f t="shared" si="377"/>
        <v>31500</v>
      </c>
    </row>
    <row r="266" spans="45:68" ht="16.5" x14ac:dyDescent="0.2">
      <c r="AS266" s="110"/>
      <c r="AT266" s="110"/>
      <c r="AU266" s="110"/>
      <c r="AV266" s="110"/>
      <c r="AW266" s="110"/>
      <c r="AX266" s="110"/>
      <c r="BA266" s="109">
        <v>262</v>
      </c>
      <c r="BB266" s="14">
        <f t="shared" si="372"/>
        <v>27</v>
      </c>
      <c r="BC266" s="14">
        <f t="shared" si="378"/>
        <v>2</v>
      </c>
      <c r="BD266" s="14">
        <f t="shared" si="370"/>
        <v>1400</v>
      </c>
      <c r="BE266" s="14">
        <f t="shared" si="373"/>
        <v>6000</v>
      </c>
      <c r="BF266" s="14">
        <f t="shared" si="374"/>
        <v>15750</v>
      </c>
      <c r="BG266" s="14">
        <f t="shared" si="379"/>
        <v>52.92</v>
      </c>
      <c r="BH266" s="14">
        <f t="shared" si="380"/>
        <v>11052</v>
      </c>
      <c r="BK266" s="109">
        <v>262</v>
      </c>
      <c r="BL266" s="14">
        <f t="shared" si="381"/>
        <v>27</v>
      </c>
      <c r="BM266" s="14">
        <f t="shared" si="371"/>
        <v>2</v>
      </c>
      <c r="BN266" s="14">
        <f t="shared" si="375"/>
        <v>40800</v>
      </c>
      <c r="BO266" s="14">
        <f t="shared" si="376"/>
        <v>12000</v>
      </c>
      <c r="BP266" s="14">
        <f t="shared" si="377"/>
        <v>31500</v>
      </c>
    </row>
    <row r="267" spans="45:68" ht="16.5" x14ac:dyDescent="0.2">
      <c r="AS267" s="110"/>
      <c r="AT267" s="110"/>
      <c r="AU267" s="110"/>
      <c r="AV267" s="110"/>
      <c r="AW267" s="110"/>
      <c r="AX267" s="110"/>
      <c r="BA267" s="109">
        <v>263</v>
      </c>
      <c r="BB267" s="14">
        <f t="shared" si="372"/>
        <v>27</v>
      </c>
      <c r="BC267" s="14">
        <f t="shared" si="378"/>
        <v>3</v>
      </c>
      <c r="BD267" s="14">
        <f t="shared" si="370"/>
        <v>1400</v>
      </c>
      <c r="BE267" s="14">
        <f t="shared" si="373"/>
        <v>6000</v>
      </c>
      <c r="BF267" s="14">
        <f t="shared" si="374"/>
        <v>15750</v>
      </c>
      <c r="BG267" s="14">
        <f t="shared" si="379"/>
        <v>52.92</v>
      </c>
      <c r="BH267" s="14">
        <f t="shared" si="380"/>
        <v>11052</v>
      </c>
      <c r="BK267" s="109">
        <v>263</v>
      </c>
      <c r="BL267" s="14">
        <f t="shared" si="381"/>
        <v>27</v>
      </c>
      <c r="BM267" s="14">
        <f t="shared" si="371"/>
        <v>3</v>
      </c>
      <c r="BN267" s="14">
        <f t="shared" si="375"/>
        <v>40800</v>
      </c>
      <c r="BO267" s="14">
        <f t="shared" si="376"/>
        <v>12000</v>
      </c>
      <c r="BP267" s="14">
        <f t="shared" si="377"/>
        <v>31500</v>
      </c>
    </row>
    <row r="268" spans="45:68" ht="16.5" x14ac:dyDescent="0.2">
      <c r="AS268" s="110"/>
      <c r="AT268" s="110"/>
      <c r="AU268" s="110"/>
      <c r="AV268" s="110"/>
      <c r="AW268" s="110"/>
      <c r="AX268" s="110"/>
      <c r="BA268" s="109">
        <v>264</v>
      </c>
      <c r="BB268" s="14">
        <f t="shared" si="372"/>
        <v>27</v>
      </c>
      <c r="BC268" s="14">
        <f t="shared" si="378"/>
        <v>4</v>
      </c>
      <c r="BD268" s="14">
        <f t="shared" si="370"/>
        <v>1400</v>
      </c>
      <c r="BE268" s="14">
        <f t="shared" si="373"/>
        <v>6000</v>
      </c>
      <c r="BF268" s="14">
        <f t="shared" si="374"/>
        <v>15750</v>
      </c>
      <c r="BG268" s="14">
        <f t="shared" si="379"/>
        <v>52.92</v>
      </c>
      <c r="BH268" s="14">
        <f t="shared" si="380"/>
        <v>11052</v>
      </c>
      <c r="BK268" s="109">
        <v>264</v>
      </c>
      <c r="BL268" s="14">
        <f t="shared" si="381"/>
        <v>27</v>
      </c>
      <c r="BM268" s="14">
        <f t="shared" si="371"/>
        <v>4</v>
      </c>
      <c r="BN268" s="14">
        <f t="shared" si="375"/>
        <v>40800</v>
      </c>
      <c r="BO268" s="14">
        <f t="shared" si="376"/>
        <v>12000</v>
      </c>
      <c r="BP268" s="14">
        <f t="shared" si="377"/>
        <v>31500</v>
      </c>
    </row>
    <row r="269" spans="45:68" ht="16.5" x14ac:dyDescent="0.2">
      <c r="AS269" s="110"/>
      <c r="AT269" s="110"/>
      <c r="AU269" s="110"/>
      <c r="AV269" s="110"/>
      <c r="AW269" s="110"/>
      <c r="AX269" s="110"/>
      <c r="BA269" s="109">
        <v>265</v>
      </c>
      <c r="BB269" s="14">
        <f t="shared" si="372"/>
        <v>27</v>
      </c>
      <c r="BC269" s="14">
        <f t="shared" si="378"/>
        <v>5</v>
      </c>
      <c r="BD269" s="14">
        <f t="shared" si="370"/>
        <v>1400</v>
      </c>
      <c r="BE269" s="14">
        <f t="shared" si="373"/>
        <v>6000</v>
      </c>
      <c r="BF269" s="14">
        <f t="shared" si="374"/>
        <v>15750</v>
      </c>
      <c r="BG269" s="14">
        <f t="shared" si="379"/>
        <v>52.92</v>
      </c>
      <c r="BH269" s="14">
        <f t="shared" si="380"/>
        <v>11052</v>
      </c>
      <c r="BK269" s="109">
        <v>265</v>
      </c>
      <c r="BL269" s="14">
        <f t="shared" si="381"/>
        <v>27</v>
      </c>
      <c r="BM269" s="14">
        <f t="shared" si="371"/>
        <v>5</v>
      </c>
      <c r="BN269" s="14">
        <f t="shared" si="375"/>
        <v>40800</v>
      </c>
      <c r="BO269" s="14">
        <f t="shared" si="376"/>
        <v>12000</v>
      </c>
      <c r="BP269" s="14">
        <f t="shared" si="377"/>
        <v>31500</v>
      </c>
    </row>
    <row r="270" spans="45:68" ht="16.5" x14ac:dyDescent="0.2">
      <c r="AS270" s="110"/>
      <c r="AT270" s="110"/>
      <c r="AU270" s="110"/>
      <c r="AV270" s="110"/>
      <c r="AW270" s="110"/>
      <c r="AX270" s="110"/>
      <c r="BA270" s="109">
        <v>266</v>
      </c>
      <c r="BB270" s="14">
        <f t="shared" si="372"/>
        <v>27</v>
      </c>
      <c r="BC270" s="14">
        <f t="shared" si="378"/>
        <v>6</v>
      </c>
      <c r="BD270" s="14">
        <f t="shared" si="370"/>
        <v>1400</v>
      </c>
      <c r="BE270" s="14">
        <f t="shared" si="373"/>
        <v>6000</v>
      </c>
      <c r="BF270" s="14">
        <f t="shared" si="374"/>
        <v>15750</v>
      </c>
      <c r="BG270" s="14">
        <f t="shared" si="379"/>
        <v>52.92</v>
      </c>
      <c r="BH270" s="14">
        <f t="shared" si="380"/>
        <v>11052</v>
      </c>
      <c r="BK270" s="109">
        <v>266</v>
      </c>
      <c r="BL270" s="14">
        <f t="shared" si="381"/>
        <v>27</v>
      </c>
      <c r="BM270" s="14">
        <f t="shared" si="371"/>
        <v>6</v>
      </c>
      <c r="BN270" s="14">
        <f t="shared" si="375"/>
        <v>40800</v>
      </c>
      <c r="BO270" s="14">
        <f t="shared" si="376"/>
        <v>12000</v>
      </c>
      <c r="BP270" s="14">
        <f t="shared" si="377"/>
        <v>31500</v>
      </c>
    </row>
    <row r="271" spans="45:68" ht="16.5" x14ac:dyDescent="0.2">
      <c r="AS271" s="110"/>
      <c r="AT271" s="110"/>
      <c r="AU271" s="110"/>
      <c r="AV271" s="110"/>
      <c r="AW271" s="110"/>
      <c r="AX271" s="110"/>
      <c r="BA271" s="109">
        <v>267</v>
      </c>
      <c r="BB271" s="14">
        <f t="shared" si="372"/>
        <v>27</v>
      </c>
      <c r="BC271" s="14">
        <f t="shared" si="378"/>
        <v>7</v>
      </c>
      <c r="BD271" s="14">
        <f t="shared" ref="BD271:BD304" si="382">INDEX($T$6:$T$35,BB271)</f>
        <v>1400</v>
      </c>
      <c r="BE271" s="14">
        <f t="shared" si="373"/>
        <v>6000</v>
      </c>
      <c r="BF271" s="14">
        <f t="shared" si="374"/>
        <v>15750</v>
      </c>
      <c r="BG271" s="14">
        <f t="shared" si="379"/>
        <v>52.92</v>
      </c>
      <c r="BH271" s="14">
        <f t="shared" si="380"/>
        <v>11052</v>
      </c>
      <c r="BK271" s="109">
        <v>267</v>
      </c>
      <c r="BL271" s="14">
        <f t="shared" si="381"/>
        <v>27</v>
      </c>
      <c r="BM271" s="14">
        <f t="shared" si="371"/>
        <v>7</v>
      </c>
      <c r="BN271" s="14">
        <f t="shared" si="375"/>
        <v>40800</v>
      </c>
      <c r="BO271" s="14">
        <f t="shared" si="376"/>
        <v>12000</v>
      </c>
      <c r="BP271" s="14">
        <f t="shared" si="377"/>
        <v>31500</v>
      </c>
    </row>
    <row r="272" spans="45:68" ht="16.5" x14ac:dyDescent="0.2">
      <c r="AS272" s="110"/>
      <c r="AT272" s="110"/>
      <c r="AU272" s="110"/>
      <c r="AV272" s="110"/>
      <c r="AW272" s="110"/>
      <c r="AX272" s="110"/>
      <c r="BA272" s="109">
        <v>268</v>
      </c>
      <c r="BB272" s="14">
        <f t="shared" si="372"/>
        <v>27</v>
      </c>
      <c r="BC272" s="14">
        <f t="shared" si="378"/>
        <v>8</v>
      </c>
      <c r="BD272" s="14">
        <f t="shared" si="382"/>
        <v>1400</v>
      </c>
      <c r="BE272" s="14">
        <f t="shared" si="373"/>
        <v>6000</v>
      </c>
      <c r="BF272" s="14">
        <f t="shared" si="374"/>
        <v>15750</v>
      </c>
      <c r="BG272" s="14">
        <f t="shared" si="379"/>
        <v>52.92</v>
      </c>
      <c r="BH272" s="14">
        <f t="shared" si="380"/>
        <v>11052</v>
      </c>
      <c r="BK272" s="109">
        <v>268</v>
      </c>
      <c r="BL272" s="14">
        <f t="shared" si="381"/>
        <v>27</v>
      </c>
      <c r="BM272" s="14">
        <f t="shared" ref="BM272:BM304" si="383">BK272-INDEX($AI$5:$AI$35,BL272)</f>
        <v>8</v>
      </c>
      <c r="BN272" s="14">
        <f t="shared" si="375"/>
        <v>40800</v>
      </c>
      <c r="BO272" s="14">
        <f t="shared" si="376"/>
        <v>12000</v>
      </c>
      <c r="BP272" s="14">
        <f t="shared" si="377"/>
        <v>31500</v>
      </c>
    </row>
    <row r="273" spans="45:68" ht="16.5" x14ac:dyDescent="0.2">
      <c r="AS273" s="110"/>
      <c r="AT273" s="110"/>
      <c r="AU273" s="110"/>
      <c r="AV273" s="110"/>
      <c r="AW273" s="110"/>
      <c r="AX273" s="110"/>
      <c r="BA273" s="109">
        <v>269</v>
      </c>
      <c r="BB273" s="14">
        <f t="shared" si="372"/>
        <v>27</v>
      </c>
      <c r="BC273" s="14">
        <f t="shared" si="378"/>
        <v>9</v>
      </c>
      <c r="BD273" s="14">
        <f t="shared" si="382"/>
        <v>1400</v>
      </c>
      <c r="BE273" s="14">
        <f t="shared" si="373"/>
        <v>6000</v>
      </c>
      <c r="BF273" s="14">
        <f t="shared" si="374"/>
        <v>15750</v>
      </c>
      <c r="BG273" s="14">
        <f t="shared" si="379"/>
        <v>52.92</v>
      </c>
      <c r="BH273" s="14">
        <f t="shared" si="380"/>
        <v>11052</v>
      </c>
      <c r="BK273" s="109">
        <v>269</v>
      </c>
      <c r="BL273" s="14">
        <f t="shared" si="381"/>
        <v>27</v>
      </c>
      <c r="BM273" s="14">
        <f t="shared" si="383"/>
        <v>9</v>
      </c>
      <c r="BN273" s="14">
        <f t="shared" si="375"/>
        <v>40800</v>
      </c>
      <c r="BO273" s="14">
        <f t="shared" si="376"/>
        <v>12000</v>
      </c>
      <c r="BP273" s="14">
        <f t="shared" si="377"/>
        <v>31500</v>
      </c>
    </row>
    <row r="274" spans="45:68" ht="16.5" x14ac:dyDescent="0.2">
      <c r="AS274" s="110"/>
      <c r="AT274" s="110"/>
      <c r="AU274" s="110"/>
      <c r="AV274" s="110"/>
      <c r="AW274" s="110"/>
      <c r="AX274" s="110"/>
      <c r="BA274" s="109">
        <v>270</v>
      </c>
      <c r="BB274" s="14">
        <f t="shared" si="372"/>
        <v>27</v>
      </c>
      <c r="BC274" s="14">
        <f t="shared" si="378"/>
        <v>10</v>
      </c>
      <c r="BD274" s="14">
        <f t="shared" si="382"/>
        <v>1400</v>
      </c>
      <c r="BE274" s="14">
        <f t="shared" si="373"/>
        <v>6000</v>
      </c>
      <c r="BF274" s="14">
        <f t="shared" si="374"/>
        <v>15750</v>
      </c>
      <c r="BG274" s="14">
        <f t="shared" si="379"/>
        <v>52.92</v>
      </c>
      <c r="BH274" s="14">
        <f t="shared" si="380"/>
        <v>11052</v>
      </c>
      <c r="BK274" s="109">
        <v>270</v>
      </c>
      <c r="BL274" s="14">
        <f t="shared" si="381"/>
        <v>27</v>
      </c>
      <c r="BM274" s="14">
        <f t="shared" si="383"/>
        <v>10</v>
      </c>
      <c r="BN274" s="14">
        <f t="shared" si="375"/>
        <v>40800</v>
      </c>
      <c r="BO274" s="14">
        <f t="shared" si="376"/>
        <v>12000</v>
      </c>
      <c r="BP274" s="14">
        <f t="shared" si="377"/>
        <v>31500</v>
      </c>
    </row>
    <row r="275" spans="45:68" ht="16.5" x14ac:dyDescent="0.2">
      <c r="AS275" s="110"/>
      <c r="AT275" s="110"/>
      <c r="AU275" s="110"/>
      <c r="AV275" s="110"/>
      <c r="AW275" s="110"/>
      <c r="AX275" s="110"/>
      <c r="BA275" s="109">
        <v>271</v>
      </c>
      <c r="BB275" s="14">
        <f t="shared" si="372"/>
        <v>28</v>
      </c>
      <c r="BC275" s="14">
        <f t="shared" si="378"/>
        <v>1</v>
      </c>
      <c r="BD275" s="14">
        <f t="shared" si="382"/>
        <v>1500</v>
      </c>
      <c r="BE275" s="14">
        <f t="shared" si="373"/>
        <v>6300</v>
      </c>
      <c r="BF275" s="14">
        <f t="shared" si="374"/>
        <v>16875</v>
      </c>
      <c r="BG275" s="14">
        <f t="shared" si="379"/>
        <v>60</v>
      </c>
      <c r="BH275" s="14">
        <f t="shared" si="380"/>
        <v>11060</v>
      </c>
      <c r="BK275" s="109">
        <v>271</v>
      </c>
      <c r="BL275" s="14">
        <f t="shared" si="381"/>
        <v>28</v>
      </c>
      <c r="BM275" s="14">
        <f t="shared" si="383"/>
        <v>1</v>
      </c>
      <c r="BN275" s="14">
        <f t="shared" si="375"/>
        <v>40800</v>
      </c>
      <c r="BO275" s="14">
        <f t="shared" si="376"/>
        <v>12600</v>
      </c>
      <c r="BP275" s="14">
        <f t="shared" si="377"/>
        <v>33750</v>
      </c>
    </row>
    <row r="276" spans="45:68" ht="16.5" x14ac:dyDescent="0.2">
      <c r="AS276" s="110"/>
      <c r="AT276" s="110"/>
      <c r="AU276" s="110"/>
      <c r="AV276" s="110"/>
      <c r="AW276" s="110"/>
      <c r="AX276" s="110"/>
      <c r="BA276" s="109">
        <v>272</v>
      </c>
      <c r="BB276" s="14">
        <f t="shared" si="372"/>
        <v>28</v>
      </c>
      <c r="BC276" s="14">
        <f t="shared" si="378"/>
        <v>2</v>
      </c>
      <c r="BD276" s="14">
        <f t="shared" si="382"/>
        <v>1500</v>
      </c>
      <c r="BE276" s="14">
        <f t="shared" si="373"/>
        <v>6300</v>
      </c>
      <c r="BF276" s="14">
        <f t="shared" si="374"/>
        <v>16875</v>
      </c>
      <c r="BG276" s="14">
        <f t="shared" si="379"/>
        <v>60</v>
      </c>
      <c r="BH276" s="14">
        <f t="shared" si="380"/>
        <v>11060</v>
      </c>
      <c r="BK276" s="109">
        <v>272</v>
      </c>
      <c r="BL276" s="14">
        <f t="shared" si="381"/>
        <v>28</v>
      </c>
      <c r="BM276" s="14">
        <f t="shared" si="383"/>
        <v>2</v>
      </c>
      <c r="BN276" s="14">
        <f t="shared" si="375"/>
        <v>40800</v>
      </c>
      <c r="BO276" s="14">
        <f t="shared" si="376"/>
        <v>12600</v>
      </c>
      <c r="BP276" s="14">
        <f t="shared" si="377"/>
        <v>33750</v>
      </c>
    </row>
    <row r="277" spans="45:68" ht="16.5" x14ac:dyDescent="0.2">
      <c r="AS277" s="110"/>
      <c r="AT277" s="110"/>
      <c r="AU277" s="110"/>
      <c r="AV277" s="110"/>
      <c r="AW277" s="110"/>
      <c r="AX277" s="110"/>
      <c r="BA277" s="109">
        <v>273</v>
      </c>
      <c r="BB277" s="14">
        <f t="shared" si="372"/>
        <v>28</v>
      </c>
      <c r="BC277" s="14">
        <f t="shared" si="378"/>
        <v>3</v>
      </c>
      <c r="BD277" s="14">
        <f t="shared" si="382"/>
        <v>1500</v>
      </c>
      <c r="BE277" s="14">
        <f t="shared" si="373"/>
        <v>6300</v>
      </c>
      <c r="BF277" s="14">
        <f t="shared" si="374"/>
        <v>16875</v>
      </c>
      <c r="BG277" s="14">
        <f t="shared" si="379"/>
        <v>60</v>
      </c>
      <c r="BH277" s="14">
        <f t="shared" si="380"/>
        <v>11060</v>
      </c>
      <c r="BK277" s="109">
        <v>273</v>
      </c>
      <c r="BL277" s="14">
        <f t="shared" si="381"/>
        <v>28</v>
      </c>
      <c r="BM277" s="14">
        <f t="shared" si="383"/>
        <v>3</v>
      </c>
      <c r="BN277" s="14">
        <f t="shared" si="375"/>
        <v>40800</v>
      </c>
      <c r="BO277" s="14">
        <f t="shared" si="376"/>
        <v>12600</v>
      </c>
      <c r="BP277" s="14">
        <f t="shared" si="377"/>
        <v>33750</v>
      </c>
    </row>
    <row r="278" spans="45:68" ht="16.5" x14ac:dyDescent="0.2">
      <c r="AS278" s="110"/>
      <c r="AT278" s="110"/>
      <c r="AU278" s="110"/>
      <c r="AV278" s="110"/>
      <c r="AW278" s="110"/>
      <c r="AX278" s="110"/>
      <c r="BA278" s="109">
        <v>274</v>
      </c>
      <c r="BB278" s="14">
        <f t="shared" si="372"/>
        <v>28</v>
      </c>
      <c r="BC278" s="14">
        <f t="shared" si="378"/>
        <v>4</v>
      </c>
      <c r="BD278" s="14">
        <f t="shared" si="382"/>
        <v>1500</v>
      </c>
      <c r="BE278" s="14">
        <f t="shared" si="373"/>
        <v>6300</v>
      </c>
      <c r="BF278" s="14">
        <f t="shared" si="374"/>
        <v>16875</v>
      </c>
      <c r="BG278" s="14">
        <f t="shared" si="379"/>
        <v>60</v>
      </c>
      <c r="BH278" s="14">
        <f t="shared" si="380"/>
        <v>11060</v>
      </c>
      <c r="BK278" s="109">
        <v>274</v>
      </c>
      <c r="BL278" s="14">
        <f t="shared" si="381"/>
        <v>28</v>
      </c>
      <c r="BM278" s="14">
        <f t="shared" si="383"/>
        <v>4</v>
      </c>
      <c r="BN278" s="14">
        <f t="shared" si="375"/>
        <v>40800</v>
      </c>
      <c r="BO278" s="14">
        <f t="shared" si="376"/>
        <v>12600</v>
      </c>
      <c r="BP278" s="14">
        <f t="shared" si="377"/>
        <v>33750</v>
      </c>
    </row>
    <row r="279" spans="45:68" ht="16.5" x14ac:dyDescent="0.2">
      <c r="AS279" s="110"/>
      <c r="AT279" s="110"/>
      <c r="AU279" s="110"/>
      <c r="AV279" s="110"/>
      <c r="AW279" s="110"/>
      <c r="AX279" s="110"/>
      <c r="BA279" s="109">
        <v>275</v>
      </c>
      <c r="BB279" s="14">
        <f t="shared" si="372"/>
        <v>28</v>
      </c>
      <c r="BC279" s="14">
        <f t="shared" si="378"/>
        <v>5</v>
      </c>
      <c r="BD279" s="14">
        <f t="shared" si="382"/>
        <v>1500</v>
      </c>
      <c r="BE279" s="14">
        <f t="shared" si="373"/>
        <v>6300</v>
      </c>
      <c r="BF279" s="14">
        <f t="shared" si="374"/>
        <v>16875</v>
      </c>
      <c r="BG279" s="14">
        <f t="shared" si="379"/>
        <v>60</v>
      </c>
      <c r="BH279" s="14">
        <f t="shared" si="380"/>
        <v>11060</v>
      </c>
      <c r="BK279" s="109">
        <v>275</v>
      </c>
      <c r="BL279" s="14">
        <f t="shared" si="381"/>
        <v>28</v>
      </c>
      <c r="BM279" s="14">
        <f t="shared" si="383"/>
        <v>5</v>
      </c>
      <c r="BN279" s="14">
        <f t="shared" si="375"/>
        <v>40800</v>
      </c>
      <c r="BO279" s="14">
        <f t="shared" si="376"/>
        <v>12600</v>
      </c>
      <c r="BP279" s="14">
        <f t="shared" si="377"/>
        <v>33750</v>
      </c>
    </row>
    <row r="280" spans="45:68" ht="16.5" x14ac:dyDescent="0.2">
      <c r="AS280" s="110"/>
      <c r="AT280" s="110"/>
      <c r="AU280" s="110"/>
      <c r="AV280" s="110"/>
      <c r="AW280" s="110"/>
      <c r="AX280" s="110"/>
      <c r="BA280" s="109">
        <v>276</v>
      </c>
      <c r="BB280" s="14">
        <f t="shared" si="372"/>
        <v>28</v>
      </c>
      <c r="BC280" s="14">
        <f t="shared" si="378"/>
        <v>6</v>
      </c>
      <c r="BD280" s="14">
        <f t="shared" si="382"/>
        <v>1500</v>
      </c>
      <c r="BE280" s="14">
        <f t="shared" si="373"/>
        <v>6300</v>
      </c>
      <c r="BF280" s="14">
        <f t="shared" si="374"/>
        <v>16875</v>
      </c>
      <c r="BG280" s="14">
        <f t="shared" si="379"/>
        <v>60</v>
      </c>
      <c r="BH280" s="14">
        <f t="shared" si="380"/>
        <v>11060</v>
      </c>
      <c r="BK280" s="109">
        <v>276</v>
      </c>
      <c r="BL280" s="14">
        <f t="shared" si="381"/>
        <v>28</v>
      </c>
      <c r="BM280" s="14">
        <f t="shared" si="383"/>
        <v>6</v>
      </c>
      <c r="BN280" s="14">
        <f t="shared" si="375"/>
        <v>40800</v>
      </c>
      <c r="BO280" s="14">
        <f t="shared" si="376"/>
        <v>12600</v>
      </c>
      <c r="BP280" s="14">
        <f t="shared" si="377"/>
        <v>33750</v>
      </c>
    </row>
    <row r="281" spans="45:68" ht="16.5" x14ac:dyDescent="0.2">
      <c r="AS281" s="110"/>
      <c r="AT281" s="110"/>
      <c r="AU281" s="110"/>
      <c r="AV281" s="110"/>
      <c r="AW281" s="110"/>
      <c r="AX281" s="110"/>
      <c r="BA281" s="109">
        <v>277</v>
      </c>
      <c r="BB281" s="14">
        <f t="shared" si="372"/>
        <v>28</v>
      </c>
      <c r="BC281" s="14">
        <f t="shared" si="378"/>
        <v>7</v>
      </c>
      <c r="BD281" s="14">
        <f t="shared" si="382"/>
        <v>1500</v>
      </c>
      <c r="BE281" s="14">
        <f t="shared" si="373"/>
        <v>6300</v>
      </c>
      <c r="BF281" s="14">
        <f t="shared" si="374"/>
        <v>16875</v>
      </c>
      <c r="BG281" s="14">
        <f t="shared" si="379"/>
        <v>60</v>
      </c>
      <c r="BH281" s="14">
        <f t="shared" si="380"/>
        <v>11060</v>
      </c>
      <c r="BK281" s="109">
        <v>277</v>
      </c>
      <c r="BL281" s="14">
        <f t="shared" si="381"/>
        <v>28</v>
      </c>
      <c r="BM281" s="14">
        <f t="shared" si="383"/>
        <v>7</v>
      </c>
      <c r="BN281" s="14">
        <f t="shared" si="375"/>
        <v>40800</v>
      </c>
      <c r="BO281" s="14">
        <f t="shared" si="376"/>
        <v>12600</v>
      </c>
      <c r="BP281" s="14">
        <f t="shared" si="377"/>
        <v>33750</v>
      </c>
    </row>
    <row r="282" spans="45:68" ht="16.5" x14ac:dyDescent="0.2">
      <c r="AS282" s="110"/>
      <c r="AT282" s="110"/>
      <c r="AU282" s="110"/>
      <c r="AV282" s="110"/>
      <c r="AW282" s="110"/>
      <c r="AX282" s="110"/>
      <c r="BA282" s="109">
        <v>278</v>
      </c>
      <c r="BB282" s="14">
        <f t="shared" si="372"/>
        <v>28</v>
      </c>
      <c r="BC282" s="14">
        <f t="shared" si="378"/>
        <v>8</v>
      </c>
      <c r="BD282" s="14">
        <f t="shared" si="382"/>
        <v>1500</v>
      </c>
      <c r="BE282" s="14">
        <f t="shared" si="373"/>
        <v>6300</v>
      </c>
      <c r="BF282" s="14">
        <f t="shared" si="374"/>
        <v>16875</v>
      </c>
      <c r="BG282" s="14">
        <f t="shared" si="379"/>
        <v>60</v>
      </c>
      <c r="BH282" s="14">
        <f t="shared" si="380"/>
        <v>11060</v>
      </c>
      <c r="BK282" s="109">
        <v>278</v>
      </c>
      <c r="BL282" s="14">
        <f t="shared" si="381"/>
        <v>28</v>
      </c>
      <c r="BM282" s="14">
        <f t="shared" si="383"/>
        <v>8</v>
      </c>
      <c r="BN282" s="14">
        <f t="shared" si="375"/>
        <v>40800</v>
      </c>
      <c r="BO282" s="14">
        <f t="shared" si="376"/>
        <v>12600</v>
      </c>
      <c r="BP282" s="14">
        <f t="shared" si="377"/>
        <v>33750</v>
      </c>
    </row>
    <row r="283" spans="45:68" ht="16.5" x14ac:dyDescent="0.2">
      <c r="AS283" s="110"/>
      <c r="AT283" s="110"/>
      <c r="AU283" s="110"/>
      <c r="AV283" s="110"/>
      <c r="AW283" s="110"/>
      <c r="AX283" s="110"/>
      <c r="BA283" s="109">
        <v>279</v>
      </c>
      <c r="BB283" s="14">
        <f t="shared" si="372"/>
        <v>28</v>
      </c>
      <c r="BC283" s="14">
        <f t="shared" si="378"/>
        <v>9</v>
      </c>
      <c r="BD283" s="14">
        <f t="shared" si="382"/>
        <v>1500</v>
      </c>
      <c r="BE283" s="14">
        <f t="shared" si="373"/>
        <v>6300</v>
      </c>
      <c r="BF283" s="14">
        <f t="shared" si="374"/>
        <v>16875</v>
      </c>
      <c r="BG283" s="14">
        <f t="shared" si="379"/>
        <v>60</v>
      </c>
      <c r="BH283" s="14">
        <f t="shared" si="380"/>
        <v>11060</v>
      </c>
      <c r="BK283" s="109">
        <v>279</v>
      </c>
      <c r="BL283" s="14">
        <f t="shared" si="381"/>
        <v>28</v>
      </c>
      <c r="BM283" s="14">
        <f t="shared" si="383"/>
        <v>9</v>
      </c>
      <c r="BN283" s="14">
        <f t="shared" si="375"/>
        <v>40800</v>
      </c>
      <c r="BO283" s="14">
        <f t="shared" si="376"/>
        <v>12600</v>
      </c>
      <c r="BP283" s="14">
        <f t="shared" si="377"/>
        <v>33750</v>
      </c>
    </row>
    <row r="284" spans="45:68" ht="16.5" x14ac:dyDescent="0.2">
      <c r="AS284" s="110"/>
      <c r="AT284" s="110"/>
      <c r="AU284" s="110"/>
      <c r="AV284" s="110"/>
      <c r="AW284" s="110"/>
      <c r="AX284" s="110"/>
      <c r="BA284" s="109">
        <v>280</v>
      </c>
      <c r="BB284" s="14">
        <f t="shared" si="372"/>
        <v>28</v>
      </c>
      <c r="BC284" s="14">
        <f t="shared" si="378"/>
        <v>10</v>
      </c>
      <c r="BD284" s="14">
        <f t="shared" si="382"/>
        <v>1500</v>
      </c>
      <c r="BE284" s="14">
        <f t="shared" si="373"/>
        <v>6300</v>
      </c>
      <c r="BF284" s="14">
        <f t="shared" si="374"/>
        <v>16875</v>
      </c>
      <c r="BG284" s="14">
        <f t="shared" si="379"/>
        <v>60</v>
      </c>
      <c r="BH284" s="14">
        <f t="shared" si="380"/>
        <v>11060</v>
      </c>
      <c r="BK284" s="109">
        <v>280</v>
      </c>
      <c r="BL284" s="14">
        <f t="shared" si="381"/>
        <v>28</v>
      </c>
      <c r="BM284" s="14">
        <f t="shared" si="383"/>
        <v>10</v>
      </c>
      <c r="BN284" s="14">
        <f t="shared" si="375"/>
        <v>40800</v>
      </c>
      <c r="BO284" s="14">
        <f t="shared" si="376"/>
        <v>12600</v>
      </c>
      <c r="BP284" s="14">
        <f t="shared" si="377"/>
        <v>33750</v>
      </c>
    </row>
    <row r="285" spans="45:68" ht="16.5" x14ac:dyDescent="0.2">
      <c r="AS285" s="110"/>
      <c r="AT285" s="110"/>
      <c r="AU285" s="110"/>
      <c r="AV285" s="110"/>
      <c r="AW285" s="110"/>
      <c r="AX285" s="110"/>
      <c r="BA285" s="109">
        <v>281</v>
      </c>
      <c r="BB285" s="14">
        <f t="shared" si="372"/>
        <v>29</v>
      </c>
      <c r="BC285" s="14">
        <f t="shared" si="378"/>
        <v>1</v>
      </c>
      <c r="BD285" s="14">
        <f t="shared" si="382"/>
        <v>1600</v>
      </c>
      <c r="BE285" s="14">
        <f t="shared" si="373"/>
        <v>6600</v>
      </c>
      <c r="BF285" s="14">
        <f t="shared" si="374"/>
        <v>18000</v>
      </c>
      <c r="BG285" s="14" t="e">
        <f t="shared" si="379"/>
        <v>#REF!</v>
      </c>
      <c r="BH285" s="14" t="e">
        <f t="shared" si="380"/>
        <v>#REF!</v>
      </c>
      <c r="BK285" s="109">
        <v>281</v>
      </c>
      <c r="BL285" s="14">
        <f t="shared" si="381"/>
        <v>29</v>
      </c>
      <c r="BM285" s="14">
        <f t="shared" si="383"/>
        <v>1</v>
      </c>
      <c r="BN285" s="14">
        <f t="shared" si="375"/>
        <v>44880</v>
      </c>
      <c r="BO285" s="14">
        <f t="shared" si="376"/>
        <v>13200</v>
      </c>
      <c r="BP285" s="14">
        <f t="shared" si="377"/>
        <v>36000</v>
      </c>
    </row>
    <row r="286" spans="45:68" ht="16.5" x14ac:dyDescent="0.2">
      <c r="AS286" s="110"/>
      <c r="AT286" s="110"/>
      <c r="AU286" s="110"/>
      <c r="AV286" s="110"/>
      <c r="AW286" s="110"/>
      <c r="AX286" s="110"/>
      <c r="BA286" s="109">
        <v>282</v>
      </c>
      <c r="BB286" s="14">
        <f t="shared" si="372"/>
        <v>29</v>
      </c>
      <c r="BC286" s="14">
        <f t="shared" si="378"/>
        <v>2</v>
      </c>
      <c r="BD286" s="14">
        <f t="shared" si="382"/>
        <v>1600</v>
      </c>
      <c r="BE286" s="14">
        <f t="shared" si="373"/>
        <v>6600</v>
      </c>
      <c r="BF286" s="14">
        <f t="shared" si="374"/>
        <v>18000</v>
      </c>
      <c r="BG286" s="14" t="e">
        <f t="shared" si="379"/>
        <v>#REF!</v>
      </c>
      <c r="BH286" s="14" t="e">
        <f t="shared" si="380"/>
        <v>#REF!</v>
      </c>
      <c r="BK286" s="109">
        <v>282</v>
      </c>
      <c r="BL286" s="14">
        <f t="shared" si="381"/>
        <v>29</v>
      </c>
      <c r="BM286" s="14">
        <f t="shared" si="383"/>
        <v>2</v>
      </c>
      <c r="BN286" s="14">
        <f t="shared" si="375"/>
        <v>44880</v>
      </c>
      <c r="BO286" s="14">
        <f t="shared" si="376"/>
        <v>13200</v>
      </c>
      <c r="BP286" s="14">
        <f t="shared" si="377"/>
        <v>36000</v>
      </c>
    </row>
    <row r="287" spans="45:68" ht="16.5" x14ac:dyDescent="0.2">
      <c r="BA287" s="109">
        <v>283</v>
      </c>
      <c r="BB287" s="14">
        <f t="shared" si="372"/>
        <v>29</v>
      </c>
      <c r="BC287" s="14">
        <f t="shared" si="378"/>
        <v>3</v>
      </c>
      <c r="BD287" s="14">
        <f t="shared" si="382"/>
        <v>1600</v>
      </c>
      <c r="BE287" s="14">
        <f t="shared" si="373"/>
        <v>6600</v>
      </c>
      <c r="BF287" s="14">
        <f t="shared" si="374"/>
        <v>18000</v>
      </c>
      <c r="BG287" s="14" t="e">
        <f t="shared" si="379"/>
        <v>#REF!</v>
      </c>
      <c r="BH287" s="14" t="e">
        <f t="shared" si="380"/>
        <v>#REF!</v>
      </c>
      <c r="BK287" s="109">
        <v>283</v>
      </c>
      <c r="BL287" s="14">
        <f t="shared" si="381"/>
        <v>29</v>
      </c>
      <c r="BM287" s="14">
        <f t="shared" si="383"/>
        <v>3</v>
      </c>
      <c r="BN287" s="14">
        <f t="shared" si="375"/>
        <v>44880</v>
      </c>
      <c r="BO287" s="14">
        <f t="shared" si="376"/>
        <v>13200</v>
      </c>
      <c r="BP287" s="14">
        <f t="shared" si="377"/>
        <v>36000</v>
      </c>
    </row>
    <row r="288" spans="45:68" ht="16.5" x14ac:dyDescent="0.2">
      <c r="BA288" s="109">
        <v>284</v>
      </c>
      <c r="BB288" s="14">
        <f t="shared" si="372"/>
        <v>29</v>
      </c>
      <c r="BC288" s="14">
        <f t="shared" si="378"/>
        <v>4</v>
      </c>
      <c r="BD288" s="14">
        <f t="shared" si="382"/>
        <v>1600</v>
      </c>
      <c r="BE288" s="14">
        <f t="shared" si="373"/>
        <v>6600</v>
      </c>
      <c r="BF288" s="14">
        <f t="shared" si="374"/>
        <v>18000</v>
      </c>
      <c r="BG288" s="14" t="e">
        <f t="shared" si="379"/>
        <v>#REF!</v>
      </c>
      <c r="BH288" s="14" t="e">
        <f t="shared" si="380"/>
        <v>#REF!</v>
      </c>
      <c r="BK288" s="109">
        <v>284</v>
      </c>
      <c r="BL288" s="14">
        <f t="shared" si="381"/>
        <v>29</v>
      </c>
      <c r="BM288" s="14">
        <f t="shared" si="383"/>
        <v>4</v>
      </c>
      <c r="BN288" s="14">
        <f t="shared" si="375"/>
        <v>44880</v>
      </c>
      <c r="BO288" s="14">
        <f t="shared" si="376"/>
        <v>13200</v>
      </c>
      <c r="BP288" s="14">
        <f t="shared" si="377"/>
        <v>36000</v>
      </c>
    </row>
    <row r="289" spans="53:68" ht="16.5" x14ac:dyDescent="0.2">
      <c r="BA289" s="109">
        <v>285</v>
      </c>
      <c r="BB289" s="14">
        <f t="shared" si="372"/>
        <v>29</v>
      </c>
      <c r="BC289" s="14">
        <f t="shared" si="378"/>
        <v>5</v>
      </c>
      <c r="BD289" s="14">
        <f t="shared" si="382"/>
        <v>1600</v>
      </c>
      <c r="BE289" s="14">
        <f t="shared" si="373"/>
        <v>6600</v>
      </c>
      <c r="BF289" s="14">
        <f t="shared" si="374"/>
        <v>18000</v>
      </c>
      <c r="BG289" s="14" t="e">
        <f t="shared" si="379"/>
        <v>#REF!</v>
      </c>
      <c r="BH289" s="14" t="e">
        <f t="shared" si="380"/>
        <v>#REF!</v>
      </c>
      <c r="BK289" s="109">
        <v>285</v>
      </c>
      <c r="BL289" s="14">
        <f t="shared" si="381"/>
        <v>29</v>
      </c>
      <c r="BM289" s="14">
        <f t="shared" si="383"/>
        <v>5</v>
      </c>
      <c r="BN289" s="14">
        <f t="shared" si="375"/>
        <v>44880</v>
      </c>
      <c r="BO289" s="14">
        <f t="shared" si="376"/>
        <v>13200</v>
      </c>
      <c r="BP289" s="14">
        <f t="shared" si="377"/>
        <v>36000</v>
      </c>
    </row>
    <row r="290" spans="53:68" ht="16.5" x14ac:dyDescent="0.2">
      <c r="BA290" s="109">
        <v>286</v>
      </c>
      <c r="BB290" s="14">
        <f t="shared" si="372"/>
        <v>29</v>
      </c>
      <c r="BC290" s="14">
        <f t="shared" si="378"/>
        <v>6</v>
      </c>
      <c r="BD290" s="14">
        <f t="shared" si="382"/>
        <v>1600</v>
      </c>
      <c r="BE290" s="14">
        <f t="shared" si="373"/>
        <v>6600</v>
      </c>
      <c r="BF290" s="14">
        <f t="shared" si="374"/>
        <v>18000</v>
      </c>
      <c r="BG290" s="14" t="e">
        <f t="shared" si="379"/>
        <v>#REF!</v>
      </c>
      <c r="BH290" s="14" t="e">
        <f t="shared" si="380"/>
        <v>#REF!</v>
      </c>
      <c r="BK290" s="109">
        <v>286</v>
      </c>
      <c r="BL290" s="14">
        <f t="shared" si="381"/>
        <v>29</v>
      </c>
      <c r="BM290" s="14">
        <f t="shared" si="383"/>
        <v>6</v>
      </c>
      <c r="BN290" s="14">
        <f t="shared" si="375"/>
        <v>44880</v>
      </c>
      <c r="BO290" s="14">
        <f t="shared" si="376"/>
        <v>13200</v>
      </c>
      <c r="BP290" s="14">
        <f t="shared" si="377"/>
        <v>36000</v>
      </c>
    </row>
    <row r="291" spans="53:68" ht="16.5" x14ac:dyDescent="0.2">
      <c r="BA291" s="109">
        <v>287</v>
      </c>
      <c r="BB291" s="14">
        <f t="shared" si="372"/>
        <v>29</v>
      </c>
      <c r="BC291" s="14">
        <f t="shared" si="378"/>
        <v>7</v>
      </c>
      <c r="BD291" s="14">
        <f t="shared" si="382"/>
        <v>1600</v>
      </c>
      <c r="BE291" s="14">
        <f t="shared" si="373"/>
        <v>6600</v>
      </c>
      <c r="BF291" s="14">
        <f t="shared" si="374"/>
        <v>18000</v>
      </c>
      <c r="BG291" s="14" t="e">
        <f t="shared" si="379"/>
        <v>#REF!</v>
      </c>
      <c r="BH291" s="14" t="e">
        <f t="shared" si="380"/>
        <v>#REF!</v>
      </c>
      <c r="BK291" s="109">
        <v>287</v>
      </c>
      <c r="BL291" s="14">
        <f t="shared" si="381"/>
        <v>29</v>
      </c>
      <c r="BM291" s="14">
        <f t="shared" si="383"/>
        <v>7</v>
      </c>
      <c r="BN291" s="14">
        <f t="shared" si="375"/>
        <v>44880</v>
      </c>
      <c r="BO291" s="14">
        <f t="shared" si="376"/>
        <v>13200</v>
      </c>
      <c r="BP291" s="14">
        <f t="shared" si="377"/>
        <v>36000</v>
      </c>
    </row>
    <row r="292" spans="53:68" ht="16.5" x14ac:dyDescent="0.2">
      <c r="BA292" s="109">
        <v>288</v>
      </c>
      <c r="BB292" s="14">
        <f t="shared" si="372"/>
        <v>29</v>
      </c>
      <c r="BC292" s="14">
        <f t="shared" si="378"/>
        <v>8</v>
      </c>
      <c r="BD292" s="14">
        <f t="shared" si="382"/>
        <v>1600</v>
      </c>
      <c r="BE292" s="14">
        <f t="shared" si="373"/>
        <v>6600</v>
      </c>
      <c r="BF292" s="14">
        <f t="shared" si="374"/>
        <v>18000</v>
      </c>
      <c r="BG292" s="14" t="e">
        <f t="shared" si="379"/>
        <v>#REF!</v>
      </c>
      <c r="BH292" s="14" t="e">
        <f t="shared" si="380"/>
        <v>#REF!</v>
      </c>
      <c r="BK292" s="109">
        <v>288</v>
      </c>
      <c r="BL292" s="14">
        <f t="shared" si="381"/>
        <v>29</v>
      </c>
      <c r="BM292" s="14">
        <f t="shared" si="383"/>
        <v>8</v>
      </c>
      <c r="BN292" s="14">
        <f t="shared" si="375"/>
        <v>44880</v>
      </c>
      <c r="BO292" s="14">
        <f t="shared" si="376"/>
        <v>13200</v>
      </c>
      <c r="BP292" s="14">
        <f t="shared" si="377"/>
        <v>36000</v>
      </c>
    </row>
    <row r="293" spans="53:68" ht="16.5" x14ac:dyDescent="0.2">
      <c r="BA293" s="109">
        <v>289</v>
      </c>
      <c r="BB293" s="14">
        <f t="shared" si="372"/>
        <v>29</v>
      </c>
      <c r="BC293" s="14">
        <f t="shared" si="378"/>
        <v>9</v>
      </c>
      <c r="BD293" s="14">
        <f t="shared" si="382"/>
        <v>1600</v>
      </c>
      <c r="BE293" s="14">
        <f t="shared" si="373"/>
        <v>6600</v>
      </c>
      <c r="BF293" s="14">
        <f t="shared" si="374"/>
        <v>18000</v>
      </c>
      <c r="BG293" s="14" t="e">
        <f t="shared" si="379"/>
        <v>#REF!</v>
      </c>
      <c r="BH293" s="14" t="e">
        <f t="shared" si="380"/>
        <v>#REF!</v>
      </c>
      <c r="BK293" s="109">
        <v>289</v>
      </c>
      <c r="BL293" s="14">
        <f t="shared" si="381"/>
        <v>29</v>
      </c>
      <c r="BM293" s="14">
        <f t="shared" si="383"/>
        <v>9</v>
      </c>
      <c r="BN293" s="14">
        <f t="shared" si="375"/>
        <v>44880</v>
      </c>
      <c r="BO293" s="14">
        <f t="shared" si="376"/>
        <v>13200</v>
      </c>
      <c r="BP293" s="14">
        <f t="shared" si="377"/>
        <v>36000</v>
      </c>
    </row>
    <row r="294" spans="53:68" ht="16.5" x14ac:dyDescent="0.2">
      <c r="BA294" s="109">
        <v>290</v>
      </c>
      <c r="BB294" s="14">
        <f t="shared" si="372"/>
        <v>29</v>
      </c>
      <c r="BC294" s="14">
        <f t="shared" si="378"/>
        <v>10</v>
      </c>
      <c r="BD294" s="14">
        <f t="shared" si="382"/>
        <v>1600</v>
      </c>
      <c r="BE294" s="14">
        <f t="shared" si="373"/>
        <v>6600</v>
      </c>
      <c r="BF294" s="14">
        <f t="shared" si="374"/>
        <v>18000</v>
      </c>
      <c r="BG294" s="14" t="e">
        <f t="shared" si="379"/>
        <v>#REF!</v>
      </c>
      <c r="BH294" s="14" t="e">
        <f t="shared" si="380"/>
        <v>#REF!</v>
      </c>
      <c r="BK294" s="109">
        <v>290</v>
      </c>
      <c r="BL294" s="14">
        <f t="shared" si="381"/>
        <v>29</v>
      </c>
      <c r="BM294" s="14">
        <f t="shared" si="383"/>
        <v>10</v>
      </c>
      <c r="BN294" s="14">
        <f t="shared" si="375"/>
        <v>44880</v>
      </c>
      <c r="BO294" s="14">
        <f t="shared" si="376"/>
        <v>13200</v>
      </c>
      <c r="BP294" s="14">
        <f t="shared" si="377"/>
        <v>36000</v>
      </c>
    </row>
    <row r="295" spans="53:68" ht="16.5" x14ac:dyDescent="0.2">
      <c r="BA295" s="109">
        <v>291</v>
      </c>
      <c r="BB295" s="14">
        <f t="shared" si="372"/>
        <v>30</v>
      </c>
      <c r="BC295" s="14">
        <f t="shared" si="378"/>
        <v>1</v>
      </c>
      <c r="BD295" s="14">
        <f t="shared" si="382"/>
        <v>1600</v>
      </c>
      <c r="BE295" s="14">
        <f t="shared" si="373"/>
        <v>6600</v>
      </c>
      <c r="BF295" s="14">
        <f t="shared" si="374"/>
        <v>21600</v>
      </c>
      <c r="BG295" s="14" t="e">
        <f t="shared" si="379"/>
        <v>#REF!</v>
      </c>
      <c r="BH295" s="14" t="e">
        <f t="shared" si="380"/>
        <v>#REF!</v>
      </c>
      <c r="BK295" s="109">
        <v>291</v>
      </c>
      <c r="BL295" s="14">
        <f t="shared" si="381"/>
        <v>30</v>
      </c>
      <c r="BM295" s="14">
        <f t="shared" si="383"/>
        <v>1</v>
      </c>
      <c r="BN295" s="14">
        <f t="shared" si="375"/>
        <v>49368</v>
      </c>
      <c r="BO295" s="14">
        <f t="shared" si="376"/>
        <v>13200</v>
      </c>
      <c r="BP295" s="14">
        <f t="shared" si="377"/>
        <v>43200</v>
      </c>
    </row>
    <row r="296" spans="53:68" ht="16.5" x14ac:dyDescent="0.2">
      <c r="BA296" s="109">
        <v>292</v>
      </c>
      <c r="BB296" s="14">
        <f t="shared" si="372"/>
        <v>30</v>
      </c>
      <c r="BC296" s="14">
        <f t="shared" si="378"/>
        <v>2</v>
      </c>
      <c r="BD296" s="14">
        <f t="shared" si="382"/>
        <v>1600</v>
      </c>
      <c r="BE296" s="14">
        <f t="shared" si="373"/>
        <v>6600</v>
      </c>
      <c r="BF296" s="14">
        <f t="shared" si="374"/>
        <v>21600</v>
      </c>
      <c r="BG296" s="14" t="e">
        <f t="shared" si="379"/>
        <v>#REF!</v>
      </c>
      <c r="BH296" s="14" t="e">
        <f t="shared" si="380"/>
        <v>#REF!</v>
      </c>
      <c r="BK296" s="109">
        <v>292</v>
      </c>
      <c r="BL296" s="14">
        <f t="shared" si="381"/>
        <v>30</v>
      </c>
      <c r="BM296" s="14">
        <f t="shared" si="383"/>
        <v>2</v>
      </c>
      <c r="BN296" s="14">
        <f t="shared" si="375"/>
        <v>49368</v>
      </c>
      <c r="BO296" s="14">
        <f t="shared" si="376"/>
        <v>13200</v>
      </c>
      <c r="BP296" s="14">
        <f t="shared" si="377"/>
        <v>43200</v>
      </c>
    </row>
    <row r="297" spans="53:68" ht="16.5" x14ac:dyDescent="0.2">
      <c r="BA297" s="109">
        <v>293</v>
      </c>
      <c r="BB297" s="14">
        <f t="shared" si="372"/>
        <v>30</v>
      </c>
      <c r="BC297" s="14">
        <f t="shared" si="378"/>
        <v>3</v>
      </c>
      <c r="BD297" s="14">
        <f t="shared" si="382"/>
        <v>1600</v>
      </c>
      <c r="BE297" s="14">
        <f t="shared" si="373"/>
        <v>6600</v>
      </c>
      <c r="BF297" s="14">
        <f t="shared" si="374"/>
        <v>21600</v>
      </c>
      <c r="BG297" s="14" t="e">
        <f t="shared" si="379"/>
        <v>#REF!</v>
      </c>
      <c r="BH297" s="14" t="e">
        <f t="shared" si="380"/>
        <v>#REF!</v>
      </c>
      <c r="BK297" s="109">
        <v>293</v>
      </c>
      <c r="BL297" s="14">
        <f t="shared" si="381"/>
        <v>30</v>
      </c>
      <c r="BM297" s="14">
        <f t="shared" si="383"/>
        <v>3</v>
      </c>
      <c r="BN297" s="14">
        <f t="shared" si="375"/>
        <v>49368</v>
      </c>
      <c r="BO297" s="14">
        <f t="shared" si="376"/>
        <v>13200</v>
      </c>
      <c r="BP297" s="14">
        <f t="shared" si="377"/>
        <v>43200</v>
      </c>
    </row>
    <row r="298" spans="53:68" ht="16.5" x14ac:dyDescent="0.2">
      <c r="BA298" s="109">
        <v>294</v>
      </c>
      <c r="BB298" s="14">
        <f t="shared" si="372"/>
        <v>30</v>
      </c>
      <c r="BC298" s="14">
        <f t="shared" si="378"/>
        <v>4</v>
      </c>
      <c r="BD298" s="14">
        <f t="shared" si="382"/>
        <v>1600</v>
      </c>
      <c r="BE298" s="14">
        <f t="shared" si="373"/>
        <v>6600</v>
      </c>
      <c r="BF298" s="14">
        <f t="shared" si="374"/>
        <v>21600</v>
      </c>
      <c r="BG298" s="14" t="e">
        <f t="shared" si="379"/>
        <v>#REF!</v>
      </c>
      <c r="BH298" s="14" t="e">
        <f t="shared" si="380"/>
        <v>#REF!</v>
      </c>
      <c r="BK298" s="109">
        <v>294</v>
      </c>
      <c r="BL298" s="14">
        <f t="shared" si="381"/>
        <v>30</v>
      </c>
      <c r="BM298" s="14">
        <f t="shared" si="383"/>
        <v>4</v>
      </c>
      <c r="BN298" s="14">
        <f t="shared" si="375"/>
        <v>49368</v>
      </c>
      <c r="BO298" s="14">
        <f t="shared" si="376"/>
        <v>13200</v>
      </c>
      <c r="BP298" s="14">
        <f t="shared" si="377"/>
        <v>43200</v>
      </c>
    </row>
    <row r="299" spans="53:68" ht="16.5" x14ac:dyDescent="0.2">
      <c r="BA299" s="109">
        <v>295</v>
      </c>
      <c r="BB299" s="14">
        <f t="shared" si="372"/>
        <v>30</v>
      </c>
      <c r="BC299" s="14">
        <f t="shared" si="378"/>
        <v>5</v>
      </c>
      <c r="BD299" s="14">
        <f t="shared" si="382"/>
        <v>1600</v>
      </c>
      <c r="BE299" s="14">
        <f t="shared" si="373"/>
        <v>6600</v>
      </c>
      <c r="BF299" s="14">
        <f t="shared" si="374"/>
        <v>21600</v>
      </c>
      <c r="BG299" s="14" t="e">
        <f t="shared" si="379"/>
        <v>#REF!</v>
      </c>
      <c r="BH299" s="14" t="e">
        <f t="shared" si="380"/>
        <v>#REF!</v>
      </c>
      <c r="BK299" s="109">
        <v>295</v>
      </c>
      <c r="BL299" s="14">
        <f t="shared" si="381"/>
        <v>30</v>
      </c>
      <c r="BM299" s="14">
        <f t="shared" si="383"/>
        <v>5</v>
      </c>
      <c r="BN299" s="14">
        <f t="shared" si="375"/>
        <v>49368</v>
      </c>
      <c r="BO299" s="14">
        <f t="shared" si="376"/>
        <v>13200</v>
      </c>
      <c r="BP299" s="14">
        <f t="shared" si="377"/>
        <v>43200</v>
      </c>
    </row>
    <row r="300" spans="53:68" ht="16.5" x14ac:dyDescent="0.2">
      <c r="BA300" s="109">
        <v>296</v>
      </c>
      <c r="BB300" s="14">
        <f t="shared" si="372"/>
        <v>30</v>
      </c>
      <c r="BC300" s="14">
        <f t="shared" si="378"/>
        <v>6</v>
      </c>
      <c r="BD300" s="14">
        <f t="shared" si="382"/>
        <v>1600</v>
      </c>
      <c r="BE300" s="14">
        <f t="shared" si="373"/>
        <v>6600</v>
      </c>
      <c r="BF300" s="14">
        <f t="shared" si="374"/>
        <v>21600</v>
      </c>
      <c r="BG300" s="14" t="e">
        <f t="shared" si="379"/>
        <v>#REF!</v>
      </c>
      <c r="BH300" s="14" t="e">
        <f t="shared" si="380"/>
        <v>#REF!</v>
      </c>
      <c r="BK300" s="109">
        <v>296</v>
      </c>
      <c r="BL300" s="14">
        <f t="shared" si="381"/>
        <v>30</v>
      </c>
      <c r="BM300" s="14">
        <f t="shared" si="383"/>
        <v>6</v>
      </c>
      <c r="BN300" s="14">
        <f t="shared" si="375"/>
        <v>49368</v>
      </c>
      <c r="BO300" s="14">
        <f t="shared" si="376"/>
        <v>13200</v>
      </c>
      <c r="BP300" s="14">
        <f t="shared" si="377"/>
        <v>43200</v>
      </c>
    </row>
    <row r="301" spans="53:68" ht="16.5" x14ac:dyDescent="0.2">
      <c r="BA301" s="109">
        <v>297</v>
      </c>
      <c r="BB301" s="14">
        <f t="shared" si="372"/>
        <v>30</v>
      </c>
      <c r="BC301" s="14">
        <f t="shared" si="378"/>
        <v>7</v>
      </c>
      <c r="BD301" s="14">
        <f t="shared" si="382"/>
        <v>1600</v>
      </c>
      <c r="BE301" s="14">
        <f t="shared" si="373"/>
        <v>6600</v>
      </c>
      <c r="BF301" s="14">
        <f t="shared" si="374"/>
        <v>21600</v>
      </c>
      <c r="BG301" s="14" t="e">
        <f t="shared" si="379"/>
        <v>#REF!</v>
      </c>
      <c r="BH301" s="14" t="e">
        <f t="shared" si="380"/>
        <v>#REF!</v>
      </c>
      <c r="BK301" s="109">
        <v>297</v>
      </c>
      <c r="BL301" s="14">
        <f t="shared" si="381"/>
        <v>30</v>
      </c>
      <c r="BM301" s="14">
        <f t="shared" si="383"/>
        <v>7</v>
      </c>
      <c r="BN301" s="14">
        <f t="shared" si="375"/>
        <v>49368</v>
      </c>
      <c r="BO301" s="14">
        <f t="shared" si="376"/>
        <v>13200</v>
      </c>
      <c r="BP301" s="14">
        <f t="shared" si="377"/>
        <v>43200</v>
      </c>
    </row>
    <row r="302" spans="53:68" ht="16.5" x14ac:dyDescent="0.2">
      <c r="BA302" s="109">
        <v>298</v>
      </c>
      <c r="BB302" s="14">
        <f t="shared" si="372"/>
        <v>30</v>
      </c>
      <c r="BC302" s="14">
        <f t="shared" si="378"/>
        <v>8</v>
      </c>
      <c r="BD302" s="14">
        <f t="shared" si="382"/>
        <v>1600</v>
      </c>
      <c r="BE302" s="14">
        <f t="shared" si="373"/>
        <v>6600</v>
      </c>
      <c r="BF302" s="14">
        <f t="shared" si="374"/>
        <v>21600</v>
      </c>
      <c r="BG302" s="14" t="e">
        <f t="shared" si="379"/>
        <v>#REF!</v>
      </c>
      <c r="BH302" s="14" t="e">
        <f t="shared" si="380"/>
        <v>#REF!</v>
      </c>
      <c r="BK302" s="109">
        <v>298</v>
      </c>
      <c r="BL302" s="14">
        <f t="shared" si="381"/>
        <v>30</v>
      </c>
      <c r="BM302" s="14">
        <f t="shared" si="383"/>
        <v>8</v>
      </c>
      <c r="BN302" s="14">
        <f t="shared" si="375"/>
        <v>49368</v>
      </c>
      <c r="BO302" s="14">
        <f t="shared" si="376"/>
        <v>13200</v>
      </c>
      <c r="BP302" s="14">
        <f t="shared" si="377"/>
        <v>43200</v>
      </c>
    </row>
    <row r="303" spans="53:68" ht="16.5" x14ac:dyDescent="0.2">
      <c r="BA303" s="109">
        <v>299</v>
      </c>
      <c r="BB303" s="14">
        <f t="shared" si="372"/>
        <v>30</v>
      </c>
      <c r="BC303" s="14">
        <f t="shared" si="378"/>
        <v>9</v>
      </c>
      <c r="BD303" s="14">
        <f t="shared" si="382"/>
        <v>1600</v>
      </c>
      <c r="BE303" s="14">
        <f t="shared" si="373"/>
        <v>6600</v>
      </c>
      <c r="BF303" s="14">
        <f t="shared" si="374"/>
        <v>21600</v>
      </c>
      <c r="BG303" s="14" t="e">
        <f t="shared" si="379"/>
        <v>#REF!</v>
      </c>
      <c r="BH303" s="14" t="e">
        <f t="shared" si="380"/>
        <v>#REF!</v>
      </c>
      <c r="BK303" s="109">
        <v>299</v>
      </c>
      <c r="BL303" s="14">
        <f t="shared" si="381"/>
        <v>30</v>
      </c>
      <c r="BM303" s="14">
        <f t="shared" si="383"/>
        <v>9</v>
      </c>
      <c r="BN303" s="14">
        <f t="shared" si="375"/>
        <v>49368</v>
      </c>
      <c r="BO303" s="14">
        <f t="shared" si="376"/>
        <v>13200</v>
      </c>
      <c r="BP303" s="14">
        <f t="shared" si="377"/>
        <v>43200</v>
      </c>
    </row>
    <row r="304" spans="53:68" ht="16.5" x14ac:dyDescent="0.2">
      <c r="BA304" s="109">
        <v>300</v>
      </c>
      <c r="BB304" s="14">
        <f t="shared" si="372"/>
        <v>30</v>
      </c>
      <c r="BC304" s="14">
        <f t="shared" si="378"/>
        <v>10</v>
      </c>
      <c r="BD304" s="14">
        <f t="shared" si="382"/>
        <v>1600</v>
      </c>
      <c r="BE304" s="14">
        <f t="shared" si="373"/>
        <v>6600</v>
      </c>
      <c r="BF304" s="14">
        <f t="shared" si="374"/>
        <v>21600</v>
      </c>
      <c r="BG304" s="14" t="e">
        <f t="shared" si="379"/>
        <v>#REF!</v>
      </c>
      <c r="BH304" s="14" t="e">
        <f t="shared" si="380"/>
        <v>#REF!</v>
      </c>
      <c r="BK304" s="109">
        <v>300</v>
      </c>
      <c r="BL304" s="14">
        <f t="shared" si="381"/>
        <v>30</v>
      </c>
      <c r="BM304" s="14">
        <f t="shared" si="383"/>
        <v>10</v>
      </c>
      <c r="BN304" s="14">
        <f t="shared" si="375"/>
        <v>49368</v>
      </c>
      <c r="BO304" s="14">
        <f t="shared" si="376"/>
        <v>13200</v>
      </c>
      <c r="BP304" s="14">
        <f t="shared" si="377"/>
        <v>43200</v>
      </c>
    </row>
  </sheetData>
  <mergeCells count="10">
    <mergeCell ref="EI3:FC3"/>
    <mergeCell ref="DJ3:ED3"/>
    <mergeCell ref="BK3:BP3"/>
    <mergeCell ref="AS3:AX3"/>
    <mergeCell ref="A3:M3"/>
    <mergeCell ref="AC3:AP3"/>
    <mergeCell ref="O3:Z3"/>
    <mergeCell ref="BS3:CL3"/>
    <mergeCell ref="CO3:DG3"/>
    <mergeCell ref="BA3:BG3"/>
  </mergeCells>
  <phoneticPr fontId="2" type="noConversion"/>
  <pageMargins left="0.7" right="0.7" top="0.75" bottom="0.75" header="0.3" footer="0.3"/>
  <pageSetup paperSize="9" orientation="portrait" horizontalDpi="4294967295" verticalDpi="4294967295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G389"/>
  <sheetViews>
    <sheetView zoomScaleNormal="100" workbookViewId="0">
      <selection activeCell="AB27" sqref="AB27"/>
    </sheetView>
  </sheetViews>
  <sheetFormatPr defaultRowHeight="14.25" x14ac:dyDescent="0.2"/>
  <cols>
    <col min="1" max="3" width="10.625" customWidth="1"/>
    <col min="13" max="13" width="14.125" customWidth="1"/>
    <col min="14" max="14" width="10.375" customWidth="1"/>
    <col min="15" max="15" width="14" customWidth="1"/>
    <col min="16" max="16" width="10" customWidth="1"/>
    <col min="19" max="19" width="12.875" customWidth="1"/>
    <col min="20" max="20" width="11.125" customWidth="1"/>
    <col min="22" max="22" width="9" style="132"/>
    <col min="24" max="25" width="9" style="132"/>
    <col min="27" max="27" width="11.5" customWidth="1"/>
  </cols>
  <sheetData>
    <row r="2" spans="1:33" ht="20.25" x14ac:dyDescent="0.2">
      <c r="B2" s="135"/>
      <c r="C2" s="135"/>
      <c r="D2" s="233" t="s">
        <v>61</v>
      </c>
      <c r="E2" s="233"/>
      <c r="F2" s="233"/>
      <c r="G2" s="233"/>
      <c r="H2" s="233"/>
      <c r="I2" s="233"/>
      <c r="J2" s="233"/>
      <c r="K2" s="233"/>
      <c r="L2" s="233"/>
      <c r="M2" s="233"/>
      <c r="N2" s="233"/>
      <c r="O2" s="233"/>
      <c r="P2" s="233"/>
      <c r="Q2" s="233"/>
      <c r="R2" s="233"/>
      <c r="S2" s="233"/>
      <c r="T2" s="233"/>
    </row>
    <row r="3" spans="1:33" x14ac:dyDescent="0.2">
      <c r="R3">
        <f>SUM(R5:R13)</f>
        <v>18</v>
      </c>
    </row>
    <row r="4" spans="1:33" ht="17.25" x14ac:dyDescent="0.2">
      <c r="A4" s="12" t="s">
        <v>34</v>
      </c>
      <c r="B4" s="12" t="s">
        <v>35</v>
      </c>
      <c r="M4" s="68" t="s">
        <v>114</v>
      </c>
      <c r="N4" s="67">
        <v>1</v>
      </c>
      <c r="O4" s="68" t="s">
        <v>114</v>
      </c>
      <c r="P4" s="67">
        <v>0</v>
      </c>
      <c r="R4" s="12" t="s">
        <v>43</v>
      </c>
      <c r="S4" s="12" t="s">
        <v>41</v>
      </c>
      <c r="T4" s="12" t="s">
        <v>42</v>
      </c>
      <c r="W4" s="12" t="s">
        <v>1062</v>
      </c>
      <c r="X4" s="12" t="s">
        <v>1063</v>
      </c>
      <c r="AA4" s="12" t="s">
        <v>437</v>
      </c>
      <c r="AB4" s="12" t="s">
        <v>438</v>
      </c>
      <c r="AC4" s="12" t="s">
        <v>433</v>
      </c>
      <c r="AD4" s="12" t="s">
        <v>432</v>
      </c>
      <c r="AE4" s="12" t="s">
        <v>434</v>
      </c>
      <c r="AF4" s="12" t="s">
        <v>435</v>
      </c>
      <c r="AG4" s="12" t="s">
        <v>436</v>
      </c>
    </row>
    <row r="5" spans="1:33" ht="16.5" customHeight="1" x14ac:dyDescent="0.2">
      <c r="A5" s="17">
        <v>1</v>
      </c>
      <c r="B5" s="159">
        <v>50</v>
      </c>
      <c r="D5" s="235" t="s">
        <v>1054</v>
      </c>
      <c r="E5" s="235"/>
      <c r="F5" s="235"/>
      <c r="G5" s="235"/>
      <c r="M5" s="130" t="s">
        <v>1056</v>
      </c>
      <c r="N5" s="14">
        <f>SUMIFS(章节关卡!$BD$5:$BD$304,章节关卡!$BB$5:$BB$304,"="&amp;经验计算!N4)</f>
        <v>625</v>
      </c>
      <c r="O5" s="68" t="s">
        <v>1055</v>
      </c>
      <c r="P5" s="14">
        <f>SUMIFS(章节关卡!$BN$5:$BN$304,章节关卡!$BL$5:$BL$304,"="&amp;经验计算!P4)</f>
        <v>0</v>
      </c>
      <c r="R5" s="17">
        <v>1</v>
      </c>
      <c r="S5" s="20">
        <f>R5/R$3</f>
        <v>5.5555555555555552E-2</v>
      </c>
      <c r="T5" s="14">
        <f>INT($N$13*S5/5)*5</f>
        <v>30</v>
      </c>
      <c r="W5" s="129">
        <v>1</v>
      </c>
      <c r="X5" s="14">
        <f t="shared" ref="X5:X36" si="0">INDEX(B:B,MATCH(W5,A:A))</f>
        <v>50</v>
      </c>
      <c r="AA5" s="67">
        <v>4</v>
      </c>
      <c r="AB5" s="67">
        <v>0.05</v>
      </c>
      <c r="AC5" s="67">
        <v>1</v>
      </c>
      <c r="AD5" s="67">
        <v>0</v>
      </c>
      <c r="AE5" s="67"/>
      <c r="AF5" s="67"/>
      <c r="AG5" s="67"/>
    </row>
    <row r="6" spans="1:33" ht="16.5" x14ac:dyDescent="0.2">
      <c r="A6" s="17">
        <v>2</v>
      </c>
      <c r="B6" s="159">
        <v>55</v>
      </c>
      <c r="D6" s="235"/>
      <c r="E6" s="235"/>
      <c r="F6" s="235"/>
      <c r="G6" s="235"/>
      <c r="M6" s="68" t="s">
        <v>115</v>
      </c>
      <c r="N6" s="14">
        <f>SUMIFS(芦花古楼!$E$5:$E$104,芦花古楼!$A$5:$A$104,"&gt;"&amp;经验计算!O6,芦花古楼!$A$5:$A$104,"&lt;="&amp;经验计算!P6)</f>
        <v>0</v>
      </c>
      <c r="O6" s="67">
        <v>0</v>
      </c>
      <c r="P6" s="67">
        <v>0</v>
      </c>
      <c r="R6" s="17">
        <v>1.25</v>
      </c>
      <c r="S6" s="20">
        <f t="shared" ref="S6:S10" si="1">R6/R$3</f>
        <v>6.9444444444444448E-2</v>
      </c>
      <c r="T6" s="14">
        <f t="shared" ref="T6:T10" si="2">INT($N$13*S6/5)*5</f>
        <v>40</v>
      </c>
      <c r="W6" s="129">
        <v>2</v>
      </c>
      <c r="X6" s="14">
        <f t="shared" si="0"/>
        <v>55</v>
      </c>
      <c r="AA6" s="67">
        <v>12</v>
      </c>
      <c r="AB6" s="67">
        <v>0.25</v>
      </c>
      <c r="AC6" s="67">
        <v>2</v>
      </c>
      <c r="AD6" s="67">
        <v>0</v>
      </c>
      <c r="AE6" s="67"/>
      <c r="AF6" s="67"/>
      <c r="AG6" s="67"/>
    </row>
    <row r="7" spans="1:33" ht="16.5" x14ac:dyDescent="0.2">
      <c r="A7" s="17">
        <v>3</v>
      </c>
      <c r="B7" s="159">
        <v>60</v>
      </c>
      <c r="D7" s="235"/>
      <c r="E7" s="235"/>
      <c r="F7" s="235"/>
      <c r="G7" s="235"/>
      <c r="M7" s="68" t="s">
        <v>117</v>
      </c>
      <c r="N7" s="14">
        <f>SUMIFS(芦花古楼!$P$5:$P$104,芦花古楼!$L$5:$L$104,"&gt;"&amp;经验计算!O7,芦花古楼!$L$5:$L$104,"&lt;="&amp;经验计算!P7)</f>
        <v>0</v>
      </c>
      <c r="O7" s="67">
        <v>0</v>
      </c>
      <c r="P7" s="69">
        <v>0</v>
      </c>
      <c r="R7" s="17">
        <v>1.5</v>
      </c>
      <c r="S7" s="20">
        <f t="shared" si="1"/>
        <v>8.3333333333333329E-2</v>
      </c>
      <c r="T7" s="14">
        <f t="shared" si="2"/>
        <v>50</v>
      </c>
      <c r="W7" s="129">
        <v>3</v>
      </c>
      <c r="X7" s="14">
        <f t="shared" si="0"/>
        <v>60</v>
      </c>
      <c r="AA7" s="67">
        <v>20</v>
      </c>
      <c r="AB7" s="67">
        <v>0.6</v>
      </c>
      <c r="AC7" s="67">
        <v>3</v>
      </c>
      <c r="AD7" s="67">
        <v>5</v>
      </c>
      <c r="AE7" s="67"/>
      <c r="AF7" s="67"/>
      <c r="AG7" s="67"/>
    </row>
    <row r="8" spans="1:33" ht="16.5" x14ac:dyDescent="0.2">
      <c r="A8" s="17">
        <v>4</v>
      </c>
      <c r="B8" s="159">
        <v>65</v>
      </c>
      <c r="D8" s="235"/>
      <c r="E8" s="235"/>
      <c r="F8" s="235"/>
      <c r="G8" s="235"/>
      <c r="M8" s="68" t="s">
        <v>116</v>
      </c>
      <c r="N8" s="14">
        <f>SUMIFS(芦花古楼!$AA$5:$AA$104,芦花古楼!$W$5:$W$104,"&gt;"&amp;经验计算!O8,芦花古楼!$W$5:$W$104,"&lt;="&amp;经验计算!P8)</f>
        <v>0</v>
      </c>
      <c r="O8" s="67">
        <v>0</v>
      </c>
      <c r="P8" s="69">
        <v>0</v>
      </c>
      <c r="R8" s="17">
        <v>1.75</v>
      </c>
      <c r="S8" s="20">
        <f t="shared" si="1"/>
        <v>9.7222222222222224E-2</v>
      </c>
      <c r="T8" s="14">
        <f t="shared" si="2"/>
        <v>60</v>
      </c>
      <c r="W8" s="129">
        <v>4</v>
      </c>
      <c r="X8" s="14">
        <f t="shared" si="0"/>
        <v>65</v>
      </c>
      <c r="AA8" s="67">
        <v>28</v>
      </c>
      <c r="AB8" s="67">
        <v>1</v>
      </c>
      <c r="AC8" s="67">
        <v>4</v>
      </c>
      <c r="AD8" s="67">
        <v>10</v>
      </c>
      <c r="AE8" s="67">
        <v>5</v>
      </c>
      <c r="AF8" s="67"/>
      <c r="AG8" s="67"/>
    </row>
    <row r="9" spans="1:33" ht="16.5" x14ac:dyDescent="0.2">
      <c r="A9" s="17">
        <v>5</v>
      </c>
      <c r="B9" s="159">
        <v>70</v>
      </c>
      <c r="D9" s="235"/>
      <c r="E9" s="235"/>
      <c r="F9" s="235"/>
      <c r="G9" s="235"/>
      <c r="M9" s="68" t="s">
        <v>118</v>
      </c>
      <c r="N9" s="14">
        <f>SUMIFS(芦花古楼!$AL$5:$AL$104,芦花古楼!$AH$5:$AH$104,"&gt;"&amp;经验计算!O9,芦花古楼!$AH$5:$AH$104,"&lt;="&amp;经验计算!P9)</f>
        <v>0</v>
      </c>
      <c r="O9" s="67">
        <v>0</v>
      </c>
      <c r="P9" s="69">
        <v>0</v>
      </c>
      <c r="R9" s="17">
        <v>2</v>
      </c>
      <c r="S9" s="20">
        <f t="shared" si="1"/>
        <v>0.1111111111111111</v>
      </c>
      <c r="T9" s="14">
        <f t="shared" si="2"/>
        <v>65</v>
      </c>
      <c r="W9" s="129">
        <v>5</v>
      </c>
      <c r="X9" s="14">
        <f t="shared" si="0"/>
        <v>70</v>
      </c>
      <c r="AA9" s="67">
        <v>30</v>
      </c>
      <c r="AB9" s="67">
        <v>1.45</v>
      </c>
      <c r="AC9" s="67">
        <v>5</v>
      </c>
      <c r="AD9" s="67">
        <v>20</v>
      </c>
      <c r="AE9" s="67">
        <v>10</v>
      </c>
      <c r="AF9" s="67">
        <v>5</v>
      </c>
      <c r="AG9" s="67"/>
    </row>
    <row r="10" spans="1:33" ht="16.5" x14ac:dyDescent="0.2">
      <c r="A10" s="17">
        <v>6</v>
      </c>
      <c r="B10" s="159">
        <v>75</v>
      </c>
      <c r="D10" s="235"/>
      <c r="E10" s="235"/>
      <c r="F10" s="235"/>
      <c r="G10" s="235"/>
      <c r="M10" s="68" t="s">
        <v>47</v>
      </c>
      <c r="N10" s="14"/>
      <c r="O10" s="14">
        <f>日常任务!$D$2*经验计算!N10</f>
        <v>0</v>
      </c>
      <c r="R10" s="129">
        <v>2.25</v>
      </c>
      <c r="S10" s="20">
        <f t="shared" si="1"/>
        <v>0.125</v>
      </c>
      <c r="T10" s="14">
        <f t="shared" si="2"/>
        <v>75</v>
      </c>
      <c r="W10" s="129">
        <v>6</v>
      </c>
      <c r="X10" s="14">
        <f t="shared" si="0"/>
        <v>75</v>
      </c>
      <c r="AA10" s="67">
        <v>34</v>
      </c>
      <c r="AB10" s="67">
        <v>2</v>
      </c>
      <c r="AC10" s="67">
        <v>6</v>
      </c>
      <c r="AD10" s="67">
        <v>30</v>
      </c>
      <c r="AE10" s="67">
        <v>15</v>
      </c>
      <c r="AF10" s="67">
        <v>10</v>
      </c>
      <c r="AG10" s="67">
        <v>5</v>
      </c>
    </row>
    <row r="11" spans="1:33" ht="16.5" x14ac:dyDescent="0.2">
      <c r="A11" s="159">
        <v>7</v>
      </c>
      <c r="B11" s="159">
        <v>85</v>
      </c>
      <c r="D11" s="235"/>
      <c r="E11" s="235"/>
      <c r="F11" s="235"/>
      <c r="G11" s="235"/>
      <c r="M11" s="68" t="s">
        <v>44</v>
      </c>
      <c r="N11" s="14">
        <v>0</v>
      </c>
      <c r="O11" s="14">
        <f>INDEX(章节关卡!$G$6:$G$35,经验计算!N4)*经验计算!N11</f>
        <v>0</v>
      </c>
      <c r="R11" s="159">
        <v>2.5</v>
      </c>
      <c r="S11" s="20">
        <f t="shared" ref="S11:S13" si="3">R11/R$3</f>
        <v>0.1388888888888889</v>
      </c>
      <c r="T11" s="14">
        <f t="shared" ref="T11:T13" si="4">INT($N$13*S11/5)*5</f>
        <v>85</v>
      </c>
      <c r="W11" s="129">
        <v>7</v>
      </c>
      <c r="X11" s="14">
        <f t="shared" si="0"/>
        <v>85</v>
      </c>
      <c r="AA11" s="67">
        <v>36</v>
      </c>
      <c r="AB11" s="67">
        <v>2.6</v>
      </c>
      <c r="AC11" s="67">
        <v>7</v>
      </c>
      <c r="AD11" s="67">
        <v>40</v>
      </c>
      <c r="AE11" s="67">
        <v>20</v>
      </c>
      <c r="AF11" s="67">
        <v>15</v>
      </c>
      <c r="AG11" s="67">
        <v>10</v>
      </c>
    </row>
    <row r="12" spans="1:33" ht="16.5" x14ac:dyDescent="0.2">
      <c r="A12" s="159">
        <v>8</v>
      </c>
      <c r="B12" s="159">
        <v>95</v>
      </c>
      <c r="D12" s="235"/>
      <c r="E12" s="235"/>
      <c r="F12" s="235"/>
      <c r="G12" s="235"/>
      <c r="M12" s="68" t="s">
        <v>40</v>
      </c>
      <c r="N12" s="19">
        <v>0</v>
      </c>
      <c r="O12" s="14">
        <f>N13*N12</f>
        <v>0</v>
      </c>
      <c r="R12" s="159">
        <v>2.75</v>
      </c>
      <c r="S12" s="20">
        <f t="shared" si="3"/>
        <v>0.15277777777777779</v>
      </c>
      <c r="T12" s="14">
        <f t="shared" si="4"/>
        <v>95</v>
      </c>
      <c r="W12" s="129">
        <v>8</v>
      </c>
      <c r="X12" s="14">
        <f t="shared" si="0"/>
        <v>95</v>
      </c>
      <c r="AA12" s="67">
        <v>40</v>
      </c>
      <c r="AB12" s="67">
        <v>3.3</v>
      </c>
      <c r="AC12" s="67">
        <v>8</v>
      </c>
      <c r="AD12" s="67">
        <v>50</v>
      </c>
      <c r="AE12" s="67">
        <v>30</v>
      </c>
      <c r="AF12" s="67">
        <v>20</v>
      </c>
      <c r="AG12" s="67">
        <v>15</v>
      </c>
    </row>
    <row r="13" spans="1:33" ht="16.5" x14ac:dyDescent="0.2">
      <c r="A13" s="159">
        <v>9</v>
      </c>
      <c r="B13" s="159">
        <v>100</v>
      </c>
      <c r="D13" s="235"/>
      <c r="E13" s="235"/>
      <c r="F13" s="235"/>
      <c r="G13" s="235"/>
      <c r="M13" s="68" t="s">
        <v>39</v>
      </c>
      <c r="N13" s="14">
        <f>(N5+N6+N8+N7+N9+O10+O11+P5)/(1-N12)</f>
        <v>625</v>
      </c>
      <c r="O13" s="15"/>
      <c r="R13" s="159">
        <v>3</v>
      </c>
      <c r="S13" s="20">
        <f t="shared" si="3"/>
        <v>0.16666666666666666</v>
      </c>
      <c r="T13" s="14">
        <f t="shared" si="4"/>
        <v>100</v>
      </c>
      <c r="W13" s="129">
        <v>9</v>
      </c>
      <c r="X13" s="14">
        <f t="shared" si="0"/>
        <v>100</v>
      </c>
      <c r="AA13" s="67">
        <v>44</v>
      </c>
      <c r="AB13" s="67">
        <v>4.0999999999999996</v>
      </c>
      <c r="AC13" s="67">
        <v>9</v>
      </c>
      <c r="AD13" s="67">
        <v>60</v>
      </c>
      <c r="AE13" s="67">
        <v>40</v>
      </c>
      <c r="AF13" s="67">
        <v>25</v>
      </c>
      <c r="AG13" s="67">
        <v>20</v>
      </c>
    </row>
    <row r="14" spans="1:33" ht="16.5" x14ac:dyDescent="0.2">
      <c r="A14" s="161"/>
      <c r="B14" s="161"/>
      <c r="C14" s="15"/>
      <c r="D14" s="15"/>
      <c r="E14" s="15"/>
      <c r="F14" s="15"/>
      <c r="G14" s="15"/>
      <c r="H14" s="15"/>
      <c r="I14" s="15"/>
      <c r="J14" s="15"/>
      <c r="K14" s="15"/>
      <c r="L14" s="15"/>
      <c r="M14" s="15"/>
      <c r="N14" s="15"/>
      <c r="O14" s="15"/>
      <c r="Q14" s="15"/>
      <c r="R14" s="15"/>
      <c r="S14" s="15"/>
      <c r="T14" s="15"/>
      <c r="W14" s="129">
        <v>10</v>
      </c>
      <c r="X14" s="14">
        <f t="shared" si="0"/>
        <v>320</v>
      </c>
      <c r="AA14" s="67">
        <v>48</v>
      </c>
      <c r="AB14" s="67">
        <v>5</v>
      </c>
      <c r="AC14" s="67">
        <v>10</v>
      </c>
      <c r="AD14" s="67">
        <v>70</v>
      </c>
      <c r="AE14" s="67">
        <v>50</v>
      </c>
      <c r="AF14" s="67">
        <v>30</v>
      </c>
      <c r="AG14" s="67">
        <v>25</v>
      </c>
    </row>
    <row r="15" spans="1:33" ht="16.5" x14ac:dyDescent="0.2">
      <c r="A15" s="15"/>
      <c r="B15" s="15"/>
      <c r="C15" s="15"/>
      <c r="D15" s="15"/>
      <c r="E15" s="15"/>
      <c r="F15" s="15"/>
      <c r="G15" s="15"/>
      <c r="H15" s="15"/>
      <c r="I15" s="15"/>
      <c r="J15" s="15"/>
      <c r="K15" s="15"/>
      <c r="L15" s="15"/>
      <c r="M15" s="15"/>
      <c r="N15" s="15"/>
      <c r="O15" s="15"/>
      <c r="Q15" s="15"/>
      <c r="S15" s="15"/>
      <c r="T15" s="15"/>
      <c r="W15" s="129">
        <v>11</v>
      </c>
      <c r="X15" s="14">
        <f t="shared" si="0"/>
        <v>400</v>
      </c>
      <c r="AA15" s="67">
        <v>65</v>
      </c>
      <c r="AB15" s="67">
        <v>6.33</v>
      </c>
      <c r="AC15" s="67">
        <v>11</v>
      </c>
      <c r="AD15" s="67">
        <v>80</v>
      </c>
      <c r="AE15" s="67">
        <v>60</v>
      </c>
      <c r="AF15" s="67">
        <v>40</v>
      </c>
      <c r="AG15" s="67">
        <v>30</v>
      </c>
    </row>
    <row r="16" spans="1:33" ht="16.5" x14ac:dyDescent="0.2">
      <c r="A16" s="15"/>
      <c r="B16" s="15"/>
      <c r="C16" s="15"/>
      <c r="D16" s="15"/>
      <c r="E16" s="15"/>
      <c r="F16" s="15"/>
      <c r="G16" s="15"/>
      <c r="H16" s="15"/>
      <c r="I16" s="15"/>
      <c r="J16" s="15"/>
      <c r="K16" s="15"/>
      <c r="L16" s="15"/>
      <c r="M16" s="15"/>
      <c r="N16" s="15"/>
      <c r="O16" s="15"/>
      <c r="Q16" s="15"/>
      <c r="R16" s="15">
        <f>SUM(R18:R25)</f>
        <v>7.5</v>
      </c>
      <c r="S16" s="15"/>
      <c r="T16" s="15"/>
      <c r="W16" s="129">
        <v>12</v>
      </c>
      <c r="X16" s="14">
        <f t="shared" si="0"/>
        <v>480</v>
      </c>
      <c r="AA16" s="67">
        <v>80</v>
      </c>
      <c r="AB16" s="67">
        <v>8.0299999999999994</v>
      </c>
      <c r="AC16" s="67">
        <v>12</v>
      </c>
      <c r="AD16" s="67">
        <v>90</v>
      </c>
      <c r="AE16" s="67">
        <v>70</v>
      </c>
      <c r="AF16" s="67">
        <v>50</v>
      </c>
      <c r="AG16" s="67">
        <v>40</v>
      </c>
    </row>
    <row r="17" spans="1:33" ht="17.25" x14ac:dyDescent="0.2">
      <c r="A17" s="15"/>
      <c r="B17" s="15"/>
      <c r="C17" s="15"/>
      <c r="D17" s="15"/>
      <c r="E17" s="15"/>
      <c r="F17" s="15"/>
      <c r="G17" s="15"/>
      <c r="H17" s="15"/>
      <c r="I17" s="15"/>
      <c r="J17" s="15"/>
      <c r="K17" s="15"/>
      <c r="L17" s="15"/>
      <c r="M17" s="124" t="s">
        <v>111</v>
      </c>
      <c r="N17" s="123">
        <v>2</v>
      </c>
      <c r="O17" s="124" t="s">
        <v>111</v>
      </c>
      <c r="P17" s="123">
        <v>0</v>
      </c>
      <c r="Q17" s="15"/>
      <c r="R17" s="12" t="s">
        <v>43</v>
      </c>
      <c r="S17" s="12" t="s">
        <v>41</v>
      </c>
      <c r="T17" s="12" t="s">
        <v>42</v>
      </c>
      <c r="W17" s="129">
        <v>13</v>
      </c>
      <c r="X17" s="14">
        <f t="shared" si="0"/>
        <v>560</v>
      </c>
      <c r="AA17" s="67">
        <v>125</v>
      </c>
      <c r="AB17" s="67">
        <v>10.85</v>
      </c>
      <c r="AC17" s="67">
        <v>13</v>
      </c>
      <c r="AD17" s="67">
        <v>100</v>
      </c>
      <c r="AE17" s="67">
        <v>80</v>
      </c>
      <c r="AF17" s="67">
        <v>60</v>
      </c>
      <c r="AG17" s="67">
        <v>50</v>
      </c>
    </row>
    <row r="18" spans="1:33" ht="16.5" customHeight="1" x14ac:dyDescent="0.2">
      <c r="A18" s="17">
        <v>10</v>
      </c>
      <c r="B18" s="159">
        <v>320</v>
      </c>
      <c r="D18" s="235" t="s">
        <v>1053</v>
      </c>
      <c r="E18" s="235"/>
      <c r="F18" s="235"/>
      <c r="G18" s="235"/>
      <c r="M18" s="130" t="s">
        <v>1056</v>
      </c>
      <c r="N18" s="14">
        <f>SUMIFS(章节关卡!$BD$5:$BD$304,章节关卡!$BB$5:$BB$304,"="&amp;经验计算!N17)</f>
        <v>1200</v>
      </c>
      <c r="O18" s="130" t="s">
        <v>1055</v>
      </c>
      <c r="P18" s="14">
        <f>SUMIFS(章节关卡!$BN$5:$BN$304,章节关卡!$BL$5:$BL$304,"="&amp;经验计算!P17)</f>
        <v>0</v>
      </c>
      <c r="R18" s="17">
        <v>1</v>
      </c>
      <c r="S18" s="21">
        <f t="shared" ref="S18:S22" si="5">R18/$R$16</f>
        <v>0.13333333333333333</v>
      </c>
      <c r="T18" s="14">
        <f>INT($N$26*S18/5)*5</f>
        <v>320</v>
      </c>
      <c r="W18" s="129">
        <v>14</v>
      </c>
      <c r="X18" s="14">
        <f t="shared" si="0"/>
        <v>640</v>
      </c>
      <c r="AA18" s="67">
        <v>170</v>
      </c>
      <c r="AB18" s="67">
        <v>14.8</v>
      </c>
      <c r="AC18" s="67">
        <v>14</v>
      </c>
      <c r="AD18" s="67"/>
      <c r="AE18" s="67">
        <v>90</v>
      </c>
      <c r="AF18" s="67">
        <v>70</v>
      </c>
      <c r="AG18" s="67">
        <v>60</v>
      </c>
    </row>
    <row r="19" spans="1:33" ht="16.5" x14ac:dyDescent="0.2">
      <c r="A19" s="17">
        <v>11</v>
      </c>
      <c r="B19" s="159">
        <v>400</v>
      </c>
      <c r="D19" s="235"/>
      <c r="E19" s="235"/>
      <c r="F19" s="235"/>
      <c r="G19" s="235"/>
      <c r="M19" s="124" t="s">
        <v>115</v>
      </c>
      <c r="N19" s="14">
        <f>SUMIFS(芦花古楼!$E$5:$E$104,芦花古楼!$A$5:$A$104,"&gt;"&amp;经验计算!O19,芦花古楼!$A$5:$A$104,"&lt;="&amp;经验计算!P19)</f>
        <v>0</v>
      </c>
      <c r="O19" s="123">
        <v>0</v>
      </c>
      <c r="P19" s="123">
        <v>0</v>
      </c>
      <c r="R19" s="17">
        <v>1.25</v>
      </c>
      <c r="S19" s="21">
        <f t="shared" si="5"/>
        <v>0.16666666666666666</v>
      </c>
      <c r="T19" s="14">
        <f t="shared" ref="T19:T22" si="6">INT($N$26*S19/5)*5</f>
        <v>400</v>
      </c>
      <c r="W19" s="129">
        <v>15</v>
      </c>
      <c r="X19" s="14">
        <f t="shared" si="0"/>
        <v>780</v>
      </c>
      <c r="AA19" s="67">
        <v>220</v>
      </c>
      <c r="AB19" s="67">
        <v>20</v>
      </c>
      <c r="AC19" s="67">
        <v>15</v>
      </c>
      <c r="AD19" s="67"/>
      <c r="AE19" s="67">
        <v>100</v>
      </c>
      <c r="AF19" s="67">
        <v>80</v>
      </c>
      <c r="AG19" s="67">
        <v>70</v>
      </c>
    </row>
    <row r="20" spans="1:33" ht="16.5" x14ac:dyDescent="0.2">
      <c r="A20" s="159">
        <v>12</v>
      </c>
      <c r="B20" s="159">
        <v>480</v>
      </c>
      <c r="D20" s="235"/>
      <c r="E20" s="235"/>
      <c r="F20" s="235"/>
      <c r="G20" s="235"/>
      <c r="M20" s="124" t="s">
        <v>117</v>
      </c>
      <c r="N20" s="14">
        <f>SUMIFS(芦花古楼!$P$5:$P$104,芦花古楼!$L$5:$L$104,"&gt;"&amp;经验计算!O20,芦花古楼!$L$5:$L$104,"&lt;="&amp;经验计算!P20)</f>
        <v>0</v>
      </c>
      <c r="O20" s="123">
        <v>0</v>
      </c>
      <c r="P20" s="123">
        <v>0</v>
      </c>
      <c r="R20" s="129">
        <v>1.5</v>
      </c>
      <c r="S20" s="21">
        <f t="shared" si="5"/>
        <v>0.2</v>
      </c>
      <c r="T20" s="14">
        <f t="shared" si="6"/>
        <v>480</v>
      </c>
      <c r="W20" s="129">
        <v>16</v>
      </c>
      <c r="X20" s="14">
        <f t="shared" si="0"/>
        <v>820</v>
      </c>
      <c r="AA20" s="67">
        <v>300</v>
      </c>
      <c r="AB20" s="67">
        <v>27.2</v>
      </c>
      <c r="AC20" s="67">
        <v>16</v>
      </c>
      <c r="AD20" s="67"/>
      <c r="AE20" s="67"/>
      <c r="AF20" s="67">
        <v>90</v>
      </c>
      <c r="AG20" s="67">
        <v>80</v>
      </c>
    </row>
    <row r="21" spans="1:33" ht="16.5" x14ac:dyDescent="0.2">
      <c r="A21" s="159">
        <v>13</v>
      </c>
      <c r="B21" s="159">
        <v>560</v>
      </c>
      <c r="D21" s="235"/>
      <c r="E21" s="235"/>
      <c r="F21" s="235"/>
      <c r="G21" s="235"/>
      <c r="M21" s="124" t="s">
        <v>116</v>
      </c>
      <c r="N21" s="14">
        <f>SUMIFS(芦花古楼!$AA$5:$AA$104,芦花古楼!$W$5:$W$104,"&gt;"&amp;经验计算!O21,芦花古楼!$W$5:$W$104,"&lt;="&amp;经验计算!P21)</f>
        <v>0</v>
      </c>
      <c r="O21" s="123">
        <v>0</v>
      </c>
      <c r="P21" s="123">
        <v>0</v>
      </c>
      <c r="R21" s="129">
        <v>1.75</v>
      </c>
      <c r="S21" s="21">
        <f t="shared" si="5"/>
        <v>0.23333333333333334</v>
      </c>
      <c r="T21" s="14">
        <f t="shared" si="6"/>
        <v>560</v>
      </c>
      <c r="W21" s="129">
        <v>17</v>
      </c>
      <c r="X21" s="14">
        <f t="shared" si="0"/>
        <v>860</v>
      </c>
      <c r="AA21" s="67">
        <v>400</v>
      </c>
      <c r="AB21" s="67">
        <v>36.9</v>
      </c>
      <c r="AC21" s="67">
        <v>17</v>
      </c>
      <c r="AD21" s="67"/>
      <c r="AE21" s="67"/>
      <c r="AF21" s="67">
        <v>100</v>
      </c>
      <c r="AG21" s="67">
        <v>90</v>
      </c>
    </row>
    <row r="22" spans="1:33" ht="16.5" x14ac:dyDescent="0.2">
      <c r="A22" s="159">
        <v>14</v>
      </c>
      <c r="B22" s="159">
        <v>640</v>
      </c>
      <c r="D22" s="235"/>
      <c r="E22" s="235"/>
      <c r="F22" s="235"/>
      <c r="G22" s="235"/>
      <c r="M22" s="124" t="s">
        <v>118</v>
      </c>
      <c r="N22" s="14">
        <f>SUMIFS(芦花古楼!$AL$5:$AL$104,芦花古楼!$AH$5:$AH$104,"&gt;"&amp;经验计算!O22,芦花古楼!$AH$5:$AH$104,"&lt;="&amp;经验计算!P22)</f>
        <v>0</v>
      </c>
      <c r="O22" s="123">
        <v>0</v>
      </c>
      <c r="P22" s="123">
        <v>0</v>
      </c>
      <c r="R22" s="129">
        <v>2</v>
      </c>
      <c r="S22" s="21">
        <f t="shared" si="5"/>
        <v>0.26666666666666666</v>
      </c>
      <c r="T22" s="14">
        <f t="shared" si="6"/>
        <v>640</v>
      </c>
      <c r="W22" s="129">
        <v>18</v>
      </c>
      <c r="X22" s="14">
        <f t="shared" si="0"/>
        <v>900</v>
      </c>
      <c r="AA22" s="67">
        <v>550</v>
      </c>
      <c r="AB22" s="67">
        <v>50.35</v>
      </c>
      <c r="AC22" s="67">
        <v>18</v>
      </c>
      <c r="AD22" s="67"/>
      <c r="AE22" s="67"/>
      <c r="AF22" s="67"/>
      <c r="AG22" s="67">
        <v>100</v>
      </c>
    </row>
    <row r="23" spans="1:33" ht="16.5" x14ac:dyDescent="0.2">
      <c r="A23" s="161"/>
      <c r="B23" s="161"/>
      <c r="D23" s="235"/>
      <c r="E23" s="235"/>
      <c r="F23" s="235"/>
      <c r="G23" s="235"/>
      <c r="M23" s="124" t="s">
        <v>47</v>
      </c>
      <c r="N23" s="14"/>
      <c r="O23" s="14">
        <f>日常任务!$D$2*经验计算!N23</f>
        <v>0</v>
      </c>
      <c r="P23" s="126"/>
      <c r="R23" s="161"/>
      <c r="S23" s="161"/>
      <c r="T23" s="161"/>
      <c r="W23" s="129">
        <v>19</v>
      </c>
      <c r="X23" s="14">
        <f t="shared" si="0"/>
        <v>940</v>
      </c>
      <c r="AA23" s="67">
        <v>700</v>
      </c>
      <c r="AB23" s="67">
        <v>67.55</v>
      </c>
      <c r="AC23" s="67">
        <v>19</v>
      </c>
      <c r="AD23" s="67"/>
      <c r="AE23" s="67"/>
      <c r="AF23" s="67"/>
      <c r="AG23" s="67"/>
    </row>
    <row r="24" spans="1:33" ht="16.5" x14ac:dyDescent="0.2">
      <c r="A24" s="161"/>
      <c r="B24" s="161"/>
      <c r="C24" s="126"/>
      <c r="D24" s="126"/>
      <c r="E24" s="126"/>
      <c r="F24" s="126"/>
      <c r="G24" s="126"/>
      <c r="H24" s="126"/>
      <c r="I24" s="126"/>
      <c r="M24" s="124" t="s">
        <v>44</v>
      </c>
      <c r="N24" s="14">
        <f>INDEX(节奏总表!$N$5:$N$34,经验计算!N17)*60</f>
        <v>240</v>
      </c>
      <c r="O24" s="14">
        <f>INDEX(章节关卡!$G$6:$G$35,经验计算!N17-1)*经验计算!N24</f>
        <v>1200</v>
      </c>
      <c r="P24" s="126"/>
      <c r="R24" s="161"/>
      <c r="S24" s="161"/>
      <c r="T24" s="161"/>
      <c r="W24" s="129">
        <v>20</v>
      </c>
      <c r="X24" s="14">
        <f t="shared" si="0"/>
        <v>975</v>
      </c>
      <c r="AA24" s="67">
        <v>910</v>
      </c>
      <c r="AB24" s="67">
        <v>90</v>
      </c>
      <c r="AC24" s="67">
        <v>20</v>
      </c>
      <c r="AD24" s="67"/>
      <c r="AE24" s="67"/>
      <c r="AF24" s="67"/>
      <c r="AG24" s="67"/>
    </row>
    <row r="25" spans="1:33" ht="16.5" x14ac:dyDescent="0.2">
      <c r="A25" s="161"/>
      <c r="B25" s="161"/>
      <c r="C25" s="126"/>
      <c r="D25" s="126"/>
      <c r="E25" s="126"/>
      <c r="F25" s="126"/>
      <c r="G25" s="126"/>
      <c r="H25" s="126"/>
      <c r="I25" s="126"/>
      <c r="M25" s="124" t="s">
        <v>40</v>
      </c>
      <c r="N25" s="19">
        <v>0</v>
      </c>
      <c r="O25" s="14">
        <f>N26*N25</f>
        <v>0</v>
      </c>
      <c r="P25" s="126"/>
      <c r="R25" s="161"/>
      <c r="S25" s="161"/>
      <c r="T25" s="161"/>
      <c r="W25" s="129">
        <v>21</v>
      </c>
      <c r="X25" s="14">
        <f t="shared" si="0"/>
        <v>1015</v>
      </c>
    </row>
    <row r="26" spans="1:33" ht="16.5" x14ac:dyDescent="0.2">
      <c r="A26" s="125"/>
      <c r="B26" s="125"/>
      <c r="C26" s="126"/>
      <c r="D26" s="126"/>
      <c r="E26" s="126"/>
      <c r="F26" s="126"/>
      <c r="G26" s="126"/>
      <c r="H26" s="126"/>
      <c r="I26" s="126"/>
      <c r="M26" s="124" t="s">
        <v>39</v>
      </c>
      <c r="N26" s="14">
        <f>(N18+N19+N21+N20+N22+O23+O24+P18)/(1-N25)</f>
        <v>2400</v>
      </c>
      <c r="O26" s="125"/>
      <c r="P26" s="126"/>
      <c r="R26" s="131"/>
      <c r="S26" s="131"/>
      <c r="T26" s="131"/>
      <c r="W26" s="129">
        <v>22</v>
      </c>
      <c r="X26" s="14">
        <f t="shared" si="0"/>
        <v>1055</v>
      </c>
    </row>
    <row r="27" spans="1:33" ht="16.5" x14ac:dyDescent="0.2">
      <c r="A27" s="125"/>
      <c r="B27" s="125"/>
      <c r="C27" s="126"/>
      <c r="D27" s="126"/>
      <c r="E27" s="126"/>
      <c r="F27" s="126"/>
      <c r="G27" s="126"/>
      <c r="H27" s="126"/>
      <c r="I27" s="126"/>
      <c r="R27" s="131"/>
      <c r="S27" s="131"/>
      <c r="T27" s="131"/>
      <c r="W27" s="129">
        <v>23</v>
      </c>
      <c r="X27" s="14">
        <f t="shared" si="0"/>
        <v>1095</v>
      </c>
    </row>
    <row r="28" spans="1:33" ht="16.5" x14ac:dyDescent="0.2">
      <c r="A28" s="15"/>
      <c r="B28" s="15"/>
      <c r="C28" s="126"/>
      <c r="D28" s="126"/>
      <c r="E28" s="126"/>
      <c r="F28" s="126"/>
      <c r="G28" s="126"/>
      <c r="H28" s="126"/>
      <c r="I28" s="126"/>
      <c r="J28" s="15"/>
      <c r="K28" s="15"/>
      <c r="L28" s="15"/>
      <c r="M28" s="15"/>
      <c r="N28" s="15"/>
      <c r="O28" s="15"/>
      <c r="Q28" s="15"/>
      <c r="R28" s="15"/>
      <c r="S28" s="15"/>
      <c r="T28" s="15"/>
      <c r="W28" s="129">
        <v>24</v>
      </c>
      <c r="X28" s="14">
        <f t="shared" si="0"/>
        <v>1135</v>
      </c>
    </row>
    <row r="29" spans="1:33" ht="16.5" x14ac:dyDescent="0.2">
      <c r="A29" s="15"/>
      <c r="B29" s="15"/>
      <c r="C29" s="15"/>
      <c r="D29" s="15"/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Q29" s="15"/>
      <c r="R29" s="131">
        <f>SUM(R31:R40)</f>
        <v>12.25</v>
      </c>
      <c r="S29" s="15"/>
      <c r="T29" s="15"/>
      <c r="W29" s="129">
        <v>25</v>
      </c>
      <c r="X29" s="14">
        <f t="shared" si="0"/>
        <v>2425</v>
      </c>
    </row>
    <row r="30" spans="1:33" ht="17.25" x14ac:dyDescent="0.2">
      <c r="A30" s="15"/>
      <c r="B30" s="15"/>
      <c r="C30" s="15"/>
      <c r="D30" s="15"/>
      <c r="E30" s="15"/>
      <c r="F30" s="15"/>
      <c r="G30" s="15"/>
      <c r="H30" s="15"/>
      <c r="I30" s="15"/>
      <c r="J30" s="15"/>
      <c r="K30" s="15"/>
      <c r="L30" s="15"/>
      <c r="M30" s="124" t="s">
        <v>111</v>
      </c>
      <c r="N30" s="123">
        <v>3</v>
      </c>
      <c r="O30" s="124" t="s">
        <v>111</v>
      </c>
      <c r="P30" s="123">
        <v>1</v>
      </c>
      <c r="Q30" s="15"/>
      <c r="R30" s="12" t="s">
        <v>43</v>
      </c>
      <c r="S30" s="12" t="s">
        <v>41</v>
      </c>
      <c r="T30" s="12" t="s">
        <v>42</v>
      </c>
      <c r="W30" s="129">
        <v>26</v>
      </c>
      <c r="X30" s="14">
        <f t="shared" si="0"/>
        <v>2545</v>
      </c>
    </row>
    <row r="31" spans="1:33" ht="17.25" customHeight="1" x14ac:dyDescent="0.2">
      <c r="A31" s="17">
        <v>15</v>
      </c>
      <c r="B31" s="159">
        <v>780</v>
      </c>
      <c r="D31" s="236" t="s">
        <v>1052</v>
      </c>
      <c r="E31" s="237"/>
      <c r="F31" s="237"/>
      <c r="G31" s="238"/>
      <c r="M31" s="130" t="s">
        <v>1056</v>
      </c>
      <c r="N31" s="14">
        <f>SUMIFS(章节关卡!$BD$5:$BD$304,章节关卡!$BB$5:$BB$304,"="&amp;经验计算!N30)</f>
        <v>1400</v>
      </c>
      <c r="O31" s="130" t="s">
        <v>1055</v>
      </c>
      <c r="P31" s="14">
        <f>SUMIFS(章节关卡!$BN$5:$BN$304,章节关卡!$BL$5:$BL$304,"="&amp;经验计算!P30)</f>
        <v>1000</v>
      </c>
      <c r="R31" s="17">
        <v>1</v>
      </c>
      <c r="S31" s="21">
        <f>R31/R$29</f>
        <v>8.1632653061224483E-2</v>
      </c>
      <c r="T31" s="14">
        <f>INT($N$39*S31/5)*5</f>
        <v>780</v>
      </c>
      <c r="W31" s="129">
        <v>27</v>
      </c>
      <c r="X31" s="14">
        <f t="shared" si="0"/>
        <v>2665</v>
      </c>
    </row>
    <row r="32" spans="1:33" ht="16.5" x14ac:dyDescent="0.2">
      <c r="A32" s="17">
        <v>16</v>
      </c>
      <c r="B32" s="159">
        <v>820</v>
      </c>
      <c r="D32" s="239"/>
      <c r="E32" s="240"/>
      <c r="F32" s="240"/>
      <c r="G32" s="241"/>
      <c r="M32" s="124" t="s">
        <v>115</v>
      </c>
      <c r="N32" s="14">
        <f>SUMIFS(芦花古楼!$E$5:$E$104,芦花古楼!$A$5:$A$104,"&gt;"&amp;经验计算!O32,芦花古楼!$A$5:$A$104,"&lt;="&amp;经验计算!P32)</f>
        <v>0</v>
      </c>
      <c r="O32" s="123">
        <v>0</v>
      </c>
      <c r="P32" s="123">
        <v>0</v>
      </c>
      <c r="R32" s="17">
        <v>1.05</v>
      </c>
      <c r="S32" s="21">
        <f t="shared" ref="S32:S35" si="7">R32/R$29</f>
        <v>8.5714285714285715E-2</v>
      </c>
      <c r="T32" s="14">
        <f t="shared" ref="T32:T35" si="8">INT($N$39*S32/5)*5</f>
        <v>820</v>
      </c>
      <c r="W32" s="129">
        <v>28</v>
      </c>
      <c r="X32" s="14">
        <f t="shared" si="0"/>
        <v>2785</v>
      </c>
    </row>
    <row r="33" spans="1:24" ht="16.5" x14ac:dyDescent="0.2">
      <c r="A33" s="127">
        <v>17</v>
      </c>
      <c r="B33" s="159">
        <v>860</v>
      </c>
      <c r="D33" s="239"/>
      <c r="E33" s="240"/>
      <c r="F33" s="240"/>
      <c r="G33" s="241"/>
      <c r="M33" s="124" t="s">
        <v>117</v>
      </c>
      <c r="N33" s="14">
        <f>SUMIFS(芦花古楼!$P$5:$P$104,芦花古楼!$L$5:$L$104,"&gt;"&amp;经验计算!O33,芦花古楼!$L$5:$L$104,"&lt;="&amp;经验计算!P33)</f>
        <v>0</v>
      </c>
      <c r="O33" s="123">
        <v>0</v>
      </c>
      <c r="P33" s="123">
        <v>0</v>
      </c>
      <c r="R33" s="159">
        <v>1.1000000000000001</v>
      </c>
      <c r="S33" s="21">
        <f t="shared" si="7"/>
        <v>8.9795918367346947E-2</v>
      </c>
      <c r="T33" s="14">
        <f t="shared" si="8"/>
        <v>860</v>
      </c>
      <c r="W33" s="129">
        <v>29</v>
      </c>
      <c r="X33" s="14">
        <f t="shared" si="0"/>
        <v>2910</v>
      </c>
    </row>
    <row r="34" spans="1:24" ht="16.5" x14ac:dyDescent="0.2">
      <c r="A34" s="127">
        <v>18</v>
      </c>
      <c r="B34" s="159">
        <v>900</v>
      </c>
      <c r="D34" s="239"/>
      <c r="E34" s="240"/>
      <c r="F34" s="240"/>
      <c r="G34" s="241"/>
      <c r="M34" s="124" t="s">
        <v>116</v>
      </c>
      <c r="N34" s="14">
        <f>SUMIFS(芦花古楼!$AA$5:$AA$104,芦花古楼!$W$5:$W$104,"&gt;"&amp;经验计算!O34,芦花古楼!$W$5:$W$104,"&lt;="&amp;经验计算!P34)</f>
        <v>0</v>
      </c>
      <c r="O34" s="123">
        <v>0</v>
      </c>
      <c r="P34" s="123">
        <v>0</v>
      </c>
      <c r="R34" s="159">
        <v>1.1499999999999999</v>
      </c>
      <c r="S34" s="21">
        <f t="shared" si="7"/>
        <v>9.3877551020408151E-2</v>
      </c>
      <c r="T34" s="14">
        <f t="shared" si="8"/>
        <v>900</v>
      </c>
      <c r="W34" s="129">
        <v>30</v>
      </c>
      <c r="X34" s="14">
        <f t="shared" si="0"/>
        <v>2965</v>
      </c>
    </row>
    <row r="35" spans="1:24" ht="16.5" x14ac:dyDescent="0.2">
      <c r="A35" s="127">
        <v>19</v>
      </c>
      <c r="B35" s="159">
        <v>940</v>
      </c>
      <c r="D35" s="239"/>
      <c r="E35" s="240"/>
      <c r="F35" s="240"/>
      <c r="G35" s="241"/>
      <c r="M35" s="124" t="s">
        <v>118</v>
      </c>
      <c r="N35" s="14">
        <f>SUMIFS(芦花古楼!$AL$5:$AL$104,芦花古楼!$AH$5:$AH$104,"&gt;"&amp;经验计算!O35,芦花古楼!$AH$5:$AH$104,"&lt;="&amp;经验计算!P35)</f>
        <v>0</v>
      </c>
      <c r="O35" s="123">
        <v>0</v>
      </c>
      <c r="P35" s="123">
        <v>0</v>
      </c>
      <c r="R35" s="159">
        <v>1.2</v>
      </c>
      <c r="S35" s="21">
        <f t="shared" si="7"/>
        <v>9.7959183673469383E-2</v>
      </c>
      <c r="T35" s="14">
        <f t="shared" si="8"/>
        <v>940</v>
      </c>
      <c r="W35" s="129">
        <v>31</v>
      </c>
      <c r="X35" s="14">
        <f t="shared" si="0"/>
        <v>3115</v>
      </c>
    </row>
    <row r="36" spans="1:24" ht="16.5" x14ac:dyDescent="0.2">
      <c r="A36" s="159">
        <v>20</v>
      </c>
      <c r="B36" s="159">
        <v>975</v>
      </c>
      <c r="D36" s="239"/>
      <c r="E36" s="240"/>
      <c r="F36" s="240"/>
      <c r="G36" s="241"/>
      <c r="M36" s="124" t="s">
        <v>47</v>
      </c>
      <c r="N36" s="14"/>
      <c r="O36" s="14">
        <f>日常任务!$D$2*经验计算!N36</f>
        <v>0</v>
      </c>
      <c r="P36" s="126"/>
      <c r="R36" s="159">
        <v>1.25</v>
      </c>
      <c r="S36" s="21">
        <f t="shared" ref="S36:S37" si="9">R36/R$29</f>
        <v>0.10204081632653061</v>
      </c>
      <c r="T36" s="14">
        <f t="shared" ref="T36:T37" si="10">INT($N$39*S36/5)*5</f>
        <v>975</v>
      </c>
      <c r="W36" s="129">
        <v>32</v>
      </c>
      <c r="X36" s="14">
        <f t="shared" si="0"/>
        <v>3260</v>
      </c>
    </row>
    <row r="37" spans="1:24" ht="16.5" x14ac:dyDescent="0.2">
      <c r="A37" s="159">
        <v>21</v>
      </c>
      <c r="B37" s="159">
        <v>1015</v>
      </c>
      <c r="D37" s="239"/>
      <c r="E37" s="240"/>
      <c r="F37" s="240"/>
      <c r="G37" s="241"/>
      <c r="M37" s="124" t="s">
        <v>44</v>
      </c>
      <c r="N37" s="14">
        <f>INDEX(节奏总表!$N$5:$N$35,经验计算!N30)*60</f>
        <v>1200</v>
      </c>
      <c r="O37" s="14">
        <f>INDEX(章节关卡!$G$6:$G$35,经验计算!N30-1)*经验计算!N37</f>
        <v>7200</v>
      </c>
      <c r="P37" s="126"/>
      <c r="R37" s="159">
        <v>1.3</v>
      </c>
      <c r="S37" s="21">
        <f t="shared" si="9"/>
        <v>0.10612244897959185</v>
      </c>
      <c r="T37" s="14">
        <f t="shared" si="10"/>
        <v>1015</v>
      </c>
      <c r="W37" s="129">
        <v>33</v>
      </c>
      <c r="X37" s="14">
        <f t="shared" ref="X37:X68" si="11">INDEX(B:B,MATCH(W37,A:A))</f>
        <v>3410</v>
      </c>
    </row>
    <row r="38" spans="1:24" ht="16.5" x14ac:dyDescent="0.2">
      <c r="A38" s="159">
        <v>22</v>
      </c>
      <c r="B38" s="159">
        <v>1055</v>
      </c>
      <c r="D38" s="239"/>
      <c r="E38" s="240"/>
      <c r="F38" s="240"/>
      <c r="G38" s="241"/>
      <c r="M38" s="124" t="s">
        <v>40</v>
      </c>
      <c r="N38" s="19">
        <v>0</v>
      </c>
      <c r="O38" s="14">
        <f>N39*N38</f>
        <v>0</v>
      </c>
      <c r="P38" s="126"/>
      <c r="R38" s="159">
        <v>1.35</v>
      </c>
      <c r="S38" s="21">
        <f t="shared" ref="S38:S40" si="12">R38/R$29</f>
        <v>0.11020408163265306</v>
      </c>
      <c r="T38" s="14">
        <f t="shared" ref="T38:T40" si="13">INT($N$39*S38/5)*5</f>
        <v>1055</v>
      </c>
      <c r="W38" s="129">
        <v>34</v>
      </c>
      <c r="X38" s="14">
        <f t="shared" si="11"/>
        <v>3560</v>
      </c>
    </row>
    <row r="39" spans="1:24" ht="16.5" x14ac:dyDescent="0.2">
      <c r="A39" s="159">
        <v>23</v>
      </c>
      <c r="B39" s="159">
        <v>1095</v>
      </c>
      <c r="D39" s="239"/>
      <c r="E39" s="240"/>
      <c r="F39" s="240"/>
      <c r="G39" s="241"/>
      <c r="M39" s="124" t="s">
        <v>39</v>
      </c>
      <c r="N39" s="14">
        <f>(N31+N32+N34+N33+N35+O36+O37+P31)/(1-N38)</f>
        <v>9600</v>
      </c>
      <c r="O39" s="125"/>
      <c r="P39" s="126"/>
      <c r="R39" s="159">
        <v>1.4</v>
      </c>
      <c r="S39" s="21">
        <f t="shared" si="12"/>
        <v>0.11428571428571428</v>
      </c>
      <c r="T39" s="14">
        <f t="shared" si="13"/>
        <v>1095</v>
      </c>
      <c r="W39" s="129">
        <v>35</v>
      </c>
      <c r="X39" s="14">
        <f t="shared" si="11"/>
        <v>3640</v>
      </c>
    </row>
    <row r="40" spans="1:24" ht="16.5" x14ac:dyDescent="0.2">
      <c r="A40" s="159">
        <v>24</v>
      </c>
      <c r="B40" s="159">
        <v>1135</v>
      </c>
      <c r="D40" s="242"/>
      <c r="E40" s="243"/>
      <c r="F40" s="243"/>
      <c r="G40" s="244"/>
      <c r="R40" s="159">
        <v>1.45</v>
      </c>
      <c r="S40" s="21">
        <f t="shared" si="12"/>
        <v>0.1183673469387755</v>
      </c>
      <c r="T40" s="14">
        <f t="shared" si="13"/>
        <v>1135</v>
      </c>
      <c r="W40" s="129">
        <v>36</v>
      </c>
      <c r="X40" s="14">
        <f t="shared" si="11"/>
        <v>3825</v>
      </c>
    </row>
    <row r="41" spans="1:24" ht="16.5" x14ac:dyDescent="0.2">
      <c r="A41" s="15"/>
      <c r="B41" s="15"/>
      <c r="C41" s="15"/>
      <c r="D41" s="15"/>
      <c r="E41" s="15"/>
      <c r="F41" s="15"/>
      <c r="G41" s="15"/>
      <c r="H41" s="15"/>
      <c r="I41" s="245" t="s">
        <v>442</v>
      </c>
      <c r="J41" s="246"/>
      <c r="K41" s="246"/>
      <c r="L41" s="15"/>
      <c r="M41" s="15"/>
      <c r="N41" s="15"/>
      <c r="O41" s="15"/>
      <c r="Q41" s="15"/>
      <c r="R41" s="15"/>
      <c r="S41" s="15"/>
      <c r="T41" s="15"/>
      <c r="W41" s="129">
        <v>37</v>
      </c>
      <c r="X41" s="14">
        <f t="shared" si="11"/>
        <v>4005</v>
      </c>
    </row>
    <row r="42" spans="1:24" ht="16.5" x14ac:dyDescent="0.2">
      <c r="A42" s="15"/>
      <c r="B42" s="15"/>
      <c r="C42" s="15"/>
      <c r="D42" s="15"/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Q42" s="15"/>
      <c r="R42" s="131">
        <f>SUM(R44:R51)</f>
        <v>5.5</v>
      </c>
      <c r="S42" s="15"/>
      <c r="T42" s="15"/>
      <c r="W42" s="129">
        <v>38</v>
      </c>
      <c r="X42" s="14">
        <f t="shared" si="11"/>
        <v>4190</v>
      </c>
    </row>
    <row r="43" spans="1:24" ht="17.25" x14ac:dyDescent="0.2">
      <c r="A43" s="15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24" t="s">
        <v>111</v>
      </c>
      <c r="N43" s="123">
        <v>4</v>
      </c>
      <c r="O43" s="124" t="s">
        <v>111</v>
      </c>
      <c r="P43" s="123">
        <v>2</v>
      </c>
      <c r="Q43" s="15"/>
      <c r="R43" s="12" t="s">
        <v>43</v>
      </c>
      <c r="S43" s="12" t="s">
        <v>41</v>
      </c>
      <c r="T43" s="12" t="s">
        <v>42</v>
      </c>
      <c r="W43" s="129">
        <v>39</v>
      </c>
      <c r="X43" s="14">
        <f t="shared" si="11"/>
        <v>4370</v>
      </c>
    </row>
    <row r="44" spans="1:24" ht="16.5" x14ac:dyDescent="0.2">
      <c r="A44" s="17">
        <v>25</v>
      </c>
      <c r="B44" s="17">
        <v>2425</v>
      </c>
      <c r="D44" s="236" t="s">
        <v>1051</v>
      </c>
      <c r="E44" s="237"/>
      <c r="F44" s="237"/>
      <c r="G44" s="238"/>
      <c r="M44" s="130" t="s">
        <v>1056</v>
      </c>
      <c r="N44" s="14">
        <f>SUMIFS(章节关卡!$BD$5:$BD$304,章节关卡!$BB$5:$BB$304,"="&amp;经验计算!N43)</f>
        <v>1600</v>
      </c>
      <c r="O44" s="130" t="s">
        <v>1055</v>
      </c>
      <c r="P44" s="14">
        <f>SUMIFS(章节关卡!$BN$5:$BN$304,章节关卡!$BL$5:$BL$304,"="&amp;经验计算!P43)</f>
        <v>2500</v>
      </c>
      <c r="R44" s="17">
        <v>1</v>
      </c>
      <c r="S44" s="21">
        <f>R44/R$42</f>
        <v>0.18181818181818182</v>
      </c>
      <c r="T44" s="17">
        <f>INT($N$52*S44/5)*5</f>
        <v>2425</v>
      </c>
      <c r="W44" s="129">
        <v>40</v>
      </c>
      <c r="X44" s="14">
        <f t="shared" si="11"/>
        <v>4400</v>
      </c>
    </row>
    <row r="45" spans="1:24" ht="16.5" x14ac:dyDescent="0.2">
      <c r="A45" s="17">
        <v>26</v>
      </c>
      <c r="B45" s="17">
        <v>2545</v>
      </c>
      <c r="D45" s="239"/>
      <c r="E45" s="240"/>
      <c r="F45" s="240"/>
      <c r="G45" s="241"/>
      <c r="M45" s="124" t="s">
        <v>115</v>
      </c>
      <c r="N45" s="14">
        <f>SUMIFS(芦花古楼!$E$5:$E$104,芦花古楼!$A$5:$A$104,"&gt;"&amp;经验计算!O45,芦花古楼!$A$5:$A$104,"&lt;="&amp;经验计算!P45)</f>
        <v>0</v>
      </c>
      <c r="O45" s="123">
        <v>0</v>
      </c>
      <c r="P45" s="123">
        <v>0</v>
      </c>
      <c r="R45" s="17">
        <v>1.05</v>
      </c>
      <c r="S45" s="21">
        <f t="shared" ref="S45:S48" si="14">R45/R$42</f>
        <v>0.19090909090909092</v>
      </c>
      <c r="T45" s="69">
        <f t="shared" ref="T45:T48" si="15">INT($N$52*S45/5)*5</f>
        <v>2545</v>
      </c>
      <c r="W45" s="129">
        <v>41</v>
      </c>
      <c r="X45" s="14">
        <f t="shared" si="11"/>
        <v>4620</v>
      </c>
    </row>
    <row r="46" spans="1:24" ht="16.5" x14ac:dyDescent="0.2">
      <c r="A46" s="159">
        <v>27</v>
      </c>
      <c r="B46" s="17">
        <v>2665</v>
      </c>
      <c r="D46" s="239"/>
      <c r="E46" s="240"/>
      <c r="F46" s="240"/>
      <c r="G46" s="241"/>
      <c r="M46" s="124" t="s">
        <v>117</v>
      </c>
      <c r="N46" s="14">
        <f>SUMIFS(芦花古楼!$P$5:$P$104,芦花古楼!$L$5:$L$104,"&gt;"&amp;经验计算!O46,芦花古楼!$L$5:$L$104,"&lt;="&amp;经验计算!P46)</f>
        <v>0</v>
      </c>
      <c r="O46" s="123">
        <v>0</v>
      </c>
      <c r="P46" s="123">
        <v>0</v>
      </c>
      <c r="R46" s="159">
        <v>1.1000000000000001</v>
      </c>
      <c r="S46" s="21">
        <f t="shared" si="14"/>
        <v>0.2</v>
      </c>
      <c r="T46" s="69">
        <f t="shared" si="15"/>
        <v>2665</v>
      </c>
      <c r="W46" s="129">
        <v>42</v>
      </c>
      <c r="X46" s="14">
        <f t="shared" si="11"/>
        <v>4840</v>
      </c>
    </row>
    <row r="47" spans="1:24" ht="16.5" x14ac:dyDescent="0.2">
      <c r="A47" s="159">
        <v>28</v>
      </c>
      <c r="B47" s="17">
        <v>2785</v>
      </c>
      <c r="D47" s="239"/>
      <c r="E47" s="240"/>
      <c r="F47" s="240"/>
      <c r="G47" s="241"/>
      <c r="M47" s="124" t="s">
        <v>116</v>
      </c>
      <c r="N47" s="14">
        <f>SUMIFS(芦花古楼!$AA$5:$AA$104,芦花古楼!$W$5:$W$104,"&gt;"&amp;经验计算!O47,芦花古楼!$W$5:$W$104,"&lt;="&amp;经验计算!P47)</f>
        <v>0</v>
      </c>
      <c r="O47" s="123">
        <v>0</v>
      </c>
      <c r="P47" s="123">
        <v>0</v>
      </c>
      <c r="R47" s="159">
        <v>1.1499999999999999</v>
      </c>
      <c r="S47" s="21">
        <f t="shared" si="14"/>
        <v>0.20909090909090908</v>
      </c>
      <c r="T47" s="69">
        <f t="shared" si="15"/>
        <v>2785</v>
      </c>
      <c r="W47" s="129">
        <v>43</v>
      </c>
      <c r="X47" s="14">
        <f t="shared" si="11"/>
        <v>5060</v>
      </c>
    </row>
    <row r="48" spans="1:24" ht="16.5" x14ac:dyDescent="0.2">
      <c r="A48" s="159">
        <v>29</v>
      </c>
      <c r="B48" s="17">
        <v>2910</v>
      </c>
      <c r="D48" s="239"/>
      <c r="E48" s="240"/>
      <c r="F48" s="240"/>
      <c r="G48" s="241"/>
      <c r="M48" s="124" t="s">
        <v>118</v>
      </c>
      <c r="N48" s="14">
        <f>SUMIFS(芦花古楼!$AL$5:$AL$104,芦花古楼!$AH$5:$AH$104,"&gt;"&amp;经验计算!O48,芦花古楼!$AH$5:$AH$104,"&lt;="&amp;经验计算!P48)</f>
        <v>0</v>
      </c>
      <c r="O48" s="123">
        <v>0</v>
      </c>
      <c r="P48" s="123">
        <v>0</v>
      </c>
      <c r="R48" s="159">
        <v>1.2</v>
      </c>
      <c r="S48" s="21">
        <f t="shared" si="14"/>
        <v>0.21818181818181817</v>
      </c>
      <c r="T48" s="69">
        <f t="shared" si="15"/>
        <v>2910</v>
      </c>
      <c r="W48" s="129">
        <v>44</v>
      </c>
      <c r="X48" s="14">
        <f t="shared" si="11"/>
        <v>5280</v>
      </c>
    </row>
    <row r="49" spans="1:25" ht="16.5" x14ac:dyDescent="0.2">
      <c r="A49" s="161"/>
      <c r="B49" s="161"/>
      <c r="D49" s="239"/>
      <c r="E49" s="240"/>
      <c r="F49" s="240"/>
      <c r="G49" s="241"/>
      <c r="M49" s="124" t="s">
        <v>47</v>
      </c>
      <c r="N49" s="14"/>
      <c r="O49" s="14">
        <f>日常任务!$D$2*经验计算!N49</f>
        <v>0</v>
      </c>
      <c r="P49" s="126"/>
      <c r="R49" s="161"/>
      <c r="S49" s="161"/>
      <c r="T49" s="161"/>
      <c r="W49" s="129">
        <v>45</v>
      </c>
      <c r="X49" s="14">
        <f t="shared" si="11"/>
        <v>5615</v>
      </c>
    </row>
    <row r="50" spans="1:25" ht="16.5" x14ac:dyDescent="0.2">
      <c r="A50" s="161"/>
      <c r="B50" s="161"/>
      <c r="D50" s="239"/>
      <c r="E50" s="240"/>
      <c r="F50" s="240"/>
      <c r="G50" s="241"/>
      <c r="M50" s="124" t="s">
        <v>44</v>
      </c>
      <c r="N50" s="14">
        <f>INDEX(节奏总表!$N$5:$N$35,经验计算!N43)*60</f>
        <v>1320</v>
      </c>
      <c r="O50" s="14">
        <f>INDEX(章节关卡!$G$6:$G$35,经验计算!N43-1)*经验计算!N50</f>
        <v>9240</v>
      </c>
      <c r="P50" s="126"/>
      <c r="R50" s="161"/>
      <c r="S50" s="161"/>
      <c r="T50" s="161"/>
      <c r="W50" s="129">
        <v>46</v>
      </c>
      <c r="X50" s="14">
        <f t="shared" si="11"/>
        <v>5895</v>
      </c>
    </row>
    <row r="51" spans="1:25" ht="16.5" x14ac:dyDescent="0.2">
      <c r="A51" s="161"/>
      <c r="B51" s="161"/>
      <c r="D51" s="239"/>
      <c r="E51" s="240"/>
      <c r="F51" s="240"/>
      <c r="G51" s="241"/>
      <c r="M51" s="124" t="s">
        <v>40</v>
      </c>
      <c r="N51" s="19">
        <v>0</v>
      </c>
      <c r="O51" s="14">
        <f>N52*N51</f>
        <v>0</v>
      </c>
      <c r="P51" s="126"/>
      <c r="R51" s="161"/>
      <c r="S51" s="161"/>
      <c r="T51" s="161"/>
      <c r="W51" s="129">
        <v>47</v>
      </c>
      <c r="X51" s="14">
        <f t="shared" si="11"/>
        <v>6180</v>
      </c>
    </row>
    <row r="52" spans="1:25" ht="16.5" x14ac:dyDescent="0.2">
      <c r="A52" s="161"/>
      <c r="B52" s="161"/>
      <c r="D52" s="239"/>
      <c r="E52" s="240"/>
      <c r="F52" s="240"/>
      <c r="G52" s="241"/>
      <c r="M52" s="124" t="s">
        <v>39</v>
      </c>
      <c r="N52" s="14">
        <f>(N44+N45+N47+N46+N48+O49+O50+P44)/(1-N51)</f>
        <v>13340</v>
      </c>
      <c r="O52" s="125"/>
      <c r="P52" s="126"/>
      <c r="R52" s="131"/>
      <c r="S52" s="131"/>
      <c r="T52" s="131"/>
      <c r="W52" s="129">
        <v>48</v>
      </c>
      <c r="X52" s="14">
        <f t="shared" si="11"/>
        <v>6460</v>
      </c>
    </row>
    <row r="53" spans="1:25" ht="16.5" x14ac:dyDescent="0.2">
      <c r="A53" s="128"/>
      <c r="B53" s="128"/>
      <c r="D53" s="242"/>
      <c r="E53" s="243"/>
      <c r="F53" s="243"/>
      <c r="G53" s="244"/>
      <c r="R53" s="131"/>
      <c r="S53" s="131"/>
      <c r="T53" s="131"/>
      <c r="W53" s="129">
        <v>49</v>
      </c>
      <c r="X53" s="14">
        <f t="shared" si="11"/>
        <v>6740</v>
      </c>
    </row>
    <row r="54" spans="1:25" ht="16.5" x14ac:dyDescent="0.2">
      <c r="A54" s="15"/>
      <c r="B54" s="15"/>
      <c r="C54" s="15"/>
      <c r="D54" s="15"/>
      <c r="E54" s="15"/>
      <c r="F54" s="15"/>
      <c r="G54" s="15"/>
      <c r="H54" s="15"/>
      <c r="I54" s="245" t="s">
        <v>446</v>
      </c>
      <c r="J54" s="246"/>
      <c r="K54" s="246"/>
      <c r="L54" s="15"/>
      <c r="M54" s="15"/>
      <c r="N54" s="15"/>
      <c r="O54" s="15"/>
      <c r="Q54" s="15"/>
      <c r="R54" s="15"/>
      <c r="S54" s="15"/>
      <c r="T54" s="15"/>
      <c r="U54" s="15"/>
      <c r="V54" s="131"/>
      <c r="W54" s="129">
        <v>50</v>
      </c>
      <c r="X54" s="14">
        <f t="shared" si="11"/>
        <v>7225</v>
      </c>
      <c r="Y54" s="131"/>
    </row>
    <row r="55" spans="1:25" ht="16.5" x14ac:dyDescent="0.2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Q55" s="15"/>
      <c r="R55" s="131">
        <f>SUM(R57:R61)</f>
        <v>5.5</v>
      </c>
      <c r="S55" s="15"/>
      <c r="T55" s="15"/>
      <c r="U55" s="15"/>
      <c r="V55" s="131"/>
      <c r="W55" s="129">
        <v>51</v>
      </c>
      <c r="X55" s="14">
        <f t="shared" si="11"/>
        <v>7590</v>
      </c>
      <c r="Y55" s="131"/>
    </row>
    <row r="56" spans="1:25" ht="17.25" x14ac:dyDescent="0.2">
      <c r="A56" s="15"/>
      <c r="B56" s="15"/>
      <c r="C56" s="15"/>
      <c r="D56" s="15"/>
      <c r="E56" s="15"/>
      <c r="F56" s="15"/>
      <c r="G56" s="15"/>
      <c r="H56" s="15"/>
      <c r="I56" s="15"/>
      <c r="J56" s="15"/>
      <c r="K56" s="15"/>
      <c r="L56" s="15"/>
      <c r="M56" s="124" t="s">
        <v>111</v>
      </c>
      <c r="N56" s="123">
        <v>5</v>
      </c>
      <c r="O56" s="124" t="s">
        <v>111</v>
      </c>
      <c r="P56" s="123">
        <v>3</v>
      </c>
      <c r="Q56" s="15"/>
      <c r="R56" s="12" t="s">
        <v>43</v>
      </c>
      <c r="S56" s="12" t="s">
        <v>41</v>
      </c>
      <c r="T56" s="12" t="s">
        <v>42</v>
      </c>
      <c r="U56" s="15"/>
      <c r="V56" s="131"/>
      <c r="W56" s="129">
        <v>52</v>
      </c>
      <c r="X56" s="14">
        <f t="shared" si="11"/>
        <v>7950</v>
      </c>
      <c r="Y56" s="131"/>
    </row>
    <row r="57" spans="1:25" ht="16.5" customHeight="1" x14ac:dyDescent="0.2">
      <c r="A57" s="17">
        <v>30</v>
      </c>
      <c r="B57" s="17">
        <v>2965</v>
      </c>
      <c r="D57" s="236" t="s">
        <v>444</v>
      </c>
      <c r="E57" s="237"/>
      <c r="F57" s="237"/>
      <c r="G57" s="238"/>
      <c r="M57" s="130" t="s">
        <v>1056</v>
      </c>
      <c r="N57" s="14">
        <f>SUMIFS(章节关卡!$BD$5:$BD$304,章节关卡!$BB$5:$BB$304,"="&amp;经验计算!N56)</f>
        <v>1800</v>
      </c>
      <c r="O57" s="130" t="s">
        <v>1055</v>
      </c>
      <c r="P57" s="14">
        <f>SUMIFS(章节关卡!$BN$5:$BN$304,章节关卡!$BL$5:$BL$304,"="&amp;经验计算!P56)</f>
        <v>3000</v>
      </c>
      <c r="R57" s="129">
        <v>1</v>
      </c>
      <c r="S57" s="21">
        <f>R57/$R$55</f>
        <v>0.18181818181818182</v>
      </c>
      <c r="T57" s="24">
        <f t="shared" ref="T57:T61" si="16">INT($N$65*S57/5)*5</f>
        <v>2965</v>
      </c>
      <c r="W57" s="129">
        <v>53</v>
      </c>
      <c r="X57" s="14">
        <f t="shared" si="11"/>
        <v>8310</v>
      </c>
    </row>
    <row r="58" spans="1:25" ht="16.5" x14ac:dyDescent="0.2">
      <c r="A58" s="17">
        <v>31</v>
      </c>
      <c r="B58" s="17">
        <v>3115</v>
      </c>
      <c r="D58" s="239"/>
      <c r="E58" s="240"/>
      <c r="F58" s="240"/>
      <c r="G58" s="241"/>
      <c r="M58" s="124" t="s">
        <v>115</v>
      </c>
      <c r="N58" s="14">
        <f>SUMIFS(芦花古楼!$E$5:$E$104,芦花古楼!$A$5:$A$104,"&gt;"&amp;经验计算!O58,芦花古楼!$A$5:$A$104,"&lt;="&amp;经验计算!P58)</f>
        <v>0</v>
      </c>
      <c r="O58" s="123">
        <v>0</v>
      </c>
      <c r="P58" s="123">
        <v>0</v>
      </c>
      <c r="R58" s="129">
        <v>1.05</v>
      </c>
      <c r="S58" s="21">
        <f t="shared" ref="S58:S61" si="17">R58/$R$55</f>
        <v>0.19090909090909092</v>
      </c>
      <c r="T58" s="24">
        <f t="shared" si="16"/>
        <v>3115</v>
      </c>
      <c r="W58" s="129">
        <v>54</v>
      </c>
      <c r="X58" s="14">
        <f t="shared" si="11"/>
        <v>8670</v>
      </c>
    </row>
    <row r="59" spans="1:25" ht="16.5" x14ac:dyDescent="0.2">
      <c r="A59" s="159">
        <v>32</v>
      </c>
      <c r="B59" s="17">
        <v>3260</v>
      </c>
      <c r="D59" s="239"/>
      <c r="E59" s="240"/>
      <c r="F59" s="240"/>
      <c r="G59" s="241"/>
      <c r="M59" s="124" t="s">
        <v>117</v>
      </c>
      <c r="N59" s="14">
        <f>SUMIFS(芦花古楼!$P$5:$P$104,芦花古楼!$L$5:$L$104,"&gt;"&amp;经验计算!O59,芦花古楼!$L$5:$L$104,"&lt;="&amp;经验计算!P59)</f>
        <v>0</v>
      </c>
      <c r="O59" s="123">
        <v>0</v>
      </c>
      <c r="P59" s="123">
        <v>0</v>
      </c>
      <c r="R59" s="129">
        <v>1.1000000000000001</v>
      </c>
      <c r="S59" s="21">
        <f t="shared" si="17"/>
        <v>0.2</v>
      </c>
      <c r="T59" s="24">
        <f t="shared" si="16"/>
        <v>3260</v>
      </c>
      <c r="W59" s="129">
        <v>55</v>
      </c>
      <c r="X59" s="14">
        <f t="shared" si="11"/>
        <v>9635</v>
      </c>
    </row>
    <row r="60" spans="1:25" ht="16.5" x14ac:dyDescent="0.2">
      <c r="A60" s="159">
        <v>33</v>
      </c>
      <c r="B60" s="17">
        <v>3410</v>
      </c>
      <c r="D60" s="239"/>
      <c r="E60" s="240"/>
      <c r="F60" s="240"/>
      <c r="G60" s="241"/>
      <c r="M60" s="124" t="s">
        <v>116</v>
      </c>
      <c r="N60" s="14">
        <f>SUMIFS(芦花古楼!$AA$5:$AA$104,芦花古楼!$W$5:$W$104,"&gt;"&amp;经验计算!O60,芦花古楼!$W$5:$W$104,"&lt;="&amp;经验计算!P60)</f>
        <v>0</v>
      </c>
      <c r="O60" s="123">
        <v>0</v>
      </c>
      <c r="P60" s="123">
        <v>0</v>
      </c>
      <c r="R60" s="129">
        <v>1.1499999999999999</v>
      </c>
      <c r="S60" s="21">
        <f t="shared" si="17"/>
        <v>0.20909090909090908</v>
      </c>
      <c r="T60" s="24">
        <f t="shared" si="16"/>
        <v>3410</v>
      </c>
      <c r="W60" s="129">
        <v>56</v>
      </c>
      <c r="X60" s="14">
        <f t="shared" si="11"/>
        <v>10115</v>
      </c>
    </row>
    <row r="61" spans="1:25" ht="16.5" x14ac:dyDescent="0.2">
      <c r="A61" s="159">
        <v>34</v>
      </c>
      <c r="B61" s="17">
        <v>3560</v>
      </c>
      <c r="D61" s="239"/>
      <c r="E61" s="240"/>
      <c r="F61" s="240"/>
      <c r="G61" s="241"/>
      <c r="M61" s="124" t="s">
        <v>118</v>
      </c>
      <c r="N61" s="14">
        <f>SUMIFS(芦花古楼!$AL$5:$AL$104,芦花古楼!$AH$5:$AH$104,"&gt;"&amp;经验计算!O61,芦花古楼!$AH$5:$AH$104,"&lt;="&amp;经验计算!P61)</f>
        <v>0</v>
      </c>
      <c r="O61" s="123">
        <v>0</v>
      </c>
      <c r="P61" s="123">
        <v>0</v>
      </c>
      <c r="R61" s="129">
        <v>1.2</v>
      </c>
      <c r="S61" s="21">
        <f t="shared" si="17"/>
        <v>0.21818181818181817</v>
      </c>
      <c r="T61" s="24">
        <f t="shared" si="16"/>
        <v>3560</v>
      </c>
      <c r="W61" s="129">
        <v>57</v>
      </c>
      <c r="X61" s="14">
        <f t="shared" si="11"/>
        <v>10600</v>
      </c>
    </row>
    <row r="62" spans="1:25" ht="16.5" x14ac:dyDescent="0.2">
      <c r="A62" s="128"/>
      <c r="B62" s="128"/>
      <c r="D62" s="239"/>
      <c r="E62" s="240"/>
      <c r="F62" s="240"/>
      <c r="G62" s="241"/>
      <c r="M62" s="124" t="s">
        <v>47</v>
      </c>
      <c r="N62" s="14"/>
      <c r="O62" s="14">
        <f>日常任务!$D$2*经验计算!N62</f>
        <v>0</v>
      </c>
      <c r="P62" s="126"/>
      <c r="R62" s="131"/>
      <c r="S62" s="131"/>
      <c r="T62" s="131"/>
      <c r="W62" s="129">
        <v>58</v>
      </c>
      <c r="X62" s="14">
        <f t="shared" si="11"/>
        <v>11080</v>
      </c>
    </row>
    <row r="63" spans="1:25" ht="16.5" x14ac:dyDescent="0.2">
      <c r="A63" s="128"/>
      <c r="B63" s="128"/>
      <c r="C63" s="15"/>
      <c r="D63" s="239"/>
      <c r="E63" s="240"/>
      <c r="F63" s="240"/>
      <c r="G63" s="241"/>
      <c r="H63" s="15"/>
      <c r="I63" s="15"/>
      <c r="J63" s="15"/>
      <c r="K63" s="15"/>
      <c r="L63" s="15"/>
      <c r="M63" s="124" t="s">
        <v>44</v>
      </c>
      <c r="N63" s="14">
        <f>INDEX(节奏总表!$N$5:$N$35,经验计算!N56)*60</f>
        <v>1440</v>
      </c>
      <c r="O63" s="14">
        <f>INDEX(章节关卡!$G$6:$G$35,经验计算!N56-1)*经验计算!N63</f>
        <v>11520</v>
      </c>
      <c r="P63" s="126"/>
      <c r="Q63" s="15"/>
      <c r="R63" s="131"/>
      <c r="S63" s="131"/>
      <c r="T63" s="131"/>
      <c r="U63" s="15"/>
      <c r="V63" s="131"/>
      <c r="W63" s="129">
        <v>59</v>
      </c>
      <c r="X63" s="14">
        <f t="shared" si="11"/>
        <v>11560</v>
      </c>
      <c r="Y63" s="131"/>
    </row>
    <row r="64" spans="1:25" ht="16.5" x14ac:dyDescent="0.2">
      <c r="A64" s="128"/>
      <c r="B64" s="128"/>
      <c r="C64" s="15"/>
      <c r="D64" s="239"/>
      <c r="E64" s="240"/>
      <c r="F64" s="240"/>
      <c r="G64" s="241"/>
      <c r="H64" s="15"/>
      <c r="I64" s="15"/>
      <c r="J64" s="15"/>
      <c r="K64" s="15"/>
      <c r="L64" s="15"/>
      <c r="M64" s="124" t="s">
        <v>40</v>
      </c>
      <c r="N64" s="19">
        <v>0</v>
      </c>
      <c r="O64" s="14">
        <f>N65*N64</f>
        <v>0</v>
      </c>
      <c r="P64" s="126"/>
      <c r="Q64" s="15"/>
      <c r="R64" s="131"/>
      <c r="S64" s="131"/>
      <c r="T64" s="131"/>
      <c r="U64" s="15"/>
      <c r="V64" s="131"/>
      <c r="W64" s="129">
        <v>60</v>
      </c>
      <c r="X64" s="14">
        <f t="shared" si="11"/>
        <v>12015</v>
      </c>
      <c r="Y64" s="131"/>
    </row>
    <row r="65" spans="1:25" ht="16.5" x14ac:dyDescent="0.2">
      <c r="A65" s="128"/>
      <c r="B65" s="128"/>
      <c r="C65" s="15"/>
      <c r="D65" s="239"/>
      <c r="E65" s="240"/>
      <c r="F65" s="240"/>
      <c r="G65" s="241"/>
      <c r="H65" s="15"/>
      <c r="I65" s="15"/>
      <c r="J65" s="15"/>
      <c r="K65" s="15"/>
      <c r="L65" s="15"/>
      <c r="M65" s="124" t="s">
        <v>39</v>
      </c>
      <c r="N65" s="14">
        <f>(N57+N58+N60+N59+N61+O62+O63+P57)/(1-N64)</f>
        <v>16320</v>
      </c>
      <c r="O65" s="125"/>
      <c r="P65" s="126"/>
      <c r="Q65" s="15"/>
      <c r="R65" s="131"/>
      <c r="S65" s="131"/>
      <c r="T65" s="131"/>
      <c r="U65" s="15"/>
      <c r="V65" s="131"/>
      <c r="W65" s="129">
        <v>61</v>
      </c>
      <c r="X65" s="14">
        <f t="shared" si="11"/>
        <v>12615</v>
      </c>
      <c r="Y65" s="131"/>
    </row>
    <row r="66" spans="1:25" ht="16.5" x14ac:dyDescent="0.2">
      <c r="A66" s="128"/>
      <c r="B66" s="128"/>
      <c r="D66" s="242"/>
      <c r="E66" s="243"/>
      <c r="F66" s="243"/>
      <c r="G66" s="244"/>
      <c r="H66" s="15"/>
      <c r="I66" s="15"/>
      <c r="J66" s="15"/>
      <c r="K66" s="15"/>
      <c r="L66" s="15"/>
      <c r="R66" s="131"/>
      <c r="S66" s="131"/>
      <c r="T66" s="131"/>
      <c r="W66" s="129">
        <v>62</v>
      </c>
      <c r="X66" s="14">
        <f t="shared" si="11"/>
        <v>13220</v>
      </c>
    </row>
    <row r="67" spans="1:25" ht="16.5" x14ac:dyDescent="0.2">
      <c r="A67" s="128"/>
      <c r="B67" s="128"/>
      <c r="D67" s="15"/>
      <c r="E67" s="15"/>
      <c r="F67" s="15"/>
      <c r="G67" s="15"/>
      <c r="H67" s="15"/>
      <c r="I67" s="15"/>
      <c r="J67" s="15"/>
      <c r="K67" s="15"/>
      <c r="L67" s="15"/>
      <c r="W67" s="129">
        <v>63</v>
      </c>
      <c r="X67" s="14">
        <f t="shared" si="11"/>
        <v>13820</v>
      </c>
    </row>
    <row r="68" spans="1:25" ht="16.5" x14ac:dyDescent="0.2">
      <c r="D68" s="15"/>
      <c r="E68" s="15"/>
      <c r="F68" s="15"/>
      <c r="G68" s="15"/>
      <c r="H68" s="15"/>
      <c r="I68" s="15"/>
      <c r="J68" s="15"/>
      <c r="K68" s="15"/>
      <c r="L68" s="15"/>
      <c r="W68" s="129">
        <v>64</v>
      </c>
      <c r="X68" s="14">
        <f t="shared" si="11"/>
        <v>14420</v>
      </c>
    </row>
    <row r="69" spans="1:25" ht="16.5" x14ac:dyDescent="0.2">
      <c r="D69" s="15"/>
      <c r="E69" s="15"/>
      <c r="F69" s="15"/>
      <c r="G69" s="15"/>
      <c r="H69" s="15"/>
      <c r="I69" s="15"/>
      <c r="J69" s="15"/>
      <c r="K69" s="15"/>
      <c r="L69" s="15"/>
      <c r="R69" s="131">
        <f>SUM(R71:R75)</f>
        <v>5.5</v>
      </c>
      <c r="S69" s="15"/>
      <c r="T69" s="15"/>
      <c r="W69" s="129">
        <v>65</v>
      </c>
      <c r="X69" s="14">
        <f t="shared" ref="X69:X100" si="18">INDEX(B:B,MATCH(W69,A:A))</f>
        <v>15015</v>
      </c>
    </row>
    <row r="70" spans="1:25" ht="17.25" x14ac:dyDescent="0.2">
      <c r="A70" s="15"/>
      <c r="B70" s="15"/>
      <c r="D70" s="15"/>
      <c r="E70" s="15"/>
      <c r="F70" s="15"/>
      <c r="G70" s="15"/>
      <c r="H70" s="15"/>
      <c r="I70" s="15"/>
      <c r="J70" s="15"/>
      <c r="K70" s="15"/>
      <c r="L70" s="15"/>
      <c r="M70" s="124" t="s">
        <v>111</v>
      </c>
      <c r="N70" s="123">
        <v>6</v>
      </c>
      <c r="O70" s="124" t="s">
        <v>111</v>
      </c>
      <c r="P70" s="123">
        <v>4</v>
      </c>
      <c r="R70" s="12" t="s">
        <v>43</v>
      </c>
      <c r="S70" s="12" t="s">
        <v>41</v>
      </c>
      <c r="T70" s="12" t="s">
        <v>42</v>
      </c>
      <c r="W70" s="129">
        <v>66</v>
      </c>
      <c r="X70" s="14">
        <f t="shared" si="18"/>
        <v>15765</v>
      </c>
    </row>
    <row r="71" spans="1:25" ht="16.5" x14ac:dyDescent="0.2">
      <c r="A71" s="17">
        <v>35</v>
      </c>
      <c r="B71" s="17">
        <v>3640</v>
      </c>
      <c r="D71" s="235" t="s">
        <v>445</v>
      </c>
      <c r="E71" s="235"/>
      <c r="F71" s="235"/>
      <c r="G71" s="235"/>
      <c r="M71" s="130" t="s">
        <v>1056</v>
      </c>
      <c r="N71" s="14">
        <f>SUMIFS(章节关卡!$BD$5:$BD$304,章节关卡!$BB$5:$BB$304,"="&amp;经验计算!N70)</f>
        <v>2000</v>
      </c>
      <c r="O71" s="130" t="s">
        <v>1055</v>
      </c>
      <c r="P71" s="14">
        <f>SUMIFS(章节关卡!$BN$5:$BN$304,章节关卡!$BL$5:$BL$304,"="&amp;经验计算!P70)</f>
        <v>4000</v>
      </c>
      <c r="R71" s="129">
        <v>1</v>
      </c>
      <c r="S71" s="21">
        <f>R71/$R$69</f>
        <v>0.18181818181818182</v>
      </c>
      <c r="T71" s="24">
        <f>INT($N$79*S71/5)*5</f>
        <v>3640</v>
      </c>
      <c r="W71" s="129">
        <v>67</v>
      </c>
      <c r="X71" s="14">
        <f t="shared" si="18"/>
        <v>16520</v>
      </c>
    </row>
    <row r="72" spans="1:25" ht="16.5" x14ac:dyDescent="0.2">
      <c r="A72" s="17">
        <v>36</v>
      </c>
      <c r="B72" s="17">
        <v>3825</v>
      </c>
      <c r="D72" s="235"/>
      <c r="E72" s="235"/>
      <c r="F72" s="235"/>
      <c r="G72" s="235"/>
      <c r="M72" s="124" t="s">
        <v>115</v>
      </c>
      <c r="N72" s="14">
        <f>SUMIFS(芦花古楼!$E$5:$E$104,芦花古楼!$A$5:$A$104,"&gt;"&amp;经验计算!O72,芦花古楼!$A$5:$A$104,"&lt;="&amp;经验计算!P72)</f>
        <v>0</v>
      </c>
      <c r="O72" s="123">
        <v>0</v>
      </c>
      <c r="P72" s="123">
        <v>0</v>
      </c>
      <c r="R72" s="129">
        <v>1.05</v>
      </c>
      <c r="S72" s="21">
        <f t="shared" ref="S72:S75" si="19">R72/$R$69</f>
        <v>0.19090909090909092</v>
      </c>
      <c r="T72" s="67">
        <f t="shared" ref="T72:T75" si="20">INT($N$79*S72/5)*5</f>
        <v>3825</v>
      </c>
      <c r="W72" s="129">
        <v>68</v>
      </c>
      <c r="X72" s="14">
        <f t="shared" si="18"/>
        <v>17270</v>
      </c>
    </row>
    <row r="73" spans="1:25" ht="16.5" x14ac:dyDescent="0.2">
      <c r="A73" s="159">
        <v>37</v>
      </c>
      <c r="B73" s="17">
        <v>4005</v>
      </c>
      <c r="D73" s="235"/>
      <c r="E73" s="235"/>
      <c r="F73" s="235"/>
      <c r="G73" s="235"/>
      <c r="M73" s="124" t="s">
        <v>117</v>
      </c>
      <c r="N73" s="14">
        <f>SUMIFS(芦花古楼!$P$5:$P$104,芦花古楼!$L$5:$L$104,"&gt;"&amp;经验计算!O73,芦花古楼!$L$5:$L$104,"&lt;="&amp;经验计算!P73)</f>
        <v>0</v>
      </c>
      <c r="O73" s="123">
        <v>0</v>
      </c>
      <c r="P73" s="123">
        <v>0</v>
      </c>
      <c r="R73" s="129">
        <v>1.1000000000000001</v>
      </c>
      <c r="S73" s="21">
        <f t="shared" si="19"/>
        <v>0.2</v>
      </c>
      <c r="T73" s="67">
        <f t="shared" si="20"/>
        <v>4005</v>
      </c>
      <c r="W73" s="129">
        <v>69</v>
      </c>
      <c r="X73" s="14">
        <f t="shared" si="18"/>
        <v>18020</v>
      </c>
    </row>
    <row r="74" spans="1:25" ht="16.5" x14ac:dyDescent="0.2">
      <c r="A74" s="159">
        <v>38</v>
      </c>
      <c r="B74" s="17">
        <v>4190</v>
      </c>
      <c r="D74" s="235"/>
      <c r="E74" s="235"/>
      <c r="F74" s="235"/>
      <c r="G74" s="235"/>
      <c r="M74" s="124" t="s">
        <v>116</v>
      </c>
      <c r="N74" s="14">
        <f>SUMIFS(芦花古楼!$AA$5:$AA$104,芦花古楼!$W$5:$W$104,"&gt;"&amp;经验计算!O74,芦花古楼!$W$5:$W$104,"&lt;="&amp;经验计算!P74)</f>
        <v>0</v>
      </c>
      <c r="O74" s="123">
        <v>0</v>
      </c>
      <c r="P74" s="123">
        <v>0</v>
      </c>
      <c r="R74" s="129">
        <v>1.1499999999999999</v>
      </c>
      <c r="S74" s="21">
        <f t="shared" si="19"/>
        <v>0.20909090909090908</v>
      </c>
      <c r="T74" s="67">
        <f t="shared" si="20"/>
        <v>4190</v>
      </c>
      <c r="W74" s="129">
        <v>70</v>
      </c>
      <c r="X74" s="14">
        <f t="shared" si="18"/>
        <v>20960</v>
      </c>
    </row>
    <row r="75" spans="1:25" ht="16.5" x14ac:dyDescent="0.2">
      <c r="A75" s="159">
        <v>39</v>
      </c>
      <c r="B75" s="17">
        <v>4370</v>
      </c>
      <c r="D75" s="235"/>
      <c r="E75" s="235"/>
      <c r="F75" s="235"/>
      <c r="G75" s="235"/>
      <c r="M75" s="124" t="s">
        <v>118</v>
      </c>
      <c r="N75" s="14">
        <f>SUMIFS(芦花古楼!$AL$5:$AL$104,芦花古楼!$AH$5:$AH$104,"&gt;"&amp;经验计算!O75,芦花古楼!$AH$5:$AH$104,"&lt;="&amp;经验计算!P75)</f>
        <v>0</v>
      </c>
      <c r="O75" s="123">
        <v>0</v>
      </c>
      <c r="P75" s="123">
        <v>0</v>
      </c>
      <c r="R75" s="129">
        <v>1.2</v>
      </c>
      <c r="S75" s="21">
        <f t="shared" si="19"/>
        <v>0.21818181818181817</v>
      </c>
      <c r="T75" s="67">
        <f t="shared" si="20"/>
        <v>4370</v>
      </c>
      <c r="W75" s="129">
        <v>71</v>
      </c>
      <c r="X75" s="14">
        <f t="shared" si="18"/>
        <v>22010</v>
      </c>
    </row>
    <row r="76" spans="1:25" ht="16.5" x14ac:dyDescent="0.2">
      <c r="A76" s="128"/>
      <c r="B76" s="128"/>
      <c r="D76" s="235"/>
      <c r="E76" s="235"/>
      <c r="F76" s="235"/>
      <c r="G76" s="235"/>
      <c r="M76" s="124" t="s">
        <v>47</v>
      </c>
      <c r="N76" s="14"/>
      <c r="O76" s="14">
        <f>日常任务!$D$2*经验计算!N76</f>
        <v>0</v>
      </c>
      <c r="P76" s="126"/>
      <c r="R76" s="131"/>
      <c r="S76" s="131"/>
      <c r="T76" s="131"/>
      <c r="W76" s="129">
        <v>72</v>
      </c>
      <c r="X76" s="14">
        <f t="shared" si="18"/>
        <v>23060</v>
      </c>
    </row>
    <row r="77" spans="1:25" ht="16.5" x14ac:dyDescent="0.2">
      <c r="A77" s="128"/>
      <c r="B77" s="128"/>
      <c r="D77" s="235"/>
      <c r="E77" s="235"/>
      <c r="F77" s="235"/>
      <c r="G77" s="235"/>
      <c r="M77" s="124" t="s">
        <v>44</v>
      </c>
      <c r="N77" s="14">
        <f>INDEX(节奏总表!$N$5:$N$35,经验计算!N70)*60</f>
        <v>1560</v>
      </c>
      <c r="O77" s="14">
        <f>INDEX(章节关卡!$G$6:$G$35,经验计算!N70-1)*经验计算!N77</f>
        <v>14040</v>
      </c>
      <c r="P77" s="126"/>
      <c r="R77" s="131"/>
      <c r="S77" s="131"/>
      <c r="T77" s="131"/>
      <c r="W77" s="129">
        <v>73</v>
      </c>
      <c r="X77" s="14">
        <f t="shared" si="18"/>
        <v>24105</v>
      </c>
    </row>
    <row r="78" spans="1:25" ht="16.5" x14ac:dyDescent="0.2">
      <c r="A78" s="128"/>
      <c r="B78" s="128"/>
      <c r="D78" s="235"/>
      <c r="E78" s="235"/>
      <c r="F78" s="235"/>
      <c r="G78" s="235"/>
      <c r="M78" s="124" t="s">
        <v>40</v>
      </c>
      <c r="N78" s="19">
        <v>0</v>
      </c>
      <c r="O78" s="14">
        <f>N79*N78</f>
        <v>0</v>
      </c>
      <c r="P78" s="126"/>
      <c r="R78" s="131"/>
      <c r="S78" s="131"/>
      <c r="T78" s="131"/>
      <c r="W78" s="129">
        <v>74</v>
      </c>
      <c r="X78" s="14">
        <f t="shared" si="18"/>
        <v>25155</v>
      </c>
    </row>
    <row r="79" spans="1:25" ht="16.5" x14ac:dyDescent="0.2">
      <c r="A79" s="128"/>
      <c r="B79" s="128"/>
      <c r="D79" s="235"/>
      <c r="E79" s="235"/>
      <c r="F79" s="235"/>
      <c r="G79" s="235"/>
      <c r="M79" s="124" t="s">
        <v>39</v>
      </c>
      <c r="N79" s="14">
        <f>(N71+N72+N74+N73+N75+O76+O77+P71)/(1-N78)</f>
        <v>20040</v>
      </c>
      <c r="O79" s="125"/>
      <c r="P79" s="126"/>
      <c r="R79" s="131"/>
      <c r="S79" s="131"/>
      <c r="T79" s="131"/>
      <c r="W79" s="129">
        <v>75</v>
      </c>
      <c r="X79" s="14">
        <f t="shared" si="18"/>
        <v>27345</v>
      </c>
    </row>
    <row r="80" spans="1:25" ht="16.5" x14ac:dyDescent="0.2">
      <c r="A80" s="128"/>
      <c r="B80" s="128"/>
      <c r="D80" s="235"/>
      <c r="E80" s="235"/>
      <c r="F80" s="235"/>
      <c r="G80" s="235"/>
      <c r="R80" s="131"/>
      <c r="S80" s="131"/>
      <c r="T80" s="131"/>
      <c r="W80" s="129">
        <v>76</v>
      </c>
      <c r="X80" s="14">
        <f t="shared" si="18"/>
        <v>28710</v>
      </c>
    </row>
    <row r="81" spans="1:25" ht="16.5" x14ac:dyDescent="0.2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31"/>
      <c r="W81" s="129">
        <v>77</v>
      </c>
      <c r="X81" s="14">
        <f t="shared" si="18"/>
        <v>30080</v>
      </c>
      <c r="Y81" s="131"/>
    </row>
    <row r="82" spans="1:25" ht="16.5" x14ac:dyDescent="0.2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31"/>
      <c r="W82" s="129">
        <v>78</v>
      </c>
      <c r="X82" s="14">
        <f t="shared" si="18"/>
        <v>31445</v>
      </c>
      <c r="Y82" s="131"/>
    </row>
    <row r="83" spans="1:25" ht="16.5" x14ac:dyDescent="0.2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31">
        <f>SUM(R85:R89)</f>
        <v>5.5</v>
      </c>
      <c r="S83" s="15"/>
      <c r="T83" s="15"/>
      <c r="U83" s="15"/>
      <c r="V83" s="131"/>
      <c r="W83" s="129">
        <v>79</v>
      </c>
      <c r="X83" s="14">
        <f t="shared" si="18"/>
        <v>32810</v>
      </c>
      <c r="Y83" s="131"/>
    </row>
    <row r="84" spans="1:25" ht="17.25" x14ac:dyDescent="0.2">
      <c r="A84" s="15"/>
      <c r="B84" s="15"/>
      <c r="C84" s="15"/>
      <c r="D84" s="15"/>
      <c r="E84" s="15"/>
      <c r="F84" s="15"/>
      <c r="G84" s="15"/>
      <c r="H84" s="15"/>
      <c r="I84" s="15"/>
      <c r="J84" s="15"/>
      <c r="K84" s="15"/>
      <c r="L84" s="15"/>
      <c r="M84" s="124" t="s">
        <v>111</v>
      </c>
      <c r="N84" s="123">
        <v>7</v>
      </c>
      <c r="O84" s="124" t="s">
        <v>111</v>
      </c>
      <c r="P84" s="123">
        <v>5</v>
      </c>
      <c r="Q84" s="15"/>
      <c r="R84" s="12" t="s">
        <v>43</v>
      </c>
      <c r="S84" s="12" t="s">
        <v>41</v>
      </c>
      <c r="T84" s="12" t="s">
        <v>42</v>
      </c>
      <c r="U84" s="15"/>
      <c r="V84" s="131"/>
      <c r="W84" s="129">
        <v>80</v>
      </c>
      <c r="X84" s="14">
        <f t="shared" si="18"/>
        <v>34960</v>
      </c>
      <c r="Y84" s="131"/>
    </row>
    <row r="85" spans="1:25" ht="16.5" x14ac:dyDescent="0.2">
      <c r="A85" s="17">
        <v>40</v>
      </c>
      <c r="B85" s="17">
        <v>4400</v>
      </c>
      <c r="D85" s="235" t="s">
        <v>443</v>
      </c>
      <c r="E85" s="235"/>
      <c r="F85" s="235"/>
      <c r="G85" s="235"/>
      <c r="M85" s="130" t="s">
        <v>1056</v>
      </c>
      <c r="N85" s="14">
        <f>SUMIFS(章节关卡!$BD$5:$BD$304,章节关卡!$BB$5:$BB$304,"="&amp;经验计算!N84)</f>
        <v>2400</v>
      </c>
      <c r="O85" s="130" t="s">
        <v>1055</v>
      </c>
      <c r="P85" s="14">
        <f>SUMIFS(章节关卡!$BN$5:$BN$304,章节关卡!$BL$5:$BL$304,"="&amp;经验计算!P84)</f>
        <v>5000</v>
      </c>
      <c r="R85" s="129">
        <v>1</v>
      </c>
      <c r="S85" s="21">
        <f>R85/$R$83</f>
        <v>0.18181818181818182</v>
      </c>
      <c r="T85" s="24">
        <f>INT($N$93*S85/5)*5</f>
        <v>4400</v>
      </c>
      <c r="W85" s="129">
        <v>81</v>
      </c>
      <c r="X85" s="14">
        <f t="shared" si="18"/>
        <v>36710</v>
      </c>
    </row>
    <row r="86" spans="1:25" ht="16.5" x14ac:dyDescent="0.2">
      <c r="A86" s="17">
        <v>41</v>
      </c>
      <c r="B86" s="17">
        <v>4620</v>
      </c>
      <c r="D86" s="235"/>
      <c r="E86" s="235"/>
      <c r="F86" s="235"/>
      <c r="G86" s="235"/>
      <c r="M86" s="124" t="s">
        <v>115</v>
      </c>
      <c r="N86" s="14">
        <f>SUMIFS(芦花古楼!$E$5:$E$104,芦花古楼!$A$5:$A$104,"&gt;"&amp;经验计算!O86,芦花古楼!$A$5:$A$104,"&lt;="&amp;经验计算!P86)</f>
        <v>0</v>
      </c>
      <c r="O86" s="123">
        <v>0</v>
      </c>
      <c r="P86" s="123">
        <v>0</v>
      </c>
      <c r="R86" s="129">
        <v>1.05</v>
      </c>
      <c r="S86" s="21">
        <f t="shared" ref="S86:S89" si="21">R86/$R$83</f>
        <v>0.19090909090909092</v>
      </c>
      <c r="T86" s="69">
        <f t="shared" ref="T86:T89" si="22">INT($N$93*S86/5)*5</f>
        <v>4620</v>
      </c>
      <c r="W86" s="129">
        <v>82</v>
      </c>
      <c r="X86" s="14">
        <f t="shared" si="18"/>
        <v>38460</v>
      </c>
    </row>
    <row r="87" spans="1:25" ht="16.5" x14ac:dyDescent="0.2">
      <c r="A87" s="159">
        <v>42</v>
      </c>
      <c r="B87" s="17">
        <v>4840</v>
      </c>
      <c r="D87" s="235"/>
      <c r="E87" s="235"/>
      <c r="F87" s="235"/>
      <c r="G87" s="235"/>
      <c r="M87" s="124" t="s">
        <v>117</v>
      </c>
      <c r="N87" s="14">
        <f>SUMIFS(芦花古楼!$P$5:$P$104,芦花古楼!$L$5:$L$104,"&gt;"&amp;经验计算!O87,芦花古楼!$L$5:$L$104,"&lt;="&amp;经验计算!P87)</f>
        <v>0</v>
      </c>
      <c r="O87" s="123">
        <v>0</v>
      </c>
      <c r="P87" s="123">
        <v>0</v>
      </c>
      <c r="R87" s="129">
        <v>1.1000000000000001</v>
      </c>
      <c r="S87" s="21">
        <f t="shared" si="21"/>
        <v>0.2</v>
      </c>
      <c r="T87" s="69">
        <f t="shared" si="22"/>
        <v>4840</v>
      </c>
      <c r="W87" s="129">
        <v>83</v>
      </c>
      <c r="X87" s="14">
        <f t="shared" si="18"/>
        <v>40205</v>
      </c>
    </row>
    <row r="88" spans="1:25" ht="16.5" x14ac:dyDescent="0.2">
      <c r="A88" s="159">
        <v>43</v>
      </c>
      <c r="B88" s="17">
        <v>5060</v>
      </c>
      <c r="D88" s="235"/>
      <c r="E88" s="235"/>
      <c r="F88" s="235"/>
      <c r="G88" s="235"/>
      <c r="M88" s="124" t="s">
        <v>116</v>
      </c>
      <c r="N88" s="14">
        <f>SUMIFS(芦花古楼!$AA$5:$AA$104,芦花古楼!$W$5:$W$104,"&gt;"&amp;经验计算!O88,芦花古楼!$W$5:$W$104,"&lt;="&amp;经验计算!P88)</f>
        <v>0</v>
      </c>
      <c r="O88" s="123">
        <v>0</v>
      </c>
      <c r="P88" s="123">
        <v>0</v>
      </c>
      <c r="R88" s="129">
        <v>1.1499999999999999</v>
      </c>
      <c r="S88" s="21">
        <f t="shared" si="21"/>
        <v>0.20909090909090908</v>
      </c>
      <c r="T88" s="69">
        <f t="shared" si="22"/>
        <v>5060</v>
      </c>
      <c r="W88" s="129">
        <v>84</v>
      </c>
      <c r="X88" s="14">
        <f t="shared" si="18"/>
        <v>41955</v>
      </c>
    </row>
    <row r="89" spans="1:25" ht="16.5" x14ac:dyDescent="0.2">
      <c r="A89" s="159">
        <v>44</v>
      </c>
      <c r="B89" s="17">
        <v>5280</v>
      </c>
      <c r="D89" s="235"/>
      <c r="E89" s="235"/>
      <c r="F89" s="235"/>
      <c r="G89" s="235"/>
      <c r="M89" s="124" t="s">
        <v>118</v>
      </c>
      <c r="N89" s="14">
        <f>SUMIFS(芦花古楼!$AL$5:$AL$104,芦花古楼!$AH$5:$AH$104,"&gt;"&amp;经验计算!O89,芦花古楼!$AH$5:$AH$104,"&lt;="&amp;经验计算!P89)</f>
        <v>0</v>
      </c>
      <c r="O89" s="123">
        <v>0</v>
      </c>
      <c r="P89" s="123">
        <v>0</v>
      </c>
      <c r="R89" s="129">
        <v>1.2</v>
      </c>
      <c r="S89" s="21">
        <f t="shared" si="21"/>
        <v>0.21818181818181817</v>
      </c>
      <c r="T89" s="69">
        <f t="shared" si="22"/>
        <v>5280</v>
      </c>
      <c r="W89" s="129">
        <v>85</v>
      </c>
      <c r="X89" s="14">
        <f t="shared" si="18"/>
        <v>44705</v>
      </c>
    </row>
    <row r="90" spans="1:25" ht="16.5" x14ac:dyDescent="0.2">
      <c r="A90" s="128"/>
      <c r="B90" s="128"/>
      <c r="D90" s="235"/>
      <c r="E90" s="235"/>
      <c r="F90" s="235"/>
      <c r="G90" s="235"/>
      <c r="M90" s="124" t="s">
        <v>47</v>
      </c>
      <c r="N90" s="14"/>
      <c r="O90" s="14">
        <f>日常任务!$D$2*经验计算!N90</f>
        <v>0</v>
      </c>
      <c r="P90" s="126"/>
      <c r="R90" s="131"/>
      <c r="S90" s="131"/>
      <c r="T90" s="131"/>
      <c r="W90" s="129">
        <v>86</v>
      </c>
      <c r="X90" s="14">
        <f t="shared" si="18"/>
        <v>46940</v>
      </c>
    </row>
    <row r="91" spans="1:25" ht="16.5" x14ac:dyDescent="0.2">
      <c r="A91" s="128"/>
      <c r="B91" s="128"/>
      <c r="D91" s="235"/>
      <c r="E91" s="235"/>
      <c r="F91" s="235"/>
      <c r="G91" s="235"/>
      <c r="M91" s="124" t="s">
        <v>44</v>
      </c>
      <c r="N91" s="14">
        <f>INDEX(节奏总表!$N$5:$N$35,经验计算!N84)*60</f>
        <v>1680</v>
      </c>
      <c r="O91" s="14">
        <f>INDEX(章节关卡!$G$6:$G$35,经验计算!N84-1)*经验计算!N91</f>
        <v>16800</v>
      </c>
      <c r="P91" s="126"/>
      <c r="R91" s="131"/>
      <c r="S91" s="131"/>
      <c r="T91" s="131"/>
      <c r="W91" s="129">
        <v>87</v>
      </c>
      <c r="X91" s="14">
        <f t="shared" si="18"/>
        <v>49180</v>
      </c>
    </row>
    <row r="92" spans="1:25" ht="16.5" x14ac:dyDescent="0.2">
      <c r="A92" s="128"/>
      <c r="B92" s="128"/>
      <c r="D92" s="235"/>
      <c r="E92" s="235"/>
      <c r="F92" s="235"/>
      <c r="G92" s="235"/>
      <c r="M92" s="124" t="s">
        <v>40</v>
      </c>
      <c r="N92" s="19">
        <v>0</v>
      </c>
      <c r="O92" s="14">
        <f>N93*N92</f>
        <v>0</v>
      </c>
      <c r="P92" s="126"/>
      <c r="R92" s="131"/>
      <c r="S92" s="131"/>
      <c r="T92" s="131"/>
      <c r="W92" s="129">
        <v>88</v>
      </c>
      <c r="X92" s="14">
        <f t="shared" si="18"/>
        <v>51415</v>
      </c>
    </row>
    <row r="93" spans="1:25" ht="16.5" x14ac:dyDescent="0.2">
      <c r="A93" s="128"/>
      <c r="B93" s="128"/>
      <c r="D93" s="235"/>
      <c r="E93" s="235"/>
      <c r="F93" s="235"/>
      <c r="G93" s="235"/>
      <c r="M93" s="124" t="s">
        <v>39</v>
      </c>
      <c r="N93" s="14">
        <f>(N85+N86+N88+N87+N89+O90+O91+P85)/(1-N92)</f>
        <v>24200</v>
      </c>
      <c r="O93" s="125"/>
      <c r="P93" s="126"/>
      <c r="R93" s="131"/>
      <c r="S93" s="131"/>
      <c r="T93" s="131"/>
      <c r="W93" s="129">
        <v>89</v>
      </c>
      <c r="X93" s="14">
        <f t="shared" si="18"/>
        <v>53650</v>
      </c>
    </row>
    <row r="94" spans="1:25" ht="16.5" x14ac:dyDescent="0.2">
      <c r="A94" s="128"/>
      <c r="B94" s="128"/>
      <c r="D94" s="235"/>
      <c r="E94" s="235"/>
      <c r="F94" s="235"/>
      <c r="G94" s="235"/>
      <c r="R94" s="131"/>
      <c r="S94" s="131"/>
      <c r="T94" s="131"/>
      <c r="W94" s="129">
        <v>90</v>
      </c>
      <c r="X94" s="14">
        <f t="shared" si="18"/>
        <v>51095</v>
      </c>
    </row>
    <row r="95" spans="1:25" ht="16.5" x14ac:dyDescent="0.2">
      <c r="A95" s="15"/>
      <c r="B95" s="15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W95" s="129">
        <v>91</v>
      </c>
      <c r="X95" s="14">
        <f t="shared" si="18"/>
        <v>53650</v>
      </c>
    </row>
    <row r="96" spans="1:25" ht="16.5" x14ac:dyDescent="0.2">
      <c r="A96" s="15"/>
      <c r="B96" s="15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31">
        <f>SUM(R98:R102)</f>
        <v>5.5</v>
      </c>
      <c r="S96" s="15"/>
      <c r="T96" s="15"/>
      <c r="W96" s="129">
        <v>92</v>
      </c>
      <c r="X96" s="14">
        <f t="shared" si="18"/>
        <v>56205</v>
      </c>
    </row>
    <row r="97" spans="1:25" ht="17.25" x14ac:dyDescent="0.2">
      <c r="A97" s="15"/>
      <c r="B97" s="15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24" t="s">
        <v>111</v>
      </c>
      <c r="N97" s="123">
        <v>8</v>
      </c>
      <c r="O97" s="124" t="s">
        <v>111</v>
      </c>
      <c r="P97" s="123">
        <v>6</v>
      </c>
      <c r="Q97" s="15"/>
      <c r="R97" s="12" t="s">
        <v>43</v>
      </c>
      <c r="S97" s="12" t="s">
        <v>41</v>
      </c>
      <c r="T97" s="12" t="s">
        <v>42</v>
      </c>
      <c r="W97" s="129">
        <v>93</v>
      </c>
      <c r="X97" s="14">
        <f t="shared" si="18"/>
        <v>58760</v>
      </c>
    </row>
    <row r="98" spans="1:25" ht="16.5" x14ac:dyDescent="0.2">
      <c r="A98" s="159">
        <v>45</v>
      </c>
      <c r="B98" s="17">
        <v>5615</v>
      </c>
      <c r="D98" s="235"/>
      <c r="E98" s="235"/>
      <c r="F98" s="235"/>
      <c r="G98" s="235"/>
      <c r="M98" s="130" t="s">
        <v>1056</v>
      </c>
      <c r="N98" s="14">
        <f>SUMIFS(章节关卡!$BD$5:$BD$304,章节关卡!$BB$5:$BB$304,"="&amp;经验计算!N97)</f>
        <v>2800</v>
      </c>
      <c r="O98" s="130" t="s">
        <v>1055</v>
      </c>
      <c r="P98" s="14">
        <f>SUMIFS(章节关卡!$BN$5:$BN$304,章节关卡!$BL$5:$BL$304,"="&amp;经验计算!P97)</f>
        <v>6500</v>
      </c>
      <c r="R98" s="129">
        <v>1</v>
      </c>
      <c r="S98" s="21">
        <f>R98/$R$96</f>
        <v>0.18181818181818182</v>
      </c>
      <c r="T98" s="24">
        <f>INT($N$106*S98/5)*5</f>
        <v>5615</v>
      </c>
      <c r="W98" s="129">
        <v>94</v>
      </c>
      <c r="X98" s="14">
        <f t="shared" si="18"/>
        <v>61315</v>
      </c>
    </row>
    <row r="99" spans="1:25" ht="16.5" x14ac:dyDescent="0.2">
      <c r="A99" s="159">
        <v>46</v>
      </c>
      <c r="B99" s="17">
        <v>5895</v>
      </c>
      <c r="D99" s="235"/>
      <c r="E99" s="235"/>
      <c r="F99" s="235"/>
      <c r="G99" s="235"/>
      <c r="M99" s="124" t="s">
        <v>115</v>
      </c>
      <c r="N99" s="14">
        <f>SUMIFS(芦花古楼!$E$5:$E$104,芦花古楼!$A$5:$A$104,"&gt;"&amp;经验计算!O99,芦花古楼!$A$5:$A$104,"&lt;="&amp;经验计算!P99)</f>
        <v>0</v>
      </c>
      <c r="O99" s="123">
        <v>0</v>
      </c>
      <c r="P99" s="123">
        <v>0</v>
      </c>
      <c r="R99" s="129">
        <v>1.05</v>
      </c>
      <c r="S99" s="21">
        <f t="shared" ref="S99:S102" si="23">R99/$R$96</f>
        <v>0.19090909090909092</v>
      </c>
      <c r="T99" s="69">
        <f t="shared" ref="T99:T102" si="24">INT($N$106*S99/5)*5</f>
        <v>5895</v>
      </c>
      <c r="W99" s="129">
        <v>95</v>
      </c>
      <c r="X99" s="14">
        <f t="shared" si="18"/>
        <v>59250</v>
      </c>
    </row>
    <row r="100" spans="1:25" ht="16.5" x14ac:dyDescent="0.2">
      <c r="A100" s="159">
        <v>47</v>
      </c>
      <c r="B100" s="17">
        <v>6180</v>
      </c>
      <c r="D100" s="235"/>
      <c r="E100" s="235"/>
      <c r="F100" s="235"/>
      <c r="G100" s="235"/>
      <c r="M100" s="124" t="s">
        <v>117</v>
      </c>
      <c r="N100" s="14">
        <f>SUMIFS(芦花古楼!$P$5:$P$104,芦花古楼!$L$5:$L$104,"&gt;"&amp;经验计算!O100,芦花古楼!$L$5:$L$104,"&lt;="&amp;经验计算!P100)</f>
        <v>0</v>
      </c>
      <c r="O100" s="123">
        <v>0</v>
      </c>
      <c r="P100" s="123">
        <v>0</v>
      </c>
      <c r="R100" s="129">
        <v>1.1000000000000001</v>
      </c>
      <c r="S100" s="21">
        <f t="shared" si="23"/>
        <v>0.2</v>
      </c>
      <c r="T100" s="69">
        <f t="shared" si="24"/>
        <v>6180</v>
      </c>
      <c r="W100" s="129">
        <v>96</v>
      </c>
      <c r="X100" s="14">
        <f t="shared" si="18"/>
        <v>62215</v>
      </c>
    </row>
    <row r="101" spans="1:25" ht="16.5" x14ac:dyDescent="0.2">
      <c r="A101" s="159">
        <v>48</v>
      </c>
      <c r="B101" s="17">
        <v>6460</v>
      </c>
      <c r="D101" s="235"/>
      <c r="E101" s="235"/>
      <c r="F101" s="235"/>
      <c r="G101" s="235"/>
      <c r="M101" s="124" t="s">
        <v>116</v>
      </c>
      <c r="N101" s="14">
        <f>SUMIFS(芦花古楼!$AA$5:$AA$104,芦花古楼!$W$5:$W$104,"&gt;"&amp;经验计算!O101,芦花古楼!$W$5:$W$104,"&lt;="&amp;经验计算!P101)</f>
        <v>0</v>
      </c>
      <c r="O101" s="123">
        <v>0</v>
      </c>
      <c r="P101" s="123">
        <v>0</v>
      </c>
      <c r="R101" s="129">
        <v>1.1499999999999999</v>
      </c>
      <c r="S101" s="21">
        <f t="shared" si="23"/>
        <v>0.20909090909090908</v>
      </c>
      <c r="T101" s="69">
        <f t="shared" si="24"/>
        <v>6460</v>
      </c>
      <c r="W101" s="129">
        <v>97</v>
      </c>
      <c r="X101" s="14">
        <f t="shared" ref="X101:X132" si="25">INDEX(B:B,MATCH(W101,A:A))</f>
        <v>65180</v>
      </c>
    </row>
    <row r="102" spans="1:25" ht="16.5" x14ac:dyDescent="0.2">
      <c r="A102" s="159">
        <v>49</v>
      </c>
      <c r="B102" s="17">
        <v>6740</v>
      </c>
      <c r="D102" s="235"/>
      <c r="E102" s="235"/>
      <c r="F102" s="235"/>
      <c r="G102" s="235"/>
      <c r="M102" s="124" t="s">
        <v>118</v>
      </c>
      <c r="N102" s="14">
        <f>SUMIFS(芦花古楼!$AL$5:$AL$104,芦花古楼!$AH$5:$AH$104,"&gt;"&amp;经验计算!O102,芦花古楼!$AH$5:$AH$104,"&lt;="&amp;经验计算!P102)</f>
        <v>0</v>
      </c>
      <c r="O102" s="123">
        <v>0</v>
      </c>
      <c r="P102" s="123">
        <v>0</v>
      </c>
      <c r="R102" s="129">
        <v>1.2</v>
      </c>
      <c r="S102" s="21">
        <f t="shared" si="23"/>
        <v>0.21818181818181817</v>
      </c>
      <c r="T102" s="69">
        <f t="shared" si="24"/>
        <v>6740</v>
      </c>
      <c r="W102" s="129">
        <v>98</v>
      </c>
      <c r="X102" s="14">
        <f t="shared" si="25"/>
        <v>68140</v>
      </c>
    </row>
    <row r="103" spans="1:25" ht="16.5" x14ac:dyDescent="0.2">
      <c r="A103" s="128"/>
      <c r="B103" s="128"/>
      <c r="D103" s="235"/>
      <c r="E103" s="235"/>
      <c r="F103" s="235"/>
      <c r="G103" s="235"/>
      <c r="M103" s="124" t="s">
        <v>47</v>
      </c>
      <c r="N103" s="14"/>
      <c r="O103" s="14">
        <f>日常任务!$D$2*经验计算!N103</f>
        <v>0</v>
      </c>
      <c r="P103" s="126"/>
      <c r="R103" s="131"/>
      <c r="S103" s="131"/>
      <c r="T103" s="131"/>
      <c r="W103" s="129">
        <v>99</v>
      </c>
      <c r="X103" s="14">
        <f t="shared" si="25"/>
        <v>71105</v>
      </c>
    </row>
    <row r="104" spans="1:25" ht="16.5" x14ac:dyDescent="0.2">
      <c r="A104" s="128"/>
      <c r="B104" s="128"/>
      <c r="D104" s="235"/>
      <c r="E104" s="235"/>
      <c r="F104" s="235"/>
      <c r="G104" s="235"/>
      <c r="M104" s="124" t="s">
        <v>44</v>
      </c>
      <c r="N104" s="14">
        <f>INDEX(节奏总表!$N$5:$N$35,经验计算!N97)*60</f>
        <v>1800</v>
      </c>
      <c r="O104" s="14">
        <f>INDEX(章节关卡!$G$6:$G$35,经验计算!N97-1)*经验计算!N104</f>
        <v>21600</v>
      </c>
      <c r="P104" s="126"/>
      <c r="R104" s="131"/>
      <c r="S104" s="131"/>
      <c r="T104" s="131"/>
      <c r="W104" s="129">
        <v>100</v>
      </c>
      <c r="X104" s="14">
        <f t="shared" si="25"/>
        <v>65545</v>
      </c>
    </row>
    <row r="105" spans="1:25" ht="16.5" x14ac:dyDescent="0.2">
      <c r="A105" s="128"/>
      <c r="B105" s="128"/>
      <c r="D105" s="235"/>
      <c r="E105" s="235"/>
      <c r="F105" s="235"/>
      <c r="G105" s="235"/>
      <c r="M105" s="124" t="s">
        <v>40</v>
      </c>
      <c r="N105" s="19">
        <v>0</v>
      </c>
      <c r="O105" s="14">
        <f>N106*N105</f>
        <v>0</v>
      </c>
      <c r="P105" s="126"/>
      <c r="R105" s="131"/>
      <c r="S105" s="131"/>
      <c r="T105" s="131"/>
      <c r="W105" s="129">
        <v>101</v>
      </c>
      <c r="X105" s="14">
        <f t="shared" si="25"/>
        <v>68820</v>
      </c>
    </row>
    <row r="106" spans="1:25" ht="16.5" x14ac:dyDescent="0.2">
      <c r="A106" s="128"/>
      <c r="B106" s="128"/>
      <c r="D106" s="235"/>
      <c r="E106" s="235"/>
      <c r="F106" s="235"/>
      <c r="G106" s="235"/>
      <c r="M106" s="124" t="s">
        <v>39</v>
      </c>
      <c r="N106" s="14">
        <f>(N98+N99+N101+N100+N102+O103+O104+P98)/(1-N105)</f>
        <v>30900</v>
      </c>
      <c r="O106" s="125"/>
      <c r="P106" s="126"/>
      <c r="R106" s="131"/>
      <c r="S106" s="131"/>
      <c r="T106" s="131"/>
      <c r="W106" s="129">
        <v>102</v>
      </c>
      <c r="X106" s="14">
        <f t="shared" si="25"/>
        <v>72100</v>
      </c>
    </row>
    <row r="107" spans="1:25" ht="16.5" x14ac:dyDescent="0.2">
      <c r="A107" s="128"/>
      <c r="B107" s="128"/>
      <c r="D107" s="235"/>
      <c r="E107" s="235"/>
      <c r="F107" s="235"/>
      <c r="G107" s="235"/>
      <c r="R107" s="131"/>
      <c r="S107" s="131"/>
      <c r="T107" s="131"/>
      <c r="W107" s="129">
        <v>103</v>
      </c>
      <c r="X107" s="14">
        <f t="shared" si="25"/>
        <v>75375</v>
      </c>
    </row>
    <row r="108" spans="1:25" s="15" customFormat="1" ht="16.5" x14ac:dyDescent="0.2">
      <c r="V108" s="131"/>
      <c r="W108" s="129">
        <v>104</v>
      </c>
      <c r="X108" s="14">
        <f t="shared" si="25"/>
        <v>78650</v>
      </c>
      <c r="Y108" s="131"/>
    </row>
    <row r="109" spans="1:25" s="15" customFormat="1" ht="16.5" x14ac:dyDescent="0.2">
      <c r="R109" s="131">
        <f>SUM(R111:R115)</f>
        <v>5.5</v>
      </c>
      <c r="V109" s="131"/>
      <c r="W109" s="129">
        <v>105</v>
      </c>
      <c r="X109" s="14">
        <f t="shared" si="25"/>
        <v>73160</v>
      </c>
      <c r="Y109" s="131"/>
    </row>
    <row r="110" spans="1:25" s="15" customFormat="1" ht="17.25" x14ac:dyDescent="0.2">
      <c r="M110" s="124" t="s">
        <v>111</v>
      </c>
      <c r="N110" s="123">
        <v>9</v>
      </c>
      <c r="O110" s="124" t="s">
        <v>111</v>
      </c>
      <c r="P110" s="123">
        <v>7</v>
      </c>
      <c r="R110" s="12" t="s">
        <v>43</v>
      </c>
      <c r="S110" s="12" t="s">
        <v>41</v>
      </c>
      <c r="T110" s="12" t="s">
        <v>42</v>
      </c>
      <c r="V110" s="131"/>
      <c r="W110" s="129">
        <v>106</v>
      </c>
      <c r="X110" s="14">
        <f t="shared" si="25"/>
        <v>76820</v>
      </c>
      <c r="Y110" s="131"/>
    </row>
    <row r="111" spans="1:25" ht="15.75" customHeight="1" x14ac:dyDescent="0.2">
      <c r="A111" s="159">
        <v>50</v>
      </c>
      <c r="B111" s="17">
        <v>7225</v>
      </c>
      <c r="D111" s="235"/>
      <c r="E111" s="235"/>
      <c r="F111" s="235"/>
      <c r="G111" s="235"/>
      <c r="M111" s="130" t="s">
        <v>1056</v>
      </c>
      <c r="N111" s="14">
        <f>SUMIFS(章节关卡!$BD$5:$BD$304,章节关卡!$BB$5:$BB$304,"="&amp;经验计算!N110)</f>
        <v>3200</v>
      </c>
      <c r="O111" s="130" t="s">
        <v>1055</v>
      </c>
      <c r="P111" s="14">
        <f>SUMIFS(章节关卡!$BN$5:$BN$304,章节关卡!$BL$5:$BL$304,"="&amp;经验计算!P110)</f>
        <v>8000</v>
      </c>
      <c r="R111" s="129">
        <v>1</v>
      </c>
      <c r="S111" s="21">
        <f>R111/$R$109</f>
        <v>0.18181818181818182</v>
      </c>
      <c r="T111" s="24">
        <f>INT($N$119*S111/5)*5</f>
        <v>7225</v>
      </c>
      <c r="W111" s="129">
        <v>107</v>
      </c>
      <c r="X111" s="14">
        <f t="shared" si="25"/>
        <v>80480</v>
      </c>
    </row>
    <row r="112" spans="1:25" ht="16.5" x14ac:dyDescent="0.2">
      <c r="A112" s="159">
        <v>51</v>
      </c>
      <c r="B112" s="17">
        <v>7590</v>
      </c>
      <c r="D112" s="235"/>
      <c r="E112" s="235"/>
      <c r="F112" s="235"/>
      <c r="G112" s="235"/>
      <c r="M112" s="124" t="s">
        <v>115</v>
      </c>
      <c r="N112" s="14">
        <f>SUMIFS(芦花古楼!$E$5:$E$104,芦花古楼!$A$5:$A$104,"&gt;"&amp;经验计算!O112,芦花古楼!$A$5:$A$104,"&lt;="&amp;经验计算!P112)</f>
        <v>0</v>
      </c>
      <c r="O112" s="123">
        <v>0</v>
      </c>
      <c r="P112" s="123">
        <v>0</v>
      </c>
      <c r="R112" s="129">
        <v>1.05</v>
      </c>
      <c r="S112" s="21">
        <f t="shared" ref="S112:S115" si="26">R112/$R$109</f>
        <v>0.19090909090909092</v>
      </c>
      <c r="T112" s="69">
        <f t="shared" ref="T112:T115" si="27">INT($N$119*S112/5)*5</f>
        <v>7590</v>
      </c>
      <c r="W112" s="129">
        <v>108</v>
      </c>
      <c r="X112" s="14">
        <f t="shared" si="25"/>
        <v>84135</v>
      </c>
    </row>
    <row r="113" spans="1:25" ht="16.5" x14ac:dyDescent="0.2">
      <c r="A113" s="159">
        <v>52</v>
      </c>
      <c r="B113" s="17">
        <v>7950</v>
      </c>
      <c r="D113" s="235"/>
      <c r="E113" s="235"/>
      <c r="F113" s="235"/>
      <c r="G113" s="235"/>
      <c r="M113" s="124" t="s">
        <v>117</v>
      </c>
      <c r="N113" s="14">
        <f>SUMIFS(芦花古楼!$P$5:$P$104,芦花古楼!$L$5:$L$104,"&gt;"&amp;经验计算!O113,芦花古楼!$L$5:$L$104,"&lt;="&amp;经验计算!P113)</f>
        <v>0</v>
      </c>
      <c r="O113" s="123">
        <v>0</v>
      </c>
      <c r="P113" s="123">
        <v>0</v>
      </c>
      <c r="R113" s="129">
        <v>1.1000000000000001</v>
      </c>
      <c r="S113" s="21">
        <f t="shared" si="26"/>
        <v>0.2</v>
      </c>
      <c r="T113" s="69">
        <f t="shared" si="27"/>
        <v>7950</v>
      </c>
      <c r="W113" s="129">
        <v>109</v>
      </c>
      <c r="X113" s="14">
        <f t="shared" si="25"/>
        <v>87795</v>
      </c>
    </row>
    <row r="114" spans="1:25" ht="16.5" x14ac:dyDescent="0.2">
      <c r="A114" s="159">
        <v>53</v>
      </c>
      <c r="B114" s="17">
        <v>8310</v>
      </c>
      <c r="D114" s="235"/>
      <c r="E114" s="235"/>
      <c r="F114" s="235"/>
      <c r="G114" s="235"/>
      <c r="M114" s="124" t="s">
        <v>116</v>
      </c>
      <c r="N114" s="14">
        <f>SUMIFS(芦花古楼!$AA$5:$AA$104,芦花古楼!$W$5:$W$104,"&gt;"&amp;经验计算!O114,芦花古楼!$W$5:$W$104,"&lt;="&amp;经验计算!P114)</f>
        <v>0</v>
      </c>
      <c r="O114" s="123">
        <v>0</v>
      </c>
      <c r="P114" s="123">
        <v>0</v>
      </c>
      <c r="R114" s="129">
        <v>1.1499999999999999</v>
      </c>
      <c r="S114" s="21">
        <f t="shared" si="26"/>
        <v>0.20909090909090908</v>
      </c>
      <c r="T114" s="69">
        <f t="shared" si="27"/>
        <v>8310</v>
      </c>
      <c r="W114" s="129">
        <v>110</v>
      </c>
      <c r="X114" s="14">
        <f t="shared" si="25"/>
        <v>81225</v>
      </c>
    </row>
    <row r="115" spans="1:25" ht="16.5" x14ac:dyDescent="0.2">
      <c r="A115" s="159">
        <v>54</v>
      </c>
      <c r="B115" s="17">
        <v>8670</v>
      </c>
      <c r="D115" s="235"/>
      <c r="E115" s="235"/>
      <c r="F115" s="235"/>
      <c r="G115" s="235"/>
      <c r="M115" s="124" t="s">
        <v>118</v>
      </c>
      <c r="N115" s="14">
        <f>SUMIFS(芦花古楼!$AL$5:$AL$104,芦花古楼!$AH$5:$AH$104,"&gt;"&amp;经验计算!O115,芦花古楼!$AH$5:$AH$104,"&lt;="&amp;经验计算!P115)</f>
        <v>0</v>
      </c>
      <c r="O115" s="123">
        <v>0</v>
      </c>
      <c r="P115" s="123">
        <v>0</v>
      </c>
      <c r="R115" s="129">
        <v>1.2</v>
      </c>
      <c r="S115" s="21">
        <f t="shared" si="26"/>
        <v>0.21818181818181817</v>
      </c>
      <c r="T115" s="69">
        <f t="shared" si="27"/>
        <v>8670</v>
      </c>
      <c r="W115" s="129">
        <v>111</v>
      </c>
      <c r="X115" s="14">
        <f t="shared" si="25"/>
        <v>85285</v>
      </c>
    </row>
    <row r="116" spans="1:25" ht="16.5" x14ac:dyDescent="0.2">
      <c r="A116" s="128"/>
      <c r="B116" s="128"/>
      <c r="D116" s="235"/>
      <c r="E116" s="235"/>
      <c r="F116" s="235"/>
      <c r="G116" s="235"/>
      <c r="M116" s="124" t="s">
        <v>47</v>
      </c>
      <c r="N116" s="14"/>
      <c r="O116" s="14">
        <f>日常任务!$D$2*经验计算!N116</f>
        <v>0</v>
      </c>
      <c r="P116" s="126"/>
      <c r="R116" s="131"/>
      <c r="S116" s="131"/>
      <c r="T116" s="131"/>
      <c r="W116" s="129">
        <v>112</v>
      </c>
      <c r="X116" s="14">
        <f t="shared" si="25"/>
        <v>89345</v>
      </c>
    </row>
    <row r="117" spans="1:25" ht="16.5" x14ac:dyDescent="0.2">
      <c r="A117" s="128"/>
      <c r="B117" s="128"/>
      <c r="D117" s="235"/>
      <c r="E117" s="235"/>
      <c r="F117" s="235"/>
      <c r="G117" s="235"/>
      <c r="M117" s="124" t="s">
        <v>44</v>
      </c>
      <c r="N117" s="14">
        <f>INDEX(节奏总表!$N$5:$N$35,经验计算!N110)*60</f>
        <v>2040</v>
      </c>
      <c r="O117" s="14">
        <f>INDEX(章节关卡!$G$6:$G$35,经验计算!N110-1)*经验计算!N117</f>
        <v>28560</v>
      </c>
      <c r="P117" s="126"/>
      <c r="R117" s="131"/>
      <c r="S117" s="131"/>
      <c r="T117" s="131"/>
      <c r="W117" s="129">
        <v>113</v>
      </c>
      <c r="X117" s="14">
        <f t="shared" si="25"/>
        <v>93405</v>
      </c>
    </row>
    <row r="118" spans="1:25" ht="16.5" x14ac:dyDescent="0.2">
      <c r="A118" s="128"/>
      <c r="B118" s="128"/>
      <c r="D118" s="235"/>
      <c r="E118" s="235"/>
      <c r="F118" s="235"/>
      <c r="G118" s="235"/>
      <c r="M118" s="124" t="s">
        <v>40</v>
      </c>
      <c r="N118" s="19">
        <v>0</v>
      </c>
      <c r="O118" s="14">
        <f>N119*N118</f>
        <v>0</v>
      </c>
      <c r="P118" s="126"/>
      <c r="R118" s="131"/>
      <c r="S118" s="131"/>
      <c r="T118" s="131"/>
      <c r="W118" s="129">
        <v>114</v>
      </c>
      <c r="X118" s="14">
        <f t="shared" si="25"/>
        <v>97470</v>
      </c>
    </row>
    <row r="119" spans="1:25" ht="16.5" x14ac:dyDescent="0.2">
      <c r="A119" s="128"/>
      <c r="B119" s="128"/>
      <c r="D119" s="235"/>
      <c r="E119" s="235"/>
      <c r="F119" s="235"/>
      <c r="G119" s="235"/>
      <c r="M119" s="124" t="s">
        <v>39</v>
      </c>
      <c r="N119" s="14">
        <f>(N111+N112+N114+N113+N115+O116+O117+P111)/(1-N118)</f>
        <v>39760</v>
      </c>
      <c r="O119" s="125"/>
      <c r="P119" s="126"/>
      <c r="R119" s="131"/>
      <c r="S119" s="131"/>
      <c r="T119" s="131"/>
      <c r="W119" s="129">
        <v>115</v>
      </c>
      <c r="X119" s="14">
        <f t="shared" si="25"/>
        <v>90850</v>
      </c>
    </row>
    <row r="120" spans="1:25" ht="16.5" x14ac:dyDescent="0.2">
      <c r="A120" s="128"/>
      <c r="B120" s="128"/>
      <c r="D120" s="235"/>
      <c r="E120" s="235"/>
      <c r="F120" s="235"/>
      <c r="G120" s="235"/>
      <c r="R120" s="131"/>
      <c r="S120" s="131"/>
      <c r="T120" s="131"/>
      <c r="W120" s="129">
        <v>116</v>
      </c>
      <c r="X120" s="14">
        <f t="shared" si="25"/>
        <v>95395</v>
      </c>
    </row>
    <row r="121" spans="1:25" ht="16.5" x14ac:dyDescent="0.2">
      <c r="A121" s="128"/>
      <c r="B121" s="128"/>
      <c r="C121" s="15"/>
      <c r="D121" s="15"/>
      <c r="E121" s="15"/>
      <c r="F121" s="15"/>
      <c r="G121" s="15"/>
      <c r="H121" s="15"/>
      <c r="I121" s="15"/>
      <c r="J121" s="15"/>
      <c r="K121" s="15"/>
      <c r="L121" s="15"/>
      <c r="M121" s="15"/>
      <c r="N121" s="15"/>
      <c r="O121" s="15"/>
      <c r="P121" s="15"/>
      <c r="Q121" s="15"/>
      <c r="R121" s="15"/>
      <c r="S121" s="15"/>
      <c r="T121" s="15"/>
      <c r="U121" s="15"/>
      <c r="V121" s="131"/>
      <c r="W121" s="129">
        <v>117</v>
      </c>
      <c r="X121" s="14">
        <f t="shared" si="25"/>
        <v>99940</v>
      </c>
      <c r="Y121" s="131"/>
    </row>
    <row r="122" spans="1:25" ht="16.5" x14ac:dyDescent="0.2">
      <c r="A122" s="15"/>
      <c r="B122" s="15"/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  <c r="R122" s="131">
        <f>SUM(R124:R128)</f>
        <v>5.5</v>
      </c>
      <c r="S122" s="15"/>
      <c r="T122" s="15"/>
      <c r="U122" s="15"/>
      <c r="V122" s="131"/>
      <c r="W122" s="129">
        <v>118</v>
      </c>
      <c r="X122" s="14">
        <f t="shared" si="25"/>
        <v>104480</v>
      </c>
      <c r="Y122" s="131"/>
    </row>
    <row r="123" spans="1:25" ht="17.25" x14ac:dyDescent="0.2">
      <c r="A123" s="15"/>
      <c r="B123" s="15"/>
      <c r="C123" s="15"/>
      <c r="D123" s="15"/>
      <c r="E123" s="15"/>
      <c r="F123" s="15"/>
      <c r="G123" s="15"/>
      <c r="H123" s="15"/>
      <c r="I123" s="15"/>
      <c r="J123" s="15"/>
      <c r="K123" s="15"/>
      <c r="L123" s="15"/>
      <c r="M123" s="124" t="s">
        <v>111</v>
      </c>
      <c r="N123" s="123">
        <v>10</v>
      </c>
      <c r="O123" s="124" t="s">
        <v>111</v>
      </c>
      <c r="P123" s="123">
        <v>8</v>
      </c>
      <c r="Q123" s="15"/>
      <c r="R123" s="12" t="s">
        <v>43</v>
      </c>
      <c r="S123" s="12" t="s">
        <v>41</v>
      </c>
      <c r="T123" s="12" t="s">
        <v>42</v>
      </c>
      <c r="U123" s="15"/>
      <c r="V123" s="131"/>
      <c r="W123" s="129">
        <v>119</v>
      </c>
      <c r="X123" s="14">
        <f t="shared" si="25"/>
        <v>109025</v>
      </c>
      <c r="Y123" s="131"/>
    </row>
    <row r="124" spans="1:25" ht="16.5" x14ac:dyDescent="0.2">
      <c r="A124" s="159">
        <v>55</v>
      </c>
      <c r="B124" s="17">
        <v>9635</v>
      </c>
      <c r="D124" s="235"/>
      <c r="E124" s="235"/>
      <c r="F124" s="235"/>
      <c r="G124" s="235"/>
      <c r="M124" s="130" t="s">
        <v>1056</v>
      </c>
      <c r="N124" s="14">
        <f>SUMIFS(章节关卡!$BD$5:$BD$304,章节关卡!$BB$5:$BB$304,"="&amp;经验计算!N123)</f>
        <v>3600</v>
      </c>
      <c r="O124" s="130" t="s">
        <v>1055</v>
      </c>
      <c r="P124" s="14">
        <f>SUMIFS(章节关卡!$BN$5:$BN$304,章节关卡!$BL$5:$BL$304,"="&amp;经验计算!P123)</f>
        <v>11000</v>
      </c>
      <c r="R124" s="129">
        <v>1</v>
      </c>
      <c r="S124" s="21">
        <f>R124/$R$122</f>
        <v>0.18181818181818182</v>
      </c>
      <c r="T124" s="24">
        <f>INT($N$132*S124/5)*5</f>
        <v>9635</v>
      </c>
      <c r="W124" s="129">
        <v>120</v>
      </c>
      <c r="X124" s="14">
        <f t="shared" si="25"/>
        <v>105670</v>
      </c>
    </row>
    <row r="125" spans="1:25" ht="16.5" x14ac:dyDescent="0.2">
      <c r="A125" s="159">
        <v>56</v>
      </c>
      <c r="B125" s="17">
        <v>10115</v>
      </c>
      <c r="D125" s="235"/>
      <c r="E125" s="235"/>
      <c r="F125" s="235"/>
      <c r="G125" s="235"/>
      <c r="M125" s="124" t="s">
        <v>115</v>
      </c>
      <c r="N125" s="14">
        <f>SUMIFS(芦花古楼!$E$5:$E$104,芦花古楼!$A$5:$A$104,"&gt;"&amp;经验计算!O125,芦花古楼!$A$5:$A$104,"&lt;="&amp;经验计算!P125)</f>
        <v>0</v>
      </c>
      <c r="O125" s="123">
        <v>0</v>
      </c>
      <c r="P125" s="123">
        <v>0</v>
      </c>
      <c r="R125" s="129">
        <v>1.05</v>
      </c>
      <c r="S125" s="21">
        <f t="shared" ref="S125:S128" si="28">R125/$R$122</f>
        <v>0.19090909090909092</v>
      </c>
      <c r="T125" s="69">
        <f t="shared" ref="T125:T128" si="29">INT($N$132*S125/5)*5</f>
        <v>10115</v>
      </c>
      <c r="W125" s="129">
        <v>121</v>
      </c>
      <c r="X125" s="14">
        <f t="shared" si="25"/>
        <v>110955</v>
      </c>
    </row>
    <row r="126" spans="1:25" ht="16.5" x14ac:dyDescent="0.2">
      <c r="A126" s="159">
        <v>57</v>
      </c>
      <c r="B126" s="17">
        <v>10600</v>
      </c>
      <c r="D126" s="235"/>
      <c r="E126" s="235"/>
      <c r="F126" s="235"/>
      <c r="G126" s="235"/>
      <c r="M126" s="124" t="s">
        <v>117</v>
      </c>
      <c r="N126" s="14">
        <f>SUMIFS(芦花古楼!$P$5:$P$104,芦花古楼!$L$5:$L$104,"&gt;"&amp;经验计算!O126,芦花古楼!$L$5:$L$104,"&lt;="&amp;经验计算!P126)</f>
        <v>0</v>
      </c>
      <c r="O126" s="123">
        <v>0</v>
      </c>
      <c r="P126" s="123">
        <v>0</v>
      </c>
      <c r="R126" s="129">
        <v>1.1000000000000001</v>
      </c>
      <c r="S126" s="21">
        <f t="shared" si="28"/>
        <v>0.2</v>
      </c>
      <c r="T126" s="69">
        <f t="shared" si="29"/>
        <v>10600</v>
      </c>
      <c r="W126" s="129">
        <v>122</v>
      </c>
      <c r="X126" s="14">
        <f t="shared" si="25"/>
        <v>116240</v>
      </c>
    </row>
    <row r="127" spans="1:25" ht="16.5" x14ac:dyDescent="0.2">
      <c r="A127" s="159">
        <v>58</v>
      </c>
      <c r="B127" s="17">
        <v>11080</v>
      </c>
      <c r="D127" s="235"/>
      <c r="E127" s="235"/>
      <c r="F127" s="235"/>
      <c r="G127" s="235"/>
      <c r="M127" s="124" t="s">
        <v>116</v>
      </c>
      <c r="N127" s="14">
        <f>SUMIFS(芦花古楼!$AA$5:$AA$104,芦花古楼!$W$5:$W$104,"&gt;"&amp;经验计算!O127,芦花古楼!$W$5:$W$104,"&lt;="&amp;经验计算!P127)</f>
        <v>0</v>
      </c>
      <c r="O127" s="123">
        <v>0</v>
      </c>
      <c r="P127" s="123">
        <v>0</v>
      </c>
      <c r="R127" s="129">
        <v>1.1499999999999999</v>
      </c>
      <c r="S127" s="21">
        <f t="shared" si="28"/>
        <v>0.20909090909090908</v>
      </c>
      <c r="T127" s="69">
        <f t="shared" si="29"/>
        <v>11080</v>
      </c>
      <c r="W127" s="129">
        <v>123</v>
      </c>
      <c r="X127" s="14">
        <f t="shared" si="25"/>
        <v>121520</v>
      </c>
    </row>
    <row r="128" spans="1:25" ht="16.5" x14ac:dyDescent="0.2">
      <c r="A128" s="159">
        <v>59</v>
      </c>
      <c r="B128" s="17">
        <v>11560</v>
      </c>
      <c r="D128" s="235"/>
      <c r="E128" s="235"/>
      <c r="F128" s="235"/>
      <c r="G128" s="235"/>
      <c r="M128" s="124" t="s">
        <v>118</v>
      </c>
      <c r="N128" s="14">
        <f>SUMIFS(芦花古楼!$AL$5:$AL$104,芦花古楼!$AH$5:$AH$104,"&gt;"&amp;经验计算!O128,芦花古楼!$AH$5:$AH$104,"&lt;="&amp;经验计算!P128)</f>
        <v>0</v>
      </c>
      <c r="O128" s="123">
        <v>0</v>
      </c>
      <c r="P128" s="123">
        <v>0</v>
      </c>
      <c r="R128" s="129">
        <v>1.2</v>
      </c>
      <c r="S128" s="21">
        <f t="shared" si="28"/>
        <v>0.21818181818181817</v>
      </c>
      <c r="T128" s="69">
        <f t="shared" si="29"/>
        <v>11560</v>
      </c>
      <c r="W128" s="129">
        <v>124</v>
      </c>
      <c r="X128" s="14">
        <f t="shared" si="25"/>
        <v>126805</v>
      </c>
    </row>
    <row r="129" spans="1:25" ht="16.5" x14ac:dyDescent="0.2">
      <c r="A129" s="128"/>
      <c r="B129" s="128"/>
      <c r="D129" s="235"/>
      <c r="E129" s="235"/>
      <c r="F129" s="235"/>
      <c r="G129" s="235"/>
      <c r="M129" s="124" t="s">
        <v>47</v>
      </c>
      <c r="N129" s="14"/>
      <c r="O129" s="14">
        <f>日常任务!$D$2*经验计算!N129</f>
        <v>0</v>
      </c>
      <c r="P129" s="126"/>
      <c r="R129" s="131"/>
      <c r="S129" s="131"/>
      <c r="T129" s="131"/>
      <c r="W129" s="129">
        <v>125</v>
      </c>
      <c r="X129" s="14">
        <f t="shared" si="25"/>
        <v>127180</v>
      </c>
    </row>
    <row r="130" spans="1:25" ht="16.5" x14ac:dyDescent="0.2">
      <c r="A130" s="128"/>
      <c r="B130" s="128"/>
      <c r="D130" s="235"/>
      <c r="E130" s="235"/>
      <c r="F130" s="235"/>
      <c r="G130" s="235"/>
      <c r="M130" s="124" t="s">
        <v>44</v>
      </c>
      <c r="N130" s="14">
        <f>INDEX(节奏总表!$N$5:$N$35,经验计算!N123)*60</f>
        <v>2400</v>
      </c>
      <c r="O130" s="14">
        <f>INDEX(章节关卡!$G$6:$G$35,经验计算!N123-1)*经验计算!N130</f>
        <v>38400</v>
      </c>
      <c r="P130" s="126"/>
      <c r="R130" s="131"/>
      <c r="S130" s="131"/>
      <c r="T130" s="131"/>
      <c r="W130" s="129">
        <v>126</v>
      </c>
      <c r="X130" s="14">
        <f t="shared" si="25"/>
        <v>133540</v>
      </c>
    </row>
    <row r="131" spans="1:25" ht="16.5" x14ac:dyDescent="0.2">
      <c r="A131" s="128"/>
      <c r="B131" s="128"/>
      <c r="D131" s="235"/>
      <c r="E131" s="235"/>
      <c r="F131" s="235"/>
      <c r="G131" s="235"/>
      <c r="M131" s="124" t="s">
        <v>40</v>
      </c>
      <c r="N131" s="19">
        <v>0</v>
      </c>
      <c r="O131" s="14">
        <f>N132*N131</f>
        <v>0</v>
      </c>
      <c r="P131" s="126"/>
      <c r="R131" s="131"/>
      <c r="S131" s="131"/>
      <c r="T131" s="131"/>
      <c r="W131" s="129">
        <v>127</v>
      </c>
      <c r="X131" s="14">
        <f t="shared" si="25"/>
        <v>139900</v>
      </c>
    </row>
    <row r="132" spans="1:25" ht="16.5" x14ac:dyDescent="0.2">
      <c r="A132" s="128"/>
      <c r="B132" s="128"/>
      <c r="D132" s="235"/>
      <c r="E132" s="235"/>
      <c r="F132" s="235"/>
      <c r="G132" s="235"/>
      <c r="M132" s="124" t="s">
        <v>39</v>
      </c>
      <c r="N132" s="14">
        <f>(N124+N125+N127+N126+N128+O129+O130+P124)/(1-N131)</f>
        <v>53000</v>
      </c>
      <c r="O132" s="125"/>
      <c r="P132" s="126"/>
      <c r="R132" s="131"/>
      <c r="S132" s="131"/>
      <c r="T132" s="131"/>
      <c r="W132" s="129">
        <v>128</v>
      </c>
      <c r="X132" s="14">
        <f t="shared" si="25"/>
        <v>146255</v>
      </c>
    </row>
    <row r="133" spans="1:25" ht="16.5" x14ac:dyDescent="0.2">
      <c r="A133" s="128"/>
      <c r="B133" s="128"/>
      <c r="D133" s="235"/>
      <c r="E133" s="235"/>
      <c r="F133" s="235"/>
      <c r="G133" s="235"/>
      <c r="R133" s="131"/>
      <c r="S133" s="131"/>
      <c r="T133" s="131"/>
      <c r="W133" s="129">
        <v>129</v>
      </c>
      <c r="X133" s="14">
        <f t="shared" ref="X133:X154" si="30">INDEX(B:B,MATCH(W133,A:A))</f>
        <v>152615</v>
      </c>
    </row>
    <row r="134" spans="1:25" ht="16.5" x14ac:dyDescent="0.2">
      <c r="A134" s="15"/>
      <c r="B134" s="15"/>
      <c r="C134" s="15"/>
      <c r="D134" s="15"/>
      <c r="E134" s="15"/>
      <c r="F134" s="15"/>
      <c r="G134" s="15"/>
      <c r="H134" s="15"/>
      <c r="I134" s="15"/>
      <c r="J134" s="15"/>
      <c r="K134" s="15"/>
      <c r="L134" s="15"/>
      <c r="M134" s="15"/>
      <c r="N134" s="15"/>
      <c r="O134" s="15"/>
      <c r="P134" s="15"/>
      <c r="Q134" s="15"/>
      <c r="R134" s="15"/>
      <c r="S134" s="15"/>
      <c r="T134" s="15"/>
      <c r="U134" s="15"/>
      <c r="V134" s="131"/>
      <c r="W134" s="129">
        <v>130</v>
      </c>
      <c r="X134" s="14">
        <f t="shared" si="30"/>
        <v>162545</v>
      </c>
      <c r="Y134" s="131"/>
    </row>
    <row r="135" spans="1:25" ht="16.5" x14ac:dyDescent="0.2">
      <c r="A135" s="15"/>
      <c r="B135" s="15"/>
      <c r="C135" s="15"/>
      <c r="D135" s="15"/>
      <c r="E135" s="15"/>
      <c r="F135" s="15"/>
      <c r="G135" s="15"/>
      <c r="H135" s="15"/>
      <c r="I135" s="15"/>
      <c r="J135" s="15"/>
      <c r="K135" s="15"/>
      <c r="L135" s="15"/>
      <c r="M135" s="15"/>
      <c r="N135" s="15"/>
      <c r="O135" s="15"/>
      <c r="P135" s="15"/>
      <c r="Q135" s="15"/>
      <c r="R135" s="15"/>
      <c r="S135" s="15"/>
      <c r="T135" s="15"/>
      <c r="U135" s="15"/>
      <c r="V135" s="131"/>
      <c r="W135" s="129">
        <v>131</v>
      </c>
      <c r="X135" s="14">
        <f t="shared" si="30"/>
        <v>170670</v>
      </c>
      <c r="Y135" s="131"/>
    </row>
    <row r="136" spans="1:25" ht="16.5" x14ac:dyDescent="0.2">
      <c r="A136" s="15"/>
      <c r="B136" s="15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  <c r="R136" s="131">
        <f>SUM(R138:R142)</f>
        <v>5.5</v>
      </c>
      <c r="S136" s="15"/>
      <c r="T136" s="15"/>
      <c r="U136" s="15"/>
      <c r="V136" s="131"/>
      <c r="W136" s="129">
        <v>132</v>
      </c>
      <c r="X136" s="14">
        <f t="shared" si="30"/>
        <v>178800</v>
      </c>
      <c r="Y136" s="131"/>
    </row>
    <row r="137" spans="1:25" ht="17.25" x14ac:dyDescent="0.2">
      <c r="A137" s="159">
        <v>60</v>
      </c>
      <c r="B137" s="17">
        <v>12015</v>
      </c>
      <c r="D137" s="235"/>
      <c r="E137" s="235"/>
      <c r="F137" s="235"/>
      <c r="G137" s="235"/>
      <c r="M137" s="124" t="s">
        <v>111</v>
      </c>
      <c r="N137" s="123">
        <v>11</v>
      </c>
      <c r="O137" s="124" t="s">
        <v>111</v>
      </c>
      <c r="P137" s="123">
        <v>9</v>
      </c>
      <c r="Q137" s="15"/>
      <c r="R137" s="12" t="s">
        <v>43</v>
      </c>
      <c r="S137" s="12" t="s">
        <v>41</v>
      </c>
      <c r="T137" s="12" t="s">
        <v>42</v>
      </c>
      <c r="W137" s="129">
        <v>133</v>
      </c>
      <c r="X137" s="14">
        <f t="shared" si="30"/>
        <v>186925</v>
      </c>
    </row>
    <row r="138" spans="1:25" ht="16.5" x14ac:dyDescent="0.2">
      <c r="A138" s="159">
        <v>61</v>
      </c>
      <c r="B138" s="17">
        <v>12615</v>
      </c>
      <c r="D138" s="235"/>
      <c r="E138" s="235"/>
      <c r="F138" s="235"/>
      <c r="G138" s="235"/>
      <c r="M138" s="130" t="s">
        <v>1056</v>
      </c>
      <c r="N138" s="14">
        <f>SUMIFS(章节关卡!$BD$5:$BD$304,章节关卡!$BB$5:$BB$304,"="&amp;经验计算!N137)</f>
        <v>4000</v>
      </c>
      <c r="O138" s="130" t="s">
        <v>1055</v>
      </c>
      <c r="P138" s="14">
        <f>SUMIFS(章节关卡!$BN$5:$BN$304,章节关卡!$BL$5:$BL$304,"="&amp;经验计算!P137)</f>
        <v>13500</v>
      </c>
      <c r="R138" s="129">
        <v>1</v>
      </c>
      <c r="S138" s="21">
        <f>R138/$R$122</f>
        <v>0.18181818181818182</v>
      </c>
      <c r="T138" s="42">
        <f>INT($N$146*S138/5)*5</f>
        <v>12015</v>
      </c>
      <c r="W138" s="129">
        <v>134</v>
      </c>
      <c r="X138" s="14">
        <f t="shared" si="30"/>
        <v>195050</v>
      </c>
    </row>
    <row r="139" spans="1:25" ht="16.5" x14ac:dyDescent="0.2">
      <c r="A139" s="159">
        <v>62</v>
      </c>
      <c r="B139" s="17">
        <v>13220</v>
      </c>
      <c r="D139" s="235"/>
      <c r="E139" s="235"/>
      <c r="F139" s="235"/>
      <c r="G139" s="235"/>
      <c r="M139" s="124" t="s">
        <v>115</v>
      </c>
      <c r="N139" s="14">
        <f>SUMIFS(芦花古楼!$E$5:$E$104,芦花古楼!$A$5:$A$104,"&gt;"&amp;经验计算!O139,芦花古楼!$A$5:$A$104,"&lt;="&amp;经验计算!P139)</f>
        <v>0</v>
      </c>
      <c r="O139" s="123">
        <v>0</v>
      </c>
      <c r="P139" s="123">
        <v>0</v>
      </c>
      <c r="R139" s="129">
        <v>1.05</v>
      </c>
      <c r="S139" s="21">
        <f t="shared" ref="S139:S142" si="31">R139/$R$122</f>
        <v>0.19090909090909092</v>
      </c>
      <c r="T139" s="69">
        <f t="shared" ref="T139:T142" si="32">INT($N$146*S139/5)*5</f>
        <v>12615</v>
      </c>
      <c r="W139" s="129">
        <v>135</v>
      </c>
      <c r="X139" s="14">
        <f t="shared" si="30"/>
        <v>210360</v>
      </c>
    </row>
    <row r="140" spans="1:25" ht="16.5" x14ac:dyDescent="0.2">
      <c r="A140" s="159">
        <v>63</v>
      </c>
      <c r="B140" s="17">
        <v>13820</v>
      </c>
      <c r="D140" s="235"/>
      <c r="E140" s="235"/>
      <c r="F140" s="235"/>
      <c r="G140" s="235"/>
      <c r="M140" s="124" t="s">
        <v>117</v>
      </c>
      <c r="N140" s="14">
        <f>SUMIFS(芦花古楼!$P$5:$P$104,芦花古楼!$L$5:$L$104,"&gt;"&amp;经验计算!O140,芦花古楼!$L$5:$L$104,"&lt;="&amp;经验计算!P140)</f>
        <v>0</v>
      </c>
      <c r="O140" s="123">
        <v>0</v>
      </c>
      <c r="P140" s="123">
        <v>0</v>
      </c>
      <c r="R140" s="129">
        <v>1.1000000000000001</v>
      </c>
      <c r="S140" s="21">
        <f t="shared" si="31"/>
        <v>0.2</v>
      </c>
      <c r="T140" s="69">
        <f t="shared" si="32"/>
        <v>13220</v>
      </c>
      <c r="W140" s="129">
        <v>136</v>
      </c>
      <c r="X140" s="14">
        <f t="shared" si="30"/>
        <v>220880</v>
      </c>
    </row>
    <row r="141" spans="1:25" ht="16.5" x14ac:dyDescent="0.2">
      <c r="A141" s="159">
        <v>64</v>
      </c>
      <c r="B141" s="17">
        <v>14420</v>
      </c>
      <c r="D141" s="235"/>
      <c r="E141" s="235"/>
      <c r="F141" s="235"/>
      <c r="G141" s="235"/>
      <c r="M141" s="124" t="s">
        <v>116</v>
      </c>
      <c r="N141" s="14">
        <f>SUMIFS(芦花古楼!$AA$5:$AA$104,芦花古楼!$W$5:$W$104,"&gt;"&amp;经验计算!O141,芦花古楼!$W$5:$W$104,"&lt;="&amp;经验计算!P141)</f>
        <v>0</v>
      </c>
      <c r="O141" s="123">
        <v>0</v>
      </c>
      <c r="P141" s="123">
        <v>0</v>
      </c>
      <c r="R141" s="129">
        <v>1.1499999999999999</v>
      </c>
      <c r="S141" s="21">
        <f t="shared" si="31"/>
        <v>0.20909090909090908</v>
      </c>
      <c r="T141" s="69">
        <f t="shared" si="32"/>
        <v>13820</v>
      </c>
      <c r="W141" s="129">
        <v>137</v>
      </c>
      <c r="X141" s="14">
        <f t="shared" si="30"/>
        <v>231400</v>
      </c>
    </row>
    <row r="142" spans="1:25" ht="16.5" x14ac:dyDescent="0.2">
      <c r="A142" s="128"/>
      <c r="B142" s="128"/>
      <c r="D142" s="235"/>
      <c r="E142" s="235"/>
      <c r="F142" s="235"/>
      <c r="G142" s="235"/>
      <c r="M142" s="124" t="s">
        <v>118</v>
      </c>
      <c r="N142" s="14">
        <f>SUMIFS(芦花古楼!$AL$5:$AL$104,芦花古楼!$AH$5:$AH$104,"&gt;"&amp;经验计算!O142,芦花古楼!$AH$5:$AH$104,"&lt;="&amp;经验计算!P142)</f>
        <v>0</v>
      </c>
      <c r="O142" s="123">
        <v>0</v>
      </c>
      <c r="P142" s="123">
        <v>0</v>
      </c>
      <c r="R142" s="129">
        <v>1.2</v>
      </c>
      <c r="S142" s="21">
        <f t="shared" si="31"/>
        <v>0.21818181818181817</v>
      </c>
      <c r="T142" s="69">
        <f t="shared" si="32"/>
        <v>14420</v>
      </c>
      <c r="W142" s="129">
        <v>138</v>
      </c>
      <c r="X142" s="14">
        <f t="shared" si="30"/>
        <v>241915</v>
      </c>
    </row>
    <row r="143" spans="1:25" ht="16.5" x14ac:dyDescent="0.2">
      <c r="A143" s="128"/>
      <c r="B143" s="128"/>
      <c r="D143" s="235"/>
      <c r="E143" s="235"/>
      <c r="F143" s="235"/>
      <c r="G143" s="235"/>
      <c r="M143" s="124" t="s">
        <v>47</v>
      </c>
      <c r="N143" s="14"/>
      <c r="O143" s="14">
        <f>日常任务!$D$2*经验计算!N143</f>
        <v>0</v>
      </c>
      <c r="P143" s="126"/>
      <c r="R143" s="131"/>
      <c r="S143" s="131"/>
      <c r="T143" s="131"/>
      <c r="W143" s="129">
        <v>139</v>
      </c>
      <c r="X143" s="14">
        <f t="shared" si="30"/>
        <v>252435</v>
      </c>
    </row>
    <row r="144" spans="1:25" ht="16.5" x14ac:dyDescent="0.2">
      <c r="A144" s="128"/>
      <c r="B144" s="128"/>
      <c r="D144" s="235"/>
      <c r="E144" s="235"/>
      <c r="F144" s="235"/>
      <c r="G144" s="235"/>
      <c r="M144" s="124" t="s">
        <v>44</v>
      </c>
      <c r="N144" s="14">
        <f>INDEX(节奏总表!$N$5:$N$35,经验计算!N137)*60</f>
        <v>2700</v>
      </c>
      <c r="O144" s="14">
        <f>INDEX(章节关卡!$G$6:$G$35,经验计算!N137-1)*经验计算!N144</f>
        <v>48600</v>
      </c>
      <c r="P144" s="126"/>
      <c r="R144" s="131"/>
      <c r="S144" s="131"/>
      <c r="T144" s="131"/>
      <c r="W144" s="129">
        <v>140</v>
      </c>
      <c r="X144" s="14">
        <f t="shared" si="30"/>
        <v>272545</v>
      </c>
    </row>
    <row r="145" spans="1:25" ht="16.5" x14ac:dyDescent="0.2">
      <c r="A145" s="128"/>
      <c r="B145" s="128"/>
      <c r="D145" s="235"/>
      <c r="E145" s="235"/>
      <c r="F145" s="235"/>
      <c r="G145" s="235"/>
      <c r="M145" s="124" t="s">
        <v>40</v>
      </c>
      <c r="N145" s="19">
        <v>0</v>
      </c>
      <c r="O145" s="14">
        <f>N146*N145</f>
        <v>0</v>
      </c>
      <c r="P145" s="126"/>
      <c r="R145" s="131"/>
      <c r="S145" s="131"/>
      <c r="T145" s="131"/>
      <c r="W145" s="129">
        <v>141</v>
      </c>
      <c r="X145" s="14">
        <f t="shared" si="30"/>
        <v>286170</v>
      </c>
    </row>
    <row r="146" spans="1:25" ht="16.5" x14ac:dyDescent="0.2">
      <c r="A146" s="128"/>
      <c r="B146" s="128"/>
      <c r="D146" s="235"/>
      <c r="E146" s="235"/>
      <c r="F146" s="235"/>
      <c r="G146" s="235"/>
      <c r="M146" s="124" t="s">
        <v>39</v>
      </c>
      <c r="N146" s="14">
        <f>(N138+N139+N141+N140+N142+O143+O144+P138)/(1-N145)</f>
        <v>66100</v>
      </c>
      <c r="O146" s="125"/>
      <c r="P146" s="126"/>
      <c r="R146" s="131"/>
      <c r="S146" s="131"/>
      <c r="T146" s="131"/>
      <c r="W146" s="129">
        <v>142</v>
      </c>
      <c r="X146" s="14">
        <f t="shared" si="30"/>
        <v>299800</v>
      </c>
    </row>
    <row r="147" spans="1:25" s="15" customFormat="1" ht="16.5" x14ac:dyDescent="0.2">
      <c r="A147" s="128"/>
      <c r="B147" s="128"/>
      <c r="M147"/>
      <c r="N147"/>
      <c r="O147"/>
      <c r="P147"/>
      <c r="Q147"/>
      <c r="R147" s="131"/>
      <c r="S147" s="131"/>
      <c r="T147" s="131"/>
      <c r="V147" s="131"/>
      <c r="W147" s="129">
        <v>143</v>
      </c>
      <c r="X147" s="14">
        <f t="shared" si="30"/>
        <v>313425</v>
      </c>
      <c r="Y147" s="131"/>
    </row>
    <row r="148" spans="1:25" s="15" customFormat="1" ht="16.5" x14ac:dyDescent="0.2">
      <c r="V148" s="131"/>
      <c r="W148" s="129">
        <v>144</v>
      </c>
      <c r="X148" s="14">
        <f t="shared" si="30"/>
        <v>327050</v>
      </c>
      <c r="Y148" s="131"/>
    </row>
    <row r="149" spans="1:25" s="15" customFormat="1" ht="16.5" x14ac:dyDescent="0.2">
      <c r="V149" s="131"/>
      <c r="W149" s="129">
        <v>145</v>
      </c>
      <c r="X149" s="14">
        <f t="shared" si="30"/>
        <v>331905</v>
      </c>
      <c r="Y149" s="131"/>
    </row>
    <row r="150" spans="1:25" s="15" customFormat="1" ht="16.5" x14ac:dyDescent="0.2">
      <c r="R150" s="131">
        <f>SUM(R152:R156)</f>
        <v>5.5</v>
      </c>
      <c r="V150" s="131"/>
      <c r="W150" s="129">
        <v>146</v>
      </c>
      <c r="X150" s="14">
        <f t="shared" si="30"/>
        <v>348500</v>
      </c>
      <c r="Y150" s="131"/>
    </row>
    <row r="151" spans="1:25" ht="17.25" x14ac:dyDescent="0.2">
      <c r="A151" s="159">
        <v>65</v>
      </c>
      <c r="B151" s="17">
        <v>15015</v>
      </c>
      <c r="D151" s="235"/>
      <c r="E151" s="235"/>
      <c r="F151" s="235"/>
      <c r="G151" s="235"/>
      <c r="M151" s="124" t="s">
        <v>111</v>
      </c>
      <c r="N151" s="123">
        <v>12</v>
      </c>
      <c r="O151" s="124" t="s">
        <v>111</v>
      </c>
      <c r="P151" s="123">
        <v>10</v>
      </c>
      <c r="Q151" s="15"/>
      <c r="R151" s="12" t="s">
        <v>43</v>
      </c>
      <c r="S151" s="12" t="s">
        <v>41</v>
      </c>
      <c r="T151" s="12" t="s">
        <v>42</v>
      </c>
      <c r="W151" s="129">
        <v>147</v>
      </c>
      <c r="X151" s="14">
        <f t="shared" si="30"/>
        <v>365100</v>
      </c>
    </row>
    <row r="152" spans="1:25" ht="16.5" x14ac:dyDescent="0.2">
      <c r="A152" s="159">
        <v>66</v>
      </c>
      <c r="B152" s="17">
        <v>15765</v>
      </c>
      <c r="D152" s="235"/>
      <c r="E152" s="235"/>
      <c r="F152" s="235"/>
      <c r="G152" s="235"/>
      <c r="M152" s="130" t="s">
        <v>1056</v>
      </c>
      <c r="N152" s="14">
        <f>SUMIFS(章节关卡!$BD$5:$BD$304,章节关卡!$BB$5:$BB$304,"="&amp;经验计算!N151)</f>
        <v>4400</v>
      </c>
      <c r="O152" s="130" t="s">
        <v>1055</v>
      </c>
      <c r="P152" s="14">
        <f>SUMIFS(章节关卡!$BN$5:$BN$304,章节关卡!$BL$5:$BL$304,"="&amp;经验计算!P151)</f>
        <v>17000</v>
      </c>
      <c r="R152" s="129">
        <v>1</v>
      </c>
      <c r="S152" s="21">
        <f>R152/$R$122</f>
        <v>0.18181818181818182</v>
      </c>
      <c r="T152" s="42">
        <f>INT($N$160*S152/5)*5</f>
        <v>15015</v>
      </c>
      <c r="W152" s="129">
        <v>148</v>
      </c>
      <c r="X152" s="14">
        <f t="shared" si="30"/>
        <v>381695</v>
      </c>
    </row>
    <row r="153" spans="1:25" ht="16.5" x14ac:dyDescent="0.2">
      <c r="A153" s="159">
        <v>67</v>
      </c>
      <c r="B153" s="17">
        <v>16520</v>
      </c>
      <c r="D153" s="235"/>
      <c r="E153" s="235"/>
      <c r="F153" s="235"/>
      <c r="G153" s="235"/>
      <c r="M153" s="124" t="s">
        <v>115</v>
      </c>
      <c r="N153" s="14">
        <f>SUMIFS(芦花古楼!$E$5:$E$104,芦花古楼!$A$5:$A$104,"&gt;"&amp;经验计算!O153,芦花古楼!$A$5:$A$104,"&lt;="&amp;经验计算!P153)</f>
        <v>0</v>
      </c>
      <c r="O153" s="123">
        <v>0</v>
      </c>
      <c r="P153" s="123">
        <v>0</v>
      </c>
      <c r="R153" s="129">
        <v>1.05</v>
      </c>
      <c r="S153" s="21">
        <f t="shared" ref="S153:S156" si="33">R153/$R$122</f>
        <v>0.19090909090909092</v>
      </c>
      <c r="T153" s="69">
        <f t="shared" ref="T153:T156" si="34">INT($N$160*S153/5)*5</f>
        <v>15765</v>
      </c>
      <c r="W153" s="129">
        <v>149</v>
      </c>
      <c r="X153" s="14">
        <f t="shared" si="30"/>
        <v>398290</v>
      </c>
    </row>
    <row r="154" spans="1:25" ht="16.5" x14ac:dyDescent="0.2">
      <c r="A154" s="159">
        <v>68</v>
      </c>
      <c r="B154" s="17">
        <v>17270</v>
      </c>
      <c r="D154" s="235"/>
      <c r="E154" s="235"/>
      <c r="F154" s="235"/>
      <c r="G154" s="235"/>
      <c r="M154" s="124" t="s">
        <v>117</v>
      </c>
      <c r="N154" s="14">
        <f>SUMIFS(芦花古楼!$P$5:$P$104,芦花古楼!$L$5:$L$104,"&gt;"&amp;经验计算!O154,芦花古楼!$L$5:$L$104,"&lt;="&amp;经验计算!P154)</f>
        <v>0</v>
      </c>
      <c r="O154" s="123">
        <v>0</v>
      </c>
      <c r="P154" s="123">
        <v>0</v>
      </c>
      <c r="R154" s="129">
        <v>1.1000000000000001</v>
      </c>
      <c r="S154" s="21">
        <f t="shared" si="33"/>
        <v>0.2</v>
      </c>
      <c r="T154" s="69">
        <f t="shared" si="34"/>
        <v>16520</v>
      </c>
      <c r="W154" s="129">
        <v>150</v>
      </c>
      <c r="X154" s="14">
        <f t="shared" si="30"/>
        <v>414885</v>
      </c>
    </row>
    <row r="155" spans="1:25" ht="16.5" x14ac:dyDescent="0.2">
      <c r="A155" s="159">
        <v>69</v>
      </c>
      <c r="B155" s="17">
        <v>18020</v>
      </c>
      <c r="D155" s="235"/>
      <c r="E155" s="235"/>
      <c r="F155" s="235"/>
      <c r="G155" s="235"/>
      <c r="M155" s="124" t="s">
        <v>116</v>
      </c>
      <c r="N155" s="14">
        <f>SUMIFS(芦花古楼!$AA$5:$AA$104,芦花古楼!$W$5:$W$104,"&gt;"&amp;经验计算!O155,芦花古楼!$W$5:$W$104,"&lt;="&amp;经验计算!P155)</f>
        <v>0</v>
      </c>
      <c r="O155" s="123">
        <v>0</v>
      </c>
      <c r="P155" s="123">
        <v>0</v>
      </c>
      <c r="R155" s="129">
        <v>1.1499999999999999</v>
      </c>
      <c r="S155" s="21">
        <f t="shared" si="33"/>
        <v>0.20909090909090908</v>
      </c>
      <c r="T155" s="69">
        <f t="shared" si="34"/>
        <v>17270</v>
      </c>
    </row>
    <row r="156" spans="1:25" ht="16.5" x14ac:dyDescent="0.2">
      <c r="A156" s="128"/>
      <c r="B156" s="128"/>
      <c r="D156" s="235"/>
      <c r="E156" s="235"/>
      <c r="F156" s="235"/>
      <c r="G156" s="235"/>
      <c r="M156" s="124" t="s">
        <v>118</v>
      </c>
      <c r="N156" s="14">
        <f>SUMIFS(芦花古楼!$AL$5:$AL$104,芦花古楼!$AH$5:$AH$104,"&gt;"&amp;经验计算!O156,芦花古楼!$AH$5:$AH$104,"&lt;="&amp;经验计算!P156)</f>
        <v>0</v>
      </c>
      <c r="O156" s="123">
        <v>0</v>
      </c>
      <c r="P156" s="123">
        <v>0</v>
      </c>
      <c r="R156" s="129">
        <v>1.2</v>
      </c>
      <c r="S156" s="21">
        <f t="shared" si="33"/>
        <v>0.21818181818181817</v>
      </c>
      <c r="T156" s="69">
        <f t="shared" si="34"/>
        <v>18020</v>
      </c>
    </row>
    <row r="157" spans="1:25" ht="16.5" x14ac:dyDescent="0.2">
      <c r="A157" s="128"/>
      <c r="B157" s="128"/>
      <c r="D157" s="235"/>
      <c r="E157" s="235"/>
      <c r="F157" s="235"/>
      <c r="G157" s="235"/>
      <c r="M157" s="124" t="s">
        <v>47</v>
      </c>
      <c r="N157" s="14"/>
      <c r="O157" s="14">
        <f>日常任务!$D$2*经验计算!N157</f>
        <v>0</v>
      </c>
      <c r="P157" s="126"/>
      <c r="R157" s="131"/>
      <c r="S157" s="131"/>
      <c r="T157" s="131"/>
    </row>
    <row r="158" spans="1:25" ht="16.5" x14ac:dyDescent="0.2">
      <c r="A158" s="128"/>
      <c r="B158" s="128"/>
      <c r="D158" s="235"/>
      <c r="E158" s="235"/>
      <c r="F158" s="235"/>
      <c r="G158" s="235"/>
      <c r="M158" s="124" t="s">
        <v>44</v>
      </c>
      <c r="N158" s="14">
        <f>INDEX(节奏总表!$N$5:$N$35,经验计算!N151)*60</f>
        <v>3060</v>
      </c>
      <c r="O158" s="14">
        <f>INDEX(章节关卡!$G$6:$G$35,经验计算!N151-1)*经验计算!N158</f>
        <v>61200</v>
      </c>
      <c r="P158" s="126"/>
      <c r="R158" s="131"/>
      <c r="S158" s="131"/>
      <c r="T158" s="131"/>
    </row>
    <row r="159" spans="1:25" ht="16.5" x14ac:dyDescent="0.2">
      <c r="A159" s="128"/>
      <c r="B159" s="128"/>
      <c r="D159" s="235"/>
      <c r="E159" s="235"/>
      <c r="F159" s="235"/>
      <c r="G159" s="235"/>
      <c r="M159" s="124" t="s">
        <v>40</v>
      </c>
      <c r="N159" s="19">
        <v>0</v>
      </c>
      <c r="O159" s="14">
        <f>N160*N159</f>
        <v>0</v>
      </c>
      <c r="P159" s="126"/>
      <c r="R159" s="131"/>
      <c r="S159" s="131"/>
      <c r="T159" s="131"/>
    </row>
    <row r="160" spans="1:25" ht="16.5" x14ac:dyDescent="0.2">
      <c r="A160" s="128"/>
      <c r="B160" s="128"/>
      <c r="D160" s="235"/>
      <c r="E160" s="235"/>
      <c r="F160" s="235"/>
      <c r="G160" s="235"/>
      <c r="M160" s="124" t="s">
        <v>39</v>
      </c>
      <c r="N160" s="14">
        <f>(N152+N153+N155+N154+N156+O157+O158+P152)/(1-N159)</f>
        <v>82600</v>
      </c>
      <c r="O160" s="125"/>
      <c r="P160" s="126"/>
      <c r="R160" s="131"/>
      <c r="S160" s="131"/>
      <c r="T160" s="131"/>
    </row>
    <row r="161" spans="1:25" s="15" customFormat="1" x14ac:dyDescent="0.2">
      <c r="M161"/>
      <c r="N161"/>
      <c r="O161"/>
      <c r="P161"/>
      <c r="Q161"/>
      <c r="R161" s="131"/>
      <c r="S161" s="131"/>
      <c r="T161" s="131"/>
      <c r="V161" s="131"/>
      <c r="X161" s="131"/>
      <c r="Y161" s="131"/>
    </row>
    <row r="162" spans="1:25" s="15" customFormat="1" x14ac:dyDescent="0.2">
      <c r="V162" s="131"/>
      <c r="X162" s="131"/>
      <c r="Y162" s="131"/>
    </row>
    <row r="163" spans="1:25" s="15" customFormat="1" x14ac:dyDescent="0.2">
      <c r="V163" s="131"/>
      <c r="X163" s="131"/>
      <c r="Y163" s="131"/>
    </row>
    <row r="164" spans="1:25" s="15" customFormat="1" x14ac:dyDescent="0.2">
      <c r="R164" s="131">
        <f>SUM(R166:R170)</f>
        <v>5.5</v>
      </c>
      <c r="V164" s="131"/>
      <c r="X164" s="131"/>
      <c r="Y164" s="131"/>
    </row>
    <row r="165" spans="1:25" ht="17.25" x14ac:dyDescent="0.2">
      <c r="A165" s="159">
        <v>70</v>
      </c>
      <c r="B165" s="17">
        <v>20960</v>
      </c>
      <c r="D165" s="235"/>
      <c r="E165" s="235"/>
      <c r="F165" s="235"/>
      <c r="G165" s="235"/>
      <c r="M165" s="124" t="s">
        <v>111</v>
      </c>
      <c r="N165" s="123">
        <v>13</v>
      </c>
      <c r="O165" s="124" t="s">
        <v>111</v>
      </c>
      <c r="P165" s="123">
        <v>11</v>
      </c>
      <c r="Q165" s="15"/>
      <c r="R165" s="12" t="s">
        <v>43</v>
      </c>
      <c r="S165" s="12" t="s">
        <v>41</v>
      </c>
      <c r="T165" s="12" t="s">
        <v>42</v>
      </c>
    </row>
    <row r="166" spans="1:25" ht="16.5" x14ac:dyDescent="0.2">
      <c r="A166" s="159">
        <v>71</v>
      </c>
      <c r="B166" s="17">
        <v>22010</v>
      </c>
      <c r="D166" s="235"/>
      <c r="E166" s="235"/>
      <c r="F166" s="235"/>
      <c r="G166" s="235"/>
      <c r="M166" s="130" t="s">
        <v>1056</v>
      </c>
      <c r="N166" s="14">
        <f>SUMIFS(章节关卡!$BD$5:$BD$304,章节关卡!$BB$5:$BB$304,"="&amp;经验计算!N165)</f>
        <v>5000</v>
      </c>
      <c r="O166" s="130" t="s">
        <v>1055</v>
      </c>
      <c r="P166" s="14">
        <f>SUMIFS(章节关卡!$BN$5:$BN$304,章节关卡!$BL$5:$BL$304,"="&amp;经验计算!P165)</f>
        <v>24500</v>
      </c>
      <c r="R166" s="129">
        <v>1</v>
      </c>
      <c r="S166" s="21">
        <f>R166/$R$122</f>
        <v>0.18181818181818182</v>
      </c>
      <c r="T166" s="42">
        <f>INT($N$174*S166/5)*5</f>
        <v>20960</v>
      </c>
    </row>
    <row r="167" spans="1:25" ht="16.5" x14ac:dyDescent="0.2">
      <c r="A167" s="159">
        <v>72</v>
      </c>
      <c r="B167" s="17">
        <v>23060</v>
      </c>
      <c r="D167" s="235"/>
      <c r="E167" s="235"/>
      <c r="F167" s="235"/>
      <c r="G167" s="235"/>
      <c r="M167" s="124" t="s">
        <v>115</v>
      </c>
      <c r="N167" s="14">
        <f>SUMIFS(芦花古楼!$E$5:$E$104,芦花古楼!$A$5:$A$104,"&gt;"&amp;经验计算!O167,芦花古楼!$A$5:$A$104,"&lt;="&amp;经验计算!P167)</f>
        <v>0</v>
      </c>
      <c r="O167" s="123">
        <v>0</v>
      </c>
      <c r="P167" s="123">
        <v>0</v>
      </c>
      <c r="R167" s="129">
        <v>1.05</v>
      </c>
      <c r="S167" s="21">
        <f t="shared" ref="S167:S170" si="35">R167/$R$122</f>
        <v>0.19090909090909092</v>
      </c>
      <c r="T167" s="69">
        <f t="shared" ref="T167:T170" si="36">INT($N$174*S167/5)*5</f>
        <v>22010</v>
      </c>
    </row>
    <row r="168" spans="1:25" ht="16.5" x14ac:dyDescent="0.2">
      <c r="A168" s="159">
        <v>73</v>
      </c>
      <c r="B168" s="17">
        <v>24105</v>
      </c>
      <c r="D168" s="235"/>
      <c r="E168" s="235"/>
      <c r="F168" s="235"/>
      <c r="G168" s="235"/>
      <c r="M168" s="124" t="s">
        <v>117</v>
      </c>
      <c r="N168" s="14">
        <f>SUMIFS(芦花古楼!$P$5:$P$104,芦花古楼!$L$5:$L$104,"&gt;"&amp;经验计算!O168,芦花古楼!$L$5:$L$104,"&lt;="&amp;经验计算!P168)</f>
        <v>0</v>
      </c>
      <c r="O168" s="123">
        <v>0</v>
      </c>
      <c r="P168" s="123">
        <v>0</v>
      </c>
      <c r="R168" s="129">
        <v>1.1000000000000001</v>
      </c>
      <c r="S168" s="21">
        <f t="shared" si="35"/>
        <v>0.2</v>
      </c>
      <c r="T168" s="69">
        <f t="shared" si="36"/>
        <v>23060</v>
      </c>
    </row>
    <row r="169" spans="1:25" ht="16.5" x14ac:dyDescent="0.2">
      <c r="A169" s="159">
        <v>74</v>
      </c>
      <c r="B169" s="17">
        <v>25155</v>
      </c>
      <c r="D169" s="235"/>
      <c r="E169" s="235"/>
      <c r="F169" s="235"/>
      <c r="G169" s="235"/>
      <c r="M169" s="124" t="s">
        <v>116</v>
      </c>
      <c r="N169" s="14">
        <f>SUMIFS(芦花古楼!$AA$5:$AA$104,芦花古楼!$W$5:$W$104,"&gt;"&amp;经验计算!O169,芦花古楼!$W$5:$W$104,"&lt;="&amp;经验计算!P169)</f>
        <v>0</v>
      </c>
      <c r="O169" s="123">
        <v>0</v>
      </c>
      <c r="P169" s="123">
        <v>0</v>
      </c>
      <c r="R169" s="129">
        <v>1.1499999999999999</v>
      </c>
      <c r="S169" s="21">
        <f t="shared" si="35"/>
        <v>0.20909090909090908</v>
      </c>
      <c r="T169" s="69">
        <f t="shared" si="36"/>
        <v>24105</v>
      </c>
    </row>
    <row r="170" spans="1:25" ht="16.5" x14ac:dyDescent="0.2">
      <c r="A170" s="128"/>
      <c r="B170" s="128"/>
      <c r="D170" s="235"/>
      <c r="E170" s="235"/>
      <c r="F170" s="235"/>
      <c r="G170" s="235"/>
      <c r="M170" s="124" t="s">
        <v>118</v>
      </c>
      <c r="N170" s="14">
        <f>SUMIFS(芦花古楼!$AL$5:$AL$104,芦花古楼!$AH$5:$AH$104,"&gt;"&amp;经验计算!O170,芦花古楼!$AH$5:$AH$104,"&lt;="&amp;经验计算!P170)</f>
        <v>0</v>
      </c>
      <c r="O170" s="123">
        <v>0</v>
      </c>
      <c r="P170" s="123">
        <v>0</v>
      </c>
      <c r="R170" s="129">
        <v>1.2</v>
      </c>
      <c r="S170" s="21">
        <f t="shared" si="35"/>
        <v>0.21818181818181817</v>
      </c>
      <c r="T170" s="69">
        <f t="shared" si="36"/>
        <v>25155</v>
      </c>
    </row>
    <row r="171" spans="1:25" ht="16.5" x14ac:dyDescent="0.2">
      <c r="A171" s="128"/>
      <c r="B171" s="128"/>
      <c r="D171" s="235"/>
      <c r="E171" s="235"/>
      <c r="F171" s="235"/>
      <c r="G171" s="235"/>
      <c r="M171" s="124" t="s">
        <v>47</v>
      </c>
      <c r="N171" s="14"/>
      <c r="O171" s="14">
        <f>日常任务!$D$2*经验计算!N171</f>
        <v>0</v>
      </c>
      <c r="P171" s="126"/>
      <c r="R171" s="131"/>
      <c r="S171" s="131"/>
      <c r="T171" s="131"/>
    </row>
    <row r="172" spans="1:25" ht="16.5" x14ac:dyDescent="0.2">
      <c r="A172" s="128"/>
      <c r="B172" s="128"/>
      <c r="D172" s="235"/>
      <c r="E172" s="235"/>
      <c r="F172" s="235"/>
      <c r="G172" s="235"/>
      <c r="M172" s="124" t="s">
        <v>44</v>
      </c>
      <c r="N172" s="14">
        <f>INDEX(节奏总表!$N$5:$N$35,经验计算!N165)*60</f>
        <v>3900</v>
      </c>
      <c r="O172" s="14">
        <f>INDEX(章节关卡!$G$6:$G$35,经验计算!N165-1)*经验计算!N172</f>
        <v>85800</v>
      </c>
      <c r="P172" s="126"/>
      <c r="R172" s="131"/>
      <c r="S172" s="131"/>
      <c r="T172" s="131"/>
    </row>
    <row r="173" spans="1:25" ht="16.5" x14ac:dyDescent="0.2">
      <c r="A173" s="128"/>
      <c r="B173" s="128"/>
      <c r="D173" s="235"/>
      <c r="E173" s="235"/>
      <c r="F173" s="235"/>
      <c r="G173" s="235"/>
      <c r="M173" s="124" t="s">
        <v>40</v>
      </c>
      <c r="N173" s="19">
        <v>0</v>
      </c>
      <c r="O173" s="14">
        <f>N174*N173</f>
        <v>0</v>
      </c>
      <c r="P173" s="126"/>
      <c r="R173" s="131"/>
      <c r="S173" s="131"/>
      <c r="T173" s="131"/>
    </row>
    <row r="174" spans="1:25" ht="16.5" x14ac:dyDescent="0.2">
      <c r="A174" s="128"/>
      <c r="B174" s="128"/>
      <c r="D174" s="235"/>
      <c r="E174" s="235"/>
      <c r="F174" s="235"/>
      <c r="G174" s="235"/>
      <c r="M174" s="124" t="s">
        <v>39</v>
      </c>
      <c r="N174" s="14">
        <f>(N166+N167+N169+N168+N170+O171+O172+P166)/(1-N173)</f>
        <v>115300</v>
      </c>
      <c r="O174" s="125"/>
      <c r="P174" s="126"/>
      <c r="R174" s="131"/>
      <c r="S174" s="131"/>
      <c r="T174" s="131"/>
    </row>
    <row r="175" spans="1:25" s="15" customFormat="1" x14ac:dyDescent="0.2">
      <c r="M175"/>
      <c r="N175"/>
      <c r="O175"/>
      <c r="P175"/>
      <c r="Q175"/>
      <c r="R175" s="131"/>
      <c r="S175" s="131"/>
      <c r="T175" s="131"/>
      <c r="V175" s="131"/>
      <c r="X175" s="131"/>
      <c r="Y175" s="131"/>
    </row>
    <row r="176" spans="1:25" s="15" customFormat="1" x14ac:dyDescent="0.2">
      <c r="V176" s="131"/>
      <c r="X176" s="131"/>
      <c r="Y176" s="131"/>
    </row>
    <row r="177" spans="1:25" s="15" customFormat="1" x14ac:dyDescent="0.2">
      <c r="V177" s="131"/>
      <c r="X177" s="131"/>
      <c r="Y177" s="131"/>
    </row>
    <row r="178" spans="1:25" s="15" customFormat="1" x14ac:dyDescent="0.2">
      <c r="R178" s="131">
        <f>SUM(R180:R184)</f>
        <v>5.5</v>
      </c>
      <c r="V178" s="131"/>
      <c r="X178" s="131"/>
      <c r="Y178" s="131"/>
    </row>
    <row r="179" spans="1:25" ht="17.25" x14ac:dyDescent="0.2">
      <c r="A179" s="159">
        <v>75</v>
      </c>
      <c r="B179" s="17">
        <v>27345</v>
      </c>
      <c r="D179" s="235"/>
      <c r="E179" s="235"/>
      <c r="F179" s="235"/>
      <c r="G179" s="235"/>
      <c r="M179" s="124" t="s">
        <v>111</v>
      </c>
      <c r="N179" s="123">
        <v>14</v>
      </c>
      <c r="O179" s="124" t="s">
        <v>111</v>
      </c>
      <c r="P179" s="123">
        <v>12</v>
      </c>
      <c r="Q179" s="15"/>
      <c r="R179" s="12" t="s">
        <v>43</v>
      </c>
      <c r="S179" s="12" t="s">
        <v>41</v>
      </c>
      <c r="T179" s="12" t="s">
        <v>42</v>
      </c>
    </row>
    <row r="180" spans="1:25" ht="16.5" x14ac:dyDescent="0.2">
      <c r="A180" s="159">
        <v>76</v>
      </c>
      <c r="B180" s="17">
        <v>28710</v>
      </c>
      <c r="D180" s="235"/>
      <c r="E180" s="235"/>
      <c r="F180" s="235"/>
      <c r="G180" s="235"/>
      <c r="M180" s="130" t="s">
        <v>1056</v>
      </c>
      <c r="N180" s="14">
        <f>SUMIFS(章节关卡!$BD$5:$BD$304,章节关卡!$BB$5:$BB$304,"="&amp;经验计算!N179)</f>
        <v>5400</v>
      </c>
      <c r="O180" s="130" t="s">
        <v>1060</v>
      </c>
      <c r="P180" s="14">
        <f>SUMIFS(章节关卡!$BN$5:$BN$304,章节关卡!$BL$5:$BL$304,"="&amp;经验计算!P179)</f>
        <v>31000</v>
      </c>
      <c r="R180" s="129">
        <v>1</v>
      </c>
      <c r="S180" s="21">
        <f>R180/$R$122</f>
        <v>0.18181818181818182</v>
      </c>
      <c r="T180" s="42">
        <f>INT($N$188*S180/5)*5</f>
        <v>27345</v>
      </c>
    </row>
    <row r="181" spans="1:25" ht="16.5" x14ac:dyDescent="0.2">
      <c r="A181" s="159">
        <v>77</v>
      </c>
      <c r="B181" s="17">
        <v>30080</v>
      </c>
      <c r="D181" s="235"/>
      <c r="E181" s="235"/>
      <c r="F181" s="235"/>
      <c r="G181" s="235"/>
      <c r="M181" s="124" t="s">
        <v>115</v>
      </c>
      <c r="N181" s="14">
        <f>SUMIFS(芦花古楼!$E$5:$E$104,芦花古楼!$A$5:$A$104,"&gt;"&amp;经验计算!O181,芦花古楼!$A$5:$A$104,"&lt;="&amp;经验计算!P181)</f>
        <v>0</v>
      </c>
      <c r="O181" s="123">
        <v>0</v>
      </c>
      <c r="P181" s="123">
        <v>0</v>
      </c>
      <c r="R181" s="129">
        <v>1.05</v>
      </c>
      <c r="S181" s="21">
        <f t="shared" ref="S181:S184" si="37">R181/$R$122</f>
        <v>0.19090909090909092</v>
      </c>
      <c r="T181" s="69">
        <f t="shared" ref="T181:T184" si="38">INT($N$188*S181/5)*5</f>
        <v>28710</v>
      </c>
    </row>
    <row r="182" spans="1:25" ht="16.5" x14ac:dyDescent="0.2">
      <c r="A182" s="159">
        <v>78</v>
      </c>
      <c r="B182" s="17">
        <v>31445</v>
      </c>
      <c r="D182" s="235"/>
      <c r="E182" s="235"/>
      <c r="F182" s="235"/>
      <c r="G182" s="235"/>
      <c r="M182" s="124" t="s">
        <v>117</v>
      </c>
      <c r="N182" s="14">
        <f>SUMIFS(芦花古楼!$P$5:$P$104,芦花古楼!$L$5:$L$104,"&gt;"&amp;经验计算!O182,芦花古楼!$L$5:$L$104,"&lt;="&amp;经验计算!P182)</f>
        <v>0</v>
      </c>
      <c r="O182" s="123">
        <v>0</v>
      </c>
      <c r="P182" s="123">
        <v>0</v>
      </c>
      <c r="R182" s="129">
        <v>1.1000000000000001</v>
      </c>
      <c r="S182" s="21">
        <f t="shared" si="37"/>
        <v>0.2</v>
      </c>
      <c r="T182" s="69">
        <f t="shared" si="38"/>
        <v>30080</v>
      </c>
    </row>
    <row r="183" spans="1:25" ht="16.5" x14ac:dyDescent="0.2">
      <c r="A183" s="159">
        <v>79</v>
      </c>
      <c r="B183" s="17">
        <v>32810</v>
      </c>
      <c r="D183" s="235"/>
      <c r="E183" s="235"/>
      <c r="F183" s="235"/>
      <c r="G183" s="235"/>
      <c r="M183" s="124" t="s">
        <v>116</v>
      </c>
      <c r="N183" s="14">
        <f>SUMIFS(芦花古楼!$AA$5:$AA$104,芦花古楼!$W$5:$W$104,"&gt;"&amp;经验计算!O183,芦花古楼!$W$5:$W$104,"&lt;="&amp;经验计算!P183)</f>
        <v>0</v>
      </c>
      <c r="O183" s="123">
        <v>0</v>
      </c>
      <c r="P183" s="123">
        <v>0</v>
      </c>
      <c r="R183" s="129">
        <v>1.1499999999999999</v>
      </c>
      <c r="S183" s="21">
        <f t="shared" si="37"/>
        <v>0.20909090909090908</v>
      </c>
      <c r="T183" s="69">
        <f t="shared" si="38"/>
        <v>31445</v>
      </c>
    </row>
    <row r="184" spans="1:25" ht="16.5" x14ac:dyDescent="0.2">
      <c r="A184" s="128"/>
      <c r="B184" s="128"/>
      <c r="D184" s="235"/>
      <c r="E184" s="235"/>
      <c r="F184" s="235"/>
      <c r="G184" s="235"/>
      <c r="M184" s="124" t="s">
        <v>118</v>
      </c>
      <c r="N184" s="14">
        <f>SUMIFS(芦花古楼!$AL$5:$AL$104,芦花古楼!$AH$5:$AH$104,"&gt;"&amp;经验计算!O184,芦花古楼!$AH$5:$AH$104,"&lt;="&amp;经验计算!P184)</f>
        <v>0</v>
      </c>
      <c r="O184" s="123">
        <v>0</v>
      </c>
      <c r="P184" s="123">
        <v>0</v>
      </c>
      <c r="R184" s="129">
        <v>1.2</v>
      </c>
      <c r="S184" s="21">
        <f t="shared" si="37"/>
        <v>0.21818181818181817</v>
      </c>
      <c r="T184" s="69">
        <f t="shared" si="38"/>
        <v>32810</v>
      </c>
    </row>
    <row r="185" spans="1:25" ht="16.5" x14ac:dyDescent="0.2">
      <c r="A185" s="128"/>
      <c r="B185" s="128"/>
      <c r="D185" s="235"/>
      <c r="E185" s="235"/>
      <c r="F185" s="235"/>
      <c r="G185" s="235"/>
      <c r="M185" s="124" t="s">
        <v>47</v>
      </c>
      <c r="N185" s="14"/>
      <c r="O185" s="14">
        <f>日常任务!$D$2*经验计算!N185</f>
        <v>0</v>
      </c>
      <c r="P185" s="126"/>
      <c r="R185" s="131"/>
      <c r="S185" s="131"/>
      <c r="T185" s="131"/>
    </row>
    <row r="186" spans="1:25" ht="16.5" x14ac:dyDescent="0.2">
      <c r="A186" s="128"/>
      <c r="B186" s="128"/>
      <c r="D186" s="235"/>
      <c r="E186" s="235"/>
      <c r="F186" s="235"/>
      <c r="G186" s="235"/>
      <c r="M186" s="124" t="s">
        <v>44</v>
      </c>
      <c r="N186" s="14">
        <f>INDEX(节奏总表!$N$5:$N$35,经验计算!N179)*60</f>
        <v>4560</v>
      </c>
      <c r="O186" s="14">
        <f>INDEX(章节关卡!$G$6:$G$35,经验计算!N179-1)*经验计算!N186</f>
        <v>114000</v>
      </c>
      <c r="P186" s="126"/>
      <c r="R186" s="131"/>
      <c r="S186" s="131"/>
      <c r="T186" s="131"/>
    </row>
    <row r="187" spans="1:25" ht="16.5" x14ac:dyDescent="0.2">
      <c r="A187" s="128"/>
      <c r="B187" s="128"/>
      <c r="D187" s="235"/>
      <c r="E187" s="235"/>
      <c r="F187" s="235"/>
      <c r="G187" s="235"/>
      <c r="M187" s="124" t="s">
        <v>40</v>
      </c>
      <c r="N187" s="19">
        <v>0</v>
      </c>
      <c r="O187" s="14">
        <f>N188*N187</f>
        <v>0</v>
      </c>
      <c r="P187" s="126"/>
      <c r="R187" s="131"/>
      <c r="S187" s="131"/>
      <c r="T187" s="131"/>
    </row>
    <row r="188" spans="1:25" ht="16.5" x14ac:dyDescent="0.2">
      <c r="A188" s="128"/>
      <c r="B188" s="128"/>
      <c r="D188" s="235"/>
      <c r="E188" s="235"/>
      <c r="F188" s="235"/>
      <c r="G188" s="235"/>
      <c r="M188" s="124" t="s">
        <v>39</v>
      </c>
      <c r="N188" s="14">
        <f>(N180+N181+N183+N182+N184+O185+O186+P180)/(1-N187)</f>
        <v>150400</v>
      </c>
      <c r="O188" s="125"/>
      <c r="P188" s="126"/>
      <c r="R188" s="131"/>
      <c r="S188" s="131"/>
      <c r="T188" s="131"/>
    </row>
    <row r="189" spans="1:25" s="15" customFormat="1" x14ac:dyDescent="0.2">
      <c r="M189"/>
      <c r="N189"/>
      <c r="O189"/>
      <c r="P189"/>
      <c r="Q189"/>
      <c r="R189" s="131"/>
      <c r="S189" s="131"/>
      <c r="T189" s="131"/>
      <c r="V189" s="131"/>
      <c r="X189" s="131"/>
      <c r="Y189" s="131"/>
    </row>
    <row r="190" spans="1:25" s="15" customFormat="1" x14ac:dyDescent="0.2">
      <c r="V190" s="131"/>
      <c r="X190" s="131"/>
      <c r="Y190" s="131"/>
    </row>
    <row r="191" spans="1:25" s="15" customFormat="1" x14ac:dyDescent="0.2">
      <c r="V191" s="131"/>
      <c r="X191" s="131"/>
      <c r="Y191" s="131"/>
    </row>
    <row r="192" spans="1:25" s="15" customFormat="1" x14ac:dyDescent="0.2">
      <c r="R192" s="131">
        <f>SUM(R194:R198)</f>
        <v>5.5</v>
      </c>
      <c r="V192" s="131"/>
      <c r="X192" s="131"/>
      <c r="Y192" s="131"/>
    </row>
    <row r="193" spans="1:20" ht="17.25" x14ac:dyDescent="0.2">
      <c r="A193" s="159">
        <v>80</v>
      </c>
      <c r="B193" s="17">
        <v>34960</v>
      </c>
      <c r="D193" s="235"/>
      <c r="E193" s="235"/>
      <c r="F193" s="235"/>
      <c r="G193" s="235"/>
      <c r="M193" s="124" t="s">
        <v>111</v>
      </c>
      <c r="N193" s="123">
        <v>15</v>
      </c>
      <c r="O193" s="124" t="s">
        <v>111</v>
      </c>
      <c r="P193" s="123">
        <v>13</v>
      </c>
      <c r="Q193" s="15"/>
      <c r="R193" s="12" t="s">
        <v>43</v>
      </c>
      <c r="S193" s="12" t="s">
        <v>41</v>
      </c>
      <c r="T193" s="12" t="s">
        <v>42</v>
      </c>
    </row>
    <row r="194" spans="1:20" ht="16.5" x14ac:dyDescent="0.2">
      <c r="A194" s="159">
        <v>81</v>
      </c>
      <c r="B194" s="17">
        <v>36710</v>
      </c>
      <c r="D194" s="235"/>
      <c r="E194" s="235"/>
      <c r="F194" s="235"/>
      <c r="G194" s="235"/>
      <c r="M194" s="130" t="s">
        <v>1056</v>
      </c>
      <c r="N194" s="14">
        <f>SUMIFS(章节关卡!$BD$5:$BD$304,章节关卡!$BB$5:$BB$304,"="&amp;经验计算!N193)</f>
        <v>6000</v>
      </c>
      <c r="O194" s="130" t="s">
        <v>1060</v>
      </c>
      <c r="P194" s="14">
        <f>SUMIFS(章节关卡!$BN$5:$BN$304,章节关卡!$BL$5:$BL$304,"="&amp;经验计算!P193)</f>
        <v>40500</v>
      </c>
      <c r="R194" s="129">
        <v>1</v>
      </c>
      <c r="S194" s="21">
        <f>R194/$R$122</f>
        <v>0.18181818181818182</v>
      </c>
      <c r="T194" s="42">
        <f>INT($N$202*S194/5)*5</f>
        <v>34960</v>
      </c>
    </row>
    <row r="195" spans="1:20" ht="16.5" x14ac:dyDescent="0.2">
      <c r="A195" s="159">
        <v>82</v>
      </c>
      <c r="B195" s="17">
        <v>38460</v>
      </c>
      <c r="D195" s="235"/>
      <c r="E195" s="235"/>
      <c r="F195" s="235"/>
      <c r="G195" s="235"/>
      <c r="M195" s="124" t="s">
        <v>115</v>
      </c>
      <c r="N195" s="14">
        <f>SUMIFS(芦花古楼!$E$5:$E$104,芦花古楼!$A$5:$A$104,"&gt;"&amp;经验计算!O195,芦花古楼!$A$5:$A$104,"&lt;="&amp;经验计算!P195)</f>
        <v>0</v>
      </c>
      <c r="O195" s="123">
        <v>0</v>
      </c>
      <c r="P195" s="123">
        <v>0</v>
      </c>
      <c r="R195" s="129">
        <v>1.05</v>
      </c>
      <c r="S195" s="21">
        <f t="shared" ref="S195:S198" si="39">R195/$R$122</f>
        <v>0.19090909090909092</v>
      </c>
      <c r="T195" s="69">
        <f t="shared" ref="T195:T198" si="40">INT($N$202*S195/5)*5</f>
        <v>36710</v>
      </c>
    </row>
    <row r="196" spans="1:20" ht="16.5" x14ac:dyDescent="0.2">
      <c r="A196" s="159">
        <v>83</v>
      </c>
      <c r="B196" s="17">
        <v>40205</v>
      </c>
      <c r="D196" s="235"/>
      <c r="E196" s="235"/>
      <c r="F196" s="235"/>
      <c r="G196" s="235"/>
      <c r="M196" s="124" t="s">
        <v>117</v>
      </c>
      <c r="N196" s="14">
        <f>SUMIFS(芦花古楼!$P$5:$P$104,芦花古楼!$L$5:$L$104,"&gt;"&amp;经验计算!O196,芦花古楼!$L$5:$L$104,"&lt;="&amp;经验计算!P196)</f>
        <v>0</v>
      </c>
      <c r="O196" s="123">
        <v>0</v>
      </c>
      <c r="P196" s="123">
        <v>0</v>
      </c>
      <c r="R196" s="129">
        <v>1.1000000000000001</v>
      </c>
      <c r="S196" s="21">
        <f t="shared" si="39"/>
        <v>0.2</v>
      </c>
      <c r="T196" s="69">
        <f t="shared" si="40"/>
        <v>38460</v>
      </c>
    </row>
    <row r="197" spans="1:20" ht="16.5" x14ac:dyDescent="0.2">
      <c r="A197" s="159">
        <v>84</v>
      </c>
      <c r="B197" s="17">
        <v>41955</v>
      </c>
      <c r="D197" s="235"/>
      <c r="E197" s="235"/>
      <c r="F197" s="235"/>
      <c r="G197" s="235"/>
      <c r="M197" s="124" t="s">
        <v>116</v>
      </c>
      <c r="N197" s="14">
        <f>SUMIFS(芦花古楼!$AA$5:$AA$104,芦花古楼!$W$5:$W$104,"&gt;"&amp;经验计算!O197,芦花古楼!$W$5:$W$104,"&lt;="&amp;经验计算!P197)</f>
        <v>0</v>
      </c>
      <c r="O197" s="123">
        <v>0</v>
      </c>
      <c r="P197" s="123">
        <v>0</v>
      </c>
      <c r="R197" s="129">
        <v>1.1499999999999999</v>
      </c>
      <c r="S197" s="21">
        <f t="shared" si="39"/>
        <v>0.20909090909090908</v>
      </c>
      <c r="T197" s="69">
        <f t="shared" si="40"/>
        <v>40205</v>
      </c>
    </row>
    <row r="198" spans="1:20" ht="16.5" x14ac:dyDescent="0.2">
      <c r="A198" s="128"/>
      <c r="B198" s="128"/>
      <c r="D198" s="235"/>
      <c r="E198" s="235"/>
      <c r="F198" s="235"/>
      <c r="G198" s="235"/>
      <c r="M198" s="124" t="s">
        <v>118</v>
      </c>
      <c r="N198" s="14">
        <f>SUMIFS(芦花古楼!$AL$5:$AL$104,芦花古楼!$AH$5:$AH$104,"&gt;"&amp;经验计算!O198,芦花古楼!$AH$5:$AH$104,"&lt;="&amp;经验计算!P198)</f>
        <v>0</v>
      </c>
      <c r="O198" s="123">
        <v>0</v>
      </c>
      <c r="P198" s="123">
        <v>0</v>
      </c>
      <c r="R198" s="129">
        <v>1.2</v>
      </c>
      <c r="S198" s="21">
        <f t="shared" si="39"/>
        <v>0.21818181818181817</v>
      </c>
      <c r="T198" s="69">
        <f t="shared" si="40"/>
        <v>41955</v>
      </c>
    </row>
    <row r="199" spans="1:20" ht="16.5" x14ac:dyDescent="0.2">
      <c r="A199" s="128"/>
      <c r="B199" s="128"/>
      <c r="D199" s="235"/>
      <c r="E199" s="235"/>
      <c r="F199" s="235"/>
      <c r="G199" s="235"/>
      <c r="M199" s="124" t="s">
        <v>47</v>
      </c>
      <c r="N199" s="14"/>
      <c r="O199" s="14">
        <f>日常任务!$D$2*经验计算!N199</f>
        <v>0</v>
      </c>
      <c r="P199" s="126"/>
      <c r="R199" s="131"/>
      <c r="S199" s="131"/>
      <c r="T199" s="131"/>
    </row>
    <row r="200" spans="1:20" ht="16.5" x14ac:dyDescent="0.2">
      <c r="A200" s="128"/>
      <c r="B200" s="128"/>
      <c r="D200" s="235"/>
      <c r="E200" s="235"/>
      <c r="F200" s="235"/>
      <c r="G200" s="235"/>
      <c r="M200" s="124" t="s">
        <v>44</v>
      </c>
      <c r="N200" s="14">
        <f>INDEX(节奏总表!$N$5:$N$35,经验计算!N193)*60</f>
        <v>5400</v>
      </c>
      <c r="O200" s="14">
        <f>INDEX(章节关卡!$G$6:$G$35,经验计算!N193-1)*经验计算!N200</f>
        <v>145800</v>
      </c>
      <c r="P200" s="126"/>
      <c r="R200" s="131"/>
      <c r="S200" s="131"/>
      <c r="T200" s="131"/>
    </row>
    <row r="201" spans="1:20" ht="16.5" x14ac:dyDescent="0.2">
      <c r="A201" s="128"/>
      <c r="B201" s="128"/>
      <c r="D201" s="235"/>
      <c r="E201" s="235"/>
      <c r="F201" s="235"/>
      <c r="G201" s="235"/>
      <c r="M201" s="124" t="s">
        <v>40</v>
      </c>
      <c r="N201" s="19">
        <v>0</v>
      </c>
      <c r="O201" s="14">
        <f>N202*N201</f>
        <v>0</v>
      </c>
      <c r="P201" s="126"/>
      <c r="R201" s="131"/>
      <c r="S201" s="131"/>
      <c r="T201" s="131"/>
    </row>
    <row r="202" spans="1:20" ht="16.5" x14ac:dyDescent="0.2">
      <c r="A202" s="128"/>
      <c r="B202" s="128"/>
      <c r="D202" s="235"/>
      <c r="E202" s="235"/>
      <c r="F202" s="235"/>
      <c r="G202" s="235"/>
      <c r="M202" s="124" t="s">
        <v>39</v>
      </c>
      <c r="N202" s="14">
        <f>(N194+N195+N197+N196+N198+O199+O200+P194)/(1-N201)</f>
        <v>192300</v>
      </c>
      <c r="O202" s="125"/>
      <c r="P202" s="126"/>
      <c r="R202" s="131"/>
      <c r="S202" s="131"/>
      <c r="T202" s="131"/>
    </row>
    <row r="203" spans="1:20" x14ac:dyDescent="0.2">
      <c r="A203" s="128"/>
      <c r="B203" s="128"/>
      <c r="R203" s="131"/>
      <c r="S203" s="131"/>
      <c r="T203" s="131"/>
    </row>
    <row r="204" spans="1:20" x14ac:dyDescent="0.2">
      <c r="A204" s="128"/>
      <c r="B204" s="128"/>
    </row>
    <row r="207" spans="1:20" x14ac:dyDescent="0.2">
      <c r="A207" s="15"/>
      <c r="B207" s="15"/>
      <c r="C207" s="15"/>
      <c r="D207" s="15"/>
      <c r="E207" s="15"/>
      <c r="F207" s="15"/>
      <c r="G207" s="15"/>
      <c r="H207" s="15"/>
      <c r="I207" s="15"/>
      <c r="J207" s="15"/>
      <c r="K207" s="15"/>
      <c r="L207" s="15"/>
      <c r="M207" s="15"/>
      <c r="N207" s="15"/>
      <c r="O207" s="15"/>
      <c r="P207" s="15"/>
      <c r="Q207" s="15"/>
      <c r="R207" s="131">
        <f>SUM(R209:R213)</f>
        <v>5.5</v>
      </c>
      <c r="S207" s="15"/>
      <c r="T207" s="15"/>
    </row>
    <row r="208" spans="1:20" ht="17.25" x14ac:dyDescent="0.2">
      <c r="A208" s="159">
        <v>85</v>
      </c>
      <c r="B208" s="67">
        <v>44705</v>
      </c>
      <c r="D208" s="235"/>
      <c r="E208" s="235"/>
      <c r="F208" s="235"/>
      <c r="G208" s="235"/>
      <c r="M208" s="68" t="s">
        <v>114</v>
      </c>
      <c r="N208" s="67">
        <v>16</v>
      </c>
      <c r="O208" s="68" t="s">
        <v>114</v>
      </c>
      <c r="P208" s="67">
        <v>14</v>
      </c>
      <c r="Q208" s="15"/>
      <c r="R208" s="12" t="s">
        <v>43</v>
      </c>
      <c r="S208" s="12" t="s">
        <v>41</v>
      </c>
      <c r="T208" s="12" t="s">
        <v>42</v>
      </c>
    </row>
    <row r="209" spans="1:20" ht="16.5" x14ac:dyDescent="0.2">
      <c r="A209" s="159">
        <v>86</v>
      </c>
      <c r="B209" s="67">
        <v>46940</v>
      </c>
      <c r="D209" s="235"/>
      <c r="E209" s="235"/>
      <c r="F209" s="235"/>
      <c r="G209" s="235"/>
      <c r="M209" s="68" t="s">
        <v>1056</v>
      </c>
      <c r="N209" s="14">
        <f>SUMIFS(章节关卡!$BD$5:$BD$304,章节关卡!$BB$5:$BB$304,"="&amp;经验计算!N208)</f>
        <v>6400</v>
      </c>
      <c r="O209" s="68" t="s">
        <v>1060</v>
      </c>
      <c r="P209" s="14">
        <f>SUMIFS(章节关卡!$BN$5:$BN$304,章节关卡!$BL$5:$BL$304,"="&amp;经验计算!P208)</f>
        <v>50500</v>
      </c>
      <c r="R209" s="129">
        <v>1</v>
      </c>
      <c r="S209" s="21">
        <f>R209/$R$122</f>
        <v>0.18181818181818182</v>
      </c>
      <c r="T209" s="67">
        <f>INT($N$217*S209/5)*5</f>
        <v>44705</v>
      </c>
    </row>
    <row r="210" spans="1:20" ht="16.5" x14ac:dyDescent="0.2">
      <c r="A210" s="159">
        <v>87</v>
      </c>
      <c r="B210" s="67">
        <v>49180</v>
      </c>
      <c r="D210" s="235"/>
      <c r="E210" s="235"/>
      <c r="F210" s="235"/>
      <c r="G210" s="235"/>
      <c r="M210" s="68" t="s">
        <v>115</v>
      </c>
      <c r="N210" s="14">
        <f>SUMIFS(芦花古楼!$E$5:$E$104,芦花古楼!$A$5:$A$104,"&gt;"&amp;经验计算!O210,芦花古楼!$A$5:$A$104,"&lt;="&amp;经验计算!P210)</f>
        <v>0</v>
      </c>
      <c r="O210" s="67">
        <v>100</v>
      </c>
      <c r="P210" s="67">
        <v>100</v>
      </c>
      <c r="R210" s="129">
        <v>1.05</v>
      </c>
      <c r="S210" s="21">
        <f t="shared" ref="S210:S213" si="41">R210/$R$122</f>
        <v>0.19090909090909092</v>
      </c>
      <c r="T210" s="69">
        <f t="shared" ref="T210:T213" si="42">INT($N$217*S210/5)*5</f>
        <v>46940</v>
      </c>
    </row>
    <row r="211" spans="1:20" ht="16.5" x14ac:dyDescent="0.2">
      <c r="A211" s="159">
        <v>88</v>
      </c>
      <c r="B211" s="67">
        <v>51415</v>
      </c>
      <c r="D211" s="235"/>
      <c r="E211" s="235"/>
      <c r="F211" s="235"/>
      <c r="G211" s="235"/>
      <c r="M211" s="68" t="s">
        <v>117</v>
      </c>
      <c r="N211" s="14">
        <f>SUMIFS(芦花古楼!$P$5:$P$104,芦花古楼!$L$5:$L$104,"&gt;"&amp;经验计算!O211,芦花古楼!$L$5:$L$104,"&lt;="&amp;经验计算!P211)</f>
        <v>0</v>
      </c>
      <c r="O211" s="67">
        <v>100</v>
      </c>
      <c r="P211" s="67">
        <v>100</v>
      </c>
      <c r="R211" s="129">
        <v>1.1000000000000001</v>
      </c>
      <c r="S211" s="21">
        <f t="shared" si="41"/>
        <v>0.2</v>
      </c>
      <c r="T211" s="69">
        <f t="shared" si="42"/>
        <v>49180</v>
      </c>
    </row>
    <row r="212" spans="1:20" ht="16.5" x14ac:dyDescent="0.2">
      <c r="A212" s="159">
        <v>89</v>
      </c>
      <c r="B212" s="67">
        <v>53650</v>
      </c>
      <c r="D212" s="235"/>
      <c r="E212" s="235"/>
      <c r="F212" s="235"/>
      <c r="G212" s="235"/>
      <c r="M212" s="68" t="s">
        <v>116</v>
      </c>
      <c r="N212" s="14">
        <f>SUMIFS(芦花古楼!$AA$5:$AA$104,芦花古楼!$W$5:$W$104,"&gt;"&amp;经验计算!O212,芦花古楼!$W$5:$W$104,"&lt;="&amp;经验计算!P212)</f>
        <v>0</v>
      </c>
      <c r="O212" s="67">
        <v>80</v>
      </c>
      <c r="P212" s="67">
        <v>90</v>
      </c>
      <c r="R212" s="129">
        <v>1.1499999999999999</v>
      </c>
      <c r="S212" s="21">
        <f t="shared" si="41"/>
        <v>0.20909090909090908</v>
      </c>
      <c r="T212" s="69">
        <f t="shared" si="42"/>
        <v>51415</v>
      </c>
    </row>
    <row r="213" spans="1:20" ht="16.5" x14ac:dyDescent="0.2">
      <c r="A213" s="128"/>
      <c r="B213" s="128"/>
      <c r="D213" s="235"/>
      <c r="E213" s="235"/>
      <c r="F213" s="235"/>
      <c r="G213" s="235"/>
      <c r="M213" s="68" t="s">
        <v>118</v>
      </c>
      <c r="N213" s="14">
        <f>SUMIFS(芦花古楼!$AL$5:$AL$104,芦花古楼!$AH$5:$AH$104,"&gt;"&amp;经验计算!O213,芦花古楼!$AH$5:$AH$104,"&lt;="&amp;经验计算!P213)</f>
        <v>0</v>
      </c>
      <c r="O213" s="67">
        <v>70</v>
      </c>
      <c r="P213" s="67">
        <v>80</v>
      </c>
      <c r="R213" s="129">
        <v>1.2</v>
      </c>
      <c r="S213" s="21">
        <f t="shared" si="41"/>
        <v>0.21818181818181817</v>
      </c>
      <c r="T213" s="69">
        <f t="shared" si="42"/>
        <v>53650</v>
      </c>
    </row>
    <row r="214" spans="1:20" ht="16.5" x14ac:dyDescent="0.2">
      <c r="A214" s="128"/>
      <c r="B214" s="128"/>
      <c r="D214" s="235"/>
      <c r="E214" s="235"/>
      <c r="F214" s="235"/>
      <c r="G214" s="235"/>
      <c r="M214" s="68" t="s">
        <v>47</v>
      </c>
      <c r="N214" s="14"/>
      <c r="O214" s="14">
        <f>日常任务!D154*经验计算!N214</f>
        <v>0</v>
      </c>
      <c r="R214" s="131"/>
      <c r="S214" s="131"/>
      <c r="T214" s="131"/>
    </row>
    <row r="215" spans="1:20" ht="16.5" x14ac:dyDescent="0.2">
      <c r="A215" s="128"/>
      <c r="B215" s="128"/>
      <c r="D215" s="235"/>
      <c r="E215" s="235"/>
      <c r="F215" s="235"/>
      <c r="G215" s="235"/>
      <c r="M215" s="68" t="s">
        <v>44</v>
      </c>
      <c r="N215" s="14">
        <f>INDEX(节奏总表!$N$5:$N$35,经验计算!N208)*60</f>
        <v>6300</v>
      </c>
      <c r="O215" s="14">
        <f>INDEX(章节关卡!$G$6:$G$35,经验计算!N208-1)*经验计算!N215</f>
        <v>189000</v>
      </c>
      <c r="R215" s="131"/>
      <c r="S215" s="131"/>
      <c r="T215" s="131"/>
    </row>
    <row r="216" spans="1:20" ht="16.5" x14ac:dyDescent="0.2">
      <c r="A216" s="128"/>
      <c r="B216" s="128"/>
      <c r="D216" s="235"/>
      <c r="E216" s="235"/>
      <c r="F216" s="235"/>
      <c r="G216" s="235"/>
      <c r="M216" s="68" t="s">
        <v>40</v>
      </c>
      <c r="N216" s="19">
        <v>0</v>
      </c>
      <c r="O216" s="14">
        <f>N217*N216</f>
        <v>0</v>
      </c>
      <c r="R216" s="131"/>
      <c r="S216" s="131"/>
      <c r="T216" s="131"/>
    </row>
    <row r="217" spans="1:20" ht="16.5" x14ac:dyDescent="0.2">
      <c r="A217" s="128"/>
      <c r="B217" s="128"/>
      <c r="D217" s="235"/>
      <c r="E217" s="235"/>
      <c r="F217" s="235"/>
      <c r="G217" s="235"/>
      <c r="M217" s="68" t="s">
        <v>39</v>
      </c>
      <c r="N217" s="14">
        <f>(N209+N210+N212+N211+N213+O214+O215+P209)/(1-N216)</f>
        <v>245900</v>
      </c>
      <c r="O217" s="15"/>
      <c r="R217" s="131"/>
      <c r="S217" s="131"/>
      <c r="T217" s="131"/>
    </row>
    <row r="218" spans="1:20" x14ac:dyDescent="0.2">
      <c r="A218" s="128"/>
      <c r="B218" s="128"/>
      <c r="R218" s="131"/>
      <c r="S218" s="131"/>
      <c r="T218" s="131"/>
    </row>
    <row r="219" spans="1:20" x14ac:dyDescent="0.2">
      <c r="A219" s="128"/>
      <c r="B219" s="128"/>
    </row>
    <row r="221" spans="1:20" x14ac:dyDescent="0.2">
      <c r="A221" s="15"/>
      <c r="B221" s="15"/>
      <c r="C221" s="15"/>
      <c r="D221" s="15"/>
      <c r="E221" s="15"/>
      <c r="F221" s="15"/>
      <c r="G221" s="15"/>
      <c r="H221" s="15"/>
      <c r="I221" s="15"/>
      <c r="J221" s="15"/>
      <c r="K221" s="15"/>
      <c r="L221" s="15"/>
      <c r="M221" s="15"/>
      <c r="N221" s="15"/>
      <c r="O221" s="15"/>
      <c r="P221" s="15"/>
      <c r="Q221" s="15"/>
      <c r="R221" s="131">
        <f>SUM(R223:R227)</f>
        <v>5.5</v>
      </c>
      <c r="S221" s="15"/>
      <c r="T221" s="15"/>
    </row>
    <row r="222" spans="1:20" ht="17.25" x14ac:dyDescent="0.2">
      <c r="A222" s="159">
        <v>90</v>
      </c>
      <c r="B222" s="67">
        <v>51095</v>
      </c>
      <c r="D222" s="235"/>
      <c r="E222" s="235"/>
      <c r="F222" s="235"/>
      <c r="G222" s="235"/>
      <c r="M222" s="68" t="s">
        <v>114</v>
      </c>
      <c r="N222" s="67">
        <v>17</v>
      </c>
      <c r="O222" s="68" t="s">
        <v>114</v>
      </c>
      <c r="P222" s="67">
        <v>15</v>
      </c>
      <c r="Q222" s="15"/>
      <c r="R222" s="12" t="s">
        <v>43</v>
      </c>
      <c r="S222" s="12" t="s">
        <v>41</v>
      </c>
      <c r="T222" s="12" t="s">
        <v>42</v>
      </c>
    </row>
    <row r="223" spans="1:20" ht="16.5" x14ac:dyDescent="0.2">
      <c r="A223" s="159">
        <v>91</v>
      </c>
      <c r="B223" s="67">
        <v>53650</v>
      </c>
      <c r="D223" s="235"/>
      <c r="E223" s="235"/>
      <c r="F223" s="235"/>
      <c r="G223" s="235"/>
      <c r="M223" s="68" t="s">
        <v>1058</v>
      </c>
      <c r="N223" s="14">
        <f>SUMIFS(章节关卡!$BD$5:$BD$304,章节关卡!$BB$5:$BB$304,"="&amp;经验计算!N222)</f>
        <v>7000</v>
      </c>
      <c r="O223" s="68" t="s">
        <v>1060</v>
      </c>
      <c r="P223" s="14">
        <f>SUMIFS(章节关卡!$BN$5:$BN$304,章节关卡!$BL$5:$BL$304,"="&amp;经验计算!P222)</f>
        <v>59000</v>
      </c>
      <c r="R223" s="129">
        <v>1</v>
      </c>
      <c r="S223" s="21">
        <f>R223/$R$122</f>
        <v>0.18181818181818182</v>
      </c>
      <c r="T223" s="67">
        <f>INT($N$231*S223/5)*5</f>
        <v>51095</v>
      </c>
    </row>
    <row r="224" spans="1:20" ht="16.5" x14ac:dyDescent="0.2">
      <c r="A224" s="159">
        <v>92</v>
      </c>
      <c r="B224" s="67">
        <v>56205</v>
      </c>
      <c r="D224" s="235"/>
      <c r="E224" s="235"/>
      <c r="F224" s="235"/>
      <c r="G224" s="235"/>
      <c r="M224" s="68" t="s">
        <v>115</v>
      </c>
      <c r="N224" s="14">
        <f>SUMIFS(芦花古楼!$E$5:$E$104,芦花古楼!$A$5:$A$104,"&gt;"&amp;经验计算!O224,芦花古楼!$A$5:$A$104,"&lt;="&amp;经验计算!P224)</f>
        <v>0</v>
      </c>
      <c r="O224" s="67">
        <v>100</v>
      </c>
      <c r="P224" s="67">
        <v>100</v>
      </c>
      <c r="R224" s="129">
        <v>1.05</v>
      </c>
      <c r="S224" s="21">
        <f t="shared" ref="S224:S227" si="43">R224/$R$122</f>
        <v>0.19090909090909092</v>
      </c>
      <c r="T224" s="69">
        <f t="shared" ref="T224:T227" si="44">INT($N$231*S224/5)*5</f>
        <v>53650</v>
      </c>
    </row>
    <row r="225" spans="1:20" ht="16.5" x14ac:dyDescent="0.2">
      <c r="A225" s="159">
        <v>93</v>
      </c>
      <c r="B225" s="67">
        <v>58760</v>
      </c>
      <c r="D225" s="235"/>
      <c r="E225" s="235"/>
      <c r="F225" s="235"/>
      <c r="G225" s="235"/>
      <c r="M225" s="68" t="s">
        <v>117</v>
      </c>
      <c r="N225" s="14">
        <f>SUMIFS(芦花古楼!$P$5:$P$104,芦花古楼!$L$5:$L$104,"&gt;"&amp;经验计算!O225,芦花古楼!$L$5:$L$104,"&lt;="&amp;经验计算!P225)</f>
        <v>0</v>
      </c>
      <c r="O225" s="69">
        <v>100</v>
      </c>
      <c r="P225" s="69">
        <v>100</v>
      </c>
      <c r="R225" s="129">
        <v>1.1000000000000001</v>
      </c>
      <c r="S225" s="21">
        <f t="shared" si="43"/>
        <v>0.2</v>
      </c>
      <c r="T225" s="69">
        <f t="shared" si="44"/>
        <v>56205</v>
      </c>
    </row>
    <row r="226" spans="1:20" ht="16.5" x14ac:dyDescent="0.2">
      <c r="A226" s="159">
        <v>94</v>
      </c>
      <c r="B226" s="67">
        <v>61315</v>
      </c>
      <c r="D226" s="235"/>
      <c r="E226" s="235"/>
      <c r="F226" s="235"/>
      <c r="G226" s="235"/>
      <c r="M226" s="68" t="s">
        <v>116</v>
      </c>
      <c r="N226" s="14">
        <f>SUMIFS(芦花古楼!$AA$5:$AA$104,芦花古楼!$W$5:$W$104,"&gt;"&amp;经验计算!O226,芦花古楼!$W$5:$W$104,"&lt;="&amp;经验计算!P226)</f>
        <v>0</v>
      </c>
      <c r="O226" s="67">
        <v>90</v>
      </c>
      <c r="P226" s="67">
        <v>100</v>
      </c>
      <c r="R226" s="129">
        <v>1.1499999999999999</v>
      </c>
      <c r="S226" s="21">
        <f t="shared" si="43"/>
        <v>0.20909090909090908</v>
      </c>
      <c r="T226" s="69">
        <f t="shared" si="44"/>
        <v>58760</v>
      </c>
    </row>
    <row r="227" spans="1:20" ht="16.5" x14ac:dyDescent="0.2">
      <c r="A227" s="128"/>
      <c r="B227" s="128"/>
      <c r="D227" s="235"/>
      <c r="E227" s="235"/>
      <c r="F227" s="235"/>
      <c r="G227" s="235"/>
      <c r="M227" s="68" t="s">
        <v>118</v>
      </c>
      <c r="N227" s="14">
        <f>SUMIFS(芦花古楼!$AL$5:$AL$104,芦花古楼!$AH$5:$AH$104,"&gt;"&amp;经验计算!O227,芦花古楼!$AH$5:$AH$104,"&lt;="&amp;经验计算!P227)</f>
        <v>0</v>
      </c>
      <c r="O227" s="67">
        <v>80</v>
      </c>
      <c r="P227" s="67">
        <v>90</v>
      </c>
      <c r="R227" s="129">
        <v>1.2</v>
      </c>
      <c r="S227" s="21">
        <f t="shared" si="43"/>
        <v>0.21818181818181817</v>
      </c>
      <c r="T227" s="69">
        <f t="shared" si="44"/>
        <v>61315</v>
      </c>
    </row>
    <row r="228" spans="1:20" ht="16.5" x14ac:dyDescent="0.2">
      <c r="A228" s="128"/>
      <c r="B228" s="128"/>
      <c r="D228" s="235"/>
      <c r="E228" s="235"/>
      <c r="F228" s="235"/>
      <c r="G228" s="235"/>
      <c r="M228" s="68" t="s">
        <v>47</v>
      </c>
      <c r="N228" s="14"/>
      <c r="O228" s="14">
        <f>日常任务!D169*经验计算!N228</f>
        <v>0</v>
      </c>
      <c r="R228" s="131"/>
      <c r="S228" s="131"/>
      <c r="T228" s="131"/>
    </row>
    <row r="229" spans="1:20" ht="16.5" x14ac:dyDescent="0.2">
      <c r="A229" s="128"/>
      <c r="B229" s="128"/>
      <c r="D229" s="235"/>
      <c r="E229" s="235"/>
      <c r="F229" s="235"/>
      <c r="G229" s="235"/>
      <c r="M229" s="68" t="s">
        <v>44</v>
      </c>
      <c r="N229" s="14">
        <f>INDEX(节奏总表!$N$5:$N$35,经验计算!N222)*60</f>
        <v>6720</v>
      </c>
      <c r="O229" s="14">
        <f>INDEX(章节关卡!$G$6:$G$35,经验计算!N222-1)*经验计算!N229</f>
        <v>215040</v>
      </c>
      <c r="R229" s="131"/>
      <c r="S229" s="131"/>
      <c r="T229" s="131"/>
    </row>
    <row r="230" spans="1:20" ht="16.5" x14ac:dyDescent="0.2">
      <c r="A230" s="128"/>
      <c r="B230" s="128"/>
      <c r="D230" s="235"/>
      <c r="E230" s="235"/>
      <c r="F230" s="235"/>
      <c r="G230" s="235"/>
      <c r="M230" s="68" t="s">
        <v>40</v>
      </c>
      <c r="N230" s="19">
        <v>0</v>
      </c>
      <c r="O230" s="14">
        <f>N231*N230</f>
        <v>0</v>
      </c>
      <c r="R230" s="131"/>
      <c r="S230" s="131"/>
      <c r="T230" s="131"/>
    </row>
    <row r="231" spans="1:20" ht="16.5" x14ac:dyDescent="0.2">
      <c r="A231" s="128"/>
      <c r="B231" s="128"/>
      <c r="D231" s="235"/>
      <c r="E231" s="235"/>
      <c r="F231" s="235"/>
      <c r="G231" s="235"/>
      <c r="M231" s="68" t="s">
        <v>39</v>
      </c>
      <c r="N231" s="14">
        <f>(N223+N224+N226+N225+N227+O228+O229+P223)/(1-N230)</f>
        <v>281040</v>
      </c>
      <c r="O231" s="15"/>
      <c r="R231" s="131"/>
      <c r="S231" s="131"/>
      <c r="T231" s="131"/>
    </row>
    <row r="232" spans="1:20" x14ac:dyDescent="0.2">
      <c r="A232" s="128"/>
      <c r="B232" s="128"/>
      <c r="R232" s="131"/>
      <c r="S232" s="131"/>
      <c r="T232" s="131"/>
    </row>
    <row r="235" spans="1:20" x14ac:dyDescent="0.2">
      <c r="A235" s="15"/>
      <c r="B235" s="15"/>
      <c r="C235" s="15"/>
      <c r="D235" s="15"/>
      <c r="E235" s="15"/>
      <c r="F235" s="15"/>
      <c r="G235" s="15"/>
      <c r="H235" s="15"/>
      <c r="I235" s="15"/>
      <c r="J235" s="15"/>
      <c r="K235" s="15"/>
      <c r="L235" s="15"/>
      <c r="M235" s="15"/>
      <c r="N235" s="15"/>
      <c r="O235" s="15"/>
      <c r="P235" s="15"/>
      <c r="Q235" s="15"/>
      <c r="R235" s="131">
        <f>SUM(R237:R241)</f>
        <v>5.5</v>
      </c>
      <c r="S235" s="15"/>
      <c r="T235" s="15"/>
    </row>
    <row r="236" spans="1:20" ht="17.25" x14ac:dyDescent="0.2">
      <c r="A236" s="159">
        <v>95</v>
      </c>
      <c r="B236" s="67">
        <v>59250</v>
      </c>
      <c r="D236" s="235"/>
      <c r="E236" s="235"/>
      <c r="F236" s="235"/>
      <c r="G236" s="235"/>
      <c r="M236" s="68" t="s">
        <v>114</v>
      </c>
      <c r="N236" s="67">
        <v>18</v>
      </c>
      <c r="O236" s="68" t="s">
        <v>114</v>
      </c>
      <c r="P236" s="67">
        <v>16</v>
      </c>
      <c r="Q236" s="15"/>
      <c r="R236" s="12" t="s">
        <v>43</v>
      </c>
      <c r="S236" s="12" t="s">
        <v>41</v>
      </c>
      <c r="T236" s="12" t="s">
        <v>42</v>
      </c>
    </row>
    <row r="237" spans="1:20" ht="16.5" x14ac:dyDescent="0.2">
      <c r="A237" s="159">
        <v>96</v>
      </c>
      <c r="B237" s="67">
        <v>62215</v>
      </c>
      <c r="D237" s="235"/>
      <c r="E237" s="235"/>
      <c r="F237" s="235"/>
      <c r="G237" s="235"/>
      <c r="M237" s="68" t="s">
        <v>1056</v>
      </c>
      <c r="N237" s="14">
        <f>SUMIFS(章节关卡!$BD$5:$BD$304,章节关卡!$BB$5:$BB$304,"="&amp;经验计算!N236)</f>
        <v>7400</v>
      </c>
      <c r="O237" s="68" t="s">
        <v>1060</v>
      </c>
      <c r="P237" s="14">
        <f>SUMIFS(章节关卡!$BN$5:$BN$304,章节关卡!$BL$5:$BL$304,"="&amp;经验计算!P236)</f>
        <v>66500</v>
      </c>
      <c r="R237" s="129">
        <v>1</v>
      </c>
      <c r="S237" s="21">
        <f>R237/$R$122</f>
        <v>0.18181818181818182</v>
      </c>
      <c r="T237" s="67">
        <f>INT($N$245*S237/5)*5</f>
        <v>59250</v>
      </c>
    </row>
    <row r="238" spans="1:20" ht="16.5" x14ac:dyDescent="0.2">
      <c r="A238" s="159">
        <v>97</v>
      </c>
      <c r="B238" s="67">
        <v>65180</v>
      </c>
      <c r="D238" s="235"/>
      <c r="E238" s="235"/>
      <c r="F238" s="235"/>
      <c r="G238" s="235"/>
      <c r="M238" s="68" t="s">
        <v>115</v>
      </c>
      <c r="N238" s="14">
        <f>SUMIFS(芦花古楼!$E$5:$E$104,芦花古楼!$A$5:$A$104,"&gt;"&amp;经验计算!O238,芦花古楼!$A$5:$A$104,"&lt;="&amp;经验计算!P238)</f>
        <v>0</v>
      </c>
      <c r="O238" s="67">
        <v>100</v>
      </c>
      <c r="P238" s="67">
        <v>100</v>
      </c>
      <c r="R238" s="129">
        <v>1.05</v>
      </c>
      <c r="S238" s="21">
        <f t="shared" ref="S238:S241" si="45">R238/$R$122</f>
        <v>0.19090909090909092</v>
      </c>
      <c r="T238" s="69">
        <f t="shared" ref="T238:T241" si="46">INT($N$245*S238/5)*5</f>
        <v>62215</v>
      </c>
    </row>
    <row r="239" spans="1:20" ht="16.5" x14ac:dyDescent="0.2">
      <c r="A239" s="159">
        <v>98</v>
      </c>
      <c r="B239" s="67">
        <v>68140</v>
      </c>
      <c r="D239" s="235"/>
      <c r="E239" s="235"/>
      <c r="F239" s="235"/>
      <c r="G239" s="235"/>
      <c r="M239" s="68" t="s">
        <v>117</v>
      </c>
      <c r="N239" s="14">
        <f>SUMIFS(芦花古楼!$P$5:$P$104,芦花古楼!$L$5:$L$104,"&gt;"&amp;经验计算!O239,芦花古楼!$L$5:$L$104,"&lt;="&amp;经验计算!P239)</f>
        <v>0</v>
      </c>
      <c r="O239" s="69">
        <v>100</v>
      </c>
      <c r="P239" s="69">
        <v>100</v>
      </c>
      <c r="R239" s="129">
        <v>1.1000000000000001</v>
      </c>
      <c r="S239" s="21">
        <f t="shared" si="45"/>
        <v>0.2</v>
      </c>
      <c r="T239" s="69">
        <f t="shared" si="46"/>
        <v>65180</v>
      </c>
    </row>
    <row r="240" spans="1:20" ht="16.5" x14ac:dyDescent="0.2">
      <c r="A240" s="159">
        <v>99</v>
      </c>
      <c r="B240" s="67">
        <v>71105</v>
      </c>
      <c r="D240" s="235"/>
      <c r="E240" s="235"/>
      <c r="F240" s="235"/>
      <c r="G240" s="235"/>
      <c r="M240" s="68" t="s">
        <v>116</v>
      </c>
      <c r="N240" s="14">
        <f>SUMIFS(芦花古楼!$AA$5:$AA$104,芦花古楼!$W$5:$W$104,"&gt;"&amp;经验计算!O240,芦花古楼!$W$5:$W$104,"&lt;="&amp;经验计算!P240)</f>
        <v>0</v>
      </c>
      <c r="O240" s="67">
        <v>100</v>
      </c>
      <c r="P240" s="67">
        <v>100</v>
      </c>
      <c r="R240" s="129">
        <v>1.1499999999999999</v>
      </c>
      <c r="S240" s="21">
        <f t="shared" si="45"/>
        <v>0.20909090909090908</v>
      </c>
      <c r="T240" s="69">
        <f t="shared" si="46"/>
        <v>68140</v>
      </c>
    </row>
    <row r="241" spans="1:20" ht="16.5" x14ac:dyDescent="0.2">
      <c r="A241" s="131"/>
      <c r="B241" s="131"/>
      <c r="D241" s="235"/>
      <c r="E241" s="235"/>
      <c r="F241" s="235"/>
      <c r="G241" s="235"/>
      <c r="M241" s="68" t="s">
        <v>118</v>
      </c>
      <c r="N241" s="14">
        <f>SUMIFS(芦花古楼!$AL$5:$AL$104,芦花古楼!$AH$5:$AH$104,"&gt;"&amp;经验计算!O241,芦花古楼!$AH$5:$AH$104,"&lt;="&amp;经验计算!P241)</f>
        <v>0</v>
      </c>
      <c r="O241" s="67">
        <v>90</v>
      </c>
      <c r="P241" s="67">
        <v>100</v>
      </c>
      <c r="R241" s="129">
        <v>1.2</v>
      </c>
      <c r="S241" s="21">
        <f t="shared" si="45"/>
        <v>0.21818181818181817</v>
      </c>
      <c r="T241" s="69">
        <f t="shared" si="46"/>
        <v>71105</v>
      </c>
    </row>
    <row r="242" spans="1:20" ht="16.5" x14ac:dyDescent="0.2">
      <c r="A242" s="131"/>
      <c r="B242" s="131"/>
      <c r="D242" s="235"/>
      <c r="E242" s="235"/>
      <c r="F242" s="235"/>
      <c r="G242" s="235"/>
      <c r="M242" s="68" t="s">
        <v>47</v>
      </c>
      <c r="N242" s="14"/>
      <c r="O242" s="14">
        <f>日常任务!D183*经验计算!N242</f>
        <v>0</v>
      </c>
      <c r="R242" s="131"/>
      <c r="S242" s="131"/>
      <c r="T242" s="131"/>
    </row>
    <row r="243" spans="1:20" ht="16.5" x14ac:dyDescent="0.2">
      <c r="A243" s="131"/>
      <c r="B243" s="131"/>
      <c r="D243" s="235"/>
      <c r="E243" s="235"/>
      <c r="F243" s="235"/>
      <c r="G243" s="235"/>
      <c r="M243" s="68" t="s">
        <v>44</v>
      </c>
      <c r="N243" s="14">
        <f>INDEX(节奏总表!$N$5:$N$35,经验计算!N236)*60</f>
        <v>7200</v>
      </c>
      <c r="O243" s="14">
        <f>INDEX(章节关卡!$G$6:$G$35,经验计算!N236-1)*经验计算!N243</f>
        <v>252000</v>
      </c>
      <c r="R243" s="131"/>
      <c r="S243" s="131"/>
      <c r="T243" s="131"/>
    </row>
    <row r="244" spans="1:20" ht="16.5" x14ac:dyDescent="0.2">
      <c r="A244" s="131"/>
      <c r="B244" s="131"/>
      <c r="D244" s="235"/>
      <c r="E244" s="235"/>
      <c r="F244" s="235"/>
      <c r="G244" s="235"/>
      <c r="M244" s="68" t="s">
        <v>40</v>
      </c>
      <c r="N244" s="19">
        <v>0</v>
      </c>
      <c r="O244" s="14">
        <f>N245*N244</f>
        <v>0</v>
      </c>
      <c r="R244" s="131"/>
      <c r="S244" s="131"/>
      <c r="T244" s="131"/>
    </row>
    <row r="245" spans="1:20" ht="16.5" x14ac:dyDescent="0.2">
      <c r="A245" s="131"/>
      <c r="B245" s="131"/>
      <c r="D245" s="235"/>
      <c r="E245" s="235"/>
      <c r="F245" s="235"/>
      <c r="G245" s="235"/>
      <c r="M245" s="68" t="s">
        <v>39</v>
      </c>
      <c r="N245" s="14">
        <f>(N237+N238+N240+N239+N241+O242+O243+P237)/(1-N244)</f>
        <v>325900</v>
      </c>
      <c r="O245" s="15"/>
      <c r="R245" s="131"/>
      <c r="S245" s="131"/>
      <c r="T245" s="131"/>
    </row>
    <row r="246" spans="1:20" x14ac:dyDescent="0.2">
      <c r="A246" s="131"/>
      <c r="B246" s="131"/>
      <c r="R246" s="131"/>
      <c r="S246" s="131"/>
      <c r="T246" s="131"/>
    </row>
    <row r="249" spans="1:20" x14ac:dyDescent="0.2">
      <c r="A249" s="15"/>
      <c r="B249" s="15"/>
      <c r="C249" s="15"/>
      <c r="D249" s="15"/>
      <c r="E249" s="15"/>
      <c r="F249" s="15"/>
      <c r="G249" s="15"/>
      <c r="H249" s="15"/>
      <c r="I249" s="15"/>
      <c r="J249" s="15"/>
      <c r="K249" s="15"/>
      <c r="L249" s="15"/>
      <c r="M249" s="15"/>
      <c r="N249" s="15"/>
      <c r="O249" s="15"/>
      <c r="P249" s="15"/>
      <c r="Q249" s="15"/>
      <c r="R249" s="131">
        <f>SUM(R251:R255)</f>
        <v>5.5</v>
      </c>
      <c r="S249" s="15"/>
      <c r="T249" s="15"/>
    </row>
    <row r="250" spans="1:20" ht="17.25" x14ac:dyDescent="0.2">
      <c r="A250" s="159">
        <v>100</v>
      </c>
      <c r="B250" s="67">
        <v>65545</v>
      </c>
      <c r="D250" s="235"/>
      <c r="E250" s="235"/>
      <c r="F250" s="235"/>
      <c r="G250" s="235"/>
      <c r="M250" s="68" t="s">
        <v>114</v>
      </c>
      <c r="N250" s="67">
        <v>19</v>
      </c>
      <c r="O250" s="68" t="s">
        <v>114</v>
      </c>
      <c r="P250" s="67">
        <v>17</v>
      </c>
      <c r="Q250" s="15"/>
      <c r="R250" s="12" t="s">
        <v>43</v>
      </c>
      <c r="S250" s="12" t="s">
        <v>41</v>
      </c>
      <c r="T250" s="12" t="s">
        <v>42</v>
      </c>
    </row>
    <row r="251" spans="1:20" ht="16.5" x14ac:dyDescent="0.2">
      <c r="A251" s="159">
        <v>101</v>
      </c>
      <c r="B251" s="67">
        <v>68820</v>
      </c>
      <c r="D251" s="235"/>
      <c r="E251" s="235"/>
      <c r="F251" s="235"/>
      <c r="G251" s="235"/>
      <c r="M251" s="68" t="s">
        <v>1058</v>
      </c>
      <c r="N251" s="14">
        <f>SUMIFS(章节关卡!$BD$5:$BD$304,章节关卡!$BB$5:$BB$304,"="&amp;经验计算!N250)</f>
        <v>8000</v>
      </c>
      <c r="O251" s="68" t="s">
        <v>1059</v>
      </c>
      <c r="P251" s="14">
        <f>SUMIFS(章节关卡!$BN$5:$BN$304,章节关卡!$BL$5:$BL$304,"="&amp;经验计算!P250)</f>
        <v>75000</v>
      </c>
      <c r="R251" s="129">
        <v>1</v>
      </c>
      <c r="S251" s="21">
        <f>R251/$R$122</f>
        <v>0.18181818181818182</v>
      </c>
      <c r="T251" s="67">
        <f>INT($N$259*S251/5)*5</f>
        <v>65545</v>
      </c>
    </row>
    <row r="252" spans="1:20" ht="16.5" x14ac:dyDescent="0.2">
      <c r="A252" s="159">
        <v>102</v>
      </c>
      <c r="B252" s="67">
        <v>72100</v>
      </c>
      <c r="D252" s="235"/>
      <c r="E252" s="235"/>
      <c r="F252" s="235"/>
      <c r="G252" s="235"/>
      <c r="M252" s="68" t="s">
        <v>115</v>
      </c>
      <c r="N252" s="14">
        <f>SUMIFS(芦花古楼!$E$5:$E$104,芦花古楼!$A$5:$A$104,"&gt;"&amp;经验计算!O252,芦花古楼!$A$5:$A$104,"&lt;="&amp;经验计算!P252)</f>
        <v>0</v>
      </c>
      <c r="O252" s="67">
        <v>100</v>
      </c>
      <c r="P252" s="67">
        <v>100</v>
      </c>
      <c r="R252" s="129">
        <v>1.05</v>
      </c>
      <c r="S252" s="21">
        <f t="shared" ref="S252:S255" si="47">R252/$R$122</f>
        <v>0.19090909090909092</v>
      </c>
      <c r="T252" s="69">
        <f t="shared" ref="T252:T255" si="48">INT($N$259*S252/5)*5</f>
        <v>68820</v>
      </c>
    </row>
    <row r="253" spans="1:20" ht="16.5" x14ac:dyDescent="0.2">
      <c r="A253" s="159">
        <v>103</v>
      </c>
      <c r="B253" s="67">
        <v>75375</v>
      </c>
      <c r="D253" s="235"/>
      <c r="E253" s="235"/>
      <c r="F253" s="235"/>
      <c r="G253" s="235"/>
      <c r="M253" s="68" t="s">
        <v>117</v>
      </c>
      <c r="N253" s="14">
        <f>SUMIFS(芦花古楼!$P$5:$P$104,芦花古楼!$L$5:$L$104,"&gt;"&amp;经验计算!O253,芦花古楼!$L$5:$L$104,"&lt;="&amp;经验计算!P253)</f>
        <v>0</v>
      </c>
      <c r="O253" s="69">
        <v>100</v>
      </c>
      <c r="P253" s="69">
        <v>100</v>
      </c>
      <c r="R253" s="129">
        <v>1.1000000000000001</v>
      </c>
      <c r="S253" s="21">
        <f t="shared" si="47"/>
        <v>0.2</v>
      </c>
      <c r="T253" s="69">
        <f t="shared" si="48"/>
        <v>72100</v>
      </c>
    </row>
    <row r="254" spans="1:20" ht="16.5" x14ac:dyDescent="0.2">
      <c r="A254" s="159">
        <v>104</v>
      </c>
      <c r="B254" s="67">
        <v>78650</v>
      </c>
      <c r="D254" s="235"/>
      <c r="E254" s="235"/>
      <c r="F254" s="235"/>
      <c r="G254" s="235"/>
      <c r="M254" s="68" t="s">
        <v>116</v>
      </c>
      <c r="N254" s="14">
        <f>SUMIFS(芦花古楼!$AA$5:$AA$104,芦花古楼!$W$5:$W$104,"&gt;"&amp;经验计算!O254,芦花古楼!$W$5:$W$104,"&lt;="&amp;经验计算!P254)</f>
        <v>0</v>
      </c>
      <c r="O254" s="67">
        <v>100</v>
      </c>
      <c r="P254" s="67">
        <v>100</v>
      </c>
      <c r="R254" s="129">
        <v>1.1499999999999999</v>
      </c>
      <c r="S254" s="21">
        <f t="shared" si="47"/>
        <v>0.20909090909090908</v>
      </c>
      <c r="T254" s="69">
        <f t="shared" si="48"/>
        <v>75375</v>
      </c>
    </row>
    <row r="255" spans="1:20" ht="16.5" x14ac:dyDescent="0.2">
      <c r="A255" s="131"/>
      <c r="B255" s="131"/>
      <c r="D255" s="235"/>
      <c r="E255" s="235"/>
      <c r="F255" s="235"/>
      <c r="G255" s="235"/>
      <c r="M255" s="68" t="s">
        <v>118</v>
      </c>
      <c r="N255" s="14">
        <f>SUMIFS(芦花古楼!$AL$5:$AL$104,芦花古楼!$AH$5:$AH$104,"&gt;"&amp;经验计算!O255,芦花古楼!$AH$5:$AH$104,"&lt;="&amp;经验计算!P255)</f>
        <v>0</v>
      </c>
      <c r="O255" s="67">
        <v>100</v>
      </c>
      <c r="P255" s="67">
        <v>100</v>
      </c>
      <c r="R255" s="129">
        <v>1.2</v>
      </c>
      <c r="S255" s="21">
        <f t="shared" si="47"/>
        <v>0.21818181818181817</v>
      </c>
      <c r="T255" s="69">
        <f t="shared" si="48"/>
        <v>78650</v>
      </c>
    </row>
    <row r="256" spans="1:20" ht="16.5" x14ac:dyDescent="0.2">
      <c r="A256" s="131"/>
      <c r="B256" s="131"/>
      <c r="D256" s="235"/>
      <c r="E256" s="235"/>
      <c r="F256" s="235"/>
      <c r="G256" s="235"/>
      <c r="M256" s="68" t="s">
        <v>47</v>
      </c>
      <c r="N256" s="14"/>
      <c r="O256" s="14">
        <f>日常任务!D197*经验计算!N256</f>
        <v>0</v>
      </c>
      <c r="R256" s="131"/>
      <c r="S256" s="131"/>
      <c r="T256" s="131"/>
    </row>
    <row r="257" spans="1:20" ht="16.5" x14ac:dyDescent="0.2">
      <c r="A257" s="131"/>
      <c r="B257" s="131"/>
      <c r="D257" s="235"/>
      <c r="E257" s="235"/>
      <c r="F257" s="235"/>
      <c r="G257" s="235"/>
      <c r="M257" s="68" t="s">
        <v>44</v>
      </c>
      <c r="N257" s="14">
        <f>INDEX(节奏总表!$N$5:$N$35,经验计算!N250)*60</f>
        <v>7500</v>
      </c>
      <c r="O257" s="14">
        <f>INDEX(章节关卡!$G$6:$G$35,经验计算!N250-1)*经验计算!N257</f>
        <v>277500</v>
      </c>
      <c r="R257" s="131"/>
      <c r="S257" s="131"/>
      <c r="T257" s="131"/>
    </row>
    <row r="258" spans="1:20" ht="16.5" x14ac:dyDescent="0.2">
      <c r="A258" s="131"/>
      <c r="B258" s="131"/>
      <c r="D258" s="235"/>
      <c r="E258" s="235"/>
      <c r="F258" s="235"/>
      <c r="G258" s="235"/>
      <c r="M258" s="68" t="s">
        <v>40</v>
      </c>
      <c r="N258" s="19">
        <v>0</v>
      </c>
      <c r="O258" s="14">
        <f>N259*N258</f>
        <v>0</v>
      </c>
      <c r="R258" s="131"/>
      <c r="S258" s="131"/>
      <c r="T258" s="131"/>
    </row>
    <row r="259" spans="1:20" ht="16.5" x14ac:dyDescent="0.2">
      <c r="A259" s="131"/>
      <c r="B259" s="131"/>
      <c r="D259" s="235"/>
      <c r="E259" s="235"/>
      <c r="F259" s="235"/>
      <c r="G259" s="235"/>
      <c r="M259" s="68" t="s">
        <v>39</v>
      </c>
      <c r="N259" s="14">
        <f>(N251+N252+N254+N253+N255+O256+O257+P251)/(1-N258)</f>
        <v>360500</v>
      </c>
      <c r="O259" s="15"/>
      <c r="R259" s="131"/>
      <c r="S259" s="131"/>
      <c r="T259" s="131"/>
    </row>
    <row r="260" spans="1:20" x14ac:dyDescent="0.2">
      <c r="A260" s="131"/>
      <c r="B260" s="131"/>
      <c r="R260" s="131"/>
      <c r="S260" s="131"/>
      <c r="T260" s="131"/>
    </row>
    <row r="263" spans="1:20" x14ac:dyDescent="0.2">
      <c r="A263" s="15"/>
      <c r="B263" s="15"/>
      <c r="C263" s="15"/>
      <c r="D263" s="15"/>
      <c r="E263" s="15"/>
      <c r="F263" s="15"/>
      <c r="G263" s="15"/>
      <c r="H263" s="15"/>
      <c r="I263" s="15"/>
      <c r="J263" s="15"/>
      <c r="K263" s="15"/>
      <c r="L263" s="15"/>
      <c r="M263" s="15"/>
      <c r="N263" s="15"/>
      <c r="O263" s="15"/>
      <c r="P263" s="15"/>
      <c r="Q263" s="15"/>
      <c r="R263" s="131">
        <f>SUM(R265:R269)</f>
        <v>5.5</v>
      </c>
      <c r="S263" s="15"/>
      <c r="T263" s="15"/>
    </row>
    <row r="264" spans="1:20" ht="17.25" x14ac:dyDescent="0.2">
      <c r="A264" s="159">
        <v>105</v>
      </c>
      <c r="B264" s="67">
        <v>73160</v>
      </c>
      <c r="D264" s="235"/>
      <c r="E264" s="235"/>
      <c r="F264" s="235"/>
      <c r="G264" s="235"/>
      <c r="M264" s="68" t="s">
        <v>114</v>
      </c>
      <c r="N264" s="67">
        <v>20</v>
      </c>
      <c r="O264" s="68" t="s">
        <v>114</v>
      </c>
      <c r="P264" s="67">
        <v>18</v>
      </c>
      <c r="Q264" s="15"/>
      <c r="R264" s="12" t="s">
        <v>43</v>
      </c>
      <c r="S264" s="12" t="s">
        <v>41</v>
      </c>
      <c r="T264" s="12" t="s">
        <v>42</v>
      </c>
    </row>
    <row r="265" spans="1:20" ht="16.5" x14ac:dyDescent="0.2">
      <c r="A265" s="159">
        <v>106</v>
      </c>
      <c r="B265" s="67">
        <v>76820</v>
      </c>
      <c r="D265" s="235"/>
      <c r="E265" s="235"/>
      <c r="F265" s="235"/>
      <c r="G265" s="235"/>
      <c r="M265" s="68" t="s">
        <v>1056</v>
      </c>
      <c r="N265" s="14">
        <f>SUMIFS(章节关卡!$BD$5:$BD$304,章节关卡!$BB$5:$BB$304,"="&amp;经验计算!N264)</f>
        <v>8400</v>
      </c>
      <c r="O265" s="68" t="s">
        <v>1057</v>
      </c>
      <c r="P265" s="14">
        <f>SUMIFS(章节关卡!$BN$5:$BN$304,章节关卡!$BL$5:$BL$304,"="&amp;经验计算!P264)</f>
        <v>82000</v>
      </c>
      <c r="R265" s="129">
        <v>1</v>
      </c>
      <c r="S265" s="21">
        <f>R265/$R$122</f>
        <v>0.18181818181818182</v>
      </c>
      <c r="T265" s="67">
        <f>INT($N$273*S265/5)*5</f>
        <v>73160</v>
      </c>
    </row>
    <row r="266" spans="1:20" ht="16.5" x14ac:dyDescent="0.2">
      <c r="A266" s="159">
        <v>107</v>
      </c>
      <c r="B266" s="67">
        <v>80480</v>
      </c>
      <c r="D266" s="235"/>
      <c r="E266" s="235"/>
      <c r="F266" s="235"/>
      <c r="G266" s="235"/>
      <c r="M266" s="68" t="s">
        <v>115</v>
      </c>
      <c r="N266" s="14">
        <f>SUMIFS(芦花古楼!$E$5:$E$104,芦花古楼!$A$5:$A$104,"&gt;"&amp;经验计算!O266,芦花古楼!$A$5:$A$104,"&lt;="&amp;经验计算!P266)</f>
        <v>0</v>
      </c>
      <c r="O266" s="67">
        <v>100</v>
      </c>
      <c r="P266" s="67">
        <v>100</v>
      </c>
      <c r="R266" s="129">
        <v>1.05</v>
      </c>
      <c r="S266" s="21">
        <f t="shared" ref="S266:S269" si="49">R266/$R$122</f>
        <v>0.19090909090909092</v>
      </c>
      <c r="T266" s="69">
        <f t="shared" ref="T266:T269" si="50">INT($N$273*S266/5)*5</f>
        <v>76820</v>
      </c>
    </row>
    <row r="267" spans="1:20" ht="16.5" x14ac:dyDescent="0.2">
      <c r="A267" s="159">
        <v>108</v>
      </c>
      <c r="B267" s="67">
        <v>84135</v>
      </c>
      <c r="D267" s="235"/>
      <c r="E267" s="235"/>
      <c r="F267" s="235"/>
      <c r="G267" s="235"/>
      <c r="M267" s="68" t="s">
        <v>117</v>
      </c>
      <c r="N267" s="14">
        <f>SUMIFS(芦花古楼!$P$5:$P$104,芦花古楼!$L$5:$L$104,"&gt;"&amp;经验计算!O267,芦花古楼!$L$5:$L$104,"&lt;="&amp;经验计算!P267)</f>
        <v>0</v>
      </c>
      <c r="O267" s="69">
        <v>100</v>
      </c>
      <c r="P267" s="69">
        <v>100</v>
      </c>
      <c r="R267" s="129">
        <v>1.1000000000000001</v>
      </c>
      <c r="S267" s="21">
        <f t="shared" si="49"/>
        <v>0.2</v>
      </c>
      <c r="T267" s="69">
        <f t="shared" si="50"/>
        <v>80480</v>
      </c>
    </row>
    <row r="268" spans="1:20" ht="16.5" x14ac:dyDescent="0.2">
      <c r="A268" s="159">
        <v>109</v>
      </c>
      <c r="B268" s="67">
        <v>87795</v>
      </c>
      <c r="D268" s="235"/>
      <c r="E268" s="235"/>
      <c r="F268" s="235"/>
      <c r="G268" s="235"/>
      <c r="M268" s="68" t="s">
        <v>116</v>
      </c>
      <c r="N268" s="14">
        <f>SUMIFS(芦花古楼!$AA$5:$AA$104,芦花古楼!$W$5:$W$104,"&gt;"&amp;经验计算!O268,芦花古楼!$W$5:$W$104,"&lt;="&amp;经验计算!P268)</f>
        <v>0</v>
      </c>
      <c r="O268" s="67">
        <v>100</v>
      </c>
      <c r="P268" s="67">
        <v>100</v>
      </c>
      <c r="R268" s="129">
        <v>1.1499999999999999</v>
      </c>
      <c r="S268" s="21">
        <f t="shared" si="49"/>
        <v>0.20909090909090908</v>
      </c>
      <c r="T268" s="69">
        <f t="shared" si="50"/>
        <v>84135</v>
      </c>
    </row>
    <row r="269" spans="1:20" ht="16.5" x14ac:dyDescent="0.2">
      <c r="A269" s="131"/>
      <c r="B269" s="131"/>
      <c r="D269" s="235"/>
      <c r="E269" s="235"/>
      <c r="F269" s="235"/>
      <c r="G269" s="235"/>
      <c r="M269" s="68" t="s">
        <v>118</v>
      </c>
      <c r="N269" s="14">
        <f>SUMIFS(芦花古楼!$AL$5:$AL$104,芦花古楼!$AH$5:$AH$104,"&gt;"&amp;经验计算!O269,芦花古楼!$AH$5:$AH$104,"&lt;="&amp;经验计算!P269)</f>
        <v>0</v>
      </c>
      <c r="O269" s="67">
        <v>100</v>
      </c>
      <c r="P269" s="67">
        <v>100</v>
      </c>
      <c r="R269" s="129">
        <v>1.2</v>
      </c>
      <c r="S269" s="21">
        <f t="shared" si="49"/>
        <v>0.21818181818181817</v>
      </c>
      <c r="T269" s="69">
        <f t="shared" si="50"/>
        <v>87795</v>
      </c>
    </row>
    <row r="270" spans="1:20" ht="16.5" x14ac:dyDescent="0.2">
      <c r="A270" s="131"/>
      <c r="B270" s="131"/>
      <c r="D270" s="235"/>
      <c r="E270" s="235"/>
      <c r="F270" s="235"/>
      <c r="G270" s="235"/>
      <c r="M270" s="68" t="s">
        <v>47</v>
      </c>
      <c r="N270" s="14"/>
      <c r="O270" s="14">
        <f>日常任务!D211*经验计算!N270</f>
        <v>0</v>
      </c>
      <c r="R270" s="131"/>
      <c r="S270" s="131"/>
      <c r="T270" s="131"/>
    </row>
    <row r="271" spans="1:20" ht="16.5" x14ac:dyDescent="0.2">
      <c r="A271" s="131"/>
      <c r="B271" s="131"/>
      <c r="D271" s="235"/>
      <c r="E271" s="235"/>
      <c r="F271" s="235"/>
      <c r="G271" s="235"/>
      <c r="M271" s="68" t="s">
        <v>44</v>
      </c>
      <c r="N271" s="14">
        <f>INDEX(节奏总表!$N$5:$N$35,经验计算!N264)*60</f>
        <v>7800</v>
      </c>
      <c r="O271" s="14">
        <f>INDEX(章节关卡!$G$6:$G$35,经验计算!N264-1)*经验计算!N271</f>
        <v>312000</v>
      </c>
      <c r="R271" s="131"/>
      <c r="S271" s="131"/>
      <c r="T271" s="131"/>
    </row>
    <row r="272" spans="1:20" ht="16.5" x14ac:dyDescent="0.2">
      <c r="A272" s="131"/>
      <c r="B272" s="131"/>
      <c r="D272" s="235"/>
      <c r="E272" s="235"/>
      <c r="F272" s="235"/>
      <c r="G272" s="235"/>
      <c r="M272" s="68" t="s">
        <v>40</v>
      </c>
      <c r="N272" s="19">
        <v>0</v>
      </c>
      <c r="O272" s="14">
        <f>N273*N272</f>
        <v>0</v>
      </c>
      <c r="R272" s="131"/>
      <c r="S272" s="131"/>
      <c r="T272" s="131"/>
    </row>
    <row r="273" spans="1:20" ht="16.5" x14ac:dyDescent="0.2">
      <c r="A273" s="131"/>
      <c r="B273" s="131"/>
      <c r="D273" s="235"/>
      <c r="E273" s="235"/>
      <c r="F273" s="235"/>
      <c r="G273" s="235"/>
      <c r="M273" s="68" t="s">
        <v>39</v>
      </c>
      <c r="N273" s="14">
        <f>(N265+N266+N268+N267+N269+O270+O271+P265)/(1-N272)</f>
        <v>402400</v>
      </c>
      <c r="O273" s="15"/>
      <c r="R273" s="131"/>
      <c r="S273" s="131"/>
      <c r="T273" s="131"/>
    </row>
    <row r="274" spans="1:20" x14ac:dyDescent="0.2">
      <c r="A274" s="131"/>
      <c r="B274" s="131"/>
      <c r="R274" s="131"/>
      <c r="S274" s="131"/>
      <c r="T274" s="131"/>
    </row>
    <row r="275" spans="1:20" x14ac:dyDescent="0.2">
      <c r="A275" s="132"/>
      <c r="B275" s="132"/>
      <c r="C275" s="132"/>
      <c r="D275" s="132"/>
      <c r="E275" s="132"/>
      <c r="F275" s="132"/>
      <c r="G275" s="132"/>
      <c r="H275" s="132"/>
      <c r="I275" s="132"/>
      <c r="J275" s="132"/>
      <c r="K275" s="132"/>
      <c r="L275" s="132"/>
      <c r="M275" s="132"/>
      <c r="N275" s="132"/>
      <c r="O275" s="132"/>
      <c r="P275" s="132"/>
      <c r="Q275" s="132"/>
      <c r="R275" s="132"/>
      <c r="S275" s="132"/>
      <c r="T275" s="132"/>
    </row>
    <row r="276" spans="1:20" x14ac:dyDescent="0.2">
      <c r="A276" s="132"/>
      <c r="B276" s="132"/>
      <c r="C276" s="132"/>
      <c r="D276" s="132"/>
      <c r="E276" s="132"/>
      <c r="F276" s="132"/>
      <c r="G276" s="132"/>
      <c r="H276" s="132"/>
      <c r="I276" s="132"/>
      <c r="J276" s="132"/>
      <c r="K276" s="132"/>
      <c r="L276" s="132"/>
      <c r="M276" s="132"/>
      <c r="N276" s="132"/>
      <c r="O276" s="132"/>
      <c r="P276" s="132"/>
      <c r="Q276" s="132"/>
      <c r="R276" s="132"/>
      <c r="S276" s="132"/>
      <c r="T276" s="132"/>
    </row>
    <row r="277" spans="1:20" x14ac:dyDescent="0.2">
      <c r="A277" s="131"/>
      <c r="B277" s="131"/>
      <c r="C277" s="131"/>
      <c r="D277" s="131"/>
      <c r="E277" s="131"/>
      <c r="F277" s="131"/>
      <c r="G277" s="131"/>
      <c r="H277" s="131"/>
      <c r="I277" s="131"/>
      <c r="J277" s="131"/>
      <c r="K277" s="131"/>
      <c r="L277" s="131"/>
      <c r="M277" s="131"/>
      <c r="N277" s="131"/>
      <c r="O277" s="131"/>
      <c r="P277" s="131"/>
      <c r="Q277" s="131"/>
      <c r="R277" s="131">
        <f>SUM(R279:R283)</f>
        <v>5.5</v>
      </c>
      <c r="S277" s="131"/>
      <c r="T277" s="131"/>
    </row>
    <row r="278" spans="1:20" ht="17.25" x14ac:dyDescent="0.2">
      <c r="A278" s="159">
        <v>110</v>
      </c>
      <c r="B278" s="129">
        <v>81225</v>
      </c>
      <c r="C278" s="132"/>
      <c r="D278" s="235"/>
      <c r="E278" s="235"/>
      <c r="F278" s="235"/>
      <c r="G278" s="235"/>
      <c r="H278" s="132"/>
      <c r="I278" s="132"/>
      <c r="J278" s="132"/>
      <c r="K278" s="132"/>
      <c r="L278" s="132"/>
      <c r="M278" s="130" t="s">
        <v>114</v>
      </c>
      <c r="N278" s="129">
        <v>21</v>
      </c>
      <c r="O278" s="130" t="s">
        <v>114</v>
      </c>
      <c r="P278" s="129">
        <v>19</v>
      </c>
      <c r="Q278" s="131"/>
      <c r="R278" s="12" t="s">
        <v>43</v>
      </c>
      <c r="S278" s="12" t="s">
        <v>41</v>
      </c>
      <c r="T278" s="12" t="s">
        <v>42</v>
      </c>
    </row>
    <row r="279" spans="1:20" ht="16.5" x14ac:dyDescent="0.2">
      <c r="A279" s="159">
        <v>111</v>
      </c>
      <c r="B279" s="129">
        <v>85285</v>
      </c>
      <c r="C279" s="132"/>
      <c r="D279" s="235"/>
      <c r="E279" s="235"/>
      <c r="F279" s="235"/>
      <c r="G279" s="235"/>
      <c r="H279" s="132"/>
      <c r="I279" s="132"/>
      <c r="J279" s="132"/>
      <c r="K279" s="132"/>
      <c r="L279" s="132"/>
      <c r="M279" s="130" t="s">
        <v>78</v>
      </c>
      <c r="N279" s="14">
        <f>SUMIFS(章节关卡!$BD$5:$BD$304,章节关卡!$BB$5:$BB$304,"="&amp;经验计算!N278)</f>
        <v>9000</v>
      </c>
      <c r="O279" s="130" t="s">
        <v>119</v>
      </c>
      <c r="P279" s="14">
        <f>SUMIFS(章节关卡!$BN$5:$BN$304,章节关卡!$BL$5:$BL$304,"="&amp;经验计算!P278)</f>
        <v>92500</v>
      </c>
      <c r="Q279" s="132"/>
      <c r="R279" s="129">
        <v>1</v>
      </c>
      <c r="S279" s="21">
        <f>R279/$R$122</f>
        <v>0.18181818181818182</v>
      </c>
      <c r="T279" s="129">
        <f>INT($N$287*S279/5)*5</f>
        <v>81225</v>
      </c>
    </row>
    <row r="280" spans="1:20" ht="16.5" x14ac:dyDescent="0.2">
      <c r="A280" s="159">
        <v>112</v>
      </c>
      <c r="B280" s="129">
        <v>89345</v>
      </c>
      <c r="C280" s="132"/>
      <c r="D280" s="235"/>
      <c r="E280" s="235"/>
      <c r="F280" s="235"/>
      <c r="G280" s="235"/>
      <c r="H280" s="132"/>
      <c r="I280" s="132"/>
      <c r="J280" s="132"/>
      <c r="K280" s="132"/>
      <c r="L280" s="132"/>
      <c r="M280" s="130" t="s">
        <v>115</v>
      </c>
      <c r="N280" s="14">
        <f>SUMIFS(芦花古楼!$E$5:$E$104,芦花古楼!$A$5:$A$104,"&gt;"&amp;经验计算!O280,芦花古楼!$A$5:$A$104,"&lt;="&amp;经验计算!P280)</f>
        <v>0</v>
      </c>
      <c r="O280" s="129">
        <v>100</v>
      </c>
      <c r="P280" s="129">
        <v>100</v>
      </c>
      <c r="Q280" s="132"/>
      <c r="R280" s="129">
        <v>1.05</v>
      </c>
      <c r="S280" s="21">
        <f t="shared" ref="S280:S283" si="51">R280/$R$122</f>
        <v>0.19090909090909092</v>
      </c>
      <c r="T280" s="129">
        <f t="shared" ref="T280:T283" si="52">INT($N$287*S280/5)*5</f>
        <v>85285</v>
      </c>
    </row>
    <row r="281" spans="1:20" ht="16.5" x14ac:dyDescent="0.2">
      <c r="A281" s="159">
        <v>113</v>
      </c>
      <c r="B281" s="129">
        <v>93405</v>
      </c>
      <c r="C281" s="132"/>
      <c r="D281" s="235"/>
      <c r="E281" s="235"/>
      <c r="F281" s="235"/>
      <c r="G281" s="235"/>
      <c r="H281" s="132"/>
      <c r="I281" s="132"/>
      <c r="J281" s="132"/>
      <c r="K281" s="132"/>
      <c r="L281" s="132"/>
      <c r="M281" s="130" t="s">
        <v>117</v>
      </c>
      <c r="N281" s="14">
        <f>SUMIFS(芦花古楼!$P$5:$P$104,芦花古楼!$L$5:$L$104,"&gt;"&amp;经验计算!O281,芦花古楼!$L$5:$L$104,"&lt;="&amp;经验计算!P281)</f>
        <v>0</v>
      </c>
      <c r="O281" s="129">
        <v>100</v>
      </c>
      <c r="P281" s="129">
        <v>100</v>
      </c>
      <c r="Q281" s="132"/>
      <c r="R281" s="129">
        <v>1.1000000000000001</v>
      </c>
      <c r="S281" s="21">
        <f t="shared" si="51"/>
        <v>0.2</v>
      </c>
      <c r="T281" s="129">
        <f t="shared" si="52"/>
        <v>89345</v>
      </c>
    </row>
    <row r="282" spans="1:20" ht="16.5" x14ac:dyDescent="0.2">
      <c r="A282" s="159">
        <v>114</v>
      </c>
      <c r="B282" s="129">
        <v>97470</v>
      </c>
      <c r="C282" s="132"/>
      <c r="D282" s="235"/>
      <c r="E282" s="235"/>
      <c r="F282" s="235"/>
      <c r="G282" s="235"/>
      <c r="H282" s="132"/>
      <c r="I282" s="132"/>
      <c r="J282" s="132"/>
      <c r="K282" s="132"/>
      <c r="L282" s="132"/>
      <c r="M282" s="130" t="s">
        <v>116</v>
      </c>
      <c r="N282" s="14">
        <f>SUMIFS(芦花古楼!$AA$5:$AA$104,芦花古楼!$W$5:$W$104,"&gt;"&amp;经验计算!O282,芦花古楼!$W$5:$W$104,"&lt;="&amp;经验计算!P282)</f>
        <v>0</v>
      </c>
      <c r="O282" s="129">
        <v>100</v>
      </c>
      <c r="P282" s="129">
        <v>100</v>
      </c>
      <c r="Q282" s="132"/>
      <c r="R282" s="129">
        <v>1.1499999999999999</v>
      </c>
      <c r="S282" s="21">
        <f t="shared" si="51"/>
        <v>0.20909090909090908</v>
      </c>
      <c r="T282" s="129">
        <f t="shared" si="52"/>
        <v>93405</v>
      </c>
    </row>
    <row r="283" spans="1:20" ht="16.5" x14ac:dyDescent="0.2">
      <c r="A283" s="131"/>
      <c r="B283" s="131"/>
      <c r="C283" s="132"/>
      <c r="D283" s="235"/>
      <c r="E283" s="235"/>
      <c r="F283" s="235"/>
      <c r="G283" s="235"/>
      <c r="H283" s="132"/>
      <c r="I283" s="132"/>
      <c r="J283" s="132"/>
      <c r="K283" s="132"/>
      <c r="L283" s="132"/>
      <c r="M283" s="130" t="s">
        <v>118</v>
      </c>
      <c r="N283" s="14">
        <f>SUMIFS(芦花古楼!$AL$5:$AL$104,芦花古楼!$AH$5:$AH$104,"&gt;"&amp;经验计算!O283,芦花古楼!$AH$5:$AH$104,"&lt;="&amp;经验计算!P283)</f>
        <v>0</v>
      </c>
      <c r="O283" s="129">
        <v>100</v>
      </c>
      <c r="P283" s="129">
        <v>100</v>
      </c>
      <c r="Q283" s="132"/>
      <c r="R283" s="129">
        <v>1.2</v>
      </c>
      <c r="S283" s="21">
        <f t="shared" si="51"/>
        <v>0.21818181818181817</v>
      </c>
      <c r="T283" s="129">
        <f t="shared" si="52"/>
        <v>97470</v>
      </c>
    </row>
    <row r="284" spans="1:20" ht="16.5" x14ac:dyDescent="0.2">
      <c r="A284" s="131"/>
      <c r="B284" s="131"/>
      <c r="C284" s="132"/>
      <c r="D284" s="235"/>
      <c r="E284" s="235"/>
      <c r="F284" s="235"/>
      <c r="G284" s="235"/>
      <c r="H284" s="132"/>
      <c r="I284" s="132"/>
      <c r="J284" s="132"/>
      <c r="K284" s="132"/>
      <c r="L284" s="132"/>
      <c r="M284" s="130" t="s">
        <v>47</v>
      </c>
      <c r="N284" s="14"/>
      <c r="O284" s="14">
        <f>日常任务!D225*经验计算!N284</f>
        <v>0</v>
      </c>
      <c r="P284" s="132"/>
      <c r="Q284" s="132"/>
      <c r="R284" s="131"/>
      <c r="S284" s="131"/>
      <c r="T284" s="131"/>
    </row>
    <row r="285" spans="1:20" ht="16.5" x14ac:dyDescent="0.2">
      <c r="A285" s="131"/>
      <c r="B285" s="131"/>
      <c r="C285" s="132"/>
      <c r="D285" s="235"/>
      <c r="E285" s="235"/>
      <c r="F285" s="235"/>
      <c r="G285" s="235"/>
      <c r="H285" s="132"/>
      <c r="I285" s="132"/>
      <c r="J285" s="132"/>
      <c r="K285" s="132"/>
      <c r="L285" s="132"/>
      <c r="M285" s="130" t="s">
        <v>44</v>
      </c>
      <c r="N285" s="14">
        <f>INDEX(节奏总表!$N$5:$N$35,经验计算!N278)*60</f>
        <v>8220</v>
      </c>
      <c r="O285" s="14">
        <f>INDEX(章节关卡!$G$6:$G$35,经验计算!N278-1)*经验计算!N285</f>
        <v>345240</v>
      </c>
      <c r="P285" s="132"/>
      <c r="Q285" s="132"/>
      <c r="R285" s="131"/>
      <c r="S285" s="131"/>
      <c r="T285" s="131"/>
    </row>
    <row r="286" spans="1:20" ht="16.5" x14ac:dyDescent="0.2">
      <c r="A286" s="131"/>
      <c r="B286" s="131"/>
      <c r="C286" s="132"/>
      <c r="D286" s="235"/>
      <c r="E286" s="235"/>
      <c r="F286" s="235"/>
      <c r="G286" s="235"/>
      <c r="H286" s="132"/>
      <c r="I286" s="132"/>
      <c r="J286" s="132"/>
      <c r="K286" s="132"/>
      <c r="L286" s="132"/>
      <c r="M286" s="130" t="s">
        <v>40</v>
      </c>
      <c r="N286" s="19">
        <v>0</v>
      </c>
      <c r="O286" s="14">
        <f>N287*N286</f>
        <v>0</v>
      </c>
      <c r="P286" s="132"/>
      <c r="Q286" s="132"/>
      <c r="R286" s="131"/>
      <c r="S286" s="131"/>
      <c r="T286" s="131"/>
    </row>
    <row r="287" spans="1:20" ht="16.5" x14ac:dyDescent="0.2">
      <c r="A287" s="131"/>
      <c r="B287" s="131"/>
      <c r="C287" s="132"/>
      <c r="D287" s="235"/>
      <c r="E287" s="235"/>
      <c r="F287" s="235"/>
      <c r="G287" s="235"/>
      <c r="H287" s="132"/>
      <c r="I287" s="132"/>
      <c r="J287" s="132"/>
      <c r="K287" s="132"/>
      <c r="L287" s="132"/>
      <c r="M287" s="130" t="s">
        <v>39</v>
      </c>
      <c r="N287" s="14">
        <f>(N279+N280+N282+N281+N283+O284+O285+P279)/(1-N286)</f>
        <v>446740</v>
      </c>
      <c r="O287" s="131"/>
      <c r="P287" s="132"/>
      <c r="Q287" s="132"/>
      <c r="R287" s="131"/>
      <c r="S287" s="131"/>
      <c r="T287" s="131"/>
    </row>
    <row r="288" spans="1:20" x14ac:dyDescent="0.2">
      <c r="A288" s="131"/>
      <c r="B288" s="131"/>
      <c r="C288" s="132"/>
      <c r="D288" s="132"/>
      <c r="E288" s="132"/>
      <c r="F288" s="132"/>
      <c r="G288" s="132"/>
      <c r="H288" s="132"/>
      <c r="I288" s="132"/>
      <c r="J288" s="132"/>
      <c r="K288" s="132"/>
      <c r="L288" s="132"/>
      <c r="M288" s="132"/>
      <c r="N288" s="132"/>
      <c r="O288" s="132"/>
      <c r="P288" s="132"/>
      <c r="Q288" s="132"/>
      <c r="R288" s="131"/>
      <c r="S288" s="131"/>
      <c r="T288" s="131"/>
    </row>
    <row r="289" spans="1:20" x14ac:dyDescent="0.2">
      <c r="A289" s="132"/>
      <c r="B289" s="132"/>
      <c r="C289" s="132"/>
      <c r="D289" s="132"/>
      <c r="E289" s="132"/>
      <c r="F289" s="132"/>
      <c r="G289" s="132"/>
      <c r="H289" s="132"/>
      <c r="I289" s="132"/>
      <c r="J289" s="132"/>
      <c r="K289" s="132"/>
      <c r="L289" s="132"/>
      <c r="M289" s="132"/>
      <c r="N289" s="132"/>
      <c r="O289" s="132"/>
      <c r="P289" s="132"/>
      <c r="Q289" s="132"/>
      <c r="R289" s="132"/>
      <c r="S289" s="132"/>
      <c r="T289" s="132"/>
    </row>
    <row r="290" spans="1:20" x14ac:dyDescent="0.2">
      <c r="A290" s="132"/>
      <c r="B290" s="132"/>
      <c r="C290" s="132"/>
      <c r="D290" s="132"/>
      <c r="E290" s="132"/>
      <c r="F290" s="132"/>
      <c r="G290" s="132"/>
      <c r="H290" s="132"/>
      <c r="I290" s="132"/>
      <c r="J290" s="132"/>
      <c r="K290" s="132"/>
      <c r="L290" s="132"/>
      <c r="M290" s="132"/>
      <c r="N290" s="132"/>
      <c r="O290" s="132"/>
      <c r="P290" s="132"/>
      <c r="Q290" s="132"/>
      <c r="R290" s="132"/>
      <c r="S290" s="132"/>
      <c r="T290" s="132"/>
    </row>
    <row r="291" spans="1:20" x14ac:dyDescent="0.2">
      <c r="A291" s="131"/>
      <c r="B291" s="131"/>
      <c r="C291" s="131"/>
      <c r="D291" s="131"/>
      <c r="E291" s="131"/>
      <c r="F291" s="131"/>
      <c r="G291" s="131"/>
      <c r="H291" s="131"/>
      <c r="I291" s="131"/>
      <c r="J291" s="131"/>
      <c r="K291" s="131"/>
      <c r="L291" s="131"/>
      <c r="M291" s="131"/>
      <c r="N291" s="131"/>
      <c r="O291" s="131"/>
      <c r="P291" s="131"/>
      <c r="Q291" s="131"/>
      <c r="R291" s="131">
        <f>SUM(R293:R297)</f>
        <v>5.5</v>
      </c>
      <c r="S291" s="131"/>
      <c r="T291" s="131"/>
    </row>
    <row r="292" spans="1:20" ht="17.25" x14ac:dyDescent="0.2">
      <c r="A292" s="159">
        <v>115</v>
      </c>
      <c r="B292" s="129">
        <v>90850</v>
      </c>
      <c r="C292" s="132"/>
      <c r="D292" s="235"/>
      <c r="E292" s="235"/>
      <c r="F292" s="235"/>
      <c r="G292" s="235"/>
      <c r="H292" s="132"/>
      <c r="I292" s="132"/>
      <c r="J292" s="132"/>
      <c r="K292" s="132"/>
      <c r="L292" s="132"/>
      <c r="M292" s="130" t="s">
        <v>114</v>
      </c>
      <c r="N292" s="129">
        <v>22</v>
      </c>
      <c r="O292" s="130" t="s">
        <v>114</v>
      </c>
      <c r="P292" s="129">
        <v>20</v>
      </c>
      <c r="Q292" s="131"/>
      <c r="R292" s="12" t="s">
        <v>43</v>
      </c>
      <c r="S292" s="12" t="s">
        <v>41</v>
      </c>
      <c r="T292" s="12" t="s">
        <v>42</v>
      </c>
    </row>
    <row r="293" spans="1:20" ht="16.5" x14ac:dyDescent="0.2">
      <c r="A293" s="159">
        <v>116</v>
      </c>
      <c r="B293" s="129">
        <v>95395</v>
      </c>
      <c r="C293" s="132"/>
      <c r="D293" s="235"/>
      <c r="E293" s="235"/>
      <c r="F293" s="235"/>
      <c r="G293" s="235"/>
      <c r="H293" s="132"/>
      <c r="I293" s="132"/>
      <c r="J293" s="132"/>
      <c r="K293" s="132"/>
      <c r="L293" s="132"/>
      <c r="M293" s="130" t="s">
        <v>78</v>
      </c>
      <c r="N293" s="14">
        <f>SUMIFS(章节关卡!$BD$5:$BD$304,章节关卡!$BB$5:$BB$304,"="&amp;经验计算!N292)</f>
        <v>9400</v>
      </c>
      <c r="O293" s="130" t="s">
        <v>119</v>
      </c>
      <c r="P293" s="14">
        <f>SUMIFS(章节关卡!$BN$5:$BN$304,章节关卡!$BL$5:$BL$304,"="&amp;经验计算!P292)</f>
        <v>101500</v>
      </c>
      <c r="Q293" s="132"/>
      <c r="R293" s="129">
        <v>1</v>
      </c>
      <c r="S293" s="21">
        <f>R293/$R$122</f>
        <v>0.18181818181818182</v>
      </c>
      <c r="T293" s="129">
        <f>INT($N$301*S293/5)*5</f>
        <v>90850</v>
      </c>
    </row>
    <row r="294" spans="1:20" ht="16.5" x14ac:dyDescent="0.2">
      <c r="A294" s="159">
        <v>117</v>
      </c>
      <c r="B294" s="129">
        <v>99940</v>
      </c>
      <c r="C294" s="132"/>
      <c r="D294" s="235"/>
      <c r="E294" s="235"/>
      <c r="F294" s="235"/>
      <c r="G294" s="235"/>
      <c r="H294" s="132"/>
      <c r="I294" s="132"/>
      <c r="J294" s="132"/>
      <c r="K294" s="132"/>
      <c r="L294" s="132"/>
      <c r="M294" s="130" t="s">
        <v>115</v>
      </c>
      <c r="N294" s="14">
        <f>SUMIFS(芦花古楼!$E$5:$E$104,芦花古楼!$A$5:$A$104,"&gt;"&amp;经验计算!O294,芦花古楼!$A$5:$A$104,"&lt;="&amp;经验计算!P294)</f>
        <v>0</v>
      </c>
      <c r="O294" s="129">
        <v>100</v>
      </c>
      <c r="P294" s="129">
        <v>100</v>
      </c>
      <c r="Q294" s="132"/>
      <c r="R294" s="129">
        <v>1.05</v>
      </c>
      <c r="S294" s="21">
        <f t="shared" ref="S294:S297" si="53">R294/$R$122</f>
        <v>0.19090909090909092</v>
      </c>
      <c r="T294" s="129">
        <f t="shared" ref="T294:T297" si="54">INT($N$301*S294/5)*5</f>
        <v>95395</v>
      </c>
    </row>
    <row r="295" spans="1:20" ht="16.5" x14ac:dyDescent="0.2">
      <c r="A295" s="159">
        <v>118</v>
      </c>
      <c r="B295" s="129">
        <v>104480</v>
      </c>
      <c r="C295" s="132"/>
      <c r="D295" s="235"/>
      <c r="E295" s="235"/>
      <c r="F295" s="235"/>
      <c r="G295" s="235"/>
      <c r="H295" s="132"/>
      <c r="I295" s="132"/>
      <c r="J295" s="132"/>
      <c r="K295" s="132"/>
      <c r="L295" s="132"/>
      <c r="M295" s="130" t="s">
        <v>117</v>
      </c>
      <c r="N295" s="14">
        <f>SUMIFS(芦花古楼!$P$5:$P$104,芦花古楼!$L$5:$L$104,"&gt;"&amp;经验计算!O295,芦花古楼!$L$5:$L$104,"&lt;="&amp;经验计算!P295)</f>
        <v>0</v>
      </c>
      <c r="O295" s="129">
        <v>100</v>
      </c>
      <c r="P295" s="129">
        <v>100</v>
      </c>
      <c r="Q295" s="132"/>
      <c r="R295" s="129">
        <v>1.1000000000000001</v>
      </c>
      <c r="S295" s="21">
        <f t="shared" si="53"/>
        <v>0.2</v>
      </c>
      <c r="T295" s="129">
        <f t="shared" si="54"/>
        <v>99940</v>
      </c>
    </row>
    <row r="296" spans="1:20" ht="16.5" x14ac:dyDescent="0.2">
      <c r="A296" s="159">
        <v>119</v>
      </c>
      <c r="B296" s="129">
        <v>109025</v>
      </c>
      <c r="C296" s="132"/>
      <c r="D296" s="235"/>
      <c r="E296" s="235"/>
      <c r="F296" s="235"/>
      <c r="G296" s="235"/>
      <c r="H296" s="132"/>
      <c r="I296" s="132"/>
      <c r="J296" s="132"/>
      <c r="K296" s="132"/>
      <c r="L296" s="132"/>
      <c r="M296" s="130" t="s">
        <v>116</v>
      </c>
      <c r="N296" s="14">
        <f>SUMIFS(芦花古楼!$AA$5:$AA$104,芦花古楼!$W$5:$W$104,"&gt;"&amp;经验计算!O296,芦花古楼!$W$5:$W$104,"&lt;="&amp;经验计算!P296)</f>
        <v>0</v>
      </c>
      <c r="O296" s="129">
        <v>100</v>
      </c>
      <c r="P296" s="129">
        <v>100</v>
      </c>
      <c r="Q296" s="132"/>
      <c r="R296" s="129">
        <v>1.1499999999999999</v>
      </c>
      <c r="S296" s="21">
        <f t="shared" si="53"/>
        <v>0.20909090909090908</v>
      </c>
      <c r="T296" s="129">
        <f t="shared" si="54"/>
        <v>104480</v>
      </c>
    </row>
    <row r="297" spans="1:20" ht="16.5" x14ac:dyDescent="0.2">
      <c r="A297" s="161"/>
      <c r="B297" s="131"/>
      <c r="C297" s="132"/>
      <c r="D297" s="235"/>
      <c r="E297" s="235"/>
      <c r="F297" s="235"/>
      <c r="G297" s="235"/>
      <c r="H297" s="132"/>
      <c r="I297" s="132"/>
      <c r="J297" s="132"/>
      <c r="K297" s="132"/>
      <c r="L297" s="132"/>
      <c r="M297" s="130" t="s">
        <v>118</v>
      </c>
      <c r="N297" s="14">
        <f>SUMIFS(芦花古楼!$AL$5:$AL$104,芦花古楼!$AH$5:$AH$104,"&gt;"&amp;经验计算!O297,芦花古楼!$AH$5:$AH$104,"&lt;="&amp;经验计算!P297)</f>
        <v>0</v>
      </c>
      <c r="O297" s="129">
        <v>100</v>
      </c>
      <c r="P297" s="129">
        <v>100</v>
      </c>
      <c r="Q297" s="132"/>
      <c r="R297" s="129">
        <v>1.2</v>
      </c>
      <c r="S297" s="21">
        <f t="shared" si="53"/>
        <v>0.21818181818181817</v>
      </c>
      <c r="T297" s="129">
        <f t="shared" si="54"/>
        <v>109025</v>
      </c>
    </row>
    <row r="298" spans="1:20" ht="16.5" x14ac:dyDescent="0.2">
      <c r="A298" s="161"/>
      <c r="B298" s="131"/>
      <c r="C298" s="132"/>
      <c r="D298" s="235"/>
      <c r="E298" s="235"/>
      <c r="F298" s="235"/>
      <c r="G298" s="235"/>
      <c r="H298" s="132"/>
      <c r="I298" s="132"/>
      <c r="J298" s="132"/>
      <c r="K298" s="132"/>
      <c r="L298" s="132"/>
      <c r="M298" s="130" t="s">
        <v>47</v>
      </c>
      <c r="N298" s="14"/>
      <c r="O298" s="14">
        <f>日常任务!D239*经验计算!N298</f>
        <v>0</v>
      </c>
      <c r="P298" s="132"/>
      <c r="Q298" s="132"/>
      <c r="R298" s="131"/>
      <c r="S298" s="131"/>
      <c r="T298" s="131"/>
    </row>
    <row r="299" spans="1:20" ht="16.5" x14ac:dyDescent="0.2">
      <c r="A299" s="161"/>
      <c r="B299" s="131"/>
      <c r="C299" s="132"/>
      <c r="D299" s="235"/>
      <c r="E299" s="235"/>
      <c r="F299" s="235"/>
      <c r="G299" s="235"/>
      <c r="H299" s="132"/>
      <c r="I299" s="132"/>
      <c r="J299" s="132"/>
      <c r="K299" s="132"/>
      <c r="L299" s="132"/>
      <c r="M299" s="130" t="s">
        <v>44</v>
      </c>
      <c r="N299" s="14">
        <f>INDEX(节奏总表!$N$5:$N$35,经验计算!N292)*60</f>
        <v>8640</v>
      </c>
      <c r="O299" s="14">
        <f>INDEX(章节关卡!$G$6:$G$35,经验计算!N292-1)*经验计算!N299</f>
        <v>388800</v>
      </c>
      <c r="P299" s="132"/>
      <c r="Q299" s="132"/>
      <c r="R299" s="131"/>
      <c r="S299" s="131"/>
      <c r="T299" s="131"/>
    </row>
    <row r="300" spans="1:20" ht="16.5" x14ac:dyDescent="0.2">
      <c r="A300" s="161"/>
      <c r="B300" s="131"/>
      <c r="C300" s="132"/>
      <c r="D300" s="235"/>
      <c r="E300" s="235"/>
      <c r="F300" s="235"/>
      <c r="G300" s="235"/>
      <c r="H300" s="132"/>
      <c r="I300" s="132"/>
      <c r="J300" s="132"/>
      <c r="K300" s="132"/>
      <c r="L300" s="132"/>
      <c r="M300" s="130" t="s">
        <v>40</v>
      </c>
      <c r="N300" s="19">
        <v>0</v>
      </c>
      <c r="O300" s="14">
        <f>N301*N300</f>
        <v>0</v>
      </c>
      <c r="P300" s="132"/>
      <c r="Q300" s="132"/>
      <c r="R300" s="131"/>
      <c r="S300" s="131"/>
      <c r="T300" s="131"/>
    </row>
    <row r="301" spans="1:20" ht="16.5" x14ac:dyDescent="0.2">
      <c r="A301" s="161"/>
      <c r="B301" s="131"/>
      <c r="C301" s="132"/>
      <c r="D301" s="235"/>
      <c r="E301" s="235"/>
      <c r="F301" s="235"/>
      <c r="G301" s="235"/>
      <c r="H301" s="132"/>
      <c r="I301" s="132"/>
      <c r="J301" s="132"/>
      <c r="K301" s="132"/>
      <c r="L301" s="132"/>
      <c r="M301" s="130" t="s">
        <v>39</v>
      </c>
      <c r="N301" s="14">
        <f>(N293+N294+N296+N295+N297+O298+O299+P293)/(1-N300)</f>
        <v>499700</v>
      </c>
      <c r="O301" s="131"/>
      <c r="P301" s="132"/>
      <c r="Q301" s="132"/>
      <c r="R301" s="131"/>
      <c r="S301" s="131"/>
      <c r="T301" s="131"/>
    </row>
    <row r="302" spans="1:20" x14ac:dyDescent="0.2">
      <c r="A302" s="161"/>
      <c r="B302" s="131"/>
      <c r="C302" s="132"/>
      <c r="D302" s="132"/>
      <c r="E302" s="132"/>
      <c r="F302" s="132"/>
      <c r="G302" s="132"/>
      <c r="H302" s="132"/>
      <c r="I302" s="132"/>
      <c r="J302" s="132"/>
      <c r="K302" s="132"/>
      <c r="L302" s="132"/>
      <c r="M302" s="132"/>
      <c r="N302" s="132"/>
      <c r="O302" s="132"/>
      <c r="P302" s="132"/>
      <c r="Q302" s="132"/>
      <c r="R302" s="131"/>
      <c r="S302" s="131"/>
      <c r="T302" s="131"/>
    </row>
    <row r="303" spans="1:20" x14ac:dyDescent="0.2">
      <c r="A303" s="162"/>
      <c r="B303" s="132"/>
      <c r="C303" s="132"/>
      <c r="D303" s="132"/>
      <c r="E303" s="132"/>
      <c r="F303" s="132"/>
      <c r="G303" s="132"/>
      <c r="H303" s="132"/>
      <c r="I303" s="132"/>
      <c r="J303" s="132"/>
      <c r="K303" s="132"/>
      <c r="L303" s="132"/>
      <c r="M303" s="132"/>
      <c r="N303" s="132"/>
      <c r="O303" s="132"/>
      <c r="P303" s="132"/>
      <c r="Q303" s="132"/>
      <c r="R303" s="132"/>
      <c r="S303" s="132"/>
      <c r="T303" s="132"/>
    </row>
    <row r="304" spans="1:20" x14ac:dyDescent="0.2">
      <c r="A304" s="162"/>
      <c r="B304" s="132"/>
      <c r="C304" s="132"/>
      <c r="D304" s="132"/>
      <c r="E304" s="132"/>
      <c r="F304" s="132"/>
      <c r="G304" s="132"/>
      <c r="H304" s="132"/>
      <c r="I304" s="132"/>
      <c r="J304" s="132"/>
      <c r="K304" s="132"/>
      <c r="L304" s="132"/>
      <c r="M304" s="132"/>
      <c r="N304" s="132"/>
      <c r="O304" s="132"/>
      <c r="P304" s="132"/>
      <c r="Q304" s="132"/>
      <c r="R304" s="132"/>
      <c r="S304" s="132"/>
      <c r="T304" s="132"/>
    </row>
    <row r="305" spans="1:20" x14ac:dyDescent="0.2">
      <c r="A305" s="161"/>
      <c r="B305" s="131"/>
      <c r="C305" s="131"/>
      <c r="D305" s="131"/>
      <c r="E305" s="131"/>
      <c r="F305" s="131"/>
      <c r="G305" s="131"/>
      <c r="H305" s="131"/>
      <c r="I305" s="131"/>
      <c r="J305" s="131"/>
      <c r="K305" s="131"/>
      <c r="L305" s="131"/>
      <c r="M305" s="131"/>
      <c r="N305" s="131"/>
      <c r="O305" s="131"/>
      <c r="P305" s="131"/>
      <c r="Q305" s="131"/>
      <c r="R305" s="131">
        <f>SUM(R307:R311)</f>
        <v>5.5</v>
      </c>
      <c r="S305" s="131"/>
      <c r="T305" s="131"/>
    </row>
    <row r="306" spans="1:20" ht="17.25" x14ac:dyDescent="0.2">
      <c r="A306" s="159">
        <v>120</v>
      </c>
      <c r="B306" s="129">
        <v>105670</v>
      </c>
      <c r="C306" s="132"/>
      <c r="D306" s="235"/>
      <c r="E306" s="235"/>
      <c r="F306" s="235"/>
      <c r="G306" s="235"/>
      <c r="H306" s="132"/>
      <c r="I306" s="132"/>
      <c r="J306" s="132"/>
      <c r="K306" s="132"/>
      <c r="L306" s="132"/>
      <c r="M306" s="130" t="s">
        <v>114</v>
      </c>
      <c r="N306" s="129">
        <v>23</v>
      </c>
      <c r="O306" s="130" t="s">
        <v>114</v>
      </c>
      <c r="P306" s="129">
        <v>21</v>
      </c>
      <c r="Q306" s="131"/>
      <c r="R306" s="12" t="s">
        <v>43</v>
      </c>
      <c r="S306" s="12" t="s">
        <v>41</v>
      </c>
      <c r="T306" s="12" t="s">
        <v>42</v>
      </c>
    </row>
    <row r="307" spans="1:20" ht="16.5" x14ac:dyDescent="0.2">
      <c r="A307" s="159">
        <v>121</v>
      </c>
      <c r="B307" s="129">
        <v>110955</v>
      </c>
      <c r="C307" s="132"/>
      <c r="D307" s="235"/>
      <c r="E307" s="235"/>
      <c r="F307" s="235"/>
      <c r="G307" s="235"/>
      <c r="H307" s="132"/>
      <c r="I307" s="132"/>
      <c r="J307" s="132"/>
      <c r="K307" s="132"/>
      <c r="L307" s="132"/>
      <c r="M307" s="130" t="s">
        <v>78</v>
      </c>
      <c r="N307" s="14">
        <f>SUMIFS(章节关卡!$BD$5:$BD$304,章节关卡!$BB$5:$BB$304,"="&amp;经验计算!N306)</f>
        <v>10000</v>
      </c>
      <c r="O307" s="130" t="s">
        <v>119</v>
      </c>
      <c r="P307" s="14">
        <f>SUMIFS(章节关卡!$BN$5:$BN$304,章节关卡!$BL$5:$BL$304,"="&amp;经验计算!P306)</f>
        <v>120000</v>
      </c>
      <c r="Q307" s="132"/>
      <c r="R307" s="129">
        <v>1</v>
      </c>
      <c r="S307" s="21">
        <f>R307/$R$122</f>
        <v>0.18181818181818182</v>
      </c>
      <c r="T307" s="129">
        <f>INT($N$315*S307/5)*5</f>
        <v>105670</v>
      </c>
    </row>
    <row r="308" spans="1:20" ht="16.5" x14ac:dyDescent="0.2">
      <c r="A308" s="159">
        <v>122</v>
      </c>
      <c r="B308" s="129">
        <v>116240</v>
      </c>
      <c r="C308" s="132"/>
      <c r="D308" s="235"/>
      <c r="E308" s="235"/>
      <c r="F308" s="235"/>
      <c r="G308" s="235"/>
      <c r="H308" s="132"/>
      <c r="I308" s="132"/>
      <c r="J308" s="132"/>
      <c r="K308" s="132"/>
      <c r="L308" s="132"/>
      <c r="M308" s="130" t="s">
        <v>115</v>
      </c>
      <c r="N308" s="14">
        <f>SUMIFS(芦花古楼!$E$5:$E$104,芦花古楼!$A$5:$A$104,"&gt;"&amp;经验计算!O308,芦花古楼!$A$5:$A$104,"&lt;="&amp;经验计算!P308)</f>
        <v>0</v>
      </c>
      <c r="O308" s="129">
        <v>100</v>
      </c>
      <c r="P308" s="129">
        <v>100</v>
      </c>
      <c r="Q308" s="132"/>
      <c r="R308" s="129">
        <v>1.05</v>
      </c>
      <c r="S308" s="21">
        <f t="shared" ref="S308:S311" si="55">R308/$R$122</f>
        <v>0.19090909090909092</v>
      </c>
      <c r="T308" s="129">
        <f t="shared" ref="T308:T311" si="56">INT($N$315*S308/5)*5</f>
        <v>110955</v>
      </c>
    </row>
    <row r="309" spans="1:20" ht="16.5" x14ac:dyDescent="0.2">
      <c r="A309" s="159">
        <v>123</v>
      </c>
      <c r="B309" s="129">
        <v>121520</v>
      </c>
      <c r="C309" s="132"/>
      <c r="D309" s="235"/>
      <c r="E309" s="235"/>
      <c r="F309" s="235"/>
      <c r="G309" s="235"/>
      <c r="H309" s="132"/>
      <c r="I309" s="132"/>
      <c r="J309" s="132"/>
      <c r="K309" s="132"/>
      <c r="L309" s="132"/>
      <c r="M309" s="130" t="s">
        <v>117</v>
      </c>
      <c r="N309" s="14">
        <f>SUMIFS(芦花古楼!$P$5:$P$104,芦花古楼!$L$5:$L$104,"&gt;"&amp;经验计算!O309,芦花古楼!$L$5:$L$104,"&lt;="&amp;经验计算!P309)</f>
        <v>0</v>
      </c>
      <c r="O309" s="129">
        <v>100</v>
      </c>
      <c r="P309" s="129">
        <v>100</v>
      </c>
      <c r="Q309" s="132"/>
      <c r="R309" s="129">
        <v>1.1000000000000001</v>
      </c>
      <c r="S309" s="21">
        <f t="shared" si="55"/>
        <v>0.2</v>
      </c>
      <c r="T309" s="129">
        <f t="shared" si="56"/>
        <v>116240</v>
      </c>
    </row>
    <row r="310" spans="1:20" ht="16.5" x14ac:dyDescent="0.2">
      <c r="A310" s="159">
        <v>124</v>
      </c>
      <c r="B310" s="129">
        <v>126805</v>
      </c>
      <c r="C310" s="132"/>
      <c r="D310" s="235"/>
      <c r="E310" s="235"/>
      <c r="F310" s="235"/>
      <c r="G310" s="235"/>
      <c r="H310" s="132"/>
      <c r="I310" s="132"/>
      <c r="J310" s="132"/>
      <c r="K310" s="132"/>
      <c r="L310" s="132"/>
      <c r="M310" s="130" t="s">
        <v>116</v>
      </c>
      <c r="N310" s="14">
        <f>SUMIFS(芦花古楼!$AA$5:$AA$104,芦花古楼!$W$5:$W$104,"&gt;"&amp;经验计算!O310,芦花古楼!$W$5:$W$104,"&lt;="&amp;经验计算!P310)</f>
        <v>0</v>
      </c>
      <c r="O310" s="129">
        <v>100</v>
      </c>
      <c r="P310" s="129">
        <v>100</v>
      </c>
      <c r="Q310" s="132"/>
      <c r="R310" s="129">
        <v>1.1499999999999999</v>
      </c>
      <c r="S310" s="21">
        <f t="shared" si="55"/>
        <v>0.20909090909090908</v>
      </c>
      <c r="T310" s="129">
        <f t="shared" si="56"/>
        <v>121520</v>
      </c>
    </row>
    <row r="311" spans="1:20" ht="16.5" x14ac:dyDescent="0.2">
      <c r="A311" s="161"/>
      <c r="B311" s="131"/>
      <c r="C311" s="132"/>
      <c r="D311" s="235"/>
      <c r="E311" s="235"/>
      <c r="F311" s="235"/>
      <c r="G311" s="235"/>
      <c r="H311" s="132"/>
      <c r="I311" s="132"/>
      <c r="J311" s="132"/>
      <c r="K311" s="132"/>
      <c r="L311" s="132"/>
      <c r="M311" s="130" t="s">
        <v>118</v>
      </c>
      <c r="N311" s="14">
        <f>SUMIFS(芦花古楼!$AL$5:$AL$104,芦花古楼!$AH$5:$AH$104,"&gt;"&amp;经验计算!O311,芦花古楼!$AH$5:$AH$104,"&lt;="&amp;经验计算!P311)</f>
        <v>0</v>
      </c>
      <c r="O311" s="129">
        <v>100</v>
      </c>
      <c r="P311" s="129">
        <v>100</v>
      </c>
      <c r="Q311" s="132"/>
      <c r="R311" s="129">
        <v>1.2</v>
      </c>
      <c r="S311" s="21">
        <f t="shared" si="55"/>
        <v>0.21818181818181817</v>
      </c>
      <c r="T311" s="129">
        <f t="shared" si="56"/>
        <v>126805</v>
      </c>
    </row>
    <row r="312" spans="1:20" ht="16.5" x14ac:dyDescent="0.2">
      <c r="A312" s="161"/>
      <c r="B312" s="131"/>
      <c r="C312" s="132"/>
      <c r="D312" s="235"/>
      <c r="E312" s="235"/>
      <c r="F312" s="235"/>
      <c r="G312" s="235"/>
      <c r="H312" s="132"/>
      <c r="I312" s="132"/>
      <c r="J312" s="132"/>
      <c r="K312" s="132"/>
      <c r="L312" s="132"/>
      <c r="M312" s="130" t="s">
        <v>47</v>
      </c>
      <c r="N312" s="14"/>
      <c r="O312" s="14">
        <f>日常任务!D253*经验计算!N312</f>
        <v>0</v>
      </c>
      <c r="P312" s="132"/>
      <c r="Q312" s="132"/>
      <c r="R312" s="131"/>
      <c r="S312" s="131"/>
      <c r="T312" s="131"/>
    </row>
    <row r="313" spans="1:20" ht="16.5" x14ac:dyDescent="0.2">
      <c r="A313" s="161"/>
      <c r="B313" s="131"/>
      <c r="C313" s="132"/>
      <c r="D313" s="235"/>
      <c r="E313" s="235"/>
      <c r="F313" s="235"/>
      <c r="G313" s="235"/>
      <c r="H313" s="132"/>
      <c r="I313" s="132"/>
      <c r="J313" s="132"/>
      <c r="K313" s="132"/>
      <c r="L313" s="132"/>
      <c r="M313" s="130" t="s">
        <v>44</v>
      </c>
      <c r="N313" s="14">
        <f>INDEX(节奏总表!$N$5:$N$35,经验计算!N306)*60</f>
        <v>9600</v>
      </c>
      <c r="O313" s="14">
        <f>INDEX(章节关卡!$G$6:$G$35,经验计算!N306-1)*经验计算!N313</f>
        <v>451200</v>
      </c>
      <c r="P313" s="132"/>
      <c r="Q313" s="132"/>
      <c r="R313" s="131"/>
      <c r="S313" s="131"/>
      <c r="T313" s="131"/>
    </row>
    <row r="314" spans="1:20" ht="16.5" x14ac:dyDescent="0.2">
      <c r="A314" s="161"/>
      <c r="B314" s="131"/>
      <c r="C314" s="132"/>
      <c r="D314" s="235"/>
      <c r="E314" s="235"/>
      <c r="F314" s="235"/>
      <c r="G314" s="235"/>
      <c r="H314" s="132"/>
      <c r="I314" s="132"/>
      <c r="J314" s="132"/>
      <c r="K314" s="132"/>
      <c r="L314" s="132"/>
      <c r="M314" s="130" t="s">
        <v>40</v>
      </c>
      <c r="N314" s="19">
        <v>0</v>
      </c>
      <c r="O314" s="14">
        <f>N315*N314</f>
        <v>0</v>
      </c>
      <c r="P314" s="132"/>
      <c r="Q314" s="132"/>
      <c r="R314" s="131"/>
      <c r="S314" s="131"/>
      <c r="T314" s="131"/>
    </row>
    <row r="315" spans="1:20" ht="16.5" x14ac:dyDescent="0.2">
      <c r="A315" s="161"/>
      <c r="B315" s="131"/>
      <c r="C315" s="132"/>
      <c r="D315" s="235"/>
      <c r="E315" s="235"/>
      <c r="F315" s="235"/>
      <c r="G315" s="235"/>
      <c r="H315" s="132"/>
      <c r="I315" s="132"/>
      <c r="J315" s="132"/>
      <c r="K315" s="132"/>
      <c r="L315" s="132"/>
      <c r="M315" s="130" t="s">
        <v>39</v>
      </c>
      <c r="N315" s="14">
        <f>(N307+N308+N310+N309+N311+O312+O313+P307)/(1-N314)</f>
        <v>581200</v>
      </c>
      <c r="O315" s="131"/>
      <c r="P315" s="132"/>
      <c r="Q315" s="132"/>
      <c r="R315" s="131"/>
      <c r="S315" s="131"/>
      <c r="T315" s="131"/>
    </row>
    <row r="316" spans="1:20" x14ac:dyDescent="0.2">
      <c r="A316" s="161"/>
      <c r="B316" s="131"/>
      <c r="C316" s="132"/>
      <c r="D316" s="132"/>
      <c r="E316" s="132"/>
      <c r="F316" s="132"/>
      <c r="G316" s="132"/>
      <c r="H316" s="132"/>
      <c r="I316" s="132"/>
      <c r="J316" s="132"/>
      <c r="K316" s="132"/>
      <c r="L316" s="132"/>
      <c r="M316" s="132"/>
      <c r="N316" s="132"/>
      <c r="O316" s="132"/>
      <c r="P316" s="132"/>
      <c r="Q316" s="132"/>
      <c r="R316" s="131"/>
      <c r="S316" s="131"/>
      <c r="T316" s="131"/>
    </row>
    <row r="317" spans="1:20" x14ac:dyDescent="0.2">
      <c r="A317" s="162"/>
      <c r="B317" s="132"/>
      <c r="C317" s="132"/>
      <c r="D317" s="132"/>
      <c r="E317" s="132"/>
      <c r="F317" s="132"/>
      <c r="G317" s="132"/>
      <c r="H317" s="132"/>
      <c r="I317" s="132"/>
      <c r="J317" s="132"/>
      <c r="K317" s="132"/>
      <c r="L317" s="132"/>
      <c r="M317" s="132"/>
      <c r="N317" s="132"/>
      <c r="O317" s="132"/>
      <c r="P317" s="132"/>
      <c r="Q317" s="132"/>
      <c r="R317" s="132"/>
      <c r="S317" s="132"/>
      <c r="T317" s="132"/>
    </row>
    <row r="318" spans="1:20" x14ac:dyDescent="0.2">
      <c r="A318" s="162"/>
      <c r="B318" s="132"/>
      <c r="C318" s="132"/>
      <c r="D318" s="132"/>
      <c r="E318" s="132"/>
      <c r="F318" s="132"/>
      <c r="G318" s="132"/>
      <c r="H318" s="132"/>
      <c r="I318" s="132"/>
      <c r="J318" s="132"/>
      <c r="K318" s="132"/>
      <c r="L318" s="132"/>
      <c r="M318" s="132"/>
      <c r="N318" s="132"/>
      <c r="O318" s="132"/>
      <c r="P318" s="132"/>
      <c r="Q318" s="132"/>
      <c r="R318" s="132"/>
      <c r="S318" s="132"/>
      <c r="T318" s="132"/>
    </row>
    <row r="319" spans="1:20" x14ac:dyDescent="0.2">
      <c r="A319" s="161"/>
      <c r="B319" s="131"/>
      <c r="C319" s="131"/>
      <c r="D319" s="131"/>
      <c r="E319" s="131"/>
      <c r="F319" s="131"/>
      <c r="G319" s="131"/>
      <c r="H319" s="131"/>
      <c r="I319" s="131"/>
      <c r="J319" s="131"/>
      <c r="K319" s="131"/>
      <c r="L319" s="131"/>
      <c r="M319" s="131"/>
      <c r="N319" s="131"/>
      <c r="O319" s="131"/>
      <c r="P319" s="131"/>
      <c r="Q319" s="131"/>
      <c r="R319" s="131">
        <f>SUM(R321:R325)</f>
        <v>5.5</v>
      </c>
      <c r="S319" s="131"/>
      <c r="T319" s="131"/>
    </row>
    <row r="320" spans="1:20" ht="17.25" x14ac:dyDescent="0.2">
      <c r="A320" s="159">
        <v>125</v>
      </c>
      <c r="B320" s="129">
        <v>127180</v>
      </c>
      <c r="C320" s="132"/>
      <c r="D320" s="235"/>
      <c r="E320" s="235"/>
      <c r="F320" s="235"/>
      <c r="G320" s="235"/>
      <c r="H320" s="132"/>
      <c r="I320" s="132"/>
      <c r="J320" s="132"/>
      <c r="K320" s="132"/>
      <c r="L320" s="132"/>
      <c r="M320" s="130" t="s">
        <v>114</v>
      </c>
      <c r="N320" s="129">
        <v>24</v>
      </c>
      <c r="O320" s="130" t="s">
        <v>114</v>
      </c>
      <c r="P320" s="129">
        <v>22</v>
      </c>
      <c r="Q320" s="131"/>
      <c r="R320" s="12" t="s">
        <v>43</v>
      </c>
      <c r="S320" s="12" t="s">
        <v>41</v>
      </c>
      <c r="T320" s="12" t="s">
        <v>42</v>
      </c>
    </row>
    <row r="321" spans="1:20" ht="16.5" x14ac:dyDescent="0.2">
      <c r="A321" s="159">
        <v>126</v>
      </c>
      <c r="B321" s="129">
        <v>133540</v>
      </c>
      <c r="C321" s="132"/>
      <c r="D321" s="235"/>
      <c r="E321" s="235"/>
      <c r="F321" s="235"/>
      <c r="G321" s="235"/>
      <c r="H321" s="132"/>
      <c r="I321" s="132"/>
      <c r="J321" s="132"/>
      <c r="K321" s="132"/>
      <c r="L321" s="132"/>
      <c r="M321" s="130" t="s">
        <v>78</v>
      </c>
      <c r="N321" s="14">
        <f>SUMIFS(章节关卡!$BD$5:$BD$304,章节关卡!$BB$5:$BB$304,"="&amp;经验计算!N320)</f>
        <v>11000</v>
      </c>
      <c r="O321" s="130" t="s">
        <v>119</v>
      </c>
      <c r="P321" s="14">
        <f>SUMIFS(章节关卡!$BN$5:$BN$304,章节关卡!$BL$5:$BL$304,"="&amp;经验计算!P320)</f>
        <v>148500</v>
      </c>
      <c r="Q321" s="132"/>
      <c r="R321" s="129">
        <v>1</v>
      </c>
      <c r="S321" s="21">
        <f>R321/$R$122</f>
        <v>0.18181818181818182</v>
      </c>
      <c r="T321" s="129">
        <f>INT($N$329*S321/5)*5</f>
        <v>127180</v>
      </c>
    </row>
    <row r="322" spans="1:20" ht="16.5" x14ac:dyDescent="0.2">
      <c r="A322" s="159">
        <v>127</v>
      </c>
      <c r="B322" s="129">
        <v>139900</v>
      </c>
      <c r="C322" s="132"/>
      <c r="D322" s="235"/>
      <c r="E322" s="235"/>
      <c r="F322" s="235"/>
      <c r="G322" s="235"/>
      <c r="H322" s="132"/>
      <c r="I322" s="132"/>
      <c r="J322" s="132"/>
      <c r="K322" s="132"/>
      <c r="L322" s="132"/>
      <c r="M322" s="130" t="s">
        <v>115</v>
      </c>
      <c r="N322" s="14">
        <f>SUMIFS(芦花古楼!$E$5:$E$104,芦花古楼!$A$5:$A$104,"&gt;"&amp;经验计算!O322,芦花古楼!$A$5:$A$104,"&lt;="&amp;经验计算!P322)</f>
        <v>0</v>
      </c>
      <c r="O322" s="129">
        <v>100</v>
      </c>
      <c r="P322" s="129">
        <v>100</v>
      </c>
      <c r="Q322" s="132"/>
      <c r="R322" s="129">
        <v>1.05</v>
      </c>
      <c r="S322" s="21">
        <f t="shared" ref="S322:S325" si="57">R322/$R$122</f>
        <v>0.19090909090909092</v>
      </c>
      <c r="T322" s="129">
        <f t="shared" ref="T322:T325" si="58">INT($N$329*S322/5)*5</f>
        <v>133540</v>
      </c>
    </row>
    <row r="323" spans="1:20" ht="16.5" x14ac:dyDescent="0.2">
      <c r="A323" s="159">
        <v>128</v>
      </c>
      <c r="B323" s="129">
        <v>146255</v>
      </c>
      <c r="C323" s="132"/>
      <c r="D323" s="235"/>
      <c r="E323" s="235"/>
      <c r="F323" s="235"/>
      <c r="G323" s="235"/>
      <c r="H323" s="132"/>
      <c r="I323" s="132"/>
      <c r="J323" s="132"/>
      <c r="K323" s="132"/>
      <c r="L323" s="132"/>
      <c r="M323" s="130" t="s">
        <v>117</v>
      </c>
      <c r="N323" s="14">
        <f>SUMIFS(芦花古楼!$P$5:$P$104,芦花古楼!$L$5:$L$104,"&gt;"&amp;经验计算!O323,芦花古楼!$L$5:$L$104,"&lt;="&amp;经验计算!P323)</f>
        <v>0</v>
      </c>
      <c r="O323" s="129">
        <v>100</v>
      </c>
      <c r="P323" s="129">
        <v>100</v>
      </c>
      <c r="Q323" s="132"/>
      <c r="R323" s="129">
        <v>1.1000000000000001</v>
      </c>
      <c r="S323" s="21">
        <f t="shared" si="57"/>
        <v>0.2</v>
      </c>
      <c r="T323" s="129">
        <f t="shared" si="58"/>
        <v>139900</v>
      </c>
    </row>
    <row r="324" spans="1:20" ht="16.5" x14ac:dyDescent="0.2">
      <c r="A324" s="159">
        <v>129</v>
      </c>
      <c r="B324" s="129">
        <v>152615</v>
      </c>
      <c r="C324" s="132"/>
      <c r="D324" s="235"/>
      <c r="E324" s="235"/>
      <c r="F324" s="235"/>
      <c r="G324" s="235"/>
      <c r="H324" s="132"/>
      <c r="I324" s="132"/>
      <c r="J324" s="132"/>
      <c r="K324" s="132"/>
      <c r="L324" s="132"/>
      <c r="M324" s="130" t="s">
        <v>116</v>
      </c>
      <c r="N324" s="14">
        <f>SUMIFS(芦花古楼!$AA$5:$AA$104,芦花古楼!$W$5:$W$104,"&gt;"&amp;经验计算!O324,芦花古楼!$W$5:$W$104,"&lt;="&amp;经验计算!P324)</f>
        <v>0</v>
      </c>
      <c r="O324" s="129">
        <v>100</v>
      </c>
      <c r="P324" s="129">
        <v>100</v>
      </c>
      <c r="Q324" s="132"/>
      <c r="R324" s="129">
        <v>1.1499999999999999</v>
      </c>
      <c r="S324" s="21">
        <f t="shared" si="57"/>
        <v>0.20909090909090908</v>
      </c>
      <c r="T324" s="129">
        <f t="shared" si="58"/>
        <v>146255</v>
      </c>
    </row>
    <row r="325" spans="1:20" ht="16.5" x14ac:dyDescent="0.2">
      <c r="A325" s="161"/>
      <c r="B325" s="131"/>
      <c r="C325" s="132"/>
      <c r="D325" s="235"/>
      <c r="E325" s="235"/>
      <c r="F325" s="235"/>
      <c r="G325" s="235"/>
      <c r="H325" s="132"/>
      <c r="I325" s="132"/>
      <c r="J325" s="132"/>
      <c r="K325" s="132"/>
      <c r="L325" s="132"/>
      <c r="M325" s="130" t="s">
        <v>118</v>
      </c>
      <c r="N325" s="14">
        <f>SUMIFS(芦花古楼!$AL$5:$AL$104,芦花古楼!$AH$5:$AH$104,"&gt;"&amp;经验计算!O325,芦花古楼!$AH$5:$AH$104,"&lt;="&amp;经验计算!P325)</f>
        <v>0</v>
      </c>
      <c r="O325" s="129">
        <v>100</v>
      </c>
      <c r="P325" s="129">
        <v>100</v>
      </c>
      <c r="Q325" s="132"/>
      <c r="R325" s="129">
        <v>1.2</v>
      </c>
      <c r="S325" s="21">
        <f t="shared" si="57"/>
        <v>0.21818181818181817</v>
      </c>
      <c r="T325" s="129">
        <f t="shared" si="58"/>
        <v>152615</v>
      </c>
    </row>
    <row r="326" spans="1:20" ht="16.5" x14ac:dyDescent="0.2">
      <c r="A326" s="161"/>
      <c r="B326" s="131"/>
      <c r="C326" s="132"/>
      <c r="D326" s="235"/>
      <c r="E326" s="235"/>
      <c r="F326" s="235"/>
      <c r="G326" s="235"/>
      <c r="H326" s="132"/>
      <c r="I326" s="132"/>
      <c r="J326" s="132"/>
      <c r="K326" s="132"/>
      <c r="L326" s="132"/>
      <c r="M326" s="130" t="s">
        <v>47</v>
      </c>
      <c r="N326" s="14"/>
      <c r="O326" s="14">
        <f>日常任务!D267*经验计算!N326</f>
        <v>0</v>
      </c>
      <c r="P326" s="132"/>
      <c r="Q326" s="132"/>
      <c r="R326" s="131"/>
      <c r="S326" s="131"/>
      <c r="T326" s="131"/>
    </row>
    <row r="327" spans="1:20" ht="16.5" x14ac:dyDescent="0.2">
      <c r="A327" s="161"/>
      <c r="B327" s="131"/>
      <c r="C327" s="132"/>
      <c r="D327" s="235"/>
      <c r="E327" s="235"/>
      <c r="F327" s="235"/>
      <c r="G327" s="235"/>
      <c r="H327" s="132"/>
      <c r="I327" s="132"/>
      <c r="J327" s="132"/>
      <c r="K327" s="132"/>
      <c r="L327" s="132"/>
      <c r="M327" s="130" t="s">
        <v>44</v>
      </c>
      <c r="N327" s="14">
        <f>INDEX(节奏总表!$N$5:$N$35,经验计算!N320)*60</f>
        <v>10800</v>
      </c>
      <c r="O327" s="14">
        <f>INDEX(章节关卡!$G$6:$G$35,经验计算!N320-1)*经验计算!N327</f>
        <v>540000</v>
      </c>
      <c r="P327" s="132"/>
      <c r="Q327" s="132"/>
      <c r="R327" s="131"/>
      <c r="S327" s="131"/>
      <c r="T327" s="131"/>
    </row>
    <row r="328" spans="1:20" ht="16.5" x14ac:dyDescent="0.2">
      <c r="A328" s="161"/>
      <c r="B328" s="131"/>
      <c r="C328" s="132"/>
      <c r="D328" s="235"/>
      <c r="E328" s="235"/>
      <c r="F328" s="235"/>
      <c r="G328" s="235"/>
      <c r="H328" s="132"/>
      <c r="I328" s="132"/>
      <c r="J328" s="132"/>
      <c r="K328" s="132"/>
      <c r="L328" s="132"/>
      <c r="M328" s="130" t="s">
        <v>40</v>
      </c>
      <c r="N328" s="19">
        <v>0</v>
      </c>
      <c r="O328" s="14">
        <f>N329*N328</f>
        <v>0</v>
      </c>
      <c r="P328" s="132"/>
      <c r="Q328" s="132"/>
      <c r="R328" s="131"/>
      <c r="S328" s="131"/>
      <c r="T328" s="131"/>
    </row>
    <row r="329" spans="1:20" ht="16.5" x14ac:dyDescent="0.2">
      <c r="A329" s="161"/>
      <c r="B329" s="131"/>
      <c r="C329" s="132"/>
      <c r="D329" s="235"/>
      <c r="E329" s="235"/>
      <c r="F329" s="235"/>
      <c r="G329" s="235"/>
      <c r="H329" s="132"/>
      <c r="I329" s="132"/>
      <c r="J329" s="132"/>
      <c r="K329" s="132"/>
      <c r="L329" s="132"/>
      <c r="M329" s="130" t="s">
        <v>39</v>
      </c>
      <c r="N329" s="14">
        <f>(N321+N322+N324+N323+N325+O326+O327+P321)/(1-N328)</f>
        <v>699500</v>
      </c>
      <c r="O329" s="131"/>
      <c r="P329" s="132"/>
      <c r="Q329" s="132"/>
      <c r="R329" s="131"/>
      <c r="S329" s="131"/>
      <c r="T329" s="131"/>
    </row>
    <row r="330" spans="1:20" x14ac:dyDescent="0.2">
      <c r="A330" s="161"/>
      <c r="B330" s="131"/>
      <c r="C330" s="132"/>
      <c r="D330" s="132"/>
      <c r="E330" s="132"/>
      <c r="F330" s="132"/>
      <c r="G330" s="132"/>
      <c r="H330" s="132"/>
      <c r="I330" s="132"/>
      <c r="J330" s="132"/>
      <c r="K330" s="132"/>
      <c r="L330" s="132"/>
      <c r="M330" s="132"/>
      <c r="N330" s="132"/>
      <c r="O330" s="132"/>
      <c r="P330" s="132"/>
      <c r="Q330" s="132"/>
      <c r="R330" s="131"/>
      <c r="S330" s="131"/>
      <c r="T330" s="131"/>
    </row>
    <row r="331" spans="1:20" x14ac:dyDescent="0.2">
      <c r="A331" s="162"/>
      <c r="B331" s="132"/>
      <c r="C331" s="132"/>
      <c r="D331" s="132"/>
      <c r="E331" s="132"/>
      <c r="F331" s="132"/>
      <c r="G331" s="132"/>
      <c r="H331" s="132"/>
      <c r="I331" s="132"/>
      <c r="J331" s="132"/>
      <c r="K331" s="132"/>
      <c r="L331" s="132"/>
      <c r="M331" s="132"/>
      <c r="N331" s="132"/>
      <c r="O331" s="132"/>
      <c r="P331" s="132"/>
      <c r="Q331" s="132"/>
      <c r="R331" s="132"/>
      <c r="S331" s="132"/>
      <c r="T331" s="132"/>
    </row>
    <row r="332" spans="1:20" x14ac:dyDescent="0.2">
      <c r="A332" s="162"/>
      <c r="B332" s="132"/>
      <c r="C332" s="132"/>
      <c r="D332" s="132"/>
      <c r="E332" s="132"/>
      <c r="F332" s="132"/>
      <c r="G332" s="132"/>
      <c r="H332" s="132"/>
      <c r="I332" s="132"/>
      <c r="J332" s="132"/>
      <c r="K332" s="132"/>
      <c r="L332" s="132"/>
      <c r="M332" s="132"/>
      <c r="N332" s="132"/>
      <c r="O332" s="132"/>
      <c r="P332" s="132"/>
      <c r="Q332" s="132"/>
      <c r="R332" s="132"/>
      <c r="S332" s="132"/>
      <c r="T332" s="132"/>
    </row>
    <row r="333" spans="1:20" x14ac:dyDescent="0.2">
      <c r="A333" s="161"/>
      <c r="B333" s="131"/>
      <c r="C333" s="131"/>
      <c r="D333" s="131"/>
      <c r="E333" s="131"/>
      <c r="F333" s="131"/>
      <c r="G333" s="131"/>
      <c r="H333" s="131"/>
      <c r="I333" s="131"/>
      <c r="J333" s="131"/>
      <c r="K333" s="131"/>
      <c r="L333" s="131"/>
      <c r="M333" s="131"/>
      <c r="N333" s="131"/>
      <c r="O333" s="131"/>
      <c r="P333" s="131"/>
      <c r="Q333" s="131"/>
      <c r="R333" s="131">
        <f>SUM(R335:R339)</f>
        <v>5.5</v>
      </c>
      <c r="S333" s="131"/>
      <c r="T333" s="131"/>
    </row>
    <row r="334" spans="1:20" ht="17.25" x14ac:dyDescent="0.2">
      <c r="A334" s="159">
        <v>130</v>
      </c>
      <c r="B334" s="129">
        <v>162545</v>
      </c>
      <c r="C334" s="132"/>
      <c r="D334" s="235"/>
      <c r="E334" s="235"/>
      <c r="F334" s="235"/>
      <c r="G334" s="235"/>
      <c r="H334" s="132"/>
      <c r="I334" s="132"/>
      <c r="J334" s="132"/>
      <c r="K334" s="132"/>
      <c r="L334" s="132"/>
      <c r="M334" s="130" t="s">
        <v>114</v>
      </c>
      <c r="N334" s="129">
        <v>25</v>
      </c>
      <c r="O334" s="130" t="s">
        <v>114</v>
      </c>
      <c r="P334" s="129">
        <v>23</v>
      </c>
      <c r="Q334" s="131"/>
      <c r="R334" s="12" t="s">
        <v>43</v>
      </c>
      <c r="S334" s="12" t="s">
        <v>41</v>
      </c>
      <c r="T334" s="12" t="s">
        <v>42</v>
      </c>
    </row>
    <row r="335" spans="1:20" ht="16.5" x14ac:dyDescent="0.2">
      <c r="A335" s="159">
        <v>131</v>
      </c>
      <c r="B335" s="129">
        <v>170670</v>
      </c>
      <c r="C335" s="132"/>
      <c r="D335" s="235"/>
      <c r="E335" s="235"/>
      <c r="F335" s="235"/>
      <c r="G335" s="235"/>
      <c r="H335" s="132"/>
      <c r="I335" s="132"/>
      <c r="J335" s="132"/>
      <c r="K335" s="132"/>
      <c r="L335" s="132"/>
      <c r="M335" s="130" t="s">
        <v>78</v>
      </c>
      <c r="N335" s="14">
        <f>SUMIFS(章节关卡!$BD$5:$BD$304,章节关卡!$BB$5:$BB$304,"="&amp;经验计算!N334)</f>
        <v>12000</v>
      </c>
      <c r="O335" s="130" t="s">
        <v>119</v>
      </c>
      <c r="P335" s="14">
        <f>SUMIFS(章节关卡!$BN$5:$BN$304,章节关卡!$BL$5:$BL$304,"="&amp;经验计算!P334)</f>
        <v>189000</v>
      </c>
      <c r="Q335" s="132"/>
      <c r="R335" s="129">
        <v>1</v>
      </c>
      <c r="S335" s="21">
        <f>R335/$R$122</f>
        <v>0.18181818181818182</v>
      </c>
      <c r="T335" s="129">
        <f>INT($N$343*S335/5)*5</f>
        <v>162545</v>
      </c>
    </row>
    <row r="336" spans="1:20" ht="16.5" x14ac:dyDescent="0.2">
      <c r="A336" s="159">
        <v>132</v>
      </c>
      <c r="B336" s="129">
        <v>178800</v>
      </c>
      <c r="C336" s="132"/>
      <c r="D336" s="235"/>
      <c r="E336" s="235"/>
      <c r="F336" s="235"/>
      <c r="G336" s="235"/>
      <c r="H336" s="132"/>
      <c r="I336" s="132"/>
      <c r="J336" s="132"/>
      <c r="K336" s="132"/>
      <c r="L336" s="132"/>
      <c r="M336" s="130" t="s">
        <v>115</v>
      </c>
      <c r="N336" s="14">
        <f>SUMIFS(芦花古楼!$E$5:$E$104,芦花古楼!$A$5:$A$104,"&gt;"&amp;经验计算!O336,芦花古楼!$A$5:$A$104,"&lt;="&amp;经验计算!P336)</f>
        <v>0</v>
      </c>
      <c r="O336" s="129">
        <v>100</v>
      </c>
      <c r="P336" s="129">
        <v>100</v>
      </c>
      <c r="Q336" s="132"/>
      <c r="R336" s="129">
        <v>1.05</v>
      </c>
      <c r="S336" s="21">
        <f t="shared" ref="S336:S339" si="59">R336/$R$122</f>
        <v>0.19090909090909092</v>
      </c>
      <c r="T336" s="129">
        <f t="shared" ref="T336:T339" si="60">INT($N$343*S336/5)*5</f>
        <v>170670</v>
      </c>
    </row>
    <row r="337" spans="1:20" ht="16.5" x14ac:dyDescent="0.2">
      <c r="A337" s="159">
        <v>133</v>
      </c>
      <c r="B337" s="129">
        <v>186925</v>
      </c>
      <c r="C337" s="132"/>
      <c r="D337" s="235"/>
      <c r="E337" s="235"/>
      <c r="F337" s="235"/>
      <c r="G337" s="235"/>
      <c r="H337" s="132"/>
      <c r="I337" s="132"/>
      <c r="J337" s="132"/>
      <c r="K337" s="132"/>
      <c r="L337" s="132"/>
      <c r="M337" s="130" t="s">
        <v>117</v>
      </c>
      <c r="N337" s="14">
        <f>SUMIFS(芦花古楼!$P$5:$P$104,芦花古楼!$L$5:$L$104,"&gt;"&amp;经验计算!O337,芦花古楼!$L$5:$L$104,"&lt;="&amp;经验计算!P337)</f>
        <v>0</v>
      </c>
      <c r="O337" s="129">
        <v>100</v>
      </c>
      <c r="P337" s="129">
        <v>100</v>
      </c>
      <c r="Q337" s="132"/>
      <c r="R337" s="129">
        <v>1.1000000000000001</v>
      </c>
      <c r="S337" s="21">
        <f t="shared" si="59"/>
        <v>0.2</v>
      </c>
      <c r="T337" s="129">
        <f t="shared" si="60"/>
        <v>178800</v>
      </c>
    </row>
    <row r="338" spans="1:20" ht="16.5" x14ac:dyDescent="0.2">
      <c r="A338" s="159">
        <v>134</v>
      </c>
      <c r="B338" s="129">
        <v>195050</v>
      </c>
      <c r="C338" s="132"/>
      <c r="D338" s="235"/>
      <c r="E338" s="235"/>
      <c r="F338" s="235"/>
      <c r="G338" s="235"/>
      <c r="H338" s="132"/>
      <c r="I338" s="132"/>
      <c r="J338" s="132"/>
      <c r="K338" s="132"/>
      <c r="L338" s="132"/>
      <c r="M338" s="130" t="s">
        <v>116</v>
      </c>
      <c r="N338" s="14">
        <f>SUMIFS(芦花古楼!$AA$5:$AA$104,芦花古楼!$W$5:$W$104,"&gt;"&amp;经验计算!O338,芦花古楼!$W$5:$W$104,"&lt;="&amp;经验计算!P338)</f>
        <v>0</v>
      </c>
      <c r="O338" s="129">
        <v>100</v>
      </c>
      <c r="P338" s="129">
        <v>100</v>
      </c>
      <c r="Q338" s="132"/>
      <c r="R338" s="129">
        <v>1.1499999999999999</v>
      </c>
      <c r="S338" s="21">
        <f t="shared" si="59"/>
        <v>0.20909090909090908</v>
      </c>
      <c r="T338" s="129">
        <f t="shared" si="60"/>
        <v>186925</v>
      </c>
    </row>
    <row r="339" spans="1:20" ht="16.5" x14ac:dyDescent="0.2">
      <c r="A339" s="161"/>
      <c r="B339" s="131"/>
      <c r="C339" s="132"/>
      <c r="D339" s="235"/>
      <c r="E339" s="235"/>
      <c r="F339" s="235"/>
      <c r="G339" s="235"/>
      <c r="H339" s="132"/>
      <c r="I339" s="132"/>
      <c r="J339" s="132"/>
      <c r="K339" s="132"/>
      <c r="L339" s="132"/>
      <c r="M339" s="130" t="s">
        <v>118</v>
      </c>
      <c r="N339" s="14">
        <f>SUMIFS(芦花古楼!$AL$5:$AL$104,芦花古楼!$AH$5:$AH$104,"&gt;"&amp;经验计算!O339,芦花古楼!$AH$5:$AH$104,"&lt;="&amp;经验计算!P339)</f>
        <v>0</v>
      </c>
      <c r="O339" s="129">
        <v>100</v>
      </c>
      <c r="P339" s="129">
        <v>100</v>
      </c>
      <c r="Q339" s="132"/>
      <c r="R339" s="129">
        <v>1.2</v>
      </c>
      <c r="S339" s="21">
        <f t="shared" si="59"/>
        <v>0.21818181818181817</v>
      </c>
      <c r="T339" s="129">
        <f t="shared" si="60"/>
        <v>195050</v>
      </c>
    </row>
    <row r="340" spans="1:20" ht="16.5" x14ac:dyDescent="0.2">
      <c r="A340" s="161"/>
      <c r="B340" s="131"/>
      <c r="C340" s="132"/>
      <c r="D340" s="235"/>
      <c r="E340" s="235"/>
      <c r="F340" s="235"/>
      <c r="G340" s="235"/>
      <c r="H340" s="132"/>
      <c r="I340" s="132"/>
      <c r="J340" s="132"/>
      <c r="K340" s="132"/>
      <c r="L340" s="132"/>
      <c r="M340" s="130" t="s">
        <v>47</v>
      </c>
      <c r="N340" s="14"/>
      <c r="O340" s="14">
        <f>日常任务!D281*经验计算!N340</f>
        <v>0</v>
      </c>
      <c r="P340" s="132"/>
      <c r="Q340" s="132"/>
      <c r="R340" s="131"/>
      <c r="S340" s="131"/>
      <c r="T340" s="131"/>
    </row>
    <row r="341" spans="1:20" ht="16.5" x14ac:dyDescent="0.2">
      <c r="A341" s="161"/>
      <c r="B341" s="131"/>
      <c r="C341" s="132"/>
      <c r="D341" s="235"/>
      <c r="E341" s="235"/>
      <c r="F341" s="235"/>
      <c r="G341" s="235"/>
      <c r="H341" s="132"/>
      <c r="I341" s="132"/>
      <c r="J341" s="132"/>
      <c r="K341" s="132"/>
      <c r="L341" s="132"/>
      <c r="M341" s="130" t="s">
        <v>44</v>
      </c>
      <c r="N341" s="14">
        <f>INDEX(节奏总表!$N$5:$N$35,经验计算!N334)*60</f>
        <v>12600</v>
      </c>
      <c r="O341" s="14">
        <f>INDEX(章节关卡!$G$6:$G$35,经验计算!N334-1)*经验计算!N341</f>
        <v>693000</v>
      </c>
      <c r="P341" s="132"/>
      <c r="Q341" s="132"/>
      <c r="R341" s="131"/>
      <c r="S341" s="131"/>
      <c r="T341" s="131"/>
    </row>
    <row r="342" spans="1:20" ht="16.5" x14ac:dyDescent="0.2">
      <c r="A342" s="161"/>
      <c r="B342" s="131"/>
      <c r="C342" s="132"/>
      <c r="D342" s="235"/>
      <c r="E342" s="235"/>
      <c r="F342" s="235"/>
      <c r="G342" s="235"/>
      <c r="H342" s="132"/>
      <c r="I342" s="132"/>
      <c r="J342" s="132"/>
      <c r="K342" s="132"/>
      <c r="L342" s="132"/>
      <c r="M342" s="130" t="s">
        <v>40</v>
      </c>
      <c r="N342" s="19">
        <v>0</v>
      </c>
      <c r="O342" s="14">
        <f>N343*N342</f>
        <v>0</v>
      </c>
      <c r="P342" s="132"/>
      <c r="Q342" s="132"/>
      <c r="R342" s="131"/>
      <c r="S342" s="131"/>
      <c r="T342" s="131"/>
    </row>
    <row r="343" spans="1:20" ht="16.5" x14ac:dyDescent="0.2">
      <c r="A343" s="161"/>
      <c r="B343" s="131"/>
      <c r="C343" s="132"/>
      <c r="D343" s="235"/>
      <c r="E343" s="235"/>
      <c r="F343" s="235"/>
      <c r="G343" s="235"/>
      <c r="H343" s="132"/>
      <c r="I343" s="132"/>
      <c r="J343" s="132"/>
      <c r="K343" s="132"/>
      <c r="L343" s="132"/>
      <c r="M343" s="130" t="s">
        <v>39</v>
      </c>
      <c r="N343" s="14">
        <f>(N335+N336+N338+N337+N339+O340+O341+P335)/(1-N342)</f>
        <v>894000</v>
      </c>
      <c r="O343" s="131"/>
      <c r="P343" s="132"/>
      <c r="Q343" s="132"/>
      <c r="R343" s="131"/>
      <c r="S343" s="131"/>
      <c r="T343" s="131"/>
    </row>
    <row r="344" spans="1:20" x14ac:dyDescent="0.2">
      <c r="A344" s="161"/>
      <c r="B344" s="131"/>
      <c r="C344" s="132"/>
      <c r="D344" s="132"/>
      <c r="E344" s="132"/>
      <c r="F344" s="132"/>
      <c r="G344" s="132"/>
      <c r="H344" s="132"/>
      <c r="I344" s="132"/>
      <c r="J344" s="132"/>
      <c r="K344" s="132"/>
      <c r="L344" s="132"/>
      <c r="M344" s="132"/>
      <c r="N344" s="132"/>
      <c r="O344" s="132"/>
      <c r="P344" s="132"/>
      <c r="Q344" s="132"/>
      <c r="R344" s="131"/>
      <c r="S344" s="131"/>
      <c r="T344" s="131"/>
    </row>
    <row r="345" spans="1:20" x14ac:dyDescent="0.2">
      <c r="A345" s="162"/>
      <c r="B345" s="132"/>
      <c r="C345" s="132"/>
      <c r="D345" s="132"/>
      <c r="E345" s="132"/>
      <c r="F345" s="132"/>
      <c r="G345" s="132"/>
      <c r="H345" s="132"/>
      <c r="I345" s="132"/>
      <c r="J345" s="132"/>
      <c r="K345" s="132"/>
      <c r="L345" s="132"/>
      <c r="M345" s="132"/>
      <c r="N345" s="132"/>
      <c r="O345" s="132"/>
      <c r="P345" s="132"/>
      <c r="Q345" s="132"/>
      <c r="R345" s="132"/>
      <c r="S345" s="132"/>
      <c r="T345" s="132"/>
    </row>
    <row r="346" spans="1:20" x14ac:dyDescent="0.2">
      <c r="A346" s="162"/>
      <c r="B346" s="132"/>
      <c r="C346" s="132"/>
      <c r="D346" s="132"/>
      <c r="E346" s="132"/>
      <c r="F346" s="132"/>
      <c r="G346" s="132"/>
      <c r="H346" s="132"/>
      <c r="I346" s="132"/>
      <c r="J346" s="132"/>
      <c r="K346" s="132"/>
      <c r="L346" s="132"/>
      <c r="M346" s="132"/>
      <c r="N346" s="132"/>
      <c r="O346" s="132"/>
      <c r="P346" s="132"/>
      <c r="Q346" s="132"/>
      <c r="R346" s="132"/>
      <c r="S346" s="132"/>
      <c r="T346" s="132"/>
    </row>
    <row r="347" spans="1:20" x14ac:dyDescent="0.2">
      <c r="A347" s="161"/>
      <c r="B347" s="131"/>
      <c r="C347" s="131"/>
      <c r="D347" s="131"/>
      <c r="E347" s="131"/>
      <c r="F347" s="131"/>
      <c r="G347" s="131"/>
      <c r="H347" s="131"/>
      <c r="I347" s="131"/>
      <c r="J347" s="131"/>
      <c r="K347" s="131"/>
      <c r="L347" s="131"/>
      <c r="M347" s="131"/>
      <c r="N347" s="131"/>
      <c r="O347" s="131"/>
      <c r="P347" s="131"/>
      <c r="Q347" s="131"/>
      <c r="R347" s="131">
        <f>SUM(R349:R353)</f>
        <v>5.5</v>
      </c>
      <c r="S347" s="131"/>
      <c r="T347" s="131"/>
    </row>
    <row r="348" spans="1:20" ht="17.25" x14ac:dyDescent="0.2">
      <c r="A348" s="159">
        <v>135</v>
      </c>
      <c r="B348" s="129">
        <v>210360</v>
      </c>
      <c r="C348" s="132"/>
      <c r="D348" s="235"/>
      <c r="E348" s="235"/>
      <c r="F348" s="235"/>
      <c r="G348" s="235"/>
      <c r="H348" s="132"/>
      <c r="I348" s="132"/>
      <c r="J348" s="132"/>
      <c r="K348" s="132"/>
      <c r="L348" s="132"/>
      <c r="M348" s="130" t="s">
        <v>114</v>
      </c>
      <c r="N348" s="129">
        <v>26</v>
      </c>
      <c r="O348" s="130" t="s">
        <v>114</v>
      </c>
      <c r="P348" s="129">
        <v>24</v>
      </c>
      <c r="Q348" s="131"/>
      <c r="R348" s="12" t="s">
        <v>43</v>
      </c>
      <c r="S348" s="12" t="s">
        <v>41</v>
      </c>
      <c r="T348" s="12" t="s">
        <v>42</v>
      </c>
    </row>
    <row r="349" spans="1:20" ht="16.5" x14ac:dyDescent="0.2">
      <c r="A349" s="159">
        <v>136</v>
      </c>
      <c r="B349" s="129">
        <v>220880</v>
      </c>
      <c r="C349" s="132"/>
      <c r="D349" s="235"/>
      <c r="E349" s="235"/>
      <c r="F349" s="235"/>
      <c r="G349" s="235"/>
      <c r="H349" s="132"/>
      <c r="I349" s="132"/>
      <c r="J349" s="132"/>
      <c r="K349" s="132"/>
      <c r="L349" s="132"/>
      <c r="M349" s="130" t="s">
        <v>78</v>
      </c>
      <c r="N349" s="14">
        <f>SUMIFS(章节关卡!$BD$5:$BD$304,章节关卡!$BB$5:$BB$304,"="&amp;经验计算!N348)</f>
        <v>13000</v>
      </c>
      <c r="O349" s="130" t="s">
        <v>119</v>
      </c>
      <c r="P349" s="14">
        <f>SUMIFS(章节关卡!$BN$5:$BN$304,章节关卡!$BL$5:$BL$304,"="&amp;经验计算!P348)</f>
        <v>244000</v>
      </c>
      <c r="Q349" s="132"/>
      <c r="R349" s="129">
        <v>1</v>
      </c>
      <c r="S349" s="21">
        <f>R349/$R$122</f>
        <v>0.18181818181818182</v>
      </c>
      <c r="T349" s="129">
        <f>INT($N$357*S349/5)*5</f>
        <v>210360</v>
      </c>
    </row>
    <row r="350" spans="1:20" ht="16.5" x14ac:dyDescent="0.2">
      <c r="A350" s="159">
        <v>137</v>
      </c>
      <c r="B350" s="129">
        <v>231400</v>
      </c>
      <c r="C350" s="132"/>
      <c r="D350" s="235"/>
      <c r="E350" s="235"/>
      <c r="F350" s="235"/>
      <c r="G350" s="235"/>
      <c r="H350" s="132"/>
      <c r="I350" s="132"/>
      <c r="J350" s="132"/>
      <c r="K350" s="132"/>
      <c r="L350" s="132"/>
      <c r="M350" s="130" t="s">
        <v>115</v>
      </c>
      <c r="N350" s="14">
        <f>SUMIFS(芦花古楼!$E$5:$E$104,芦花古楼!$A$5:$A$104,"&gt;"&amp;经验计算!O350,芦花古楼!$A$5:$A$104,"&lt;="&amp;经验计算!P350)</f>
        <v>0</v>
      </c>
      <c r="O350" s="129">
        <v>100</v>
      </c>
      <c r="P350" s="129">
        <v>100</v>
      </c>
      <c r="Q350" s="132"/>
      <c r="R350" s="129">
        <v>1.05</v>
      </c>
      <c r="S350" s="21">
        <f t="shared" ref="S350:S353" si="61">R350/$R$122</f>
        <v>0.19090909090909092</v>
      </c>
      <c r="T350" s="129">
        <f t="shared" ref="T350:T353" si="62">INT($N$357*S350/5)*5</f>
        <v>220880</v>
      </c>
    </row>
    <row r="351" spans="1:20" ht="16.5" x14ac:dyDescent="0.2">
      <c r="A351" s="159">
        <v>138</v>
      </c>
      <c r="B351" s="129">
        <v>241915</v>
      </c>
      <c r="C351" s="132"/>
      <c r="D351" s="235"/>
      <c r="E351" s="235"/>
      <c r="F351" s="235"/>
      <c r="G351" s="235"/>
      <c r="H351" s="132"/>
      <c r="I351" s="132"/>
      <c r="J351" s="132"/>
      <c r="K351" s="132"/>
      <c r="L351" s="132"/>
      <c r="M351" s="130" t="s">
        <v>117</v>
      </c>
      <c r="N351" s="14">
        <f>SUMIFS(芦花古楼!$P$5:$P$104,芦花古楼!$L$5:$L$104,"&gt;"&amp;经验计算!O351,芦花古楼!$L$5:$L$104,"&lt;="&amp;经验计算!P351)</f>
        <v>0</v>
      </c>
      <c r="O351" s="129">
        <v>100</v>
      </c>
      <c r="P351" s="129">
        <v>100</v>
      </c>
      <c r="Q351" s="132"/>
      <c r="R351" s="129">
        <v>1.1000000000000001</v>
      </c>
      <c r="S351" s="21">
        <f t="shared" si="61"/>
        <v>0.2</v>
      </c>
      <c r="T351" s="129">
        <f t="shared" si="62"/>
        <v>231400</v>
      </c>
    </row>
    <row r="352" spans="1:20" ht="16.5" x14ac:dyDescent="0.2">
      <c r="A352" s="159">
        <v>139</v>
      </c>
      <c r="B352" s="129">
        <v>252435</v>
      </c>
      <c r="C352" s="132"/>
      <c r="D352" s="235"/>
      <c r="E352" s="235"/>
      <c r="F352" s="235"/>
      <c r="G352" s="235"/>
      <c r="H352" s="132"/>
      <c r="I352" s="132"/>
      <c r="J352" s="132"/>
      <c r="K352" s="132"/>
      <c r="L352" s="132"/>
      <c r="M352" s="130" t="s">
        <v>116</v>
      </c>
      <c r="N352" s="14">
        <f>SUMIFS(芦花古楼!$AA$5:$AA$104,芦花古楼!$W$5:$W$104,"&gt;"&amp;经验计算!O352,芦花古楼!$W$5:$W$104,"&lt;="&amp;经验计算!P352)</f>
        <v>0</v>
      </c>
      <c r="O352" s="129">
        <v>100</v>
      </c>
      <c r="P352" s="129">
        <v>100</v>
      </c>
      <c r="Q352" s="132"/>
      <c r="R352" s="129">
        <v>1.1499999999999999</v>
      </c>
      <c r="S352" s="21">
        <f t="shared" si="61"/>
        <v>0.20909090909090908</v>
      </c>
      <c r="T352" s="129">
        <f t="shared" si="62"/>
        <v>241915</v>
      </c>
    </row>
    <row r="353" spans="1:20" ht="16.5" x14ac:dyDescent="0.2">
      <c r="A353" s="161"/>
      <c r="B353" s="131"/>
      <c r="C353" s="132"/>
      <c r="D353" s="235"/>
      <c r="E353" s="235"/>
      <c r="F353" s="235"/>
      <c r="G353" s="235"/>
      <c r="H353" s="132"/>
      <c r="I353" s="132"/>
      <c r="J353" s="132"/>
      <c r="K353" s="132"/>
      <c r="L353" s="132"/>
      <c r="M353" s="130" t="s">
        <v>118</v>
      </c>
      <c r="N353" s="14">
        <f>SUMIFS(芦花古楼!$AL$5:$AL$104,芦花古楼!$AH$5:$AH$104,"&gt;"&amp;经验计算!O353,芦花古楼!$AH$5:$AH$104,"&lt;="&amp;经验计算!P353)</f>
        <v>0</v>
      </c>
      <c r="O353" s="129">
        <v>100</v>
      </c>
      <c r="P353" s="129">
        <v>100</v>
      </c>
      <c r="Q353" s="132"/>
      <c r="R353" s="129">
        <v>1.2</v>
      </c>
      <c r="S353" s="21">
        <f t="shared" si="61"/>
        <v>0.21818181818181817</v>
      </c>
      <c r="T353" s="129">
        <f t="shared" si="62"/>
        <v>252435</v>
      </c>
    </row>
    <row r="354" spans="1:20" ht="16.5" x14ac:dyDescent="0.2">
      <c r="A354" s="161"/>
      <c r="B354" s="131"/>
      <c r="C354" s="132"/>
      <c r="D354" s="235"/>
      <c r="E354" s="235"/>
      <c r="F354" s="235"/>
      <c r="G354" s="235"/>
      <c r="H354" s="132"/>
      <c r="I354" s="132"/>
      <c r="J354" s="132"/>
      <c r="K354" s="132"/>
      <c r="L354" s="132"/>
      <c r="M354" s="130" t="s">
        <v>47</v>
      </c>
      <c r="N354" s="14"/>
      <c r="O354" s="14">
        <f>日常任务!D295*经验计算!N354</f>
        <v>0</v>
      </c>
      <c r="P354" s="132"/>
      <c r="Q354" s="132"/>
      <c r="R354" s="131"/>
      <c r="S354" s="131"/>
      <c r="T354" s="131"/>
    </row>
    <row r="355" spans="1:20" ht="16.5" x14ac:dyDescent="0.2">
      <c r="A355" s="161"/>
      <c r="B355" s="131"/>
      <c r="C355" s="132"/>
      <c r="D355" s="235"/>
      <c r="E355" s="235"/>
      <c r="F355" s="235"/>
      <c r="G355" s="235"/>
      <c r="H355" s="132"/>
      <c r="I355" s="132"/>
      <c r="J355" s="132"/>
      <c r="K355" s="132"/>
      <c r="L355" s="132"/>
      <c r="M355" s="130" t="s">
        <v>44</v>
      </c>
      <c r="N355" s="14">
        <f>INDEX(节奏总表!$N$5:$N$35,经验计算!N348)*60</f>
        <v>15000</v>
      </c>
      <c r="O355" s="14">
        <f>INDEX(章节关卡!$G$6:$G$35,经验计算!N348-1)*经验计算!N355</f>
        <v>900000</v>
      </c>
      <c r="P355" s="132"/>
      <c r="Q355" s="132"/>
      <c r="R355" s="131"/>
      <c r="S355" s="131"/>
      <c r="T355" s="131"/>
    </row>
    <row r="356" spans="1:20" ht="16.5" x14ac:dyDescent="0.2">
      <c r="A356" s="161"/>
      <c r="B356" s="131"/>
      <c r="C356" s="132"/>
      <c r="D356" s="235"/>
      <c r="E356" s="235"/>
      <c r="F356" s="235"/>
      <c r="G356" s="235"/>
      <c r="H356" s="132"/>
      <c r="I356" s="132"/>
      <c r="J356" s="132"/>
      <c r="K356" s="132"/>
      <c r="L356" s="132"/>
      <c r="M356" s="130" t="s">
        <v>40</v>
      </c>
      <c r="N356" s="19">
        <v>0</v>
      </c>
      <c r="O356" s="14">
        <f>N357*N356</f>
        <v>0</v>
      </c>
      <c r="P356" s="132"/>
      <c r="Q356" s="132"/>
      <c r="R356" s="131"/>
      <c r="S356" s="131"/>
      <c r="T356" s="131"/>
    </row>
    <row r="357" spans="1:20" ht="16.5" x14ac:dyDescent="0.2">
      <c r="A357" s="161"/>
      <c r="B357" s="131"/>
      <c r="C357" s="132"/>
      <c r="D357" s="235"/>
      <c r="E357" s="235"/>
      <c r="F357" s="235"/>
      <c r="G357" s="235"/>
      <c r="H357" s="132"/>
      <c r="I357" s="132"/>
      <c r="J357" s="132"/>
      <c r="K357" s="132"/>
      <c r="L357" s="132"/>
      <c r="M357" s="130" t="s">
        <v>39</v>
      </c>
      <c r="N357" s="14">
        <f>(N349+N350+N352+N351+N353+O354+O355+P349)/(1-N356)</f>
        <v>1157000</v>
      </c>
      <c r="O357" s="131"/>
      <c r="P357" s="132"/>
      <c r="Q357" s="132"/>
      <c r="R357" s="131"/>
      <c r="S357" s="131"/>
      <c r="T357" s="131"/>
    </row>
    <row r="358" spans="1:20" x14ac:dyDescent="0.2">
      <c r="A358" s="161"/>
      <c r="B358" s="131"/>
      <c r="C358" s="132"/>
      <c r="D358" s="132"/>
      <c r="E358" s="132"/>
      <c r="F358" s="132"/>
      <c r="G358" s="132"/>
      <c r="H358" s="132"/>
      <c r="I358" s="132"/>
      <c r="J358" s="132"/>
      <c r="K358" s="132"/>
      <c r="L358" s="132"/>
      <c r="M358" s="132"/>
      <c r="N358" s="132"/>
      <c r="O358" s="132"/>
      <c r="P358" s="132"/>
      <c r="Q358" s="132"/>
      <c r="R358" s="131"/>
      <c r="S358" s="131"/>
      <c r="T358" s="131"/>
    </row>
    <row r="359" spans="1:20" x14ac:dyDescent="0.2">
      <c r="A359" s="162"/>
      <c r="B359" s="132"/>
      <c r="C359" s="132"/>
      <c r="D359" s="132"/>
      <c r="E359" s="132"/>
      <c r="F359" s="132"/>
      <c r="G359" s="132"/>
      <c r="H359" s="132"/>
      <c r="I359" s="132"/>
      <c r="J359" s="132"/>
      <c r="K359" s="132"/>
      <c r="L359" s="132"/>
      <c r="M359" s="132"/>
      <c r="N359" s="132"/>
      <c r="O359" s="132"/>
      <c r="P359" s="132"/>
      <c r="Q359" s="132"/>
      <c r="R359" s="132"/>
      <c r="S359" s="132"/>
      <c r="T359" s="132"/>
    </row>
    <row r="360" spans="1:20" x14ac:dyDescent="0.2">
      <c r="A360" s="162"/>
      <c r="B360" s="132"/>
      <c r="C360" s="132"/>
      <c r="D360" s="132"/>
      <c r="E360" s="132"/>
      <c r="F360" s="132"/>
      <c r="G360" s="132"/>
      <c r="H360" s="132"/>
      <c r="I360" s="132"/>
      <c r="J360" s="132"/>
      <c r="K360" s="132"/>
      <c r="L360" s="132"/>
      <c r="M360" s="132"/>
      <c r="N360" s="132"/>
      <c r="O360" s="132"/>
      <c r="P360" s="132"/>
      <c r="Q360" s="132"/>
      <c r="R360" s="132"/>
      <c r="S360" s="132"/>
      <c r="T360" s="132"/>
    </row>
    <row r="361" spans="1:20" x14ac:dyDescent="0.2">
      <c r="A361" s="162"/>
      <c r="B361" s="131"/>
      <c r="C361" s="131"/>
      <c r="D361" s="131"/>
      <c r="E361" s="131"/>
      <c r="F361" s="131"/>
      <c r="G361" s="131"/>
      <c r="H361" s="131"/>
      <c r="I361" s="131"/>
      <c r="J361" s="131"/>
      <c r="K361" s="131"/>
      <c r="L361" s="131"/>
      <c r="M361" s="131"/>
      <c r="N361" s="131"/>
      <c r="O361" s="131"/>
      <c r="P361" s="131"/>
      <c r="Q361" s="131"/>
      <c r="R361" s="131">
        <f>SUM(R363:R367)</f>
        <v>5.5</v>
      </c>
      <c r="S361" s="131"/>
      <c r="T361" s="131"/>
    </row>
    <row r="362" spans="1:20" ht="17.25" x14ac:dyDescent="0.2">
      <c r="A362" s="159">
        <v>140</v>
      </c>
      <c r="B362" s="129">
        <v>272545</v>
      </c>
      <c r="C362" s="132"/>
      <c r="D362" s="235"/>
      <c r="E362" s="235"/>
      <c r="F362" s="235"/>
      <c r="G362" s="235"/>
      <c r="H362" s="132"/>
      <c r="I362" s="132"/>
      <c r="J362" s="132"/>
      <c r="K362" s="132"/>
      <c r="L362" s="132"/>
      <c r="M362" s="130" t="s">
        <v>114</v>
      </c>
      <c r="N362" s="129">
        <v>27</v>
      </c>
      <c r="O362" s="130" t="s">
        <v>114</v>
      </c>
      <c r="P362" s="129">
        <v>25</v>
      </c>
      <c r="Q362" s="131"/>
      <c r="R362" s="12" t="s">
        <v>43</v>
      </c>
      <c r="S362" s="12" t="s">
        <v>41</v>
      </c>
      <c r="T362" s="12" t="s">
        <v>42</v>
      </c>
    </row>
    <row r="363" spans="1:20" ht="16.5" x14ac:dyDescent="0.2">
      <c r="A363" s="159">
        <v>141</v>
      </c>
      <c r="B363" s="129">
        <v>286170</v>
      </c>
      <c r="C363" s="132"/>
      <c r="D363" s="235"/>
      <c r="E363" s="235"/>
      <c r="F363" s="235"/>
      <c r="G363" s="235"/>
      <c r="H363" s="132"/>
      <c r="I363" s="132"/>
      <c r="J363" s="132"/>
      <c r="K363" s="132"/>
      <c r="L363" s="132"/>
      <c r="M363" s="130" t="s">
        <v>78</v>
      </c>
      <c r="N363" s="14">
        <f>SUMIFS(章节关卡!$BD$5:$BD$304,章节关卡!$BB$5:$BB$304,"="&amp;经验计算!N362)</f>
        <v>14000</v>
      </c>
      <c r="O363" s="130" t="s">
        <v>119</v>
      </c>
      <c r="P363" s="14">
        <f>SUMIFS(章节关卡!$BN$5:$BN$304,章节关卡!$BL$5:$BL$304,"="&amp;经验计算!P362)</f>
        <v>315000</v>
      </c>
      <c r="Q363" s="132"/>
      <c r="R363" s="129">
        <v>1</v>
      </c>
      <c r="S363" s="21">
        <f>R363/$R$122</f>
        <v>0.18181818181818182</v>
      </c>
      <c r="T363" s="129">
        <f>INT($N$371*S363/5)*5</f>
        <v>272545</v>
      </c>
    </row>
    <row r="364" spans="1:20" ht="16.5" x14ac:dyDescent="0.2">
      <c r="A364" s="159">
        <v>142</v>
      </c>
      <c r="B364" s="129">
        <v>299800</v>
      </c>
      <c r="C364" s="132"/>
      <c r="D364" s="235"/>
      <c r="E364" s="235"/>
      <c r="F364" s="235"/>
      <c r="G364" s="235"/>
      <c r="H364" s="132"/>
      <c r="I364" s="132"/>
      <c r="J364" s="132"/>
      <c r="K364" s="132"/>
      <c r="L364" s="132"/>
      <c r="M364" s="130" t="s">
        <v>115</v>
      </c>
      <c r="N364" s="14">
        <f>SUMIFS(芦花古楼!$E$5:$E$104,芦花古楼!$A$5:$A$104,"&gt;"&amp;经验计算!O364,芦花古楼!$A$5:$A$104,"&lt;="&amp;经验计算!P364)</f>
        <v>0</v>
      </c>
      <c r="O364" s="129">
        <v>100</v>
      </c>
      <c r="P364" s="129">
        <v>100</v>
      </c>
      <c r="Q364" s="132"/>
      <c r="R364" s="129">
        <v>1.05</v>
      </c>
      <c r="S364" s="21">
        <f t="shared" ref="S364:S367" si="63">R364/$R$122</f>
        <v>0.19090909090909092</v>
      </c>
      <c r="T364" s="129">
        <f t="shared" ref="T364:T367" si="64">INT($N$371*S364/5)*5</f>
        <v>286170</v>
      </c>
    </row>
    <row r="365" spans="1:20" ht="16.5" x14ac:dyDescent="0.2">
      <c r="A365" s="159">
        <v>143</v>
      </c>
      <c r="B365" s="129">
        <v>313425</v>
      </c>
      <c r="C365" s="132"/>
      <c r="D365" s="235"/>
      <c r="E365" s="235"/>
      <c r="F365" s="235"/>
      <c r="G365" s="235"/>
      <c r="H365" s="132"/>
      <c r="I365" s="132"/>
      <c r="J365" s="132"/>
      <c r="K365" s="132"/>
      <c r="L365" s="132"/>
      <c r="M365" s="130" t="s">
        <v>117</v>
      </c>
      <c r="N365" s="14">
        <f>SUMIFS(芦花古楼!$P$5:$P$104,芦花古楼!$L$5:$L$104,"&gt;"&amp;经验计算!O365,芦花古楼!$L$5:$L$104,"&lt;="&amp;经验计算!P365)</f>
        <v>0</v>
      </c>
      <c r="O365" s="129">
        <v>100</v>
      </c>
      <c r="P365" s="129">
        <v>100</v>
      </c>
      <c r="Q365" s="132"/>
      <c r="R365" s="129">
        <v>1.1000000000000001</v>
      </c>
      <c r="S365" s="21">
        <f t="shared" si="63"/>
        <v>0.2</v>
      </c>
      <c r="T365" s="129">
        <f t="shared" si="64"/>
        <v>299800</v>
      </c>
    </row>
    <row r="366" spans="1:20" ht="16.5" x14ac:dyDescent="0.2">
      <c r="A366" s="159">
        <v>144</v>
      </c>
      <c r="B366" s="129">
        <v>327050</v>
      </c>
      <c r="C366" s="132"/>
      <c r="D366" s="235"/>
      <c r="E366" s="235"/>
      <c r="F366" s="235"/>
      <c r="G366" s="235"/>
      <c r="H366" s="132"/>
      <c r="I366" s="132"/>
      <c r="J366" s="132"/>
      <c r="K366" s="132"/>
      <c r="L366" s="132"/>
      <c r="M366" s="130" t="s">
        <v>116</v>
      </c>
      <c r="N366" s="14">
        <f>SUMIFS(芦花古楼!$AA$5:$AA$104,芦花古楼!$W$5:$W$104,"&gt;"&amp;经验计算!O366,芦花古楼!$W$5:$W$104,"&lt;="&amp;经验计算!P366)</f>
        <v>0</v>
      </c>
      <c r="O366" s="129">
        <v>100</v>
      </c>
      <c r="P366" s="129">
        <v>100</v>
      </c>
      <c r="Q366" s="132"/>
      <c r="R366" s="129">
        <v>1.1499999999999999</v>
      </c>
      <c r="S366" s="21">
        <f t="shared" si="63"/>
        <v>0.20909090909090908</v>
      </c>
      <c r="T366" s="129">
        <f t="shared" si="64"/>
        <v>313425</v>
      </c>
    </row>
    <row r="367" spans="1:20" ht="16.5" x14ac:dyDescent="0.2">
      <c r="B367" s="131"/>
      <c r="C367" s="132"/>
      <c r="D367" s="235"/>
      <c r="E367" s="235"/>
      <c r="F367" s="235"/>
      <c r="G367" s="235"/>
      <c r="H367" s="132"/>
      <c r="I367" s="132"/>
      <c r="J367" s="132"/>
      <c r="K367" s="132"/>
      <c r="L367" s="132"/>
      <c r="M367" s="130" t="s">
        <v>118</v>
      </c>
      <c r="N367" s="14">
        <f>SUMIFS(芦花古楼!$AL$5:$AL$104,芦花古楼!$AH$5:$AH$104,"&gt;"&amp;经验计算!O367,芦花古楼!$AH$5:$AH$104,"&lt;="&amp;经验计算!P367)</f>
        <v>0</v>
      </c>
      <c r="O367" s="129">
        <v>100</v>
      </c>
      <c r="P367" s="129">
        <v>100</v>
      </c>
      <c r="Q367" s="132"/>
      <c r="R367" s="129">
        <v>1.2</v>
      </c>
      <c r="S367" s="21">
        <f t="shared" si="63"/>
        <v>0.21818181818181817</v>
      </c>
      <c r="T367" s="129">
        <f t="shared" si="64"/>
        <v>327050</v>
      </c>
    </row>
    <row r="368" spans="1:20" ht="16.5" x14ac:dyDescent="0.2">
      <c r="A368" s="161"/>
      <c r="B368" s="131"/>
      <c r="C368" s="132"/>
      <c r="D368" s="235"/>
      <c r="E368" s="235"/>
      <c r="F368" s="235"/>
      <c r="G368" s="235"/>
      <c r="H368" s="132"/>
      <c r="I368" s="132"/>
      <c r="J368" s="132"/>
      <c r="K368" s="132"/>
      <c r="L368" s="132"/>
      <c r="M368" s="130" t="s">
        <v>47</v>
      </c>
      <c r="N368" s="14"/>
      <c r="O368" s="14">
        <f>日常任务!D309*经验计算!N368</f>
        <v>0</v>
      </c>
      <c r="P368" s="132"/>
      <c r="Q368" s="132"/>
      <c r="R368" s="131"/>
      <c r="S368" s="131"/>
      <c r="T368" s="131"/>
    </row>
    <row r="369" spans="1:20" ht="16.5" x14ac:dyDescent="0.2">
      <c r="A369" s="161"/>
      <c r="B369" s="131"/>
      <c r="C369" s="132"/>
      <c r="D369" s="235"/>
      <c r="E369" s="235"/>
      <c r="F369" s="235"/>
      <c r="G369" s="235"/>
      <c r="H369" s="132"/>
      <c r="I369" s="132"/>
      <c r="J369" s="132"/>
      <c r="K369" s="132"/>
      <c r="L369" s="132"/>
      <c r="M369" s="130" t="s">
        <v>44</v>
      </c>
      <c r="N369" s="14">
        <f>INDEX(节奏总表!$N$5:$N$35,经验计算!N362)*60</f>
        <v>18000</v>
      </c>
      <c r="O369" s="14">
        <f>INDEX(章节关卡!$G$6:$G$35,经验计算!N362-1)*经验计算!N369</f>
        <v>1170000</v>
      </c>
      <c r="P369" s="132"/>
      <c r="Q369" s="132"/>
      <c r="R369" s="131"/>
      <c r="S369" s="131"/>
      <c r="T369" s="131"/>
    </row>
    <row r="370" spans="1:20" ht="16.5" x14ac:dyDescent="0.2">
      <c r="A370" s="161"/>
      <c r="B370" s="131"/>
      <c r="C370" s="132"/>
      <c r="D370" s="235"/>
      <c r="E370" s="235"/>
      <c r="F370" s="235"/>
      <c r="G370" s="235"/>
      <c r="H370" s="132"/>
      <c r="I370" s="132"/>
      <c r="J370" s="132"/>
      <c r="K370" s="132"/>
      <c r="L370" s="132"/>
      <c r="M370" s="130" t="s">
        <v>40</v>
      </c>
      <c r="N370" s="19">
        <v>0</v>
      </c>
      <c r="O370" s="14">
        <f>N371*N370</f>
        <v>0</v>
      </c>
      <c r="P370" s="132"/>
      <c r="Q370" s="132"/>
      <c r="R370" s="131"/>
      <c r="S370" s="131"/>
      <c r="T370" s="131"/>
    </row>
    <row r="371" spans="1:20" ht="16.5" x14ac:dyDescent="0.2">
      <c r="A371" s="161"/>
      <c r="B371" s="131"/>
      <c r="C371" s="132"/>
      <c r="D371" s="235"/>
      <c r="E371" s="235"/>
      <c r="F371" s="235"/>
      <c r="G371" s="235"/>
      <c r="H371" s="132"/>
      <c r="I371" s="132"/>
      <c r="J371" s="132"/>
      <c r="K371" s="132"/>
      <c r="L371" s="132"/>
      <c r="M371" s="130" t="s">
        <v>39</v>
      </c>
      <c r="N371" s="14">
        <f>(N363+N364+N366+N365+N367+O368+O369+P363)/(1-N370)</f>
        <v>1499000</v>
      </c>
      <c r="O371" s="131"/>
      <c r="P371" s="132"/>
      <c r="Q371" s="132"/>
      <c r="R371" s="131"/>
      <c r="S371" s="131"/>
      <c r="T371" s="131"/>
    </row>
    <row r="372" spans="1:20" x14ac:dyDescent="0.2">
      <c r="A372" s="161"/>
      <c r="B372" s="131"/>
      <c r="C372" s="132"/>
      <c r="D372" s="132"/>
      <c r="E372" s="132"/>
      <c r="F372" s="132"/>
      <c r="G372" s="132"/>
      <c r="H372" s="132"/>
      <c r="I372" s="132"/>
      <c r="J372" s="132"/>
      <c r="K372" s="132"/>
      <c r="L372" s="132"/>
      <c r="M372" s="132"/>
      <c r="N372" s="132"/>
      <c r="O372" s="132"/>
      <c r="P372" s="132"/>
      <c r="Q372" s="132"/>
      <c r="R372" s="131"/>
      <c r="S372" s="131"/>
      <c r="T372" s="131"/>
    </row>
    <row r="373" spans="1:20" x14ac:dyDescent="0.2">
      <c r="A373" s="161"/>
    </row>
    <row r="374" spans="1:20" x14ac:dyDescent="0.2">
      <c r="A374" s="162"/>
      <c r="B374" s="132"/>
      <c r="C374" s="132"/>
      <c r="D374" s="132"/>
      <c r="E374" s="132"/>
      <c r="F374" s="132"/>
      <c r="G374" s="132"/>
      <c r="H374" s="132"/>
      <c r="I374" s="132"/>
      <c r="J374" s="132"/>
      <c r="K374" s="132"/>
      <c r="L374" s="132"/>
      <c r="M374" s="132"/>
      <c r="N374" s="132"/>
      <c r="O374" s="132"/>
      <c r="P374" s="132"/>
      <c r="Q374" s="132"/>
      <c r="R374" s="132"/>
      <c r="S374" s="132"/>
      <c r="T374" s="132"/>
    </row>
    <row r="375" spans="1:20" x14ac:dyDescent="0.2">
      <c r="A375" s="162"/>
      <c r="B375" s="132"/>
      <c r="C375" s="132"/>
      <c r="D375" s="132"/>
      <c r="E375" s="132"/>
      <c r="F375" s="132"/>
      <c r="G375" s="132"/>
      <c r="H375" s="132"/>
      <c r="I375" s="132"/>
      <c r="J375" s="132"/>
      <c r="K375" s="132"/>
      <c r="L375" s="132"/>
      <c r="M375" s="132"/>
      <c r="N375" s="132"/>
      <c r="O375" s="132"/>
      <c r="P375" s="132"/>
      <c r="Q375" s="132"/>
      <c r="R375" s="132"/>
      <c r="S375" s="132"/>
      <c r="T375" s="132"/>
    </row>
    <row r="376" spans="1:20" x14ac:dyDescent="0.2">
      <c r="A376" s="162"/>
      <c r="B376" s="131"/>
      <c r="C376" s="131"/>
      <c r="D376" s="131"/>
      <c r="E376" s="131"/>
      <c r="F376" s="131"/>
      <c r="G376" s="131"/>
      <c r="H376" s="131"/>
      <c r="I376" s="131"/>
      <c r="J376" s="131"/>
      <c r="K376" s="131"/>
      <c r="L376" s="131"/>
      <c r="M376" s="131"/>
      <c r="N376" s="131"/>
      <c r="O376" s="131"/>
      <c r="P376" s="131"/>
      <c r="Q376" s="131"/>
      <c r="R376" s="131">
        <f>SUM(R378:R382)</f>
        <v>5.5</v>
      </c>
      <c r="S376" s="131"/>
      <c r="T376" s="131"/>
    </row>
    <row r="377" spans="1:20" ht="17.25" x14ac:dyDescent="0.2">
      <c r="A377" s="159">
        <v>145</v>
      </c>
      <c r="B377" s="129">
        <v>331905</v>
      </c>
      <c r="C377" s="132"/>
      <c r="D377" s="235"/>
      <c r="E377" s="235"/>
      <c r="F377" s="235"/>
      <c r="G377" s="235"/>
      <c r="H377" s="132"/>
      <c r="I377" s="132"/>
      <c r="J377" s="132"/>
      <c r="K377" s="132"/>
      <c r="L377" s="132"/>
      <c r="M377" s="130" t="s">
        <v>114</v>
      </c>
      <c r="N377" s="129">
        <v>28</v>
      </c>
      <c r="O377" s="130" t="s">
        <v>114</v>
      </c>
      <c r="P377" s="129">
        <v>26</v>
      </c>
      <c r="Q377" s="131"/>
      <c r="R377" s="12" t="s">
        <v>43</v>
      </c>
      <c r="S377" s="12" t="s">
        <v>41</v>
      </c>
      <c r="T377" s="12" t="s">
        <v>42</v>
      </c>
    </row>
    <row r="378" spans="1:20" ht="16.5" x14ac:dyDescent="0.2">
      <c r="A378" s="159">
        <v>146</v>
      </c>
      <c r="B378" s="129">
        <v>348500</v>
      </c>
      <c r="C378" s="132"/>
      <c r="D378" s="235"/>
      <c r="E378" s="235"/>
      <c r="F378" s="235"/>
      <c r="G378" s="235"/>
      <c r="H378" s="132"/>
      <c r="I378" s="132"/>
      <c r="J378" s="132"/>
      <c r="K378" s="132"/>
      <c r="L378" s="132"/>
      <c r="M378" s="130" t="s">
        <v>78</v>
      </c>
      <c r="N378" s="14">
        <f>SUMIFS(章节关卡!$BD$5:$BD$304,章节关卡!$BB$5:$BB$304,"="&amp;经验计算!N377)</f>
        <v>15000</v>
      </c>
      <c r="O378" s="130" t="s">
        <v>119</v>
      </c>
      <c r="P378" s="14">
        <f>SUMIFS(章节关卡!$BN$5:$BN$304,章节关卡!$BL$5:$BL$304,"="&amp;经验计算!P377)</f>
        <v>382500</v>
      </c>
      <c r="Q378" s="132"/>
      <c r="R378" s="129">
        <v>1</v>
      </c>
      <c r="S378" s="21">
        <f>R378/$R$122</f>
        <v>0.18181818181818182</v>
      </c>
      <c r="T378" s="129">
        <f>INT($N$386*S378/5)*5</f>
        <v>331905</v>
      </c>
    </row>
    <row r="379" spans="1:20" ht="16.5" x14ac:dyDescent="0.2">
      <c r="A379" s="159">
        <v>147</v>
      </c>
      <c r="B379" s="129">
        <v>365100</v>
      </c>
      <c r="C379" s="132"/>
      <c r="D379" s="235"/>
      <c r="E379" s="235"/>
      <c r="F379" s="235"/>
      <c r="G379" s="235"/>
      <c r="H379" s="132"/>
      <c r="I379" s="132"/>
      <c r="J379" s="132"/>
      <c r="K379" s="132"/>
      <c r="L379" s="132"/>
      <c r="M379" s="130" t="s">
        <v>115</v>
      </c>
      <c r="N379" s="14">
        <f>SUMIFS(芦花古楼!$E$5:$E$104,芦花古楼!$A$5:$A$104,"&gt;"&amp;经验计算!O379,芦花古楼!$A$5:$A$104,"&lt;="&amp;经验计算!P379)</f>
        <v>0</v>
      </c>
      <c r="O379" s="129">
        <v>100</v>
      </c>
      <c r="P379" s="129">
        <v>100</v>
      </c>
      <c r="Q379" s="132"/>
      <c r="R379" s="129">
        <v>1.05</v>
      </c>
      <c r="S379" s="21">
        <f t="shared" ref="S379:S382" si="65">R379/$R$122</f>
        <v>0.19090909090909092</v>
      </c>
      <c r="T379" s="129">
        <f t="shared" ref="T379:T382" si="66">INT($N$386*S379/5)*5</f>
        <v>348500</v>
      </c>
    </row>
    <row r="380" spans="1:20" ht="16.5" x14ac:dyDescent="0.2">
      <c r="A380" s="159">
        <v>148</v>
      </c>
      <c r="B380" s="129">
        <v>381695</v>
      </c>
      <c r="C380" s="132"/>
      <c r="D380" s="235"/>
      <c r="E380" s="235"/>
      <c r="F380" s="235"/>
      <c r="G380" s="235"/>
      <c r="H380" s="132"/>
      <c r="I380" s="132"/>
      <c r="J380" s="132"/>
      <c r="K380" s="132"/>
      <c r="L380" s="132"/>
      <c r="M380" s="130" t="s">
        <v>117</v>
      </c>
      <c r="N380" s="14">
        <f>SUMIFS(芦花古楼!$P$5:$P$104,芦花古楼!$L$5:$L$104,"&gt;"&amp;经验计算!O380,芦花古楼!$L$5:$L$104,"&lt;="&amp;经验计算!P380)</f>
        <v>0</v>
      </c>
      <c r="O380" s="129">
        <v>100</v>
      </c>
      <c r="P380" s="129">
        <v>100</v>
      </c>
      <c r="Q380" s="132"/>
      <c r="R380" s="129">
        <v>1.1000000000000001</v>
      </c>
      <c r="S380" s="21">
        <f t="shared" si="65"/>
        <v>0.2</v>
      </c>
      <c r="T380" s="129">
        <f t="shared" si="66"/>
        <v>365100</v>
      </c>
    </row>
    <row r="381" spans="1:20" ht="16.5" x14ac:dyDescent="0.2">
      <c r="A381" s="159">
        <v>149</v>
      </c>
      <c r="B381" s="129">
        <v>398290</v>
      </c>
      <c r="C381" s="132"/>
      <c r="D381" s="235"/>
      <c r="E381" s="235"/>
      <c r="F381" s="235"/>
      <c r="G381" s="235"/>
      <c r="H381" s="132"/>
      <c r="I381" s="132"/>
      <c r="J381" s="132"/>
      <c r="K381" s="132"/>
      <c r="L381" s="132"/>
      <c r="M381" s="130" t="s">
        <v>116</v>
      </c>
      <c r="N381" s="14">
        <f>SUMIFS(芦花古楼!$AA$5:$AA$104,芦花古楼!$W$5:$W$104,"&gt;"&amp;经验计算!O381,芦花古楼!$W$5:$W$104,"&lt;="&amp;经验计算!P381)</f>
        <v>0</v>
      </c>
      <c r="O381" s="129">
        <v>100</v>
      </c>
      <c r="P381" s="129">
        <v>100</v>
      </c>
      <c r="Q381" s="132"/>
      <c r="R381" s="129">
        <v>1.1499999999999999</v>
      </c>
      <c r="S381" s="21">
        <f t="shared" si="65"/>
        <v>0.20909090909090908</v>
      </c>
      <c r="T381" s="129">
        <f t="shared" si="66"/>
        <v>381695</v>
      </c>
    </row>
    <row r="382" spans="1:20" ht="16.5" x14ac:dyDescent="0.2">
      <c r="A382" s="159">
        <v>150</v>
      </c>
      <c r="B382" s="172">
        <v>414885</v>
      </c>
      <c r="C382" s="132"/>
      <c r="D382" s="235"/>
      <c r="E382" s="235"/>
      <c r="F382" s="235"/>
      <c r="G382" s="235"/>
      <c r="H382" s="132"/>
      <c r="I382" s="132"/>
      <c r="J382" s="132"/>
      <c r="K382" s="132"/>
      <c r="L382" s="132"/>
      <c r="M382" s="130" t="s">
        <v>118</v>
      </c>
      <c r="N382" s="14">
        <f>SUMIFS(芦花古楼!$AL$5:$AL$104,芦花古楼!$AH$5:$AH$104,"&gt;"&amp;经验计算!O382,芦花古楼!$AH$5:$AH$104,"&lt;="&amp;经验计算!P382)</f>
        <v>0</v>
      </c>
      <c r="O382" s="129">
        <v>100</v>
      </c>
      <c r="P382" s="129">
        <v>100</v>
      </c>
      <c r="Q382" s="132"/>
      <c r="R382" s="129">
        <v>1.2</v>
      </c>
      <c r="S382" s="21">
        <f t="shared" si="65"/>
        <v>0.21818181818181817</v>
      </c>
      <c r="T382" s="129">
        <f t="shared" si="66"/>
        <v>398290</v>
      </c>
    </row>
    <row r="383" spans="1:20" ht="16.5" x14ac:dyDescent="0.2">
      <c r="B383" s="131"/>
      <c r="C383" s="132"/>
      <c r="D383" s="235"/>
      <c r="E383" s="235"/>
      <c r="F383" s="235"/>
      <c r="G383" s="235"/>
      <c r="H383" s="132"/>
      <c r="I383" s="132"/>
      <c r="J383" s="132"/>
      <c r="K383" s="132"/>
      <c r="L383" s="132"/>
      <c r="M383" s="130" t="s">
        <v>47</v>
      </c>
      <c r="N383" s="14"/>
      <c r="O383" s="14">
        <f>日常任务!D324*经验计算!N383</f>
        <v>0</v>
      </c>
      <c r="P383" s="132"/>
      <c r="Q383" s="132"/>
      <c r="R383" s="131"/>
      <c r="S383" s="131"/>
      <c r="T383" s="131"/>
    </row>
    <row r="384" spans="1:20" ht="16.5" x14ac:dyDescent="0.2">
      <c r="A384" s="131"/>
      <c r="B384" s="131"/>
      <c r="C384" s="132"/>
      <c r="D384" s="235"/>
      <c r="E384" s="235"/>
      <c r="F384" s="235"/>
      <c r="G384" s="235"/>
      <c r="H384" s="132"/>
      <c r="I384" s="132"/>
      <c r="J384" s="132"/>
      <c r="K384" s="132"/>
      <c r="L384" s="132"/>
      <c r="M384" s="130" t="s">
        <v>44</v>
      </c>
      <c r="N384" s="14">
        <f>INDEX(节奏总表!$N$5:$N$35,经验计算!N377)*60</f>
        <v>20400</v>
      </c>
      <c r="O384" s="14">
        <f>INDEX(章节关卡!$G$6:$G$35,经验计算!N377-1)*经验计算!N384</f>
        <v>1428000</v>
      </c>
      <c r="P384" s="132"/>
      <c r="Q384" s="132"/>
      <c r="R384" s="131"/>
      <c r="S384" s="131"/>
      <c r="T384" s="131"/>
    </row>
    <row r="385" spans="1:20" ht="16.5" x14ac:dyDescent="0.2">
      <c r="A385" s="131"/>
      <c r="B385" s="131"/>
      <c r="C385" s="132"/>
      <c r="D385" s="235"/>
      <c r="E385" s="235"/>
      <c r="F385" s="235"/>
      <c r="G385" s="235"/>
      <c r="H385" s="132"/>
      <c r="I385" s="132"/>
      <c r="J385" s="132"/>
      <c r="K385" s="132"/>
      <c r="L385" s="132"/>
      <c r="M385" s="130" t="s">
        <v>40</v>
      </c>
      <c r="N385" s="19">
        <v>0</v>
      </c>
      <c r="O385" s="14">
        <f>N386*N385</f>
        <v>0</v>
      </c>
      <c r="P385" s="132"/>
      <c r="Q385" s="132"/>
      <c r="R385" s="131"/>
      <c r="S385" s="131"/>
      <c r="T385" s="131"/>
    </row>
    <row r="386" spans="1:20" ht="16.5" x14ac:dyDescent="0.2">
      <c r="A386" s="131"/>
      <c r="B386" s="131"/>
      <c r="C386" s="132"/>
      <c r="D386" s="235"/>
      <c r="E386" s="235"/>
      <c r="F386" s="235"/>
      <c r="G386" s="235"/>
      <c r="H386" s="132"/>
      <c r="I386" s="132"/>
      <c r="J386" s="132"/>
      <c r="K386" s="132"/>
      <c r="L386" s="132"/>
      <c r="M386" s="130" t="s">
        <v>39</v>
      </c>
      <c r="N386" s="14">
        <f>(N378+N379+N381+N380+N382+O383+O384+P378)/(1-N385)</f>
        <v>1825500</v>
      </c>
      <c r="O386" s="131"/>
      <c r="P386" s="132"/>
      <c r="Q386" s="132"/>
      <c r="R386" s="131"/>
      <c r="S386" s="131"/>
      <c r="T386" s="131"/>
    </row>
    <row r="387" spans="1:20" x14ac:dyDescent="0.2">
      <c r="A387" s="131"/>
      <c r="B387" s="131"/>
      <c r="C387" s="132"/>
      <c r="D387" s="132"/>
      <c r="E387" s="132"/>
      <c r="F387" s="132"/>
      <c r="G387" s="132"/>
      <c r="H387" s="132"/>
      <c r="I387" s="132"/>
      <c r="J387" s="132"/>
      <c r="K387" s="132"/>
      <c r="L387" s="132"/>
      <c r="M387" s="132"/>
      <c r="N387" s="132"/>
      <c r="O387" s="132"/>
      <c r="P387" s="132"/>
      <c r="Q387" s="132"/>
      <c r="R387" s="131"/>
      <c r="S387" s="131"/>
      <c r="T387" s="131"/>
    </row>
    <row r="388" spans="1:20" x14ac:dyDescent="0.2">
      <c r="A388" s="132"/>
      <c r="B388" s="132"/>
      <c r="C388" s="132"/>
      <c r="D388" s="132"/>
      <c r="E388" s="132"/>
      <c r="F388" s="132"/>
      <c r="G388" s="132"/>
      <c r="H388" s="132"/>
      <c r="I388" s="132"/>
      <c r="J388" s="132"/>
      <c r="K388" s="132"/>
      <c r="L388" s="132"/>
      <c r="M388" s="132"/>
      <c r="N388" s="132"/>
      <c r="O388" s="132"/>
      <c r="P388" s="132"/>
      <c r="Q388" s="132"/>
      <c r="R388" s="132"/>
      <c r="S388" s="132"/>
      <c r="T388" s="132"/>
    </row>
    <row r="389" spans="1:20" x14ac:dyDescent="0.2">
      <c r="A389" s="131"/>
      <c r="B389" s="131"/>
      <c r="C389" s="132"/>
      <c r="D389" s="132"/>
      <c r="E389" s="132"/>
      <c r="F389" s="132"/>
      <c r="G389" s="132"/>
      <c r="H389" s="132"/>
      <c r="I389" s="132"/>
      <c r="J389" s="132"/>
      <c r="K389" s="132"/>
      <c r="L389" s="132"/>
      <c r="M389" s="132"/>
      <c r="N389" s="132"/>
      <c r="O389" s="132"/>
      <c r="P389" s="132"/>
      <c r="Q389" s="132"/>
      <c r="R389" s="131"/>
      <c r="S389" s="131"/>
      <c r="T389" s="131"/>
    </row>
  </sheetData>
  <mergeCells count="31">
    <mergeCell ref="D348:G357"/>
    <mergeCell ref="D362:G371"/>
    <mergeCell ref="D377:G386"/>
    <mergeCell ref="D2:T2"/>
    <mergeCell ref="D278:G287"/>
    <mergeCell ref="D292:G301"/>
    <mergeCell ref="D306:G315"/>
    <mergeCell ref="D320:G329"/>
    <mergeCell ref="D334:G343"/>
    <mergeCell ref="I54:K54"/>
    <mergeCell ref="D137:G146"/>
    <mergeCell ref="D151:G160"/>
    <mergeCell ref="D165:G174"/>
    <mergeCell ref="D179:G188"/>
    <mergeCell ref="D193:G202"/>
    <mergeCell ref="D111:G120"/>
    <mergeCell ref="D124:G133"/>
    <mergeCell ref="D57:G66"/>
    <mergeCell ref="D71:G80"/>
    <mergeCell ref="D85:G94"/>
    <mergeCell ref="D98:G107"/>
    <mergeCell ref="D5:G13"/>
    <mergeCell ref="D31:G40"/>
    <mergeCell ref="D44:G53"/>
    <mergeCell ref="I41:K41"/>
    <mergeCell ref="D18:G23"/>
    <mergeCell ref="D208:G217"/>
    <mergeCell ref="D222:G231"/>
    <mergeCell ref="D236:G245"/>
    <mergeCell ref="D250:G259"/>
    <mergeCell ref="D264:G273"/>
  </mergeCells>
  <phoneticPr fontId="2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DH505"/>
  <sheetViews>
    <sheetView topLeftCell="CJ1" zoomScaleNormal="100" workbookViewId="0">
      <selection activeCell="K13" sqref="K13"/>
    </sheetView>
  </sheetViews>
  <sheetFormatPr defaultRowHeight="14.25" x14ac:dyDescent="0.2"/>
  <cols>
    <col min="59" max="59" width="9.625" bestFit="1" customWidth="1"/>
    <col min="63" max="64" width="10" customWidth="1"/>
    <col min="72" max="72" width="9" customWidth="1"/>
    <col min="83" max="83" width="10.5" customWidth="1"/>
    <col min="99" max="99" width="16.5" customWidth="1"/>
  </cols>
  <sheetData>
    <row r="3" spans="1:112" ht="16.5" customHeight="1" x14ac:dyDescent="0.2">
      <c r="A3" s="234" t="s">
        <v>62</v>
      </c>
      <c r="B3" s="234"/>
      <c r="C3" s="234"/>
      <c r="D3" s="234"/>
      <c r="E3" s="234"/>
      <c r="F3" s="234"/>
      <c r="G3" s="234"/>
      <c r="H3" s="234"/>
      <c r="I3" s="234"/>
      <c r="L3" s="234" t="s">
        <v>63</v>
      </c>
      <c r="M3" s="234"/>
      <c r="N3" s="234"/>
      <c r="O3" s="234"/>
      <c r="P3" s="234"/>
      <c r="Q3" s="234"/>
      <c r="R3" s="234"/>
      <c r="S3" s="234"/>
      <c r="T3" s="234"/>
      <c r="W3" s="234" t="s">
        <v>64</v>
      </c>
      <c r="X3" s="234"/>
      <c r="Y3" s="234"/>
      <c r="Z3" s="234"/>
      <c r="AA3" s="234"/>
      <c r="AB3" s="234"/>
      <c r="AC3" s="234"/>
      <c r="AD3" s="234"/>
      <c r="AE3" s="234"/>
      <c r="AH3" s="234" t="s">
        <v>65</v>
      </c>
      <c r="AI3" s="234"/>
      <c r="AJ3" s="234"/>
      <c r="AK3" s="234"/>
      <c r="AL3" s="234"/>
      <c r="AM3" s="234"/>
      <c r="AN3" s="234"/>
      <c r="AO3" s="234"/>
      <c r="AP3" s="234"/>
      <c r="AS3" s="248" t="s">
        <v>62</v>
      </c>
      <c r="AT3" s="249"/>
      <c r="AV3" s="248" t="s">
        <v>63</v>
      </c>
      <c r="AW3" s="249"/>
      <c r="AY3" s="248" t="s">
        <v>68</v>
      </c>
      <c r="AZ3" s="249"/>
      <c r="BB3" s="248" t="s">
        <v>69</v>
      </c>
      <c r="BC3" s="249"/>
      <c r="BL3">
        <v>2</v>
      </c>
      <c r="BQ3" s="247" t="s">
        <v>77</v>
      </c>
      <c r="BR3" s="247"/>
      <c r="BS3" s="14">
        <f>SUM(BG6:BH105)</f>
        <v>64405</v>
      </c>
    </row>
    <row r="4" spans="1:112" ht="30" x14ac:dyDescent="0.2">
      <c r="A4" s="12" t="s">
        <v>45</v>
      </c>
      <c r="B4" s="12" t="s">
        <v>111</v>
      </c>
      <c r="C4" s="12" t="s">
        <v>112</v>
      </c>
      <c r="D4" s="12" t="s">
        <v>727</v>
      </c>
      <c r="E4" s="12" t="s">
        <v>46</v>
      </c>
      <c r="F4" s="12" t="s">
        <v>66</v>
      </c>
      <c r="G4" s="12" t="s">
        <v>66</v>
      </c>
      <c r="H4" s="12" t="s">
        <v>67</v>
      </c>
      <c r="I4" s="12" t="s">
        <v>270</v>
      </c>
      <c r="L4" s="12" t="s">
        <v>45</v>
      </c>
      <c r="M4" s="12" t="s">
        <v>113</v>
      </c>
      <c r="N4" s="12" t="s">
        <v>97</v>
      </c>
      <c r="O4" s="12" t="s">
        <v>727</v>
      </c>
      <c r="P4" s="12" t="s">
        <v>46</v>
      </c>
      <c r="Q4" s="12" t="s">
        <v>66</v>
      </c>
      <c r="R4" s="12" t="s">
        <v>66</v>
      </c>
      <c r="S4" s="12" t="s">
        <v>67</v>
      </c>
      <c r="T4" s="12" t="s">
        <v>270</v>
      </c>
      <c r="W4" s="12" t="s">
        <v>45</v>
      </c>
      <c r="X4" s="12" t="s">
        <v>113</v>
      </c>
      <c r="Y4" s="12" t="s">
        <v>97</v>
      </c>
      <c r="Z4" s="12" t="s">
        <v>727</v>
      </c>
      <c r="AA4" s="12" t="s">
        <v>46</v>
      </c>
      <c r="AB4" s="12" t="s">
        <v>66</v>
      </c>
      <c r="AC4" s="12" t="s">
        <v>66</v>
      </c>
      <c r="AD4" s="12" t="s">
        <v>67</v>
      </c>
      <c r="AE4" s="12" t="s">
        <v>270</v>
      </c>
      <c r="AH4" s="12" t="s">
        <v>45</v>
      </c>
      <c r="AI4" s="12" t="s">
        <v>113</v>
      </c>
      <c r="AJ4" s="12" t="s">
        <v>97</v>
      </c>
      <c r="AK4" s="12" t="s">
        <v>727</v>
      </c>
      <c r="AL4" s="12" t="s">
        <v>46</v>
      </c>
      <c r="AM4" s="12" t="s">
        <v>66</v>
      </c>
      <c r="AN4" s="12" t="s">
        <v>66</v>
      </c>
      <c r="AO4" s="12" t="s">
        <v>67</v>
      </c>
      <c r="AP4" s="12" t="s">
        <v>270</v>
      </c>
      <c r="AS4" s="12" t="s">
        <v>70</v>
      </c>
      <c r="AT4" s="12" t="s">
        <v>71</v>
      </c>
      <c r="AV4" s="12" t="s">
        <v>70</v>
      </c>
      <c r="AW4" s="12" t="s">
        <v>71</v>
      </c>
      <c r="AY4" s="12" t="s">
        <v>70</v>
      </c>
      <c r="AZ4" s="12" t="s">
        <v>71</v>
      </c>
      <c r="BB4" s="12" t="s">
        <v>70</v>
      </c>
      <c r="BC4" s="12" t="s">
        <v>71</v>
      </c>
      <c r="BF4" s="12" t="s">
        <v>72</v>
      </c>
      <c r="BG4" s="12" t="s">
        <v>363</v>
      </c>
      <c r="BH4" s="12" t="s">
        <v>75</v>
      </c>
      <c r="BI4" s="12" t="s">
        <v>76</v>
      </c>
      <c r="BJ4" s="12" t="s">
        <v>365</v>
      </c>
      <c r="BK4" s="12" t="s">
        <v>364</v>
      </c>
      <c r="BL4" s="12" t="s">
        <v>366</v>
      </c>
      <c r="BN4" s="23" t="s">
        <v>73</v>
      </c>
      <c r="BO4" s="23" t="s">
        <v>74</v>
      </c>
      <c r="BU4" s="23" t="s">
        <v>299</v>
      </c>
      <c r="BV4" s="23" t="s">
        <v>301</v>
      </c>
      <c r="BW4" s="23" t="s">
        <v>302</v>
      </c>
      <c r="BX4" s="23" t="s">
        <v>303</v>
      </c>
      <c r="BY4" s="23" t="s">
        <v>304</v>
      </c>
      <c r="BZ4" s="23" t="s">
        <v>305</v>
      </c>
      <c r="CA4" s="23" t="s">
        <v>306</v>
      </c>
      <c r="CC4" s="23" t="s">
        <v>298</v>
      </c>
      <c r="CD4" s="23" t="s">
        <v>300</v>
      </c>
      <c r="CE4" s="23" t="s">
        <v>356</v>
      </c>
      <c r="CF4" s="23" t="s">
        <v>357</v>
      </c>
      <c r="CJ4" s="40" t="s">
        <v>219</v>
      </c>
      <c r="CK4" s="40" t="s">
        <v>220</v>
      </c>
      <c r="CL4" s="40" t="s">
        <v>221</v>
      </c>
      <c r="CM4" s="40" t="s">
        <v>222</v>
      </c>
      <c r="CN4" s="40" t="s">
        <v>241</v>
      </c>
      <c r="CO4" s="40" t="s">
        <v>242</v>
      </c>
      <c r="CP4" s="40" t="s">
        <v>243</v>
      </c>
      <c r="CQ4" s="40" t="s">
        <v>223</v>
      </c>
      <c r="CR4" s="40" t="s">
        <v>224</v>
      </c>
      <c r="CS4" s="40" t="s">
        <v>225</v>
      </c>
      <c r="CT4" s="40" t="s">
        <v>226</v>
      </c>
      <c r="CU4" s="40" t="s">
        <v>227</v>
      </c>
      <c r="CV4" s="40" t="s">
        <v>228</v>
      </c>
      <c r="CW4" s="40" t="s">
        <v>229</v>
      </c>
      <c r="CX4" s="40" t="s">
        <v>230</v>
      </c>
      <c r="CY4" s="40" t="s">
        <v>231</v>
      </c>
      <c r="CZ4" s="40" t="s">
        <v>232</v>
      </c>
      <c r="DA4" s="40" t="s">
        <v>233</v>
      </c>
      <c r="DB4" s="40" t="s">
        <v>234</v>
      </c>
      <c r="DC4" s="40" t="s">
        <v>235</v>
      </c>
      <c r="DD4" s="40" t="s">
        <v>236</v>
      </c>
      <c r="DE4" s="40" t="s">
        <v>237</v>
      </c>
      <c r="DF4" s="40" t="s">
        <v>238</v>
      </c>
      <c r="DG4" s="40" t="s">
        <v>239</v>
      </c>
      <c r="DH4" s="40" t="s">
        <v>240</v>
      </c>
    </row>
    <row r="5" spans="1:112" ht="16.5" x14ac:dyDescent="0.2">
      <c r="A5" s="17">
        <v>1</v>
      </c>
      <c r="B5" s="24">
        <v>1</v>
      </c>
      <c r="C5" s="24">
        <v>0</v>
      </c>
      <c r="D5" s="87"/>
      <c r="E5" s="17">
        <f>INDEX(章节关卡!$G$6:$G$34,芦花古楼!B5)*芦花古楼!C5</f>
        <v>0</v>
      </c>
      <c r="F5" s="22">
        <f t="shared" ref="F5:F36" si="0">INT((A5-1)/5+1)*5</f>
        <v>5</v>
      </c>
      <c r="G5" s="18">
        <f t="shared" ref="G5:G36" si="1">INT(A5/5)*5+20</f>
        <v>20</v>
      </c>
      <c r="H5" s="14">
        <f>INDEX(章节关卡!$I$6:$I$34,芦花古楼!B5)*芦花古楼!C5</f>
        <v>0</v>
      </c>
      <c r="I5" s="14">
        <v>50</v>
      </c>
      <c r="L5" s="17">
        <v>1</v>
      </c>
      <c r="M5" s="24">
        <f>INT((L5-1)/5)+4</f>
        <v>4</v>
      </c>
      <c r="N5" s="24">
        <v>0</v>
      </c>
      <c r="O5" s="87"/>
      <c r="P5" s="24">
        <f>INDEX(章节关卡!$G$6:$G$34,芦花古楼!M5)*芦花古楼!N5</f>
        <v>0</v>
      </c>
      <c r="Q5" s="22">
        <f>INT((L5-1)/5+2)*5</f>
        <v>10</v>
      </c>
      <c r="R5" s="22">
        <f>INT(L5/5)*5+20</f>
        <v>20</v>
      </c>
      <c r="S5" s="14">
        <f>INDEX(章节关卡!$I$6:$I$34,芦花古楼!M5)*芦花古楼!N5</f>
        <v>0</v>
      </c>
      <c r="T5" s="14">
        <v>50</v>
      </c>
      <c r="W5" s="17">
        <v>1</v>
      </c>
      <c r="X5" s="24">
        <v>4</v>
      </c>
      <c r="Y5" s="24">
        <v>0</v>
      </c>
      <c r="Z5" s="87"/>
      <c r="AA5" s="24">
        <f>INDEX(章节关卡!$G$6:$G$34,芦花古楼!X5)*芦花古楼!Y5</f>
        <v>0</v>
      </c>
      <c r="AB5" s="22">
        <f t="shared" ref="AB5:AB36" si="2">INT((W5-1)/5+3)*5</f>
        <v>15</v>
      </c>
      <c r="AC5" s="22">
        <f t="shared" ref="AC5:AC36" si="3">INT(W5/5)*5+20</f>
        <v>20</v>
      </c>
      <c r="AD5" s="14">
        <f>INDEX(章节关卡!$I$6:$I$34,芦花古楼!X5)*芦花古楼!Y5</f>
        <v>0</v>
      </c>
      <c r="AE5" s="14">
        <v>50</v>
      </c>
      <c r="AH5" s="17">
        <v>1</v>
      </c>
      <c r="AI5" s="46">
        <v>4</v>
      </c>
      <c r="AJ5" s="24">
        <v>0</v>
      </c>
      <c r="AK5" s="87"/>
      <c r="AL5" s="24">
        <f>INDEX(章节关卡!$G$6:$G$34,芦花古楼!AI5)*芦花古楼!AJ5</f>
        <v>0</v>
      </c>
      <c r="AM5" s="22">
        <f>INT((AH5-1)/5+4)*5</f>
        <v>20</v>
      </c>
      <c r="AN5" s="22">
        <f>INT(AH5/5)*5+20</f>
        <v>20</v>
      </c>
      <c r="AO5" s="14">
        <f>INDEX(章节关卡!$I$6:$I$34,芦花古楼!AI5)*芦花古楼!AJ5</f>
        <v>0</v>
      </c>
      <c r="AP5" s="14">
        <v>50</v>
      </c>
      <c r="AS5" s="18">
        <v>0</v>
      </c>
      <c r="AT5" s="18">
        <v>0</v>
      </c>
      <c r="AV5" s="18">
        <v>0</v>
      </c>
      <c r="AW5" s="18">
        <v>0</v>
      </c>
      <c r="AY5" s="18">
        <v>0</v>
      </c>
      <c r="AZ5" s="18">
        <v>0</v>
      </c>
      <c r="BB5" s="18">
        <v>0</v>
      </c>
      <c r="BC5" s="18">
        <v>0</v>
      </c>
      <c r="BF5" s="18">
        <v>0</v>
      </c>
      <c r="BG5" s="18"/>
      <c r="BN5" s="18">
        <v>1</v>
      </c>
      <c r="BO5" s="18">
        <v>1</v>
      </c>
      <c r="BU5" s="52">
        <v>0</v>
      </c>
      <c r="BV5" s="52">
        <v>0</v>
      </c>
      <c r="BW5" s="52">
        <v>0</v>
      </c>
      <c r="BX5" s="52">
        <v>0</v>
      </c>
      <c r="BY5" s="52">
        <v>0</v>
      </c>
      <c r="BZ5" s="52">
        <v>0</v>
      </c>
      <c r="CA5" s="52">
        <v>0</v>
      </c>
      <c r="CC5" s="52">
        <v>1</v>
      </c>
      <c r="CD5" s="52">
        <v>101</v>
      </c>
      <c r="CE5" s="52" t="s">
        <v>349</v>
      </c>
      <c r="CF5" s="52">
        <v>1</v>
      </c>
      <c r="CJ5" s="39">
        <v>1</v>
      </c>
      <c r="CK5" s="39">
        <v>1</v>
      </c>
      <c r="CL5" s="41" t="s">
        <v>244</v>
      </c>
      <c r="CM5" s="39">
        <v>1</v>
      </c>
      <c r="CN5" s="39"/>
      <c r="CO5" s="39"/>
      <c r="CP5" s="39"/>
      <c r="CQ5" s="39" t="s">
        <v>358</v>
      </c>
      <c r="CR5" s="39">
        <v>600</v>
      </c>
      <c r="CS5" s="39" t="s">
        <v>359</v>
      </c>
      <c r="CT5" s="39">
        <v>5</v>
      </c>
      <c r="CU5" s="39"/>
      <c r="CV5" s="39"/>
      <c r="CW5" s="39" t="s">
        <v>359</v>
      </c>
      <c r="CX5" s="39">
        <v>20</v>
      </c>
      <c r="CY5" s="39"/>
      <c r="CZ5" s="39"/>
      <c r="DA5" s="39"/>
      <c r="DB5" s="39"/>
      <c r="DC5" s="39"/>
      <c r="DD5" s="39"/>
      <c r="DE5" s="39"/>
      <c r="DF5" s="39"/>
      <c r="DG5" s="39"/>
      <c r="DH5" s="39"/>
    </row>
    <row r="6" spans="1:112" ht="16.5" x14ac:dyDescent="0.2">
      <c r="A6" s="17">
        <v>2</v>
      </c>
      <c r="B6" s="24">
        <v>1</v>
      </c>
      <c r="C6" s="123">
        <v>0</v>
      </c>
      <c r="D6" s="87"/>
      <c r="E6" s="78">
        <f>INDEX(章节关卡!$G$6:$G$34,芦花古楼!B6)*芦花古楼!C6</f>
        <v>0</v>
      </c>
      <c r="F6" s="22">
        <f t="shared" si="0"/>
        <v>5</v>
      </c>
      <c r="G6" s="22">
        <f t="shared" si="1"/>
        <v>20</v>
      </c>
      <c r="H6" s="14">
        <f>INDEX(章节关卡!$I$6:$I$34,芦花古楼!B6)*芦花古楼!C6</f>
        <v>0</v>
      </c>
      <c r="I6" s="14">
        <v>50</v>
      </c>
      <c r="L6" s="17">
        <v>2</v>
      </c>
      <c r="M6" s="78">
        <f t="shared" ref="M6:M69" si="4">INT((L6-1)/5)+4</f>
        <v>4</v>
      </c>
      <c r="N6" s="123">
        <v>0</v>
      </c>
      <c r="O6" s="87"/>
      <c r="P6" s="78">
        <f>INDEX(章节关卡!$G$6:$G$34,芦花古楼!M6)*芦花古楼!N6</f>
        <v>0</v>
      </c>
      <c r="Q6" s="22">
        <f t="shared" ref="Q6:Q69" si="5">INT((L6-1)/5+2)*5</f>
        <v>10</v>
      </c>
      <c r="R6" s="22">
        <f t="shared" ref="R6:R69" si="6">INT(L6/5)*5+20</f>
        <v>20</v>
      </c>
      <c r="S6" s="14">
        <f>INDEX(章节关卡!$I$6:$I$34,芦花古楼!M6)*芦花古楼!N6</f>
        <v>0</v>
      </c>
      <c r="T6" s="14">
        <v>50</v>
      </c>
      <c r="W6" s="17">
        <v>2</v>
      </c>
      <c r="X6" s="24">
        <v>4</v>
      </c>
      <c r="Y6" s="123">
        <v>0</v>
      </c>
      <c r="Z6" s="87"/>
      <c r="AA6" s="87">
        <f>INDEX(章节关卡!$G$6:$G$34,芦花古楼!X6)*芦花古楼!Y6</f>
        <v>0</v>
      </c>
      <c r="AB6" s="22">
        <f t="shared" si="2"/>
        <v>15</v>
      </c>
      <c r="AC6" s="22">
        <f t="shared" si="3"/>
        <v>20</v>
      </c>
      <c r="AD6" s="14">
        <f>INDEX(章节关卡!$I$6:$I$34,芦花古楼!X6)*芦花古楼!Y6</f>
        <v>0</v>
      </c>
      <c r="AE6" s="14">
        <v>50</v>
      </c>
      <c r="AH6" s="17">
        <v>2</v>
      </c>
      <c r="AI6" s="46">
        <v>4</v>
      </c>
      <c r="AJ6" s="123">
        <v>0</v>
      </c>
      <c r="AK6" s="87"/>
      <c r="AL6" s="87">
        <f>INDEX(章节关卡!$G$6:$G$34,芦花古楼!AI6)*芦花古楼!AJ6</f>
        <v>0</v>
      </c>
      <c r="AM6" s="22">
        <f t="shared" ref="AM6:AM69" si="7">INT((AH6-1)/5+4)*5</f>
        <v>20</v>
      </c>
      <c r="AN6" s="22">
        <f t="shared" ref="AN6:AN69" si="8">INT(AH6/5)*5+20</f>
        <v>20</v>
      </c>
      <c r="AO6" s="14">
        <f>INDEX(章节关卡!$I$6:$I$34,芦花古楼!AI6)*芦花古楼!AJ6</f>
        <v>0</v>
      </c>
      <c r="AP6" s="14">
        <v>50</v>
      </c>
      <c r="AS6" s="18">
        <v>1</v>
      </c>
      <c r="AT6" s="18">
        <v>3</v>
      </c>
      <c r="AV6" s="18">
        <v>1</v>
      </c>
      <c r="AW6" s="18">
        <v>4</v>
      </c>
      <c r="AY6" s="18">
        <v>1</v>
      </c>
      <c r="AZ6" s="18">
        <v>4</v>
      </c>
      <c r="BB6" s="18">
        <v>1</v>
      </c>
      <c r="BC6" s="18">
        <v>4</v>
      </c>
      <c r="BF6" s="18">
        <v>1</v>
      </c>
      <c r="BG6" s="14">
        <f t="shared" ref="BG6:BG37" si="9">SUMIFS($F$5:$F$104,$AT$6:$AT$105,"="&amp;BF6)+SUMIFS($Q$5:$Q$104,$AW$6:$AW$105,"="&amp;BF6)+SUMIFS($AB$5:$AB$104,$AZ$6:$AZ$105,"="&amp;BF6)+SUMIFS($AM$5:$AM$104,$BC$6:$BC$105,"="&amp;BF6)</f>
        <v>0</v>
      </c>
      <c r="BH6" s="14">
        <f t="shared" ref="BH6:BH37" si="10">INDEX($G$5:$G$104,MATCH(BF6,$AT$5:$AT$105,1)-1)+INDEX($R$5:$R$104,MATCH(BF6,$AW$5:$AW$105,1)-1)+INDEX($AC$5:$AC$104,MATCH(BF6,$AZ$5:$AZ$105,1)-1)+INDEX($AN$5:$AN$104,MATCH(BF6,$BC$5:$BC$105,1)-1)</f>
        <v>80</v>
      </c>
      <c r="BI6" s="14">
        <f t="shared" ref="BI6:BI37" si="11">SUMIFS($H$5:$H$104,$AT$6:$AT$105,"="&amp;BF6)+SUMIFS($S$5:$S$104,$AW$6:$AW$105,"="&amp;BF6)+SUMIFS($AD$5:$AD$104,$AZ$6:$AZ$105,"="&amp;BF6)+SUMIFS($AO$5:$AO$104,$BC$6:$BC$105,"="&amp;BF6)</f>
        <v>0</v>
      </c>
      <c r="BJ6" s="14">
        <f>INDEX($I$5:$I$104,MATCH(BF6,$AT$5:$AT$105,1)-1)+INDEX($T$5:$T$104,MATCH(BF6,$AW$5:$AW$105,1)-1)+INDEX($AE$5:$AE$104,MATCH(BF6,$AZ$5:$AZ$105,1)-1)+INDEX($AP$5:$AP$104,MATCH(BF6,$BC$5:$BC$105,1)-1)</f>
        <v>200</v>
      </c>
      <c r="BK6" s="14">
        <f>BG6+BH5</f>
        <v>0</v>
      </c>
      <c r="BL6" s="14">
        <f>BK6*BL$3</f>
        <v>0</v>
      </c>
      <c r="BN6" s="18">
        <v>2</v>
      </c>
      <c r="BO6" s="18">
        <v>1</v>
      </c>
      <c r="BU6" s="52">
        <v>1</v>
      </c>
      <c r="BV6" s="52">
        <v>101</v>
      </c>
      <c r="BW6" s="52">
        <v>1606003</v>
      </c>
      <c r="BX6" s="52" t="s">
        <v>307</v>
      </c>
      <c r="BY6" s="52">
        <v>1</v>
      </c>
      <c r="BZ6" s="52">
        <v>15</v>
      </c>
      <c r="CA6" s="52">
        <f>SUM(BZ$5:BZ6)</f>
        <v>15</v>
      </c>
      <c r="CC6" s="52">
        <v>2</v>
      </c>
      <c r="CD6" s="52">
        <v>102</v>
      </c>
      <c r="CE6" s="52" t="s">
        <v>350</v>
      </c>
      <c r="CF6" s="52">
        <v>1</v>
      </c>
      <c r="CJ6" s="52">
        <v>2</v>
      </c>
      <c r="CK6" s="52">
        <v>1</v>
      </c>
      <c r="CL6" s="52" t="s">
        <v>244</v>
      </c>
      <c r="CM6" s="52">
        <v>2</v>
      </c>
      <c r="CN6" s="52"/>
      <c r="CO6" s="52"/>
      <c r="CP6" s="52"/>
      <c r="CQ6" s="52" t="s">
        <v>358</v>
      </c>
      <c r="CR6" s="52">
        <v>600</v>
      </c>
      <c r="CS6" s="52" t="s">
        <v>359</v>
      </c>
      <c r="CT6" s="52">
        <v>5</v>
      </c>
      <c r="CU6" s="52" t="s">
        <v>360</v>
      </c>
      <c r="CV6" s="52">
        <v>1</v>
      </c>
      <c r="CW6" s="52" t="s">
        <v>359</v>
      </c>
      <c r="CX6" s="52">
        <v>20</v>
      </c>
      <c r="CY6" s="52"/>
      <c r="CZ6" s="52"/>
      <c r="DA6" s="52"/>
      <c r="DB6" s="52"/>
      <c r="DC6" s="52"/>
      <c r="DD6" s="52"/>
      <c r="DE6" s="52"/>
      <c r="DF6" s="52"/>
      <c r="DG6" s="52"/>
      <c r="DH6" s="52"/>
    </row>
    <row r="7" spans="1:112" ht="16.5" x14ac:dyDescent="0.2">
      <c r="A7" s="17">
        <v>3</v>
      </c>
      <c r="B7" s="24">
        <v>2</v>
      </c>
      <c r="C7" s="123">
        <v>0</v>
      </c>
      <c r="D7" s="87"/>
      <c r="E7" s="78">
        <f>INDEX(章节关卡!$G$6:$G$34,芦花古楼!B7)*芦花古楼!C7</f>
        <v>0</v>
      </c>
      <c r="F7" s="22">
        <f t="shared" si="0"/>
        <v>5</v>
      </c>
      <c r="G7" s="22">
        <f t="shared" si="1"/>
        <v>20</v>
      </c>
      <c r="H7" s="14">
        <f>INDEX(章节关卡!$I$6:$I$34,芦花古楼!B7)*芦花古楼!C7</f>
        <v>0</v>
      </c>
      <c r="I7" s="14">
        <v>50</v>
      </c>
      <c r="L7" s="17">
        <v>3</v>
      </c>
      <c r="M7" s="78">
        <f t="shared" si="4"/>
        <v>4</v>
      </c>
      <c r="N7" s="123">
        <v>0</v>
      </c>
      <c r="O7" s="87"/>
      <c r="P7" s="78">
        <f>INDEX(章节关卡!$G$6:$G$34,芦花古楼!M7)*芦花古楼!N7</f>
        <v>0</v>
      </c>
      <c r="Q7" s="22">
        <f t="shared" si="5"/>
        <v>10</v>
      </c>
      <c r="R7" s="22">
        <f t="shared" si="6"/>
        <v>20</v>
      </c>
      <c r="S7" s="14">
        <f>INDEX(章节关卡!$I$6:$I$34,芦花古楼!M7)*芦花古楼!N7</f>
        <v>0</v>
      </c>
      <c r="T7" s="14">
        <v>50</v>
      </c>
      <c r="W7" s="17">
        <v>3</v>
      </c>
      <c r="X7" s="24">
        <v>4</v>
      </c>
      <c r="Y7" s="123">
        <v>0</v>
      </c>
      <c r="Z7" s="87"/>
      <c r="AA7" s="87">
        <f>INDEX(章节关卡!$G$6:$G$34,芦花古楼!X7)*芦花古楼!Y7</f>
        <v>0</v>
      </c>
      <c r="AB7" s="22">
        <f t="shared" si="2"/>
        <v>15</v>
      </c>
      <c r="AC7" s="22">
        <f t="shared" si="3"/>
        <v>20</v>
      </c>
      <c r="AD7" s="14">
        <f>INDEX(章节关卡!$I$6:$I$34,芦花古楼!X7)*芦花古楼!Y7</f>
        <v>0</v>
      </c>
      <c r="AE7" s="14">
        <v>50</v>
      </c>
      <c r="AH7" s="17">
        <v>3</v>
      </c>
      <c r="AI7" s="46">
        <v>4</v>
      </c>
      <c r="AJ7" s="123">
        <v>0</v>
      </c>
      <c r="AK7" s="87"/>
      <c r="AL7" s="87">
        <f>INDEX(章节关卡!$G$6:$G$34,芦花古楼!AI7)*芦花古楼!AJ7</f>
        <v>0</v>
      </c>
      <c r="AM7" s="22">
        <f t="shared" si="7"/>
        <v>20</v>
      </c>
      <c r="AN7" s="22">
        <f t="shared" si="8"/>
        <v>20</v>
      </c>
      <c r="AO7" s="14">
        <f>INDEX(章节关卡!$I$6:$I$34,芦花古楼!AI7)*芦花古楼!AJ7</f>
        <v>0</v>
      </c>
      <c r="AP7" s="14">
        <v>50</v>
      </c>
      <c r="AS7" s="18">
        <v>2</v>
      </c>
      <c r="AT7" s="87">
        <v>3</v>
      </c>
      <c r="AV7" s="18">
        <v>2</v>
      </c>
      <c r="AW7" s="87">
        <v>4</v>
      </c>
      <c r="AY7" s="18">
        <v>2</v>
      </c>
      <c r="AZ7" s="18">
        <v>4</v>
      </c>
      <c r="BB7" s="18">
        <v>2</v>
      </c>
      <c r="BC7" s="18">
        <v>4</v>
      </c>
      <c r="BF7" s="18">
        <v>2</v>
      </c>
      <c r="BG7" s="14">
        <f t="shared" si="9"/>
        <v>0</v>
      </c>
      <c r="BH7" s="14">
        <f t="shared" si="10"/>
        <v>80</v>
      </c>
      <c r="BI7" s="14">
        <f t="shared" si="11"/>
        <v>0</v>
      </c>
      <c r="BJ7" s="14">
        <f t="shared" ref="BJ7:BJ70" si="12">INDEX($I$5:$I$104,MATCH(BF7,$AT$5:$AT$105,1)-1)+INDEX($T$5:$T$104,MATCH(BF7,$AW$5:$AW$105,1)-1)+INDEX($AE$5:$AE$104,MATCH(BF7,$AZ$5:$AZ$105,1)-1)+INDEX($AP$5:$AP$104,MATCH(BF7,$BC$5:$BC$105,1)-1)</f>
        <v>200</v>
      </c>
      <c r="BK7" s="14">
        <f t="shared" ref="BK7:BK70" si="13">BG7+BH6</f>
        <v>80</v>
      </c>
      <c r="BL7" s="14">
        <f t="shared" ref="BL7:BL70" si="14">BK7*BL$3</f>
        <v>160</v>
      </c>
      <c r="BN7" s="18">
        <v>3</v>
      </c>
      <c r="BO7" s="18">
        <v>2</v>
      </c>
      <c r="BU7" s="52">
        <v>2</v>
      </c>
      <c r="BV7" s="52">
        <v>101</v>
      </c>
      <c r="BW7" s="52">
        <v>1606004</v>
      </c>
      <c r="BX7" s="52" t="s">
        <v>308</v>
      </c>
      <c r="BY7" s="52">
        <v>1</v>
      </c>
      <c r="BZ7" s="52">
        <v>15</v>
      </c>
      <c r="CA7" s="52">
        <f>SUM(BZ$5:BZ7)</f>
        <v>30</v>
      </c>
      <c r="CC7" s="52">
        <v>3</v>
      </c>
      <c r="CD7" s="52">
        <v>201</v>
      </c>
      <c r="CE7" s="52" t="s">
        <v>351</v>
      </c>
      <c r="CF7" s="52">
        <v>2</v>
      </c>
      <c r="CJ7" s="52">
        <v>3</v>
      </c>
      <c r="CK7" s="52">
        <v>1</v>
      </c>
      <c r="CL7" s="52" t="s">
        <v>244</v>
      </c>
      <c r="CM7" s="52">
        <v>3</v>
      </c>
      <c r="CN7" s="52"/>
      <c r="CO7" s="52"/>
      <c r="CP7" s="52"/>
      <c r="CQ7" s="52" t="s">
        <v>358</v>
      </c>
      <c r="CR7" s="52">
        <v>900</v>
      </c>
      <c r="CS7" s="52" t="s">
        <v>359</v>
      </c>
      <c r="CT7" s="52">
        <v>5</v>
      </c>
      <c r="CU7" s="52"/>
      <c r="CV7" s="52"/>
      <c r="CW7" s="52" t="s">
        <v>359</v>
      </c>
      <c r="CX7" s="52">
        <v>20</v>
      </c>
      <c r="CY7" s="52"/>
      <c r="CZ7" s="52"/>
      <c r="DA7" s="52"/>
      <c r="DB7" s="52"/>
      <c r="DC7" s="52"/>
      <c r="DD7" s="52"/>
      <c r="DE7" s="52"/>
      <c r="DF7" s="52"/>
      <c r="DG7" s="52"/>
      <c r="DH7" s="52"/>
    </row>
    <row r="8" spans="1:112" ht="16.5" x14ac:dyDescent="0.2">
      <c r="A8" s="17">
        <v>4</v>
      </c>
      <c r="B8" s="24">
        <v>2</v>
      </c>
      <c r="C8" s="123">
        <v>0</v>
      </c>
      <c r="D8" s="87"/>
      <c r="E8" s="78">
        <f>INDEX(章节关卡!$G$6:$G$34,芦花古楼!B8)*芦花古楼!C8</f>
        <v>0</v>
      </c>
      <c r="F8" s="22">
        <f t="shared" si="0"/>
        <v>5</v>
      </c>
      <c r="G8" s="22">
        <f t="shared" si="1"/>
        <v>20</v>
      </c>
      <c r="H8" s="14">
        <f>INDEX(章节关卡!$I$6:$I$34,芦花古楼!B8)*芦花古楼!C8</f>
        <v>0</v>
      </c>
      <c r="I8" s="14">
        <v>50</v>
      </c>
      <c r="L8" s="17">
        <v>4</v>
      </c>
      <c r="M8" s="78">
        <f t="shared" si="4"/>
        <v>4</v>
      </c>
      <c r="N8" s="123">
        <v>0</v>
      </c>
      <c r="O8" s="87"/>
      <c r="P8" s="78">
        <f>INDEX(章节关卡!$G$6:$G$34,芦花古楼!M8)*芦花古楼!N8</f>
        <v>0</v>
      </c>
      <c r="Q8" s="22">
        <f t="shared" si="5"/>
        <v>10</v>
      </c>
      <c r="R8" s="22">
        <f t="shared" si="6"/>
        <v>20</v>
      </c>
      <c r="S8" s="14">
        <f>INDEX(章节关卡!$I$6:$I$34,芦花古楼!M8)*芦花古楼!N8</f>
        <v>0</v>
      </c>
      <c r="T8" s="14">
        <v>50</v>
      </c>
      <c r="W8" s="17">
        <v>4</v>
      </c>
      <c r="X8" s="24">
        <v>4</v>
      </c>
      <c r="Y8" s="123">
        <v>0</v>
      </c>
      <c r="Z8" s="87"/>
      <c r="AA8" s="87">
        <f>INDEX(章节关卡!$G$6:$G$34,芦花古楼!X8)*芦花古楼!Y8</f>
        <v>0</v>
      </c>
      <c r="AB8" s="22">
        <f t="shared" si="2"/>
        <v>15</v>
      </c>
      <c r="AC8" s="22">
        <f t="shared" si="3"/>
        <v>20</v>
      </c>
      <c r="AD8" s="14">
        <f>INDEX(章节关卡!$I$6:$I$34,芦花古楼!X8)*芦花古楼!Y8</f>
        <v>0</v>
      </c>
      <c r="AE8" s="14">
        <v>50</v>
      </c>
      <c r="AH8" s="17">
        <v>4</v>
      </c>
      <c r="AI8" s="46">
        <v>4</v>
      </c>
      <c r="AJ8" s="123">
        <v>0</v>
      </c>
      <c r="AK8" s="87"/>
      <c r="AL8" s="87">
        <f>INDEX(章节关卡!$G$6:$G$34,芦花古楼!AI8)*芦花古楼!AJ8</f>
        <v>0</v>
      </c>
      <c r="AM8" s="22">
        <f t="shared" si="7"/>
        <v>20</v>
      </c>
      <c r="AN8" s="22">
        <f t="shared" si="8"/>
        <v>20</v>
      </c>
      <c r="AO8" s="14">
        <f>INDEX(章节关卡!$I$6:$I$34,芦花古楼!AI8)*芦花古楼!AJ8</f>
        <v>0</v>
      </c>
      <c r="AP8" s="14">
        <v>50</v>
      </c>
      <c r="AS8" s="18">
        <v>3</v>
      </c>
      <c r="AT8" s="87">
        <v>3</v>
      </c>
      <c r="AV8" s="18">
        <v>3</v>
      </c>
      <c r="AW8" s="87">
        <v>4</v>
      </c>
      <c r="AY8" s="18">
        <v>3</v>
      </c>
      <c r="AZ8" s="18">
        <v>4</v>
      </c>
      <c r="BB8" s="18">
        <v>3</v>
      </c>
      <c r="BC8" s="18">
        <v>4</v>
      </c>
      <c r="BF8" s="18">
        <v>3</v>
      </c>
      <c r="BG8" s="14">
        <f t="shared" si="9"/>
        <v>75</v>
      </c>
      <c r="BH8" s="14">
        <f t="shared" si="10"/>
        <v>90</v>
      </c>
      <c r="BI8" s="14">
        <f t="shared" si="11"/>
        <v>0</v>
      </c>
      <c r="BJ8" s="14">
        <f t="shared" si="12"/>
        <v>200</v>
      </c>
      <c r="BK8" s="14">
        <f t="shared" si="13"/>
        <v>155</v>
      </c>
      <c r="BL8" s="14">
        <f t="shared" si="14"/>
        <v>310</v>
      </c>
      <c r="BN8" s="18">
        <v>4</v>
      </c>
      <c r="BO8" s="18">
        <v>3</v>
      </c>
      <c r="BU8" s="52">
        <v>3</v>
      </c>
      <c r="BV8" s="52">
        <v>101</v>
      </c>
      <c r="BW8" s="52">
        <v>1606005</v>
      </c>
      <c r="BX8" s="52" t="s">
        <v>309</v>
      </c>
      <c r="BY8" s="52">
        <v>2</v>
      </c>
      <c r="BZ8" s="52">
        <v>15</v>
      </c>
      <c r="CA8" s="52">
        <f>SUM(BZ$5:BZ8)</f>
        <v>45</v>
      </c>
      <c r="CC8" s="52">
        <v>4</v>
      </c>
      <c r="CD8" s="52">
        <v>202</v>
      </c>
      <c r="CE8" s="52" t="s">
        <v>352</v>
      </c>
      <c r="CF8" s="52">
        <v>2</v>
      </c>
      <c r="CJ8" s="52">
        <v>4</v>
      </c>
      <c r="CK8" s="52">
        <v>1</v>
      </c>
      <c r="CL8" s="52" t="s">
        <v>244</v>
      </c>
      <c r="CM8" s="52">
        <v>4</v>
      </c>
      <c r="CN8" s="52"/>
      <c r="CO8" s="52"/>
      <c r="CP8" s="52"/>
      <c r="CQ8" s="52" t="s">
        <v>358</v>
      </c>
      <c r="CR8" s="52">
        <v>900</v>
      </c>
      <c r="CS8" s="52" t="s">
        <v>359</v>
      </c>
      <c r="CT8" s="52">
        <v>5</v>
      </c>
      <c r="CU8" s="52" t="s">
        <v>259</v>
      </c>
      <c r="CV8" s="52">
        <v>1</v>
      </c>
      <c r="CW8" s="52" t="s">
        <v>359</v>
      </c>
      <c r="CX8" s="52">
        <v>20</v>
      </c>
      <c r="CY8" s="52"/>
      <c r="CZ8" s="52"/>
      <c r="DA8" s="52"/>
      <c r="DB8" s="52"/>
      <c r="DC8" s="52"/>
      <c r="DD8" s="52"/>
      <c r="DE8" s="52"/>
      <c r="DF8" s="52"/>
      <c r="DG8" s="52"/>
      <c r="DH8" s="52"/>
    </row>
    <row r="9" spans="1:112" ht="16.5" x14ac:dyDescent="0.2">
      <c r="A9" s="17">
        <v>5</v>
      </c>
      <c r="B9" s="24">
        <v>3</v>
      </c>
      <c r="C9" s="123">
        <v>0</v>
      </c>
      <c r="D9" s="87"/>
      <c r="E9" s="78">
        <f>INDEX(章节关卡!$G$6:$G$34,芦花古楼!B9)*芦花古楼!C9</f>
        <v>0</v>
      </c>
      <c r="F9" s="22">
        <f t="shared" si="0"/>
        <v>5</v>
      </c>
      <c r="G9" s="22">
        <f t="shared" si="1"/>
        <v>25</v>
      </c>
      <c r="H9" s="14">
        <f>INDEX(章节关卡!$I$6:$I$34,芦花古楼!B9)*芦花古楼!C9</f>
        <v>0</v>
      </c>
      <c r="I9" s="14">
        <v>50</v>
      </c>
      <c r="L9" s="17">
        <v>5</v>
      </c>
      <c r="M9" s="78">
        <f t="shared" si="4"/>
        <v>4</v>
      </c>
      <c r="N9" s="123">
        <v>0</v>
      </c>
      <c r="O9" s="87"/>
      <c r="P9" s="78">
        <f>INDEX(章节关卡!$G$6:$G$34,芦花古楼!M9)*芦花古楼!N9</f>
        <v>0</v>
      </c>
      <c r="Q9" s="22">
        <f t="shared" si="5"/>
        <v>10</v>
      </c>
      <c r="R9" s="22">
        <f t="shared" si="6"/>
        <v>25</v>
      </c>
      <c r="S9" s="14">
        <f>INDEX(章节关卡!$I$6:$I$34,芦花古楼!M9)*芦花古楼!N9</f>
        <v>0</v>
      </c>
      <c r="T9" s="14">
        <v>50</v>
      </c>
      <c r="W9" s="17">
        <v>5</v>
      </c>
      <c r="X9" s="46">
        <v>4</v>
      </c>
      <c r="Y9" s="123">
        <v>0</v>
      </c>
      <c r="Z9" s="87"/>
      <c r="AA9" s="87">
        <f>INDEX(章节关卡!$G$6:$G$34,芦花古楼!X9)*芦花古楼!Y9</f>
        <v>0</v>
      </c>
      <c r="AB9" s="22">
        <f t="shared" si="2"/>
        <v>15</v>
      </c>
      <c r="AC9" s="22">
        <f t="shared" si="3"/>
        <v>25</v>
      </c>
      <c r="AD9" s="14">
        <f>INDEX(章节关卡!$I$6:$I$34,芦花古楼!X9)*芦花古楼!Y9</f>
        <v>0</v>
      </c>
      <c r="AE9" s="14">
        <v>50</v>
      </c>
      <c r="AH9" s="17">
        <v>5</v>
      </c>
      <c r="AI9" s="46">
        <v>4</v>
      </c>
      <c r="AJ9" s="123">
        <v>0</v>
      </c>
      <c r="AK9" s="87"/>
      <c r="AL9" s="87">
        <f>INDEX(章节关卡!$G$6:$G$34,芦花古楼!AI9)*芦花古楼!AJ9</f>
        <v>0</v>
      </c>
      <c r="AM9" s="22">
        <f t="shared" si="7"/>
        <v>20</v>
      </c>
      <c r="AN9" s="22">
        <f t="shared" si="8"/>
        <v>25</v>
      </c>
      <c r="AO9" s="14">
        <f>INDEX(章节关卡!$I$6:$I$34,芦花古楼!AI9)*芦花古楼!AJ9</f>
        <v>0</v>
      </c>
      <c r="AP9" s="14">
        <v>50</v>
      </c>
      <c r="AS9" s="18">
        <v>4</v>
      </c>
      <c r="AT9" s="87">
        <v>3</v>
      </c>
      <c r="AV9" s="18">
        <v>4</v>
      </c>
      <c r="AW9" s="87">
        <v>4</v>
      </c>
      <c r="AY9" s="18">
        <v>4</v>
      </c>
      <c r="AZ9" s="18">
        <v>4</v>
      </c>
      <c r="BB9" s="18">
        <v>4</v>
      </c>
      <c r="BC9" s="18">
        <v>4</v>
      </c>
      <c r="BF9" s="18">
        <v>4</v>
      </c>
      <c r="BG9" s="14">
        <f t="shared" si="9"/>
        <v>300</v>
      </c>
      <c r="BH9" s="14">
        <f t="shared" si="10"/>
        <v>110</v>
      </c>
      <c r="BI9" s="14">
        <f t="shared" si="11"/>
        <v>0</v>
      </c>
      <c r="BJ9" s="14">
        <f t="shared" si="12"/>
        <v>200</v>
      </c>
      <c r="BK9" s="14">
        <f t="shared" si="13"/>
        <v>390</v>
      </c>
      <c r="BL9" s="14">
        <f t="shared" si="14"/>
        <v>780</v>
      </c>
      <c r="BN9" s="18">
        <v>5</v>
      </c>
      <c r="BO9" s="18">
        <v>3</v>
      </c>
      <c r="BU9" s="52">
        <v>4</v>
      </c>
      <c r="BV9" s="52">
        <v>102</v>
      </c>
      <c r="BW9" s="52">
        <v>1606006</v>
      </c>
      <c r="BX9" s="52" t="s">
        <v>310</v>
      </c>
      <c r="BY9" s="52">
        <v>1</v>
      </c>
      <c r="BZ9" s="52">
        <v>15</v>
      </c>
      <c r="CA9" s="52">
        <f>SUM(BZ$5:BZ9)</f>
        <v>60</v>
      </c>
      <c r="CC9" s="52">
        <v>5</v>
      </c>
      <c r="CD9" s="52">
        <v>301</v>
      </c>
      <c r="CE9" s="52" t="s">
        <v>353</v>
      </c>
      <c r="CF9" s="52">
        <v>3</v>
      </c>
      <c r="CJ9" s="52">
        <v>5</v>
      </c>
      <c r="CK9" s="52">
        <v>1</v>
      </c>
      <c r="CL9" s="52" t="s">
        <v>244</v>
      </c>
      <c r="CM9" s="52">
        <v>5</v>
      </c>
      <c r="CN9" s="52"/>
      <c r="CO9" s="52"/>
      <c r="CP9" s="52"/>
      <c r="CQ9" s="52" t="s">
        <v>358</v>
      </c>
      <c r="CR9" s="52">
        <v>1200</v>
      </c>
      <c r="CS9" s="52" t="s">
        <v>359</v>
      </c>
      <c r="CT9" s="52">
        <v>5</v>
      </c>
      <c r="CU9" s="52"/>
      <c r="CV9" s="52"/>
      <c r="CW9" s="52" t="s">
        <v>359</v>
      </c>
      <c r="CX9" s="52">
        <v>25</v>
      </c>
      <c r="CY9" s="52"/>
      <c r="CZ9" s="52"/>
      <c r="DA9" s="52"/>
      <c r="DB9" s="52"/>
      <c r="DC9" s="52"/>
      <c r="DD9" s="52"/>
      <c r="DE9" s="52"/>
      <c r="DF9" s="52"/>
      <c r="DG9" s="52"/>
      <c r="DH9" s="52"/>
    </row>
    <row r="10" spans="1:112" ht="16.5" x14ac:dyDescent="0.2">
      <c r="A10" s="17">
        <v>6</v>
      </c>
      <c r="B10" s="24">
        <v>3</v>
      </c>
      <c r="C10" s="123">
        <v>0</v>
      </c>
      <c r="D10" s="87"/>
      <c r="E10" s="78">
        <f>INDEX(章节关卡!$G$6:$G$34,芦花古楼!B10)*芦花古楼!C10</f>
        <v>0</v>
      </c>
      <c r="F10" s="22">
        <f t="shared" si="0"/>
        <v>10</v>
      </c>
      <c r="G10" s="22">
        <f t="shared" si="1"/>
        <v>25</v>
      </c>
      <c r="H10" s="14">
        <f>INDEX(章节关卡!$I$6:$I$34,芦花古楼!B10)*芦花古楼!C10</f>
        <v>0</v>
      </c>
      <c r="I10" s="14">
        <v>50</v>
      </c>
      <c r="L10" s="17">
        <v>6</v>
      </c>
      <c r="M10" s="78">
        <f t="shared" si="4"/>
        <v>5</v>
      </c>
      <c r="N10" s="123">
        <v>0</v>
      </c>
      <c r="O10" s="87"/>
      <c r="P10" s="78">
        <f>INDEX(章节关卡!$G$6:$G$34,芦花古楼!M10)*芦花古楼!N10</f>
        <v>0</v>
      </c>
      <c r="Q10" s="22">
        <f t="shared" si="5"/>
        <v>15</v>
      </c>
      <c r="R10" s="22">
        <f t="shared" si="6"/>
        <v>25</v>
      </c>
      <c r="S10" s="14">
        <f>INDEX(章节关卡!$I$6:$I$34,芦花古楼!M10)*芦花古楼!N10</f>
        <v>0</v>
      </c>
      <c r="T10" s="14">
        <v>50</v>
      </c>
      <c r="W10" s="17">
        <v>6</v>
      </c>
      <c r="X10" s="24">
        <v>5</v>
      </c>
      <c r="Y10" s="123">
        <v>0</v>
      </c>
      <c r="Z10" s="87"/>
      <c r="AA10" s="87">
        <f>INDEX(章节关卡!$G$6:$G$34,芦花古楼!X10)*芦花古楼!Y10</f>
        <v>0</v>
      </c>
      <c r="AB10" s="22">
        <f t="shared" si="2"/>
        <v>20</v>
      </c>
      <c r="AC10" s="22">
        <f t="shared" si="3"/>
        <v>25</v>
      </c>
      <c r="AD10" s="14">
        <f>INDEX(章节关卡!$I$6:$I$34,芦花古楼!X10)*芦花古楼!Y10</f>
        <v>0</v>
      </c>
      <c r="AE10" s="14">
        <v>50</v>
      </c>
      <c r="AH10" s="17">
        <v>6</v>
      </c>
      <c r="AI10" s="46">
        <v>5</v>
      </c>
      <c r="AJ10" s="123">
        <v>0</v>
      </c>
      <c r="AK10" s="87"/>
      <c r="AL10" s="87">
        <f>INDEX(章节关卡!$G$6:$G$34,芦花古楼!AI10)*芦花古楼!AJ10</f>
        <v>0</v>
      </c>
      <c r="AM10" s="22">
        <f t="shared" si="7"/>
        <v>25</v>
      </c>
      <c r="AN10" s="22">
        <f t="shared" si="8"/>
        <v>25</v>
      </c>
      <c r="AO10" s="14">
        <f>INDEX(章节关卡!$I$6:$I$34,芦花古楼!AI10)*芦花古楼!AJ10</f>
        <v>0</v>
      </c>
      <c r="AP10" s="14">
        <v>50</v>
      </c>
      <c r="AS10" s="18">
        <v>5</v>
      </c>
      <c r="AT10" s="87">
        <v>3</v>
      </c>
      <c r="AV10" s="18">
        <v>5</v>
      </c>
      <c r="AW10" s="87">
        <v>4</v>
      </c>
      <c r="AY10" s="18">
        <v>5</v>
      </c>
      <c r="AZ10" s="18">
        <v>4</v>
      </c>
      <c r="BB10" s="18">
        <v>5</v>
      </c>
      <c r="BC10" s="18">
        <v>4</v>
      </c>
      <c r="BF10" s="18">
        <v>5</v>
      </c>
      <c r="BG10" s="14">
        <f t="shared" si="9"/>
        <v>400</v>
      </c>
      <c r="BH10" s="14">
        <f t="shared" si="10"/>
        <v>130</v>
      </c>
      <c r="BI10" s="14">
        <f t="shared" si="11"/>
        <v>0</v>
      </c>
      <c r="BJ10" s="14">
        <f t="shared" si="12"/>
        <v>250</v>
      </c>
      <c r="BK10" s="14">
        <f t="shared" si="13"/>
        <v>510</v>
      </c>
      <c r="BL10" s="14">
        <f t="shared" si="14"/>
        <v>1020</v>
      </c>
      <c r="BN10" s="18">
        <v>6</v>
      </c>
      <c r="BO10" s="22">
        <v>4</v>
      </c>
      <c r="BU10" s="52">
        <v>5</v>
      </c>
      <c r="BV10" s="52">
        <v>102</v>
      </c>
      <c r="BW10" s="52">
        <v>1606007</v>
      </c>
      <c r="BX10" s="52" t="s">
        <v>311</v>
      </c>
      <c r="BY10" s="52">
        <v>1</v>
      </c>
      <c r="BZ10" s="52">
        <v>15</v>
      </c>
      <c r="CA10" s="52">
        <f>SUM(BZ$5:BZ10)</f>
        <v>75</v>
      </c>
      <c r="CC10" s="52">
        <v>6</v>
      </c>
      <c r="CD10" s="52">
        <v>302</v>
      </c>
      <c r="CE10" s="52" t="s">
        <v>354</v>
      </c>
      <c r="CF10" s="52">
        <v>3</v>
      </c>
      <c r="CJ10" s="52">
        <v>6</v>
      </c>
      <c r="CK10" s="52">
        <v>1</v>
      </c>
      <c r="CL10" s="52" t="s">
        <v>244</v>
      </c>
      <c r="CM10" s="52">
        <v>6</v>
      </c>
      <c r="CN10" s="52"/>
      <c r="CO10" s="52"/>
      <c r="CP10" s="52"/>
      <c r="CQ10" s="52" t="s">
        <v>358</v>
      </c>
      <c r="CR10" s="52">
        <v>1200</v>
      </c>
      <c r="CS10" s="52" t="s">
        <v>359</v>
      </c>
      <c r="CT10" s="52">
        <v>10</v>
      </c>
      <c r="CU10" s="52"/>
      <c r="CV10" s="52"/>
      <c r="CW10" s="52" t="s">
        <v>359</v>
      </c>
      <c r="CX10" s="52">
        <v>25</v>
      </c>
      <c r="CY10" s="52"/>
      <c r="CZ10" s="52"/>
      <c r="DA10" s="52"/>
      <c r="DB10" s="52"/>
      <c r="DC10" s="52"/>
      <c r="DD10" s="52"/>
      <c r="DE10" s="52"/>
      <c r="DF10" s="52"/>
      <c r="DG10" s="52"/>
      <c r="DH10" s="52"/>
    </row>
    <row r="11" spans="1:112" ht="16.5" x14ac:dyDescent="0.2">
      <c r="A11" s="17">
        <v>7</v>
      </c>
      <c r="B11" s="24">
        <v>3</v>
      </c>
      <c r="C11" s="123">
        <v>0</v>
      </c>
      <c r="D11" s="87"/>
      <c r="E11" s="78">
        <f>INDEX(章节关卡!$G$6:$G$34,芦花古楼!B11)*芦花古楼!C11</f>
        <v>0</v>
      </c>
      <c r="F11" s="22">
        <f t="shared" si="0"/>
        <v>10</v>
      </c>
      <c r="G11" s="22">
        <f t="shared" si="1"/>
        <v>25</v>
      </c>
      <c r="H11" s="14">
        <f>INDEX(章节关卡!$I$6:$I$34,芦花古楼!B11)*芦花古楼!C11</f>
        <v>0</v>
      </c>
      <c r="I11" s="14">
        <v>50</v>
      </c>
      <c r="L11" s="17">
        <v>7</v>
      </c>
      <c r="M11" s="78">
        <f t="shared" si="4"/>
        <v>5</v>
      </c>
      <c r="N11" s="123">
        <v>0</v>
      </c>
      <c r="O11" s="87"/>
      <c r="P11" s="78">
        <f>INDEX(章节关卡!$G$6:$G$34,芦花古楼!M11)*芦花古楼!N11</f>
        <v>0</v>
      </c>
      <c r="Q11" s="22">
        <f t="shared" si="5"/>
        <v>15</v>
      </c>
      <c r="R11" s="22">
        <f t="shared" si="6"/>
        <v>25</v>
      </c>
      <c r="S11" s="14">
        <f>INDEX(章节关卡!$I$6:$I$34,芦花古楼!M11)*芦花古楼!N11</f>
        <v>0</v>
      </c>
      <c r="T11" s="14">
        <v>50</v>
      </c>
      <c r="W11" s="17">
        <v>7</v>
      </c>
      <c r="X11" s="46">
        <v>5</v>
      </c>
      <c r="Y11" s="123">
        <v>0</v>
      </c>
      <c r="Z11" s="87"/>
      <c r="AA11" s="87">
        <f>INDEX(章节关卡!$G$6:$G$34,芦花古楼!X11)*芦花古楼!Y11</f>
        <v>0</v>
      </c>
      <c r="AB11" s="22">
        <f t="shared" si="2"/>
        <v>20</v>
      </c>
      <c r="AC11" s="22">
        <f t="shared" si="3"/>
        <v>25</v>
      </c>
      <c r="AD11" s="14">
        <f>INDEX(章节关卡!$I$6:$I$34,芦花古楼!X11)*芦花古楼!Y11</f>
        <v>0</v>
      </c>
      <c r="AE11" s="14">
        <v>50</v>
      </c>
      <c r="AH11" s="17">
        <v>7</v>
      </c>
      <c r="AI11" s="46">
        <v>5</v>
      </c>
      <c r="AJ11" s="123">
        <v>0</v>
      </c>
      <c r="AK11" s="87"/>
      <c r="AL11" s="87">
        <f>INDEX(章节关卡!$G$6:$G$34,芦花古楼!AI11)*芦花古楼!AJ11</f>
        <v>0</v>
      </c>
      <c r="AM11" s="22">
        <f t="shared" si="7"/>
        <v>25</v>
      </c>
      <c r="AN11" s="22">
        <f t="shared" si="8"/>
        <v>25</v>
      </c>
      <c r="AO11" s="14">
        <f>INDEX(章节关卡!$I$6:$I$34,芦花古楼!AI11)*芦花古楼!AJ11</f>
        <v>0</v>
      </c>
      <c r="AP11" s="14">
        <v>50</v>
      </c>
      <c r="AS11" s="18">
        <v>6</v>
      </c>
      <c r="AT11" s="87">
        <v>3</v>
      </c>
      <c r="AV11" s="18">
        <v>6</v>
      </c>
      <c r="AW11" s="18">
        <v>5</v>
      </c>
      <c r="AY11" s="18">
        <v>6</v>
      </c>
      <c r="AZ11" s="18">
        <v>5</v>
      </c>
      <c r="BB11" s="18">
        <v>6</v>
      </c>
      <c r="BC11" s="18">
        <v>5</v>
      </c>
      <c r="BF11" s="18">
        <v>6</v>
      </c>
      <c r="BG11" s="14">
        <f t="shared" si="9"/>
        <v>500</v>
      </c>
      <c r="BH11" s="14">
        <f t="shared" si="10"/>
        <v>150</v>
      </c>
      <c r="BI11" s="14">
        <f t="shared" si="11"/>
        <v>0</v>
      </c>
      <c r="BJ11" s="14">
        <f t="shared" si="12"/>
        <v>250</v>
      </c>
      <c r="BK11" s="14">
        <f t="shared" si="13"/>
        <v>630</v>
      </c>
      <c r="BL11" s="14">
        <f t="shared" si="14"/>
        <v>1260</v>
      </c>
      <c r="BN11" s="18">
        <v>7</v>
      </c>
      <c r="BO11" s="22">
        <v>4</v>
      </c>
      <c r="BU11" s="52">
        <v>6</v>
      </c>
      <c r="BV11" s="52">
        <v>102</v>
      </c>
      <c r="BW11" s="52">
        <v>1606008</v>
      </c>
      <c r="BX11" s="52" t="s">
        <v>312</v>
      </c>
      <c r="BY11" s="52">
        <v>1</v>
      </c>
      <c r="BZ11" s="52">
        <v>15</v>
      </c>
      <c r="CA11" s="52">
        <f>SUM(BZ$5:BZ11)</f>
        <v>90</v>
      </c>
      <c r="CC11" s="52">
        <v>7</v>
      </c>
      <c r="CD11" s="52">
        <v>303</v>
      </c>
      <c r="CE11" s="52" t="s">
        <v>355</v>
      </c>
      <c r="CF11" s="52">
        <v>3</v>
      </c>
      <c r="CJ11" s="52">
        <v>7</v>
      </c>
      <c r="CK11" s="52">
        <v>1</v>
      </c>
      <c r="CL11" s="52" t="s">
        <v>244</v>
      </c>
      <c r="CM11" s="52">
        <v>7</v>
      </c>
      <c r="CN11" s="52"/>
      <c r="CO11" s="52"/>
      <c r="CP11" s="52"/>
      <c r="CQ11" s="52" t="s">
        <v>358</v>
      </c>
      <c r="CR11" s="52">
        <v>1200</v>
      </c>
      <c r="CS11" s="52" t="s">
        <v>359</v>
      </c>
      <c r="CT11" s="52">
        <v>10</v>
      </c>
      <c r="CU11" s="52" t="s">
        <v>360</v>
      </c>
      <c r="CV11" s="52">
        <v>1</v>
      </c>
      <c r="CW11" s="52" t="s">
        <v>359</v>
      </c>
      <c r="CX11" s="52">
        <v>25</v>
      </c>
      <c r="CY11" s="52"/>
      <c r="CZ11" s="52"/>
      <c r="DA11" s="52"/>
      <c r="DB11" s="52"/>
      <c r="DC11" s="52"/>
      <c r="DD11" s="52"/>
      <c r="DE11" s="52"/>
      <c r="DF11" s="52"/>
      <c r="DG11" s="52"/>
      <c r="DH11" s="52"/>
    </row>
    <row r="12" spans="1:112" ht="16.5" x14ac:dyDescent="0.2">
      <c r="A12" s="17">
        <v>8</v>
      </c>
      <c r="B12" s="24">
        <v>4</v>
      </c>
      <c r="C12" s="123">
        <v>0</v>
      </c>
      <c r="D12" s="87"/>
      <c r="E12" s="78">
        <f>INDEX(章节关卡!$G$6:$G$34,芦花古楼!B12)*芦花古楼!C12</f>
        <v>0</v>
      </c>
      <c r="F12" s="22">
        <f t="shared" si="0"/>
        <v>10</v>
      </c>
      <c r="G12" s="22">
        <f t="shared" si="1"/>
        <v>25</v>
      </c>
      <c r="H12" s="14">
        <f>INDEX(章节关卡!$I$6:$I$34,芦花古楼!B12)*芦花古楼!C12</f>
        <v>0</v>
      </c>
      <c r="I12" s="14">
        <v>50</v>
      </c>
      <c r="L12" s="17">
        <v>8</v>
      </c>
      <c r="M12" s="78">
        <f t="shared" si="4"/>
        <v>5</v>
      </c>
      <c r="N12" s="123">
        <v>0</v>
      </c>
      <c r="O12" s="87"/>
      <c r="P12" s="78">
        <f>INDEX(章节关卡!$G$6:$G$34,芦花古楼!M12)*芦花古楼!N12</f>
        <v>0</v>
      </c>
      <c r="Q12" s="22">
        <f t="shared" si="5"/>
        <v>15</v>
      </c>
      <c r="R12" s="22">
        <f t="shared" si="6"/>
        <v>25</v>
      </c>
      <c r="S12" s="14">
        <f>INDEX(章节关卡!$I$6:$I$34,芦花古楼!M12)*芦花古楼!N12</f>
        <v>0</v>
      </c>
      <c r="T12" s="14">
        <v>50</v>
      </c>
      <c r="W12" s="17">
        <v>8</v>
      </c>
      <c r="X12" s="46">
        <v>5</v>
      </c>
      <c r="Y12" s="123">
        <v>0</v>
      </c>
      <c r="Z12" s="87"/>
      <c r="AA12" s="87">
        <f>INDEX(章节关卡!$G$6:$G$34,芦花古楼!X12)*芦花古楼!Y12</f>
        <v>0</v>
      </c>
      <c r="AB12" s="22">
        <f t="shared" si="2"/>
        <v>20</v>
      </c>
      <c r="AC12" s="22">
        <f t="shared" si="3"/>
        <v>25</v>
      </c>
      <c r="AD12" s="14">
        <f>INDEX(章节关卡!$I$6:$I$34,芦花古楼!X12)*芦花古楼!Y12</f>
        <v>0</v>
      </c>
      <c r="AE12" s="14">
        <v>50</v>
      </c>
      <c r="AH12" s="17">
        <v>8</v>
      </c>
      <c r="AI12" s="46">
        <v>5</v>
      </c>
      <c r="AJ12" s="123">
        <v>0</v>
      </c>
      <c r="AK12" s="87"/>
      <c r="AL12" s="87">
        <f>INDEX(章节关卡!$G$6:$G$34,芦花古楼!AI12)*芦花古楼!AJ12</f>
        <v>0</v>
      </c>
      <c r="AM12" s="22">
        <f t="shared" si="7"/>
        <v>25</v>
      </c>
      <c r="AN12" s="22">
        <f t="shared" si="8"/>
        <v>25</v>
      </c>
      <c r="AO12" s="14">
        <f>INDEX(章节关卡!$I$6:$I$34,芦花古楼!AI12)*芦花古楼!AJ12</f>
        <v>0</v>
      </c>
      <c r="AP12" s="14">
        <v>50</v>
      </c>
      <c r="AS12" s="18">
        <v>7</v>
      </c>
      <c r="AT12" s="87">
        <v>3</v>
      </c>
      <c r="AV12" s="18">
        <v>7</v>
      </c>
      <c r="AW12" s="87">
        <v>5</v>
      </c>
      <c r="AY12" s="18">
        <v>7</v>
      </c>
      <c r="AZ12" s="18">
        <v>5</v>
      </c>
      <c r="BB12" s="18">
        <v>7</v>
      </c>
      <c r="BC12" s="18">
        <v>5</v>
      </c>
      <c r="BF12" s="18">
        <v>7</v>
      </c>
      <c r="BG12" s="14">
        <f t="shared" si="9"/>
        <v>600</v>
      </c>
      <c r="BH12" s="14">
        <f t="shared" si="10"/>
        <v>170</v>
      </c>
      <c r="BI12" s="14">
        <f t="shared" si="11"/>
        <v>0</v>
      </c>
      <c r="BJ12" s="14">
        <f t="shared" si="12"/>
        <v>400</v>
      </c>
      <c r="BK12" s="14">
        <f t="shared" si="13"/>
        <v>750</v>
      </c>
      <c r="BL12" s="14">
        <f t="shared" si="14"/>
        <v>1500</v>
      </c>
      <c r="BN12" s="18">
        <v>8</v>
      </c>
      <c r="BO12" s="22">
        <v>4</v>
      </c>
      <c r="BU12" s="52">
        <v>7</v>
      </c>
      <c r="BV12" s="52">
        <v>102</v>
      </c>
      <c r="BW12" s="52">
        <v>1606009</v>
      </c>
      <c r="BX12" s="52" t="s">
        <v>313</v>
      </c>
      <c r="BY12" s="52">
        <v>2</v>
      </c>
      <c r="BZ12" s="52">
        <v>15</v>
      </c>
      <c r="CA12" s="52">
        <f>SUM(BZ$5:BZ12)</f>
        <v>105</v>
      </c>
      <c r="CJ12" s="52">
        <v>8</v>
      </c>
      <c r="CK12" s="52">
        <v>1</v>
      </c>
      <c r="CL12" s="52" t="s">
        <v>244</v>
      </c>
      <c r="CM12" s="52">
        <v>8</v>
      </c>
      <c r="CN12" s="52"/>
      <c r="CO12" s="52"/>
      <c r="CP12" s="52"/>
      <c r="CQ12" s="52" t="s">
        <v>358</v>
      </c>
      <c r="CR12" s="52">
        <v>1500</v>
      </c>
      <c r="CS12" s="52" t="s">
        <v>359</v>
      </c>
      <c r="CT12" s="52">
        <v>10</v>
      </c>
      <c r="CU12" s="52"/>
      <c r="CV12" s="52"/>
      <c r="CW12" s="52" t="s">
        <v>359</v>
      </c>
      <c r="CX12" s="52">
        <v>25</v>
      </c>
      <c r="CY12" s="52"/>
      <c r="CZ12" s="52"/>
      <c r="DA12" s="52"/>
      <c r="DB12" s="52"/>
      <c r="DC12" s="52"/>
      <c r="DD12" s="52"/>
      <c r="DE12" s="52"/>
      <c r="DF12" s="52"/>
      <c r="DG12" s="52"/>
      <c r="DH12" s="52"/>
    </row>
    <row r="13" spans="1:112" ht="16.5" x14ac:dyDescent="0.2">
      <c r="A13" s="17">
        <v>9</v>
      </c>
      <c r="B13" s="24">
        <v>4</v>
      </c>
      <c r="C13" s="123">
        <v>0</v>
      </c>
      <c r="D13" s="87"/>
      <c r="E13" s="78">
        <f>INDEX(章节关卡!$G$6:$G$34,芦花古楼!B13)*芦花古楼!C13</f>
        <v>0</v>
      </c>
      <c r="F13" s="22">
        <f t="shared" si="0"/>
        <v>10</v>
      </c>
      <c r="G13" s="22">
        <f t="shared" si="1"/>
        <v>25</v>
      </c>
      <c r="H13" s="14">
        <f>INDEX(章节关卡!$I$6:$I$34,芦花古楼!B13)*芦花古楼!C13</f>
        <v>0</v>
      </c>
      <c r="I13" s="14">
        <v>50</v>
      </c>
      <c r="L13" s="17">
        <v>9</v>
      </c>
      <c r="M13" s="78">
        <f t="shared" si="4"/>
        <v>5</v>
      </c>
      <c r="N13" s="123">
        <v>0</v>
      </c>
      <c r="O13" s="87"/>
      <c r="P13" s="78">
        <f>INDEX(章节关卡!$G$6:$G$34,芦花古楼!M13)*芦花古楼!N13</f>
        <v>0</v>
      </c>
      <c r="Q13" s="22">
        <f t="shared" si="5"/>
        <v>15</v>
      </c>
      <c r="R13" s="22">
        <f t="shared" si="6"/>
        <v>25</v>
      </c>
      <c r="S13" s="14">
        <f>INDEX(章节关卡!$I$6:$I$34,芦花古楼!M13)*芦花古楼!N13</f>
        <v>0</v>
      </c>
      <c r="T13" s="14">
        <v>50</v>
      </c>
      <c r="W13" s="17">
        <v>9</v>
      </c>
      <c r="X13" s="46">
        <v>5</v>
      </c>
      <c r="Y13" s="123">
        <v>0</v>
      </c>
      <c r="Z13" s="87"/>
      <c r="AA13" s="87">
        <f>INDEX(章节关卡!$G$6:$G$34,芦花古楼!X13)*芦花古楼!Y13</f>
        <v>0</v>
      </c>
      <c r="AB13" s="22">
        <f t="shared" si="2"/>
        <v>20</v>
      </c>
      <c r="AC13" s="22">
        <f t="shared" si="3"/>
        <v>25</v>
      </c>
      <c r="AD13" s="14">
        <f>INDEX(章节关卡!$I$6:$I$34,芦花古楼!X13)*芦花古楼!Y13</f>
        <v>0</v>
      </c>
      <c r="AE13" s="14">
        <v>50</v>
      </c>
      <c r="AH13" s="17">
        <v>9</v>
      </c>
      <c r="AI13" s="46">
        <v>5</v>
      </c>
      <c r="AJ13" s="123">
        <v>0</v>
      </c>
      <c r="AK13" s="87"/>
      <c r="AL13" s="87">
        <f>INDEX(章节关卡!$G$6:$G$34,芦花古楼!AI13)*芦花古楼!AJ13</f>
        <v>0</v>
      </c>
      <c r="AM13" s="22">
        <f t="shared" si="7"/>
        <v>25</v>
      </c>
      <c r="AN13" s="22">
        <f t="shared" si="8"/>
        <v>25</v>
      </c>
      <c r="AO13" s="14">
        <f>INDEX(章节关卡!$I$6:$I$34,芦花古楼!AI13)*芦花古楼!AJ13</f>
        <v>0</v>
      </c>
      <c r="AP13" s="14">
        <v>50</v>
      </c>
      <c r="AS13" s="18">
        <v>8</v>
      </c>
      <c r="AT13" s="87">
        <v>3</v>
      </c>
      <c r="AV13" s="18">
        <v>8</v>
      </c>
      <c r="AW13" s="87">
        <v>5</v>
      </c>
      <c r="AY13" s="18">
        <v>8</v>
      </c>
      <c r="AZ13" s="18">
        <v>5</v>
      </c>
      <c r="BB13" s="18">
        <v>8</v>
      </c>
      <c r="BC13" s="18">
        <v>5</v>
      </c>
      <c r="BF13" s="18">
        <v>8</v>
      </c>
      <c r="BG13" s="14">
        <f t="shared" si="9"/>
        <v>630</v>
      </c>
      <c r="BH13" s="14">
        <f t="shared" si="10"/>
        <v>185</v>
      </c>
      <c r="BI13" s="14">
        <f t="shared" si="11"/>
        <v>0</v>
      </c>
      <c r="BJ13" s="14">
        <f t="shared" si="12"/>
        <v>400</v>
      </c>
      <c r="BK13" s="14">
        <f t="shared" si="13"/>
        <v>800</v>
      </c>
      <c r="BL13" s="14">
        <f t="shared" si="14"/>
        <v>1600</v>
      </c>
      <c r="BN13" s="18">
        <v>9</v>
      </c>
      <c r="BO13" s="22">
        <v>4</v>
      </c>
      <c r="BU13" s="52">
        <v>8</v>
      </c>
      <c r="BV13" s="52">
        <v>102</v>
      </c>
      <c r="BW13" s="52">
        <v>1606010</v>
      </c>
      <c r="BX13" s="52" t="s">
        <v>314</v>
      </c>
      <c r="BY13" s="52">
        <v>3</v>
      </c>
      <c r="BZ13" s="52">
        <v>15</v>
      </c>
      <c r="CA13" s="52">
        <f>SUM(BZ$5:BZ13)</f>
        <v>120</v>
      </c>
      <c r="CJ13" s="52">
        <v>9</v>
      </c>
      <c r="CK13" s="52">
        <v>1</v>
      </c>
      <c r="CL13" s="52" t="s">
        <v>244</v>
      </c>
      <c r="CM13" s="52">
        <v>9</v>
      </c>
      <c r="CN13" s="52"/>
      <c r="CO13" s="52"/>
      <c r="CP13" s="52"/>
      <c r="CQ13" s="52" t="s">
        <v>358</v>
      </c>
      <c r="CR13" s="52">
        <v>1500</v>
      </c>
      <c r="CS13" s="52" t="s">
        <v>359</v>
      </c>
      <c r="CT13" s="52">
        <v>10</v>
      </c>
      <c r="CU13" s="52"/>
      <c r="CV13" s="52"/>
      <c r="CW13" s="52" t="s">
        <v>359</v>
      </c>
      <c r="CX13" s="52">
        <v>25</v>
      </c>
      <c r="CY13" s="52"/>
      <c r="CZ13" s="52"/>
      <c r="DA13" s="52"/>
      <c r="DB13" s="52"/>
      <c r="DC13" s="52"/>
      <c r="DD13" s="52"/>
      <c r="DE13" s="52"/>
      <c r="DF13" s="52"/>
      <c r="DG13" s="52"/>
      <c r="DH13" s="52"/>
    </row>
    <row r="14" spans="1:112" ht="16.5" x14ac:dyDescent="0.2">
      <c r="A14" s="17">
        <v>10</v>
      </c>
      <c r="B14" s="24">
        <v>4</v>
      </c>
      <c r="C14" s="123">
        <v>0</v>
      </c>
      <c r="D14" s="87"/>
      <c r="E14" s="78">
        <f>INDEX(章节关卡!$G$6:$G$34,芦花古楼!B14)*芦花古楼!C14</f>
        <v>0</v>
      </c>
      <c r="F14" s="22">
        <f t="shared" si="0"/>
        <v>10</v>
      </c>
      <c r="G14" s="22">
        <f t="shared" si="1"/>
        <v>30</v>
      </c>
      <c r="H14" s="14">
        <f>INDEX(章节关卡!$I$6:$I$34,芦花古楼!B14)*芦花古楼!C14</f>
        <v>0</v>
      </c>
      <c r="I14" s="14">
        <v>50</v>
      </c>
      <c r="L14" s="17">
        <v>10</v>
      </c>
      <c r="M14" s="78">
        <f t="shared" si="4"/>
        <v>5</v>
      </c>
      <c r="N14" s="123">
        <v>0</v>
      </c>
      <c r="O14" s="87"/>
      <c r="P14" s="78">
        <f>INDEX(章节关卡!$G$6:$G$34,芦花古楼!M14)*芦花古楼!N14</f>
        <v>0</v>
      </c>
      <c r="Q14" s="22">
        <f t="shared" si="5"/>
        <v>15</v>
      </c>
      <c r="R14" s="22">
        <f t="shared" si="6"/>
        <v>30</v>
      </c>
      <c r="S14" s="14">
        <f>INDEX(章节关卡!$I$6:$I$34,芦花古楼!M14)*芦花古楼!N14</f>
        <v>0</v>
      </c>
      <c r="T14" s="14">
        <v>50</v>
      </c>
      <c r="W14" s="17">
        <v>10</v>
      </c>
      <c r="X14" s="46">
        <v>5</v>
      </c>
      <c r="Y14" s="123">
        <v>0</v>
      </c>
      <c r="Z14" s="87"/>
      <c r="AA14" s="87">
        <f>INDEX(章节关卡!$G$6:$G$34,芦花古楼!X14)*芦花古楼!Y14</f>
        <v>0</v>
      </c>
      <c r="AB14" s="22">
        <f t="shared" si="2"/>
        <v>20</v>
      </c>
      <c r="AC14" s="22">
        <f t="shared" si="3"/>
        <v>30</v>
      </c>
      <c r="AD14" s="14">
        <f>INDEX(章节关卡!$I$6:$I$34,芦花古楼!X14)*芦花古楼!Y14</f>
        <v>0</v>
      </c>
      <c r="AE14" s="14">
        <v>50</v>
      </c>
      <c r="AH14" s="17">
        <v>10</v>
      </c>
      <c r="AI14" s="46">
        <v>5</v>
      </c>
      <c r="AJ14" s="123">
        <v>0</v>
      </c>
      <c r="AK14" s="87"/>
      <c r="AL14" s="87">
        <f>INDEX(章节关卡!$G$6:$G$34,芦花古楼!AI14)*芦花古楼!AJ14</f>
        <v>0</v>
      </c>
      <c r="AM14" s="22">
        <f t="shared" si="7"/>
        <v>25</v>
      </c>
      <c r="AN14" s="22">
        <f t="shared" si="8"/>
        <v>30</v>
      </c>
      <c r="AO14" s="14">
        <f>INDEX(章节关卡!$I$6:$I$34,芦花古楼!AI14)*芦花古楼!AJ14</f>
        <v>0</v>
      </c>
      <c r="AP14" s="14">
        <v>50</v>
      </c>
      <c r="AS14" s="18">
        <v>9</v>
      </c>
      <c r="AT14" s="87">
        <v>3</v>
      </c>
      <c r="AV14" s="18">
        <v>9</v>
      </c>
      <c r="AW14" s="87">
        <v>5</v>
      </c>
      <c r="AY14" s="18">
        <v>9</v>
      </c>
      <c r="AZ14" s="18">
        <v>5</v>
      </c>
      <c r="BB14" s="18">
        <v>9</v>
      </c>
      <c r="BC14" s="18">
        <v>5</v>
      </c>
      <c r="BF14" s="18">
        <v>9</v>
      </c>
      <c r="BG14" s="14">
        <f t="shared" si="9"/>
        <v>710</v>
      </c>
      <c r="BH14" s="14">
        <f t="shared" si="10"/>
        <v>205</v>
      </c>
      <c r="BI14" s="14">
        <f t="shared" si="11"/>
        <v>0</v>
      </c>
      <c r="BJ14" s="14">
        <f t="shared" si="12"/>
        <v>400</v>
      </c>
      <c r="BK14" s="14">
        <f t="shared" si="13"/>
        <v>895</v>
      </c>
      <c r="BL14" s="14">
        <f t="shared" si="14"/>
        <v>1790</v>
      </c>
      <c r="BN14" s="18">
        <v>10</v>
      </c>
      <c r="BO14" s="18">
        <v>7</v>
      </c>
      <c r="BU14" s="52">
        <v>9</v>
      </c>
      <c r="BV14" s="52">
        <v>103</v>
      </c>
      <c r="BW14" s="52">
        <v>1606011</v>
      </c>
      <c r="BX14" s="52" t="s">
        <v>315</v>
      </c>
      <c r="BY14" s="52">
        <v>1</v>
      </c>
      <c r="BZ14" s="52">
        <v>21</v>
      </c>
      <c r="CA14" s="52">
        <f>SUM(BZ$5:BZ14)</f>
        <v>141</v>
      </c>
      <c r="CJ14" s="52">
        <v>10</v>
      </c>
      <c r="CK14" s="52">
        <v>1</v>
      </c>
      <c r="CL14" s="52" t="s">
        <v>244</v>
      </c>
      <c r="CM14" s="52">
        <v>10</v>
      </c>
      <c r="CN14" s="52"/>
      <c r="CO14" s="52"/>
      <c r="CP14" s="52"/>
      <c r="CQ14" s="52" t="s">
        <v>358</v>
      </c>
      <c r="CR14" s="52">
        <v>1500</v>
      </c>
      <c r="CS14" s="52" t="s">
        <v>359</v>
      </c>
      <c r="CT14" s="52">
        <v>10</v>
      </c>
      <c r="CU14" s="52" t="s">
        <v>259</v>
      </c>
      <c r="CV14" s="52">
        <v>1</v>
      </c>
      <c r="CW14" s="52" t="s">
        <v>359</v>
      </c>
      <c r="CX14" s="52">
        <v>30</v>
      </c>
      <c r="CY14" s="52"/>
      <c r="CZ14" s="52"/>
      <c r="DA14" s="52"/>
      <c r="DB14" s="52"/>
      <c r="DC14" s="52"/>
      <c r="DD14" s="52"/>
      <c r="DE14" s="52"/>
      <c r="DF14" s="52"/>
      <c r="DG14" s="52"/>
      <c r="DH14" s="52"/>
    </row>
    <row r="15" spans="1:112" ht="16.5" x14ac:dyDescent="0.2">
      <c r="A15" s="17">
        <v>11</v>
      </c>
      <c r="B15" s="24">
        <v>5</v>
      </c>
      <c r="C15" s="123">
        <v>0</v>
      </c>
      <c r="D15" s="87"/>
      <c r="E15" s="78">
        <f>INDEX(章节关卡!$G$6:$G$34,芦花古楼!B15)*芦花古楼!C15</f>
        <v>0</v>
      </c>
      <c r="F15" s="22">
        <f t="shared" si="0"/>
        <v>15</v>
      </c>
      <c r="G15" s="22">
        <f t="shared" si="1"/>
        <v>30</v>
      </c>
      <c r="H15" s="14">
        <f>INDEX(章节关卡!$I$6:$I$34,芦花古楼!B15)*芦花古楼!C15</f>
        <v>0</v>
      </c>
      <c r="I15" s="14">
        <v>50</v>
      </c>
      <c r="L15" s="17">
        <v>11</v>
      </c>
      <c r="M15" s="78">
        <f t="shared" si="4"/>
        <v>6</v>
      </c>
      <c r="N15" s="123">
        <v>0</v>
      </c>
      <c r="O15" s="87"/>
      <c r="P15" s="78">
        <f>INDEX(章节关卡!$G$6:$G$34,芦花古楼!M15)*芦花古楼!N15</f>
        <v>0</v>
      </c>
      <c r="Q15" s="22">
        <f t="shared" si="5"/>
        <v>20</v>
      </c>
      <c r="R15" s="22">
        <f t="shared" si="6"/>
        <v>30</v>
      </c>
      <c r="S15" s="14">
        <f>INDEX(章节关卡!$I$6:$I$34,芦花古楼!M15)*芦花古楼!N15</f>
        <v>0</v>
      </c>
      <c r="T15" s="14">
        <v>50</v>
      </c>
      <c r="W15" s="17">
        <v>11</v>
      </c>
      <c r="X15" s="24">
        <v>6</v>
      </c>
      <c r="Y15" s="123">
        <v>0</v>
      </c>
      <c r="Z15" s="87"/>
      <c r="AA15" s="87">
        <f>INDEX(章节关卡!$G$6:$G$34,芦花古楼!X15)*芦花古楼!Y15</f>
        <v>0</v>
      </c>
      <c r="AB15" s="22">
        <f t="shared" si="2"/>
        <v>25</v>
      </c>
      <c r="AC15" s="22">
        <f t="shared" si="3"/>
        <v>30</v>
      </c>
      <c r="AD15" s="14">
        <f>INDEX(章节关卡!$I$6:$I$34,芦花古楼!X15)*芦花古楼!Y15</f>
        <v>0</v>
      </c>
      <c r="AE15" s="14">
        <v>50</v>
      </c>
      <c r="AH15" s="17">
        <v>11</v>
      </c>
      <c r="AI15" s="46">
        <v>6</v>
      </c>
      <c r="AJ15" s="123">
        <v>0</v>
      </c>
      <c r="AK15" s="87"/>
      <c r="AL15" s="87">
        <f>INDEX(章节关卡!$G$6:$G$34,芦花古楼!AI15)*芦花古楼!AJ15</f>
        <v>0</v>
      </c>
      <c r="AM15" s="22">
        <f t="shared" si="7"/>
        <v>30</v>
      </c>
      <c r="AN15" s="22">
        <f t="shared" si="8"/>
        <v>30</v>
      </c>
      <c r="AO15" s="14">
        <f>INDEX(章节关卡!$I$6:$I$34,芦花古楼!AI15)*芦花古楼!AJ15</f>
        <v>0</v>
      </c>
      <c r="AP15" s="14">
        <v>50</v>
      </c>
      <c r="AS15" s="18">
        <v>10</v>
      </c>
      <c r="AT15" s="87">
        <v>3</v>
      </c>
      <c r="AV15" s="18">
        <v>10</v>
      </c>
      <c r="AW15" s="87">
        <v>5</v>
      </c>
      <c r="AY15" s="18">
        <v>10</v>
      </c>
      <c r="AZ15" s="18">
        <v>5</v>
      </c>
      <c r="BB15" s="18">
        <v>10</v>
      </c>
      <c r="BC15" s="18">
        <v>5</v>
      </c>
      <c r="BF15" s="18">
        <v>10</v>
      </c>
      <c r="BG15" s="14">
        <f t="shared" si="9"/>
        <v>525</v>
      </c>
      <c r="BH15" s="14">
        <f t="shared" si="10"/>
        <v>205</v>
      </c>
      <c r="BI15" s="14">
        <f t="shared" si="11"/>
        <v>0</v>
      </c>
      <c r="BJ15" s="14">
        <f t="shared" si="12"/>
        <v>400</v>
      </c>
      <c r="BK15" s="14">
        <f t="shared" si="13"/>
        <v>730</v>
      </c>
      <c r="BL15" s="14">
        <f t="shared" si="14"/>
        <v>1460</v>
      </c>
      <c r="BN15" s="18">
        <v>11</v>
      </c>
      <c r="BO15" s="22">
        <v>7</v>
      </c>
      <c r="BU15" s="52">
        <v>10</v>
      </c>
      <c r="BV15" s="52">
        <v>103</v>
      </c>
      <c r="BW15" s="52">
        <v>1606012</v>
      </c>
      <c r="BX15" s="52" t="s">
        <v>316</v>
      </c>
      <c r="BY15" s="52">
        <v>2</v>
      </c>
      <c r="BZ15" s="52">
        <v>21</v>
      </c>
      <c r="CA15" s="52">
        <f>SUM(BZ$5:BZ15)</f>
        <v>162</v>
      </c>
      <c r="CJ15" s="52">
        <v>11</v>
      </c>
      <c r="CK15" s="52">
        <v>1</v>
      </c>
      <c r="CL15" s="52" t="s">
        <v>244</v>
      </c>
      <c r="CM15" s="52">
        <v>11</v>
      </c>
      <c r="CN15" s="52"/>
      <c r="CO15" s="52"/>
      <c r="CP15" s="52"/>
      <c r="CQ15" s="52" t="s">
        <v>358</v>
      </c>
      <c r="CR15" s="52">
        <v>1920</v>
      </c>
      <c r="CS15" s="52" t="s">
        <v>359</v>
      </c>
      <c r="CT15" s="52">
        <v>15</v>
      </c>
      <c r="CU15" s="52"/>
      <c r="CV15" s="52"/>
      <c r="CW15" s="52" t="s">
        <v>359</v>
      </c>
      <c r="CX15" s="52">
        <v>30</v>
      </c>
      <c r="CY15" s="52"/>
      <c r="CZ15" s="52"/>
      <c r="DA15" s="52"/>
      <c r="DB15" s="52"/>
      <c r="DC15" s="52"/>
      <c r="DD15" s="52"/>
      <c r="DE15" s="52"/>
      <c r="DF15" s="52"/>
      <c r="DG15" s="52"/>
      <c r="DH15" s="52"/>
    </row>
    <row r="16" spans="1:112" ht="16.5" x14ac:dyDescent="0.2">
      <c r="A16" s="17">
        <v>12</v>
      </c>
      <c r="B16" s="24">
        <v>5</v>
      </c>
      <c r="C16" s="123">
        <v>0</v>
      </c>
      <c r="D16" s="87"/>
      <c r="E16" s="78">
        <f>INDEX(章节关卡!$G$6:$G$34,芦花古楼!B16)*芦花古楼!C16</f>
        <v>0</v>
      </c>
      <c r="F16" s="22">
        <f t="shared" si="0"/>
        <v>15</v>
      </c>
      <c r="G16" s="22">
        <f t="shared" si="1"/>
        <v>30</v>
      </c>
      <c r="H16" s="14">
        <f>INDEX(章节关卡!$I$6:$I$34,芦花古楼!B16)*芦花古楼!C16</f>
        <v>0</v>
      </c>
      <c r="I16" s="14">
        <v>50</v>
      </c>
      <c r="L16" s="17">
        <v>12</v>
      </c>
      <c r="M16" s="78">
        <f t="shared" si="4"/>
        <v>6</v>
      </c>
      <c r="N16" s="123">
        <v>0</v>
      </c>
      <c r="O16" s="87"/>
      <c r="P16" s="78">
        <f>INDEX(章节关卡!$G$6:$G$34,芦花古楼!M16)*芦花古楼!N16</f>
        <v>0</v>
      </c>
      <c r="Q16" s="22">
        <f t="shared" si="5"/>
        <v>20</v>
      </c>
      <c r="R16" s="22">
        <f t="shared" si="6"/>
        <v>30</v>
      </c>
      <c r="S16" s="14">
        <f>INDEX(章节关卡!$I$6:$I$34,芦花古楼!M16)*芦花古楼!N16</f>
        <v>0</v>
      </c>
      <c r="T16" s="14">
        <v>50</v>
      </c>
      <c r="W16" s="17">
        <v>12</v>
      </c>
      <c r="X16" s="24">
        <v>6</v>
      </c>
      <c r="Y16" s="123">
        <v>0</v>
      </c>
      <c r="Z16" s="87"/>
      <c r="AA16" s="87">
        <f>INDEX(章节关卡!$G$6:$G$34,芦花古楼!X16)*芦花古楼!Y16</f>
        <v>0</v>
      </c>
      <c r="AB16" s="22">
        <f t="shared" si="2"/>
        <v>25</v>
      </c>
      <c r="AC16" s="22">
        <f t="shared" si="3"/>
        <v>30</v>
      </c>
      <c r="AD16" s="14">
        <f>INDEX(章节关卡!$I$6:$I$34,芦花古楼!X16)*芦花古楼!Y16</f>
        <v>0</v>
      </c>
      <c r="AE16" s="14">
        <v>50</v>
      </c>
      <c r="AH16" s="17">
        <v>12</v>
      </c>
      <c r="AI16" s="46">
        <v>6</v>
      </c>
      <c r="AJ16" s="123">
        <v>0</v>
      </c>
      <c r="AK16" s="87"/>
      <c r="AL16" s="87">
        <f>INDEX(章节关卡!$G$6:$G$34,芦花古楼!AI16)*芦花古楼!AJ16</f>
        <v>0</v>
      </c>
      <c r="AM16" s="22">
        <f t="shared" si="7"/>
        <v>30</v>
      </c>
      <c r="AN16" s="22">
        <f t="shared" si="8"/>
        <v>30</v>
      </c>
      <c r="AO16" s="14">
        <f>INDEX(章节关卡!$I$6:$I$34,芦花古楼!AI16)*芦花古楼!AJ16</f>
        <v>0</v>
      </c>
      <c r="AP16" s="14">
        <v>50</v>
      </c>
      <c r="AS16" s="18">
        <v>11</v>
      </c>
      <c r="AT16" s="18">
        <v>4</v>
      </c>
      <c r="AV16" s="18">
        <v>11</v>
      </c>
      <c r="AW16" s="18">
        <v>6</v>
      </c>
      <c r="AY16" s="18">
        <v>11</v>
      </c>
      <c r="AZ16" s="18">
        <v>6</v>
      </c>
      <c r="BB16" s="18">
        <v>11</v>
      </c>
      <c r="BC16" s="18">
        <v>6</v>
      </c>
      <c r="BF16" s="18">
        <v>11</v>
      </c>
      <c r="BG16" s="14">
        <f t="shared" si="9"/>
        <v>550</v>
      </c>
      <c r="BH16" s="14">
        <f t="shared" si="10"/>
        <v>225</v>
      </c>
      <c r="BI16" s="14">
        <f t="shared" si="11"/>
        <v>0</v>
      </c>
      <c r="BJ16" s="14">
        <f t="shared" si="12"/>
        <v>450</v>
      </c>
      <c r="BK16" s="14">
        <f t="shared" si="13"/>
        <v>755</v>
      </c>
      <c r="BL16" s="14">
        <f t="shared" si="14"/>
        <v>1510</v>
      </c>
      <c r="BN16" s="18">
        <v>12</v>
      </c>
      <c r="BO16" s="22">
        <v>7</v>
      </c>
      <c r="BU16" s="52">
        <v>11</v>
      </c>
      <c r="BV16" s="52">
        <v>103</v>
      </c>
      <c r="BW16" s="52">
        <v>1606013</v>
      </c>
      <c r="BX16" s="52" t="s">
        <v>317</v>
      </c>
      <c r="BY16" s="52">
        <v>2</v>
      </c>
      <c r="BZ16" s="52">
        <v>21</v>
      </c>
      <c r="CA16" s="52">
        <f>SUM(BZ$5:BZ16)</f>
        <v>183</v>
      </c>
      <c r="CJ16" s="52">
        <v>12</v>
      </c>
      <c r="CK16" s="52">
        <v>1</v>
      </c>
      <c r="CL16" s="52" t="s">
        <v>244</v>
      </c>
      <c r="CM16" s="52">
        <v>12</v>
      </c>
      <c r="CN16" s="52"/>
      <c r="CO16" s="52"/>
      <c r="CP16" s="52"/>
      <c r="CQ16" s="52" t="s">
        <v>358</v>
      </c>
      <c r="CR16" s="52">
        <v>1920</v>
      </c>
      <c r="CS16" s="52" t="s">
        <v>359</v>
      </c>
      <c r="CT16" s="52">
        <v>15</v>
      </c>
      <c r="CU16" s="52"/>
      <c r="CV16" s="52"/>
      <c r="CW16" s="52" t="s">
        <v>359</v>
      </c>
      <c r="CX16" s="52">
        <v>30</v>
      </c>
      <c r="CY16" s="52"/>
      <c r="CZ16" s="52"/>
      <c r="DA16" s="52"/>
      <c r="DB16" s="52"/>
      <c r="DC16" s="52"/>
      <c r="DD16" s="52"/>
      <c r="DE16" s="52"/>
      <c r="DF16" s="52"/>
      <c r="DG16" s="52"/>
      <c r="DH16" s="52"/>
    </row>
    <row r="17" spans="1:112" ht="16.5" x14ac:dyDescent="0.2">
      <c r="A17" s="17">
        <v>13</v>
      </c>
      <c r="B17" s="24">
        <v>5</v>
      </c>
      <c r="C17" s="123">
        <v>0</v>
      </c>
      <c r="D17" s="87"/>
      <c r="E17" s="78">
        <f>INDEX(章节关卡!$G$6:$G$34,芦花古楼!B17)*芦花古楼!C17</f>
        <v>0</v>
      </c>
      <c r="F17" s="22">
        <f t="shared" si="0"/>
        <v>15</v>
      </c>
      <c r="G17" s="22">
        <f t="shared" si="1"/>
        <v>30</v>
      </c>
      <c r="H17" s="14">
        <f>INDEX(章节关卡!$I$6:$I$34,芦花古楼!B17)*芦花古楼!C17</f>
        <v>0</v>
      </c>
      <c r="I17" s="14">
        <v>50</v>
      </c>
      <c r="L17" s="17">
        <v>13</v>
      </c>
      <c r="M17" s="78">
        <f t="shared" si="4"/>
        <v>6</v>
      </c>
      <c r="N17" s="123">
        <v>0</v>
      </c>
      <c r="O17" s="87"/>
      <c r="P17" s="78">
        <f>INDEX(章节关卡!$G$6:$G$34,芦花古楼!M17)*芦花古楼!N17</f>
        <v>0</v>
      </c>
      <c r="Q17" s="22">
        <f t="shared" si="5"/>
        <v>20</v>
      </c>
      <c r="R17" s="22">
        <f t="shared" si="6"/>
        <v>30</v>
      </c>
      <c r="S17" s="14">
        <f>INDEX(章节关卡!$I$6:$I$34,芦花古楼!M17)*芦花古楼!N17</f>
        <v>0</v>
      </c>
      <c r="T17" s="14">
        <v>50</v>
      </c>
      <c r="W17" s="17">
        <v>13</v>
      </c>
      <c r="X17" s="24">
        <v>6</v>
      </c>
      <c r="Y17" s="123">
        <v>0</v>
      </c>
      <c r="Z17" s="87"/>
      <c r="AA17" s="87">
        <f>INDEX(章节关卡!$G$6:$G$34,芦花古楼!X17)*芦花古楼!Y17</f>
        <v>0</v>
      </c>
      <c r="AB17" s="22">
        <f t="shared" si="2"/>
        <v>25</v>
      </c>
      <c r="AC17" s="22">
        <f t="shared" si="3"/>
        <v>30</v>
      </c>
      <c r="AD17" s="14">
        <f>INDEX(章节关卡!$I$6:$I$34,芦花古楼!X17)*芦花古楼!Y17</f>
        <v>0</v>
      </c>
      <c r="AE17" s="14">
        <v>50</v>
      </c>
      <c r="AH17" s="17">
        <v>13</v>
      </c>
      <c r="AI17" s="46">
        <v>6</v>
      </c>
      <c r="AJ17" s="123">
        <v>0</v>
      </c>
      <c r="AK17" s="87"/>
      <c r="AL17" s="87">
        <f>INDEX(章节关卡!$G$6:$G$34,芦花古楼!AI17)*芦花古楼!AJ17</f>
        <v>0</v>
      </c>
      <c r="AM17" s="22">
        <f t="shared" si="7"/>
        <v>30</v>
      </c>
      <c r="AN17" s="22">
        <f t="shared" si="8"/>
        <v>30</v>
      </c>
      <c r="AO17" s="14">
        <f>INDEX(章节关卡!$I$6:$I$34,芦花古楼!AI17)*芦花古楼!AJ17</f>
        <v>0</v>
      </c>
      <c r="AP17" s="14">
        <v>50</v>
      </c>
      <c r="AS17" s="18">
        <v>12</v>
      </c>
      <c r="AT17" s="87">
        <v>4</v>
      </c>
      <c r="AV17" s="18">
        <v>12</v>
      </c>
      <c r="AW17" s="87">
        <v>6</v>
      </c>
      <c r="AY17" s="18">
        <v>12</v>
      </c>
      <c r="AZ17" s="18">
        <v>6</v>
      </c>
      <c r="BB17" s="18">
        <v>12</v>
      </c>
      <c r="BC17" s="18">
        <v>6</v>
      </c>
      <c r="BF17" s="18">
        <v>12</v>
      </c>
      <c r="BG17" s="14">
        <f t="shared" si="9"/>
        <v>585</v>
      </c>
      <c r="BH17" s="14">
        <f t="shared" si="10"/>
        <v>230</v>
      </c>
      <c r="BI17" s="14">
        <f t="shared" si="11"/>
        <v>0</v>
      </c>
      <c r="BJ17" s="14">
        <f t="shared" si="12"/>
        <v>450</v>
      </c>
      <c r="BK17" s="14">
        <f t="shared" si="13"/>
        <v>810</v>
      </c>
      <c r="BL17" s="14">
        <f t="shared" si="14"/>
        <v>1620</v>
      </c>
      <c r="BN17" s="18">
        <v>13</v>
      </c>
      <c r="BO17" s="22">
        <v>7</v>
      </c>
      <c r="BU17" s="52">
        <v>12</v>
      </c>
      <c r="BV17" s="52">
        <v>103</v>
      </c>
      <c r="BW17" s="52">
        <v>1606014</v>
      </c>
      <c r="BX17" s="52" t="s">
        <v>318</v>
      </c>
      <c r="BY17" s="52">
        <v>3</v>
      </c>
      <c r="BZ17" s="52">
        <v>21</v>
      </c>
      <c r="CA17" s="52">
        <f>SUM(BZ$5:BZ17)</f>
        <v>204</v>
      </c>
      <c r="CJ17" s="52">
        <v>13</v>
      </c>
      <c r="CK17" s="52">
        <v>1</v>
      </c>
      <c r="CL17" s="52" t="s">
        <v>244</v>
      </c>
      <c r="CM17" s="52">
        <v>13</v>
      </c>
      <c r="CN17" s="52"/>
      <c r="CO17" s="52"/>
      <c r="CP17" s="52"/>
      <c r="CQ17" s="52" t="s">
        <v>358</v>
      </c>
      <c r="CR17" s="52">
        <v>1920</v>
      </c>
      <c r="CS17" s="52" t="s">
        <v>359</v>
      </c>
      <c r="CT17" s="52">
        <v>15</v>
      </c>
      <c r="CU17" s="52"/>
      <c r="CV17" s="52"/>
      <c r="CW17" s="52" t="s">
        <v>359</v>
      </c>
      <c r="CX17" s="52">
        <v>30</v>
      </c>
      <c r="CY17" s="52"/>
      <c r="CZ17" s="52"/>
      <c r="DA17" s="52"/>
      <c r="DB17" s="52"/>
      <c r="DC17" s="52"/>
      <c r="DD17" s="52"/>
      <c r="DE17" s="52"/>
      <c r="DF17" s="52"/>
      <c r="DG17" s="52"/>
      <c r="DH17" s="52"/>
    </row>
    <row r="18" spans="1:112" ht="16.5" x14ac:dyDescent="0.2">
      <c r="A18" s="17">
        <v>14</v>
      </c>
      <c r="B18" s="24">
        <v>5</v>
      </c>
      <c r="C18" s="123">
        <v>0</v>
      </c>
      <c r="D18" s="87"/>
      <c r="E18" s="78">
        <f>INDEX(章节关卡!$G$6:$G$34,芦花古楼!B18)*芦花古楼!C18</f>
        <v>0</v>
      </c>
      <c r="F18" s="22">
        <f t="shared" si="0"/>
        <v>15</v>
      </c>
      <c r="G18" s="22">
        <f t="shared" si="1"/>
        <v>30</v>
      </c>
      <c r="H18" s="14">
        <f>INDEX(章节关卡!$I$6:$I$34,芦花古楼!B18)*芦花古楼!C18</f>
        <v>0</v>
      </c>
      <c r="I18" s="14">
        <v>50</v>
      </c>
      <c r="L18" s="17">
        <v>14</v>
      </c>
      <c r="M18" s="78">
        <f t="shared" si="4"/>
        <v>6</v>
      </c>
      <c r="N18" s="123">
        <v>0</v>
      </c>
      <c r="O18" s="87"/>
      <c r="P18" s="78">
        <f>INDEX(章节关卡!$G$6:$G$34,芦花古楼!M18)*芦花古楼!N18</f>
        <v>0</v>
      </c>
      <c r="Q18" s="22">
        <f t="shared" si="5"/>
        <v>20</v>
      </c>
      <c r="R18" s="22">
        <f t="shared" si="6"/>
        <v>30</v>
      </c>
      <c r="S18" s="14">
        <f>INDEX(章节关卡!$I$6:$I$34,芦花古楼!M18)*芦花古楼!N18</f>
        <v>0</v>
      </c>
      <c r="T18" s="14">
        <v>50</v>
      </c>
      <c r="W18" s="17">
        <v>14</v>
      </c>
      <c r="X18" s="24">
        <v>6</v>
      </c>
      <c r="Y18" s="123">
        <v>0</v>
      </c>
      <c r="Z18" s="87"/>
      <c r="AA18" s="87">
        <f>INDEX(章节关卡!$G$6:$G$34,芦花古楼!X18)*芦花古楼!Y18</f>
        <v>0</v>
      </c>
      <c r="AB18" s="22">
        <f t="shared" si="2"/>
        <v>25</v>
      </c>
      <c r="AC18" s="22">
        <f t="shared" si="3"/>
        <v>30</v>
      </c>
      <c r="AD18" s="14">
        <f>INDEX(章节关卡!$I$6:$I$34,芦花古楼!X18)*芦花古楼!Y18</f>
        <v>0</v>
      </c>
      <c r="AE18" s="14">
        <v>50</v>
      </c>
      <c r="AH18" s="17">
        <v>14</v>
      </c>
      <c r="AI18" s="46">
        <v>6</v>
      </c>
      <c r="AJ18" s="123">
        <v>0</v>
      </c>
      <c r="AK18" s="87"/>
      <c r="AL18" s="87">
        <f>INDEX(章节关卡!$G$6:$G$34,芦花古楼!AI18)*芦花古楼!AJ18</f>
        <v>0</v>
      </c>
      <c r="AM18" s="22">
        <f t="shared" si="7"/>
        <v>30</v>
      </c>
      <c r="AN18" s="22">
        <f t="shared" si="8"/>
        <v>30</v>
      </c>
      <c r="AO18" s="14">
        <f>INDEX(章节关卡!$I$6:$I$34,芦花古楼!AI18)*芦花古楼!AJ18</f>
        <v>0</v>
      </c>
      <c r="AP18" s="14">
        <v>50</v>
      </c>
      <c r="AS18" s="18">
        <v>13</v>
      </c>
      <c r="AT18" s="87">
        <v>4</v>
      </c>
      <c r="AV18" s="18">
        <v>13</v>
      </c>
      <c r="AW18" s="87">
        <v>6</v>
      </c>
      <c r="AY18" s="18">
        <v>13</v>
      </c>
      <c r="AZ18" s="18">
        <v>6</v>
      </c>
      <c r="BB18" s="18">
        <v>13</v>
      </c>
      <c r="BC18" s="18">
        <v>6</v>
      </c>
      <c r="BF18" s="18">
        <v>13</v>
      </c>
      <c r="BG18" s="14">
        <f t="shared" si="9"/>
        <v>630</v>
      </c>
      <c r="BH18" s="14">
        <f t="shared" si="10"/>
        <v>245</v>
      </c>
      <c r="BI18" s="14">
        <f t="shared" si="11"/>
        <v>0</v>
      </c>
      <c r="BJ18" s="14">
        <f t="shared" si="12"/>
        <v>600</v>
      </c>
      <c r="BK18" s="14">
        <f t="shared" si="13"/>
        <v>860</v>
      </c>
      <c r="BL18" s="14">
        <f t="shared" si="14"/>
        <v>1720</v>
      </c>
      <c r="BN18" s="18">
        <v>14</v>
      </c>
      <c r="BO18" s="22">
        <v>7</v>
      </c>
      <c r="BU18" s="52">
        <v>13</v>
      </c>
      <c r="BV18" s="52">
        <v>103</v>
      </c>
      <c r="BW18" s="52">
        <v>1606015</v>
      </c>
      <c r="BX18" s="52" t="s">
        <v>319</v>
      </c>
      <c r="BY18" s="52">
        <v>3</v>
      </c>
      <c r="BZ18" s="52">
        <v>21</v>
      </c>
      <c r="CA18" s="52">
        <f>SUM(BZ$5:BZ18)</f>
        <v>225</v>
      </c>
      <c r="CJ18" s="52">
        <v>14</v>
      </c>
      <c r="CK18" s="52">
        <v>1</v>
      </c>
      <c r="CL18" s="52" t="s">
        <v>244</v>
      </c>
      <c r="CM18" s="52">
        <v>14</v>
      </c>
      <c r="CN18" s="52"/>
      <c r="CO18" s="52"/>
      <c r="CP18" s="52"/>
      <c r="CQ18" s="52" t="s">
        <v>358</v>
      </c>
      <c r="CR18" s="52">
        <v>1920</v>
      </c>
      <c r="CS18" s="52" t="s">
        <v>359</v>
      </c>
      <c r="CT18" s="52">
        <v>15</v>
      </c>
      <c r="CU18" s="52"/>
      <c r="CV18" s="52"/>
      <c r="CW18" s="52" t="s">
        <v>359</v>
      </c>
      <c r="CX18" s="52">
        <v>30</v>
      </c>
      <c r="CY18" s="52"/>
      <c r="CZ18" s="52"/>
      <c r="DA18" s="52"/>
      <c r="DB18" s="52"/>
      <c r="DC18" s="52"/>
      <c r="DD18" s="52"/>
      <c r="DE18" s="52"/>
      <c r="DF18" s="52"/>
      <c r="DG18" s="52"/>
      <c r="DH18" s="52"/>
    </row>
    <row r="19" spans="1:112" ht="16.5" x14ac:dyDescent="0.2">
      <c r="A19" s="17">
        <v>15</v>
      </c>
      <c r="B19" s="24">
        <v>5</v>
      </c>
      <c r="C19" s="123">
        <v>0</v>
      </c>
      <c r="D19" s="87"/>
      <c r="E19" s="78">
        <f>INDEX(章节关卡!$G$6:$G$34,芦花古楼!B19)*芦花古楼!C19</f>
        <v>0</v>
      </c>
      <c r="F19" s="22">
        <f t="shared" si="0"/>
        <v>15</v>
      </c>
      <c r="G19" s="22">
        <f t="shared" si="1"/>
        <v>35</v>
      </c>
      <c r="H19" s="14">
        <f>INDEX(章节关卡!$I$6:$I$34,芦花古楼!B19)*芦花古楼!C19</f>
        <v>0</v>
      </c>
      <c r="I19" s="14">
        <v>50</v>
      </c>
      <c r="L19" s="17">
        <v>15</v>
      </c>
      <c r="M19" s="78">
        <f t="shared" si="4"/>
        <v>6</v>
      </c>
      <c r="N19" s="123">
        <v>0</v>
      </c>
      <c r="O19" s="87"/>
      <c r="P19" s="78">
        <f>INDEX(章节关卡!$G$6:$G$34,芦花古楼!M19)*芦花古楼!N19</f>
        <v>0</v>
      </c>
      <c r="Q19" s="22">
        <f t="shared" si="5"/>
        <v>20</v>
      </c>
      <c r="R19" s="22">
        <f t="shared" si="6"/>
        <v>35</v>
      </c>
      <c r="S19" s="14">
        <f>INDEX(章节关卡!$I$6:$I$34,芦花古楼!M19)*芦花古楼!N19</f>
        <v>0</v>
      </c>
      <c r="T19" s="14">
        <v>50</v>
      </c>
      <c r="W19" s="17">
        <v>15</v>
      </c>
      <c r="X19" s="24">
        <v>6</v>
      </c>
      <c r="Y19" s="123">
        <v>0</v>
      </c>
      <c r="Z19" s="87"/>
      <c r="AA19" s="87">
        <f>INDEX(章节关卡!$G$6:$G$34,芦花古楼!X19)*芦花古楼!Y19</f>
        <v>0</v>
      </c>
      <c r="AB19" s="22">
        <f t="shared" si="2"/>
        <v>25</v>
      </c>
      <c r="AC19" s="22">
        <f t="shared" si="3"/>
        <v>35</v>
      </c>
      <c r="AD19" s="14">
        <f>INDEX(章节关卡!$I$6:$I$34,芦花古楼!X19)*芦花古楼!Y19</f>
        <v>0</v>
      </c>
      <c r="AE19" s="14">
        <v>50</v>
      </c>
      <c r="AH19" s="17">
        <v>15</v>
      </c>
      <c r="AI19" s="46">
        <v>6</v>
      </c>
      <c r="AJ19" s="123">
        <v>0</v>
      </c>
      <c r="AK19" s="87"/>
      <c r="AL19" s="87">
        <f>INDEX(章节关卡!$G$6:$G$34,芦花古楼!AI19)*芦花古楼!AJ19</f>
        <v>0</v>
      </c>
      <c r="AM19" s="22">
        <f t="shared" si="7"/>
        <v>30</v>
      </c>
      <c r="AN19" s="22">
        <f t="shared" si="8"/>
        <v>35</v>
      </c>
      <c r="AO19" s="14">
        <f>INDEX(章节关卡!$I$6:$I$34,芦花古楼!AI19)*芦花古楼!AJ19</f>
        <v>0</v>
      </c>
      <c r="AP19" s="14">
        <v>50</v>
      </c>
      <c r="AS19" s="18">
        <v>14</v>
      </c>
      <c r="AT19" s="87">
        <v>4</v>
      </c>
      <c r="AV19" s="18">
        <v>14</v>
      </c>
      <c r="AW19" s="87">
        <v>6</v>
      </c>
      <c r="AY19" s="18">
        <v>14</v>
      </c>
      <c r="AZ19" s="18">
        <v>6</v>
      </c>
      <c r="BB19" s="18">
        <v>14</v>
      </c>
      <c r="BC19" s="18">
        <v>6</v>
      </c>
      <c r="BF19" s="18">
        <v>14</v>
      </c>
      <c r="BG19" s="14">
        <f t="shared" si="9"/>
        <v>650</v>
      </c>
      <c r="BH19" s="14">
        <f t="shared" si="10"/>
        <v>265</v>
      </c>
      <c r="BI19" s="14">
        <f t="shared" si="11"/>
        <v>0</v>
      </c>
      <c r="BJ19" s="14">
        <f t="shared" si="12"/>
        <v>600</v>
      </c>
      <c r="BK19" s="14">
        <f t="shared" si="13"/>
        <v>895</v>
      </c>
      <c r="BL19" s="14">
        <f t="shared" si="14"/>
        <v>1790</v>
      </c>
      <c r="BN19" s="18">
        <v>15</v>
      </c>
      <c r="BO19" s="18">
        <v>10</v>
      </c>
      <c r="BU19" s="52">
        <v>14</v>
      </c>
      <c r="BV19" s="52">
        <v>103</v>
      </c>
      <c r="BW19" s="52">
        <v>1606016</v>
      </c>
      <c r="BX19" s="52" t="s">
        <v>320</v>
      </c>
      <c r="BY19" s="52">
        <v>4</v>
      </c>
      <c r="BZ19" s="52">
        <v>21</v>
      </c>
      <c r="CA19" s="52">
        <f>SUM(BZ$5:BZ19)</f>
        <v>246</v>
      </c>
      <c r="CJ19" s="52">
        <v>15</v>
      </c>
      <c r="CK19" s="52">
        <v>1</v>
      </c>
      <c r="CL19" s="52" t="s">
        <v>244</v>
      </c>
      <c r="CM19" s="52">
        <v>15</v>
      </c>
      <c r="CN19" s="52"/>
      <c r="CO19" s="52"/>
      <c r="CP19" s="52"/>
      <c r="CQ19" s="52" t="s">
        <v>358</v>
      </c>
      <c r="CR19" s="52">
        <v>1920</v>
      </c>
      <c r="CS19" s="52" t="s">
        <v>359</v>
      </c>
      <c r="CT19" s="52">
        <v>15</v>
      </c>
      <c r="CU19" s="52" t="s">
        <v>360</v>
      </c>
      <c r="CV19" s="52">
        <v>2</v>
      </c>
      <c r="CW19" s="52" t="s">
        <v>359</v>
      </c>
      <c r="CX19" s="52">
        <v>35</v>
      </c>
      <c r="CY19" s="52"/>
      <c r="CZ19" s="52"/>
      <c r="DA19" s="52"/>
      <c r="DB19" s="52"/>
      <c r="DC19" s="52"/>
      <c r="DD19" s="52"/>
      <c r="DE19" s="52"/>
      <c r="DF19" s="52"/>
      <c r="DG19" s="52"/>
      <c r="DH19" s="52"/>
    </row>
    <row r="20" spans="1:112" ht="16.5" x14ac:dyDescent="0.2">
      <c r="A20" s="17">
        <v>16</v>
      </c>
      <c r="B20" s="46">
        <v>6</v>
      </c>
      <c r="C20" s="123">
        <v>0</v>
      </c>
      <c r="D20" s="87"/>
      <c r="E20" s="78">
        <f>INDEX(章节关卡!$G$6:$G$34,芦花古楼!B20)*芦花古楼!C20</f>
        <v>0</v>
      </c>
      <c r="F20" s="22">
        <f t="shared" si="0"/>
        <v>20</v>
      </c>
      <c r="G20" s="22">
        <f t="shared" si="1"/>
        <v>35</v>
      </c>
      <c r="H20" s="14">
        <f>INDEX(章节关卡!$I$6:$I$34,芦花古楼!B20)*芦花古楼!C20</f>
        <v>0</v>
      </c>
      <c r="I20" s="14">
        <v>50</v>
      </c>
      <c r="L20" s="17">
        <v>16</v>
      </c>
      <c r="M20" s="78">
        <f t="shared" si="4"/>
        <v>7</v>
      </c>
      <c r="N20" s="123">
        <v>0</v>
      </c>
      <c r="O20" s="87"/>
      <c r="P20" s="78">
        <f>INDEX(章节关卡!$G$6:$G$34,芦花古楼!M20)*芦花古楼!N20</f>
        <v>0</v>
      </c>
      <c r="Q20" s="22">
        <f t="shared" si="5"/>
        <v>25</v>
      </c>
      <c r="R20" s="22">
        <f t="shared" si="6"/>
        <v>35</v>
      </c>
      <c r="S20" s="14">
        <f>INDEX(章节关卡!$I$6:$I$34,芦花古楼!M20)*芦花古楼!N20</f>
        <v>0</v>
      </c>
      <c r="T20" s="14">
        <v>50</v>
      </c>
      <c r="W20" s="17">
        <v>16</v>
      </c>
      <c r="X20" s="24">
        <v>7</v>
      </c>
      <c r="Y20" s="123">
        <v>0</v>
      </c>
      <c r="Z20" s="87"/>
      <c r="AA20" s="87">
        <f>INDEX(章节关卡!$G$6:$G$34,芦花古楼!X20)*芦花古楼!Y20</f>
        <v>0</v>
      </c>
      <c r="AB20" s="22">
        <f t="shared" si="2"/>
        <v>30</v>
      </c>
      <c r="AC20" s="22">
        <f t="shared" si="3"/>
        <v>35</v>
      </c>
      <c r="AD20" s="14">
        <f>INDEX(章节关卡!$I$6:$I$34,芦花古楼!X20)*芦花古楼!Y20</f>
        <v>0</v>
      </c>
      <c r="AE20" s="14">
        <v>50</v>
      </c>
      <c r="AH20" s="17">
        <v>16</v>
      </c>
      <c r="AI20" s="46">
        <v>7</v>
      </c>
      <c r="AJ20" s="123">
        <v>0</v>
      </c>
      <c r="AK20" s="87"/>
      <c r="AL20" s="87">
        <f>INDEX(章节关卡!$G$6:$G$34,芦花古楼!AI20)*芦花古楼!AJ20</f>
        <v>0</v>
      </c>
      <c r="AM20" s="22">
        <f t="shared" si="7"/>
        <v>35</v>
      </c>
      <c r="AN20" s="22">
        <f t="shared" si="8"/>
        <v>35</v>
      </c>
      <c r="AO20" s="14">
        <f>INDEX(章节关卡!$I$6:$I$34,芦花古楼!AI20)*芦花古楼!AJ20</f>
        <v>0</v>
      </c>
      <c r="AP20" s="14">
        <v>50</v>
      </c>
      <c r="AS20" s="18">
        <v>15</v>
      </c>
      <c r="AT20" s="87">
        <v>4</v>
      </c>
      <c r="AV20" s="18">
        <v>15</v>
      </c>
      <c r="AW20" s="87">
        <v>6</v>
      </c>
      <c r="AY20" s="18">
        <v>15</v>
      </c>
      <c r="AZ20" s="18">
        <v>6</v>
      </c>
      <c r="BB20" s="18">
        <v>15</v>
      </c>
      <c r="BC20" s="18">
        <v>6</v>
      </c>
      <c r="BF20" s="18">
        <v>15</v>
      </c>
      <c r="BG20" s="14">
        <f t="shared" si="9"/>
        <v>705</v>
      </c>
      <c r="BH20" s="14">
        <f t="shared" si="10"/>
        <v>265</v>
      </c>
      <c r="BI20" s="14">
        <f t="shared" si="11"/>
        <v>0</v>
      </c>
      <c r="BJ20" s="14">
        <f t="shared" si="12"/>
        <v>600</v>
      </c>
      <c r="BK20" s="14">
        <f t="shared" si="13"/>
        <v>970</v>
      </c>
      <c r="BL20" s="14">
        <f t="shared" si="14"/>
        <v>1940</v>
      </c>
      <c r="BN20" s="18">
        <v>16</v>
      </c>
      <c r="BO20" s="22">
        <v>10</v>
      </c>
      <c r="BU20" s="52">
        <v>15</v>
      </c>
      <c r="BV20" s="52">
        <v>104</v>
      </c>
      <c r="BW20" s="52">
        <v>1606017</v>
      </c>
      <c r="BX20" s="52" t="s">
        <v>321</v>
      </c>
      <c r="BY20" s="52">
        <v>1</v>
      </c>
      <c r="BZ20" s="52">
        <v>21</v>
      </c>
      <c r="CA20" s="52">
        <f>SUM(BZ$5:BZ20)</f>
        <v>267</v>
      </c>
      <c r="CJ20" s="52">
        <v>16</v>
      </c>
      <c r="CK20" s="52">
        <v>1</v>
      </c>
      <c r="CL20" s="52" t="s">
        <v>244</v>
      </c>
      <c r="CM20" s="52">
        <v>16</v>
      </c>
      <c r="CN20" s="52"/>
      <c r="CO20" s="52"/>
      <c r="CP20" s="52"/>
      <c r="CQ20" s="52" t="s">
        <v>358</v>
      </c>
      <c r="CR20" s="52">
        <v>1920</v>
      </c>
      <c r="CS20" s="52" t="s">
        <v>359</v>
      </c>
      <c r="CT20" s="52">
        <v>20</v>
      </c>
      <c r="CU20" s="52"/>
      <c r="CV20" s="52"/>
      <c r="CW20" s="52" t="s">
        <v>359</v>
      </c>
      <c r="CX20" s="52">
        <v>35</v>
      </c>
      <c r="CY20" s="52"/>
      <c r="CZ20" s="52"/>
      <c r="DA20" s="52"/>
      <c r="DB20" s="52"/>
      <c r="DC20" s="52"/>
      <c r="DD20" s="52"/>
      <c r="DE20" s="52"/>
      <c r="DF20" s="52"/>
      <c r="DG20" s="52"/>
      <c r="DH20" s="52"/>
    </row>
    <row r="21" spans="1:112" ht="16.5" x14ac:dyDescent="0.2">
      <c r="A21" s="17">
        <v>17</v>
      </c>
      <c r="B21" s="78">
        <v>6</v>
      </c>
      <c r="C21" s="123">
        <v>0</v>
      </c>
      <c r="D21" s="87"/>
      <c r="E21" s="78">
        <f>INDEX(章节关卡!$G$6:$G$34,芦花古楼!B21)*芦花古楼!C21</f>
        <v>0</v>
      </c>
      <c r="F21" s="22">
        <f t="shared" si="0"/>
        <v>20</v>
      </c>
      <c r="G21" s="22">
        <f t="shared" si="1"/>
        <v>35</v>
      </c>
      <c r="H21" s="14">
        <f>INDEX(章节关卡!$I$6:$I$34,芦花古楼!B21)*芦花古楼!C21</f>
        <v>0</v>
      </c>
      <c r="I21" s="14">
        <v>50</v>
      </c>
      <c r="L21" s="17">
        <v>17</v>
      </c>
      <c r="M21" s="78">
        <f t="shared" si="4"/>
        <v>7</v>
      </c>
      <c r="N21" s="123">
        <v>0</v>
      </c>
      <c r="O21" s="87"/>
      <c r="P21" s="78">
        <f>INDEX(章节关卡!$G$6:$G$34,芦花古楼!M21)*芦花古楼!N21</f>
        <v>0</v>
      </c>
      <c r="Q21" s="22">
        <f t="shared" si="5"/>
        <v>25</v>
      </c>
      <c r="R21" s="22">
        <f t="shared" si="6"/>
        <v>35</v>
      </c>
      <c r="S21" s="14">
        <f>INDEX(章节关卡!$I$6:$I$34,芦花古楼!M21)*芦花古楼!N21</f>
        <v>0</v>
      </c>
      <c r="T21" s="14">
        <v>50</v>
      </c>
      <c r="W21" s="17">
        <v>17</v>
      </c>
      <c r="X21" s="46">
        <v>7</v>
      </c>
      <c r="Y21" s="123">
        <v>0</v>
      </c>
      <c r="Z21" s="87"/>
      <c r="AA21" s="87">
        <f>INDEX(章节关卡!$G$6:$G$34,芦花古楼!X21)*芦花古楼!Y21</f>
        <v>0</v>
      </c>
      <c r="AB21" s="22">
        <f t="shared" si="2"/>
        <v>30</v>
      </c>
      <c r="AC21" s="22">
        <f t="shared" si="3"/>
        <v>35</v>
      </c>
      <c r="AD21" s="14">
        <f>INDEX(章节关卡!$I$6:$I$34,芦花古楼!X21)*芦花古楼!Y21</f>
        <v>0</v>
      </c>
      <c r="AE21" s="14">
        <v>50</v>
      </c>
      <c r="AH21" s="17">
        <v>17</v>
      </c>
      <c r="AI21" s="46">
        <v>7</v>
      </c>
      <c r="AJ21" s="123">
        <v>0</v>
      </c>
      <c r="AK21" s="87"/>
      <c r="AL21" s="87">
        <f>INDEX(章节关卡!$G$6:$G$34,芦花古楼!AI21)*芦花古楼!AJ21</f>
        <v>0</v>
      </c>
      <c r="AM21" s="22">
        <f t="shared" si="7"/>
        <v>35</v>
      </c>
      <c r="AN21" s="22">
        <f t="shared" si="8"/>
        <v>35</v>
      </c>
      <c r="AO21" s="14">
        <f>INDEX(章节关卡!$I$6:$I$34,芦花古楼!AI21)*芦花古楼!AJ21</f>
        <v>0</v>
      </c>
      <c r="AP21" s="14">
        <v>50</v>
      </c>
      <c r="AS21" s="18">
        <v>16</v>
      </c>
      <c r="AT21" s="18">
        <v>5</v>
      </c>
      <c r="AV21" s="18">
        <v>16</v>
      </c>
      <c r="AW21" s="87">
        <v>7</v>
      </c>
      <c r="AY21" s="18">
        <v>16</v>
      </c>
      <c r="AZ21" s="18">
        <v>7</v>
      </c>
      <c r="BB21" s="18">
        <v>16</v>
      </c>
      <c r="BC21" s="18">
        <v>7</v>
      </c>
      <c r="BF21" s="18">
        <v>16</v>
      </c>
      <c r="BG21" s="14">
        <f t="shared" si="9"/>
        <v>475</v>
      </c>
      <c r="BH21" s="14">
        <f t="shared" si="10"/>
        <v>285</v>
      </c>
      <c r="BI21" s="14">
        <f t="shared" si="11"/>
        <v>0</v>
      </c>
      <c r="BJ21" s="14">
        <f t="shared" si="12"/>
        <v>600</v>
      </c>
      <c r="BK21" s="14">
        <f t="shared" si="13"/>
        <v>740</v>
      </c>
      <c r="BL21" s="14">
        <f t="shared" si="14"/>
        <v>1480</v>
      </c>
      <c r="BN21" s="18">
        <v>17</v>
      </c>
      <c r="BO21" s="22">
        <v>10</v>
      </c>
      <c r="BU21" s="52">
        <v>16</v>
      </c>
      <c r="BV21" s="52">
        <v>104</v>
      </c>
      <c r="BW21" s="52">
        <v>1606018</v>
      </c>
      <c r="BX21" s="52" t="s">
        <v>322</v>
      </c>
      <c r="BY21" s="52">
        <v>1</v>
      </c>
      <c r="BZ21" s="52">
        <v>21</v>
      </c>
      <c r="CA21" s="52">
        <f>SUM(BZ$5:BZ21)</f>
        <v>288</v>
      </c>
      <c r="CJ21" s="52">
        <v>17</v>
      </c>
      <c r="CK21" s="52">
        <v>1</v>
      </c>
      <c r="CL21" s="52" t="s">
        <v>244</v>
      </c>
      <c r="CM21" s="52">
        <v>17</v>
      </c>
      <c r="CN21" s="52"/>
      <c r="CO21" s="52"/>
      <c r="CP21" s="52"/>
      <c r="CQ21" s="52" t="s">
        <v>358</v>
      </c>
      <c r="CR21" s="52">
        <v>1920</v>
      </c>
      <c r="CS21" s="52" t="s">
        <v>359</v>
      </c>
      <c r="CT21" s="52">
        <v>20</v>
      </c>
      <c r="CU21" s="52"/>
      <c r="CV21" s="52"/>
      <c r="CW21" s="52" t="s">
        <v>359</v>
      </c>
      <c r="CX21" s="52">
        <v>35</v>
      </c>
      <c r="CY21" s="52"/>
      <c r="CZ21" s="52"/>
      <c r="DA21" s="52"/>
      <c r="DB21" s="52"/>
      <c r="DC21" s="52"/>
      <c r="DD21" s="52"/>
      <c r="DE21" s="52"/>
      <c r="DF21" s="52"/>
      <c r="DG21" s="52"/>
      <c r="DH21" s="52"/>
    </row>
    <row r="22" spans="1:112" ht="16.5" x14ac:dyDescent="0.2">
      <c r="A22" s="17">
        <v>18</v>
      </c>
      <c r="B22" s="78">
        <v>6</v>
      </c>
      <c r="C22" s="123">
        <v>0</v>
      </c>
      <c r="D22" s="87"/>
      <c r="E22" s="78">
        <f>INDEX(章节关卡!$G$6:$G$34,芦花古楼!B22)*芦花古楼!C22</f>
        <v>0</v>
      </c>
      <c r="F22" s="22">
        <f t="shared" si="0"/>
        <v>20</v>
      </c>
      <c r="G22" s="22">
        <f t="shared" si="1"/>
        <v>35</v>
      </c>
      <c r="H22" s="14">
        <f>INDEX(章节关卡!$I$6:$I$34,芦花古楼!B22)*芦花古楼!C22</f>
        <v>0</v>
      </c>
      <c r="I22" s="14">
        <v>50</v>
      </c>
      <c r="L22" s="17">
        <v>18</v>
      </c>
      <c r="M22" s="78">
        <f t="shared" si="4"/>
        <v>7</v>
      </c>
      <c r="N22" s="123">
        <v>0</v>
      </c>
      <c r="O22" s="87"/>
      <c r="P22" s="78">
        <f>INDEX(章节关卡!$G$6:$G$34,芦花古楼!M22)*芦花古楼!N22</f>
        <v>0</v>
      </c>
      <c r="Q22" s="22">
        <f t="shared" si="5"/>
        <v>25</v>
      </c>
      <c r="R22" s="22">
        <f t="shared" si="6"/>
        <v>35</v>
      </c>
      <c r="S22" s="14">
        <f>INDEX(章节关卡!$I$6:$I$34,芦花古楼!M22)*芦花古楼!N22</f>
        <v>0</v>
      </c>
      <c r="T22" s="14">
        <v>50</v>
      </c>
      <c r="W22" s="17">
        <v>18</v>
      </c>
      <c r="X22" s="46">
        <v>7</v>
      </c>
      <c r="Y22" s="123">
        <v>0</v>
      </c>
      <c r="Z22" s="87"/>
      <c r="AA22" s="87">
        <f>INDEX(章节关卡!$G$6:$G$34,芦花古楼!X22)*芦花古楼!Y22</f>
        <v>0</v>
      </c>
      <c r="AB22" s="22">
        <f t="shared" si="2"/>
        <v>30</v>
      </c>
      <c r="AC22" s="22">
        <f t="shared" si="3"/>
        <v>35</v>
      </c>
      <c r="AD22" s="14">
        <f>INDEX(章节关卡!$I$6:$I$34,芦花古楼!X22)*芦花古楼!Y22</f>
        <v>0</v>
      </c>
      <c r="AE22" s="14">
        <v>50</v>
      </c>
      <c r="AH22" s="17">
        <v>18</v>
      </c>
      <c r="AI22" s="46">
        <v>7</v>
      </c>
      <c r="AJ22" s="123">
        <v>0</v>
      </c>
      <c r="AK22" s="87"/>
      <c r="AL22" s="87">
        <f>INDEX(章节关卡!$G$6:$G$34,芦花古楼!AI22)*芦花古楼!AJ22</f>
        <v>0</v>
      </c>
      <c r="AM22" s="22">
        <f t="shared" si="7"/>
        <v>35</v>
      </c>
      <c r="AN22" s="22">
        <f t="shared" si="8"/>
        <v>35</v>
      </c>
      <c r="AO22" s="14">
        <f>INDEX(章节关卡!$I$6:$I$34,芦花古楼!AI22)*芦花古楼!AJ22</f>
        <v>0</v>
      </c>
      <c r="AP22" s="14">
        <v>50</v>
      </c>
      <c r="AS22" s="18">
        <v>17</v>
      </c>
      <c r="AT22" s="87">
        <v>5</v>
      </c>
      <c r="AV22" s="18">
        <v>17</v>
      </c>
      <c r="AW22" s="87">
        <v>7</v>
      </c>
      <c r="AY22" s="18">
        <v>17</v>
      </c>
      <c r="AZ22" s="18">
        <v>7</v>
      </c>
      <c r="BB22" s="18">
        <v>17</v>
      </c>
      <c r="BC22" s="18">
        <v>7</v>
      </c>
      <c r="BF22" s="18">
        <v>17</v>
      </c>
      <c r="BG22" s="14">
        <f t="shared" si="9"/>
        <v>510</v>
      </c>
      <c r="BH22" s="14">
        <f t="shared" si="10"/>
        <v>285</v>
      </c>
      <c r="BI22" s="14">
        <f t="shared" si="11"/>
        <v>0</v>
      </c>
      <c r="BJ22" s="14">
        <f t="shared" si="12"/>
        <v>600</v>
      </c>
      <c r="BK22" s="14">
        <f t="shared" si="13"/>
        <v>795</v>
      </c>
      <c r="BL22" s="14">
        <f t="shared" si="14"/>
        <v>1590</v>
      </c>
      <c r="BN22" s="18">
        <v>18</v>
      </c>
      <c r="BO22" s="22">
        <v>10</v>
      </c>
      <c r="BU22" s="52">
        <v>17</v>
      </c>
      <c r="BV22" s="52">
        <v>104</v>
      </c>
      <c r="BW22" s="52">
        <v>1606019</v>
      </c>
      <c r="BX22" s="52" t="s">
        <v>323</v>
      </c>
      <c r="BY22" s="52">
        <v>2</v>
      </c>
      <c r="BZ22" s="52">
        <v>21</v>
      </c>
      <c r="CA22" s="52">
        <f>SUM(BZ$5:BZ22)</f>
        <v>309</v>
      </c>
      <c r="CJ22" s="52">
        <v>18</v>
      </c>
      <c r="CK22" s="52">
        <v>1</v>
      </c>
      <c r="CL22" s="52" t="s">
        <v>244</v>
      </c>
      <c r="CM22" s="52">
        <v>18</v>
      </c>
      <c r="CN22" s="52"/>
      <c r="CO22" s="52"/>
      <c r="CP22" s="52"/>
      <c r="CQ22" s="52" t="s">
        <v>358</v>
      </c>
      <c r="CR22" s="52">
        <v>1920</v>
      </c>
      <c r="CS22" s="52" t="s">
        <v>359</v>
      </c>
      <c r="CT22" s="52">
        <v>20</v>
      </c>
      <c r="CU22" s="52"/>
      <c r="CV22" s="52"/>
      <c r="CW22" s="52" t="s">
        <v>359</v>
      </c>
      <c r="CX22" s="52">
        <v>35</v>
      </c>
      <c r="CY22" s="52"/>
      <c r="CZ22" s="52"/>
      <c r="DA22" s="52"/>
      <c r="DB22" s="52"/>
      <c r="DC22" s="52"/>
      <c r="DD22" s="52"/>
      <c r="DE22" s="52"/>
      <c r="DF22" s="52"/>
      <c r="DG22" s="52"/>
      <c r="DH22" s="52"/>
    </row>
    <row r="23" spans="1:112" ht="16.5" x14ac:dyDescent="0.2">
      <c r="A23" s="17">
        <v>19</v>
      </c>
      <c r="B23" s="78">
        <v>6</v>
      </c>
      <c r="C23" s="123">
        <v>0</v>
      </c>
      <c r="D23" s="87"/>
      <c r="E23" s="78">
        <f>INDEX(章节关卡!$G$6:$G$34,芦花古楼!B23)*芦花古楼!C23</f>
        <v>0</v>
      </c>
      <c r="F23" s="22">
        <f t="shared" si="0"/>
        <v>20</v>
      </c>
      <c r="G23" s="22">
        <f t="shared" si="1"/>
        <v>35</v>
      </c>
      <c r="H23" s="14">
        <f>INDEX(章节关卡!$I$6:$I$34,芦花古楼!B23)*芦花古楼!C23</f>
        <v>0</v>
      </c>
      <c r="I23" s="14">
        <v>50</v>
      </c>
      <c r="L23" s="17">
        <v>19</v>
      </c>
      <c r="M23" s="78">
        <f t="shared" si="4"/>
        <v>7</v>
      </c>
      <c r="N23" s="123">
        <v>0</v>
      </c>
      <c r="O23" s="87"/>
      <c r="P23" s="78">
        <f>INDEX(章节关卡!$G$6:$G$34,芦花古楼!M23)*芦花古楼!N23</f>
        <v>0</v>
      </c>
      <c r="Q23" s="22">
        <f t="shared" si="5"/>
        <v>25</v>
      </c>
      <c r="R23" s="22">
        <f t="shared" si="6"/>
        <v>35</v>
      </c>
      <c r="S23" s="14">
        <f>INDEX(章节关卡!$I$6:$I$34,芦花古楼!M23)*芦花古楼!N23</f>
        <v>0</v>
      </c>
      <c r="T23" s="14">
        <v>50</v>
      </c>
      <c r="W23" s="17">
        <v>19</v>
      </c>
      <c r="X23" s="46">
        <v>7</v>
      </c>
      <c r="Y23" s="123">
        <v>0</v>
      </c>
      <c r="Z23" s="87"/>
      <c r="AA23" s="87">
        <f>INDEX(章节关卡!$G$6:$G$34,芦花古楼!X23)*芦花古楼!Y23</f>
        <v>0</v>
      </c>
      <c r="AB23" s="22">
        <f t="shared" si="2"/>
        <v>30</v>
      </c>
      <c r="AC23" s="22">
        <f t="shared" si="3"/>
        <v>35</v>
      </c>
      <c r="AD23" s="14">
        <f>INDEX(章节关卡!$I$6:$I$34,芦花古楼!X23)*芦花古楼!Y23</f>
        <v>0</v>
      </c>
      <c r="AE23" s="14">
        <v>50</v>
      </c>
      <c r="AH23" s="17">
        <v>19</v>
      </c>
      <c r="AI23" s="46">
        <v>7</v>
      </c>
      <c r="AJ23" s="123">
        <v>0</v>
      </c>
      <c r="AK23" s="87"/>
      <c r="AL23" s="87">
        <f>INDEX(章节关卡!$G$6:$G$34,芦花古楼!AI23)*芦花古楼!AJ23</f>
        <v>0</v>
      </c>
      <c r="AM23" s="22">
        <f t="shared" si="7"/>
        <v>35</v>
      </c>
      <c r="AN23" s="22">
        <f t="shared" si="8"/>
        <v>35</v>
      </c>
      <c r="AO23" s="14">
        <f>INDEX(章节关卡!$I$6:$I$34,芦花古楼!AI23)*芦花古楼!AJ23</f>
        <v>0</v>
      </c>
      <c r="AP23" s="14">
        <v>50</v>
      </c>
      <c r="AS23" s="18">
        <v>18</v>
      </c>
      <c r="AT23" s="87">
        <v>5</v>
      </c>
      <c r="AV23" s="18">
        <v>18</v>
      </c>
      <c r="AW23" s="87">
        <v>7</v>
      </c>
      <c r="AY23" s="18">
        <v>18</v>
      </c>
      <c r="AZ23" s="18">
        <v>7</v>
      </c>
      <c r="BB23" s="18">
        <v>18</v>
      </c>
      <c r="BC23" s="18">
        <v>7</v>
      </c>
      <c r="BF23" s="18">
        <v>18</v>
      </c>
      <c r="BG23" s="14">
        <f t="shared" si="9"/>
        <v>510</v>
      </c>
      <c r="BH23" s="14">
        <f t="shared" si="10"/>
        <v>290</v>
      </c>
      <c r="BI23" s="14">
        <f t="shared" si="11"/>
        <v>0</v>
      </c>
      <c r="BJ23" s="14">
        <f t="shared" si="12"/>
        <v>650</v>
      </c>
      <c r="BK23" s="14">
        <f t="shared" si="13"/>
        <v>795</v>
      </c>
      <c r="BL23" s="14">
        <f t="shared" si="14"/>
        <v>1590</v>
      </c>
      <c r="BN23" s="18">
        <v>19</v>
      </c>
      <c r="BO23" s="22">
        <v>10</v>
      </c>
      <c r="BU23" s="52">
        <v>18</v>
      </c>
      <c r="BV23" s="52">
        <v>104</v>
      </c>
      <c r="BW23" s="52">
        <v>1606020</v>
      </c>
      <c r="BX23" s="52" t="s">
        <v>324</v>
      </c>
      <c r="BY23" s="52">
        <v>2</v>
      </c>
      <c r="BZ23" s="52">
        <v>21</v>
      </c>
      <c r="CA23" s="52">
        <f>SUM(BZ$5:BZ23)</f>
        <v>330</v>
      </c>
      <c r="CJ23" s="52">
        <v>19</v>
      </c>
      <c r="CK23" s="52">
        <v>1</v>
      </c>
      <c r="CL23" s="52" t="s">
        <v>244</v>
      </c>
      <c r="CM23" s="52">
        <v>19</v>
      </c>
      <c r="CN23" s="52"/>
      <c r="CO23" s="52"/>
      <c r="CP23" s="52"/>
      <c r="CQ23" s="52" t="s">
        <v>358</v>
      </c>
      <c r="CR23" s="52">
        <v>1920</v>
      </c>
      <c r="CS23" s="52" t="s">
        <v>359</v>
      </c>
      <c r="CT23" s="52">
        <v>20</v>
      </c>
      <c r="CU23" s="52"/>
      <c r="CV23" s="52"/>
      <c r="CW23" s="52" t="s">
        <v>359</v>
      </c>
      <c r="CX23" s="52">
        <v>35</v>
      </c>
      <c r="CY23" s="52"/>
      <c r="CZ23" s="52"/>
      <c r="DA23" s="52"/>
      <c r="DB23" s="52"/>
      <c r="DC23" s="52"/>
      <c r="DD23" s="52"/>
      <c r="DE23" s="52"/>
      <c r="DF23" s="52"/>
      <c r="DG23" s="52"/>
      <c r="DH23" s="52"/>
    </row>
    <row r="24" spans="1:112" ht="16.5" x14ac:dyDescent="0.2">
      <c r="A24" s="17">
        <v>20</v>
      </c>
      <c r="B24" s="78">
        <v>6</v>
      </c>
      <c r="C24" s="123">
        <v>0</v>
      </c>
      <c r="D24" s="87"/>
      <c r="E24" s="78">
        <f>INDEX(章节关卡!$G$6:$G$34,芦花古楼!B24)*芦花古楼!C24</f>
        <v>0</v>
      </c>
      <c r="F24" s="22">
        <f t="shared" si="0"/>
        <v>20</v>
      </c>
      <c r="G24" s="22">
        <f t="shared" si="1"/>
        <v>40</v>
      </c>
      <c r="H24" s="14">
        <f>INDEX(章节关卡!$I$6:$I$34,芦花古楼!B24)*芦花古楼!C24</f>
        <v>0</v>
      </c>
      <c r="I24" s="14">
        <v>100</v>
      </c>
      <c r="L24" s="17">
        <v>20</v>
      </c>
      <c r="M24" s="78">
        <f t="shared" si="4"/>
        <v>7</v>
      </c>
      <c r="N24" s="123">
        <v>0</v>
      </c>
      <c r="O24" s="87"/>
      <c r="P24" s="78">
        <f>INDEX(章节关卡!$G$6:$G$34,芦花古楼!M24)*芦花古楼!N24</f>
        <v>0</v>
      </c>
      <c r="Q24" s="22">
        <f t="shared" si="5"/>
        <v>25</v>
      </c>
      <c r="R24" s="22">
        <f t="shared" si="6"/>
        <v>40</v>
      </c>
      <c r="S24" s="14">
        <f>INDEX(章节关卡!$I$6:$I$34,芦花古楼!M24)*芦花古楼!N24</f>
        <v>0</v>
      </c>
      <c r="T24" s="14">
        <v>100</v>
      </c>
      <c r="W24" s="17">
        <v>20</v>
      </c>
      <c r="X24" s="24">
        <v>7</v>
      </c>
      <c r="Y24" s="123">
        <v>0</v>
      </c>
      <c r="Z24" s="87"/>
      <c r="AA24" s="87">
        <f>INDEX(章节关卡!$G$6:$G$34,芦花古楼!X24)*芦花古楼!Y24</f>
        <v>0</v>
      </c>
      <c r="AB24" s="22">
        <f t="shared" si="2"/>
        <v>30</v>
      </c>
      <c r="AC24" s="22">
        <f t="shared" si="3"/>
        <v>40</v>
      </c>
      <c r="AD24" s="14">
        <f>INDEX(章节关卡!$I$6:$I$34,芦花古楼!X24)*芦花古楼!Y24</f>
        <v>0</v>
      </c>
      <c r="AE24" s="14">
        <v>100</v>
      </c>
      <c r="AH24" s="17">
        <v>20</v>
      </c>
      <c r="AI24" s="46">
        <v>7</v>
      </c>
      <c r="AJ24" s="123">
        <v>0</v>
      </c>
      <c r="AK24" s="87"/>
      <c r="AL24" s="87">
        <f>INDEX(章节关卡!$G$6:$G$34,芦花古楼!AI24)*芦花古楼!AJ24</f>
        <v>0</v>
      </c>
      <c r="AM24" s="22">
        <f t="shared" si="7"/>
        <v>35</v>
      </c>
      <c r="AN24" s="22">
        <f t="shared" si="8"/>
        <v>40</v>
      </c>
      <c r="AO24" s="14">
        <f>INDEX(章节关卡!$I$6:$I$34,芦花古楼!AI24)*芦花古楼!AJ24</f>
        <v>0</v>
      </c>
      <c r="AP24" s="14">
        <v>100</v>
      </c>
      <c r="AS24" s="18">
        <v>19</v>
      </c>
      <c r="AT24" s="87">
        <v>5</v>
      </c>
      <c r="AV24" s="18">
        <v>19</v>
      </c>
      <c r="AW24" s="87">
        <v>7</v>
      </c>
      <c r="AY24" s="18">
        <v>19</v>
      </c>
      <c r="AZ24" s="18">
        <v>7</v>
      </c>
      <c r="BB24" s="18">
        <v>19</v>
      </c>
      <c r="BC24" s="18">
        <v>7</v>
      </c>
      <c r="BF24" s="18">
        <v>19</v>
      </c>
      <c r="BG24" s="14">
        <f t="shared" si="9"/>
        <v>535</v>
      </c>
      <c r="BH24" s="14">
        <f t="shared" si="10"/>
        <v>305</v>
      </c>
      <c r="BI24" s="14">
        <f t="shared" si="11"/>
        <v>0</v>
      </c>
      <c r="BJ24" s="14">
        <f t="shared" si="12"/>
        <v>650</v>
      </c>
      <c r="BK24" s="14">
        <f t="shared" si="13"/>
        <v>825</v>
      </c>
      <c r="BL24" s="14">
        <f t="shared" si="14"/>
        <v>1650</v>
      </c>
      <c r="BN24" s="18">
        <v>20</v>
      </c>
      <c r="BO24" s="22">
        <v>20</v>
      </c>
      <c r="BU24" s="52">
        <v>19</v>
      </c>
      <c r="BV24" s="52">
        <v>104</v>
      </c>
      <c r="BW24" s="52">
        <v>1606021</v>
      </c>
      <c r="BX24" s="52" t="s">
        <v>325</v>
      </c>
      <c r="BY24" s="52">
        <v>2</v>
      </c>
      <c r="BZ24" s="52">
        <v>21</v>
      </c>
      <c r="CA24" s="52">
        <f>SUM(BZ$5:BZ24)</f>
        <v>351</v>
      </c>
      <c r="CJ24" s="52">
        <v>20</v>
      </c>
      <c r="CK24" s="52">
        <v>1</v>
      </c>
      <c r="CL24" s="52" t="s">
        <v>244</v>
      </c>
      <c r="CM24" s="52">
        <v>20</v>
      </c>
      <c r="CN24" s="52"/>
      <c r="CO24" s="52"/>
      <c r="CP24" s="52"/>
      <c r="CQ24" s="52" t="s">
        <v>358</v>
      </c>
      <c r="CR24" s="52">
        <v>1920</v>
      </c>
      <c r="CS24" s="52" t="s">
        <v>359</v>
      </c>
      <c r="CT24" s="52">
        <v>20</v>
      </c>
      <c r="CU24" s="52" t="s">
        <v>259</v>
      </c>
      <c r="CV24" s="52">
        <v>2</v>
      </c>
      <c r="CW24" s="52" t="s">
        <v>359</v>
      </c>
      <c r="CX24" s="52">
        <v>40</v>
      </c>
      <c r="CY24" s="52"/>
      <c r="CZ24" s="52"/>
      <c r="DA24" s="52"/>
      <c r="DB24" s="52"/>
      <c r="DC24" s="52"/>
      <c r="DD24" s="52"/>
      <c r="DE24" s="52"/>
      <c r="DF24" s="52"/>
      <c r="DG24" s="52"/>
      <c r="DH24" s="52"/>
    </row>
    <row r="25" spans="1:112" ht="16.5" x14ac:dyDescent="0.2">
      <c r="A25" s="17">
        <v>21</v>
      </c>
      <c r="B25" s="24">
        <v>7</v>
      </c>
      <c r="C25" s="123">
        <v>0</v>
      </c>
      <c r="D25" s="87"/>
      <c r="E25" s="78">
        <f>INDEX(章节关卡!$G$6:$G$34,芦花古楼!B25)*芦花古楼!C25</f>
        <v>0</v>
      </c>
      <c r="F25" s="22">
        <f t="shared" si="0"/>
        <v>25</v>
      </c>
      <c r="G25" s="22">
        <f t="shared" si="1"/>
        <v>40</v>
      </c>
      <c r="H25" s="14">
        <f>INDEX(章节关卡!$I$6:$I$34,芦花古楼!B25)*芦花古楼!C25</f>
        <v>0</v>
      </c>
      <c r="I25" s="14">
        <v>100</v>
      </c>
      <c r="L25" s="17">
        <v>21</v>
      </c>
      <c r="M25" s="78">
        <f t="shared" si="4"/>
        <v>8</v>
      </c>
      <c r="N25" s="123">
        <v>0</v>
      </c>
      <c r="O25" s="87"/>
      <c r="P25" s="78">
        <f>INDEX(章节关卡!$G$6:$G$34,芦花古楼!M25)*芦花古楼!N25</f>
        <v>0</v>
      </c>
      <c r="Q25" s="22">
        <f t="shared" si="5"/>
        <v>30</v>
      </c>
      <c r="R25" s="22">
        <f t="shared" si="6"/>
        <v>40</v>
      </c>
      <c r="S25" s="14">
        <f>INDEX(章节关卡!$I$6:$I$34,芦花古楼!M25)*芦花古楼!N25</f>
        <v>0</v>
      </c>
      <c r="T25" s="14">
        <v>100</v>
      </c>
      <c r="W25" s="17">
        <v>21</v>
      </c>
      <c r="X25" s="46">
        <v>8</v>
      </c>
      <c r="Y25" s="123">
        <v>0</v>
      </c>
      <c r="Z25" s="87"/>
      <c r="AA25" s="87">
        <f>INDEX(章节关卡!$G$6:$G$34,芦花古楼!X25)*芦花古楼!Y25</f>
        <v>0</v>
      </c>
      <c r="AB25" s="22">
        <f t="shared" si="2"/>
        <v>35</v>
      </c>
      <c r="AC25" s="22">
        <f t="shared" si="3"/>
        <v>40</v>
      </c>
      <c r="AD25" s="14">
        <f>INDEX(章节关卡!$I$6:$I$34,芦花古楼!X25)*芦花古楼!Y25</f>
        <v>0</v>
      </c>
      <c r="AE25" s="14">
        <v>100</v>
      </c>
      <c r="AH25" s="17">
        <v>21</v>
      </c>
      <c r="AI25" s="46">
        <v>8</v>
      </c>
      <c r="AJ25" s="123">
        <v>0</v>
      </c>
      <c r="AK25" s="87"/>
      <c r="AL25" s="87">
        <f>INDEX(章节关卡!$G$6:$G$34,芦花古楼!AI25)*芦花古楼!AJ25</f>
        <v>0</v>
      </c>
      <c r="AM25" s="22">
        <f t="shared" si="7"/>
        <v>40</v>
      </c>
      <c r="AN25" s="22">
        <f t="shared" si="8"/>
        <v>40</v>
      </c>
      <c r="AO25" s="14">
        <f>INDEX(章节关卡!$I$6:$I$34,芦花古楼!AI25)*芦花古楼!AJ25</f>
        <v>0</v>
      </c>
      <c r="AP25" s="14">
        <v>100</v>
      </c>
      <c r="AS25" s="18">
        <v>20</v>
      </c>
      <c r="AT25" s="87">
        <v>5</v>
      </c>
      <c r="AV25" s="18">
        <v>20</v>
      </c>
      <c r="AW25" s="87">
        <v>7</v>
      </c>
      <c r="AY25" s="18">
        <v>20</v>
      </c>
      <c r="AZ25" s="18">
        <v>7</v>
      </c>
      <c r="BB25" s="18">
        <v>20</v>
      </c>
      <c r="BC25" s="18">
        <v>7</v>
      </c>
      <c r="BF25" s="18">
        <v>20</v>
      </c>
      <c r="BG25" s="14">
        <f t="shared" si="9"/>
        <v>550</v>
      </c>
      <c r="BH25" s="14">
        <f t="shared" si="10"/>
        <v>305</v>
      </c>
      <c r="BI25" s="14">
        <f t="shared" si="11"/>
        <v>0</v>
      </c>
      <c r="BJ25" s="14">
        <f t="shared" si="12"/>
        <v>650</v>
      </c>
      <c r="BK25" s="14">
        <f t="shared" si="13"/>
        <v>855</v>
      </c>
      <c r="BL25" s="14">
        <f t="shared" si="14"/>
        <v>1710</v>
      </c>
      <c r="BN25" s="18">
        <v>21</v>
      </c>
      <c r="BO25" s="22">
        <v>20</v>
      </c>
      <c r="BU25" s="52">
        <v>20</v>
      </c>
      <c r="BV25" s="52">
        <v>104</v>
      </c>
      <c r="BW25" s="52">
        <v>1606022</v>
      </c>
      <c r="BX25" s="52" t="s">
        <v>326</v>
      </c>
      <c r="BY25" s="52">
        <v>3</v>
      </c>
      <c r="BZ25" s="52">
        <v>21</v>
      </c>
      <c r="CA25" s="52">
        <f>SUM(BZ$5:BZ25)</f>
        <v>372</v>
      </c>
      <c r="CJ25" s="52">
        <v>21</v>
      </c>
      <c r="CK25" s="52">
        <v>1</v>
      </c>
      <c r="CL25" s="52" t="s">
        <v>244</v>
      </c>
      <c r="CM25" s="52">
        <v>21</v>
      </c>
      <c r="CN25" s="52"/>
      <c r="CO25" s="52"/>
      <c r="CP25" s="52"/>
      <c r="CQ25" s="52" t="s">
        <v>358</v>
      </c>
      <c r="CR25" s="52">
        <v>2400</v>
      </c>
      <c r="CS25" s="52" t="s">
        <v>359</v>
      </c>
      <c r="CT25" s="52">
        <v>25</v>
      </c>
      <c r="CU25" s="52"/>
      <c r="CV25" s="52"/>
      <c r="CW25" s="52" t="s">
        <v>359</v>
      </c>
      <c r="CX25" s="52">
        <v>40</v>
      </c>
      <c r="CY25" s="52"/>
      <c r="CZ25" s="52"/>
      <c r="DA25" s="52"/>
      <c r="DB25" s="52"/>
      <c r="DC25" s="52"/>
      <c r="DD25" s="52"/>
      <c r="DE25" s="52"/>
      <c r="DF25" s="52"/>
      <c r="DG25" s="52"/>
      <c r="DH25" s="52"/>
    </row>
    <row r="26" spans="1:112" ht="16.5" x14ac:dyDescent="0.2">
      <c r="A26" s="17">
        <v>22</v>
      </c>
      <c r="B26" s="78">
        <v>7</v>
      </c>
      <c r="C26" s="123">
        <v>0</v>
      </c>
      <c r="D26" s="87"/>
      <c r="E26" s="78">
        <f>INDEX(章节关卡!$G$6:$G$34,芦花古楼!B26)*芦花古楼!C26</f>
        <v>0</v>
      </c>
      <c r="F26" s="22">
        <f t="shared" si="0"/>
        <v>25</v>
      </c>
      <c r="G26" s="22">
        <f t="shared" si="1"/>
        <v>40</v>
      </c>
      <c r="H26" s="14">
        <f>INDEX(章节关卡!$I$6:$I$34,芦花古楼!B26)*芦花古楼!C26</f>
        <v>0</v>
      </c>
      <c r="I26" s="14">
        <v>100</v>
      </c>
      <c r="L26" s="17">
        <v>22</v>
      </c>
      <c r="M26" s="78">
        <f t="shared" si="4"/>
        <v>8</v>
      </c>
      <c r="N26" s="123">
        <v>0</v>
      </c>
      <c r="O26" s="87"/>
      <c r="P26" s="78">
        <f>INDEX(章节关卡!$G$6:$G$34,芦花古楼!M26)*芦花古楼!N26</f>
        <v>0</v>
      </c>
      <c r="Q26" s="22">
        <f t="shared" si="5"/>
        <v>30</v>
      </c>
      <c r="R26" s="22">
        <f t="shared" si="6"/>
        <v>40</v>
      </c>
      <c r="S26" s="14">
        <f>INDEX(章节关卡!$I$6:$I$34,芦花古楼!M26)*芦花古楼!N26</f>
        <v>0</v>
      </c>
      <c r="T26" s="14">
        <v>100</v>
      </c>
      <c r="W26" s="17">
        <v>22</v>
      </c>
      <c r="X26" s="46">
        <v>8</v>
      </c>
      <c r="Y26" s="123">
        <v>0</v>
      </c>
      <c r="Z26" s="87"/>
      <c r="AA26" s="87">
        <f>INDEX(章节关卡!$G$6:$G$34,芦花古楼!X26)*芦花古楼!Y26</f>
        <v>0</v>
      </c>
      <c r="AB26" s="22">
        <f t="shared" si="2"/>
        <v>35</v>
      </c>
      <c r="AC26" s="22">
        <f t="shared" si="3"/>
        <v>40</v>
      </c>
      <c r="AD26" s="14">
        <f>INDEX(章节关卡!$I$6:$I$34,芦花古楼!X26)*芦花古楼!Y26</f>
        <v>0</v>
      </c>
      <c r="AE26" s="14">
        <v>100</v>
      </c>
      <c r="AH26" s="17">
        <v>22</v>
      </c>
      <c r="AI26" s="46">
        <v>8</v>
      </c>
      <c r="AJ26" s="123">
        <v>0</v>
      </c>
      <c r="AK26" s="87"/>
      <c r="AL26" s="87">
        <f>INDEX(章节关卡!$G$6:$G$34,芦花古楼!AI26)*芦花古楼!AJ26</f>
        <v>0</v>
      </c>
      <c r="AM26" s="22">
        <f t="shared" si="7"/>
        <v>40</v>
      </c>
      <c r="AN26" s="22">
        <f t="shared" si="8"/>
        <v>40</v>
      </c>
      <c r="AO26" s="14">
        <f>INDEX(章节关卡!$I$6:$I$34,芦花古楼!AI26)*芦花古楼!AJ26</f>
        <v>0</v>
      </c>
      <c r="AP26" s="14">
        <v>100</v>
      </c>
      <c r="AS26" s="18">
        <v>21</v>
      </c>
      <c r="AT26" s="18">
        <v>6</v>
      </c>
      <c r="AV26" s="18">
        <v>21</v>
      </c>
      <c r="AW26" s="87">
        <v>8</v>
      </c>
      <c r="AY26" s="18">
        <v>21</v>
      </c>
      <c r="AZ26" s="18">
        <v>8</v>
      </c>
      <c r="BB26" s="18">
        <v>21</v>
      </c>
      <c r="BC26" s="18">
        <v>8</v>
      </c>
      <c r="BF26" s="18">
        <v>21</v>
      </c>
      <c r="BG26" s="14">
        <f t="shared" si="9"/>
        <v>555</v>
      </c>
      <c r="BH26" s="14">
        <f t="shared" si="10"/>
        <v>325</v>
      </c>
      <c r="BI26" s="14">
        <f t="shared" si="11"/>
        <v>0</v>
      </c>
      <c r="BJ26" s="14">
        <f t="shared" si="12"/>
        <v>800</v>
      </c>
      <c r="BK26" s="14">
        <f t="shared" si="13"/>
        <v>860</v>
      </c>
      <c r="BL26" s="14">
        <f t="shared" si="14"/>
        <v>1720</v>
      </c>
      <c r="BN26" s="18">
        <v>22</v>
      </c>
      <c r="BO26" s="22">
        <v>20</v>
      </c>
      <c r="BU26" s="52">
        <v>21</v>
      </c>
      <c r="BV26" s="52">
        <v>105</v>
      </c>
      <c r="BW26" s="52">
        <v>1606023</v>
      </c>
      <c r="BX26" s="52" t="s">
        <v>327</v>
      </c>
      <c r="BY26" s="52">
        <v>1</v>
      </c>
      <c r="BZ26" s="52">
        <v>21</v>
      </c>
      <c r="CA26" s="52">
        <f>SUM(BZ$5:BZ26)</f>
        <v>393</v>
      </c>
      <c r="CJ26" s="52">
        <v>22</v>
      </c>
      <c r="CK26" s="52">
        <v>1</v>
      </c>
      <c r="CL26" s="52" t="s">
        <v>244</v>
      </c>
      <c r="CM26" s="52">
        <v>22</v>
      </c>
      <c r="CN26" s="52"/>
      <c r="CO26" s="52"/>
      <c r="CP26" s="52"/>
      <c r="CQ26" s="52" t="s">
        <v>358</v>
      </c>
      <c r="CR26" s="52">
        <v>2400</v>
      </c>
      <c r="CS26" s="52" t="s">
        <v>359</v>
      </c>
      <c r="CT26" s="52">
        <v>25</v>
      </c>
      <c r="CU26" s="52"/>
      <c r="CV26" s="52"/>
      <c r="CW26" s="52" t="s">
        <v>359</v>
      </c>
      <c r="CX26" s="52">
        <v>40</v>
      </c>
      <c r="CY26" s="52"/>
      <c r="CZ26" s="52"/>
      <c r="DA26" s="52"/>
      <c r="DB26" s="52"/>
      <c r="DC26" s="52"/>
      <c r="DD26" s="52"/>
      <c r="DE26" s="52"/>
      <c r="DF26" s="52"/>
      <c r="DG26" s="52"/>
      <c r="DH26" s="52"/>
    </row>
    <row r="27" spans="1:112" ht="16.5" x14ac:dyDescent="0.2">
      <c r="A27" s="17">
        <v>23</v>
      </c>
      <c r="B27" s="78">
        <v>7</v>
      </c>
      <c r="C27" s="123">
        <v>0</v>
      </c>
      <c r="D27" s="87"/>
      <c r="E27" s="78">
        <f>INDEX(章节关卡!$G$6:$G$34,芦花古楼!B27)*芦花古楼!C27</f>
        <v>0</v>
      </c>
      <c r="F27" s="22">
        <f t="shared" si="0"/>
        <v>25</v>
      </c>
      <c r="G27" s="22">
        <f t="shared" si="1"/>
        <v>40</v>
      </c>
      <c r="H27" s="14">
        <f>INDEX(章节关卡!$I$6:$I$34,芦花古楼!B27)*芦花古楼!C27</f>
        <v>0</v>
      </c>
      <c r="I27" s="14">
        <v>100</v>
      </c>
      <c r="L27" s="17">
        <v>23</v>
      </c>
      <c r="M27" s="78">
        <f t="shared" si="4"/>
        <v>8</v>
      </c>
      <c r="N27" s="123">
        <v>0</v>
      </c>
      <c r="O27" s="87"/>
      <c r="P27" s="78">
        <f>INDEX(章节关卡!$G$6:$G$34,芦花古楼!M27)*芦花古楼!N27</f>
        <v>0</v>
      </c>
      <c r="Q27" s="22">
        <f t="shared" si="5"/>
        <v>30</v>
      </c>
      <c r="R27" s="22">
        <f t="shared" si="6"/>
        <v>40</v>
      </c>
      <c r="S27" s="14">
        <f>INDEX(章节关卡!$I$6:$I$34,芦花古楼!M27)*芦花古楼!N27</f>
        <v>0</v>
      </c>
      <c r="T27" s="14">
        <v>100</v>
      </c>
      <c r="W27" s="17">
        <v>23</v>
      </c>
      <c r="X27" s="46">
        <v>8</v>
      </c>
      <c r="Y27" s="123">
        <v>0</v>
      </c>
      <c r="Z27" s="87"/>
      <c r="AA27" s="87">
        <f>INDEX(章节关卡!$G$6:$G$34,芦花古楼!X27)*芦花古楼!Y27</f>
        <v>0</v>
      </c>
      <c r="AB27" s="22">
        <f t="shared" si="2"/>
        <v>35</v>
      </c>
      <c r="AC27" s="22">
        <f t="shared" si="3"/>
        <v>40</v>
      </c>
      <c r="AD27" s="14">
        <f>INDEX(章节关卡!$I$6:$I$34,芦花古楼!X27)*芦花古楼!Y27</f>
        <v>0</v>
      </c>
      <c r="AE27" s="14">
        <v>100</v>
      </c>
      <c r="AH27" s="17">
        <v>23</v>
      </c>
      <c r="AI27" s="46">
        <v>8</v>
      </c>
      <c r="AJ27" s="123">
        <v>0</v>
      </c>
      <c r="AK27" s="87"/>
      <c r="AL27" s="87">
        <f>INDEX(章节关卡!$G$6:$G$34,芦花古楼!AI27)*芦花古楼!AJ27</f>
        <v>0</v>
      </c>
      <c r="AM27" s="22">
        <f t="shared" si="7"/>
        <v>40</v>
      </c>
      <c r="AN27" s="22">
        <f t="shared" si="8"/>
        <v>40</v>
      </c>
      <c r="AO27" s="14">
        <f>INDEX(章节关卡!$I$6:$I$34,芦花古楼!AI27)*芦花古楼!AJ27</f>
        <v>0</v>
      </c>
      <c r="AP27" s="14">
        <v>100</v>
      </c>
      <c r="AS27" s="18">
        <v>22</v>
      </c>
      <c r="AT27" s="87">
        <v>6</v>
      </c>
      <c r="AV27" s="18">
        <v>22</v>
      </c>
      <c r="AW27" s="87">
        <v>8</v>
      </c>
      <c r="AY27" s="18">
        <v>22</v>
      </c>
      <c r="AZ27" s="18">
        <v>8</v>
      </c>
      <c r="BB27" s="18">
        <v>22</v>
      </c>
      <c r="BC27" s="18">
        <v>8</v>
      </c>
      <c r="BF27" s="18">
        <v>22</v>
      </c>
      <c r="BG27" s="14">
        <f t="shared" si="9"/>
        <v>590</v>
      </c>
      <c r="BH27" s="14">
        <f t="shared" si="10"/>
        <v>325</v>
      </c>
      <c r="BI27" s="14">
        <f t="shared" si="11"/>
        <v>0</v>
      </c>
      <c r="BJ27" s="14">
        <f t="shared" si="12"/>
        <v>800</v>
      </c>
      <c r="BK27" s="14">
        <f t="shared" si="13"/>
        <v>915</v>
      </c>
      <c r="BL27" s="14">
        <f t="shared" si="14"/>
        <v>1830</v>
      </c>
      <c r="BN27" s="18">
        <v>23</v>
      </c>
      <c r="BO27" s="22">
        <v>20</v>
      </c>
      <c r="BU27" s="52">
        <v>22</v>
      </c>
      <c r="BV27" s="52">
        <v>105</v>
      </c>
      <c r="BW27" s="52">
        <v>1606024</v>
      </c>
      <c r="BX27" s="52" t="s">
        <v>328</v>
      </c>
      <c r="BY27" s="52">
        <v>1</v>
      </c>
      <c r="BZ27" s="52">
        <v>21</v>
      </c>
      <c r="CA27" s="52">
        <f>SUM(BZ$5:BZ27)</f>
        <v>414</v>
      </c>
      <c r="CJ27" s="52">
        <v>23</v>
      </c>
      <c r="CK27" s="52">
        <v>1</v>
      </c>
      <c r="CL27" s="52" t="s">
        <v>244</v>
      </c>
      <c r="CM27" s="52">
        <v>23</v>
      </c>
      <c r="CN27" s="52"/>
      <c r="CO27" s="52"/>
      <c r="CP27" s="52"/>
      <c r="CQ27" s="52" t="s">
        <v>358</v>
      </c>
      <c r="CR27" s="52">
        <v>2400</v>
      </c>
      <c r="CS27" s="52" t="s">
        <v>359</v>
      </c>
      <c r="CT27" s="52">
        <v>25</v>
      </c>
      <c r="CU27" s="52"/>
      <c r="CV27" s="52"/>
      <c r="CW27" s="52" t="s">
        <v>359</v>
      </c>
      <c r="CX27" s="52">
        <v>40</v>
      </c>
      <c r="CY27" s="52"/>
      <c r="CZ27" s="52"/>
      <c r="DA27" s="52"/>
      <c r="DB27" s="52"/>
      <c r="DC27" s="52"/>
      <c r="DD27" s="52"/>
      <c r="DE27" s="52"/>
      <c r="DF27" s="52"/>
      <c r="DG27" s="52"/>
      <c r="DH27" s="52"/>
    </row>
    <row r="28" spans="1:112" ht="16.5" x14ac:dyDescent="0.2">
      <c r="A28" s="17">
        <v>24</v>
      </c>
      <c r="B28" s="78">
        <v>7</v>
      </c>
      <c r="C28" s="123">
        <v>0</v>
      </c>
      <c r="D28" s="87"/>
      <c r="E28" s="78">
        <f>INDEX(章节关卡!$G$6:$G$34,芦花古楼!B28)*芦花古楼!C28</f>
        <v>0</v>
      </c>
      <c r="F28" s="22">
        <f t="shared" si="0"/>
        <v>25</v>
      </c>
      <c r="G28" s="22">
        <f t="shared" si="1"/>
        <v>40</v>
      </c>
      <c r="H28" s="14">
        <f>INDEX(章节关卡!$I$6:$I$34,芦花古楼!B28)*芦花古楼!C28</f>
        <v>0</v>
      </c>
      <c r="I28" s="14">
        <v>100</v>
      </c>
      <c r="L28" s="17">
        <v>24</v>
      </c>
      <c r="M28" s="78">
        <f t="shared" si="4"/>
        <v>8</v>
      </c>
      <c r="N28" s="123">
        <v>0</v>
      </c>
      <c r="O28" s="87"/>
      <c r="P28" s="78">
        <f>INDEX(章节关卡!$G$6:$G$34,芦花古楼!M28)*芦花古楼!N28</f>
        <v>0</v>
      </c>
      <c r="Q28" s="22">
        <f t="shared" si="5"/>
        <v>30</v>
      </c>
      <c r="R28" s="22">
        <f t="shared" si="6"/>
        <v>40</v>
      </c>
      <c r="S28" s="14">
        <f>INDEX(章节关卡!$I$6:$I$34,芦花古楼!M28)*芦花古楼!N28</f>
        <v>0</v>
      </c>
      <c r="T28" s="14">
        <v>100</v>
      </c>
      <c r="W28" s="17">
        <v>24</v>
      </c>
      <c r="X28" s="46">
        <v>8</v>
      </c>
      <c r="Y28" s="123">
        <v>0</v>
      </c>
      <c r="Z28" s="87"/>
      <c r="AA28" s="87">
        <f>INDEX(章节关卡!$G$6:$G$34,芦花古楼!X28)*芦花古楼!Y28</f>
        <v>0</v>
      </c>
      <c r="AB28" s="22">
        <f t="shared" si="2"/>
        <v>35</v>
      </c>
      <c r="AC28" s="22">
        <f t="shared" si="3"/>
        <v>40</v>
      </c>
      <c r="AD28" s="14">
        <f>INDEX(章节关卡!$I$6:$I$34,芦花古楼!X28)*芦花古楼!Y28</f>
        <v>0</v>
      </c>
      <c r="AE28" s="14">
        <v>100</v>
      </c>
      <c r="AH28" s="17">
        <v>24</v>
      </c>
      <c r="AI28" s="46">
        <v>8</v>
      </c>
      <c r="AJ28" s="123">
        <v>0</v>
      </c>
      <c r="AK28" s="87"/>
      <c r="AL28" s="87">
        <f>INDEX(章节关卡!$G$6:$G$34,芦花古楼!AI28)*芦花古楼!AJ28</f>
        <v>0</v>
      </c>
      <c r="AM28" s="22">
        <f t="shared" si="7"/>
        <v>40</v>
      </c>
      <c r="AN28" s="22">
        <f t="shared" si="8"/>
        <v>40</v>
      </c>
      <c r="AO28" s="14">
        <f>INDEX(章节关卡!$I$6:$I$34,芦花古楼!AI28)*芦花古楼!AJ28</f>
        <v>0</v>
      </c>
      <c r="AP28" s="14">
        <v>100</v>
      </c>
      <c r="AS28" s="18">
        <v>23</v>
      </c>
      <c r="AT28" s="87">
        <v>6</v>
      </c>
      <c r="AV28" s="18">
        <v>23</v>
      </c>
      <c r="AW28" s="87">
        <v>8</v>
      </c>
      <c r="AY28" s="18">
        <v>23</v>
      </c>
      <c r="AZ28" s="18">
        <v>8</v>
      </c>
      <c r="BB28" s="18">
        <v>23</v>
      </c>
      <c r="BC28" s="18">
        <v>8</v>
      </c>
      <c r="BF28" s="18">
        <v>23</v>
      </c>
      <c r="BG28" s="14">
        <f t="shared" si="9"/>
        <v>590</v>
      </c>
      <c r="BH28" s="14">
        <f t="shared" si="10"/>
        <v>330</v>
      </c>
      <c r="BI28" s="14">
        <f t="shared" si="11"/>
        <v>0</v>
      </c>
      <c r="BJ28" s="14">
        <f t="shared" si="12"/>
        <v>800</v>
      </c>
      <c r="BK28" s="14">
        <f t="shared" si="13"/>
        <v>915</v>
      </c>
      <c r="BL28" s="14">
        <f t="shared" si="14"/>
        <v>1830</v>
      </c>
      <c r="BN28" s="18">
        <v>24</v>
      </c>
      <c r="BO28" s="22">
        <v>20</v>
      </c>
      <c r="BU28" s="52">
        <v>23</v>
      </c>
      <c r="BV28" s="52">
        <v>105</v>
      </c>
      <c r="BW28" s="52">
        <v>1606025</v>
      </c>
      <c r="BX28" s="52" t="s">
        <v>329</v>
      </c>
      <c r="BY28" s="52">
        <v>2</v>
      </c>
      <c r="BZ28" s="52">
        <v>21</v>
      </c>
      <c r="CA28" s="52">
        <f>SUM(BZ$5:BZ28)</f>
        <v>435</v>
      </c>
      <c r="CJ28" s="52">
        <v>24</v>
      </c>
      <c r="CK28" s="52">
        <v>1</v>
      </c>
      <c r="CL28" s="52" t="s">
        <v>244</v>
      </c>
      <c r="CM28" s="52">
        <v>24</v>
      </c>
      <c r="CN28" s="52"/>
      <c r="CO28" s="52"/>
      <c r="CP28" s="52"/>
      <c r="CQ28" s="52" t="s">
        <v>358</v>
      </c>
      <c r="CR28" s="52">
        <v>2400</v>
      </c>
      <c r="CS28" s="52" t="s">
        <v>359</v>
      </c>
      <c r="CT28" s="52">
        <v>25</v>
      </c>
      <c r="CU28" s="52"/>
      <c r="CV28" s="52"/>
      <c r="CW28" s="52" t="s">
        <v>359</v>
      </c>
      <c r="CX28" s="52">
        <v>40</v>
      </c>
      <c r="CY28" s="52"/>
      <c r="CZ28" s="52"/>
      <c r="DA28" s="52"/>
      <c r="DB28" s="52"/>
      <c r="DC28" s="52"/>
      <c r="DD28" s="52"/>
      <c r="DE28" s="52"/>
      <c r="DF28" s="52"/>
      <c r="DG28" s="52"/>
      <c r="DH28" s="52"/>
    </row>
    <row r="29" spans="1:112" ht="16.5" x14ac:dyDescent="0.2">
      <c r="A29" s="17">
        <v>25</v>
      </c>
      <c r="B29" s="78">
        <v>7</v>
      </c>
      <c r="C29" s="123">
        <v>0</v>
      </c>
      <c r="D29" s="87"/>
      <c r="E29" s="78">
        <f>INDEX(章节关卡!$G$6:$G$34,芦花古楼!B29)*芦花古楼!C29</f>
        <v>0</v>
      </c>
      <c r="F29" s="22">
        <f t="shared" si="0"/>
        <v>25</v>
      </c>
      <c r="G29" s="22">
        <f t="shared" si="1"/>
        <v>45</v>
      </c>
      <c r="H29" s="14">
        <f>INDEX(章节关卡!$I$6:$I$34,芦花古楼!B29)*芦花古楼!C29</f>
        <v>0</v>
      </c>
      <c r="I29" s="14">
        <v>100</v>
      </c>
      <c r="L29" s="17">
        <v>25</v>
      </c>
      <c r="M29" s="78">
        <f t="shared" si="4"/>
        <v>8</v>
      </c>
      <c r="N29" s="123">
        <v>0</v>
      </c>
      <c r="O29" s="87"/>
      <c r="P29" s="78">
        <f>INDEX(章节关卡!$G$6:$G$34,芦花古楼!M29)*芦花古楼!N29</f>
        <v>0</v>
      </c>
      <c r="Q29" s="22">
        <f t="shared" si="5"/>
        <v>30</v>
      </c>
      <c r="R29" s="22">
        <f t="shared" si="6"/>
        <v>45</v>
      </c>
      <c r="S29" s="14">
        <f>INDEX(章节关卡!$I$6:$I$34,芦花古楼!M29)*芦花古楼!N29</f>
        <v>0</v>
      </c>
      <c r="T29" s="14">
        <v>100</v>
      </c>
      <c r="W29" s="17">
        <v>25</v>
      </c>
      <c r="X29" s="46">
        <v>8</v>
      </c>
      <c r="Y29" s="123">
        <v>0</v>
      </c>
      <c r="Z29" s="87"/>
      <c r="AA29" s="87">
        <f>INDEX(章节关卡!$G$6:$G$34,芦花古楼!X29)*芦花古楼!Y29</f>
        <v>0</v>
      </c>
      <c r="AB29" s="22">
        <f t="shared" si="2"/>
        <v>35</v>
      </c>
      <c r="AC29" s="22">
        <f t="shared" si="3"/>
        <v>45</v>
      </c>
      <c r="AD29" s="14">
        <f>INDEX(章节关卡!$I$6:$I$34,芦花古楼!X29)*芦花古楼!Y29</f>
        <v>0</v>
      </c>
      <c r="AE29" s="14">
        <v>100</v>
      </c>
      <c r="AH29" s="17">
        <v>25</v>
      </c>
      <c r="AI29" s="46">
        <v>8</v>
      </c>
      <c r="AJ29" s="123">
        <v>0</v>
      </c>
      <c r="AK29" s="87"/>
      <c r="AL29" s="87">
        <f>INDEX(章节关卡!$G$6:$G$34,芦花古楼!AI29)*芦花古楼!AJ29</f>
        <v>0</v>
      </c>
      <c r="AM29" s="22">
        <f t="shared" si="7"/>
        <v>40</v>
      </c>
      <c r="AN29" s="22">
        <f t="shared" si="8"/>
        <v>45</v>
      </c>
      <c r="AO29" s="14">
        <f>INDEX(章节关卡!$I$6:$I$34,芦花古楼!AI29)*芦花古楼!AJ29</f>
        <v>0</v>
      </c>
      <c r="AP29" s="14">
        <v>100</v>
      </c>
      <c r="AS29" s="18">
        <v>24</v>
      </c>
      <c r="AT29" s="87">
        <v>6</v>
      </c>
      <c r="AV29" s="18">
        <v>24</v>
      </c>
      <c r="AW29" s="87">
        <v>8</v>
      </c>
      <c r="AY29" s="18">
        <v>24</v>
      </c>
      <c r="AZ29" s="18">
        <v>8</v>
      </c>
      <c r="BB29" s="18">
        <v>24</v>
      </c>
      <c r="BC29" s="18">
        <v>8</v>
      </c>
      <c r="BF29" s="18">
        <v>24</v>
      </c>
      <c r="BG29" s="14">
        <f t="shared" si="9"/>
        <v>615</v>
      </c>
      <c r="BH29" s="14">
        <f t="shared" si="10"/>
        <v>345</v>
      </c>
      <c r="BI29" s="14">
        <f t="shared" si="11"/>
        <v>0</v>
      </c>
      <c r="BJ29" s="14">
        <f t="shared" si="12"/>
        <v>800</v>
      </c>
      <c r="BK29" s="14">
        <f t="shared" si="13"/>
        <v>945</v>
      </c>
      <c r="BL29" s="14">
        <f t="shared" si="14"/>
        <v>1890</v>
      </c>
      <c r="BN29" s="18">
        <v>25</v>
      </c>
      <c r="BO29" s="22">
        <v>20</v>
      </c>
      <c r="BU29" s="52">
        <v>24</v>
      </c>
      <c r="BV29" s="52">
        <v>105</v>
      </c>
      <c r="BW29" s="52">
        <v>1606026</v>
      </c>
      <c r="BX29" s="52" t="s">
        <v>330</v>
      </c>
      <c r="BY29" s="52">
        <v>2</v>
      </c>
      <c r="BZ29" s="52">
        <v>21</v>
      </c>
      <c r="CA29" s="52">
        <f>SUM(BZ$5:BZ29)</f>
        <v>456</v>
      </c>
      <c r="CJ29" s="52">
        <v>25</v>
      </c>
      <c r="CK29" s="52">
        <v>1</v>
      </c>
      <c r="CL29" s="52" t="s">
        <v>244</v>
      </c>
      <c r="CM29" s="52">
        <v>25</v>
      </c>
      <c r="CN29" s="52"/>
      <c r="CO29" s="52"/>
      <c r="CP29" s="52"/>
      <c r="CQ29" s="52" t="s">
        <v>358</v>
      </c>
      <c r="CR29" s="52">
        <v>2400</v>
      </c>
      <c r="CS29" s="52" t="s">
        <v>359</v>
      </c>
      <c r="CT29" s="52">
        <v>25</v>
      </c>
      <c r="CU29" s="52" t="s">
        <v>360</v>
      </c>
      <c r="CV29" s="52">
        <v>2</v>
      </c>
      <c r="CW29" s="52" t="s">
        <v>359</v>
      </c>
      <c r="CX29" s="52">
        <v>45</v>
      </c>
      <c r="CY29" s="52"/>
      <c r="CZ29" s="52"/>
      <c r="DA29" s="52"/>
      <c r="DB29" s="52"/>
      <c r="DC29" s="52"/>
      <c r="DD29" s="52"/>
      <c r="DE29" s="52"/>
      <c r="DF29" s="52"/>
      <c r="DG29" s="52"/>
      <c r="DH29" s="52"/>
    </row>
    <row r="30" spans="1:112" ht="16.5" x14ac:dyDescent="0.2">
      <c r="A30" s="17">
        <v>26</v>
      </c>
      <c r="B30" s="46">
        <v>8</v>
      </c>
      <c r="C30" s="123">
        <v>0</v>
      </c>
      <c r="D30" s="87"/>
      <c r="E30" s="78">
        <f>INDEX(章节关卡!$G$6:$G$34,芦花古楼!B30)*芦花古楼!C30</f>
        <v>0</v>
      </c>
      <c r="F30" s="22">
        <f t="shared" si="0"/>
        <v>30</v>
      </c>
      <c r="G30" s="22">
        <f t="shared" si="1"/>
        <v>45</v>
      </c>
      <c r="H30" s="14">
        <f>INDEX(章节关卡!$I$6:$I$34,芦花古楼!B30)*芦花古楼!C30</f>
        <v>0</v>
      </c>
      <c r="I30" s="14">
        <v>100</v>
      </c>
      <c r="L30" s="17">
        <v>26</v>
      </c>
      <c r="M30" s="78">
        <f t="shared" si="4"/>
        <v>9</v>
      </c>
      <c r="N30" s="123">
        <v>0</v>
      </c>
      <c r="O30" s="87"/>
      <c r="P30" s="78">
        <f>INDEX(章节关卡!$G$6:$G$34,芦花古楼!M30)*芦花古楼!N30</f>
        <v>0</v>
      </c>
      <c r="Q30" s="22">
        <f t="shared" si="5"/>
        <v>35</v>
      </c>
      <c r="R30" s="22">
        <f t="shared" si="6"/>
        <v>45</v>
      </c>
      <c r="S30" s="14">
        <f>INDEX(章节关卡!$I$6:$I$34,芦花古楼!M30)*芦花古楼!N30</f>
        <v>0</v>
      </c>
      <c r="T30" s="14">
        <v>100</v>
      </c>
      <c r="W30" s="17">
        <v>26</v>
      </c>
      <c r="X30" s="46">
        <v>9</v>
      </c>
      <c r="Y30" s="123">
        <v>0</v>
      </c>
      <c r="Z30" s="87"/>
      <c r="AA30" s="87">
        <f>INDEX(章节关卡!$G$6:$G$34,芦花古楼!X30)*芦花古楼!Y30</f>
        <v>0</v>
      </c>
      <c r="AB30" s="22">
        <f t="shared" si="2"/>
        <v>40</v>
      </c>
      <c r="AC30" s="22">
        <f t="shared" si="3"/>
        <v>45</v>
      </c>
      <c r="AD30" s="14">
        <f>INDEX(章节关卡!$I$6:$I$34,芦花古楼!X30)*芦花古楼!Y30</f>
        <v>0</v>
      </c>
      <c r="AE30" s="14">
        <v>100</v>
      </c>
      <c r="AH30" s="17">
        <v>26</v>
      </c>
      <c r="AI30" s="46">
        <v>9</v>
      </c>
      <c r="AJ30" s="123">
        <v>0</v>
      </c>
      <c r="AK30" s="87"/>
      <c r="AL30" s="87">
        <f>INDEX(章节关卡!$G$6:$G$34,芦花古楼!AI30)*芦花古楼!AJ30</f>
        <v>0</v>
      </c>
      <c r="AM30" s="22">
        <f t="shared" si="7"/>
        <v>45</v>
      </c>
      <c r="AN30" s="22">
        <f t="shared" si="8"/>
        <v>45</v>
      </c>
      <c r="AO30" s="14">
        <f>INDEX(章节关卡!$I$6:$I$34,芦花古楼!AI30)*芦花古楼!AJ30</f>
        <v>0</v>
      </c>
      <c r="AP30" s="14">
        <v>100</v>
      </c>
      <c r="AS30" s="18">
        <v>25</v>
      </c>
      <c r="AT30" s="87">
        <v>6</v>
      </c>
      <c r="AV30" s="18">
        <v>25</v>
      </c>
      <c r="AW30" s="87">
        <v>8</v>
      </c>
      <c r="AY30" s="18">
        <v>25</v>
      </c>
      <c r="AZ30" s="18">
        <v>8</v>
      </c>
      <c r="BB30" s="18">
        <v>25</v>
      </c>
      <c r="BC30" s="18">
        <v>8</v>
      </c>
      <c r="BF30" s="18">
        <v>25</v>
      </c>
      <c r="BG30" s="14">
        <f t="shared" si="9"/>
        <v>630</v>
      </c>
      <c r="BH30" s="14">
        <f t="shared" si="10"/>
        <v>345</v>
      </c>
      <c r="BI30" s="14">
        <f t="shared" si="11"/>
        <v>0</v>
      </c>
      <c r="BJ30" s="14">
        <f t="shared" si="12"/>
        <v>800</v>
      </c>
      <c r="BK30" s="14">
        <f t="shared" si="13"/>
        <v>975</v>
      </c>
      <c r="BL30" s="14">
        <f t="shared" si="14"/>
        <v>1950</v>
      </c>
      <c r="BN30" s="18">
        <v>26</v>
      </c>
      <c r="BO30" s="22">
        <v>20</v>
      </c>
      <c r="BU30" s="52">
        <v>25</v>
      </c>
      <c r="BV30" s="52">
        <v>105</v>
      </c>
      <c r="BW30" s="52">
        <v>1606027</v>
      </c>
      <c r="BX30" s="52" t="s">
        <v>331</v>
      </c>
      <c r="BY30" s="52">
        <v>2</v>
      </c>
      <c r="BZ30" s="52">
        <v>21</v>
      </c>
      <c r="CA30" s="52">
        <f>SUM(BZ$5:BZ30)</f>
        <v>477</v>
      </c>
      <c r="CJ30" s="52">
        <v>26</v>
      </c>
      <c r="CK30" s="52">
        <v>1</v>
      </c>
      <c r="CL30" s="52" t="s">
        <v>244</v>
      </c>
      <c r="CM30" s="52">
        <v>26</v>
      </c>
      <c r="CN30" s="52"/>
      <c r="CO30" s="52"/>
      <c r="CP30" s="52"/>
      <c r="CQ30" s="52" t="s">
        <v>358</v>
      </c>
      <c r="CR30" s="52">
        <v>2400</v>
      </c>
      <c r="CS30" s="52" t="s">
        <v>359</v>
      </c>
      <c r="CT30" s="52">
        <v>30</v>
      </c>
      <c r="CU30" s="52"/>
      <c r="CV30" s="52"/>
      <c r="CW30" s="52" t="s">
        <v>359</v>
      </c>
      <c r="CX30" s="52">
        <v>45</v>
      </c>
      <c r="CY30" s="52"/>
      <c r="CZ30" s="52"/>
      <c r="DA30" s="52"/>
      <c r="DB30" s="52"/>
      <c r="DC30" s="52"/>
      <c r="DD30" s="52"/>
      <c r="DE30" s="52"/>
      <c r="DF30" s="52"/>
      <c r="DG30" s="52"/>
      <c r="DH30" s="52"/>
    </row>
    <row r="31" spans="1:112" ht="16.5" x14ac:dyDescent="0.2">
      <c r="A31" s="17">
        <v>27</v>
      </c>
      <c r="B31" s="78">
        <v>8</v>
      </c>
      <c r="C31" s="123">
        <v>0</v>
      </c>
      <c r="D31" s="87"/>
      <c r="E31" s="78">
        <f>INDEX(章节关卡!$G$6:$G$34,芦花古楼!B31)*芦花古楼!C31</f>
        <v>0</v>
      </c>
      <c r="F31" s="22">
        <f t="shared" si="0"/>
        <v>30</v>
      </c>
      <c r="G31" s="22">
        <f t="shared" si="1"/>
        <v>45</v>
      </c>
      <c r="H31" s="14">
        <f>INDEX(章节关卡!$I$6:$I$34,芦花古楼!B31)*芦花古楼!C31</f>
        <v>0</v>
      </c>
      <c r="I31" s="14">
        <v>100</v>
      </c>
      <c r="L31" s="17">
        <v>27</v>
      </c>
      <c r="M31" s="78">
        <f t="shared" si="4"/>
        <v>9</v>
      </c>
      <c r="N31" s="123">
        <v>0</v>
      </c>
      <c r="O31" s="87"/>
      <c r="P31" s="78">
        <f>INDEX(章节关卡!$G$6:$G$34,芦花古楼!M31)*芦花古楼!N31</f>
        <v>0</v>
      </c>
      <c r="Q31" s="22">
        <f t="shared" si="5"/>
        <v>35</v>
      </c>
      <c r="R31" s="22">
        <f t="shared" si="6"/>
        <v>45</v>
      </c>
      <c r="S31" s="14">
        <f>INDEX(章节关卡!$I$6:$I$34,芦花古楼!M31)*芦花古楼!N31</f>
        <v>0</v>
      </c>
      <c r="T31" s="14">
        <v>100</v>
      </c>
      <c r="W31" s="17">
        <v>27</v>
      </c>
      <c r="X31" s="46">
        <v>9</v>
      </c>
      <c r="Y31" s="123">
        <v>0</v>
      </c>
      <c r="Z31" s="87"/>
      <c r="AA31" s="87">
        <f>INDEX(章节关卡!$G$6:$G$34,芦花古楼!X31)*芦花古楼!Y31</f>
        <v>0</v>
      </c>
      <c r="AB31" s="22">
        <f t="shared" si="2"/>
        <v>40</v>
      </c>
      <c r="AC31" s="22">
        <f t="shared" si="3"/>
        <v>45</v>
      </c>
      <c r="AD31" s="14">
        <f>INDEX(章节关卡!$I$6:$I$34,芦花古楼!X31)*芦花古楼!Y31</f>
        <v>0</v>
      </c>
      <c r="AE31" s="14">
        <v>100</v>
      </c>
      <c r="AH31" s="17">
        <v>27</v>
      </c>
      <c r="AI31" s="46">
        <v>9</v>
      </c>
      <c r="AJ31" s="123">
        <v>0</v>
      </c>
      <c r="AK31" s="87"/>
      <c r="AL31" s="87">
        <f>INDEX(章节关卡!$G$6:$G$34,芦花古楼!AI31)*芦花古楼!AJ31</f>
        <v>0</v>
      </c>
      <c r="AM31" s="22">
        <f t="shared" si="7"/>
        <v>45</v>
      </c>
      <c r="AN31" s="22">
        <f t="shared" si="8"/>
        <v>45</v>
      </c>
      <c r="AO31" s="14">
        <f>INDEX(章节关卡!$I$6:$I$34,芦花古楼!AI31)*芦花古楼!AJ31</f>
        <v>0</v>
      </c>
      <c r="AP31" s="14">
        <v>100</v>
      </c>
      <c r="AS31" s="18">
        <v>26</v>
      </c>
      <c r="AT31" s="18">
        <v>7</v>
      </c>
      <c r="AV31" s="18">
        <v>26</v>
      </c>
      <c r="AW31" s="87">
        <v>9</v>
      </c>
      <c r="AY31" s="18">
        <v>26</v>
      </c>
      <c r="AZ31" s="18">
        <v>9</v>
      </c>
      <c r="BB31" s="18">
        <v>26</v>
      </c>
      <c r="BC31" s="18">
        <v>9</v>
      </c>
      <c r="BF31" s="18">
        <v>26</v>
      </c>
      <c r="BG31" s="14">
        <f t="shared" si="9"/>
        <v>635</v>
      </c>
      <c r="BH31" s="14">
        <f t="shared" si="10"/>
        <v>365</v>
      </c>
      <c r="BI31" s="14">
        <f t="shared" si="11"/>
        <v>0</v>
      </c>
      <c r="BJ31" s="14">
        <f t="shared" si="12"/>
        <v>800</v>
      </c>
      <c r="BK31" s="14">
        <f t="shared" si="13"/>
        <v>980</v>
      </c>
      <c r="BL31" s="14">
        <f t="shared" si="14"/>
        <v>1960</v>
      </c>
      <c r="BN31" s="18">
        <v>27</v>
      </c>
      <c r="BO31" s="22">
        <v>20</v>
      </c>
      <c r="BU31" s="52">
        <v>26</v>
      </c>
      <c r="BV31" s="52">
        <v>105</v>
      </c>
      <c r="BW31" s="52">
        <v>1606028</v>
      </c>
      <c r="BX31" s="52" t="s">
        <v>332</v>
      </c>
      <c r="BY31" s="52">
        <v>3</v>
      </c>
      <c r="BZ31" s="52">
        <v>21</v>
      </c>
      <c r="CA31" s="52">
        <f>SUM(BZ$5:BZ31)</f>
        <v>498</v>
      </c>
      <c r="CJ31" s="52">
        <v>27</v>
      </c>
      <c r="CK31" s="52">
        <v>1</v>
      </c>
      <c r="CL31" s="52" t="s">
        <v>244</v>
      </c>
      <c r="CM31" s="52">
        <v>27</v>
      </c>
      <c r="CN31" s="52"/>
      <c r="CO31" s="52"/>
      <c r="CP31" s="52"/>
      <c r="CQ31" s="52" t="s">
        <v>358</v>
      </c>
      <c r="CR31" s="52">
        <v>2400</v>
      </c>
      <c r="CS31" s="52" t="s">
        <v>359</v>
      </c>
      <c r="CT31" s="52">
        <v>30</v>
      </c>
      <c r="CU31" s="52"/>
      <c r="CV31" s="52"/>
      <c r="CW31" s="52" t="s">
        <v>359</v>
      </c>
      <c r="CX31" s="52">
        <v>45</v>
      </c>
      <c r="CY31" s="52"/>
      <c r="CZ31" s="52"/>
      <c r="DA31" s="52"/>
      <c r="DB31" s="52"/>
      <c r="DC31" s="52"/>
      <c r="DD31" s="52"/>
      <c r="DE31" s="52"/>
      <c r="DF31" s="52"/>
      <c r="DG31" s="52"/>
      <c r="DH31" s="52"/>
    </row>
    <row r="32" spans="1:112" ht="16.5" x14ac:dyDescent="0.2">
      <c r="A32" s="17">
        <v>28</v>
      </c>
      <c r="B32" s="78">
        <v>8</v>
      </c>
      <c r="C32" s="123">
        <v>0</v>
      </c>
      <c r="D32" s="87"/>
      <c r="E32" s="78">
        <f>INDEX(章节关卡!$G$6:$G$34,芦花古楼!B32)*芦花古楼!C32</f>
        <v>0</v>
      </c>
      <c r="F32" s="22">
        <f t="shared" si="0"/>
        <v>30</v>
      </c>
      <c r="G32" s="22">
        <f t="shared" si="1"/>
        <v>45</v>
      </c>
      <c r="H32" s="14">
        <f>INDEX(章节关卡!$I$6:$I$34,芦花古楼!B32)*芦花古楼!C32</f>
        <v>0</v>
      </c>
      <c r="I32" s="14">
        <v>100</v>
      </c>
      <c r="L32" s="17">
        <v>28</v>
      </c>
      <c r="M32" s="78">
        <f t="shared" si="4"/>
        <v>9</v>
      </c>
      <c r="N32" s="123">
        <v>0</v>
      </c>
      <c r="O32" s="87"/>
      <c r="P32" s="78">
        <f>INDEX(章节关卡!$G$6:$G$34,芦花古楼!M32)*芦花古楼!N32</f>
        <v>0</v>
      </c>
      <c r="Q32" s="22">
        <f t="shared" si="5"/>
        <v>35</v>
      </c>
      <c r="R32" s="22">
        <f t="shared" si="6"/>
        <v>45</v>
      </c>
      <c r="S32" s="14">
        <f>INDEX(章节关卡!$I$6:$I$34,芦花古楼!M32)*芦花古楼!N32</f>
        <v>0</v>
      </c>
      <c r="T32" s="14">
        <v>100</v>
      </c>
      <c r="W32" s="17">
        <v>28</v>
      </c>
      <c r="X32" s="46">
        <v>9</v>
      </c>
      <c r="Y32" s="123">
        <v>0</v>
      </c>
      <c r="Z32" s="87"/>
      <c r="AA32" s="87">
        <f>INDEX(章节关卡!$G$6:$G$34,芦花古楼!X32)*芦花古楼!Y32</f>
        <v>0</v>
      </c>
      <c r="AB32" s="22">
        <f t="shared" si="2"/>
        <v>40</v>
      </c>
      <c r="AC32" s="22">
        <f t="shared" si="3"/>
        <v>45</v>
      </c>
      <c r="AD32" s="14">
        <f>INDEX(章节关卡!$I$6:$I$34,芦花古楼!X32)*芦花古楼!Y32</f>
        <v>0</v>
      </c>
      <c r="AE32" s="14">
        <v>100</v>
      </c>
      <c r="AH32" s="17">
        <v>28</v>
      </c>
      <c r="AI32" s="46">
        <v>9</v>
      </c>
      <c r="AJ32" s="123">
        <v>0</v>
      </c>
      <c r="AK32" s="87"/>
      <c r="AL32" s="87">
        <f>INDEX(章节关卡!$G$6:$G$34,芦花古楼!AI32)*芦花古楼!AJ32</f>
        <v>0</v>
      </c>
      <c r="AM32" s="22">
        <f t="shared" si="7"/>
        <v>45</v>
      </c>
      <c r="AN32" s="22">
        <f t="shared" si="8"/>
        <v>45</v>
      </c>
      <c r="AO32" s="14">
        <f>INDEX(章节关卡!$I$6:$I$34,芦花古楼!AI32)*芦花古楼!AJ32</f>
        <v>0</v>
      </c>
      <c r="AP32" s="14">
        <v>100</v>
      </c>
      <c r="AS32" s="18">
        <v>27</v>
      </c>
      <c r="AT32" s="87">
        <v>7</v>
      </c>
      <c r="AV32" s="18">
        <v>27</v>
      </c>
      <c r="AW32" s="87">
        <v>9</v>
      </c>
      <c r="AY32" s="18">
        <v>27</v>
      </c>
      <c r="AZ32" s="18">
        <v>9</v>
      </c>
      <c r="BB32" s="18">
        <v>27</v>
      </c>
      <c r="BC32" s="18">
        <v>9</v>
      </c>
      <c r="BF32" s="18">
        <v>27</v>
      </c>
      <c r="BG32" s="14">
        <f t="shared" si="9"/>
        <v>670</v>
      </c>
      <c r="BH32" s="14">
        <f t="shared" si="10"/>
        <v>365</v>
      </c>
      <c r="BI32" s="14">
        <f t="shared" si="11"/>
        <v>0</v>
      </c>
      <c r="BJ32" s="14">
        <f t="shared" si="12"/>
        <v>800</v>
      </c>
      <c r="BK32" s="14">
        <f t="shared" si="13"/>
        <v>1035</v>
      </c>
      <c r="BL32" s="14">
        <f t="shared" si="14"/>
        <v>2070</v>
      </c>
      <c r="BN32" s="18">
        <v>28</v>
      </c>
      <c r="BO32" s="22">
        <v>20</v>
      </c>
      <c r="BU32" s="52">
        <v>27</v>
      </c>
      <c r="BV32" s="52">
        <v>106</v>
      </c>
      <c r="BW32" s="52">
        <v>1606029</v>
      </c>
      <c r="BX32" s="52" t="s">
        <v>333</v>
      </c>
      <c r="BY32" s="52">
        <v>2</v>
      </c>
      <c r="BZ32" s="52">
        <v>21</v>
      </c>
      <c r="CA32" s="52">
        <f>SUM(BZ$5:BZ32)</f>
        <v>519</v>
      </c>
      <c r="CJ32" s="52">
        <v>28</v>
      </c>
      <c r="CK32" s="52">
        <v>1</v>
      </c>
      <c r="CL32" s="52" t="s">
        <v>244</v>
      </c>
      <c r="CM32" s="52">
        <v>28</v>
      </c>
      <c r="CN32" s="52"/>
      <c r="CO32" s="52"/>
      <c r="CP32" s="52"/>
      <c r="CQ32" s="52" t="s">
        <v>358</v>
      </c>
      <c r="CR32" s="52">
        <v>2400</v>
      </c>
      <c r="CS32" s="52" t="s">
        <v>359</v>
      </c>
      <c r="CT32" s="52">
        <v>30</v>
      </c>
      <c r="CU32" s="52"/>
      <c r="CV32" s="52"/>
      <c r="CW32" s="52" t="s">
        <v>359</v>
      </c>
      <c r="CX32" s="52">
        <v>45</v>
      </c>
      <c r="CY32" s="52"/>
      <c r="CZ32" s="52"/>
      <c r="DA32" s="52"/>
      <c r="DB32" s="52"/>
      <c r="DC32" s="52"/>
      <c r="DD32" s="52"/>
      <c r="DE32" s="52"/>
      <c r="DF32" s="52"/>
      <c r="DG32" s="52"/>
      <c r="DH32" s="52"/>
    </row>
    <row r="33" spans="1:112" ht="16.5" x14ac:dyDescent="0.2">
      <c r="A33" s="17">
        <v>29</v>
      </c>
      <c r="B33" s="78">
        <v>8</v>
      </c>
      <c r="C33" s="123">
        <v>0</v>
      </c>
      <c r="D33" s="87"/>
      <c r="E33" s="78">
        <f>INDEX(章节关卡!$G$6:$G$34,芦花古楼!B33)*芦花古楼!C33</f>
        <v>0</v>
      </c>
      <c r="F33" s="22">
        <f t="shared" si="0"/>
        <v>30</v>
      </c>
      <c r="G33" s="22">
        <f t="shared" si="1"/>
        <v>45</v>
      </c>
      <c r="H33" s="14">
        <f>INDEX(章节关卡!$I$6:$I$34,芦花古楼!B33)*芦花古楼!C33</f>
        <v>0</v>
      </c>
      <c r="I33" s="14">
        <v>100</v>
      </c>
      <c r="L33" s="17">
        <v>29</v>
      </c>
      <c r="M33" s="78">
        <f t="shared" si="4"/>
        <v>9</v>
      </c>
      <c r="N33" s="123">
        <v>0</v>
      </c>
      <c r="O33" s="87"/>
      <c r="P33" s="78">
        <f>INDEX(章节关卡!$G$6:$G$34,芦花古楼!M33)*芦花古楼!N33</f>
        <v>0</v>
      </c>
      <c r="Q33" s="22">
        <f t="shared" si="5"/>
        <v>35</v>
      </c>
      <c r="R33" s="22">
        <f t="shared" si="6"/>
        <v>45</v>
      </c>
      <c r="S33" s="14">
        <f>INDEX(章节关卡!$I$6:$I$34,芦花古楼!M33)*芦花古楼!N33</f>
        <v>0</v>
      </c>
      <c r="T33" s="14">
        <v>100</v>
      </c>
      <c r="W33" s="17">
        <v>29</v>
      </c>
      <c r="X33" s="46">
        <v>9</v>
      </c>
      <c r="Y33" s="123">
        <v>0</v>
      </c>
      <c r="Z33" s="87"/>
      <c r="AA33" s="87">
        <f>INDEX(章节关卡!$G$6:$G$34,芦花古楼!X33)*芦花古楼!Y33</f>
        <v>0</v>
      </c>
      <c r="AB33" s="22">
        <f t="shared" si="2"/>
        <v>40</v>
      </c>
      <c r="AC33" s="22">
        <f t="shared" si="3"/>
        <v>45</v>
      </c>
      <c r="AD33" s="14">
        <f>INDEX(章节关卡!$I$6:$I$34,芦花古楼!X33)*芦花古楼!Y33</f>
        <v>0</v>
      </c>
      <c r="AE33" s="14">
        <v>100</v>
      </c>
      <c r="AH33" s="17">
        <v>29</v>
      </c>
      <c r="AI33" s="46">
        <v>9</v>
      </c>
      <c r="AJ33" s="123">
        <v>0</v>
      </c>
      <c r="AK33" s="87"/>
      <c r="AL33" s="87">
        <f>INDEX(章节关卡!$G$6:$G$34,芦花古楼!AI33)*芦花古楼!AJ33</f>
        <v>0</v>
      </c>
      <c r="AM33" s="22">
        <f t="shared" si="7"/>
        <v>45</v>
      </c>
      <c r="AN33" s="22">
        <f t="shared" si="8"/>
        <v>45</v>
      </c>
      <c r="AO33" s="14">
        <f>INDEX(章节关卡!$I$6:$I$34,芦花古楼!AI33)*芦花古楼!AJ33</f>
        <v>0</v>
      </c>
      <c r="AP33" s="14">
        <v>100</v>
      </c>
      <c r="AS33" s="18">
        <v>28</v>
      </c>
      <c r="AT33" s="87">
        <v>7</v>
      </c>
      <c r="AV33" s="18">
        <v>28</v>
      </c>
      <c r="AW33" s="87">
        <v>9</v>
      </c>
      <c r="AY33" s="18">
        <v>28</v>
      </c>
      <c r="AZ33" s="18">
        <v>9</v>
      </c>
      <c r="BB33" s="18">
        <v>28</v>
      </c>
      <c r="BC33" s="18">
        <v>9</v>
      </c>
      <c r="BF33" s="18">
        <v>28</v>
      </c>
      <c r="BG33" s="14">
        <f t="shared" si="9"/>
        <v>670</v>
      </c>
      <c r="BH33" s="14">
        <f t="shared" si="10"/>
        <v>370</v>
      </c>
      <c r="BI33" s="14">
        <f t="shared" si="11"/>
        <v>0</v>
      </c>
      <c r="BJ33" s="14">
        <f t="shared" si="12"/>
        <v>850</v>
      </c>
      <c r="BK33" s="14">
        <f t="shared" si="13"/>
        <v>1035</v>
      </c>
      <c r="BL33" s="14">
        <f t="shared" si="14"/>
        <v>2070</v>
      </c>
      <c r="BN33" s="18">
        <v>29</v>
      </c>
      <c r="BO33" s="22">
        <v>20</v>
      </c>
      <c r="BU33" s="52">
        <v>28</v>
      </c>
      <c r="BV33" s="52">
        <v>106</v>
      </c>
      <c r="BW33" s="52">
        <v>1606030</v>
      </c>
      <c r="BX33" s="52" t="s">
        <v>334</v>
      </c>
      <c r="BY33" s="52">
        <v>2</v>
      </c>
      <c r="BZ33" s="52">
        <v>21</v>
      </c>
      <c r="CA33" s="52">
        <f>SUM(BZ$5:BZ33)</f>
        <v>540</v>
      </c>
      <c r="CJ33" s="52">
        <v>29</v>
      </c>
      <c r="CK33" s="52">
        <v>1</v>
      </c>
      <c r="CL33" s="52" t="s">
        <v>244</v>
      </c>
      <c r="CM33" s="52">
        <v>29</v>
      </c>
      <c r="CN33" s="52"/>
      <c r="CO33" s="52"/>
      <c r="CP33" s="52"/>
      <c r="CQ33" s="52" t="s">
        <v>358</v>
      </c>
      <c r="CR33" s="52">
        <v>2400</v>
      </c>
      <c r="CS33" s="52" t="s">
        <v>359</v>
      </c>
      <c r="CT33" s="52">
        <v>30</v>
      </c>
      <c r="CU33" s="52"/>
      <c r="CV33" s="52"/>
      <c r="CW33" s="52" t="s">
        <v>359</v>
      </c>
      <c r="CX33" s="52">
        <v>45</v>
      </c>
      <c r="CY33" s="52"/>
      <c r="CZ33" s="52"/>
      <c r="DA33" s="52"/>
      <c r="DB33" s="52"/>
      <c r="DC33" s="52"/>
      <c r="DD33" s="52"/>
      <c r="DE33" s="52"/>
      <c r="DF33" s="52"/>
      <c r="DG33" s="52"/>
      <c r="DH33" s="52"/>
    </row>
    <row r="34" spans="1:112" ht="16.5" x14ac:dyDescent="0.2">
      <c r="A34" s="17">
        <v>30</v>
      </c>
      <c r="B34" s="78">
        <v>8</v>
      </c>
      <c r="C34" s="123">
        <v>0</v>
      </c>
      <c r="D34" s="87"/>
      <c r="E34" s="78">
        <f>INDEX(章节关卡!$G$6:$G$34,芦花古楼!B34)*芦花古楼!C34</f>
        <v>0</v>
      </c>
      <c r="F34" s="22">
        <f t="shared" si="0"/>
        <v>30</v>
      </c>
      <c r="G34" s="22">
        <f t="shared" si="1"/>
        <v>50</v>
      </c>
      <c r="H34" s="14">
        <f>INDEX(章节关卡!$I$6:$I$34,芦花古楼!B34)*芦花古楼!C34</f>
        <v>0</v>
      </c>
      <c r="I34" s="14">
        <v>100</v>
      </c>
      <c r="L34" s="17">
        <v>30</v>
      </c>
      <c r="M34" s="78">
        <f t="shared" si="4"/>
        <v>9</v>
      </c>
      <c r="N34" s="123">
        <v>0</v>
      </c>
      <c r="O34" s="87"/>
      <c r="P34" s="78">
        <f>INDEX(章节关卡!$G$6:$G$34,芦花古楼!M34)*芦花古楼!N34</f>
        <v>0</v>
      </c>
      <c r="Q34" s="22">
        <f t="shared" si="5"/>
        <v>35</v>
      </c>
      <c r="R34" s="22">
        <f t="shared" si="6"/>
        <v>50</v>
      </c>
      <c r="S34" s="14">
        <f>INDEX(章节关卡!$I$6:$I$34,芦花古楼!M34)*芦花古楼!N34</f>
        <v>0</v>
      </c>
      <c r="T34" s="14">
        <v>100</v>
      </c>
      <c r="W34" s="17">
        <v>30</v>
      </c>
      <c r="X34" s="24">
        <v>9</v>
      </c>
      <c r="Y34" s="123">
        <v>0</v>
      </c>
      <c r="Z34" s="87"/>
      <c r="AA34" s="87">
        <f>INDEX(章节关卡!$G$6:$G$34,芦花古楼!X34)*芦花古楼!Y34</f>
        <v>0</v>
      </c>
      <c r="AB34" s="22">
        <f t="shared" si="2"/>
        <v>40</v>
      </c>
      <c r="AC34" s="22">
        <f t="shared" si="3"/>
        <v>50</v>
      </c>
      <c r="AD34" s="14">
        <f>INDEX(章节关卡!$I$6:$I$34,芦花古楼!X34)*芦花古楼!Y34</f>
        <v>0</v>
      </c>
      <c r="AE34" s="14">
        <v>100</v>
      </c>
      <c r="AH34" s="17">
        <v>30</v>
      </c>
      <c r="AI34" s="46">
        <v>9</v>
      </c>
      <c r="AJ34" s="123">
        <v>0</v>
      </c>
      <c r="AK34" s="87"/>
      <c r="AL34" s="87">
        <f>INDEX(章节关卡!$G$6:$G$34,芦花古楼!AI34)*芦花古楼!AJ34</f>
        <v>0</v>
      </c>
      <c r="AM34" s="22">
        <f t="shared" si="7"/>
        <v>45</v>
      </c>
      <c r="AN34" s="22">
        <f t="shared" si="8"/>
        <v>50</v>
      </c>
      <c r="AO34" s="14">
        <f>INDEX(章节关卡!$I$6:$I$34,芦花古楼!AI34)*芦花古楼!AJ34</f>
        <v>0</v>
      </c>
      <c r="AP34" s="14">
        <v>100</v>
      </c>
      <c r="AS34" s="18">
        <v>29</v>
      </c>
      <c r="AT34" s="87">
        <v>7</v>
      </c>
      <c r="AV34" s="18">
        <v>29</v>
      </c>
      <c r="AW34" s="87">
        <v>9</v>
      </c>
      <c r="AY34" s="18">
        <v>29</v>
      </c>
      <c r="AZ34" s="18">
        <v>9</v>
      </c>
      <c r="BB34" s="18">
        <v>29</v>
      </c>
      <c r="BC34" s="18">
        <v>9</v>
      </c>
      <c r="BF34" s="18">
        <v>29</v>
      </c>
      <c r="BG34" s="14">
        <f t="shared" si="9"/>
        <v>695</v>
      </c>
      <c r="BH34" s="14">
        <f t="shared" si="10"/>
        <v>385</v>
      </c>
      <c r="BI34" s="14">
        <f t="shared" si="11"/>
        <v>0</v>
      </c>
      <c r="BJ34" s="14">
        <f t="shared" si="12"/>
        <v>850</v>
      </c>
      <c r="BK34" s="14">
        <f t="shared" si="13"/>
        <v>1065</v>
      </c>
      <c r="BL34" s="14">
        <f t="shared" si="14"/>
        <v>2130</v>
      </c>
      <c r="BN34" s="18">
        <v>30</v>
      </c>
      <c r="BO34" s="18">
        <v>30</v>
      </c>
      <c r="BU34" s="52">
        <v>29</v>
      </c>
      <c r="BV34" s="52">
        <v>106</v>
      </c>
      <c r="BW34" s="52">
        <v>1606031</v>
      </c>
      <c r="BX34" s="52" t="s">
        <v>335</v>
      </c>
      <c r="BY34" s="52">
        <v>2</v>
      </c>
      <c r="BZ34" s="52">
        <v>21</v>
      </c>
      <c r="CA34" s="52">
        <f>SUM(BZ$5:BZ34)</f>
        <v>561</v>
      </c>
      <c r="CJ34" s="52">
        <v>30</v>
      </c>
      <c r="CK34" s="52">
        <v>1</v>
      </c>
      <c r="CL34" s="52" t="s">
        <v>244</v>
      </c>
      <c r="CM34" s="52">
        <v>30</v>
      </c>
      <c r="CN34" s="52"/>
      <c r="CO34" s="52"/>
      <c r="CP34" s="52"/>
      <c r="CQ34" s="52" t="s">
        <v>358</v>
      </c>
      <c r="CR34" s="52">
        <v>2400</v>
      </c>
      <c r="CS34" s="52" t="s">
        <v>359</v>
      </c>
      <c r="CT34" s="52">
        <v>30</v>
      </c>
      <c r="CU34" s="52" t="s">
        <v>259</v>
      </c>
      <c r="CV34" s="52">
        <v>2</v>
      </c>
      <c r="CW34" s="52" t="s">
        <v>359</v>
      </c>
      <c r="CX34" s="52">
        <v>50</v>
      </c>
      <c r="CY34" s="52"/>
      <c r="CZ34" s="52"/>
      <c r="DA34" s="52"/>
      <c r="DB34" s="52"/>
      <c r="DC34" s="52"/>
      <c r="DD34" s="52"/>
      <c r="DE34" s="52"/>
      <c r="DF34" s="52"/>
      <c r="DG34" s="52"/>
      <c r="DH34" s="52"/>
    </row>
    <row r="35" spans="1:112" ht="16.5" x14ac:dyDescent="0.2">
      <c r="A35" s="17">
        <v>31</v>
      </c>
      <c r="B35" s="46">
        <v>9</v>
      </c>
      <c r="C35" s="123">
        <v>0</v>
      </c>
      <c r="D35" s="87"/>
      <c r="E35" s="78">
        <f>INDEX(章节关卡!$G$6:$G$34,芦花古楼!B35)*芦花古楼!C35</f>
        <v>0</v>
      </c>
      <c r="F35" s="22">
        <f t="shared" si="0"/>
        <v>35</v>
      </c>
      <c r="G35" s="22">
        <f t="shared" si="1"/>
        <v>50</v>
      </c>
      <c r="H35" s="14">
        <f>INDEX(章节关卡!$I$6:$I$34,芦花古楼!B35)*芦花古楼!C35</f>
        <v>0</v>
      </c>
      <c r="I35" s="14">
        <v>100</v>
      </c>
      <c r="L35" s="17">
        <v>31</v>
      </c>
      <c r="M35" s="78">
        <f t="shared" si="4"/>
        <v>10</v>
      </c>
      <c r="N35" s="123">
        <v>0</v>
      </c>
      <c r="O35" s="87"/>
      <c r="P35" s="78">
        <f>INDEX(章节关卡!$G$6:$G$34,芦花古楼!M35)*芦花古楼!N35</f>
        <v>0</v>
      </c>
      <c r="Q35" s="22">
        <f t="shared" si="5"/>
        <v>40</v>
      </c>
      <c r="R35" s="22">
        <f t="shared" si="6"/>
        <v>50</v>
      </c>
      <c r="S35" s="14">
        <f>INDEX(章节关卡!$I$6:$I$34,芦花古楼!M35)*芦花古楼!N35</f>
        <v>0</v>
      </c>
      <c r="T35" s="14">
        <v>100</v>
      </c>
      <c r="W35" s="17">
        <v>31</v>
      </c>
      <c r="X35" s="46">
        <v>10</v>
      </c>
      <c r="Y35" s="123">
        <v>0</v>
      </c>
      <c r="Z35" s="87"/>
      <c r="AA35" s="87">
        <f>INDEX(章节关卡!$G$6:$G$34,芦花古楼!X35)*芦花古楼!Y35</f>
        <v>0</v>
      </c>
      <c r="AB35" s="22">
        <f t="shared" si="2"/>
        <v>45</v>
      </c>
      <c r="AC35" s="22">
        <f t="shared" si="3"/>
        <v>50</v>
      </c>
      <c r="AD35" s="14">
        <f>INDEX(章节关卡!$I$6:$I$34,芦花古楼!X35)*芦花古楼!Y35</f>
        <v>0</v>
      </c>
      <c r="AE35" s="14">
        <v>100</v>
      </c>
      <c r="AH35" s="17">
        <v>31</v>
      </c>
      <c r="AI35" s="46">
        <v>10</v>
      </c>
      <c r="AJ35" s="123">
        <v>0</v>
      </c>
      <c r="AK35" s="87"/>
      <c r="AL35" s="87">
        <f>INDEX(章节关卡!$G$6:$G$34,芦花古楼!AI35)*芦花古楼!AJ35</f>
        <v>0</v>
      </c>
      <c r="AM35" s="22">
        <f t="shared" si="7"/>
        <v>50</v>
      </c>
      <c r="AN35" s="22">
        <f t="shared" si="8"/>
        <v>50</v>
      </c>
      <c r="AO35" s="14">
        <f>INDEX(章节关卡!$I$6:$I$34,芦花古楼!AI35)*芦花古楼!AJ35</f>
        <v>0</v>
      </c>
      <c r="AP35" s="14">
        <v>100</v>
      </c>
      <c r="AS35" s="18">
        <v>30</v>
      </c>
      <c r="AT35" s="87">
        <v>7</v>
      </c>
      <c r="AV35" s="18">
        <v>30</v>
      </c>
      <c r="AW35" s="87">
        <v>9</v>
      </c>
      <c r="AY35" s="18">
        <v>30</v>
      </c>
      <c r="AZ35" s="18">
        <v>9</v>
      </c>
      <c r="BB35" s="18">
        <v>30</v>
      </c>
      <c r="BC35" s="18">
        <v>9</v>
      </c>
      <c r="BF35" s="18">
        <v>30</v>
      </c>
      <c r="BG35" s="14">
        <f t="shared" si="9"/>
        <v>710</v>
      </c>
      <c r="BH35" s="14">
        <f t="shared" si="10"/>
        <v>385</v>
      </c>
      <c r="BI35" s="14">
        <f t="shared" si="11"/>
        <v>0</v>
      </c>
      <c r="BJ35" s="14">
        <f t="shared" si="12"/>
        <v>850</v>
      </c>
      <c r="BK35" s="14">
        <f t="shared" si="13"/>
        <v>1095</v>
      </c>
      <c r="BL35" s="14">
        <f t="shared" si="14"/>
        <v>2190</v>
      </c>
      <c r="BN35" s="18">
        <v>31</v>
      </c>
      <c r="BO35" s="22">
        <v>30</v>
      </c>
      <c r="BU35" s="52">
        <v>30</v>
      </c>
      <c r="BV35" s="52">
        <v>106</v>
      </c>
      <c r="BW35" s="52">
        <v>1606032</v>
      </c>
      <c r="BX35" s="52" t="s">
        <v>336</v>
      </c>
      <c r="BY35" s="52">
        <v>3</v>
      </c>
      <c r="BZ35" s="52">
        <v>21</v>
      </c>
      <c r="CA35" s="52">
        <f>SUM(BZ$5:BZ35)</f>
        <v>582</v>
      </c>
      <c r="CJ35" s="52">
        <v>31</v>
      </c>
      <c r="CK35" s="52">
        <v>1</v>
      </c>
      <c r="CL35" s="52" t="s">
        <v>244</v>
      </c>
      <c r="CM35" s="52">
        <v>31</v>
      </c>
      <c r="CN35" s="52"/>
      <c r="CO35" s="52"/>
      <c r="CP35" s="52"/>
      <c r="CQ35" s="52" t="s">
        <v>358</v>
      </c>
      <c r="CR35" s="52">
        <v>2400</v>
      </c>
      <c r="CS35" s="52" t="s">
        <v>359</v>
      </c>
      <c r="CT35" s="52">
        <v>35</v>
      </c>
      <c r="CU35" s="52"/>
      <c r="CV35" s="52"/>
      <c r="CW35" s="52" t="s">
        <v>359</v>
      </c>
      <c r="CX35" s="52">
        <v>50</v>
      </c>
      <c r="CY35" s="52"/>
      <c r="CZ35" s="52"/>
      <c r="DA35" s="52"/>
      <c r="DB35" s="52"/>
      <c r="DC35" s="52"/>
      <c r="DD35" s="52"/>
      <c r="DE35" s="52"/>
      <c r="DF35" s="52"/>
      <c r="DG35" s="52"/>
      <c r="DH35" s="52"/>
    </row>
    <row r="36" spans="1:112" ht="16.5" x14ac:dyDescent="0.2">
      <c r="A36" s="17">
        <v>32</v>
      </c>
      <c r="B36" s="78">
        <v>9</v>
      </c>
      <c r="C36" s="123">
        <v>0</v>
      </c>
      <c r="D36" s="87"/>
      <c r="E36" s="78">
        <f>INDEX(章节关卡!$G$6:$G$34,芦花古楼!B36)*芦花古楼!C36</f>
        <v>0</v>
      </c>
      <c r="F36" s="22">
        <f t="shared" si="0"/>
        <v>35</v>
      </c>
      <c r="G36" s="22">
        <f t="shared" si="1"/>
        <v>50</v>
      </c>
      <c r="H36" s="14">
        <f>INDEX(章节关卡!$I$6:$I$34,芦花古楼!B36)*芦花古楼!C36</f>
        <v>0</v>
      </c>
      <c r="I36" s="14">
        <v>100</v>
      </c>
      <c r="L36" s="17">
        <v>32</v>
      </c>
      <c r="M36" s="78">
        <f t="shared" si="4"/>
        <v>10</v>
      </c>
      <c r="N36" s="123">
        <v>0</v>
      </c>
      <c r="O36" s="87"/>
      <c r="P36" s="78">
        <f>INDEX(章节关卡!$G$6:$G$34,芦花古楼!M36)*芦花古楼!N36</f>
        <v>0</v>
      </c>
      <c r="Q36" s="22">
        <f t="shared" si="5"/>
        <v>40</v>
      </c>
      <c r="R36" s="22">
        <f t="shared" si="6"/>
        <v>50</v>
      </c>
      <c r="S36" s="14">
        <f>INDEX(章节关卡!$I$6:$I$34,芦花古楼!M36)*芦花古楼!N36</f>
        <v>0</v>
      </c>
      <c r="T36" s="14">
        <v>100</v>
      </c>
      <c r="W36" s="17">
        <v>32</v>
      </c>
      <c r="X36" s="46">
        <v>10</v>
      </c>
      <c r="Y36" s="123">
        <v>0</v>
      </c>
      <c r="Z36" s="87"/>
      <c r="AA36" s="87">
        <f>INDEX(章节关卡!$G$6:$G$34,芦花古楼!X36)*芦花古楼!Y36</f>
        <v>0</v>
      </c>
      <c r="AB36" s="22">
        <f t="shared" si="2"/>
        <v>45</v>
      </c>
      <c r="AC36" s="22">
        <f t="shared" si="3"/>
        <v>50</v>
      </c>
      <c r="AD36" s="14">
        <f>INDEX(章节关卡!$I$6:$I$34,芦花古楼!X36)*芦花古楼!Y36</f>
        <v>0</v>
      </c>
      <c r="AE36" s="14">
        <v>100</v>
      </c>
      <c r="AH36" s="17">
        <v>32</v>
      </c>
      <c r="AI36" s="46">
        <v>10</v>
      </c>
      <c r="AJ36" s="123">
        <v>0</v>
      </c>
      <c r="AK36" s="87"/>
      <c r="AL36" s="87">
        <f>INDEX(章节关卡!$G$6:$G$34,芦花古楼!AI36)*芦花古楼!AJ36</f>
        <v>0</v>
      </c>
      <c r="AM36" s="22">
        <f t="shared" si="7"/>
        <v>50</v>
      </c>
      <c r="AN36" s="22">
        <f t="shared" si="8"/>
        <v>50</v>
      </c>
      <c r="AO36" s="14">
        <f>INDEX(章节关卡!$I$6:$I$34,芦花古楼!AI36)*芦花古楼!AJ36</f>
        <v>0</v>
      </c>
      <c r="AP36" s="14">
        <v>100</v>
      </c>
      <c r="AS36" s="18">
        <v>31</v>
      </c>
      <c r="AT36" s="18">
        <v>8</v>
      </c>
      <c r="AV36" s="18">
        <v>31</v>
      </c>
      <c r="AW36" s="87">
        <v>10</v>
      </c>
      <c r="AY36" s="18">
        <v>31</v>
      </c>
      <c r="AZ36" s="18">
        <v>10</v>
      </c>
      <c r="BB36" s="18">
        <v>31</v>
      </c>
      <c r="BC36" s="18">
        <v>10</v>
      </c>
      <c r="BF36" s="18">
        <v>31</v>
      </c>
      <c r="BG36" s="14">
        <f t="shared" si="9"/>
        <v>625</v>
      </c>
      <c r="BH36" s="14">
        <f t="shared" si="10"/>
        <v>405</v>
      </c>
      <c r="BI36" s="14">
        <f t="shared" si="11"/>
        <v>0</v>
      </c>
      <c r="BJ36" s="14">
        <f t="shared" si="12"/>
        <v>1000</v>
      </c>
      <c r="BK36" s="14">
        <f t="shared" si="13"/>
        <v>1010</v>
      </c>
      <c r="BL36" s="14">
        <f t="shared" si="14"/>
        <v>2020</v>
      </c>
      <c r="BN36" s="18">
        <v>32</v>
      </c>
      <c r="BO36" s="22">
        <v>30</v>
      </c>
      <c r="BU36" s="52">
        <v>31</v>
      </c>
      <c r="BV36" s="52">
        <v>106</v>
      </c>
      <c r="BW36" s="52">
        <v>1606033</v>
      </c>
      <c r="BX36" s="52" t="s">
        <v>337</v>
      </c>
      <c r="BY36" s="52">
        <v>3</v>
      </c>
      <c r="BZ36" s="52">
        <v>21</v>
      </c>
      <c r="CA36" s="52">
        <f>SUM(BZ$5:BZ36)</f>
        <v>603</v>
      </c>
      <c r="CJ36" s="52">
        <v>32</v>
      </c>
      <c r="CK36" s="52">
        <v>1</v>
      </c>
      <c r="CL36" s="52" t="s">
        <v>244</v>
      </c>
      <c r="CM36" s="52">
        <v>32</v>
      </c>
      <c r="CN36" s="52"/>
      <c r="CO36" s="52"/>
      <c r="CP36" s="52"/>
      <c r="CQ36" s="52" t="s">
        <v>358</v>
      </c>
      <c r="CR36" s="52">
        <v>2400</v>
      </c>
      <c r="CS36" s="52" t="s">
        <v>359</v>
      </c>
      <c r="CT36" s="52">
        <v>35</v>
      </c>
      <c r="CU36" s="52"/>
      <c r="CV36" s="52"/>
      <c r="CW36" s="52" t="s">
        <v>359</v>
      </c>
      <c r="CX36" s="52">
        <v>50</v>
      </c>
      <c r="CY36" s="52"/>
      <c r="CZ36" s="52"/>
      <c r="DA36" s="52"/>
      <c r="DB36" s="52"/>
      <c r="DC36" s="52"/>
      <c r="DD36" s="52"/>
      <c r="DE36" s="52"/>
      <c r="DF36" s="52"/>
      <c r="DG36" s="52"/>
      <c r="DH36" s="52"/>
    </row>
    <row r="37" spans="1:112" ht="16.5" x14ac:dyDescent="0.2">
      <c r="A37" s="17">
        <v>33</v>
      </c>
      <c r="B37" s="78">
        <v>9</v>
      </c>
      <c r="C37" s="123">
        <v>0</v>
      </c>
      <c r="D37" s="87"/>
      <c r="E37" s="78">
        <f>INDEX(章节关卡!$G$6:$G$34,芦花古楼!B37)*芦花古楼!C37</f>
        <v>0</v>
      </c>
      <c r="F37" s="22">
        <f t="shared" ref="F37:F68" si="15">INT((A37-1)/5+1)*5</f>
        <v>35</v>
      </c>
      <c r="G37" s="22">
        <f t="shared" ref="G37:G68" si="16">INT(A37/5)*5+20</f>
        <v>50</v>
      </c>
      <c r="H37" s="14">
        <f>INDEX(章节关卡!$I$6:$I$34,芦花古楼!B37)*芦花古楼!C37</f>
        <v>0</v>
      </c>
      <c r="I37" s="14">
        <v>100</v>
      </c>
      <c r="L37" s="17">
        <v>33</v>
      </c>
      <c r="M37" s="78">
        <f t="shared" si="4"/>
        <v>10</v>
      </c>
      <c r="N37" s="123">
        <v>0</v>
      </c>
      <c r="O37" s="87"/>
      <c r="P37" s="78">
        <f>INDEX(章节关卡!$G$6:$G$34,芦花古楼!M37)*芦花古楼!N37</f>
        <v>0</v>
      </c>
      <c r="Q37" s="22">
        <f t="shared" si="5"/>
        <v>40</v>
      </c>
      <c r="R37" s="22">
        <f t="shared" si="6"/>
        <v>50</v>
      </c>
      <c r="S37" s="14">
        <f>INDEX(章节关卡!$I$6:$I$34,芦花古楼!M37)*芦花古楼!N37</f>
        <v>0</v>
      </c>
      <c r="T37" s="14">
        <v>100</v>
      </c>
      <c r="W37" s="17">
        <v>33</v>
      </c>
      <c r="X37" s="46">
        <v>10</v>
      </c>
      <c r="Y37" s="123">
        <v>0</v>
      </c>
      <c r="Z37" s="87"/>
      <c r="AA37" s="87">
        <f>INDEX(章节关卡!$G$6:$G$34,芦花古楼!X37)*芦花古楼!Y37</f>
        <v>0</v>
      </c>
      <c r="AB37" s="22">
        <f t="shared" ref="AB37:AB68" si="17">INT((W37-1)/5+3)*5</f>
        <v>45</v>
      </c>
      <c r="AC37" s="22">
        <f t="shared" ref="AC37:AC68" si="18">INT(W37/5)*5+20</f>
        <v>50</v>
      </c>
      <c r="AD37" s="14">
        <f>INDEX(章节关卡!$I$6:$I$34,芦花古楼!X37)*芦花古楼!Y37</f>
        <v>0</v>
      </c>
      <c r="AE37" s="14">
        <v>100</v>
      </c>
      <c r="AH37" s="17">
        <v>33</v>
      </c>
      <c r="AI37" s="46">
        <v>10</v>
      </c>
      <c r="AJ37" s="123">
        <v>0</v>
      </c>
      <c r="AK37" s="87"/>
      <c r="AL37" s="87">
        <f>INDEX(章节关卡!$G$6:$G$34,芦花古楼!AI37)*芦花古楼!AJ37</f>
        <v>0</v>
      </c>
      <c r="AM37" s="22">
        <f t="shared" si="7"/>
        <v>50</v>
      </c>
      <c r="AN37" s="22">
        <f t="shared" si="8"/>
        <v>50</v>
      </c>
      <c r="AO37" s="14">
        <f>INDEX(章节关卡!$I$6:$I$34,芦花古楼!AI37)*芦花古楼!AJ37</f>
        <v>0</v>
      </c>
      <c r="AP37" s="14">
        <v>100</v>
      </c>
      <c r="AS37" s="18">
        <v>32</v>
      </c>
      <c r="AT37" s="87">
        <v>8</v>
      </c>
      <c r="AV37" s="18">
        <v>32</v>
      </c>
      <c r="AW37" s="87">
        <v>10</v>
      </c>
      <c r="AY37" s="18">
        <v>32</v>
      </c>
      <c r="AZ37" s="18">
        <v>10</v>
      </c>
      <c r="BB37" s="18">
        <v>32</v>
      </c>
      <c r="BC37" s="18">
        <v>10</v>
      </c>
      <c r="BF37" s="18">
        <v>32</v>
      </c>
      <c r="BG37" s="14">
        <f t="shared" si="9"/>
        <v>660</v>
      </c>
      <c r="BH37" s="14">
        <f t="shared" si="10"/>
        <v>405</v>
      </c>
      <c r="BI37" s="14">
        <f t="shared" si="11"/>
        <v>0</v>
      </c>
      <c r="BJ37" s="14">
        <f t="shared" si="12"/>
        <v>1000</v>
      </c>
      <c r="BK37" s="14">
        <f t="shared" si="13"/>
        <v>1065</v>
      </c>
      <c r="BL37" s="14">
        <f t="shared" si="14"/>
        <v>2130</v>
      </c>
      <c r="BN37" s="18">
        <v>33</v>
      </c>
      <c r="BO37" s="22">
        <v>30</v>
      </c>
      <c r="BU37" s="52">
        <v>32</v>
      </c>
      <c r="BV37" s="52">
        <v>106</v>
      </c>
      <c r="BW37" s="52">
        <v>1606034</v>
      </c>
      <c r="BX37" s="52" t="s">
        <v>338</v>
      </c>
      <c r="BY37" s="52">
        <v>3</v>
      </c>
      <c r="BZ37" s="52">
        <v>21</v>
      </c>
      <c r="CA37" s="52">
        <f>SUM(BZ$5:BZ37)</f>
        <v>624</v>
      </c>
      <c r="CJ37" s="52">
        <v>33</v>
      </c>
      <c r="CK37" s="52">
        <v>1</v>
      </c>
      <c r="CL37" s="52" t="s">
        <v>244</v>
      </c>
      <c r="CM37" s="52">
        <v>33</v>
      </c>
      <c r="CN37" s="52"/>
      <c r="CO37" s="52"/>
      <c r="CP37" s="52"/>
      <c r="CQ37" s="52" t="s">
        <v>358</v>
      </c>
      <c r="CR37" s="52">
        <v>2400</v>
      </c>
      <c r="CS37" s="52" t="s">
        <v>359</v>
      </c>
      <c r="CT37" s="52">
        <v>35</v>
      </c>
      <c r="CU37" s="52"/>
      <c r="CV37" s="52"/>
      <c r="CW37" s="52" t="s">
        <v>359</v>
      </c>
      <c r="CX37" s="52">
        <v>50</v>
      </c>
      <c r="CY37" s="52"/>
      <c r="CZ37" s="52"/>
      <c r="DA37" s="52"/>
      <c r="DB37" s="52"/>
      <c r="DC37" s="52"/>
      <c r="DD37" s="52"/>
      <c r="DE37" s="52"/>
      <c r="DF37" s="52"/>
      <c r="DG37" s="52"/>
      <c r="DH37" s="52"/>
    </row>
    <row r="38" spans="1:112" ht="16.5" x14ac:dyDescent="0.2">
      <c r="A38" s="17">
        <v>34</v>
      </c>
      <c r="B38" s="78">
        <v>9</v>
      </c>
      <c r="C38" s="123">
        <v>0</v>
      </c>
      <c r="D38" s="87"/>
      <c r="E38" s="78">
        <f>INDEX(章节关卡!$G$6:$G$34,芦花古楼!B38)*芦花古楼!C38</f>
        <v>0</v>
      </c>
      <c r="F38" s="22">
        <f t="shared" si="15"/>
        <v>35</v>
      </c>
      <c r="G38" s="22">
        <f t="shared" si="16"/>
        <v>50</v>
      </c>
      <c r="H38" s="14">
        <f>INDEX(章节关卡!$I$6:$I$34,芦花古楼!B38)*芦花古楼!C38</f>
        <v>0</v>
      </c>
      <c r="I38" s="14">
        <v>100</v>
      </c>
      <c r="L38" s="17">
        <v>34</v>
      </c>
      <c r="M38" s="78">
        <f t="shared" si="4"/>
        <v>10</v>
      </c>
      <c r="N38" s="123">
        <v>0</v>
      </c>
      <c r="O38" s="87"/>
      <c r="P38" s="78">
        <f>INDEX(章节关卡!$G$6:$G$34,芦花古楼!M38)*芦花古楼!N38</f>
        <v>0</v>
      </c>
      <c r="Q38" s="22">
        <f t="shared" si="5"/>
        <v>40</v>
      </c>
      <c r="R38" s="22">
        <f t="shared" si="6"/>
        <v>50</v>
      </c>
      <c r="S38" s="14">
        <f>INDEX(章节关卡!$I$6:$I$34,芦花古楼!M38)*芦花古楼!N38</f>
        <v>0</v>
      </c>
      <c r="T38" s="14">
        <v>100</v>
      </c>
      <c r="W38" s="17">
        <v>34</v>
      </c>
      <c r="X38" s="46">
        <v>10</v>
      </c>
      <c r="Y38" s="123">
        <v>0</v>
      </c>
      <c r="Z38" s="87"/>
      <c r="AA38" s="87">
        <f>INDEX(章节关卡!$G$6:$G$34,芦花古楼!X38)*芦花古楼!Y38</f>
        <v>0</v>
      </c>
      <c r="AB38" s="22">
        <f t="shared" si="17"/>
        <v>45</v>
      </c>
      <c r="AC38" s="22">
        <f t="shared" si="18"/>
        <v>50</v>
      </c>
      <c r="AD38" s="14">
        <f>INDEX(章节关卡!$I$6:$I$34,芦花古楼!X38)*芦花古楼!Y38</f>
        <v>0</v>
      </c>
      <c r="AE38" s="14">
        <v>100</v>
      </c>
      <c r="AH38" s="17">
        <v>34</v>
      </c>
      <c r="AI38" s="46">
        <v>10</v>
      </c>
      <c r="AJ38" s="123">
        <v>0</v>
      </c>
      <c r="AK38" s="87"/>
      <c r="AL38" s="87">
        <f>INDEX(章节关卡!$G$6:$G$34,芦花古楼!AI38)*芦花古楼!AJ38</f>
        <v>0</v>
      </c>
      <c r="AM38" s="22">
        <f t="shared" si="7"/>
        <v>50</v>
      </c>
      <c r="AN38" s="22">
        <f t="shared" si="8"/>
        <v>50</v>
      </c>
      <c r="AO38" s="14">
        <f>INDEX(章节关卡!$I$6:$I$34,芦花古楼!AI38)*芦花古楼!AJ38</f>
        <v>0</v>
      </c>
      <c r="AP38" s="14">
        <v>100</v>
      </c>
      <c r="AS38" s="18">
        <v>33</v>
      </c>
      <c r="AT38" s="87">
        <v>8</v>
      </c>
      <c r="AV38" s="18">
        <v>33</v>
      </c>
      <c r="AW38" s="87">
        <v>10</v>
      </c>
      <c r="AY38" s="18">
        <v>33</v>
      </c>
      <c r="AZ38" s="18">
        <v>10</v>
      </c>
      <c r="BB38" s="18">
        <v>33</v>
      </c>
      <c r="BC38" s="18">
        <v>10</v>
      </c>
      <c r="BF38" s="18">
        <v>33</v>
      </c>
      <c r="BG38" s="14">
        <f t="shared" ref="BG38:BG69" si="19">SUMIFS($F$5:$F$104,$AT$6:$AT$105,"="&amp;BF38)+SUMIFS($Q$5:$Q$104,$AW$6:$AW$105,"="&amp;BF38)+SUMIFS($AB$5:$AB$104,$AZ$6:$AZ$105,"="&amp;BF38)+SUMIFS($AM$5:$AM$104,$BC$6:$BC$105,"="&amp;BF38)</f>
        <v>375</v>
      </c>
      <c r="BH38" s="14">
        <f t="shared" ref="BH38:BH69" si="20">INDEX($G$5:$G$104,MATCH(BF38,$AT$5:$AT$105,1)-1)+INDEX($R$5:$R$104,MATCH(BF38,$AW$5:$AW$105,1)-1)+INDEX($AC$5:$AC$104,MATCH(BF38,$AZ$5:$AZ$105,1)-1)+INDEX($AN$5:$AN$104,MATCH(BF38,$BC$5:$BC$105,1)-1)</f>
        <v>405</v>
      </c>
      <c r="BI38" s="14">
        <f t="shared" ref="BI38:BI69" si="21">SUMIFS($H$5:$H$104,$AT$6:$AT$105,"="&amp;BF38)+SUMIFS($S$5:$S$104,$AW$6:$AW$105,"="&amp;BF38)+SUMIFS($AD$5:$AD$104,$AZ$6:$AZ$105,"="&amp;BF38)+SUMIFS($AO$5:$AO$104,$BC$6:$BC$105,"="&amp;BF38)</f>
        <v>0</v>
      </c>
      <c r="BJ38" s="14">
        <f t="shared" si="12"/>
        <v>1000</v>
      </c>
      <c r="BK38" s="14">
        <f t="shared" si="13"/>
        <v>780</v>
      </c>
      <c r="BL38" s="14">
        <f t="shared" si="14"/>
        <v>1560</v>
      </c>
      <c r="BN38" s="18">
        <v>34</v>
      </c>
      <c r="BO38" s="22">
        <v>30</v>
      </c>
      <c r="BU38" s="52">
        <v>33</v>
      </c>
      <c r="BV38" s="52">
        <v>106</v>
      </c>
      <c r="BW38" s="52">
        <v>1606035</v>
      </c>
      <c r="BX38" s="52" t="s">
        <v>339</v>
      </c>
      <c r="BY38" s="52">
        <v>4</v>
      </c>
      <c r="BZ38" s="52">
        <v>21</v>
      </c>
      <c r="CA38" s="52">
        <f>SUM(BZ$5:BZ38)</f>
        <v>645</v>
      </c>
      <c r="CJ38" s="52">
        <v>34</v>
      </c>
      <c r="CK38" s="52">
        <v>1</v>
      </c>
      <c r="CL38" s="52" t="s">
        <v>244</v>
      </c>
      <c r="CM38" s="52">
        <v>34</v>
      </c>
      <c r="CN38" s="52"/>
      <c r="CO38" s="52"/>
      <c r="CP38" s="52"/>
      <c r="CQ38" s="52" t="s">
        <v>358</v>
      </c>
      <c r="CR38" s="52">
        <v>2400</v>
      </c>
      <c r="CS38" s="52" t="s">
        <v>359</v>
      </c>
      <c r="CT38" s="52">
        <v>35</v>
      </c>
      <c r="CU38" s="52"/>
      <c r="CV38" s="52"/>
      <c r="CW38" s="52" t="s">
        <v>359</v>
      </c>
      <c r="CX38" s="52">
        <v>50</v>
      </c>
      <c r="CY38" s="52"/>
      <c r="CZ38" s="52"/>
      <c r="DA38" s="52"/>
      <c r="DB38" s="52"/>
      <c r="DC38" s="52"/>
      <c r="DD38" s="52"/>
      <c r="DE38" s="52"/>
      <c r="DF38" s="52"/>
      <c r="DG38" s="52"/>
      <c r="DH38" s="52"/>
    </row>
    <row r="39" spans="1:112" ht="16.5" x14ac:dyDescent="0.2">
      <c r="A39" s="17">
        <v>35</v>
      </c>
      <c r="B39" s="78">
        <v>9</v>
      </c>
      <c r="C39" s="123">
        <v>0</v>
      </c>
      <c r="D39" s="87"/>
      <c r="E39" s="78">
        <f>INDEX(章节关卡!$G$6:$G$34,芦花古楼!B39)*芦花古楼!C39</f>
        <v>0</v>
      </c>
      <c r="F39" s="22">
        <f t="shared" si="15"/>
        <v>35</v>
      </c>
      <c r="G39" s="22">
        <f t="shared" si="16"/>
        <v>55</v>
      </c>
      <c r="H39" s="14">
        <f>INDEX(章节关卡!$I$6:$I$34,芦花古楼!B39)*芦花古楼!C39</f>
        <v>0</v>
      </c>
      <c r="I39" s="14">
        <v>100</v>
      </c>
      <c r="L39" s="17">
        <v>35</v>
      </c>
      <c r="M39" s="78">
        <f t="shared" si="4"/>
        <v>10</v>
      </c>
      <c r="N39" s="123">
        <v>0</v>
      </c>
      <c r="O39" s="87"/>
      <c r="P39" s="78">
        <f>INDEX(章节关卡!$G$6:$G$34,芦花古楼!M39)*芦花古楼!N39</f>
        <v>0</v>
      </c>
      <c r="Q39" s="22">
        <f t="shared" si="5"/>
        <v>40</v>
      </c>
      <c r="R39" s="22">
        <f t="shared" si="6"/>
        <v>55</v>
      </c>
      <c r="S39" s="14">
        <f>INDEX(章节关卡!$I$6:$I$34,芦花古楼!M39)*芦花古楼!N39</f>
        <v>0</v>
      </c>
      <c r="T39" s="14">
        <v>100</v>
      </c>
      <c r="W39" s="17">
        <v>35</v>
      </c>
      <c r="X39" s="46">
        <v>10</v>
      </c>
      <c r="Y39" s="123">
        <v>0</v>
      </c>
      <c r="Z39" s="87"/>
      <c r="AA39" s="87">
        <f>INDEX(章节关卡!$G$6:$G$34,芦花古楼!X39)*芦花古楼!Y39</f>
        <v>0</v>
      </c>
      <c r="AB39" s="22">
        <f t="shared" si="17"/>
        <v>45</v>
      </c>
      <c r="AC39" s="22">
        <f t="shared" si="18"/>
        <v>55</v>
      </c>
      <c r="AD39" s="14">
        <f>INDEX(章节关卡!$I$6:$I$34,芦花古楼!X39)*芦花古楼!Y39</f>
        <v>0</v>
      </c>
      <c r="AE39" s="14">
        <v>100</v>
      </c>
      <c r="AH39" s="17">
        <v>35</v>
      </c>
      <c r="AI39" s="46">
        <v>10</v>
      </c>
      <c r="AJ39" s="123">
        <v>0</v>
      </c>
      <c r="AK39" s="87"/>
      <c r="AL39" s="87">
        <f>INDEX(章节关卡!$G$6:$G$34,芦花古楼!AI39)*芦花古楼!AJ39</f>
        <v>0</v>
      </c>
      <c r="AM39" s="22">
        <f t="shared" si="7"/>
        <v>50</v>
      </c>
      <c r="AN39" s="22">
        <f t="shared" si="8"/>
        <v>55</v>
      </c>
      <c r="AO39" s="14">
        <f>INDEX(章节关卡!$I$6:$I$34,芦花古楼!AI39)*芦花古楼!AJ39</f>
        <v>0</v>
      </c>
      <c r="AP39" s="14">
        <v>100</v>
      </c>
      <c r="AS39" s="18">
        <v>34</v>
      </c>
      <c r="AT39" s="87">
        <v>9</v>
      </c>
      <c r="AV39" s="18">
        <v>34</v>
      </c>
      <c r="AW39" s="87">
        <v>11</v>
      </c>
      <c r="AY39" s="18">
        <v>34</v>
      </c>
      <c r="AZ39" s="18">
        <v>11</v>
      </c>
      <c r="BB39" s="18">
        <v>34</v>
      </c>
      <c r="BC39" s="18">
        <v>11</v>
      </c>
      <c r="BF39" s="18">
        <v>34</v>
      </c>
      <c r="BG39" s="14">
        <f t="shared" si="19"/>
        <v>375</v>
      </c>
      <c r="BH39" s="14">
        <f t="shared" si="20"/>
        <v>405</v>
      </c>
      <c r="BI39" s="14">
        <f t="shared" si="21"/>
        <v>0</v>
      </c>
      <c r="BJ39" s="14">
        <f t="shared" si="12"/>
        <v>1000</v>
      </c>
      <c r="BK39" s="14">
        <f t="shared" si="13"/>
        <v>780</v>
      </c>
      <c r="BL39" s="14">
        <f t="shared" si="14"/>
        <v>1560</v>
      </c>
      <c r="BN39" s="18">
        <v>35</v>
      </c>
      <c r="BO39" s="22">
        <v>30</v>
      </c>
      <c r="BU39" s="52">
        <v>34</v>
      </c>
      <c r="BV39" s="52">
        <v>106</v>
      </c>
      <c r="BW39" s="52">
        <v>1606036</v>
      </c>
      <c r="BX39" s="52" t="s">
        <v>340</v>
      </c>
      <c r="BY39" s="52">
        <v>4</v>
      </c>
      <c r="BZ39" s="52">
        <v>21</v>
      </c>
      <c r="CA39" s="52">
        <f>SUM(BZ$5:BZ39)</f>
        <v>666</v>
      </c>
      <c r="CJ39" s="52">
        <v>35</v>
      </c>
      <c r="CK39" s="52">
        <v>1</v>
      </c>
      <c r="CL39" s="52" t="s">
        <v>244</v>
      </c>
      <c r="CM39" s="52">
        <v>35</v>
      </c>
      <c r="CN39" s="52"/>
      <c r="CO39" s="52"/>
      <c r="CP39" s="52"/>
      <c r="CQ39" s="52" t="s">
        <v>358</v>
      </c>
      <c r="CR39" s="52">
        <v>3000</v>
      </c>
      <c r="CS39" s="52" t="s">
        <v>359</v>
      </c>
      <c r="CT39" s="52">
        <v>35</v>
      </c>
      <c r="CU39" s="52" t="s">
        <v>360</v>
      </c>
      <c r="CV39" s="52">
        <v>2</v>
      </c>
      <c r="CW39" s="52" t="s">
        <v>359</v>
      </c>
      <c r="CX39" s="52">
        <v>55</v>
      </c>
      <c r="CY39" s="52"/>
      <c r="CZ39" s="52"/>
      <c r="DA39" s="52"/>
      <c r="DB39" s="52"/>
      <c r="DC39" s="52"/>
      <c r="DD39" s="52"/>
      <c r="DE39" s="52"/>
      <c r="DF39" s="52"/>
      <c r="DG39" s="52"/>
      <c r="DH39" s="52"/>
    </row>
    <row r="40" spans="1:112" ht="16.5" x14ac:dyDescent="0.2">
      <c r="A40" s="17">
        <v>36</v>
      </c>
      <c r="B40" s="24">
        <v>10</v>
      </c>
      <c r="C40" s="123">
        <v>0</v>
      </c>
      <c r="D40" s="87"/>
      <c r="E40" s="78">
        <f>INDEX(章节关卡!$G$6:$G$34,芦花古楼!B40)*芦花古楼!C40</f>
        <v>0</v>
      </c>
      <c r="F40" s="22">
        <f t="shared" si="15"/>
        <v>40</v>
      </c>
      <c r="G40" s="22">
        <f t="shared" si="16"/>
        <v>55</v>
      </c>
      <c r="H40" s="14">
        <f>INDEX(章节关卡!$I$6:$I$34,芦花古楼!B40)*芦花古楼!C40</f>
        <v>0</v>
      </c>
      <c r="I40" s="14">
        <v>100</v>
      </c>
      <c r="L40" s="17">
        <v>36</v>
      </c>
      <c r="M40" s="78">
        <f t="shared" si="4"/>
        <v>11</v>
      </c>
      <c r="N40" s="123">
        <v>0</v>
      </c>
      <c r="O40" s="87"/>
      <c r="P40" s="78">
        <f>INDEX(章节关卡!$G$6:$G$34,芦花古楼!M40)*芦花古楼!N40</f>
        <v>0</v>
      </c>
      <c r="Q40" s="22">
        <f t="shared" si="5"/>
        <v>45</v>
      </c>
      <c r="R40" s="22">
        <f t="shared" si="6"/>
        <v>55</v>
      </c>
      <c r="S40" s="14">
        <f>INDEX(章节关卡!$I$6:$I$34,芦花古楼!M40)*芦花古楼!N40</f>
        <v>0</v>
      </c>
      <c r="T40" s="14">
        <v>100</v>
      </c>
      <c r="W40" s="17">
        <v>36</v>
      </c>
      <c r="X40" s="46">
        <v>11</v>
      </c>
      <c r="Y40" s="123">
        <v>0</v>
      </c>
      <c r="Z40" s="87"/>
      <c r="AA40" s="87">
        <f>INDEX(章节关卡!$G$6:$G$34,芦花古楼!X40)*芦花古楼!Y40</f>
        <v>0</v>
      </c>
      <c r="AB40" s="22">
        <f t="shared" si="17"/>
        <v>50</v>
      </c>
      <c r="AC40" s="22">
        <f t="shared" si="18"/>
        <v>55</v>
      </c>
      <c r="AD40" s="14">
        <f>INDEX(章节关卡!$I$6:$I$34,芦花古楼!X40)*芦花古楼!Y40</f>
        <v>0</v>
      </c>
      <c r="AE40" s="14">
        <v>100</v>
      </c>
      <c r="AH40" s="17">
        <v>36</v>
      </c>
      <c r="AI40" s="46">
        <v>11</v>
      </c>
      <c r="AJ40" s="123">
        <v>0</v>
      </c>
      <c r="AK40" s="87"/>
      <c r="AL40" s="87">
        <f>INDEX(章节关卡!$G$6:$G$34,芦花古楼!AI40)*芦花古楼!AJ40</f>
        <v>0</v>
      </c>
      <c r="AM40" s="22">
        <f t="shared" si="7"/>
        <v>55</v>
      </c>
      <c r="AN40" s="22">
        <f t="shared" si="8"/>
        <v>55</v>
      </c>
      <c r="AO40" s="14">
        <f>INDEX(章节关卡!$I$6:$I$34,芦花古楼!AI40)*芦花古楼!AJ40</f>
        <v>0</v>
      </c>
      <c r="AP40" s="14">
        <v>100</v>
      </c>
      <c r="AS40" s="18">
        <v>35</v>
      </c>
      <c r="AT40" s="87">
        <v>9</v>
      </c>
      <c r="AV40" s="18">
        <v>35</v>
      </c>
      <c r="AW40" s="87">
        <v>11</v>
      </c>
      <c r="AY40" s="18">
        <v>35</v>
      </c>
      <c r="AZ40" s="18">
        <v>11</v>
      </c>
      <c r="BB40" s="18">
        <v>35</v>
      </c>
      <c r="BC40" s="18">
        <v>11</v>
      </c>
      <c r="BF40" s="18">
        <v>35</v>
      </c>
      <c r="BG40" s="14">
        <f t="shared" si="19"/>
        <v>375</v>
      </c>
      <c r="BH40" s="14">
        <f t="shared" si="20"/>
        <v>420</v>
      </c>
      <c r="BI40" s="14">
        <f t="shared" si="21"/>
        <v>0</v>
      </c>
      <c r="BJ40" s="14">
        <f t="shared" si="12"/>
        <v>1000</v>
      </c>
      <c r="BK40" s="14">
        <f t="shared" si="13"/>
        <v>780</v>
      </c>
      <c r="BL40" s="14">
        <f t="shared" si="14"/>
        <v>1560</v>
      </c>
      <c r="BN40" s="18">
        <v>36</v>
      </c>
      <c r="BO40" s="22">
        <v>30</v>
      </c>
      <c r="BU40" s="52">
        <v>35</v>
      </c>
      <c r="BV40" s="52">
        <v>107</v>
      </c>
      <c r="BW40" s="52">
        <v>1606037</v>
      </c>
      <c r="BX40" s="52" t="s">
        <v>341</v>
      </c>
      <c r="BY40" s="52">
        <v>2</v>
      </c>
      <c r="BZ40" s="52">
        <v>21</v>
      </c>
      <c r="CA40" s="52">
        <f>SUM(BZ$5:BZ40)</f>
        <v>687</v>
      </c>
      <c r="CJ40" s="52">
        <v>36</v>
      </c>
      <c r="CK40" s="52">
        <v>1</v>
      </c>
      <c r="CL40" s="52" t="s">
        <v>244</v>
      </c>
      <c r="CM40" s="52">
        <v>36</v>
      </c>
      <c r="CN40" s="52"/>
      <c r="CO40" s="52"/>
      <c r="CP40" s="52"/>
      <c r="CQ40" s="52" t="s">
        <v>358</v>
      </c>
      <c r="CR40" s="52">
        <v>3000</v>
      </c>
      <c r="CS40" s="52" t="s">
        <v>359</v>
      </c>
      <c r="CT40" s="52">
        <v>40</v>
      </c>
      <c r="CU40" s="52"/>
      <c r="CV40" s="52"/>
      <c r="CW40" s="52" t="s">
        <v>359</v>
      </c>
      <c r="CX40" s="52">
        <v>55</v>
      </c>
      <c r="CY40" s="52"/>
      <c r="CZ40" s="52"/>
      <c r="DA40" s="52"/>
      <c r="DB40" s="52"/>
      <c r="DC40" s="52"/>
      <c r="DD40" s="52"/>
      <c r="DE40" s="52"/>
      <c r="DF40" s="52"/>
      <c r="DG40" s="52"/>
      <c r="DH40" s="52"/>
    </row>
    <row r="41" spans="1:112" ht="16.5" x14ac:dyDescent="0.2">
      <c r="A41" s="17">
        <v>37</v>
      </c>
      <c r="B41" s="78">
        <v>10</v>
      </c>
      <c r="C41" s="123">
        <v>0</v>
      </c>
      <c r="D41" s="87"/>
      <c r="E41" s="78">
        <f>INDEX(章节关卡!$G$6:$G$34,芦花古楼!B41)*芦花古楼!C41</f>
        <v>0</v>
      </c>
      <c r="F41" s="22">
        <f t="shared" si="15"/>
        <v>40</v>
      </c>
      <c r="G41" s="22">
        <f t="shared" si="16"/>
        <v>55</v>
      </c>
      <c r="H41" s="14">
        <f>INDEX(章节关卡!$I$6:$I$34,芦花古楼!B41)*芦花古楼!C41</f>
        <v>0</v>
      </c>
      <c r="I41" s="14">
        <v>100</v>
      </c>
      <c r="L41" s="17">
        <v>37</v>
      </c>
      <c r="M41" s="78">
        <f t="shared" si="4"/>
        <v>11</v>
      </c>
      <c r="N41" s="123">
        <v>0</v>
      </c>
      <c r="O41" s="87"/>
      <c r="P41" s="78">
        <f>INDEX(章节关卡!$G$6:$G$34,芦花古楼!M41)*芦花古楼!N41</f>
        <v>0</v>
      </c>
      <c r="Q41" s="22">
        <f t="shared" si="5"/>
        <v>45</v>
      </c>
      <c r="R41" s="22">
        <f t="shared" si="6"/>
        <v>55</v>
      </c>
      <c r="S41" s="14">
        <f>INDEX(章节关卡!$I$6:$I$34,芦花古楼!M41)*芦花古楼!N41</f>
        <v>0</v>
      </c>
      <c r="T41" s="14">
        <v>100</v>
      </c>
      <c r="W41" s="17">
        <v>37</v>
      </c>
      <c r="X41" s="46">
        <v>11</v>
      </c>
      <c r="Y41" s="123">
        <v>0</v>
      </c>
      <c r="Z41" s="87"/>
      <c r="AA41" s="87">
        <f>INDEX(章节关卡!$G$6:$G$34,芦花古楼!X41)*芦花古楼!Y41</f>
        <v>0</v>
      </c>
      <c r="AB41" s="22">
        <f t="shared" si="17"/>
        <v>50</v>
      </c>
      <c r="AC41" s="22">
        <f t="shared" si="18"/>
        <v>55</v>
      </c>
      <c r="AD41" s="14">
        <f>INDEX(章节关卡!$I$6:$I$34,芦花古楼!X41)*芦花古楼!Y41</f>
        <v>0</v>
      </c>
      <c r="AE41" s="14">
        <v>100</v>
      </c>
      <c r="AH41" s="17">
        <v>37</v>
      </c>
      <c r="AI41" s="46">
        <v>11</v>
      </c>
      <c r="AJ41" s="123">
        <v>0</v>
      </c>
      <c r="AK41" s="87"/>
      <c r="AL41" s="87">
        <f>INDEX(章节关卡!$G$6:$G$34,芦花古楼!AI41)*芦花古楼!AJ41</f>
        <v>0</v>
      </c>
      <c r="AM41" s="22">
        <f t="shared" si="7"/>
        <v>55</v>
      </c>
      <c r="AN41" s="22">
        <f t="shared" si="8"/>
        <v>55</v>
      </c>
      <c r="AO41" s="14">
        <f>INDEX(章节关卡!$I$6:$I$34,芦花古楼!AI41)*芦花古楼!AJ41</f>
        <v>0</v>
      </c>
      <c r="AP41" s="14">
        <v>100</v>
      </c>
      <c r="AS41" s="18">
        <v>36</v>
      </c>
      <c r="AT41" s="87">
        <v>9</v>
      </c>
      <c r="AV41" s="18">
        <v>36</v>
      </c>
      <c r="AW41" s="87">
        <v>11</v>
      </c>
      <c r="AY41" s="18">
        <v>36</v>
      </c>
      <c r="AZ41" s="18">
        <v>11</v>
      </c>
      <c r="BB41" s="18">
        <v>36</v>
      </c>
      <c r="BC41" s="18">
        <v>11</v>
      </c>
      <c r="BF41" s="18">
        <v>36</v>
      </c>
      <c r="BG41" s="14">
        <f t="shared" si="19"/>
        <v>390</v>
      </c>
      <c r="BH41" s="14">
        <f t="shared" si="20"/>
        <v>425</v>
      </c>
      <c r="BI41" s="14">
        <f t="shared" si="21"/>
        <v>0</v>
      </c>
      <c r="BJ41" s="14">
        <f t="shared" si="12"/>
        <v>1050</v>
      </c>
      <c r="BK41" s="14">
        <f t="shared" si="13"/>
        <v>810</v>
      </c>
      <c r="BL41" s="14">
        <f t="shared" si="14"/>
        <v>1620</v>
      </c>
      <c r="BN41" s="18">
        <v>37</v>
      </c>
      <c r="BO41" s="22">
        <v>30</v>
      </c>
      <c r="BU41" s="52">
        <v>36</v>
      </c>
      <c r="BV41" s="52">
        <v>107</v>
      </c>
      <c r="BW41" s="52">
        <v>1606038</v>
      </c>
      <c r="BX41" s="52" t="s">
        <v>342</v>
      </c>
      <c r="BY41" s="52">
        <v>2</v>
      </c>
      <c r="BZ41" s="52">
        <v>21</v>
      </c>
      <c r="CA41" s="52">
        <f>SUM(BZ$5:BZ41)</f>
        <v>708</v>
      </c>
      <c r="CJ41" s="52">
        <v>37</v>
      </c>
      <c r="CK41" s="52">
        <v>1</v>
      </c>
      <c r="CL41" s="52" t="s">
        <v>244</v>
      </c>
      <c r="CM41" s="52">
        <v>37</v>
      </c>
      <c r="CN41" s="52"/>
      <c r="CO41" s="52"/>
      <c r="CP41" s="52"/>
      <c r="CQ41" s="52" t="s">
        <v>358</v>
      </c>
      <c r="CR41" s="52">
        <v>3000</v>
      </c>
      <c r="CS41" s="52" t="s">
        <v>359</v>
      </c>
      <c r="CT41" s="52">
        <v>40</v>
      </c>
      <c r="CU41" s="52"/>
      <c r="CV41" s="52"/>
      <c r="CW41" s="52" t="s">
        <v>359</v>
      </c>
      <c r="CX41" s="52">
        <v>55</v>
      </c>
      <c r="CY41" s="52"/>
      <c r="CZ41" s="52"/>
      <c r="DA41" s="52"/>
      <c r="DB41" s="52"/>
      <c r="DC41" s="52"/>
      <c r="DD41" s="52"/>
      <c r="DE41" s="52"/>
      <c r="DF41" s="52"/>
      <c r="DG41" s="52"/>
      <c r="DH41" s="52"/>
    </row>
    <row r="42" spans="1:112" ht="16.5" x14ac:dyDescent="0.2">
      <c r="A42" s="17">
        <v>38</v>
      </c>
      <c r="B42" s="78">
        <v>10</v>
      </c>
      <c r="C42" s="123">
        <v>0</v>
      </c>
      <c r="D42" s="87"/>
      <c r="E42" s="78">
        <f>INDEX(章节关卡!$G$6:$G$34,芦花古楼!B42)*芦花古楼!C42</f>
        <v>0</v>
      </c>
      <c r="F42" s="22">
        <f t="shared" si="15"/>
        <v>40</v>
      </c>
      <c r="G42" s="22">
        <f t="shared" si="16"/>
        <v>55</v>
      </c>
      <c r="H42" s="14">
        <f>INDEX(章节关卡!$I$6:$I$34,芦花古楼!B42)*芦花古楼!C42</f>
        <v>0</v>
      </c>
      <c r="I42" s="14">
        <v>100</v>
      </c>
      <c r="L42" s="17">
        <v>38</v>
      </c>
      <c r="M42" s="78">
        <f t="shared" si="4"/>
        <v>11</v>
      </c>
      <c r="N42" s="123">
        <v>0</v>
      </c>
      <c r="O42" s="87"/>
      <c r="P42" s="78">
        <f>INDEX(章节关卡!$G$6:$G$34,芦花古楼!M42)*芦花古楼!N42</f>
        <v>0</v>
      </c>
      <c r="Q42" s="22">
        <f t="shared" si="5"/>
        <v>45</v>
      </c>
      <c r="R42" s="22">
        <f t="shared" si="6"/>
        <v>55</v>
      </c>
      <c r="S42" s="14">
        <f>INDEX(章节关卡!$I$6:$I$34,芦花古楼!M42)*芦花古楼!N42</f>
        <v>0</v>
      </c>
      <c r="T42" s="14">
        <v>100</v>
      </c>
      <c r="W42" s="17">
        <v>38</v>
      </c>
      <c r="X42" s="46">
        <v>11</v>
      </c>
      <c r="Y42" s="123">
        <v>0</v>
      </c>
      <c r="Z42" s="87"/>
      <c r="AA42" s="87">
        <f>INDEX(章节关卡!$G$6:$G$34,芦花古楼!X42)*芦花古楼!Y42</f>
        <v>0</v>
      </c>
      <c r="AB42" s="22">
        <f t="shared" si="17"/>
        <v>50</v>
      </c>
      <c r="AC42" s="22">
        <f t="shared" si="18"/>
        <v>55</v>
      </c>
      <c r="AD42" s="14">
        <f>INDEX(章节关卡!$I$6:$I$34,芦花古楼!X42)*芦花古楼!Y42</f>
        <v>0</v>
      </c>
      <c r="AE42" s="14">
        <v>100</v>
      </c>
      <c r="AH42" s="17">
        <v>38</v>
      </c>
      <c r="AI42" s="46">
        <v>11</v>
      </c>
      <c r="AJ42" s="123">
        <v>0</v>
      </c>
      <c r="AK42" s="87"/>
      <c r="AL42" s="87">
        <f>INDEX(章节关卡!$G$6:$G$34,芦花古楼!AI42)*芦花古楼!AJ42</f>
        <v>0</v>
      </c>
      <c r="AM42" s="22">
        <f t="shared" si="7"/>
        <v>55</v>
      </c>
      <c r="AN42" s="22">
        <f t="shared" si="8"/>
        <v>55</v>
      </c>
      <c r="AO42" s="14">
        <f>INDEX(章节关卡!$I$6:$I$34,芦花古楼!AI42)*芦花古楼!AJ42</f>
        <v>0</v>
      </c>
      <c r="AP42" s="14">
        <v>100</v>
      </c>
      <c r="AS42" s="18">
        <v>37</v>
      </c>
      <c r="AT42" s="87">
        <v>10</v>
      </c>
      <c r="AV42" s="18">
        <v>37</v>
      </c>
      <c r="AW42" s="87">
        <v>12</v>
      </c>
      <c r="AY42" s="18">
        <v>37</v>
      </c>
      <c r="AZ42" s="18">
        <v>12</v>
      </c>
      <c r="BB42" s="18">
        <v>37</v>
      </c>
      <c r="BC42" s="18">
        <v>12</v>
      </c>
      <c r="BF42" s="18">
        <v>37</v>
      </c>
      <c r="BG42" s="14">
        <f t="shared" si="19"/>
        <v>395</v>
      </c>
      <c r="BH42" s="14">
        <f t="shared" si="20"/>
        <v>425</v>
      </c>
      <c r="BI42" s="14">
        <f t="shared" si="21"/>
        <v>0</v>
      </c>
      <c r="BJ42" s="14">
        <f t="shared" si="12"/>
        <v>1050</v>
      </c>
      <c r="BK42" s="14">
        <f t="shared" si="13"/>
        <v>820</v>
      </c>
      <c r="BL42" s="14">
        <f t="shared" si="14"/>
        <v>1640</v>
      </c>
      <c r="BN42" s="18">
        <v>38</v>
      </c>
      <c r="BO42" s="22">
        <v>30</v>
      </c>
      <c r="BU42" s="52">
        <v>37</v>
      </c>
      <c r="BV42" s="52">
        <v>107</v>
      </c>
      <c r="BW42" s="52">
        <v>1606039</v>
      </c>
      <c r="BX42" s="52" t="s">
        <v>343</v>
      </c>
      <c r="BY42" s="52">
        <v>2</v>
      </c>
      <c r="BZ42" s="52">
        <v>21</v>
      </c>
      <c r="CA42" s="52">
        <f>SUM(BZ$5:BZ42)</f>
        <v>729</v>
      </c>
      <c r="CJ42" s="52">
        <v>38</v>
      </c>
      <c r="CK42" s="52">
        <v>1</v>
      </c>
      <c r="CL42" s="52" t="s">
        <v>244</v>
      </c>
      <c r="CM42" s="52">
        <v>38</v>
      </c>
      <c r="CN42" s="52"/>
      <c r="CO42" s="52"/>
      <c r="CP42" s="52"/>
      <c r="CQ42" s="52" t="s">
        <v>358</v>
      </c>
      <c r="CR42" s="52">
        <v>3000</v>
      </c>
      <c r="CS42" s="52" t="s">
        <v>359</v>
      </c>
      <c r="CT42" s="52">
        <v>40</v>
      </c>
      <c r="CU42" s="52"/>
      <c r="CV42" s="52"/>
      <c r="CW42" s="52" t="s">
        <v>359</v>
      </c>
      <c r="CX42" s="52">
        <v>55</v>
      </c>
      <c r="CY42" s="52"/>
      <c r="CZ42" s="52"/>
      <c r="DA42" s="52"/>
      <c r="DB42" s="52"/>
      <c r="DC42" s="52"/>
      <c r="DD42" s="52"/>
      <c r="DE42" s="52"/>
      <c r="DF42" s="52"/>
      <c r="DG42" s="52"/>
      <c r="DH42" s="52"/>
    </row>
    <row r="43" spans="1:112" ht="16.5" x14ac:dyDescent="0.2">
      <c r="A43" s="17">
        <v>39</v>
      </c>
      <c r="B43" s="78">
        <v>10</v>
      </c>
      <c r="C43" s="123">
        <v>0</v>
      </c>
      <c r="D43" s="87"/>
      <c r="E43" s="78">
        <f>INDEX(章节关卡!$G$6:$G$34,芦花古楼!B43)*芦花古楼!C43</f>
        <v>0</v>
      </c>
      <c r="F43" s="22">
        <f t="shared" si="15"/>
        <v>40</v>
      </c>
      <c r="G43" s="22">
        <f t="shared" si="16"/>
        <v>55</v>
      </c>
      <c r="H43" s="14">
        <f>INDEX(章节关卡!$I$6:$I$34,芦花古楼!B43)*芦花古楼!C43</f>
        <v>0</v>
      </c>
      <c r="I43" s="14">
        <v>100</v>
      </c>
      <c r="L43" s="17">
        <v>39</v>
      </c>
      <c r="M43" s="78">
        <f t="shared" si="4"/>
        <v>11</v>
      </c>
      <c r="N43" s="123">
        <v>0</v>
      </c>
      <c r="O43" s="87"/>
      <c r="P43" s="78">
        <f>INDEX(章节关卡!$G$6:$G$34,芦花古楼!M43)*芦花古楼!N43</f>
        <v>0</v>
      </c>
      <c r="Q43" s="22">
        <f t="shared" si="5"/>
        <v>45</v>
      </c>
      <c r="R43" s="22">
        <f t="shared" si="6"/>
        <v>55</v>
      </c>
      <c r="S43" s="14">
        <f>INDEX(章节关卡!$I$6:$I$34,芦花古楼!M43)*芦花古楼!N43</f>
        <v>0</v>
      </c>
      <c r="T43" s="14">
        <v>100</v>
      </c>
      <c r="W43" s="17">
        <v>39</v>
      </c>
      <c r="X43" s="46">
        <v>11</v>
      </c>
      <c r="Y43" s="123">
        <v>0</v>
      </c>
      <c r="Z43" s="87"/>
      <c r="AA43" s="87">
        <f>INDEX(章节关卡!$G$6:$G$34,芦花古楼!X43)*芦花古楼!Y43</f>
        <v>0</v>
      </c>
      <c r="AB43" s="22">
        <f t="shared" si="17"/>
        <v>50</v>
      </c>
      <c r="AC43" s="22">
        <f t="shared" si="18"/>
        <v>55</v>
      </c>
      <c r="AD43" s="14">
        <f>INDEX(章节关卡!$I$6:$I$34,芦花古楼!X43)*芦花古楼!Y43</f>
        <v>0</v>
      </c>
      <c r="AE43" s="14">
        <v>100</v>
      </c>
      <c r="AH43" s="17">
        <v>39</v>
      </c>
      <c r="AI43" s="46">
        <v>11</v>
      </c>
      <c r="AJ43" s="123">
        <v>0</v>
      </c>
      <c r="AK43" s="87"/>
      <c r="AL43" s="87">
        <f>INDEX(章节关卡!$G$6:$G$34,芦花古楼!AI43)*芦花古楼!AJ43</f>
        <v>0</v>
      </c>
      <c r="AM43" s="22">
        <f t="shared" si="7"/>
        <v>55</v>
      </c>
      <c r="AN43" s="22">
        <f t="shared" si="8"/>
        <v>55</v>
      </c>
      <c r="AO43" s="14">
        <f>INDEX(章节关卡!$I$6:$I$34,芦花古楼!AI43)*芦花古楼!AJ43</f>
        <v>0</v>
      </c>
      <c r="AP43" s="14">
        <v>100</v>
      </c>
      <c r="AS43" s="18">
        <v>38</v>
      </c>
      <c r="AT43" s="87">
        <v>10</v>
      </c>
      <c r="AV43" s="18">
        <v>38</v>
      </c>
      <c r="AW43" s="87">
        <v>12</v>
      </c>
      <c r="AY43" s="18">
        <v>38</v>
      </c>
      <c r="AZ43" s="18">
        <v>12</v>
      </c>
      <c r="BB43" s="18">
        <v>38</v>
      </c>
      <c r="BC43" s="18">
        <v>12</v>
      </c>
      <c r="BF43" s="18">
        <v>38</v>
      </c>
      <c r="BG43" s="14">
        <f t="shared" si="19"/>
        <v>395</v>
      </c>
      <c r="BH43" s="14">
        <f t="shared" si="20"/>
        <v>425</v>
      </c>
      <c r="BI43" s="14">
        <f t="shared" si="21"/>
        <v>0</v>
      </c>
      <c r="BJ43" s="14">
        <f t="shared" si="12"/>
        <v>1050</v>
      </c>
      <c r="BK43" s="14">
        <f t="shared" si="13"/>
        <v>820</v>
      </c>
      <c r="BL43" s="14">
        <f t="shared" si="14"/>
        <v>1640</v>
      </c>
      <c r="BN43" s="18">
        <v>39</v>
      </c>
      <c r="BO43" s="22">
        <v>30</v>
      </c>
      <c r="BU43" s="52">
        <v>38</v>
      </c>
      <c r="BV43" s="52">
        <v>107</v>
      </c>
      <c r="BW43" s="52">
        <v>1606040</v>
      </c>
      <c r="BX43" s="52" t="s">
        <v>344</v>
      </c>
      <c r="BY43" s="52">
        <v>3</v>
      </c>
      <c r="BZ43" s="52">
        <v>21</v>
      </c>
      <c r="CA43" s="52">
        <f>SUM(BZ$5:BZ43)</f>
        <v>750</v>
      </c>
      <c r="CJ43" s="52">
        <v>39</v>
      </c>
      <c r="CK43" s="52">
        <v>1</v>
      </c>
      <c r="CL43" s="52" t="s">
        <v>244</v>
      </c>
      <c r="CM43" s="52">
        <v>39</v>
      </c>
      <c r="CN43" s="52"/>
      <c r="CO43" s="52"/>
      <c r="CP43" s="52"/>
      <c r="CQ43" s="52" t="s">
        <v>358</v>
      </c>
      <c r="CR43" s="52">
        <v>3000</v>
      </c>
      <c r="CS43" s="52" t="s">
        <v>359</v>
      </c>
      <c r="CT43" s="52">
        <v>40</v>
      </c>
      <c r="CU43" s="52"/>
      <c r="CV43" s="52"/>
      <c r="CW43" s="52" t="s">
        <v>359</v>
      </c>
      <c r="CX43" s="52">
        <v>55</v>
      </c>
      <c r="CY43" s="52"/>
      <c r="CZ43" s="52"/>
      <c r="DA43" s="52"/>
      <c r="DB43" s="52"/>
      <c r="DC43" s="52"/>
      <c r="DD43" s="52"/>
      <c r="DE43" s="52"/>
      <c r="DF43" s="52"/>
      <c r="DG43" s="52"/>
      <c r="DH43" s="52"/>
    </row>
    <row r="44" spans="1:112" ht="16.5" x14ac:dyDescent="0.2">
      <c r="A44" s="17">
        <v>40</v>
      </c>
      <c r="B44" s="78">
        <v>10</v>
      </c>
      <c r="C44" s="123">
        <v>0</v>
      </c>
      <c r="D44" s="87"/>
      <c r="E44" s="78">
        <f>INDEX(章节关卡!$G$6:$G$34,芦花古楼!B44)*芦花古楼!C44</f>
        <v>0</v>
      </c>
      <c r="F44" s="22">
        <f t="shared" si="15"/>
        <v>40</v>
      </c>
      <c r="G44" s="22">
        <f t="shared" si="16"/>
        <v>60</v>
      </c>
      <c r="H44" s="14">
        <f>INDEX(章节关卡!$I$6:$I$34,芦花古楼!B44)*芦花古楼!C44</f>
        <v>0</v>
      </c>
      <c r="I44" s="14">
        <v>150</v>
      </c>
      <c r="L44" s="17">
        <v>40</v>
      </c>
      <c r="M44" s="78">
        <f t="shared" si="4"/>
        <v>11</v>
      </c>
      <c r="N44" s="123">
        <v>0</v>
      </c>
      <c r="O44" s="87"/>
      <c r="P44" s="78">
        <f>INDEX(章节关卡!$G$6:$G$34,芦花古楼!M44)*芦花古楼!N44</f>
        <v>0</v>
      </c>
      <c r="Q44" s="22">
        <f t="shared" si="5"/>
        <v>45</v>
      </c>
      <c r="R44" s="22">
        <f t="shared" si="6"/>
        <v>60</v>
      </c>
      <c r="S44" s="14">
        <f>INDEX(章节关卡!$I$6:$I$34,芦花古楼!M44)*芦花古楼!N44</f>
        <v>0</v>
      </c>
      <c r="T44" s="14">
        <v>150</v>
      </c>
      <c r="W44" s="17">
        <v>40</v>
      </c>
      <c r="X44" s="24">
        <v>11</v>
      </c>
      <c r="Y44" s="123">
        <v>0</v>
      </c>
      <c r="Z44" s="87"/>
      <c r="AA44" s="87">
        <f>INDEX(章节关卡!$G$6:$G$34,芦花古楼!X44)*芦花古楼!Y44</f>
        <v>0</v>
      </c>
      <c r="AB44" s="22">
        <f t="shared" si="17"/>
        <v>50</v>
      </c>
      <c r="AC44" s="22">
        <f t="shared" si="18"/>
        <v>60</v>
      </c>
      <c r="AD44" s="14">
        <f>INDEX(章节关卡!$I$6:$I$34,芦花古楼!X44)*芦花古楼!Y44</f>
        <v>0</v>
      </c>
      <c r="AE44" s="14">
        <v>150</v>
      </c>
      <c r="AH44" s="17">
        <v>40</v>
      </c>
      <c r="AI44" s="46">
        <v>11</v>
      </c>
      <c r="AJ44" s="123">
        <v>0</v>
      </c>
      <c r="AK44" s="87"/>
      <c r="AL44" s="87">
        <f>INDEX(章节关卡!$G$6:$G$34,芦花古楼!AI44)*芦花古楼!AJ44</f>
        <v>0</v>
      </c>
      <c r="AM44" s="22">
        <f t="shared" si="7"/>
        <v>55</v>
      </c>
      <c r="AN44" s="22">
        <f t="shared" si="8"/>
        <v>60</v>
      </c>
      <c r="AO44" s="14">
        <f>INDEX(章节关卡!$I$6:$I$34,芦花古楼!AI44)*芦花古楼!AJ44</f>
        <v>0</v>
      </c>
      <c r="AP44" s="14">
        <v>150</v>
      </c>
      <c r="AS44" s="18">
        <v>39</v>
      </c>
      <c r="AT44" s="87">
        <v>10</v>
      </c>
      <c r="AV44" s="18">
        <v>39</v>
      </c>
      <c r="AW44" s="87">
        <v>12</v>
      </c>
      <c r="AY44" s="18">
        <v>39</v>
      </c>
      <c r="AZ44" s="18">
        <v>12</v>
      </c>
      <c r="BB44" s="18">
        <v>39</v>
      </c>
      <c r="BC44" s="18">
        <v>12</v>
      </c>
      <c r="BF44" s="18">
        <v>39</v>
      </c>
      <c r="BG44" s="14">
        <f t="shared" si="19"/>
        <v>395</v>
      </c>
      <c r="BH44" s="14">
        <f t="shared" si="20"/>
        <v>425</v>
      </c>
      <c r="BI44" s="14">
        <f t="shared" si="21"/>
        <v>0</v>
      </c>
      <c r="BJ44" s="14">
        <f t="shared" si="12"/>
        <v>1050</v>
      </c>
      <c r="BK44" s="14">
        <f t="shared" si="13"/>
        <v>820</v>
      </c>
      <c r="BL44" s="14">
        <f t="shared" si="14"/>
        <v>1640</v>
      </c>
      <c r="BN44" s="18">
        <v>40</v>
      </c>
      <c r="BO44" s="18">
        <v>50</v>
      </c>
      <c r="BU44" s="52">
        <v>39</v>
      </c>
      <c r="BV44" s="52">
        <v>107</v>
      </c>
      <c r="BW44" s="52">
        <v>1606041</v>
      </c>
      <c r="BX44" s="52" t="s">
        <v>345</v>
      </c>
      <c r="BY44" s="52">
        <v>3</v>
      </c>
      <c r="BZ44" s="52">
        <v>21</v>
      </c>
      <c r="CA44" s="52">
        <f>SUM(BZ$5:BZ44)</f>
        <v>771</v>
      </c>
      <c r="CJ44" s="52">
        <v>40</v>
      </c>
      <c r="CK44" s="52">
        <v>1</v>
      </c>
      <c r="CL44" s="52" t="s">
        <v>244</v>
      </c>
      <c r="CM44" s="52">
        <v>40</v>
      </c>
      <c r="CN44" s="52"/>
      <c r="CO44" s="52"/>
      <c r="CP44" s="52"/>
      <c r="CQ44" s="52" t="s">
        <v>358</v>
      </c>
      <c r="CR44" s="52">
        <v>3000</v>
      </c>
      <c r="CS44" s="52" t="s">
        <v>359</v>
      </c>
      <c r="CT44" s="52">
        <v>40</v>
      </c>
      <c r="CU44" s="52" t="s">
        <v>259</v>
      </c>
      <c r="CV44" s="52">
        <v>2</v>
      </c>
      <c r="CW44" s="52" t="s">
        <v>359</v>
      </c>
      <c r="CX44" s="52">
        <v>60</v>
      </c>
      <c r="CY44" s="52"/>
      <c r="CZ44" s="52"/>
      <c r="DA44" s="52"/>
      <c r="DB44" s="52"/>
      <c r="DC44" s="52"/>
      <c r="DD44" s="52"/>
      <c r="DE44" s="52"/>
      <c r="DF44" s="52"/>
      <c r="DG44" s="52"/>
      <c r="DH44" s="52"/>
    </row>
    <row r="45" spans="1:112" ht="16.5" x14ac:dyDescent="0.2">
      <c r="A45" s="17">
        <v>41</v>
      </c>
      <c r="B45" s="46">
        <v>11</v>
      </c>
      <c r="C45" s="123">
        <v>0</v>
      </c>
      <c r="D45" s="87"/>
      <c r="E45" s="78">
        <f>INDEX(章节关卡!$G$6:$G$34,芦花古楼!B45)*芦花古楼!C45</f>
        <v>0</v>
      </c>
      <c r="F45" s="22">
        <f t="shared" si="15"/>
        <v>45</v>
      </c>
      <c r="G45" s="22">
        <f t="shared" si="16"/>
        <v>60</v>
      </c>
      <c r="H45" s="14">
        <f>INDEX(章节关卡!$I$6:$I$34,芦花古楼!B45)*芦花古楼!C45</f>
        <v>0</v>
      </c>
      <c r="I45" s="14">
        <v>150</v>
      </c>
      <c r="L45" s="17">
        <v>41</v>
      </c>
      <c r="M45" s="78">
        <f t="shared" si="4"/>
        <v>12</v>
      </c>
      <c r="N45" s="123">
        <v>0</v>
      </c>
      <c r="O45" s="87"/>
      <c r="P45" s="78">
        <f>INDEX(章节关卡!$G$6:$G$34,芦花古楼!M45)*芦花古楼!N45</f>
        <v>0</v>
      </c>
      <c r="Q45" s="22">
        <f t="shared" si="5"/>
        <v>50</v>
      </c>
      <c r="R45" s="22">
        <f t="shared" si="6"/>
        <v>60</v>
      </c>
      <c r="S45" s="14">
        <f>INDEX(章节关卡!$I$6:$I$34,芦花古楼!M45)*芦花古楼!N45</f>
        <v>0</v>
      </c>
      <c r="T45" s="14">
        <v>150</v>
      </c>
      <c r="W45" s="17">
        <v>41</v>
      </c>
      <c r="X45" s="24">
        <v>12</v>
      </c>
      <c r="Y45" s="123">
        <v>0</v>
      </c>
      <c r="Z45" s="87"/>
      <c r="AA45" s="87">
        <f>INDEX(章节关卡!$G$6:$G$34,芦花古楼!X45)*芦花古楼!Y45</f>
        <v>0</v>
      </c>
      <c r="AB45" s="22">
        <f t="shared" si="17"/>
        <v>55</v>
      </c>
      <c r="AC45" s="22">
        <f t="shared" si="18"/>
        <v>60</v>
      </c>
      <c r="AD45" s="14">
        <f>INDEX(章节关卡!$I$6:$I$34,芦花古楼!X45)*芦花古楼!Y45</f>
        <v>0</v>
      </c>
      <c r="AE45" s="14">
        <v>150</v>
      </c>
      <c r="AH45" s="17">
        <v>41</v>
      </c>
      <c r="AI45" s="46">
        <v>12</v>
      </c>
      <c r="AJ45" s="123">
        <v>0</v>
      </c>
      <c r="AK45" s="87"/>
      <c r="AL45" s="87">
        <f>INDEX(章节关卡!$G$6:$G$34,芦花古楼!AI45)*芦花古楼!AJ45</f>
        <v>0</v>
      </c>
      <c r="AM45" s="22">
        <f t="shared" si="7"/>
        <v>60</v>
      </c>
      <c r="AN45" s="22">
        <f t="shared" si="8"/>
        <v>60</v>
      </c>
      <c r="AO45" s="14">
        <f>INDEX(章节关卡!$I$6:$I$34,芦花古楼!AI45)*芦花古楼!AJ45</f>
        <v>0</v>
      </c>
      <c r="AP45" s="14">
        <v>150</v>
      </c>
      <c r="AS45" s="18">
        <v>40</v>
      </c>
      <c r="AT45" s="87">
        <v>11</v>
      </c>
      <c r="AV45" s="18">
        <v>40</v>
      </c>
      <c r="AW45" s="87">
        <v>13</v>
      </c>
      <c r="AY45" s="18">
        <v>40</v>
      </c>
      <c r="AZ45" s="18">
        <v>13</v>
      </c>
      <c r="BB45" s="18">
        <v>40</v>
      </c>
      <c r="BC45" s="18">
        <v>13</v>
      </c>
      <c r="BF45" s="18">
        <v>40</v>
      </c>
      <c r="BG45" s="14">
        <f t="shared" si="19"/>
        <v>395</v>
      </c>
      <c r="BH45" s="14">
        <f t="shared" si="20"/>
        <v>440</v>
      </c>
      <c r="BI45" s="14">
        <f t="shared" si="21"/>
        <v>0</v>
      </c>
      <c r="BJ45" s="14">
        <f t="shared" si="12"/>
        <v>1200</v>
      </c>
      <c r="BK45" s="14">
        <f t="shared" si="13"/>
        <v>820</v>
      </c>
      <c r="BL45" s="14">
        <f t="shared" si="14"/>
        <v>1640</v>
      </c>
      <c r="BU45" s="52">
        <v>40</v>
      </c>
      <c r="BV45" s="52">
        <v>107</v>
      </c>
      <c r="BW45" s="52">
        <v>1606042</v>
      </c>
      <c r="BX45" s="52" t="s">
        <v>346</v>
      </c>
      <c r="BY45" s="52">
        <v>3</v>
      </c>
      <c r="BZ45" s="52">
        <v>21</v>
      </c>
      <c r="CA45" s="52">
        <f>SUM(BZ$5:BZ45)</f>
        <v>792</v>
      </c>
      <c r="CJ45" s="52">
        <v>41</v>
      </c>
      <c r="CK45" s="52">
        <v>1</v>
      </c>
      <c r="CL45" s="52" t="s">
        <v>244</v>
      </c>
      <c r="CM45" s="52">
        <v>41</v>
      </c>
      <c r="CN45" s="52"/>
      <c r="CO45" s="52"/>
      <c r="CP45" s="52"/>
      <c r="CQ45" s="52" t="s">
        <v>358</v>
      </c>
      <c r="CR45" s="52">
        <v>3000</v>
      </c>
      <c r="CS45" s="52" t="s">
        <v>359</v>
      </c>
      <c r="CT45" s="52">
        <v>45</v>
      </c>
      <c r="CU45" s="52"/>
      <c r="CV45" s="52"/>
      <c r="CW45" s="52" t="s">
        <v>359</v>
      </c>
      <c r="CX45" s="52">
        <v>60</v>
      </c>
      <c r="CY45" s="52"/>
      <c r="CZ45" s="52"/>
      <c r="DA45" s="52"/>
      <c r="DB45" s="52"/>
      <c r="DC45" s="52"/>
      <c r="DD45" s="52"/>
      <c r="DE45" s="52"/>
      <c r="DF45" s="52"/>
      <c r="DG45" s="52"/>
      <c r="DH45" s="52"/>
    </row>
    <row r="46" spans="1:112" ht="16.5" x14ac:dyDescent="0.2">
      <c r="A46" s="17">
        <v>42</v>
      </c>
      <c r="B46" s="78">
        <v>11</v>
      </c>
      <c r="C46" s="123">
        <v>0</v>
      </c>
      <c r="D46" s="87"/>
      <c r="E46" s="78">
        <f>INDEX(章节关卡!$G$6:$G$34,芦花古楼!B46)*芦花古楼!C46</f>
        <v>0</v>
      </c>
      <c r="F46" s="22">
        <f t="shared" si="15"/>
        <v>45</v>
      </c>
      <c r="G46" s="22">
        <f t="shared" si="16"/>
        <v>60</v>
      </c>
      <c r="H46" s="14">
        <f>INDEX(章节关卡!$I$6:$I$34,芦花古楼!B46)*芦花古楼!C46</f>
        <v>0</v>
      </c>
      <c r="I46" s="14">
        <v>150</v>
      </c>
      <c r="L46" s="17">
        <v>42</v>
      </c>
      <c r="M46" s="78">
        <f t="shared" si="4"/>
        <v>12</v>
      </c>
      <c r="N46" s="123">
        <v>0</v>
      </c>
      <c r="O46" s="87"/>
      <c r="P46" s="78">
        <f>INDEX(章节关卡!$G$6:$G$34,芦花古楼!M46)*芦花古楼!N46</f>
        <v>0</v>
      </c>
      <c r="Q46" s="22">
        <f t="shared" si="5"/>
        <v>50</v>
      </c>
      <c r="R46" s="22">
        <f t="shared" si="6"/>
        <v>60</v>
      </c>
      <c r="S46" s="14">
        <f>INDEX(章节关卡!$I$6:$I$34,芦花古楼!M46)*芦花古楼!N46</f>
        <v>0</v>
      </c>
      <c r="T46" s="14">
        <v>150</v>
      </c>
      <c r="W46" s="17">
        <v>42</v>
      </c>
      <c r="X46" s="24">
        <v>12</v>
      </c>
      <c r="Y46" s="123">
        <v>0</v>
      </c>
      <c r="Z46" s="87"/>
      <c r="AA46" s="87">
        <f>INDEX(章节关卡!$G$6:$G$34,芦花古楼!X46)*芦花古楼!Y46</f>
        <v>0</v>
      </c>
      <c r="AB46" s="22">
        <f t="shared" si="17"/>
        <v>55</v>
      </c>
      <c r="AC46" s="22">
        <f t="shared" si="18"/>
        <v>60</v>
      </c>
      <c r="AD46" s="14">
        <f>INDEX(章节关卡!$I$6:$I$34,芦花古楼!X46)*芦花古楼!Y46</f>
        <v>0</v>
      </c>
      <c r="AE46" s="14">
        <v>150</v>
      </c>
      <c r="AH46" s="17">
        <v>42</v>
      </c>
      <c r="AI46" s="46">
        <v>12</v>
      </c>
      <c r="AJ46" s="123">
        <v>0</v>
      </c>
      <c r="AK46" s="87"/>
      <c r="AL46" s="87">
        <f>INDEX(章节关卡!$G$6:$G$34,芦花古楼!AI46)*芦花古楼!AJ46</f>
        <v>0</v>
      </c>
      <c r="AM46" s="22">
        <f t="shared" si="7"/>
        <v>60</v>
      </c>
      <c r="AN46" s="22">
        <f t="shared" si="8"/>
        <v>60</v>
      </c>
      <c r="AO46" s="14">
        <f>INDEX(章节关卡!$I$6:$I$34,芦花古楼!AI46)*芦花古楼!AJ46</f>
        <v>0</v>
      </c>
      <c r="AP46" s="14">
        <v>150</v>
      </c>
      <c r="AS46" s="18">
        <v>41</v>
      </c>
      <c r="AT46" s="87">
        <v>11</v>
      </c>
      <c r="AV46" s="18">
        <v>41</v>
      </c>
      <c r="AW46" s="87">
        <v>13</v>
      </c>
      <c r="AY46" s="18">
        <v>41</v>
      </c>
      <c r="AZ46" s="18">
        <v>13</v>
      </c>
      <c r="BB46" s="18">
        <v>41</v>
      </c>
      <c r="BC46" s="18">
        <v>13</v>
      </c>
      <c r="BF46" s="18">
        <v>41</v>
      </c>
      <c r="BG46" s="14">
        <f t="shared" si="19"/>
        <v>410</v>
      </c>
      <c r="BH46" s="14">
        <f t="shared" si="20"/>
        <v>445</v>
      </c>
      <c r="BI46" s="14">
        <f t="shared" si="21"/>
        <v>0</v>
      </c>
      <c r="BJ46" s="14">
        <f t="shared" si="12"/>
        <v>1200</v>
      </c>
      <c r="BK46" s="14">
        <f t="shared" si="13"/>
        <v>850</v>
      </c>
      <c r="BL46" s="14">
        <f t="shared" si="14"/>
        <v>1700</v>
      </c>
      <c r="BU46" s="52">
        <v>41</v>
      </c>
      <c r="BV46" s="52">
        <v>107</v>
      </c>
      <c r="BW46" s="52">
        <v>1606043</v>
      </c>
      <c r="BX46" s="52" t="s">
        <v>347</v>
      </c>
      <c r="BY46" s="52">
        <v>4</v>
      </c>
      <c r="BZ46" s="52">
        <v>21</v>
      </c>
      <c r="CA46" s="52">
        <f>SUM(BZ$5:BZ46)</f>
        <v>813</v>
      </c>
      <c r="CJ46" s="52">
        <v>42</v>
      </c>
      <c r="CK46" s="52">
        <v>1</v>
      </c>
      <c r="CL46" s="52" t="s">
        <v>244</v>
      </c>
      <c r="CM46" s="52">
        <v>42</v>
      </c>
      <c r="CN46" s="52"/>
      <c r="CO46" s="52"/>
      <c r="CP46" s="52"/>
      <c r="CQ46" s="52" t="s">
        <v>358</v>
      </c>
      <c r="CR46" s="52">
        <v>3000</v>
      </c>
      <c r="CS46" s="52" t="s">
        <v>359</v>
      </c>
      <c r="CT46" s="52">
        <v>45</v>
      </c>
      <c r="CU46" s="52"/>
      <c r="CV46" s="52"/>
      <c r="CW46" s="52" t="s">
        <v>359</v>
      </c>
      <c r="CX46" s="52">
        <v>60</v>
      </c>
      <c r="CY46" s="52"/>
      <c r="CZ46" s="52"/>
      <c r="DA46" s="52"/>
      <c r="DB46" s="52"/>
      <c r="DC46" s="52"/>
      <c r="DD46" s="52"/>
      <c r="DE46" s="52"/>
      <c r="DF46" s="52"/>
      <c r="DG46" s="52"/>
      <c r="DH46" s="52"/>
    </row>
    <row r="47" spans="1:112" ht="16.5" x14ac:dyDescent="0.2">
      <c r="A47" s="17">
        <v>43</v>
      </c>
      <c r="B47" s="78">
        <v>11</v>
      </c>
      <c r="C47" s="123">
        <v>0</v>
      </c>
      <c r="D47" s="87"/>
      <c r="E47" s="78">
        <f>INDEX(章节关卡!$G$6:$G$34,芦花古楼!B47)*芦花古楼!C47</f>
        <v>0</v>
      </c>
      <c r="F47" s="22">
        <f t="shared" si="15"/>
        <v>45</v>
      </c>
      <c r="G47" s="22">
        <f t="shared" si="16"/>
        <v>60</v>
      </c>
      <c r="H47" s="14">
        <f>INDEX(章节关卡!$I$6:$I$34,芦花古楼!B47)*芦花古楼!C47</f>
        <v>0</v>
      </c>
      <c r="I47" s="14">
        <v>150</v>
      </c>
      <c r="L47" s="17">
        <v>43</v>
      </c>
      <c r="M47" s="78">
        <f t="shared" si="4"/>
        <v>12</v>
      </c>
      <c r="N47" s="123">
        <v>0</v>
      </c>
      <c r="O47" s="87"/>
      <c r="P47" s="78">
        <f>INDEX(章节关卡!$G$6:$G$34,芦花古楼!M47)*芦花古楼!N47</f>
        <v>0</v>
      </c>
      <c r="Q47" s="22">
        <f t="shared" si="5"/>
        <v>50</v>
      </c>
      <c r="R47" s="22">
        <f t="shared" si="6"/>
        <v>60</v>
      </c>
      <c r="S47" s="14">
        <f>INDEX(章节关卡!$I$6:$I$34,芦花古楼!M47)*芦花古楼!N47</f>
        <v>0</v>
      </c>
      <c r="T47" s="14">
        <v>150</v>
      </c>
      <c r="W47" s="17">
        <v>43</v>
      </c>
      <c r="X47" s="24">
        <v>12</v>
      </c>
      <c r="Y47" s="123">
        <v>0</v>
      </c>
      <c r="Z47" s="87"/>
      <c r="AA47" s="87">
        <f>INDEX(章节关卡!$G$6:$G$34,芦花古楼!X47)*芦花古楼!Y47</f>
        <v>0</v>
      </c>
      <c r="AB47" s="22">
        <f t="shared" si="17"/>
        <v>55</v>
      </c>
      <c r="AC47" s="22">
        <f t="shared" si="18"/>
        <v>60</v>
      </c>
      <c r="AD47" s="14">
        <f>INDEX(章节关卡!$I$6:$I$34,芦花古楼!X47)*芦花古楼!Y47</f>
        <v>0</v>
      </c>
      <c r="AE47" s="14">
        <v>150</v>
      </c>
      <c r="AH47" s="17">
        <v>43</v>
      </c>
      <c r="AI47" s="46">
        <v>12</v>
      </c>
      <c r="AJ47" s="123">
        <v>0</v>
      </c>
      <c r="AK47" s="87"/>
      <c r="AL47" s="87">
        <f>INDEX(章节关卡!$G$6:$G$34,芦花古楼!AI47)*芦花古楼!AJ47</f>
        <v>0</v>
      </c>
      <c r="AM47" s="22">
        <f t="shared" si="7"/>
        <v>60</v>
      </c>
      <c r="AN47" s="22">
        <f t="shared" si="8"/>
        <v>60</v>
      </c>
      <c r="AO47" s="14">
        <f>INDEX(章节关卡!$I$6:$I$34,芦花古楼!AI47)*芦花古楼!AJ47</f>
        <v>0</v>
      </c>
      <c r="AP47" s="14">
        <v>150</v>
      </c>
      <c r="AS47" s="18">
        <v>42</v>
      </c>
      <c r="AT47" s="87">
        <v>11</v>
      </c>
      <c r="AV47" s="18">
        <v>42</v>
      </c>
      <c r="AW47" s="87">
        <v>13</v>
      </c>
      <c r="AY47" s="18">
        <v>42</v>
      </c>
      <c r="AZ47" s="18">
        <v>13</v>
      </c>
      <c r="BB47" s="18">
        <v>42</v>
      </c>
      <c r="BC47" s="18">
        <v>13</v>
      </c>
      <c r="BF47" s="18">
        <v>42</v>
      </c>
      <c r="BG47" s="14">
        <f t="shared" si="19"/>
        <v>415</v>
      </c>
      <c r="BH47" s="14">
        <f t="shared" si="20"/>
        <v>445</v>
      </c>
      <c r="BI47" s="14">
        <f t="shared" si="21"/>
        <v>0</v>
      </c>
      <c r="BJ47" s="14">
        <f t="shared" si="12"/>
        <v>1200</v>
      </c>
      <c r="BK47" s="14">
        <f t="shared" si="13"/>
        <v>860</v>
      </c>
      <c r="BL47" s="14">
        <f t="shared" si="14"/>
        <v>1720</v>
      </c>
      <c r="BU47" s="52">
        <v>42</v>
      </c>
      <c r="BV47" s="52">
        <v>107</v>
      </c>
      <c r="BW47" s="52">
        <v>1606044</v>
      </c>
      <c r="BX47" s="52" t="s">
        <v>348</v>
      </c>
      <c r="BY47" s="52">
        <v>4</v>
      </c>
      <c r="BZ47" s="52">
        <v>21</v>
      </c>
      <c r="CA47" s="52">
        <f>SUM(BZ$5:BZ47)</f>
        <v>834</v>
      </c>
      <c r="CJ47" s="52">
        <v>43</v>
      </c>
      <c r="CK47" s="52">
        <v>1</v>
      </c>
      <c r="CL47" s="52" t="s">
        <v>244</v>
      </c>
      <c r="CM47" s="52">
        <v>43</v>
      </c>
      <c r="CN47" s="52"/>
      <c r="CO47" s="52"/>
      <c r="CP47" s="52"/>
      <c r="CQ47" s="52" t="s">
        <v>358</v>
      </c>
      <c r="CR47" s="52">
        <v>3000</v>
      </c>
      <c r="CS47" s="52" t="s">
        <v>359</v>
      </c>
      <c r="CT47" s="52">
        <v>45</v>
      </c>
      <c r="CU47" s="52"/>
      <c r="CV47" s="52"/>
      <c r="CW47" s="52" t="s">
        <v>359</v>
      </c>
      <c r="CX47" s="52">
        <v>60</v>
      </c>
      <c r="CY47" s="52"/>
      <c r="CZ47" s="52"/>
      <c r="DA47" s="52"/>
      <c r="DB47" s="52"/>
      <c r="DC47" s="52"/>
      <c r="DD47" s="52"/>
      <c r="DE47" s="52"/>
      <c r="DF47" s="52"/>
      <c r="DG47" s="52"/>
      <c r="DH47" s="52"/>
    </row>
    <row r="48" spans="1:112" ht="16.5" x14ac:dyDescent="0.2">
      <c r="A48" s="17">
        <v>44</v>
      </c>
      <c r="B48" s="78">
        <v>11</v>
      </c>
      <c r="C48" s="123">
        <v>0</v>
      </c>
      <c r="D48" s="87"/>
      <c r="E48" s="78">
        <f>INDEX(章节关卡!$G$6:$G$34,芦花古楼!B48)*芦花古楼!C48</f>
        <v>0</v>
      </c>
      <c r="F48" s="22">
        <f t="shared" si="15"/>
        <v>45</v>
      </c>
      <c r="G48" s="22">
        <f t="shared" si="16"/>
        <v>60</v>
      </c>
      <c r="H48" s="14">
        <f>INDEX(章节关卡!$I$6:$I$34,芦花古楼!B48)*芦花古楼!C48</f>
        <v>0</v>
      </c>
      <c r="I48" s="14">
        <v>150</v>
      </c>
      <c r="L48" s="17">
        <v>44</v>
      </c>
      <c r="M48" s="78">
        <f t="shared" si="4"/>
        <v>12</v>
      </c>
      <c r="N48" s="123">
        <v>0</v>
      </c>
      <c r="O48" s="87"/>
      <c r="P48" s="78">
        <f>INDEX(章节关卡!$G$6:$G$34,芦花古楼!M48)*芦花古楼!N48</f>
        <v>0</v>
      </c>
      <c r="Q48" s="22">
        <f t="shared" si="5"/>
        <v>50</v>
      </c>
      <c r="R48" s="22">
        <f t="shared" si="6"/>
        <v>60</v>
      </c>
      <c r="S48" s="14">
        <f>INDEX(章节关卡!$I$6:$I$34,芦花古楼!M48)*芦花古楼!N48</f>
        <v>0</v>
      </c>
      <c r="T48" s="14">
        <v>150</v>
      </c>
      <c r="W48" s="17">
        <v>44</v>
      </c>
      <c r="X48" s="24">
        <v>12</v>
      </c>
      <c r="Y48" s="123">
        <v>0</v>
      </c>
      <c r="Z48" s="87"/>
      <c r="AA48" s="87">
        <f>INDEX(章节关卡!$G$6:$G$34,芦花古楼!X48)*芦花古楼!Y48</f>
        <v>0</v>
      </c>
      <c r="AB48" s="22">
        <f t="shared" si="17"/>
        <v>55</v>
      </c>
      <c r="AC48" s="22">
        <f t="shared" si="18"/>
        <v>60</v>
      </c>
      <c r="AD48" s="14">
        <f>INDEX(章节关卡!$I$6:$I$34,芦花古楼!X48)*芦花古楼!Y48</f>
        <v>0</v>
      </c>
      <c r="AE48" s="14">
        <v>150</v>
      </c>
      <c r="AH48" s="17">
        <v>44</v>
      </c>
      <c r="AI48" s="46">
        <v>12</v>
      </c>
      <c r="AJ48" s="123">
        <v>0</v>
      </c>
      <c r="AK48" s="87"/>
      <c r="AL48" s="87">
        <f>INDEX(章节关卡!$G$6:$G$34,芦花古楼!AI48)*芦花古楼!AJ48</f>
        <v>0</v>
      </c>
      <c r="AM48" s="22">
        <f t="shared" si="7"/>
        <v>60</v>
      </c>
      <c r="AN48" s="22">
        <f t="shared" si="8"/>
        <v>60</v>
      </c>
      <c r="AO48" s="14">
        <f>INDEX(章节关卡!$I$6:$I$34,芦花古楼!AI48)*芦花古楼!AJ48</f>
        <v>0</v>
      </c>
      <c r="AP48" s="14">
        <v>150</v>
      </c>
      <c r="AS48" s="18">
        <v>43</v>
      </c>
      <c r="AT48" s="87">
        <v>12</v>
      </c>
      <c r="AV48" s="18">
        <v>43</v>
      </c>
      <c r="AW48" s="87">
        <v>14</v>
      </c>
      <c r="AY48" s="18">
        <v>43</v>
      </c>
      <c r="AZ48" s="18">
        <v>14</v>
      </c>
      <c r="BB48" s="18">
        <v>43</v>
      </c>
      <c r="BC48" s="18">
        <v>14</v>
      </c>
      <c r="BF48" s="18">
        <v>43</v>
      </c>
      <c r="BG48" s="14">
        <f t="shared" si="19"/>
        <v>415</v>
      </c>
      <c r="BH48" s="14">
        <f t="shared" si="20"/>
        <v>445</v>
      </c>
      <c r="BI48" s="14">
        <f t="shared" si="21"/>
        <v>0</v>
      </c>
      <c r="BJ48" s="14">
        <f t="shared" si="12"/>
        <v>1200</v>
      </c>
      <c r="BK48" s="14">
        <f t="shared" si="13"/>
        <v>860</v>
      </c>
      <c r="BL48" s="14">
        <f t="shared" si="14"/>
        <v>1720</v>
      </c>
      <c r="CJ48" s="52">
        <v>44</v>
      </c>
      <c r="CK48" s="52">
        <v>1</v>
      </c>
      <c r="CL48" s="52" t="s">
        <v>244</v>
      </c>
      <c r="CM48" s="52">
        <v>44</v>
      </c>
      <c r="CN48" s="52"/>
      <c r="CO48" s="52"/>
      <c r="CP48" s="52"/>
      <c r="CQ48" s="52" t="s">
        <v>358</v>
      </c>
      <c r="CR48" s="52">
        <v>3000</v>
      </c>
      <c r="CS48" s="52" t="s">
        <v>359</v>
      </c>
      <c r="CT48" s="52">
        <v>45</v>
      </c>
      <c r="CU48" s="52"/>
      <c r="CV48" s="52"/>
      <c r="CW48" s="52" t="s">
        <v>359</v>
      </c>
      <c r="CX48" s="52">
        <v>60</v>
      </c>
      <c r="CY48" s="52"/>
      <c r="CZ48" s="52"/>
      <c r="DA48" s="52"/>
      <c r="DB48" s="52"/>
      <c r="DC48" s="52"/>
      <c r="DD48" s="52"/>
      <c r="DE48" s="52"/>
      <c r="DF48" s="52"/>
      <c r="DG48" s="52"/>
      <c r="DH48" s="52"/>
    </row>
    <row r="49" spans="1:112" ht="16.5" x14ac:dyDescent="0.2">
      <c r="A49" s="17">
        <v>45</v>
      </c>
      <c r="B49" s="78">
        <v>11</v>
      </c>
      <c r="C49" s="123">
        <v>0</v>
      </c>
      <c r="D49" s="87"/>
      <c r="E49" s="78">
        <f>INDEX(章节关卡!$G$6:$G$34,芦花古楼!B49)*芦花古楼!C49</f>
        <v>0</v>
      </c>
      <c r="F49" s="22">
        <f t="shared" si="15"/>
        <v>45</v>
      </c>
      <c r="G49" s="22">
        <f t="shared" si="16"/>
        <v>65</v>
      </c>
      <c r="H49" s="14">
        <f>INDEX(章节关卡!$I$6:$I$34,芦花古楼!B49)*芦花古楼!C49</f>
        <v>0</v>
      </c>
      <c r="I49" s="14">
        <v>150</v>
      </c>
      <c r="L49" s="17">
        <v>45</v>
      </c>
      <c r="M49" s="78">
        <f t="shared" si="4"/>
        <v>12</v>
      </c>
      <c r="N49" s="123">
        <v>0</v>
      </c>
      <c r="O49" s="87"/>
      <c r="P49" s="78">
        <f>INDEX(章节关卡!$G$6:$G$34,芦花古楼!M49)*芦花古楼!N49</f>
        <v>0</v>
      </c>
      <c r="Q49" s="22">
        <f t="shared" si="5"/>
        <v>50</v>
      </c>
      <c r="R49" s="22">
        <f t="shared" si="6"/>
        <v>65</v>
      </c>
      <c r="S49" s="14">
        <f>INDEX(章节关卡!$I$6:$I$34,芦花古楼!M49)*芦花古楼!N49</f>
        <v>0</v>
      </c>
      <c r="T49" s="14">
        <v>150</v>
      </c>
      <c r="W49" s="17">
        <v>45</v>
      </c>
      <c r="X49" s="24">
        <v>12</v>
      </c>
      <c r="Y49" s="123">
        <v>0</v>
      </c>
      <c r="Z49" s="87"/>
      <c r="AA49" s="87">
        <f>INDEX(章节关卡!$G$6:$G$34,芦花古楼!X49)*芦花古楼!Y49</f>
        <v>0</v>
      </c>
      <c r="AB49" s="22">
        <f t="shared" si="17"/>
        <v>55</v>
      </c>
      <c r="AC49" s="22">
        <f t="shared" si="18"/>
        <v>65</v>
      </c>
      <c r="AD49" s="14">
        <f>INDEX(章节关卡!$I$6:$I$34,芦花古楼!X49)*芦花古楼!Y49</f>
        <v>0</v>
      </c>
      <c r="AE49" s="14">
        <v>150</v>
      </c>
      <c r="AH49" s="17">
        <v>45</v>
      </c>
      <c r="AI49" s="46">
        <v>12</v>
      </c>
      <c r="AJ49" s="123">
        <v>0</v>
      </c>
      <c r="AK49" s="87"/>
      <c r="AL49" s="87">
        <f>INDEX(章节关卡!$G$6:$G$34,芦花古楼!AI49)*芦花古楼!AJ49</f>
        <v>0</v>
      </c>
      <c r="AM49" s="22">
        <f t="shared" si="7"/>
        <v>60</v>
      </c>
      <c r="AN49" s="22">
        <f t="shared" si="8"/>
        <v>65</v>
      </c>
      <c r="AO49" s="14">
        <f>INDEX(章节关卡!$I$6:$I$34,芦花古楼!AI49)*芦花古楼!AJ49</f>
        <v>0</v>
      </c>
      <c r="AP49" s="14">
        <v>150</v>
      </c>
      <c r="AS49" s="18">
        <v>44</v>
      </c>
      <c r="AT49" s="87">
        <v>12</v>
      </c>
      <c r="AV49" s="18">
        <v>44</v>
      </c>
      <c r="AW49" s="87">
        <v>14</v>
      </c>
      <c r="AY49" s="18">
        <v>44</v>
      </c>
      <c r="AZ49" s="18">
        <v>14</v>
      </c>
      <c r="BB49" s="18">
        <v>44</v>
      </c>
      <c r="BC49" s="18">
        <v>14</v>
      </c>
      <c r="BF49" s="18">
        <v>44</v>
      </c>
      <c r="BG49" s="14">
        <f t="shared" si="19"/>
        <v>415</v>
      </c>
      <c r="BH49" s="14">
        <f t="shared" si="20"/>
        <v>445</v>
      </c>
      <c r="BI49" s="14">
        <f t="shared" si="21"/>
        <v>0</v>
      </c>
      <c r="BJ49" s="14">
        <f t="shared" si="12"/>
        <v>1200</v>
      </c>
      <c r="BK49" s="14">
        <f t="shared" si="13"/>
        <v>860</v>
      </c>
      <c r="BL49" s="14">
        <f t="shared" si="14"/>
        <v>1720</v>
      </c>
      <c r="CJ49" s="52">
        <v>45</v>
      </c>
      <c r="CK49" s="52">
        <v>1</v>
      </c>
      <c r="CL49" s="52" t="s">
        <v>244</v>
      </c>
      <c r="CM49" s="52">
        <v>45</v>
      </c>
      <c r="CN49" s="52"/>
      <c r="CO49" s="52"/>
      <c r="CP49" s="52"/>
      <c r="CQ49" s="52" t="s">
        <v>358</v>
      </c>
      <c r="CR49" s="52">
        <v>3000</v>
      </c>
      <c r="CS49" s="52" t="s">
        <v>359</v>
      </c>
      <c r="CT49" s="52">
        <v>45</v>
      </c>
      <c r="CU49" s="52" t="s">
        <v>360</v>
      </c>
      <c r="CV49" s="52">
        <v>2</v>
      </c>
      <c r="CW49" s="52" t="s">
        <v>359</v>
      </c>
      <c r="CX49" s="52">
        <v>65</v>
      </c>
      <c r="CY49" s="52"/>
      <c r="CZ49" s="52"/>
      <c r="DA49" s="52"/>
      <c r="DB49" s="52"/>
      <c r="DC49" s="52"/>
      <c r="DD49" s="52"/>
      <c r="DE49" s="52"/>
      <c r="DF49" s="52"/>
      <c r="DG49" s="52"/>
      <c r="DH49" s="52"/>
    </row>
    <row r="50" spans="1:112" ht="16.5" x14ac:dyDescent="0.2">
      <c r="A50" s="17">
        <v>46</v>
      </c>
      <c r="B50" s="46">
        <v>12</v>
      </c>
      <c r="C50" s="123">
        <v>0</v>
      </c>
      <c r="D50" s="87"/>
      <c r="E50" s="78">
        <f>INDEX(章节关卡!$G$6:$G$34,芦花古楼!B50)*芦花古楼!C50</f>
        <v>0</v>
      </c>
      <c r="F50" s="22">
        <f t="shared" si="15"/>
        <v>50</v>
      </c>
      <c r="G50" s="22">
        <f t="shared" si="16"/>
        <v>65</v>
      </c>
      <c r="H50" s="14">
        <f>INDEX(章节关卡!$I$6:$I$34,芦花古楼!B50)*芦花古楼!C50</f>
        <v>0</v>
      </c>
      <c r="I50" s="14">
        <v>150</v>
      </c>
      <c r="L50" s="17">
        <v>46</v>
      </c>
      <c r="M50" s="78">
        <f t="shared" si="4"/>
        <v>13</v>
      </c>
      <c r="N50" s="123">
        <v>0</v>
      </c>
      <c r="O50" s="87"/>
      <c r="P50" s="78">
        <f>INDEX(章节关卡!$G$6:$G$34,芦花古楼!M50)*芦花古楼!N50</f>
        <v>0</v>
      </c>
      <c r="Q50" s="22">
        <f t="shared" si="5"/>
        <v>55</v>
      </c>
      <c r="R50" s="22">
        <f t="shared" si="6"/>
        <v>65</v>
      </c>
      <c r="S50" s="14">
        <f>INDEX(章节关卡!$I$6:$I$34,芦花古楼!M50)*芦花古楼!N50</f>
        <v>0</v>
      </c>
      <c r="T50" s="14">
        <v>150</v>
      </c>
      <c r="W50" s="17">
        <v>46</v>
      </c>
      <c r="X50" s="46">
        <v>13</v>
      </c>
      <c r="Y50" s="123">
        <v>0</v>
      </c>
      <c r="Z50" s="87"/>
      <c r="AA50" s="87">
        <f>INDEX(章节关卡!$G$6:$G$34,芦花古楼!X50)*芦花古楼!Y50</f>
        <v>0</v>
      </c>
      <c r="AB50" s="22">
        <f t="shared" si="17"/>
        <v>60</v>
      </c>
      <c r="AC50" s="22">
        <f t="shared" si="18"/>
        <v>65</v>
      </c>
      <c r="AD50" s="14">
        <f>INDEX(章节关卡!$I$6:$I$34,芦花古楼!X50)*芦花古楼!Y50</f>
        <v>0</v>
      </c>
      <c r="AE50" s="14">
        <v>150</v>
      </c>
      <c r="AH50" s="17">
        <v>46</v>
      </c>
      <c r="AI50" s="46">
        <v>13</v>
      </c>
      <c r="AJ50" s="123">
        <v>0</v>
      </c>
      <c r="AK50" s="87"/>
      <c r="AL50" s="87">
        <f>INDEX(章节关卡!$G$6:$G$34,芦花古楼!AI50)*芦花古楼!AJ50</f>
        <v>0</v>
      </c>
      <c r="AM50" s="22">
        <f t="shared" si="7"/>
        <v>65</v>
      </c>
      <c r="AN50" s="22">
        <f t="shared" si="8"/>
        <v>65</v>
      </c>
      <c r="AO50" s="14">
        <f>INDEX(章节关卡!$I$6:$I$34,芦花古楼!AI50)*芦花古楼!AJ50</f>
        <v>0</v>
      </c>
      <c r="AP50" s="14">
        <v>150</v>
      </c>
      <c r="AS50" s="18">
        <v>45</v>
      </c>
      <c r="AT50" s="87">
        <v>12</v>
      </c>
      <c r="AV50" s="18">
        <v>45</v>
      </c>
      <c r="AW50" s="87">
        <v>14</v>
      </c>
      <c r="AY50" s="18">
        <v>45</v>
      </c>
      <c r="AZ50" s="18">
        <v>14</v>
      </c>
      <c r="BB50" s="18">
        <v>45</v>
      </c>
      <c r="BC50" s="18">
        <v>14</v>
      </c>
      <c r="BF50" s="18">
        <v>45</v>
      </c>
      <c r="BG50" s="14">
        <f t="shared" si="19"/>
        <v>415</v>
      </c>
      <c r="BH50" s="14">
        <f t="shared" si="20"/>
        <v>460</v>
      </c>
      <c r="BI50" s="14">
        <f t="shared" si="21"/>
        <v>0</v>
      </c>
      <c r="BJ50" s="14">
        <f t="shared" si="12"/>
        <v>1200</v>
      </c>
      <c r="BK50" s="14">
        <f t="shared" si="13"/>
        <v>860</v>
      </c>
      <c r="BL50" s="14">
        <f t="shared" si="14"/>
        <v>1720</v>
      </c>
      <c r="CJ50" s="52">
        <v>46</v>
      </c>
      <c r="CK50" s="52">
        <v>1</v>
      </c>
      <c r="CL50" s="52" t="s">
        <v>244</v>
      </c>
      <c r="CM50" s="52">
        <v>46</v>
      </c>
      <c r="CN50" s="52"/>
      <c r="CO50" s="52"/>
      <c r="CP50" s="52"/>
      <c r="CQ50" s="52" t="s">
        <v>358</v>
      </c>
      <c r="CR50" s="52">
        <v>3000</v>
      </c>
      <c r="CS50" s="52" t="s">
        <v>359</v>
      </c>
      <c r="CT50" s="52">
        <v>50</v>
      </c>
      <c r="CU50" s="52"/>
      <c r="CV50" s="52"/>
      <c r="CW50" s="52" t="s">
        <v>359</v>
      </c>
      <c r="CX50" s="52">
        <v>65</v>
      </c>
      <c r="CY50" s="52"/>
      <c r="CZ50" s="52"/>
      <c r="DA50" s="52"/>
      <c r="DB50" s="52"/>
      <c r="DC50" s="52"/>
      <c r="DD50" s="52"/>
      <c r="DE50" s="52"/>
      <c r="DF50" s="52"/>
      <c r="DG50" s="52"/>
      <c r="DH50" s="52"/>
    </row>
    <row r="51" spans="1:112" ht="16.5" x14ac:dyDescent="0.2">
      <c r="A51" s="17">
        <v>47</v>
      </c>
      <c r="B51" s="78">
        <v>12</v>
      </c>
      <c r="C51" s="123">
        <v>0</v>
      </c>
      <c r="D51" s="87"/>
      <c r="E51" s="78">
        <f>INDEX(章节关卡!$G$6:$G$34,芦花古楼!B51)*芦花古楼!C51</f>
        <v>0</v>
      </c>
      <c r="F51" s="22">
        <f t="shared" si="15"/>
        <v>50</v>
      </c>
      <c r="G51" s="22">
        <f t="shared" si="16"/>
        <v>65</v>
      </c>
      <c r="H51" s="14">
        <f>INDEX(章节关卡!$I$6:$I$34,芦花古楼!B51)*芦花古楼!C51</f>
        <v>0</v>
      </c>
      <c r="I51" s="14">
        <v>150</v>
      </c>
      <c r="L51" s="17">
        <v>47</v>
      </c>
      <c r="M51" s="78">
        <f t="shared" si="4"/>
        <v>13</v>
      </c>
      <c r="N51" s="123">
        <v>0</v>
      </c>
      <c r="O51" s="87"/>
      <c r="P51" s="78">
        <f>INDEX(章节关卡!$G$6:$G$34,芦花古楼!M51)*芦花古楼!N51</f>
        <v>0</v>
      </c>
      <c r="Q51" s="22">
        <f t="shared" si="5"/>
        <v>55</v>
      </c>
      <c r="R51" s="22">
        <f t="shared" si="6"/>
        <v>65</v>
      </c>
      <c r="S51" s="14">
        <f>INDEX(章节关卡!$I$6:$I$34,芦花古楼!M51)*芦花古楼!N51</f>
        <v>0</v>
      </c>
      <c r="T51" s="14">
        <v>150</v>
      </c>
      <c r="W51" s="17">
        <v>47</v>
      </c>
      <c r="X51" s="46">
        <v>13</v>
      </c>
      <c r="Y51" s="123">
        <v>0</v>
      </c>
      <c r="Z51" s="87"/>
      <c r="AA51" s="87">
        <f>INDEX(章节关卡!$G$6:$G$34,芦花古楼!X51)*芦花古楼!Y51</f>
        <v>0</v>
      </c>
      <c r="AB51" s="22">
        <f t="shared" si="17"/>
        <v>60</v>
      </c>
      <c r="AC51" s="22">
        <f t="shared" si="18"/>
        <v>65</v>
      </c>
      <c r="AD51" s="14">
        <f>INDEX(章节关卡!$I$6:$I$34,芦花古楼!X51)*芦花古楼!Y51</f>
        <v>0</v>
      </c>
      <c r="AE51" s="14">
        <v>150</v>
      </c>
      <c r="AH51" s="17">
        <v>47</v>
      </c>
      <c r="AI51" s="46">
        <v>13</v>
      </c>
      <c r="AJ51" s="123">
        <v>0</v>
      </c>
      <c r="AK51" s="87"/>
      <c r="AL51" s="87">
        <f>INDEX(章节关卡!$G$6:$G$34,芦花古楼!AI51)*芦花古楼!AJ51</f>
        <v>0</v>
      </c>
      <c r="AM51" s="22">
        <f t="shared" si="7"/>
        <v>65</v>
      </c>
      <c r="AN51" s="22">
        <f t="shared" si="8"/>
        <v>65</v>
      </c>
      <c r="AO51" s="14">
        <f>INDEX(章节关卡!$I$6:$I$34,芦花古楼!AI51)*芦花古楼!AJ51</f>
        <v>0</v>
      </c>
      <c r="AP51" s="14">
        <v>150</v>
      </c>
      <c r="AS51" s="18">
        <v>46</v>
      </c>
      <c r="AT51" s="18">
        <v>13</v>
      </c>
      <c r="AV51" s="18">
        <v>46</v>
      </c>
      <c r="AW51" s="87">
        <v>15</v>
      </c>
      <c r="AY51" s="18">
        <v>46</v>
      </c>
      <c r="AZ51" s="18">
        <v>15</v>
      </c>
      <c r="BB51" s="18">
        <v>46</v>
      </c>
      <c r="BC51" s="18">
        <v>15</v>
      </c>
      <c r="BF51" s="18">
        <v>46</v>
      </c>
      <c r="BG51" s="14">
        <f t="shared" si="19"/>
        <v>430</v>
      </c>
      <c r="BH51" s="14">
        <f t="shared" si="20"/>
        <v>465</v>
      </c>
      <c r="BI51" s="14">
        <f t="shared" si="21"/>
        <v>0</v>
      </c>
      <c r="BJ51" s="14">
        <f t="shared" si="12"/>
        <v>1200</v>
      </c>
      <c r="BK51" s="14">
        <f t="shared" si="13"/>
        <v>890</v>
      </c>
      <c r="BL51" s="14">
        <f t="shared" si="14"/>
        <v>1780</v>
      </c>
      <c r="CJ51" s="52">
        <v>47</v>
      </c>
      <c r="CK51" s="52">
        <v>1</v>
      </c>
      <c r="CL51" s="52" t="s">
        <v>244</v>
      </c>
      <c r="CM51" s="52">
        <v>47</v>
      </c>
      <c r="CN51" s="52"/>
      <c r="CO51" s="52"/>
      <c r="CP51" s="52"/>
      <c r="CQ51" s="52" t="s">
        <v>358</v>
      </c>
      <c r="CR51" s="52">
        <v>3000</v>
      </c>
      <c r="CS51" s="52" t="s">
        <v>359</v>
      </c>
      <c r="CT51" s="52">
        <v>50</v>
      </c>
      <c r="CU51" s="52"/>
      <c r="CV51" s="52"/>
      <c r="CW51" s="52" t="s">
        <v>359</v>
      </c>
      <c r="CX51" s="52">
        <v>65</v>
      </c>
      <c r="CY51" s="52"/>
      <c r="CZ51" s="52"/>
      <c r="DA51" s="52"/>
      <c r="DB51" s="52"/>
      <c r="DC51" s="52"/>
      <c r="DD51" s="52"/>
      <c r="DE51" s="52"/>
      <c r="DF51" s="52"/>
      <c r="DG51" s="52"/>
      <c r="DH51" s="52"/>
    </row>
    <row r="52" spans="1:112" ht="16.5" x14ac:dyDescent="0.2">
      <c r="A52" s="17">
        <v>48</v>
      </c>
      <c r="B52" s="78">
        <v>12</v>
      </c>
      <c r="C52" s="123">
        <v>0</v>
      </c>
      <c r="D52" s="87"/>
      <c r="E52" s="78">
        <f>INDEX(章节关卡!$G$6:$G$34,芦花古楼!B52)*芦花古楼!C52</f>
        <v>0</v>
      </c>
      <c r="F52" s="22">
        <f t="shared" si="15"/>
        <v>50</v>
      </c>
      <c r="G52" s="22">
        <f t="shared" si="16"/>
        <v>65</v>
      </c>
      <c r="H52" s="14">
        <f>INDEX(章节关卡!$I$6:$I$34,芦花古楼!B52)*芦花古楼!C52</f>
        <v>0</v>
      </c>
      <c r="I52" s="14">
        <v>150</v>
      </c>
      <c r="L52" s="17">
        <v>48</v>
      </c>
      <c r="M52" s="78">
        <f t="shared" si="4"/>
        <v>13</v>
      </c>
      <c r="N52" s="123">
        <v>0</v>
      </c>
      <c r="O52" s="87"/>
      <c r="P52" s="78">
        <f>INDEX(章节关卡!$G$6:$G$34,芦花古楼!M52)*芦花古楼!N52</f>
        <v>0</v>
      </c>
      <c r="Q52" s="22">
        <f t="shared" si="5"/>
        <v>55</v>
      </c>
      <c r="R52" s="22">
        <f t="shared" si="6"/>
        <v>65</v>
      </c>
      <c r="S52" s="14">
        <f>INDEX(章节关卡!$I$6:$I$34,芦花古楼!M52)*芦花古楼!N52</f>
        <v>0</v>
      </c>
      <c r="T52" s="14">
        <v>150</v>
      </c>
      <c r="W52" s="17">
        <v>48</v>
      </c>
      <c r="X52" s="46">
        <v>13</v>
      </c>
      <c r="Y52" s="123">
        <v>0</v>
      </c>
      <c r="Z52" s="87"/>
      <c r="AA52" s="87">
        <f>INDEX(章节关卡!$G$6:$G$34,芦花古楼!X52)*芦花古楼!Y52</f>
        <v>0</v>
      </c>
      <c r="AB52" s="22">
        <f t="shared" si="17"/>
        <v>60</v>
      </c>
      <c r="AC52" s="22">
        <f t="shared" si="18"/>
        <v>65</v>
      </c>
      <c r="AD52" s="14">
        <f>INDEX(章节关卡!$I$6:$I$34,芦花古楼!X52)*芦花古楼!Y52</f>
        <v>0</v>
      </c>
      <c r="AE52" s="14">
        <v>150</v>
      </c>
      <c r="AH52" s="17">
        <v>48</v>
      </c>
      <c r="AI52" s="46">
        <v>13</v>
      </c>
      <c r="AJ52" s="123">
        <v>0</v>
      </c>
      <c r="AK52" s="87"/>
      <c r="AL52" s="87">
        <f>INDEX(章节关卡!$G$6:$G$34,芦花古楼!AI52)*芦花古楼!AJ52</f>
        <v>0</v>
      </c>
      <c r="AM52" s="22">
        <f t="shared" si="7"/>
        <v>65</v>
      </c>
      <c r="AN52" s="22">
        <f t="shared" si="8"/>
        <v>65</v>
      </c>
      <c r="AO52" s="14">
        <f>INDEX(章节关卡!$I$6:$I$34,芦花古楼!AI52)*芦花古楼!AJ52</f>
        <v>0</v>
      </c>
      <c r="AP52" s="14">
        <v>150</v>
      </c>
      <c r="AS52" s="18">
        <v>47</v>
      </c>
      <c r="AT52" s="87">
        <v>13</v>
      </c>
      <c r="AV52" s="18">
        <v>47</v>
      </c>
      <c r="AW52" s="87">
        <v>15</v>
      </c>
      <c r="AY52" s="18">
        <v>47</v>
      </c>
      <c r="AZ52" s="18">
        <v>15</v>
      </c>
      <c r="BB52" s="18">
        <v>47</v>
      </c>
      <c r="BC52" s="18">
        <v>15</v>
      </c>
      <c r="BF52" s="18">
        <v>47</v>
      </c>
      <c r="BG52" s="14">
        <f t="shared" si="19"/>
        <v>330</v>
      </c>
      <c r="BH52" s="14">
        <f t="shared" si="20"/>
        <v>465</v>
      </c>
      <c r="BI52" s="14">
        <f t="shared" si="21"/>
        <v>0</v>
      </c>
      <c r="BJ52" s="14">
        <f t="shared" si="12"/>
        <v>1200</v>
      </c>
      <c r="BK52" s="14">
        <f t="shared" si="13"/>
        <v>795</v>
      </c>
      <c r="BL52" s="14">
        <f t="shared" si="14"/>
        <v>1590</v>
      </c>
      <c r="CJ52" s="52">
        <v>48</v>
      </c>
      <c r="CK52" s="52">
        <v>1</v>
      </c>
      <c r="CL52" s="52" t="s">
        <v>244</v>
      </c>
      <c r="CM52" s="52">
        <v>48</v>
      </c>
      <c r="CN52" s="52"/>
      <c r="CO52" s="52"/>
      <c r="CP52" s="52"/>
      <c r="CQ52" s="52" t="s">
        <v>358</v>
      </c>
      <c r="CR52" s="52">
        <v>3000</v>
      </c>
      <c r="CS52" s="52" t="s">
        <v>359</v>
      </c>
      <c r="CT52" s="52">
        <v>50</v>
      </c>
      <c r="CU52" s="52"/>
      <c r="CV52" s="52"/>
      <c r="CW52" s="52" t="s">
        <v>359</v>
      </c>
      <c r="CX52" s="52">
        <v>65</v>
      </c>
      <c r="CY52" s="52"/>
      <c r="CZ52" s="52"/>
      <c r="DA52" s="52"/>
      <c r="DB52" s="52"/>
      <c r="DC52" s="52"/>
      <c r="DD52" s="52"/>
      <c r="DE52" s="52"/>
      <c r="DF52" s="52"/>
      <c r="DG52" s="52"/>
      <c r="DH52" s="52"/>
    </row>
    <row r="53" spans="1:112" ht="16.5" x14ac:dyDescent="0.2">
      <c r="A53" s="17">
        <v>49</v>
      </c>
      <c r="B53" s="78">
        <v>12</v>
      </c>
      <c r="C53" s="123">
        <v>0</v>
      </c>
      <c r="D53" s="87"/>
      <c r="E53" s="78">
        <f>INDEX(章节关卡!$G$6:$G$34,芦花古楼!B53)*芦花古楼!C53</f>
        <v>0</v>
      </c>
      <c r="F53" s="22">
        <f t="shared" si="15"/>
        <v>50</v>
      </c>
      <c r="G53" s="22">
        <f t="shared" si="16"/>
        <v>65</v>
      </c>
      <c r="H53" s="14">
        <f>INDEX(章节关卡!$I$6:$I$34,芦花古楼!B53)*芦花古楼!C53</f>
        <v>0</v>
      </c>
      <c r="I53" s="14">
        <v>150</v>
      </c>
      <c r="L53" s="17">
        <v>49</v>
      </c>
      <c r="M53" s="78">
        <f t="shared" si="4"/>
        <v>13</v>
      </c>
      <c r="N53" s="123">
        <v>0</v>
      </c>
      <c r="O53" s="87"/>
      <c r="P53" s="78">
        <f>INDEX(章节关卡!$G$6:$G$34,芦花古楼!M53)*芦花古楼!N53</f>
        <v>0</v>
      </c>
      <c r="Q53" s="22">
        <f t="shared" si="5"/>
        <v>55</v>
      </c>
      <c r="R53" s="22">
        <f t="shared" si="6"/>
        <v>65</v>
      </c>
      <c r="S53" s="14">
        <f>INDEX(章节关卡!$I$6:$I$34,芦花古楼!M53)*芦花古楼!N53</f>
        <v>0</v>
      </c>
      <c r="T53" s="14">
        <v>150</v>
      </c>
      <c r="W53" s="17">
        <v>49</v>
      </c>
      <c r="X53" s="46">
        <v>13</v>
      </c>
      <c r="Y53" s="123">
        <v>0</v>
      </c>
      <c r="Z53" s="87"/>
      <c r="AA53" s="87">
        <f>INDEX(章节关卡!$G$6:$G$34,芦花古楼!X53)*芦花古楼!Y53</f>
        <v>0</v>
      </c>
      <c r="AB53" s="22">
        <f t="shared" si="17"/>
        <v>60</v>
      </c>
      <c r="AC53" s="22">
        <f t="shared" si="18"/>
        <v>65</v>
      </c>
      <c r="AD53" s="14">
        <f>INDEX(章节关卡!$I$6:$I$34,芦花古楼!X53)*芦花古楼!Y53</f>
        <v>0</v>
      </c>
      <c r="AE53" s="14">
        <v>150</v>
      </c>
      <c r="AH53" s="17">
        <v>49</v>
      </c>
      <c r="AI53" s="46">
        <v>13</v>
      </c>
      <c r="AJ53" s="123">
        <v>0</v>
      </c>
      <c r="AK53" s="87"/>
      <c r="AL53" s="87">
        <f>INDEX(章节关卡!$G$6:$G$34,芦花古楼!AI53)*芦花古楼!AJ53</f>
        <v>0</v>
      </c>
      <c r="AM53" s="22">
        <f t="shared" si="7"/>
        <v>65</v>
      </c>
      <c r="AN53" s="22">
        <f t="shared" si="8"/>
        <v>65</v>
      </c>
      <c r="AO53" s="14">
        <f>INDEX(章节关卡!$I$6:$I$34,芦花古楼!AI53)*芦花古楼!AJ53</f>
        <v>0</v>
      </c>
      <c r="AP53" s="14">
        <v>150</v>
      </c>
      <c r="AS53" s="18">
        <v>48</v>
      </c>
      <c r="AT53" s="87">
        <v>13</v>
      </c>
      <c r="AV53" s="18">
        <v>48</v>
      </c>
      <c r="AW53" s="87">
        <v>15</v>
      </c>
      <c r="AY53" s="18">
        <v>48</v>
      </c>
      <c r="AZ53" s="18">
        <v>15</v>
      </c>
      <c r="BB53" s="18">
        <v>48</v>
      </c>
      <c r="BC53" s="18">
        <v>15</v>
      </c>
      <c r="BF53" s="18">
        <v>48</v>
      </c>
      <c r="BG53" s="14">
        <f t="shared" si="19"/>
        <v>330</v>
      </c>
      <c r="BH53" s="14">
        <f t="shared" si="20"/>
        <v>465</v>
      </c>
      <c r="BI53" s="14">
        <f t="shared" si="21"/>
        <v>0</v>
      </c>
      <c r="BJ53" s="14">
        <f t="shared" si="12"/>
        <v>1200</v>
      </c>
      <c r="BK53" s="14">
        <f t="shared" si="13"/>
        <v>795</v>
      </c>
      <c r="BL53" s="14">
        <f t="shared" si="14"/>
        <v>1590</v>
      </c>
      <c r="CJ53" s="52">
        <v>49</v>
      </c>
      <c r="CK53" s="52">
        <v>1</v>
      </c>
      <c r="CL53" s="52" t="s">
        <v>244</v>
      </c>
      <c r="CM53" s="52">
        <v>49</v>
      </c>
      <c r="CN53" s="52"/>
      <c r="CO53" s="52"/>
      <c r="CP53" s="52"/>
      <c r="CQ53" s="52" t="s">
        <v>358</v>
      </c>
      <c r="CR53" s="52">
        <v>3000</v>
      </c>
      <c r="CS53" s="52" t="s">
        <v>359</v>
      </c>
      <c r="CT53" s="52">
        <v>50</v>
      </c>
      <c r="CU53" s="52"/>
      <c r="CV53" s="52"/>
      <c r="CW53" s="52" t="s">
        <v>359</v>
      </c>
      <c r="CX53" s="52">
        <v>65</v>
      </c>
      <c r="CY53" s="52"/>
      <c r="CZ53" s="52"/>
      <c r="DA53" s="52"/>
      <c r="DB53" s="52"/>
      <c r="DC53" s="52"/>
      <c r="DD53" s="52"/>
      <c r="DE53" s="52"/>
      <c r="DF53" s="52"/>
      <c r="DG53" s="52"/>
      <c r="DH53" s="52"/>
    </row>
    <row r="54" spans="1:112" ht="16.5" x14ac:dyDescent="0.2">
      <c r="A54" s="17">
        <v>50</v>
      </c>
      <c r="B54" s="78">
        <v>12</v>
      </c>
      <c r="C54" s="123">
        <v>0</v>
      </c>
      <c r="D54" s="87"/>
      <c r="E54" s="78">
        <f>INDEX(章节关卡!$G$6:$G$34,芦花古楼!B54)*芦花古楼!C54</f>
        <v>0</v>
      </c>
      <c r="F54" s="22">
        <f t="shared" si="15"/>
        <v>50</v>
      </c>
      <c r="G54" s="22">
        <f t="shared" si="16"/>
        <v>70</v>
      </c>
      <c r="H54" s="14">
        <f>INDEX(章节关卡!$I$6:$I$34,芦花古楼!B54)*芦花古楼!C54</f>
        <v>0</v>
      </c>
      <c r="I54" s="14">
        <v>150</v>
      </c>
      <c r="L54" s="17">
        <v>50</v>
      </c>
      <c r="M54" s="78">
        <f t="shared" si="4"/>
        <v>13</v>
      </c>
      <c r="N54" s="123">
        <v>0</v>
      </c>
      <c r="O54" s="87"/>
      <c r="P54" s="78">
        <f>INDEX(章节关卡!$G$6:$G$34,芦花古楼!M54)*芦花古楼!N54</f>
        <v>0</v>
      </c>
      <c r="Q54" s="22">
        <f t="shared" si="5"/>
        <v>55</v>
      </c>
      <c r="R54" s="22">
        <f t="shared" si="6"/>
        <v>70</v>
      </c>
      <c r="S54" s="14">
        <f>INDEX(章节关卡!$I$6:$I$34,芦花古楼!M54)*芦花古楼!N54</f>
        <v>0</v>
      </c>
      <c r="T54" s="14">
        <v>150</v>
      </c>
      <c r="W54" s="17">
        <v>50</v>
      </c>
      <c r="X54" s="46">
        <v>13</v>
      </c>
      <c r="Y54" s="123">
        <v>0</v>
      </c>
      <c r="Z54" s="87"/>
      <c r="AA54" s="87">
        <f>INDEX(章节关卡!$G$6:$G$34,芦花古楼!X54)*芦花古楼!Y54</f>
        <v>0</v>
      </c>
      <c r="AB54" s="22">
        <f t="shared" si="17"/>
        <v>60</v>
      </c>
      <c r="AC54" s="22">
        <f t="shared" si="18"/>
        <v>70</v>
      </c>
      <c r="AD54" s="14">
        <f>INDEX(章节关卡!$I$6:$I$34,芦花古楼!X54)*芦花古楼!Y54</f>
        <v>0</v>
      </c>
      <c r="AE54" s="14">
        <v>150</v>
      </c>
      <c r="AH54" s="17">
        <v>50</v>
      </c>
      <c r="AI54" s="46">
        <v>13</v>
      </c>
      <c r="AJ54" s="123">
        <v>0</v>
      </c>
      <c r="AK54" s="87"/>
      <c r="AL54" s="87">
        <f>INDEX(章节关卡!$G$6:$G$34,芦花古楼!AI54)*芦花古楼!AJ54</f>
        <v>0</v>
      </c>
      <c r="AM54" s="22">
        <f t="shared" si="7"/>
        <v>65</v>
      </c>
      <c r="AN54" s="22">
        <f t="shared" si="8"/>
        <v>70</v>
      </c>
      <c r="AO54" s="14">
        <f>INDEX(章节关卡!$I$6:$I$34,芦花古楼!AI54)*芦花古楼!AJ54</f>
        <v>0</v>
      </c>
      <c r="AP54" s="14">
        <v>150</v>
      </c>
      <c r="AS54" s="18">
        <v>49</v>
      </c>
      <c r="AT54" s="87">
        <v>14</v>
      </c>
      <c r="AV54" s="18">
        <v>49</v>
      </c>
      <c r="AW54" s="87">
        <v>16</v>
      </c>
      <c r="AY54" s="18">
        <v>49</v>
      </c>
      <c r="AZ54" s="18">
        <v>16</v>
      </c>
      <c r="BB54" s="18">
        <v>49</v>
      </c>
      <c r="BC54" s="18">
        <v>16</v>
      </c>
      <c r="BF54" s="18">
        <v>49</v>
      </c>
      <c r="BG54" s="14">
        <f t="shared" si="19"/>
        <v>330</v>
      </c>
      <c r="BH54" s="14">
        <f t="shared" si="20"/>
        <v>465</v>
      </c>
      <c r="BI54" s="14">
        <f t="shared" si="21"/>
        <v>0</v>
      </c>
      <c r="BJ54" s="14">
        <f t="shared" si="12"/>
        <v>1200</v>
      </c>
      <c r="BK54" s="14">
        <f t="shared" si="13"/>
        <v>795</v>
      </c>
      <c r="BL54" s="14">
        <f t="shared" si="14"/>
        <v>1590</v>
      </c>
      <c r="CJ54" s="52">
        <v>50</v>
      </c>
      <c r="CK54" s="52">
        <v>1</v>
      </c>
      <c r="CL54" s="52" t="s">
        <v>244</v>
      </c>
      <c r="CM54" s="52">
        <v>50</v>
      </c>
      <c r="CN54" s="52"/>
      <c r="CO54" s="52"/>
      <c r="CP54" s="52"/>
      <c r="CQ54" s="52" t="s">
        <v>358</v>
      </c>
      <c r="CR54" s="52">
        <v>3600</v>
      </c>
      <c r="CS54" s="52" t="s">
        <v>359</v>
      </c>
      <c r="CT54" s="52">
        <v>50</v>
      </c>
      <c r="CU54" s="52" t="s">
        <v>259</v>
      </c>
      <c r="CV54" s="52">
        <v>2</v>
      </c>
      <c r="CW54" s="52" t="s">
        <v>359</v>
      </c>
      <c r="CX54" s="52">
        <v>70</v>
      </c>
      <c r="CY54" s="52"/>
      <c r="CZ54" s="52"/>
      <c r="DA54" s="52"/>
      <c r="DB54" s="52"/>
      <c r="DC54" s="52"/>
      <c r="DD54" s="52"/>
      <c r="DE54" s="52"/>
      <c r="DF54" s="52"/>
      <c r="DG54" s="52"/>
      <c r="DH54" s="52"/>
    </row>
    <row r="55" spans="1:112" ht="16.5" x14ac:dyDescent="0.2">
      <c r="A55" s="17">
        <v>51</v>
      </c>
      <c r="B55" s="46">
        <v>13</v>
      </c>
      <c r="C55" s="123">
        <v>0</v>
      </c>
      <c r="D55" s="87"/>
      <c r="E55" s="78">
        <f>INDEX(章节关卡!$G$6:$G$34,芦花古楼!B55)*芦花古楼!C55</f>
        <v>0</v>
      </c>
      <c r="F55" s="22">
        <f t="shared" si="15"/>
        <v>55</v>
      </c>
      <c r="G55" s="22">
        <f t="shared" si="16"/>
        <v>70</v>
      </c>
      <c r="H55" s="14">
        <f>INDEX(章节关卡!$I$6:$I$34,芦花古楼!B55)*芦花古楼!C55</f>
        <v>0</v>
      </c>
      <c r="I55" s="14">
        <v>150</v>
      </c>
      <c r="L55" s="17">
        <v>51</v>
      </c>
      <c r="M55" s="78">
        <f t="shared" si="4"/>
        <v>14</v>
      </c>
      <c r="N55" s="123">
        <v>0</v>
      </c>
      <c r="O55" s="87"/>
      <c r="P55" s="78">
        <f>INDEX(章节关卡!$G$6:$G$34,芦花古楼!M55)*芦花古楼!N55</f>
        <v>0</v>
      </c>
      <c r="Q55" s="22">
        <f t="shared" si="5"/>
        <v>60</v>
      </c>
      <c r="R55" s="22">
        <f t="shared" si="6"/>
        <v>70</v>
      </c>
      <c r="S55" s="14">
        <f>INDEX(章节关卡!$I$6:$I$34,芦花古楼!M55)*芦花古楼!N55</f>
        <v>0</v>
      </c>
      <c r="T55" s="14">
        <v>150</v>
      </c>
      <c r="W55" s="17">
        <v>51</v>
      </c>
      <c r="X55" s="46">
        <v>14</v>
      </c>
      <c r="Y55" s="123">
        <v>0</v>
      </c>
      <c r="Z55" s="87"/>
      <c r="AA55" s="87">
        <f>INDEX(章节关卡!$G$6:$G$34,芦花古楼!X55)*芦花古楼!Y55</f>
        <v>0</v>
      </c>
      <c r="AB55" s="22">
        <f t="shared" si="17"/>
        <v>65</v>
      </c>
      <c r="AC55" s="22">
        <f t="shared" si="18"/>
        <v>70</v>
      </c>
      <c r="AD55" s="14">
        <f>INDEX(章节关卡!$I$6:$I$34,芦花古楼!X55)*芦花古楼!Y55</f>
        <v>0</v>
      </c>
      <c r="AE55" s="14">
        <v>150</v>
      </c>
      <c r="AH55" s="17">
        <v>51</v>
      </c>
      <c r="AI55" s="46">
        <v>14</v>
      </c>
      <c r="AJ55" s="123">
        <v>0</v>
      </c>
      <c r="AK55" s="87"/>
      <c r="AL55" s="87">
        <f>INDEX(章节关卡!$G$6:$G$34,芦花古楼!AI55)*芦花古楼!AJ55</f>
        <v>0</v>
      </c>
      <c r="AM55" s="22">
        <f t="shared" si="7"/>
        <v>70</v>
      </c>
      <c r="AN55" s="22">
        <f t="shared" si="8"/>
        <v>70</v>
      </c>
      <c r="AO55" s="14">
        <f>INDEX(章节关卡!$I$6:$I$34,芦花古楼!AI55)*芦花古楼!AJ55</f>
        <v>0</v>
      </c>
      <c r="AP55" s="14">
        <v>150</v>
      </c>
      <c r="AS55" s="18">
        <v>50</v>
      </c>
      <c r="AT55" s="87">
        <v>14</v>
      </c>
      <c r="AV55" s="18">
        <v>50</v>
      </c>
      <c r="AW55" s="87">
        <v>16</v>
      </c>
      <c r="AY55" s="18">
        <v>50</v>
      </c>
      <c r="AZ55" s="18">
        <v>16</v>
      </c>
      <c r="BB55" s="18">
        <v>50</v>
      </c>
      <c r="BC55" s="18">
        <v>16</v>
      </c>
      <c r="BF55" s="18">
        <v>50</v>
      </c>
      <c r="BG55" s="14">
        <f t="shared" si="19"/>
        <v>330</v>
      </c>
      <c r="BH55" s="14">
        <f t="shared" si="20"/>
        <v>480</v>
      </c>
      <c r="BI55" s="14">
        <f t="shared" si="21"/>
        <v>0</v>
      </c>
      <c r="BJ55" s="14">
        <f t="shared" si="12"/>
        <v>1200</v>
      </c>
      <c r="BK55" s="14">
        <f t="shared" si="13"/>
        <v>795</v>
      </c>
      <c r="BL55" s="14">
        <f t="shared" si="14"/>
        <v>1590</v>
      </c>
      <c r="CJ55" s="52">
        <v>51</v>
      </c>
      <c r="CK55" s="52">
        <v>1</v>
      </c>
      <c r="CL55" s="52" t="s">
        <v>244</v>
      </c>
      <c r="CM55" s="52">
        <v>51</v>
      </c>
      <c r="CN55" s="52"/>
      <c r="CO55" s="52"/>
      <c r="CP55" s="52"/>
      <c r="CQ55" s="52" t="s">
        <v>358</v>
      </c>
      <c r="CR55" s="52">
        <v>3600</v>
      </c>
      <c r="CS55" s="52" t="s">
        <v>359</v>
      </c>
      <c r="CT55" s="52">
        <v>55</v>
      </c>
      <c r="CU55" s="52"/>
      <c r="CV55" s="52"/>
      <c r="CW55" s="52" t="s">
        <v>359</v>
      </c>
      <c r="CX55" s="52">
        <v>70</v>
      </c>
      <c r="CY55" s="52"/>
      <c r="CZ55" s="52"/>
      <c r="DA55" s="52"/>
      <c r="DB55" s="52"/>
      <c r="DC55" s="52"/>
      <c r="DD55" s="52"/>
      <c r="DE55" s="52"/>
      <c r="DF55" s="52"/>
      <c r="DG55" s="52"/>
      <c r="DH55" s="52"/>
    </row>
    <row r="56" spans="1:112" ht="16.5" x14ac:dyDescent="0.2">
      <c r="A56" s="17">
        <v>52</v>
      </c>
      <c r="B56" s="78">
        <v>13</v>
      </c>
      <c r="C56" s="123">
        <v>0</v>
      </c>
      <c r="D56" s="87"/>
      <c r="E56" s="78">
        <f>INDEX(章节关卡!$G$6:$G$34,芦花古楼!B56)*芦花古楼!C56</f>
        <v>0</v>
      </c>
      <c r="F56" s="22">
        <f t="shared" si="15"/>
        <v>55</v>
      </c>
      <c r="G56" s="22">
        <f t="shared" si="16"/>
        <v>70</v>
      </c>
      <c r="H56" s="14">
        <f>INDEX(章节关卡!$I$6:$I$34,芦花古楼!B56)*芦花古楼!C56</f>
        <v>0</v>
      </c>
      <c r="I56" s="14">
        <v>150</v>
      </c>
      <c r="L56" s="17">
        <v>52</v>
      </c>
      <c r="M56" s="78">
        <f t="shared" si="4"/>
        <v>14</v>
      </c>
      <c r="N56" s="123">
        <v>0</v>
      </c>
      <c r="O56" s="87"/>
      <c r="P56" s="78">
        <f>INDEX(章节关卡!$G$6:$G$34,芦花古楼!M56)*芦花古楼!N56</f>
        <v>0</v>
      </c>
      <c r="Q56" s="22">
        <f t="shared" si="5"/>
        <v>60</v>
      </c>
      <c r="R56" s="22">
        <f t="shared" si="6"/>
        <v>70</v>
      </c>
      <c r="S56" s="14">
        <f>INDEX(章节关卡!$I$6:$I$34,芦花古楼!M56)*芦花古楼!N56</f>
        <v>0</v>
      </c>
      <c r="T56" s="14">
        <v>150</v>
      </c>
      <c r="W56" s="17">
        <v>52</v>
      </c>
      <c r="X56" s="46">
        <v>14</v>
      </c>
      <c r="Y56" s="123">
        <v>0</v>
      </c>
      <c r="Z56" s="87"/>
      <c r="AA56" s="87">
        <f>INDEX(章节关卡!$G$6:$G$34,芦花古楼!X56)*芦花古楼!Y56</f>
        <v>0</v>
      </c>
      <c r="AB56" s="22">
        <f t="shared" si="17"/>
        <v>65</v>
      </c>
      <c r="AC56" s="22">
        <f t="shared" si="18"/>
        <v>70</v>
      </c>
      <c r="AD56" s="14">
        <f>INDEX(章节关卡!$I$6:$I$34,芦花古楼!X56)*芦花古楼!Y56</f>
        <v>0</v>
      </c>
      <c r="AE56" s="14">
        <v>150</v>
      </c>
      <c r="AH56" s="17">
        <v>52</v>
      </c>
      <c r="AI56" s="46">
        <v>14</v>
      </c>
      <c r="AJ56" s="123">
        <v>0</v>
      </c>
      <c r="AK56" s="87"/>
      <c r="AL56" s="87">
        <f>INDEX(章节关卡!$G$6:$G$34,芦花古楼!AI56)*芦花古楼!AJ56</f>
        <v>0</v>
      </c>
      <c r="AM56" s="22">
        <f t="shared" si="7"/>
        <v>70</v>
      </c>
      <c r="AN56" s="22">
        <f t="shared" si="8"/>
        <v>70</v>
      </c>
      <c r="AO56" s="14">
        <f>INDEX(章节关卡!$I$6:$I$34,芦花古楼!AI56)*芦花古楼!AJ56</f>
        <v>0</v>
      </c>
      <c r="AP56" s="14">
        <v>150</v>
      </c>
      <c r="AS56" s="18">
        <v>51</v>
      </c>
      <c r="AT56" s="87">
        <v>14</v>
      </c>
      <c r="AV56" s="18">
        <v>51</v>
      </c>
      <c r="AW56" s="87">
        <v>17</v>
      </c>
      <c r="AY56" s="18">
        <v>51</v>
      </c>
      <c r="AZ56" s="18">
        <v>17</v>
      </c>
      <c r="BB56" s="18">
        <v>51</v>
      </c>
      <c r="BC56" s="18">
        <v>17</v>
      </c>
      <c r="BF56" s="18">
        <v>51</v>
      </c>
      <c r="BG56" s="14">
        <f t="shared" si="19"/>
        <v>0</v>
      </c>
      <c r="BH56" s="14">
        <f t="shared" si="20"/>
        <v>480</v>
      </c>
      <c r="BI56" s="14">
        <f t="shared" si="21"/>
        <v>0</v>
      </c>
      <c r="BJ56" s="14">
        <f t="shared" si="12"/>
        <v>1200</v>
      </c>
      <c r="BK56" s="14">
        <f t="shared" si="13"/>
        <v>480</v>
      </c>
      <c r="BL56" s="14">
        <f t="shared" si="14"/>
        <v>960</v>
      </c>
      <c r="CJ56" s="52">
        <v>52</v>
      </c>
      <c r="CK56" s="52">
        <v>1</v>
      </c>
      <c r="CL56" s="52" t="s">
        <v>244</v>
      </c>
      <c r="CM56" s="52">
        <v>52</v>
      </c>
      <c r="CN56" s="52"/>
      <c r="CO56" s="52"/>
      <c r="CP56" s="52"/>
      <c r="CQ56" s="52" t="s">
        <v>358</v>
      </c>
      <c r="CR56" s="52">
        <v>3600</v>
      </c>
      <c r="CS56" s="52" t="s">
        <v>359</v>
      </c>
      <c r="CT56" s="52">
        <v>55</v>
      </c>
      <c r="CU56" s="52"/>
      <c r="CV56" s="52"/>
      <c r="CW56" s="52" t="s">
        <v>359</v>
      </c>
      <c r="CX56" s="52">
        <v>70</v>
      </c>
      <c r="CY56" s="52"/>
      <c r="CZ56" s="52"/>
      <c r="DA56" s="52"/>
      <c r="DB56" s="52"/>
      <c r="DC56" s="52"/>
      <c r="DD56" s="52"/>
      <c r="DE56" s="52"/>
      <c r="DF56" s="52"/>
      <c r="DG56" s="52"/>
      <c r="DH56" s="52"/>
    </row>
    <row r="57" spans="1:112" ht="16.5" x14ac:dyDescent="0.2">
      <c r="A57" s="17">
        <v>53</v>
      </c>
      <c r="B57" s="78">
        <v>13</v>
      </c>
      <c r="C57" s="123">
        <v>0</v>
      </c>
      <c r="D57" s="87"/>
      <c r="E57" s="78">
        <f>INDEX(章节关卡!$G$6:$G$34,芦花古楼!B57)*芦花古楼!C57</f>
        <v>0</v>
      </c>
      <c r="F57" s="22">
        <f t="shared" si="15"/>
        <v>55</v>
      </c>
      <c r="G57" s="22">
        <f t="shared" si="16"/>
        <v>70</v>
      </c>
      <c r="H57" s="14">
        <f>INDEX(章节关卡!$I$6:$I$34,芦花古楼!B57)*芦花古楼!C57</f>
        <v>0</v>
      </c>
      <c r="I57" s="14">
        <v>150</v>
      </c>
      <c r="L57" s="17">
        <v>53</v>
      </c>
      <c r="M57" s="78">
        <f t="shared" si="4"/>
        <v>14</v>
      </c>
      <c r="N57" s="123">
        <v>0</v>
      </c>
      <c r="O57" s="87"/>
      <c r="P57" s="78">
        <f>INDEX(章节关卡!$G$6:$G$34,芦花古楼!M57)*芦花古楼!N57</f>
        <v>0</v>
      </c>
      <c r="Q57" s="22">
        <f t="shared" si="5"/>
        <v>60</v>
      </c>
      <c r="R57" s="22">
        <f t="shared" si="6"/>
        <v>70</v>
      </c>
      <c r="S57" s="14">
        <f>INDEX(章节关卡!$I$6:$I$34,芦花古楼!M57)*芦花古楼!N57</f>
        <v>0</v>
      </c>
      <c r="T57" s="14">
        <v>150</v>
      </c>
      <c r="W57" s="17">
        <v>53</v>
      </c>
      <c r="X57" s="46">
        <v>14</v>
      </c>
      <c r="Y57" s="123">
        <v>0</v>
      </c>
      <c r="Z57" s="87"/>
      <c r="AA57" s="87">
        <f>INDEX(章节关卡!$G$6:$G$34,芦花古楼!X57)*芦花古楼!Y57</f>
        <v>0</v>
      </c>
      <c r="AB57" s="22">
        <f t="shared" si="17"/>
        <v>65</v>
      </c>
      <c r="AC57" s="22">
        <f t="shared" si="18"/>
        <v>70</v>
      </c>
      <c r="AD57" s="14">
        <f>INDEX(章节关卡!$I$6:$I$34,芦花古楼!X57)*芦花古楼!Y57</f>
        <v>0</v>
      </c>
      <c r="AE57" s="14">
        <v>150</v>
      </c>
      <c r="AH57" s="17">
        <v>53</v>
      </c>
      <c r="AI57" s="46">
        <v>14</v>
      </c>
      <c r="AJ57" s="123">
        <v>0</v>
      </c>
      <c r="AK57" s="87"/>
      <c r="AL57" s="87">
        <f>INDEX(章节关卡!$G$6:$G$34,芦花古楼!AI57)*芦花古楼!AJ57</f>
        <v>0</v>
      </c>
      <c r="AM57" s="22">
        <f t="shared" si="7"/>
        <v>70</v>
      </c>
      <c r="AN57" s="22">
        <f t="shared" si="8"/>
        <v>70</v>
      </c>
      <c r="AO57" s="14">
        <f>INDEX(章节关卡!$I$6:$I$34,芦花古楼!AI57)*芦花古楼!AJ57</f>
        <v>0</v>
      </c>
      <c r="AP57" s="14">
        <v>150</v>
      </c>
      <c r="AS57" s="18">
        <v>52</v>
      </c>
      <c r="AT57" s="18">
        <v>15</v>
      </c>
      <c r="AV57" s="18">
        <v>52</v>
      </c>
      <c r="AW57" s="87">
        <v>17</v>
      </c>
      <c r="AY57" s="18">
        <v>52</v>
      </c>
      <c r="AZ57" s="18">
        <v>17</v>
      </c>
      <c r="BB57" s="18">
        <v>52</v>
      </c>
      <c r="BC57" s="18">
        <v>17</v>
      </c>
      <c r="BF57" s="18">
        <v>52</v>
      </c>
      <c r="BG57" s="14">
        <f t="shared" si="19"/>
        <v>0</v>
      </c>
      <c r="BH57" s="14">
        <f t="shared" si="20"/>
        <v>480</v>
      </c>
      <c r="BI57" s="14">
        <f t="shared" si="21"/>
        <v>0</v>
      </c>
      <c r="BJ57" s="14">
        <f t="shared" si="12"/>
        <v>1200</v>
      </c>
      <c r="BK57" s="14">
        <f t="shared" si="13"/>
        <v>480</v>
      </c>
      <c r="BL57" s="14">
        <f t="shared" si="14"/>
        <v>960</v>
      </c>
      <c r="CJ57" s="52">
        <v>53</v>
      </c>
      <c r="CK57" s="52">
        <v>1</v>
      </c>
      <c r="CL57" s="52" t="s">
        <v>244</v>
      </c>
      <c r="CM57" s="52">
        <v>53</v>
      </c>
      <c r="CN57" s="52"/>
      <c r="CO57" s="52"/>
      <c r="CP57" s="52"/>
      <c r="CQ57" s="52" t="s">
        <v>358</v>
      </c>
      <c r="CR57" s="52">
        <v>3600</v>
      </c>
      <c r="CS57" s="52" t="s">
        <v>359</v>
      </c>
      <c r="CT57" s="52">
        <v>55</v>
      </c>
      <c r="CU57" s="52"/>
      <c r="CV57" s="52"/>
      <c r="CW57" s="52" t="s">
        <v>359</v>
      </c>
      <c r="CX57" s="52">
        <v>70</v>
      </c>
      <c r="CY57" s="52"/>
      <c r="CZ57" s="52"/>
      <c r="DA57" s="52"/>
      <c r="DB57" s="52"/>
      <c r="DC57" s="52"/>
      <c r="DD57" s="52"/>
      <c r="DE57" s="52"/>
      <c r="DF57" s="52"/>
      <c r="DG57" s="52"/>
      <c r="DH57" s="52"/>
    </row>
    <row r="58" spans="1:112" ht="16.5" x14ac:dyDescent="0.2">
      <c r="A58" s="17">
        <v>54</v>
      </c>
      <c r="B58" s="78">
        <v>13</v>
      </c>
      <c r="C58" s="123">
        <v>0</v>
      </c>
      <c r="D58" s="87"/>
      <c r="E58" s="78">
        <f>INDEX(章节关卡!$G$6:$G$34,芦花古楼!B58)*芦花古楼!C58</f>
        <v>0</v>
      </c>
      <c r="F58" s="22">
        <f t="shared" si="15"/>
        <v>55</v>
      </c>
      <c r="G58" s="22">
        <f t="shared" si="16"/>
        <v>70</v>
      </c>
      <c r="H58" s="14">
        <f>INDEX(章节关卡!$I$6:$I$34,芦花古楼!B58)*芦花古楼!C58</f>
        <v>0</v>
      </c>
      <c r="I58" s="14">
        <v>150</v>
      </c>
      <c r="L58" s="17">
        <v>54</v>
      </c>
      <c r="M58" s="78">
        <f t="shared" si="4"/>
        <v>14</v>
      </c>
      <c r="N58" s="123">
        <v>0</v>
      </c>
      <c r="O58" s="87"/>
      <c r="P58" s="78">
        <f>INDEX(章节关卡!$G$6:$G$34,芦花古楼!M58)*芦花古楼!N58</f>
        <v>0</v>
      </c>
      <c r="Q58" s="22">
        <f t="shared" si="5"/>
        <v>60</v>
      </c>
      <c r="R58" s="22">
        <f t="shared" si="6"/>
        <v>70</v>
      </c>
      <c r="S58" s="14">
        <f>INDEX(章节关卡!$I$6:$I$34,芦花古楼!M58)*芦花古楼!N58</f>
        <v>0</v>
      </c>
      <c r="T58" s="14">
        <v>150</v>
      </c>
      <c r="W58" s="17">
        <v>54</v>
      </c>
      <c r="X58" s="46">
        <v>14</v>
      </c>
      <c r="Y58" s="123">
        <v>0</v>
      </c>
      <c r="Z58" s="87"/>
      <c r="AA58" s="87">
        <f>INDEX(章节关卡!$G$6:$G$34,芦花古楼!X58)*芦花古楼!Y58</f>
        <v>0</v>
      </c>
      <c r="AB58" s="22">
        <f t="shared" si="17"/>
        <v>65</v>
      </c>
      <c r="AC58" s="22">
        <f t="shared" si="18"/>
        <v>70</v>
      </c>
      <c r="AD58" s="14">
        <f>INDEX(章节关卡!$I$6:$I$34,芦花古楼!X58)*芦花古楼!Y58</f>
        <v>0</v>
      </c>
      <c r="AE58" s="14">
        <v>150</v>
      </c>
      <c r="AH58" s="17">
        <v>54</v>
      </c>
      <c r="AI58" s="46">
        <v>14</v>
      </c>
      <c r="AJ58" s="123">
        <v>0</v>
      </c>
      <c r="AK58" s="87"/>
      <c r="AL58" s="87">
        <f>INDEX(章节关卡!$G$6:$G$34,芦花古楼!AI58)*芦花古楼!AJ58</f>
        <v>0</v>
      </c>
      <c r="AM58" s="22">
        <f t="shared" si="7"/>
        <v>70</v>
      </c>
      <c r="AN58" s="22">
        <f t="shared" si="8"/>
        <v>70</v>
      </c>
      <c r="AO58" s="14">
        <f>INDEX(章节关卡!$I$6:$I$34,芦花古楼!AI58)*芦花古楼!AJ58</f>
        <v>0</v>
      </c>
      <c r="AP58" s="14">
        <v>150</v>
      </c>
      <c r="AS58" s="18">
        <v>53</v>
      </c>
      <c r="AT58" s="18">
        <v>15</v>
      </c>
      <c r="AV58" s="18">
        <v>53</v>
      </c>
      <c r="AW58" s="87">
        <v>18</v>
      </c>
      <c r="AY58" s="18">
        <v>53</v>
      </c>
      <c r="AZ58" s="18">
        <v>18</v>
      </c>
      <c r="BB58" s="18">
        <v>53</v>
      </c>
      <c r="BC58" s="18">
        <v>18</v>
      </c>
      <c r="BF58" s="18">
        <v>53</v>
      </c>
      <c r="BG58" s="14">
        <f t="shared" si="19"/>
        <v>0</v>
      </c>
      <c r="BH58" s="14">
        <f t="shared" si="20"/>
        <v>480</v>
      </c>
      <c r="BI58" s="14">
        <f t="shared" si="21"/>
        <v>0</v>
      </c>
      <c r="BJ58" s="14">
        <f t="shared" si="12"/>
        <v>1200</v>
      </c>
      <c r="BK58" s="14">
        <f t="shared" si="13"/>
        <v>480</v>
      </c>
      <c r="BL58" s="14">
        <f t="shared" si="14"/>
        <v>960</v>
      </c>
      <c r="CJ58" s="52">
        <v>54</v>
      </c>
      <c r="CK58" s="52">
        <v>1</v>
      </c>
      <c r="CL58" s="52" t="s">
        <v>244</v>
      </c>
      <c r="CM58" s="52">
        <v>54</v>
      </c>
      <c r="CN58" s="52"/>
      <c r="CO58" s="52"/>
      <c r="CP58" s="52"/>
      <c r="CQ58" s="52" t="s">
        <v>358</v>
      </c>
      <c r="CR58" s="52">
        <v>3600</v>
      </c>
      <c r="CS58" s="52" t="s">
        <v>359</v>
      </c>
      <c r="CT58" s="52">
        <v>55</v>
      </c>
      <c r="CU58" s="52"/>
      <c r="CV58" s="52"/>
      <c r="CW58" s="52" t="s">
        <v>359</v>
      </c>
      <c r="CX58" s="52">
        <v>70</v>
      </c>
      <c r="CY58" s="52"/>
      <c r="CZ58" s="52"/>
      <c r="DA58" s="52"/>
      <c r="DB58" s="52"/>
      <c r="DC58" s="52"/>
      <c r="DD58" s="52"/>
      <c r="DE58" s="52"/>
      <c r="DF58" s="52"/>
      <c r="DG58" s="52"/>
      <c r="DH58" s="52"/>
    </row>
    <row r="59" spans="1:112" ht="16.5" x14ac:dyDescent="0.2">
      <c r="A59" s="17">
        <v>55</v>
      </c>
      <c r="B59" s="78">
        <v>13</v>
      </c>
      <c r="C59" s="123">
        <v>0</v>
      </c>
      <c r="D59" s="87"/>
      <c r="E59" s="78">
        <f>INDEX(章节关卡!$G$6:$G$34,芦花古楼!B59)*芦花古楼!C59</f>
        <v>0</v>
      </c>
      <c r="F59" s="22">
        <f t="shared" si="15"/>
        <v>55</v>
      </c>
      <c r="G59" s="22">
        <f t="shared" si="16"/>
        <v>75</v>
      </c>
      <c r="H59" s="14">
        <f>INDEX(章节关卡!$I$6:$I$34,芦花古楼!B59)*芦花古楼!C59</f>
        <v>0</v>
      </c>
      <c r="I59" s="14">
        <v>150</v>
      </c>
      <c r="L59" s="17">
        <v>55</v>
      </c>
      <c r="M59" s="78">
        <f t="shared" si="4"/>
        <v>14</v>
      </c>
      <c r="N59" s="123">
        <v>0</v>
      </c>
      <c r="O59" s="87"/>
      <c r="P59" s="78">
        <f>INDEX(章节关卡!$G$6:$G$34,芦花古楼!M59)*芦花古楼!N59</f>
        <v>0</v>
      </c>
      <c r="Q59" s="22">
        <f t="shared" si="5"/>
        <v>60</v>
      </c>
      <c r="R59" s="22">
        <f t="shared" si="6"/>
        <v>75</v>
      </c>
      <c r="S59" s="14">
        <f>INDEX(章节关卡!$I$6:$I$34,芦花古楼!M59)*芦花古楼!N59</f>
        <v>0</v>
      </c>
      <c r="T59" s="14">
        <v>150</v>
      </c>
      <c r="W59" s="17">
        <v>55</v>
      </c>
      <c r="X59" s="46">
        <v>14</v>
      </c>
      <c r="Y59" s="123">
        <v>0</v>
      </c>
      <c r="Z59" s="87"/>
      <c r="AA59" s="87">
        <f>INDEX(章节关卡!$G$6:$G$34,芦花古楼!X59)*芦花古楼!Y59</f>
        <v>0</v>
      </c>
      <c r="AB59" s="22">
        <f t="shared" si="17"/>
        <v>65</v>
      </c>
      <c r="AC59" s="22">
        <f t="shared" si="18"/>
        <v>75</v>
      </c>
      <c r="AD59" s="14">
        <f>INDEX(章节关卡!$I$6:$I$34,芦花古楼!X59)*芦花古楼!Y59</f>
        <v>0</v>
      </c>
      <c r="AE59" s="14">
        <v>150</v>
      </c>
      <c r="AH59" s="17">
        <v>55</v>
      </c>
      <c r="AI59" s="46">
        <v>14</v>
      </c>
      <c r="AJ59" s="123">
        <v>0</v>
      </c>
      <c r="AK59" s="87"/>
      <c r="AL59" s="87">
        <f>INDEX(章节关卡!$G$6:$G$34,芦花古楼!AI59)*芦花古楼!AJ59</f>
        <v>0</v>
      </c>
      <c r="AM59" s="22">
        <f t="shared" si="7"/>
        <v>70</v>
      </c>
      <c r="AN59" s="22">
        <f t="shared" si="8"/>
        <v>75</v>
      </c>
      <c r="AO59" s="14">
        <f>INDEX(章节关卡!$I$6:$I$34,芦花古楼!AI59)*芦花古楼!AJ59</f>
        <v>0</v>
      </c>
      <c r="AP59" s="14">
        <v>150</v>
      </c>
      <c r="AS59" s="18">
        <v>54</v>
      </c>
      <c r="AT59" s="18">
        <v>15</v>
      </c>
      <c r="AV59" s="18">
        <v>54</v>
      </c>
      <c r="AW59" s="87">
        <v>18</v>
      </c>
      <c r="AY59" s="18">
        <v>54</v>
      </c>
      <c r="AZ59" s="18">
        <v>18</v>
      </c>
      <c r="BB59" s="18">
        <v>54</v>
      </c>
      <c r="BC59" s="18">
        <v>18</v>
      </c>
      <c r="BF59" s="18">
        <v>54</v>
      </c>
      <c r="BG59" s="14">
        <f t="shared" si="19"/>
        <v>0</v>
      </c>
      <c r="BH59" s="14">
        <f t="shared" si="20"/>
        <v>480</v>
      </c>
      <c r="BI59" s="14">
        <f t="shared" si="21"/>
        <v>0</v>
      </c>
      <c r="BJ59" s="14">
        <f t="shared" si="12"/>
        <v>1200</v>
      </c>
      <c r="BK59" s="14">
        <f t="shared" si="13"/>
        <v>480</v>
      </c>
      <c r="BL59" s="14">
        <f t="shared" si="14"/>
        <v>960</v>
      </c>
      <c r="CJ59" s="52">
        <v>55</v>
      </c>
      <c r="CK59" s="52">
        <v>1</v>
      </c>
      <c r="CL59" s="52" t="s">
        <v>244</v>
      </c>
      <c r="CM59" s="52">
        <v>55</v>
      </c>
      <c r="CN59" s="52"/>
      <c r="CO59" s="52"/>
      <c r="CP59" s="52"/>
      <c r="CQ59" s="52" t="s">
        <v>358</v>
      </c>
      <c r="CR59" s="52">
        <v>3600</v>
      </c>
      <c r="CS59" s="52" t="s">
        <v>359</v>
      </c>
      <c r="CT59" s="52">
        <v>55</v>
      </c>
      <c r="CU59" s="52" t="s">
        <v>360</v>
      </c>
      <c r="CV59" s="52">
        <v>2</v>
      </c>
      <c r="CW59" s="52" t="s">
        <v>359</v>
      </c>
      <c r="CX59" s="52">
        <v>75</v>
      </c>
      <c r="CY59" s="52"/>
      <c r="CZ59" s="52"/>
      <c r="DA59" s="52"/>
      <c r="DB59" s="52"/>
      <c r="DC59" s="52"/>
      <c r="DD59" s="52"/>
      <c r="DE59" s="52"/>
      <c r="DF59" s="52"/>
      <c r="DG59" s="52"/>
      <c r="DH59" s="52"/>
    </row>
    <row r="60" spans="1:112" ht="16.5" x14ac:dyDescent="0.2">
      <c r="A60" s="17">
        <v>56</v>
      </c>
      <c r="B60" s="46">
        <v>14</v>
      </c>
      <c r="C60" s="123">
        <v>0</v>
      </c>
      <c r="D60" s="87"/>
      <c r="E60" s="78">
        <f>INDEX(章节关卡!$G$6:$G$34,芦花古楼!B60)*芦花古楼!C60</f>
        <v>0</v>
      </c>
      <c r="F60" s="22">
        <f t="shared" si="15"/>
        <v>60</v>
      </c>
      <c r="G60" s="22">
        <f t="shared" si="16"/>
        <v>75</v>
      </c>
      <c r="H60" s="14">
        <f>INDEX(章节关卡!$I$6:$I$34,芦花古楼!B60)*芦花古楼!C60</f>
        <v>0</v>
      </c>
      <c r="I60" s="14">
        <v>150</v>
      </c>
      <c r="L60" s="17">
        <v>56</v>
      </c>
      <c r="M60" s="78">
        <f t="shared" si="4"/>
        <v>15</v>
      </c>
      <c r="N60" s="123">
        <v>0</v>
      </c>
      <c r="O60" s="87"/>
      <c r="P60" s="78">
        <f>INDEX(章节关卡!$G$6:$G$34,芦花古楼!M60)*芦花古楼!N60</f>
        <v>0</v>
      </c>
      <c r="Q60" s="22">
        <f t="shared" si="5"/>
        <v>65</v>
      </c>
      <c r="R60" s="22">
        <f t="shared" si="6"/>
        <v>75</v>
      </c>
      <c r="S60" s="14">
        <f>INDEX(章节关卡!$I$6:$I$34,芦花古楼!M60)*芦花古楼!N60</f>
        <v>0</v>
      </c>
      <c r="T60" s="14">
        <v>150</v>
      </c>
      <c r="W60" s="17">
        <v>56</v>
      </c>
      <c r="X60" s="46">
        <v>15</v>
      </c>
      <c r="Y60" s="123">
        <v>0</v>
      </c>
      <c r="Z60" s="87"/>
      <c r="AA60" s="87">
        <f>INDEX(章节关卡!$G$6:$G$34,芦花古楼!X60)*芦花古楼!Y60</f>
        <v>0</v>
      </c>
      <c r="AB60" s="22">
        <f t="shared" si="17"/>
        <v>70</v>
      </c>
      <c r="AC60" s="22">
        <f t="shared" si="18"/>
        <v>75</v>
      </c>
      <c r="AD60" s="14">
        <f>INDEX(章节关卡!$I$6:$I$34,芦花古楼!X60)*芦花古楼!Y60</f>
        <v>0</v>
      </c>
      <c r="AE60" s="14">
        <v>150</v>
      </c>
      <c r="AH60" s="17">
        <v>56</v>
      </c>
      <c r="AI60" s="46">
        <v>15</v>
      </c>
      <c r="AJ60" s="123">
        <v>0</v>
      </c>
      <c r="AK60" s="87"/>
      <c r="AL60" s="87">
        <f>INDEX(章节关卡!$G$6:$G$34,芦花古楼!AI60)*芦花古楼!AJ60</f>
        <v>0</v>
      </c>
      <c r="AM60" s="22">
        <f t="shared" si="7"/>
        <v>75</v>
      </c>
      <c r="AN60" s="22">
        <f t="shared" si="8"/>
        <v>75</v>
      </c>
      <c r="AO60" s="14">
        <f>INDEX(章节关卡!$I$6:$I$34,芦花古楼!AI60)*芦花古楼!AJ60</f>
        <v>0</v>
      </c>
      <c r="AP60" s="14">
        <v>150</v>
      </c>
      <c r="AS60" s="18">
        <v>55</v>
      </c>
      <c r="AT60" s="18">
        <v>16</v>
      </c>
      <c r="AV60" s="18">
        <v>55</v>
      </c>
      <c r="AW60" s="87">
        <v>19</v>
      </c>
      <c r="AY60" s="18">
        <v>55</v>
      </c>
      <c r="AZ60" s="18">
        <v>19</v>
      </c>
      <c r="BB60" s="18">
        <v>55</v>
      </c>
      <c r="BC60" s="18">
        <v>19</v>
      </c>
      <c r="BF60" s="18">
        <v>55</v>
      </c>
      <c r="BG60" s="14">
        <f t="shared" si="19"/>
        <v>0</v>
      </c>
      <c r="BH60" s="14">
        <f t="shared" si="20"/>
        <v>480</v>
      </c>
      <c r="BI60" s="14">
        <f t="shared" si="21"/>
        <v>0</v>
      </c>
      <c r="BJ60" s="14">
        <f t="shared" si="12"/>
        <v>1200</v>
      </c>
      <c r="BK60" s="14">
        <f t="shared" si="13"/>
        <v>480</v>
      </c>
      <c r="BL60" s="14">
        <f t="shared" si="14"/>
        <v>960</v>
      </c>
      <c r="CJ60" s="52">
        <v>56</v>
      </c>
      <c r="CK60" s="52">
        <v>1</v>
      </c>
      <c r="CL60" s="52" t="s">
        <v>244</v>
      </c>
      <c r="CM60" s="52">
        <v>56</v>
      </c>
      <c r="CN60" s="52"/>
      <c r="CO60" s="52"/>
      <c r="CP60" s="52"/>
      <c r="CQ60" s="52" t="s">
        <v>358</v>
      </c>
      <c r="CR60" s="52">
        <v>3600</v>
      </c>
      <c r="CS60" s="52" t="s">
        <v>359</v>
      </c>
      <c r="CT60" s="52">
        <v>60</v>
      </c>
      <c r="CU60" s="52"/>
      <c r="CV60" s="52"/>
      <c r="CW60" s="52" t="s">
        <v>359</v>
      </c>
      <c r="CX60" s="52">
        <v>75</v>
      </c>
      <c r="CY60" s="52"/>
      <c r="CZ60" s="52"/>
      <c r="DA60" s="52"/>
      <c r="DB60" s="52"/>
      <c r="DC60" s="52"/>
      <c r="DD60" s="52"/>
      <c r="DE60" s="52"/>
      <c r="DF60" s="52"/>
      <c r="DG60" s="52"/>
      <c r="DH60" s="52"/>
    </row>
    <row r="61" spans="1:112" ht="16.5" x14ac:dyDescent="0.2">
      <c r="A61" s="17">
        <v>57</v>
      </c>
      <c r="B61" s="78">
        <v>14</v>
      </c>
      <c r="C61" s="123">
        <v>0</v>
      </c>
      <c r="D61" s="87"/>
      <c r="E61" s="78">
        <f>INDEX(章节关卡!$G$6:$G$34,芦花古楼!B61)*芦花古楼!C61</f>
        <v>0</v>
      </c>
      <c r="F61" s="22">
        <f t="shared" si="15"/>
        <v>60</v>
      </c>
      <c r="G61" s="22">
        <f t="shared" si="16"/>
        <v>75</v>
      </c>
      <c r="H61" s="14">
        <f>INDEX(章节关卡!$I$6:$I$34,芦花古楼!B61)*芦花古楼!C61</f>
        <v>0</v>
      </c>
      <c r="I61" s="14">
        <v>150</v>
      </c>
      <c r="L61" s="17">
        <v>57</v>
      </c>
      <c r="M61" s="78">
        <f t="shared" si="4"/>
        <v>15</v>
      </c>
      <c r="N61" s="123">
        <v>0</v>
      </c>
      <c r="O61" s="87"/>
      <c r="P61" s="78">
        <f>INDEX(章节关卡!$G$6:$G$34,芦花古楼!M61)*芦花古楼!N61</f>
        <v>0</v>
      </c>
      <c r="Q61" s="22">
        <f t="shared" si="5"/>
        <v>65</v>
      </c>
      <c r="R61" s="22">
        <f t="shared" si="6"/>
        <v>75</v>
      </c>
      <c r="S61" s="14">
        <f>INDEX(章节关卡!$I$6:$I$34,芦花古楼!M61)*芦花古楼!N61</f>
        <v>0</v>
      </c>
      <c r="T61" s="14">
        <v>150</v>
      </c>
      <c r="W61" s="17">
        <v>57</v>
      </c>
      <c r="X61" s="46">
        <v>15</v>
      </c>
      <c r="Y61" s="123">
        <v>0</v>
      </c>
      <c r="Z61" s="87"/>
      <c r="AA61" s="87">
        <f>INDEX(章节关卡!$G$6:$G$34,芦花古楼!X61)*芦花古楼!Y61</f>
        <v>0</v>
      </c>
      <c r="AB61" s="22">
        <f t="shared" si="17"/>
        <v>70</v>
      </c>
      <c r="AC61" s="22">
        <f t="shared" si="18"/>
        <v>75</v>
      </c>
      <c r="AD61" s="14">
        <f>INDEX(章节关卡!$I$6:$I$34,芦花古楼!X61)*芦花古楼!Y61</f>
        <v>0</v>
      </c>
      <c r="AE61" s="14">
        <v>150</v>
      </c>
      <c r="AH61" s="17">
        <v>57</v>
      </c>
      <c r="AI61" s="46">
        <v>15</v>
      </c>
      <c r="AJ61" s="123">
        <v>0</v>
      </c>
      <c r="AK61" s="87"/>
      <c r="AL61" s="87">
        <f>INDEX(章节关卡!$G$6:$G$34,芦花古楼!AI61)*芦花古楼!AJ61</f>
        <v>0</v>
      </c>
      <c r="AM61" s="22">
        <f t="shared" si="7"/>
        <v>75</v>
      </c>
      <c r="AN61" s="22">
        <f t="shared" si="8"/>
        <v>75</v>
      </c>
      <c r="AO61" s="14">
        <f>INDEX(章节关卡!$I$6:$I$34,芦花古楼!AI61)*芦花古楼!AJ61</f>
        <v>0</v>
      </c>
      <c r="AP61" s="14">
        <v>150</v>
      </c>
      <c r="AS61" s="18">
        <v>56</v>
      </c>
      <c r="AT61" s="18">
        <v>16</v>
      </c>
      <c r="AV61" s="18">
        <v>56</v>
      </c>
      <c r="AW61" s="87">
        <v>19</v>
      </c>
      <c r="AY61" s="18">
        <v>56</v>
      </c>
      <c r="AZ61" s="18">
        <v>19</v>
      </c>
      <c r="BB61" s="18">
        <v>56</v>
      </c>
      <c r="BC61" s="18">
        <v>19</v>
      </c>
      <c r="BF61" s="18">
        <v>56</v>
      </c>
      <c r="BG61" s="14">
        <f t="shared" si="19"/>
        <v>0</v>
      </c>
      <c r="BH61" s="14">
        <f t="shared" si="20"/>
        <v>480</v>
      </c>
      <c r="BI61" s="14">
        <f t="shared" si="21"/>
        <v>0</v>
      </c>
      <c r="BJ61" s="14">
        <f t="shared" si="12"/>
        <v>1200</v>
      </c>
      <c r="BK61" s="14">
        <f t="shared" si="13"/>
        <v>480</v>
      </c>
      <c r="BL61" s="14">
        <f t="shared" si="14"/>
        <v>960</v>
      </c>
      <c r="CJ61" s="52">
        <v>57</v>
      </c>
      <c r="CK61" s="52">
        <v>1</v>
      </c>
      <c r="CL61" s="52" t="s">
        <v>244</v>
      </c>
      <c r="CM61" s="52">
        <v>57</v>
      </c>
      <c r="CN61" s="52"/>
      <c r="CO61" s="52"/>
      <c r="CP61" s="52"/>
      <c r="CQ61" s="52" t="s">
        <v>358</v>
      </c>
      <c r="CR61" s="52">
        <v>3600</v>
      </c>
      <c r="CS61" s="52" t="s">
        <v>359</v>
      </c>
      <c r="CT61" s="52">
        <v>60</v>
      </c>
      <c r="CU61" s="52"/>
      <c r="CV61" s="52"/>
      <c r="CW61" s="52" t="s">
        <v>359</v>
      </c>
      <c r="CX61" s="52">
        <v>75</v>
      </c>
      <c r="CY61" s="52"/>
      <c r="CZ61" s="52"/>
      <c r="DA61" s="52"/>
      <c r="DB61" s="52"/>
      <c r="DC61" s="52"/>
      <c r="DD61" s="52"/>
      <c r="DE61" s="52"/>
      <c r="DF61" s="52"/>
      <c r="DG61" s="52"/>
      <c r="DH61" s="52"/>
    </row>
    <row r="62" spans="1:112" ht="16.5" x14ac:dyDescent="0.2">
      <c r="A62" s="17">
        <v>58</v>
      </c>
      <c r="B62" s="78">
        <v>14</v>
      </c>
      <c r="C62" s="123">
        <v>0</v>
      </c>
      <c r="D62" s="87"/>
      <c r="E62" s="78">
        <f>INDEX(章节关卡!$G$6:$G$34,芦花古楼!B62)*芦花古楼!C62</f>
        <v>0</v>
      </c>
      <c r="F62" s="22">
        <f t="shared" si="15"/>
        <v>60</v>
      </c>
      <c r="G62" s="22">
        <f t="shared" si="16"/>
        <v>75</v>
      </c>
      <c r="H62" s="14">
        <f>INDEX(章节关卡!$I$6:$I$34,芦花古楼!B62)*芦花古楼!C62</f>
        <v>0</v>
      </c>
      <c r="I62" s="14">
        <v>150</v>
      </c>
      <c r="L62" s="17">
        <v>58</v>
      </c>
      <c r="M62" s="78">
        <f t="shared" si="4"/>
        <v>15</v>
      </c>
      <c r="N62" s="123">
        <v>0</v>
      </c>
      <c r="O62" s="87"/>
      <c r="P62" s="78">
        <f>INDEX(章节关卡!$G$6:$G$34,芦花古楼!M62)*芦花古楼!N62</f>
        <v>0</v>
      </c>
      <c r="Q62" s="22">
        <f t="shared" si="5"/>
        <v>65</v>
      </c>
      <c r="R62" s="22">
        <f t="shared" si="6"/>
        <v>75</v>
      </c>
      <c r="S62" s="14">
        <f>INDEX(章节关卡!$I$6:$I$34,芦花古楼!M62)*芦花古楼!N62</f>
        <v>0</v>
      </c>
      <c r="T62" s="14">
        <v>150</v>
      </c>
      <c r="W62" s="17">
        <v>58</v>
      </c>
      <c r="X62" s="46">
        <v>15</v>
      </c>
      <c r="Y62" s="123">
        <v>0</v>
      </c>
      <c r="Z62" s="87"/>
      <c r="AA62" s="87">
        <f>INDEX(章节关卡!$G$6:$G$34,芦花古楼!X62)*芦花古楼!Y62</f>
        <v>0</v>
      </c>
      <c r="AB62" s="22">
        <f t="shared" si="17"/>
        <v>70</v>
      </c>
      <c r="AC62" s="22">
        <f t="shared" si="18"/>
        <v>75</v>
      </c>
      <c r="AD62" s="14">
        <f>INDEX(章节关卡!$I$6:$I$34,芦花古楼!X62)*芦花古楼!Y62</f>
        <v>0</v>
      </c>
      <c r="AE62" s="14">
        <v>150</v>
      </c>
      <c r="AH62" s="17">
        <v>58</v>
      </c>
      <c r="AI62" s="46">
        <v>15</v>
      </c>
      <c r="AJ62" s="123">
        <v>0</v>
      </c>
      <c r="AK62" s="87"/>
      <c r="AL62" s="87">
        <f>INDEX(章节关卡!$G$6:$G$34,芦花古楼!AI62)*芦花古楼!AJ62</f>
        <v>0</v>
      </c>
      <c r="AM62" s="22">
        <f t="shared" si="7"/>
        <v>75</v>
      </c>
      <c r="AN62" s="22">
        <f t="shared" si="8"/>
        <v>75</v>
      </c>
      <c r="AO62" s="14">
        <f>INDEX(章节关卡!$I$6:$I$34,芦花古楼!AI62)*芦花古楼!AJ62</f>
        <v>0</v>
      </c>
      <c r="AP62" s="14">
        <v>150</v>
      </c>
      <c r="AS62" s="18">
        <v>57</v>
      </c>
      <c r="AT62" s="87">
        <v>17</v>
      </c>
      <c r="AV62" s="18">
        <v>57</v>
      </c>
      <c r="AW62" s="87">
        <v>20</v>
      </c>
      <c r="AY62" s="18">
        <v>57</v>
      </c>
      <c r="AZ62" s="18">
        <v>20</v>
      </c>
      <c r="BB62" s="18">
        <v>57</v>
      </c>
      <c r="BC62" s="18">
        <v>20</v>
      </c>
      <c r="BF62" s="18">
        <v>57</v>
      </c>
      <c r="BG62" s="14">
        <f t="shared" si="19"/>
        <v>0</v>
      </c>
      <c r="BH62" s="14">
        <f t="shared" si="20"/>
        <v>480</v>
      </c>
      <c r="BI62" s="14">
        <f t="shared" si="21"/>
        <v>0</v>
      </c>
      <c r="BJ62" s="14">
        <f t="shared" si="12"/>
        <v>1200</v>
      </c>
      <c r="BK62" s="14">
        <f t="shared" si="13"/>
        <v>480</v>
      </c>
      <c r="BL62" s="14">
        <f t="shared" si="14"/>
        <v>960</v>
      </c>
      <c r="CJ62" s="52">
        <v>58</v>
      </c>
      <c r="CK62" s="52">
        <v>1</v>
      </c>
      <c r="CL62" s="52" t="s">
        <v>244</v>
      </c>
      <c r="CM62" s="52">
        <v>58</v>
      </c>
      <c r="CN62" s="52"/>
      <c r="CO62" s="52"/>
      <c r="CP62" s="52"/>
      <c r="CQ62" s="52" t="s">
        <v>358</v>
      </c>
      <c r="CR62" s="52">
        <v>3600</v>
      </c>
      <c r="CS62" s="52" t="s">
        <v>359</v>
      </c>
      <c r="CT62" s="52">
        <v>60</v>
      </c>
      <c r="CU62" s="52"/>
      <c r="CV62" s="52"/>
      <c r="CW62" s="52" t="s">
        <v>359</v>
      </c>
      <c r="CX62" s="52">
        <v>75</v>
      </c>
      <c r="CY62" s="52"/>
      <c r="CZ62" s="52"/>
      <c r="DA62" s="52"/>
      <c r="DB62" s="52"/>
      <c r="DC62" s="52"/>
      <c r="DD62" s="52"/>
      <c r="DE62" s="52"/>
      <c r="DF62" s="52"/>
      <c r="DG62" s="52"/>
      <c r="DH62" s="52"/>
    </row>
    <row r="63" spans="1:112" ht="16.5" x14ac:dyDescent="0.2">
      <c r="A63" s="17">
        <v>59</v>
      </c>
      <c r="B63" s="78">
        <v>14</v>
      </c>
      <c r="C63" s="123">
        <v>0</v>
      </c>
      <c r="D63" s="87"/>
      <c r="E63" s="78">
        <f>INDEX(章节关卡!$G$6:$G$34,芦花古楼!B63)*芦花古楼!C63</f>
        <v>0</v>
      </c>
      <c r="F63" s="22">
        <f t="shared" si="15"/>
        <v>60</v>
      </c>
      <c r="G63" s="22">
        <f t="shared" si="16"/>
        <v>75</v>
      </c>
      <c r="H63" s="14">
        <f>INDEX(章节关卡!$I$6:$I$34,芦花古楼!B63)*芦花古楼!C63</f>
        <v>0</v>
      </c>
      <c r="I63" s="14">
        <v>150</v>
      </c>
      <c r="L63" s="17">
        <v>59</v>
      </c>
      <c r="M63" s="78">
        <f t="shared" si="4"/>
        <v>15</v>
      </c>
      <c r="N63" s="123">
        <v>0</v>
      </c>
      <c r="O63" s="87"/>
      <c r="P63" s="78">
        <f>INDEX(章节关卡!$G$6:$G$34,芦花古楼!M63)*芦花古楼!N63</f>
        <v>0</v>
      </c>
      <c r="Q63" s="22">
        <f t="shared" si="5"/>
        <v>65</v>
      </c>
      <c r="R63" s="22">
        <f t="shared" si="6"/>
        <v>75</v>
      </c>
      <c r="S63" s="14">
        <f>INDEX(章节关卡!$I$6:$I$34,芦花古楼!M63)*芦花古楼!N63</f>
        <v>0</v>
      </c>
      <c r="T63" s="14">
        <v>150</v>
      </c>
      <c r="W63" s="17">
        <v>59</v>
      </c>
      <c r="X63" s="46">
        <v>15</v>
      </c>
      <c r="Y63" s="123">
        <v>0</v>
      </c>
      <c r="Z63" s="87"/>
      <c r="AA63" s="87">
        <f>INDEX(章节关卡!$G$6:$G$34,芦花古楼!X63)*芦花古楼!Y63</f>
        <v>0</v>
      </c>
      <c r="AB63" s="22">
        <f t="shared" si="17"/>
        <v>70</v>
      </c>
      <c r="AC63" s="22">
        <f t="shared" si="18"/>
        <v>75</v>
      </c>
      <c r="AD63" s="14">
        <f>INDEX(章节关卡!$I$6:$I$34,芦花古楼!X63)*芦花古楼!Y63</f>
        <v>0</v>
      </c>
      <c r="AE63" s="14">
        <v>150</v>
      </c>
      <c r="AH63" s="17">
        <v>59</v>
      </c>
      <c r="AI63" s="46">
        <v>15</v>
      </c>
      <c r="AJ63" s="123">
        <v>0</v>
      </c>
      <c r="AK63" s="87"/>
      <c r="AL63" s="87">
        <f>INDEX(章节关卡!$G$6:$G$34,芦花古楼!AI63)*芦花古楼!AJ63</f>
        <v>0</v>
      </c>
      <c r="AM63" s="22">
        <f t="shared" si="7"/>
        <v>75</v>
      </c>
      <c r="AN63" s="22">
        <f t="shared" si="8"/>
        <v>75</v>
      </c>
      <c r="AO63" s="14">
        <f>INDEX(章节关卡!$I$6:$I$34,芦花古楼!AI63)*芦花古楼!AJ63</f>
        <v>0</v>
      </c>
      <c r="AP63" s="14">
        <v>150</v>
      </c>
      <c r="AS63" s="18">
        <v>58</v>
      </c>
      <c r="AT63" s="18">
        <v>17</v>
      </c>
      <c r="AV63" s="18">
        <v>58</v>
      </c>
      <c r="AW63" s="87">
        <v>20</v>
      </c>
      <c r="AY63" s="18">
        <v>58</v>
      </c>
      <c r="AZ63" s="18">
        <v>20</v>
      </c>
      <c r="BB63" s="18">
        <v>58</v>
      </c>
      <c r="BC63" s="18">
        <v>20</v>
      </c>
      <c r="BF63" s="18">
        <v>58</v>
      </c>
      <c r="BG63" s="14">
        <f t="shared" si="19"/>
        <v>0</v>
      </c>
      <c r="BH63" s="14">
        <f t="shared" si="20"/>
        <v>480</v>
      </c>
      <c r="BI63" s="14">
        <f t="shared" si="21"/>
        <v>0</v>
      </c>
      <c r="BJ63" s="14">
        <f t="shared" si="12"/>
        <v>1200</v>
      </c>
      <c r="BK63" s="14">
        <f t="shared" si="13"/>
        <v>480</v>
      </c>
      <c r="BL63" s="14">
        <f t="shared" si="14"/>
        <v>960</v>
      </c>
      <c r="CJ63" s="52">
        <v>59</v>
      </c>
      <c r="CK63" s="52">
        <v>1</v>
      </c>
      <c r="CL63" s="52" t="s">
        <v>244</v>
      </c>
      <c r="CM63" s="52">
        <v>59</v>
      </c>
      <c r="CN63" s="52"/>
      <c r="CO63" s="52"/>
      <c r="CP63" s="52"/>
      <c r="CQ63" s="52" t="s">
        <v>358</v>
      </c>
      <c r="CR63" s="52">
        <v>3600</v>
      </c>
      <c r="CS63" s="52" t="s">
        <v>359</v>
      </c>
      <c r="CT63" s="52">
        <v>60</v>
      </c>
      <c r="CU63" s="52"/>
      <c r="CV63" s="52"/>
      <c r="CW63" s="52" t="s">
        <v>359</v>
      </c>
      <c r="CX63" s="52">
        <v>75</v>
      </c>
      <c r="CY63" s="52"/>
      <c r="CZ63" s="52"/>
      <c r="DA63" s="52"/>
      <c r="DB63" s="52"/>
      <c r="DC63" s="52"/>
      <c r="DD63" s="52"/>
      <c r="DE63" s="52"/>
      <c r="DF63" s="52"/>
      <c r="DG63" s="52"/>
      <c r="DH63" s="52"/>
    </row>
    <row r="64" spans="1:112" ht="16.5" x14ac:dyDescent="0.2">
      <c r="A64" s="17">
        <v>60</v>
      </c>
      <c r="B64" s="78">
        <v>14</v>
      </c>
      <c r="C64" s="123">
        <v>0</v>
      </c>
      <c r="D64" s="87"/>
      <c r="E64" s="78">
        <f>INDEX(章节关卡!$G$6:$G$34,芦花古楼!B64)*芦花古楼!C64</f>
        <v>0</v>
      </c>
      <c r="F64" s="22">
        <f t="shared" si="15"/>
        <v>60</v>
      </c>
      <c r="G64" s="22">
        <f t="shared" si="16"/>
        <v>80</v>
      </c>
      <c r="H64" s="14">
        <f>INDEX(章节关卡!$I$6:$I$34,芦花古楼!B64)*芦花古楼!C64</f>
        <v>0</v>
      </c>
      <c r="I64" s="14">
        <v>200</v>
      </c>
      <c r="L64" s="17">
        <v>60</v>
      </c>
      <c r="M64" s="78">
        <f t="shared" si="4"/>
        <v>15</v>
      </c>
      <c r="N64" s="123">
        <v>0</v>
      </c>
      <c r="O64" s="87"/>
      <c r="P64" s="78">
        <f>INDEX(章节关卡!$G$6:$G$34,芦花古楼!M64)*芦花古楼!N64</f>
        <v>0</v>
      </c>
      <c r="Q64" s="22">
        <f t="shared" si="5"/>
        <v>65</v>
      </c>
      <c r="R64" s="22">
        <f t="shared" si="6"/>
        <v>80</v>
      </c>
      <c r="S64" s="14">
        <f>INDEX(章节关卡!$I$6:$I$34,芦花古楼!M64)*芦花古楼!N64</f>
        <v>0</v>
      </c>
      <c r="T64" s="14">
        <v>200</v>
      </c>
      <c r="W64" s="17">
        <v>60</v>
      </c>
      <c r="X64" s="24">
        <v>15</v>
      </c>
      <c r="Y64" s="123">
        <v>0</v>
      </c>
      <c r="Z64" s="87"/>
      <c r="AA64" s="87">
        <f>INDEX(章节关卡!$G$6:$G$34,芦花古楼!X64)*芦花古楼!Y64</f>
        <v>0</v>
      </c>
      <c r="AB64" s="22">
        <f t="shared" si="17"/>
        <v>70</v>
      </c>
      <c r="AC64" s="22">
        <f t="shared" si="18"/>
        <v>80</v>
      </c>
      <c r="AD64" s="14">
        <f>INDEX(章节关卡!$I$6:$I$34,芦花古楼!X64)*芦花古楼!Y64</f>
        <v>0</v>
      </c>
      <c r="AE64" s="14">
        <v>200</v>
      </c>
      <c r="AH64" s="17">
        <v>60</v>
      </c>
      <c r="AI64" s="46">
        <v>15</v>
      </c>
      <c r="AJ64" s="123">
        <v>0</v>
      </c>
      <c r="AK64" s="87"/>
      <c r="AL64" s="87">
        <f>INDEX(章节关卡!$G$6:$G$34,芦花古楼!AI64)*芦花古楼!AJ64</f>
        <v>0</v>
      </c>
      <c r="AM64" s="22">
        <f t="shared" si="7"/>
        <v>75</v>
      </c>
      <c r="AN64" s="22">
        <f t="shared" si="8"/>
        <v>80</v>
      </c>
      <c r="AO64" s="14">
        <f>INDEX(章节关卡!$I$6:$I$34,芦花古楼!AI64)*芦花古楼!AJ64</f>
        <v>0</v>
      </c>
      <c r="AP64" s="14">
        <v>200</v>
      </c>
      <c r="AS64" s="18">
        <v>59</v>
      </c>
      <c r="AT64" s="87">
        <v>18</v>
      </c>
      <c r="AV64" s="18">
        <v>59</v>
      </c>
      <c r="AW64" s="87">
        <v>21</v>
      </c>
      <c r="AY64" s="18">
        <v>59</v>
      </c>
      <c r="AZ64" s="18">
        <v>21</v>
      </c>
      <c r="BB64" s="18">
        <v>59</v>
      </c>
      <c r="BC64" s="18">
        <v>21</v>
      </c>
      <c r="BF64" s="18">
        <v>59</v>
      </c>
      <c r="BG64" s="14">
        <f t="shared" si="19"/>
        <v>0</v>
      </c>
      <c r="BH64" s="14">
        <f t="shared" si="20"/>
        <v>480</v>
      </c>
      <c r="BI64" s="14">
        <f t="shared" si="21"/>
        <v>0</v>
      </c>
      <c r="BJ64" s="14">
        <f t="shared" si="12"/>
        <v>1200</v>
      </c>
      <c r="BK64" s="14">
        <f t="shared" si="13"/>
        <v>480</v>
      </c>
      <c r="BL64" s="14">
        <f t="shared" si="14"/>
        <v>960</v>
      </c>
      <c r="CJ64" s="52">
        <v>60</v>
      </c>
      <c r="CK64" s="52">
        <v>1</v>
      </c>
      <c r="CL64" s="52" t="s">
        <v>244</v>
      </c>
      <c r="CM64" s="52">
        <v>60</v>
      </c>
      <c r="CN64" s="52"/>
      <c r="CO64" s="52"/>
      <c r="CP64" s="52"/>
      <c r="CQ64" s="52" t="s">
        <v>358</v>
      </c>
      <c r="CR64" s="52">
        <v>3600</v>
      </c>
      <c r="CS64" s="52" t="s">
        <v>359</v>
      </c>
      <c r="CT64" s="52">
        <v>60</v>
      </c>
      <c r="CU64" s="52" t="s">
        <v>259</v>
      </c>
      <c r="CV64" s="52">
        <v>2</v>
      </c>
      <c r="CW64" s="52" t="s">
        <v>359</v>
      </c>
      <c r="CX64" s="52">
        <v>80</v>
      </c>
      <c r="CY64" s="52"/>
      <c r="CZ64" s="52"/>
      <c r="DA64" s="52"/>
      <c r="DB64" s="52"/>
      <c r="DC64" s="52"/>
      <c r="DD64" s="52"/>
      <c r="DE64" s="52"/>
      <c r="DF64" s="52"/>
      <c r="DG64" s="52"/>
      <c r="DH64" s="52"/>
    </row>
    <row r="65" spans="1:112" ht="16.5" x14ac:dyDescent="0.2">
      <c r="A65" s="17">
        <v>61</v>
      </c>
      <c r="B65" s="46">
        <v>15</v>
      </c>
      <c r="C65" s="123">
        <v>0</v>
      </c>
      <c r="D65" s="87"/>
      <c r="E65" s="78">
        <f>INDEX(章节关卡!$G$6:$G$34,芦花古楼!B65)*芦花古楼!C65</f>
        <v>0</v>
      </c>
      <c r="F65" s="22">
        <f t="shared" si="15"/>
        <v>65</v>
      </c>
      <c r="G65" s="22">
        <f t="shared" si="16"/>
        <v>80</v>
      </c>
      <c r="H65" s="14">
        <f>INDEX(章节关卡!$I$6:$I$34,芦花古楼!B65)*芦花古楼!C65</f>
        <v>0</v>
      </c>
      <c r="I65" s="14">
        <v>200</v>
      </c>
      <c r="L65" s="17">
        <v>61</v>
      </c>
      <c r="M65" s="78">
        <f t="shared" si="4"/>
        <v>16</v>
      </c>
      <c r="N65" s="123">
        <v>0</v>
      </c>
      <c r="O65" s="87"/>
      <c r="P65" s="78">
        <f>INDEX(章节关卡!$G$6:$G$34,芦花古楼!M65)*芦花古楼!N65</f>
        <v>0</v>
      </c>
      <c r="Q65" s="22">
        <f t="shared" si="5"/>
        <v>70</v>
      </c>
      <c r="R65" s="22">
        <f t="shared" si="6"/>
        <v>80</v>
      </c>
      <c r="S65" s="14">
        <f>INDEX(章节关卡!$I$6:$I$34,芦花古楼!M65)*芦花古楼!N65</f>
        <v>0</v>
      </c>
      <c r="T65" s="14">
        <v>200</v>
      </c>
      <c r="W65" s="17">
        <v>61</v>
      </c>
      <c r="X65" s="24">
        <v>16</v>
      </c>
      <c r="Y65" s="123">
        <v>0</v>
      </c>
      <c r="Z65" s="87"/>
      <c r="AA65" s="87">
        <f>INDEX(章节关卡!$G$6:$G$34,芦花古楼!X65)*芦花古楼!Y65</f>
        <v>0</v>
      </c>
      <c r="AB65" s="22">
        <f t="shared" si="17"/>
        <v>75</v>
      </c>
      <c r="AC65" s="22">
        <f t="shared" si="18"/>
        <v>80</v>
      </c>
      <c r="AD65" s="14">
        <f>INDEX(章节关卡!$I$6:$I$34,芦花古楼!X65)*芦花古楼!Y65</f>
        <v>0</v>
      </c>
      <c r="AE65" s="14">
        <v>200</v>
      </c>
      <c r="AH65" s="17">
        <v>61</v>
      </c>
      <c r="AI65" s="46">
        <v>16</v>
      </c>
      <c r="AJ65" s="123">
        <v>0</v>
      </c>
      <c r="AK65" s="87"/>
      <c r="AL65" s="87">
        <f>INDEX(章节关卡!$G$6:$G$34,芦花古楼!AI65)*芦花古楼!AJ65</f>
        <v>0</v>
      </c>
      <c r="AM65" s="22">
        <f t="shared" si="7"/>
        <v>80</v>
      </c>
      <c r="AN65" s="22">
        <f t="shared" si="8"/>
        <v>80</v>
      </c>
      <c r="AO65" s="14">
        <f>INDEX(章节关卡!$I$6:$I$34,芦花古楼!AI65)*芦花古楼!AJ65</f>
        <v>0</v>
      </c>
      <c r="AP65" s="14">
        <v>200</v>
      </c>
      <c r="AS65" s="18">
        <v>60</v>
      </c>
      <c r="AT65" s="87">
        <v>18</v>
      </c>
      <c r="AV65" s="18">
        <v>60</v>
      </c>
      <c r="AW65" s="87">
        <v>21</v>
      </c>
      <c r="AY65" s="18">
        <v>60</v>
      </c>
      <c r="AZ65" s="18">
        <v>21</v>
      </c>
      <c r="BB65" s="18">
        <v>60</v>
      </c>
      <c r="BC65" s="18">
        <v>21</v>
      </c>
      <c r="BF65" s="18">
        <v>60</v>
      </c>
      <c r="BG65" s="14">
        <f t="shared" si="19"/>
        <v>0</v>
      </c>
      <c r="BH65" s="14">
        <f t="shared" si="20"/>
        <v>480</v>
      </c>
      <c r="BI65" s="14">
        <f t="shared" si="21"/>
        <v>0</v>
      </c>
      <c r="BJ65" s="14">
        <f t="shared" si="12"/>
        <v>1200</v>
      </c>
      <c r="BK65" s="14">
        <f t="shared" si="13"/>
        <v>480</v>
      </c>
      <c r="BL65" s="14">
        <f t="shared" si="14"/>
        <v>960</v>
      </c>
      <c r="CJ65" s="52">
        <v>61</v>
      </c>
      <c r="CK65" s="52">
        <v>1</v>
      </c>
      <c r="CL65" s="52" t="s">
        <v>244</v>
      </c>
      <c r="CM65" s="52">
        <v>61</v>
      </c>
      <c r="CN65" s="52"/>
      <c r="CO65" s="52"/>
      <c r="CP65" s="52"/>
      <c r="CQ65" s="52" t="s">
        <v>358</v>
      </c>
      <c r="CR65" s="52">
        <v>3600</v>
      </c>
      <c r="CS65" s="52" t="s">
        <v>359</v>
      </c>
      <c r="CT65" s="52">
        <v>65</v>
      </c>
      <c r="CU65" s="52"/>
      <c r="CV65" s="52"/>
      <c r="CW65" s="52" t="s">
        <v>359</v>
      </c>
      <c r="CX65" s="52">
        <v>80</v>
      </c>
      <c r="CY65" s="52"/>
      <c r="CZ65" s="52"/>
      <c r="DA65" s="52"/>
      <c r="DB65" s="52"/>
      <c r="DC65" s="52"/>
      <c r="DD65" s="52"/>
      <c r="DE65" s="52"/>
      <c r="DF65" s="52"/>
      <c r="DG65" s="52"/>
      <c r="DH65" s="52"/>
    </row>
    <row r="66" spans="1:112" ht="16.5" x14ac:dyDescent="0.2">
      <c r="A66" s="17">
        <v>62</v>
      </c>
      <c r="B66" s="78">
        <v>15</v>
      </c>
      <c r="C66" s="123">
        <v>0</v>
      </c>
      <c r="D66" s="87"/>
      <c r="E66" s="78">
        <f>INDEX(章节关卡!$G$6:$G$34,芦花古楼!B66)*芦花古楼!C66</f>
        <v>0</v>
      </c>
      <c r="F66" s="22">
        <f t="shared" si="15"/>
        <v>65</v>
      </c>
      <c r="G66" s="22">
        <f t="shared" si="16"/>
        <v>80</v>
      </c>
      <c r="H66" s="14">
        <f>INDEX(章节关卡!$I$6:$I$34,芦花古楼!B66)*芦花古楼!C66</f>
        <v>0</v>
      </c>
      <c r="I66" s="14">
        <v>200</v>
      </c>
      <c r="L66" s="17">
        <v>62</v>
      </c>
      <c r="M66" s="78">
        <f t="shared" si="4"/>
        <v>16</v>
      </c>
      <c r="N66" s="123">
        <v>0</v>
      </c>
      <c r="O66" s="87"/>
      <c r="P66" s="78">
        <f>INDEX(章节关卡!$G$6:$G$34,芦花古楼!M66)*芦花古楼!N66</f>
        <v>0</v>
      </c>
      <c r="Q66" s="22">
        <f t="shared" si="5"/>
        <v>70</v>
      </c>
      <c r="R66" s="22">
        <f t="shared" si="6"/>
        <v>80</v>
      </c>
      <c r="S66" s="14">
        <f>INDEX(章节关卡!$I$6:$I$34,芦花古楼!M66)*芦花古楼!N66</f>
        <v>0</v>
      </c>
      <c r="T66" s="14">
        <v>200</v>
      </c>
      <c r="W66" s="17">
        <v>62</v>
      </c>
      <c r="X66" s="24">
        <v>16</v>
      </c>
      <c r="Y66" s="123">
        <v>0</v>
      </c>
      <c r="Z66" s="87"/>
      <c r="AA66" s="87">
        <f>INDEX(章节关卡!$G$6:$G$34,芦花古楼!X66)*芦花古楼!Y66</f>
        <v>0</v>
      </c>
      <c r="AB66" s="22">
        <f t="shared" si="17"/>
        <v>75</v>
      </c>
      <c r="AC66" s="22">
        <f t="shared" si="18"/>
        <v>80</v>
      </c>
      <c r="AD66" s="14">
        <f>INDEX(章节关卡!$I$6:$I$34,芦花古楼!X66)*芦花古楼!Y66</f>
        <v>0</v>
      </c>
      <c r="AE66" s="14">
        <v>200</v>
      </c>
      <c r="AH66" s="17">
        <v>62</v>
      </c>
      <c r="AI66" s="46">
        <v>16</v>
      </c>
      <c r="AJ66" s="123">
        <v>0</v>
      </c>
      <c r="AK66" s="87"/>
      <c r="AL66" s="87">
        <f>INDEX(章节关卡!$G$6:$G$34,芦花古楼!AI66)*芦花古楼!AJ66</f>
        <v>0</v>
      </c>
      <c r="AM66" s="22">
        <f t="shared" si="7"/>
        <v>80</v>
      </c>
      <c r="AN66" s="22">
        <f t="shared" si="8"/>
        <v>80</v>
      </c>
      <c r="AO66" s="14">
        <f>INDEX(章节关卡!$I$6:$I$34,芦花古楼!AI66)*芦花古楼!AJ66</f>
        <v>0</v>
      </c>
      <c r="AP66" s="14">
        <v>200</v>
      </c>
      <c r="AS66" s="18">
        <v>61</v>
      </c>
      <c r="AT66" s="18">
        <v>19</v>
      </c>
      <c r="AV66" s="18">
        <v>61</v>
      </c>
      <c r="AW66" s="87">
        <v>22</v>
      </c>
      <c r="AY66" s="18">
        <v>61</v>
      </c>
      <c r="AZ66" s="18">
        <v>22</v>
      </c>
      <c r="BB66" s="18">
        <v>61</v>
      </c>
      <c r="BC66" s="18">
        <v>22</v>
      </c>
      <c r="BF66" s="18">
        <v>61</v>
      </c>
      <c r="BG66" s="14">
        <f t="shared" si="19"/>
        <v>0</v>
      </c>
      <c r="BH66" s="14">
        <f t="shared" si="20"/>
        <v>480</v>
      </c>
      <c r="BI66" s="14">
        <f t="shared" si="21"/>
        <v>0</v>
      </c>
      <c r="BJ66" s="14">
        <f t="shared" si="12"/>
        <v>1200</v>
      </c>
      <c r="BK66" s="14">
        <f t="shared" si="13"/>
        <v>480</v>
      </c>
      <c r="BL66" s="14">
        <f t="shared" si="14"/>
        <v>960</v>
      </c>
      <c r="CJ66" s="52">
        <v>62</v>
      </c>
      <c r="CK66" s="52">
        <v>1</v>
      </c>
      <c r="CL66" s="52" t="s">
        <v>244</v>
      </c>
      <c r="CM66" s="52">
        <v>62</v>
      </c>
      <c r="CN66" s="52"/>
      <c r="CO66" s="52"/>
      <c r="CP66" s="52"/>
      <c r="CQ66" s="52" t="s">
        <v>358</v>
      </c>
      <c r="CR66" s="52">
        <v>3600</v>
      </c>
      <c r="CS66" s="52" t="s">
        <v>359</v>
      </c>
      <c r="CT66" s="52">
        <v>65</v>
      </c>
      <c r="CU66" s="52"/>
      <c r="CV66" s="52"/>
      <c r="CW66" s="52" t="s">
        <v>359</v>
      </c>
      <c r="CX66" s="52">
        <v>80</v>
      </c>
      <c r="CY66" s="52"/>
      <c r="CZ66" s="52"/>
      <c r="DA66" s="52"/>
      <c r="DB66" s="52"/>
      <c r="DC66" s="52"/>
      <c r="DD66" s="52"/>
      <c r="DE66" s="52"/>
      <c r="DF66" s="52"/>
      <c r="DG66" s="52"/>
      <c r="DH66" s="52"/>
    </row>
    <row r="67" spans="1:112" ht="16.5" x14ac:dyDescent="0.2">
      <c r="A67" s="17">
        <v>63</v>
      </c>
      <c r="B67" s="78">
        <v>15</v>
      </c>
      <c r="C67" s="123">
        <v>0</v>
      </c>
      <c r="D67" s="87"/>
      <c r="E67" s="78">
        <f>INDEX(章节关卡!$G$6:$G$34,芦花古楼!B67)*芦花古楼!C67</f>
        <v>0</v>
      </c>
      <c r="F67" s="22">
        <f t="shared" si="15"/>
        <v>65</v>
      </c>
      <c r="G67" s="22">
        <f t="shared" si="16"/>
        <v>80</v>
      </c>
      <c r="H67" s="14">
        <f>INDEX(章节关卡!$I$6:$I$34,芦花古楼!B67)*芦花古楼!C67</f>
        <v>0</v>
      </c>
      <c r="I67" s="14">
        <v>200</v>
      </c>
      <c r="L67" s="17">
        <v>63</v>
      </c>
      <c r="M67" s="78">
        <f t="shared" si="4"/>
        <v>16</v>
      </c>
      <c r="N67" s="123">
        <v>0</v>
      </c>
      <c r="O67" s="87"/>
      <c r="P67" s="78">
        <f>INDEX(章节关卡!$G$6:$G$34,芦花古楼!M67)*芦花古楼!N67</f>
        <v>0</v>
      </c>
      <c r="Q67" s="22">
        <f t="shared" si="5"/>
        <v>70</v>
      </c>
      <c r="R67" s="22">
        <f t="shared" si="6"/>
        <v>80</v>
      </c>
      <c r="S67" s="14">
        <f>INDEX(章节关卡!$I$6:$I$34,芦花古楼!M67)*芦花古楼!N67</f>
        <v>0</v>
      </c>
      <c r="T67" s="14">
        <v>200</v>
      </c>
      <c r="W67" s="17">
        <v>63</v>
      </c>
      <c r="X67" s="24">
        <v>16</v>
      </c>
      <c r="Y67" s="123">
        <v>0</v>
      </c>
      <c r="Z67" s="87"/>
      <c r="AA67" s="87">
        <f>INDEX(章节关卡!$G$6:$G$34,芦花古楼!X67)*芦花古楼!Y67</f>
        <v>0</v>
      </c>
      <c r="AB67" s="22">
        <f t="shared" si="17"/>
        <v>75</v>
      </c>
      <c r="AC67" s="22">
        <f t="shared" si="18"/>
        <v>80</v>
      </c>
      <c r="AD67" s="14">
        <f>INDEX(章节关卡!$I$6:$I$34,芦花古楼!X67)*芦花古楼!Y67</f>
        <v>0</v>
      </c>
      <c r="AE67" s="14">
        <v>200</v>
      </c>
      <c r="AH67" s="17">
        <v>63</v>
      </c>
      <c r="AI67" s="46">
        <v>16</v>
      </c>
      <c r="AJ67" s="123">
        <v>0</v>
      </c>
      <c r="AK67" s="87"/>
      <c r="AL67" s="87">
        <f>INDEX(章节关卡!$G$6:$G$34,芦花古楼!AI67)*芦花古楼!AJ67</f>
        <v>0</v>
      </c>
      <c r="AM67" s="22">
        <f t="shared" si="7"/>
        <v>80</v>
      </c>
      <c r="AN67" s="22">
        <f t="shared" si="8"/>
        <v>80</v>
      </c>
      <c r="AO67" s="14">
        <f>INDEX(章节关卡!$I$6:$I$34,芦花古楼!AI67)*芦花古楼!AJ67</f>
        <v>0</v>
      </c>
      <c r="AP67" s="14">
        <v>200</v>
      </c>
      <c r="AS67" s="18">
        <v>62</v>
      </c>
      <c r="AT67" s="87">
        <v>19</v>
      </c>
      <c r="AV67" s="18">
        <v>62</v>
      </c>
      <c r="AW67" s="87">
        <v>22</v>
      </c>
      <c r="AY67" s="18">
        <v>62</v>
      </c>
      <c r="AZ67" s="18">
        <v>22</v>
      </c>
      <c r="BB67" s="18">
        <v>62</v>
      </c>
      <c r="BC67" s="18">
        <v>22</v>
      </c>
      <c r="BF67" s="18">
        <v>62</v>
      </c>
      <c r="BG67" s="14">
        <f t="shared" si="19"/>
        <v>0</v>
      </c>
      <c r="BH67" s="14">
        <f t="shared" si="20"/>
        <v>480</v>
      </c>
      <c r="BI67" s="14">
        <f t="shared" si="21"/>
        <v>0</v>
      </c>
      <c r="BJ67" s="14">
        <f t="shared" si="12"/>
        <v>1200</v>
      </c>
      <c r="BK67" s="14">
        <f t="shared" si="13"/>
        <v>480</v>
      </c>
      <c r="BL67" s="14">
        <f t="shared" si="14"/>
        <v>960</v>
      </c>
      <c r="CJ67" s="52">
        <v>63</v>
      </c>
      <c r="CK67" s="52">
        <v>1</v>
      </c>
      <c r="CL67" s="52" t="s">
        <v>244</v>
      </c>
      <c r="CM67" s="52">
        <v>63</v>
      </c>
      <c r="CN67" s="52"/>
      <c r="CO67" s="52"/>
      <c r="CP67" s="52"/>
      <c r="CQ67" s="52" t="s">
        <v>358</v>
      </c>
      <c r="CR67" s="52">
        <v>3600</v>
      </c>
      <c r="CS67" s="52" t="s">
        <v>359</v>
      </c>
      <c r="CT67" s="52">
        <v>65</v>
      </c>
      <c r="CU67" s="52"/>
      <c r="CV67" s="52"/>
      <c r="CW67" s="52" t="s">
        <v>359</v>
      </c>
      <c r="CX67" s="52">
        <v>80</v>
      </c>
      <c r="CY67" s="52"/>
      <c r="CZ67" s="52"/>
      <c r="DA67" s="52"/>
      <c r="DB67" s="52"/>
      <c r="DC67" s="52"/>
      <c r="DD67" s="52"/>
      <c r="DE67" s="52"/>
      <c r="DF67" s="52"/>
      <c r="DG67" s="52"/>
      <c r="DH67" s="52"/>
    </row>
    <row r="68" spans="1:112" ht="16.5" x14ac:dyDescent="0.2">
      <c r="A68" s="17">
        <v>64</v>
      </c>
      <c r="B68" s="78">
        <v>15</v>
      </c>
      <c r="C68" s="123">
        <v>0</v>
      </c>
      <c r="D68" s="87"/>
      <c r="E68" s="78">
        <f>INDEX(章节关卡!$G$6:$G$34,芦花古楼!B68)*芦花古楼!C68</f>
        <v>0</v>
      </c>
      <c r="F68" s="22">
        <f t="shared" si="15"/>
        <v>65</v>
      </c>
      <c r="G68" s="22">
        <f t="shared" si="16"/>
        <v>80</v>
      </c>
      <c r="H68" s="14">
        <f>INDEX(章节关卡!$I$6:$I$34,芦花古楼!B68)*芦花古楼!C68</f>
        <v>0</v>
      </c>
      <c r="I68" s="14">
        <v>200</v>
      </c>
      <c r="L68" s="17">
        <v>64</v>
      </c>
      <c r="M68" s="78">
        <f t="shared" si="4"/>
        <v>16</v>
      </c>
      <c r="N68" s="123">
        <v>0</v>
      </c>
      <c r="O68" s="87"/>
      <c r="P68" s="78">
        <f>INDEX(章节关卡!$G$6:$G$34,芦花古楼!M68)*芦花古楼!N68</f>
        <v>0</v>
      </c>
      <c r="Q68" s="22">
        <f t="shared" si="5"/>
        <v>70</v>
      </c>
      <c r="R68" s="22">
        <f t="shared" si="6"/>
        <v>80</v>
      </c>
      <c r="S68" s="14">
        <f>INDEX(章节关卡!$I$6:$I$34,芦花古楼!M68)*芦花古楼!N68</f>
        <v>0</v>
      </c>
      <c r="T68" s="14">
        <v>200</v>
      </c>
      <c r="W68" s="17">
        <v>64</v>
      </c>
      <c r="X68" s="24">
        <v>16</v>
      </c>
      <c r="Y68" s="123">
        <v>0</v>
      </c>
      <c r="Z68" s="87"/>
      <c r="AA68" s="87">
        <f>INDEX(章节关卡!$G$6:$G$34,芦花古楼!X68)*芦花古楼!Y68</f>
        <v>0</v>
      </c>
      <c r="AB68" s="22">
        <f t="shared" si="17"/>
        <v>75</v>
      </c>
      <c r="AC68" s="22">
        <f t="shared" si="18"/>
        <v>80</v>
      </c>
      <c r="AD68" s="14">
        <f>INDEX(章节关卡!$I$6:$I$34,芦花古楼!X68)*芦花古楼!Y68</f>
        <v>0</v>
      </c>
      <c r="AE68" s="14">
        <v>200</v>
      </c>
      <c r="AH68" s="17">
        <v>64</v>
      </c>
      <c r="AI68" s="46">
        <v>16</v>
      </c>
      <c r="AJ68" s="123">
        <v>0</v>
      </c>
      <c r="AK68" s="87"/>
      <c r="AL68" s="87">
        <f>INDEX(章节关卡!$G$6:$G$34,芦花古楼!AI68)*芦花古楼!AJ68</f>
        <v>0</v>
      </c>
      <c r="AM68" s="22">
        <f t="shared" si="7"/>
        <v>80</v>
      </c>
      <c r="AN68" s="22">
        <f t="shared" si="8"/>
        <v>80</v>
      </c>
      <c r="AO68" s="14">
        <f>INDEX(章节关卡!$I$6:$I$34,芦花古楼!AI68)*芦花古楼!AJ68</f>
        <v>0</v>
      </c>
      <c r="AP68" s="14">
        <v>200</v>
      </c>
      <c r="AS68" s="18">
        <v>63</v>
      </c>
      <c r="AT68" s="87">
        <v>20</v>
      </c>
      <c r="AV68" s="18">
        <v>63</v>
      </c>
      <c r="AW68" s="87">
        <v>23</v>
      </c>
      <c r="AY68" s="18">
        <v>63</v>
      </c>
      <c r="AZ68" s="18">
        <v>23</v>
      </c>
      <c r="BB68" s="18">
        <v>63</v>
      </c>
      <c r="BC68" s="18">
        <v>23</v>
      </c>
      <c r="BF68" s="18">
        <v>63</v>
      </c>
      <c r="BG68" s="14">
        <f t="shared" si="19"/>
        <v>0</v>
      </c>
      <c r="BH68" s="14">
        <f t="shared" si="20"/>
        <v>480</v>
      </c>
      <c r="BI68" s="14">
        <f t="shared" si="21"/>
        <v>0</v>
      </c>
      <c r="BJ68" s="14">
        <f t="shared" si="12"/>
        <v>1200</v>
      </c>
      <c r="BK68" s="14">
        <f t="shared" si="13"/>
        <v>480</v>
      </c>
      <c r="BL68" s="14">
        <f t="shared" si="14"/>
        <v>960</v>
      </c>
      <c r="CJ68" s="52">
        <v>64</v>
      </c>
      <c r="CK68" s="52">
        <v>1</v>
      </c>
      <c r="CL68" s="52" t="s">
        <v>244</v>
      </c>
      <c r="CM68" s="52">
        <v>64</v>
      </c>
      <c r="CN68" s="52"/>
      <c r="CO68" s="52"/>
      <c r="CP68" s="52"/>
      <c r="CQ68" s="52" t="s">
        <v>358</v>
      </c>
      <c r="CR68" s="52">
        <v>3600</v>
      </c>
      <c r="CS68" s="52" t="s">
        <v>359</v>
      </c>
      <c r="CT68" s="52">
        <v>65</v>
      </c>
      <c r="CU68" s="52"/>
      <c r="CV68" s="52"/>
      <c r="CW68" s="52" t="s">
        <v>359</v>
      </c>
      <c r="CX68" s="52">
        <v>80</v>
      </c>
      <c r="CY68" s="52"/>
      <c r="CZ68" s="52"/>
      <c r="DA68" s="52"/>
      <c r="DB68" s="52"/>
      <c r="DC68" s="52"/>
      <c r="DD68" s="52"/>
      <c r="DE68" s="52"/>
      <c r="DF68" s="52"/>
      <c r="DG68" s="52"/>
      <c r="DH68" s="52"/>
    </row>
    <row r="69" spans="1:112" ht="16.5" x14ac:dyDescent="0.2">
      <c r="A69" s="17">
        <v>65</v>
      </c>
      <c r="B69" s="78">
        <v>15</v>
      </c>
      <c r="C69" s="123">
        <v>0</v>
      </c>
      <c r="D69" s="87"/>
      <c r="E69" s="78">
        <f>INDEX(章节关卡!$G$6:$G$34,芦花古楼!B69)*芦花古楼!C69</f>
        <v>0</v>
      </c>
      <c r="F69" s="22">
        <f t="shared" ref="F69:F104" si="22">INT((A69-1)/5+1)*5</f>
        <v>65</v>
      </c>
      <c r="G69" s="22">
        <f t="shared" ref="G69:G104" si="23">INT(A69/5)*5+20</f>
        <v>85</v>
      </c>
      <c r="H69" s="14">
        <f>INDEX(章节关卡!$I$6:$I$34,芦花古楼!B69)*芦花古楼!C69</f>
        <v>0</v>
      </c>
      <c r="I69" s="14">
        <v>200</v>
      </c>
      <c r="L69" s="17">
        <v>65</v>
      </c>
      <c r="M69" s="78">
        <f t="shared" si="4"/>
        <v>16</v>
      </c>
      <c r="N69" s="123">
        <v>0</v>
      </c>
      <c r="O69" s="87"/>
      <c r="P69" s="78">
        <f>INDEX(章节关卡!$G$6:$G$34,芦花古楼!M69)*芦花古楼!N69</f>
        <v>0</v>
      </c>
      <c r="Q69" s="22">
        <f t="shared" si="5"/>
        <v>70</v>
      </c>
      <c r="R69" s="22">
        <f t="shared" si="6"/>
        <v>85</v>
      </c>
      <c r="S69" s="14">
        <f>INDEX(章节关卡!$I$6:$I$34,芦花古楼!M69)*芦花古楼!N69</f>
        <v>0</v>
      </c>
      <c r="T69" s="14">
        <v>200</v>
      </c>
      <c r="W69" s="17">
        <v>65</v>
      </c>
      <c r="X69" s="24">
        <v>16</v>
      </c>
      <c r="Y69" s="123">
        <v>0</v>
      </c>
      <c r="Z69" s="87"/>
      <c r="AA69" s="87">
        <f>INDEX(章节关卡!$G$6:$G$34,芦花古楼!X69)*芦花古楼!Y69</f>
        <v>0</v>
      </c>
      <c r="AB69" s="22">
        <f t="shared" ref="AB69:AB104" si="24">INT((W69-1)/5+3)*5</f>
        <v>75</v>
      </c>
      <c r="AC69" s="22">
        <f t="shared" ref="AC69:AC104" si="25">INT(W69/5)*5+20</f>
        <v>85</v>
      </c>
      <c r="AD69" s="14">
        <f>INDEX(章节关卡!$I$6:$I$34,芦花古楼!X69)*芦花古楼!Y69</f>
        <v>0</v>
      </c>
      <c r="AE69" s="14">
        <v>200</v>
      </c>
      <c r="AH69" s="17">
        <v>65</v>
      </c>
      <c r="AI69" s="46">
        <v>16</v>
      </c>
      <c r="AJ69" s="123">
        <v>0</v>
      </c>
      <c r="AK69" s="87"/>
      <c r="AL69" s="87">
        <f>INDEX(章节关卡!$G$6:$G$34,芦花古楼!AI69)*芦花古楼!AJ69</f>
        <v>0</v>
      </c>
      <c r="AM69" s="22">
        <f t="shared" si="7"/>
        <v>80</v>
      </c>
      <c r="AN69" s="22">
        <f t="shared" si="8"/>
        <v>85</v>
      </c>
      <c r="AO69" s="14">
        <f>INDEX(章节关卡!$I$6:$I$34,芦花古楼!AI69)*芦花古楼!AJ69</f>
        <v>0</v>
      </c>
      <c r="AP69" s="14">
        <v>200</v>
      </c>
      <c r="AS69" s="18">
        <v>64</v>
      </c>
      <c r="AT69" s="87">
        <v>20</v>
      </c>
      <c r="AV69" s="18">
        <v>64</v>
      </c>
      <c r="AW69" s="87">
        <v>23</v>
      </c>
      <c r="AY69" s="18">
        <v>64</v>
      </c>
      <c r="AZ69" s="18">
        <v>23</v>
      </c>
      <c r="BB69" s="18">
        <v>64</v>
      </c>
      <c r="BC69" s="18">
        <v>23</v>
      </c>
      <c r="BF69" s="18">
        <v>64</v>
      </c>
      <c r="BG69" s="14">
        <f t="shared" si="19"/>
        <v>0</v>
      </c>
      <c r="BH69" s="14">
        <f t="shared" si="20"/>
        <v>480</v>
      </c>
      <c r="BI69" s="14">
        <f t="shared" si="21"/>
        <v>0</v>
      </c>
      <c r="BJ69" s="14">
        <f t="shared" si="12"/>
        <v>1200</v>
      </c>
      <c r="BK69" s="14">
        <f t="shared" si="13"/>
        <v>480</v>
      </c>
      <c r="BL69" s="14">
        <f t="shared" si="14"/>
        <v>960</v>
      </c>
      <c r="CJ69" s="52">
        <v>65</v>
      </c>
      <c r="CK69" s="52">
        <v>1</v>
      </c>
      <c r="CL69" s="52" t="s">
        <v>244</v>
      </c>
      <c r="CM69" s="52">
        <v>65</v>
      </c>
      <c r="CN69" s="52"/>
      <c r="CO69" s="52"/>
      <c r="CP69" s="52"/>
      <c r="CQ69" s="52" t="s">
        <v>358</v>
      </c>
      <c r="CR69" s="52">
        <v>4320</v>
      </c>
      <c r="CS69" s="52" t="s">
        <v>359</v>
      </c>
      <c r="CT69" s="52">
        <v>65</v>
      </c>
      <c r="CU69" s="52" t="s">
        <v>360</v>
      </c>
      <c r="CV69" s="52">
        <v>2</v>
      </c>
      <c r="CW69" s="52" t="s">
        <v>359</v>
      </c>
      <c r="CX69" s="52">
        <v>85</v>
      </c>
      <c r="CY69" s="52"/>
      <c r="CZ69" s="52"/>
      <c r="DA69" s="52"/>
      <c r="DB69" s="52"/>
      <c r="DC69" s="52"/>
      <c r="DD69" s="52"/>
      <c r="DE69" s="52"/>
      <c r="DF69" s="52"/>
      <c r="DG69" s="52"/>
      <c r="DH69" s="52"/>
    </row>
    <row r="70" spans="1:112" ht="16.5" x14ac:dyDescent="0.2">
      <c r="A70" s="17">
        <v>66</v>
      </c>
      <c r="B70" s="46">
        <v>16</v>
      </c>
      <c r="C70" s="123">
        <v>0</v>
      </c>
      <c r="D70" s="87"/>
      <c r="E70" s="78">
        <f>INDEX(章节关卡!$G$6:$G$34,芦花古楼!B70)*芦花古楼!C70</f>
        <v>0</v>
      </c>
      <c r="F70" s="22">
        <f t="shared" si="22"/>
        <v>70</v>
      </c>
      <c r="G70" s="22">
        <f t="shared" si="23"/>
        <v>85</v>
      </c>
      <c r="H70" s="14">
        <f>INDEX(章节关卡!$I$6:$I$34,芦花古楼!B70)*芦花古楼!C70</f>
        <v>0</v>
      </c>
      <c r="I70" s="14">
        <v>200</v>
      </c>
      <c r="L70" s="17">
        <v>66</v>
      </c>
      <c r="M70" s="78">
        <f t="shared" ref="M70:M104" si="26">INT((L70-1)/5)+4</f>
        <v>17</v>
      </c>
      <c r="N70" s="123">
        <v>0</v>
      </c>
      <c r="O70" s="87"/>
      <c r="P70" s="78">
        <f>INDEX(章节关卡!$G$6:$G$34,芦花古楼!M70)*芦花古楼!N70</f>
        <v>0</v>
      </c>
      <c r="Q70" s="22">
        <f t="shared" ref="Q70:Q104" si="27">INT((L70-1)/5+2)*5</f>
        <v>75</v>
      </c>
      <c r="R70" s="22">
        <f t="shared" ref="R70:R104" si="28">INT(L70/5)*5+20</f>
        <v>85</v>
      </c>
      <c r="S70" s="14">
        <f>INDEX(章节关卡!$I$6:$I$34,芦花古楼!M70)*芦花古楼!N70</f>
        <v>0</v>
      </c>
      <c r="T70" s="14">
        <v>200</v>
      </c>
      <c r="W70" s="17">
        <v>66</v>
      </c>
      <c r="X70" s="24">
        <v>17</v>
      </c>
      <c r="Y70" s="123">
        <v>0</v>
      </c>
      <c r="Z70" s="87"/>
      <c r="AA70" s="87">
        <f>INDEX(章节关卡!$G$6:$G$34,芦花古楼!X70)*芦花古楼!Y70</f>
        <v>0</v>
      </c>
      <c r="AB70" s="22">
        <f t="shared" si="24"/>
        <v>80</v>
      </c>
      <c r="AC70" s="22">
        <f t="shared" si="25"/>
        <v>85</v>
      </c>
      <c r="AD70" s="14">
        <f>INDEX(章节关卡!$I$6:$I$34,芦花古楼!X70)*芦花古楼!Y70</f>
        <v>0</v>
      </c>
      <c r="AE70" s="14">
        <v>200</v>
      </c>
      <c r="AH70" s="17">
        <v>66</v>
      </c>
      <c r="AI70" s="46">
        <v>17</v>
      </c>
      <c r="AJ70" s="123">
        <v>0</v>
      </c>
      <c r="AK70" s="87"/>
      <c r="AL70" s="87">
        <f>INDEX(章节关卡!$G$6:$G$34,芦花古楼!AI70)*芦花古楼!AJ70</f>
        <v>0</v>
      </c>
      <c r="AM70" s="22">
        <f t="shared" ref="AM70:AM104" si="29">INT((AH70-1)/5+4)*5</f>
        <v>85</v>
      </c>
      <c r="AN70" s="22">
        <f t="shared" ref="AN70:AN104" si="30">INT(AH70/5)*5+20</f>
        <v>85</v>
      </c>
      <c r="AO70" s="14">
        <f>INDEX(章节关卡!$I$6:$I$34,芦花古楼!AI70)*芦花古楼!AJ70</f>
        <v>0</v>
      </c>
      <c r="AP70" s="14">
        <v>200</v>
      </c>
      <c r="AS70" s="18">
        <v>65</v>
      </c>
      <c r="AT70" s="87">
        <v>21</v>
      </c>
      <c r="AV70" s="18">
        <v>65</v>
      </c>
      <c r="AW70" s="87">
        <v>24</v>
      </c>
      <c r="AY70" s="18">
        <v>65</v>
      </c>
      <c r="AZ70" s="18">
        <v>24</v>
      </c>
      <c r="BB70" s="18">
        <v>65</v>
      </c>
      <c r="BC70" s="18">
        <v>24</v>
      </c>
      <c r="BF70" s="18">
        <v>65</v>
      </c>
      <c r="BG70" s="14">
        <f t="shared" ref="BG70:BG101" si="31">SUMIFS($F$5:$F$104,$AT$6:$AT$105,"="&amp;BF70)+SUMIFS($Q$5:$Q$104,$AW$6:$AW$105,"="&amp;BF70)+SUMIFS($AB$5:$AB$104,$AZ$6:$AZ$105,"="&amp;BF70)+SUMIFS($AM$5:$AM$104,$BC$6:$BC$105,"="&amp;BF70)</f>
        <v>0</v>
      </c>
      <c r="BH70" s="14">
        <f t="shared" ref="BH70:BH105" si="32">INDEX($G$5:$G$104,MATCH(BF70,$AT$5:$AT$105,1)-1)+INDEX($R$5:$R$104,MATCH(BF70,$AW$5:$AW$105,1)-1)+INDEX($AC$5:$AC$104,MATCH(BF70,$AZ$5:$AZ$105,1)-1)+INDEX($AN$5:$AN$104,MATCH(BF70,$BC$5:$BC$105,1)-1)</f>
        <v>480</v>
      </c>
      <c r="BI70" s="14">
        <f t="shared" ref="BI70:BI105" si="33">SUMIFS($H$5:$H$104,$AT$6:$AT$105,"="&amp;BF70)+SUMIFS($S$5:$S$104,$AW$6:$AW$105,"="&amp;BF70)+SUMIFS($AD$5:$AD$104,$AZ$6:$AZ$105,"="&amp;BF70)+SUMIFS($AO$5:$AO$104,$BC$6:$BC$105,"="&amp;BF70)</f>
        <v>0</v>
      </c>
      <c r="BJ70" s="14">
        <f t="shared" si="12"/>
        <v>1200</v>
      </c>
      <c r="BK70" s="14">
        <f t="shared" si="13"/>
        <v>480</v>
      </c>
      <c r="BL70" s="14">
        <f t="shared" si="14"/>
        <v>960</v>
      </c>
      <c r="CJ70" s="52">
        <v>66</v>
      </c>
      <c r="CK70" s="52">
        <v>1</v>
      </c>
      <c r="CL70" s="52" t="s">
        <v>244</v>
      </c>
      <c r="CM70" s="52">
        <v>66</v>
      </c>
      <c r="CN70" s="52"/>
      <c r="CO70" s="52"/>
      <c r="CP70" s="52"/>
      <c r="CQ70" s="52" t="s">
        <v>358</v>
      </c>
      <c r="CR70" s="52">
        <v>4320</v>
      </c>
      <c r="CS70" s="52" t="s">
        <v>359</v>
      </c>
      <c r="CT70" s="52">
        <v>70</v>
      </c>
      <c r="CU70" s="52"/>
      <c r="CV70" s="52"/>
      <c r="CW70" s="52" t="s">
        <v>359</v>
      </c>
      <c r="CX70" s="52">
        <v>85</v>
      </c>
      <c r="CY70" s="52"/>
      <c r="CZ70" s="52"/>
      <c r="DA70" s="52"/>
      <c r="DB70" s="52"/>
      <c r="DC70" s="52"/>
      <c r="DD70" s="52"/>
      <c r="DE70" s="52"/>
      <c r="DF70" s="52"/>
      <c r="DG70" s="52"/>
      <c r="DH70" s="52"/>
    </row>
    <row r="71" spans="1:112" ht="16.5" x14ac:dyDescent="0.2">
      <c r="A71" s="17">
        <v>67</v>
      </c>
      <c r="B71" s="78">
        <v>16</v>
      </c>
      <c r="C71" s="123">
        <v>0</v>
      </c>
      <c r="D71" s="87"/>
      <c r="E71" s="78">
        <f>INDEX(章节关卡!$G$6:$G$34,芦花古楼!B71)*芦花古楼!C71</f>
        <v>0</v>
      </c>
      <c r="F71" s="22">
        <f t="shared" si="22"/>
        <v>70</v>
      </c>
      <c r="G71" s="22">
        <f t="shared" si="23"/>
        <v>85</v>
      </c>
      <c r="H71" s="14">
        <f>INDEX(章节关卡!$I$6:$I$34,芦花古楼!B71)*芦花古楼!C71</f>
        <v>0</v>
      </c>
      <c r="I71" s="14">
        <v>200</v>
      </c>
      <c r="L71" s="17">
        <v>67</v>
      </c>
      <c r="M71" s="78">
        <f t="shared" si="26"/>
        <v>17</v>
      </c>
      <c r="N71" s="123">
        <v>0</v>
      </c>
      <c r="O71" s="87"/>
      <c r="P71" s="78">
        <f>INDEX(章节关卡!$G$6:$G$34,芦花古楼!M71)*芦花古楼!N71</f>
        <v>0</v>
      </c>
      <c r="Q71" s="22">
        <f t="shared" si="27"/>
        <v>75</v>
      </c>
      <c r="R71" s="22">
        <f t="shared" si="28"/>
        <v>85</v>
      </c>
      <c r="S71" s="14">
        <f>INDEX(章节关卡!$I$6:$I$34,芦花古楼!M71)*芦花古楼!N71</f>
        <v>0</v>
      </c>
      <c r="T71" s="14">
        <v>200</v>
      </c>
      <c r="W71" s="17">
        <v>67</v>
      </c>
      <c r="X71" s="24">
        <v>17</v>
      </c>
      <c r="Y71" s="123">
        <v>0</v>
      </c>
      <c r="Z71" s="87"/>
      <c r="AA71" s="87">
        <f>INDEX(章节关卡!$G$6:$G$34,芦花古楼!X71)*芦花古楼!Y71</f>
        <v>0</v>
      </c>
      <c r="AB71" s="22">
        <f t="shared" si="24"/>
        <v>80</v>
      </c>
      <c r="AC71" s="22">
        <f t="shared" si="25"/>
        <v>85</v>
      </c>
      <c r="AD71" s="14">
        <f>INDEX(章节关卡!$I$6:$I$34,芦花古楼!X71)*芦花古楼!Y71</f>
        <v>0</v>
      </c>
      <c r="AE71" s="14">
        <v>200</v>
      </c>
      <c r="AH71" s="17">
        <v>67</v>
      </c>
      <c r="AI71" s="46">
        <v>17</v>
      </c>
      <c r="AJ71" s="123">
        <v>0</v>
      </c>
      <c r="AK71" s="87"/>
      <c r="AL71" s="87">
        <f>INDEX(章节关卡!$G$6:$G$34,芦花古楼!AI71)*芦花古楼!AJ71</f>
        <v>0</v>
      </c>
      <c r="AM71" s="22">
        <f t="shared" si="29"/>
        <v>85</v>
      </c>
      <c r="AN71" s="22">
        <f t="shared" si="30"/>
        <v>85</v>
      </c>
      <c r="AO71" s="14">
        <f>INDEX(章节关卡!$I$6:$I$34,芦花古楼!AI71)*芦花古楼!AJ71</f>
        <v>0</v>
      </c>
      <c r="AP71" s="14">
        <v>200</v>
      </c>
      <c r="AS71" s="18">
        <v>66</v>
      </c>
      <c r="AT71" s="87">
        <v>21</v>
      </c>
      <c r="AV71" s="18">
        <v>66</v>
      </c>
      <c r="AW71" s="87">
        <v>24</v>
      </c>
      <c r="AY71" s="18">
        <v>66</v>
      </c>
      <c r="AZ71" s="18">
        <v>24</v>
      </c>
      <c r="BB71" s="18">
        <v>66</v>
      </c>
      <c r="BC71" s="18">
        <v>24</v>
      </c>
      <c r="BF71" s="18">
        <v>66</v>
      </c>
      <c r="BG71" s="14">
        <f t="shared" si="31"/>
        <v>0</v>
      </c>
      <c r="BH71" s="14">
        <f t="shared" si="32"/>
        <v>480</v>
      </c>
      <c r="BI71" s="14">
        <f t="shared" si="33"/>
        <v>0</v>
      </c>
      <c r="BJ71" s="14">
        <f t="shared" ref="BJ71:BJ105" si="34">INDEX($I$5:$I$104,MATCH(BF71,$AT$5:$AT$105,1)-1)+INDEX($T$5:$T$104,MATCH(BF71,$AW$5:$AW$105,1)-1)+INDEX($AE$5:$AE$104,MATCH(BF71,$AZ$5:$AZ$105,1)-1)+INDEX($AP$5:$AP$104,MATCH(BF71,$BC$5:$BC$105,1)-1)</f>
        <v>1200</v>
      </c>
      <c r="BK71" s="14">
        <f t="shared" ref="BK71:BK134" si="35">BG71+BH70</f>
        <v>480</v>
      </c>
      <c r="BL71" s="14">
        <f t="shared" ref="BL71:BL134" si="36">BK71*BL$3</f>
        <v>960</v>
      </c>
      <c r="CJ71" s="52">
        <v>67</v>
      </c>
      <c r="CK71" s="52">
        <v>1</v>
      </c>
      <c r="CL71" s="52" t="s">
        <v>244</v>
      </c>
      <c r="CM71" s="52">
        <v>67</v>
      </c>
      <c r="CN71" s="52"/>
      <c r="CO71" s="52"/>
      <c r="CP71" s="52"/>
      <c r="CQ71" s="52" t="s">
        <v>358</v>
      </c>
      <c r="CR71" s="52">
        <v>4320</v>
      </c>
      <c r="CS71" s="52" t="s">
        <v>359</v>
      </c>
      <c r="CT71" s="52">
        <v>70</v>
      </c>
      <c r="CU71" s="52"/>
      <c r="CV71" s="52"/>
      <c r="CW71" s="52" t="s">
        <v>359</v>
      </c>
      <c r="CX71" s="52">
        <v>85</v>
      </c>
      <c r="CY71" s="52"/>
      <c r="CZ71" s="52"/>
      <c r="DA71" s="52"/>
      <c r="DB71" s="52"/>
      <c r="DC71" s="52"/>
      <c r="DD71" s="52"/>
      <c r="DE71" s="52"/>
      <c r="DF71" s="52"/>
      <c r="DG71" s="52"/>
      <c r="DH71" s="52"/>
    </row>
    <row r="72" spans="1:112" ht="16.5" x14ac:dyDescent="0.2">
      <c r="A72" s="17">
        <v>68</v>
      </c>
      <c r="B72" s="78">
        <v>16</v>
      </c>
      <c r="C72" s="123">
        <v>0</v>
      </c>
      <c r="D72" s="87"/>
      <c r="E72" s="78">
        <f>INDEX(章节关卡!$G$6:$G$34,芦花古楼!B72)*芦花古楼!C72</f>
        <v>0</v>
      </c>
      <c r="F72" s="22">
        <f t="shared" si="22"/>
        <v>70</v>
      </c>
      <c r="G72" s="22">
        <f t="shared" si="23"/>
        <v>85</v>
      </c>
      <c r="H72" s="14">
        <f>INDEX(章节关卡!$I$6:$I$34,芦花古楼!B72)*芦花古楼!C72</f>
        <v>0</v>
      </c>
      <c r="I72" s="14">
        <v>200</v>
      </c>
      <c r="L72" s="17">
        <v>68</v>
      </c>
      <c r="M72" s="78">
        <f t="shared" si="26"/>
        <v>17</v>
      </c>
      <c r="N72" s="123">
        <v>0</v>
      </c>
      <c r="O72" s="87"/>
      <c r="P72" s="78">
        <f>INDEX(章节关卡!$G$6:$G$34,芦花古楼!M72)*芦花古楼!N72</f>
        <v>0</v>
      </c>
      <c r="Q72" s="22">
        <f t="shared" si="27"/>
        <v>75</v>
      </c>
      <c r="R72" s="22">
        <f t="shared" si="28"/>
        <v>85</v>
      </c>
      <c r="S72" s="14">
        <f>INDEX(章节关卡!$I$6:$I$34,芦花古楼!M72)*芦花古楼!N72</f>
        <v>0</v>
      </c>
      <c r="T72" s="14">
        <v>200</v>
      </c>
      <c r="W72" s="17">
        <v>68</v>
      </c>
      <c r="X72" s="24">
        <v>17</v>
      </c>
      <c r="Y72" s="123">
        <v>0</v>
      </c>
      <c r="Z72" s="87"/>
      <c r="AA72" s="87">
        <f>INDEX(章节关卡!$G$6:$G$34,芦花古楼!X72)*芦花古楼!Y72</f>
        <v>0</v>
      </c>
      <c r="AB72" s="22">
        <f t="shared" si="24"/>
        <v>80</v>
      </c>
      <c r="AC72" s="22">
        <f t="shared" si="25"/>
        <v>85</v>
      </c>
      <c r="AD72" s="14">
        <f>INDEX(章节关卡!$I$6:$I$34,芦花古楼!X72)*芦花古楼!Y72</f>
        <v>0</v>
      </c>
      <c r="AE72" s="14">
        <v>200</v>
      </c>
      <c r="AH72" s="17">
        <v>68</v>
      </c>
      <c r="AI72" s="46">
        <v>17</v>
      </c>
      <c r="AJ72" s="123">
        <v>0</v>
      </c>
      <c r="AK72" s="87"/>
      <c r="AL72" s="87">
        <f>INDEX(章节关卡!$G$6:$G$34,芦花古楼!AI72)*芦花古楼!AJ72</f>
        <v>0</v>
      </c>
      <c r="AM72" s="22">
        <f t="shared" si="29"/>
        <v>85</v>
      </c>
      <c r="AN72" s="22">
        <f t="shared" si="30"/>
        <v>85</v>
      </c>
      <c r="AO72" s="14">
        <f>INDEX(章节关卡!$I$6:$I$34,芦花古楼!AI72)*芦花古楼!AJ72</f>
        <v>0</v>
      </c>
      <c r="AP72" s="14">
        <v>200</v>
      </c>
      <c r="AS72" s="18">
        <v>67</v>
      </c>
      <c r="AT72" s="18">
        <v>22</v>
      </c>
      <c r="AV72" s="18">
        <v>67</v>
      </c>
      <c r="AW72" s="87">
        <v>25</v>
      </c>
      <c r="AY72" s="18">
        <v>67</v>
      </c>
      <c r="AZ72" s="18">
        <v>25</v>
      </c>
      <c r="BB72" s="18">
        <v>67</v>
      </c>
      <c r="BC72" s="18">
        <v>25</v>
      </c>
      <c r="BF72" s="18">
        <v>67</v>
      </c>
      <c r="BG72" s="14">
        <f t="shared" si="31"/>
        <v>0</v>
      </c>
      <c r="BH72" s="14">
        <f t="shared" si="32"/>
        <v>480</v>
      </c>
      <c r="BI72" s="14">
        <f t="shared" si="33"/>
        <v>0</v>
      </c>
      <c r="BJ72" s="14">
        <f t="shared" si="34"/>
        <v>1200</v>
      </c>
      <c r="BK72" s="14">
        <f t="shared" si="35"/>
        <v>480</v>
      </c>
      <c r="BL72" s="14">
        <f t="shared" si="36"/>
        <v>960</v>
      </c>
      <c r="CJ72" s="52">
        <v>68</v>
      </c>
      <c r="CK72" s="52">
        <v>1</v>
      </c>
      <c r="CL72" s="52" t="s">
        <v>244</v>
      </c>
      <c r="CM72" s="52">
        <v>68</v>
      </c>
      <c r="CN72" s="52"/>
      <c r="CO72" s="52"/>
      <c r="CP72" s="52"/>
      <c r="CQ72" s="52" t="s">
        <v>358</v>
      </c>
      <c r="CR72" s="52">
        <v>4320</v>
      </c>
      <c r="CS72" s="52" t="s">
        <v>359</v>
      </c>
      <c r="CT72" s="52">
        <v>70</v>
      </c>
      <c r="CU72" s="52"/>
      <c r="CV72" s="52"/>
      <c r="CW72" s="52" t="s">
        <v>359</v>
      </c>
      <c r="CX72" s="52">
        <v>85</v>
      </c>
      <c r="CY72" s="52"/>
      <c r="CZ72" s="52"/>
      <c r="DA72" s="52"/>
      <c r="DB72" s="52"/>
      <c r="DC72" s="52"/>
      <c r="DD72" s="52"/>
      <c r="DE72" s="52"/>
      <c r="DF72" s="52"/>
      <c r="DG72" s="52"/>
      <c r="DH72" s="52"/>
    </row>
    <row r="73" spans="1:112" ht="16.5" x14ac:dyDescent="0.2">
      <c r="A73" s="17">
        <v>69</v>
      </c>
      <c r="B73" s="78">
        <v>16</v>
      </c>
      <c r="C73" s="123">
        <v>0</v>
      </c>
      <c r="D73" s="87"/>
      <c r="E73" s="78">
        <f>INDEX(章节关卡!$G$6:$G$34,芦花古楼!B73)*芦花古楼!C73</f>
        <v>0</v>
      </c>
      <c r="F73" s="22">
        <f t="shared" si="22"/>
        <v>70</v>
      </c>
      <c r="G73" s="22">
        <f t="shared" si="23"/>
        <v>85</v>
      </c>
      <c r="H73" s="14">
        <f>INDEX(章节关卡!$I$6:$I$34,芦花古楼!B73)*芦花古楼!C73</f>
        <v>0</v>
      </c>
      <c r="I73" s="14">
        <v>200</v>
      </c>
      <c r="L73" s="17">
        <v>69</v>
      </c>
      <c r="M73" s="78">
        <f t="shared" si="26"/>
        <v>17</v>
      </c>
      <c r="N73" s="123">
        <v>0</v>
      </c>
      <c r="O73" s="87"/>
      <c r="P73" s="78">
        <f>INDEX(章节关卡!$G$6:$G$34,芦花古楼!M73)*芦花古楼!N73</f>
        <v>0</v>
      </c>
      <c r="Q73" s="22">
        <f t="shared" si="27"/>
        <v>75</v>
      </c>
      <c r="R73" s="22">
        <f t="shared" si="28"/>
        <v>85</v>
      </c>
      <c r="S73" s="14">
        <f>INDEX(章节关卡!$I$6:$I$34,芦花古楼!M73)*芦花古楼!N73</f>
        <v>0</v>
      </c>
      <c r="T73" s="14">
        <v>200</v>
      </c>
      <c r="W73" s="17">
        <v>69</v>
      </c>
      <c r="X73" s="24">
        <v>17</v>
      </c>
      <c r="Y73" s="123">
        <v>0</v>
      </c>
      <c r="Z73" s="87"/>
      <c r="AA73" s="87">
        <f>INDEX(章节关卡!$G$6:$G$34,芦花古楼!X73)*芦花古楼!Y73</f>
        <v>0</v>
      </c>
      <c r="AB73" s="22">
        <f t="shared" si="24"/>
        <v>80</v>
      </c>
      <c r="AC73" s="22">
        <f t="shared" si="25"/>
        <v>85</v>
      </c>
      <c r="AD73" s="14">
        <f>INDEX(章节关卡!$I$6:$I$34,芦花古楼!X73)*芦花古楼!Y73</f>
        <v>0</v>
      </c>
      <c r="AE73" s="14">
        <v>200</v>
      </c>
      <c r="AH73" s="17">
        <v>69</v>
      </c>
      <c r="AI73" s="46">
        <v>17</v>
      </c>
      <c r="AJ73" s="123">
        <v>0</v>
      </c>
      <c r="AK73" s="87"/>
      <c r="AL73" s="87">
        <f>INDEX(章节关卡!$G$6:$G$34,芦花古楼!AI73)*芦花古楼!AJ73</f>
        <v>0</v>
      </c>
      <c r="AM73" s="22">
        <f t="shared" si="29"/>
        <v>85</v>
      </c>
      <c r="AN73" s="22">
        <f t="shared" si="30"/>
        <v>85</v>
      </c>
      <c r="AO73" s="14">
        <f>INDEX(章节关卡!$I$6:$I$34,芦花古楼!AI73)*芦花古楼!AJ73</f>
        <v>0</v>
      </c>
      <c r="AP73" s="14">
        <v>200</v>
      </c>
      <c r="AS73" s="18">
        <v>68</v>
      </c>
      <c r="AT73" s="87">
        <v>22</v>
      </c>
      <c r="AV73" s="18">
        <v>68</v>
      </c>
      <c r="AW73" s="87">
        <v>25</v>
      </c>
      <c r="AY73" s="18">
        <v>68</v>
      </c>
      <c r="AZ73" s="18">
        <v>25</v>
      </c>
      <c r="BB73" s="18">
        <v>68</v>
      </c>
      <c r="BC73" s="18">
        <v>25</v>
      </c>
      <c r="BF73" s="18">
        <v>68</v>
      </c>
      <c r="BG73" s="14">
        <f t="shared" si="31"/>
        <v>0</v>
      </c>
      <c r="BH73" s="14">
        <f t="shared" si="32"/>
        <v>480</v>
      </c>
      <c r="BI73" s="14">
        <f t="shared" si="33"/>
        <v>0</v>
      </c>
      <c r="BJ73" s="14">
        <f t="shared" si="34"/>
        <v>1200</v>
      </c>
      <c r="BK73" s="14">
        <f t="shared" si="35"/>
        <v>480</v>
      </c>
      <c r="BL73" s="14">
        <f t="shared" si="36"/>
        <v>960</v>
      </c>
      <c r="CJ73" s="52">
        <v>69</v>
      </c>
      <c r="CK73" s="52">
        <v>1</v>
      </c>
      <c r="CL73" s="52" t="s">
        <v>244</v>
      </c>
      <c r="CM73" s="52">
        <v>69</v>
      </c>
      <c r="CN73" s="52"/>
      <c r="CO73" s="52"/>
      <c r="CP73" s="52"/>
      <c r="CQ73" s="52" t="s">
        <v>358</v>
      </c>
      <c r="CR73" s="52">
        <v>4320</v>
      </c>
      <c r="CS73" s="52" t="s">
        <v>359</v>
      </c>
      <c r="CT73" s="52">
        <v>70</v>
      </c>
      <c r="CU73" s="52"/>
      <c r="CV73" s="52"/>
      <c r="CW73" s="52" t="s">
        <v>359</v>
      </c>
      <c r="CX73" s="52">
        <v>85</v>
      </c>
      <c r="CY73" s="52"/>
      <c r="CZ73" s="52"/>
      <c r="DA73" s="52"/>
      <c r="DB73" s="52"/>
      <c r="DC73" s="52"/>
      <c r="DD73" s="52"/>
      <c r="DE73" s="52"/>
      <c r="DF73" s="52"/>
      <c r="DG73" s="52"/>
      <c r="DH73" s="52"/>
    </row>
    <row r="74" spans="1:112" ht="16.5" x14ac:dyDescent="0.2">
      <c r="A74" s="17">
        <v>70</v>
      </c>
      <c r="B74" s="78">
        <v>16</v>
      </c>
      <c r="C74" s="123">
        <v>0</v>
      </c>
      <c r="D74" s="87"/>
      <c r="E74" s="78">
        <f>INDEX(章节关卡!$G$6:$G$34,芦花古楼!B74)*芦花古楼!C74</f>
        <v>0</v>
      </c>
      <c r="F74" s="22">
        <f t="shared" si="22"/>
        <v>70</v>
      </c>
      <c r="G74" s="22">
        <f t="shared" si="23"/>
        <v>90</v>
      </c>
      <c r="H74" s="14">
        <f>INDEX(章节关卡!$I$6:$I$34,芦花古楼!B74)*芦花古楼!C74</f>
        <v>0</v>
      </c>
      <c r="I74" s="14">
        <v>200</v>
      </c>
      <c r="L74" s="17">
        <v>70</v>
      </c>
      <c r="M74" s="78">
        <f t="shared" si="26"/>
        <v>17</v>
      </c>
      <c r="N74" s="123">
        <v>0</v>
      </c>
      <c r="O74" s="87"/>
      <c r="P74" s="78">
        <f>INDEX(章节关卡!$G$6:$G$34,芦花古楼!M74)*芦花古楼!N74</f>
        <v>0</v>
      </c>
      <c r="Q74" s="22">
        <f t="shared" si="27"/>
        <v>75</v>
      </c>
      <c r="R74" s="22">
        <f t="shared" si="28"/>
        <v>90</v>
      </c>
      <c r="S74" s="14">
        <f>INDEX(章节关卡!$I$6:$I$34,芦花古楼!M74)*芦花古楼!N74</f>
        <v>0</v>
      </c>
      <c r="T74" s="14">
        <v>200</v>
      </c>
      <c r="W74" s="17">
        <v>70</v>
      </c>
      <c r="X74" s="46">
        <v>17</v>
      </c>
      <c r="Y74" s="123">
        <v>0</v>
      </c>
      <c r="Z74" s="87"/>
      <c r="AA74" s="87">
        <f>INDEX(章节关卡!$G$6:$G$34,芦花古楼!X74)*芦花古楼!Y74</f>
        <v>0</v>
      </c>
      <c r="AB74" s="22">
        <f t="shared" si="24"/>
        <v>80</v>
      </c>
      <c r="AC74" s="22">
        <f t="shared" si="25"/>
        <v>90</v>
      </c>
      <c r="AD74" s="14">
        <f>INDEX(章节关卡!$I$6:$I$34,芦花古楼!X74)*芦花古楼!Y74</f>
        <v>0</v>
      </c>
      <c r="AE74" s="14">
        <v>200</v>
      </c>
      <c r="AH74" s="17">
        <v>70</v>
      </c>
      <c r="AI74" s="46">
        <v>17</v>
      </c>
      <c r="AJ74" s="123">
        <v>0</v>
      </c>
      <c r="AK74" s="87"/>
      <c r="AL74" s="87">
        <f>INDEX(章节关卡!$G$6:$G$34,芦花古楼!AI74)*芦花古楼!AJ74</f>
        <v>0</v>
      </c>
      <c r="AM74" s="22">
        <f t="shared" si="29"/>
        <v>85</v>
      </c>
      <c r="AN74" s="22">
        <f t="shared" si="30"/>
        <v>90</v>
      </c>
      <c r="AO74" s="14">
        <f>INDEX(章节关卡!$I$6:$I$34,芦花古楼!AI74)*芦花古楼!AJ74</f>
        <v>0</v>
      </c>
      <c r="AP74" s="14">
        <v>200</v>
      </c>
      <c r="AS74" s="18">
        <v>69</v>
      </c>
      <c r="AT74" s="87">
        <v>23</v>
      </c>
      <c r="AV74" s="18">
        <v>69</v>
      </c>
      <c r="AW74" s="87">
        <v>26</v>
      </c>
      <c r="AY74" s="18">
        <v>69</v>
      </c>
      <c r="AZ74" s="18">
        <v>26</v>
      </c>
      <c r="BB74" s="18">
        <v>69</v>
      </c>
      <c r="BC74" s="18">
        <v>26</v>
      </c>
      <c r="BF74" s="18">
        <v>69</v>
      </c>
      <c r="BG74" s="14">
        <f t="shared" si="31"/>
        <v>0</v>
      </c>
      <c r="BH74" s="14">
        <f t="shared" si="32"/>
        <v>480</v>
      </c>
      <c r="BI74" s="14">
        <f t="shared" si="33"/>
        <v>0</v>
      </c>
      <c r="BJ74" s="14">
        <f t="shared" si="34"/>
        <v>1200</v>
      </c>
      <c r="BK74" s="14">
        <f t="shared" si="35"/>
        <v>480</v>
      </c>
      <c r="BL74" s="14">
        <f t="shared" si="36"/>
        <v>960</v>
      </c>
      <c r="CJ74" s="52">
        <v>70</v>
      </c>
      <c r="CK74" s="52">
        <v>1</v>
      </c>
      <c r="CL74" s="52" t="s">
        <v>244</v>
      </c>
      <c r="CM74" s="52">
        <v>70</v>
      </c>
      <c r="CN74" s="52"/>
      <c r="CO74" s="52"/>
      <c r="CP74" s="52"/>
      <c r="CQ74" s="52" t="s">
        <v>358</v>
      </c>
      <c r="CR74" s="52">
        <v>4320</v>
      </c>
      <c r="CS74" s="52" t="s">
        <v>359</v>
      </c>
      <c r="CT74" s="52">
        <v>70</v>
      </c>
      <c r="CU74" s="52" t="s">
        <v>259</v>
      </c>
      <c r="CV74" s="52">
        <v>2</v>
      </c>
      <c r="CW74" s="52" t="s">
        <v>359</v>
      </c>
      <c r="CX74" s="52">
        <v>90</v>
      </c>
      <c r="CY74" s="52"/>
      <c r="CZ74" s="52"/>
      <c r="DA74" s="52"/>
      <c r="DB74" s="52"/>
      <c r="DC74" s="52"/>
      <c r="DD74" s="52"/>
      <c r="DE74" s="52"/>
      <c r="DF74" s="52"/>
      <c r="DG74" s="52"/>
      <c r="DH74" s="52"/>
    </row>
    <row r="75" spans="1:112" ht="16.5" x14ac:dyDescent="0.2">
      <c r="A75" s="22">
        <v>71</v>
      </c>
      <c r="B75" s="46">
        <v>17</v>
      </c>
      <c r="C75" s="123">
        <v>0</v>
      </c>
      <c r="D75" s="87"/>
      <c r="E75" s="78">
        <f>INDEX(章节关卡!$G$6:$G$34,芦花古楼!B75)*芦花古楼!C75</f>
        <v>0</v>
      </c>
      <c r="F75" s="22">
        <f t="shared" si="22"/>
        <v>75</v>
      </c>
      <c r="G75" s="22">
        <f t="shared" si="23"/>
        <v>90</v>
      </c>
      <c r="H75" s="14">
        <f>INDEX(章节关卡!$I$6:$I$34,芦花古楼!B75)*芦花古楼!C75</f>
        <v>0</v>
      </c>
      <c r="I75" s="14">
        <v>200</v>
      </c>
      <c r="L75" s="22">
        <v>71</v>
      </c>
      <c r="M75" s="78">
        <f t="shared" si="26"/>
        <v>18</v>
      </c>
      <c r="N75" s="123">
        <v>0</v>
      </c>
      <c r="O75" s="87"/>
      <c r="P75" s="78">
        <f>INDEX(章节关卡!$G$6:$G$34,芦花古楼!M75)*芦花古楼!N75</f>
        <v>0</v>
      </c>
      <c r="Q75" s="22">
        <f t="shared" si="27"/>
        <v>80</v>
      </c>
      <c r="R75" s="22">
        <f t="shared" si="28"/>
        <v>90</v>
      </c>
      <c r="S75" s="14">
        <f>INDEX(章节关卡!$I$6:$I$34,芦花古楼!M75)*芦花古楼!N75</f>
        <v>0</v>
      </c>
      <c r="T75" s="14">
        <v>200</v>
      </c>
      <c r="W75" s="22">
        <v>71</v>
      </c>
      <c r="X75" s="46">
        <v>18</v>
      </c>
      <c r="Y75" s="123">
        <v>0</v>
      </c>
      <c r="Z75" s="87"/>
      <c r="AA75" s="87">
        <f>INDEX(章节关卡!$G$6:$G$34,芦花古楼!X75)*芦花古楼!Y75</f>
        <v>0</v>
      </c>
      <c r="AB75" s="22">
        <f t="shared" si="24"/>
        <v>85</v>
      </c>
      <c r="AC75" s="22">
        <f t="shared" si="25"/>
        <v>90</v>
      </c>
      <c r="AD75" s="14">
        <f>INDEX(章节关卡!$I$6:$I$34,芦花古楼!X75)*芦花古楼!Y75</f>
        <v>0</v>
      </c>
      <c r="AE75" s="14">
        <v>200</v>
      </c>
      <c r="AH75" s="22">
        <v>71</v>
      </c>
      <c r="AI75" s="46">
        <v>18</v>
      </c>
      <c r="AJ75" s="123">
        <v>0</v>
      </c>
      <c r="AK75" s="87"/>
      <c r="AL75" s="87">
        <f>INDEX(章节关卡!$G$6:$G$34,芦花古楼!AI75)*芦花古楼!AJ75</f>
        <v>0</v>
      </c>
      <c r="AM75" s="22">
        <f t="shared" si="29"/>
        <v>90</v>
      </c>
      <c r="AN75" s="22">
        <f t="shared" si="30"/>
        <v>90</v>
      </c>
      <c r="AO75" s="14">
        <f>INDEX(章节关卡!$I$6:$I$34,芦花古楼!AI75)*芦花古楼!AJ75</f>
        <v>0</v>
      </c>
      <c r="AP75" s="14">
        <v>200</v>
      </c>
      <c r="AS75" s="18">
        <v>70</v>
      </c>
      <c r="AT75" s="87">
        <v>23</v>
      </c>
      <c r="AV75" s="18">
        <v>70</v>
      </c>
      <c r="AW75" s="87">
        <v>26</v>
      </c>
      <c r="AY75" s="18">
        <v>70</v>
      </c>
      <c r="AZ75" s="18">
        <v>26</v>
      </c>
      <c r="BB75" s="18">
        <v>70</v>
      </c>
      <c r="BC75" s="18">
        <v>26</v>
      </c>
      <c r="BF75" s="18">
        <v>70</v>
      </c>
      <c r="BG75" s="14">
        <f t="shared" si="31"/>
        <v>0</v>
      </c>
      <c r="BH75" s="14">
        <f t="shared" si="32"/>
        <v>480</v>
      </c>
      <c r="BI75" s="14">
        <f t="shared" si="33"/>
        <v>0</v>
      </c>
      <c r="BJ75" s="14">
        <f t="shared" si="34"/>
        <v>1200</v>
      </c>
      <c r="BK75" s="14">
        <f t="shared" si="35"/>
        <v>480</v>
      </c>
      <c r="BL75" s="14">
        <f t="shared" si="36"/>
        <v>960</v>
      </c>
      <c r="CJ75" s="52">
        <v>71</v>
      </c>
      <c r="CK75" s="52">
        <v>1</v>
      </c>
      <c r="CL75" s="52" t="s">
        <v>244</v>
      </c>
      <c r="CM75" s="52">
        <v>71</v>
      </c>
      <c r="CN75" s="52"/>
      <c r="CO75" s="52"/>
      <c r="CP75" s="52"/>
      <c r="CQ75" s="52" t="s">
        <v>358</v>
      </c>
      <c r="CR75" s="52">
        <v>4320</v>
      </c>
      <c r="CS75" s="52" t="s">
        <v>359</v>
      </c>
      <c r="CT75" s="52">
        <v>75</v>
      </c>
      <c r="CU75" s="52"/>
      <c r="CV75" s="52"/>
      <c r="CW75" s="52" t="s">
        <v>359</v>
      </c>
      <c r="CX75" s="52">
        <v>90</v>
      </c>
      <c r="CY75" s="52"/>
      <c r="CZ75" s="52"/>
      <c r="DA75" s="52"/>
      <c r="DB75" s="52"/>
      <c r="DC75" s="52"/>
      <c r="DD75" s="52"/>
      <c r="DE75" s="52"/>
      <c r="DF75" s="52"/>
      <c r="DG75" s="52"/>
      <c r="DH75" s="52"/>
    </row>
    <row r="76" spans="1:112" ht="16.5" x14ac:dyDescent="0.2">
      <c r="A76" s="22">
        <v>72</v>
      </c>
      <c r="B76" s="78">
        <v>17</v>
      </c>
      <c r="C76" s="123">
        <v>0</v>
      </c>
      <c r="D76" s="87"/>
      <c r="E76" s="78">
        <f>INDEX(章节关卡!$G$6:$G$34,芦花古楼!B76)*芦花古楼!C76</f>
        <v>0</v>
      </c>
      <c r="F76" s="22">
        <f t="shared" si="22"/>
        <v>75</v>
      </c>
      <c r="G76" s="22">
        <f t="shared" si="23"/>
        <v>90</v>
      </c>
      <c r="H76" s="14">
        <f>INDEX(章节关卡!$I$6:$I$34,芦花古楼!B76)*芦花古楼!C76</f>
        <v>0</v>
      </c>
      <c r="I76" s="14">
        <v>200</v>
      </c>
      <c r="L76" s="22">
        <v>72</v>
      </c>
      <c r="M76" s="78">
        <f t="shared" si="26"/>
        <v>18</v>
      </c>
      <c r="N76" s="123">
        <v>0</v>
      </c>
      <c r="O76" s="87"/>
      <c r="P76" s="78">
        <f>INDEX(章节关卡!$G$6:$G$34,芦花古楼!M76)*芦花古楼!N76</f>
        <v>0</v>
      </c>
      <c r="Q76" s="22">
        <f t="shared" si="27"/>
        <v>80</v>
      </c>
      <c r="R76" s="22">
        <f t="shared" si="28"/>
        <v>90</v>
      </c>
      <c r="S76" s="14">
        <f>INDEX(章节关卡!$I$6:$I$34,芦花古楼!M76)*芦花古楼!N76</f>
        <v>0</v>
      </c>
      <c r="T76" s="14">
        <v>200</v>
      </c>
      <c r="W76" s="22">
        <v>72</v>
      </c>
      <c r="X76" s="46">
        <v>18</v>
      </c>
      <c r="Y76" s="123">
        <v>0</v>
      </c>
      <c r="Z76" s="87"/>
      <c r="AA76" s="87">
        <f>INDEX(章节关卡!$G$6:$G$34,芦花古楼!X76)*芦花古楼!Y76</f>
        <v>0</v>
      </c>
      <c r="AB76" s="22">
        <f t="shared" si="24"/>
        <v>85</v>
      </c>
      <c r="AC76" s="22">
        <f t="shared" si="25"/>
        <v>90</v>
      </c>
      <c r="AD76" s="14">
        <f>INDEX(章节关卡!$I$6:$I$34,芦花古楼!X76)*芦花古楼!Y76</f>
        <v>0</v>
      </c>
      <c r="AE76" s="14">
        <v>200</v>
      </c>
      <c r="AH76" s="22">
        <v>72</v>
      </c>
      <c r="AI76" s="46">
        <v>18</v>
      </c>
      <c r="AJ76" s="123">
        <v>0</v>
      </c>
      <c r="AK76" s="87"/>
      <c r="AL76" s="87">
        <f>INDEX(章节关卡!$G$6:$G$34,芦花古楼!AI76)*芦花古楼!AJ76</f>
        <v>0</v>
      </c>
      <c r="AM76" s="22">
        <f t="shared" si="29"/>
        <v>90</v>
      </c>
      <c r="AN76" s="22">
        <f t="shared" si="30"/>
        <v>90</v>
      </c>
      <c r="AO76" s="14">
        <f>INDEX(章节关卡!$I$6:$I$34,芦花古楼!AI76)*芦花古楼!AJ76</f>
        <v>0</v>
      </c>
      <c r="AP76" s="14">
        <v>200</v>
      </c>
      <c r="AS76" s="18">
        <v>71</v>
      </c>
      <c r="AT76" s="87">
        <v>24</v>
      </c>
      <c r="AV76" s="18">
        <v>71</v>
      </c>
      <c r="AW76" s="87">
        <v>27</v>
      </c>
      <c r="AY76" s="18">
        <v>71</v>
      </c>
      <c r="AZ76" s="18">
        <v>27</v>
      </c>
      <c r="BB76" s="18">
        <v>71</v>
      </c>
      <c r="BC76" s="18">
        <v>27</v>
      </c>
      <c r="BF76" s="18">
        <v>71</v>
      </c>
      <c r="BG76" s="14">
        <f t="shared" si="31"/>
        <v>0</v>
      </c>
      <c r="BH76" s="14">
        <f t="shared" si="32"/>
        <v>480</v>
      </c>
      <c r="BI76" s="14">
        <f t="shared" si="33"/>
        <v>0</v>
      </c>
      <c r="BJ76" s="14">
        <f t="shared" si="34"/>
        <v>1200</v>
      </c>
      <c r="BK76" s="14">
        <f t="shared" si="35"/>
        <v>480</v>
      </c>
      <c r="BL76" s="14">
        <f t="shared" si="36"/>
        <v>960</v>
      </c>
      <c r="CJ76" s="52">
        <v>72</v>
      </c>
      <c r="CK76" s="52">
        <v>1</v>
      </c>
      <c r="CL76" s="52" t="s">
        <v>244</v>
      </c>
      <c r="CM76" s="52">
        <v>72</v>
      </c>
      <c r="CN76" s="52"/>
      <c r="CO76" s="52"/>
      <c r="CP76" s="52"/>
      <c r="CQ76" s="52" t="s">
        <v>358</v>
      </c>
      <c r="CR76" s="52">
        <v>4320</v>
      </c>
      <c r="CS76" s="52" t="s">
        <v>359</v>
      </c>
      <c r="CT76" s="52">
        <v>75</v>
      </c>
      <c r="CU76" s="52"/>
      <c r="CV76" s="52"/>
      <c r="CW76" s="52" t="s">
        <v>359</v>
      </c>
      <c r="CX76" s="52">
        <v>90</v>
      </c>
      <c r="CY76" s="52"/>
      <c r="CZ76" s="52"/>
      <c r="DA76" s="52"/>
      <c r="DB76" s="52"/>
      <c r="DC76" s="52"/>
      <c r="DD76" s="52"/>
      <c r="DE76" s="52"/>
      <c r="DF76" s="52"/>
      <c r="DG76" s="52"/>
      <c r="DH76" s="52"/>
    </row>
    <row r="77" spans="1:112" ht="16.5" x14ac:dyDescent="0.2">
      <c r="A77" s="22">
        <v>73</v>
      </c>
      <c r="B77" s="78">
        <v>17</v>
      </c>
      <c r="C77" s="123">
        <v>0</v>
      </c>
      <c r="D77" s="87"/>
      <c r="E77" s="78">
        <f>INDEX(章节关卡!$G$6:$G$34,芦花古楼!B77)*芦花古楼!C77</f>
        <v>0</v>
      </c>
      <c r="F77" s="22">
        <f t="shared" si="22"/>
        <v>75</v>
      </c>
      <c r="G77" s="22">
        <f t="shared" si="23"/>
        <v>90</v>
      </c>
      <c r="H77" s="14">
        <f>INDEX(章节关卡!$I$6:$I$34,芦花古楼!B77)*芦花古楼!C77</f>
        <v>0</v>
      </c>
      <c r="I77" s="14">
        <v>200</v>
      </c>
      <c r="L77" s="22">
        <v>73</v>
      </c>
      <c r="M77" s="78">
        <f t="shared" si="26"/>
        <v>18</v>
      </c>
      <c r="N77" s="123">
        <v>0</v>
      </c>
      <c r="O77" s="87"/>
      <c r="P77" s="78">
        <f>INDEX(章节关卡!$G$6:$G$34,芦花古楼!M77)*芦花古楼!N77</f>
        <v>0</v>
      </c>
      <c r="Q77" s="22">
        <f t="shared" si="27"/>
        <v>80</v>
      </c>
      <c r="R77" s="22">
        <f t="shared" si="28"/>
        <v>90</v>
      </c>
      <c r="S77" s="14">
        <f>INDEX(章节关卡!$I$6:$I$34,芦花古楼!M77)*芦花古楼!N77</f>
        <v>0</v>
      </c>
      <c r="T77" s="14">
        <v>200</v>
      </c>
      <c r="W77" s="22">
        <v>73</v>
      </c>
      <c r="X77" s="46">
        <v>18</v>
      </c>
      <c r="Y77" s="123">
        <v>0</v>
      </c>
      <c r="Z77" s="87"/>
      <c r="AA77" s="87">
        <f>INDEX(章节关卡!$G$6:$G$34,芦花古楼!X77)*芦花古楼!Y77</f>
        <v>0</v>
      </c>
      <c r="AB77" s="22">
        <f t="shared" si="24"/>
        <v>85</v>
      </c>
      <c r="AC77" s="22">
        <f t="shared" si="25"/>
        <v>90</v>
      </c>
      <c r="AD77" s="14">
        <f>INDEX(章节关卡!$I$6:$I$34,芦花古楼!X77)*芦花古楼!Y77</f>
        <v>0</v>
      </c>
      <c r="AE77" s="14">
        <v>200</v>
      </c>
      <c r="AH77" s="22">
        <v>73</v>
      </c>
      <c r="AI77" s="46">
        <v>18</v>
      </c>
      <c r="AJ77" s="123">
        <v>0</v>
      </c>
      <c r="AK77" s="87"/>
      <c r="AL77" s="87">
        <f>INDEX(章节关卡!$G$6:$G$34,芦花古楼!AI77)*芦花古楼!AJ77</f>
        <v>0</v>
      </c>
      <c r="AM77" s="22">
        <f t="shared" si="29"/>
        <v>90</v>
      </c>
      <c r="AN77" s="22">
        <f t="shared" si="30"/>
        <v>90</v>
      </c>
      <c r="AO77" s="14">
        <f>INDEX(章节关卡!$I$6:$I$34,芦花古楼!AI77)*芦花古楼!AJ77</f>
        <v>0</v>
      </c>
      <c r="AP77" s="14">
        <v>200</v>
      </c>
      <c r="AS77" s="18">
        <v>72</v>
      </c>
      <c r="AT77" s="87">
        <v>24</v>
      </c>
      <c r="AV77" s="18">
        <v>72</v>
      </c>
      <c r="AW77" s="87">
        <v>27</v>
      </c>
      <c r="AY77" s="18">
        <v>72</v>
      </c>
      <c r="AZ77" s="18">
        <v>27</v>
      </c>
      <c r="BB77" s="18">
        <v>72</v>
      </c>
      <c r="BC77" s="18">
        <v>27</v>
      </c>
      <c r="BF77" s="18">
        <v>72</v>
      </c>
      <c r="BG77" s="14">
        <f t="shared" si="31"/>
        <v>0</v>
      </c>
      <c r="BH77" s="14">
        <f t="shared" si="32"/>
        <v>480</v>
      </c>
      <c r="BI77" s="14">
        <f t="shared" si="33"/>
        <v>0</v>
      </c>
      <c r="BJ77" s="14">
        <f t="shared" si="34"/>
        <v>1200</v>
      </c>
      <c r="BK77" s="14">
        <f t="shared" si="35"/>
        <v>480</v>
      </c>
      <c r="BL77" s="14">
        <f t="shared" si="36"/>
        <v>960</v>
      </c>
      <c r="CJ77" s="52">
        <v>73</v>
      </c>
      <c r="CK77" s="52">
        <v>1</v>
      </c>
      <c r="CL77" s="52" t="s">
        <v>244</v>
      </c>
      <c r="CM77" s="52">
        <v>73</v>
      </c>
      <c r="CN77" s="52"/>
      <c r="CO77" s="52"/>
      <c r="CP77" s="52"/>
      <c r="CQ77" s="52" t="s">
        <v>358</v>
      </c>
      <c r="CR77" s="52">
        <v>4320</v>
      </c>
      <c r="CS77" s="52" t="s">
        <v>359</v>
      </c>
      <c r="CT77" s="52">
        <v>75</v>
      </c>
      <c r="CU77" s="52"/>
      <c r="CV77" s="52"/>
      <c r="CW77" s="52" t="s">
        <v>359</v>
      </c>
      <c r="CX77" s="52">
        <v>90</v>
      </c>
      <c r="CY77" s="52"/>
      <c r="CZ77" s="52"/>
      <c r="DA77" s="52"/>
      <c r="DB77" s="52"/>
      <c r="DC77" s="52"/>
      <c r="DD77" s="52"/>
      <c r="DE77" s="52"/>
      <c r="DF77" s="52"/>
      <c r="DG77" s="52"/>
      <c r="DH77" s="52"/>
    </row>
    <row r="78" spans="1:112" ht="16.5" x14ac:dyDescent="0.2">
      <c r="A78" s="22">
        <v>74</v>
      </c>
      <c r="B78" s="78">
        <v>17</v>
      </c>
      <c r="C78" s="123">
        <v>0</v>
      </c>
      <c r="D78" s="87"/>
      <c r="E78" s="78">
        <f>INDEX(章节关卡!$G$6:$G$34,芦花古楼!B78)*芦花古楼!C78</f>
        <v>0</v>
      </c>
      <c r="F78" s="22">
        <f t="shared" si="22"/>
        <v>75</v>
      </c>
      <c r="G78" s="22">
        <f t="shared" si="23"/>
        <v>90</v>
      </c>
      <c r="H78" s="14">
        <f>INDEX(章节关卡!$I$6:$I$34,芦花古楼!B78)*芦花古楼!C78</f>
        <v>0</v>
      </c>
      <c r="I78" s="14">
        <v>200</v>
      </c>
      <c r="L78" s="22">
        <v>74</v>
      </c>
      <c r="M78" s="78">
        <f t="shared" si="26"/>
        <v>18</v>
      </c>
      <c r="N78" s="123">
        <v>0</v>
      </c>
      <c r="O78" s="87"/>
      <c r="P78" s="78">
        <f>INDEX(章节关卡!$G$6:$G$34,芦花古楼!M78)*芦花古楼!N78</f>
        <v>0</v>
      </c>
      <c r="Q78" s="22">
        <f t="shared" si="27"/>
        <v>80</v>
      </c>
      <c r="R78" s="22">
        <f t="shared" si="28"/>
        <v>90</v>
      </c>
      <c r="S78" s="14">
        <f>INDEX(章节关卡!$I$6:$I$34,芦花古楼!M78)*芦花古楼!N78</f>
        <v>0</v>
      </c>
      <c r="T78" s="14">
        <v>200</v>
      </c>
      <c r="W78" s="22">
        <v>74</v>
      </c>
      <c r="X78" s="46">
        <v>18</v>
      </c>
      <c r="Y78" s="123">
        <v>0</v>
      </c>
      <c r="Z78" s="87"/>
      <c r="AA78" s="87">
        <f>INDEX(章节关卡!$G$6:$G$34,芦花古楼!X78)*芦花古楼!Y78</f>
        <v>0</v>
      </c>
      <c r="AB78" s="22">
        <f t="shared" si="24"/>
        <v>85</v>
      </c>
      <c r="AC78" s="22">
        <f t="shared" si="25"/>
        <v>90</v>
      </c>
      <c r="AD78" s="14">
        <f>INDEX(章节关卡!$I$6:$I$34,芦花古楼!X78)*芦花古楼!Y78</f>
        <v>0</v>
      </c>
      <c r="AE78" s="14">
        <v>200</v>
      </c>
      <c r="AH78" s="22">
        <v>74</v>
      </c>
      <c r="AI78" s="46">
        <v>18</v>
      </c>
      <c r="AJ78" s="123">
        <v>0</v>
      </c>
      <c r="AK78" s="87"/>
      <c r="AL78" s="87">
        <f>INDEX(章节关卡!$G$6:$G$34,芦花古楼!AI78)*芦花古楼!AJ78</f>
        <v>0</v>
      </c>
      <c r="AM78" s="22">
        <f t="shared" si="29"/>
        <v>90</v>
      </c>
      <c r="AN78" s="22">
        <f t="shared" si="30"/>
        <v>90</v>
      </c>
      <c r="AO78" s="14">
        <f>INDEX(章节关卡!$I$6:$I$34,芦花古楼!AI78)*芦花古楼!AJ78</f>
        <v>0</v>
      </c>
      <c r="AP78" s="14">
        <v>200</v>
      </c>
      <c r="AS78" s="18">
        <v>73</v>
      </c>
      <c r="AT78" s="18">
        <v>25</v>
      </c>
      <c r="AV78" s="18">
        <v>73</v>
      </c>
      <c r="AW78" s="87">
        <v>28</v>
      </c>
      <c r="AY78" s="18">
        <v>73</v>
      </c>
      <c r="AZ78" s="18">
        <v>28</v>
      </c>
      <c r="BB78" s="18">
        <v>73</v>
      </c>
      <c r="BC78" s="18">
        <v>28</v>
      </c>
      <c r="BF78" s="18">
        <v>73</v>
      </c>
      <c r="BG78" s="14">
        <f t="shared" si="31"/>
        <v>0</v>
      </c>
      <c r="BH78" s="14">
        <f t="shared" si="32"/>
        <v>480</v>
      </c>
      <c r="BI78" s="14">
        <f t="shared" si="33"/>
        <v>0</v>
      </c>
      <c r="BJ78" s="14">
        <f t="shared" si="34"/>
        <v>1200</v>
      </c>
      <c r="BK78" s="14">
        <f t="shared" si="35"/>
        <v>480</v>
      </c>
      <c r="BL78" s="14">
        <f t="shared" si="36"/>
        <v>960</v>
      </c>
      <c r="CJ78" s="52">
        <v>74</v>
      </c>
      <c r="CK78" s="52">
        <v>1</v>
      </c>
      <c r="CL78" s="52" t="s">
        <v>244</v>
      </c>
      <c r="CM78" s="52">
        <v>74</v>
      </c>
      <c r="CN78" s="52"/>
      <c r="CO78" s="52"/>
      <c r="CP78" s="52"/>
      <c r="CQ78" s="52" t="s">
        <v>358</v>
      </c>
      <c r="CR78" s="52">
        <v>4320</v>
      </c>
      <c r="CS78" s="52" t="s">
        <v>359</v>
      </c>
      <c r="CT78" s="52">
        <v>75</v>
      </c>
      <c r="CU78" s="52"/>
      <c r="CV78" s="52"/>
      <c r="CW78" s="52" t="s">
        <v>359</v>
      </c>
      <c r="CX78" s="52">
        <v>90</v>
      </c>
      <c r="CY78" s="52"/>
      <c r="CZ78" s="52"/>
      <c r="DA78" s="52"/>
      <c r="DB78" s="52"/>
      <c r="DC78" s="52"/>
      <c r="DD78" s="52"/>
      <c r="DE78" s="52"/>
      <c r="DF78" s="52"/>
      <c r="DG78" s="52"/>
      <c r="DH78" s="52"/>
    </row>
    <row r="79" spans="1:112" ht="16.5" x14ac:dyDescent="0.2">
      <c r="A79" s="22">
        <v>75</v>
      </c>
      <c r="B79" s="78">
        <v>17</v>
      </c>
      <c r="C79" s="123">
        <v>0</v>
      </c>
      <c r="D79" s="87"/>
      <c r="E79" s="78">
        <f>INDEX(章节关卡!$G$6:$G$34,芦花古楼!B79)*芦花古楼!C79</f>
        <v>0</v>
      </c>
      <c r="F79" s="22">
        <f t="shared" si="22"/>
        <v>75</v>
      </c>
      <c r="G79" s="22">
        <f t="shared" si="23"/>
        <v>95</v>
      </c>
      <c r="H79" s="14">
        <f>INDEX(章节关卡!$I$6:$I$34,芦花古楼!B79)*芦花古楼!C79</f>
        <v>0</v>
      </c>
      <c r="I79" s="14">
        <v>200</v>
      </c>
      <c r="L79" s="22">
        <v>75</v>
      </c>
      <c r="M79" s="78">
        <f t="shared" si="26"/>
        <v>18</v>
      </c>
      <c r="N79" s="123">
        <v>0</v>
      </c>
      <c r="O79" s="87"/>
      <c r="P79" s="78">
        <f>INDEX(章节关卡!$G$6:$G$34,芦花古楼!M79)*芦花古楼!N79</f>
        <v>0</v>
      </c>
      <c r="Q79" s="22">
        <f t="shared" si="27"/>
        <v>80</v>
      </c>
      <c r="R79" s="22">
        <f t="shared" si="28"/>
        <v>95</v>
      </c>
      <c r="S79" s="14">
        <f>INDEX(章节关卡!$I$6:$I$34,芦花古楼!M79)*芦花古楼!N79</f>
        <v>0</v>
      </c>
      <c r="T79" s="14">
        <v>200</v>
      </c>
      <c r="W79" s="22">
        <v>75</v>
      </c>
      <c r="X79" s="46">
        <v>18</v>
      </c>
      <c r="Y79" s="123">
        <v>0</v>
      </c>
      <c r="Z79" s="87"/>
      <c r="AA79" s="87">
        <f>INDEX(章节关卡!$G$6:$G$34,芦花古楼!X79)*芦花古楼!Y79</f>
        <v>0</v>
      </c>
      <c r="AB79" s="22">
        <f t="shared" si="24"/>
        <v>85</v>
      </c>
      <c r="AC79" s="22">
        <f t="shared" si="25"/>
        <v>95</v>
      </c>
      <c r="AD79" s="14">
        <f>INDEX(章节关卡!$I$6:$I$34,芦花古楼!X79)*芦花古楼!Y79</f>
        <v>0</v>
      </c>
      <c r="AE79" s="14">
        <v>200</v>
      </c>
      <c r="AH79" s="22">
        <v>75</v>
      </c>
      <c r="AI79" s="46">
        <v>18</v>
      </c>
      <c r="AJ79" s="123">
        <v>0</v>
      </c>
      <c r="AK79" s="87"/>
      <c r="AL79" s="87">
        <f>INDEX(章节关卡!$G$6:$G$34,芦花古楼!AI79)*芦花古楼!AJ79</f>
        <v>0</v>
      </c>
      <c r="AM79" s="22">
        <f t="shared" si="29"/>
        <v>90</v>
      </c>
      <c r="AN79" s="22">
        <f t="shared" si="30"/>
        <v>95</v>
      </c>
      <c r="AO79" s="14">
        <f>INDEX(章节关卡!$I$6:$I$34,芦花古楼!AI79)*芦花古楼!AJ79</f>
        <v>0</v>
      </c>
      <c r="AP79" s="14">
        <v>200</v>
      </c>
      <c r="AS79" s="18">
        <v>74</v>
      </c>
      <c r="AT79" s="87">
        <v>25</v>
      </c>
      <c r="AV79" s="18">
        <v>74</v>
      </c>
      <c r="AW79" s="87">
        <v>28</v>
      </c>
      <c r="AY79" s="18">
        <v>74</v>
      </c>
      <c r="AZ79" s="18">
        <v>28</v>
      </c>
      <c r="BB79" s="18">
        <v>74</v>
      </c>
      <c r="BC79" s="18">
        <v>28</v>
      </c>
      <c r="BF79" s="18">
        <v>74</v>
      </c>
      <c r="BG79" s="14">
        <f t="shared" si="31"/>
        <v>0</v>
      </c>
      <c r="BH79" s="14">
        <f t="shared" si="32"/>
        <v>480</v>
      </c>
      <c r="BI79" s="14">
        <f t="shared" si="33"/>
        <v>0</v>
      </c>
      <c r="BJ79" s="14">
        <f t="shared" si="34"/>
        <v>1200</v>
      </c>
      <c r="BK79" s="14">
        <f t="shared" si="35"/>
        <v>480</v>
      </c>
      <c r="BL79" s="14">
        <f t="shared" si="36"/>
        <v>960</v>
      </c>
      <c r="CJ79" s="52">
        <v>75</v>
      </c>
      <c r="CK79" s="52">
        <v>1</v>
      </c>
      <c r="CL79" s="52" t="s">
        <v>244</v>
      </c>
      <c r="CM79" s="52">
        <v>75</v>
      </c>
      <c r="CN79" s="52"/>
      <c r="CO79" s="52"/>
      <c r="CP79" s="52"/>
      <c r="CQ79" s="52" t="s">
        <v>358</v>
      </c>
      <c r="CR79" s="52">
        <v>4320</v>
      </c>
      <c r="CS79" s="52" t="s">
        <v>359</v>
      </c>
      <c r="CT79" s="52">
        <v>75</v>
      </c>
      <c r="CU79" s="52" t="s">
        <v>360</v>
      </c>
      <c r="CV79" s="52">
        <v>2</v>
      </c>
      <c r="CW79" s="52" t="s">
        <v>359</v>
      </c>
      <c r="CX79" s="52">
        <v>95</v>
      </c>
      <c r="CY79" s="52"/>
      <c r="CZ79" s="52"/>
      <c r="DA79" s="52"/>
      <c r="DB79" s="52"/>
      <c r="DC79" s="52"/>
      <c r="DD79" s="52"/>
      <c r="DE79" s="52"/>
      <c r="DF79" s="52"/>
      <c r="DG79" s="52"/>
      <c r="DH79" s="52"/>
    </row>
    <row r="80" spans="1:112" ht="16.5" x14ac:dyDescent="0.2">
      <c r="A80" s="22">
        <v>76</v>
      </c>
      <c r="B80" s="46">
        <v>18</v>
      </c>
      <c r="C80" s="123">
        <v>0</v>
      </c>
      <c r="D80" s="87"/>
      <c r="E80" s="78">
        <f>INDEX(章节关卡!$G$6:$G$34,芦花古楼!B80)*芦花古楼!C80</f>
        <v>0</v>
      </c>
      <c r="F80" s="22">
        <f t="shared" si="22"/>
        <v>80</v>
      </c>
      <c r="G80" s="22">
        <f t="shared" si="23"/>
        <v>95</v>
      </c>
      <c r="H80" s="14">
        <f>INDEX(章节关卡!$I$6:$I$34,芦花古楼!B80)*芦花古楼!C80</f>
        <v>0</v>
      </c>
      <c r="I80" s="14">
        <v>200</v>
      </c>
      <c r="L80" s="22">
        <v>76</v>
      </c>
      <c r="M80" s="78">
        <f t="shared" si="26"/>
        <v>19</v>
      </c>
      <c r="N80" s="123">
        <v>0</v>
      </c>
      <c r="O80" s="87"/>
      <c r="P80" s="78">
        <f>INDEX(章节关卡!$G$6:$G$34,芦花古楼!M80)*芦花古楼!N80</f>
        <v>0</v>
      </c>
      <c r="Q80" s="22">
        <f t="shared" si="27"/>
        <v>85</v>
      </c>
      <c r="R80" s="22">
        <f t="shared" si="28"/>
        <v>95</v>
      </c>
      <c r="S80" s="14">
        <f>INDEX(章节关卡!$I$6:$I$34,芦花古楼!M80)*芦花古楼!N80</f>
        <v>0</v>
      </c>
      <c r="T80" s="14">
        <v>200</v>
      </c>
      <c r="W80" s="22">
        <v>76</v>
      </c>
      <c r="X80" s="46">
        <v>19</v>
      </c>
      <c r="Y80" s="123">
        <v>0</v>
      </c>
      <c r="Z80" s="87"/>
      <c r="AA80" s="87">
        <f>INDEX(章节关卡!$G$6:$G$34,芦花古楼!X80)*芦花古楼!Y80</f>
        <v>0</v>
      </c>
      <c r="AB80" s="22">
        <f t="shared" si="24"/>
        <v>90</v>
      </c>
      <c r="AC80" s="22">
        <f t="shared" si="25"/>
        <v>95</v>
      </c>
      <c r="AD80" s="14">
        <f>INDEX(章节关卡!$I$6:$I$34,芦花古楼!X80)*芦花古楼!Y80</f>
        <v>0</v>
      </c>
      <c r="AE80" s="14">
        <v>200</v>
      </c>
      <c r="AH80" s="22">
        <v>76</v>
      </c>
      <c r="AI80" s="46">
        <v>19</v>
      </c>
      <c r="AJ80" s="123">
        <v>0</v>
      </c>
      <c r="AK80" s="87"/>
      <c r="AL80" s="87">
        <f>INDEX(章节关卡!$G$6:$G$34,芦花古楼!AI80)*芦花古楼!AJ80</f>
        <v>0</v>
      </c>
      <c r="AM80" s="22">
        <f t="shared" si="29"/>
        <v>95</v>
      </c>
      <c r="AN80" s="22">
        <f t="shared" si="30"/>
        <v>95</v>
      </c>
      <c r="AO80" s="14">
        <f>INDEX(章节关卡!$I$6:$I$34,芦花古楼!AI80)*芦花古楼!AJ80</f>
        <v>0</v>
      </c>
      <c r="AP80" s="14">
        <v>200</v>
      </c>
      <c r="AS80" s="18">
        <v>75</v>
      </c>
      <c r="AT80" s="87">
        <v>26</v>
      </c>
      <c r="AV80" s="18">
        <v>75</v>
      </c>
      <c r="AW80" s="87">
        <v>29</v>
      </c>
      <c r="AY80" s="18">
        <v>75</v>
      </c>
      <c r="AZ80" s="18">
        <v>29</v>
      </c>
      <c r="BB80" s="18">
        <v>75</v>
      </c>
      <c r="BC80" s="18">
        <v>29</v>
      </c>
      <c r="BF80" s="18">
        <v>75</v>
      </c>
      <c r="BG80" s="14">
        <f t="shared" si="31"/>
        <v>0</v>
      </c>
      <c r="BH80" s="14">
        <f t="shared" si="32"/>
        <v>480</v>
      </c>
      <c r="BI80" s="14">
        <f t="shared" si="33"/>
        <v>0</v>
      </c>
      <c r="BJ80" s="14">
        <f t="shared" si="34"/>
        <v>1200</v>
      </c>
      <c r="BK80" s="14">
        <f t="shared" si="35"/>
        <v>480</v>
      </c>
      <c r="BL80" s="14">
        <f t="shared" si="36"/>
        <v>960</v>
      </c>
      <c r="CJ80" s="52">
        <v>76</v>
      </c>
      <c r="CK80" s="52">
        <v>1</v>
      </c>
      <c r="CL80" s="52" t="s">
        <v>244</v>
      </c>
      <c r="CM80" s="52">
        <v>76</v>
      </c>
      <c r="CN80" s="52"/>
      <c r="CO80" s="52"/>
      <c r="CP80" s="52"/>
      <c r="CQ80" s="52" t="s">
        <v>358</v>
      </c>
      <c r="CR80" s="52">
        <v>4320</v>
      </c>
      <c r="CS80" s="52" t="s">
        <v>359</v>
      </c>
      <c r="CT80" s="52">
        <v>80</v>
      </c>
      <c r="CU80" s="52"/>
      <c r="CV80" s="52"/>
      <c r="CW80" s="52" t="s">
        <v>359</v>
      </c>
      <c r="CX80" s="52">
        <v>95</v>
      </c>
      <c r="CY80" s="52"/>
      <c r="CZ80" s="52"/>
      <c r="DA80" s="52"/>
      <c r="DB80" s="52"/>
      <c r="DC80" s="52"/>
      <c r="DD80" s="52"/>
      <c r="DE80" s="52"/>
      <c r="DF80" s="52"/>
      <c r="DG80" s="52"/>
      <c r="DH80" s="52"/>
    </row>
    <row r="81" spans="1:112" ht="16.5" x14ac:dyDescent="0.2">
      <c r="A81" s="22">
        <v>77</v>
      </c>
      <c r="B81" s="78">
        <v>18</v>
      </c>
      <c r="C81" s="123">
        <v>0</v>
      </c>
      <c r="D81" s="87"/>
      <c r="E81" s="78">
        <f>INDEX(章节关卡!$G$6:$G$34,芦花古楼!B81)*芦花古楼!C81</f>
        <v>0</v>
      </c>
      <c r="F81" s="22">
        <f t="shared" si="22"/>
        <v>80</v>
      </c>
      <c r="G81" s="22">
        <f t="shared" si="23"/>
        <v>95</v>
      </c>
      <c r="H81" s="14">
        <f>INDEX(章节关卡!$I$6:$I$34,芦花古楼!B81)*芦花古楼!C81</f>
        <v>0</v>
      </c>
      <c r="I81" s="14">
        <v>200</v>
      </c>
      <c r="L81" s="22">
        <v>77</v>
      </c>
      <c r="M81" s="78">
        <f t="shared" si="26"/>
        <v>19</v>
      </c>
      <c r="N81" s="123">
        <v>0</v>
      </c>
      <c r="O81" s="87"/>
      <c r="P81" s="78">
        <f>INDEX(章节关卡!$G$6:$G$34,芦花古楼!M81)*芦花古楼!N81</f>
        <v>0</v>
      </c>
      <c r="Q81" s="22">
        <f t="shared" si="27"/>
        <v>85</v>
      </c>
      <c r="R81" s="22">
        <f t="shared" si="28"/>
        <v>95</v>
      </c>
      <c r="S81" s="14">
        <f>INDEX(章节关卡!$I$6:$I$34,芦花古楼!M81)*芦花古楼!N81</f>
        <v>0</v>
      </c>
      <c r="T81" s="14">
        <v>200</v>
      </c>
      <c r="W81" s="22">
        <v>77</v>
      </c>
      <c r="X81" s="46">
        <v>19</v>
      </c>
      <c r="Y81" s="123">
        <v>0</v>
      </c>
      <c r="Z81" s="87"/>
      <c r="AA81" s="87">
        <f>INDEX(章节关卡!$G$6:$G$34,芦花古楼!X81)*芦花古楼!Y81</f>
        <v>0</v>
      </c>
      <c r="AB81" s="22">
        <f t="shared" si="24"/>
        <v>90</v>
      </c>
      <c r="AC81" s="22">
        <f t="shared" si="25"/>
        <v>95</v>
      </c>
      <c r="AD81" s="14">
        <f>INDEX(章节关卡!$I$6:$I$34,芦花古楼!X81)*芦花古楼!Y81</f>
        <v>0</v>
      </c>
      <c r="AE81" s="14">
        <v>200</v>
      </c>
      <c r="AH81" s="22">
        <v>77</v>
      </c>
      <c r="AI81" s="46">
        <v>19</v>
      </c>
      <c r="AJ81" s="123">
        <v>0</v>
      </c>
      <c r="AK81" s="87"/>
      <c r="AL81" s="87">
        <f>INDEX(章节关卡!$G$6:$G$34,芦花古楼!AI81)*芦花古楼!AJ81</f>
        <v>0</v>
      </c>
      <c r="AM81" s="22">
        <f t="shared" si="29"/>
        <v>95</v>
      </c>
      <c r="AN81" s="22">
        <f t="shared" si="30"/>
        <v>95</v>
      </c>
      <c r="AO81" s="14">
        <f>INDEX(章节关卡!$I$6:$I$34,芦花古楼!AI81)*芦花古楼!AJ81</f>
        <v>0</v>
      </c>
      <c r="AP81" s="14">
        <v>200</v>
      </c>
      <c r="AS81" s="18">
        <v>76</v>
      </c>
      <c r="AT81" s="87">
        <v>26</v>
      </c>
      <c r="AV81" s="18">
        <v>76</v>
      </c>
      <c r="AW81" s="87">
        <v>29</v>
      </c>
      <c r="AY81" s="18">
        <v>76</v>
      </c>
      <c r="AZ81" s="18">
        <v>29</v>
      </c>
      <c r="BB81" s="18">
        <v>76</v>
      </c>
      <c r="BC81" s="18">
        <v>29</v>
      </c>
      <c r="BF81" s="18">
        <v>76</v>
      </c>
      <c r="BG81" s="14">
        <f t="shared" si="31"/>
        <v>0</v>
      </c>
      <c r="BH81" s="14">
        <f t="shared" si="32"/>
        <v>480</v>
      </c>
      <c r="BI81" s="14">
        <f t="shared" si="33"/>
        <v>0</v>
      </c>
      <c r="BJ81" s="14">
        <f t="shared" si="34"/>
        <v>1200</v>
      </c>
      <c r="BK81" s="14">
        <f t="shared" si="35"/>
        <v>480</v>
      </c>
      <c r="BL81" s="14">
        <f t="shared" si="36"/>
        <v>960</v>
      </c>
      <c r="CJ81" s="52">
        <v>77</v>
      </c>
      <c r="CK81" s="52">
        <v>1</v>
      </c>
      <c r="CL81" s="52" t="s">
        <v>244</v>
      </c>
      <c r="CM81" s="52">
        <v>77</v>
      </c>
      <c r="CN81" s="52"/>
      <c r="CO81" s="52"/>
      <c r="CP81" s="52"/>
      <c r="CQ81" s="52" t="s">
        <v>358</v>
      </c>
      <c r="CR81" s="52">
        <v>4320</v>
      </c>
      <c r="CS81" s="52" t="s">
        <v>359</v>
      </c>
      <c r="CT81" s="52">
        <v>80</v>
      </c>
      <c r="CU81" s="52"/>
      <c r="CV81" s="52"/>
      <c r="CW81" s="52" t="s">
        <v>359</v>
      </c>
      <c r="CX81" s="52">
        <v>95</v>
      </c>
      <c r="CY81" s="52"/>
      <c r="CZ81" s="52"/>
      <c r="DA81" s="52"/>
      <c r="DB81" s="52"/>
      <c r="DC81" s="52"/>
      <c r="DD81" s="52"/>
      <c r="DE81" s="52"/>
      <c r="DF81" s="52"/>
      <c r="DG81" s="52"/>
      <c r="DH81" s="52"/>
    </row>
    <row r="82" spans="1:112" ht="16.5" x14ac:dyDescent="0.2">
      <c r="A82" s="22">
        <v>78</v>
      </c>
      <c r="B82" s="78">
        <v>18</v>
      </c>
      <c r="C82" s="123">
        <v>0</v>
      </c>
      <c r="D82" s="87"/>
      <c r="E82" s="78">
        <f>INDEX(章节关卡!$G$6:$G$34,芦花古楼!B82)*芦花古楼!C82</f>
        <v>0</v>
      </c>
      <c r="F82" s="22">
        <f t="shared" si="22"/>
        <v>80</v>
      </c>
      <c r="G82" s="22">
        <f t="shared" si="23"/>
        <v>95</v>
      </c>
      <c r="H82" s="14">
        <f>INDEX(章节关卡!$I$6:$I$34,芦花古楼!B82)*芦花古楼!C82</f>
        <v>0</v>
      </c>
      <c r="I82" s="14">
        <v>200</v>
      </c>
      <c r="L82" s="22">
        <v>78</v>
      </c>
      <c r="M82" s="78">
        <f t="shared" si="26"/>
        <v>19</v>
      </c>
      <c r="N82" s="123">
        <v>0</v>
      </c>
      <c r="O82" s="87"/>
      <c r="P82" s="78">
        <f>INDEX(章节关卡!$G$6:$G$34,芦花古楼!M82)*芦花古楼!N82</f>
        <v>0</v>
      </c>
      <c r="Q82" s="22">
        <f t="shared" si="27"/>
        <v>85</v>
      </c>
      <c r="R82" s="22">
        <f t="shared" si="28"/>
        <v>95</v>
      </c>
      <c r="S82" s="14">
        <f>INDEX(章节关卡!$I$6:$I$34,芦花古楼!M82)*芦花古楼!N82</f>
        <v>0</v>
      </c>
      <c r="T82" s="14">
        <v>200</v>
      </c>
      <c r="W82" s="22">
        <v>78</v>
      </c>
      <c r="X82" s="46">
        <v>19</v>
      </c>
      <c r="Y82" s="123">
        <v>0</v>
      </c>
      <c r="Z82" s="87"/>
      <c r="AA82" s="87">
        <f>INDEX(章节关卡!$G$6:$G$34,芦花古楼!X82)*芦花古楼!Y82</f>
        <v>0</v>
      </c>
      <c r="AB82" s="22">
        <f t="shared" si="24"/>
        <v>90</v>
      </c>
      <c r="AC82" s="22">
        <f t="shared" si="25"/>
        <v>95</v>
      </c>
      <c r="AD82" s="14">
        <f>INDEX(章节关卡!$I$6:$I$34,芦花古楼!X82)*芦花古楼!Y82</f>
        <v>0</v>
      </c>
      <c r="AE82" s="14">
        <v>200</v>
      </c>
      <c r="AH82" s="22">
        <v>78</v>
      </c>
      <c r="AI82" s="46">
        <v>19</v>
      </c>
      <c r="AJ82" s="123">
        <v>0</v>
      </c>
      <c r="AK82" s="87"/>
      <c r="AL82" s="87">
        <f>INDEX(章节关卡!$G$6:$G$34,芦花古楼!AI82)*芦花古楼!AJ82</f>
        <v>0</v>
      </c>
      <c r="AM82" s="22">
        <f t="shared" si="29"/>
        <v>95</v>
      </c>
      <c r="AN82" s="22">
        <f t="shared" si="30"/>
        <v>95</v>
      </c>
      <c r="AO82" s="14">
        <f>INDEX(章节关卡!$I$6:$I$34,芦花古楼!AI82)*芦花古楼!AJ82</f>
        <v>0</v>
      </c>
      <c r="AP82" s="14">
        <v>200</v>
      </c>
      <c r="AS82" s="18">
        <v>77</v>
      </c>
      <c r="AT82" s="87">
        <v>27</v>
      </c>
      <c r="AV82" s="18">
        <v>77</v>
      </c>
      <c r="AW82" s="87">
        <v>30</v>
      </c>
      <c r="AY82" s="18">
        <v>77</v>
      </c>
      <c r="AZ82" s="18">
        <v>30</v>
      </c>
      <c r="BB82" s="18">
        <v>77</v>
      </c>
      <c r="BC82" s="18">
        <v>30</v>
      </c>
      <c r="BF82" s="18">
        <v>77</v>
      </c>
      <c r="BG82" s="14">
        <f t="shared" si="31"/>
        <v>0</v>
      </c>
      <c r="BH82" s="14">
        <f t="shared" si="32"/>
        <v>480</v>
      </c>
      <c r="BI82" s="14">
        <f t="shared" si="33"/>
        <v>0</v>
      </c>
      <c r="BJ82" s="14">
        <f t="shared" si="34"/>
        <v>1200</v>
      </c>
      <c r="BK82" s="14">
        <f t="shared" si="35"/>
        <v>480</v>
      </c>
      <c r="BL82" s="14">
        <f t="shared" si="36"/>
        <v>960</v>
      </c>
      <c r="CJ82" s="52">
        <v>78</v>
      </c>
      <c r="CK82" s="52">
        <v>1</v>
      </c>
      <c r="CL82" s="52" t="s">
        <v>244</v>
      </c>
      <c r="CM82" s="52">
        <v>78</v>
      </c>
      <c r="CN82" s="52"/>
      <c r="CO82" s="52"/>
      <c r="CP82" s="52"/>
      <c r="CQ82" s="52" t="s">
        <v>358</v>
      </c>
      <c r="CR82" s="52">
        <v>4320</v>
      </c>
      <c r="CS82" s="52" t="s">
        <v>359</v>
      </c>
      <c r="CT82" s="52">
        <v>80</v>
      </c>
      <c r="CU82" s="52"/>
      <c r="CV82" s="52"/>
      <c r="CW82" s="52" t="s">
        <v>359</v>
      </c>
      <c r="CX82" s="52">
        <v>95</v>
      </c>
      <c r="CY82" s="52"/>
      <c r="CZ82" s="52"/>
      <c r="DA82" s="52"/>
      <c r="DB82" s="52"/>
      <c r="DC82" s="52"/>
      <c r="DD82" s="52"/>
      <c r="DE82" s="52"/>
      <c r="DF82" s="52"/>
      <c r="DG82" s="52"/>
      <c r="DH82" s="52"/>
    </row>
    <row r="83" spans="1:112" ht="16.5" x14ac:dyDescent="0.2">
      <c r="A83" s="22">
        <v>79</v>
      </c>
      <c r="B83" s="78">
        <v>18</v>
      </c>
      <c r="C83" s="123">
        <v>0</v>
      </c>
      <c r="D83" s="87"/>
      <c r="E83" s="78">
        <f>INDEX(章节关卡!$G$6:$G$34,芦花古楼!B83)*芦花古楼!C83</f>
        <v>0</v>
      </c>
      <c r="F83" s="22">
        <f t="shared" si="22"/>
        <v>80</v>
      </c>
      <c r="G83" s="22">
        <f t="shared" si="23"/>
        <v>95</v>
      </c>
      <c r="H83" s="14">
        <f>INDEX(章节关卡!$I$6:$I$34,芦花古楼!B83)*芦花古楼!C83</f>
        <v>0</v>
      </c>
      <c r="I83" s="14">
        <v>200</v>
      </c>
      <c r="L83" s="22">
        <v>79</v>
      </c>
      <c r="M83" s="78">
        <f t="shared" si="26"/>
        <v>19</v>
      </c>
      <c r="N83" s="123">
        <v>0</v>
      </c>
      <c r="O83" s="87"/>
      <c r="P83" s="78">
        <f>INDEX(章节关卡!$G$6:$G$34,芦花古楼!M83)*芦花古楼!N83</f>
        <v>0</v>
      </c>
      <c r="Q83" s="22">
        <f t="shared" si="27"/>
        <v>85</v>
      </c>
      <c r="R83" s="22">
        <f t="shared" si="28"/>
        <v>95</v>
      </c>
      <c r="S83" s="14">
        <f>INDEX(章节关卡!$I$6:$I$34,芦花古楼!M83)*芦花古楼!N83</f>
        <v>0</v>
      </c>
      <c r="T83" s="14">
        <v>200</v>
      </c>
      <c r="W83" s="22">
        <v>79</v>
      </c>
      <c r="X83" s="46">
        <v>19</v>
      </c>
      <c r="Y83" s="123">
        <v>0</v>
      </c>
      <c r="Z83" s="87"/>
      <c r="AA83" s="87">
        <f>INDEX(章节关卡!$G$6:$G$34,芦花古楼!X83)*芦花古楼!Y83</f>
        <v>0</v>
      </c>
      <c r="AB83" s="22">
        <f t="shared" si="24"/>
        <v>90</v>
      </c>
      <c r="AC83" s="22">
        <f t="shared" si="25"/>
        <v>95</v>
      </c>
      <c r="AD83" s="14">
        <f>INDEX(章节关卡!$I$6:$I$34,芦花古楼!X83)*芦花古楼!Y83</f>
        <v>0</v>
      </c>
      <c r="AE83" s="14">
        <v>200</v>
      </c>
      <c r="AH83" s="22">
        <v>79</v>
      </c>
      <c r="AI83" s="46">
        <v>19</v>
      </c>
      <c r="AJ83" s="123">
        <v>0</v>
      </c>
      <c r="AK83" s="87"/>
      <c r="AL83" s="87">
        <f>INDEX(章节关卡!$G$6:$G$34,芦花古楼!AI83)*芦花古楼!AJ83</f>
        <v>0</v>
      </c>
      <c r="AM83" s="22">
        <f t="shared" si="29"/>
        <v>95</v>
      </c>
      <c r="AN83" s="22">
        <f t="shared" si="30"/>
        <v>95</v>
      </c>
      <c r="AO83" s="14">
        <f>INDEX(章节关卡!$I$6:$I$34,芦花古楼!AI83)*芦花古楼!AJ83</f>
        <v>0</v>
      </c>
      <c r="AP83" s="14">
        <v>200</v>
      </c>
      <c r="AS83" s="18">
        <v>78</v>
      </c>
      <c r="AT83" s="87">
        <v>27</v>
      </c>
      <c r="AV83" s="18">
        <v>78</v>
      </c>
      <c r="AW83" s="87">
        <v>30</v>
      </c>
      <c r="AY83" s="18">
        <v>78</v>
      </c>
      <c r="AZ83" s="18">
        <v>30</v>
      </c>
      <c r="BB83" s="18">
        <v>78</v>
      </c>
      <c r="BC83" s="18">
        <v>30</v>
      </c>
      <c r="BF83" s="18">
        <v>78</v>
      </c>
      <c r="BG83" s="14">
        <f t="shared" si="31"/>
        <v>0</v>
      </c>
      <c r="BH83" s="14">
        <f t="shared" si="32"/>
        <v>480</v>
      </c>
      <c r="BI83" s="14">
        <f t="shared" si="33"/>
        <v>0</v>
      </c>
      <c r="BJ83" s="14">
        <f t="shared" si="34"/>
        <v>1200</v>
      </c>
      <c r="BK83" s="14">
        <f t="shared" si="35"/>
        <v>480</v>
      </c>
      <c r="BL83" s="14">
        <f t="shared" si="36"/>
        <v>960</v>
      </c>
      <c r="CJ83" s="52">
        <v>79</v>
      </c>
      <c r="CK83" s="52">
        <v>1</v>
      </c>
      <c r="CL83" s="52" t="s">
        <v>244</v>
      </c>
      <c r="CM83" s="52">
        <v>79</v>
      </c>
      <c r="CN83" s="52"/>
      <c r="CO83" s="52"/>
      <c r="CP83" s="52"/>
      <c r="CQ83" s="52" t="s">
        <v>358</v>
      </c>
      <c r="CR83" s="52">
        <v>4320</v>
      </c>
      <c r="CS83" s="52" t="s">
        <v>359</v>
      </c>
      <c r="CT83" s="52">
        <v>80</v>
      </c>
      <c r="CU83" s="52"/>
      <c r="CV83" s="52"/>
      <c r="CW83" s="52" t="s">
        <v>359</v>
      </c>
      <c r="CX83" s="52">
        <v>95</v>
      </c>
      <c r="CY83" s="52"/>
      <c r="CZ83" s="52"/>
      <c r="DA83" s="52"/>
      <c r="DB83" s="52"/>
      <c r="DC83" s="52"/>
      <c r="DD83" s="52"/>
      <c r="DE83" s="52"/>
      <c r="DF83" s="52"/>
      <c r="DG83" s="52"/>
      <c r="DH83" s="52"/>
    </row>
    <row r="84" spans="1:112" ht="16.5" x14ac:dyDescent="0.2">
      <c r="A84" s="22">
        <v>80</v>
      </c>
      <c r="B84" s="78">
        <v>18</v>
      </c>
      <c r="C84" s="123">
        <v>0</v>
      </c>
      <c r="D84" s="87"/>
      <c r="E84" s="78">
        <f>INDEX(章节关卡!$G$6:$G$34,芦花古楼!B84)*芦花古楼!C84</f>
        <v>0</v>
      </c>
      <c r="F84" s="22">
        <f t="shared" si="22"/>
        <v>80</v>
      </c>
      <c r="G84" s="22">
        <f t="shared" si="23"/>
        <v>100</v>
      </c>
      <c r="H84" s="14">
        <f>INDEX(章节关卡!$I$6:$I$34,芦花古楼!B84)*芦花古楼!C84</f>
        <v>0</v>
      </c>
      <c r="I84" s="14">
        <v>250</v>
      </c>
      <c r="L84" s="22">
        <v>80</v>
      </c>
      <c r="M84" s="78">
        <f t="shared" si="26"/>
        <v>19</v>
      </c>
      <c r="N84" s="123">
        <v>0</v>
      </c>
      <c r="O84" s="87"/>
      <c r="P84" s="78">
        <f>INDEX(章节关卡!$G$6:$G$34,芦花古楼!M84)*芦花古楼!N84</f>
        <v>0</v>
      </c>
      <c r="Q84" s="22">
        <f t="shared" si="27"/>
        <v>85</v>
      </c>
      <c r="R84" s="22">
        <f t="shared" si="28"/>
        <v>100</v>
      </c>
      <c r="S84" s="14">
        <f>INDEX(章节关卡!$I$6:$I$34,芦花古楼!M84)*芦花古楼!N84</f>
        <v>0</v>
      </c>
      <c r="T84" s="14">
        <v>250</v>
      </c>
      <c r="W84" s="22">
        <v>80</v>
      </c>
      <c r="X84" s="24">
        <v>19</v>
      </c>
      <c r="Y84" s="123">
        <v>0</v>
      </c>
      <c r="Z84" s="87"/>
      <c r="AA84" s="87">
        <f>INDEX(章节关卡!$G$6:$G$34,芦花古楼!X84)*芦花古楼!Y84</f>
        <v>0</v>
      </c>
      <c r="AB84" s="22">
        <f t="shared" si="24"/>
        <v>90</v>
      </c>
      <c r="AC84" s="22">
        <f t="shared" si="25"/>
        <v>100</v>
      </c>
      <c r="AD84" s="14">
        <f>INDEX(章节关卡!$I$6:$I$34,芦花古楼!X84)*芦花古楼!Y84</f>
        <v>0</v>
      </c>
      <c r="AE84" s="14">
        <v>250</v>
      </c>
      <c r="AH84" s="22">
        <v>80</v>
      </c>
      <c r="AI84" s="46">
        <v>19</v>
      </c>
      <c r="AJ84" s="123">
        <v>0</v>
      </c>
      <c r="AK84" s="87"/>
      <c r="AL84" s="87">
        <f>INDEX(章节关卡!$G$6:$G$34,芦花古楼!AI84)*芦花古楼!AJ84</f>
        <v>0</v>
      </c>
      <c r="AM84" s="22">
        <f t="shared" si="29"/>
        <v>95</v>
      </c>
      <c r="AN84" s="22">
        <f t="shared" si="30"/>
        <v>100</v>
      </c>
      <c r="AO84" s="14">
        <f>INDEX(章节关卡!$I$6:$I$34,芦花古楼!AI84)*芦花古楼!AJ84</f>
        <v>0</v>
      </c>
      <c r="AP84" s="14">
        <v>250</v>
      </c>
      <c r="AS84" s="18">
        <v>79</v>
      </c>
      <c r="AT84" s="18">
        <v>28</v>
      </c>
      <c r="AV84" s="18">
        <v>79</v>
      </c>
      <c r="AW84" s="87">
        <v>31</v>
      </c>
      <c r="AY84" s="18">
        <v>79</v>
      </c>
      <c r="AZ84" s="18">
        <v>31</v>
      </c>
      <c r="BB84" s="18">
        <v>79</v>
      </c>
      <c r="BC84" s="18">
        <v>31</v>
      </c>
      <c r="BF84" s="18">
        <v>79</v>
      </c>
      <c r="BG84" s="14">
        <f t="shared" si="31"/>
        <v>0</v>
      </c>
      <c r="BH84" s="14">
        <f t="shared" si="32"/>
        <v>480</v>
      </c>
      <c r="BI84" s="14">
        <f t="shared" si="33"/>
        <v>0</v>
      </c>
      <c r="BJ84" s="14">
        <f t="shared" si="34"/>
        <v>1200</v>
      </c>
      <c r="BK84" s="14">
        <f t="shared" si="35"/>
        <v>480</v>
      </c>
      <c r="BL84" s="14">
        <f t="shared" si="36"/>
        <v>960</v>
      </c>
      <c r="CJ84" s="52">
        <v>80</v>
      </c>
      <c r="CK84" s="52">
        <v>1</v>
      </c>
      <c r="CL84" s="52" t="s">
        <v>244</v>
      </c>
      <c r="CM84" s="52">
        <v>80</v>
      </c>
      <c r="CN84" s="52"/>
      <c r="CO84" s="52"/>
      <c r="CP84" s="52"/>
      <c r="CQ84" s="52" t="s">
        <v>358</v>
      </c>
      <c r="CR84" s="52">
        <v>5400</v>
      </c>
      <c r="CS84" s="52" t="s">
        <v>359</v>
      </c>
      <c r="CT84" s="52">
        <v>80</v>
      </c>
      <c r="CU84" s="52" t="s">
        <v>259</v>
      </c>
      <c r="CV84" s="52">
        <v>2</v>
      </c>
      <c r="CW84" s="52" t="s">
        <v>359</v>
      </c>
      <c r="CX84" s="52">
        <v>100</v>
      </c>
      <c r="CY84" s="52"/>
      <c r="CZ84" s="52"/>
      <c r="DA84" s="52"/>
      <c r="DB84" s="52"/>
      <c r="DC84" s="52"/>
      <c r="DD84" s="52"/>
      <c r="DE84" s="52"/>
      <c r="DF84" s="52"/>
      <c r="DG84" s="52"/>
      <c r="DH84" s="52"/>
    </row>
    <row r="85" spans="1:112" ht="16.5" x14ac:dyDescent="0.2">
      <c r="A85" s="22">
        <v>81</v>
      </c>
      <c r="B85" s="46">
        <v>19</v>
      </c>
      <c r="C85" s="123">
        <v>0</v>
      </c>
      <c r="D85" s="87"/>
      <c r="E85" s="78">
        <f>INDEX(章节关卡!$G$6:$G$34,芦花古楼!B85)*芦花古楼!C85</f>
        <v>0</v>
      </c>
      <c r="F85" s="22">
        <f t="shared" si="22"/>
        <v>85</v>
      </c>
      <c r="G85" s="22">
        <f t="shared" si="23"/>
        <v>100</v>
      </c>
      <c r="H85" s="14">
        <f>INDEX(章节关卡!$I$6:$I$34,芦花古楼!B85)*芦花古楼!C85</f>
        <v>0</v>
      </c>
      <c r="I85" s="14">
        <v>250</v>
      </c>
      <c r="L85" s="22">
        <v>81</v>
      </c>
      <c r="M85" s="78">
        <f t="shared" si="26"/>
        <v>20</v>
      </c>
      <c r="N85" s="123">
        <v>0</v>
      </c>
      <c r="O85" s="87"/>
      <c r="P85" s="78">
        <f>INDEX(章节关卡!$G$6:$G$34,芦花古楼!M85)*芦花古楼!N85</f>
        <v>0</v>
      </c>
      <c r="Q85" s="22">
        <f t="shared" si="27"/>
        <v>90</v>
      </c>
      <c r="R85" s="22">
        <f t="shared" si="28"/>
        <v>100</v>
      </c>
      <c r="S85" s="14">
        <f>INDEX(章节关卡!$I$6:$I$34,芦花古楼!M85)*芦花古楼!N85</f>
        <v>0</v>
      </c>
      <c r="T85" s="14">
        <v>250</v>
      </c>
      <c r="W85" s="22">
        <v>81</v>
      </c>
      <c r="X85" s="46">
        <v>20</v>
      </c>
      <c r="Y85" s="123">
        <v>0</v>
      </c>
      <c r="Z85" s="87"/>
      <c r="AA85" s="87">
        <f>INDEX(章节关卡!$G$6:$G$34,芦花古楼!X85)*芦花古楼!Y85</f>
        <v>0</v>
      </c>
      <c r="AB85" s="22">
        <f t="shared" si="24"/>
        <v>95</v>
      </c>
      <c r="AC85" s="22">
        <f t="shared" si="25"/>
        <v>100</v>
      </c>
      <c r="AD85" s="14">
        <f>INDEX(章节关卡!$I$6:$I$34,芦花古楼!X85)*芦花古楼!Y85</f>
        <v>0</v>
      </c>
      <c r="AE85" s="14">
        <v>250</v>
      </c>
      <c r="AH85" s="22">
        <v>81</v>
      </c>
      <c r="AI85" s="46">
        <v>20</v>
      </c>
      <c r="AJ85" s="123">
        <v>0</v>
      </c>
      <c r="AK85" s="87"/>
      <c r="AL85" s="87">
        <f>INDEX(章节关卡!$G$6:$G$34,芦花古楼!AI85)*芦花古楼!AJ85</f>
        <v>0</v>
      </c>
      <c r="AM85" s="22">
        <f t="shared" si="29"/>
        <v>100</v>
      </c>
      <c r="AN85" s="22">
        <f t="shared" si="30"/>
        <v>100</v>
      </c>
      <c r="AO85" s="14">
        <f>INDEX(章节关卡!$I$6:$I$34,芦花古楼!AI85)*芦花古楼!AJ85</f>
        <v>0</v>
      </c>
      <c r="AP85" s="14">
        <v>250</v>
      </c>
      <c r="AS85" s="18">
        <v>80</v>
      </c>
      <c r="AT85" s="87">
        <v>28</v>
      </c>
      <c r="AV85" s="18">
        <v>80</v>
      </c>
      <c r="AW85" s="87">
        <v>31</v>
      </c>
      <c r="AY85" s="18">
        <v>80</v>
      </c>
      <c r="AZ85" s="18">
        <v>31</v>
      </c>
      <c r="BB85" s="18">
        <v>80</v>
      </c>
      <c r="BC85" s="18">
        <v>31</v>
      </c>
      <c r="BF85" s="18">
        <v>80</v>
      </c>
      <c r="BG85" s="14">
        <f t="shared" si="31"/>
        <v>0</v>
      </c>
      <c r="BH85" s="14">
        <f t="shared" si="32"/>
        <v>480</v>
      </c>
      <c r="BI85" s="14">
        <f t="shared" si="33"/>
        <v>0</v>
      </c>
      <c r="BJ85" s="14">
        <f t="shared" si="34"/>
        <v>1200</v>
      </c>
      <c r="BK85" s="14">
        <f t="shared" si="35"/>
        <v>480</v>
      </c>
      <c r="BL85" s="14">
        <f t="shared" si="36"/>
        <v>960</v>
      </c>
      <c r="CJ85" s="52">
        <v>81</v>
      </c>
      <c r="CK85" s="52">
        <v>1</v>
      </c>
      <c r="CL85" s="52" t="s">
        <v>244</v>
      </c>
      <c r="CM85" s="52">
        <v>81</v>
      </c>
      <c r="CN85" s="52"/>
      <c r="CO85" s="52"/>
      <c r="CP85" s="52"/>
      <c r="CQ85" s="52" t="s">
        <v>358</v>
      </c>
      <c r="CR85" s="52">
        <v>5400</v>
      </c>
      <c r="CS85" s="52" t="s">
        <v>359</v>
      </c>
      <c r="CT85" s="52">
        <v>85</v>
      </c>
      <c r="CU85" s="52"/>
      <c r="CV85" s="52"/>
      <c r="CW85" s="52" t="s">
        <v>359</v>
      </c>
      <c r="CX85" s="52">
        <v>100</v>
      </c>
      <c r="CY85" s="52"/>
      <c r="CZ85" s="52"/>
      <c r="DA85" s="52"/>
      <c r="DB85" s="52"/>
      <c r="DC85" s="52"/>
      <c r="DD85" s="52"/>
      <c r="DE85" s="52"/>
      <c r="DF85" s="52"/>
      <c r="DG85" s="52"/>
      <c r="DH85" s="52"/>
    </row>
    <row r="86" spans="1:112" ht="16.5" x14ac:dyDescent="0.2">
      <c r="A86" s="22">
        <v>82</v>
      </c>
      <c r="B86" s="78">
        <v>19</v>
      </c>
      <c r="C86" s="123">
        <v>0</v>
      </c>
      <c r="D86" s="87"/>
      <c r="E86" s="78">
        <f>INDEX(章节关卡!$G$6:$G$34,芦花古楼!B86)*芦花古楼!C86</f>
        <v>0</v>
      </c>
      <c r="F86" s="22">
        <f t="shared" si="22"/>
        <v>85</v>
      </c>
      <c r="G86" s="22">
        <f t="shared" si="23"/>
        <v>100</v>
      </c>
      <c r="H86" s="14">
        <f>INDEX(章节关卡!$I$6:$I$34,芦花古楼!B86)*芦花古楼!C86</f>
        <v>0</v>
      </c>
      <c r="I86" s="14">
        <v>250</v>
      </c>
      <c r="L86" s="22">
        <v>82</v>
      </c>
      <c r="M86" s="78">
        <f t="shared" si="26"/>
        <v>20</v>
      </c>
      <c r="N86" s="123">
        <v>0</v>
      </c>
      <c r="O86" s="87"/>
      <c r="P86" s="78">
        <f>INDEX(章节关卡!$G$6:$G$34,芦花古楼!M86)*芦花古楼!N86</f>
        <v>0</v>
      </c>
      <c r="Q86" s="22">
        <f t="shared" si="27"/>
        <v>90</v>
      </c>
      <c r="R86" s="22">
        <f t="shared" si="28"/>
        <v>100</v>
      </c>
      <c r="S86" s="14">
        <f>INDEX(章节关卡!$I$6:$I$34,芦花古楼!M86)*芦花古楼!N86</f>
        <v>0</v>
      </c>
      <c r="T86" s="14">
        <v>250</v>
      </c>
      <c r="W86" s="22">
        <v>82</v>
      </c>
      <c r="X86" s="46">
        <v>20</v>
      </c>
      <c r="Y86" s="123">
        <v>0</v>
      </c>
      <c r="Z86" s="87"/>
      <c r="AA86" s="87">
        <f>INDEX(章节关卡!$G$6:$G$34,芦花古楼!X86)*芦花古楼!Y86</f>
        <v>0</v>
      </c>
      <c r="AB86" s="22">
        <f t="shared" si="24"/>
        <v>95</v>
      </c>
      <c r="AC86" s="22">
        <f t="shared" si="25"/>
        <v>100</v>
      </c>
      <c r="AD86" s="14">
        <f>INDEX(章节关卡!$I$6:$I$34,芦花古楼!X86)*芦花古楼!Y86</f>
        <v>0</v>
      </c>
      <c r="AE86" s="14">
        <v>250</v>
      </c>
      <c r="AH86" s="22">
        <v>82</v>
      </c>
      <c r="AI86" s="46">
        <v>20</v>
      </c>
      <c r="AJ86" s="123">
        <v>0</v>
      </c>
      <c r="AK86" s="87"/>
      <c r="AL86" s="87">
        <f>INDEX(章节关卡!$G$6:$G$34,芦花古楼!AI86)*芦花古楼!AJ86</f>
        <v>0</v>
      </c>
      <c r="AM86" s="22">
        <f t="shared" si="29"/>
        <v>100</v>
      </c>
      <c r="AN86" s="22">
        <f t="shared" si="30"/>
        <v>100</v>
      </c>
      <c r="AO86" s="14">
        <f>INDEX(章节关卡!$I$6:$I$34,芦花古楼!AI86)*芦花古楼!AJ86</f>
        <v>0</v>
      </c>
      <c r="AP86" s="14">
        <v>250</v>
      </c>
      <c r="AS86" s="18">
        <v>81</v>
      </c>
      <c r="AT86" s="87">
        <v>29</v>
      </c>
      <c r="AV86" s="18">
        <v>81</v>
      </c>
      <c r="AW86" s="87">
        <v>32</v>
      </c>
      <c r="AY86" s="18">
        <v>81</v>
      </c>
      <c r="AZ86" s="18">
        <v>32</v>
      </c>
      <c r="BB86" s="18">
        <v>81</v>
      </c>
      <c r="BC86" s="18">
        <v>32</v>
      </c>
      <c r="BF86" s="18">
        <v>81</v>
      </c>
      <c r="BG86" s="14">
        <f t="shared" si="31"/>
        <v>0</v>
      </c>
      <c r="BH86" s="14">
        <f t="shared" si="32"/>
        <v>480</v>
      </c>
      <c r="BI86" s="14">
        <f t="shared" si="33"/>
        <v>0</v>
      </c>
      <c r="BJ86" s="14">
        <f t="shared" si="34"/>
        <v>1200</v>
      </c>
      <c r="BK86" s="14">
        <f t="shared" si="35"/>
        <v>480</v>
      </c>
      <c r="BL86" s="14">
        <f t="shared" si="36"/>
        <v>960</v>
      </c>
      <c r="CJ86" s="52">
        <v>82</v>
      </c>
      <c r="CK86" s="52">
        <v>1</v>
      </c>
      <c r="CL86" s="52" t="s">
        <v>244</v>
      </c>
      <c r="CM86" s="52">
        <v>82</v>
      </c>
      <c r="CN86" s="52"/>
      <c r="CO86" s="52"/>
      <c r="CP86" s="52"/>
      <c r="CQ86" s="52" t="s">
        <v>358</v>
      </c>
      <c r="CR86" s="52">
        <v>5400</v>
      </c>
      <c r="CS86" s="52" t="s">
        <v>359</v>
      </c>
      <c r="CT86" s="52">
        <v>85</v>
      </c>
      <c r="CU86" s="52"/>
      <c r="CV86" s="52"/>
      <c r="CW86" s="52" t="s">
        <v>359</v>
      </c>
      <c r="CX86" s="52">
        <v>100</v>
      </c>
      <c r="CY86" s="52"/>
      <c r="CZ86" s="52"/>
      <c r="DA86" s="52"/>
      <c r="DB86" s="52"/>
      <c r="DC86" s="52"/>
      <c r="DD86" s="52"/>
      <c r="DE86" s="52"/>
      <c r="DF86" s="52"/>
      <c r="DG86" s="52"/>
      <c r="DH86" s="52"/>
    </row>
    <row r="87" spans="1:112" ht="16.5" x14ac:dyDescent="0.2">
      <c r="A87" s="22">
        <v>83</v>
      </c>
      <c r="B87" s="78">
        <v>19</v>
      </c>
      <c r="C87" s="123">
        <v>0</v>
      </c>
      <c r="D87" s="87"/>
      <c r="E87" s="78">
        <f>INDEX(章节关卡!$G$6:$G$34,芦花古楼!B87)*芦花古楼!C87</f>
        <v>0</v>
      </c>
      <c r="F87" s="22">
        <f t="shared" si="22"/>
        <v>85</v>
      </c>
      <c r="G87" s="22">
        <f t="shared" si="23"/>
        <v>100</v>
      </c>
      <c r="H87" s="14">
        <f>INDEX(章节关卡!$I$6:$I$34,芦花古楼!B87)*芦花古楼!C87</f>
        <v>0</v>
      </c>
      <c r="I87" s="14">
        <v>250</v>
      </c>
      <c r="L87" s="22">
        <v>83</v>
      </c>
      <c r="M87" s="78">
        <f t="shared" si="26"/>
        <v>20</v>
      </c>
      <c r="N87" s="123">
        <v>0</v>
      </c>
      <c r="O87" s="87"/>
      <c r="P87" s="78">
        <f>INDEX(章节关卡!$G$6:$G$34,芦花古楼!M87)*芦花古楼!N87</f>
        <v>0</v>
      </c>
      <c r="Q87" s="22">
        <f t="shared" si="27"/>
        <v>90</v>
      </c>
      <c r="R87" s="22">
        <f t="shared" si="28"/>
        <v>100</v>
      </c>
      <c r="S87" s="14">
        <f>INDEX(章节关卡!$I$6:$I$34,芦花古楼!M87)*芦花古楼!N87</f>
        <v>0</v>
      </c>
      <c r="T87" s="14">
        <v>250</v>
      </c>
      <c r="W87" s="22">
        <v>83</v>
      </c>
      <c r="X87" s="46">
        <v>20</v>
      </c>
      <c r="Y87" s="123">
        <v>0</v>
      </c>
      <c r="Z87" s="87"/>
      <c r="AA87" s="87">
        <f>INDEX(章节关卡!$G$6:$G$34,芦花古楼!X87)*芦花古楼!Y87</f>
        <v>0</v>
      </c>
      <c r="AB87" s="22">
        <f t="shared" si="24"/>
        <v>95</v>
      </c>
      <c r="AC87" s="22">
        <f t="shared" si="25"/>
        <v>100</v>
      </c>
      <c r="AD87" s="14">
        <f>INDEX(章节关卡!$I$6:$I$34,芦花古楼!X87)*芦花古楼!Y87</f>
        <v>0</v>
      </c>
      <c r="AE87" s="14">
        <v>250</v>
      </c>
      <c r="AH87" s="22">
        <v>83</v>
      </c>
      <c r="AI87" s="46">
        <v>20</v>
      </c>
      <c r="AJ87" s="123">
        <v>0</v>
      </c>
      <c r="AK87" s="87"/>
      <c r="AL87" s="87">
        <f>INDEX(章节关卡!$G$6:$G$34,芦花古楼!AI87)*芦花古楼!AJ87</f>
        <v>0</v>
      </c>
      <c r="AM87" s="22">
        <f t="shared" si="29"/>
        <v>100</v>
      </c>
      <c r="AN87" s="22">
        <f t="shared" si="30"/>
        <v>100</v>
      </c>
      <c r="AO87" s="14">
        <f>INDEX(章节关卡!$I$6:$I$34,芦花古楼!AI87)*芦花古楼!AJ87</f>
        <v>0</v>
      </c>
      <c r="AP87" s="14">
        <v>250</v>
      </c>
      <c r="AS87" s="18">
        <v>82</v>
      </c>
      <c r="AT87" s="87">
        <v>29</v>
      </c>
      <c r="AV87" s="18">
        <v>82</v>
      </c>
      <c r="AW87" s="87">
        <v>32</v>
      </c>
      <c r="AY87" s="18">
        <v>82</v>
      </c>
      <c r="AZ87" s="18">
        <v>32</v>
      </c>
      <c r="BB87" s="18">
        <v>82</v>
      </c>
      <c r="BC87" s="18">
        <v>32</v>
      </c>
      <c r="BF87" s="18">
        <v>82</v>
      </c>
      <c r="BG87" s="14">
        <f t="shared" si="31"/>
        <v>0</v>
      </c>
      <c r="BH87" s="14">
        <f t="shared" si="32"/>
        <v>480</v>
      </c>
      <c r="BI87" s="14">
        <f t="shared" si="33"/>
        <v>0</v>
      </c>
      <c r="BJ87" s="14">
        <f t="shared" si="34"/>
        <v>1200</v>
      </c>
      <c r="BK87" s="14">
        <f t="shared" si="35"/>
        <v>480</v>
      </c>
      <c r="BL87" s="14">
        <f t="shared" si="36"/>
        <v>960</v>
      </c>
      <c r="CJ87" s="52">
        <v>83</v>
      </c>
      <c r="CK87" s="52">
        <v>1</v>
      </c>
      <c r="CL87" s="52" t="s">
        <v>244</v>
      </c>
      <c r="CM87" s="52">
        <v>83</v>
      </c>
      <c r="CN87" s="52"/>
      <c r="CO87" s="52"/>
      <c r="CP87" s="52"/>
      <c r="CQ87" s="52" t="s">
        <v>358</v>
      </c>
      <c r="CR87" s="52">
        <v>5400</v>
      </c>
      <c r="CS87" s="52" t="s">
        <v>359</v>
      </c>
      <c r="CT87" s="52">
        <v>85</v>
      </c>
      <c r="CU87" s="52"/>
      <c r="CV87" s="52"/>
      <c r="CW87" s="52" t="s">
        <v>359</v>
      </c>
      <c r="CX87" s="52">
        <v>100</v>
      </c>
      <c r="CY87" s="52"/>
      <c r="CZ87" s="52"/>
      <c r="DA87" s="52"/>
      <c r="DB87" s="52"/>
      <c r="DC87" s="52"/>
      <c r="DD87" s="52"/>
      <c r="DE87" s="52"/>
      <c r="DF87" s="52"/>
      <c r="DG87" s="52"/>
      <c r="DH87" s="52"/>
    </row>
    <row r="88" spans="1:112" ht="16.5" x14ac:dyDescent="0.2">
      <c r="A88" s="22">
        <v>84</v>
      </c>
      <c r="B88" s="78">
        <v>19</v>
      </c>
      <c r="C88" s="123">
        <v>0</v>
      </c>
      <c r="D88" s="87"/>
      <c r="E88" s="78">
        <f>INDEX(章节关卡!$G$6:$G$34,芦花古楼!B88)*芦花古楼!C88</f>
        <v>0</v>
      </c>
      <c r="F88" s="22">
        <f t="shared" si="22"/>
        <v>85</v>
      </c>
      <c r="G88" s="22">
        <f t="shared" si="23"/>
        <v>100</v>
      </c>
      <c r="H88" s="14">
        <f>INDEX(章节关卡!$I$6:$I$34,芦花古楼!B88)*芦花古楼!C88</f>
        <v>0</v>
      </c>
      <c r="I88" s="14">
        <v>250</v>
      </c>
      <c r="L88" s="22">
        <v>84</v>
      </c>
      <c r="M88" s="78">
        <f t="shared" si="26"/>
        <v>20</v>
      </c>
      <c r="N88" s="123">
        <v>0</v>
      </c>
      <c r="O88" s="87"/>
      <c r="P88" s="78">
        <f>INDEX(章节关卡!$G$6:$G$34,芦花古楼!M88)*芦花古楼!N88</f>
        <v>0</v>
      </c>
      <c r="Q88" s="22">
        <f t="shared" si="27"/>
        <v>90</v>
      </c>
      <c r="R88" s="22">
        <f t="shared" si="28"/>
        <v>100</v>
      </c>
      <c r="S88" s="14">
        <f>INDEX(章节关卡!$I$6:$I$34,芦花古楼!M88)*芦花古楼!N88</f>
        <v>0</v>
      </c>
      <c r="T88" s="14">
        <v>250</v>
      </c>
      <c r="W88" s="22">
        <v>84</v>
      </c>
      <c r="X88" s="46">
        <v>20</v>
      </c>
      <c r="Y88" s="123">
        <v>0</v>
      </c>
      <c r="Z88" s="87"/>
      <c r="AA88" s="87">
        <f>INDEX(章节关卡!$G$6:$G$34,芦花古楼!X88)*芦花古楼!Y88</f>
        <v>0</v>
      </c>
      <c r="AB88" s="22">
        <f t="shared" si="24"/>
        <v>95</v>
      </c>
      <c r="AC88" s="22">
        <f t="shared" si="25"/>
        <v>100</v>
      </c>
      <c r="AD88" s="14">
        <f>INDEX(章节关卡!$I$6:$I$34,芦花古楼!X88)*芦花古楼!Y88</f>
        <v>0</v>
      </c>
      <c r="AE88" s="14">
        <v>250</v>
      </c>
      <c r="AH88" s="22">
        <v>84</v>
      </c>
      <c r="AI88" s="46">
        <v>20</v>
      </c>
      <c r="AJ88" s="123">
        <v>0</v>
      </c>
      <c r="AK88" s="87"/>
      <c r="AL88" s="87">
        <f>INDEX(章节关卡!$G$6:$G$34,芦花古楼!AI88)*芦花古楼!AJ88</f>
        <v>0</v>
      </c>
      <c r="AM88" s="22">
        <f t="shared" si="29"/>
        <v>100</v>
      </c>
      <c r="AN88" s="22">
        <f t="shared" si="30"/>
        <v>100</v>
      </c>
      <c r="AO88" s="14">
        <f>INDEX(章节关卡!$I$6:$I$34,芦花古楼!AI88)*芦花古楼!AJ88</f>
        <v>0</v>
      </c>
      <c r="AP88" s="14">
        <v>250</v>
      </c>
      <c r="AS88" s="18">
        <v>83</v>
      </c>
      <c r="AT88" s="87">
        <v>30</v>
      </c>
      <c r="AV88" s="18">
        <v>83</v>
      </c>
      <c r="AW88" s="87">
        <v>33</v>
      </c>
      <c r="AY88" s="18">
        <v>83</v>
      </c>
      <c r="AZ88" s="18">
        <v>33</v>
      </c>
      <c r="BB88" s="18">
        <v>83</v>
      </c>
      <c r="BC88" s="18">
        <v>33</v>
      </c>
      <c r="BF88" s="18">
        <v>83</v>
      </c>
      <c r="BG88" s="14">
        <f t="shared" si="31"/>
        <v>0</v>
      </c>
      <c r="BH88" s="14">
        <f t="shared" si="32"/>
        <v>480</v>
      </c>
      <c r="BI88" s="14">
        <f t="shared" si="33"/>
        <v>0</v>
      </c>
      <c r="BJ88" s="14">
        <f t="shared" si="34"/>
        <v>1200</v>
      </c>
      <c r="BK88" s="14">
        <f t="shared" si="35"/>
        <v>480</v>
      </c>
      <c r="BL88" s="14">
        <f t="shared" si="36"/>
        <v>960</v>
      </c>
      <c r="CJ88" s="52">
        <v>84</v>
      </c>
      <c r="CK88" s="52">
        <v>1</v>
      </c>
      <c r="CL88" s="52" t="s">
        <v>244</v>
      </c>
      <c r="CM88" s="52">
        <v>84</v>
      </c>
      <c r="CN88" s="52"/>
      <c r="CO88" s="52"/>
      <c r="CP88" s="52"/>
      <c r="CQ88" s="52" t="s">
        <v>358</v>
      </c>
      <c r="CR88" s="52">
        <v>5400</v>
      </c>
      <c r="CS88" s="52" t="s">
        <v>359</v>
      </c>
      <c r="CT88" s="52">
        <v>85</v>
      </c>
      <c r="CU88" s="52"/>
      <c r="CV88" s="52"/>
      <c r="CW88" s="52" t="s">
        <v>359</v>
      </c>
      <c r="CX88" s="52">
        <v>100</v>
      </c>
      <c r="CY88" s="52"/>
      <c r="CZ88" s="52"/>
      <c r="DA88" s="52"/>
      <c r="DB88" s="52"/>
      <c r="DC88" s="52"/>
      <c r="DD88" s="52"/>
      <c r="DE88" s="52"/>
      <c r="DF88" s="52"/>
      <c r="DG88" s="52"/>
      <c r="DH88" s="52"/>
    </row>
    <row r="89" spans="1:112" ht="16.5" x14ac:dyDescent="0.2">
      <c r="A89" s="22">
        <v>85</v>
      </c>
      <c r="B89" s="78">
        <v>19</v>
      </c>
      <c r="C89" s="123">
        <v>0</v>
      </c>
      <c r="D89" s="87"/>
      <c r="E89" s="78">
        <f>INDEX(章节关卡!$G$6:$G$34,芦花古楼!B89)*芦花古楼!C89</f>
        <v>0</v>
      </c>
      <c r="F89" s="22">
        <f t="shared" si="22"/>
        <v>85</v>
      </c>
      <c r="G89" s="22">
        <f t="shared" si="23"/>
        <v>105</v>
      </c>
      <c r="H89" s="14">
        <f>INDEX(章节关卡!$I$6:$I$34,芦花古楼!B89)*芦花古楼!C89</f>
        <v>0</v>
      </c>
      <c r="I89" s="14">
        <v>250</v>
      </c>
      <c r="L89" s="22">
        <v>85</v>
      </c>
      <c r="M89" s="78">
        <f t="shared" si="26"/>
        <v>20</v>
      </c>
      <c r="N89" s="123">
        <v>0</v>
      </c>
      <c r="O89" s="87"/>
      <c r="P89" s="78">
        <f>INDEX(章节关卡!$G$6:$G$34,芦花古楼!M89)*芦花古楼!N89</f>
        <v>0</v>
      </c>
      <c r="Q89" s="22">
        <f t="shared" si="27"/>
        <v>90</v>
      </c>
      <c r="R89" s="22">
        <f t="shared" si="28"/>
        <v>105</v>
      </c>
      <c r="S89" s="14">
        <f>INDEX(章节关卡!$I$6:$I$34,芦花古楼!M89)*芦花古楼!N89</f>
        <v>0</v>
      </c>
      <c r="T89" s="14">
        <v>250</v>
      </c>
      <c r="W89" s="22">
        <v>85</v>
      </c>
      <c r="X89" s="46">
        <v>20</v>
      </c>
      <c r="Y89" s="123">
        <v>0</v>
      </c>
      <c r="Z89" s="87"/>
      <c r="AA89" s="87">
        <f>INDEX(章节关卡!$G$6:$G$34,芦花古楼!X89)*芦花古楼!Y89</f>
        <v>0</v>
      </c>
      <c r="AB89" s="22">
        <f t="shared" si="24"/>
        <v>95</v>
      </c>
      <c r="AC89" s="22">
        <f t="shared" si="25"/>
        <v>105</v>
      </c>
      <c r="AD89" s="14">
        <f>INDEX(章节关卡!$I$6:$I$34,芦花古楼!X89)*芦花古楼!Y89</f>
        <v>0</v>
      </c>
      <c r="AE89" s="14">
        <v>250</v>
      </c>
      <c r="AH89" s="22">
        <v>85</v>
      </c>
      <c r="AI89" s="46">
        <v>20</v>
      </c>
      <c r="AJ89" s="123">
        <v>0</v>
      </c>
      <c r="AK89" s="87"/>
      <c r="AL89" s="87">
        <f>INDEX(章节关卡!$G$6:$G$34,芦花古楼!AI89)*芦花古楼!AJ89</f>
        <v>0</v>
      </c>
      <c r="AM89" s="22">
        <f t="shared" si="29"/>
        <v>100</v>
      </c>
      <c r="AN89" s="22">
        <f t="shared" si="30"/>
        <v>105</v>
      </c>
      <c r="AO89" s="14">
        <f>INDEX(章节关卡!$I$6:$I$34,芦花古楼!AI89)*芦花古楼!AJ89</f>
        <v>0</v>
      </c>
      <c r="AP89" s="14">
        <v>250</v>
      </c>
      <c r="AS89" s="18">
        <v>84</v>
      </c>
      <c r="AT89" s="87">
        <v>30</v>
      </c>
      <c r="AV89" s="18">
        <v>84</v>
      </c>
      <c r="AW89" s="87">
        <v>34</v>
      </c>
      <c r="AY89" s="18">
        <v>84</v>
      </c>
      <c r="AZ89" s="18">
        <v>34</v>
      </c>
      <c r="BB89" s="18">
        <v>84</v>
      </c>
      <c r="BC89" s="18">
        <v>34</v>
      </c>
      <c r="BF89" s="18">
        <v>84</v>
      </c>
      <c r="BG89" s="14">
        <f t="shared" si="31"/>
        <v>0</v>
      </c>
      <c r="BH89" s="14">
        <f t="shared" si="32"/>
        <v>480</v>
      </c>
      <c r="BI89" s="14">
        <f t="shared" si="33"/>
        <v>0</v>
      </c>
      <c r="BJ89" s="14">
        <f t="shared" si="34"/>
        <v>1200</v>
      </c>
      <c r="BK89" s="14">
        <f t="shared" si="35"/>
        <v>480</v>
      </c>
      <c r="BL89" s="14">
        <f t="shared" si="36"/>
        <v>960</v>
      </c>
      <c r="CJ89" s="52">
        <v>85</v>
      </c>
      <c r="CK89" s="52">
        <v>1</v>
      </c>
      <c r="CL89" s="52" t="s">
        <v>244</v>
      </c>
      <c r="CM89" s="52">
        <v>85</v>
      </c>
      <c r="CN89" s="52"/>
      <c r="CO89" s="52"/>
      <c r="CP89" s="52"/>
      <c r="CQ89" s="52" t="s">
        <v>358</v>
      </c>
      <c r="CR89" s="52">
        <v>5400</v>
      </c>
      <c r="CS89" s="52" t="s">
        <v>359</v>
      </c>
      <c r="CT89" s="52">
        <v>85</v>
      </c>
      <c r="CU89" s="52" t="s">
        <v>360</v>
      </c>
      <c r="CV89" s="52">
        <v>2</v>
      </c>
      <c r="CW89" s="52" t="s">
        <v>359</v>
      </c>
      <c r="CX89" s="52">
        <v>105</v>
      </c>
      <c r="CY89" s="52"/>
      <c r="CZ89" s="52"/>
      <c r="DA89" s="52"/>
      <c r="DB89" s="52"/>
      <c r="DC89" s="52"/>
      <c r="DD89" s="52"/>
      <c r="DE89" s="52"/>
      <c r="DF89" s="52"/>
      <c r="DG89" s="52"/>
      <c r="DH89" s="52"/>
    </row>
    <row r="90" spans="1:112" ht="16.5" x14ac:dyDescent="0.2">
      <c r="A90" s="22">
        <v>86</v>
      </c>
      <c r="B90" s="46">
        <v>20</v>
      </c>
      <c r="C90" s="123">
        <v>0</v>
      </c>
      <c r="D90" s="87"/>
      <c r="E90" s="78">
        <f>INDEX(章节关卡!$G$6:$G$34,芦花古楼!B90)*芦花古楼!C90</f>
        <v>0</v>
      </c>
      <c r="F90" s="22">
        <f t="shared" si="22"/>
        <v>90</v>
      </c>
      <c r="G90" s="22">
        <f t="shared" si="23"/>
        <v>105</v>
      </c>
      <c r="H90" s="14">
        <f>INDEX(章节关卡!$I$6:$I$34,芦花古楼!B90)*芦花古楼!C90</f>
        <v>0</v>
      </c>
      <c r="I90" s="14">
        <v>250</v>
      </c>
      <c r="L90" s="22">
        <v>86</v>
      </c>
      <c r="M90" s="78">
        <f t="shared" si="26"/>
        <v>21</v>
      </c>
      <c r="N90" s="123">
        <v>0</v>
      </c>
      <c r="O90" s="87"/>
      <c r="P90" s="78">
        <f>INDEX(章节关卡!$G$6:$G$34,芦花古楼!M90)*芦花古楼!N90</f>
        <v>0</v>
      </c>
      <c r="Q90" s="22">
        <f t="shared" si="27"/>
        <v>95</v>
      </c>
      <c r="R90" s="22">
        <f t="shared" si="28"/>
        <v>105</v>
      </c>
      <c r="S90" s="14">
        <f>INDEX(章节关卡!$I$6:$I$34,芦花古楼!M90)*芦花古楼!N90</f>
        <v>0</v>
      </c>
      <c r="T90" s="14">
        <v>250</v>
      </c>
      <c r="W90" s="22">
        <v>86</v>
      </c>
      <c r="X90" s="46">
        <v>21</v>
      </c>
      <c r="Y90" s="123">
        <v>0</v>
      </c>
      <c r="Z90" s="87"/>
      <c r="AA90" s="87">
        <f>INDEX(章节关卡!$G$6:$G$34,芦花古楼!X90)*芦花古楼!Y90</f>
        <v>0</v>
      </c>
      <c r="AB90" s="22">
        <f t="shared" si="24"/>
        <v>100</v>
      </c>
      <c r="AC90" s="22">
        <f t="shared" si="25"/>
        <v>105</v>
      </c>
      <c r="AD90" s="14">
        <f>INDEX(章节关卡!$I$6:$I$34,芦花古楼!X90)*芦花古楼!Y90</f>
        <v>0</v>
      </c>
      <c r="AE90" s="14">
        <v>250</v>
      </c>
      <c r="AH90" s="22">
        <v>86</v>
      </c>
      <c r="AI90" s="46">
        <v>21</v>
      </c>
      <c r="AJ90" s="123">
        <v>0</v>
      </c>
      <c r="AK90" s="87"/>
      <c r="AL90" s="87">
        <f>INDEX(章节关卡!$G$6:$G$34,芦花古楼!AI90)*芦花古楼!AJ90</f>
        <v>0</v>
      </c>
      <c r="AM90" s="22">
        <f t="shared" si="29"/>
        <v>105</v>
      </c>
      <c r="AN90" s="22">
        <f t="shared" si="30"/>
        <v>105</v>
      </c>
      <c r="AO90" s="14">
        <f>INDEX(章节关卡!$I$6:$I$34,芦花古楼!AI90)*芦花古楼!AJ90</f>
        <v>0</v>
      </c>
      <c r="AP90" s="14">
        <v>250</v>
      </c>
      <c r="AS90" s="18">
        <v>85</v>
      </c>
      <c r="AT90" s="18">
        <v>31</v>
      </c>
      <c r="AV90" s="18">
        <v>85</v>
      </c>
      <c r="AW90" s="87">
        <v>35</v>
      </c>
      <c r="AY90" s="18">
        <v>85</v>
      </c>
      <c r="AZ90" s="18">
        <v>35</v>
      </c>
      <c r="BB90" s="18">
        <v>85</v>
      </c>
      <c r="BC90" s="18">
        <v>35</v>
      </c>
      <c r="BF90" s="18">
        <v>85</v>
      </c>
      <c r="BG90" s="14">
        <f t="shared" si="31"/>
        <v>0</v>
      </c>
      <c r="BH90" s="14">
        <f t="shared" si="32"/>
        <v>480</v>
      </c>
      <c r="BI90" s="14">
        <f t="shared" si="33"/>
        <v>0</v>
      </c>
      <c r="BJ90" s="14">
        <f t="shared" si="34"/>
        <v>1200</v>
      </c>
      <c r="BK90" s="14">
        <f t="shared" si="35"/>
        <v>480</v>
      </c>
      <c r="BL90" s="14">
        <f t="shared" si="36"/>
        <v>960</v>
      </c>
      <c r="CJ90" s="52">
        <v>86</v>
      </c>
      <c r="CK90" s="52">
        <v>1</v>
      </c>
      <c r="CL90" s="52" t="s">
        <v>244</v>
      </c>
      <c r="CM90" s="52">
        <v>86</v>
      </c>
      <c r="CN90" s="52"/>
      <c r="CO90" s="52"/>
      <c r="CP90" s="52"/>
      <c r="CQ90" s="52" t="s">
        <v>358</v>
      </c>
      <c r="CR90" s="52">
        <v>5400</v>
      </c>
      <c r="CS90" s="52" t="s">
        <v>359</v>
      </c>
      <c r="CT90" s="52">
        <v>90</v>
      </c>
      <c r="CU90" s="52"/>
      <c r="CV90" s="52"/>
      <c r="CW90" s="52" t="s">
        <v>359</v>
      </c>
      <c r="CX90" s="52">
        <v>105</v>
      </c>
      <c r="CY90" s="52"/>
      <c r="CZ90" s="52"/>
      <c r="DA90" s="52"/>
      <c r="DB90" s="52"/>
      <c r="DC90" s="52"/>
      <c r="DD90" s="52"/>
      <c r="DE90" s="52"/>
      <c r="DF90" s="52"/>
      <c r="DG90" s="52"/>
      <c r="DH90" s="52"/>
    </row>
    <row r="91" spans="1:112" ht="16.5" x14ac:dyDescent="0.2">
      <c r="A91" s="22">
        <v>87</v>
      </c>
      <c r="B91" s="78">
        <v>20</v>
      </c>
      <c r="C91" s="123">
        <v>0</v>
      </c>
      <c r="D91" s="87"/>
      <c r="E91" s="78">
        <f>INDEX(章节关卡!$G$6:$G$34,芦花古楼!B91)*芦花古楼!C91</f>
        <v>0</v>
      </c>
      <c r="F91" s="22">
        <f t="shared" si="22"/>
        <v>90</v>
      </c>
      <c r="G91" s="22">
        <f t="shared" si="23"/>
        <v>105</v>
      </c>
      <c r="H91" s="14">
        <f>INDEX(章节关卡!$I$6:$I$34,芦花古楼!B91)*芦花古楼!C91</f>
        <v>0</v>
      </c>
      <c r="I91" s="14">
        <v>250</v>
      </c>
      <c r="L91" s="22">
        <v>87</v>
      </c>
      <c r="M91" s="78">
        <f t="shared" si="26"/>
        <v>21</v>
      </c>
      <c r="N91" s="123">
        <v>0</v>
      </c>
      <c r="O91" s="87"/>
      <c r="P91" s="78">
        <f>INDEX(章节关卡!$G$6:$G$34,芦花古楼!M91)*芦花古楼!N91</f>
        <v>0</v>
      </c>
      <c r="Q91" s="22">
        <f t="shared" si="27"/>
        <v>95</v>
      </c>
      <c r="R91" s="22">
        <f t="shared" si="28"/>
        <v>105</v>
      </c>
      <c r="S91" s="14">
        <f>INDEX(章节关卡!$I$6:$I$34,芦花古楼!M91)*芦花古楼!N91</f>
        <v>0</v>
      </c>
      <c r="T91" s="14">
        <v>250</v>
      </c>
      <c r="W91" s="22">
        <v>87</v>
      </c>
      <c r="X91" s="46">
        <v>21</v>
      </c>
      <c r="Y91" s="123">
        <v>0</v>
      </c>
      <c r="Z91" s="87"/>
      <c r="AA91" s="87">
        <f>INDEX(章节关卡!$G$6:$G$34,芦花古楼!X91)*芦花古楼!Y91</f>
        <v>0</v>
      </c>
      <c r="AB91" s="22">
        <f t="shared" si="24"/>
        <v>100</v>
      </c>
      <c r="AC91" s="22">
        <f t="shared" si="25"/>
        <v>105</v>
      </c>
      <c r="AD91" s="14">
        <f>INDEX(章节关卡!$I$6:$I$34,芦花古楼!X91)*芦花古楼!Y91</f>
        <v>0</v>
      </c>
      <c r="AE91" s="14">
        <v>250</v>
      </c>
      <c r="AH91" s="22">
        <v>87</v>
      </c>
      <c r="AI91" s="46">
        <v>21</v>
      </c>
      <c r="AJ91" s="123">
        <v>0</v>
      </c>
      <c r="AK91" s="87"/>
      <c r="AL91" s="87">
        <f>INDEX(章节关卡!$G$6:$G$34,芦花古楼!AI91)*芦花古楼!AJ91</f>
        <v>0</v>
      </c>
      <c r="AM91" s="22">
        <f t="shared" si="29"/>
        <v>105</v>
      </c>
      <c r="AN91" s="22">
        <f t="shared" si="30"/>
        <v>105</v>
      </c>
      <c r="AO91" s="14">
        <f>INDEX(章节关卡!$I$6:$I$34,芦花古楼!AI91)*芦花古楼!AJ91</f>
        <v>0</v>
      </c>
      <c r="AP91" s="14">
        <v>250</v>
      </c>
      <c r="AS91" s="18">
        <v>86</v>
      </c>
      <c r="AT91" s="87">
        <v>32</v>
      </c>
      <c r="AV91" s="18">
        <v>86</v>
      </c>
      <c r="AW91" s="87">
        <v>36</v>
      </c>
      <c r="AY91" s="18">
        <v>86</v>
      </c>
      <c r="AZ91" s="18">
        <v>36</v>
      </c>
      <c r="BB91" s="18">
        <v>86</v>
      </c>
      <c r="BC91" s="18">
        <v>36</v>
      </c>
      <c r="BF91" s="18">
        <v>86</v>
      </c>
      <c r="BG91" s="14">
        <f t="shared" si="31"/>
        <v>0</v>
      </c>
      <c r="BH91" s="14">
        <f t="shared" si="32"/>
        <v>480</v>
      </c>
      <c r="BI91" s="14">
        <f t="shared" si="33"/>
        <v>0</v>
      </c>
      <c r="BJ91" s="14">
        <f t="shared" si="34"/>
        <v>1200</v>
      </c>
      <c r="BK91" s="14">
        <f t="shared" si="35"/>
        <v>480</v>
      </c>
      <c r="BL91" s="14">
        <f t="shared" si="36"/>
        <v>960</v>
      </c>
      <c r="CJ91" s="52">
        <v>87</v>
      </c>
      <c r="CK91" s="52">
        <v>1</v>
      </c>
      <c r="CL91" s="52" t="s">
        <v>244</v>
      </c>
      <c r="CM91" s="52">
        <v>87</v>
      </c>
      <c r="CN91" s="52"/>
      <c r="CO91" s="52"/>
      <c r="CP91" s="52"/>
      <c r="CQ91" s="52" t="s">
        <v>358</v>
      </c>
      <c r="CR91" s="52">
        <v>5400</v>
      </c>
      <c r="CS91" s="52" t="s">
        <v>359</v>
      </c>
      <c r="CT91" s="52">
        <v>90</v>
      </c>
      <c r="CU91" s="52"/>
      <c r="CV91" s="52"/>
      <c r="CW91" s="52" t="s">
        <v>359</v>
      </c>
      <c r="CX91" s="52">
        <v>105</v>
      </c>
      <c r="CY91" s="52"/>
      <c r="CZ91" s="52"/>
      <c r="DA91" s="52"/>
      <c r="DB91" s="52"/>
      <c r="DC91" s="52"/>
      <c r="DD91" s="52"/>
      <c r="DE91" s="52"/>
      <c r="DF91" s="52"/>
      <c r="DG91" s="52"/>
      <c r="DH91" s="52"/>
    </row>
    <row r="92" spans="1:112" ht="16.5" x14ac:dyDescent="0.2">
      <c r="A92" s="22">
        <v>88</v>
      </c>
      <c r="B92" s="78">
        <v>20</v>
      </c>
      <c r="C92" s="123">
        <v>0</v>
      </c>
      <c r="D92" s="87"/>
      <c r="E92" s="78">
        <f>INDEX(章节关卡!$G$6:$G$34,芦花古楼!B92)*芦花古楼!C92</f>
        <v>0</v>
      </c>
      <c r="F92" s="22">
        <f t="shared" si="22"/>
        <v>90</v>
      </c>
      <c r="G92" s="22">
        <f t="shared" si="23"/>
        <v>105</v>
      </c>
      <c r="H92" s="14">
        <f>INDEX(章节关卡!$I$6:$I$34,芦花古楼!B92)*芦花古楼!C92</f>
        <v>0</v>
      </c>
      <c r="I92" s="14">
        <v>250</v>
      </c>
      <c r="L92" s="22">
        <v>88</v>
      </c>
      <c r="M92" s="78">
        <f t="shared" si="26"/>
        <v>21</v>
      </c>
      <c r="N92" s="123">
        <v>0</v>
      </c>
      <c r="O92" s="87"/>
      <c r="P92" s="78">
        <f>INDEX(章节关卡!$G$6:$G$34,芦花古楼!M92)*芦花古楼!N92</f>
        <v>0</v>
      </c>
      <c r="Q92" s="22">
        <f t="shared" si="27"/>
        <v>95</v>
      </c>
      <c r="R92" s="22">
        <f t="shared" si="28"/>
        <v>105</v>
      </c>
      <c r="S92" s="14">
        <f>INDEX(章节关卡!$I$6:$I$34,芦花古楼!M92)*芦花古楼!N92</f>
        <v>0</v>
      </c>
      <c r="T92" s="14">
        <v>250</v>
      </c>
      <c r="W92" s="22">
        <v>88</v>
      </c>
      <c r="X92" s="46">
        <v>21</v>
      </c>
      <c r="Y92" s="123">
        <v>0</v>
      </c>
      <c r="Z92" s="87"/>
      <c r="AA92" s="87">
        <f>INDEX(章节关卡!$G$6:$G$34,芦花古楼!X92)*芦花古楼!Y92</f>
        <v>0</v>
      </c>
      <c r="AB92" s="22">
        <f t="shared" si="24"/>
        <v>100</v>
      </c>
      <c r="AC92" s="22">
        <f t="shared" si="25"/>
        <v>105</v>
      </c>
      <c r="AD92" s="14">
        <f>INDEX(章节关卡!$I$6:$I$34,芦花古楼!X92)*芦花古楼!Y92</f>
        <v>0</v>
      </c>
      <c r="AE92" s="14">
        <v>250</v>
      </c>
      <c r="AH92" s="22">
        <v>88</v>
      </c>
      <c r="AI92" s="46">
        <v>21</v>
      </c>
      <c r="AJ92" s="123">
        <v>0</v>
      </c>
      <c r="AK92" s="87"/>
      <c r="AL92" s="87">
        <f>INDEX(章节关卡!$G$6:$G$34,芦花古楼!AI92)*芦花古楼!AJ92</f>
        <v>0</v>
      </c>
      <c r="AM92" s="22">
        <f t="shared" si="29"/>
        <v>105</v>
      </c>
      <c r="AN92" s="22">
        <f t="shared" si="30"/>
        <v>105</v>
      </c>
      <c r="AO92" s="14">
        <f>INDEX(章节关卡!$I$6:$I$34,芦花古楼!AI92)*芦花古楼!AJ92</f>
        <v>0</v>
      </c>
      <c r="AP92" s="14">
        <v>250</v>
      </c>
      <c r="AS92" s="18">
        <v>87</v>
      </c>
      <c r="AT92" s="87">
        <v>33</v>
      </c>
      <c r="AV92" s="18">
        <v>87</v>
      </c>
      <c r="AW92" s="87">
        <v>37</v>
      </c>
      <c r="AY92" s="18">
        <v>87</v>
      </c>
      <c r="AZ92" s="18">
        <v>37</v>
      </c>
      <c r="BB92" s="18">
        <v>87</v>
      </c>
      <c r="BC92" s="18">
        <v>37</v>
      </c>
      <c r="BF92" s="18">
        <v>87</v>
      </c>
      <c r="BG92" s="14">
        <f t="shared" si="31"/>
        <v>0</v>
      </c>
      <c r="BH92" s="14">
        <f t="shared" si="32"/>
        <v>480</v>
      </c>
      <c r="BI92" s="14">
        <f t="shared" si="33"/>
        <v>0</v>
      </c>
      <c r="BJ92" s="14">
        <f t="shared" si="34"/>
        <v>1200</v>
      </c>
      <c r="BK92" s="14">
        <f t="shared" si="35"/>
        <v>480</v>
      </c>
      <c r="BL92" s="14">
        <f t="shared" si="36"/>
        <v>960</v>
      </c>
      <c r="CJ92" s="52">
        <v>88</v>
      </c>
      <c r="CK92" s="52">
        <v>1</v>
      </c>
      <c r="CL92" s="52" t="s">
        <v>244</v>
      </c>
      <c r="CM92" s="52">
        <v>88</v>
      </c>
      <c r="CN92" s="52"/>
      <c r="CO92" s="52"/>
      <c r="CP92" s="52"/>
      <c r="CQ92" s="52" t="s">
        <v>358</v>
      </c>
      <c r="CR92" s="52">
        <v>5400</v>
      </c>
      <c r="CS92" s="52" t="s">
        <v>359</v>
      </c>
      <c r="CT92" s="52">
        <v>90</v>
      </c>
      <c r="CU92" s="52"/>
      <c r="CV92" s="52"/>
      <c r="CW92" s="52" t="s">
        <v>359</v>
      </c>
      <c r="CX92" s="52">
        <v>105</v>
      </c>
      <c r="CY92" s="52"/>
      <c r="CZ92" s="52"/>
      <c r="DA92" s="52"/>
      <c r="DB92" s="52"/>
      <c r="DC92" s="52"/>
      <c r="DD92" s="52"/>
      <c r="DE92" s="52"/>
      <c r="DF92" s="52"/>
      <c r="DG92" s="52"/>
      <c r="DH92" s="52"/>
    </row>
    <row r="93" spans="1:112" ht="16.5" x14ac:dyDescent="0.2">
      <c r="A93" s="22">
        <v>89</v>
      </c>
      <c r="B93" s="78">
        <v>20</v>
      </c>
      <c r="C93" s="123">
        <v>0</v>
      </c>
      <c r="D93" s="87"/>
      <c r="E93" s="78">
        <f>INDEX(章节关卡!$G$6:$G$34,芦花古楼!B93)*芦花古楼!C93</f>
        <v>0</v>
      </c>
      <c r="F93" s="22">
        <f t="shared" si="22"/>
        <v>90</v>
      </c>
      <c r="G93" s="22">
        <f t="shared" si="23"/>
        <v>105</v>
      </c>
      <c r="H93" s="14">
        <f>INDEX(章节关卡!$I$6:$I$34,芦花古楼!B93)*芦花古楼!C93</f>
        <v>0</v>
      </c>
      <c r="I93" s="14">
        <v>250</v>
      </c>
      <c r="L93" s="22">
        <v>89</v>
      </c>
      <c r="M93" s="78">
        <f t="shared" si="26"/>
        <v>21</v>
      </c>
      <c r="N93" s="123">
        <v>0</v>
      </c>
      <c r="O93" s="87"/>
      <c r="P93" s="78">
        <f>INDEX(章节关卡!$G$6:$G$34,芦花古楼!M93)*芦花古楼!N93</f>
        <v>0</v>
      </c>
      <c r="Q93" s="22">
        <f t="shared" si="27"/>
        <v>95</v>
      </c>
      <c r="R93" s="22">
        <f t="shared" si="28"/>
        <v>105</v>
      </c>
      <c r="S93" s="14">
        <f>INDEX(章节关卡!$I$6:$I$34,芦花古楼!M93)*芦花古楼!N93</f>
        <v>0</v>
      </c>
      <c r="T93" s="14">
        <v>250</v>
      </c>
      <c r="W93" s="22">
        <v>89</v>
      </c>
      <c r="X93" s="46">
        <v>21</v>
      </c>
      <c r="Y93" s="123">
        <v>0</v>
      </c>
      <c r="Z93" s="87"/>
      <c r="AA93" s="87">
        <f>INDEX(章节关卡!$G$6:$G$34,芦花古楼!X93)*芦花古楼!Y93</f>
        <v>0</v>
      </c>
      <c r="AB93" s="22">
        <f t="shared" si="24"/>
        <v>100</v>
      </c>
      <c r="AC93" s="22">
        <f t="shared" si="25"/>
        <v>105</v>
      </c>
      <c r="AD93" s="14">
        <f>INDEX(章节关卡!$I$6:$I$34,芦花古楼!X93)*芦花古楼!Y93</f>
        <v>0</v>
      </c>
      <c r="AE93" s="14">
        <v>250</v>
      </c>
      <c r="AH93" s="22">
        <v>89</v>
      </c>
      <c r="AI93" s="46">
        <v>21</v>
      </c>
      <c r="AJ93" s="123">
        <v>0</v>
      </c>
      <c r="AK93" s="87"/>
      <c r="AL93" s="87">
        <f>INDEX(章节关卡!$G$6:$G$34,芦花古楼!AI93)*芦花古楼!AJ93</f>
        <v>0</v>
      </c>
      <c r="AM93" s="22">
        <f t="shared" si="29"/>
        <v>105</v>
      </c>
      <c r="AN93" s="22">
        <f t="shared" si="30"/>
        <v>105</v>
      </c>
      <c r="AO93" s="14">
        <f>INDEX(章节关卡!$I$6:$I$34,芦花古楼!AI93)*芦花古楼!AJ93</f>
        <v>0</v>
      </c>
      <c r="AP93" s="14">
        <v>250</v>
      </c>
      <c r="AS93" s="18">
        <v>88</v>
      </c>
      <c r="AT93" s="87">
        <v>34</v>
      </c>
      <c r="AV93" s="18">
        <v>88</v>
      </c>
      <c r="AW93" s="87">
        <v>38</v>
      </c>
      <c r="AY93" s="18">
        <v>88</v>
      </c>
      <c r="AZ93" s="18">
        <v>38</v>
      </c>
      <c r="BB93" s="18">
        <v>88</v>
      </c>
      <c r="BC93" s="18">
        <v>38</v>
      </c>
      <c r="BF93" s="18">
        <v>88</v>
      </c>
      <c r="BG93" s="14">
        <f t="shared" si="31"/>
        <v>0</v>
      </c>
      <c r="BH93" s="14">
        <f t="shared" si="32"/>
        <v>480</v>
      </c>
      <c r="BI93" s="14">
        <f t="shared" si="33"/>
        <v>0</v>
      </c>
      <c r="BJ93" s="14">
        <f t="shared" si="34"/>
        <v>1200</v>
      </c>
      <c r="BK93" s="14">
        <f t="shared" si="35"/>
        <v>480</v>
      </c>
      <c r="BL93" s="14">
        <f t="shared" si="36"/>
        <v>960</v>
      </c>
      <c r="CJ93" s="52">
        <v>89</v>
      </c>
      <c r="CK93" s="52">
        <v>1</v>
      </c>
      <c r="CL93" s="52" t="s">
        <v>244</v>
      </c>
      <c r="CM93" s="52">
        <v>89</v>
      </c>
      <c r="CN93" s="52"/>
      <c r="CO93" s="52"/>
      <c r="CP93" s="52"/>
      <c r="CQ93" s="52" t="s">
        <v>358</v>
      </c>
      <c r="CR93" s="52">
        <v>5400</v>
      </c>
      <c r="CS93" s="52" t="s">
        <v>359</v>
      </c>
      <c r="CT93" s="52">
        <v>90</v>
      </c>
      <c r="CU93" s="52"/>
      <c r="CV93" s="52"/>
      <c r="CW93" s="52" t="s">
        <v>359</v>
      </c>
      <c r="CX93" s="52">
        <v>105</v>
      </c>
      <c r="CY93" s="52"/>
      <c r="CZ93" s="52"/>
      <c r="DA93" s="52"/>
      <c r="DB93" s="52"/>
      <c r="DC93" s="52"/>
      <c r="DD93" s="52"/>
      <c r="DE93" s="52"/>
      <c r="DF93" s="52"/>
      <c r="DG93" s="52"/>
      <c r="DH93" s="52"/>
    </row>
    <row r="94" spans="1:112" ht="16.5" x14ac:dyDescent="0.2">
      <c r="A94" s="22">
        <v>90</v>
      </c>
      <c r="B94" s="78">
        <v>20</v>
      </c>
      <c r="C94" s="123">
        <v>0</v>
      </c>
      <c r="D94" s="87"/>
      <c r="E94" s="78">
        <f>INDEX(章节关卡!$G$6:$G$34,芦花古楼!B94)*芦花古楼!C94</f>
        <v>0</v>
      </c>
      <c r="F94" s="22">
        <f t="shared" si="22"/>
        <v>90</v>
      </c>
      <c r="G94" s="22">
        <f t="shared" si="23"/>
        <v>110</v>
      </c>
      <c r="H94" s="14">
        <f>INDEX(章节关卡!$I$6:$I$34,芦花古楼!B94)*芦花古楼!C94</f>
        <v>0</v>
      </c>
      <c r="I94" s="14">
        <v>300</v>
      </c>
      <c r="L94" s="22">
        <v>90</v>
      </c>
      <c r="M94" s="78">
        <f t="shared" si="26"/>
        <v>21</v>
      </c>
      <c r="N94" s="123">
        <v>0</v>
      </c>
      <c r="O94" s="87"/>
      <c r="P94" s="78">
        <f>INDEX(章节关卡!$G$6:$G$34,芦花古楼!M94)*芦花古楼!N94</f>
        <v>0</v>
      </c>
      <c r="Q94" s="22">
        <f t="shared" si="27"/>
        <v>95</v>
      </c>
      <c r="R94" s="22">
        <f t="shared" si="28"/>
        <v>110</v>
      </c>
      <c r="S94" s="14">
        <f>INDEX(章节关卡!$I$6:$I$34,芦花古楼!M94)*芦花古楼!N94</f>
        <v>0</v>
      </c>
      <c r="T94" s="14">
        <v>300</v>
      </c>
      <c r="W94" s="22">
        <v>90</v>
      </c>
      <c r="X94" s="24">
        <v>21</v>
      </c>
      <c r="Y94" s="123">
        <v>0</v>
      </c>
      <c r="Z94" s="87"/>
      <c r="AA94" s="87">
        <f>INDEX(章节关卡!$G$6:$G$34,芦花古楼!X94)*芦花古楼!Y94</f>
        <v>0</v>
      </c>
      <c r="AB94" s="22">
        <f t="shared" si="24"/>
        <v>100</v>
      </c>
      <c r="AC94" s="22">
        <f t="shared" si="25"/>
        <v>110</v>
      </c>
      <c r="AD94" s="14">
        <f>INDEX(章节关卡!$I$6:$I$34,芦花古楼!X94)*芦花古楼!Y94</f>
        <v>0</v>
      </c>
      <c r="AE94" s="14">
        <v>300</v>
      </c>
      <c r="AH94" s="22">
        <v>90</v>
      </c>
      <c r="AI94" s="46">
        <v>21</v>
      </c>
      <c r="AJ94" s="123">
        <v>0</v>
      </c>
      <c r="AK94" s="87"/>
      <c r="AL94" s="87">
        <f>INDEX(章节关卡!$G$6:$G$34,芦花古楼!AI94)*芦花古楼!AJ94</f>
        <v>0</v>
      </c>
      <c r="AM94" s="22">
        <f t="shared" si="29"/>
        <v>105</v>
      </c>
      <c r="AN94" s="22">
        <f t="shared" si="30"/>
        <v>110</v>
      </c>
      <c r="AO94" s="14">
        <f>INDEX(章节关卡!$I$6:$I$34,芦花古楼!AI94)*芦花古楼!AJ94</f>
        <v>0</v>
      </c>
      <c r="AP94" s="14">
        <v>300</v>
      </c>
      <c r="AS94" s="18">
        <v>89</v>
      </c>
      <c r="AT94" s="87">
        <v>35</v>
      </c>
      <c r="AV94" s="18">
        <v>89</v>
      </c>
      <c r="AW94" s="87">
        <v>39</v>
      </c>
      <c r="AY94" s="18">
        <v>89</v>
      </c>
      <c r="AZ94" s="18">
        <v>39</v>
      </c>
      <c r="BB94" s="18">
        <v>89</v>
      </c>
      <c r="BC94" s="18">
        <v>39</v>
      </c>
      <c r="BF94" s="18">
        <v>89</v>
      </c>
      <c r="BG94" s="14">
        <f t="shared" si="31"/>
        <v>0</v>
      </c>
      <c r="BH94" s="14">
        <f t="shared" si="32"/>
        <v>480</v>
      </c>
      <c r="BI94" s="14">
        <f t="shared" si="33"/>
        <v>0</v>
      </c>
      <c r="BJ94" s="14">
        <f t="shared" si="34"/>
        <v>1200</v>
      </c>
      <c r="BK94" s="14">
        <f t="shared" si="35"/>
        <v>480</v>
      </c>
      <c r="BL94" s="14">
        <f t="shared" si="36"/>
        <v>960</v>
      </c>
      <c r="CJ94" s="52">
        <v>90</v>
      </c>
      <c r="CK94" s="52">
        <v>1</v>
      </c>
      <c r="CL94" s="52" t="s">
        <v>244</v>
      </c>
      <c r="CM94" s="52">
        <v>90</v>
      </c>
      <c r="CN94" s="52"/>
      <c r="CO94" s="52"/>
      <c r="CP94" s="52"/>
      <c r="CQ94" s="52" t="s">
        <v>358</v>
      </c>
      <c r="CR94" s="52">
        <v>5400</v>
      </c>
      <c r="CS94" s="52" t="s">
        <v>359</v>
      </c>
      <c r="CT94" s="52">
        <v>90</v>
      </c>
      <c r="CU94" s="52" t="s">
        <v>259</v>
      </c>
      <c r="CV94" s="52">
        <v>2</v>
      </c>
      <c r="CW94" s="52" t="s">
        <v>359</v>
      </c>
      <c r="CX94" s="52">
        <v>110</v>
      </c>
      <c r="CY94" s="52"/>
      <c r="CZ94" s="52"/>
      <c r="DA94" s="52"/>
      <c r="DB94" s="52"/>
      <c r="DC94" s="52"/>
      <c r="DD94" s="52"/>
      <c r="DE94" s="52"/>
      <c r="DF94" s="52"/>
      <c r="DG94" s="52"/>
      <c r="DH94" s="52"/>
    </row>
    <row r="95" spans="1:112" ht="16.5" x14ac:dyDescent="0.2">
      <c r="A95" s="22">
        <v>91</v>
      </c>
      <c r="B95" s="46">
        <v>21</v>
      </c>
      <c r="C95" s="123">
        <v>0</v>
      </c>
      <c r="D95" s="87"/>
      <c r="E95" s="78">
        <f>INDEX(章节关卡!$G$6:$G$34,芦花古楼!B95)*芦花古楼!C95</f>
        <v>0</v>
      </c>
      <c r="F95" s="22">
        <f t="shared" si="22"/>
        <v>95</v>
      </c>
      <c r="G95" s="22">
        <f t="shared" si="23"/>
        <v>110</v>
      </c>
      <c r="H95" s="14">
        <f>INDEX(章节关卡!$I$6:$I$34,芦花古楼!B95)*芦花古楼!C95</f>
        <v>0</v>
      </c>
      <c r="I95" s="14">
        <v>300</v>
      </c>
      <c r="L95" s="22">
        <v>91</v>
      </c>
      <c r="M95" s="78">
        <f t="shared" si="26"/>
        <v>22</v>
      </c>
      <c r="N95" s="123">
        <v>0</v>
      </c>
      <c r="O95" s="87"/>
      <c r="P95" s="78">
        <f>INDEX(章节关卡!$G$6:$G$34,芦花古楼!M95)*芦花古楼!N95</f>
        <v>0</v>
      </c>
      <c r="Q95" s="22">
        <f t="shared" si="27"/>
        <v>100</v>
      </c>
      <c r="R95" s="22">
        <f t="shared" si="28"/>
        <v>110</v>
      </c>
      <c r="S95" s="14">
        <f>INDEX(章节关卡!$I$6:$I$34,芦花古楼!M95)*芦花古楼!N95</f>
        <v>0</v>
      </c>
      <c r="T95" s="14">
        <v>300</v>
      </c>
      <c r="W95" s="22">
        <v>91</v>
      </c>
      <c r="X95" s="46">
        <v>22</v>
      </c>
      <c r="Y95" s="123">
        <v>0</v>
      </c>
      <c r="Z95" s="87"/>
      <c r="AA95" s="87">
        <f>INDEX(章节关卡!$G$6:$G$34,芦花古楼!X95)*芦花古楼!Y95</f>
        <v>0</v>
      </c>
      <c r="AB95" s="22">
        <f t="shared" si="24"/>
        <v>105</v>
      </c>
      <c r="AC95" s="22">
        <f t="shared" si="25"/>
        <v>110</v>
      </c>
      <c r="AD95" s="14">
        <f>INDEX(章节关卡!$I$6:$I$34,芦花古楼!X95)*芦花古楼!Y95</f>
        <v>0</v>
      </c>
      <c r="AE95" s="14">
        <v>300</v>
      </c>
      <c r="AH95" s="22">
        <v>91</v>
      </c>
      <c r="AI95" s="46">
        <v>22</v>
      </c>
      <c r="AJ95" s="123">
        <v>0</v>
      </c>
      <c r="AK95" s="87"/>
      <c r="AL95" s="87">
        <f>INDEX(章节关卡!$G$6:$G$34,芦花古楼!AI95)*芦花古楼!AJ95</f>
        <v>0</v>
      </c>
      <c r="AM95" s="22">
        <f t="shared" si="29"/>
        <v>110</v>
      </c>
      <c r="AN95" s="22">
        <f t="shared" si="30"/>
        <v>110</v>
      </c>
      <c r="AO95" s="14">
        <f>INDEX(章节关卡!$I$6:$I$34,芦花古楼!AI95)*芦花古楼!AJ95</f>
        <v>0</v>
      </c>
      <c r="AP95" s="14">
        <v>300</v>
      </c>
      <c r="AS95" s="18">
        <v>90</v>
      </c>
      <c r="AT95" s="87">
        <v>36</v>
      </c>
      <c r="AV95" s="18">
        <v>90</v>
      </c>
      <c r="AW95" s="87">
        <v>40</v>
      </c>
      <c r="AY95" s="18">
        <v>90</v>
      </c>
      <c r="AZ95" s="18">
        <v>40</v>
      </c>
      <c r="BB95" s="18">
        <v>90</v>
      </c>
      <c r="BC95" s="18">
        <v>40</v>
      </c>
      <c r="BF95" s="18">
        <v>90</v>
      </c>
      <c r="BG95" s="14">
        <f t="shared" si="31"/>
        <v>0</v>
      </c>
      <c r="BH95" s="14">
        <f t="shared" si="32"/>
        <v>480</v>
      </c>
      <c r="BI95" s="14">
        <f t="shared" si="33"/>
        <v>0</v>
      </c>
      <c r="BJ95" s="14">
        <f t="shared" si="34"/>
        <v>1200</v>
      </c>
      <c r="BK95" s="14">
        <f t="shared" si="35"/>
        <v>480</v>
      </c>
      <c r="BL95" s="14">
        <f t="shared" si="36"/>
        <v>960</v>
      </c>
      <c r="CJ95" s="52">
        <v>91</v>
      </c>
      <c r="CK95" s="52">
        <v>1</v>
      </c>
      <c r="CL95" s="52" t="s">
        <v>244</v>
      </c>
      <c r="CM95" s="52">
        <v>91</v>
      </c>
      <c r="CN95" s="52"/>
      <c r="CO95" s="52"/>
      <c r="CP95" s="52"/>
      <c r="CQ95" s="52" t="s">
        <v>358</v>
      </c>
      <c r="CR95" s="52">
        <v>5400</v>
      </c>
      <c r="CS95" s="52" t="s">
        <v>359</v>
      </c>
      <c r="CT95" s="52">
        <v>95</v>
      </c>
      <c r="CU95" s="52"/>
      <c r="CV95" s="52"/>
      <c r="CW95" s="52" t="s">
        <v>359</v>
      </c>
      <c r="CX95" s="52">
        <v>110</v>
      </c>
      <c r="CY95" s="52"/>
      <c r="CZ95" s="52"/>
      <c r="DA95" s="52"/>
      <c r="DB95" s="52"/>
      <c r="DC95" s="52"/>
      <c r="DD95" s="52"/>
      <c r="DE95" s="52"/>
      <c r="DF95" s="52"/>
      <c r="DG95" s="52"/>
      <c r="DH95" s="52"/>
    </row>
    <row r="96" spans="1:112" ht="16.5" x14ac:dyDescent="0.2">
      <c r="A96" s="22">
        <v>92</v>
      </c>
      <c r="B96" s="78">
        <v>21</v>
      </c>
      <c r="C96" s="123">
        <v>0</v>
      </c>
      <c r="D96" s="87"/>
      <c r="E96" s="78">
        <f>INDEX(章节关卡!$G$6:$G$34,芦花古楼!B96)*芦花古楼!C96</f>
        <v>0</v>
      </c>
      <c r="F96" s="22">
        <f t="shared" si="22"/>
        <v>95</v>
      </c>
      <c r="G96" s="22">
        <f t="shared" si="23"/>
        <v>110</v>
      </c>
      <c r="H96" s="14">
        <f>INDEX(章节关卡!$I$6:$I$34,芦花古楼!B96)*芦花古楼!C96</f>
        <v>0</v>
      </c>
      <c r="I96" s="14">
        <v>300</v>
      </c>
      <c r="L96" s="22">
        <v>92</v>
      </c>
      <c r="M96" s="78">
        <f t="shared" si="26"/>
        <v>22</v>
      </c>
      <c r="N96" s="123">
        <v>0</v>
      </c>
      <c r="O96" s="87"/>
      <c r="P96" s="78">
        <f>INDEX(章节关卡!$G$6:$G$34,芦花古楼!M96)*芦花古楼!N96</f>
        <v>0</v>
      </c>
      <c r="Q96" s="22">
        <f t="shared" si="27"/>
        <v>100</v>
      </c>
      <c r="R96" s="22">
        <f t="shared" si="28"/>
        <v>110</v>
      </c>
      <c r="S96" s="14">
        <f>INDEX(章节关卡!$I$6:$I$34,芦花古楼!M96)*芦花古楼!N96</f>
        <v>0</v>
      </c>
      <c r="T96" s="14">
        <v>300</v>
      </c>
      <c r="W96" s="22">
        <v>92</v>
      </c>
      <c r="X96" s="46">
        <v>22</v>
      </c>
      <c r="Y96" s="123">
        <v>0</v>
      </c>
      <c r="Z96" s="87"/>
      <c r="AA96" s="87">
        <f>INDEX(章节关卡!$G$6:$G$34,芦花古楼!X96)*芦花古楼!Y96</f>
        <v>0</v>
      </c>
      <c r="AB96" s="22">
        <f t="shared" si="24"/>
        <v>105</v>
      </c>
      <c r="AC96" s="22">
        <f t="shared" si="25"/>
        <v>110</v>
      </c>
      <c r="AD96" s="14">
        <f>INDEX(章节关卡!$I$6:$I$34,芦花古楼!X96)*芦花古楼!Y96</f>
        <v>0</v>
      </c>
      <c r="AE96" s="14">
        <v>300</v>
      </c>
      <c r="AH96" s="22">
        <v>92</v>
      </c>
      <c r="AI96" s="46">
        <v>22</v>
      </c>
      <c r="AJ96" s="123">
        <v>0</v>
      </c>
      <c r="AK96" s="87"/>
      <c r="AL96" s="87">
        <f>INDEX(章节关卡!$G$6:$G$34,芦花古楼!AI96)*芦花古楼!AJ96</f>
        <v>0</v>
      </c>
      <c r="AM96" s="22">
        <f t="shared" si="29"/>
        <v>110</v>
      </c>
      <c r="AN96" s="22">
        <f t="shared" si="30"/>
        <v>110</v>
      </c>
      <c r="AO96" s="14">
        <f>INDEX(章节关卡!$I$6:$I$34,芦花古楼!AI96)*芦花古楼!AJ96</f>
        <v>0</v>
      </c>
      <c r="AP96" s="14">
        <v>300</v>
      </c>
      <c r="AS96" s="18">
        <v>91</v>
      </c>
      <c r="AT96" s="87">
        <v>37</v>
      </c>
      <c r="AV96" s="18">
        <v>91</v>
      </c>
      <c r="AW96" s="87">
        <v>41</v>
      </c>
      <c r="AY96" s="18">
        <v>91</v>
      </c>
      <c r="AZ96" s="18">
        <v>41</v>
      </c>
      <c r="BB96" s="18">
        <v>91</v>
      </c>
      <c r="BC96" s="18">
        <v>41</v>
      </c>
      <c r="BF96" s="18">
        <v>91</v>
      </c>
      <c r="BG96" s="14">
        <f t="shared" si="31"/>
        <v>0</v>
      </c>
      <c r="BH96" s="14">
        <f t="shared" si="32"/>
        <v>480</v>
      </c>
      <c r="BI96" s="14">
        <f t="shared" si="33"/>
        <v>0</v>
      </c>
      <c r="BJ96" s="14">
        <f t="shared" si="34"/>
        <v>1200</v>
      </c>
      <c r="BK96" s="14">
        <f t="shared" si="35"/>
        <v>480</v>
      </c>
      <c r="BL96" s="14">
        <f t="shared" si="36"/>
        <v>960</v>
      </c>
      <c r="CJ96" s="52">
        <v>92</v>
      </c>
      <c r="CK96" s="52">
        <v>1</v>
      </c>
      <c r="CL96" s="52" t="s">
        <v>244</v>
      </c>
      <c r="CM96" s="52">
        <v>92</v>
      </c>
      <c r="CN96" s="52"/>
      <c r="CO96" s="52"/>
      <c r="CP96" s="52"/>
      <c r="CQ96" s="52" t="s">
        <v>358</v>
      </c>
      <c r="CR96" s="52">
        <v>5400</v>
      </c>
      <c r="CS96" s="52" t="s">
        <v>359</v>
      </c>
      <c r="CT96" s="52">
        <v>95</v>
      </c>
      <c r="CU96" s="52"/>
      <c r="CV96" s="52"/>
      <c r="CW96" s="52" t="s">
        <v>359</v>
      </c>
      <c r="CX96" s="52">
        <v>110</v>
      </c>
      <c r="CY96" s="52"/>
      <c r="CZ96" s="52"/>
      <c r="DA96" s="52"/>
      <c r="DB96" s="52"/>
      <c r="DC96" s="52"/>
      <c r="DD96" s="52"/>
      <c r="DE96" s="52"/>
      <c r="DF96" s="52"/>
      <c r="DG96" s="52"/>
      <c r="DH96" s="52"/>
    </row>
    <row r="97" spans="1:112" ht="16.5" x14ac:dyDescent="0.2">
      <c r="A97" s="22">
        <v>93</v>
      </c>
      <c r="B97" s="78">
        <v>21</v>
      </c>
      <c r="C97" s="123">
        <v>0</v>
      </c>
      <c r="D97" s="87"/>
      <c r="E97" s="78">
        <f>INDEX(章节关卡!$G$6:$G$34,芦花古楼!B97)*芦花古楼!C97</f>
        <v>0</v>
      </c>
      <c r="F97" s="22">
        <f t="shared" si="22"/>
        <v>95</v>
      </c>
      <c r="G97" s="22">
        <f t="shared" si="23"/>
        <v>110</v>
      </c>
      <c r="H97" s="14">
        <f>INDEX(章节关卡!$I$6:$I$34,芦花古楼!B97)*芦花古楼!C97</f>
        <v>0</v>
      </c>
      <c r="I97" s="14">
        <v>300</v>
      </c>
      <c r="L97" s="22">
        <v>93</v>
      </c>
      <c r="M97" s="78">
        <f t="shared" si="26"/>
        <v>22</v>
      </c>
      <c r="N97" s="123">
        <v>0</v>
      </c>
      <c r="O97" s="87"/>
      <c r="P97" s="78">
        <f>INDEX(章节关卡!$G$6:$G$34,芦花古楼!M97)*芦花古楼!N97</f>
        <v>0</v>
      </c>
      <c r="Q97" s="22">
        <f t="shared" si="27"/>
        <v>100</v>
      </c>
      <c r="R97" s="22">
        <f t="shared" si="28"/>
        <v>110</v>
      </c>
      <c r="S97" s="14">
        <f>INDEX(章节关卡!$I$6:$I$34,芦花古楼!M97)*芦花古楼!N97</f>
        <v>0</v>
      </c>
      <c r="T97" s="14">
        <v>300</v>
      </c>
      <c r="W97" s="22">
        <v>93</v>
      </c>
      <c r="X97" s="46">
        <v>22</v>
      </c>
      <c r="Y97" s="123">
        <v>0</v>
      </c>
      <c r="Z97" s="87"/>
      <c r="AA97" s="87">
        <f>INDEX(章节关卡!$G$6:$G$34,芦花古楼!X97)*芦花古楼!Y97</f>
        <v>0</v>
      </c>
      <c r="AB97" s="22">
        <f t="shared" si="24"/>
        <v>105</v>
      </c>
      <c r="AC97" s="22">
        <f t="shared" si="25"/>
        <v>110</v>
      </c>
      <c r="AD97" s="14">
        <f>INDEX(章节关卡!$I$6:$I$34,芦花古楼!X97)*芦花古楼!Y97</f>
        <v>0</v>
      </c>
      <c r="AE97" s="14">
        <v>300</v>
      </c>
      <c r="AH97" s="22">
        <v>93</v>
      </c>
      <c r="AI97" s="46">
        <v>22</v>
      </c>
      <c r="AJ97" s="123">
        <v>0</v>
      </c>
      <c r="AK97" s="87"/>
      <c r="AL97" s="87">
        <f>INDEX(章节关卡!$G$6:$G$34,芦花古楼!AI97)*芦花古楼!AJ97</f>
        <v>0</v>
      </c>
      <c r="AM97" s="22">
        <f t="shared" si="29"/>
        <v>110</v>
      </c>
      <c r="AN97" s="22">
        <f t="shared" si="30"/>
        <v>110</v>
      </c>
      <c r="AO97" s="14">
        <f>INDEX(章节关卡!$I$6:$I$34,芦花古楼!AI97)*芦花古楼!AJ97</f>
        <v>0</v>
      </c>
      <c r="AP97" s="14">
        <v>300</v>
      </c>
      <c r="AS97" s="18">
        <v>92</v>
      </c>
      <c r="AT97" s="87">
        <v>38</v>
      </c>
      <c r="AV97" s="18">
        <v>92</v>
      </c>
      <c r="AW97" s="87">
        <v>42</v>
      </c>
      <c r="AY97" s="18">
        <v>92</v>
      </c>
      <c r="AZ97" s="18">
        <v>42</v>
      </c>
      <c r="BB97" s="18">
        <v>92</v>
      </c>
      <c r="BC97" s="18">
        <v>42</v>
      </c>
      <c r="BF97" s="18">
        <v>92</v>
      </c>
      <c r="BG97" s="14">
        <f t="shared" si="31"/>
        <v>0</v>
      </c>
      <c r="BH97" s="14">
        <f t="shared" si="32"/>
        <v>480</v>
      </c>
      <c r="BI97" s="14">
        <f t="shared" si="33"/>
        <v>0</v>
      </c>
      <c r="BJ97" s="14">
        <f t="shared" si="34"/>
        <v>1200</v>
      </c>
      <c r="BK97" s="14">
        <f t="shared" si="35"/>
        <v>480</v>
      </c>
      <c r="BL97" s="14">
        <f t="shared" si="36"/>
        <v>960</v>
      </c>
      <c r="CJ97" s="52">
        <v>93</v>
      </c>
      <c r="CK97" s="52">
        <v>1</v>
      </c>
      <c r="CL97" s="52" t="s">
        <v>244</v>
      </c>
      <c r="CM97" s="52">
        <v>93</v>
      </c>
      <c r="CN97" s="52"/>
      <c r="CO97" s="52"/>
      <c r="CP97" s="52"/>
      <c r="CQ97" s="52" t="s">
        <v>358</v>
      </c>
      <c r="CR97" s="52">
        <v>5400</v>
      </c>
      <c r="CS97" s="52" t="s">
        <v>359</v>
      </c>
      <c r="CT97" s="52">
        <v>95</v>
      </c>
      <c r="CU97" s="52"/>
      <c r="CV97" s="52"/>
      <c r="CW97" s="52" t="s">
        <v>359</v>
      </c>
      <c r="CX97" s="52">
        <v>110</v>
      </c>
      <c r="CY97" s="52"/>
      <c r="CZ97" s="52"/>
      <c r="DA97" s="52"/>
      <c r="DB97" s="52"/>
      <c r="DC97" s="52"/>
      <c r="DD97" s="52"/>
      <c r="DE97" s="52"/>
      <c r="DF97" s="52"/>
      <c r="DG97" s="52"/>
      <c r="DH97" s="52"/>
    </row>
    <row r="98" spans="1:112" ht="16.5" x14ac:dyDescent="0.2">
      <c r="A98" s="22">
        <v>94</v>
      </c>
      <c r="B98" s="78">
        <v>21</v>
      </c>
      <c r="C98" s="123">
        <v>0</v>
      </c>
      <c r="D98" s="87"/>
      <c r="E98" s="78">
        <f>INDEX(章节关卡!$G$6:$G$34,芦花古楼!B98)*芦花古楼!C98</f>
        <v>0</v>
      </c>
      <c r="F98" s="22">
        <f t="shared" si="22"/>
        <v>95</v>
      </c>
      <c r="G98" s="22">
        <f t="shared" si="23"/>
        <v>110</v>
      </c>
      <c r="H98" s="14">
        <f>INDEX(章节关卡!$I$6:$I$34,芦花古楼!B98)*芦花古楼!C98</f>
        <v>0</v>
      </c>
      <c r="I98" s="14">
        <v>300</v>
      </c>
      <c r="L98" s="22">
        <v>94</v>
      </c>
      <c r="M98" s="78">
        <f t="shared" si="26"/>
        <v>22</v>
      </c>
      <c r="N98" s="123">
        <v>0</v>
      </c>
      <c r="O98" s="87"/>
      <c r="P98" s="78">
        <f>INDEX(章节关卡!$G$6:$G$34,芦花古楼!M98)*芦花古楼!N98</f>
        <v>0</v>
      </c>
      <c r="Q98" s="22">
        <f t="shared" si="27"/>
        <v>100</v>
      </c>
      <c r="R98" s="22">
        <f t="shared" si="28"/>
        <v>110</v>
      </c>
      <c r="S98" s="14">
        <f>INDEX(章节关卡!$I$6:$I$34,芦花古楼!M98)*芦花古楼!N98</f>
        <v>0</v>
      </c>
      <c r="T98" s="14">
        <v>300</v>
      </c>
      <c r="W98" s="22">
        <v>94</v>
      </c>
      <c r="X98" s="46">
        <v>22</v>
      </c>
      <c r="Y98" s="123">
        <v>0</v>
      </c>
      <c r="Z98" s="87"/>
      <c r="AA98" s="87">
        <f>INDEX(章节关卡!$G$6:$G$34,芦花古楼!X98)*芦花古楼!Y98</f>
        <v>0</v>
      </c>
      <c r="AB98" s="22">
        <f t="shared" si="24"/>
        <v>105</v>
      </c>
      <c r="AC98" s="22">
        <f t="shared" si="25"/>
        <v>110</v>
      </c>
      <c r="AD98" s="14">
        <f>INDEX(章节关卡!$I$6:$I$34,芦花古楼!X98)*芦花古楼!Y98</f>
        <v>0</v>
      </c>
      <c r="AE98" s="14">
        <v>300</v>
      </c>
      <c r="AH98" s="22">
        <v>94</v>
      </c>
      <c r="AI98" s="46">
        <v>22</v>
      </c>
      <c r="AJ98" s="123">
        <v>0</v>
      </c>
      <c r="AK98" s="87"/>
      <c r="AL98" s="87">
        <f>INDEX(章节关卡!$G$6:$G$34,芦花古楼!AI98)*芦花古楼!AJ98</f>
        <v>0</v>
      </c>
      <c r="AM98" s="22">
        <f t="shared" si="29"/>
        <v>110</v>
      </c>
      <c r="AN98" s="22">
        <f t="shared" si="30"/>
        <v>110</v>
      </c>
      <c r="AO98" s="14">
        <f>INDEX(章节关卡!$I$6:$I$34,芦花古楼!AI98)*芦花古楼!AJ98</f>
        <v>0</v>
      </c>
      <c r="AP98" s="14">
        <v>300</v>
      </c>
      <c r="AS98" s="18">
        <v>93</v>
      </c>
      <c r="AT98" s="87">
        <v>39</v>
      </c>
      <c r="AV98" s="18">
        <v>93</v>
      </c>
      <c r="AW98" s="87">
        <v>43</v>
      </c>
      <c r="AY98" s="18">
        <v>93</v>
      </c>
      <c r="AZ98" s="18">
        <v>43</v>
      </c>
      <c r="BB98" s="18">
        <v>93</v>
      </c>
      <c r="BC98" s="18">
        <v>43</v>
      </c>
      <c r="BF98" s="18">
        <v>93</v>
      </c>
      <c r="BG98" s="14">
        <f t="shared" si="31"/>
        <v>0</v>
      </c>
      <c r="BH98" s="14">
        <f t="shared" si="32"/>
        <v>480</v>
      </c>
      <c r="BI98" s="14">
        <f t="shared" si="33"/>
        <v>0</v>
      </c>
      <c r="BJ98" s="14">
        <f t="shared" si="34"/>
        <v>1200</v>
      </c>
      <c r="BK98" s="14">
        <f t="shared" si="35"/>
        <v>480</v>
      </c>
      <c r="BL98" s="14">
        <f t="shared" si="36"/>
        <v>960</v>
      </c>
      <c r="CJ98" s="52">
        <v>94</v>
      </c>
      <c r="CK98" s="52">
        <v>1</v>
      </c>
      <c r="CL98" s="52" t="s">
        <v>244</v>
      </c>
      <c r="CM98" s="52">
        <v>94</v>
      </c>
      <c r="CN98" s="52"/>
      <c r="CO98" s="52"/>
      <c r="CP98" s="52"/>
      <c r="CQ98" s="52" t="s">
        <v>358</v>
      </c>
      <c r="CR98" s="52">
        <v>5400</v>
      </c>
      <c r="CS98" s="52" t="s">
        <v>359</v>
      </c>
      <c r="CT98" s="52">
        <v>95</v>
      </c>
      <c r="CU98" s="52"/>
      <c r="CV98" s="52"/>
      <c r="CW98" s="52" t="s">
        <v>359</v>
      </c>
      <c r="CX98" s="52">
        <v>110</v>
      </c>
      <c r="CY98" s="52"/>
      <c r="CZ98" s="52"/>
      <c r="DA98" s="52"/>
      <c r="DB98" s="52"/>
      <c r="DC98" s="52"/>
      <c r="DD98" s="52"/>
      <c r="DE98" s="52"/>
      <c r="DF98" s="52"/>
      <c r="DG98" s="52"/>
      <c r="DH98" s="52"/>
    </row>
    <row r="99" spans="1:112" ht="16.5" x14ac:dyDescent="0.2">
      <c r="A99" s="22">
        <v>95</v>
      </c>
      <c r="B99" s="78">
        <v>21</v>
      </c>
      <c r="C99" s="123">
        <v>0</v>
      </c>
      <c r="D99" s="87"/>
      <c r="E99" s="78">
        <f>INDEX(章节关卡!$G$6:$G$34,芦花古楼!B99)*芦花古楼!C99</f>
        <v>0</v>
      </c>
      <c r="F99" s="22">
        <f t="shared" si="22"/>
        <v>95</v>
      </c>
      <c r="G99" s="22">
        <f t="shared" si="23"/>
        <v>115</v>
      </c>
      <c r="H99" s="14">
        <f>INDEX(章节关卡!$I$6:$I$34,芦花古楼!B99)*芦花古楼!C99</f>
        <v>0</v>
      </c>
      <c r="I99" s="14">
        <v>300</v>
      </c>
      <c r="L99" s="22">
        <v>95</v>
      </c>
      <c r="M99" s="78">
        <f t="shared" si="26"/>
        <v>22</v>
      </c>
      <c r="N99" s="123">
        <v>0</v>
      </c>
      <c r="O99" s="87"/>
      <c r="P99" s="78">
        <f>INDEX(章节关卡!$G$6:$G$34,芦花古楼!M99)*芦花古楼!N99</f>
        <v>0</v>
      </c>
      <c r="Q99" s="22">
        <f t="shared" si="27"/>
        <v>100</v>
      </c>
      <c r="R99" s="22">
        <f t="shared" si="28"/>
        <v>115</v>
      </c>
      <c r="S99" s="14">
        <f>INDEX(章节关卡!$I$6:$I$34,芦花古楼!M99)*芦花古楼!N99</f>
        <v>0</v>
      </c>
      <c r="T99" s="14">
        <v>300</v>
      </c>
      <c r="W99" s="22">
        <v>95</v>
      </c>
      <c r="X99" s="46">
        <v>22</v>
      </c>
      <c r="Y99" s="123">
        <v>0</v>
      </c>
      <c r="Z99" s="87"/>
      <c r="AA99" s="87">
        <f>INDEX(章节关卡!$G$6:$G$34,芦花古楼!X99)*芦花古楼!Y99</f>
        <v>0</v>
      </c>
      <c r="AB99" s="22">
        <f t="shared" si="24"/>
        <v>105</v>
      </c>
      <c r="AC99" s="22">
        <f t="shared" si="25"/>
        <v>115</v>
      </c>
      <c r="AD99" s="14">
        <f>INDEX(章节关卡!$I$6:$I$34,芦花古楼!X99)*芦花古楼!Y99</f>
        <v>0</v>
      </c>
      <c r="AE99" s="14">
        <v>300</v>
      </c>
      <c r="AH99" s="22">
        <v>95</v>
      </c>
      <c r="AI99" s="46">
        <v>22</v>
      </c>
      <c r="AJ99" s="123">
        <v>0</v>
      </c>
      <c r="AK99" s="87"/>
      <c r="AL99" s="87">
        <f>INDEX(章节关卡!$G$6:$G$34,芦花古楼!AI99)*芦花古楼!AJ99</f>
        <v>0</v>
      </c>
      <c r="AM99" s="22">
        <f t="shared" si="29"/>
        <v>110</v>
      </c>
      <c r="AN99" s="22">
        <f t="shared" si="30"/>
        <v>115</v>
      </c>
      <c r="AO99" s="14">
        <f>INDEX(章节关卡!$I$6:$I$34,芦花古楼!AI99)*芦花古楼!AJ99</f>
        <v>0</v>
      </c>
      <c r="AP99" s="14">
        <v>300</v>
      </c>
      <c r="AS99" s="18">
        <v>94</v>
      </c>
      <c r="AT99" s="87">
        <v>40</v>
      </c>
      <c r="AV99" s="18">
        <v>94</v>
      </c>
      <c r="AW99" s="87">
        <v>44</v>
      </c>
      <c r="AY99" s="18">
        <v>94</v>
      </c>
      <c r="AZ99" s="18">
        <v>44</v>
      </c>
      <c r="BB99" s="18">
        <v>94</v>
      </c>
      <c r="BC99" s="18">
        <v>44</v>
      </c>
      <c r="BF99" s="18">
        <v>94</v>
      </c>
      <c r="BG99" s="14">
        <f t="shared" si="31"/>
        <v>0</v>
      </c>
      <c r="BH99" s="14">
        <f t="shared" si="32"/>
        <v>480</v>
      </c>
      <c r="BI99" s="14">
        <f t="shared" si="33"/>
        <v>0</v>
      </c>
      <c r="BJ99" s="14">
        <f t="shared" si="34"/>
        <v>1200</v>
      </c>
      <c r="BK99" s="14">
        <f t="shared" si="35"/>
        <v>480</v>
      </c>
      <c r="BL99" s="14">
        <f t="shared" si="36"/>
        <v>960</v>
      </c>
      <c r="CJ99" s="52">
        <v>95</v>
      </c>
      <c r="CK99" s="52">
        <v>1</v>
      </c>
      <c r="CL99" s="52" t="s">
        <v>244</v>
      </c>
      <c r="CM99" s="52">
        <v>95</v>
      </c>
      <c r="CN99" s="52"/>
      <c r="CO99" s="52"/>
      <c r="CP99" s="52"/>
      <c r="CQ99" s="52" t="s">
        <v>358</v>
      </c>
      <c r="CR99" s="52">
        <v>5400</v>
      </c>
      <c r="CS99" s="52" t="s">
        <v>359</v>
      </c>
      <c r="CT99" s="52">
        <v>95</v>
      </c>
      <c r="CU99" s="52" t="s">
        <v>360</v>
      </c>
      <c r="CV99" s="52">
        <v>2</v>
      </c>
      <c r="CW99" s="52" t="s">
        <v>359</v>
      </c>
      <c r="CX99" s="52">
        <v>115</v>
      </c>
      <c r="CY99" s="52"/>
      <c r="CZ99" s="52"/>
      <c r="DA99" s="52"/>
      <c r="DB99" s="52"/>
      <c r="DC99" s="52"/>
      <c r="DD99" s="52"/>
      <c r="DE99" s="52"/>
      <c r="DF99" s="52"/>
      <c r="DG99" s="52"/>
      <c r="DH99" s="52"/>
    </row>
    <row r="100" spans="1:112" ht="16.5" x14ac:dyDescent="0.2">
      <c r="A100" s="22">
        <v>96</v>
      </c>
      <c r="B100" s="24">
        <v>22</v>
      </c>
      <c r="C100" s="123">
        <v>0</v>
      </c>
      <c r="D100" s="87"/>
      <c r="E100" s="78">
        <f>INDEX(章节关卡!$G$6:$G$34,芦花古楼!B100)*芦花古楼!C100</f>
        <v>0</v>
      </c>
      <c r="F100" s="22">
        <f t="shared" si="22"/>
        <v>100</v>
      </c>
      <c r="G100" s="22">
        <f t="shared" si="23"/>
        <v>115</v>
      </c>
      <c r="H100" s="14">
        <f>INDEX(章节关卡!$I$6:$I$34,芦花古楼!B100)*芦花古楼!C100</f>
        <v>0</v>
      </c>
      <c r="I100" s="14">
        <v>300</v>
      </c>
      <c r="L100" s="22">
        <v>96</v>
      </c>
      <c r="M100" s="78">
        <f t="shared" si="26"/>
        <v>23</v>
      </c>
      <c r="N100" s="123">
        <v>0</v>
      </c>
      <c r="O100" s="87"/>
      <c r="P100" s="78">
        <f>INDEX(章节关卡!$G$6:$G$34,芦花古楼!M100)*芦花古楼!N100</f>
        <v>0</v>
      </c>
      <c r="Q100" s="22">
        <f t="shared" si="27"/>
        <v>105</v>
      </c>
      <c r="R100" s="22">
        <f t="shared" si="28"/>
        <v>115</v>
      </c>
      <c r="S100" s="14">
        <f>INDEX(章节关卡!$I$6:$I$34,芦花古楼!M100)*芦花古楼!N100</f>
        <v>0</v>
      </c>
      <c r="T100" s="14">
        <v>300</v>
      </c>
      <c r="W100" s="22">
        <v>96</v>
      </c>
      <c r="X100" s="24">
        <v>23</v>
      </c>
      <c r="Y100" s="123">
        <v>0</v>
      </c>
      <c r="Z100" s="87"/>
      <c r="AA100" s="87">
        <f>INDEX(章节关卡!$G$6:$G$34,芦花古楼!X100)*芦花古楼!Y100</f>
        <v>0</v>
      </c>
      <c r="AB100" s="22">
        <f t="shared" si="24"/>
        <v>110</v>
      </c>
      <c r="AC100" s="22">
        <f t="shared" si="25"/>
        <v>115</v>
      </c>
      <c r="AD100" s="14">
        <f>INDEX(章节关卡!$I$6:$I$34,芦花古楼!X100)*芦花古楼!Y100</f>
        <v>0</v>
      </c>
      <c r="AE100" s="14">
        <v>300</v>
      </c>
      <c r="AH100" s="22">
        <v>96</v>
      </c>
      <c r="AI100" s="46">
        <v>23</v>
      </c>
      <c r="AJ100" s="123">
        <v>0</v>
      </c>
      <c r="AK100" s="87"/>
      <c r="AL100" s="87">
        <f>INDEX(章节关卡!$G$6:$G$34,芦花古楼!AI100)*芦花古楼!AJ100</f>
        <v>0</v>
      </c>
      <c r="AM100" s="22">
        <f t="shared" si="29"/>
        <v>115</v>
      </c>
      <c r="AN100" s="22">
        <f t="shared" si="30"/>
        <v>115</v>
      </c>
      <c r="AO100" s="14">
        <f>INDEX(章节关卡!$I$6:$I$34,芦花古楼!AI100)*芦花古楼!AJ100</f>
        <v>0</v>
      </c>
      <c r="AP100" s="14">
        <v>300</v>
      </c>
      <c r="AS100" s="18">
        <v>95</v>
      </c>
      <c r="AT100" s="87">
        <v>41</v>
      </c>
      <c r="AV100" s="18">
        <v>95</v>
      </c>
      <c r="AW100" s="87">
        <v>45</v>
      </c>
      <c r="AY100" s="18">
        <v>95</v>
      </c>
      <c r="AZ100" s="18">
        <v>45</v>
      </c>
      <c r="BB100" s="18">
        <v>95</v>
      </c>
      <c r="BC100" s="18">
        <v>45</v>
      </c>
      <c r="BF100" s="18">
        <v>95</v>
      </c>
      <c r="BG100" s="14">
        <f t="shared" si="31"/>
        <v>0</v>
      </c>
      <c r="BH100" s="14">
        <f t="shared" si="32"/>
        <v>480</v>
      </c>
      <c r="BI100" s="14">
        <f t="shared" si="33"/>
        <v>0</v>
      </c>
      <c r="BJ100" s="14">
        <f t="shared" si="34"/>
        <v>1200</v>
      </c>
      <c r="BK100" s="14">
        <f t="shared" si="35"/>
        <v>480</v>
      </c>
      <c r="BL100" s="14">
        <f t="shared" si="36"/>
        <v>960</v>
      </c>
      <c r="CJ100" s="52">
        <v>96</v>
      </c>
      <c r="CK100" s="52">
        <v>1</v>
      </c>
      <c r="CL100" s="52" t="s">
        <v>244</v>
      </c>
      <c r="CM100" s="52">
        <v>96</v>
      </c>
      <c r="CN100" s="52"/>
      <c r="CO100" s="52"/>
      <c r="CP100" s="52"/>
      <c r="CQ100" s="52" t="s">
        <v>358</v>
      </c>
      <c r="CR100" s="52">
        <v>6600</v>
      </c>
      <c r="CS100" s="52" t="s">
        <v>359</v>
      </c>
      <c r="CT100" s="52">
        <v>100</v>
      </c>
      <c r="CU100" s="52"/>
      <c r="CV100" s="52"/>
      <c r="CW100" s="52" t="s">
        <v>359</v>
      </c>
      <c r="CX100" s="52">
        <v>115</v>
      </c>
      <c r="CY100" s="52"/>
      <c r="CZ100" s="52"/>
      <c r="DA100" s="52"/>
      <c r="DB100" s="52"/>
      <c r="DC100" s="52"/>
      <c r="DD100" s="52"/>
      <c r="DE100" s="52"/>
      <c r="DF100" s="52"/>
      <c r="DG100" s="52"/>
      <c r="DH100" s="52"/>
    </row>
    <row r="101" spans="1:112" ht="16.5" x14ac:dyDescent="0.2">
      <c r="A101" s="22">
        <v>97</v>
      </c>
      <c r="B101" s="78">
        <v>22</v>
      </c>
      <c r="C101" s="123">
        <v>0</v>
      </c>
      <c r="D101" s="87"/>
      <c r="E101" s="78">
        <f>INDEX(章节关卡!$G$6:$G$34,芦花古楼!B101)*芦花古楼!C101</f>
        <v>0</v>
      </c>
      <c r="F101" s="22">
        <f t="shared" si="22"/>
        <v>100</v>
      </c>
      <c r="G101" s="22">
        <f t="shared" si="23"/>
        <v>115</v>
      </c>
      <c r="H101" s="14">
        <f>INDEX(章节关卡!$I$6:$I$34,芦花古楼!B101)*芦花古楼!C101</f>
        <v>0</v>
      </c>
      <c r="I101" s="14">
        <v>300</v>
      </c>
      <c r="L101" s="22">
        <v>97</v>
      </c>
      <c r="M101" s="78">
        <f t="shared" si="26"/>
        <v>23</v>
      </c>
      <c r="N101" s="123">
        <v>0</v>
      </c>
      <c r="O101" s="87"/>
      <c r="P101" s="78">
        <f>INDEX(章节关卡!$G$6:$G$34,芦花古楼!M101)*芦花古楼!N101</f>
        <v>0</v>
      </c>
      <c r="Q101" s="22">
        <f t="shared" si="27"/>
        <v>105</v>
      </c>
      <c r="R101" s="22">
        <f t="shared" si="28"/>
        <v>115</v>
      </c>
      <c r="S101" s="14">
        <f>INDEX(章节关卡!$I$6:$I$34,芦花古楼!M101)*芦花古楼!N101</f>
        <v>0</v>
      </c>
      <c r="T101" s="14">
        <v>300</v>
      </c>
      <c r="W101" s="22">
        <v>97</v>
      </c>
      <c r="X101" s="24">
        <v>23</v>
      </c>
      <c r="Y101" s="123">
        <v>0</v>
      </c>
      <c r="Z101" s="87"/>
      <c r="AA101" s="87">
        <f>INDEX(章节关卡!$G$6:$G$34,芦花古楼!X101)*芦花古楼!Y101</f>
        <v>0</v>
      </c>
      <c r="AB101" s="22">
        <f t="shared" si="24"/>
        <v>110</v>
      </c>
      <c r="AC101" s="22">
        <f t="shared" si="25"/>
        <v>115</v>
      </c>
      <c r="AD101" s="14">
        <f>INDEX(章节关卡!$I$6:$I$34,芦花古楼!X101)*芦花古楼!Y101</f>
        <v>0</v>
      </c>
      <c r="AE101" s="14">
        <v>300</v>
      </c>
      <c r="AH101" s="22">
        <v>97</v>
      </c>
      <c r="AI101" s="46">
        <v>23</v>
      </c>
      <c r="AJ101" s="123">
        <v>0</v>
      </c>
      <c r="AK101" s="87"/>
      <c r="AL101" s="87">
        <f>INDEX(章节关卡!$G$6:$G$34,芦花古楼!AI101)*芦花古楼!AJ101</f>
        <v>0</v>
      </c>
      <c r="AM101" s="22">
        <f t="shared" si="29"/>
        <v>115</v>
      </c>
      <c r="AN101" s="22">
        <f t="shared" si="30"/>
        <v>115</v>
      </c>
      <c r="AO101" s="14">
        <f>INDEX(章节关卡!$I$6:$I$34,芦花古楼!AI101)*芦花古楼!AJ101</f>
        <v>0</v>
      </c>
      <c r="AP101" s="14">
        <v>300</v>
      </c>
      <c r="AS101" s="18">
        <v>96</v>
      </c>
      <c r="AT101" s="87">
        <v>42</v>
      </c>
      <c r="AV101" s="18">
        <v>96</v>
      </c>
      <c r="AW101" s="87">
        <v>46</v>
      </c>
      <c r="AY101" s="18">
        <v>96</v>
      </c>
      <c r="AZ101" s="18">
        <v>46</v>
      </c>
      <c r="BB101" s="18">
        <v>96</v>
      </c>
      <c r="BC101" s="18">
        <v>46</v>
      </c>
      <c r="BF101" s="18">
        <v>96</v>
      </c>
      <c r="BG101" s="14">
        <f t="shared" si="31"/>
        <v>0</v>
      </c>
      <c r="BH101" s="14">
        <f t="shared" si="32"/>
        <v>480</v>
      </c>
      <c r="BI101" s="14">
        <f t="shared" si="33"/>
        <v>0</v>
      </c>
      <c r="BJ101" s="14">
        <f t="shared" si="34"/>
        <v>1200</v>
      </c>
      <c r="BK101" s="14">
        <f t="shared" si="35"/>
        <v>480</v>
      </c>
      <c r="BL101" s="14">
        <f t="shared" si="36"/>
        <v>960</v>
      </c>
      <c r="CJ101" s="52">
        <v>97</v>
      </c>
      <c r="CK101" s="52">
        <v>1</v>
      </c>
      <c r="CL101" s="52" t="s">
        <v>244</v>
      </c>
      <c r="CM101" s="52">
        <v>97</v>
      </c>
      <c r="CN101" s="52"/>
      <c r="CO101" s="52"/>
      <c r="CP101" s="52"/>
      <c r="CQ101" s="52" t="s">
        <v>358</v>
      </c>
      <c r="CR101" s="52">
        <v>6600</v>
      </c>
      <c r="CS101" s="52" t="s">
        <v>359</v>
      </c>
      <c r="CT101" s="52">
        <v>100</v>
      </c>
      <c r="CU101" s="52"/>
      <c r="CV101" s="52"/>
      <c r="CW101" s="52" t="s">
        <v>359</v>
      </c>
      <c r="CX101" s="52">
        <v>115</v>
      </c>
      <c r="CY101" s="52"/>
      <c r="CZ101" s="52"/>
      <c r="DA101" s="52"/>
      <c r="DB101" s="52"/>
      <c r="DC101" s="52"/>
      <c r="DD101" s="52"/>
      <c r="DE101" s="52"/>
      <c r="DF101" s="52"/>
      <c r="DG101" s="52"/>
      <c r="DH101" s="52"/>
    </row>
    <row r="102" spans="1:112" ht="16.5" x14ac:dyDescent="0.2">
      <c r="A102" s="22">
        <v>98</v>
      </c>
      <c r="B102" s="78">
        <v>22</v>
      </c>
      <c r="C102" s="123">
        <v>0</v>
      </c>
      <c r="D102" s="87"/>
      <c r="E102" s="78">
        <f>INDEX(章节关卡!$G$6:$G$34,芦花古楼!B102)*芦花古楼!C102</f>
        <v>0</v>
      </c>
      <c r="F102" s="22">
        <f t="shared" si="22"/>
        <v>100</v>
      </c>
      <c r="G102" s="22">
        <f t="shared" si="23"/>
        <v>115</v>
      </c>
      <c r="H102" s="14">
        <f>INDEX(章节关卡!$I$6:$I$34,芦花古楼!B102)*芦花古楼!C102</f>
        <v>0</v>
      </c>
      <c r="I102" s="14">
        <v>300</v>
      </c>
      <c r="L102" s="22">
        <v>98</v>
      </c>
      <c r="M102" s="78">
        <f t="shared" si="26"/>
        <v>23</v>
      </c>
      <c r="N102" s="123">
        <v>0</v>
      </c>
      <c r="O102" s="87"/>
      <c r="P102" s="78">
        <f>INDEX(章节关卡!$G$6:$G$34,芦花古楼!M102)*芦花古楼!N102</f>
        <v>0</v>
      </c>
      <c r="Q102" s="22">
        <f t="shared" si="27"/>
        <v>105</v>
      </c>
      <c r="R102" s="22">
        <f t="shared" si="28"/>
        <v>115</v>
      </c>
      <c r="S102" s="14">
        <f>INDEX(章节关卡!$I$6:$I$34,芦花古楼!M102)*芦花古楼!N102</f>
        <v>0</v>
      </c>
      <c r="T102" s="14">
        <v>300</v>
      </c>
      <c r="W102" s="22">
        <v>98</v>
      </c>
      <c r="X102" s="24">
        <v>23</v>
      </c>
      <c r="Y102" s="123">
        <v>0</v>
      </c>
      <c r="Z102" s="87"/>
      <c r="AA102" s="87">
        <f>INDEX(章节关卡!$G$6:$G$34,芦花古楼!X102)*芦花古楼!Y102</f>
        <v>0</v>
      </c>
      <c r="AB102" s="22">
        <f t="shared" si="24"/>
        <v>110</v>
      </c>
      <c r="AC102" s="22">
        <f t="shared" si="25"/>
        <v>115</v>
      </c>
      <c r="AD102" s="14">
        <f>INDEX(章节关卡!$I$6:$I$34,芦花古楼!X102)*芦花古楼!Y102</f>
        <v>0</v>
      </c>
      <c r="AE102" s="14">
        <v>300</v>
      </c>
      <c r="AH102" s="22">
        <v>98</v>
      </c>
      <c r="AI102" s="46">
        <v>23</v>
      </c>
      <c r="AJ102" s="123">
        <v>0</v>
      </c>
      <c r="AK102" s="87"/>
      <c r="AL102" s="87">
        <f>INDEX(章节关卡!$G$6:$G$34,芦花古楼!AI102)*芦花古楼!AJ102</f>
        <v>0</v>
      </c>
      <c r="AM102" s="22">
        <f t="shared" si="29"/>
        <v>115</v>
      </c>
      <c r="AN102" s="22">
        <f t="shared" si="30"/>
        <v>115</v>
      </c>
      <c r="AO102" s="14">
        <f>INDEX(章节关卡!$I$6:$I$34,芦花古楼!AI102)*芦花古楼!AJ102</f>
        <v>0</v>
      </c>
      <c r="AP102" s="14">
        <v>300</v>
      </c>
      <c r="AS102" s="18">
        <v>97</v>
      </c>
      <c r="AT102" s="87">
        <v>43</v>
      </c>
      <c r="AV102" s="18">
        <v>97</v>
      </c>
      <c r="AW102" s="87">
        <v>47</v>
      </c>
      <c r="AY102" s="18">
        <v>97</v>
      </c>
      <c r="AZ102" s="18">
        <v>47</v>
      </c>
      <c r="BB102" s="18">
        <v>97</v>
      </c>
      <c r="BC102" s="18">
        <v>47</v>
      </c>
      <c r="BF102" s="18">
        <v>97</v>
      </c>
      <c r="BG102" s="14">
        <f>SUMIFS($F$5:$F$104,$AT$6:$AT$105,"="&amp;BF102)+SUMIFS($Q$5:$Q$104,$AW$6:$AW$105,"="&amp;BF102)+SUMIFS($AB$5:$AB$104,$AZ$6:$AZ$105,"="&amp;BF102)+SUMIFS($AM$5:$AM$104,$BC$6:$BC$105,"="&amp;BF102)</f>
        <v>0</v>
      </c>
      <c r="BH102" s="14">
        <f t="shared" si="32"/>
        <v>480</v>
      </c>
      <c r="BI102" s="14">
        <f t="shared" si="33"/>
        <v>0</v>
      </c>
      <c r="BJ102" s="14">
        <f t="shared" si="34"/>
        <v>1200</v>
      </c>
      <c r="BK102" s="14">
        <f t="shared" si="35"/>
        <v>480</v>
      </c>
      <c r="BL102" s="14">
        <f t="shared" si="36"/>
        <v>960</v>
      </c>
      <c r="CJ102" s="52">
        <v>98</v>
      </c>
      <c r="CK102" s="52">
        <v>1</v>
      </c>
      <c r="CL102" s="52" t="s">
        <v>244</v>
      </c>
      <c r="CM102" s="52">
        <v>98</v>
      </c>
      <c r="CN102" s="52"/>
      <c r="CO102" s="52"/>
      <c r="CP102" s="52"/>
      <c r="CQ102" s="52" t="s">
        <v>358</v>
      </c>
      <c r="CR102" s="52">
        <v>6600</v>
      </c>
      <c r="CS102" s="52" t="s">
        <v>359</v>
      </c>
      <c r="CT102" s="52">
        <v>100</v>
      </c>
      <c r="CU102" s="52"/>
      <c r="CV102" s="52"/>
      <c r="CW102" s="52" t="s">
        <v>359</v>
      </c>
      <c r="CX102" s="52">
        <v>115</v>
      </c>
      <c r="CY102" s="52"/>
      <c r="CZ102" s="52"/>
      <c r="DA102" s="52"/>
      <c r="DB102" s="52"/>
      <c r="DC102" s="52"/>
      <c r="DD102" s="52"/>
      <c r="DE102" s="52"/>
      <c r="DF102" s="52"/>
      <c r="DG102" s="52"/>
      <c r="DH102" s="52"/>
    </row>
    <row r="103" spans="1:112" ht="16.5" x14ac:dyDescent="0.2">
      <c r="A103" s="22">
        <v>99</v>
      </c>
      <c r="B103" s="78">
        <v>22</v>
      </c>
      <c r="C103" s="123">
        <v>0</v>
      </c>
      <c r="D103" s="87"/>
      <c r="E103" s="78">
        <f>INDEX(章节关卡!$G$6:$G$34,芦花古楼!B103)*芦花古楼!C103</f>
        <v>0</v>
      </c>
      <c r="F103" s="22">
        <f t="shared" si="22"/>
        <v>100</v>
      </c>
      <c r="G103" s="22">
        <f t="shared" si="23"/>
        <v>115</v>
      </c>
      <c r="H103" s="14">
        <f>INDEX(章节关卡!$I$6:$I$34,芦花古楼!B103)*芦花古楼!C103</f>
        <v>0</v>
      </c>
      <c r="I103" s="14">
        <v>300</v>
      </c>
      <c r="L103" s="22">
        <v>99</v>
      </c>
      <c r="M103" s="78">
        <f t="shared" si="26"/>
        <v>23</v>
      </c>
      <c r="N103" s="123">
        <v>0</v>
      </c>
      <c r="O103" s="87"/>
      <c r="P103" s="78">
        <f>INDEX(章节关卡!$G$6:$G$34,芦花古楼!M103)*芦花古楼!N103</f>
        <v>0</v>
      </c>
      <c r="Q103" s="22">
        <f t="shared" si="27"/>
        <v>105</v>
      </c>
      <c r="R103" s="22">
        <f t="shared" si="28"/>
        <v>115</v>
      </c>
      <c r="S103" s="14">
        <f>INDEX(章节关卡!$I$6:$I$34,芦花古楼!M103)*芦花古楼!N103</f>
        <v>0</v>
      </c>
      <c r="T103" s="14">
        <v>300</v>
      </c>
      <c r="W103" s="22">
        <v>99</v>
      </c>
      <c r="X103" s="24">
        <v>23</v>
      </c>
      <c r="Y103" s="123">
        <v>0</v>
      </c>
      <c r="Z103" s="87"/>
      <c r="AA103" s="87">
        <f>INDEX(章节关卡!$G$6:$G$34,芦花古楼!X103)*芦花古楼!Y103</f>
        <v>0</v>
      </c>
      <c r="AB103" s="22">
        <f t="shared" si="24"/>
        <v>110</v>
      </c>
      <c r="AC103" s="22">
        <f t="shared" si="25"/>
        <v>115</v>
      </c>
      <c r="AD103" s="14">
        <f>INDEX(章节关卡!$I$6:$I$34,芦花古楼!X103)*芦花古楼!Y103</f>
        <v>0</v>
      </c>
      <c r="AE103" s="14">
        <v>300</v>
      </c>
      <c r="AH103" s="22">
        <v>99</v>
      </c>
      <c r="AI103" s="46">
        <v>23</v>
      </c>
      <c r="AJ103" s="123">
        <v>0</v>
      </c>
      <c r="AK103" s="87"/>
      <c r="AL103" s="87">
        <f>INDEX(章节关卡!$G$6:$G$34,芦花古楼!AI103)*芦花古楼!AJ103</f>
        <v>0</v>
      </c>
      <c r="AM103" s="22">
        <f t="shared" si="29"/>
        <v>115</v>
      </c>
      <c r="AN103" s="22">
        <f t="shared" si="30"/>
        <v>115</v>
      </c>
      <c r="AO103" s="14">
        <f>INDEX(章节关卡!$I$6:$I$34,芦花古楼!AI103)*芦花古楼!AJ103</f>
        <v>0</v>
      </c>
      <c r="AP103" s="14">
        <v>300</v>
      </c>
      <c r="AS103" s="18">
        <v>98</v>
      </c>
      <c r="AT103" s="87">
        <v>44</v>
      </c>
      <c r="AV103" s="18">
        <v>98</v>
      </c>
      <c r="AW103" s="87">
        <v>48</v>
      </c>
      <c r="AY103" s="18">
        <v>98</v>
      </c>
      <c r="AZ103" s="18">
        <v>48</v>
      </c>
      <c r="BB103" s="18">
        <v>98</v>
      </c>
      <c r="BC103" s="18">
        <v>48</v>
      </c>
      <c r="BF103" s="18">
        <v>98</v>
      </c>
      <c r="BG103" s="14">
        <f>SUMIFS($F$5:$F$104,$AT$6:$AT$105,"="&amp;BF103)+SUMIFS($Q$5:$Q$104,$AW$6:$AW$105,"="&amp;BF103)+SUMIFS($AB$5:$AB$104,$AZ$6:$AZ$105,"="&amp;BF103)+SUMIFS($AM$5:$AM$104,$BC$6:$BC$105,"="&amp;BF103)</f>
        <v>0</v>
      </c>
      <c r="BH103" s="14">
        <f t="shared" si="32"/>
        <v>480</v>
      </c>
      <c r="BI103" s="14">
        <f t="shared" si="33"/>
        <v>0</v>
      </c>
      <c r="BJ103" s="14">
        <f t="shared" si="34"/>
        <v>1200</v>
      </c>
      <c r="BK103" s="14">
        <f t="shared" si="35"/>
        <v>480</v>
      </c>
      <c r="BL103" s="14">
        <f t="shared" si="36"/>
        <v>960</v>
      </c>
      <c r="CJ103" s="52">
        <v>99</v>
      </c>
      <c r="CK103" s="52">
        <v>1</v>
      </c>
      <c r="CL103" s="52" t="s">
        <v>244</v>
      </c>
      <c r="CM103" s="52">
        <v>99</v>
      </c>
      <c r="CN103" s="52"/>
      <c r="CO103" s="52"/>
      <c r="CP103" s="52"/>
      <c r="CQ103" s="52" t="s">
        <v>358</v>
      </c>
      <c r="CR103" s="52">
        <v>6600</v>
      </c>
      <c r="CS103" s="52" t="s">
        <v>359</v>
      </c>
      <c r="CT103" s="52">
        <v>100</v>
      </c>
      <c r="CU103" s="52"/>
      <c r="CV103" s="52"/>
      <c r="CW103" s="52" t="s">
        <v>359</v>
      </c>
      <c r="CX103" s="52">
        <v>115</v>
      </c>
      <c r="CY103" s="52"/>
      <c r="CZ103" s="52"/>
      <c r="DA103" s="52"/>
      <c r="DB103" s="52"/>
      <c r="DC103" s="52"/>
      <c r="DD103" s="52"/>
      <c r="DE103" s="52"/>
      <c r="DF103" s="52"/>
      <c r="DG103" s="52"/>
      <c r="DH103" s="52"/>
    </row>
    <row r="104" spans="1:112" ht="16.5" x14ac:dyDescent="0.2">
      <c r="A104" s="22">
        <v>100</v>
      </c>
      <c r="B104" s="78">
        <v>22</v>
      </c>
      <c r="C104" s="123">
        <v>0</v>
      </c>
      <c r="D104" s="87"/>
      <c r="E104" s="78">
        <f>INDEX(章节关卡!$G$6:$G$34,芦花古楼!B104)*芦花古楼!C104</f>
        <v>0</v>
      </c>
      <c r="F104" s="22">
        <f t="shared" si="22"/>
        <v>100</v>
      </c>
      <c r="G104" s="22">
        <f t="shared" si="23"/>
        <v>120</v>
      </c>
      <c r="H104" s="14">
        <f>INDEX(章节关卡!$I$6:$I$34,芦花古楼!B104)*芦花古楼!C104</f>
        <v>0</v>
      </c>
      <c r="I104" s="14">
        <v>300</v>
      </c>
      <c r="L104" s="22">
        <v>100</v>
      </c>
      <c r="M104" s="78">
        <f t="shared" si="26"/>
        <v>23</v>
      </c>
      <c r="N104" s="123">
        <v>0</v>
      </c>
      <c r="O104" s="87"/>
      <c r="P104" s="78">
        <f>INDEX(章节关卡!$G$6:$G$34,芦花古楼!M104)*芦花古楼!N104</f>
        <v>0</v>
      </c>
      <c r="Q104" s="22">
        <f t="shared" si="27"/>
        <v>105</v>
      </c>
      <c r="R104" s="22">
        <f t="shared" si="28"/>
        <v>120</v>
      </c>
      <c r="S104" s="14">
        <f>INDEX(章节关卡!$I$6:$I$34,芦花古楼!M104)*芦花古楼!N104</f>
        <v>0</v>
      </c>
      <c r="T104" s="14">
        <v>300</v>
      </c>
      <c r="W104" s="22">
        <v>100</v>
      </c>
      <c r="X104" s="24">
        <v>23</v>
      </c>
      <c r="Y104" s="123">
        <v>0</v>
      </c>
      <c r="Z104" s="87"/>
      <c r="AA104" s="87">
        <f>INDEX(章节关卡!$G$6:$G$34,芦花古楼!X104)*芦花古楼!Y104</f>
        <v>0</v>
      </c>
      <c r="AB104" s="22">
        <f t="shared" si="24"/>
        <v>110</v>
      </c>
      <c r="AC104" s="22">
        <f t="shared" si="25"/>
        <v>120</v>
      </c>
      <c r="AD104" s="14">
        <f>INDEX(章节关卡!$I$6:$I$34,芦花古楼!X104)*芦花古楼!Y104</f>
        <v>0</v>
      </c>
      <c r="AE104" s="14">
        <v>300</v>
      </c>
      <c r="AH104" s="22">
        <v>100</v>
      </c>
      <c r="AI104" s="46">
        <v>23</v>
      </c>
      <c r="AJ104" s="123">
        <v>0</v>
      </c>
      <c r="AK104" s="87"/>
      <c r="AL104" s="87">
        <f>INDEX(章节关卡!$G$6:$G$34,芦花古楼!AI104)*芦花古楼!AJ104</f>
        <v>0</v>
      </c>
      <c r="AM104" s="22">
        <f t="shared" si="29"/>
        <v>115</v>
      </c>
      <c r="AN104" s="22">
        <f t="shared" si="30"/>
        <v>120</v>
      </c>
      <c r="AO104" s="14">
        <f>INDEX(章节关卡!$I$6:$I$34,芦花古楼!AI104)*芦花古楼!AJ104</f>
        <v>0</v>
      </c>
      <c r="AP104" s="14">
        <v>300</v>
      </c>
      <c r="AS104" s="18">
        <v>99</v>
      </c>
      <c r="AT104" s="87">
        <v>45</v>
      </c>
      <c r="AV104" s="18">
        <v>99</v>
      </c>
      <c r="AW104" s="87">
        <v>49</v>
      </c>
      <c r="AY104" s="18">
        <v>99</v>
      </c>
      <c r="AZ104" s="18">
        <v>49</v>
      </c>
      <c r="BB104" s="18">
        <v>99</v>
      </c>
      <c r="BC104" s="18">
        <v>49</v>
      </c>
      <c r="BF104" s="18">
        <v>99</v>
      </c>
      <c r="BG104" s="14">
        <f>SUMIFS($F$5:$F$104,$AT$6:$AT$105,"="&amp;BF104)+SUMIFS($Q$5:$Q$104,$AW$6:$AW$105,"="&amp;BF104)+SUMIFS($AB$5:$AB$104,$AZ$6:$AZ$105,"="&amp;BF104)+SUMIFS($AM$5:$AM$104,$BC$6:$BC$105,"="&amp;BF104)</f>
        <v>0</v>
      </c>
      <c r="BH104" s="14">
        <f t="shared" si="32"/>
        <v>480</v>
      </c>
      <c r="BI104" s="14">
        <f t="shared" si="33"/>
        <v>0</v>
      </c>
      <c r="BJ104" s="14">
        <f t="shared" si="34"/>
        <v>1200</v>
      </c>
      <c r="BK104" s="14">
        <f t="shared" si="35"/>
        <v>480</v>
      </c>
      <c r="BL104" s="14">
        <f t="shared" si="36"/>
        <v>960</v>
      </c>
      <c r="CJ104" s="52">
        <v>100</v>
      </c>
      <c r="CK104" s="52">
        <v>1</v>
      </c>
      <c r="CL104" s="52" t="s">
        <v>244</v>
      </c>
      <c r="CM104" s="52">
        <v>100</v>
      </c>
      <c r="CN104" s="52"/>
      <c r="CO104" s="52"/>
      <c r="CP104" s="52"/>
      <c r="CQ104" s="52" t="s">
        <v>358</v>
      </c>
      <c r="CR104" s="52">
        <v>6600</v>
      </c>
      <c r="CS104" s="52" t="s">
        <v>359</v>
      </c>
      <c r="CT104" s="52">
        <v>100</v>
      </c>
      <c r="CU104" s="52" t="s">
        <v>259</v>
      </c>
      <c r="CV104" s="52">
        <v>2</v>
      </c>
      <c r="CW104" s="52" t="s">
        <v>359</v>
      </c>
      <c r="CX104" s="52">
        <v>120</v>
      </c>
      <c r="CY104" s="52"/>
      <c r="CZ104" s="52"/>
      <c r="DA104" s="52"/>
      <c r="DB104" s="52"/>
      <c r="DC104" s="52"/>
      <c r="DD104" s="52"/>
      <c r="DE104" s="52"/>
      <c r="DF104" s="52"/>
      <c r="DG104" s="52"/>
      <c r="DH104" s="52"/>
    </row>
    <row r="105" spans="1:112" ht="16.5" x14ac:dyDescent="0.2">
      <c r="AS105" s="18">
        <v>100</v>
      </c>
      <c r="AT105" s="87">
        <v>46</v>
      </c>
      <c r="AV105" s="18">
        <v>100</v>
      </c>
      <c r="AW105" s="87">
        <v>50</v>
      </c>
      <c r="AY105" s="18">
        <v>100</v>
      </c>
      <c r="AZ105" s="18">
        <v>50</v>
      </c>
      <c r="BB105" s="18">
        <v>100</v>
      </c>
      <c r="BC105" s="18">
        <v>50</v>
      </c>
      <c r="BF105" s="18">
        <v>100</v>
      </c>
      <c r="BG105" s="14">
        <f>SUMIFS($F$5:$F$104,$AT$6:$AT$105,"="&amp;BF105)+SUMIFS($Q$5:$Q$104,$AW$6:$AW$105,"="&amp;BF105)+SUMIFS($AB$5:$AB$104,$AZ$6:$AZ$105,"="&amp;BF105)+SUMIFS($AM$5:$AM$104,$BC$6:$BC$105,"="&amp;BF105)</f>
        <v>0</v>
      </c>
      <c r="BH105" s="14">
        <f t="shared" si="32"/>
        <v>480</v>
      </c>
      <c r="BI105" s="14">
        <f t="shared" si="33"/>
        <v>0</v>
      </c>
      <c r="BJ105" s="14">
        <f t="shared" si="34"/>
        <v>1200</v>
      </c>
      <c r="BK105" s="14">
        <f t="shared" si="35"/>
        <v>480</v>
      </c>
      <c r="BL105" s="14">
        <f t="shared" si="36"/>
        <v>960</v>
      </c>
      <c r="CJ105" s="52">
        <v>101</v>
      </c>
      <c r="CK105" s="52">
        <v>2</v>
      </c>
      <c r="CL105" s="52" t="s">
        <v>244</v>
      </c>
      <c r="CM105" s="52">
        <v>1</v>
      </c>
      <c r="CN105" s="52"/>
      <c r="CO105" s="52"/>
      <c r="CP105" s="52"/>
      <c r="CQ105" s="52" t="s">
        <v>358</v>
      </c>
      <c r="CR105" s="52">
        <v>3000</v>
      </c>
      <c r="CS105" s="52" t="s">
        <v>359</v>
      </c>
      <c r="CT105" s="52">
        <v>10</v>
      </c>
      <c r="CU105" s="52"/>
      <c r="CV105" s="52"/>
      <c r="CW105" s="52" t="s">
        <v>359</v>
      </c>
      <c r="CX105" s="52">
        <v>20</v>
      </c>
      <c r="CY105" s="52"/>
      <c r="CZ105" s="52"/>
      <c r="DA105" s="52"/>
      <c r="DB105" s="52"/>
      <c r="DC105" s="52"/>
      <c r="DD105" s="52"/>
      <c r="DE105" s="52"/>
      <c r="DF105" s="52"/>
      <c r="DG105" s="52"/>
      <c r="DH105" s="52"/>
    </row>
    <row r="106" spans="1:112" ht="16.5" x14ac:dyDescent="0.2">
      <c r="BF106" s="52">
        <v>101</v>
      </c>
      <c r="BG106" s="14">
        <f t="shared" ref="BG106:BG169" si="37">SUMIFS($F$5:$F$104,$AT$6:$AT$105,"="&amp;BF106)+SUMIFS($Q$5:$Q$104,$AW$6:$AW$105,"="&amp;BF106)+SUMIFS($AB$5:$AB$104,$AZ$6:$AZ$105,"="&amp;BF106)+SUMIFS($AM$5:$AM$104,$BC$6:$BC$105,"="&amp;BF106)</f>
        <v>0</v>
      </c>
      <c r="BH106" s="14">
        <f t="shared" ref="BH106:BH169" si="38">INDEX($G$5:$G$104,MATCH(BF106,$AT$5:$AT$105,1)-1)+INDEX($R$5:$R$104,MATCH(BF106,$AW$5:$AW$105,1)-1)+INDEX($AC$5:$AC$104,MATCH(BF106,$AZ$5:$AZ$105,1)-1)+INDEX($AN$5:$AN$104,MATCH(BF106,$BC$5:$BC$105,1)-1)</f>
        <v>480</v>
      </c>
      <c r="BI106" s="14">
        <f t="shared" ref="BI106:BI169" si="39">SUMIFS($H$5:$H$104,$AT$6:$AT$105,"="&amp;BF106)+SUMIFS($S$5:$S$104,$AW$6:$AW$105,"="&amp;BF106)+SUMIFS($AD$5:$AD$104,$AZ$6:$AZ$105,"="&amp;BF106)+SUMIFS($AO$5:$AO$104,$BC$6:$BC$105,"="&amp;BF106)</f>
        <v>0</v>
      </c>
      <c r="BJ106" s="14">
        <f t="shared" ref="BJ106:BJ169" si="40">INDEX($I$5:$I$104,MATCH(BF106,$AT$5:$AT$105,1)-1)+INDEX($T$5:$T$104,MATCH(BF106,$AW$5:$AW$105,1)-1)+INDEX($AE$5:$AE$104,MATCH(BF106,$AZ$5:$AZ$105,1)-1)+INDEX($AP$5:$AP$104,MATCH(BF106,$BC$5:$BC$105,1)-1)</f>
        <v>1200</v>
      </c>
      <c r="BK106" s="14">
        <f t="shared" si="35"/>
        <v>480</v>
      </c>
      <c r="BL106" s="14">
        <f t="shared" si="36"/>
        <v>960</v>
      </c>
      <c r="CJ106" s="52">
        <v>102</v>
      </c>
      <c r="CK106" s="52">
        <v>2</v>
      </c>
      <c r="CL106" s="52" t="s">
        <v>244</v>
      </c>
      <c r="CM106" s="52">
        <v>2</v>
      </c>
      <c r="CN106" s="52"/>
      <c r="CO106" s="52"/>
      <c r="CP106" s="52"/>
      <c r="CQ106" s="52" t="s">
        <v>358</v>
      </c>
      <c r="CR106" s="52">
        <v>3000</v>
      </c>
      <c r="CS106" s="52" t="s">
        <v>359</v>
      </c>
      <c r="CT106" s="52">
        <v>10</v>
      </c>
      <c r="CU106" s="52" t="s">
        <v>260</v>
      </c>
      <c r="CV106" s="52">
        <v>1</v>
      </c>
      <c r="CW106" s="52" t="s">
        <v>359</v>
      </c>
      <c r="CX106" s="52">
        <v>20</v>
      </c>
      <c r="CY106" s="52"/>
      <c r="CZ106" s="52"/>
      <c r="DA106" s="52"/>
      <c r="DB106" s="52"/>
      <c r="DC106" s="52"/>
      <c r="DD106" s="52"/>
      <c r="DE106" s="52"/>
      <c r="DF106" s="52"/>
      <c r="DG106" s="52"/>
      <c r="DH106" s="52"/>
    </row>
    <row r="107" spans="1:112" ht="16.5" x14ac:dyDescent="0.2">
      <c r="BF107" s="52">
        <v>102</v>
      </c>
      <c r="BG107" s="14">
        <f t="shared" si="37"/>
        <v>0</v>
      </c>
      <c r="BH107" s="14">
        <f t="shared" si="38"/>
        <v>480</v>
      </c>
      <c r="BI107" s="14">
        <f t="shared" si="39"/>
        <v>0</v>
      </c>
      <c r="BJ107" s="14">
        <f t="shared" si="40"/>
        <v>1200</v>
      </c>
      <c r="BK107" s="14">
        <f t="shared" si="35"/>
        <v>480</v>
      </c>
      <c r="BL107" s="14">
        <f t="shared" si="36"/>
        <v>960</v>
      </c>
      <c r="CJ107" s="52">
        <v>103</v>
      </c>
      <c r="CK107" s="52">
        <v>2</v>
      </c>
      <c r="CL107" s="52" t="s">
        <v>244</v>
      </c>
      <c r="CM107" s="52">
        <v>3</v>
      </c>
      <c r="CN107" s="52"/>
      <c r="CO107" s="52"/>
      <c r="CP107" s="52"/>
      <c r="CQ107" s="52" t="s">
        <v>358</v>
      </c>
      <c r="CR107" s="52">
        <v>3000</v>
      </c>
      <c r="CS107" s="52" t="s">
        <v>359</v>
      </c>
      <c r="CT107" s="52">
        <v>10</v>
      </c>
      <c r="CU107" s="52"/>
      <c r="CV107" s="52"/>
      <c r="CW107" s="52" t="s">
        <v>359</v>
      </c>
      <c r="CX107" s="52">
        <v>20</v>
      </c>
      <c r="CY107" s="52"/>
      <c r="CZ107" s="52"/>
      <c r="DA107" s="52"/>
      <c r="DB107" s="52"/>
      <c r="DC107" s="52"/>
      <c r="DD107" s="52"/>
      <c r="DE107" s="52"/>
      <c r="DF107" s="52"/>
      <c r="DG107" s="52"/>
      <c r="DH107" s="52"/>
    </row>
    <row r="108" spans="1:112" ht="16.5" x14ac:dyDescent="0.2">
      <c r="BF108" s="52">
        <v>103</v>
      </c>
      <c r="BG108" s="14">
        <f t="shared" si="37"/>
        <v>0</v>
      </c>
      <c r="BH108" s="14">
        <f t="shared" si="38"/>
        <v>480</v>
      </c>
      <c r="BI108" s="14">
        <f t="shared" si="39"/>
        <v>0</v>
      </c>
      <c r="BJ108" s="14">
        <f t="shared" si="40"/>
        <v>1200</v>
      </c>
      <c r="BK108" s="14">
        <f t="shared" si="35"/>
        <v>480</v>
      </c>
      <c r="BL108" s="14">
        <f t="shared" si="36"/>
        <v>960</v>
      </c>
      <c r="CJ108" s="52">
        <v>104</v>
      </c>
      <c r="CK108" s="52">
        <v>2</v>
      </c>
      <c r="CL108" s="52" t="s">
        <v>244</v>
      </c>
      <c r="CM108" s="52">
        <v>4</v>
      </c>
      <c r="CN108" s="52"/>
      <c r="CO108" s="52"/>
      <c r="CP108" s="52"/>
      <c r="CQ108" s="52" t="s">
        <v>358</v>
      </c>
      <c r="CR108" s="52">
        <v>3000</v>
      </c>
      <c r="CS108" s="52" t="s">
        <v>359</v>
      </c>
      <c r="CT108" s="52">
        <v>10</v>
      </c>
      <c r="CU108" s="52" t="s">
        <v>261</v>
      </c>
      <c r="CV108" s="52">
        <v>1</v>
      </c>
      <c r="CW108" s="52" t="s">
        <v>359</v>
      </c>
      <c r="CX108" s="52">
        <v>20</v>
      </c>
      <c r="CY108" s="52"/>
      <c r="CZ108" s="52"/>
      <c r="DA108" s="52"/>
      <c r="DB108" s="52"/>
      <c r="DC108" s="52"/>
      <c r="DD108" s="52"/>
      <c r="DE108" s="52"/>
      <c r="DF108" s="52"/>
      <c r="DG108" s="52"/>
      <c r="DH108" s="52"/>
    </row>
    <row r="109" spans="1:112" ht="16.5" x14ac:dyDescent="0.2">
      <c r="BF109" s="52">
        <v>104</v>
      </c>
      <c r="BG109" s="14">
        <f t="shared" si="37"/>
        <v>0</v>
      </c>
      <c r="BH109" s="14">
        <f t="shared" si="38"/>
        <v>480</v>
      </c>
      <c r="BI109" s="14">
        <f t="shared" si="39"/>
        <v>0</v>
      </c>
      <c r="BJ109" s="14">
        <f t="shared" si="40"/>
        <v>1200</v>
      </c>
      <c r="BK109" s="14">
        <f t="shared" si="35"/>
        <v>480</v>
      </c>
      <c r="BL109" s="14">
        <f t="shared" si="36"/>
        <v>960</v>
      </c>
      <c r="CJ109" s="52">
        <v>105</v>
      </c>
      <c r="CK109" s="52">
        <v>2</v>
      </c>
      <c r="CL109" s="52" t="s">
        <v>244</v>
      </c>
      <c r="CM109" s="52">
        <v>5</v>
      </c>
      <c r="CN109" s="52"/>
      <c r="CO109" s="52"/>
      <c r="CP109" s="52"/>
      <c r="CQ109" s="52" t="s">
        <v>358</v>
      </c>
      <c r="CR109" s="52">
        <v>3840</v>
      </c>
      <c r="CS109" s="52" t="s">
        <v>359</v>
      </c>
      <c r="CT109" s="52">
        <v>10</v>
      </c>
      <c r="CU109" s="52"/>
      <c r="CV109" s="52"/>
      <c r="CW109" s="52" t="s">
        <v>359</v>
      </c>
      <c r="CX109" s="52">
        <v>25</v>
      </c>
      <c r="CY109" s="52"/>
      <c r="CZ109" s="52"/>
      <c r="DA109" s="52"/>
      <c r="DB109" s="52"/>
      <c r="DC109" s="52"/>
      <c r="DD109" s="52"/>
      <c r="DE109" s="52"/>
      <c r="DF109" s="52"/>
      <c r="DG109" s="52"/>
      <c r="DH109" s="52"/>
    </row>
    <row r="110" spans="1:112" ht="16.5" x14ac:dyDescent="0.2">
      <c r="BF110" s="52">
        <v>105</v>
      </c>
      <c r="BG110" s="14">
        <f t="shared" si="37"/>
        <v>0</v>
      </c>
      <c r="BH110" s="14">
        <f t="shared" si="38"/>
        <v>480</v>
      </c>
      <c r="BI110" s="14">
        <f t="shared" si="39"/>
        <v>0</v>
      </c>
      <c r="BJ110" s="14">
        <f t="shared" si="40"/>
        <v>1200</v>
      </c>
      <c r="BK110" s="14">
        <f t="shared" si="35"/>
        <v>480</v>
      </c>
      <c r="BL110" s="14">
        <f t="shared" si="36"/>
        <v>960</v>
      </c>
      <c r="CJ110" s="52">
        <v>106</v>
      </c>
      <c r="CK110" s="52">
        <v>2</v>
      </c>
      <c r="CL110" s="52" t="s">
        <v>244</v>
      </c>
      <c r="CM110" s="52">
        <v>6</v>
      </c>
      <c r="CN110" s="52"/>
      <c r="CO110" s="52"/>
      <c r="CP110" s="52"/>
      <c r="CQ110" s="52" t="s">
        <v>358</v>
      </c>
      <c r="CR110" s="52">
        <v>3840</v>
      </c>
      <c r="CS110" s="52" t="s">
        <v>359</v>
      </c>
      <c r="CT110" s="52">
        <v>15</v>
      </c>
      <c r="CU110" s="52"/>
      <c r="CV110" s="52"/>
      <c r="CW110" s="52" t="s">
        <v>359</v>
      </c>
      <c r="CX110" s="52">
        <v>25</v>
      </c>
      <c r="CY110" s="52"/>
      <c r="CZ110" s="52"/>
      <c r="DA110" s="52"/>
      <c r="DB110" s="52"/>
      <c r="DC110" s="52"/>
      <c r="DD110" s="52"/>
      <c r="DE110" s="52"/>
      <c r="DF110" s="52"/>
      <c r="DG110" s="52"/>
      <c r="DH110" s="52"/>
    </row>
    <row r="111" spans="1:112" ht="16.5" x14ac:dyDescent="0.2">
      <c r="BF111" s="52">
        <v>106</v>
      </c>
      <c r="BG111" s="14">
        <f t="shared" si="37"/>
        <v>0</v>
      </c>
      <c r="BH111" s="14">
        <f t="shared" si="38"/>
        <v>480</v>
      </c>
      <c r="BI111" s="14">
        <f t="shared" si="39"/>
        <v>0</v>
      </c>
      <c r="BJ111" s="14">
        <f t="shared" si="40"/>
        <v>1200</v>
      </c>
      <c r="BK111" s="14">
        <f t="shared" si="35"/>
        <v>480</v>
      </c>
      <c r="BL111" s="14">
        <f t="shared" si="36"/>
        <v>960</v>
      </c>
      <c r="CJ111" s="52">
        <v>107</v>
      </c>
      <c r="CK111" s="52">
        <v>2</v>
      </c>
      <c r="CL111" s="52" t="s">
        <v>244</v>
      </c>
      <c r="CM111" s="52">
        <v>7</v>
      </c>
      <c r="CN111" s="52"/>
      <c r="CO111" s="52"/>
      <c r="CP111" s="52"/>
      <c r="CQ111" s="52" t="s">
        <v>358</v>
      </c>
      <c r="CR111" s="52">
        <v>3840</v>
      </c>
      <c r="CS111" s="52" t="s">
        <v>359</v>
      </c>
      <c r="CT111" s="52">
        <v>15</v>
      </c>
      <c r="CU111" s="52" t="s">
        <v>260</v>
      </c>
      <c r="CV111" s="52">
        <v>1</v>
      </c>
      <c r="CW111" s="52" t="s">
        <v>359</v>
      </c>
      <c r="CX111" s="52">
        <v>25</v>
      </c>
      <c r="CY111" s="52"/>
      <c r="CZ111" s="52"/>
      <c r="DA111" s="52"/>
      <c r="DB111" s="52"/>
      <c r="DC111" s="52"/>
      <c r="DD111" s="52"/>
      <c r="DE111" s="52"/>
      <c r="DF111" s="52"/>
      <c r="DG111" s="52"/>
      <c r="DH111" s="52"/>
    </row>
    <row r="112" spans="1:112" ht="16.5" x14ac:dyDescent="0.2">
      <c r="BF112" s="52">
        <v>107</v>
      </c>
      <c r="BG112" s="14">
        <f t="shared" si="37"/>
        <v>0</v>
      </c>
      <c r="BH112" s="14">
        <f t="shared" si="38"/>
        <v>480</v>
      </c>
      <c r="BI112" s="14">
        <f t="shared" si="39"/>
        <v>0</v>
      </c>
      <c r="BJ112" s="14">
        <f t="shared" si="40"/>
        <v>1200</v>
      </c>
      <c r="BK112" s="14">
        <f t="shared" si="35"/>
        <v>480</v>
      </c>
      <c r="BL112" s="14">
        <f t="shared" si="36"/>
        <v>960</v>
      </c>
      <c r="CJ112" s="52">
        <v>108</v>
      </c>
      <c r="CK112" s="52">
        <v>2</v>
      </c>
      <c r="CL112" s="52" t="s">
        <v>244</v>
      </c>
      <c r="CM112" s="52">
        <v>8</v>
      </c>
      <c r="CN112" s="52"/>
      <c r="CO112" s="52"/>
      <c r="CP112" s="52"/>
      <c r="CQ112" s="52" t="s">
        <v>358</v>
      </c>
      <c r="CR112" s="52">
        <v>3840</v>
      </c>
      <c r="CS112" s="52" t="s">
        <v>359</v>
      </c>
      <c r="CT112" s="52">
        <v>15</v>
      </c>
      <c r="CU112" s="52"/>
      <c r="CV112" s="52"/>
      <c r="CW112" s="52" t="s">
        <v>359</v>
      </c>
      <c r="CX112" s="52">
        <v>25</v>
      </c>
      <c r="CY112" s="52"/>
      <c r="CZ112" s="52"/>
      <c r="DA112" s="52"/>
      <c r="DB112" s="52"/>
      <c r="DC112" s="52"/>
      <c r="DD112" s="52"/>
      <c r="DE112" s="52"/>
      <c r="DF112" s="52"/>
      <c r="DG112" s="52"/>
      <c r="DH112" s="52"/>
    </row>
    <row r="113" spans="58:112" ht="16.5" x14ac:dyDescent="0.2">
      <c r="BF113" s="52">
        <v>108</v>
      </c>
      <c r="BG113" s="14">
        <f t="shared" si="37"/>
        <v>0</v>
      </c>
      <c r="BH113" s="14">
        <f t="shared" si="38"/>
        <v>480</v>
      </c>
      <c r="BI113" s="14">
        <f t="shared" si="39"/>
        <v>0</v>
      </c>
      <c r="BJ113" s="14">
        <f t="shared" si="40"/>
        <v>1200</v>
      </c>
      <c r="BK113" s="14">
        <f t="shared" si="35"/>
        <v>480</v>
      </c>
      <c r="BL113" s="14">
        <f t="shared" si="36"/>
        <v>960</v>
      </c>
      <c r="CJ113" s="52">
        <v>109</v>
      </c>
      <c r="CK113" s="52">
        <v>2</v>
      </c>
      <c r="CL113" s="52" t="s">
        <v>244</v>
      </c>
      <c r="CM113" s="52">
        <v>9</v>
      </c>
      <c r="CN113" s="52"/>
      <c r="CO113" s="52"/>
      <c r="CP113" s="52"/>
      <c r="CQ113" s="52" t="s">
        <v>358</v>
      </c>
      <c r="CR113" s="52">
        <v>3840</v>
      </c>
      <c r="CS113" s="52" t="s">
        <v>359</v>
      </c>
      <c r="CT113" s="52">
        <v>15</v>
      </c>
      <c r="CU113" s="52"/>
      <c r="CV113" s="52"/>
      <c r="CW113" s="52" t="s">
        <v>359</v>
      </c>
      <c r="CX113" s="52">
        <v>25</v>
      </c>
      <c r="CY113" s="52"/>
      <c r="CZ113" s="52"/>
      <c r="DA113" s="52"/>
      <c r="DB113" s="52"/>
      <c r="DC113" s="52"/>
      <c r="DD113" s="52"/>
      <c r="DE113" s="52"/>
      <c r="DF113" s="52"/>
      <c r="DG113" s="52"/>
      <c r="DH113" s="52"/>
    </row>
    <row r="114" spans="58:112" ht="16.5" x14ac:dyDescent="0.2">
      <c r="BF114" s="52">
        <v>109</v>
      </c>
      <c r="BG114" s="14">
        <f t="shared" si="37"/>
        <v>0</v>
      </c>
      <c r="BH114" s="14">
        <f t="shared" si="38"/>
        <v>480</v>
      </c>
      <c r="BI114" s="14">
        <f t="shared" si="39"/>
        <v>0</v>
      </c>
      <c r="BJ114" s="14">
        <f t="shared" si="40"/>
        <v>1200</v>
      </c>
      <c r="BK114" s="14">
        <f t="shared" si="35"/>
        <v>480</v>
      </c>
      <c r="BL114" s="14">
        <f t="shared" si="36"/>
        <v>960</v>
      </c>
      <c r="CJ114" s="52">
        <v>110</v>
      </c>
      <c r="CK114" s="52">
        <v>2</v>
      </c>
      <c r="CL114" s="52" t="s">
        <v>244</v>
      </c>
      <c r="CM114" s="52">
        <v>10</v>
      </c>
      <c r="CN114" s="52"/>
      <c r="CO114" s="52"/>
      <c r="CP114" s="52"/>
      <c r="CQ114" s="52" t="s">
        <v>358</v>
      </c>
      <c r="CR114" s="52">
        <v>3840</v>
      </c>
      <c r="CS114" s="52" t="s">
        <v>359</v>
      </c>
      <c r="CT114" s="52">
        <v>15</v>
      </c>
      <c r="CU114" s="52" t="s">
        <v>261</v>
      </c>
      <c r="CV114" s="52">
        <v>1</v>
      </c>
      <c r="CW114" s="52" t="s">
        <v>359</v>
      </c>
      <c r="CX114" s="52">
        <v>30</v>
      </c>
      <c r="CY114" s="52"/>
      <c r="CZ114" s="52"/>
      <c r="DA114" s="52"/>
      <c r="DB114" s="52"/>
      <c r="DC114" s="52"/>
      <c r="DD114" s="52"/>
      <c r="DE114" s="52"/>
      <c r="DF114" s="52"/>
      <c r="DG114" s="52"/>
      <c r="DH114" s="52"/>
    </row>
    <row r="115" spans="58:112" ht="16.5" x14ac:dyDescent="0.2">
      <c r="BF115" s="52">
        <v>110</v>
      </c>
      <c r="BG115" s="14">
        <f t="shared" si="37"/>
        <v>0</v>
      </c>
      <c r="BH115" s="14">
        <f t="shared" si="38"/>
        <v>480</v>
      </c>
      <c r="BI115" s="14">
        <f t="shared" si="39"/>
        <v>0</v>
      </c>
      <c r="BJ115" s="14">
        <f t="shared" si="40"/>
        <v>1200</v>
      </c>
      <c r="BK115" s="14">
        <f t="shared" si="35"/>
        <v>480</v>
      </c>
      <c r="BL115" s="14">
        <f t="shared" si="36"/>
        <v>960</v>
      </c>
      <c r="CJ115" s="52">
        <v>111</v>
      </c>
      <c r="CK115" s="52">
        <v>2</v>
      </c>
      <c r="CL115" s="52" t="s">
        <v>244</v>
      </c>
      <c r="CM115" s="52">
        <v>11</v>
      </c>
      <c r="CN115" s="52"/>
      <c r="CO115" s="52"/>
      <c r="CP115" s="52"/>
      <c r="CQ115" s="52" t="s">
        <v>358</v>
      </c>
      <c r="CR115" s="52">
        <v>4800</v>
      </c>
      <c r="CS115" s="52" t="s">
        <v>359</v>
      </c>
      <c r="CT115" s="52">
        <v>20</v>
      </c>
      <c r="CU115" s="52"/>
      <c r="CV115" s="52"/>
      <c r="CW115" s="52" t="s">
        <v>359</v>
      </c>
      <c r="CX115" s="52">
        <v>30</v>
      </c>
      <c r="CY115" s="52"/>
      <c r="CZ115" s="52"/>
      <c r="DA115" s="52"/>
      <c r="DB115" s="52"/>
      <c r="DC115" s="52"/>
      <c r="DD115" s="52"/>
      <c r="DE115" s="52"/>
      <c r="DF115" s="52"/>
      <c r="DG115" s="52"/>
      <c r="DH115" s="52"/>
    </row>
    <row r="116" spans="58:112" ht="16.5" x14ac:dyDescent="0.2">
      <c r="BF116" s="52">
        <v>111</v>
      </c>
      <c r="BG116" s="14">
        <f t="shared" si="37"/>
        <v>0</v>
      </c>
      <c r="BH116" s="14">
        <f t="shared" si="38"/>
        <v>480</v>
      </c>
      <c r="BI116" s="14">
        <f t="shared" si="39"/>
        <v>0</v>
      </c>
      <c r="BJ116" s="14">
        <f t="shared" si="40"/>
        <v>1200</v>
      </c>
      <c r="BK116" s="14">
        <f t="shared" si="35"/>
        <v>480</v>
      </c>
      <c r="BL116" s="14">
        <f t="shared" si="36"/>
        <v>960</v>
      </c>
      <c r="CJ116" s="52">
        <v>112</v>
      </c>
      <c r="CK116" s="52">
        <v>2</v>
      </c>
      <c r="CL116" s="52" t="s">
        <v>244</v>
      </c>
      <c r="CM116" s="52">
        <v>12</v>
      </c>
      <c r="CN116" s="52"/>
      <c r="CO116" s="52"/>
      <c r="CP116" s="52"/>
      <c r="CQ116" s="52" t="s">
        <v>358</v>
      </c>
      <c r="CR116" s="52">
        <v>4800</v>
      </c>
      <c r="CS116" s="52" t="s">
        <v>359</v>
      </c>
      <c r="CT116" s="52">
        <v>20</v>
      </c>
      <c r="CU116" s="52"/>
      <c r="CV116" s="52"/>
      <c r="CW116" s="52" t="s">
        <v>359</v>
      </c>
      <c r="CX116" s="52">
        <v>30</v>
      </c>
      <c r="CY116" s="52"/>
      <c r="CZ116" s="52"/>
      <c r="DA116" s="52"/>
      <c r="DB116" s="52"/>
      <c r="DC116" s="52"/>
      <c r="DD116" s="52"/>
      <c r="DE116" s="52"/>
      <c r="DF116" s="52"/>
      <c r="DG116" s="52"/>
      <c r="DH116" s="52"/>
    </row>
    <row r="117" spans="58:112" ht="16.5" x14ac:dyDescent="0.2">
      <c r="BF117" s="52">
        <v>112</v>
      </c>
      <c r="BG117" s="14">
        <f t="shared" si="37"/>
        <v>0</v>
      </c>
      <c r="BH117" s="14">
        <f t="shared" si="38"/>
        <v>480</v>
      </c>
      <c r="BI117" s="14">
        <f t="shared" si="39"/>
        <v>0</v>
      </c>
      <c r="BJ117" s="14">
        <f t="shared" si="40"/>
        <v>1200</v>
      </c>
      <c r="BK117" s="14">
        <f t="shared" si="35"/>
        <v>480</v>
      </c>
      <c r="BL117" s="14">
        <f t="shared" si="36"/>
        <v>960</v>
      </c>
      <c r="CJ117" s="52">
        <v>113</v>
      </c>
      <c r="CK117" s="52">
        <v>2</v>
      </c>
      <c r="CL117" s="52" t="s">
        <v>244</v>
      </c>
      <c r="CM117" s="52">
        <v>13</v>
      </c>
      <c r="CN117" s="52"/>
      <c r="CO117" s="52"/>
      <c r="CP117" s="52"/>
      <c r="CQ117" s="52" t="s">
        <v>358</v>
      </c>
      <c r="CR117" s="52">
        <v>4800</v>
      </c>
      <c r="CS117" s="52" t="s">
        <v>359</v>
      </c>
      <c r="CT117" s="52">
        <v>20</v>
      </c>
      <c r="CU117" s="52"/>
      <c r="CV117" s="52"/>
      <c r="CW117" s="52" t="s">
        <v>359</v>
      </c>
      <c r="CX117" s="52">
        <v>30</v>
      </c>
      <c r="CY117" s="52"/>
      <c r="CZ117" s="52"/>
      <c r="DA117" s="52"/>
      <c r="DB117" s="52"/>
      <c r="DC117" s="52"/>
      <c r="DD117" s="52"/>
      <c r="DE117" s="52"/>
      <c r="DF117" s="52"/>
      <c r="DG117" s="52"/>
      <c r="DH117" s="52"/>
    </row>
    <row r="118" spans="58:112" ht="16.5" x14ac:dyDescent="0.2">
      <c r="BF118" s="52">
        <v>113</v>
      </c>
      <c r="BG118" s="14">
        <f t="shared" si="37"/>
        <v>0</v>
      </c>
      <c r="BH118" s="14">
        <f t="shared" si="38"/>
        <v>480</v>
      </c>
      <c r="BI118" s="14">
        <f t="shared" si="39"/>
        <v>0</v>
      </c>
      <c r="BJ118" s="14">
        <f t="shared" si="40"/>
        <v>1200</v>
      </c>
      <c r="BK118" s="14">
        <f t="shared" si="35"/>
        <v>480</v>
      </c>
      <c r="BL118" s="14">
        <f t="shared" si="36"/>
        <v>960</v>
      </c>
      <c r="CJ118" s="52">
        <v>114</v>
      </c>
      <c r="CK118" s="52">
        <v>2</v>
      </c>
      <c r="CL118" s="52" t="s">
        <v>244</v>
      </c>
      <c r="CM118" s="52">
        <v>14</v>
      </c>
      <c r="CN118" s="52"/>
      <c r="CO118" s="52"/>
      <c r="CP118" s="52"/>
      <c r="CQ118" s="52" t="s">
        <v>358</v>
      </c>
      <c r="CR118" s="52">
        <v>4800</v>
      </c>
      <c r="CS118" s="52" t="s">
        <v>359</v>
      </c>
      <c r="CT118" s="52">
        <v>20</v>
      </c>
      <c r="CU118" s="52"/>
      <c r="CV118" s="52"/>
      <c r="CW118" s="52" t="s">
        <v>359</v>
      </c>
      <c r="CX118" s="52">
        <v>30</v>
      </c>
      <c r="CY118" s="52"/>
      <c r="CZ118" s="52"/>
      <c r="DA118" s="52"/>
      <c r="DB118" s="52"/>
      <c r="DC118" s="52"/>
      <c r="DD118" s="52"/>
      <c r="DE118" s="52"/>
      <c r="DF118" s="52"/>
      <c r="DG118" s="52"/>
      <c r="DH118" s="52"/>
    </row>
    <row r="119" spans="58:112" ht="16.5" x14ac:dyDescent="0.2">
      <c r="BF119" s="52">
        <v>114</v>
      </c>
      <c r="BG119" s="14">
        <f t="shared" si="37"/>
        <v>0</v>
      </c>
      <c r="BH119" s="14">
        <f t="shared" si="38"/>
        <v>480</v>
      </c>
      <c r="BI119" s="14">
        <f t="shared" si="39"/>
        <v>0</v>
      </c>
      <c r="BJ119" s="14">
        <f t="shared" si="40"/>
        <v>1200</v>
      </c>
      <c r="BK119" s="14">
        <f t="shared" si="35"/>
        <v>480</v>
      </c>
      <c r="BL119" s="14">
        <f t="shared" si="36"/>
        <v>960</v>
      </c>
      <c r="CJ119" s="52">
        <v>115</v>
      </c>
      <c r="CK119" s="52">
        <v>2</v>
      </c>
      <c r="CL119" s="52" t="s">
        <v>244</v>
      </c>
      <c r="CM119" s="52">
        <v>15</v>
      </c>
      <c r="CN119" s="52"/>
      <c r="CO119" s="52"/>
      <c r="CP119" s="52"/>
      <c r="CQ119" s="52" t="s">
        <v>358</v>
      </c>
      <c r="CR119" s="52">
        <v>4800</v>
      </c>
      <c r="CS119" s="52" t="s">
        <v>359</v>
      </c>
      <c r="CT119" s="52">
        <v>20</v>
      </c>
      <c r="CU119" s="52" t="s">
        <v>260</v>
      </c>
      <c r="CV119" s="52">
        <v>2</v>
      </c>
      <c r="CW119" s="52" t="s">
        <v>359</v>
      </c>
      <c r="CX119" s="52">
        <v>35</v>
      </c>
      <c r="CY119" s="52"/>
      <c r="CZ119" s="52"/>
      <c r="DA119" s="52"/>
      <c r="DB119" s="52"/>
      <c r="DC119" s="52"/>
      <c r="DD119" s="52"/>
      <c r="DE119" s="52"/>
      <c r="DF119" s="52"/>
      <c r="DG119" s="52"/>
      <c r="DH119" s="52"/>
    </row>
    <row r="120" spans="58:112" ht="16.5" x14ac:dyDescent="0.2">
      <c r="BF120" s="52">
        <v>115</v>
      </c>
      <c r="BG120" s="14">
        <f t="shared" si="37"/>
        <v>0</v>
      </c>
      <c r="BH120" s="14">
        <f t="shared" si="38"/>
        <v>480</v>
      </c>
      <c r="BI120" s="14">
        <f t="shared" si="39"/>
        <v>0</v>
      </c>
      <c r="BJ120" s="14">
        <f t="shared" si="40"/>
        <v>1200</v>
      </c>
      <c r="BK120" s="14">
        <f t="shared" si="35"/>
        <v>480</v>
      </c>
      <c r="BL120" s="14">
        <f t="shared" si="36"/>
        <v>960</v>
      </c>
      <c r="CJ120" s="52">
        <v>116</v>
      </c>
      <c r="CK120" s="52">
        <v>2</v>
      </c>
      <c r="CL120" s="52" t="s">
        <v>244</v>
      </c>
      <c r="CM120" s="52">
        <v>16</v>
      </c>
      <c r="CN120" s="52"/>
      <c r="CO120" s="52"/>
      <c r="CP120" s="52"/>
      <c r="CQ120" s="52" t="s">
        <v>358</v>
      </c>
      <c r="CR120" s="52">
        <v>4800</v>
      </c>
      <c r="CS120" s="52" t="s">
        <v>359</v>
      </c>
      <c r="CT120" s="52">
        <v>25</v>
      </c>
      <c r="CU120" s="52"/>
      <c r="CV120" s="52"/>
      <c r="CW120" s="52" t="s">
        <v>359</v>
      </c>
      <c r="CX120" s="52">
        <v>35</v>
      </c>
      <c r="CY120" s="52"/>
      <c r="CZ120" s="52"/>
      <c r="DA120" s="52"/>
      <c r="DB120" s="52"/>
      <c r="DC120" s="52"/>
      <c r="DD120" s="52"/>
      <c r="DE120" s="52"/>
      <c r="DF120" s="52"/>
      <c r="DG120" s="52"/>
      <c r="DH120" s="52"/>
    </row>
    <row r="121" spans="58:112" ht="16.5" x14ac:dyDescent="0.2">
      <c r="BF121" s="52">
        <v>116</v>
      </c>
      <c r="BG121" s="14">
        <f t="shared" si="37"/>
        <v>0</v>
      </c>
      <c r="BH121" s="14">
        <f t="shared" si="38"/>
        <v>480</v>
      </c>
      <c r="BI121" s="14">
        <f t="shared" si="39"/>
        <v>0</v>
      </c>
      <c r="BJ121" s="14">
        <f t="shared" si="40"/>
        <v>1200</v>
      </c>
      <c r="BK121" s="14">
        <f t="shared" si="35"/>
        <v>480</v>
      </c>
      <c r="BL121" s="14">
        <f t="shared" si="36"/>
        <v>960</v>
      </c>
      <c r="CJ121" s="52">
        <v>117</v>
      </c>
      <c r="CK121" s="52">
        <v>2</v>
      </c>
      <c r="CL121" s="52" t="s">
        <v>244</v>
      </c>
      <c r="CM121" s="52">
        <v>17</v>
      </c>
      <c r="CN121" s="52"/>
      <c r="CO121" s="52"/>
      <c r="CP121" s="52"/>
      <c r="CQ121" s="52" t="s">
        <v>358</v>
      </c>
      <c r="CR121" s="52">
        <v>4800</v>
      </c>
      <c r="CS121" s="52" t="s">
        <v>359</v>
      </c>
      <c r="CT121" s="52">
        <v>25</v>
      </c>
      <c r="CU121" s="52"/>
      <c r="CV121" s="52"/>
      <c r="CW121" s="52" t="s">
        <v>359</v>
      </c>
      <c r="CX121" s="52">
        <v>35</v>
      </c>
      <c r="CY121" s="52"/>
      <c r="CZ121" s="52"/>
      <c r="DA121" s="52"/>
      <c r="DB121" s="52"/>
      <c r="DC121" s="52"/>
      <c r="DD121" s="52"/>
      <c r="DE121" s="52"/>
      <c r="DF121" s="52"/>
      <c r="DG121" s="52"/>
      <c r="DH121" s="52"/>
    </row>
    <row r="122" spans="58:112" ht="16.5" x14ac:dyDescent="0.2">
      <c r="BF122" s="52">
        <v>117</v>
      </c>
      <c r="BG122" s="14">
        <f t="shared" si="37"/>
        <v>0</v>
      </c>
      <c r="BH122" s="14">
        <f t="shared" si="38"/>
        <v>480</v>
      </c>
      <c r="BI122" s="14">
        <f t="shared" si="39"/>
        <v>0</v>
      </c>
      <c r="BJ122" s="14">
        <f t="shared" si="40"/>
        <v>1200</v>
      </c>
      <c r="BK122" s="14">
        <f t="shared" si="35"/>
        <v>480</v>
      </c>
      <c r="BL122" s="14">
        <f t="shared" si="36"/>
        <v>960</v>
      </c>
      <c r="CJ122" s="52">
        <v>118</v>
      </c>
      <c r="CK122" s="52">
        <v>2</v>
      </c>
      <c r="CL122" s="52" t="s">
        <v>244</v>
      </c>
      <c r="CM122" s="52">
        <v>18</v>
      </c>
      <c r="CN122" s="52"/>
      <c r="CO122" s="52"/>
      <c r="CP122" s="52"/>
      <c r="CQ122" s="52" t="s">
        <v>358</v>
      </c>
      <c r="CR122" s="52">
        <v>4800</v>
      </c>
      <c r="CS122" s="52" t="s">
        <v>359</v>
      </c>
      <c r="CT122" s="52">
        <v>25</v>
      </c>
      <c r="CU122" s="52"/>
      <c r="CV122" s="52"/>
      <c r="CW122" s="52" t="s">
        <v>359</v>
      </c>
      <c r="CX122" s="52">
        <v>35</v>
      </c>
      <c r="CY122" s="52"/>
      <c r="CZ122" s="52"/>
      <c r="DA122" s="52"/>
      <c r="DB122" s="52"/>
      <c r="DC122" s="52"/>
      <c r="DD122" s="52"/>
      <c r="DE122" s="52"/>
      <c r="DF122" s="52"/>
      <c r="DG122" s="52"/>
      <c r="DH122" s="52"/>
    </row>
    <row r="123" spans="58:112" ht="16.5" x14ac:dyDescent="0.2">
      <c r="BF123" s="52">
        <v>118</v>
      </c>
      <c r="BG123" s="14">
        <f t="shared" si="37"/>
        <v>0</v>
      </c>
      <c r="BH123" s="14">
        <f t="shared" si="38"/>
        <v>480</v>
      </c>
      <c r="BI123" s="14">
        <f t="shared" si="39"/>
        <v>0</v>
      </c>
      <c r="BJ123" s="14">
        <f t="shared" si="40"/>
        <v>1200</v>
      </c>
      <c r="BK123" s="14">
        <f t="shared" si="35"/>
        <v>480</v>
      </c>
      <c r="BL123" s="14">
        <f t="shared" si="36"/>
        <v>960</v>
      </c>
      <c r="CJ123" s="52">
        <v>119</v>
      </c>
      <c r="CK123" s="52">
        <v>2</v>
      </c>
      <c r="CL123" s="52" t="s">
        <v>244</v>
      </c>
      <c r="CM123" s="52">
        <v>19</v>
      </c>
      <c r="CN123" s="52"/>
      <c r="CO123" s="52"/>
      <c r="CP123" s="52"/>
      <c r="CQ123" s="52" t="s">
        <v>358</v>
      </c>
      <c r="CR123" s="52">
        <v>4800</v>
      </c>
      <c r="CS123" s="52" t="s">
        <v>359</v>
      </c>
      <c r="CT123" s="52">
        <v>25</v>
      </c>
      <c r="CU123" s="52"/>
      <c r="CV123" s="52"/>
      <c r="CW123" s="52" t="s">
        <v>359</v>
      </c>
      <c r="CX123" s="52">
        <v>35</v>
      </c>
      <c r="CY123" s="52"/>
      <c r="CZ123" s="52"/>
      <c r="DA123" s="52"/>
      <c r="DB123" s="52"/>
      <c r="DC123" s="52"/>
      <c r="DD123" s="52"/>
      <c r="DE123" s="52"/>
      <c r="DF123" s="52"/>
      <c r="DG123" s="52"/>
      <c r="DH123" s="52"/>
    </row>
    <row r="124" spans="58:112" ht="16.5" x14ac:dyDescent="0.2">
      <c r="BF124" s="52">
        <v>119</v>
      </c>
      <c r="BG124" s="14">
        <f t="shared" si="37"/>
        <v>0</v>
      </c>
      <c r="BH124" s="14">
        <f t="shared" si="38"/>
        <v>480</v>
      </c>
      <c r="BI124" s="14">
        <f t="shared" si="39"/>
        <v>0</v>
      </c>
      <c r="BJ124" s="14">
        <f t="shared" si="40"/>
        <v>1200</v>
      </c>
      <c r="BK124" s="14">
        <f t="shared" si="35"/>
        <v>480</v>
      </c>
      <c r="BL124" s="14">
        <f t="shared" si="36"/>
        <v>960</v>
      </c>
      <c r="CJ124" s="52">
        <v>120</v>
      </c>
      <c r="CK124" s="52">
        <v>2</v>
      </c>
      <c r="CL124" s="52" t="s">
        <v>244</v>
      </c>
      <c r="CM124" s="52">
        <v>20</v>
      </c>
      <c r="CN124" s="52"/>
      <c r="CO124" s="52"/>
      <c r="CP124" s="52"/>
      <c r="CQ124" s="52" t="s">
        <v>358</v>
      </c>
      <c r="CR124" s="52">
        <v>6000</v>
      </c>
      <c r="CS124" s="52" t="s">
        <v>359</v>
      </c>
      <c r="CT124" s="52">
        <v>25</v>
      </c>
      <c r="CU124" s="52" t="s">
        <v>261</v>
      </c>
      <c r="CV124" s="52">
        <v>2</v>
      </c>
      <c r="CW124" s="52" t="s">
        <v>359</v>
      </c>
      <c r="CX124" s="52">
        <v>40</v>
      </c>
      <c r="CY124" s="52"/>
      <c r="CZ124" s="52"/>
      <c r="DA124" s="52"/>
      <c r="DB124" s="52"/>
      <c r="DC124" s="52"/>
      <c r="DD124" s="52"/>
      <c r="DE124" s="52"/>
      <c r="DF124" s="52"/>
      <c r="DG124" s="52"/>
      <c r="DH124" s="52"/>
    </row>
    <row r="125" spans="58:112" ht="16.5" x14ac:dyDescent="0.2">
      <c r="BF125" s="52">
        <v>120</v>
      </c>
      <c r="BG125" s="14">
        <f t="shared" si="37"/>
        <v>0</v>
      </c>
      <c r="BH125" s="14">
        <f t="shared" si="38"/>
        <v>480</v>
      </c>
      <c r="BI125" s="14">
        <f t="shared" si="39"/>
        <v>0</v>
      </c>
      <c r="BJ125" s="14">
        <f t="shared" si="40"/>
        <v>1200</v>
      </c>
      <c r="BK125" s="14">
        <f t="shared" si="35"/>
        <v>480</v>
      </c>
      <c r="BL125" s="14">
        <f t="shared" si="36"/>
        <v>960</v>
      </c>
      <c r="CJ125" s="52">
        <v>121</v>
      </c>
      <c r="CK125" s="52">
        <v>2</v>
      </c>
      <c r="CL125" s="52" t="s">
        <v>244</v>
      </c>
      <c r="CM125" s="52">
        <v>21</v>
      </c>
      <c r="CN125" s="52"/>
      <c r="CO125" s="52"/>
      <c r="CP125" s="52"/>
      <c r="CQ125" s="52" t="s">
        <v>358</v>
      </c>
      <c r="CR125" s="52">
        <v>6000</v>
      </c>
      <c r="CS125" s="52" t="s">
        <v>359</v>
      </c>
      <c r="CT125" s="52">
        <v>30</v>
      </c>
      <c r="CU125" s="52"/>
      <c r="CV125" s="52"/>
      <c r="CW125" s="52" t="s">
        <v>359</v>
      </c>
      <c r="CX125" s="52">
        <v>40</v>
      </c>
      <c r="CY125" s="52"/>
      <c r="CZ125" s="52"/>
      <c r="DA125" s="52"/>
      <c r="DB125" s="52"/>
      <c r="DC125" s="52"/>
      <c r="DD125" s="52"/>
      <c r="DE125" s="52"/>
      <c r="DF125" s="52"/>
      <c r="DG125" s="52"/>
      <c r="DH125" s="52"/>
    </row>
    <row r="126" spans="58:112" ht="16.5" x14ac:dyDescent="0.2">
      <c r="BF126" s="52">
        <v>121</v>
      </c>
      <c r="BG126" s="14">
        <f t="shared" si="37"/>
        <v>0</v>
      </c>
      <c r="BH126" s="14">
        <f t="shared" si="38"/>
        <v>480</v>
      </c>
      <c r="BI126" s="14">
        <f t="shared" si="39"/>
        <v>0</v>
      </c>
      <c r="BJ126" s="14">
        <f t="shared" si="40"/>
        <v>1200</v>
      </c>
      <c r="BK126" s="14">
        <f t="shared" si="35"/>
        <v>480</v>
      </c>
      <c r="BL126" s="14">
        <f t="shared" si="36"/>
        <v>960</v>
      </c>
      <c r="CJ126" s="52">
        <v>122</v>
      </c>
      <c r="CK126" s="52">
        <v>2</v>
      </c>
      <c r="CL126" s="52" t="s">
        <v>244</v>
      </c>
      <c r="CM126" s="52">
        <v>22</v>
      </c>
      <c r="CN126" s="52"/>
      <c r="CO126" s="52"/>
      <c r="CP126" s="52"/>
      <c r="CQ126" s="52" t="s">
        <v>358</v>
      </c>
      <c r="CR126" s="52">
        <v>6000</v>
      </c>
      <c r="CS126" s="52" t="s">
        <v>359</v>
      </c>
      <c r="CT126" s="52">
        <v>30</v>
      </c>
      <c r="CU126" s="52"/>
      <c r="CV126" s="52"/>
      <c r="CW126" s="52" t="s">
        <v>359</v>
      </c>
      <c r="CX126" s="52">
        <v>40</v>
      </c>
      <c r="CY126" s="52"/>
      <c r="CZ126" s="52"/>
      <c r="DA126" s="52"/>
      <c r="DB126" s="52"/>
      <c r="DC126" s="52"/>
      <c r="DD126" s="52"/>
      <c r="DE126" s="52"/>
      <c r="DF126" s="52"/>
      <c r="DG126" s="52"/>
      <c r="DH126" s="52"/>
    </row>
    <row r="127" spans="58:112" ht="16.5" x14ac:dyDescent="0.2">
      <c r="BF127" s="52">
        <v>122</v>
      </c>
      <c r="BG127" s="14">
        <f t="shared" si="37"/>
        <v>0</v>
      </c>
      <c r="BH127" s="14">
        <f t="shared" si="38"/>
        <v>480</v>
      </c>
      <c r="BI127" s="14">
        <f t="shared" si="39"/>
        <v>0</v>
      </c>
      <c r="BJ127" s="14">
        <f t="shared" si="40"/>
        <v>1200</v>
      </c>
      <c r="BK127" s="14">
        <f t="shared" si="35"/>
        <v>480</v>
      </c>
      <c r="BL127" s="14">
        <f t="shared" si="36"/>
        <v>960</v>
      </c>
      <c r="CJ127" s="52">
        <v>123</v>
      </c>
      <c r="CK127" s="52">
        <v>2</v>
      </c>
      <c r="CL127" s="52" t="s">
        <v>244</v>
      </c>
      <c r="CM127" s="52">
        <v>23</v>
      </c>
      <c r="CN127" s="52"/>
      <c r="CO127" s="52"/>
      <c r="CP127" s="52"/>
      <c r="CQ127" s="52" t="s">
        <v>358</v>
      </c>
      <c r="CR127" s="52">
        <v>6000</v>
      </c>
      <c r="CS127" s="52" t="s">
        <v>359</v>
      </c>
      <c r="CT127" s="52">
        <v>30</v>
      </c>
      <c r="CU127" s="52"/>
      <c r="CV127" s="52"/>
      <c r="CW127" s="52" t="s">
        <v>359</v>
      </c>
      <c r="CX127" s="52">
        <v>40</v>
      </c>
      <c r="CY127" s="52"/>
      <c r="CZ127" s="52"/>
      <c r="DA127" s="52"/>
      <c r="DB127" s="52"/>
      <c r="DC127" s="52"/>
      <c r="DD127" s="52"/>
      <c r="DE127" s="52"/>
      <c r="DF127" s="52"/>
      <c r="DG127" s="52"/>
      <c r="DH127" s="52"/>
    </row>
    <row r="128" spans="58:112" ht="16.5" x14ac:dyDescent="0.2">
      <c r="BF128" s="52">
        <v>123</v>
      </c>
      <c r="BG128" s="14">
        <f t="shared" si="37"/>
        <v>0</v>
      </c>
      <c r="BH128" s="14">
        <f t="shared" si="38"/>
        <v>480</v>
      </c>
      <c r="BI128" s="14">
        <f t="shared" si="39"/>
        <v>0</v>
      </c>
      <c r="BJ128" s="14">
        <f t="shared" si="40"/>
        <v>1200</v>
      </c>
      <c r="BK128" s="14">
        <f t="shared" si="35"/>
        <v>480</v>
      </c>
      <c r="BL128" s="14">
        <f t="shared" si="36"/>
        <v>960</v>
      </c>
      <c r="CJ128" s="52">
        <v>124</v>
      </c>
      <c r="CK128" s="52">
        <v>2</v>
      </c>
      <c r="CL128" s="52" t="s">
        <v>244</v>
      </c>
      <c r="CM128" s="52">
        <v>24</v>
      </c>
      <c r="CN128" s="52"/>
      <c r="CO128" s="52"/>
      <c r="CP128" s="52"/>
      <c r="CQ128" s="52" t="s">
        <v>358</v>
      </c>
      <c r="CR128" s="52">
        <v>6000</v>
      </c>
      <c r="CS128" s="52" t="s">
        <v>359</v>
      </c>
      <c r="CT128" s="52">
        <v>30</v>
      </c>
      <c r="CU128" s="52"/>
      <c r="CV128" s="52"/>
      <c r="CW128" s="52" t="s">
        <v>359</v>
      </c>
      <c r="CX128" s="52">
        <v>40</v>
      </c>
      <c r="CY128" s="52"/>
      <c r="CZ128" s="52"/>
      <c r="DA128" s="52"/>
      <c r="DB128" s="52"/>
      <c r="DC128" s="52"/>
      <c r="DD128" s="52"/>
      <c r="DE128" s="52"/>
      <c r="DF128" s="52"/>
      <c r="DG128" s="52"/>
      <c r="DH128" s="52"/>
    </row>
    <row r="129" spans="58:112" ht="16.5" x14ac:dyDescent="0.2">
      <c r="BF129" s="52">
        <v>124</v>
      </c>
      <c r="BG129" s="14">
        <f t="shared" si="37"/>
        <v>0</v>
      </c>
      <c r="BH129" s="14">
        <f t="shared" si="38"/>
        <v>480</v>
      </c>
      <c r="BI129" s="14">
        <f t="shared" si="39"/>
        <v>0</v>
      </c>
      <c r="BJ129" s="14">
        <f t="shared" si="40"/>
        <v>1200</v>
      </c>
      <c r="BK129" s="14">
        <f t="shared" si="35"/>
        <v>480</v>
      </c>
      <c r="BL129" s="14">
        <f t="shared" si="36"/>
        <v>960</v>
      </c>
      <c r="CJ129" s="52">
        <v>125</v>
      </c>
      <c r="CK129" s="52">
        <v>2</v>
      </c>
      <c r="CL129" s="52" t="s">
        <v>244</v>
      </c>
      <c r="CM129" s="52">
        <v>25</v>
      </c>
      <c r="CN129" s="52"/>
      <c r="CO129" s="52"/>
      <c r="CP129" s="52"/>
      <c r="CQ129" s="52" t="s">
        <v>358</v>
      </c>
      <c r="CR129" s="52">
        <v>6000</v>
      </c>
      <c r="CS129" s="52" t="s">
        <v>359</v>
      </c>
      <c r="CT129" s="52">
        <v>30</v>
      </c>
      <c r="CU129" s="52" t="s">
        <v>260</v>
      </c>
      <c r="CV129" s="52">
        <v>2</v>
      </c>
      <c r="CW129" s="52" t="s">
        <v>359</v>
      </c>
      <c r="CX129" s="52">
        <v>45</v>
      </c>
      <c r="CY129" s="52"/>
      <c r="CZ129" s="52"/>
      <c r="DA129" s="52"/>
      <c r="DB129" s="52"/>
      <c r="DC129" s="52"/>
      <c r="DD129" s="52"/>
      <c r="DE129" s="52"/>
      <c r="DF129" s="52"/>
      <c r="DG129" s="52"/>
      <c r="DH129" s="52"/>
    </row>
    <row r="130" spans="58:112" ht="16.5" x14ac:dyDescent="0.2">
      <c r="BF130" s="52">
        <v>125</v>
      </c>
      <c r="BG130" s="14">
        <f t="shared" si="37"/>
        <v>0</v>
      </c>
      <c r="BH130" s="14">
        <f t="shared" si="38"/>
        <v>480</v>
      </c>
      <c r="BI130" s="14">
        <f t="shared" si="39"/>
        <v>0</v>
      </c>
      <c r="BJ130" s="14">
        <f t="shared" si="40"/>
        <v>1200</v>
      </c>
      <c r="BK130" s="14">
        <f t="shared" si="35"/>
        <v>480</v>
      </c>
      <c r="BL130" s="14">
        <f t="shared" si="36"/>
        <v>960</v>
      </c>
      <c r="CJ130" s="52">
        <v>126</v>
      </c>
      <c r="CK130" s="52">
        <v>2</v>
      </c>
      <c r="CL130" s="52" t="s">
        <v>244</v>
      </c>
      <c r="CM130" s="52">
        <v>26</v>
      </c>
      <c r="CN130" s="52"/>
      <c r="CO130" s="52"/>
      <c r="CP130" s="52"/>
      <c r="CQ130" s="52" t="s">
        <v>358</v>
      </c>
      <c r="CR130" s="52">
        <v>6000</v>
      </c>
      <c r="CS130" s="52" t="s">
        <v>359</v>
      </c>
      <c r="CT130" s="52">
        <v>35</v>
      </c>
      <c r="CU130" s="52"/>
      <c r="CV130" s="52"/>
      <c r="CW130" s="52" t="s">
        <v>359</v>
      </c>
      <c r="CX130" s="52">
        <v>45</v>
      </c>
      <c r="CY130" s="52"/>
      <c r="CZ130" s="52"/>
      <c r="DA130" s="52"/>
      <c r="DB130" s="52"/>
      <c r="DC130" s="52"/>
      <c r="DD130" s="52"/>
      <c r="DE130" s="52"/>
      <c r="DF130" s="52"/>
      <c r="DG130" s="52"/>
      <c r="DH130" s="52"/>
    </row>
    <row r="131" spans="58:112" ht="16.5" x14ac:dyDescent="0.2">
      <c r="BF131" s="52">
        <v>126</v>
      </c>
      <c r="BG131" s="14">
        <f t="shared" si="37"/>
        <v>0</v>
      </c>
      <c r="BH131" s="14">
        <f t="shared" si="38"/>
        <v>480</v>
      </c>
      <c r="BI131" s="14">
        <f t="shared" si="39"/>
        <v>0</v>
      </c>
      <c r="BJ131" s="14">
        <f t="shared" si="40"/>
        <v>1200</v>
      </c>
      <c r="BK131" s="14">
        <f t="shared" si="35"/>
        <v>480</v>
      </c>
      <c r="BL131" s="14">
        <f t="shared" si="36"/>
        <v>960</v>
      </c>
      <c r="CJ131" s="52">
        <v>127</v>
      </c>
      <c r="CK131" s="52">
        <v>2</v>
      </c>
      <c r="CL131" s="52" t="s">
        <v>244</v>
      </c>
      <c r="CM131" s="52">
        <v>27</v>
      </c>
      <c r="CN131" s="52"/>
      <c r="CO131" s="52"/>
      <c r="CP131" s="52"/>
      <c r="CQ131" s="52" t="s">
        <v>358</v>
      </c>
      <c r="CR131" s="52">
        <v>6000</v>
      </c>
      <c r="CS131" s="52" t="s">
        <v>359</v>
      </c>
      <c r="CT131" s="52">
        <v>35</v>
      </c>
      <c r="CU131" s="52"/>
      <c r="CV131" s="52"/>
      <c r="CW131" s="52" t="s">
        <v>359</v>
      </c>
      <c r="CX131" s="52">
        <v>45</v>
      </c>
      <c r="CY131" s="52"/>
      <c r="CZ131" s="52"/>
      <c r="DA131" s="52"/>
      <c r="DB131" s="52"/>
      <c r="DC131" s="52"/>
      <c r="DD131" s="52"/>
      <c r="DE131" s="52"/>
      <c r="DF131" s="52"/>
      <c r="DG131" s="52"/>
      <c r="DH131" s="52"/>
    </row>
    <row r="132" spans="58:112" ht="16.5" x14ac:dyDescent="0.2">
      <c r="BF132" s="52">
        <v>127</v>
      </c>
      <c r="BG132" s="14">
        <f t="shared" si="37"/>
        <v>0</v>
      </c>
      <c r="BH132" s="14">
        <f t="shared" si="38"/>
        <v>480</v>
      </c>
      <c r="BI132" s="14">
        <f t="shared" si="39"/>
        <v>0</v>
      </c>
      <c r="BJ132" s="14">
        <f t="shared" si="40"/>
        <v>1200</v>
      </c>
      <c r="BK132" s="14">
        <f t="shared" si="35"/>
        <v>480</v>
      </c>
      <c r="BL132" s="14">
        <f t="shared" si="36"/>
        <v>960</v>
      </c>
      <c r="CJ132" s="52">
        <v>128</v>
      </c>
      <c r="CK132" s="52">
        <v>2</v>
      </c>
      <c r="CL132" s="52" t="s">
        <v>244</v>
      </c>
      <c r="CM132" s="52">
        <v>28</v>
      </c>
      <c r="CN132" s="52"/>
      <c r="CO132" s="52"/>
      <c r="CP132" s="52"/>
      <c r="CQ132" s="52" t="s">
        <v>358</v>
      </c>
      <c r="CR132" s="52">
        <v>6000</v>
      </c>
      <c r="CS132" s="52" t="s">
        <v>359</v>
      </c>
      <c r="CT132" s="52">
        <v>35</v>
      </c>
      <c r="CU132" s="52"/>
      <c r="CV132" s="52"/>
      <c r="CW132" s="52" t="s">
        <v>359</v>
      </c>
      <c r="CX132" s="52">
        <v>45</v>
      </c>
      <c r="CY132" s="52"/>
      <c r="CZ132" s="52"/>
      <c r="DA132" s="52"/>
      <c r="DB132" s="52"/>
      <c r="DC132" s="52"/>
      <c r="DD132" s="52"/>
      <c r="DE132" s="52"/>
      <c r="DF132" s="52"/>
      <c r="DG132" s="52"/>
      <c r="DH132" s="52"/>
    </row>
    <row r="133" spans="58:112" ht="16.5" x14ac:dyDescent="0.2">
      <c r="BF133" s="52">
        <v>128</v>
      </c>
      <c r="BG133" s="14">
        <f t="shared" si="37"/>
        <v>0</v>
      </c>
      <c r="BH133" s="14">
        <f t="shared" si="38"/>
        <v>480</v>
      </c>
      <c r="BI133" s="14">
        <f t="shared" si="39"/>
        <v>0</v>
      </c>
      <c r="BJ133" s="14">
        <f t="shared" si="40"/>
        <v>1200</v>
      </c>
      <c r="BK133" s="14">
        <f t="shared" si="35"/>
        <v>480</v>
      </c>
      <c r="BL133" s="14">
        <f t="shared" si="36"/>
        <v>960</v>
      </c>
      <c r="CJ133" s="52">
        <v>129</v>
      </c>
      <c r="CK133" s="52">
        <v>2</v>
      </c>
      <c r="CL133" s="52" t="s">
        <v>244</v>
      </c>
      <c r="CM133" s="52">
        <v>29</v>
      </c>
      <c r="CN133" s="52"/>
      <c r="CO133" s="52"/>
      <c r="CP133" s="52"/>
      <c r="CQ133" s="52" t="s">
        <v>358</v>
      </c>
      <c r="CR133" s="52">
        <v>6000</v>
      </c>
      <c r="CS133" s="52" t="s">
        <v>359</v>
      </c>
      <c r="CT133" s="52">
        <v>35</v>
      </c>
      <c r="CU133" s="52"/>
      <c r="CV133" s="52"/>
      <c r="CW133" s="52" t="s">
        <v>359</v>
      </c>
      <c r="CX133" s="52">
        <v>45</v>
      </c>
      <c r="CY133" s="52"/>
      <c r="CZ133" s="52"/>
      <c r="DA133" s="52"/>
      <c r="DB133" s="52"/>
      <c r="DC133" s="52"/>
      <c r="DD133" s="52"/>
      <c r="DE133" s="52"/>
      <c r="DF133" s="52"/>
      <c r="DG133" s="52"/>
      <c r="DH133" s="52"/>
    </row>
    <row r="134" spans="58:112" ht="16.5" x14ac:dyDescent="0.2">
      <c r="BF134" s="52">
        <v>129</v>
      </c>
      <c r="BG134" s="14">
        <f t="shared" si="37"/>
        <v>0</v>
      </c>
      <c r="BH134" s="14">
        <f t="shared" si="38"/>
        <v>480</v>
      </c>
      <c r="BI134" s="14">
        <f t="shared" si="39"/>
        <v>0</v>
      </c>
      <c r="BJ134" s="14">
        <f t="shared" si="40"/>
        <v>1200</v>
      </c>
      <c r="BK134" s="14">
        <f t="shared" si="35"/>
        <v>480</v>
      </c>
      <c r="BL134" s="14">
        <f t="shared" si="36"/>
        <v>960</v>
      </c>
      <c r="CJ134" s="52">
        <v>130</v>
      </c>
      <c r="CK134" s="52">
        <v>2</v>
      </c>
      <c r="CL134" s="52" t="s">
        <v>244</v>
      </c>
      <c r="CM134" s="52">
        <v>30</v>
      </c>
      <c r="CN134" s="52"/>
      <c r="CO134" s="52"/>
      <c r="CP134" s="52"/>
      <c r="CQ134" s="52" t="s">
        <v>358</v>
      </c>
      <c r="CR134" s="52">
        <v>7200</v>
      </c>
      <c r="CS134" s="52" t="s">
        <v>359</v>
      </c>
      <c r="CT134" s="52">
        <v>35</v>
      </c>
      <c r="CU134" s="52" t="s">
        <v>260</v>
      </c>
      <c r="CV134" s="52">
        <v>2</v>
      </c>
      <c r="CW134" s="52" t="s">
        <v>359</v>
      </c>
      <c r="CX134" s="52">
        <v>50</v>
      </c>
      <c r="CY134" s="52"/>
      <c r="CZ134" s="52"/>
      <c r="DA134" s="52"/>
      <c r="DB134" s="52"/>
      <c r="DC134" s="52"/>
      <c r="DD134" s="52"/>
      <c r="DE134" s="52"/>
      <c r="DF134" s="52"/>
      <c r="DG134" s="52"/>
      <c r="DH134" s="52"/>
    </row>
    <row r="135" spans="58:112" ht="16.5" x14ac:dyDescent="0.2">
      <c r="BF135" s="52">
        <v>130</v>
      </c>
      <c r="BG135" s="14">
        <f t="shared" si="37"/>
        <v>0</v>
      </c>
      <c r="BH135" s="14">
        <f t="shared" si="38"/>
        <v>480</v>
      </c>
      <c r="BI135" s="14">
        <f t="shared" si="39"/>
        <v>0</v>
      </c>
      <c r="BJ135" s="14">
        <f t="shared" si="40"/>
        <v>1200</v>
      </c>
      <c r="BK135" s="14">
        <f t="shared" ref="BK135:BK198" si="41">BG135+BH134</f>
        <v>480</v>
      </c>
      <c r="BL135" s="14">
        <f t="shared" ref="BL135:BL198" si="42">BK135*BL$3</f>
        <v>960</v>
      </c>
      <c r="CJ135" s="52">
        <v>131</v>
      </c>
      <c r="CK135" s="52">
        <v>2</v>
      </c>
      <c r="CL135" s="52" t="s">
        <v>244</v>
      </c>
      <c r="CM135" s="52">
        <v>31</v>
      </c>
      <c r="CN135" s="52"/>
      <c r="CO135" s="52"/>
      <c r="CP135" s="52"/>
      <c r="CQ135" s="52" t="s">
        <v>358</v>
      </c>
      <c r="CR135" s="52">
        <v>7200</v>
      </c>
      <c r="CS135" s="52" t="s">
        <v>359</v>
      </c>
      <c r="CT135" s="52">
        <v>40</v>
      </c>
      <c r="CU135" s="52"/>
      <c r="CV135" s="52"/>
      <c r="CW135" s="52" t="s">
        <v>359</v>
      </c>
      <c r="CX135" s="52">
        <v>50</v>
      </c>
      <c r="CY135" s="52"/>
      <c r="CZ135" s="52"/>
      <c r="DA135" s="52"/>
      <c r="DB135" s="52"/>
      <c r="DC135" s="52"/>
      <c r="DD135" s="52"/>
      <c r="DE135" s="52"/>
      <c r="DF135" s="52"/>
      <c r="DG135" s="52"/>
      <c r="DH135" s="52"/>
    </row>
    <row r="136" spans="58:112" ht="16.5" x14ac:dyDescent="0.2">
      <c r="BF136" s="52">
        <v>131</v>
      </c>
      <c r="BG136" s="14">
        <f t="shared" si="37"/>
        <v>0</v>
      </c>
      <c r="BH136" s="14">
        <f t="shared" si="38"/>
        <v>480</v>
      </c>
      <c r="BI136" s="14">
        <f t="shared" si="39"/>
        <v>0</v>
      </c>
      <c r="BJ136" s="14">
        <f t="shared" si="40"/>
        <v>1200</v>
      </c>
      <c r="BK136" s="14">
        <f t="shared" si="41"/>
        <v>480</v>
      </c>
      <c r="BL136" s="14">
        <f t="shared" si="42"/>
        <v>960</v>
      </c>
      <c r="CJ136" s="52">
        <v>132</v>
      </c>
      <c r="CK136" s="52">
        <v>2</v>
      </c>
      <c r="CL136" s="52" t="s">
        <v>244</v>
      </c>
      <c r="CM136" s="52">
        <v>32</v>
      </c>
      <c r="CN136" s="52"/>
      <c r="CO136" s="52"/>
      <c r="CP136" s="52"/>
      <c r="CQ136" s="52" t="s">
        <v>358</v>
      </c>
      <c r="CR136" s="52">
        <v>7200</v>
      </c>
      <c r="CS136" s="52" t="s">
        <v>359</v>
      </c>
      <c r="CT136" s="52">
        <v>40</v>
      </c>
      <c r="CU136" s="52"/>
      <c r="CV136" s="52"/>
      <c r="CW136" s="52" t="s">
        <v>359</v>
      </c>
      <c r="CX136" s="52">
        <v>50</v>
      </c>
      <c r="CY136" s="52"/>
      <c r="CZ136" s="52"/>
      <c r="DA136" s="52"/>
      <c r="DB136" s="52"/>
      <c r="DC136" s="52"/>
      <c r="DD136" s="52"/>
      <c r="DE136" s="52"/>
      <c r="DF136" s="52"/>
      <c r="DG136" s="52"/>
      <c r="DH136" s="52"/>
    </row>
    <row r="137" spans="58:112" ht="16.5" x14ac:dyDescent="0.2">
      <c r="BF137" s="52">
        <v>132</v>
      </c>
      <c r="BG137" s="14">
        <f t="shared" si="37"/>
        <v>0</v>
      </c>
      <c r="BH137" s="14">
        <f t="shared" si="38"/>
        <v>480</v>
      </c>
      <c r="BI137" s="14">
        <f t="shared" si="39"/>
        <v>0</v>
      </c>
      <c r="BJ137" s="14">
        <f t="shared" si="40"/>
        <v>1200</v>
      </c>
      <c r="BK137" s="14">
        <f t="shared" si="41"/>
        <v>480</v>
      </c>
      <c r="BL137" s="14">
        <f t="shared" si="42"/>
        <v>960</v>
      </c>
      <c r="CJ137" s="52">
        <v>133</v>
      </c>
      <c r="CK137" s="52">
        <v>2</v>
      </c>
      <c r="CL137" s="52" t="s">
        <v>244</v>
      </c>
      <c r="CM137" s="52">
        <v>33</v>
      </c>
      <c r="CN137" s="52"/>
      <c r="CO137" s="52"/>
      <c r="CP137" s="52"/>
      <c r="CQ137" s="52" t="s">
        <v>358</v>
      </c>
      <c r="CR137" s="52">
        <v>7200</v>
      </c>
      <c r="CS137" s="52" t="s">
        <v>359</v>
      </c>
      <c r="CT137" s="52">
        <v>40</v>
      </c>
      <c r="CU137" s="52"/>
      <c r="CV137" s="52"/>
      <c r="CW137" s="52" t="s">
        <v>359</v>
      </c>
      <c r="CX137" s="52">
        <v>50</v>
      </c>
      <c r="CY137" s="52"/>
      <c r="CZ137" s="52"/>
      <c r="DA137" s="52"/>
      <c r="DB137" s="52"/>
      <c r="DC137" s="52"/>
      <c r="DD137" s="52"/>
      <c r="DE137" s="52"/>
      <c r="DF137" s="52"/>
      <c r="DG137" s="52"/>
      <c r="DH137" s="52"/>
    </row>
    <row r="138" spans="58:112" ht="16.5" x14ac:dyDescent="0.2">
      <c r="BF138" s="52">
        <v>133</v>
      </c>
      <c r="BG138" s="14">
        <f t="shared" si="37"/>
        <v>0</v>
      </c>
      <c r="BH138" s="14">
        <f t="shared" si="38"/>
        <v>480</v>
      </c>
      <c r="BI138" s="14">
        <f t="shared" si="39"/>
        <v>0</v>
      </c>
      <c r="BJ138" s="14">
        <f t="shared" si="40"/>
        <v>1200</v>
      </c>
      <c r="BK138" s="14">
        <f t="shared" si="41"/>
        <v>480</v>
      </c>
      <c r="BL138" s="14">
        <f t="shared" si="42"/>
        <v>960</v>
      </c>
      <c r="CJ138" s="52">
        <v>134</v>
      </c>
      <c r="CK138" s="52">
        <v>2</v>
      </c>
      <c r="CL138" s="52" t="s">
        <v>244</v>
      </c>
      <c r="CM138" s="52">
        <v>34</v>
      </c>
      <c r="CN138" s="52"/>
      <c r="CO138" s="52"/>
      <c r="CP138" s="52"/>
      <c r="CQ138" s="52" t="s">
        <v>358</v>
      </c>
      <c r="CR138" s="52">
        <v>7200</v>
      </c>
      <c r="CS138" s="52" t="s">
        <v>359</v>
      </c>
      <c r="CT138" s="52">
        <v>40</v>
      </c>
      <c r="CU138" s="52"/>
      <c r="CV138" s="52"/>
      <c r="CW138" s="52" t="s">
        <v>359</v>
      </c>
      <c r="CX138" s="52">
        <v>50</v>
      </c>
      <c r="CY138" s="52"/>
      <c r="CZ138" s="52"/>
      <c r="DA138" s="52"/>
      <c r="DB138" s="52"/>
      <c r="DC138" s="52"/>
      <c r="DD138" s="52"/>
      <c r="DE138" s="52"/>
      <c r="DF138" s="52"/>
      <c r="DG138" s="52"/>
      <c r="DH138" s="52"/>
    </row>
    <row r="139" spans="58:112" ht="16.5" x14ac:dyDescent="0.2">
      <c r="BF139" s="52">
        <v>134</v>
      </c>
      <c r="BG139" s="14">
        <f t="shared" si="37"/>
        <v>0</v>
      </c>
      <c r="BH139" s="14">
        <f t="shared" si="38"/>
        <v>480</v>
      </c>
      <c r="BI139" s="14">
        <f t="shared" si="39"/>
        <v>0</v>
      </c>
      <c r="BJ139" s="14">
        <f t="shared" si="40"/>
        <v>1200</v>
      </c>
      <c r="BK139" s="14">
        <f t="shared" si="41"/>
        <v>480</v>
      </c>
      <c r="BL139" s="14">
        <f t="shared" si="42"/>
        <v>960</v>
      </c>
      <c r="CJ139" s="52">
        <v>135</v>
      </c>
      <c r="CK139" s="52">
        <v>2</v>
      </c>
      <c r="CL139" s="52" t="s">
        <v>244</v>
      </c>
      <c r="CM139" s="52">
        <v>35</v>
      </c>
      <c r="CN139" s="52"/>
      <c r="CO139" s="52"/>
      <c r="CP139" s="52"/>
      <c r="CQ139" s="52" t="s">
        <v>358</v>
      </c>
      <c r="CR139" s="52">
        <v>7200</v>
      </c>
      <c r="CS139" s="52" t="s">
        <v>359</v>
      </c>
      <c r="CT139" s="52">
        <v>40</v>
      </c>
      <c r="CU139" s="52" t="s">
        <v>261</v>
      </c>
      <c r="CV139" s="52">
        <v>2</v>
      </c>
      <c r="CW139" s="52" t="s">
        <v>359</v>
      </c>
      <c r="CX139" s="52">
        <v>55</v>
      </c>
      <c r="CY139" s="52"/>
      <c r="CZ139" s="52"/>
      <c r="DA139" s="52"/>
      <c r="DB139" s="52"/>
      <c r="DC139" s="52"/>
      <c r="DD139" s="52"/>
      <c r="DE139" s="52"/>
      <c r="DF139" s="52"/>
      <c r="DG139" s="52"/>
      <c r="DH139" s="52"/>
    </row>
    <row r="140" spans="58:112" ht="16.5" x14ac:dyDescent="0.2">
      <c r="BF140" s="52">
        <v>135</v>
      </c>
      <c r="BG140" s="14">
        <f t="shared" si="37"/>
        <v>0</v>
      </c>
      <c r="BH140" s="14">
        <f t="shared" si="38"/>
        <v>480</v>
      </c>
      <c r="BI140" s="14">
        <f t="shared" si="39"/>
        <v>0</v>
      </c>
      <c r="BJ140" s="14">
        <f t="shared" si="40"/>
        <v>1200</v>
      </c>
      <c r="BK140" s="14">
        <f t="shared" si="41"/>
        <v>480</v>
      </c>
      <c r="BL140" s="14">
        <f t="shared" si="42"/>
        <v>960</v>
      </c>
      <c r="CJ140" s="52">
        <v>136</v>
      </c>
      <c r="CK140" s="52">
        <v>2</v>
      </c>
      <c r="CL140" s="52" t="s">
        <v>244</v>
      </c>
      <c r="CM140" s="52">
        <v>36</v>
      </c>
      <c r="CN140" s="52"/>
      <c r="CO140" s="52"/>
      <c r="CP140" s="52"/>
      <c r="CQ140" s="52" t="s">
        <v>358</v>
      </c>
      <c r="CR140" s="52">
        <v>7200</v>
      </c>
      <c r="CS140" s="52" t="s">
        <v>359</v>
      </c>
      <c r="CT140" s="52">
        <v>45</v>
      </c>
      <c r="CU140" s="52"/>
      <c r="CV140" s="52"/>
      <c r="CW140" s="52" t="s">
        <v>359</v>
      </c>
      <c r="CX140" s="52">
        <v>55</v>
      </c>
      <c r="CY140" s="52"/>
      <c r="CZ140" s="52"/>
      <c r="DA140" s="52"/>
      <c r="DB140" s="52"/>
      <c r="DC140" s="52"/>
      <c r="DD140" s="52"/>
      <c r="DE140" s="52"/>
      <c r="DF140" s="52"/>
      <c r="DG140" s="52"/>
      <c r="DH140" s="52"/>
    </row>
    <row r="141" spans="58:112" ht="16.5" x14ac:dyDescent="0.2">
      <c r="BF141" s="52">
        <v>136</v>
      </c>
      <c r="BG141" s="14">
        <f t="shared" si="37"/>
        <v>0</v>
      </c>
      <c r="BH141" s="14">
        <f t="shared" si="38"/>
        <v>480</v>
      </c>
      <c r="BI141" s="14">
        <f t="shared" si="39"/>
        <v>0</v>
      </c>
      <c r="BJ141" s="14">
        <f t="shared" si="40"/>
        <v>1200</v>
      </c>
      <c r="BK141" s="14">
        <f t="shared" si="41"/>
        <v>480</v>
      </c>
      <c r="BL141" s="14">
        <f t="shared" si="42"/>
        <v>960</v>
      </c>
      <c r="CJ141" s="52">
        <v>137</v>
      </c>
      <c r="CK141" s="52">
        <v>2</v>
      </c>
      <c r="CL141" s="52" t="s">
        <v>244</v>
      </c>
      <c r="CM141" s="52">
        <v>37</v>
      </c>
      <c r="CN141" s="52"/>
      <c r="CO141" s="52"/>
      <c r="CP141" s="52"/>
      <c r="CQ141" s="52" t="s">
        <v>358</v>
      </c>
      <c r="CR141" s="52">
        <v>7200</v>
      </c>
      <c r="CS141" s="52" t="s">
        <v>359</v>
      </c>
      <c r="CT141" s="52">
        <v>45</v>
      </c>
      <c r="CU141" s="52"/>
      <c r="CV141" s="52"/>
      <c r="CW141" s="52" t="s">
        <v>359</v>
      </c>
      <c r="CX141" s="52">
        <v>55</v>
      </c>
      <c r="CY141" s="52"/>
      <c r="CZ141" s="52"/>
      <c r="DA141" s="52"/>
      <c r="DB141" s="52"/>
      <c r="DC141" s="52"/>
      <c r="DD141" s="52"/>
      <c r="DE141" s="52"/>
      <c r="DF141" s="52"/>
      <c r="DG141" s="52"/>
      <c r="DH141" s="52"/>
    </row>
    <row r="142" spans="58:112" ht="16.5" x14ac:dyDescent="0.2">
      <c r="BF142" s="52">
        <v>137</v>
      </c>
      <c r="BG142" s="14">
        <f t="shared" si="37"/>
        <v>0</v>
      </c>
      <c r="BH142" s="14">
        <f t="shared" si="38"/>
        <v>480</v>
      </c>
      <c r="BI142" s="14">
        <f t="shared" si="39"/>
        <v>0</v>
      </c>
      <c r="BJ142" s="14">
        <f t="shared" si="40"/>
        <v>1200</v>
      </c>
      <c r="BK142" s="14">
        <f t="shared" si="41"/>
        <v>480</v>
      </c>
      <c r="BL142" s="14">
        <f t="shared" si="42"/>
        <v>960</v>
      </c>
      <c r="CJ142" s="52">
        <v>138</v>
      </c>
      <c r="CK142" s="52">
        <v>2</v>
      </c>
      <c r="CL142" s="52" t="s">
        <v>244</v>
      </c>
      <c r="CM142" s="52">
        <v>38</v>
      </c>
      <c r="CN142" s="52"/>
      <c r="CO142" s="52"/>
      <c r="CP142" s="52"/>
      <c r="CQ142" s="52" t="s">
        <v>358</v>
      </c>
      <c r="CR142" s="52">
        <v>7200</v>
      </c>
      <c r="CS142" s="52" t="s">
        <v>359</v>
      </c>
      <c r="CT142" s="52">
        <v>45</v>
      </c>
      <c r="CU142" s="52"/>
      <c r="CV142" s="52"/>
      <c r="CW142" s="52" t="s">
        <v>359</v>
      </c>
      <c r="CX142" s="52">
        <v>55</v>
      </c>
      <c r="CY142" s="52"/>
      <c r="CZ142" s="52"/>
      <c r="DA142" s="52"/>
      <c r="DB142" s="52"/>
      <c r="DC142" s="52"/>
      <c r="DD142" s="52"/>
      <c r="DE142" s="52"/>
      <c r="DF142" s="52"/>
      <c r="DG142" s="52"/>
      <c r="DH142" s="52"/>
    </row>
    <row r="143" spans="58:112" ht="16.5" x14ac:dyDescent="0.2">
      <c r="BF143" s="52">
        <v>138</v>
      </c>
      <c r="BG143" s="14">
        <f t="shared" si="37"/>
        <v>0</v>
      </c>
      <c r="BH143" s="14">
        <f t="shared" si="38"/>
        <v>480</v>
      </c>
      <c r="BI143" s="14">
        <f t="shared" si="39"/>
        <v>0</v>
      </c>
      <c r="BJ143" s="14">
        <f t="shared" si="40"/>
        <v>1200</v>
      </c>
      <c r="BK143" s="14">
        <f t="shared" si="41"/>
        <v>480</v>
      </c>
      <c r="BL143" s="14">
        <f t="shared" si="42"/>
        <v>960</v>
      </c>
      <c r="CJ143" s="52">
        <v>139</v>
      </c>
      <c r="CK143" s="52">
        <v>2</v>
      </c>
      <c r="CL143" s="52" t="s">
        <v>244</v>
      </c>
      <c r="CM143" s="52">
        <v>39</v>
      </c>
      <c r="CN143" s="52"/>
      <c r="CO143" s="52"/>
      <c r="CP143" s="52"/>
      <c r="CQ143" s="52" t="s">
        <v>358</v>
      </c>
      <c r="CR143" s="52">
        <v>7200</v>
      </c>
      <c r="CS143" s="52" t="s">
        <v>359</v>
      </c>
      <c r="CT143" s="52">
        <v>45</v>
      </c>
      <c r="CU143" s="52"/>
      <c r="CV143" s="52"/>
      <c r="CW143" s="52" t="s">
        <v>359</v>
      </c>
      <c r="CX143" s="52">
        <v>55</v>
      </c>
      <c r="CY143" s="52"/>
      <c r="CZ143" s="52"/>
      <c r="DA143" s="52"/>
      <c r="DB143" s="52"/>
      <c r="DC143" s="52"/>
      <c r="DD143" s="52"/>
      <c r="DE143" s="52"/>
      <c r="DF143" s="52"/>
      <c r="DG143" s="52"/>
      <c r="DH143" s="52"/>
    </row>
    <row r="144" spans="58:112" ht="16.5" x14ac:dyDescent="0.2">
      <c r="BF144" s="52">
        <v>139</v>
      </c>
      <c r="BG144" s="14">
        <f t="shared" si="37"/>
        <v>0</v>
      </c>
      <c r="BH144" s="14">
        <f t="shared" si="38"/>
        <v>480</v>
      </c>
      <c r="BI144" s="14">
        <f t="shared" si="39"/>
        <v>0</v>
      </c>
      <c r="BJ144" s="14">
        <f t="shared" si="40"/>
        <v>1200</v>
      </c>
      <c r="BK144" s="14">
        <f t="shared" si="41"/>
        <v>480</v>
      </c>
      <c r="BL144" s="14">
        <f t="shared" si="42"/>
        <v>960</v>
      </c>
      <c r="CJ144" s="52">
        <v>140</v>
      </c>
      <c r="CK144" s="52">
        <v>2</v>
      </c>
      <c r="CL144" s="52" t="s">
        <v>244</v>
      </c>
      <c r="CM144" s="52">
        <v>40</v>
      </c>
      <c r="CN144" s="52"/>
      <c r="CO144" s="52"/>
      <c r="CP144" s="52"/>
      <c r="CQ144" s="52" t="s">
        <v>358</v>
      </c>
      <c r="CR144" s="52">
        <v>8640</v>
      </c>
      <c r="CS144" s="52" t="s">
        <v>359</v>
      </c>
      <c r="CT144" s="52">
        <v>45</v>
      </c>
      <c r="CU144" s="52" t="s">
        <v>260</v>
      </c>
      <c r="CV144" s="52">
        <v>2</v>
      </c>
      <c r="CW144" s="52" t="s">
        <v>359</v>
      </c>
      <c r="CX144" s="52">
        <v>60</v>
      </c>
      <c r="CY144" s="52"/>
      <c r="CZ144" s="52"/>
      <c r="DA144" s="52"/>
      <c r="DB144" s="52"/>
      <c r="DC144" s="52"/>
      <c r="DD144" s="52"/>
      <c r="DE144" s="52"/>
      <c r="DF144" s="52"/>
      <c r="DG144" s="52"/>
      <c r="DH144" s="52"/>
    </row>
    <row r="145" spans="58:112" ht="16.5" x14ac:dyDescent="0.2">
      <c r="BF145" s="52">
        <v>140</v>
      </c>
      <c r="BG145" s="14">
        <f t="shared" si="37"/>
        <v>0</v>
      </c>
      <c r="BH145" s="14">
        <f t="shared" si="38"/>
        <v>480</v>
      </c>
      <c r="BI145" s="14">
        <f t="shared" si="39"/>
        <v>0</v>
      </c>
      <c r="BJ145" s="14">
        <f t="shared" si="40"/>
        <v>1200</v>
      </c>
      <c r="BK145" s="14">
        <f t="shared" si="41"/>
        <v>480</v>
      </c>
      <c r="BL145" s="14">
        <f t="shared" si="42"/>
        <v>960</v>
      </c>
      <c r="CJ145" s="52">
        <v>141</v>
      </c>
      <c r="CK145" s="52">
        <v>2</v>
      </c>
      <c r="CL145" s="52" t="s">
        <v>244</v>
      </c>
      <c r="CM145" s="52">
        <v>41</v>
      </c>
      <c r="CN145" s="52"/>
      <c r="CO145" s="52"/>
      <c r="CP145" s="52"/>
      <c r="CQ145" s="52" t="s">
        <v>358</v>
      </c>
      <c r="CR145" s="52">
        <v>8640</v>
      </c>
      <c r="CS145" s="52" t="s">
        <v>359</v>
      </c>
      <c r="CT145" s="52">
        <v>50</v>
      </c>
      <c r="CU145" s="52"/>
      <c r="CV145" s="52"/>
      <c r="CW145" s="52" t="s">
        <v>359</v>
      </c>
      <c r="CX145" s="52">
        <v>60</v>
      </c>
      <c r="CY145" s="52"/>
      <c r="CZ145" s="52"/>
      <c r="DA145" s="52"/>
      <c r="DB145" s="52"/>
      <c r="DC145" s="52"/>
      <c r="DD145" s="52"/>
      <c r="DE145" s="52"/>
      <c r="DF145" s="52"/>
      <c r="DG145" s="52"/>
      <c r="DH145" s="52"/>
    </row>
    <row r="146" spans="58:112" ht="16.5" x14ac:dyDescent="0.2">
      <c r="BF146" s="52">
        <v>141</v>
      </c>
      <c r="BG146" s="14">
        <f t="shared" si="37"/>
        <v>0</v>
      </c>
      <c r="BH146" s="14">
        <f t="shared" si="38"/>
        <v>480</v>
      </c>
      <c r="BI146" s="14">
        <f t="shared" si="39"/>
        <v>0</v>
      </c>
      <c r="BJ146" s="14">
        <f t="shared" si="40"/>
        <v>1200</v>
      </c>
      <c r="BK146" s="14">
        <f t="shared" si="41"/>
        <v>480</v>
      </c>
      <c r="BL146" s="14">
        <f t="shared" si="42"/>
        <v>960</v>
      </c>
      <c r="CJ146" s="52">
        <v>142</v>
      </c>
      <c r="CK146" s="52">
        <v>2</v>
      </c>
      <c r="CL146" s="52" t="s">
        <v>244</v>
      </c>
      <c r="CM146" s="52">
        <v>42</v>
      </c>
      <c r="CN146" s="52"/>
      <c r="CO146" s="52"/>
      <c r="CP146" s="52"/>
      <c r="CQ146" s="52" t="s">
        <v>358</v>
      </c>
      <c r="CR146" s="52">
        <v>8640</v>
      </c>
      <c r="CS146" s="52" t="s">
        <v>359</v>
      </c>
      <c r="CT146" s="52">
        <v>50</v>
      </c>
      <c r="CU146" s="52"/>
      <c r="CV146" s="52"/>
      <c r="CW146" s="52" t="s">
        <v>359</v>
      </c>
      <c r="CX146" s="52">
        <v>60</v>
      </c>
      <c r="CY146" s="52"/>
      <c r="CZ146" s="52"/>
      <c r="DA146" s="52"/>
      <c r="DB146" s="52"/>
      <c r="DC146" s="52"/>
      <c r="DD146" s="52"/>
      <c r="DE146" s="52"/>
      <c r="DF146" s="52"/>
      <c r="DG146" s="52"/>
      <c r="DH146" s="52"/>
    </row>
    <row r="147" spans="58:112" ht="16.5" x14ac:dyDescent="0.2">
      <c r="BF147" s="52">
        <v>142</v>
      </c>
      <c r="BG147" s="14">
        <f t="shared" si="37"/>
        <v>0</v>
      </c>
      <c r="BH147" s="14">
        <f t="shared" si="38"/>
        <v>480</v>
      </c>
      <c r="BI147" s="14">
        <f t="shared" si="39"/>
        <v>0</v>
      </c>
      <c r="BJ147" s="14">
        <f t="shared" si="40"/>
        <v>1200</v>
      </c>
      <c r="BK147" s="14">
        <f t="shared" si="41"/>
        <v>480</v>
      </c>
      <c r="BL147" s="14">
        <f t="shared" si="42"/>
        <v>960</v>
      </c>
      <c r="CJ147" s="52">
        <v>143</v>
      </c>
      <c r="CK147" s="52">
        <v>2</v>
      </c>
      <c r="CL147" s="52" t="s">
        <v>244</v>
      </c>
      <c r="CM147" s="52">
        <v>43</v>
      </c>
      <c r="CN147" s="52"/>
      <c r="CO147" s="52"/>
      <c r="CP147" s="52"/>
      <c r="CQ147" s="52" t="s">
        <v>358</v>
      </c>
      <c r="CR147" s="52">
        <v>8640</v>
      </c>
      <c r="CS147" s="52" t="s">
        <v>359</v>
      </c>
      <c r="CT147" s="52">
        <v>50</v>
      </c>
      <c r="CU147" s="52"/>
      <c r="CV147" s="52"/>
      <c r="CW147" s="52" t="s">
        <v>359</v>
      </c>
      <c r="CX147" s="52">
        <v>60</v>
      </c>
      <c r="CY147" s="52"/>
      <c r="CZ147" s="52"/>
      <c r="DA147" s="52"/>
      <c r="DB147" s="52"/>
      <c r="DC147" s="52"/>
      <c r="DD147" s="52"/>
      <c r="DE147" s="52"/>
      <c r="DF147" s="52"/>
      <c r="DG147" s="52"/>
      <c r="DH147" s="52"/>
    </row>
    <row r="148" spans="58:112" ht="16.5" x14ac:dyDescent="0.2">
      <c r="BF148" s="52">
        <v>143</v>
      </c>
      <c r="BG148" s="14">
        <f t="shared" si="37"/>
        <v>0</v>
      </c>
      <c r="BH148" s="14">
        <f t="shared" si="38"/>
        <v>480</v>
      </c>
      <c r="BI148" s="14">
        <f t="shared" si="39"/>
        <v>0</v>
      </c>
      <c r="BJ148" s="14">
        <f t="shared" si="40"/>
        <v>1200</v>
      </c>
      <c r="BK148" s="14">
        <f t="shared" si="41"/>
        <v>480</v>
      </c>
      <c r="BL148" s="14">
        <f t="shared" si="42"/>
        <v>960</v>
      </c>
      <c r="CJ148" s="52">
        <v>144</v>
      </c>
      <c r="CK148" s="52">
        <v>2</v>
      </c>
      <c r="CL148" s="52" t="s">
        <v>244</v>
      </c>
      <c r="CM148" s="52">
        <v>44</v>
      </c>
      <c r="CN148" s="52"/>
      <c r="CO148" s="52"/>
      <c r="CP148" s="52"/>
      <c r="CQ148" s="52" t="s">
        <v>358</v>
      </c>
      <c r="CR148" s="52">
        <v>8640</v>
      </c>
      <c r="CS148" s="52" t="s">
        <v>359</v>
      </c>
      <c r="CT148" s="52">
        <v>50</v>
      </c>
      <c r="CU148" s="52"/>
      <c r="CV148" s="52"/>
      <c r="CW148" s="52" t="s">
        <v>359</v>
      </c>
      <c r="CX148" s="52">
        <v>60</v>
      </c>
      <c r="CY148" s="52"/>
      <c r="CZ148" s="52"/>
      <c r="DA148" s="52"/>
      <c r="DB148" s="52"/>
      <c r="DC148" s="52"/>
      <c r="DD148" s="52"/>
      <c r="DE148" s="52"/>
      <c r="DF148" s="52"/>
      <c r="DG148" s="52"/>
      <c r="DH148" s="52"/>
    </row>
    <row r="149" spans="58:112" ht="16.5" x14ac:dyDescent="0.2">
      <c r="BF149" s="52">
        <v>144</v>
      </c>
      <c r="BG149" s="14">
        <f t="shared" si="37"/>
        <v>0</v>
      </c>
      <c r="BH149" s="14">
        <f t="shared" si="38"/>
        <v>480</v>
      </c>
      <c r="BI149" s="14">
        <f t="shared" si="39"/>
        <v>0</v>
      </c>
      <c r="BJ149" s="14">
        <f t="shared" si="40"/>
        <v>1200</v>
      </c>
      <c r="BK149" s="14">
        <f t="shared" si="41"/>
        <v>480</v>
      </c>
      <c r="BL149" s="14">
        <f t="shared" si="42"/>
        <v>960</v>
      </c>
      <c r="CJ149" s="52">
        <v>145</v>
      </c>
      <c r="CK149" s="52">
        <v>2</v>
      </c>
      <c r="CL149" s="52" t="s">
        <v>244</v>
      </c>
      <c r="CM149" s="52">
        <v>45</v>
      </c>
      <c r="CN149" s="52"/>
      <c r="CO149" s="52"/>
      <c r="CP149" s="52"/>
      <c r="CQ149" s="52" t="s">
        <v>358</v>
      </c>
      <c r="CR149" s="52">
        <v>8640</v>
      </c>
      <c r="CS149" s="52" t="s">
        <v>359</v>
      </c>
      <c r="CT149" s="52">
        <v>50</v>
      </c>
      <c r="CU149" s="52" t="s">
        <v>261</v>
      </c>
      <c r="CV149" s="52">
        <v>2</v>
      </c>
      <c r="CW149" s="52" t="s">
        <v>359</v>
      </c>
      <c r="CX149" s="52">
        <v>65</v>
      </c>
      <c r="CY149" s="52"/>
      <c r="CZ149" s="52"/>
      <c r="DA149" s="52"/>
      <c r="DB149" s="52"/>
      <c r="DC149" s="52"/>
      <c r="DD149" s="52"/>
      <c r="DE149" s="52"/>
      <c r="DF149" s="52"/>
      <c r="DG149" s="52"/>
      <c r="DH149" s="52"/>
    </row>
    <row r="150" spans="58:112" ht="16.5" x14ac:dyDescent="0.2">
      <c r="BF150" s="52">
        <v>145</v>
      </c>
      <c r="BG150" s="14">
        <f t="shared" si="37"/>
        <v>0</v>
      </c>
      <c r="BH150" s="14">
        <f t="shared" si="38"/>
        <v>480</v>
      </c>
      <c r="BI150" s="14">
        <f t="shared" si="39"/>
        <v>0</v>
      </c>
      <c r="BJ150" s="14">
        <f t="shared" si="40"/>
        <v>1200</v>
      </c>
      <c r="BK150" s="14">
        <f t="shared" si="41"/>
        <v>480</v>
      </c>
      <c r="BL150" s="14">
        <f t="shared" si="42"/>
        <v>960</v>
      </c>
      <c r="CJ150" s="52">
        <v>146</v>
      </c>
      <c r="CK150" s="52">
        <v>2</v>
      </c>
      <c r="CL150" s="52" t="s">
        <v>244</v>
      </c>
      <c r="CM150" s="52">
        <v>46</v>
      </c>
      <c r="CN150" s="52"/>
      <c r="CO150" s="52"/>
      <c r="CP150" s="52"/>
      <c r="CQ150" s="52" t="s">
        <v>358</v>
      </c>
      <c r="CR150" s="52">
        <v>8640</v>
      </c>
      <c r="CS150" s="52" t="s">
        <v>359</v>
      </c>
      <c r="CT150" s="52">
        <v>55</v>
      </c>
      <c r="CU150" s="52"/>
      <c r="CV150" s="52"/>
      <c r="CW150" s="52" t="s">
        <v>359</v>
      </c>
      <c r="CX150" s="52">
        <v>65</v>
      </c>
      <c r="CY150" s="52"/>
      <c r="CZ150" s="52"/>
      <c r="DA150" s="52"/>
      <c r="DB150" s="52"/>
      <c r="DC150" s="52"/>
      <c r="DD150" s="52"/>
      <c r="DE150" s="52"/>
      <c r="DF150" s="52"/>
      <c r="DG150" s="52"/>
      <c r="DH150" s="52"/>
    </row>
    <row r="151" spans="58:112" ht="16.5" x14ac:dyDescent="0.2">
      <c r="BF151" s="52">
        <v>146</v>
      </c>
      <c r="BG151" s="14">
        <f t="shared" si="37"/>
        <v>0</v>
      </c>
      <c r="BH151" s="14">
        <f t="shared" si="38"/>
        <v>480</v>
      </c>
      <c r="BI151" s="14">
        <f t="shared" si="39"/>
        <v>0</v>
      </c>
      <c r="BJ151" s="14">
        <f t="shared" si="40"/>
        <v>1200</v>
      </c>
      <c r="BK151" s="14">
        <f t="shared" si="41"/>
        <v>480</v>
      </c>
      <c r="BL151" s="14">
        <f t="shared" si="42"/>
        <v>960</v>
      </c>
      <c r="CJ151" s="52">
        <v>147</v>
      </c>
      <c r="CK151" s="52">
        <v>2</v>
      </c>
      <c r="CL151" s="52" t="s">
        <v>244</v>
      </c>
      <c r="CM151" s="52">
        <v>47</v>
      </c>
      <c r="CN151" s="52"/>
      <c r="CO151" s="52"/>
      <c r="CP151" s="52"/>
      <c r="CQ151" s="52" t="s">
        <v>358</v>
      </c>
      <c r="CR151" s="52">
        <v>8640</v>
      </c>
      <c r="CS151" s="52" t="s">
        <v>359</v>
      </c>
      <c r="CT151" s="52">
        <v>55</v>
      </c>
      <c r="CU151" s="52"/>
      <c r="CV151" s="52"/>
      <c r="CW151" s="52" t="s">
        <v>359</v>
      </c>
      <c r="CX151" s="52">
        <v>65</v>
      </c>
      <c r="CY151" s="52"/>
      <c r="CZ151" s="52"/>
      <c r="DA151" s="52"/>
      <c r="DB151" s="52"/>
      <c r="DC151" s="52"/>
      <c r="DD151" s="52"/>
      <c r="DE151" s="52"/>
      <c r="DF151" s="52"/>
      <c r="DG151" s="52"/>
      <c r="DH151" s="52"/>
    </row>
    <row r="152" spans="58:112" ht="16.5" x14ac:dyDescent="0.2">
      <c r="BF152" s="52">
        <v>147</v>
      </c>
      <c r="BG152" s="14">
        <f t="shared" si="37"/>
        <v>0</v>
      </c>
      <c r="BH152" s="14">
        <f t="shared" si="38"/>
        <v>480</v>
      </c>
      <c r="BI152" s="14">
        <f t="shared" si="39"/>
        <v>0</v>
      </c>
      <c r="BJ152" s="14">
        <f t="shared" si="40"/>
        <v>1200</v>
      </c>
      <c r="BK152" s="14">
        <f t="shared" si="41"/>
        <v>480</v>
      </c>
      <c r="BL152" s="14">
        <f t="shared" si="42"/>
        <v>960</v>
      </c>
      <c r="CJ152" s="52">
        <v>148</v>
      </c>
      <c r="CK152" s="52">
        <v>2</v>
      </c>
      <c r="CL152" s="52" t="s">
        <v>244</v>
      </c>
      <c r="CM152" s="52">
        <v>48</v>
      </c>
      <c r="CN152" s="52"/>
      <c r="CO152" s="52"/>
      <c r="CP152" s="52"/>
      <c r="CQ152" s="52" t="s">
        <v>358</v>
      </c>
      <c r="CR152" s="52">
        <v>8640</v>
      </c>
      <c r="CS152" s="52" t="s">
        <v>359</v>
      </c>
      <c r="CT152" s="52">
        <v>55</v>
      </c>
      <c r="CU152" s="52"/>
      <c r="CV152" s="52"/>
      <c r="CW152" s="52" t="s">
        <v>359</v>
      </c>
      <c r="CX152" s="52">
        <v>65</v>
      </c>
      <c r="CY152" s="52"/>
      <c r="CZ152" s="52"/>
      <c r="DA152" s="52"/>
      <c r="DB152" s="52"/>
      <c r="DC152" s="52"/>
      <c r="DD152" s="52"/>
      <c r="DE152" s="52"/>
      <c r="DF152" s="52"/>
      <c r="DG152" s="52"/>
      <c r="DH152" s="52"/>
    </row>
    <row r="153" spans="58:112" ht="16.5" x14ac:dyDescent="0.2">
      <c r="BF153" s="52">
        <v>148</v>
      </c>
      <c r="BG153" s="14">
        <f t="shared" si="37"/>
        <v>0</v>
      </c>
      <c r="BH153" s="14">
        <f t="shared" si="38"/>
        <v>480</v>
      </c>
      <c r="BI153" s="14">
        <f t="shared" si="39"/>
        <v>0</v>
      </c>
      <c r="BJ153" s="14">
        <f t="shared" si="40"/>
        <v>1200</v>
      </c>
      <c r="BK153" s="14">
        <f t="shared" si="41"/>
        <v>480</v>
      </c>
      <c r="BL153" s="14">
        <f t="shared" si="42"/>
        <v>960</v>
      </c>
      <c r="CJ153" s="52">
        <v>149</v>
      </c>
      <c r="CK153" s="52">
        <v>2</v>
      </c>
      <c r="CL153" s="52" t="s">
        <v>244</v>
      </c>
      <c r="CM153" s="52">
        <v>49</v>
      </c>
      <c r="CN153" s="52"/>
      <c r="CO153" s="52"/>
      <c r="CP153" s="52"/>
      <c r="CQ153" s="52" t="s">
        <v>358</v>
      </c>
      <c r="CR153" s="52">
        <v>8640</v>
      </c>
      <c r="CS153" s="52" t="s">
        <v>359</v>
      </c>
      <c r="CT153" s="52">
        <v>55</v>
      </c>
      <c r="CU153" s="52"/>
      <c r="CV153" s="52"/>
      <c r="CW153" s="52" t="s">
        <v>359</v>
      </c>
      <c r="CX153" s="52">
        <v>65</v>
      </c>
      <c r="CY153" s="52"/>
      <c r="CZ153" s="52"/>
      <c r="DA153" s="52"/>
      <c r="DB153" s="52"/>
      <c r="DC153" s="52"/>
      <c r="DD153" s="52"/>
      <c r="DE153" s="52"/>
      <c r="DF153" s="52"/>
      <c r="DG153" s="52"/>
      <c r="DH153" s="52"/>
    </row>
    <row r="154" spans="58:112" ht="16.5" x14ac:dyDescent="0.2">
      <c r="BF154" s="52">
        <v>149</v>
      </c>
      <c r="BG154" s="14">
        <f t="shared" si="37"/>
        <v>0</v>
      </c>
      <c r="BH154" s="14">
        <f t="shared" si="38"/>
        <v>480</v>
      </c>
      <c r="BI154" s="14">
        <f t="shared" si="39"/>
        <v>0</v>
      </c>
      <c r="BJ154" s="14">
        <f t="shared" si="40"/>
        <v>1200</v>
      </c>
      <c r="BK154" s="14">
        <f t="shared" si="41"/>
        <v>480</v>
      </c>
      <c r="BL154" s="14">
        <f t="shared" si="42"/>
        <v>960</v>
      </c>
      <c r="CJ154" s="52">
        <v>150</v>
      </c>
      <c r="CK154" s="52">
        <v>2</v>
      </c>
      <c r="CL154" s="52" t="s">
        <v>244</v>
      </c>
      <c r="CM154" s="52">
        <v>50</v>
      </c>
      <c r="CN154" s="52"/>
      <c r="CO154" s="52"/>
      <c r="CP154" s="52"/>
      <c r="CQ154" s="52" t="s">
        <v>358</v>
      </c>
      <c r="CR154" s="52">
        <v>8640</v>
      </c>
      <c r="CS154" s="52" t="s">
        <v>359</v>
      </c>
      <c r="CT154" s="52">
        <v>55</v>
      </c>
      <c r="CU154" s="52" t="s">
        <v>260</v>
      </c>
      <c r="CV154" s="52">
        <v>2</v>
      </c>
      <c r="CW154" s="52" t="s">
        <v>359</v>
      </c>
      <c r="CX154" s="52">
        <v>70</v>
      </c>
      <c r="CY154" s="52"/>
      <c r="CZ154" s="52"/>
      <c r="DA154" s="52"/>
      <c r="DB154" s="52"/>
      <c r="DC154" s="52"/>
      <c r="DD154" s="52"/>
      <c r="DE154" s="52"/>
      <c r="DF154" s="52"/>
      <c r="DG154" s="52"/>
      <c r="DH154" s="52"/>
    </row>
    <row r="155" spans="58:112" ht="16.5" x14ac:dyDescent="0.2">
      <c r="BF155" s="52">
        <v>150</v>
      </c>
      <c r="BG155" s="14">
        <f t="shared" si="37"/>
        <v>0</v>
      </c>
      <c r="BH155" s="14">
        <f t="shared" si="38"/>
        <v>480</v>
      </c>
      <c r="BI155" s="14">
        <f t="shared" si="39"/>
        <v>0</v>
      </c>
      <c r="BJ155" s="14">
        <f t="shared" si="40"/>
        <v>1200</v>
      </c>
      <c r="BK155" s="14">
        <f t="shared" si="41"/>
        <v>480</v>
      </c>
      <c r="BL155" s="14">
        <f t="shared" si="42"/>
        <v>960</v>
      </c>
      <c r="CJ155" s="52">
        <v>151</v>
      </c>
      <c r="CK155" s="52">
        <v>2</v>
      </c>
      <c r="CL155" s="52" t="s">
        <v>244</v>
      </c>
      <c r="CM155" s="52">
        <v>51</v>
      </c>
      <c r="CN155" s="52"/>
      <c r="CO155" s="52"/>
      <c r="CP155" s="52"/>
      <c r="CQ155" s="52" t="s">
        <v>358</v>
      </c>
      <c r="CR155" s="52">
        <v>8640</v>
      </c>
      <c r="CS155" s="52" t="s">
        <v>359</v>
      </c>
      <c r="CT155" s="52">
        <v>60</v>
      </c>
      <c r="CU155" s="52"/>
      <c r="CV155" s="52"/>
      <c r="CW155" s="52" t="s">
        <v>359</v>
      </c>
      <c r="CX155" s="52">
        <v>70</v>
      </c>
      <c r="CY155" s="52"/>
      <c r="CZ155" s="52"/>
      <c r="DA155" s="52"/>
      <c r="DB155" s="52"/>
      <c r="DC155" s="52"/>
      <c r="DD155" s="52"/>
      <c r="DE155" s="52"/>
      <c r="DF155" s="52"/>
      <c r="DG155" s="52"/>
      <c r="DH155" s="52"/>
    </row>
    <row r="156" spans="58:112" ht="16.5" x14ac:dyDescent="0.2">
      <c r="BF156" s="52">
        <v>151</v>
      </c>
      <c r="BG156" s="14">
        <f t="shared" si="37"/>
        <v>0</v>
      </c>
      <c r="BH156" s="14">
        <f t="shared" si="38"/>
        <v>480</v>
      </c>
      <c r="BI156" s="14">
        <f t="shared" si="39"/>
        <v>0</v>
      </c>
      <c r="BJ156" s="14">
        <f t="shared" si="40"/>
        <v>1200</v>
      </c>
      <c r="BK156" s="14">
        <f t="shared" si="41"/>
        <v>480</v>
      </c>
      <c r="BL156" s="14">
        <f t="shared" si="42"/>
        <v>960</v>
      </c>
      <c r="CJ156" s="52">
        <v>152</v>
      </c>
      <c r="CK156" s="52">
        <v>2</v>
      </c>
      <c r="CL156" s="52" t="s">
        <v>244</v>
      </c>
      <c r="CM156" s="52">
        <v>52</v>
      </c>
      <c r="CN156" s="52"/>
      <c r="CO156" s="52"/>
      <c r="CP156" s="52"/>
      <c r="CQ156" s="52" t="s">
        <v>358</v>
      </c>
      <c r="CR156" s="52">
        <v>8640</v>
      </c>
      <c r="CS156" s="52" t="s">
        <v>359</v>
      </c>
      <c r="CT156" s="52">
        <v>60</v>
      </c>
      <c r="CU156" s="52"/>
      <c r="CV156" s="52"/>
      <c r="CW156" s="52" t="s">
        <v>359</v>
      </c>
      <c r="CX156" s="52">
        <v>70</v>
      </c>
      <c r="CY156" s="52"/>
      <c r="CZ156" s="52"/>
      <c r="DA156" s="52"/>
      <c r="DB156" s="52"/>
      <c r="DC156" s="52"/>
      <c r="DD156" s="52"/>
      <c r="DE156" s="52"/>
      <c r="DF156" s="52"/>
      <c r="DG156" s="52"/>
      <c r="DH156" s="52"/>
    </row>
    <row r="157" spans="58:112" ht="16.5" x14ac:dyDescent="0.2">
      <c r="BF157" s="52">
        <v>152</v>
      </c>
      <c r="BG157" s="14">
        <f t="shared" si="37"/>
        <v>0</v>
      </c>
      <c r="BH157" s="14">
        <f t="shared" si="38"/>
        <v>480</v>
      </c>
      <c r="BI157" s="14">
        <f t="shared" si="39"/>
        <v>0</v>
      </c>
      <c r="BJ157" s="14">
        <f t="shared" si="40"/>
        <v>1200</v>
      </c>
      <c r="BK157" s="14">
        <f t="shared" si="41"/>
        <v>480</v>
      </c>
      <c r="BL157" s="14">
        <f t="shared" si="42"/>
        <v>960</v>
      </c>
      <c r="CJ157" s="52">
        <v>153</v>
      </c>
      <c r="CK157" s="52">
        <v>2</v>
      </c>
      <c r="CL157" s="52" t="s">
        <v>244</v>
      </c>
      <c r="CM157" s="52">
        <v>53</v>
      </c>
      <c r="CN157" s="52"/>
      <c r="CO157" s="52"/>
      <c r="CP157" s="52"/>
      <c r="CQ157" s="52" t="s">
        <v>358</v>
      </c>
      <c r="CR157" s="52">
        <v>8640</v>
      </c>
      <c r="CS157" s="52" t="s">
        <v>359</v>
      </c>
      <c r="CT157" s="52">
        <v>60</v>
      </c>
      <c r="CU157" s="52"/>
      <c r="CV157" s="52"/>
      <c r="CW157" s="52" t="s">
        <v>359</v>
      </c>
      <c r="CX157" s="52">
        <v>70</v>
      </c>
      <c r="CY157" s="52"/>
      <c r="CZ157" s="52"/>
      <c r="DA157" s="52"/>
      <c r="DB157" s="52"/>
      <c r="DC157" s="52"/>
      <c r="DD157" s="52"/>
      <c r="DE157" s="52"/>
      <c r="DF157" s="52"/>
      <c r="DG157" s="52"/>
      <c r="DH157" s="52"/>
    </row>
    <row r="158" spans="58:112" ht="16.5" x14ac:dyDescent="0.2">
      <c r="BF158" s="52">
        <v>153</v>
      </c>
      <c r="BG158" s="14">
        <f t="shared" si="37"/>
        <v>0</v>
      </c>
      <c r="BH158" s="14">
        <f t="shared" si="38"/>
        <v>480</v>
      </c>
      <c r="BI158" s="14">
        <f t="shared" si="39"/>
        <v>0</v>
      </c>
      <c r="BJ158" s="14">
        <f t="shared" si="40"/>
        <v>1200</v>
      </c>
      <c r="BK158" s="14">
        <f t="shared" si="41"/>
        <v>480</v>
      </c>
      <c r="BL158" s="14">
        <f t="shared" si="42"/>
        <v>960</v>
      </c>
      <c r="CJ158" s="52">
        <v>154</v>
      </c>
      <c r="CK158" s="52">
        <v>2</v>
      </c>
      <c r="CL158" s="52" t="s">
        <v>244</v>
      </c>
      <c r="CM158" s="52">
        <v>54</v>
      </c>
      <c r="CN158" s="52"/>
      <c r="CO158" s="52"/>
      <c r="CP158" s="52"/>
      <c r="CQ158" s="52" t="s">
        <v>358</v>
      </c>
      <c r="CR158" s="52">
        <v>8640</v>
      </c>
      <c r="CS158" s="52" t="s">
        <v>359</v>
      </c>
      <c r="CT158" s="52">
        <v>60</v>
      </c>
      <c r="CU158" s="52"/>
      <c r="CV158" s="52"/>
      <c r="CW158" s="52" t="s">
        <v>359</v>
      </c>
      <c r="CX158" s="52">
        <v>70</v>
      </c>
      <c r="CY158" s="52"/>
      <c r="CZ158" s="52"/>
      <c r="DA158" s="52"/>
      <c r="DB158" s="52"/>
      <c r="DC158" s="52"/>
      <c r="DD158" s="52"/>
      <c r="DE158" s="52"/>
      <c r="DF158" s="52"/>
      <c r="DG158" s="52"/>
      <c r="DH158" s="52"/>
    </row>
    <row r="159" spans="58:112" ht="16.5" x14ac:dyDescent="0.2">
      <c r="BF159" s="52">
        <v>154</v>
      </c>
      <c r="BG159" s="14">
        <f t="shared" si="37"/>
        <v>0</v>
      </c>
      <c r="BH159" s="14">
        <f t="shared" si="38"/>
        <v>480</v>
      </c>
      <c r="BI159" s="14">
        <f t="shared" si="39"/>
        <v>0</v>
      </c>
      <c r="BJ159" s="14">
        <f t="shared" si="40"/>
        <v>1200</v>
      </c>
      <c r="BK159" s="14">
        <f t="shared" si="41"/>
        <v>480</v>
      </c>
      <c r="BL159" s="14">
        <f t="shared" si="42"/>
        <v>960</v>
      </c>
      <c r="CJ159" s="52">
        <v>155</v>
      </c>
      <c r="CK159" s="52">
        <v>2</v>
      </c>
      <c r="CL159" s="52" t="s">
        <v>244</v>
      </c>
      <c r="CM159" s="52">
        <v>55</v>
      </c>
      <c r="CN159" s="52"/>
      <c r="CO159" s="52"/>
      <c r="CP159" s="52"/>
      <c r="CQ159" s="52" t="s">
        <v>358</v>
      </c>
      <c r="CR159" s="52">
        <v>10800</v>
      </c>
      <c r="CS159" s="52" t="s">
        <v>359</v>
      </c>
      <c r="CT159" s="52">
        <v>60</v>
      </c>
      <c r="CU159" s="52" t="s">
        <v>261</v>
      </c>
      <c r="CV159" s="52">
        <v>2</v>
      </c>
      <c r="CW159" s="52" t="s">
        <v>359</v>
      </c>
      <c r="CX159" s="52">
        <v>75</v>
      </c>
      <c r="CY159" s="52"/>
      <c r="CZ159" s="52"/>
      <c r="DA159" s="52"/>
      <c r="DB159" s="52"/>
      <c r="DC159" s="52"/>
      <c r="DD159" s="52"/>
      <c r="DE159" s="52"/>
      <c r="DF159" s="52"/>
      <c r="DG159" s="52"/>
      <c r="DH159" s="52"/>
    </row>
    <row r="160" spans="58:112" ht="16.5" x14ac:dyDescent="0.2">
      <c r="BF160" s="52">
        <v>155</v>
      </c>
      <c r="BG160" s="14">
        <f t="shared" si="37"/>
        <v>0</v>
      </c>
      <c r="BH160" s="14">
        <f t="shared" si="38"/>
        <v>480</v>
      </c>
      <c r="BI160" s="14">
        <f t="shared" si="39"/>
        <v>0</v>
      </c>
      <c r="BJ160" s="14">
        <f t="shared" si="40"/>
        <v>1200</v>
      </c>
      <c r="BK160" s="14">
        <f t="shared" si="41"/>
        <v>480</v>
      </c>
      <c r="BL160" s="14">
        <f t="shared" si="42"/>
        <v>960</v>
      </c>
      <c r="CJ160" s="52">
        <v>156</v>
      </c>
      <c r="CK160" s="52">
        <v>2</v>
      </c>
      <c r="CL160" s="52" t="s">
        <v>244</v>
      </c>
      <c r="CM160" s="52">
        <v>56</v>
      </c>
      <c r="CN160" s="52"/>
      <c r="CO160" s="52"/>
      <c r="CP160" s="52"/>
      <c r="CQ160" s="52" t="s">
        <v>358</v>
      </c>
      <c r="CR160" s="52">
        <v>10800</v>
      </c>
      <c r="CS160" s="52" t="s">
        <v>359</v>
      </c>
      <c r="CT160" s="52">
        <v>65</v>
      </c>
      <c r="CU160" s="52"/>
      <c r="CV160" s="52"/>
      <c r="CW160" s="52" t="s">
        <v>359</v>
      </c>
      <c r="CX160" s="52">
        <v>75</v>
      </c>
      <c r="CY160" s="52"/>
      <c r="CZ160" s="52"/>
      <c r="DA160" s="52"/>
      <c r="DB160" s="52"/>
      <c r="DC160" s="52"/>
      <c r="DD160" s="52"/>
      <c r="DE160" s="52"/>
      <c r="DF160" s="52"/>
      <c r="DG160" s="52"/>
      <c r="DH160" s="52"/>
    </row>
    <row r="161" spans="58:112" ht="16.5" x14ac:dyDescent="0.2">
      <c r="BF161" s="52">
        <v>156</v>
      </c>
      <c r="BG161" s="14">
        <f t="shared" si="37"/>
        <v>0</v>
      </c>
      <c r="BH161" s="14">
        <f t="shared" si="38"/>
        <v>480</v>
      </c>
      <c r="BI161" s="14">
        <f t="shared" si="39"/>
        <v>0</v>
      </c>
      <c r="BJ161" s="14">
        <f t="shared" si="40"/>
        <v>1200</v>
      </c>
      <c r="BK161" s="14">
        <f t="shared" si="41"/>
        <v>480</v>
      </c>
      <c r="BL161" s="14">
        <f t="shared" si="42"/>
        <v>960</v>
      </c>
      <c r="CJ161" s="52">
        <v>157</v>
      </c>
      <c r="CK161" s="52">
        <v>2</v>
      </c>
      <c r="CL161" s="52" t="s">
        <v>244</v>
      </c>
      <c r="CM161" s="52">
        <v>57</v>
      </c>
      <c r="CN161" s="52"/>
      <c r="CO161" s="52"/>
      <c r="CP161" s="52"/>
      <c r="CQ161" s="52" t="s">
        <v>358</v>
      </c>
      <c r="CR161" s="52">
        <v>10800</v>
      </c>
      <c r="CS161" s="52" t="s">
        <v>359</v>
      </c>
      <c r="CT161" s="52">
        <v>65</v>
      </c>
      <c r="CU161" s="52"/>
      <c r="CV161" s="52"/>
      <c r="CW161" s="52" t="s">
        <v>359</v>
      </c>
      <c r="CX161" s="52">
        <v>75</v>
      </c>
      <c r="CY161" s="52"/>
      <c r="CZ161" s="52"/>
      <c r="DA161" s="52"/>
      <c r="DB161" s="52"/>
      <c r="DC161" s="52"/>
      <c r="DD161" s="52"/>
      <c r="DE161" s="52"/>
      <c r="DF161" s="52"/>
      <c r="DG161" s="52"/>
      <c r="DH161" s="52"/>
    </row>
    <row r="162" spans="58:112" ht="16.5" x14ac:dyDescent="0.2">
      <c r="BF162" s="52">
        <v>157</v>
      </c>
      <c r="BG162" s="14">
        <f t="shared" si="37"/>
        <v>0</v>
      </c>
      <c r="BH162" s="14">
        <f t="shared" si="38"/>
        <v>480</v>
      </c>
      <c r="BI162" s="14">
        <f t="shared" si="39"/>
        <v>0</v>
      </c>
      <c r="BJ162" s="14">
        <f t="shared" si="40"/>
        <v>1200</v>
      </c>
      <c r="BK162" s="14">
        <f t="shared" si="41"/>
        <v>480</v>
      </c>
      <c r="BL162" s="14">
        <f t="shared" si="42"/>
        <v>960</v>
      </c>
      <c r="CJ162" s="52">
        <v>158</v>
      </c>
      <c r="CK162" s="52">
        <v>2</v>
      </c>
      <c r="CL162" s="52" t="s">
        <v>244</v>
      </c>
      <c r="CM162" s="52">
        <v>58</v>
      </c>
      <c r="CN162" s="52"/>
      <c r="CO162" s="52"/>
      <c r="CP162" s="52"/>
      <c r="CQ162" s="52" t="s">
        <v>358</v>
      </c>
      <c r="CR162" s="52">
        <v>10800</v>
      </c>
      <c r="CS162" s="52" t="s">
        <v>359</v>
      </c>
      <c r="CT162" s="52">
        <v>65</v>
      </c>
      <c r="CU162" s="52"/>
      <c r="CV162" s="52"/>
      <c r="CW162" s="52" t="s">
        <v>359</v>
      </c>
      <c r="CX162" s="52">
        <v>75</v>
      </c>
      <c r="CY162" s="52"/>
      <c r="CZ162" s="52"/>
      <c r="DA162" s="52"/>
      <c r="DB162" s="52"/>
      <c r="DC162" s="52"/>
      <c r="DD162" s="52"/>
      <c r="DE162" s="52"/>
      <c r="DF162" s="52"/>
      <c r="DG162" s="52"/>
      <c r="DH162" s="52"/>
    </row>
    <row r="163" spans="58:112" ht="16.5" x14ac:dyDescent="0.2">
      <c r="BF163" s="52">
        <v>158</v>
      </c>
      <c r="BG163" s="14">
        <f t="shared" si="37"/>
        <v>0</v>
      </c>
      <c r="BH163" s="14">
        <f t="shared" si="38"/>
        <v>480</v>
      </c>
      <c r="BI163" s="14">
        <f t="shared" si="39"/>
        <v>0</v>
      </c>
      <c r="BJ163" s="14">
        <f t="shared" si="40"/>
        <v>1200</v>
      </c>
      <c r="BK163" s="14">
        <f t="shared" si="41"/>
        <v>480</v>
      </c>
      <c r="BL163" s="14">
        <f t="shared" si="42"/>
        <v>960</v>
      </c>
      <c r="CJ163" s="52">
        <v>159</v>
      </c>
      <c r="CK163" s="52">
        <v>2</v>
      </c>
      <c r="CL163" s="52" t="s">
        <v>244</v>
      </c>
      <c r="CM163" s="52">
        <v>59</v>
      </c>
      <c r="CN163" s="52"/>
      <c r="CO163" s="52"/>
      <c r="CP163" s="52"/>
      <c r="CQ163" s="52" t="s">
        <v>358</v>
      </c>
      <c r="CR163" s="52">
        <v>10800</v>
      </c>
      <c r="CS163" s="52" t="s">
        <v>359</v>
      </c>
      <c r="CT163" s="52">
        <v>65</v>
      </c>
      <c r="CU163" s="52"/>
      <c r="CV163" s="52"/>
      <c r="CW163" s="52" t="s">
        <v>359</v>
      </c>
      <c r="CX163" s="52">
        <v>75</v>
      </c>
      <c r="CY163" s="52"/>
      <c r="CZ163" s="52"/>
      <c r="DA163" s="52"/>
      <c r="DB163" s="52"/>
      <c r="DC163" s="52"/>
      <c r="DD163" s="52"/>
      <c r="DE163" s="52"/>
      <c r="DF163" s="52"/>
      <c r="DG163" s="52"/>
      <c r="DH163" s="52"/>
    </row>
    <row r="164" spans="58:112" ht="16.5" x14ac:dyDescent="0.2">
      <c r="BF164" s="52">
        <v>159</v>
      </c>
      <c r="BG164" s="14">
        <f t="shared" si="37"/>
        <v>0</v>
      </c>
      <c r="BH164" s="14">
        <f t="shared" si="38"/>
        <v>480</v>
      </c>
      <c r="BI164" s="14">
        <f t="shared" si="39"/>
        <v>0</v>
      </c>
      <c r="BJ164" s="14">
        <f t="shared" si="40"/>
        <v>1200</v>
      </c>
      <c r="BK164" s="14">
        <f t="shared" si="41"/>
        <v>480</v>
      </c>
      <c r="BL164" s="14">
        <f t="shared" si="42"/>
        <v>960</v>
      </c>
      <c r="CJ164" s="52">
        <v>160</v>
      </c>
      <c r="CK164" s="52">
        <v>2</v>
      </c>
      <c r="CL164" s="52" t="s">
        <v>244</v>
      </c>
      <c r="CM164" s="52">
        <v>60</v>
      </c>
      <c r="CN164" s="52"/>
      <c r="CO164" s="52"/>
      <c r="CP164" s="52"/>
      <c r="CQ164" s="52" t="s">
        <v>358</v>
      </c>
      <c r="CR164" s="52">
        <v>10800</v>
      </c>
      <c r="CS164" s="52" t="s">
        <v>359</v>
      </c>
      <c r="CT164" s="52">
        <v>65</v>
      </c>
      <c r="CU164" s="52" t="s">
        <v>260</v>
      </c>
      <c r="CV164" s="52">
        <v>2</v>
      </c>
      <c r="CW164" s="52" t="s">
        <v>359</v>
      </c>
      <c r="CX164" s="52">
        <v>80</v>
      </c>
      <c r="CY164" s="52"/>
      <c r="CZ164" s="52"/>
      <c r="DA164" s="52"/>
      <c r="DB164" s="52"/>
      <c r="DC164" s="52"/>
      <c r="DD164" s="52"/>
      <c r="DE164" s="52"/>
      <c r="DF164" s="52"/>
      <c r="DG164" s="52"/>
      <c r="DH164" s="52"/>
    </row>
    <row r="165" spans="58:112" ht="16.5" x14ac:dyDescent="0.2">
      <c r="BF165" s="52">
        <v>160</v>
      </c>
      <c r="BG165" s="14">
        <f t="shared" si="37"/>
        <v>0</v>
      </c>
      <c r="BH165" s="14">
        <f t="shared" si="38"/>
        <v>480</v>
      </c>
      <c r="BI165" s="14">
        <f t="shared" si="39"/>
        <v>0</v>
      </c>
      <c r="BJ165" s="14">
        <f t="shared" si="40"/>
        <v>1200</v>
      </c>
      <c r="BK165" s="14">
        <f t="shared" si="41"/>
        <v>480</v>
      </c>
      <c r="BL165" s="14">
        <f t="shared" si="42"/>
        <v>960</v>
      </c>
      <c r="CJ165" s="52">
        <v>161</v>
      </c>
      <c r="CK165" s="52">
        <v>2</v>
      </c>
      <c r="CL165" s="52" t="s">
        <v>244</v>
      </c>
      <c r="CM165" s="52">
        <v>61</v>
      </c>
      <c r="CN165" s="52"/>
      <c r="CO165" s="52"/>
      <c r="CP165" s="52"/>
      <c r="CQ165" s="52" t="s">
        <v>358</v>
      </c>
      <c r="CR165" s="52">
        <v>10800</v>
      </c>
      <c r="CS165" s="52" t="s">
        <v>359</v>
      </c>
      <c r="CT165" s="52">
        <v>70</v>
      </c>
      <c r="CU165" s="52"/>
      <c r="CV165" s="52"/>
      <c r="CW165" s="52" t="s">
        <v>359</v>
      </c>
      <c r="CX165" s="52">
        <v>80</v>
      </c>
      <c r="CY165" s="52"/>
      <c r="CZ165" s="52"/>
      <c r="DA165" s="52"/>
      <c r="DB165" s="52"/>
      <c r="DC165" s="52"/>
      <c r="DD165" s="52"/>
      <c r="DE165" s="52"/>
      <c r="DF165" s="52"/>
      <c r="DG165" s="52"/>
      <c r="DH165" s="52"/>
    </row>
    <row r="166" spans="58:112" ht="16.5" x14ac:dyDescent="0.2">
      <c r="BF166" s="52">
        <v>161</v>
      </c>
      <c r="BG166" s="14">
        <f t="shared" si="37"/>
        <v>0</v>
      </c>
      <c r="BH166" s="14">
        <f t="shared" si="38"/>
        <v>480</v>
      </c>
      <c r="BI166" s="14">
        <f t="shared" si="39"/>
        <v>0</v>
      </c>
      <c r="BJ166" s="14">
        <f t="shared" si="40"/>
        <v>1200</v>
      </c>
      <c r="BK166" s="14">
        <f t="shared" si="41"/>
        <v>480</v>
      </c>
      <c r="BL166" s="14">
        <f t="shared" si="42"/>
        <v>960</v>
      </c>
      <c r="CJ166" s="52">
        <v>162</v>
      </c>
      <c r="CK166" s="52">
        <v>2</v>
      </c>
      <c r="CL166" s="52" t="s">
        <v>244</v>
      </c>
      <c r="CM166" s="52">
        <v>62</v>
      </c>
      <c r="CN166" s="52"/>
      <c r="CO166" s="52"/>
      <c r="CP166" s="52"/>
      <c r="CQ166" s="52" t="s">
        <v>358</v>
      </c>
      <c r="CR166" s="52">
        <v>10800</v>
      </c>
      <c r="CS166" s="52" t="s">
        <v>359</v>
      </c>
      <c r="CT166" s="52">
        <v>70</v>
      </c>
      <c r="CU166" s="52"/>
      <c r="CV166" s="52"/>
      <c r="CW166" s="52" t="s">
        <v>359</v>
      </c>
      <c r="CX166" s="52">
        <v>80</v>
      </c>
      <c r="CY166" s="52"/>
      <c r="CZ166" s="52"/>
      <c r="DA166" s="52"/>
      <c r="DB166" s="52"/>
      <c r="DC166" s="52"/>
      <c r="DD166" s="52"/>
      <c r="DE166" s="52"/>
      <c r="DF166" s="52"/>
      <c r="DG166" s="52"/>
      <c r="DH166" s="52"/>
    </row>
    <row r="167" spans="58:112" ht="16.5" x14ac:dyDescent="0.2">
      <c r="BF167" s="52">
        <v>162</v>
      </c>
      <c r="BG167" s="14">
        <f t="shared" si="37"/>
        <v>0</v>
      </c>
      <c r="BH167" s="14">
        <f t="shared" si="38"/>
        <v>480</v>
      </c>
      <c r="BI167" s="14">
        <f t="shared" si="39"/>
        <v>0</v>
      </c>
      <c r="BJ167" s="14">
        <f t="shared" si="40"/>
        <v>1200</v>
      </c>
      <c r="BK167" s="14">
        <f t="shared" si="41"/>
        <v>480</v>
      </c>
      <c r="BL167" s="14">
        <f t="shared" si="42"/>
        <v>960</v>
      </c>
      <c r="CJ167" s="52">
        <v>163</v>
      </c>
      <c r="CK167" s="52">
        <v>2</v>
      </c>
      <c r="CL167" s="52" t="s">
        <v>244</v>
      </c>
      <c r="CM167" s="52">
        <v>63</v>
      </c>
      <c r="CN167" s="52"/>
      <c r="CO167" s="52"/>
      <c r="CP167" s="52"/>
      <c r="CQ167" s="52" t="s">
        <v>358</v>
      </c>
      <c r="CR167" s="52">
        <v>10800</v>
      </c>
      <c r="CS167" s="52" t="s">
        <v>359</v>
      </c>
      <c r="CT167" s="52">
        <v>70</v>
      </c>
      <c r="CU167" s="52"/>
      <c r="CV167" s="52"/>
      <c r="CW167" s="52" t="s">
        <v>359</v>
      </c>
      <c r="CX167" s="52">
        <v>80</v>
      </c>
      <c r="CY167" s="52"/>
      <c r="CZ167" s="52"/>
      <c r="DA167" s="52"/>
      <c r="DB167" s="52"/>
      <c r="DC167" s="52"/>
      <c r="DD167" s="52"/>
      <c r="DE167" s="52"/>
      <c r="DF167" s="52"/>
      <c r="DG167" s="52"/>
      <c r="DH167" s="52"/>
    </row>
    <row r="168" spans="58:112" ht="16.5" x14ac:dyDescent="0.2">
      <c r="BF168" s="52">
        <v>163</v>
      </c>
      <c r="BG168" s="14">
        <f t="shared" si="37"/>
        <v>0</v>
      </c>
      <c r="BH168" s="14">
        <f t="shared" si="38"/>
        <v>480</v>
      </c>
      <c r="BI168" s="14">
        <f t="shared" si="39"/>
        <v>0</v>
      </c>
      <c r="BJ168" s="14">
        <f t="shared" si="40"/>
        <v>1200</v>
      </c>
      <c r="BK168" s="14">
        <f t="shared" si="41"/>
        <v>480</v>
      </c>
      <c r="BL168" s="14">
        <f t="shared" si="42"/>
        <v>960</v>
      </c>
      <c r="CJ168" s="52">
        <v>164</v>
      </c>
      <c r="CK168" s="52">
        <v>2</v>
      </c>
      <c r="CL168" s="52" t="s">
        <v>244</v>
      </c>
      <c r="CM168" s="52">
        <v>64</v>
      </c>
      <c r="CN168" s="52"/>
      <c r="CO168" s="52"/>
      <c r="CP168" s="52"/>
      <c r="CQ168" s="52" t="s">
        <v>358</v>
      </c>
      <c r="CR168" s="52">
        <v>10800</v>
      </c>
      <c r="CS168" s="52" t="s">
        <v>359</v>
      </c>
      <c r="CT168" s="52">
        <v>70</v>
      </c>
      <c r="CU168" s="52"/>
      <c r="CV168" s="52"/>
      <c r="CW168" s="52" t="s">
        <v>359</v>
      </c>
      <c r="CX168" s="52">
        <v>80</v>
      </c>
      <c r="CY168" s="52"/>
      <c r="CZ168" s="52"/>
      <c r="DA168" s="52"/>
      <c r="DB168" s="52"/>
      <c r="DC168" s="52"/>
      <c r="DD168" s="52"/>
      <c r="DE168" s="52"/>
      <c r="DF168" s="52"/>
      <c r="DG168" s="52"/>
      <c r="DH168" s="52"/>
    </row>
    <row r="169" spans="58:112" ht="16.5" x14ac:dyDescent="0.2">
      <c r="BF169" s="52">
        <v>164</v>
      </c>
      <c r="BG169" s="14">
        <f t="shared" si="37"/>
        <v>0</v>
      </c>
      <c r="BH169" s="14">
        <f t="shared" si="38"/>
        <v>480</v>
      </c>
      <c r="BI169" s="14">
        <f t="shared" si="39"/>
        <v>0</v>
      </c>
      <c r="BJ169" s="14">
        <f t="shared" si="40"/>
        <v>1200</v>
      </c>
      <c r="BK169" s="14">
        <f t="shared" si="41"/>
        <v>480</v>
      </c>
      <c r="BL169" s="14">
        <f t="shared" si="42"/>
        <v>960</v>
      </c>
      <c r="CJ169" s="52">
        <v>165</v>
      </c>
      <c r="CK169" s="52">
        <v>2</v>
      </c>
      <c r="CL169" s="52" t="s">
        <v>244</v>
      </c>
      <c r="CM169" s="52">
        <v>65</v>
      </c>
      <c r="CN169" s="52"/>
      <c r="CO169" s="52"/>
      <c r="CP169" s="52"/>
      <c r="CQ169" s="52" t="s">
        <v>358</v>
      </c>
      <c r="CR169" s="52">
        <v>10800</v>
      </c>
      <c r="CS169" s="52" t="s">
        <v>359</v>
      </c>
      <c r="CT169" s="52">
        <v>70</v>
      </c>
      <c r="CU169" s="52" t="s">
        <v>261</v>
      </c>
      <c r="CV169" s="52">
        <v>2</v>
      </c>
      <c r="CW169" s="52" t="s">
        <v>359</v>
      </c>
      <c r="CX169" s="52">
        <v>85</v>
      </c>
      <c r="CY169" s="52"/>
      <c r="CZ169" s="52"/>
      <c r="DA169" s="52"/>
      <c r="DB169" s="52"/>
      <c r="DC169" s="52"/>
      <c r="DD169" s="52"/>
      <c r="DE169" s="52"/>
      <c r="DF169" s="52"/>
      <c r="DG169" s="52"/>
      <c r="DH169" s="52"/>
    </row>
    <row r="170" spans="58:112" ht="16.5" x14ac:dyDescent="0.2">
      <c r="BF170" s="52">
        <v>165</v>
      </c>
      <c r="BG170" s="14">
        <f t="shared" ref="BG170:BG233" si="43">SUMIFS($F$5:$F$104,$AT$6:$AT$105,"="&amp;BF170)+SUMIFS($Q$5:$Q$104,$AW$6:$AW$105,"="&amp;BF170)+SUMIFS($AB$5:$AB$104,$AZ$6:$AZ$105,"="&amp;BF170)+SUMIFS($AM$5:$AM$104,$BC$6:$BC$105,"="&amp;BF170)</f>
        <v>0</v>
      </c>
      <c r="BH170" s="14">
        <f t="shared" ref="BH170:BH233" si="44">INDEX($G$5:$G$104,MATCH(BF170,$AT$5:$AT$105,1)-1)+INDEX($R$5:$R$104,MATCH(BF170,$AW$5:$AW$105,1)-1)+INDEX($AC$5:$AC$104,MATCH(BF170,$AZ$5:$AZ$105,1)-1)+INDEX($AN$5:$AN$104,MATCH(BF170,$BC$5:$BC$105,1)-1)</f>
        <v>480</v>
      </c>
      <c r="BI170" s="14">
        <f t="shared" ref="BI170:BI233" si="45">SUMIFS($H$5:$H$104,$AT$6:$AT$105,"="&amp;BF170)+SUMIFS($S$5:$S$104,$AW$6:$AW$105,"="&amp;BF170)+SUMIFS($AD$5:$AD$104,$AZ$6:$AZ$105,"="&amp;BF170)+SUMIFS($AO$5:$AO$104,$BC$6:$BC$105,"="&amp;BF170)</f>
        <v>0</v>
      </c>
      <c r="BJ170" s="14">
        <f t="shared" ref="BJ170:BJ233" si="46">INDEX($I$5:$I$104,MATCH(BF170,$AT$5:$AT$105,1)-1)+INDEX($T$5:$T$104,MATCH(BF170,$AW$5:$AW$105,1)-1)+INDEX($AE$5:$AE$104,MATCH(BF170,$AZ$5:$AZ$105,1)-1)+INDEX($AP$5:$AP$104,MATCH(BF170,$BC$5:$BC$105,1)-1)</f>
        <v>1200</v>
      </c>
      <c r="BK170" s="14">
        <f t="shared" si="41"/>
        <v>480</v>
      </c>
      <c r="BL170" s="14">
        <f t="shared" si="42"/>
        <v>960</v>
      </c>
      <c r="CJ170" s="52">
        <v>166</v>
      </c>
      <c r="CK170" s="52">
        <v>2</v>
      </c>
      <c r="CL170" s="52" t="s">
        <v>244</v>
      </c>
      <c r="CM170" s="52">
        <v>66</v>
      </c>
      <c r="CN170" s="52"/>
      <c r="CO170" s="52"/>
      <c r="CP170" s="52"/>
      <c r="CQ170" s="52" t="s">
        <v>358</v>
      </c>
      <c r="CR170" s="52">
        <v>10800</v>
      </c>
      <c r="CS170" s="52" t="s">
        <v>359</v>
      </c>
      <c r="CT170" s="52">
        <v>75</v>
      </c>
      <c r="CU170" s="52"/>
      <c r="CV170" s="52"/>
      <c r="CW170" s="52" t="s">
        <v>359</v>
      </c>
      <c r="CX170" s="52">
        <v>85</v>
      </c>
      <c r="CY170" s="52"/>
      <c r="CZ170" s="52"/>
      <c r="DA170" s="52"/>
      <c r="DB170" s="52"/>
      <c r="DC170" s="52"/>
      <c r="DD170" s="52"/>
      <c r="DE170" s="52"/>
      <c r="DF170" s="52"/>
      <c r="DG170" s="52"/>
      <c r="DH170" s="52"/>
    </row>
    <row r="171" spans="58:112" ht="16.5" x14ac:dyDescent="0.2">
      <c r="BF171" s="52">
        <v>166</v>
      </c>
      <c r="BG171" s="14">
        <f t="shared" si="43"/>
        <v>0</v>
      </c>
      <c r="BH171" s="14">
        <f t="shared" si="44"/>
        <v>480</v>
      </c>
      <c r="BI171" s="14">
        <f t="shared" si="45"/>
        <v>0</v>
      </c>
      <c r="BJ171" s="14">
        <f t="shared" si="46"/>
        <v>1200</v>
      </c>
      <c r="BK171" s="14">
        <f t="shared" si="41"/>
        <v>480</v>
      </c>
      <c r="BL171" s="14">
        <f t="shared" si="42"/>
        <v>960</v>
      </c>
      <c r="CJ171" s="52">
        <v>167</v>
      </c>
      <c r="CK171" s="52">
        <v>2</v>
      </c>
      <c r="CL171" s="52" t="s">
        <v>244</v>
      </c>
      <c r="CM171" s="52">
        <v>67</v>
      </c>
      <c r="CN171" s="52"/>
      <c r="CO171" s="52"/>
      <c r="CP171" s="52"/>
      <c r="CQ171" s="52" t="s">
        <v>358</v>
      </c>
      <c r="CR171" s="52">
        <v>10800</v>
      </c>
      <c r="CS171" s="52" t="s">
        <v>359</v>
      </c>
      <c r="CT171" s="52">
        <v>75</v>
      </c>
      <c r="CU171" s="52"/>
      <c r="CV171" s="52"/>
      <c r="CW171" s="52" t="s">
        <v>359</v>
      </c>
      <c r="CX171" s="52">
        <v>85</v>
      </c>
      <c r="CY171" s="52"/>
      <c r="CZ171" s="52"/>
      <c r="DA171" s="52"/>
      <c r="DB171" s="52"/>
      <c r="DC171" s="52"/>
      <c r="DD171" s="52"/>
      <c r="DE171" s="52"/>
      <c r="DF171" s="52"/>
      <c r="DG171" s="52"/>
      <c r="DH171" s="52"/>
    </row>
    <row r="172" spans="58:112" ht="16.5" x14ac:dyDescent="0.2">
      <c r="BF172" s="52">
        <v>167</v>
      </c>
      <c r="BG172" s="14">
        <f t="shared" si="43"/>
        <v>0</v>
      </c>
      <c r="BH172" s="14">
        <f t="shared" si="44"/>
        <v>480</v>
      </c>
      <c r="BI172" s="14">
        <f t="shared" si="45"/>
        <v>0</v>
      </c>
      <c r="BJ172" s="14">
        <f t="shared" si="46"/>
        <v>1200</v>
      </c>
      <c r="BK172" s="14">
        <f t="shared" si="41"/>
        <v>480</v>
      </c>
      <c r="BL172" s="14">
        <f t="shared" si="42"/>
        <v>960</v>
      </c>
      <c r="CJ172" s="52">
        <v>168</v>
      </c>
      <c r="CK172" s="52">
        <v>2</v>
      </c>
      <c r="CL172" s="52" t="s">
        <v>244</v>
      </c>
      <c r="CM172" s="52">
        <v>68</v>
      </c>
      <c r="CN172" s="52"/>
      <c r="CO172" s="52"/>
      <c r="CP172" s="52"/>
      <c r="CQ172" s="52" t="s">
        <v>358</v>
      </c>
      <c r="CR172" s="52">
        <v>10800</v>
      </c>
      <c r="CS172" s="52" t="s">
        <v>359</v>
      </c>
      <c r="CT172" s="52">
        <v>75</v>
      </c>
      <c r="CU172" s="52"/>
      <c r="CV172" s="52"/>
      <c r="CW172" s="52" t="s">
        <v>359</v>
      </c>
      <c r="CX172" s="52">
        <v>85</v>
      </c>
      <c r="CY172" s="52"/>
      <c r="CZ172" s="52"/>
      <c r="DA172" s="52"/>
      <c r="DB172" s="52"/>
      <c r="DC172" s="52"/>
      <c r="DD172" s="52"/>
      <c r="DE172" s="52"/>
      <c r="DF172" s="52"/>
      <c r="DG172" s="52"/>
      <c r="DH172" s="52"/>
    </row>
    <row r="173" spans="58:112" ht="16.5" x14ac:dyDescent="0.2">
      <c r="BF173" s="52">
        <v>168</v>
      </c>
      <c r="BG173" s="14">
        <f t="shared" si="43"/>
        <v>0</v>
      </c>
      <c r="BH173" s="14">
        <f t="shared" si="44"/>
        <v>480</v>
      </c>
      <c r="BI173" s="14">
        <f t="shared" si="45"/>
        <v>0</v>
      </c>
      <c r="BJ173" s="14">
        <f t="shared" si="46"/>
        <v>1200</v>
      </c>
      <c r="BK173" s="14">
        <f t="shared" si="41"/>
        <v>480</v>
      </c>
      <c r="BL173" s="14">
        <f t="shared" si="42"/>
        <v>960</v>
      </c>
      <c r="CJ173" s="52">
        <v>169</v>
      </c>
      <c r="CK173" s="52">
        <v>2</v>
      </c>
      <c r="CL173" s="52" t="s">
        <v>244</v>
      </c>
      <c r="CM173" s="52">
        <v>69</v>
      </c>
      <c r="CN173" s="52"/>
      <c r="CO173" s="52"/>
      <c r="CP173" s="52"/>
      <c r="CQ173" s="52" t="s">
        <v>358</v>
      </c>
      <c r="CR173" s="52">
        <v>10800</v>
      </c>
      <c r="CS173" s="52" t="s">
        <v>359</v>
      </c>
      <c r="CT173" s="52">
        <v>75</v>
      </c>
      <c r="CU173" s="52"/>
      <c r="CV173" s="52"/>
      <c r="CW173" s="52" t="s">
        <v>359</v>
      </c>
      <c r="CX173" s="52">
        <v>85</v>
      </c>
      <c r="CY173" s="52"/>
      <c r="CZ173" s="52"/>
      <c r="DA173" s="52"/>
      <c r="DB173" s="52"/>
      <c r="DC173" s="52"/>
      <c r="DD173" s="52"/>
      <c r="DE173" s="52"/>
      <c r="DF173" s="52"/>
      <c r="DG173" s="52"/>
      <c r="DH173" s="52"/>
    </row>
    <row r="174" spans="58:112" ht="16.5" x14ac:dyDescent="0.2">
      <c r="BF174" s="52">
        <v>169</v>
      </c>
      <c r="BG174" s="14">
        <f t="shared" si="43"/>
        <v>0</v>
      </c>
      <c r="BH174" s="14">
        <f t="shared" si="44"/>
        <v>480</v>
      </c>
      <c r="BI174" s="14">
        <f t="shared" si="45"/>
        <v>0</v>
      </c>
      <c r="BJ174" s="14">
        <f t="shared" si="46"/>
        <v>1200</v>
      </c>
      <c r="BK174" s="14">
        <f t="shared" si="41"/>
        <v>480</v>
      </c>
      <c r="BL174" s="14">
        <f t="shared" si="42"/>
        <v>960</v>
      </c>
      <c r="CJ174" s="52">
        <v>170</v>
      </c>
      <c r="CK174" s="52">
        <v>2</v>
      </c>
      <c r="CL174" s="52" t="s">
        <v>244</v>
      </c>
      <c r="CM174" s="52">
        <v>70</v>
      </c>
      <c r="CN174" s="52"/>
      <c r="CO174" s="52"/>
      <c r="CP174" s="52"/>
      <c r="CQ174" s="52" t="s">
        <v>358</v>
      </c>
      <c r="CR174" s="52">
        <v>13200</v>
      </c>
      <c r="CS174" s="52" t="s">
        <v>359</v>
      </c>
      <c r="CT174" s="52">
        <v>75</v>
      </c>
      <c r="CU174" s="52" t="s">
        <v>260</v>
      </c>
      <c r="CV174" s="52">
        <v>2</v>
      </c>
      <c r="CW174" s="52" t="s">
        <v>359</v>
      </c>
      <c r="CX174" s="52">
        <v>90</v>
      </c>
      <c r="CY174" s="52"/>
      <c r="CZ174" s="52"/>
      <c r="DA174" s="52"/>
      <c r="DB174" s="52"/>
      <c r="DC174" s="52"/>
      <c r="DD174" s="52"/>
      <c r="DE174" s="52"/>
      <c r="DF174" s="52"/>
      <c r="DG174" s="52"/>
      <c r="DH174" s="52"/>
    </row>
    <row r="175" spans="58:112" ht="16.5" x14ac:dyDescent="0.2">
      <c r="BF175" s="52">
        <v>170</v>
      </c>
      <c r="BG175" s="14">
        <f t="shared" si="43"/>
        <v>0</v>
      </c>
      <c r="BH175" s="14">
        <f t="shared" si="44"/>
        <v>480</v>
      </c>
      <c r="BI175" s="14">
        <f t="shared" si="45"/>
        <v>0</v>
      </c>
      <c r="BJ175" s="14">
        <f t="shared" si="46"/>
        <v>1200</v>
      </c>
      <c r="BK175" s="14">
        <f t="shared" si="41"/>
        <v>480</v>
      </c>
      <c r="BL175" s="14">
        <f t="shared" si="42"/>
        <v>960</v>
      </c>
      <c r="CJ175" s="52">
        <v>171</v>
      </c>
      <c r="CK175" s="52">
        <v>2</v>
      </c>
      <c r="CL175" s="52" t="s">
        <v>244</v>
      </c>
      <c r="CM175" s="52">
        <v>71</v>
      </c>
      <c r="CN175" s="52"/>
      <c r="CO175" s="52"/>
      <c r="CP175" s="52"/>
      <c r="CQ175" s="52" t="s">
        <v>358</v>
      </c>
      <c r="CR175" s="52">
        <v>13200</v>
      </c>
      <c r="CS175" s="52" t="s">
        <v>359</v>
      </c>
      <c r="CT175" s="52">
        <v>80</v>
      </c>
      <c r="CU175" s="52"/>
      <c r="CV175" s="52"/>
      <c r="CW175" s="52" t="s">
        <v>359</v>
      </c>
      <c r="CX175" s="52">
        <v>90</v>
      </c>
      <c r="CY175" s="52"/>
      <c r="CZ175" s="52"/>
      <c r="DA175" s="52"/>
      <c r="DB175" s="52"/>
      <c r="DC175" s="52"/>
      <c r="DD175" s="52"/>
      <c r="DE175" s="52"/>
      <c r="DF175" s="52"/>
      <c r="DG175" s="52"/>
      <c r="DH175" s="52"/>
    </row>
    <row r="176" spans="58:112" ht="16.5" x14ac:dyDescent="0.2">
      <c r="BF176" s="52">
        <v>171</v>
      </c>
      <c r="BG176" s="14">
        <f t="shared" si="43"/>
        <v>0</v>
      </c>
      <c r="BH176" s="14">
        <f t="shared" si="44"/>
        <v>480</v>
      </c>
      <c r="BI176" s="14">
        <f t="shared" si="45"/>
        <v>0</v>
      </c>
      <c r="BJ176" s="14">
        <f t="shared" si="46"/>
        <v>1200</v>
      </c>
      <c r="BK176" s="14">
        <f t="shared" si="41"/>
        <v>480</v>
      </c>
      <c r="BL176" s="14">
        <f t="shared" si="42"/>
        <v>960</v>
      </c>
      <c r="CJ176" s="52">
        <v>172</v>
      </c>
      <c r="CK176" s="52">
        <v>2</v>
      </c>
      <c r="CL176" s="52" t="s">
        <v>244</v>
      </c>
      <c r="CM176" s="52">
        <v>72</v>
      </c>
      <c r="CN176" s="52"/>
      <c r="CO176" s="52"/>
      <c r="CP176" s="52"/>
      <c r="CQ176" s="52" t="s">
        <v>358</v>
      </c>
      <c r="CR176" s="52">
        <v>13200</v>
      </c>
      <c r="CS176" s="52" t="s">
        <v>359</v>
      </c>
      <c r="CT176" s="52">
        <v>80</v>
      </c>
      <c r="CU176" s="52"/>
      <c r="CV176" s="52"/>
      <c r="CW176" s="52" t="s">
        <v>359</v>
      </c>
      <c r="CX176" s="52">
        <v>90</v>
      </c>
      <c r="CY176" s="52"/>
      <c r="CZ176" s="52"/>
      <c r="DA176" s="52"/>
      <c r="DB176" s="52"/>
      <c r="DC176" s="52"/>
      <c r="DD176" s="52"/>
      <c r="DE176" s="52"/>
      <c r="DF176" s="52"/>
      <c r="DG176" s="52"/>
      <c r="DH176" s="52"/>
    </row>
    <row r="177" spans="58:112" ht="16.5" x14ac:dyDescent="0.2">
      <c r="BF177" s="52">
        <v>172</v>
      </c>
      <c r="BG177" s="14">
        <f t="shared" si="43"/>
        <v>0</v>
      </c>
      <c r="BH177" s="14">
        <f t="shared" si="44"/>
        <v>480</v>
      </c>
      <c r="BI177" s="14">
        <f t="shared" si="45"/>
        <v>0</v>
      </c>
      <c r="BJ177" s="14">
        <f t="shared" si="46"/>
        <v>1200</v>
      </c>
      <c r="BK177" s="14">
        <f t="shared" si="41"/>
        <v>480</v>
      </c>
      <c r="BL177" s="14">
        <f t="shared" si="42"/>
        <v>960</v>
      </c>
      <c r="CJ177" s="52">
        <v>173</v>
      </c>
      <c r="CK177" s="52">
        <v>2</v>
      </c>
      <c r="CL177" s="52" t="s">
        <v>244</v>
      </c>
      <c r="CM177" s="52">
        <v>73</v>
      </c>
      <c r="CN177" s="52"/>
      <c r="CO177" s="52"/>
      <c r="CP177" s="52"/>
      <c r="CQ177" s="52" t="s">
        <v>358</v>
      </c>
      <c r="CR177" s="52">
        <v>13200</v>
      </c>
      <c r="CS177" s="52" t="s">
        <v>359</v>
      </c>
      <c r="CT177" s="52">
        <v>80</v>
      </c>
      <c r="CU177" s="52"/>
      <c r="CV177" s="52"/>
      <c r="CW177" s="52" t="s">
        <v>359</v>
      </c>
      <c r="CX177" s="52">
        <v>90</v>
      </c>
      <c r="CY177" s="52"/>
      <c r="CZ177" s="52"/>
      <c r="DA177" s="52"/>
      <c r="DB177" s="52"/>
      <c r="DC177" s="52"/>
      <c r="DD177" s="52"/>
      <c r="DE177" s="52"/>
      <c r="DF177" s="52"/>
      <c r="DG177" s="52"/>
      <c r="DH177" s="52"/>
    </row>
    <row r="178" spans="58:112" ht="16.5" x14ac:dyDescent="0.2">
      <c r="BF178" s="52">
        <v>173</v>
      </c>
      <c r="BG178" s="14">
        <f t="shared" si="43"/>
        <v>0</v>
      </c>
      <c r="BH178" s="14">
        <f t="shared" si="44"/>
        <v>480</v>
      </c>
      <c r="BI178" s="14">
        <f t="shared" si="45"/>
        <v>0</v>
      </c>
      <c r="BJ178" s="14">
        <f t="shared" si="46"/>
        <v>1200</v>
      </c>
      <c r="BK178" s="14">
        <f t="shared" si="41"/>
        <v>480</v>
      </c>
      <c r="BL178" s="14">
        <f t="shared" si="42"/>
        <v>960</v>
      </c>
      <c r="CJ178" s="52">
        <v>174</v>
      </c>
      <c r="CK178" s="52">
        <v>2</v>
      </c>
      <c r="CL178" s="52" t="s">
        <v>244</v>
      </c>
      <c r="CM178" s="52">
        <v>74</v>
      </c>
      <c r="CN178" s="52"/>
      <c r="CO178" s="52"/>
      <c r="CP178" s="52"/>
      <c r="CQ178" s="52" t="s">
        <v>358</v>
      </c>
      <c r="CR178" s="52">
        <v>13200</v>
      </c>
      <c r="CS178" s="52" t="s">
        <v>359</v>
      </c>
      <c r="CT178" s="52">
        <v>80</v>
      </c>
      <c r="CU178" s="52"/>
      <c r="CV178" s="52"/>
      <c r="CW178" s="52" t="s">
        <v>359</v>
      </c>
      <c r="CX178" s="52">
        <v>90</v>
      </c>
      <c r="CY178" s="52"/>
      <c r="CZ178" s="52"/>
      <c r="DA178" s="52"/>
      <c r="DB178" s="52"/>
      <c r="DC178" s="52"/>
      <c r="DD178" s="52"/>
      <c r="DE178" s="52"/>
      <c r="DF178" s="52"/>
      <c r="DG178" s="52"/>
      <c r="DH178" s="52"/>
    </row>
    <row r="179" spans="58:112" ht="16.5" x14ac:dyDescent="0.2">
      <c r="BF179" s="52">
        <v>174</v>
      </c>
      <c r="BG179" s="14">
        <f t="shared" si="43"/>
        <v>0</v>
      </c>
      <c r="BH179" s="14">
        <f t="shared" si="44"/>
        <v>480</v>
      </c>
      <c r="BI179" s="14">
        <f t="shared" si="45"/>
        <v>0</v>
      </c>
      <c r="BJ179" s="14">
        <f t="shared" si="46"/>
        <v>1200</v>
      </c>
      <c r="BK179" s="14">
        <f t="shared" si="41"/>
        <v>480</v>
      </c>
      <c r="BL179" s="14">
        <f t="shared" si="42"/>
        <v>960</v>
      </c>
      <c r="CJ179" s="52">
        <v>175</v>
      </c>
      <c r="CK179" s="52">
        <v>2</v>
      </c>
      <c r="CL179" s="52" t="s">
        <v>244</v>
      </c>
      <c r="CM179" s="52">
        <v>75</v>
      </c>
      <c r="CN179" s="52"/>
      <c r="CO179" s="52"/>
      <c r="CP179" s="52"/>
      <c r="CQ179" s="52" t="s">
        <v>358</v>
      </c>
      <c r="CR179" s="52">
        <v>13200</v>
      </c>
      <c r="CS179" s="52" t="s">
        <v>359</v>
      </c>
      <c r="CT179" s="52">
        <v>80</v>
      </c>
      <c r="CU179" s="52" t="s">
        <v>261</v>
      </c>
      <c r="CV179" s="52">
        <v>2</v>
      </c>
      <c r="CW179" s="52" t="s">
        <v>359</v>
      </c>
      <c r="CX179" s="52">
        <v>95</v>
      </c>
      <c r="CY179" s="52"/>
      <c r="CZ179" s="52"/>
      <c r="DA179" s="52"/>
      <c r="DB179" s="52"/>
      <c r="DC179" s="52"/>
      <c r="DD179" s="52"/>
      <c r="DE179" s="52"/>
      <c r="DF179" s="52"/>
      <c r="DG179" s="52"/>
      <c r="DH179" s="52"/>
    </row>
    <row r="180" spans="58:112" ht="16.5" x14ac:dyDescent="0.2">
      <c r="BF180" s="52">
        <v>175</v>
      </c>
      <c r="BG180" s="14">
        <f t="shared" si="43"/>
        <v>0</v>
      </c>
      <c r="BH180" s="14">
        <f t="shared" si="44"/>
        <v>480</v>
      </c>
      <c r="BI180" s="14">
        <f t="shared" si="45"/>
        <v>0</v>
      </c>
      <c r="BJ180" s="14">
        <f t="shared" si="46"/>
        <v>1200</v>
      </c>
      <c r="BK180" s="14">
        <f t="shared" si="41"/>
        <v>480</v>
      </c>
      <c r="BL180" s="14">
        <f t="shared" si="42"/>
        <v>960</v>
      </c>
      <c r="CJ180" s="52">
        <v>176</v>
      </c>
      <c r="CK180" s="52">
        <v>2</v>
      </c>
      <c r="CL180" s="52" t="s">
        <v>244</v>
      </c>
      <c r="CM180" s="52">
        <v>76</v>
      </c>
      <c r="CN180" s="52"/>
      <c r="CO180" s="52"/>
      <c r="CP180" s="52"/>
      <c r="CQ180" s="52" t="s">
        <v>358</v>
      </c>
      <c r="CR180" s="52">
        <v>13200</v>
      </c>
      <c r="CS180" s="52" t="s">
        <v>359</v>
      </c>
      <c r="CT180" s="52">
        <v>85</v>
      </c>
      <c r="CU180" s="52"/>
      <c r="CV180" s="52"/>
      <c r="CW180" s="52" t="s">
        <v>359</v>
      </c>
      <c r="CX180" s="52">
        <v>95</v>
      </c>
      <c r="CY180" s="52"/>
      <c r="CZ180" s="52"/>
      <c r="DA180" s="52"/>
      <c r="DB180" s="52"/>
      <c r="DC180" s="52"/>
      <c r="DD180" s="52"/>
      <c r="DE180" s="52"/>
      <c r="DF180" s="52"/>
      <c r="DG180" s="52"/>
      <c r="DH180" s="52"/>
    </row>
    <row r="181" spans="58:112" ht="16.5" x14ac:dyDescent="0.2">
      <c r="BF181" s="52">
        <v>176</v>
      </c>
      <c r="BG181" s="14">
        <f t="shared" si="43"/>
        <v>0</v>
      </c>
      <c r="BH181" s="14">
        <f t="shared" si="44"/>
        <v>480</v>
      </c>
      <c r="BI181" s="14">
        <f t="shared" si="45"/>
        <v>0</v>
      </c>
      <c r="BJ181" s="14">
        <f t="shared" si="46"/>
        <v>1200</v>
      </c>
      <c r="BK181" s="14">
        <f t="shared" si="41"/>
        <v>480</v>
      </c>
      <c r="BL181" s="14">
        <f t="shared" si="42"/>
        <v>960</v>
      </c>
      <c r="CJ181" s="52">
        <v>177</v>
      </c>
      <c r="CK181" s="52">
        <v>2</v>
      </c>
      <c r="CL181" s="52" t="s">
        <v>244</v>
      </c>
      <c r="CM181" s="52">
        <v>77</v>
      </c>
      <c r="CN181" s="52"/>
      <c r="CO181" s="52"/>
      <c r="CP181" s="52"/>
      <c r="CQ181" s="52" t="s">
        <v>358</v>
      </c>
      <c r="CR181" s="52">
        <v>13200</v>
      </c>
      <c r="CS181" s="52" t="s">
        <v>359</v>
      </c>
      <c r="CT181" s="52">
        <v>85</v>
      </c>
      <c r="CU181" s="52"/>
      <c r="CV181" s="52"/>
      <c r="CW181" s="52" t="s">
        <v>359</v>
      </c>
      <c r="CX181" s="52">
        <v>95</v>
      </c>
      <c r="CY181" s="52"/>
      <c r="CZ181" s="52"/>
      <c r="DA181" s="52"/>
      <c r="DB181" s="52"/>
      <c r="DC181" s="52"/>
      <c r="DD181" s="52"/>
      <c r="DE181" s="52"/>
      <c r="DF181" s="52"/>
      <c r="DG181" s="52"/>
      <c r="DH181" s="52"/>
    </row>
    <row r="182" spans="58:112" ht="16.5" x14ac:dyDescent="0.2">
      <c r="BF182" s="52">
        <v>177</v>
      </c>
      <c r="BG182" s="14">
        <f t="shared" si="43"/>
        <v>0</v>
      </c>
      <c r="BH182" s="14">
        <f t="shared" si="44"/>
        <v>480</v>
      </c>
      <c r="BI182" s="14">
        <f t="shared" si="45"/>
        <v>0</v>
      </c>
      <c r="BJ182" s="14">
        <f t="shared" si="46"/>
        <v>1200</v>
      </c>
      <c r="BK182" s="14">
        <f t="shared" si="41"/>
        <v>480</v>
      </c>
      <c r="BL182" s="14">
        <f t="shared" si="42"/>
        <v>960</v>
      </c>
      <c r="CJ182" s="52">
        <v>178</v>
      </c>
      <c r="CK182" s="52">
        <v>2</v>
      </c>
      <c r="CL182" s="52" t="s">
        <v>244</v>
      </c>
      <c r="CM182" s="52">
        <v>78</v>
      </c>
      <c r="CN182" s="52"/>
      <c r="CO182" s="52"/>
      <c r="CP182" s="52"/>
      <c r="CQ182" s="52" t="s">
        <v>358</v>
      </c>
      <c r="CR182" s="52">
        <v>13200</v>
      </c>
      <c r="CS182" s="52" t="s">
        <v>359</v>
      </c>
      <c r="CT182" s="52">
        <v>85</v>
      </c>
      <c r="CU182" s="52"/>
      <c r="CV182" s="52"/>
      <c r="CW182" s="52" t="s">
        <v>359</v>
      </c>
      <c r="CX182" s="52">
        <v>95</v>
      </c>
      <c r="CY182" s="52"/>
      <c r="CZ182" s="52"/>
      <c r="DA182" s="52"/>
      <c r="DB182" s="52"/>
      <c r="DC182" s="52"/>
      <c r="DD182" s="52"/>
      <c r="DE182" s="52"/>
      <c r="DF182" s="52"/>
      <c r="DG182" s="52"/>
      <c r="DH182" s="52"/>
    </row>
    <row r="183" spans="58:112" ht="16.5" x14ac:dyDescent="0.2">
      <c r="BF183" s="52">
        <v>178</v>
      </c>
      <c r="BG183" s="14">
        <f t="shared" si="43"/>
        <v>0</v>
      </c>
      <c r="BH183" s="14">
        <f t="shared" si="44"/>
        <v>480</v>
      </c>
      <c r="BI183" s="14">
        <f t="shared" si="45"/>
        <v>0</v>
      </c>
      <c r="BJ183" s="14">
        <f t="shared" si="46"/>
        <v>1200</v>
      </c>
      <c r="BK183" s="14">
        <f t="shared" si="41"/>
        <v>480</v>
      </c>
      <c r="BL183" s="14">
        <f t="shared" si="42"/>
        <v>960</v>
      </c>
      <c r="CJ183" s="52">
        <v>179</v>
      </c>
      <c r="CK183" s="52">
        <v>2</v>
      </c>
      <c r="CL183" s="52" t="s">
        <v>244</v>
      </c>
      <c r="CM183" s="52">
        <v>79</v>
      </c>
      <c r="CN183" s="52"/>
      <c r="CO183" s="52"/>
      <c r="CP183" s="52"/>
      <c r="CQ183" s="52" t="s">
        <v>358</v>
      </c>
      <c r="CR183" s="52">
        <v>13200</v>
      </c>
      <c r="CS183" s="52" t="s">
        <v>359</v>
      </c>
      <c r="CT183" s="52">
        <v>85</v>
      </c>
      <c r="CU183" s="52"/>
      <c r="CV183" s="52"/>
      <c r="CW183" s="52" t="s">
        <v>359</v>
      </c>
      <c r="CX183" s="52">
        <v>95</v>
      </c>
      <c r="CY183" s="52"/>
      <c r="CZ183" s="52"/>
      <c r="DA183" s="52"/>
      <c r="DB183" s="52"/>
      <c r="DC183" s="52"/>
      <c r="DD183" s="52"/>
      <c r="DE183" s="52"/>
      <c r="DF183" s="52"/>
      <c r="DG183" s="52"/>
      <c r="DH183" s="52"/>
    </row>
    <row r="184" spans="58:112" ht="16.5" x14ac:dyDescent="0.2">
      <c r="BF184" s="52">
        <v>179</v>
      </c>
      <c r="BG184" s="14">
        <f t="shared" si="43"/>
        <v>0</v>
      </c>
      <c r="BH184" s="14">
        <f t="shared" si="44"/>
        <v>480</v>
      </c>
      <c r="BI184" s="14">
        <f t="shared" si="45"/>
        <v>0</v>
      </c>
      <c r="BJ184" s="14">
        <f t="shared" si="46"/>
        <v>1200</v>
      </c>
      <c r="BK184" s="14">
        <f t="shared" si="41"/>
        <v>480</v>
      </c>
      <c r="BL184" s="14">
        <f t="shared" si="42"/>
        <v>960</v>
      </c>
      <c r="CJ184" s="52">
        <v>180</v>
      </c>
      <c r="CK184" s="52">
        <v>2</v>
      </c>
      <c r="CL184" s="52" t="s">
        <v>244</v>
      </c>
      <c r="CM184" s="52">
        <v>80</v>
      </c>
      <c r="CN184" s="52"/>
      <c r="CO184" s="52"/>
      <c r="CP184" s="52"/>
      <c r="CQ184" s="52" t="s">
        <v>358</v>
      </c>
      <c r="CR184" s="52">
        <v>13200</v>
      </c>
      <c r="CS184" s="52" t="s">
        <v>359</v>
      </c>
      <c r="CT184" s="52">
        <v>85</v>
      </c>
      <c r="CU184" s="52" t="s">
        <v>260</v>
      </c>
      <c r="CV184" s="52">
        <v>2</v>
      </c>
      <c r="CW184" s="52" t="s">
        <v>359</v>
      </c>
      <c r="CX184" s="52">
        <v>100</v>
      </c>
      <c r="CY184" s="52"/>
      <c r="CZ184" s="52"/>
      <c r="DA184" s="52"/>
      <c r="DB184" s="52"/>
      <c r="DC184" s="52"/>
      <c r="DD184" s="52"/>
      <c r="DE184" s="52"/>
      <c r="DF184" s="52"/>
      <c r="DG184" s="52"/>
      <c r="DH184" s="52"/>
    </row>
    <row r="185" spans="58:112" ht="16.5" x14ac:dyDescent="0.2">
      <c r="BF185" s="52">
        <v>180</v>
      </c>
      <c r="BG185" s="14">
        <f t="shared" si="43"/>
        <v>0</v>
      </c>
      <c r="BH185" s="14">
        <f t="shared" si="44"/>
        <v>480</v>
      </c>
      <c r="BI185" s="14">
        <f t="shared" si="45"/>
        <v>0</v>
      </c>
      <c r="BJ185" s="14">
        <f t="shared" si="46"/>
        <v>1200</v>
      </c>
      <c r="BK185" s="14">
        <f t="shared" si="41"/>
        <v>480</v>
      </c>
      <c r="BL185" s="14">
        <f t="shared" si="42"/>
        <v>960</v>
      </c>
      <c r="CJ185" s="52">
        <v>181</v>
      </c>
      <c r="CK185" s="52">
        <v>2</v>
      </c>
      <c r="CL185" s="52" t="s">
        <v>244</v>
      </c>
      <c r="CM185" s="52">
        <v>81</v>
      </c>
      <c r="CN185" s="52"/>
      <c r="CO185" s="52"/>
      <c r="CP185" s="52"/>
      <c r="CQ185" s="52" t="s">
        <v>358</v>
      </c>
      <c r="CR185" s="52">
        <v>13200</v>
      </c>
      <c r="CS185" s="52" t="s">
        <v>359</v>
      </c>
      <c r="CT185" s="52">
        <v>90</v>
      </c>
      <c r="CU185" s="52"/>
      <c r="CV185" s="52"/>
      <c r="CW185" s="52" t="s">
        <v>359</v>
      </c>
      <c r="CX185" s="52">
        <v>100</v>
      </c>
      <c r="CY185" s="52"/>
      <c r="CZ185" s="52"/>
      <c r="DA185" s="52"/>
      <c r="DB185" s="52"/>
      <c r="DC185" s="52"/>
      <c r="DD185" s="52"/>
      <c r="DE185" s="52"/>
      <c r="DF185" s="52"/>
      <c r="DG185" s="52"/>
      <c r="DH185" s="52"/>
    </row>
    <row r="186" spans="58:112" ht="16.5" x14ac:dyDescent="0.2">
      <c r="BF186" s="52">
        <v>181</v>
      </c>
      <c r="BG186" s="14">
        <f t="shared" si="43"/>
        <v>0</v>
      </c>
      <c r="BH186" s="14">
        <f t="shared" si="44"/>
        <v>480</v>
      </c>
      <c r="BI186" s="14">
        <f t="shared" si="45"/>
        <v>0</v>
      </c>
      <c r="BJ186" s="14">
        <f t="shared" si="46"/>
        <v>1200</v>
      </c>
      <c r="BK186" s="14">
        <f t="shared" si="41"/>
        <v>480</v>
      </c>
      <c r="BL186" s="14">
        <f t="shared" si="42"/>
        <v>960</v>
      </c>
      <c r="CJ186" s="52">
        <v>182</v>
      </c>
      <c r="CK186" s="52">
        <v>2</v>
      </c>
      <c r="CL186" s="52" t="s">
        <v>244</v>
      </c>
      <c r="CM186" s="52">
        <v>82</v>
      </c>
      <c r="CN186" s="52"/>
      <c r="CO186" s="52"/>
      <c r="CP186" s="52"/>
      <c r="CQ186" s="52" t="s">
        <v>358</v>
      </c>
      <c r="CR186" s="52">
        <v>13200</v>
      </c>
      <c r="CS186" s="52" t="s">
        <v>359</v>
      </c>
      <c r="CT186" s="52">
        <v>90</v>
      </c>
      <c r="CU186" s="52"/>
      <c r="CV186" s="52"/>
      <c r="CW186" s="52" t="s">
        <v>359</v>
      </c>
      <c r="CX186" s="52">
        <v>100</v>
      </c>
      <c r="CY186" s="52"/>
      <c r="CZ186" s="52"/>
      <c r="DA186" s="52"/>
      <c r="DB186" s="52"/>
      <c r="DC186" s="52"/>
      <c r="DD186" s="52"/>
      <c r="DE186" s="52"/>
      <c r="DF186" s="52"/>
      <c r="DG186" s="52"/>
      <c r="DH186" s="52"/>
    </row>
    <row r="187" spans="58:112" ht="16.5" x14ac:dyDescent="0.2">
      <c r="BF187" s="52">
        <v>182</v>
      </c>
      <c r="BG187" s="14">
        <f t="shared" si="43"/>
        <v>0</v>
      </c>
      <c r="BH187" s="14">
        <f t="shared" si="44"/>
        <v>480</v>
      </c>
      <c r="BI187" s="14">
        <f t="shared" si="45"/>
        <v>0</v>
      </c>
      <c r="BJ187" s="14">
        <f t="shared" si="46"/>
        <v>1200</v>
      </c>
      <c r="BK187" s="14">
        <f t="shared" si="41"/>
        <v>480</v>
      </c>
      <c r="BL187" s="14">
        <f t="shared" si="42"/>
        <v>960</v>
      </c>
      <c r="CJ187" s="52">
        <v>183</v>
      </c>
      <c r="CK187" s="52">
        <v>2</v>
      </c>
      <c r="CL187" s="52" t="s">
        <v>244</v>
      </c>
      <c r="CM187" s="52">
        <v>83</v>
      </c>
      <c r="CN187" s="52"/>
      <c r="CO187" s="52"/>
      <c r="CP187" s="52"/>
      <c r="CQ187" s="52" t="s">
        <v>358</v>
      </c>
      <c r="CR187" s="52">
        <v>13200</v>
      </c>
      <c r="CS187" s="52" t="s">
        <v>359</v>
      </c>
      <c r="CT187" s="52">
        <v>90</v>
      </c>
      <c r="CU187" s="52"/>
      <c r="CV187" s="52"/>
      <c r="CW187" s="52" t="s">
        <v>359</v>
      </c>
      <c r="CX187" s="52">
        <v>100</v>
      </c>
      <c r="CY187" s="52"/>
      <c r="CZ187" s="52"/>
      <c r="DA187" s="52"/>
      <c r="DB187" s="52"/>
      <c r="DC187" s="52"/>
      <c r="DD187" s="52"/>
      <c r="DE187" s="52"/>
      <c r="DF187" s="52"/>
      <c r="DG187" s="52"/>
      <c r="DH187" s="52"/>
    </row>
    <row r="188" spans="58:112" ht="16.5" x14ac:dyDescent="0.2">
      <c r="BF188" s="52">
        <v>183</v>
      </c>
      <c r="BG188" s="14">
        <f t="shared" si="43"/>
        <v>0</v>
      </c>
      <c r="BH188" s="14">
        <f t="shared" si="44"/>
        <v>480</v>
      </c>
      <c r="BI188" s="14">
        <f t="shared" si="45"/>
        <v>0</v>
      </c>
      <c r="BJ188" s="14">
        <f t="shared" si="46"/>
        <v>1200</v>
      </c>
      <c r="BK188" s="14">
        <f t="shared" si="41"/>
        <v>480</v>
      </c>
      <c r="BL188" s="14">
        <f t="shared" si="42"/>
        <v>960</v>
      </c>
      <c r="CJ188" s="52">
        <v>184</v>
      </c>
      <c r="CK188" s="52">
        <v>2</v>
      </c>
      <c r="CL188" s="52" t="s">
        <v>244</v>
      </c>
      <c r="CM188" s="52">
        <v>84</v>
      </c>
      <c r="CN188" s="52"/>
      <c r="CO188" s="52"/>
      <c r="CP188" s="52"/>
      <c r="CQ188" s="52" t="s">
        <v>358</v>
      </c>
      <c r="CR188" s="52">
        <v>13200</v>
      </c>
      <c r="CS188" s="52" t="s">
        <v>359</v>
      </c>
      <c r="CT188" s="52">
        <v>90</v>
      </c>
      <c r="CU188" s="52"/>
      <c r="CV188" s="52"/>
      <c r="CW188" s="52" t="s">
        <v>359</v>
      </c>
      <c r="CX188" s="52">
        <v>100</v>
      </c>
      <c r="CY188" s="52"/>
      <c r="CZ188" s="52"/>
      <c r="DA188" s="52"/>
      <c r="DB188" s="52"/>
      <c r="DC188" s="52"/>
      <c r="DD188" s="52"/>
      <c r="DE188" s="52"/>
      <c r="DF188" s="52"/>
      <c r="DG188" s="52"/>
      <c r="DH188" s="52"/>
    </row>
    <row r="189" spans="58:112" ht="16.5" x14ac:dyDescent="0.2">
      <c r="BF189" s="52">
        <v>184</v>
      </c>
      <c r="BG189" s="14">
        <f t="shared" si="43"/>
        <v>0</v>
      </c>
      <c r="BH189" s="14">
        <f t="shared" si="44"/>
        <v>480</v>
      </c>
      <c r="BI189" s="14">
        <f t="shared" si="45"/>
        <v>0</v>
      </c>
      <c r="BJ189" s="14">
        <f t="shared" si="46"/>
        <v>1200</v>
      </c>
      <c r="BK189" s="14">
        <f t="shared" si="41"/>
        <v>480</v>
      </c>
      <c r="BL189" s="14">
        <f t="shared" si="42"/>
        <v>960</v>
      </c>
      <c r="CJ189" s="52">
        <v>185</v>
      </c>
      <c r="CK189" s="52">
        <v>2</v>
      </c>
      <c r="CL189" s="52" t="s">
        <v>244</v>
      </c>
      <c r="CM189" s="52">
        <v>85</v>
      </c>
      <c r="CN189" s="52"/>
      <c r="CO189" s="52"/>
      <c r="CP189" s="52"/>
      <c r="CQ189" s="52" t="s">
        <v>358</v>
      </c>
      <c r="CR189" s="52">
        <v>15600</v>
      </c>
      <c r="CS189" s="52" t="s">
        <v>359</v>
      </c>
      <c r="CT189" s="52">
        <v>90</v>
      </c>
      <c r="CU189" s="52" t="s">
        <v>261</v>
      </c>
      <c r="CV189" s="52">
        <v>2</v>
      </c>
      <c r="CW189" s="52" t="s">
        <v>359</v>
      </c>
      <c r="CX189" s="52">
        <v>105</v>
      </c>
      <c r="CY189" s="52"/>
      <c r="CZ189" s="52"/>
      <c r="DA189" s="52"/>
      <c r="DB189" s="52"/>
      <c r="DC189" s="52"/>
      <c r="DD189" s="52"/>
      <c r="DE189" s="52"/>
      <c r="DF189" s="52"/>
      <c r="DG189" s="52"/>
      <c r="DH189" s="52"/>
    </row>
    <row r="190" spans="58:112" ht="16.5" x14ac:dyDescent="0.2">
      <c r="BF190" s="52">
        <v>185</v>
      </c>
      <c r="BG190" s="14">
        <f t="shared" si="43"/>
        <v>0</v>
      </c>
      <c r="BH190" s="14">
        <f t="shared" si="44"/>
        <v>480</v>
      </c>
      <c r="BI190" s="14">
        <f t="shared" si="45"/>
        <v>0</v>
      </c>
      <c r="BJ190" s="14">
        <f t="shared" si="46"/>
        <v>1200</v>
      </c>
      <c r="BK190" s="14">
        <f t="shared" si="41"/>
        <v>480</v>
      </c>
      <c r="BL190" s="14">
        <f t="shared" si="42"/>
        <v>960</v>
      </c>
      <c r="CJ190" s="52">
        <v>186</v>
      </c>
      <c r="CK190" s="52">
        <v>2</v>
      </c>
      <c r="CL190" s="52" t="s">
        <v>244</v>
      </c>
      <c r="CM190" s="52">
        <v>86</v>
      </c>
      <c r="CN190" s="52"/>
      <c r="CO190" s="52"/>
      <c r="CP190" s="52"/>
      <c r="CQ190" s="52" t="s">
        <v>358</v>
      </c>
      <c r="CR190" s="52">
        <v>15600</v>
      </c>
      <c r="CS190" s="52" t="s">
        <v>359</v>
      </c>
      <c r="CT190" s="52">
        <v>95</v>
      </c>
      <c r="CU190" s="52"/>
      <c r="CV190" s="52"/>
      <c r="CW190" s="52" t="s">
        <v>359</v>
      </c>
      <c r="CX190" s="52">
        <v>105</v>
      </c>
      <c r="CY190" s="52"/>
      <c r="CZ190" s="52"/>
      <c r="DA190" s="52"/>
      <c r="DB190" s="52"/>
      <c r="DC190" s="52"/>
      <c r="DD190" s="52"/>
      <c r="DE190" s="52"/>
      <c r="DF190" s="52"/>
      <c r="DG190" s="52"/>
      <c r="DH190" s="52"/>
    </row>
    <row r="191" spans="58:112" ht="16.5" x14ac:dyDescent="0.2">
      <c r="BF191" s="52">
        <v>186</v>
      </c>
      <c r="BG191" s="14">
        <f t="shared" si="43"/>
        <v>0</v>
      </c>
      <c r="BH191" s="14">
        <f t="shared" si="44"/>
        <v>480</v>
      </c>
      <c r="BI191" s="14">
        <f t="shared" si="45"/>
        <v>0</v>
      </c>
      <c r="BJ191" s="14">
        <f t="shared" si="46"/>
        <v>1200</v>
      </c>
      <c r="BK191" s="14">
        <f t="shared" si="41"/>
        <v>480</v>
      </c>
      <c r="BL191" s="14">
        <f t="shared" si="42"/>
        <v>960</v>
      </c>
      <c r="CJ191" s="52">
        <v>187</v>
      </c>
      <c r="CK191" s="52">
        <v>2</v>
      </c>
      <c r="CL191" s="52" t="s">
        <v>244</v>
      </c>
      <c r="CM191" s="52">
        <v>87</v>
      </c>
      <c r="CN191" s="52"/>
      <c r="CO191" s="52"/>
      <c r="CP191" s="52"/>
      <c r="CQ191" s="52" t="s">
        <v>358</v>
      </c>
      <c r="CR191" s="52">
        <v>15600</v>
      </c>
      <c r="CS191" s="52" t="s">
        <v>359</v>
      </c>
      <c r="CT191" s="52">
        <v>95</v>
      </c>
      <c r="CU191" s="52"/>
      <c r="CV191" s="52"/>
      <c r="CW191" s="52" t="s">
        <v>359</v>
      </c>
      <c r="CX191" s="52">
        <v>105</v>
      </c>
      <c r="CY191" s="52"/>
      <c r="CZ191" s="52"/>
      <c r="DA191" s="52"/>
      <c r="DB191" s="52"/>
      <c r="DC191" s="52"/>
      <c r="DD191" s="52"/>
      <c r="DE191" s="52"/>
      <c r="DF191" s="52"/>
      <c r="DG191" s="52"/>
      <c r="DH191" s="52"/>
    </row>
    <row r="192" spans="58:112" ht="16.5" x14ac:dyDescent="0.2">
      <c r="BF192" s="52">
        <v>187</v>
      </c>
      <c r="BG192" s="14">
        <f t="shared" si="43"/>
        <v>0</v>
      </c>
      <c r="BH192" s="14">
        <f t="shared" si="44"/>
        <v>480</v>
      </c>
      <c r="BI192" s="14">
        <f t="shared" si="45"/>
        <v>0</v>
      </c>
      <c r="BJ192" s="14">
        <f t="shared" si="46"/>
        <v>1200</v>
      </c>
      <c r="BK192" s="14">
        <f t="shared" si="41"/>
        <v>480</v>
      </c>
      <c r="BL192" s="14">
        <f t="shared" si="42"/>
        <v>960</v>
      </c>
      <c r="CJ192" s="52">
        <v>188</v>
      </c>
      <c r="CK192" s="52">
        <v>2</v>
      </c>
      <c r="CL192" s="52" t="s">
        <v>244</v>
      </c>
      <c r="CM192" s="52">
        <v>88</v>
      </c>
      <c r="CN192" s="52"/>
      <c r="CO192" s="52"/>
      <c r="CP192" s="52"/>
      <c r="CQ192" s="52" t="s">
        <v>358</v>
      </c>
      <c r="CR192" s="52">
        <v>15600</v>
      </c>
      <c r="CS192" s="52" t="s">
        <v>359</v>
      </c>
      <c r="CT192" s="52">
        <v>95</v>
      </c>
      <c r="CU192" s="52"/>
      <c r="CV192" s="52"/>
      <c r="CW192" s="52" t="s">
        <v>359</v>
      </c>
      <c r="CX192" s="52">
        <v>105</v>
      </c>
      <c r="CY192" s="52"/>
      <c r="CZ192" s="52"/>
      <c r="DA192" s="52"/>
      <c r="DB192" s="52"/>
      <c r="DC192" s="52"/>
      <c r="DD192" s="52"/>
      <c r="DE192" s="52"/>
      <c r="DF192" s="52"/>
      <c r="DG192" s="52"/>
      <c r="DH192" s="52"/>
    </row>
    <row r="193" spans="58:112" ht="16.5" x14ac:dyDescent="0.2">
      <c r="BF193" s="52">
        <v>188</v>
      </c>
      <c r="BG193" s="14">
        <f t="shared" si="43"/>
        <v>0</v>
      </c>
      <c r="BH193" s="14">
        <f t="shared" si="44"/>
        <v>480</v>
      </c>
      <c r="BI193" s="14">
        <f t="shared" si="45"/>
        <v>0</v>
      </c>
      <c r="BJ193" s="14">
        <f t="shared" si="46"/>
        <v>1200</v>
      </c>
      <c r="BK193" s="14">
        <f t="shared" si="41"/>
        <v>480</v>
      </c>
      <c r="BL193" s="14">
        <f t="shared" si="42"/>
        <v>960</v>
      </c>
      <c r="CJ193" s="52">
        <v>189</v>
      </c>
      <c r="CK193" s="52">
        <v>2</v>
      </c>
      <c r="CL193" s="52" t="s">
        <v>244</v>
      </c>
      <c r="CM193" s="52">
        <v>89</v>
      </c>
      <c r="CN193" s="52"/>
      <c r="CO193" s="52"/>
      <c r="CP193" s="52"/>
      <c r="CQ193" s="52" t="s">
        <v>358</v>
      </c>
      <c r="CR193" s="52">
        <v>15600</v>
      </c>
      <c r="CS193" s="52" t="s">
        <v>359</v>
      </c>
      <c r="CT193" s="52">
        <v>95</v>
      </c>
      <c r="CU193" s="52"/>
      <c r="CV193" s="52"/>
      <c r="CW193" s="52" t="s">
        <v>359</v>
      </c>
      <c r="CX193" s="52">
        <v>105</v>
      </c>
      <c r="CY193" s="52"/>
      <c r="CZ193" s="52"/>
      <c r="DA193" s="52"/>
      <c r="DB193" s="52"/>
      <c r="DC193" s="52"/>
      <c r="DD193" s="52"/>
      <c r="DE193" s="52"/>
      <c r="DF193" s="52"/>
      <c r="DG193" s="52"/>
      <c r="DH193" s="52"/>
    </row>
    <row r="194" spans="58:112" ht="16.5" x14ac:dyDescent="0.2">
      <c r="BF194" s="52">
        <v>189</v>
      </c>
      <c r="BG194" s="14">
        <f t="shared" si="43"/>
        <v>0</v>
      </c>
      <c r="BH194" s="14">
        <f t="shared" si="44"/>
        <v>480</v>
      </c>
      <c r="BI194" s="14">
        <f t="shared" si="45"/>
        <v>0</v>
      </c>
      <c r="BJ194" s="14">
        <f t="shared" si="46"/>
        <v>1200</v>
      </c>
      <c r="BK194" s="14">
        <f t="shared" si="41"/>
        <v>480</v>
      </c>
      <c r="BL194" s="14">
        <f t="shared" si="42"/>
        <v>960</v>
      </c>
      <c r="CJ194" s="52">
        <v>190</v>
      </c>
      <c r="CK194" s="52">
        <v>2</v>
      </c>
      <c r="CL194" s="52" t="s">
        <v>244</v>
      </c>
      <c r="CM194" s="52">
        <v>90</v>
      </c>
      <c r="CN194" s="52"/>
      <c r="CO194" s="52"/>
      <c r="CP194" s="52"/>
      <c r="CQ194" s="52" t="s">
        <v>358</v>
      </c>
      <c r="CR194" s="52">
        <v>15600</v>
      </c>
      <c r="CS194" s="52" t="s">
        <v>359</v>
      </c>
      <c r="CT194" s="52">
        <v>95</v>
      </c>
      <c r="CU194" s="52" t="s">
        <v>260</v>
      </c>
      <c r="CV194" s="52">
        <v>2</v>
      </c>
      <c r="CW194" s="52" t="s">
        <v>359</v>
      </c>
      <c r="CX194" s="52">
        <v>110</v>
      </c>
      <c r="CY194" s="52"/>
      <c r="CZ194" s="52"/>
      <c r="DA194" s="52"/>
      <c r="DB194" s="52"/>
      <c r="DC194" s="52"/>
      <c r="DD194" s="52"/>
      <c r="DE194" s="52"/>
      <c r="DF194" s="52"/>
      <c r="DG194" s="52"/>
      <c r="DH194" s="52"/>
    </row>
    <row r="195" spans="58:112" ht="16.5" x14ac:dyDescent="0.2">
      <c r="BF195" s="52">
        <v>190</v>
      </c>
      <c r="BG195" s="14">
        <f t="shared" si="43"/>
        <v>0</v>
      </c>
      <c r="BH195" s="14">
        <f t="shared" si="44"/>
        <v>480</v>
      </c>
      <c r="BI195" s="14">
        <f t="shared" si="45"/>
        <v>0</v>
      </c>
      <c r="BJ195" s="14">
        <f t="shared" si="46"/>
        <v>1200</v>
      </c>
      <c r="BK195" s="14">
        <f t="shared" si="41"/>
        <v>480</v>
      </c>
      <c r="BL195" s="14">
        <f t="shared" si="42"/>
        <v>960</v>
      </c>
      <c r="CJ195" s="52">
        <v>191</v>
      </c>
      <c r="CK195" s="52">
        <v>2</v>
      </c>
      <c r="CL195" s="52" t="s">
        <v>244</v>
      </c>
      <c r="CM195" s="52">
        <v>91</v>
      </c>
      <c r="CN195" s="52"/>
      <c r="CO195" s="52"/>
      <c r="CP195" s="52"/>
      <c r="CQ195" s="52" t="s">
        <v>358</v>
      </c>
      <c r="CR195" s="52">
        <v>15600</v>
      </c>
      <c r="CS195" s="52" t="s">
        <v>359</v>
      </c>
      <c r="CT195" s="52">
        <v>100</v>
      </c>
      <c r="CU195" s="52"/>
      <c r="CV195" s="52"/>
      <c r="CW195" s="52" t="s">
        <v>359</v>
      </c>
      <c r="CX195" s="52">
        <v>110</v>
      </c>
      <c r="CY195" s="52"/>
      <c r="CZ195" s="52"/>
      <c r="DA195" s="52"/>
      <c r="DB195" s="52"/>
      <c r="DC195" s="52"/>
      <c r="DD195" s="52"/>
      <c r="DE195" s="52"/>
      <c r="DF195" s="52"/>
      <c r="DG195" s="52"/>
      <c r="DH195" s="52"/>
    </row>
    <row r="196" spans="58:112" ht="16.5" x14ac:dyDescent="0.2">
      <c r="BF196" s="52">
        <v>191</v>
      </c>
      <c r="BG196" s="14">
        <f t="shared" si="43"/>
        <v>0</v>
      </c>
      <c r="BH196" s="14">
        <f t="shared" si="44"/>
        <v>480</v>
      </c>
      <c r="BI196" s="14">
        <f t="shared" si="45"/>
        <v>0</v>
      </c>
      <c r="BJ196" s="14">
        <f t="shared" si="46"/>
        <v>1200</v>
      </c>
      <c r="BK196" s="14">
        <f t="shared" si="41"/>
        <v>480</v>
      </c>
      <c r="BL196" s="14">
        <f t="shared" si="42"/>
        <v>960</v>
      </c>
      <c r="CJ196" s="52">
        <v>192</v>
      </c>
      <c r="CK196" s="52">
        <v>2</v>
      </c>
      <c r="CL196" s="52" t="s">
        <v>244</v>
      </c>
      <c r="CM196" s="52">
        <v>92</v>
      </c>
      <c r="CN196" s="52"/>
      <c r="CO196" s="52"/>
      <c r="CP196" s="52"/>
      <c r="CQ196" s="52" t="s">
        <v>358</v>
      </c>
      <c r="CR196" s="52">
        <v>15600</v>
      </c>
      <c r="CS196" s="52" t="s">
        <v>359</v>
      </c>
      <c r="CT196" s="52">
        <v>100</v>
      </c>
      <c r="CU196" s="52"/>
      <c r="CV196" s="52"/>
      <c r="CW196" s="52" t="s">
        <v>359</v>
      </c>
      <c r="CX196" s="52">
        <v>110</v>
      </c>
      <c r="CY196" s="52"/>
      <c r="CZ196" s="52"/>
      <c r="DA196" s="52"/>
      <c r="DB196" s="52"/>
      <c r="DC196" s="52"/>
      <c r="DD196" s="52"/>
      <c r="DE196" s="52"/>
      <c r="DF196" s="52"/>
      <c r="DG196" s="52"/>
      <c r="DH196" s="52"/>
    </row>
    <row r="197" spans="58:112" ht="16.5" x14ac:dyDescent="0.2">
      <c r="BF197" s="52">
        <v>192</v>
      </c>
      <c r="BG197" s="14">
        <f t="shared" si="43"/>
        <v>0</v>
      </c>
      <c r="BH197" s="14">
        <f t="shared" si="44"/>
        <v>480</v>
      </c>
      <c r="BI197" s="14">
        <f t="shared" si="45"/>
        <v>0</v>
      </c>
      <c r="BJ197" s="14">
        <f t="shared" si="46"/>
        <v>1200</v>
      </c>
      <c r="BK197" s="14">
        <f t="shared" si="41"/>
        <v>480</v>
      </c>
      <c r="BL197" s="14">
        <f t="shared" si="42"/>
        <v>960</v>
      </c>
      <c r="CJ197" s="52">
        <v>193</v>
      </c>
      <c r="CK197" s="52">
        <v>2</v>
      </c>
      <c r="CL197" s="52" t="s">
        <v>244</v>
      </c>
      <c r="CM197" s="52">
        <v>93</v>
      </c>
      <c r="CN197" s="52"/>
      <c r="CO197" s="52"/>
      <c r="CP197" s="52"/>
      <c r="CQ197" s="52" t="s">
        <v>358</v>
      </c>
      <c r="CR197" s="52">
        <v>15600</v>
      </c>
      <c r="CS197" s="52" t="s">
        <v>359</v>
      </c>
      <c r="CT197" s="52">
        <v>100</v>
      </c>
      <c r="CU197" s="52"/>
      <c r="CV197" s="52"/>
      <c r="CW197" s="52" t="s">
        <v>359</v>
      </c>
      <c r="CX197" s="52">
        <v>110</v>
      </c>
      <c r="CY197" s="52"/>
      <c r="CZ197" s="52"/>
      <c r="DA197" s="52"/>
      <c r="DB197" s="52"/>
      <c r="DC197" s="52"/>
      <c r="DD197" s="52"/>
      <c r="DE197" s="52"/>
      <c r="DF197" s="52"/>
      <c r="DG197" s="52"/>
      <c r="DH197" s="52"/>
    </row>
    <row r="198" spans="58:112" ht="16.5" x14ac:dyDescent="0.2">
      <c r="BF198" s="52">
        <v>193</v>
      </c>
      <c r="BG198" s="14">
        <f t="shared" si="43"/>
        <v>0</v>
      </c>
      <c r="BH198" s="14">
        <f t="shared" si="44"/>
        <v>480</v>
      </c>
      <c r="BI198" s="14">
        <f t="shared" si="45"/>
        <v>0</v>
      </c>
      <c r="BJ198" s="14">
        <f t="shared" si="46"/>
        <v>1200</v>
      </c>
      <c r="BK198" s="14">
        <f t="shared" si="41"/>
        <v>480</v>
      </c>
      <c r="BL198" s="14">
        <f t="shared" si="42"/>
        <v>960</v>
      </c>
      <c r="CJ198" s="52">
        <v>194</v>
      </c>
      <c r="CK198" s="52">
        <v>2</v>
      </c>
      <c r="CL198" s="52" t="s">
        <v>244</v>
      </c>
      <c r="CM198" s="52">
        <v>94</v>
      </c>
      <c r="CN198" s="52"/>
      <c r="CO198" s="52"/>
      <c r="CP198" s="52"/>
      <c r="CQ198" s="52" t="s">
        <v>358</v>
      </c>
      <c r="CR198" s="52">
        <v>15600</v>
      </c>
      <c r="CS198" s="52" t="s">
        <v>359</v>
      </c>
      <c r="CT198" s="52">
        <v>100</v>
      </c>
      <c r="CU198" s="52"/>
      <c r="CV198" s="52"/>
      <c r="CW198" s="52" t="s">
        <v>359</v>
      </c>
      <c r="CX198" s="52">
        <v>110</v>
      </c>
      <c r="CY198" s="52"/>
      <c r="CZ198" s="52"/>
      <c r="DA198" s="52"/>
      <c r="DB198" s="52"/>
      <c r="DC198" s="52"/>
      <c r="DD198" s="52"/>
      <c r="DE198" s="52"/>
      <c r="DF198" s="52"/>
      <c r="DG198" s="52"/>
      <c r="DH198" s="52"/>
    </row>
    <row r="199" spans="58:112" ht="16.5" x14ac:dyDescent="0.2">
      <c r="BF199" s="52">
        <v>194</v>
      </c>
      <c r="BG199" s="14">
        <f t="shared" si="43"/>
        <v>0</v>
      </c>
      <c r="BH199" s="14">
        <f t="shared" si="44"/>
        <v>480</v>
      </c>
      <c r="BI199" s="14">
        <f t="shared" si="45"/>
        <v>0</v>
      </c>
      <c r="BJ199" s="14">
        <f t="shared" si="46"/>
        <v>1200</v>
      </c>
      <c r="BK199" s="14">
        <f t="shared" ref="BK199:BK262" si="47">BG199+BH198</f>
        <v>480</v>
      </c>
      <c r="BL199" s="14">
        <f t="shared" ref="BL199:BL262" si="48">BK199*BL$3</f>
        <v>960</v>
      </c>
      <c r="CJ199" s="52">
        <v>195</v>
      </c>
      <c r="CK199" s="52">
        <v>2</v>
      </c>
      <c r="CL199" s="52" t="s">
        <v>244</v>
      </c>
      <c r="CM199" s="52">
        <v>95</v>
      </c>
      <c r="CN199" s="52"/>
      <c r="CO199" s="52"/>
      <c r="CP199" s="52"/>
      <c r="CQ199" s="52" t="s">
        <v>358</v>
      </c>
      <c r="CR199" s="52">
        <v>15600</v>
      </c>
      <c r="CS199" s="52" t="s">
        <v>359</v>
      </c>
      <c r="CT199" s="52">
        <v>100</v>
      </c>
      <c r="CU199" s="52" t="s">
        <v>261</v>
      </c>
      <c r="CV199" s="52">
        <v>2</v>
      </c>
      <c r="CW199" s="52" t="s">
        <v>359</v>
      </c>
      <c r="CX199" s="52">
        <v>115</v>
      </c>
      <c r="CY199" s="52"/>
      <c r="CZ199" s="52"/>
      <c r="DA199" s="52"/>
      <c r="DB199" s="52"/>
      <c r="DC199" s="52"/>
      <c r="DD199" s="52"/>
      <c r="DE199" s="52"/>
      <c r="DF199" s="52"/>
      <c r="DG199" s="52"/>
      <c r="DH199" s="52"/>
    </row>
    <row r="200" spans="58:112" ht="16.5" x14ac:dyDescent="0.2">
      <c r="BF200" s="52">
        <v>195</v>
      </c>
      <c r="BG200" s="14">
        <f t="shared" si="43"/>
        <v>0</v>
      </c>
      <c r="BH200" s="14">
        <f t="shared" si="44"/>
        <v>480</v>
      </c>
      <c r="BI200" s="14">
        <f t="shared" si="45"/>
        <v>0</v>
      </c>
      <c r="BJ200" s="14">
        <f t="shared" si="46"/>
        <v>1200</v>
      </c>
      <c r="BK200" s="14">
        <f t="shared" si="47"/>
        <v>480</v>
      </c>
      <c r="BL200" s="14">
        <f t="shared" si="48"/>
        <v>960</v>
      </c>
      <c r="CJ200" s="52">
        <v>196</v>
      </c>
      <c r="CK200" s="52">
        <v>2</v>
      </c>
      <c r="CL200" s="52" t="s">
        <v>244</v>
      </c>
      <c r="CM200" s="52">
        <v>96</v>
      </c>
      <c r="CN200" s="52"/>
      <c r="CO200" s="52"/>
      <c r="CP200" s="52"/>
      <c r="CQ200" s="52" t="s">
        <v>358</v>
      </c>
      <c r="CR200" s="52">
        <v>15600</v>
      </c>
      <c r="CS200" s="52" t="s">
        <v>359</v>
      </c>
      <c r="CT200" s="52">
        <v>105</v>
      </c>
      <c r="CU200" s="52"/>
      <c r="CV200" s="52"/>
      <c r="CW200" s="52" t="s">
        <v>359</v>
      </c>
      <c r="CX200" s="52">
        <v>115</v>
      </c>
      <c r="CY200" s="52"/>
      <c r="CZ200" s="52"/>
      <c r="DA200" s="52"/>
      <c r="DB200" s="52"/>
      <c r="DC200" s="52"/>
      <c r="DD200" s="52"/>
      <c r="DE200" s="52"/>
      <c r="DF200" s="52"/>
      <c r="DG200" s="52"/>
      <c r="DH200" s="52"/>
    </row>
    <row r="201" spans="58:112" ht="16.5" x14ac:dyDescent="0.2">
      <c r="BF201" s="52">
        <v>196</v>
      </c>
      <c r="BG201" s="14">
        <f t="shared" si="43"/>
        <v>0</v>
      </c>
      <c r="BH201" s="14">
        <f t="shared" si="44"/>
        <v>480</v>
      </c>
      <c r="BI201" s="14">
        <f t="shared" si="45"/>
        <v>0</v>
      </c>
      <c r="BJ201" s="14">
        <f t="shared" si="46"/>
        <v>1200</v>
      </c>
      <c r="BK201" s="14">
        <f t="shared" si="47"/>
        <v>480</v>
      </c>
      <c r="BL201" s="14">
        <f t="shared" si="48"/>
        <v>960</v>
      </c>
      <c r="CJ201" s="52">
        <v>197</v>
      </c>
      <c r="CK201" s="52">
        <v>2</v>
      </c>
      <c r="CL201" s="52" t="s">
        <v>244</v>
      </c>
      <c r="CM201" s="52">
        <v>97</v>
      </c>
      <c r="CN201" s="52"/>
      <c r="CO201" s="52"/>
      <c r="CP201" s="52"/>
      <c r="CQ201" s="52" t="s">
        <v>358</v>
      </c>
      <c r="CR201" s="52">
        <v>15600</v>
      </c>
      <c r="CS201" s="52" t="s">
        <v>359</v>
      </c>
      <c r="CT201" s="52">
        <v>105</v>
      </c>
      <c r="CU201" s="52"/>
      <c r="CV201" s="52"/>
      <c r="CW201" s="52" t="s">
        <v>359</v>
      </c>
      <c r="CX201" s="52">
        <v>115</v>
      </c>
      <c r="CY201" s="52"/>
      <c r="CZ201" s="52"/>
      <c r="DA201" s="52"/>
      <c r="DB201" s="52"/>
      <c r="DC201" s="52"/>
      <c r="DD201" s="52"/>
      <c r="DE201" s="52"/>
      <c r="DF201" s="52"/>
      <c r="DG201" s="52"/>
      <c r="DH201" s="52"/>
    </row>
    <row r="202" spans="58:112" ht="16.5" x14ac:dyDescent="0.2">
      <c r="BF202" s="52">
        <v>197</v>
      </c>
      <c r="BG202" s="14">
        <f t="shared" si="43"/>
        <v>0</v>
      </c>
      <c r="BH202" s="14">
        <f t="shared" si="44"/>
        <v>480</v>
      </c>
      <c r="BI202" s="14">
        <f t="shared" si="45"/>
        <v>0</v>
      </c>
      <c r="BJ202" s="14">
        <f t="shared" si="46"/>
        <v>1200</v>
      </c>
      <c r="BK202" s="14">
        <f t="shared" si="47"/>
        <v>480</v>
      </c>
      <c r="BL202" s="14">
        <f t="shared" si="48"/>
        <v>960</v>
      </c>
      <c r="CJ202" s="52">
        <v>198</v>
      </c>
      <c r="CK202" s="52">
        <v>2</v>
      </c>
      <c r="CL202" s="52" t="s">
        <v>244</v>
      </c>
      <c r="CM202" s="52">
        <v>98</v>
      </c>
      <c r="CN202" s="52"/>
      <c r="CO202" s="52"/>
      <c r="CP202" s="52"/>
      <c r="CQ202" s="52" t="s">
        <v>358</v>
      </c>
      <c r="CR202" s="52">
        <v>15600</v>
      </c>
      <c r="CS202" s="52" t="s">
        <v>359</v>
      </c>
      <c r="CT202" s="52">
        <v>105</v>
      </c>
      <c r="CU202" s="52"/>
      <c r="CV202" s="52"/>
      <c r="CW202" s="52" t="s">
        <v>359</v>
      </c>
      <c r="CX202" s="52">
        <v>115</v>
      </c>
      <c r="CY202" s="52"/>
      <c r="CZ202" s="52"/>
      <c r="DA202" s="52"/>
      <c r="DB202" s="52"/>
      <c r="DC202" s="52"/>
      <c r="DD202" s="52"/>
      <c r="DE202" s="52"/>
      <c r="DF202" s="52"/>
      <c r="DG202" s="52"/>
      <c r="DH202" s="52"/>
    </row>
    <row r="203" spans="58:112" ht="16.5" x14ac:dyDescent="0.2">
      <c r="BF203" s="52">
        <v>198</v>
      </c>
      <c r="BG203" s="14">
        <f t="shared" si="43"/>
        <v>0</v>
      </c>
      <c r="BH203" s="14">
        <f t="shared" si="44"/>
        <v>480</v>
      </c>
      <c r="BI203" s="14">
        <f t="shared" si="45"/>
        <v>0</v>
      </c>
      <c r="BJ203" s="14">
        <f t="shared" si="46"/>
        <v>1200</v>
      </c>
      <c r="BK203" s="14">
        <f t="shared" si="47"/>
        <v>480</v>
      </c>
      <c r="BL203" s="14">
        <f t="shared" si="48"/>
        <v>960</v>
      </c>
      <c r="CJ203" s="52">
        <v>199</v>
      </c>
      <c r="CK203" s="52">
        <v>2</v>
      </c>
      <c r="CL203" s="52" t="s">
        <v>244</v>
      </c>
      <c r="CM203" s="52">
        <v>99</v>
      </c>
      <c r="CN203" s="52"/>
      <c r="CO203" s="52"/>
      <c r="CP203" s="52"/>
      <c r="CQ203" s="52" t="s">
        <v>358</v>
      </c>
      <c r="CR203" s="52">
        <v>15600</v>
      </c>
      <c r="CS203" s="52" t="s">
        <v>359</v>
      </c>
      <c r="CT203" s="52">
        <v>105</v>
      </c>
      <c r="CU203" s="52"/>
      <c r="CV203" s="52"/>
      <c r="CW203" s="52" t="s">
        <v>359</v>
      </c>
      <c r="CX203" s="52">
        <v>115</v>
      </c>
      <c r="CY203" s="52"/>
      <c r="CZ203" s="52"/>
      <c r="DA203" s="52"/>
      <c r="DB203" s="52"/>
      <c r="DC203" s="52"/>
      <c r="DD203" s="52"/>
      <c r="DE203" s="52"/>
      <c r="DF203" s="52"/>
      <c r="DG203" s="52"/>
      <c r="DH203" s="52"/>
    </row>
    <row r="204" spans="58:112" ht="16.5" x14ac:dyDescent="0.2">
      <c r="BF204" s="52">
        <v>199</v>
      </c>
      <c r="BG204" s="14">
        <f t="shared" si="43"/>
        <v>0</v>
      </c>
      <c r="BH204" s="14">
        <f t="shared" si="44"/>
        <v>480</v>
      </c>
      <c r="BI204" s="14">
        <f t="shared" si="45"/>
        <v>0</v>
      </c>
      <c r="BJ204" s="14">
        <f t="shared" si="46"/>
        <v>1200</v>
      </c>
      <c r="BK204" s="14">
        <f t="shared" si="47"/>
        <v>480</v>
      </c>
      <c r="BL204" s="14">
        <f t="shared" si="48"/>
        <v>960</v>
      </c>
      <c r="CJ204" s="52">
        <v>200</v>
      </c>
      <c r="CK204" s="52">
        <v>2</v>
      </c>
      <c r="CL204" s="52" t="s">
        <v>244</v>
      </c>
      <c r="CM204" s="52">
        <v>100</v>
      </c>
      <c r="CN204" s="52"/>
      <c r="CO204" s="52"/>
      <c r="CP204" s="52"/>
      <c r="CQ204" s="52" t="s">
        <v>358</v>
      </c>
      <c r="CR204" s="52">
        <v>18000</v>
      </c>
      <c r="CS204" s="52" t="s">
        <v>359</v>
      </c>
      <c r="CT204" s="52">
        <v>105</v>
      </c>
      <c r="CU204" s="52" t="s">
        <v>260</v>
      </c>
      <c r="CV204" s="52">
        <v>2</v>
      </c>
      <c r="CW204" s="52" t="s">
        <v>359</v>
      </c>
      <c r="CX204" s="52">
        <v>120</v>
      </c>
      <c r="CY204" s="52"/>
      <c r="CZ204" s="52"/>
      <c r="DA204" s="52"/>
      <c r="DB204" s="52"/>
      <c r="DC204" s="52"/>
      <c r="DD204" s="52"/>
      <c r="DE204" s="52"/>
      <c r="DF204" s="52"/>
      <c r="DG204" s="52"/>
      <c r="DH204" s="52"/>
    </row>
    <row r="205" spans="58:112" ht="16.5" x14ac:dyDescent="0.2">
      <c r="BF205" s="52">
        <v>200</v>
      </c>
      <c r="BG205" s="14">
        <f t="shared" si="43"/>
        <v>0</v>
      </c>
      <c r="BH205" s="14">
        <f t="shared" si="44"/>
        <v>480</v>
      </c>
      <c r="BI205" s="14">
        <f t="shared" si="45"/>
        <v>0</v>
      </c>
      <c r="BJ205" s="14">
        <f t="shared" si="46"/>
        <v>1200</v>
      </c>
      <c r="BK205" s="14">
        <f t="shared" si="47"/>
        <v>480</v>
      </c>
      <c r="BL205" s="14">
        <f t="shared" si="48"/>
        <v>960</v>
      </c>
      <c r="CJ205" s="52">
        <v>201</v>
      </c>
      <c r="CK205" s="52">
        <v>3</v>
      </c>
      <c r="CL205" s="52" t="s">
        <v>244</v>
      </c>
      <c r="CM205" s="52">
        <v>1</v>
      </c>
      <c r="CN205" s="52"/>
      <c r="CO205" s="52"/>
      <c r="CP205" s="52"/>
      <c r="CQ205" s="52" t="s">
        <v>358</v>
      </c>
      <c r="CR205" s="52">
        <v>5760</v>
      </c>
      <c r="CS205" s="52" t="s">
        <v>359</v>
      </c>
      <c r="CT205" s="52">
        <v>15</v>
      </c>
      <c r="CU205" s="52"/>
      <c r="CV205" s="52"/>
      <c r="CW205" s="52" t="s">
        <v>359</v>
      </c>
      <c r="CX205" s="52">
        <v>20</v>
      </c>
      <c r="CY205" s="52"/>
      <c r="CZ205" s="52"/>
      <c r="DA205" s="52"/>
      <c r="DB205" s="52"/>
      <c r="DC205" s="52"/>
      <c r="DD205" s="52"/>
      <c r="DE205" s="52"/>
      <c r="DF205" s="52"/>
      <c r="DG205" s="52"/>
      <c r="DH205" s="52"/>
    </row>
    <row r="206" spans="58:112" ht="16.5" x14ac:dyDescent="0.2">
      <c r="BF206" s="52">
        <v>201</v>
      </c>
      <c r="BG206" s="14">
        <f t="shared" si="43"/>
        <v>0</v>
      </c>
      <c r="BH206" s="14">
        <f t="shared" si="44"/>
        <v>480</v>
      </c>
      <c r="BI206" s="14">
        <f t="shared" si="45"/>
        <v>0</v>
      </c>
      <c r="BJ206" s="14">
        <f t="shared" si="46"/>
        <v>1200</v>
      </c>
      <c r="BK206" s="14">
        <f t="shared" si="47"/>
        <v>480</v>
      </c>
      <c r="BL206" s="14">
        <f t="shared" si="48"/>
        <v>960</v>
      </c>
      <c r="CJ206" s="52">
        <v>202</v>
      </c>
      <c r="CK206" s="52">
        <v>3</v>
      </c>
      <c r="CL206" s="52" t="s">
        <v>244</v>
      </c>
      <c r="CM206" s="52">
        <v>2</v>
      </c>
      <c r="CN206" s="52"/>
      <c r="CO206" s="52"/>
      <c r="CP206" s="52"/>
      <c r="CQ206" s="52" t="s">
        <v>358</v>
      </c>
      <c r="CR206" s="52">
        <v>5760</v>
      </c>
      <c r="CS206" s="52" t="s">
        <v>359</v>
      </c>
      <c r="CT206" s="52">
        <v>15</v>
      </c>
      <c r="CU206" s="52" t="s">
        <v>262</v>
      </c>
      <c r="CV206" s="52">
        <v>1</v>
      </c>
      <c r="CW206" s="52" t="s">
        <v>359</v>
      </c>
      <c r="CX206" s="52">
        <v>20</v>
      </c>
      <c r="CY206" s="52"/>
      <c r="CZ206" s="52"/>
      <c r="DA206" s="52"/>
      <c r="DB206" s="52"/>
      <c r="DC206" s="52"/>
      <c r="DD206" s="52"/>
      <c r="DE206" s="52"/>
      <c r="DF206" s="52"/>
      <c r="DG206" s="52"/>
      <c r="DH206" s="52"/>
    </row>
    <row r="207" spans="58:112" ht="16.5" x14ac:dyDescent="0.2">
      <c r="BF207" s="52">
        <v>202</v>
      </c>
      <c r="BG207" s="14">
        <f t="shared" si="43"/>
        <v>0</v>
      </c>
      <c r="BH207" s="14">
        <f t="shared" si="44"/>
        <v>480</v>
      </c>
      <c r="BI207" s="14">
        <f t="shared" si="45"/>
        <v>0</v>
      </c>
      <c r="BJ207" s="14">
        <f t="shared" si="46"/>
        <v>1200</v>
      </c>
      <c r="BK207" s="14">
        <f t="shared" si="47"/>
        <v>480</v>
      </c>
      <c r="BL207" s="14">
        <f t="shared" si="48"/>
        <v>960</v>
      </c>
      <c r="CJ207" s="52">
        <v>203</v>
      </c>
      <c r="CK207" s="52">
        <v>3</v>
      </c>
      <c r="CL207" s="52" t="s">
        <v>244</v>
      </c>
      <c r="CM207" s="52">
        <v>3</v>
      </c>
      <c r="CN207" s="52"/>
      <c r="CO207" s="52"/>
      <c r="CP207" s="52"/>
      <c r="CQ207" s="52" t="s">
        <v>358</v>
      </c>
      <c r="CR207" s="52">
        <v>5760</v>
      </c>
      <c r="CS207" s="52" t="s">
        <v>359</v>
      </c>
      <c r="CT207" s="52">
        <v>15</v>
      </c>
      <c r="CU207" s="52"/>
      <c r="CV207" s="52"/>
      <c r="CW207" s="52" t="s">
        <v>359</v>
      </c>
      <c r="CX207" s="52">
        <v>20</v>
      </c>
      <c r="CY207" s="52"/>
      <c r="CZ207" s="52"/>
      <c r="DA207" s="52"/>
      <c r="DB207" s="52"/>
      <c r="DC207" s="52"/>
      <c r="DD207" s="52"/>
      <c r="DE207" s="52"/>
      <c r="DF207" s="52"/>
      <c r="DG207" s="52"/>
      <c r="DH207" s="52"/>
    </row>
    <row r="208" spans="58:112" ht="16.5" x14ac:dyDescent="0.2">
      <c r="BF208" s="52">
        <v>203</v>
      </c>
      <c r="BG208" s="14">
        <f t="shared" si="43"/>
        <v>0</v>
      </c>
      <c r="BH208" s="14">
        <f t="shared" si="44"/>
        <v>480</v>
      </c>
      <c r="BI208" s="14">
        <f t="shared" si="45"/>
        <v>0</v>
      </c>
      <c r="BJ208" s="14">
        <f t="shared" si="46"/>
        <v>1200</v>
      </c>
      <c r="BK208" s="14">
        <f t="shared" si="47"/>
        <v>480</v>
      </c>
      <c r="BL208" s="14">
        <f t="shared" si="48"/>
        <v>960</v>
      </c>
      <c r="CJ208" s="52">
        <v>204</v>
      </c>
      <c r="CK208" s="52">
        <v>3</v>
      </c>
      <c r="CL208" s="52" t="s">
        <v>244</v>
      </c>
      <c r="CM208" s="52">
        <v>4</v>
      </c>
      <c r="CN208" s="52"/>
      <c r="CO208" s="52"/>
      <c r="CP208" s="52"/>
      <c r="CQ208" s="52" t="s">
        <v>358</v>
      </c>
      <c r="CR208" s="52">
        <v>5760</v>
      </c>
      <c r="CS208" s="52" t="s">
        <v>359</v>
      </c>
      <c r="CT208" s="52">
        <v>15</v>
      </c>
      <c r="CU208" s="52" t="s">
        <v>263</v>
      </c>
      <c r="CV208" s="52">
        <v>1</v>
      </c>
      <c r="CW208" s="52" t="s">
        <v>359</v>
      </c>
      <c r="CX208" s="52">
        <v>20</v>
      </c>
      <c r="CY208" s="52"/>
      <c r="CZ208" s="52"/>
      <c r="DA208" s="52"/>
      <c r="DB208" s="52"/>
      <c r="DC208" s="52"/>
      <c r="DD208" s="52"/>
      <c r="DE208" s="52"/>
      <c r="DF208" s="52"/>
      <c r="DG208" s="52"/>
      <c r="DH208" s="52"/>
    </row>
    <row r="209" spans="58:112" ht="16.5" x14ac:dyDescent="0.2">
      <c r="BF209" s="52">
        <v>204</v>
      </c>
      <c r="BG209" s="14">
        <f t="shared" si="43"/>
        <v>0</v>
      </c>
      <c r="BH209" s="14">
        <f t="shared" si="44"/>
        <v>480</v>
      </c>
      <c r="BI209" s="14">
        <f t="shared" si="45"/>
        <v>0</v>
      </c>
      <c r="BJ209" s="14">
        <f t="shared" si="46"/>
        <v>1200</v>
      </c>
      <c r="BK209" s="14">
        <f t="shared" si="47"/>
        <v>480</v>
      </c>
      <c r="BL209" s="14">
        <f t="shared" si="48"/>
        <v>960</v>
      </c>
      <c r="CJ209" s="52">
        <v>205</v>
      </c>
      <c r="CK209" s="52">
        <v>3</v>
      </c>
      <c r="CL209" s="52" t="s">
        <v>244</v>
      </c>
      <c r="CM209" s="52">
        <v>5</v>
      </c>
      <c r="CN209" s="52"/>
      <c r="CO209" s="52"/>
      <c r="CP209" s="52"/>
      <c r="CQ209" s="52" t="s">
        <v>358</v>
      </c>
      <c r="CR209" s="52">
        <v>5760</v>
      </c>
      <c r="CS209" s="52" t="s">
        <v>359</v>
      </c>
      <c r="CT209" s="52">
        <v>15</v>
      </c>
      <c r="CU209" s="52"/>
      <c r="CV209" s="52"/>
      <c r="CW209" s="52" t="s">
        <v>359</v>
      </c>
      <c r="CX209" s="52">
        <v>25</v>
      </c>
      <c r="CY209" s="52"/>
      <c r="CZ209" s="52"/>
      <c r="DA209" s="52"/>
      <c r="DB209" s="52"/>
      <c r="DC209" s="52"/>
      <c r="DD209" s="52"/>
      <c r="DE209" s="52"/>
      <c r="DF209" s="52"/>
      <c r="DG209" s="52"/>
      <c r="DH209" s="52"/>
    </row>
    <row r="210" spans="58:112" ht="16.5" x14ac:dyDescent="0.2">
      <c r="BF210" s="52">
        <v>205</v>
      </c>
      <c r="BG210" s="14">
        <f t="shared" si="43"/>
        <v>0</v>
      </c>
      <c r="BH210" s="14">
        <f t="shared" si="44"/>
        <v>480</v>
      </c>
      <c r="BI210" s="14">
        <f t="shared" si="45"/>
        <v>0</v>
      </c>
      <c r="BJ210" s="14">
        <f t="shared" si="46"/>
        <v>1200</v>
      </c>
      <c r="BK210" s="14">
        <f t="shared" si="47"/>
        <v>480</v>
      </c>
      <c r="BL210" s="14">
        <f t="shared" si="48"/>
        <v>960</v>
      </c>
      <c r="CJ210" s="52">
        <v>206</v>
      </c>
      <c r="CK210" s="52">
        <v>3</v>
      </c>
      <c r="CL210" s="52" t="s">
        <v>244</v>
      </c>
      <c r="CM210" s="52">
        <v>6</v>
      </c>
      <c r="CN210" s="52"/>
      <c r="CO210" s="52"/>
      <c r="CP210" s="52"/>
      <c r="CQ210" s="52" t="s">
        <v>358</v>
      </c>
      <c r="CR210" s="52">
        <v>7200</v>
      </c>
      <c r="CS210" s="52" t="s">
        <v>359</v>
      </c>
      <c r="CT210" s="52">
        <v>20</v>
      </c>
      <c r="CU210" s="52"/>
      <c r="CV210" s="52"/>
      <c r="CW210" s="52" t="s">
        <v>359</v>
      </c>
      <c r="CX210" s="52">
        <v>25</v>
      </c>
      <c r="CY210" s="52"/>
      <c r="CZ210" s="52"/>
      <c r="DA210" s="52"/>
      <c r="DB210" s="52"/>
      <c r="DC210" s="52"/>
      <c r="DD210" s="52"/>
      <c r="DE210" s="52"/>
      <c r="DF210" s="52"/>
      <c r="DG210" s="52"/>
      <c r="DH210" s="52"/>
    </row>
    <row r="211" spans="58:112" ht="16.5" x14ac:dyDescent="0.2">
      <c r="BF211" s="52">
        <v>206</v>
      </c>
      <c r="BG211" s="14">
        <f t="shared" si="43"/>
        <v>0</v>
      </c>
      <c r="BH211" s="14">
        <f t="shared" si="44"/>
        <v>480</v>
      </c>
      <c r="BI211" s="14">
        <f t="shared" si="45"/>
        <v>0</v>
      </c>
      <c r="BJ211" s="14">
        <f t="shared" si="46"/>
        <v>1200</v>
      </c>
      <c r="BK211" s="14">
        <f t="shared" si="47"/>
        <v>480</v>
      </c>
      <c r="BL211" s="14">
        <f t="shared" si="48"/>
        <v>960</v>
      </c>
      <c r="CJ211" s="52">
        <v>207</v>
      </c>
      <c r="CK211" s="52">
        <v>3</v>
      </c>
      <c r="CL211" s="52" t="s">
        <v>244</v>
      </c>
      <c r="CM211" s="52">
        <v>7</v>
      </c>
      <c r="CN211" s="52"/>
      <c r="CO211" s="52"/>
      <c r="CP211" s="52"/>
      <c r="CQ211" s="52" t="s">
        <v>358</v>
      </c>
      <c r="CR211" s="52">
        <v>7200</v>
      </c>
      <c r="CS211" s="52" t="s">
        <v>359</v>
      </c>
      <c r="CT211" s="52">
        <v>20</v>
      </c>
      <c r="CU211" s="52" t="s">
        <v>266</v>
      </c>
      <c r="CV211" s="52">
        <v>1</v>
      </c>
      <c r="CW211" s="52" t="s">
        <v>359</v>
      </c>
      <c r="CX211" s="52">
        <v>25</v>
      </c>
      <c r="CY211" s="52"/>
      <c r="CZ211" s="52"/>
      <c r="DA211" s="52"/>
      <c r="DB211" s="52"/>
      <c r="DC211" s="52"/>
      <c r="DD211" s="52"/>
      <c r="DE211" s="52"/>
      <c r="DF211" s="52"/>
      <c r="DG211" s="52"/>
      <c r="DH211" s="52"/>
    </row>
    <row r="212" spans="58:112" ht="16.5" x14ac:dyDescent="0.2">
      <c r="BF212" s="52">
        <v>207</v>
      </c>
      <c r="BG212" s="14">
        <f t="shared" si="43"/>
        <v>0</v>
      </c>
      <c r="BH212" s="14">
        <f t="shared" si="44"/>
        <v>480</v>
      </c>
      <c r="BI212" s="14">
        <f t="shared" si="45"/>
        <v>0</v>
      </c>
      <c r="BJ212" s="14">
        <f t="shared" si="46"/>
        <v>1200</v>
      </c>
      <c r="BK212" s="14">
        <f t="shared" si="47"/>
        <v>480</v>
      </c>
      <c r="BL212" s="14">
        <f t="shared" si="48"/>
        <v>960</v>
      </c>
      <c r="CJ212" s="52">
        <v>208</v>
      </c>
      <c r="CK212" s="52">
        <v>3</v>
      </c>
      <c r="CL212" s="52" t="s">
        <v>244</v>
      </c>
      <c r="CM212" s="52">
        <v>8</v>
      </c>
      <c r="CN212" s="52"/>
      <c r="CO212" s="52"/>
      <c r="CP212" s="52"/>
      <c r="CQ212" s="52" t="s">
        <v>358</v>
      </c>
      <c r="CR212" s="52">
        <v>7200</v>
      </c>
      <c r="CS212" s="52" t="s">
        <v>359</v>
      </c>
      <c r="CT212" s="52">
        <v>20</v>
      </c>
      <c r="CU212" s="52"/>
      <c r="CV212" s="52"/>
      <c r="CW212" s="52" t="s">
        <v>359</v>
      </c>
      <c r="CX212" s="52">
        <v>25</v>
      </c>
      <c r="CY212" s="52"/>
      <c r="CZ212" s="52"/>
      <c r="DA212" s="52"/>
      <c r="DB212" s="52"/>
      <c r="DC212" s="52"/>
      <c r="DD212" s="52"/>
      <c r="DE212" s="52"/>
      <c r="DF212" s="52"/>
      <c r="DG212" s="52"/>
      <c r="DH212" s="52"/>
    </row>
    <row r="213" spans="58:112" ht="16.5" x14ac:dyDescent="0.2">
      <c r="BF213" s="52">
        <v>208</v>
      </c>
      <c r="BG213" s="14">
        <f t="shared" si="43"/>
        <v>0</v>
      </c>
      <c r="BH213" s="14">
        <f t="shared" si="44"/>
        <v>480</v>
      </c>
      <c r="BI213" s="14">
        <f t="shared" si="45"/>
        <v>0</v>
      </c>
      <c r="BJ213" s="14">
        <f t="shared" si="46"/>
        <v>1200</v>
      </c>
      <c r="BK213" s="14">
        <f t="shared" si="47"/>
        <v>480</v>
      </c>
      <c r="BL213" s="14">
        <f t="shared" si="48"/>
        <v>960</v>
      </c>
      <c r="CJ213" s="52">
        <v>209</v>
      </c>
      <c r="CK213" s="52">
        <v>3</v>
      </c>
      <c r="CL213" s="52" t="s">
        <v>244</v>
      </c>
      <c r="CM213" s="52">
        <v>9</v>
      </c>
      <c r="CN213" s="52"/>
      <c r="CO213" s="52"/>
      <c r="CP213" s="52"/>
      <c r="CQ213" s="52" t="s">
        <v>358</v>
      </c>
      <c r="CR213" s="52">
        <v>7200</v>
      </c>
      <c r="CS213" s="52" t="s">
        <v>359</v>
      </c>
      <c r="CT213" s="52">
        <v>20</v>
      </c>
      <c r="CU213" s="52"/>
      <c r="CV213" s="52"/>
      <c r="CW213" s="52" t="s">
        <v>359</v>
      </c>
      <c r="CX213" s="52">
        <v>25</v>
      </c>
      <c r="CY213" s="52"/>
      <c r="CZ213" s="52"/>
      <c r="DA213" s="52"/>
      <c r="DB213" s="52"/>
      <c r="DC213" s="52"/>
      <c r="DD213" s="52"/>
      <c r="DE213" s="52"/>
      <c r="DF213" s="52"/>
      <c r="DG213" s="52"/>
      <c r="DH213" s="52"/>
    </row>
    <row r="214" spans="58:112" ht="16.5" x14ac:dyDescent="0.2">
      <c r="BF214" s="52">
        <v>209</v>
      </c>
      <c r="BG214" s="14">
        <f t="shared" si="43"/>
        <v>0</v>
      </c>
      <c r="BH214" s="14">
        <f t="shared" si="44"/>
        <v>480</v>
      </c>
      <c r="BI214" s="14">
        <f t="shared" si="45"/>
        <v>0</v>
      </c>
      <c r="BJ214" s="14">
        <f t="shared" si="46"/>
        <v>1200</v>
      </c>
      <c r="BK214" s="14">
        <f t="shared" si="47"/>
        <v>480</v>
      </c>
      <c r="BL214" s="14">
        <f t="shared" si="48"/>
        <v>960</v>
      </c>
      <c r="CJ214" s="52">
        <v>210</v>
      </c>
      <c r="CK214" s="52">
        <v>3</v>
      </c>
      <c r="CL214" s="52" t="s">
        <v>244</v>
      </c>
      <c r="CM214" s="52">
        <v>10</v>
      </c>
      <c r="CN214" s="52"/>
      <c r="CO214" s="52"/>
      <c r="CP214" s="52"/>
      <c r="CQ214" s="52" t="s">
        <v>358</v>
      </c>
      <c r="CR214" s="52">
        <v>7200</v>
      </c>
      <c r="CS214" s="52" t="s">
        <v>359</v>
      </c>
      <c r="CT214" s="52">
        <v>20</v>
      </c>
      <c r="CU214" s="52" t="s">
        <v>267</v>
      </c>
      <c r="CV214" s="52">
        <v>1</v>
      </c>
      <c r="CW214" s="52" t="s">
        <v>359</v>
      </c>
      <c r="CX214" s="52">
        <v>30</v>
      </c>
      <c r="CY214" s="52"/>
      <c r="CZ214" s="52"/>
      <c r="DA214" s="52"/>
      <c r="DB214" s="52"/>
      <c r="DC214" s="52"/>
      <c r="DD214" s="52"/>
      <c r="DE214" s="52"/>
      <c r="DF214" s="52"/>
      <c r="DG214" s="52"/>
      <c r="DH214" s="52"/>
    </row>
    <row r="215" spans="58:112" ht="16.5" x14ac:dyDescent="0.2">
      <c r="BF215" s="52">
        <v>210</v>
      </c>
      <c r="BG215" s="14">
        <f t="shared" si="43"/>
        <v>0</v>
      </c>
      <c r="BH215" s="14">
        <f t="shared" si="44"/>
        <v>480</v>
      </c>
      <c r="BI215" s="14">
        <f t="shared" si="45"/>
        <v>0</v>
      </c>
      <c r="BJ215" s="14">
        <f t="shared" si="46"/>
        <v>1200</v>
      </c>
      <c r="BK215" s="14">
        <f t="shared" si="47"/>
        <v>480</v>
      </c>
      <c r="BL215" s="14">
        <f t="shared" si="48"/>
        <v>960</v>
      </c>
      <c r="CJ215" s="52">
        <v>211</v>
      </c>
      <c r="CK215" s="52">
        <v>3</v>
      </c>
      <c r="CL215" s="52" t="s">
        <v>244</v>
      </c>
      <c r="CM215" s="52">
        <v>11</v>
      </c>
      <c r="CN215" s="52"/>
      <c r="CO215" s="52"/>
      <c r="CP215" s="52"/>
      <c r="CQ215" s="52" t="s">
        <v>358</v>
      </c>
      <c r="CR215" s="52">
        <v>9000</v>
      </c>
      <c r="CS215" s="52" t="s">
        <v>359</v>
      </c>
      <c r="CT215" s="52">
        <v>25</v>
      </c>
      <c r="CU215" s="52"/>
      <c r="CV215" s="52"/>
      <c r="CW215" s="52" t="s">
        <v>359</v>
      </c>
      <c r="CX215" s="52">
        <v>30</v>
      </c>
      <c r="CY215" s="52"/>
      <c r="CZ215" s="52"/>
      <c r="DA215" s="52"/>
      <c r="DB215" s="52"/>
      <c r="DC215" s="52"/>
      <c r="DD215" s="52"/>
      <c r="DE215" s="52"/>
      <c r="DF215" s="52"/>
      <c r="DG215" s="52"/>
      <c r="DH215" s="52"/>
    </row>
    <row r="216" spans="58:112" ht="16.5" x14ac:dyDescent="0.2">
      <c r="BF216" s="52">
        <v>211</v>
      </c>
      <c r="BG216" s="14">
        <f t="shared" si="43"/>
        <v>0</v>
      </c>
      <c r="BH216" s="14">
        <f t="shared" si="44"/>
        <v>480</v>
      </c>
      <c r="BI216" s="14">
        <f t="shared" si="45"/>
        <v>0</v>
      </c>
      <c r="BJ216" s="14">
        <f t="shared" si="46"/>
        <v>1200</v>
      </c>
      <c r="BK216" s="14">
        <f t="shared" si="47"/>
        <v>480</v>
      </c>
      <c r="BL216" s="14">
        <f t="shared" si="48"/>
        <v>960</v>
      </c>
      <c r="CJ216" s="52">
        <v>212</v>
      </c>
      <c r="CK216" s="52">
        <v>3</v>
      </c>
      <c r="CL216" s="52" t="s">
        <v>244</v>
      </c>
      <c r="CM216" s="52">
        <v>12</v>
      </c>
      <c r="CN216" s="52"/>
      <c r="CO216" s="52"/>
      <c r="CP216" s="52"/>
      <c r="CQ216" s="52" t="s">
        <v>358</v>
      </c>
      <c r="CR216" s="52">
        <v>9000</v>
      </c>
      <c r="CS216" s="52" t="s">
        <v>359</v>
      </c>
      <c r="CT216" s="52">
        <v>25</v>
      </c>
      <c r="CU216" s="52"/>
      <c r="CV216" s="52"/>
      <c r="CW216" s="52" t="s">
        <v>359</v>
      </c>
      <c r="CX216" s="52">
        <v>30</v>
      </c>
      <c r="CY216" s="52"/>
      <c r="CZ216" s="52"/>
      <c r="DA216" s="52"/>
      <c r="DB216" s="52"/>
      <c r="DC216" s="52"/>
      <c r="DD216" s="52"/>
      <c r="DE216" s="52"/>
      <c r="DF216" s="52"/>
      <c r="DG216" s="52"/>
      <c r="DH216" s="52"/>
    </row>
    <row r="217" spans="58:112" ht="16.5" x14ac:dyDescent="0.2">
      <c r="BF217" s="52">
        <v>212</v>
      </c>
      <c r="BG217" s="14">
        <f t="shared" si="43"/>
        <v>0</v>
      </c>
      <c r="BH217" s="14">
        <f t="shared" si="44"/>
        <v>480</v>
      </c>
      <c r="BI217" s="14">
        <f t="shared" si="45"/>
        <v>0</v>
      </c>
      <c r="BJ217" s="14">
        <f t="shared" si="46"/>
        <v>1200</v>
      </c>
      <c r="BK217" s="14">
        <f t="shared" si="47"/>
        <v>480</v>
      </c>
      <c r="BL217" s="14">
        <f t="shared" si="48"/>
        <v>960</v>
      </c>
      <c r="CJ217" s="52">
        <v>213</v>
      </c>
      <c r="CK217" s="52">
        <v>3</v>
      </c>
      <c r="CL217" s="52" t="s">
        <v>244</v>
      </c>
      <c r="CM217" s="52">
        <v>13</v>
      </c>
      <c r="CN217" s="52"/>
      <c r="CO217" s="52"/>
      <c r="CP217" s="52"/>
      <c r="CQ217" s="52" t="s">
        <v>358</v>
      </c>
      <c r="CR217" s="52">
        <v>9000</v>
      </c>
      <c r="CS217" s="52" t="s">
        <v>359</v>
      </c>
      <c r="CT217" s="52">
        <v>25</v>
      </c>
      <c r="CU217" s="52"/>
      <c r="CV217" s="52"/>
      <c r="CW217" s="52" t="s">
        <v>359</v>
      </c>
      <c r="CX217" s="52">
        <v>30</v>
      </c>
      <c r="CY217" s="52"/>
      <c r="CZ217" s="52"/>
      <c r="DA217" s="52"/>
      <c r="DB217" s="52"/>
      <c r="DC217" s="52"/>
      <c r="DD217" s="52"/>
      <c r="DE217" s="52"/>
      <c r="DF217" s="52"/>
      <c r="DG217" s="52"/>
      <c r="DH217" s="52"/>
    </row>
    <row r="218" spans="58:112" ht="16.5" x14ac:dyDescent="0.2">
      <c r="BF218" s="52">
        <v>213</v>
      </c>
      <c r="BG218" s="14">
        <f t="shared" si="43"/>
        <v>0</v>
      </c>
      <c r="BH218" s="14">
        <f t="shared" si="44"/>
        <v>480</v>
      </c>
      <c r="BI218" s="14">
        <f t="shared" si="45"/>
        <v>0</v>
      </c>
      <c r="BJ218" s="14">
        <f t="shared" si="46"/>
        <v>1200</v>
      </c>
      <c r="BK218" s="14">
        <f t="shared" si="47"/>
        <v>480</v>
      </c>
      <c r="BL218" s="14">
        <f t="shared" si="48"/>
        <v>960</v>
      </c>
      <c r="CJ218" s="52">
        <v>214</v>
      </c>
      <c r="CK218" s="52">
        <v>3</v>
      </c>
      <c r="CL218" s="52" t="s">
        <v>244</v>
      </c>
      <c r="CM218" s="52">
        <v>14</v>
      </c>
      <c r="CN218" s="52"/>
      <c r="CO218" s="52"/>
      <c r="CP218" s="52"/>
      <c r="CQ218" s="52" t="s">
        <v>358</v>
      </c>
      <c r="CR218" s="52">
        <v>9000</v>
      </c>
      <c r="CS218" s="52" t="s">
        <v>359</v>
      </c>
      <c r="CT218" s="52">
        <v>25</v>
      </c>
      <c r="CU218" s="52"/>
      <c r="CV218" s="52"/>
      <c r="CW218" s="52" t="s">
        <v>359</v>
      </c>
      <c r="CX218" s="52">
        <v>30</v>
      </c>
      <c r="CY218" s="52"/>
      <c r="CZ218" s="52"/>
      <c r="DA218" s="52"/>
      <c r="DB218" s="52"/>
      <c r="DC218" s="52"/>
      <c r="DD218" s="52"/>
      <c r="DE218" s="52"/>
      <c r="DF218" s="52"/>
      <c r="DG218" s="52"/>
      <c r="DH218" s="52"/>
    </row>
    <row r="219" spans="58:112" ht="16.5" x14ac:dyDescent="0.2">
      <c r="BF219" s="52">
        <v>214</v>
      </c>
      <c r="BG219" s="14">
        <f t="shared" si="43"/>
        <v>0</v>
      </c>
      <c r="BH219" s="14">
        <f t="shared" si="44"/>
        <v>480</v>
      </c>
      <c r="BI219" s="14">
        <f t="shared" si="45"/>
        <v>0</v>
      </c>
      <c r="BJ219" s="14">
        <f t="shared" si="46"/>
        <v>1200</v>
      </c>
      <c r="BK219" s="14">
        <f t="shared" si="47"/>
        <v>480</v>
      </c>
      <c r="BL219" s="14">
        <f t="shared" si="48"/>
        <v>960</v>
      </c>
      <c r="CJ219" s="52">
        <v>215</v>
      </c>
      <c r="CK219" s="52">
        <v>3</v>
      </c>
      <c r="CL219" s="52" t="s">
        <v>244</v>
      </c>
      <c r="CM219" s="52">
        <v>15</v>
      </c>
      <c r="CN219" s="52"/>
      <c r="CO219" s="52"/>
      <c r="CP219" s="52"/>
      <c r="CQ219" s="52" t="s">
        <v>358</v>
      </c>
      <c r="CR219" s="52">
        <v>9000</v>
      </c>
      <c r="CS219" s="52" t="s">
        <v>359</v>
      </c>
      <c r="CT219" s="52">
        <v>25</v>
      </c>
      <c r="CU219" s="52" t="s">
        <v>262</v>
      </c>
      <c r="CV219" s="52">
        <v>2</v>
      </c>
      <c r="CW219" s="52" t="s">
        <v>359</v>
      </c>
      <c r="CX219" s="52">
        <v>35</v>
      </c>
      <c r="CY219" s="52"/>
      <c r="CZ219" s="52"/>
      <c r="DA219" s="52"/>
      <c r="DB219" s="52"/>
      <c r="DC219" s="52"/>
      <c r="DD219" s="52"/>
      <c r="DE219" s="52"/>
      <c r="DF219" s="52"/>
      <c r="DG219" s="52"/>
      <c r="DH219" s="52"/>
    </row>
    <row r="220" spans="58:112" ht="16.5" x14ac:dyDescent="0.2">
      <c r="BF220" s="52">
        <v>215</v>
      </c>
      <c r="BG220" s="14">
        <f t="shared" si="43"/>
        <v>0</v>
      </c>
      <c r="BH220" s="14">
        <f t="shared" si="44"/>
        <v>480</v>
      </c>
      <c r="BI220" s="14">
        <f t="shared" si="45"/>
        <v>0</v>
      </c>
      <c r="BJ220" s="14">
        <f t="shared" si="46"/>
        <v>1200</v>
      </c>
      <c r="BK220" s="14">
        <f t="shared" si="47"/>
        <v>480</v>
      </c>
      <c r="BL220" s="14">
        <f t="shared" si="48"/>
        <v>960</v>
      </c>
      <c r="CJ220" s="52">
        <v>216</v>
      </c>
      <c r="CK220" s="52">
        <v>3</v>
      </c>
      <c r="CL220" s="52" t="s">
        <v>244</v>
      </c>
      <c r="CM220" s="52">
        <v>16</v>
      </c>
      <c r="CN220" s="52"/>
      <c r="CO220" s="52"/>
      <c r="CP220" s="52"/>
      <c r="CQ220" s="52" t="s">
        <v>358</v>
      </c>
      <c r="CR220" s="52">
        <v>10800</v>
      </c>
      <c r="CS220" s="52" t="s">
        <v>359</v>
      </c>
      <c r="CT220" s="52">
        <v>30</v>
      </c>
      <c r="CU220" s="52"/>
      <c r="CV220" s="52"/>
      <c r="CW220" s="52" t="s">
        <v>359</v>
      </c>
      <c r="CX220" s="52">
        <v>35</v>
      </c>
      <c r="CY220" s="52"/>
      <c r="CZ220" s="52"/>
      <c r="DA220" s="52"/>
      <c r="DB220" s="52"/>
      <c r="DC220" s="52"/>
      <c r="DD220" s="52"/>
      <c r="DE220" s="52"/>
      <c r="DF220" s="52"/>
      <c r="DG220" s="52"/>
      <c r="DH220" s="52"/>
    </row>
    <row r="221" spans="58:112" ht="16.5" x14ac:dyDescent="0.2">
      <c r="BF221" s="52">
        <v>216</v>
      </c>
      <c r="BG221" s="14">
        <f t="shared" si="43"/>
        <v>0</v>
      </c>
      <c r="BH221" s="14">
        <f t="shared" si="44"/>
        <v>480</v>
      </c>
      <c r="BI221" s="14">
        <f t="shared" si="45"/>
        <v>0</v>
      </c>
      <c r="BJ221" s="14">
        <f t="shared" si="46"/>
        <v>1200</v>
      </c>
      <c r="BK221" s="14">
        <f t="shared" si="47"/>
        <v>480</v>
      </c>
      <c r="BL221" s="14">
        <f t="shared" si="48"/>
        <v>960</v>
      </c>
      <c r="CJ221" s="52">
        <v>217</v>
      </c>
      <c r="CK221" s="52">
        <v>3</v>
      </c>
      <c r="CL221" s="52" t="s">
        <v>244</v>
      </c>
      <c r="CM221" s="52">
        <v>17</v>
      </c>
      <c r="CN221" s="52"/>
      <c r="CO221" s="52"/>
      <c r="CP221" s="52"/>
      <c r="CQ221" s="52" t="s">
        <v>358</v>
      </c>
      <c r="CR221" s="52">
        <v>10800</v>
      </c>
      <c r="CS221" s="52" t="s">
        <v>359</v>
      </c>
      <c r="CT221" s="52">
        <v>30</v>
      </c>
      <c r="CU221" s="52"/>
      <c r="CV221" s="52"/>
      <c r="CW221" s="52" t="s">
        <v>359</v>
      </c>
      <c r="CX221" s="52">
        <v>35</v>
      </c>
      <c r="CY221" s="52"/>
      <c r="CZ221" s="52"/>
      <c r="DA221" s="52"/>
      <c r="DB221" s="52"/>
      <c r="DC221" s="52"/>
      <c r="DD221" s="52"/>
      <c r="DE221" s="52"/>
      <c r="DF221" s="52"/>
      <c r="DG221" s="52"/>
      <c r="DH221" s="52"/>
    </row>
    <row r="222" spans="58:112" ht="16.5" x14ac:dyDescent="0.2">
      <c r="BF222" s="52">
        <v>217</v>
      </c>
      <c r="BG222" s="14">
        <f t="shared" si="43"/>
        <v>0</v>
      </c>
      <c r="BH222" s="14">
        <f t="shared" si="44"/>
        <v>480</v>
      </c>
      <c r="BI222" s="14">
        <f t="shared" si="45"/>
        <v>0</v>
      </c>
      <c r="BJ222" s="14">
        <f t="shared" si="46"/>
        <v>1200</v>
      </c>
      <c r="BK222" s="14">
        <f t="shared" si="47"/>
        <v>480</v>
      </c>
      <c r="BL222" s="14">
        <f t="shared" si="48"/>
        <v>960</v>
      </c>
      <c r="CJ222" s="52">
        <v>218</v>
      </c>
      <c r="CK222" s="52">
        <v>3</v>
      </c>
      <c r="CL222" s="52" t="s">
        <v>244</v>
      </c>
      <c r="CM222" s="52">
        <v>18</v>
      </c>
      <c r="CN222" s="52"/>
      <c r="CO222" s="52"/>
      <c r="CP222" s="52"/>
      <c r="CQ222" s="52" t="s">
        <v>358</v>
      </c>
      <c r="CR222" s="52">
        <v>10800</v>
      </c>
      <c r="CS222" s="52" t="s">
        <v>359</v>
      </c>
      <c r="CT222" s="52">
        <v>30</v>
      </c>
      <c r="CU222" s="52"/>
      <c r="CV222" s="52"/>
      <c r="CW222" s="52" t="s">
        <v>359</v>
      </c>
      <c r="CX222" s="52">
        <v>35</v>
      </c>
      <c r="CY222" s="52"/>
      <c r="CZ222" s="52"/>
      <c r="DA222" s="52"/>
      <c r="DB222" s="52"/>
      <c r="DC222" s="52"/>
      <c r="DD222" s="52"/>
      <c r="DE222" s="52"/>
      <c r="DF222" s="52"/>
      <c r="DG222" s="52"/>
      <c r="DH222" s="52"/>
    </row>
    <row r="223" spans="58:112" ht="16.5" x14ac:dyDescent="0.2">
      <c r="BF223" s="52">
        <v>218</v>
      </c>
      <c r="BG223" s="14">
        <f t="shared" si="43"/>
        <v>0</v>
      </c>
      <c r="BH223" s="14">
        <f t="shared" si="44"/>
        <v>480</v>
      </c>
      <c r="BI223" s="14">
        <f t="shared" si="45"/>
        <v>0</v>
      </c>
      <c r="BJ223" s="14">
        <f t="shared" si="46"/>
        <v>1200</v>
      </c>
      <c r="BK223" s="14">
        <f t="shared" si="47"/>
        <v>480</v>
      </c>
      <c r="BL223" s="14">
        <f t="shared" si="48"/>
        <v>960</v>
      </c>
      <c r="CJ223" s="52">
        <v>219</v>
      </c>
      <c r="CK223" s="52">
        <v>3</v>
      </c>
      <c r="CL223" s="52" t="s">
        <v>244</v>
      </c>
      <c r="CM223" s="52">
        <v>19</v>
      </c>
      <c r="CN223" s="52"/>
      <c r="CO223" s="52"/>
      <c r="CP223" s="52"/>
      <c r="CQ223" s="52" t="s">
        <v>358</v>
      </c>
      <c r="CR223" s="52">
        <v>10800</v>
      </c>
      <c r="CS223" s="52" t="s">
        <v>359</v>
      </c>
      <c r="CT223" s="52">
        <v>30</v>
      </c>
      <c r="CU223" s="52"/>
      <c r="CV223" s="52"/>
      <c r="CW223" s="52" t="s">
        <v>359</v>
      </c>
      <c r="CX223" s="52">
        <v>35</v>
      </c>
      <c r="CY223" s="52"/>
      <c r="CZ223" s="52"/>
      <c r="DA223" s="52"/>
      <c r="DB223" s="52"/>
      <c r="DC223" s="52"/>
      <c r="DD223" s="52"/>
      <c r="DE223" s="52"/>
      <c r="DF223" s="52"/>
      <c r="DG223" s="52"/>
      <c r="DH223" s="52"/>
    </row>
    <row r="224" spans="58:112" ht="16.5" x14ac:dyDescent="0.2">
      <c r="BF224" s="52">
        <v>219</v>
      </c>
      <c r="BG224" s="14">
        <f t="shared" si="43"/>
        <v>0</v>
      </c>
      <c r="BH224" s="14">
        <f t="shared" si="44"/>
        <v>480</v>
      </c>
      <c r="BI224" s="14">
        <f t="shared" si="45"/>
        <v>0</v>
      </c>
      <c r="BJ224" s="14">
        <f t="shared" si="46"/>
        <v>1200</v>
      </c>
      <c r="BK224" s="14">
        <f t="shared" si="47"/>
        <v>480</v>
      </c>
      <c r="BL224" s="14">
        <f t="shared" si="48"/>
        <v>960</v>
      </c>
      <c r="CJ224" s="52">
        <v>220</v>
      </c>
      <c r="CK224" s="52">
        <v>3</v>
      </c>
      <c r="CL224" s="52" t="s">
        <v>244</v>
      </c>
      <c r="CM224" s="52">
        <v>20</v>
      </c>
      <c r="CN224" s="52"/>
      <c r="CO224" s="52"/>
      <c r="CP224" s="52"/>
      <c r="CQ224" s="52" t="s">
        <v>358</v>
      </c>
      <c r="CR224" s="52">
        <v>12960</v>
      </c>
      <c r="CS224" s="52" t="s">
        <v>359</v>
      </c>
      <c r="CT224" s="52">
        <v>30</v>
      </c>
      <c r="CU224" s="52" t="s">
        <v>263</v>
      </c>
      <c r="CV224" s="52">
        <v>2</v>
      </c>
      <c r="CW224" s="52" t="s">
        <v>359</v>
      </c>
      <c r="CX224" s="52">
        <v>40</v>
      </c>
      <c r="CY224" s="52"/>
      <c r="CZ224" s="52"/>
      <c r="DA224" s="52"/>
      <c r="DB224" s="52"/>
      <c r="DC224" s="52"/>
      <c r="DD224" s="52"/>
      <c r="DE224" s="52"/>
      <c r="DF224" s="52"/>
      <c r="DG224" s="52"/>
      <c r="DH224" s="52"/>
    </row>
    <row r="225" spans="58:112" ht="16.5" x14ac:dyDescent="0.2">
      <c r="BF225" s="52">
        <v>220</v>
      </c>
      <c r="BG225" s="14">
        <f t="shared" si="43"/>
        <v>0</v>
      </c>
      <c r="BH225" s="14">
        <f t="shared" si="44"/>
        <v>480</v>
      </c>
      <c r="BI225" s="14">
        <f t="shared" si="45"/>
        <v>0</v>
      </c>
      <c r="BJ225" s="14">
        <f t="shared" si="46"/>
        <v>1200</v>
      </c>
      <c r="BK225" s="14">
        <f t="shared" si="47"/>
        <v>480</v>
      </c>
      <c r="BL225" s="14">
        <f t="shared" si="48"/>
        <v>960</v>
      </c>
      <c r="CJ225" s="52">
        <v>221</v>
      </c>
      <c r="CK225" s="52">
        <v>3</v>
      </c>
      <c r="CL225" s="52" t="s">
        <v>244</v>
      </c>
      <c r="CM225" s="52">
        <v>21</v>
      </c>
      <c r="CN225" s="52"/>
      <c r="CO225" s="52"/>
      <c r="CP225" s="52"/>
      <c r="CQ225" s="52" t="s">
        <v>358</v>
      </c>
      <c r="CR225" s="52">
        <v>12960</v>
      </c>
      <c r="CS225" s="52" t="s">
        <v>359</v>
      </c>
      <c r="CT225" s="52">
        <v>35</v>
      </c>
      <c r="CU225" s="52"/>
      <c r="CV225" s="52"/>
      <c r="CW225" s="52" t="s">
        <v>359</v>
      </c>
      <c r="CX225" s="52">
        <v>40</v>
      </c>
      <c r="CY225" s="52"/>
      <c r="CZ225" s="52"/>
      <c r="DA225" s="52"/>
      <c r="DB225" s="52"/>
      <c r="DC225" s="52"/>
      <c r="DD225" s="52"/>
      <c r="DE225" s="52"/>
      <c r="DF225" s="52"/>
      <c r="DG225" s="52"/>
      <c r="DH225" s="52"/>
    </row>
    <row r="226" spans="58:112" ht="16.5" x14ac:dyDescent="0.2">
      <c r="BF226" s="52">
        <v>221</v>
      </c>
      <c r="BG226" s="14">
        <f t="shared" si="43"/>
        <v>0</v>
      </c>
      <c r="BH226" s="14">
        <f t="shared" si="44"/>
        <v>480</v>
      </c>
      <c r="BI226" s="14">
        <f t="shared" si="45"/>
        <v>0</v>
      </c>
      <c r="BJ226" s="14">
        <f t="shared" si="46"/>
        <v>1200</v>
      </c>
      <c r="BK226" s="14">
        <f t="shared" si="47"/>
        <v>480</v>
      </c>
      <c r="BL226" s="14">
        <f t="shared" si="48"/>
        <v>960</v>
      </c>
      <c r="CJ226" s="52">
        <v>222</v>
      </c>
      <c r="CK226" s="52">
        <v>3</v>
      </c>
      <c r="CL226" s="52" t="s">
        <v>244</v>
      </c>
      <c r="CM226" s="52">
        <v>22</v>
      </c>
      <c r="CN226" s="52"/>
      <c r="CO226" s="52"/>
      <c r="CP226" s="52"/>
      <c r="CQ226" s="52" t="s">
        <v>358</v>
      </c>
      <c r="CR226" s="52">
        <v>12960</v>
      </c>
      <c r="CS226" s="52" t="s">
        <v>359</v>
      </c>
      <c r="CT226" s="52">
        <v>35</v>
      </c>
      <c r="CU226" s="52"/>
      <c r="CV226" s="52"/>
      <c r="CW226" s="52" t="s">
        <v>359</v>
      </c>
      <c r="CX226" s="52">
        <v>40</v>
      </c>
      <c r="CY226" s="52"/>
      <c r="CZ226" s="52"/>
      <c r="DA226" s="52"/>
      <c r="DB226" s="52"/>
      <c r="DC226" s="52"/>
      <c r="DD226" s="52"/>
      <c r="DE226" s="52"/>
      <c r="DF226" s="52"/>
      <c r="DG226" s="52"/>
      <c r="DH226" s="52"/>
    </row>
    <row r="227" spans="58:112" ht="16.5" x14ac:dyDescent="0.2">
      <c r="BF227" s="52">
        <v>222</v>
      </c>
      <c r="BG227" s="14">
        <f t="shared" si="43"/>
        <v>0</v>
      </c>
      <c r="BH227" s="14">
        <f t="shared" si="44"/>
        <v>480</v>
      </c>
      <c r="BI227" s="14">
        <f t="shared" si="45"/>
        <v>0</v>
      </c>
      <c r="BJ227" s="14">
        <f t="shared" si="46"/>
        <v>1200</v>
      </c>
      <c r="BK227" s="14">
        <f t="shared" si="47"/>
        <v>480</v>
      </c>
      <c r="BL227" s="14">
        <f t="shared" si="48"/>
        <v>960</v>
      </c>
      <c r="CJ227" s="52">
        <v>223</v>
      </c>
      <c r="CK227" s="52">
        <v>3</v>
      </c>
      <c r="CL227" s="52" t="s">
        <v>244</v>
      </c>
      <c r="CM227" s="52">
        <v>23</v>
      </c>
      <c r="CN227" s="52"/>
      <c r="CO227" s="52"/>
      <c r="CP227" s="52"/>
      <c r="CQ227" s="52" t="s">
        <v>358</v>
      </c>
      <c r="CR227" s="52">
        <v>12960</v>
      </c>
      <c r="CS227" s="52" t="s">
        <v>359</v>
      </c>
      <c r="CT227" s="52">
        <v>35</v>
      </c>
      <c r="CU227" s="52"/>
      <c r="CV227" s="52"/>
      <c r="CW227" s="52" t="s">
        <v>359</v>
      </c>
      <c r="CX227" s="52">
        <v>40</v>
      </c>
      <c r="CY227" s="52"/>
      <c r="CZ227" s="52"/>
      <c r="DA227" s="52"/>
      <c r="DB227" s="52"/>
      <c r="DC227" s="52"/>
      <c r="DD227" s="52"/>
      <c r="DE227" s="52"/>
      <c r="DF227" s="52"/>
      <c r="DG227" s="52"/>
      <c r="DH227" s="52"/>
    </row>
    <row r="228" spans="58:112" ht="16.5" x14ac:dyDescent="0.2">
      <c r="BF228" s="52">
        <v>223</v>
      </c>
      <c r="BG228" s="14">
        <f t="shared" si="43"/>
        <v>0</v>
      </c>
      <c r="BH228" s="14">
        <f t="shared" si="44"/>
        <v>480</v>
      </c>
      <c r="BI228" s="14">
        <f t="shared" si="45"/>
        <v>0</v>
      </c>
      <c r="BJ228" s="14">
        <f t="shared" si="46"/>
        <v>1200</v>
      </c>
      <c r="BK228" s="14">
        <f t="shared" si="47"/>
        <v>480</v>
      </c>
      <c r="BL228" s="14">
        <f t="shared" si="48"/>
        <v>960</v>
      </c>
      <c r="CJ228" s="52">
        <v>224</v>
      </c>
      <c r="CK228" s="52">
        <v>3</v>
      </c>
      <c r="CL228" s="52" t="s">
        <v>244</v>
      </c>
      <c r="CM228" s="52">
        <v>24</v>
      </c>
      <c r="CN228" s="52"/>
      <c r="CO228" s="52"/>
      <c r="CP228" s="52"/>
      <c r="CQ228" s="52" t="s">
        <v>358</v>
      </c>
      <c r="CR228" s="52">
        <v>12960</v>
      </c>
      <c r="CS228" s="52" t="s">
        <v>359</v>
      </c>
      <c r="CT228" s="52">
        <v>35</v>
      </c>
      <c r="CU228" s="52"/>
      <c r="CV228" s="52"/>
      <c r="CW228" s="52" t="s">
        <v>359</v>
      </c>
      <c r="CX228" s="52">
        <v>40</v>
      </c>
      <c r="CY228" s="52"/>
      <c r="CZ228" s="52"/>
      <c r="DA228" s="52"/>
      <c r="DB228" s="52"/>
      <c r="DC228" s="52"/>
      <c r="DD228" s="52"/>
      <c r="DE228" s="52"/>
      <c r="DF228" s="52"/>
      <c r="DG228" s="52"/>
      <c r="DH228" s="52"/>
    </row>
    <row r="229" spans="58:112" ht="16.5" x14ac:dyDescent="0.2">
      <c r="BF229" s="52">
        <v>224</v>
      </c>
      <c r="BG229" s="14">
        <f t="shared" si="43"/>
        <v>0</v>
      </c>
      <c r="BH229" s="14">
        <f t="shared" si="44"/>
        <v>480</v>
      </c>
      <c r="BI229" s="14">
        <f t="shared" si="45"/>
        <v>0</v>
      </c>
      <c r="BJ229" s="14">
        <f t="shared" si="46"/>
        <v>1200</v>
      </c>
      <c r="BK229" s="14">
        <f t="shared" si="47"/>
        <v>480</v>
      </c>
      <c r="BL229" s="14">
        <f t="shared" si="48"/>
        <v>960</v>
      </c>
      <c r="CJ229" s="52">
        <v>225</v>
      </c>
      <c r="CK229" s="52">
        <v>3</v>
      </c>
      <c r="CL229" s="52" t="s">
        <v>244</v>
      </c>
      <c r="CM229" s="52">
        <v>25</v>
      </c>
      <c r="CN229" s="52"/>
      <c r="CO229" s="52"/>
      <c r="CP229" s="52"/>
      <c r="CQ229" s="52" t="s">
        <v>358</v>
      </c>
      <c r="CR229" s="52">
        <v>12960</v>
      </c>
      <c r="CS229" s="52" t="s">
        <v>359</v>
      </c>
      <c r="CT229" s="52">
        <v>35</v>
      </c>
      <c r="CU229" s="52" t="s">
        <v>266</v>
      </c>
      <c r="CV229" s="52">
        <v>2</v>
      </c>
      <c r="CW229" s="52" t="s">
        <v>359</v>
      </c>
      <c r="CX229" s="52">
        <v>45</v>
      </c>
      <c r="CY229" s="52"/>
      <c r="CZ229" s="52"/>
      <c r="DA229" s="52"/>
      <c r="DB229" s="52"/>
      <c r="DC229" s="52"/>
      <c r="DD229" s="52"/>
      <c r="DE229" s="52"/>
      <c r="DF229" s="52"/>
      <c r="DG229" s="52"/>
      <c r="DH229" s="52"/>
    </row>
    <row r="230" spans="58:112" ht="16.5" x14ac:dyDescent="0.2">
      <c r="BF230" s="52">
        <v>225</v>
      </c>
      <c r="BG230" s="14">
        <f t="shared" si="43"/>
        <v>0</v>
      </c>
      <c r="BH230" s="14">
        <f t="shared" si="44"/>
        <v>480</v>
      </c>
      <c r="BI230" s="14">
        <f t="shared" si="45"/>
        <v>0</v>
      </c>
      <c r="BJ230" s="14">
        <f t="shared" si="46"/>
        <v>1200</v>
      </c>
      <c r="BK230" s="14">
        <f t="shared" si="47"/>
        <v>480</v>
      </c>
      <c r="BL230" s="14">
        <f t="shared" si="48"/>
        <v>960</v>
      </c>
      <c r="CJ230" s="52">
        <v>226</v>
      </c>
      <c r="CK230" s="52">
        <v>3</v>
      </c>
      <c r="CL230" s="52" t="s">
        <v>244</v>
      </c>
      <c r="CM230" s="52">
        <v>26</v>
      </c>
      <c r="CN230" s="52"/>
      <c r="CO230" s="52"/>
      <c r="CP230" s="52"/>
      <c r="CQ230" s="52" t="s">
        <v>358</v>
      </c>
      <c r="CR230" s="52">
        <v>12960</v>
      </c>
      <c r="CS230" s="52" t="s">
        <v>359</v>
      </c>
      <c r="CT230" s="52">
        <v>40</v>
      </c>
      <c r="CU230" s="52"/>
      <c r="CV230" s="52"/>
      <c r="CW230" s="52" t="s">
        <v>359</v>
      </c>
      <c r="CX230" s="52">
        <v>45</v>
      </c>
      <c r="CY230" s="52"/>
      <c r="CZ230" s="52"/>
      <c r="DA230" s="52"/>
      <c r="DB230" s="52"/>
      <c r="DC230" s="52"/>
      <c r="DD230" s="52"/>
      <c r="DE230" s="52"/>
      <c r="DF230" s="52"/>
      <c r="DG230" s="52"/>
      <c r="DH230" s="52"/>
    </row>
    <row r="231" spans="58:112" ht="16.5" x14ac:dyDescent="0.2">
      <c r="BF231" s="52">
        <v>226</v>
      </c>
      <c r="BG231" s="14">
        <f t="shared" si="43"/>
        <v>0</v>
      </c>
      <c r="BH231" s="14">
        <f t="shared" si="44"/>
        <v>480</v>
      </c>
      <c r="BI231" s="14">
        <f t="shared" si="45"/>
        <v>0</v>
      </c>
      <c r="BJ231" s="14">
        <f t="shared" si="46"/>
        <v>1200</v>
      </c>
      <c r="BK231" s="14">
        <f t="shared" si="47"/>
        <v>480</v>
      </c>
      <c r="BL231" s="14">
        <f t="shared" si="48"/>
        <v>960</v>
      </c>
      <c r="CJ231" s="52">
        <v>227</v>
      </c>
      <c r="CK231" s="52">
        <v>3</v>
      </c>
      <c r="CL231" s="52" t="s">
        <v>244</v>
      </c>
      <c r="CM231" s="52">
        <v>27</v>
      </c>
      <c r="CN231" s="52"/>
      <c r="CO231" s="52"/>
      <c r="CP231" s="52"/>
      <c r="CQ231" s="52" t="s">
        <v>358</v>
      </c>
      <c r="CR231" s="52">
        <v>12960</v>
      </c>
      <c r="CS231" s="52" t="s">
        <v>359</v>
      </c>
      <c r="CT231" s="52">
        <v>40</v>
      </c>
      <c r="CU231" s="52"/>
      <c r="CV231" s="52"/>
      <c r="CW231" s="52" t="s">
        <v>359</v>
      </c>
      <c r="CX231" s="52">
        <v>45</v>
      </c>
      <c r="CY231" s="52"/>
      <c r="CZ231" s="52"/>
      <c r="DA231" s="52"/>
      <c r="DB231" s="52"/>
      <c r="DC231" s="52"/>
      <c r="DD231" s="52"/>
      <c r="DE231" s="52"/>
      <c r="DF231" s="52"/>
      <c r="DG231" s="52"/>
      <c r="DH231" s="52"/>
    </row>
    <row r="232" spans="58:112" ht="16.5" x14ac:dyDescent="0.2">
      <c r="BF232" s="52">
        <v>227</v>
      </c>
      <c r="BG232" s="14">
        <f t="shared" si="43"/>
        <v>0</v>
      </c>
      <c r="BH232" s="14">
        <f t="shared" si="44"/>
        <v>480</v>
      </c>
      <c r="BI232" s="14">
        <f t="shared" si="45"/>
        <v>0</v>
      </c>
      <c r="BJ232" s="14">
        <f t="shared" si="46"/>
        <v>1200</v>
      </c>
      <c r="BK232" s="14">
        <f t="shared" si="47"/>
        <v>480</v>
      </c>
      <c r="BL232" s="14">
        <f t="shared" si="48"/>
        <v>960</v>
      </c>
      <c r="CJ232" s="52">
        <v>228</v>
      </c>
      <c r="CK232" s="52">
        <v>3</v>
      </c>
      <c r="CL232" s="52" t="s">
        <v>244</v>
      </c>
      <c r="CM232" s="52">
        <v>28</v>
      </c>
      <c r="CN232" s="52"/>
      <c r="CO232" s="52"/>
      <c r="CP232" s="52"/>
      <c r="CQ232" s="52" t="s">
        <v>358</v>
      </c>
      <c r="CR232" s="52">
        <v>12960</v>
      </c>
      <c r="CS232" s="52" t="s">
        <v>359</v>
      </c>
      <c r="CT232" s="52">
        <v>40</v>
      </c>
      <c r="CU232" s="52"/>
      <c r="CV232" s="52"/>
      <c r="CW232" s="52" t="s">
        <v>359</v>
      </c>
      <c r="CX232" s="52">
        <v>45</v>
      </c>
      <c r="CY232" s="52"/>
      <c r="CZ232" s="52"/>
      <c r="DA232" s="52"/>
      <c r="DB232" s="52"/>
      <c r="DC232" s="52"/>
      <c r="DD232" s="52"/>
      <c r="DE232" s="52"/>
      <c r="DF232" s="52"/>
      <c r="DG232" s="52"/>
      <c r="DH232" s="52"/>
    </row>
    <row r="233" spans="58:112" ht="16.5" x14ac:dyDescent="0.2">
      <c r="BF233" s="52">
        <v>228</v>
      </c>
      <c r="BG233" s="14">
        <f t="shared" si="43"/>
        <v>0</v>
      </c>
      <c r="BH233" s="14">
        <f t="shared" si="44"/>
        <v>480</v>
      </c>
      <c r="BI233" s="14">
        <f t="shared" si="45"/>
        <v>0</v>
      </c>
      <c r="BJ233" s="14">
        <f t="shared" si="46"/>
        <v>1200</v>
      </c>
      <c r="BK233" s="14">
        <f t="shared" si="47"/>
        <v>480</v>
      </c>
      <c r="BL233" s="14">
        <f t="shared" si="48"/>
        <v>960</v>
      </c>
      <c r="CJ233" s="52">
        <v>229</v>
      </c>
      <c r="CK233" s="52">
        <v>3</v>
      </c>
      <c r="CL233" s="52" t="s">
        <v>244</v>
      </c>
      <c r="CM233" s="52">
        <v>29</v>
      </c>
      <c r="CN233" s="52"/>
      <c r="CO233" s="52"/>
      <c r="CP233" s="52"/>
      <c r="CQ233" s="52" t="s">
        <v>358</v>
      </c>
      <c r="CR233" s="52">
        <v>12960</v>
      </c>
      <c r="CS233" s="52" t="s">
        <v>359</v>
      </c>
      <c r="CT233" s="52">
        <v>40</v>
      </c>
      <c r="CU233" s="52"/>
      <c r="CV233" s="52"/>
      <c r="CW233" s="52" t="s">
        <v>359</v>
      </c>
      <c r="CX233" s="52">
        <v>45</v>
      </c>
      <c r="CY233" s="52"/>
      <c r="CZ233" s="52"/>
      <c r="DA233" s="52"/>
      <c r="DB233" s="52"/>
      <c r="DC233" s="52"/>
      <c r="DD233" s="52"/>
      <c r="DE233" s="52"/>
      <c r="DF233" s="52"/>
      <c r="DG233" s="52"/>
      <c r="DH233" s="52"/>
    </row>
    <row r="234" spans="58:112" ht="16.5" x14ac:dyDescent="0.2">
      <c r="BF234" s="52">
        <v>229</v>
      </c>
      <c r="BG234" s="14">
        <f t="shared" ref="BG234:BG297" si="49">SUMIFS($F$5:$F$104,$AT$6:$AT$105,"="&amp;BF234)+SUMIFS($Q$5:$Q$104,$AW$6:$AW$105,"="&amp;BF234)+SUMIFS($AB$5:$AB$104,$AZ$6:$AZ$105,"="&amp;BF234)+SUMIFS($AM$5:$AM$104,$BC$6:$BC$105,"="&amp;BF234)</f>
        <v>0</v>
      </c>
      <c r="BH234" s="14">
        <f t="shared" ref="BH234:BH297" si="50">INDEX($G$5:$G$104,MATCH(BF234,$AT$5:$AT$105,1)-1)+INDEX($R$5:$R$104,MATCH(BF234,$AW$5:$AW$105,1)-1)+INDEX($AC$5:$AC$104,MATCH(BF234,$AZ$5:$AZ$105,1)-1)+INDEX($AN$5:$AN$104,MATCH(BF234,$BC$5:$BC$105,1)-1)</f>
        <v>480</v>
      </c>
      <c r="BI234" s="14">
        <f t="shared" ref="BI234:BI297" si="51">SUMIFS($H$5:$H$104,$AT$6:$AT$105,"="&amp;BF234)+SUMIFS($S$5:$S$104,$AW$6:$AW$105,"="&amp;BF234)+SUMIFS($AD$5:$AD$104,$AZ$6:$AZ$105,"="&amp;BF234)+SUMIFS($AO$5:$AO$104,$BC$6:$BC$105,"="&amp;BF234)</f>
        <v>0</v>
      </c>
      <c r="BJ234" s="14">
        <f t="shared" ref="BJ234:BJ297" si="52">INDEX($I$5:$I$104,MATCH(BF234,$AT$5:$AT$105,1)-1)+INDEX($T$5:$T$104,MATCH(BF234,$AW$5:$AW$105,1)-1)+INDEX($AE$5:$AE$104,MATCH(BF234,$AZ$5:$AZ$105,1)-1)+INDEX($AP$5:$AP$104,MATCH(BF234,$BC$5:$BC$105,1)-1)</f>
        <v>1200</v>
      </c>
      <c r="BK234" s="14">
        <f t="shared" si="47"/>
        <v>480</v>
      </c>
      <c r="BL234" s="14">
        <f t="shared" si="48"/>
        <v>960</v>
      </c>
      <c r="CJ234" s="52">
        <v>230</v>
      </c>
      <c r="CK234" s="52">
        <v>3</v>
      </c>
      <c r="CL234" s="52" t="s">
        <v>244</v>
      </c>
      <c r="CM234" s="52">
        <v>30</v>
      </c>
      <c r="CN234" s="52"/>
      <c r="CO234" s="52"/>
      <c r="CP234" s="52"/>
      <c r="CQ234" s="52" t="s">
        <v>358</v>
      </c>
      <c r="CR234" s="52">
        <v>16200</v>
      </c>
      <c r="CS234" s="52" t="s">
        <v>359</v>
      </c>
      <c r="CT234" s="52">
        <v>40</v>
      </c>
      <c r="CU234" s="52" t="s">
        <v>267</v>
      </c>
      <c r="CV234" s="52">
        <v>2</v>
      </c>
      <c r="CW234" s="52" t="s">
        <v>359</v>
      </c>
      <c r="CX234" s="52">
        <v>50</v>
      </c>
      <c r="CY234" s="52"/>
      <c r="CZ234" s="52"/>
      <c r="DA234" s="52"/>
      <c r="DB234" s="52"/>
      <c r="DC234" s="52"/>
      <c r="DD234" s="52"/>
      <c r="DE234" s="52"/>
      <c r="DF234" s="52"/>
      <c r="DG234" s="52"/>
      <c r="DH234" s="52"/>
    </row>
    <row r="235" spans="58:112" ht="16.5" x14ac:dyDescent="0.2">
      <c r="BF235" s="52">
        <v>230</v>
      </c>
      <c r="BG235" s="14">
        <f t="shared" si="49"/>
        <v>0</v>
      </c>
      <c r="BH235" s="14">
        <f t="shared" si="50"/>
        <v>480</v>
      </c>
      <c r="BI235" s="14">
        <f t="shared" si="51"/>
        <v>0</v>
      </c>
      <c r="BJ235" s="14">
        <f t="shared" si="52"/>
        <v>1200</v>
      </c>
      <c r="BK235" s="14">
        <f t="shared" si="47"/>
        <v>480</v>
      </c>
      <c r="BL235" s="14">
        <f t="shared" si="48"/>
        <v>960</v>
      </c>
      <c r="CJ235" s="52">
        <v>231</v>
      </c>
      <c r="CK235" s="52">
        <v>3</v>
      </c>
      <c r="CL235" s="52" t="s">
        <v>244</v>
      </c>
      <c r="CM235" s="52">
        <v>31</v>
      </c>
      <c r="CN235" s="52"/>
      <c r="CO235" s="52"/>
      <c r="CP235" s="52"/>
      <c r="CQ235" s="52" t="s">
        <v>358</v>
      </c>
      <c r="CR235" s="52">
        <v>16200</v>
      </c>
      <c r="CS235" s="52" t="s">
        <v>359</v>
      </c>
      <c r="CT235" s="52">
        <v>45</v>
      </c>
      <c r="CU235" s="52"/>
      <c r="CV235" s="52"/>
      <c r="CW235" s="52" t="s">
        <v>359</v>
      </c>
      <c r="CX235" s="52">
        <v>50</v>
      </c>
      <c r="CY235" s="52"/>
      <c r="CZ235" s="52"/>
      <c r="DA235" s="52"/>
      <c r="DB235" s="52"/>
      <c r="DC235" s="52"/>
      <c r="DD235" s="52"/>
      <c r="DE235" s="52"/>
      <c r="DF235" s="52"/>
      <c r="DG235" s="52"/>
      <c r="DH235" s="52"/>
    </row>
    <row r="236" spans="58:112" ht="16.5" x14ac:dyDescent="0.2">
      <c r="BF236" s="52">
        <v>231</v>
      </c>
      <c r="BG236" s="14">
        <f t="shared" si="49"/>
        <v>0</v>
      </c>
      <c r="BH236" s="14">
        <f t="shared" si="50"/>
        <v>480</v>
      </c>
      <c r="BI236" s="14">
        <f t="shared" si="51"/>
        <v>0</v>
      </c>
      <c r="BJ236" s="14">
        <f t="shared" si="52"/>
        <v>1200</v>
      </c>
      <c r="BK236" s="14">
        <f t="shared" si="47"/>
        <v>480</v>
      </c>
      <c r="BL236" s="14">
        <f t="shared" si="48"/>
        <v>960</v>
      </c>
      <c r="CJ236" s="52">
        <v>232</v>
      </c>
      <c r="CK236" s="52">
        <v>3</v>
      </c>
      <c r="CL236" s="52" t="s">
        <v>244</v>
      </c>
      <c r="CM236" s="52">
        <v>32</v>
      </c>
      <c r="CN236" s="52"/>
      <c r="CO236" s="52"/>
      <c r="CP236" s="52"/>
      <c r="CQ236" s="52" t="s">
        <v>358</v>
      </c>
      <c r="CR236" s="52">
        <v>16200</v>
      </c>
      <c r="CS236" s="52" t="s">
        <v>359</v>
      </c>
      <c r="CT236" s="52">
        <v>45</v>
      </c>
      <c r="CU236" s="52"/>
      <c r="CV236" s="52"/>
      <c r="CW236" s="52" t="s">
        <v>359</v>
      </c>
      <c r="CX236" s="52">
        <v>50</v>
      </c>
      <c r="CY236" s="52"/>
      <c r="CZ236" s="52"/>
      <c r="DA236" s="52"/>
      <c r="DB236" s="52"/>
      <c r="DC236" s="52"/>
      <c r="DD236" s="52"/>
      <c r="DE236" s="52"/>
      <c r="DF236" s="52"/>
      <c r="DG236" s="52"/>
      <c r="DH236" s="52"/>
    </row>
    <row r="237" spans="58:112" ht="16.5" x14ac:dyDescent="0.2">
      <c r="BF237" s="52">
        <v>232</v>
      </c>
      <c r="BG237" s="14">
        <f t="shared" si="49"/>
        <v>0</v>
      </c>
      <c r="BH237" s="14">
        <f t="shared" si="50"/>
        <v>480</v>
      </c>
      <c r="BI237" s="14">
        <f t="shared" si="51"/>
        <v>0</v>
      </c>
      <c r="BJ237" s="14">
        <f t="shared" si="52"/>
        <v>1200</v>
      </c>
      <c r="BK237" s="14">
        <f t="shared" si="47"/>
        <v>480</v>
      </c>
      <c r="BL237" s="14">
        <f t="shared" si="48"/>
        <v>960</v>
      </c>
      <c r="CJ237" s="52">
        <v>233</v>
      </c>
      <c r="CK237" s="52">
        <v>3</v>
      </c>
      <c r="CL237" s="52" t="s">
        <v>244</v>
      </c>
      <c r="CM237" s="52">
        <v>33</v>
      </c>
      <c r="CN237" s="52"/>
      <c r="CO237" s="52"/>
      <c r="CP237" s="52"/>
      <c r="CQ237" s="52" t="s">
        <v>358</v>
      </c>
      <c r="CR237" s="52">
        <v>16200</v>
      </c>
      <c r="CS237" s="52" t="s">
        <v>359</v>
      </c>
      <c r="CT237" s="52">
        <v>45</v>
      </c>
      <c r="CU237" s="52"/>
      <c r="CV237" s="52"/>
      <c r="CW237" s="52" t="s">
        <v>359</v>
      </c>
      <c r="CX237" s="52">
        <v>50</v>
      </c>
      <c r="CY237" s="52"/>
      <c r="CZ237" s="52"/>
      <c r="DA237" s="52"/>
      <c r="DB237" s="52"/>
      <c r="DC237" s="52"/>
      <c r="DD237" s="52"/>
      <c r="DE237" s="52"/>
      <c r="DF237" s="52"/>
      <c r="DG237" s="52"/>
      <c r="DH237" s="52"/>
    </row>
    <row r="238" spans="58:112" ht="16.5" x14ac:dyDescent="0.2">
      <c r="BF238" s="52">
        <v>233</v>
      </c>
      <c r="BG238" s="14">
        <f t="shared" si="49"/>
        <v>0</v>
      </c>
      <c r="BH238" s="14">
        <f t="shared" si="50"/>
        <v>480</v>
      </c>
      <c r="BI238" s="14">
        <f t="shared" si="51"/>
        <v>0</v>
      </c>
      <c r="BJ238" s="14">
        <f t="shared" si="52"/>
        <v>1200</v>
      </c>
      <c r="BK238" s="14">
        <f t="shared" si="47"/>
        <v>480</v>
      </c>
      <c r="BL238" s="14">
        <f t="shared" si="48"/>
        <v>960</v>
      </c>
      <c r="CJ238" s="52">
        <v>234</v>
      </c>
      <c r="CK238" s="52">
        <v>3</v>
      </c>
      <c r="CL238" s="52" t="s">
        <v>244</v>
      </c>
      <c r="CM238" s="52">
        <v>34</v>
      </c>
      <c r="CN238" s="52"/>
      <c r="CO238" s="52"/>
      <c r="CP238" s="52"/>
      <c r="CQ238" s="52" t="s">
        <v>358</v>
      </c>
      <c r="CR238" s="52">
        <v>16200</v>
      </c>
      <c r="CS238" s="52" t="s">
        <v>359</v>
      </c>
      <c r="CT238" s="52">
        <v>45</v>
      </c>
      <c r="CU238" s="52"/>
      <c r="CV238" s="52"/>
      <c r="CW238" s="52" t="s">
        <v>359</v>
      </c>
      <c r="CX238" s="52">
        <v>50</v>
      </c>
      <c r="CY238" s="52"/>
      <c r="CZ238" s="52"/>
      <c r="DA238" s="52"/>
      <c r="DB238" s="52"/>
      <c r="DC238" s="52"/>
      <c r="DD238" s="52"/>
      <c r="DE238" s="52"/>
      <c r="DF238" s="52"/>
      <c r="DG238" s="52"/>
      <c r="DH238" s="52"/>
    </row>
    <row r="239" spans="58:112" ht="16.5" x14ac:dyDescent="0.2">
      <c r="BF239" s="52">
        <v>234</v>
      </c>
      <c r="BG239" s="14">
        <f t="shared" si="49"/>
        <v>0</v>
      </c>
      <c r="BH239" s="14">
        <f t="shared" si="50"/>
        <v>480</v>
      </c>
      <c r="BI239" s="14">
        <f t="shared" si="51"/>
        <v>0</v>
      </c>
      <c r="BJ239" s="14">
        <f t="shared" si="52"/>
        <v>1200</v>
      </c>
      <c r="BK239" s="14">
        <f t="shared" si="47"/>
        <v>480</v>
      </c>
      <c r="BL239" s="14">
        <f t="shared" si="48"/>
        <v>960</v>
      </c>
      <c r="CJ239" s="52">
        <v>235</v>
      </c>
      <c r="CK239" s="52">
        <v>3</v>
      </c>
      <c r="CL239" s="52" t="s">
        <v>244</v>
      </c>
      <c r="CM239" s="52">
        <v>35</v>
      </c>
      <c r="CN239" s="52"/>
      <c r="CO239" s="52"/>
      <c r="CP239" s="52"/>
      <c r="CQ239" s="52" t="s">
        <v>358</v>
      </c>
      <c r="CR239" s="52">
        <v>16200</v>
      </c>
      <c r="CS239" s="52" t="s">
        <v>359</v>
      </c>
      <c r="CT239" s="52">
        <v>45</v>
      </c>
      <c r="CU239" s="52" t="s">
        <v>262</v>
      </c>
      <c r="CV239" s="52">
        <v>2</v>
      </c>
      <c r="CW239" s="52" t="s">
        <v>359</v>
      </c>
      <c r="CX239" s="52">
        <v>55</v>
      </c>
      <c r="CY239" s="52"/>
      <c r="CZ239" s="52"/>
      <c r="DA239" s="52"/>
      <c r="DB239" s="52"/>
      <c r="DC239" s="52"/>
      <c r="DD239" s="52"/>
      <c r="DE239" s="52"/>
      <c r="DF239" s="52"/>
      <c r="DG239" s="52"/>
      <c r="DH239" s="52"/>
    </row>
    <row r="240" spans="58:112" ht="16.5" x14ac:dyDescent="0.2">
      <c r="BF240" s="52">
        <v>235</v>
      </c>
      <c r="BG240" s="14">
        <f t="shared" si="49"/>
        <v>0</v>
      </c>
      <c r="BH240" s="14">
        <f t="shared" si="50"/>
        <v>480</v>
      </c>
      <c r="BI240" s="14">
        <f t="shared" si="51"/>
        <v>0</v>
      </c>
      <c r="BJ240" s="14">
        <f t="shared" si="52"/>
        <v>1200</v>
      </c>
      <c r="BK240" s="14">
        <f t="shared" si="47"/>
        <v>480</v>
      </c>
      <c r="BL240" s="14">
        <f t="shared" si="48"/>
        <v>960</v>
      </c>
      <c r="CJ240" s="52">
        <v>236</v>
      </c>
      <c r="CK240" s="52">
        <v>3</v>
      </c>
      <c r="CL240" s="52" t="s">
        <v>244</v>
      </c>
      <c r="CM240" s="52">
        <v>36</v>
      </c>
      <c r="CN240" s="52"/>
      <c r="CO240" s="52"/>
      <c r="CP240" s="52"/>
      <c r="CQ240" s="52" t="s">
        <v>358</v>
      </c>
      <c r="CR240" s="52">
        <v>16200</v>
      </c>
      <c r="CS240" s="52" t="s">
        <v>359</v>
      </c>
      <c r="CT240" s="52">
        <v>50</v>
      </c>
      <c r="CU240" s="52"/>
      <c r="CV240" s="52"/>
      <c r="CW240" s="52" t="s">
        <v>359</v>
      </c>
      <c r="CX240" s="52">
        <v>55</v>
      </c>
      <c r="CY240" s="52"/>
      <c r="CZ240" s="52"/>
      <c r="DA240" s="52"/>
      <c r="DB240" s="52"/>
      <c r="DC240" s="52"/>
      <c r="DD240" s="52"/>
      <c r="DE240" s="52"/>
      <c r="DF240" s="52"/>
      <c r="DG240" s="52"/>
      <c r="DH240" s="52"/>
    </row>
    <row r="241" spans="58:112" ht="16.5" x14ac:dyDescent="0.2">
      <c r="BF241" s="52">
        <v>236</v>
      </c>
      <c r="BG241" s="14">
        <f t="shared" si="49"/>
        <v>0</v>
      </c>
      <c r="BH241" s="14">
        <f t="shared" si="50"/>
        <v>480</v>
      </c>
      <c r="BI241" s="14">
        <f t="shared" si="51"/>
        <v>0</v>
      </c>
      <c r="BJ241" s="14">
        <f t="shared" si="52"/>
        <v>1200</v>
      </c>
      <c r="BK241" s="14">
        <f t="shared" si="47"/>
        <v>480</v>
      </c>
      <c r="BL241" s="14">
        <f t="shared" si="48"/>
        <v>960</v>
      </c>
      <c r="CJ241" s="52">
        <v>237</v>
      </c>
      <c r="CK241" s="52">
        <v>3</v>
      </c>
      <c r="CL241" s="52" t="s">
        <v>244</v>
      </c>
      <c r="CM241" s="52">
        <v>37</v>
      </c>
      <c r="CN241" s="52"/>
      <c r="CO241" s="52"/>
      <c r="CP241" s="52"/>
      <c r="CQ241" s="52" t="s">
        <v>358</v>
      </c>
      <c r="CR241" s="52">
        <v>16200</v>
      </c>
      <c r="CS241" s="52" t="s">
        <v>359</v>
      </c>
      <c r="CT241" s="52">
        <v>50</v>
      </c>
      <c r="CU241" s="52"/>
      <c r="CV241" s="52"/>
      <c r="CW241" s="52" t="s">
        <v>359</v>
      </c>
      <c r="CX241" s="52">
        <v>55</v>
      </c>
      <c r="CY241" s="52"/>
      <c r="CZ241" s="52"/>
      <c r="DA241" s="52"/>
      <c r="DB241" s="52"/>
      <c r="DC241" s="52"/>
      <c r="DD241" s="52"/>
      <c r="DE241" s="52"/>
      <c r="DF241" s="52"/>
      <c r="DG241" s="52"/>
      <c r="DH241" s="52"/>
    </row>
    <row r="242" spans="58:112" ht="16.5" x14ac:dyDescent="0.2">
      <c r="BF242" s="52">
        <v>237</v>
      </c>
      <c r="BG242" s="14">
        <f t="shared" si="49"/>
        <v>0</v>
      </c>
      <c r="BH242" s="14">
        <f t="shared" si="50"/>
        <v>480</v>
      </c>
      <c r="BI242" s="14">
        <f t="shared" si="51"/>
        <v>0</v>
      </c>
      <c r="BJ242" s="14">
        <f t="shared" si="52"/>
        <v>1200</v>
      </c>
      <c r="BK242" s="14">
        <f t="shared" si="47"/>
        <v>480</v>
      </c>
      <c r="BL242" s="14">
        <f t="shared" si="48"/>
        <v>960</v>
      </c>
      <c r="CJ242" s="52">
        <v>238</v>
      </c>
      <c r="CK242" s="52">
        <v>3</v>
      </c>
      <c r="CL242" s="52" t="s">
        <v>244</v>
      </c>
      <c r="CM242" s="52">
        <v>38</v>
      </c>
      <c r="CN242" s="52"/>
      <c r="CO242" s="52"/>
      <c r="CP242" s="52"/>
      <c r="CQ242" s="52" t="s">
        <v>358</v>
      </c>
      <c r="CR242" s="52">
        <v>16200</v>
      </c>
      <c r="CS242" s="52" t="s">
        <v>359</v>
      </c>
      <c r="CT242" s="52">
        <v>50</v>
      </c>
      <c r="CU242" s="52"/>
      <c r="CV242" s="52"/>
      <c r="CW242" s="52" t="s">
        <v>359</v>
      </c>
      <c r="CX242" s="52">
        <v>55</v>
      </c>
      <c r="CY242" s="52"/>
      <c r="CZ242" s="52"/>
      <c r="DA242" s="52"/>
      <c r="DB242" s="52"/>
      <c r="DC242" s="52"/>
      <c r="DD242" s="52"/>
      <c r="DE242" s="52"/>
      <c r="DF242" s="52"/>
      <c r="DG242" s="52"/>
      <c r="DH242" s="52"/>
    </row>
    <row r="243" spans="58:112" ht="16.5" x14ac:dyDescent="0.2">
      <c r="BF243" s="52">
        <v>238</v>
      </c>
      <c r="BG243" s="14">
        <f t="shared" si="49"/>
        <v>0</v>
      </c>
      <c r="BH243" s="14">
        <f t="shared" si="50"/>
        <v>480</v>
      </c>
      <c r="BI243" s="14">
        <f t="shared" si="51"/>
        <v>0</v>
      </c>
      <c r="BJ243" s="14">
        <f t="shared" si="52"/>
        <v>1200</v>
      </c>
      <c r="BK243" s="14">
        <f t="shared" si="47"/>
        <v>480</v>
      </c>
      <c r="BL243" s="14">
        <f t="shared" si="48"/>
        <v>960</v>
      </c>
      <c r="CJ243" s="52">
        <v>239</v>
      </c>
      <c r="CK243" s="52">
        <v>3</v>
      </c>
      <c r="CL243" s="52" t="s">
        <v>244</v>
      </c>
      <c r="CM243" s="52">
        <v>39</v>
      </c>
      <c r="CN243" s="52"/>
      <c r="CO243" s="52"/>
      <c r="CP243" s="52"/>
      <c r="CQ243" s="52" t="s">
        <v>358</v>
      </c>
      <c r="CR243" s="52">
        <v>16200</v>
      </c>
      <c r="CS243" s="52" t="s">
        <v>359</v>
      </c>
      <c r="CT243" s="52">
        <v>50</v>
      </c>
      <c r="CU243" s="52"/>
      <c r="CV243" s="52"/>
      <c r="CW243" s="52" t="s">
        <v>359</v>
      </c>
      <c r="CX243" s="52">
        <v>55</v>
      </c>
      <c r="CY243" s="52"/>
      <c r="CZ243" s="52"/>
      <c r="DA243" s="52"/>
      <c r="DB243" s="52"/>
      <c r="DC243" s="52"/>
      <c r="DD243" s="52"/>
      <c r="DE243" s="52"/>
      <c r="DF243" s="52"/>
      <c r="DG243" s="52"/>
      <c r="DH243" s="52"/>
    </row>
    <row r="244" spans="58:112" ht="16.5" x14ac:dyDescent="0.2">
      <c r="BF244" s="52">
        <v>239</v>
      </c>
      <c r="BG244" s="14">
        <f t="shared" si="49"/>
        <v>0</v>
      </c>
      <c r="BH244" s="14">
        <f t="shared" si="50"/>
        <v>480</v>
      </c>
      <c r="BI244" s="14">
        <f t="shared" si="51"/>
        <v>0</v>
      </c>
      <c r="BJ244" s="14">
        <f t="shared" si="52"/>
        <v>1200</v>
      </c>
      <c r="BK244" s="14">
        <f t="shared" si="47"/>
        <v>480</v>
      </c>
      <c r="BL244" s="14">
        <f t="shared" si="48"/>
        <v>960</v>
      </c>
      <c r="CJ244" s="52">
        <v>240</v>
      </c>
      <c r="CK244" s="52">
        <v>3</v>
      </c>
      <c r="CL244" s="52" t="s">
        <v>244</v>
      </c>
      <c r="CM244" s="52">
        <v>40</v>
      </c>
      <c r="CN244" s="52"/>
      <c r="CO244" s="52"/>
      <c r="CP244" s="52"/>
      <c r="CQ244" s="52" t="s">
        <v>358</v>
      </c>
      <c r="CR244" s="52">
        <v>16200</v>
      </c>
      <c r="CS244" s="52" t="s">
        <v>359</v>
      </c>
      <c r="CT244" s="52">
        <v>50</v>
      </c>
      <c r="CU244" s="52" t="s">
        <v>263</v>
      </c>
      <c r="CV244" s="52">
        <v>2</v>
      </c>
      <c r="CW244" s="52" t="s">
        <v>359</v>
      </c>
      <c r="CX244" s="52">
        <v>60</v>
      </c>
      <c r="CY244" s="52"/>
      <c r="CZ244" s="52"/>
      <c r="DA244" s="52"/>
      <c r="DB244" s="52"/>
      <c r="DC244" s="52"/>
      <c r="DD244" s="52"/>
      <c r="DE244" s="52"/>
      <c r="DF244" s="52"/>
      <c r="DG244" s="52"/>
      <c r="DH244" s="52"/>
    </row>
    <row r="245" spans="58:112" ht="16.5" x14ac:dyDescent="0.2">
      <c r="BF245" s="52">
        <v>240</v>
      </c>
      <c r="BG245" s="14">
        <f t="shared" si="49"/>
        <v>0</v>
      </c>
      <c r="BH245" s="14">
        <f t="shared" si="50"/>
        <v>480</v>
      </c>
      <c r="BI245" s="14">
        <f t="shared" si="51"/>
        <v>0</v>
      </c>
      <c r="BJ245" s="14">
        <f t="shared" si="52"/>
        <v>1200</v>
      </c>
      <c r="BK245" s="14">
        <f t="shared" si="47"/>
        <v>480</v>
      </c>
      <c r="BL245" s="14">
        <f t="shared" si="48"/>
        <v>960</v>
      </c>
      <c r="CJ245" s="52">
        <v>241</v>
      </c>
      <c r="CK245" s="52">
        <v>3</v>
      </c>
      <c r="CL245" s="52" t="s">
        <v>244</v>
      </c>
      <c r="CM245" s="52">
        <v>41</v>
      </c>
      <c r="CN245" s="52"/>
      <c r="CO245" s="52"/>
      <c r="CP245" s="52"/>
      <c r="CQ245" s="52" t="s">
        <v>358</v>
      </c>
      <c r="CR245" s="52">
        <v>16200</v>
      </c>
      <c r="CS245" s="52" t="s">
        <v>359</v>
      </c>
      <c r="CT245" s="52">
        <v>55</v>
      </c>
      <c r="CU245" s="52"/>
      <c r="CV245" s="52"/>
      <c r="CW245" s="52" t="s">
        <v>359</v>
      </c>
      <c r="CX245" s="52">
        <v>60</v>
      </c>
      <c r="CY245" s="52"/>
      <c r="CZ245" s="52"/>
      <c r="DA245" s="52"/>
      <c r="DB245" s="52"/>
      <c r="DC245" s="52"/>
      <c r="DD245" s="52"/>
      <c r="DE245" s="52"/>
      <c r="DF245" s="52"/>
      <c r="DG245" s="52"/>
      <c r="DH245" s="52"/>
    </row>
    <row r="246" spans="58:112" ht="16.5" x14ac:dyDescent="0.2">
      <c r="BF246" s="52">
        <v>241</v>
      </c>
      <c r="BG246" s="14">
        <f t="shared" si="49"/>
        <v>0</v>
      </c>
      <c r="BH246" s="14">
        <f t="shared" si="50"/>
        <v>480</v>
      </c>
      <c r="BI246" s="14">
        <f t="shared" si="51"/>
        <v>0</v>
      </c>
      <c r="BJ246" s="14">
        <f t="shared" si="52"/>
        <v>1200</v>
      </c>
      <c r="BK246" s="14">
        <f t="shared" si="47"/>
        <v>480</v>
      </c>
      <c r="BL246" s="14">
        <f t="shared" si="48"/>
        <v>960</v>
      </c>
      <c r="CJ246" s="52">
        <v>242</v>
      </c>
      <c r="CK246" s="52">
        <v>3</v>
      </c>
      <c r="CL246" s="52" t="s">
        <v>244</v>
      </c>
      <c r="CM246" s="52">
        <v>42</v>
      </c>
      <c r="CN246" s="52"/>
      <c r="CO246" s="52"/>
      <c r="CP246" s="52"/>
      <c r="CQ246" s="52" t="s">
        <v>358</v>
      </c>
      <c r="CR246" s="52">
        <v>16200</v>
      </c>
      <c r="CS246" s="52" t="s">
        <v>359</v>
      </c>
      <c r="CT246" s="52">
        <v>55</v>
      </c>
      <c r="CU246" s="52"/>
      <c r="CV246" s="52"/>
      <c r="CW246" s="52" t="s">
        <v>359</v>
      </c>
      <c r="CX246" s="52">
        <v>60</v>
      </c>
      <c r="CY246" s="52"/>
      <c r="CZ246" s="52"/>
      <c r="DA246" s="52"/>
      <c r="DB246" s="52"/>
      <c r="DC246" s="52"/>
      <c r="DD246" s="52"/>
      <c r="DE246" s="52"/>
      <c r="DF246" s="52"/>
      <c r="DG246" s="52"/>
      <c r="DH246" s="52"/>
    </row>
    <row r="247" spans="58:112" ht="16.5" x14ac:dyDescent="0.2">
      <c r="BF247" s="52">
        <v>242</v>
      </c>
      <c r="BG247" s="14">
        <f t="shared" si="49"/>
        <v>0</v>
      </c>
      <c r="BH247" s="14">
        <f t="shared" si="50"/>
        <v>480</v>
      </c>
      <c r="BI247" s="14">
        <f t="shared" si="51"/>
        <v>0</v>
      </c>
      <c r="BJ247" s="14">
        <f t="shared" si="52"/>
        <v>1200</v>
      </c>
      <c r="BK247" s="14">
        <f t="shared" si="47"/>
        <v>480</v>
      </c>
      <c r="BL247" s="14">
        <f t="shared" si="48"/>
        <v>960</v>
      </c>
      <c r="CJ247" s="52">
        <v>243</v>
      </c>
      <c r="CK247" s="52">
        <v>3</v>
      </c>
      <c r="CL247" s="52" t="s">
        <v>244</v>
      </c>
      <c r="CM247" s="52">
        <v>43</v>
      </c>
      <c r="CN247" s="52"/>
      <c r="CO247" s="52"/>
      <c r="CP247" s="52"/>
      <c r="CQ247" s="52" t="s">
        <v>358</v>
      </c>
      <c r="CR247" s="52">
        <v>16200</v>
      </c>
      <c r="CS247" s="52" t="s">
        <v>359</v>
      </c>
      <c r="CT247" s="52">
        <v>55</v>
      </c>
      <c r="CU247" s="52"/>
      <c r="CV247" s="52"/>
      <c r="CW247" s="52" t="s">
        <v>359</v>
      </c>
      <c r="CX247" s="52">
        <v>60</v>
      </c>
      <c r="CY247" s="52"/>
      <c r="CZ247" s="52"/>
      <c r="DA247" s="52"/>
      <c r="DB247" s="52"/>
      <c r="DC247" s="52"/>
      <c r="DD247" s="52"/>
      <c r="DE247" s="52"/>
      <c r="DF247" s="52"/>
      <c r="DG247" s="52"/>
      <c r="DH247" s="52"/>
    </row>
    <row r="248" spans="58:112" ht="16.5" x14ac:dyDescent="0.2">
      <c r="BF248" s="52">
        <v>243</v>
      </c>
      <c r="BG248" s="14">
        <f t="shared" si="49"/>
        <v>0</v>
      </c>
      <c r="BH248" s="14">
        <f t="shared" si="50"/>
        <v>480</v>
      </c>
      <c r="BI248" s="14">
        <f t="shared" si="51"/>
        <v>0</v>
      </c>
      <c r="BJ248" s="14">
        <f t="shared" si="52"/>
        <v>1200</v>
      </c>
      <c r="BK248" s="14">
        <f t="shared" si="47"/>
        <v>480</v>
      </c>
      <c r="BL248" s="14">
        <f t="shared" si="48"/>
        <v>960</v>
      </c>
      <c r="CJ248" s="52">
        <v>244</v>
      </c>
      <c r="CK248" s="52">
        <v>3</v>
      </c>
      <c r="CL248" s="52" t="s">
        <v>244</v>
      </c>
      <c r="CM248" s="52">
        <v>44</v>
      </c>
      <c r="CN248" s="52"/>
      <c r="CO248" s="52"/>
      <c r="CP248" s="52"/>
      <c r="CQ248" s="52" t="s">
        <v>358</v>
      </c>
      <c r="CR248" s="52">
        <v>16200</v>
      </c>
      <c r="CS248" s="52" t="s">
        <v>359</v>
      </c>
      <c r="CT248" s="52">
        <v>55</v>
      </c>
      <c r="CU248" s="52"/>
      <c r="CV248" s="52"/>
      <c r="CW248" s="52" t="s">
        <v>359</v>
      </c>
      <c r="CX248" s="52">
        <v>60</v>
      </c>
      <c r="CY248" s="52"/>
      <c r="CZ248" s="52"/>
      <c r="DA248" s="52"/>
      <c r="DB248" s="52"/>
      <c r="DC248" s="52"/>
      <c r="DD248" s="52"/>
      <c r="DE248" s="52"/>
      <c r="DF248" s="52"/>
      <c r="DG248" s="52"/>
      <c r="DH248" s="52"/>
    </row>
    <row r="249" spans="58:112" ht="16.5" x14ac:dyDescent="0.2">
      <c r="BF249" s="52">
        <v>244</v>
      </c>
      <c r="BG249" s="14">
        <f t="shared" si="49"/>
        <v>0</v>
      </c>
      <c r="BH249" s="14">
        <f t="shared" si="50"/>
        <v>480</v>
      </c>
      <c r="BI249" s="14">
        <f t="shared" si="51"/>
        <v>0</v>
      </c>
      <c r="BJ249" s="14">
        <f t="shared" si="52"/>
        <v>1200</v>
      </c>
      <c r="BK249" s="14">
        <f t="shared" si="47"/>
        <v>480</v>
      </c>
      <c r="BL249" s="14">
        <f t="shared" si="48"/>
        <v>960</v>
      </c>
      <c r="CJ249" s="52">
        <v>245</v>
      </c>
      <c r="CK249" s="52">
        <v>3</v>
      </c>
      <c r="CL249" s="52" t="s">
        <v>244</v>
      </c>
      <c r="CM249" s="52">
        <v>45</v>
      </c>
      <c r="CN249" s="52"/>
      <c r="CO249" s="52"/>
      <c r="CP249" s="52"/>
      <c r="CQ249" s="52" t="s">
        <v>358</v>
      </c>
      <c r="CR249" s="52">
        <v>19800</v>
      </c>
      <c r="CS249" s="52" t="s">
        <v>359</v>
      </c>
      <c r="CT249" s="52">
        <v>55</v>
      </c>
      <c r="CU249" s="52" t="s">
        <v>266</v>
      </c>
      <c r="CV249" s="52">
        <v>2</v>
      </c>
      <c r="CW249" s="52" t="s">
        <v>359</v>
      </c>
      <c r="CX249" s="52">
        <v>65</v>
      </c>
      <c r="CY249" s="52"/>
      <c r="CZ249" s="52"/>
      <c r="DA249" s="52"/>
      <c r="DB249" s="52"/>
      <c r="DC249" s="52"/>
      <c r="DD249" s="52"/>
      <c r="DE249" s="52"/>
      <c r="DF249" s="52"/>
      <c r="DG249" s="52"/>
      <c r="DH249" s="52"/>
    </row>
    <row r="250" spans="58:112" ht="16.5" x14ac:dyDescent="0.2">
      <c r="BF250" s="52">
        <v>245</v>
      </c>
      <c r="BG250" s="14">
        <f t="shared" si="49"/>
        <v>0</v>
      </c>
      <c r="BH250" s="14">
        <f t="shared" si="50"/>
        <v>480</v>
      </c>
      <c r="BI250" s="14">
        <f t="shared" si="51"/>
        <v>0</v>
      </c>
      <c r="BJ250" s="14">
        <f t="shared" si="52"/>
        <v>1200</v>
      </c>
      <c r="BK250" s="14">
        <f t="shared" si="47"/>
        <v>480</v>
      </c>
      <c r="BL250" s="14">
        <f t="shared" si="48"/>
        <v>960</v>
      </c>
      <c r="CJ250" s="52">
        <v>246</v>
      </c>
      <c r="CK250" s="52">
        <v>3</v>
      </c>
      <c r="CL250" s="52" t="s">
        <v>244</v>
      </c>
      <c r="CM250" s="52">
        <v>46</v>
      </c>
      <c r="CN250" s="52"/>
      <c r="CO250" s="52"/>
      <c r="CP250" s="52"/>
      <c r="CQ250" s="52" t="s">
        <v>358</v>
      </c>
      <c r="CR250" s="52">
        <v>19800</v>
      </c>
      <c r="CS250" s="52" t="s">
        <v>359</v>
      </c>
      <c r="CT250" s="52">
        <v>60</v>
      </c>
      <c r="CU250" s="52"/>
      <c r="CV250" s="52"/>
      <c r="CW250" s="52" t="s">
        <v>359</v>
      </c>
      <c r="CX250" s="52">
        <v>65</v>
      </c>
      <c r="CY250" s="52"/>
      <c r="CZ250" s="52"/>
      <c r="DA250" s="52"/>
      <c r="DB250" s="52"/>
      <c r="DC250" s="52"/>
      <c r="DD250" s="52"/>
      <c r="DE250" s="52"/>
      <c r="DF250" s="52"/>
      <c r="DG250" s="52"/>
      <c r="DH250" s="52"/>
    </row>
    <row r="251" spans="58:112" ht="16.5" x14ac:dyDescent="0.2">
      <c r="BF251" s="52">
        <v>246</v>
      </c>
      <c r="BG251" s="14">
        <f t="shared" si="49"/>
        <v>0</v>
      </c>
      <c r="BH251" s="14">
        <f t="shared" si="50"/>
        <v>480</v>
      </c>
      <c r="BI251" s="14">
        <f t="shared" si="51"/>
        <v>0</v>
      </c>
      <c r="BJ251" s="14">
        <f t="shared" si="52"/>
        <v>1200</v>
      </c>
      <c r="BK251" s="14">
        <f t="shared" si="47"/>
        <v>480</v>
      </c>
      <c r="BL251" s="14">
        <f t="shared" si="48"/>
        <v>960</v>
      </c>
      <c r="CJ251" s="52">
        <v>247</v>
      </c>
      <c r="CK251" s="52">
        <v>3</v>
      </c>
      <c r="CL251" s="52" t="s">
        <v>244</v>
      </c>
      <c r="CM251" s="52">
        <v>47</v>
      </c>
      <c r="CN251" s="52"/>
      <c r="CO251" s="52"/>
      <c r="CP251" s="52"/>
      <c r="CQ251" s="52" t="s">
        <v>358</v>
      </c>
      <c r="CR251" s="52">
        <v>19800</v>
      </c>
      <c r="CS251" s="52" t="s">
        <v>359</v>
      </c>
      <c r="CT251" s="52">
        <v>60</v>
      </c>
      <c r="CU251" s="52"/>
      <c r="CV251" s="52"/>
      <c r="CW251" s="52" t="s">
        <v>359</v>
      </c>
      <c r="CX251" s="52">
        <v>65</v>
      </c>
      <c r="CY251" s="52"/>
      <c r="CZ251" s="52"/>
      <c r="DA251" s="52"/>
      <c r="DB251" s="52"/>
      <c r="DC251" s="52"/>
      <c r="DD251" s="52"/>
      <c r="DE251" s="52"/>
      <c r="DF251" s="52"/>
      <c r="DG251" s="52"/>
      <c r="DH251" s="52"/>
    </row>
    <row r="252" spans="58:112" ht="16.5" x14ac:dyDescent="0.2">
      <c r="BF252" s="52">
        <v>247</v>
      </c>
      <c r="BG252" s="14">
        <f t="shared" si="49"/>
        <v>0</v>
      </c>
      <c r="BH252" s="14">
        <f t="shared" si="50"/>
        <v>480</v>
      </c>
      <c r="BI252" s="14">
        <f t="shared" si="51"/>
        <v>0</v>
      </c>
      <c r="BJ252" s="14">
        <f t="shared" si="52"/>
        <v>1200</v>
      </c>
      <c r="BK252" s="14">
        <f t="shared" si="47"/>
        <v>480</v>
      </c>
      <c r="BL252" s="14">
        <f t="shared" si="48"/>
        <v>960</v>
      </c>
      <c r="CJ252" s="52">
        <v>248</v>
      </c>
      <c r="CK252" s="52">
        <v>3</v>
      </c>
      <c r="CL252" s="52" t="s">
        <v>244</v>
      </c>
      <c r="CM252" s="52">
        <v>48</v>
      </c>
      <c r="CN252" s="52"/>
      <c r="CO252" s="52"/>
      <c r="CP252" s="52"/>
      <c r="CQ252" s="52" t="s">
        <v>358</v>
      </c>
      <c r="CR252" s="52">
        <v>19800</v>
      </c>
      <c r="CS252" s="52" t="s">
        <v>359</v>
      </c>
      <c r="CT252" s="52">
        <v>60</v>
      </c>
      <c r="CU252" s="52"/>
      <c r="CV252" s="52"/>
      <c r="CW252" s="52" t="s">
        <v>359</v>
      </c>
      <c r="CX252" s="52">
        <v>65</v>
      </c>
      <c r="CY252" s="52"/>
      <c r="CZ252" s="52"/>
      <c r="DA252" s="52"/>
      <c r="DB252" s="52"/>
      <c r="DC252" s="52"/>
      <c r="DD252" s="52"/>
      <c r="DE252" s="52"/>
      <c r="DF252" s="52"/>
      <c r="DG252" s="52"/>
      <c r="DH252" s="52"/>
    </row>
    <row r="253" spans="58:112" ht="16.5" x14ac:dyDescent="0.2">
      <c r="BF253" s="52">
        <v>248</v>
      </c>
      <c r="BG253" s="14">
        <f t="shared" si="49"/>
        <v>0</v>
      </c>
      <c r="BH253" s="14">
        <f t="shared" si="50"/>
        <v>480</v>
      </c>
      <c r="BI253" s="14">
        <f t="shared" si="51"/>
        <v>0</v>
      </c>
      <c r="BJ253" s="14">
        <f t="shared" si="52"/>
        <v>1200</v>
      </c>
      <c r="BK253" s="14">
        <f t="shared" si="47"/>
        <v>480</v>
      </c>
      <c r="BL253" s="14">
        <f t="shared" si="48"/>
        <v>960</v>
      </c>
      <c r="CJ253" s="52">
        <v>249</v>
      </c>
      <c r="CK253" s="52">
        <v>3</v>
      </c>
      <c r="CL253" s="52" t="s">
        <v>244</v>
      </c>
      <c r="CM253" s="52">
        <v>49</v>
      </c>
      <c r="CN253" s="52"/>
      <c r="CO253" s="52"/>
      <c r="CP253" s="52"/>
      <c r="CQ253" s="52" t="s">
        <v>358</v>
      </c>
      <c r="CR253" s="52">
        <v>19800</v>
      </c>
      <c r="CS253" s="52" t="s">
        <v>359</v>
      </c>
      <c r="CT253" s="52">
        <v>60</v>
      </c>
      <c r="CU253" s="52"/>
      <c r="CV253" s="52"/>
      <c r="CW253" s="52" t="s">
        <v>359</v>
      </c>
      <c r="CX253" s="52">
        <v>65</v>
      </c>
      <c r="CY253" s="52"/>
      <c r="CZ253" s="52"/>
      <c r="DA253" s="52"/>
      <c r="DB253" s="52"/>
      <c r="DC253" s="52"/>
      <c r="DD253" s="52"/>
      <c r="DE253" s="52"/>
      <c r="DF253" s="52"/>
      <c r="DG253" s="52"/>
      <c r="DH253" s="52"/>
    </row>
    <row r="254" spans="58:112" ht="16.5" x14ac:dyDescent="0.2">
      <c r="BF254" s="52">
        <v>249</v>
      </c>
      <c r="BG254" s="14">
        <f t="shared" si="49"/>
        <v>0</v>
      </c>
      <c r="BH254" s="14">
        <f t="shared" si="50"/>
        <v>480</v>
      </c>
      <c r="BI254" s="14">
        <f t="shared" si="51"/>
        <v>0</v>
      </c>
      <c r="BJ254" s="14">
        <f t="shared" si="52"/>
        <v>1200</v>
      </c>
      <c r="BK254" s="14">
        <f t="shared" si="47"/>
        <v>480</v>
      </c>
      <c r="BL254" s="14">
        <f t="shared" si="48"/>
        <v>960</v>
      </c>
      <c r="CJ254" s="52">
        <v>250</v>
      </c>
      <c r="CK254" s="52">
        <v>3</v>
      </c>
      <c r="CL254" s="52" t="s">
        <v>244</v>
      </c>
      <c r="CM254" s="52">
        <v>50</v>
      </c>
      <c r="CN254" s="52"/>
      <c r="CO254" s="52"/>
      <c r="CP254" s="52"/>
      <c r="CQ254" s="52" t="s">
        <v>358</v>
      </c>
      <c r="CR254" s="52">
        <v>19800</v>
      </c>
      <c r="CS254" s="52" t="s">
        <v>359</v>
      </c>
      <c r="CT254" s="52">
        <v>60</v>
      </c>
      <c r="CU254" s="52" t="s">
        <v>267</v>
      </c>
      <c r="CV254" s="52">
        <v>2</v>
      </c>
      <c r="CW254" s="52" t="s">
        <v>359</v>
      </c>
      <c r="CX254" s="52">
        <v>70</v>
      </c>
      <c r="CY254" s="52"/>
      <c r="CZ254" s="52"/>
      <c r="DA254" s="52"/>
      <c r="DB254" s="52"/>
      <c r="DC254" s="52"/>
      <c r="DD254" s="52"/>
      <c r="DE254" s="52"/>
      <c r="DF254" s="52"/>
      <c r="DG254" s="52"/>
      <c r="DH254" s="52"/>
    </row>
    <row r="255" spans="58:112" ht="16.5" x14ac:dyDescent="0.2">
      <c r="BF255" s="52">
        <v>250</v>
      </c>
      <c r="BG255" s="14">
        <f t="shared" si="49"/>
        <v>0</v>
      </c>
      <c r="BH255" s="14">
        <f t="shared" si="50"/>
        <v>480</v>
      </c>
      <c r="BI255" s="14">
        <f t="shared" si="51"/>
        <v>0</v>
      </c>
      <c r="BJ255" s="14">
        <f t="shared" si="52"/>
        <v>1200</v>
      </c>
      <c r="BK255" s="14">
        <f t="shared" si="47"/>
        <v>480</v>
      </c>
      <c r="BL255" s="14">
        <f t="shared" si="48"/>
        <v>960</v>
      </c>
      <c r="CJ255" s="52">
        <v>251</v>
      </c>
      <c r="CK255" s="52">
        <v>3</v>
      </c>
      <c r="CL255" s="52" t="s">
        <v>244</v>
      </c>
      <c r="CM255" s="52">
        <v>51</v>
      </c>
      <c r="CN255" s="52"/>
      <c r="CO255" s="52"/>
      <c r="CP255" s="52"/>
      <c r="CQ255" s="52" t="s">
        <v>358</v>
      </c>
      <c r="CR255" s="52">
        <v>19800</v>
      </c>
      <c r="CS255" s="52" t="s">
        <v>359</v>
      </c>
      <c r="CT255" s="52">
        <v>65</v>
      </c>
      <c r="CU255" s="52"/>
      <c r="CV255" s="52"/>
      <c r="CW255" s="52" t="s">
        <v>359</v>
      </c>
      <c r="CX255" s="52">
        <v>70</v>
      </c>
      <c r="CY255" s="52"/>
      <c r="CZ255" s="52"/>
      <c r="DA255" s="52"/>
      <c r="DB255" s="52"/>
      <c r="DC255" s="52"/>
      <c r="DD255" s="52"/>
      <c r="DE255" s="52"/>
      <c r="DF255" s="52"/>
      <c r="DG255" s="52"/>
      <c r="DH255" s="52"/>
    </row>
    <row r="256" spans="58:112" ht="16.5" x14ac:dyDescent="0.2">
      <c r="BF256" s="52">
        <v>251</v>
      </c>
      <c r="BG256" s="14">
        <f t="shared" si="49"/>
        <v>0</v>
      </c>
      <c r="BH256" s="14">
        <f t="shared" si="50"/>
        <v>480</v>
      </c>
      <c r="BI256" s="14">
        <f t="shared" si="51"/>
        <v>0</v>
      </c>
      <c r="BJ256" s="14">
        <f t="shared" si="52"/>
        <v>1200</v>
      </c>
      <c r="BK256" s="14">
        <f t="shared" si="47"/>
        <v>480</v>
      </c>
      <c r="BL256" s="14">
        <f t="shared" si="48"/>
        <v>960</v>
      </c>
      <c r="CJ256" s="52">
        <v>252</v>
      </c>
      <c r="CK256" s="52">
        <v>3</v>
      </c>
      <c r="CL256" s="52" t="s">
        <v>244</v>
      </c>
      <c r="CM256" s="52">
        <v>52</v>
      </c>
      <c r="CN256" s="52"/>
      <c r="CO256" s="52"/>
      <c r="CP256" s="52"/>
      <c r="CQ256" s="52" t="s">
        <v>358</v>
      </c>
      <c r="CR256" s="52">
        <v>19800</v>
      </c>
      <c r="CS256" s="52" t="s">
        <v>359</v>
      </c>
      <c r="CT256" s="52">
        <v>65</v>
      </c>
      <c r="CU256" s="52"/>
      <c r="CV256" s="52"/>
      <c r="CW256" s="52" t="s">
        <v>359</v>
      </c>
      <c r="CX256" s="52">
        <v>70</v>
      </c>
      <c r="CY256" s="52"/>
      <c r="CZ256" s="52"/>
      <c r="DA256" s="52"/>
      <c r="DB256" s="52"/>
      <c r="DC256" s="52"/>
      <c r="DD256" s="52"/>
      <c r="DE256" s="52"/>
      <c r="DF256" s="52"/>
      <c r="DG256" s="52"/>
      <c r="DH256" s="52"/>
    </row>
    <row r="257" spans="58:112" ht="16.5" x14ac:dyDescent="0.2">
      <c r="BF257" s="52">
        <v>252</v>
      </c>
      <c r="BG257" s="14">
        <f t="shared" si="49"/>
        <v>0</v>
      </c>
      <c r="BH257" s="14">
        <f t="shared" si="50"/>
        <v>480</v>
      </c>
      <c r="BI257" s="14">
        <f t="shared" si="51"/>
        <v>0</v>
      </c>
      <c r="BJ257" s="14">
        <f t="shared" si="52"/>
        <v>1200</v>
      </c>
      <c r="BK257" s="14">
        <f t="shared" si="47"/>
        <v>480</v>
      </c>
      <c r="BL257" s="14">
        <f t="shared" si="48"/>
        <v>960</v>
      </c>
      <c r="CJ257" s="52">
        <v>253</v>
      </c>
      <c r="CK257" s="52">
        <v>3</v>
      </c>
      <c r="CL257" s="52" t="s">
        <v>244</v>
      </c>
      <c r="CM257" s="52">
        <v>53</v>
      </c>
      <c r="CN257" s="52"/>
      <c r="CO257" s="52"/>
      <c r="CP257" s="52"/>
      <c r="CQ257" s="52" t="s">
        <v>358</v>
      </c>
      <c r="CR257" s="52">
        <v>19800</v>
      </c>
      <c r="CS257" s="52" t="s">
        <v>359</v>
      </c>
      <c r="CT257" s="52">
        <v>65</v>
      </c>
      <c r="CU257" s="52"/>
      <c r="CV257" s="52"/>
      <c r="CW257" s="52" t="s">
        <v>359</v>
      </c>
      <c r="CX257" s="52">
        <v>70</v>
      </c>
      <c r="CY257" s="52"/>
      <c r="CZ257" s="52"/>
      <c r="DA257" s="52"/>
      <c r="DB257" s="52"/>
      <c r="DC257" s="52"/>
      <c r="DD257" s="52"/>
      <c r="DE257" s="52"/>
      <c r="DF257" s="52"/>
      <c r="DG257" s="52"/>
      <c r="DH257" s="52"/>
    </row>
    <row r="258" spans="58:112" ht="16.5" x14ac:dyDescent="0.2">
      <c r="BF258" s="52">
        <v>253</v>
      </c>
      <c r="BG258" s="14">
        <f t="shared" si="49"/>
        <v>0</v>
      </c>
      <c r="BH258" s="14">
        <f t="shared" si="50"/>
        <v>480</v>
      </c>
      <c r="BI258" s="14">
        <f t="shared" si="51"/>
        <v>0</v>
      </c>
      <c r="BJ258" s="14">
        <f t="shared" si="52"/>
        <v>1200</v>
      </c>
      <c r="BK258" s="14">
        <f t="shared" si="47"/>
        <v>480</v>
      </c>
      <c r="BL258" s="14">
        <f t="shared" si="48"/>
        <v>960</v>
      </c>
      <c r="CJ258" s="52">
        <v>254</v>
      </c>
      <c r="CK258" s="52">
        <v>3</v>
      </c>
      <c r="CL258" s="52" t="s">
        <v>244</v>
      </c>
      <c r="CM258" s="52">
        <v>54</v>
      </c>
      <c r="CN258" s="52"/>
      <c r="CO258" s="52"/>
      <c r="CP258" s="52"/>
      <c r="CQ258" s="52" t="s">
        <v>358</v>
      </c>
      <c r="CR258" s="52">
        <v>19800</v>
      </c>
      <c r="CS258" s="52" t="s">
        <v>359</v>
      </c>
      <c r="CT258" s="52">
        <v>65</v>
      </c>
      <c r="CU258" s="52"/>
      <c r="CV258" s="52"/>
      <c r="CW258" s="52" t="s">
        <v>359</v>
      </c>
      <c r="CX258" s="52">
        <v>70</v>
      </c>
      <c r="CY258" s="52"/>
      <c r="CZ258" s="52"/>
      <c r="DA258" s="52"/>
      <c r="DB258" s="52"/>
      <c r="DC258" s="52"/>
      <c r="DD258" s="52"/>
      <c r="DE258" s="52"/>
      <c r="DF258" s="52"/>
      <c r="DG258" s="52"/>
      <c r="DH258" s="52"/>
    </row>
    <row r="259" spans="58:112" ht="16.5" x14ac:dyDescent="0.2">
      <c r="BF259" s="52">
        <v>254</v>
      </c>
      <c r="BG259" s="14">
        <f t="shared" si="49"/>
        <v>0</v>
      </c>
      <c r="BH259" s="14">
        <f t="shared" si="50"/>
        <v>480</v>
      </c>
      <c r="BI259" s="14">
        <f t="shared" si="51"/>
        <v>0</v>
      </c>
      <c r="BJ259" s="14">
        <f t="shared" si="52"/>
        <v>1200</v>
      </c>
      <c r="BK259" s="14">
        <f t="shared" si="47"/>
        <v>480</v>
      </c>
      <c r="BL259" s="14">
        <f t="shared" si="48"/>
        <v>960</v>
      </c>
      <c r="CJ259" s="52">
        <v>255</v>
      </c>
      <c r="CK259" s="52">
        <v>3</v>
      </c>
      <c r="CL259" s="52" t="s">
        <v>244</v>
      </c>
      <c r="CM259" s="52">
        <v>55</v>
      </c>
      <c r="CN259" s="52"/>
      <c r="CO259" s="52"/>
      <c r="CP259" s="52"/>
      <c r="CQ259" s="52" t="s">
        <v>358</v>
      </c>
      <c r="CR259" s="52">
        <v>19800</v>
      </c>
      <c r="CS259" s="52" t="s">
        <v>359</v>
      </c>
      <c r="CT259" s="52">
        <v>65</v>
      </c>
      <c r="CU259" s="52" t="s">
        <v>262</v>
      </c>
      <c r="CV259" s="52">
        <v>2</v>
      </c>
      <c r="CW259" s="52" t="s">
        <v>359</v>
      </c>
      <c r="CX259" s="52">
        <v>75</v>
      </c>
      <c r="CY259" s="52"/>
      <c r="CZ259" s="52"/>
      <c r="DA259" s="52"/>
      <c r="DB259" s="52"/>
      <c r="DC259" s="52"/>
      <c r="DD259" s="52"/>
      <c r="DE259" s="52"/>
      <c r="DF259" s="52"/>
      <c r="DG259" s="52"/>
      <c r="DH259" s="52"/>
    </row>
    <row r="260" spans="58:112" ht="16.5" x14ac:dyDescent="0.2">
      <c r="BF260" s="52">
        <v>255</v>
      </c>
      <c r="BG260" s="14">
        <f t="shared" si="49"/>
        <v>0</v>
      </c>
      <c r="BH260" s="14">
        <f t="shared" si="50"/>
        <v>480</v>
      </c>
      <c r="BI260" s="14">
        <f t="shared" si="51"/>
        <v>0</v>
      </c>
      <c r="BJ260" s="14">
        <f t="shared" si="52"/>
        <v>1200</v>
      </c>
      <c r="BK260" s="14">
        <f t="shared" si="47"/>
        <v>480</v>
      </c>
      <c r="BL260" s="14">
        <f t="shared" si="48"/>
        <v>960</v>
      </c>
      <c r="CJ260" s="52">
        <v>256</v>
      </c>
      <c r="CK260" s="52">
        <v>3</v>
      </c>
      <c r="CL260" s="52" t="s">
        <v>244</v>
      </c>
      <c r="CM260" s="52">
        <v>56</v>
      </c>
      <c r="CN260" s="52"/>
      <c r="CO260" s="52"/>
      <c r="CP260" s="52"/>
      <c r="CQ260" s="52" t="s">
        <v>358</v>
      </c>
      <c r="CR260" s="52">
        <v>19800</v>
      </c>
      <c r="CS260" s="52" t="s">
        <v>359</v>
      </c>
      <c r="CT260" s="52">
        <v>70</v>
      </c>
      <c r="CU260" s="52"/>
      <c r="CV260" s="52"/>
      <c r="CW260" s="52" t="s">
        <v>359</v>
      </c>
      <c r="CX260" s="52">
        <v>75</v>
      </c>
      <c r="CY260" s="52"/>
      <c r="CZ260" s="52"/>
      <c r="DA260" s="52"/>
      <c r="DB260" s="52"/>
      <c r="DC260" s="52"/>
      <c r="DD260" s="52"/>
      <c r="DE260" s="52"/>
      <c r="DF260" s="52"/>
      <c r="DG260" s="52"/>
      <c r="DH260" s="52"/>
    </row>
    <row r="261" spans="58:112" ht="16.5" x14ac:dyDescent="0.2">
      <c r="BF261" s="52">
        <v>256</v>
      </c>
      <c r="BG261" s="14">
        <f t="shared" si="49"/>
        <v>0</v>
      </c>
      <c r="BH261" s="14">
        <f t="shared" si="50"/>
        <v>480</v>
      </c>
      <c r="BI261" s="14">
        <f t="shared" si="51"/>
        <v>0</v>
      </c>
      <c r="BJ261" s="14">
        <f t="shared" si="52"/>
        <v>1200</v>
      </c>
      <c r="BK261" s="14">
        <f t="shared" si="47"/>
        <v>480</v>
      </c>
      <c r="BL261" s="14">
        <f t="shared" si="48"/>
        <v>960</v>
      </c>
      <c r="CJ261" s="52">
        <v>257</v>
      </c>
      <c r="CK261" s="52">
        <v>3</v>
      </c>
      <c r="CL261" s="52" t="s">
        <v>244</v>
      </c>
      <c r="CM261" s="52">
        <v>57</v>
      </c>
      <c r="CN261" s="52"/>
      <c r="CO261" s="52"/>
      <c r="CP261" s="52"/>
      <c r="CQ261" s="52" t="s">
        <v>358</v>
      </c>
      <c r="CR261" s="52">
        <v>19800</v>
      </c>
      <c r="CS261" s="52" t="s">
        <v>359</v>
      </c>
      <c r="CT261" s="52">
        <v>70</v>
      </c>
      <c r="CU261" s="52"/>
      <c r="CV261" s="52"/>
      <c r="CW261" s="52" t="s">
        <v>359</v>
      </c>
      <c r="CX261" s="52">
        <v>75</v>
      </c>
      <c r="CY261" s="52"/>
      <c r="CZ261" s="52"/>
      <c r="DA261" s="52"/>
      <c r="DB261" s="52"/>
      <c r="DC261" s="52"/>
      <c r="DD261" s="52"/>
      <c r="DE261" s="52"/>
      <c r="DF261" s="52"/>
      <c r="DG261" s="52"/>
      <c r="DH261" s="52"/>
    </row>
    <row r="262" spans="58:112" ht="16.5" x14ac:dyDescent="0.2">
      <c r="BF262" s="52">
        <v>257</v>
      </c>
      <c r="BG262" s="14">
        <f t="shared" si="49"/>
        <v>0</v>
      </c>
      <c r="BH262" s="14">
        <f t="shared" si="50"/>
        <v>480</v>
      </c>
      <c r="BI262" s="14">
        <f t="shared" si="51"/>
        <v>0</v>
      </c>
      <c r="BJ262" s="14">
        <f t="shared" si="52"/>
        <v>1200</v>
      </c>
      <c r="BK262" s="14">
        <f t="shared" si="47"/>
        <v>480</v>
      </c>
      <c r="BL262" s="14">
        <f t="shared" si="48"/>
        <v>960</v>
      </c>
      <c r="CJ262" s="52">
        <v>258</v>
      </c>
      <c r="CK262" s="52">
        <v>3</v>
      </c>
      <c r="CL262" s="52" t="s">
        <v>244</v>
      </c>
      <c r="CM262" s="52">
        <v>58</v>
      </c>
      <c r="CN262" s="52"/>
      <c r="CO262" s="52"/>
      <c r="CP262" s="52"/>
      <c r="CQ262" s="52" t="s">
        <v>358</v>
      </c>
      <c r="CR262" s="52">
        <v>19800</v>
      </c>
      <c r="CS262" s="52" t="s">
        <v>359</v>
      </c>
      <c r="CT262" s="52">
        <v>70</v>
      </c>
      <c r="CU262" s="52"/>
      <c r="CV262" s="52"/>
      <c r="CW262" s="52" t="s">
        <v>359</v>
      </c>
      <c r="CX262" s="52">
        <v>75</v>
      </c>
      <c r="CY262" s="52"/>
      <c r="CZ262" s="52"/>
      <c r="DA262" s="52"/>
      <c r="DB262" s="52"/>
      <c r="DC262" s="52"/>
      <c r="DD262" s="52"/>
      <c r="DE262" s="52"/>
      <c r="DF262" s="52"/>
      <c r="DG262" s="52"/>
      <c r="DH262" s="52"/>
    </row>
    <row r="263" spans="58:112" ht="16.5" x14ac:dyDescent="0.2">
      <c r="BF263" s="52">
        <v>258</v>
      </c>
      <c r="BG263" s="14">
        <f t="shared" si="49"/>
        <v>0</v>
      </c>
      <c r="BH263" s="14">
        <f t="shared" si="50"/>
        <v>480</v>
      </c>
      <c r="BI263" s="14">
        <f t="shared" si="51"/>
        <v>0</v>
      </c>
      <c r="BJ263" s="14">
        <f t="shared" si="52"/>
        <v>1200</v>
      </c>
      <c r="BK263" s="14">
        <f t="shared" ref="BK263:BK326" si="53">BG263+BH262</f>
        <v>480</v>
      </c>
      <c r="BL263" s="14">
        <f t="shared" ref="BL263:BL326" si="54">BK263*BL$3</f>
        <v>960</v>
      </c>
      <c r="CJ263" s="52">
        <v>259</v>
      </c>
      <c r="CK263" s="52">
        <v>3</v>
      </c>
      <c r="CL263" s="52" t="s">
        <v>244</v>
      </c>
      <c r="CM263" s="52">
        <v>59</v>
      </c>
      <c r="CN263" s="52"/>
      <c r="CO263" s="52"/>
      <c r="CP263" s="52"/>
      <c r="CQ263" s="52" t="s">
        <v>358</v>
      </c>
      <c r="CR263" s="52">
        <v>19800</v>
      </c>
      <c r="CS263" s="52" t="s">
        <v>359</v>
      </c>
      <c r="CT263" s="52">
        <v>70</v>
      </c>
      <c r="CU263" s="52"/>
      <c r="CV263" s="52"/>
      <c r="CW263" s="52" t="s">
        <v>359</v>
      </c>
      <c r="CX263" s="52">
        <v>75</v>
      </c>
      <c r="CY263" s="52"/>
      <c r="CZ263" s="52"/>
      <c r="DA263" s="52"/>
      <c r="DB263" s="52"/>
      <c r="DC263" s="52"/>
      <c r="DD263" s="52"/>
      <c r="DE263" s="52"/>
      <c r="DF263" s="52"/>
      <c r="DG263" s="52"/>
      <c r="DH263" s="52"/>
    </row>
    <row r="264" spans="58:112" ht="16.5" x14ac:dyDescent="0.2">
      <c r="BF264" s="52">
        <v>259</v>
      </c>
      <c r="BG264" s="14">
        <f t="shared" si="49"/>
        <v>0</v>
      </c>
      <c r="BH264" s="14">
        <f t="shared" si="50"/>
        <v>480</v>
      </c>
      <c r="BI264" s="14">
        <f t="shared" si="51"/>
        <v>0</v>
      </c>
      <c r="BJ264" s="14">
        <f t="shared" si="52"/>
        <v>1200</v>
      </c>
      <c r="BK264" s="14">
        <f t="shared" si="53"/>
        <v>480</v>
      </c>
      <c r="BL264" s="14">
        <f t="shared" si="54"/>
        <v>960</v>
      </c>
      <c r="CJ264" s="52">
        <v>260</v>
      </c>
      <c r="CK264" s="52">
        <v>3</v>
      </c>
      <c r="CL264" s="52" t="s">
        <v>244</v>
      </c>
      <c r="CM264" s="52">
        <v>60</v>
      </c>
      <c r="CN264" s="52"/>
      <c r="CO264" s="52"/>
      <c r="CP264" s="52"/>
      <c r="CQ264" s="52" t="s">
        <v>358</v>
      </c>
      <c r="CR264" s="52">
        <v>23400</v>
      </c>
      <c r="CS264" s="52" t="s">
        <v>359</v>
      </c>
      <c r="CT264" s="52">
        <v>70</v>
      </c>
      <c r="CU264" s="52" t="s">
        <v>263</v>
      </c>
      <c r="CV264" s="52">
        <v>2</v>
      </c>
      <c r="CW264" s="52" t="s">
        <v>359</v>
      </c>
      <c r="CX264" s="52">
        <v>80</v>
      </c>
      <c r="CY264" s="52"/>
      <c r="CZ264" s="52"/>
      <c r="DA264" s="52"/>
      <c r="DB264" s="52"/>
      <c r="DC264" s="52"/>
      <c r="DD264" s="52"/>
      <c r="DE264" s="52"/>
      <c r="DF264" s="52"/>
      <c r="DG264" s="52"/>
      <c r="DH264" s="52"/>
    </row>
    <row r="265" spans="58:112" ht="16.5" x14ac:dyDescent="0.2">
      <c r="BF265" s="52">
        <v>260</v>
      </c>
      <c r="BG265" s="14">
        <f t="shared" si="49"/>
        <v>0</v>
      </c>
      <c r="BH265" s="14">
        <f t="shared" si="50"/>
        <v>480</v>
      </c>
      <c r="BI265" s="14">
        <f t="shared" si="51"/>
        <v>0</v>
      </c>
      <c r="BJ265" s="14">
        <f t="shared" si="52"/>
        <v>1200</v>
      </c>
      <c r="BK265" s="14">
        <f t="shared" si="53"/>
        <v>480</v>
      </c>
      <c r="BL265" s="14">
        <f t="shared" si="54"/>
        <v>960</v>
      </c>
      <c r="CJ265" s="52">
        <v>261</v>
      </c>
      <c r="CK265" s="52">
        <v>3</v>
      </c>
      <c r="CL265" s="52" t="s">
        <v>244</v>
      </c>
      <c r="CM265" s="52">
        <v>61</v>
      </c>
      <c r="CN265" s="52"/>
      <c r="CO265" s="52"/>
      <c r="CP265" s="52"/>
      <c r="CQ265" s="52" t="s">
        <v>358</v>
      </c>
      <c r="CR265" s="52">
        <v>23400</v>
      </c>
      <c r="CS265" s="52" t="s">
        <v>359</v>
      </c>
      <c r="CT265" s="52">
        <v>75</v>
      </c>
      <c r="CU265" s="52"/>
      <c r="CV265" s="52"/>
      <c r="CW265" s="52" t="s">
        <v>359</v>
      </c>
      <c r="CX265" s="52">
        <v>80</v>
      </c>
      <c r="CY265" s="52"/>
      <c r="CZ265" s="52"/>
      <c r="DA265" s="52"/>
      <c r="DB265" s="52"/>
      <c r="DC265" s="52"/>
      <c r="DD265" s="52"/>
      <c r="DE265" s="52"/>
      <c r="DF265" s="52"/>
      <c r="DG265" s="52"/>
      <c r="DH265" s="52"/>
    </row>
    <row r="266" spans="58:112" ht="16.5" x14ac:dyDescent="0.2">
      <c r="BF266" s="52">
        <v>261</v>
      </c>
      <c r="BG266" s="14">
        <f t="shared" si="49"/>
        <v>0</v>
      </c>
      <c r="BH266" s="14">
        <f t="shared" si="50"/>
        <v>480</v>
      </c>
      <c r="BI266" s="14">
        <f t="shared" si="51"/>
        <v>0</v>
      </c>
      <c r="BJ266" s="14">
        <f t="shared" si="52"/>
        <v>1200</v>
      </c>
      <c r="BK266" s="14">
        <f t="shared" si="53"/>
        <v>480</v>
      </c>
      <c r="BL266" s="14">
        <f t="shared" si="54"/>
        <v>960</v>
      </c>
      <c r="CJ266" s="52">
        <v>262</v>
      </c>
      <c r="CK266" s="52">
        <v>3</v>
      </c>
      <c r="CL266" s="52" t="s">
        <v>244</v>
      </c>
      <c r="CM266" s="52">
        <v>62</v>
      </c>
      <c r="CN266" s="52"/>
      <c r="CO266" s="52"/>
      <c r="CP266" s="52"/>
      <c r="CQ266" s="52" t="s">
        <v>358</v>
      </c>
      <c r="CR266" s="52">
        <v>23400</v>
      </c>
      <c r="CS266" s="52" t="s">
        <v>359</v>
      </c>
      <c r="CT266" s="52">
        <v>75</v>
      </c>
      <c r="CU266" s="52"/>
      <c r="CV266" s="52"/>
      <c r="CW266" s="52" t="s">
        <v>359</v>
      </c>
      <c r="CX266" s="52">
        <v>80</v>
      </c>
      <c r="CY266" s="52"/>
      <c r="CZ266" s="52"/>
      <c r="DA266" s="52"/>
      <c r="DB266" s="52"/>
      <c r="DC266" s="52"/>
      <c r="DD266" s="52"/>
      <c r="DE266" s="52"/>
      <c r="DF266" s="52"/>
      <c r="DG266" s="52"/>
      <c r="DH266" s="52"/>
    </row>
    <row r="267" spans="58:112" ht="16.5" x14ac:dyDescent="0.2">
      <c r="BF267" s="52">
        <v>262</v>
      </c>
      <c r="BG267" s="14">
        <f t="shared" si="49"/>
        <v>0</v>
      </c>
      <c r="BH267" s="14">
        <f t="shared" si="50"/>
        <v>480</v>
      </c>
      <c r="BI267" s="14">
        <f t="shared" si="51"/>
        <v>0</v>
      </c>
      <c r="BJ267" s="14">
        <f t="shared" si="52"/>
        <v>1200</v>
      </c>
      <c r="BK267" s="14">
        <f t="shared" si="53"/>
        <v>480</v>
      </c>
      <c r="BL267" s="14">
        <f t="shared" si="54"/>
        <v>960</v>
      </c>
      <c r="CJ267" s="52">
        <v>263</v>
      </c>
      <c r="CK267" s="52">
        <v>3</v>
      </c>
      <c r="CL267" s="52" t="s">
        <v>244</v>
      </c>
      <c r="CM267" s="52">
        <v>63</v>
      </c>
      <c r="CN267" s="52"/>
      <c r="CO267" s="52"/>
      <c r="CP267" s="52"/>
      <c r="CQ267" s="52" t="s">
        <v>358</v>
      </c>
      <c r="CR267" s="52">
        <v>23400</v>
      </c>
      <c r="CS267" s="52" t="s">
        <v>359</v>
      </c>
      <c r="CT267" s="52">
        <v>75</v>
      </c>
      <c r="CU267" s="52"/>
      <c r="CV267" s="52"/>
      <c r="CW267" s="52" t="s">
        <v>359</v>
      </c>
      <c r="CX267" s="52">
        <v>80</v>
      </c>
      <c r="CY267" s="52"/>
      <c r="CZ267" s="52"/>
      <c r="DA267" s="52"/>
      <c r="DB267" s="52"/>
      <c r="DC267" s="52"/>
      <c r="DD267" s="52"/>
      <c r="DE267" s="52"/>
      <c r="DF267" s="52"/>
      <c r="DG267" s="52"/>
      <c r="DH267" s="52"/>
    </row>
    <row r="268" spans="58:112" ht="16.5" x14ac:dyDescent="0.2">
      <c r="BF268" s="52">
        <v>263</v>
      </c>
      <c r="BG268" s="14">
        <f t="shared" si="49"/>
        <v>0</v>
      </c>
      <c r="BH268" s="14">
        <f t="shared" si="50"/>
        <v>480</v>
      </c>
      <c r="BI268" s="14">
        <f t="shared" si="51"/>
        <v>0</v>
      </c>
      <c r="BJ268" s="14">
        <f t="shared" si="52"/>
        <v>1200</v>
      </c>
      <c r="BK268" s="14">
        <f t="shared" si="53"/>
        <v>480</v>
      </c>
      <c r="BL268" s="14">
        <f t="shared" si="54"/>
        <v>960</v>
      </c>
      <c r="CJ268" s="52">
        <v>264</v>
      </c>
      <c r="CK268" s="52">
        <v>3</v>
      </c>
      <c r="CL268" s="52" t="s">
        <v>244</v>
      </c>
      <c r="CM268" s="52">
        <v>64</v>
      </c>
      <c r="CN268" s="52"/>
      <c r="CO268" s="52"/>
      <c r="CP268" s="52"/>
      <c r="CQ268" s="52" t="s">
        <v>358</v>
      </c>
      <c r="CR268" s="52">
        <v>23400</v>
      </c>
      <c r="CS268" s="52" t="s">
        <v>359</v>
      </c>
      <c r="CT268" s="52">
        <v>75</v>
      </c>
      <c r="CU268" s="52"/>
      <c r="CV268" s="52"/>
      <c r="CW268" s="52" t="s">
        <v>359</v>
      </c>
      <c r="CX268" s="52">
        <v>80</v>
      </c>
      <c r="CY268" s="52"/>
      <c r="CZ268" s="52"/>
      <c r="DA268" s="52"/>
      <c r="DB268" s="52"/>
      <c r="DC268" s="52"/>
      <c r="DD268" s="52"/>
      <c r="DE268" s="52"/>
      <c r="DF268" s="52"/>
      <c r="DG268" s="52"/>
      <c r="DH268" s="52"/>
    </row>
    <row r="269" spans="58:112" ht="16.5" x14ac:dyDescent="0.2">
      <c r="BF269" s="52">
        <v>264</v>
      </c>
      <c r="BG269" s="14">
        <f t="shared" si="49"/>
        <v>0</v>
      </c>
      <c r="BH269" s="14">
        <f t="shared" si="50"/>
        <v>480</v>
      </c>
      <c r="BI269" s="14">
        <f t="shared" si="51"/>
        <v>0</v>
      </c>
      <c r="BJ269" s="14">
        <f t="shared" si="52"/>
        <v>1200</v>
      </c>
      <c r="BK269" s="14">
        <f t="shared" si="53"/>
        <v>480</v>
      </c>
      <c r="BL269" s="14">
        <f t="shared" si="54"/>
        <v>960</v>
      </c>
      <c r="CJ269" s="52">
        <v>265</v>
      </c>
      <c r="CK269" s="52">
        <v>3</v>
      </c>
      <c r="CL269" s="52" t="s">
        <v>244</v>
      </c>
      <c r="CM269" s="52">
        <v>65</v>
      </c>
      <c r="CN269" s="52"/>
      <c r="CO269" s="52"/>
      <c r="CP269" s="52"/>
      <c r="CQ269" s="52" t="s">
        <v>358</v>
      </c>
      <c r="CR269" s="52">
        <v>23400</v>
      </c>
      <c r="CS269" s="52" t="s">
        <v>359</v>
      </c>
      <c r="CT269" s="52">
        <v>75</v>
      </c>
      <c r="CU269" s="52" t="s">
        <v>266</v>
      </c>
      <c r="CV269" s="52">
        <v>2</v>
      </c>
      <c r="CW269" s="52" t="s">
        <v>359</v>
      </c>
      <c r="CX269" s="52">
        <v>85</v>
      </c>
      <c r="CY269" s="52"/>
      <c r="CZ269" s="52"/>
      <c r="DA269" s="52"/>
      <c r="DB269" s="52"/>
      <c r="DC269" s="52"/>
      <c r="DD269" s="52"/>
      <c r="DE269" s="52"/>
      <c r="DF269" s="52"/>
      <c r="DG269" s="52"/>
      <c r="DH269" s="52"/>
    </row>
    <row r="270" spans="58:112" ht="16.5" x14ac:dyDescent="0.2">
      <c r="BF270" s="52">
        <v>265</v>
      </c>
      <c r="BG270" s="14">
        <f t="shared" si="49"/>
        <v>0</v>
      </c>
      <c r="BH270" s="14">
        <f t="shared" si="50"/>
        <v>480</v>
      </c>
      <c r="BI270" s="14">
        <f t="shared" si="51"/>
        <v>0</v>
      </c>
      <c r="BJ270" s="14">
        <f t="shared" si="52"/>
        <v>1200</v>
      </c>
      <c r="BK270" s="14">
        <f t="shared" si="53"/>
        <v>480</v>
      </c>
      <c r="BL270" s="14">
        <f t="shared" si="54"/>
        <v>960</v>
      </c>
      <c r="CJ270" s="52">
        <v>266</v>
      </c>
      <c r="CK270" s="52">
        <v>3</v>
      </c>
      <c r="CL270" s="52" t="s">
        <v>244</v>
      </c>
      <c r="CM270" s="52">
        <v>66</v>
      </c>
      <c r="CN270" s="52"/>
      <c r="CO270" s="52"/>
      <c r="CP270" s="52"/>
      <c r="CQ270" s="52" t="s">
        <v>358</v>
      </c>
      <c r="CR270" s="52">
        <v>23400</v>
      </c>
      <c r="CS270" s="52" t="s">
        <v>359</v>
      </c>
      <c r="CT270" s="52">
        <v>80</v>
      </c>
      <c r="CU270" s="52"/>
      <c r="CV270" s="52"/>
      <c r="CW270" s="52" t="s">
        <v>359</v>
      </c>
      <c r="CX270" s="52">
        <v>85</v>
      </c>
      <c r="CY270" s="52"/>
      <c r="CZ270" s="52"/>
      <c r="DA270" s="52"/>
      <c r="DB270" s="52"/>
      <c r="DC270" s="52"/>
      <c r="DD270" s="52"/>
      <c r="DE270" s="52"/>
      <c r="DF270" s="52"/>
      <c r="DG270" s="52"/>
      <c r="DH270" s="52"/>
    </row>
    <row r="271" spans="58:112" ht="16.5" x14ac:dyDescent="0.2">
      <c r="BF271" s="52">
        <v>266</v>
      </c>
      <c r="BG271" s="14">
        <f t="shared" si="49"/>
        <v>0</v>
      </c>
      <c r="BH271" s="14">
        <f t="shared" si="50"/>
        <v>480</v>
      </c>
      <c r="BI271" s="14">
        <f t="shared" si="51"/>
        <v>0</v>
      </c>
      <c r="BJ271" s="14">
        <f t="shared" si="52"/>
        <v>1200</v>
      </c>
      <c r="BK271" s="14">
        <f t="shared" si="53"/>
        <v>480</v>
      </c>
      <c r="BL271" s="14">
        <f t="shared" si="54"/>
        <v>960</v>
      </c>
      <c r="CJ271" s="52">
        <v>267</v>
      </c>
      <c r="CK271" s="52">
        <v>3</v>
      </c>
      <c r="CL271" s="52" t="s">
        <v>244</v>
      </c>
      <c r="CM271" s="52">
        <v>67</v>
      </c>
      <c r="CN271" s="52"/>
      <c r="CO271" s="52"/>
      <c r="CP271" s="52"/>
      <c r="CQ271" s="52" t="s">
        <v>358</v>
      </c>
      <c r="CR271" s="52">
        <v>23400</v>
      </c>
      <c r="CS271" s="52" t="s">
        <v>359</v>
      </c>
      <c r="CT271" s="52">
        <v>80</v>
      </c>
      <c r="CU271" s="52"/>
      <c r="CV271" s="52"/>
      <c r="CW271" s="52" t="s">
        <v>359</v>
      </c>
      <c r="CX271" s="52">
        <v>85</v>
      </c>
      <c r="CY271" s="52"/>
      <c r="CZ271" s="52"/>
      <c r="DA271" s="52"/>
      <c r="DB271" s="52"/>
      <c r="DC271" s="52"/>
      <c r="DD271" s="52"/>
      <c r="DE271" s="52"/>
      <c r="DF271" s="52"/>
      <c r="DG271" s="52"/>
      <c r="DH271" s="52"/>
    </row>
    <row r="272" spans="58:112" ht="16.5" x14ac:dyDescent="0.2">
      <c r="BF272" s="52">
        <v>267</v>
      </c>
      <c r="BG272" s="14">
        <f t="shared" si="49"/>
        <v>0</v>
      </c>
      <c r="BH272" s="14">
        <f t="shared" si="50"/>
        <v>480</v>
      </c>
      <c r="BI272" s="14">
        <f t="shared" si="51"/>
        <v>0</v>
      </c>
      <c r="BJ272" s="14">
        <f t="shared" si="52"/>
        <v>1200</v>
      </c>
      <c r="BK272" s="14">
        <f t="shared" si="53"/>
        <v>480</v>
      </c>
      <c r="BL272" s="14">
        <f t="shared" si="54"/>
        <v>960</v>
      </c>
      <c r="CJ272" s="52">
        <v>268</v>
      </c>
      <c r="CK272" s="52">
        <v>3</v>
      </c>
      <c r="CL272" s="52" t="s">
        <v>244</v>
      </c>
      <c r="CM272" s="52">
        <v>68</v>
      </c>
      <c r="CN272" s="52"/>
      <c r="CO272" s="52"/>
      <c r="CP272" s="52"/>
      <c r="CQ272" s="52" t="s">
        <v>358</v>
      </c>
      <c r="CR272" s="52">
        <v>23400</v>
      </c>
      <c r="CS272" s="52" t="s">
        <v>359</v>
      </c>
      <c r="CT272" s="52">
        <v>80</v>
      </c>
      <c r="CU272" s="52"/>
      <c r="CV272" s="52"/>
      <c r="CW272" s="52" t="s">
        <v>359</v>
      </c>
      <c r="CX272" s="52">
        <v>85</v>
      </c>
      <c r="CY272" s="52"/>
      <c r="CZ272" s="52"/>
      <c r="DA272" s="52"/>
      <c r="DB272" s="52"/>
      <c r="DC272" s="52"/>
      <c r="DD272" s="52"/>
      <c r="DE272" s="52"/>
      <c r="DF272" s="52"/>
      <c r="DG272" s="52"/>
      <c r="DH272" s="52"/>
    </row>
    <row r="273" spans="58:112" ht="16.5" x14ac:dyDescent="0.2">
      <c r="BF273" s="52">
        <v>268</v>
      </c>
      <c r="BG273" s="14">
        <f t="shared" si="49"/>
        <v>0</v>
      </c>
      <c r="BH273" s="14">
        <f t="shared" si="50"/>
        <v>480</v>
      </c>
      <c r="BI273" s="14">
        <f t="shared" si="51"/>
        <v>0</v>
      </c>
      <c r="BJ273" s="14">
        <f t="shared" si="52"/>
        <v>1200</v>
      </c>
      <c r="BK273" s="14">
        <f t="shared" si="53"/>
        <v>480</v>
      </c>
      <c r="BL273" s="14">
        <f t="shared" si="54"/>
        <v>960</v>
      </c>
      <c r="CJ273" s="52">
        <v>269</v>
      </c>
      <c r="CK273" s="52">
        <v>3</v>
      </c>
      <c r="CL273" s="52" t="s">
        <v>244</v>
      </c>
      <c r="CM273" s="52">
        <v>69</v>
      </c>
      <c r="CN273" s="52"/>
      <c r="CO273" s="52"/>
      <c r="CP273" s="52"/>
      <c r="CQ273" s="52" t="s">
        <v>358</v>
      </c>
      <c r="CR273" s="52">
        <v>23400</v>
      </c>
      <c r="CS273" s="52" t="s">
        <v>359</v>
      </c>
      <c r="CT273" s="52">
        <v>80</v>
      </c>
      <c r="CU273" s="52"/>
      <c r="CV273" s="52"/>
      <c r="CW273" s="52" t="s">
        <v>359</v>
      </c>
      <c r="CX273" s="52">
        <v>85</v>
      </c>
      <c r="CY273" s="52"/>
      <c r="CZ273" s="52"/>
      <c r="DA273" s="52"/>
      <c r="DB273" s="52"/>
      <c r="DC273" s="52"/>
      <c r="DD273" s="52"/>
      <c r="DE273" s="52"/>
      <c r="DF273" s="52"/>
      <c r="DG273" s="52"/>
      <c r="DH273" s="52"/>
    </row>
    <row r="274" spans="58:112" ht="16.5" x14ac:dyDescent="0.2">
      <c r="BF274" s="52">
        <v>269</v>
      </c>
      <c r="BG274" s="14">
        <f t="shared" si="49"/>
        <v>0</v>
      </c>
      <c r="BH274" s="14">
        <f t="shared" si="50"/>
        <v>480</v>
      </c>
      <c r="BI274" s="14">
        <f t="shared" si="51"/>
        <v>0</v>
      </c>
      <c r="BJ274" s="14">
        <f t="shared" si="52"/>
        <v>1200</v>
      </c>
      <c r="BK274" s="14">
        <f t="shared" si="53"/>
        <v>480</v>
      </c>
      <c r="BL274" s="14">
        <f t="shared" si="54"/>
        <v>960</v>
      </c>
      <c r="CJ274" s="52">
        <v>270</v>
      </c>
      <c r="CK274" s="52">
        <v>3</v>
      </c>
      <c r="CL274" s="52" t="s">
        <v>244</v>
      </c>
      <c r="CM274" s="52">
        <v>70</v>
      </c>
      <c r="CN274" s="52"/>
      <c r="CO274" s="52"/>
      <c r="CP274" s="52"/>
      <c r="CQ274" s="52" t="s">
        <v>358</v>
      </c>
      <c r="CR274" s="52">
        <v>23400</v>
      </c>
      <c r="CS274" s="52" t="s">
        <v>359</v>
      </c>
      <c r="CT274" s="52">
        <v>80</v>
      </c>
      <c r="CU274" s="52" t="s">
        <v>267</v>
      </c>
      <c r="CV274" s="52">
        <v>2</v>
      </c>
      <c r="CW274" s="52" t="s">
        <v>359</v>
      </c>
      <c r="CX274" s="52">
        <v>90</v>
      </c>
      <c r="CY274" s="52"/>
      <c r="CZ274" s="52"/>
      <c r="DA274" s="52"/>
      <c r="DB274" s="52"/>
      <c r="DC274" s="52"/>
      <c r="DD274" s="52"/>
      <c r="DE274" s="52"/>
      <c r="DF274" s="52"/>
      <c r="DG274" s="52"/>
      <c r="DH274" s="52"/>
    </row>
    <row r="275" spans="58:112" ht="16.5" x14ac:dyDescent="0.2">
      <c r="BF275" s="52">
        <v>270</v>
      </c>
      <c r="BG275" s="14">
        <f t="shared" si="49"/>
        <v>0</v>
      </c>
      <c r="BH275" s="14">
        <f t="shared" si="50"/>
        <v>480</v>
      </c>
      <c r="BI275" s="14">
        <f t="shared" si="51"/>
        <v>0</v>
      </c>
      <c r="BJ275" s="14">
        <f t="shared" si="52"/>
        <v>1200</v>
      </c>
      <c r="BK275" s="14">
        <f t="shared" si="53"/>
        <v>480</v>
      </c>
      <c r="BL275" s="14">
        <f t="shared" si="54"/>
        <v>960</v>
      </c>
      <c r="CJ275" s="52">
        <v>271</v>
      </c>
      <c r="CK275" s="52">
        <v>3</v>
      </c>
      <c r="CL275" s="52" t="s">
        <v>244</v>
      </c>
      <c r="CM275" s="52">
        <v>71</v>
      </c>
      <c r="CN275" s="52"/>
      <c r="CO275" s="52"/>
      <c r="CP275" s="52"/>
      <c r="CQ275" s="52" t="s">
        <v>358</v>
      </c>
      <c r="CR275" s="52">
        <v>23400</v>
      </c>
      <c r="CS275" s="52" t="s">
        <v>359</v>
      </c>
      <c r="CT275" s="52">
        <v>85</v>
      </c>
      <c r="CU275" s="52"/>
      <c r="CV275" s="52"/>
      <c r="CW275" s="52" t="s">
        <v>359</v>
      </c>
      <c r="CX275" s="52">
        <v>90</v>
      </c>
      <c r="CY275" s="52"/>
      <c r="CZ275" s="52"/>
      <c r="DA275" s="52"/>
      <c r="DB275" s="52"/>
      <c r="DC275" s="52"/>
      <c r="DD275" s="52"/>
      <c r="DE275" s="52"/>
      <c r="DF275" s="52"/>
      <c r="DG275" s="52"/>
      <c r="DH275" s="52"/>
    </row>
    <row r="276" spans="58:112" ht="16.5" x14ac:dyDescent="0.2">
      <c r="BF276" s="52">
        <v>271</v>
      </c>
      <c r="BG276" s="14">
        <f t="shared" si="49"/>
        <v>0</v>
      </c>
      <c r="BH276" s="14">
        <f t="shared" si="50"/>
        <v>480</v>
      </c>
      <c r="BI276" s="14">
        <f t="shared" si="51"/>
        <v>0</v>
      </c>
      <c r="BJ276" s="14">
        <f t="shared" si="52"/>
        <v>1200</v>
      </c>
      <c r="BK276" s="14">
        <f t="shared" si="53"/>
        <v>480</v>
      </c>
      <c r="BL276" s="14">
        <f t="shared" si="54"/>
        <v>960</v>
      </c>
      <c r="CJ276" s="52">
        <v>272</v>
      </c>
      <c r="CK276" s="52">
        <v>3</v>
      </c>
      <c r="CL276" s="52" t="s">
        <v>244</v>
      </c>
      <c r="CM276" s="52">
        <v>72</v>
      </c>
      <c r="CN276" s="52"/>
      <c r="CO276" s="52"/>
      <c r="CP276" s="52"/>
      <c r="CQ276" s="52" t="s">
        <v>358</v>
      </c>
      <c r="CR276" s="52">
        <v>23400</v>
      </c>
      <c r="CS276" s="52" t="s">
        <v>359</v>
      </c>
      <c r="CT276" s="52">
        <v>85</v>
      </c>
      <c r="CU276" s="52"/>
      <c r="CV276" s="52"/>
      <c r="CW276" s="52" t="s">
        <v>359</v>
      </c>
      <c r="CX276" s="52">
        <v>90</v>
      </c>
      <c r="CY276" s="52"/>
      <c r="CZ276" s="52"/>
      <c r="DA276" s="52"/>
      <c r="DB276" s="52"/>
      <c r="DC276" s="52"/>
      <c r="DD276" s="52"/>
      <c r="DE276" s="52"/>
      <c r="DF276" s="52"/>
      <c r="DG276" s="52"/>
      <c r="DH276" s="52"/>
    </row>
    <row r="277" spans="58:112" ht="16.5" x14ac:dyDescent="0.2">
      <c r="BF277" s="52">
        <v>272</v>
      </c>
      <c r="BG277" s="14">
        <f t="shared" si="49"/>
        <v>0</v>
      </c>
      <c r="BH277" s="14">
        <f t="shared" si="50"/>
        <v>480</v>
      </c>
      <c r="BI277" s="14">
        <f t="shared" si="51"/>
        <v>0</v>
      </c>
      <c r="BJ277" s="14">
        <f t="shared" si="52"/>
        <v>1200</v>
      </c>
      <c r="BK277" s="14">
        <f t="shared" si="53"/>
        <v>480</v>
      </c>
      <c r="BL277" s="14">
        <f t="shared" si="54"/>
        <v>960</v>
      </c>
      <c r="CJ277" s="52">
        <v>273</v>
      </c>
      <c r="CK277" s="52">
        <v>3</v>
      </c>
      <c r="CL277" s="52" t="s">
        <v>244</v>
      </c>
      <c r="CM277" s="52">
        <v>73</v>
      </c>
      <c r="CN277" s="52"/>
      <c r="CO277" s="52"/>
      <c r="CP277" s="52"/>
      <c r="CQ277" s="52" t="s">
        <v>358</v>
      </c>
      <c r="CR277" s="52">
        <v>23400</v>
      </c>
      <c r="CS277" s="52" t="s">
        <v>359</v>
      </c>
      <c r="CT277" s="52">
        <v>85</v>
      </c>
      <c r="CU277" s="52"/>
      <c r="CV277" s="52"/>
      <c r="CW277" s="52" t="s">
        <v>359</v>
      </c>
      <c r="CX277" s="52">
        <v>90</v>
      </c>
      <c r="CY277" s="52"/>
      <c r="CZ277" s="52"/>
      <c r="DA277" s="52"/>
      <c r="DB277" s="52"/>
      <c r="DC277" s="52"/>
      <c r="DD277" s="52"/>
      <c r="DE277" s="52"/>
      <c r="DF277" s="52"/>
      <c r="DG277" s="52"/>
      <c r="DH277" s="52"/>
    </row>
    <row r="278" spans="58:112" ht="16.5" x14ac:dyDescent="0.2">
      <c r="BF278" s="52">
        <v>273</v>
      </c>
      <c r="BG278" s="14">
        <f t="shared" si="49"/>
        <v>0</v>
      </c>
      <c r="BH278" s="14">
        <f t="shared" si="50"/>
        <v>480</v>
      </c>
      <c r="BI278" s="14">
        <f t="shared" si="51"/>
        <v>0</v>
      </c>
      <c r="BJ278" s="14">
        <f t="shared" si="52"/>
        <v>1200</v>
      </c>
      <c r="BK278" s="14">
        <f t="shared" si="53"/>
        <v>480</v>
      </c>
      <c r="BL278" s="14">
        <f t="shared" si="54"/>
        <v>960</v>
      </c>
      <c r="CJ278" s="52">
        <v>274</v>
      </c>
      <c r="CK278" s="52">
        <v>3</v>
      </c>
      <c r="CL278" s="52" t="s">
        <v>244</v>
      </c>
      <c r="CM278" s="52">
        <v>74</v>
      </c>
      <c r="CN278" s="52"/>
      <c r="CO278" s="52"/>
      <c r="CP278" s="52"/>
      <c r="CQ278" s="52" t="s">
        <v>358</v>
      </c>
      <c r="CR278" s="52">
        <v>23400</v>
      </c>
      <c r="CS278" s="52" t="s">
        <v>359</v>
      </c>
      <c r="CT278" s="52">
        <v>85</v>
      </c>
      <c r="CU278" s="52"/>
      <c r="CV278" s="52"/>
      <c r="CW278" s="52" t="s">
        <v>359</v>
      </c>
      <c r="CX278" s="52">
        <v>90</v>
      </c>
      <c r="CY278" s="52"/>
      <c r="CZ278" s="52"/>
      <c r="DA278" s="52"/>
      <c r="DB278" s="52"/>
      <c r="DC278" s="52"/>
      <c r="DD278" s="52"/>
      <c r="DE278" s="52"/>
      <c r="DF278" s="52"/>
      <c r="DG278" s="52"/>
      <c r="DH278" s="52"/>
    </row>
    <row r="279" spans="58:112" ht="16.5" x14ac:dyDescent="0.2">
      <c r="BF279" s="52">
        <v>274</v>
      </c>
      <c r="BG279" s="14">
        <f t="shared" si="49"/>
        <v>0</v>
      </c>
      <c r="BH279" s="14">
        <f t="shared" si="50"/>
        <v>480</v>
      </c>
      <c r="BI279" s="14">
        <f t="shared" si="51"/>
        <v>0</v>
      </c>
      <c r="BJ279" s="14">
        <f t="shared" si="52"/>
        <v>1200</v>
      </c>
      <c r="BK279" s="14">
        <f t="shared" si="53"/>
        <v>480</v>
      </c>
      <c r="BL279" s="14">
        <f t="shared" si="54"/>
        <v>960</v>
      </c>
      <c r="CJ279" s="52">
        <v>275</v>
      </c>
      <c r="CK279" s="52">
        <v>3</v>
      </c>
      <c r="CL279" s="52" t="s">
        <v>244</v>
      </c>
      <c r="CM279" s="52">
        <v>75</v>
      </c>
      <c r="CN279" s="52"/>
      <c r="CO279" s="52"/>
      <c r="CP279" s="52"/>
      <c r="CQ279" s="52" t="s">
        <v>358</v>
      </c>
      <c r="CR279" s="52">
        <v>23400</v>
      </c>
      <c r="CS279" s="52" t="s">
        <v>359</v>
      </c>
      <c r="CT279" s="52">
        <v>85</v>
      </c>
      <c r="CU279" s="52" t="s">
        <v>262</v>
      </c>
      <c r="CV279" s="52">
        <v>2</v>
      </c>
      <c r="CW279" s="52" t="s">
        <v>359</v>
      </c>
      <c r="CX279" s="52">
        <v>95</v>
      </c>
      <c r="CY279" s="52"/>
      <c r="CZ279" s="52"/>
      <c r="DA279" s="52"/>
      <c r="DB279" s="52"/>
      <c r="DC279" s="52"/>
      <c r="DD279" s="52"/>
      <c r="DE279" s="52"/>
      <c r="DF279" s="52"/>
      <c r="DG279" s="52"/>
      <c r="DH279" s="52"/>
    </row>
    <row r="280" spans="58:112" ht="16.5" x14ac:dyDescent="0.2">
      <c r="BF280" s="52">
        <v>275</v>
      </c>
      <c r="BG280" s="14">
        <f t="shared" si="49"/>
        <v>0</v>
      </c>
      <c r="BH280" s="14">
        <f t="shared" si="50"/>
        <v>480</v>
      </c>
      <c r="BI280" s="14">
        <f t="shared" si="51"/>
        <v>0</v>
      </c>
      <c r="BJ280" s="14">
        <f t="shared" si="52"/>
        <v>1200</v>
      </c>
      <c r="BK280" s="14">
        <f t="shared" si="53"/>
        <v>480</v>
      </c>
      <c r="BL280" s="14">
        <f t="shared" si="54"/>
        <v>960</v>
      </c>
      <c r="CJ280" s="52">
        <v>276</v>
      </c>
      <c r="CK280" s="52">
        <v>3</v>
      </c>
      <c r="CL280" s="52" t="s">
        <v>244</v>
      </c>
      <c r="CM280" s="52">
        <v>76</v>
      </c>
      <c r="CN280" s="52"/>
      <c r="CO280" s="52"/>
      <c r="CP280" s="52"/>
      <c r="CQ280" s="52" t="s">
        <v>358</v>
      </c>
      <c r="CR280" s="52">
        <v>23400</v>
      </c>
      <c r="CS280" s="52" t="s">
        <v>359</v>
      </c>
      <c r="CT280" s="52">
        <v>90</v>
      </c>
      <c r="CU280" s="52"/>
      <c r="CV280" s="52"/>
      <c r="CW280" s="52" t="s">
        <v>359</v>
      </c>
      <c r="CX280" s="52">
        <v>95</v>
      </c>
      <c r="CY280" s="52"/>
      <c r="CZ280" s="52"/>
      <c r="DA280" s="52"/>
      <c r="DB280" s="52"/>
      <c r="DC280" s="52"/>
      <c r="DD280" s="52"/>
      <c r="DE280" s="52"/>
      <c r="DF280" s="52"/>
      <c r="DG280" s="52"/>
      <c r="DH280" s="52"/>
    </row>
    <row r="281" spans="58:112" ht="16.5" x14ac:dyDescent="0.2">
      <c r="BF281" s="52">
        <v>276</v>
      </c>
      <c r="BG281" s="14">
        <f t="shared" si="49"/>
        <v>0</v>
      </c>
      <c r="BH281" s="14">
        <f t="shared" si="50"/>
        <v>480</v>
      </c>
      <c r="BI281" s="14">
        <f t="shared" si="51"/>
        <v>0</v>
      </c>
      <c r="BJ281" s="14">
        <f t="shared" si="52"/>
        <v>1200</v>
      </c>
      <c r="BK281" s="14">
        <f t="shared" si="53"/>
        <v>480</v>
      </c>
      <c r="BL281" s="14">
        <f t="shared" si="54"/>
        <v>960</v>
      </c>
      <c r="CJ281" s="52">
        <v>277</v>
      </c>
      <c r="CK281" s="52">
        <v>3</v>
      </c>
      <c r="CL281" s="52" t="s">
        <v>244</v>
      </c>
      <c r="CM281" s="52">
        <v>77</v>
      </c>
      <c r="CN281" s="52"/>
      <c r="CO281" s="52"/>
      <c r="CP281" s="52"/>
      <c r="CQ281" s="52" t="s">
        <v>358</v>
      </c>
      <c r="CR281" s="52">
        <v>23400</v>
      </c>
      <c r="CS281" s="52" t="s">
        <v>359</v>
      </c>
      <c r="CT281" s="52">
        <v>90</v>
      </c>
      <c r="CU281" s="52"/>
      <c r="CV281" s="52"/>
      <c r="CW281" s="52" t="s">
        <v>359</v>
      </c>
      <c r="CX281" s="52">
        <v>95</v>
      </c>
      <c r="CY281" s="52"/>
      <c r="CZ281" s="52"/>
      <c r="DA281" s="52"/>
      <c r="DB281" s="52"/>
      <c r="DC281" s="52"/>
      <c r="DD281" s="52"/>
      <c r="DE281" s="52"/>
      <c r="DF281" s="52"/>
      <c r="DG281" s="52"/>
      <c r="DH281" s="52"/>
    </row>
    <row r="282" spans="58:112" ht="16.5" x14ac:dyDescent="0.2">
      <c r="BF282" s="52">
        <v>277</v>
      </c>
      <c r="BG282" s="14">
        <f t="shared" si="49"/>
        <v>0</v>
      </c>
      <c r="BH282" s="14">
        <f t="shared" si="50"/>
        <v>480</v>
      </c>
      <c r="BI282" s="14">
        <f t="shared" si="51"/>
        <v>0</v>
      </c>
      <c r="BJ282" s="14">
        <f t="shared" si="52"/>
        <v>1200</v>
      </c>
      <c r="BK282" s="14">
        <f t="shared" si="53"/>
        <v>480</v>
      </c>
      <c r="BL282" s="14">
        <f t="shared" si="54"/>
        <v>960</v>
      </c>
      <c r="CJ282" s="52">
        <v>278</v>
      </c>
      <c r="CK282" s="52">
        <v>3</v>
      </c>
      <c r="CL282" s="52" t="s">
        <v>244</v>
      </c>
      <c r="CM282" s="52">
        <v>78</v>
      </c>
      <c r="CN282" s="52"/>
      <c r="CO282" s="52"/>
      <c r="CP282" s="52"/>
      <c r="CQ282" s="52" t="s">
        <v>358</v>
      </c>
      <c r="CR282" s="52">
        <v>23400</v>
      </c>
      <c r="CS282" s="52" t="s">
        <v>359</v>
      </c>
      <c r="CT282" s="52">
        <v>90</v>
      </c>
      <c r="CU282" s="52"/>
      <c r="CV282" s="52"/>
      <c r="CW282" s="52" t="s">
        <v>359</v>
      </c>
      <c r="CX282" s="52">
        <v>95</v>
      </c>
      <c r="CY282" s="52"/>
      <c r="CZ282" s="52"/>
      <c r="DA282" s="52"/>
      <c r="DB282" s="52"/>
      <c r="DC282" s="52"/>
      <c r="DD282" s="52"/>
      <c r="DE282" s="52"/>
      <c r="DF282" s="52"/>
      <c r="DG282" s="52"/>
      <c r="DH282" s="52"/>
    </row>
    <row r="283" spans="58:112" ht="16.5" x14ac:dyDescent="0.2">
      <c r="BF283" s="52">
        <v>278</v>
      </c>
      <c r="BG283" s="14">
        <f t="shared" si="49"/>
        <v>0</v>
      </c>
      <c r="BH283" s="14">
        <f t="shared" si="50"/>
        <v>480</v>
      </c>
      <c r="BI283" s="14">
        <f t="shared" si="51"/>
        <v>0</v>
      </c>
      <c r="BJ283" s="14">
        <f t="shared" si="52"/>
        <v>1200</v>
      </c>
      <c r="BK283" s="14">
        <f t="shared" si="53"/>
        <v>480</v>
      </c>
      <c r="BL283" s="14">
        <f t="shared" si="54"/>
        <v>960</v>
      </c>
      <c r="CJ283" s="52">
        <v>279</v>
      </c>
      <c r="CK283" s="52">
        <v>3</v>
      </c>
      <c r="CL283" s="52" t="s">
        <v>244</v>
      </c>
      <c r="CM283" s="52">
        <v>79</v>
      </c>
      <c r="CN283" s="52"/>
      <c r="CO283" s="52"/>
      <c r="CP283" s="52"/>
      <c r="CQ283" s="52" t="s">
        <v>358</v>
      </c>
      <c r="CR283" s="52">
        <v>23400</v>
      </c>
      <c r="CS283" s="52" t="s">
        <v>359</v>
      </c>
      <c r="CT283" s="52">
        <v>90</v>
      </c>
      <c r="CU283" s="52"/>
      <c r="CV283" s="52"/>
      <c r="CW283" s="52" t="s">
        <v>359</v>
      </c>
      <c r="CX283" s="52">
        <v>95</v>
      </c>
      <c r="CY283" s="52"/>
      <c r="CZ283" s="52"/>
      <c r="DA283" s="52"/>
      <c r="DB283" s="52"/>
      <c r="DC283" s="52"/>
      <c r="DD283" s="52"/>
      <c r="DE283" s="52"/>
      <c r="DF283" s="52"/>
      <c r="DG283" s="52"/>
      <c r="DH283" s="52"/>
    </row>
    <row r="284" spans="58:112" ht="16.5" x14ac:dyDescent="0.2">
      <c r="BF284" s="52">
        <v>279</v>
      </c>
      <c r="BG284" s="14">
        <f t="shared" si="49"/>
        <v>0</v>
      </c>
      <c r="BH284" s="14">
        <f t="shared" si="50"/>
        <v>480</v>
      </c>
      <c r="BI284" s="14">
        <f t="shared" si="51"/>
        <v>0</v>
      </c>
      <c r="BJ284" s="14">
        <f t="shared" si="52"/>
        <v>1200</v>
      </c>
      <c r="BK284" s="14">
        <f t="shared" si="53"/>
        <v>480</v>
      </c>
      <c r="BL284" s="14">
        <f t="shared" si="54"/>
        <v>960</v>
      </c>
      <c r="CJ284" s="52">
        <v>280</v>
      </c>
      <c r="CK284" s="52">
        <v>3</v>
      </c>
      <c r="CL284" s="52" t="s">
        <v>244</v>
      </c>
      <c r="CM284" s="52">
        <v>80</v>
      </c>
      <c r="CN284" s="52"/>
      <c r="CO284" s="52"/>
      <c r="CP284" s="52"/>
      <c r="CQ284" s="52" t="s">
        <v>358</v>
      </c>
      <c r="CR284" s="52">
        <v>27000</v>
      </c>
      <c r="CS284" s="52" t="s">
        <v>359</v>
      </c>
      <c r="CT284" s="52">
        <v>90</v>
      </c>
      <c r="CU284" s="52" t="s">
        <v>263</v>
      </c>
      <c r="CV284" s="52">
        <v>2</v>
      </c>
      <c r="CW284" s="52" t="s">
        <v>359</v>
      </c>
      <c r="CX284" s="52">
        <v>100</v>
      </c>
      <c r="CY284" s="52"/>
      <c r="CZ284" s="52"/>
      <c r="DA284" s="52"/>
      <c r="DB284" s="52"/>
      <c r="DC284" s="52"/>
      <c r="DD284" s="52"/>
      <c r="DE284" s="52"/>
      <c r="DF284" s="52"/>
      <c r="DG284" s="52"/>
      <c r="DH284" s="52"/>
    </row>
    <row r="285" spans="58:112" ht="16.5" x14ac:dyDescent="0.2">
      <c r="BF285" s="52">
        <v>280</v>
      </c>
      <c r="BG285" s="14">
        <f t="shared" si="49"/>
        <v>0</v>
      </c>
      <c r="BH285" s="14">
        <f t="shared" si="50"/>
        <v>480</v>
      </c>
      <c r="BI285" s="14">
        <f t="shared" si="51"/>
        <v>0</v>
      </c>
      <c r="BJ285" s="14">
        <f t="shared" si="52"/>
        <v>1200</v>
      </c>
      <c r="BK285" s="14">
        <f t="shared" si="53"/>
        <v>480</v>
      </c>
      <c r="BL285" s="14">
        <f t="shared" si="54"/>
        <v>960</v>
      </c>
      <c r="CJ285" s="52">
        <v>281</v>
      </c>
      <c r="CK285" s="52">
        <v>3</v>
      </c>
      <c r="CL285" s="52" t="s">
        <v>244</v>
      </c>
      <c r="CM285" s="52">
        <v>81</v>
      </c>
      <c r="CN285" s="52"/>
      <c r="CO285" s="52"/>
      <c r="CP285" s="52"/>
      <c r="CQ285" s="52" t="s">
        <v>358</v>
      </c>
      <c r="CR285" s="52">
        <v>27000</v>
      </c>
      <c r="CS285" s="52" t="s">
        <v>359</v>
      </c>
      <c r="CT285" s="52">
        <v>95</v>
      </c>
      <c r="CU285" s="52"/>
      <c r="CV285" s="52"/>
      <c r="CW285" s="52" t="s">
        <v>359</v>
      </c>
      <c r="CX285" s="52">
        <v>100</v>
      </c>
      <c r="CY285" s="52"/>
      <c r="CZ285" s="52"/>
      <c r="DA285" s="52"/>
      <c r="DB285" s="52"/>
      <c r="DC285" s="52"/>
      <c r="DD285" s="52"/>
      <c r="DE285" s="52"/>
      <c r="DF285" s="52"/>
      <c r="DG285" s="52"/>
      <c r="DH285" s="52"/>
    </row>
    <row r="286" spans="58:112" ht="16.5" x14ac:dyDescent="0.2">
      <c r="BF286" s="52">
        <v>281</v>
      </c>
      <c r="BG286" s="14">
        <f t="shared" si="49"/>
        <v>0</v>
      </c>
      <c r="BH286" s="14">
        <f t="shared" si="50"/>
        <v>480</v>
      </c>
      <c r="BI286" s="14">
        <f t="shared" si="51"/>
        <v>0</v>
      </c>
      <c r="BJ286" s="14">
        <f t="shared" si="52"/>
        <v>1200</v>
      </c>
      <c r="BK286" s="14">
        <f t="shared" si="53"/>
        <v>480</v>
      </c>
      <c r="BL286" s="14">
        <f t="shared" si="54"/>
        <v>960</v>
      </c>
      <c r="CJ286" s="52">
        <v>282</v>
      </c>
      <c r="CK286" s="52">
        <v>3</v>
      </c>
      <c r="CL286" s="52" t="s">
        <v>244</v>
      </c>
      <c r="CM286" s="52">
        <v>82</v>
      </c>
      <c r="CN286" s="52"/>
      <c r="CO286" s="52"/>
      <c r="CP286" s="52"/>
      <c r="CQ286" s="52" t="s">
        <v>358</v>
      </c>
      <c r="CR286" s="52">
        <v>27000</v>
      </c>
      <c r="CS286" s="52" t="s">
        <v>359</v>
      </c>
      <c r="CT286" s="52">
        <v>95</v>
      </c>
      <c r="CU286" s="52"/>
      <c r="CV286" s="52"/>
      <c r="CW286" s="52" t="s">
        <v>359</v>
      </c>
      <c r="CX286" s="52">
        <v>100</v>
      </c>
      <c r="CY286" s="52"/>
      <c r="CZ286" s="52"/>
      <c r="DA286" s="52"/>
      <c r="DB286" s="52"/>
      <c r="DC286" s="52"/>
      <c r="DD286" s="52"/>
      <c r="DE286" s="52"/>
      <c r="DF286" s="52"/>
      <c r="DG286" s="52"/>
      <c r="DH286" s="52"/>
    </row>
    <row r="287" spans="58:112" ht="16.5" x14ac:dyDescent="0.2">
      <c r="BF287" s="52">
        <v>282</v>
      </c>
      <c r="BG287" s="14">
        <f t="shared" si="49"/>
        <v>0</v>
      </c>
      <c r="BH287" s="14">
        <f t="shared" si="50"/>
        <v>480</v>
      </c>
      <c r="BI287" s="14">
        <f t="shared" si="51"/>
        <v>0</v>
      </c>
      <c r="BJ287" s="14">
        <f t="shared" si="52"/>
        <v>1200</v>
      </c>
      <c r="BK287" s="14">
        <f t="shared" si="53"/>
        <v>480</v>
      </c>
      <c r="BL287" s="14">
        <f t="shared" si="54"/>
        <v>960</v>
      </c>
      <c r="CJ287" s="52">
        <v>283</v>
      </c>
      <c r="CK287" s="52">
        <v>3</v>
      </c>
      <c r="CL287" s="52" t="s">
        <v>244</v>
      </c>
      <c r="CM287" s="52">
        <v>83</v>
      </c>
      <c r="CN287" s="52"/>
      <c r="CO287" s="52"/>
      <c r="CP287" s="52"/>
      <c r="CQ287" s="52" t="s">
        <v>358</v>
      </c>
      <c r="CR287" s="52">
        <v>27000</v>
      </c>
      <c r="CS287" s="52" t="s">
        <v>359</v>
      </c>
      <c r="CT287" s="52">
        <v>95</v>
      </c>
      <c r="CU287" s="52"/>
      <c r="CV287" s="52"/>
      <c r="CW287" s="52" t="s">
        <v>359</v>
      </c>
      <c r="CX287" s="52">
        <v>100</v>
      </c>
      <c r="CY287" s="52"/>
      <c r="CZ287" s="52"/>
      <c r="DA287" s="52"/>
      <c r="DB287" s="52"/>
      <c r="DC287" s="52"/>
      <c r="DD287" s="52"/>
      <c r="DE287" s="52"/>
      <c r="DF287" s="52"/>
      <c r="DG287" s="52"/>
      <c r="DH287" s="52"/>
    </row>
    <row r="288" spans="58:112" ht="16.5" x14ac:dyDescent="0.2">
      <c r="BF288" s="52">
        <v>283</v>
      </c>
      <c r="BG288" s="14">
        <f t="shared" si="49"/>
        <v>0</v>
      </c>
      <c r="BH288" s="14">
        <f t="shared" si="50"/>
        <v>480</v>
      </c>
      <c r="BI288" s="14">
        <f t="shared" si="51"/>
        <v>0</v>
      </c>
      <c r="BJ288" s="14">
        <f t="shared" si="52"/>
        <v>1200</v>
      </c>
      <c r="BK288" s="14">
        <f t="shared" si="53"/>
        <v>480</v>
      </c>
      <c r="BL288" s="14">
        <f t="shared" si="54"/>
        <v>960</v>
      </c>
      <c r="CJ288" s="52">
        <v>284</v>
      </c>
      <c r="CK288" s="52">
        <v>3</v>
      </c>
      <c r="CL288" s="52" t="s">
        <v>244</v>
      </c>
      <c r="CM288" s="52">
        <v>84</v>
      </c>
      <c r="CN288" s="52"/>
      <c r="CO288" s="52"/>
      <c r="CP288" s="52"/>
      <c r="CQ288" s="52" t="s">
        <v>358</v>
      </c>
      <c r="CR288" s="52">
        <v>27000</v>
      </c>
      <c r="CS288" s="52" t="s">
        <v>359</v>
      </c>
      <c r="CT288" s="52">
        <v>95</v>
      </c>
      <c r="CU288" s="52"/>
      <c r="CV288" s="52"/>
      <c r="CW288" s="52" t="s">
        <v>359</v>
      </c>
      <c r="CX288" s="52">
        <v>100</v>
      </c>
      <c r="CY288" s="52"/>
      <c r="CZ288" s="52"/>
      <c r="DA288" s="52"/>
      <c r="DB288" s="52"/>
      <c r="DC288" s="52"/>
      <c r="DD288" s="52"/>
      <c r="DE288" s="52"/>
      <c r="DF288" s="52"/>
      <c r="DG288" s="52"/>
      <c r="DH288" s="52"/>
    </row>
    <row r="289" spans="58:112" ht="16.5" x14ac:dyDescent="0.2">
      <c r="BF289" s="52">
        <v>284</v>
      </c>
      <c r="BG289" s="14">
        <f t="shared" si="49"/>
        <v>0</v>
      </c>
      <c r="BH289" s="14">
        <f t="shared" si="50"/>
        <v>480</v>
      </c>
      <c r="BI289" s="14">
        <f t="shared" si="51"/>
        <v>0</v>
      </c>
      <c r="BJ289" s="14">
        <f t="shared" si="52"/>
        <v>1200</v>
      </c>
      <c r="BK289" s="14">
        <f t="shared" si="53"/>
        <v>480</v>
      </c>
      <c r="BL289" s="14">
        <f t="shared" si="54"/>
        <v>960</v>
      </c>
      <c r="CJ289" s="52">
        <v>285</v>
      </c>
      <c r="CK289" s="52">
        <v>3</v>
      </c>
      <c r="CL289" s="52" t="s">
        <v>244</v>
      </c>
      <c r="CM289" s="52">
        <v>85</v>
      </c>
      <c r="CN289" s="52"/>
      <c r="CO289" s="52"/>
      <c r="CP289" s="52"/>
      <c r="CQ289" s="52" t="s">
        <v>358</v>
      </c>
      <c r="CR289" s="52">
        <v>27000</v>
      </c>
      <c r="CS289" s="52" t="s">
        <v>359</v>
      </c>
      <c r="CT289" s="52">
        <v>95</v>
      </c>
      <c r="CU289" s="52" t="s">
        <v>266</v>
      </c>
      <c r="CV289" s="52">
        <v>2</v>
      </c>
      <c r="CW289" s="52" t="s">
        <v>359</v>
      </c>
      <c r="CX289" s="52">
        <v>105</v>
      </c>
      <c r="CY289" s="52"/>
      <c r="CZ289" s="52"/>
      <c r="DA289" s="52"/>
      <c r="DB289" s="52"/>
      <c r="DC289" s="52"/>
      <c r="DD289" s="52"/>
      <c r="DE289" s="52"/>
      <c r="DF289" s="52"/>
      <c r="DG289" s="52"/>
      <c r="DH289" s="52"/>
    </row>
    <row r="290" spans="58:112" ht="16.5" x14ac:dyDescent="0.2">
      <c r="BF290" s="52">
        <v>285</v>
      </c>
      <c r="BG290" s="14">
        <f t="shared" si="49"/>
        <v>0</v>
      </c>
      <c r="BH290" s="14">
        <f t="shared" si="50"/>
        <v>480</v>
      </c>
      <c r="BI290" s="14">
        <f t="shared" si="51"/>
        <v>0</v>
      </c>
      <c r="BJ290" s="14">
        <f t="shared" si="52"/>
        <v>1200</v>
      </c>
      <c r="BK290" s="14">
        <f t="shared" si="53"/>
        <v>480</v>
      </c>
      <c r="BL290" s="14">
        <f t="shared" si="54"/>
        <v>960</v>
      </c>
      <c r="CJ290" s="52">
        <v>286</v>
      </c>
      <c r="CK290" s="52">
        <v>3</v>
      </c>
      <c r="CL290" s="52" t="s">
        <v>244</v>
      </c>
      <c r="CM290" s="52">
        <v>86</v>
      </c>
      <c r="CN290" s="52"/>
      <c r="CO290" s="52"/>
      <c r="CP290" s="52"/>
      <c r="CQ290" s="52" t="s">
        <v>358</v>
      </c>
      <c r="CR290" s="52">
        <v>27000</v>
      </c>
      <c r="CS290" s="52" t="s">
        <v>359</v>
      </c>
      <c r="CT290" s="52">
        <v>100</v>
      </c>
      <c r="CU290" s="52"/>
      <c r="CV290" s="52"/>
      <c r="CW290" s="52" t="s">
        <v>359</v>
      </c>
      <c r="CX290" s="52">
        <v>105</v>
      </c>
      <c r="CY290" s="52"/>
      <c r="CZ290" s="52"/>
      <c r="DA290" s="52"/>
      <c r="DB290" s="52"/>
      <c r="DC290" s="52"/>
      <c r="DD290" s="52"/>
      <c r="DE290" s="52"/>
      <c r="DF290" s="52"/>
      <c r="DG290" s="52"/>
      <c r="DH290" s="52"/>
    </row>
    <row r="291" spans="58:112" ht="16.5" x14ac:dyDescent="0.2">
      <c r="BF291" s="52">
        <v>286</v>
      </c>
      <c r="BG291" s="14">
        <f t="shared" si="49"/>
        <v>0</v>
      </c>
      <c r="BH291" s="14">
        <f t="shared" si="50"/>
        <v>480</v>
      </c>
      <c r="BI291" s="14">
        <f t="shared" si="51"/>
        <v>0</v>
      </c>
      <c r="BJ291" s="14">
        <f t="shared" si="52"/>
        <v>1200</v>
      </c>
      <c r="BK291" s="14">
        <f t="shared" si="53"/>
        <v>480</v>
      </c>
      <c r="BL291" s="14">
        <f t="shared" si="54"/>
        <v>960</v>
      </c>
      <c r="CJ291" s="52">
        <v>287</v>
      </c>
      <c r="CK291" s="52">
        <v>3</v>
      </c>
      <c r="CL291" s="52" t="s">
        <v>244</v>
      </c>
      <c r="CM291" s="52">
        <v>87</v>
      </c>
      <c r="CN291" s="52"/>
      <c r="CO291" s="52"/>
      <c r="CP291" s="52"/>
      <c r="CQ291" s="52" t="s">
        <v>358</v>
      </c>
      <c r="CR291" s="52">
        <v>27000</v>
      </c>
      <c r="CS291" s="52" t="s">
        <v>359</v>
      </c>
      <c r="CT291" s="52">
        <v>100</v>
      </c>
      <c r="CU291" s="52"/>
      <c r="CV291" s="52"/>
      <c r="CW291" s="52" t="s">
        <v>359</v>
      </c>
      <c r="CX291" s="52">
        <v>105</v>
      </c>
      <c r="CY291" s="52"/>
      <c r="CZ291" s="52"/>
      <c r="DA291" s="52"/>
      <c r="DB291" s="52"/>
      <c r="DC291" s="52"/>
      <c r="DD291" s="52"/>
      <c r="DE291" s="52"/>
      <c r="DF291" s="52"/>
      <c r="DG291" s="52"/>
      <c r="DH291" s="52"/>
    </row>
    <row r="292" spans="58:112" ht="16.5" x14ac:dyDescent="0.2">
      <c r="BF292" s="52">
        <v>287</v>
      </c>
      <c r="BG292" s="14">
        <f t="shared" si="49"/>
        <v>0</v>
      </c>
      <c r="BH292" s="14">
        <f t="shared" si="50"/>
        <v>480</v>
      </c>
      <c r="BI292" s="14">
        <f t="shared" si="51"/>
        <v>0</v>
      </c>
      <c r="BJ292" s="14">
        <f t="shared" si="52"/>
        <v>1200</v>
      </c>
      <c r="BK292" s="14">
        <f t="shared" si="53"/>
        <v>480</v>
      </c>
      <c r="BL292" s="14">
        <f t="shared" si="54"/>
        <v>960</v>
      </c>
      <c r="CJ292" s="52">
        <v>288</v>
      </c>
      <c r="CK292" s="52">
        <v>3</v>
      </c>
      <c r="CL292" s="52" t="s">
        <v>244</v>
      </c>
      <c r="CM292" s="52">
        <v>88</v>
      </c>
      <c r="CN292" s="52"/>
      <c r="CO292" s="52"/>
      <c r="CP292" s="52"/>
      <c r="CQ292" s="52" t="s">
        <v>358</v>
      </c>
      <c r="CR292" s="52">
        <v>27000</v>
      </c>
      <c r="CS292" s="52" t="s">
        <v>359</v>
      </c>
      <c r="CT292" s="52">
        <v>100</v>
      </c>
      <c r="CU292" s="52"/>
      <c r="CV292" s="52"/>
      <c r="CW292" s="52" t="s">
        <v>359</v>
      </c>
      <c r="CX292" s="52">
        <v>105</v>
      </c>
      <c r="CY292" s="52"/>
      <c r="CZ292" s="52"/>
      <c r="DA292" s="52"/>
      <c r="DB292" s="52"/>
      <c r="DC292" s="52"/>
      <c r="DD292" s="52"/>
      <c r="DE292" s="52"/>
      <c r="DF292" s="52"/>
      <c r="DG292" s="52"/>
      <c r="DH292" s="52"/>
    </row>
    <row r="293" spans="58:112" ht="16.5" x14ac:dyDescent="0.2">
      <c r="BF293" s="52">
        <v>288</v>
      </c>
      <c r="BG293" s="14">
        <f t="shared" si="49"/>
        <v>0</v>
      </c>
      <c r="BH293" s="14">
        <f t="shared" si="50"/>
        <v>480</v>
      </c>
      <c r="BI293" s="14">
        <f t="shared" si="51"/>
        <v>0</v>
      </c>
      <c r="BJ293" s="14">
        <f t="shared" si="52"/>
        <v>1200</v>
      </c>
      <c r="BK293" s="14">
        <f t="shared" si="53"/>
        <v>480</v>
      </c>
      <c r="BL293" s="14">
        <f t="shared" si="54"/>
        <v>960</v>
      </c>
      <c r="CJ293" s="52">
        <v>289</v>
      </c>
      <c r="CK293" s="52">
        <v>3</v>
      </c>
      <c r="CL293" s="52" t="s">
        <v>244</v>
      </c>
      <c r="CM293" s="52">
        <v>89</v>
      </c>
      <c r="CN293" s="52"/>
      <c r="CO293" s="52"/>
      <c r="CP293" s="52"/>
      <c r="CQ293" s="52" t="s">
        <v>358</v>
      </c>
      <c r="CR293" s="52">
        <v>27000</v>
      </c>
      <c r="CS293" s="52" t="s">
        <v>359</v>
      </c>
      <c r="CT293" s="52">
        <v>100</v>
      </c>
      <c r="CU293" s="52"/>
      <c r="CV293" s="52"/>
      <c r="CW293" s="52" t="s">
        <v>359</v>
      </c>
      <c r="CX293" s="52">
        <v>105</v>
      </c>
      <c r="CY293" s="52"/>
      <c r="CZ293" s="52"/>
      <c r="DA293" s="52"/>
      <c r="DB293" s="52"/>
      <c r="DC293" s="52"/>
      <c r="DD293" s="52"/>
      <c r="DE293" s="52"/>
      <c r="DF293" s="52"/>
      <c r="DG293" s="52"/>
      <c r="DH293" s="52"/>
    </row>
    <row r="294" spans="58:112" ht="16.5" x14ac:dyDescent="0.2">
      <c r="BF294" s="52">
        <v>289</v>
      </c>
      <c r="BG294" s="14">
        <f t="shared" si="49"/>
        <v>0</v>
      </c>
      <c r="BH294" s="14">
        <f t="shared" si="50"/>
        <v>480</v>
      </c>
      <c r="BI294" s="14">
        <f t="shared" si="51"/>
        <v>0</v>
      </c>
      <c r="BJ294" s="14">
        <f t="shared" si="52"/>
        <v>1200</v>
      </c>
      <c r="BK294" s="14">
        <f t="shared" si="53"/>
        <v>480</v>
      </c>
      <c r="BL294" s="14">
        <f t="shared" si="54"/>
        <v>960</v>
      </c>
      <c r="CJ294" s="52">
        <v>290</v>
      </c>
      <c r="CK294" s="52">
        <v>3</v>
      </c>
      <c r="CL294" s="52" t="s">
        <v>244</v>
      </c>
      <c r="CM294" s="52">
        <v>90</v>
      </c>
      <c r="CN294" s="52"/>
      <c r="CO294" s="52"/>
      <c r="CP294" s="52"/>
      <c r="CQ294" s="52" t="s">
        <v>358</v>
      </c>
      <c r="CR294" s="52">
        <v>31500</v>
      </c>
      <c r="CS294" s="52" t="s">
        <v>359</v>
      </c>
      <c r="CT294" s="52">
        <v>100</v>
      </c>
      <c r="CU294" s="52" t="s">
        <v>267</v>
      </c>
      <c r="CV294" s="52">
        <v>2</v>
      </c>
      <c r="CW294" s="52" t="s">
        <v>359</v>
      </c>
      <c r="CX294" s="52">
        <v>110</v>
      </c>
      <c r="CY294" s="52"/>
      <c r="CZ294" s="52"/>
      <c r="DA294" s="52"/>
      <c r="DB294" s="52"/>
      <c r="DC294" s="52"/>
      <c r="DD294" s="52"/>
      <c r="DE294" s="52"/>
      <c r="DF294" s="52"/>
      <c r="DG294" s="52"/>
      <c r="DH294" s="52"/>
    </row>
    <row r="295" spans="58:112" ht="16.5" x14ac:dyDescent="0.2">
      <c r="BF295" s="52">
        <v>290</v>
      </c>
      <c r="BG295" s="14">
        <f t="shared" si="49"/>
        <v>0</v>
      </c>
      <c r="BH295" s="14">
        <f t="shared" si="50"/>
        <v>480</v>
      </c>
      <c r="BI295" s="14">
        <f t="shared" si="51"/>
        <v>0</v>
      </c>
      <c r="BJ295" s="14">
        <f t="shared" si="52"/>
        <v>1200</v>
      </c>
      <c r="BK295" s="14">
        <f t="shared" si="53"/>
        <v>480</v>
      </c>
      <c r="BL295" s="14">
        <f t="shared" si="54"/>
        <v>960</v>
      </c>
      <c r="CJ295" s="52">
        <v>291</v>
      </c>
      <c r="CK295" s="52">
        <v>3</v>
      </c>
      <c r="CL295" s="52" t="s">
        <v>244</v>
      </c>
      <c r="CM295" s="52">
        <v>91</v>
      </c>
      <c r="CN295" s="52"/>
      <c r="CO295" s="52"/>
      <c r="CP295" s="52"/>
      <c r="CQ295" s="52" t="s">
        <v>358</v>
      </c>
      <c r="CR295" s="52">
        <v>31500</v>
      </c>
      <c r="CS295" s="52" t="s">
        <v>359</v>
      </c>
      <c r="CT295" s="52">
        <v>105</v>
      </c>
      <c r="CU295" s="52"/>
      <c r="CV295" s="52"/>
      <c r="CW295" s="52" t="s">
        <v>359</v>
      </c>
      <c r="CX295" s="52">
        <v>110</v>
      </c>
      <c r="CY295" s="52"/>
      <c r="CZ295" s="52"/>
      <c r="DA295" s="52"/>
      <c r="DB295" s="52"/>
      <c r="DC295" s="52"/>
      <c r="DD295" s="52"/>
      <c r="DE295" s="52"/>
      <c r="DF295" s="52"/>
      <c r="DG295" s="52"/>
      <c r="DH295" s="52"/>
    </row>
    <row r="296" spans="58:112" ht="16.5" x14ac:dyDescent="0.2">
      <c r="BF296" s="52">
        <v>291</v>
      </c>
      <c r="BG296" s="14">
        <f t="shared" si="49"/>
        <v>0</v>
      </c>
      <c r="BH296" s="14">
        <f t="shared" si="50"/>
        <v>480</v>
      </c>
      <c r="BI296" s="14">
        <f t="shared" si="51"/>
        <v>0</v>
      </c>
      <c r="BJ296" s="14">
        <f t="shared" si="52"/>
        <v>1200</v>
      </c>
      <c r="BK296" s="14">
        <f t="shared" si="53"/>
        <v>480</v>
      </c>
      <c r="BL296" s="14">
        <f t="shared" si="54"/>
        <v>960</v>
      </c>
      <c r="CJ296" s="52">
        <v>292</v>
      </c>
      <c r="CK296" s="52">
        <v>3</v>
      </c>
      <c r="CL296" s="52" t="s">
        <v>244</v>
      </c>
      <c r="CM296" s="52">
        <v>92</v>
      </c>
      <c r="CN296" s="52"/>
      <c r="CO296" s="52"/>
      <c r="CP296" s="52"/>
      <c r="CQ296" s="52" t="s">
        <v>358</v>
      </c>
      <c r="CR296" s="52">
        <v>31500</v>
      </c>
      <c r="CS296" s="52" t="s">
        <v>359</v>
      </c>
      <c r="CT296" s="52">
        <v>105</v>
      </c>
      <c r="CU296" s="52"/>
      <c r="CV296" s="52"/>
      <c r="CW296" s="52" t="s">
        <v>359</v>
      </c>
      <c r="CX296" s="52">
        <v>110</v>
      </c>
      <c r="CY296" s="52"/>
      <c r="CZ296" s="52"/>
      <c r="DA296" s="52"/>
      <c r="DB296" s="52"/>
      <c r="DC296" s="52"/>
      <c r="DD296" s="52"/>
      <c r="DE296" s="52"/>
      <c r="DF296" s="52"/>
      <c r="DG296" s="52"/>
      <c r="DH296" s="52"/>
    </row>
    <row r="297" spans="58:112" ht="16.5" x14ac:dyDescent="0.2">
      <c r="BF297" s="52">
        <v>292</v>
      </c>
      <c r="BG297" s="14">
        <f t="shared" si="49"/>
        <v>0</v>
      </c>
      <c r="BH297" s="14">
        <f t="shared" si="50"/>
        <v>480</v>
      </c>
      <c r="BI297" s="14">
        <f t="shared" si="51"/>
        <v>0</v>
      </c>
      <c r="BJ297" s="14">
        <f t="shared" si="52"/>
        <v>1200</v>
      </c>
      <c r="BK297" s="14">
        <f t="shared" si="53"/>
        <v>480</v>
      </c>
      <c r="BL297" s="14">
        <f t="shared" si="54"/>
        <v>960</v>
      </c>
      <c r="CJ297" s="52">
        <v>293</v>
      </c>
      <c r="CK297" s="52">
        <v>3</v>
      </c>
      <c r="CL297" s="52" t="s">
        <v>244</v>
      </c>
      <c r="CM297" s="52">
        <v>93</v>
      </c>
      <c r="CN297" s="52"/>
      <c r="CO297" s="52"/>
      <c r="CP297" s="52"/>
      <c r="CQ297" s="52" t="s">
        <v>358</v>
      </c>
      <c r="CR297" s="52">
        <v>31500</v>
      </c>
      <c r="CS297" s="52" t="s">
        <v>359</v>
      </c>
      <c r="CT297" s="52">
        <v>105</v>
      </c>
      <c r="CU297" s="52"/>
      <c r="CV297" s="52"/>
      <c r="CW297" s="52" t="s">
        <v>359</v>
      </c>
      <c r="CX297" s="52">
        <v>110</v>
      </c>
      <c r="CY297" s="52"/>
      <c r="CZ297" s="52"/>
      <c r="DA297" s="52"/>
      <c r="DB297" s="52"/>
      <c r="DC297" s="52"/>
      <c r="DD297" s="52"/>
      <c r="DE297" s="52"/>
      <c r="DF297" s="52"/>
      <c r="DG297" s="52"/>
      <c r="DH297" s="52"/>
    </row>
    <row r="298" spans="58:112" ht="16.5" x14ac:dyDescent="0.2">
      <c r="BF298" s="52">
        <v>293</v>
      </c>
      <c r="BG298" s="14">
        <f t="shared" ref="BG298:BG361" si="55">SUMIFS($F$5:$F$104,$AT$6:$AT$105,"="&amp;BF298)+SUMIFS($Q$5:$Q$104,$AW$6:$AW$105,"="&amp;BF298)+SUMIFS($AB$5:$AB$104,$AZ$6:$AZ$105,"="&amp;BF298)+SUMIFS($AM$5:$AM$104,$BC$6:$BC$105,"="&amp;BF298)</f>
        <v>0</v>
      </c>
      <c r="BH298" s="14">
        <f t="shared" ref="BH298:BH361" si="56">INDEX($G$5:$G$104,MATCH(BF298,$AT$5:$AT$105,1)-1)+INDEX($R$5:$R$104,MATCH(BF298,$AW$5:$AW$105,1)-1)+INDEX($AC$5:$AC$104,MATCH(BF298,$AZ$5:$AZ$105,1)-1)+INDEX($AN$5:$AN$104,MATCH(BF298,$BC$5:$BC$105,1)-1)</f>
        <v>480</v>
      </c>
      <c r="BI298" s="14">
        <f t="shared" ref="BI298:BI361" si="57">SUMIFS($H$5:$H$104,$AT$6:$AT$105,"="&amp;BF298)+SUMIFS($S$5:$S$104,$AW$6:$AW$105,"="&amp;BF298)+SUMIFS($AD$5:$AD$104,$AZ$6:$AZ$105,"="&amp;BF298)+SUMIFS($AO$5:$AO$104,$BC$6:$BC$105,"="&amp;BF298)</f>
        <v>0</v>
      </c>
      <c r="BJ298" s="14">
        <f t="shared" ref="BJ298:BJ361" si="58">INDEX($I$5:$I$104,MATCH(BF298,$AT$5:$AT$105,1)-1)+INDEX($T$5:$T$104,MATCH(BF298,$AW$5:$AW$105,1)-1)+INDEX($AE$5:$AE$104,MATCH(BF298,$AZ$5:$AZ$105,1)-1)+INDEX($AP$5:$AP$104,MATCH(BF298,$BC$5:$BC$105,1)-1)</f>
        <v>1200</v>
      </c>
      <c r="BK298" s="14">
        <f t="shared" si="53"/>
        <v>480</v>
      </c>
      <c r="BL298" s="14">
        <f t="shared" si="54"/>
        <v>960</v>
      </c>
      <c r="CJ298" s="52">
        <v>294</v>
      </c>
      <c r="CK298" s="52">
        <v>3</v>
      </c>
      <c r="CL298" s="52" t="s">
        <v>244</v>
      </c>
      <c r="CM298" s="52">
        <v>94</v>
      </c>
      <c r="CN298" s="52"/>
      <c r="CO298" s="52"/>
      <c r="CP298" s="52"/>
      <c r="CQ298" s="52" t="s">
        <v>358</v>
      </c>
      <c r="CR298" s="52">
        <v>31500</v>
      </c>
      <c r="CS298" s="52" t="s">
        <v>359</v>
      </c>
      <c r="CT298" s="52">
        <v>105</v>
      </c>
      <c r="CU298" s="52"/>
      <c r="CV298" s="52"/>
      <c r="CW298" s="52" t="s">
        <v>359</v>
      </c>
      <c r="CX298" s="52">
        <v>110</v>
      </c>
      <c r="CY298" s="52"/>
      <c r="CZ298" s="52"/>
      <c r="DA298" s="52"/>
      <c r="DB298" s="52"/>
      <c r="DC298" s="52"/>
      <c r="DD298" s="52"/>
      <c r="DE298" s="52"/>
      <c r="DF298" s="52"/>
      <c r="DG298" s="52"/>
      <c r="DH298" s="52"/>
    </row>
    <row r="299" spans="58:112" ht="16.5" x14ac:dyDescent="0.2">
      <c r="BF299" s="52">
        <v>294</v>
      </c>
      <c r="BG299" s="14">
        <f t="shared" si="55"/>
        <v>0</v>
      </c>
      <c r="BH299" s="14">
        <f t="shared" si="56"/>
        <v>480</v>
      </c>
      <c r="BI299" s="14">
        <f t="shared" si="57"/>
        <v>0</v>
      </c>
      <c r="BJ299" s="14">
        <f t="shared" si="58"/>
        <v>1200</v>
      </c>
      <c r="BK299" s="14">
        <f t="shared" si="53"/>
        <v>480</v>
      </c>
      <c r="BL299" s="14">
        <f t="shared" si="54"/>
        <v>960</v>
      </c>
      <c r="CJ299" s="52">
        <v>295</v>
      </c>
      <c r="CK299" s="52">
        <v>3</v>
      </c>
      <c r="CL299" s="52" t="s">
        <v>244</v>
      </c>
      <c r="CM299" s="52">
        <v>95</v>
      </c>
      <c r="CN299" s="52"/>
      <c r="CO299" s="52"/>
      <c r="CP299" s="52"/>
      <c r="CQ299" s="52" t="s">
        <v>358</v>
      </c>
      <c r="CR299" s="52">
        <v>31500</v>
      </c>
      <c r="CS299" s="52" t="s">
        <v>359</v>
      </c>
      <c r="CT299" s="52">
        <v>105</v>
      </c>
      <c r="CU299" s="52" t="s">
        <v>262</v>
      </c>
      <c r="CV299" s="52">
        <v>3</v>
      </c>
      <c r="CW299" s="52" t="s">
        <v>359</v>
      </c>
      <c r="CX299" s="52">
        <v>115</v>
      </c>
      <c r="CY299" s="52"/>
      <c r="CZ299" s="52"/>
      <c r="DA299" s="52"/>
      <c r="DB299" s="52"/>
      <c r="DC299" s="52"/>
      <c r="DD299" s="52"/>
      <c r="DE299" s="52"/>
      <c r="DF299" s="52"/>
      <c r="DG299" s="52"/>
      <c r="DH299" s="52"/>
    </row>
    <row r="300" spans="58:112" ht="16.5" x14ac:dyDescent="0.2">
      <c r="BF300" s="52">
        <v>295</v>
      </c>
      <c r="BG300" s="14">
        <f t="shared" si="55"/>
        <v>0</v>
      </c>
      <c r="BH300" s="14">
        <f t="shared" si="56"/>
        <v>480</v>
      </c>
      <c r="BI300" s="14">
        <f t="shared" si="57"/>
        <v>0</v>
      </c>
      <c r="BJ300" s="14">
        <f t="shared" si="58"/>
        <v>1200</v>
      </c>
      <c r="BK300" s="14">
        <f t="shared" si="53"/>
        <v>480</v>
      </c>
      <c r="BL300" s="14">
        <f t="shared" si="54"/>
        <v>960</v>
      </c>
      <c r="CJ300" s="52">
        <v>296</v>
      </c>
      <c r="CK300" s="52">
        <v>3</v>
      </c>
      <c r="CL300" s="52" t="s">
        <v>244</v>
      </c>
      <c r="CM300" s="52">
        <v>96</v>
      </c>
      <c r="CN300" s="52"/>
      <c r="CO300" s="52"/>
      <c r="CP300" s="52"/>
      <c r="CQ300" s="52" t="s">
        <v>358</v>
      </c>
      <c r="CR300" s="52">
        <v>36000</v>
      </c>
      <c r="CS300" s="52" t="s">
        <v>359</v>
      </c>
      <c r="CT300" s="52">
        <v>110</v>
      </c>
      <c r="CU300" s="52"/>
      <c r="CV300" s="52"/>
      <c r="CW300" s="52" t="s">
        <v>359</v>
      </c>
      <c r="CX300" s="52">
        <v>115</v>
      </c>
      <c r="CY300" s="52"/>
      <c r="CZ300" s="52"/>
      <c r="DA300" s="52"/>
      <c r="DB300" s="52"/>
      <c r="DC300" s="52"/>
      <c r="DD300" s="52"/>
      <c r="DE300" s="52"/>
      <c r="DF300" s="52"/>
      <c r="DG300" s="52"/>
      <c r="DH300" s="52"/>
    </row>
    <row r="301" spans="58:112" ht="16.5" x14ac:dyDescent="0.2">
      <c r="BF301" s="52">
        <v>296</v>
      </c>
      <c r="BG301" s="14">
        <f t="shared" si="55"/>
        <v>0</v>
      </c>
      <c r="BH301" s="14">
        <f t="shared" si="56"/>
        <v>480</v>
      </c>
      <c r="BI301" s="14">
        <f t="shared" si="57"/>
        <v>0</v>
      </c>
      <c r="BJ301" s="14">
        <f t="shared" si="58"/>
        <v>1200</v>
      </c>
      <c r="BK301" s="14">
        <f t="shared" si="53"/>
        <v>480</v>
      </c>
      <c r="BL301" s="14">
        <f t="shared" si="54"/>
        <v>960</v>
      </c>
      <c r="CJ301" s="52">
        <v>297</v>
      </c>
      <c r="CK301" s="52">
        <v>3</v>
      </c>
      <c r="CL301" s="52" t="s">
        <v>244</v>
      </c>
      <c r="CM301" s="52">
        <v>97</v>
      </c>
      <c r="CN301" s="52"/>
      <c r="CO301" s="52"/>
      <c r="CP301" s="52"/>
      <c r="CQ301" s="52" t="s">
        <v>358</v>
      </c>
      <c r="CR301" s="52">
        <v>36000</v>
      </c>
      <c r="CS301" s="52" t="s">
        <v>359</v>
      </c>
      <c r="CT301" s="52">
        <v>110</v>
      </c>
      <c r="CU301" s="52"/>
      <c r="CV301" s="52"/>
      <c r="CW301" s="52" t="s">
        <v>359</v>
      </c>
      <c r="CX301" s="52">
        <v>115</v>
      </c>
      <c r="CY301" s="52"/>
      <c r="CZ301" s="52"/>
      <c r="DA301" s="52"/>
      <c r="DB301" s="52"/>
      <c r="DC301" s="52"/>
      <c r="DD301" s="52"/>
      <c r="DE301" s="52"/>
      <c r="DF301" s="52"/>
      <c r="DG301" s="52"/>
      <c r="DH301" s="52"/>
    </row>
    <row r="302" spans="58:112" ht="16.5" x14ac:dyDescent="0.2">
      <c r="BF302" s="52">
        <v>297</v>
      </c>
      <c r="BG302" s="14">
        <f t="shared" si="55"/>
        <v>0</v>
      </c>
      <c r="BH302" s="14">
        <f t="shared" si="56"/>
        <v>480</v>
      </c>
      <c r="BI302" s="14">
        <f t="shared" si="57"/>
        <v>0</v>
      </c>
      <c r="BJ302" s="14">
        <f t="shared" si="58"/>
        <v>1200</v>
      </c>
      <c r="BK302" s="14">
        <f t="shared" si="53"/>
        <v>480</v>
      </c>
      <c r="BL302" s="14">
        <f t="shared" si="54"/>
        <v>960</v>
      </c>
      <c r="CJ302" s="52">
        <v>298</v>
      </c>
      <c r="CK302" s="52">
        <v>3</v>
      </c>
      <c r="CL302" s="52" t="s">
        <v>244</v>
      </c>
      <c r="CM302" s="52">
        <v>98</v>
      </c>
      <c r="CN302" s="52"/>
      <c r="CO302" s="52"/>
      <c r="CP302" s="52"/>
      <c r="CQ302" s="52" t="s">
        <v>358</v>
      </c>
      <c r="CR302" s="52">
        <v>36000</v>
      </c>
      <c r="CS302" s="52" t="s">
        <v>359</v>
      </c>
      <c r="CT302" s="52">
        <v>110</v>
      </c>
      <c r="CU302" s="52"/>
      <c r="CV302" s="52"/>
      <c r="CW302" s="52" t="s">
        <v>359</v>
      </c>
      <c r="CX302" s="52">
        <v>115</v>
      </c>
      <c r="CY302" s="52"/>
      <c r="CZ302" s="52"/>
      <c r="DA302" s="52"/>
      <c r="DB302" s="52"/>
      <c r="DC302" s="52"/>
      <c r="DD302" s="52"/>
      <c r="DE302" s="52"/>
      <c r="DF302" s="52"/>
      <c r="DG302" s="52"/>
      <c r="DH302" s="52"/>
    </row>
    <row r="303" spans="58:112" ht="16.5" x14ac:dyDescent="0.2">
      <c r="BF303" s="52">
        <v>298</v>
      </c>
      <c r="BG303" s="14">
        <f t="shared" si="55"/>
        <v>0</v>
      </c>
      <c r="BH303" s="14">
        <f t="shared" si="56"/>
        <v>480</v>
      </c>
      <c r="BI303" s="14">
        <f t="shared" si="57"/>
        <v>0</v>
      </c>
      <c r="BJ303" s="14">
        <f t="shared" si="58"/>
        <v>1200</v>
      </c>
      <c r="BK303" s="14">
        <f t="shared" si="53"/>
        <v>480</v>
      </c>
      <c r="BL303" s="14">
        <f t="shared" si="54"/>
        <v>960</v>
      </c>
      <c r="CJ303" s="52">
        <v>299</v>
      </c>
      <c r="CK303" s="52">
        <v>3</v>
      </c>
      <c r="CL303" s="52" t="s">
        <v>244</v>
      </c>
      <c r="CM303" s="52">
        <v>99</v>
      </c>
      <c r="CN303" s="52"/>
      <c r="CO303" s="52"/>
      <c r="CP303" s="52"/>
      <c r="CQ303" s="52" t="s">
        <v>358</v>
      </c>
      <c r="CR303" s="52">
        <v>36000</v>
      </c>
      <c r="CS303" s="52" t="s">
        <v>359</v>
      </c>
      <c r="CT303" s="52">
        <v>110</v>
      </c>
      <c r="CU303" s="52"/>
      <c r="CV303" s="52"/>
      <c r="CW303" s="52" t="s">
        <v>359</v>
      </c>
      <c r="CX303" s="52">
        <v>115</v>
      </c>
      <c r="CY303" s="52"/>
      <c r="CZ303" s="52"/>
      <c r="DA303" s="52"/>
      <c r="DB303" s="52"/>
      <c r="DC303" s="52"/>
      <c r="DD303" s="52"/>
      <c r="DE303" s="52"/>
      <c r="DF303" s="52"/>
      <c r="DG303" s="52"/>
      <c r="DH303" s="52"/>
    </row>
    <row r="304" spans="58:112" ht="16.5" x14ac:dyDescent="0.2">
      <c r="BF304" s="52">
        <v>299</v>
      </c>
      <c r="BG304" s="14">
        <f t="shared" si="55"/>
        <v>0</v>
      </c>
      <c r="BH304" s="14">
        <f t="shared" si="56"/>
        <v>480</v>
      </c>
      <c r="BI304" s="14">
        <f t="shared" si="57"/>
        <v>0</v>
      </c>
      <c r="BJ304" s="14">
        <f t="shared" si="58"/>
        <v>1200</v>
      </c>
      <c r="BK304" s="14">
        <f t="shared" si="53"/>
        <v>480</v>
      </c>
      <c r="BL304" s="14">
        <f t="shared" si="54"/>
        <v>960</v>
      </c>
      <c r="CJ304" s="52">
        <v>300</v>
      </c>
      <c r="CK304" s="52">
        <v>3</v>
      </c>
      <c r="CL304" s="52" t="s">
        <v>244</v>
      </c>
      <c r="CM304" s="52">
        <v>100</v>
      </c>
      <c r="CN304" s="52"/>
      <c r="CO304" s="52"/>
      <c r="CP304" s="52"/>
      <c r="CQ304" s="52" t="s">
        <v>358</v>
      </c>
      <c r="CR304" s="52">
        <v>36000</v>
      </c>
      <c r="CS304" s="52" t="s">
        <v>359</v>
      </c>
      <c r="CT304" s="52">
        <v>110</v>
      </c>
      <c r="CU304" s="52" t="s">
        <v>266</v>
      </c>
      <c r="CV304" s="52">
        <v>3</v>
      </c>
      <c r="CW304" s="52" t="s">
        <v>359</v>
      </c>
      <c r="CX304" s="52">
        <v>120</v>
      </c>
      <c r="CY304" s="52"/>
      <c r="CZ304" s="52"/>
      <c r="DA304" s="52"/>
      <c r="DB304" s="52"/>
      <c r="DC304" s="52"/>
      <c r="DD304" s="52"/>
      <c r="DE304" s="52"/>
      <c r="DF304" s="52"/>
      <c r="DG304" s="52"/>
      <c r="DH304" s="52"/>
    </row>
    <row r="305" spans="58:112" ht="16.5" x14ac:dyDescent="0.2">
      <c r="BF305" s="52">
        <v>300</v>
      </c>
      <c r="BG305" s="14">
        <f t="shared" si="55"/>
        <v>0</v>
      </c>
      <c r="BH305" s="14">
        <f t="shared" si="56"/>
        <v>480</v>
      </c>
      <c r="BI305" s="14">
        <f t="shared" si="57"/>
        <v>0</v>
      </c>
      <c r="BJ305" s="14">
        <f t="shared" si="58"/>
        <v>1200</v>
      </c>
      <c r="BK305" s="14">
        <f t="shared" si="53"/>
        <v>480</v>
      </c>
      <c r="BL305" s="14">
        <f t="shared" si="54"/>
        <v>960</v>
      </c>
      <c r="CJ305" s="52">
        <v>301</v>
      </c>
      <c r="CK305" s="52">
        <v>4</v>
      </c>
      <c r="CL305" s="52" t="s">
        <v>244</v>
      </c>
      <c r="CM305" s="52">
        <v>1</v>
      </c>
      <c r="CN305" s="52"/>
      <c r="CO305" s="52"/>
      <c r="CP305" s="52"/>
      <c r="CQ305" s="52" t="s">
        <v>358</v>
      </c>
      <c r="CR305" s="52">
        <v>5760</v>
      </c>
      <c r="CS305" s="52" t="s">
        <v>359</v>
      </c>
      <c r="CT305" s="52">
        <v>20</v>
      </c>
      <c r="CU305" s="52"/>
      <c r="CV305" s="52"/>
      <c r="CW305" s="52" t="s">
        <v>359</v>
      </c>
      <c r="CX305" s="52">
        <v>20</v>
      </c>
      <c r="CY305" s="52"/>
      <c r="CZ305" s="52"/>
      <c r="DA305" s="52"/>
      <c r="DB305" s="52"/>
      <c r="DC305" s="52"/>
      <c r="DD305" s="52"/>
      <c r="DE305" s="52"/>
      <c r="DF305" s="52"/>
      <c r="DG305" s="52"/>
      <c r="DH305" s="52"/>
    </row>
    <row r="306" spans="58:112" ht="16.5" x14ac:dyDescent="0.2">
      <c r="BF306" s="52">
        <v>301</v>
      </c>
      <c r="BG306" s="14">
        <f t="shared" si="55"/>
        <v>0</v>
      </c>
      <c r="BH306" s="14">
        <f t="shared" si="56"/>
        <v>480</v>
      </c>
      <c r="BI306" s="14">
        <f t="shared" si="57"/>
        <v>0</v>
      </c>
      <c r="BJ306" s="14">
        <f t="shared" si="58"/>
        <v>1200</v>
      </c>
      <c r="BK306" s="14">
        <f t="shared" si="53"/>
        <v>480</v>
      </c>
      <c r="BL306" s="14">
        <f t="shared" si="54"/>
        <v>960</v>
      </c>
      <c r="CJ306" s="52">
        <v>302</v>
      </c>
      <c r="CK306" s="52">
        <v>4</v>
      </c>
      <c r="CL306" s="52" t="s">
        <v>244</v>
      </c>
      <c r="CM306" s="52">
        <v>2</v>
      </c>
      <c r="CN306" s="52"/>
      <c r="CO306" s="52"/>
      <c r="CP306" s="52"/>
      <c r="CQ306" s="52" t="s">
        <v>358</v>
      </c>
      <c r="CR306" s="52">
        <v>5760</v>
      </c>
      <c r="CS306" s="52" t="s">
        <v>359</v>
      </c>
      <c r="CT306" s="52">
        <v>20</v>
      </c>
      <c r="CU306" s="52" t="s">
        <v>264</v>
      </c>
      <c r="CV306" s="52">
        <v>1</v>
      </c>
      <c r="CW306" s="52" t="s">
        <v>359</v>
      </c>
      <c r="CX306" s="52">
        <v>20</v>
      </c>
      <c r="CY306" s="52"/>
      <c r="CZ306" s="52"/>
      <c r="DA306" s="52"/>
      <c r="DB306" s="52"/>
      <c r="DC306" s="52"/>
      <c r="DD306" s="52"/>
      <c r="DE306" s="52"/>
      <c r="DF306" s="52"/>
      <c r="DG306" s="52"/>
      <c r="DH306" s="52"/>
    </row>
    <row r="307" spans="58:112" ht="16.5" x14ac:dyDescent="0.2">
      <c r="BF307" s="52">
        <v>302</v>
      </c>
      <c r="BG307" s="14">
        <f t="shared" si="55"/>
        <v>0</v>
      </c>
      <c r="BH307" s="14">
        <f t="shared" si="56"/>
        <v>480</v>
      </c>
      <c r="BI307" s="14">
        <f t="shared" si="57"/>
        <v>0</v>
      </c>
      <c r="BJ307" s="14">
        <f t="shared" si="58"/>
        <v>1200</v>
      </c>
      <c r="BK307" s="14">
        <f t="shared" si="53"/>
        <v>480</v>
      </c>
      <c r="BL307" s="14">
        <f t="shared" si="54"/>
        <v>960</v>
      </c>
      <c r="CJ307" s="52">
        <v>303</v>
      </c>
      <c r="CK307" s="52">
        <v>4</v>
      </c>
      <c r="CL307" s="52" t="s">
        <v>244</v>
      </c>
      <c r="CM307" s="52">
        <v>3</v>
      </c>
      <c r="CN307" s="52"/>
      <c r="CO307" s="52"/>
      <c r="CP307" s="52"/>
      <c r="CQ307" s="52" t="s">
        <v>358</v>
      </c>
      <c r="CR307" s="52">
        <v>5760</v>
      </c>
      <c r="CS307" s="52" t="s">
        <v>359</v>
      </c>
      <c r="CT307" s="52">
        <v>20</v>
      </c>
      <c r="CU307" s="52"/>
      <c r="CV307" s="52"/>
      <c r="CW307" s="52" t="s">
        <v>359</v>
      </c>
      <c r="CX307" s="52">
        <v>20</v>
      </c>
      <c r="CY307" s="52"/>
      <c r="CZ307" s="52"/>
      <c r="DA307" s="52"/>
      <c r="DB307" s="52"/>
      <c r="DC307" s="52"/>
      <c r="DD307" s="52"/>
      <c r="DE307" s="52"/>
      <c r="DF307" s="52"/>
      <c r="DG307" s="52"/>
      <c r="DH307" s="52"/>
    </row>
    <row r="308" spans="58:112" ht="16.5" x14ac:dyDescent="0.2">
      <c r="BF308" s="52">
        <v>303</v>
      </c>
      <c r="BG308" s="14">
        <f t="shared" si="55"/>
        <v>0</v>
      </c>
      <c r="BH308" s="14">
        <f t="shared" si="56"/>
        <v>480</v>
      </c>
      <c r="BI308" s="14">
        <f t="shared" si="57"/>
        <v>0</v>
      </c>
      <c r="BJ308" s="14">
        <f t="shared" si="58"/>
        <v>1200</v>
      </c>
      <c r="BK308" s="14">
        <f t="shared" si="53"/>
        <v>480</v>
      </c>
      <c r="BL308" s="14">
        <f t="shared" si="54"/>
        <v>960</v>
      </c>
      <c r="CJ308" s="52">
        <v>304</v>
      </c>
      <c r="CK308" s="52">
        <v>4</v>
      </c>
      <c r="CL308" s="52" t="s">
        <v>244</v>
      </c>
      <c r="CM308" s="52">
        <v>4</v>
      </c>
      <c r="CN308" s="52"/>
      <c r="CO308" s="52"/>
      <c r="CP308" s="52"/>
      <c r="CQ308" s="52" t="s">
        <v>358</v>
      </c>
      <c r="CR308" s="52">
        <v>5760</v>
      </c>
      <c r="CS308" s="52" t="s">
        <v>359</v>
      </c>
      <c r="CT308" s="52">
        <v>20</v>
      </c>
      <c r="CU308" s="52" t="s">
        <v>265</v>
      </c>
      <c r="CV308" s="52">
        <v>1</v>
      </c>
      <c r="CW308" s="52" t="s">
        <v>359</v>
      </c>
      <c r="CX308" s="52">
        <v>20</v>
      </c>
      <c r="CY308" s="52"/>
      <c r="CZ308" s="52"/>
      <c r="DA308" s="52"/>
      <c r="DB308" s="52"/>
      <c r="DC308" s="52"/>
      <c r="DD308" s="52"/>
      <c r="DE308" s="52"/>
      <c r="DF308" s="52"/>
      <c r="DG308" s="52"/>
      <c r="DH308" s="52"/>
    </row>
    <row r="309" spans="58:112" ht="16.5" x14ac:dyDescent="0.2">
      <c r="BF309" s="52">
        <v>304</v>
      </c>
      <c r="BG309" s="14">
        <f t="shared" si="55"/>
        <v>0</v>
      </c>
      <c r="BH309" s="14">
        <f t="shared" si="56"/>
        <v>480</v>
      </c>
      <c r="BI309" s="14">
        <f t="shared" si="57"/>
        <v>0</v>
      </c>
      <c r="BJ309" s="14">
        <f t="shared" si="58"/>
        <v>1200</v>
      </c>
      <c r="BK309" s="14">
        <f t="shared" si="53"/>
        <v>480</v>
      </c>
      <c r="BL309" s="14">
        <f t="shared" si="54"/>
        <v>960</v>
      </c>
      <c r="CJ309" s="52">
        <v>305</v>
      </c>
      <c r="CK309" s="52">
        <v>4</v>
      </c>
      <c r="CL309" s="52" t="s">
        <v>244</v>
      </c>
      <c r="CM309" s="52">
        <v>5</v>
      </c>
      <c r="CN309" s="52"/>
      <c r="CO309" s="52"/>
      <c r="CP309" s="52"/>
      <c r="CQ309" s="52" t="s">
        <v>358</v>
      </c>
      <c r="CR309" s="52">
        <v>5760</v>
      </c>
      <c r="CS309" s="52" t="s">
        <v>359</v>
      </c>
      <c r="CT309" s="52">
        <v>20</v>
      </c>
      <c r="CU309" s="52"/>
      <c r="CV309" s="52"/>
      <c r="CW309" s="52" t="s">
        <v>359</v>
      </c>
      <c r="CX309" s="52">
        <v>25</v>
      </c>
      <c r="CY309" s="52"/>
      <c r="CZ309" s="52"/>
      <c r="DA309" s="52"/>
      <c r="DB309" s="52"/>
      <c r="DC309" s="52"/>
      <c r="DD309" s="52"/>
      <c r="DE309" s="52"/>
      <c r="DF309" s="52"/>
      <c r="DG309" s="52"/>
      <c r="DH309" s="52"/>
    </row>
    <row r="310" spans="58:112" ht="16.5" x14ac:dyDescent="0.2">
      <c r="BF310" s="52">
        <v>305</v>
      </c>
      <c r="BG310" s="14">
        <f t="shared" si="55"/>
        <v>0</v>
      </c>
      <c r="BH310" s="14">
        <f t="shared" si="56"/>
        <v>480</v>
      </c>
      <c r="BI310" s="14">
        <f t="shared" si="57"/>
        <v>0</v>
      </c>
      <c r="BJ310" s="14">
        <f t="shared" si="58"/>
        <v>1200</v>
      </c>
      <c r="BK310" s="14">
        <f t="shared" si="53"/>
        <v>480</v>
      </c>
      <c r="BL310" s="14">
        <f t="shared" si="54"/>
        <v>960</v>
      </c>
      <c r="CJ310" s="52">
        <v>306</v>
      </c>
      <c r="CK310" s="52">
        <v>4</v>
      </c>
      <c r="CL310" s="52" t="s">
        <v>244</v>
      </c>
      <c r="CM310" s="52">
        <v>6</v>
      </c>
      <c r="CN310" s="52"/>
      <c r="CO310" s="52"/>
      <c r="CP310" s="52"/>
      <c r="CQ310" s="52" t="s">
        <v>358</v>
      </c>
      <c r="CR310" s="52">
        <v>7200</v>
      </c>
      <c r="CS310" s="52" t="s">
        <v>359</v>
      </c>
      <c r="CT310" s="52">
        <v>25</v>
      </c>
      <c r="CU310" s="52"/>
      <c r="CV310" s="52"/>
      <c r="CW310" s="52" t="s">
        <v>359</v>
      </c>
      <c r="CX310" s="52">
        <v>25</v>
      </c>
      <c r="CY310" s="52"/>
      <c r="CZ310" s="52"/>
      <c r="DA310" s="52"/>
      <c r="DB310" s="52"/>
      <c r="DC310" s="52"/>
      <c r="DD310" s="52"/>
      <c r="DE310" s="52"/>
      <c r="DF310" s="52"/>
      <c r="DG310" s="52"/>
      <c r="DH310" s="52"/>
    </row>
    <row r="311" spans="58:112" ht="16.5" x14ac:dyDescent="0.2">
      <c r="BF311" s="52">
        <v>306</v>
      </c>
      <c r="BG311" s="14">
        <f t="shared" si="55"/>
        <v>0</v>
      </c>
      <c r="BH311" s="14">
        <f t="shared" si="56"/>
        <v>480</v>
      </c>
      <c r="BI311" s="14">
        <f t="shared" si="57"/>
        <v>0</v>
      </c>
      <c r="BJ311" s="14">
        <f t="shared" si="58"/>
        <v>1200</v>
      </c>
      <c r="BK311" s="14">
        <f t="shared" si="53"/>
        <v>480</v>
      </c>
      <c r="BL311" s="14">
        <f t="shared" si="54"/>
        <v>960</v>
      </c>
      <c r="CJ311" s="52">
        <v>307</v>
      </c>
      <c r="CK311" s="52">
        <v>4</v>
      </c>
      <c r="CL311" s="52" t="s">
        <v>244</v>
      </c>
      <c r="CM311" s="52">
        <v>7</v>
      </c>
      <c r="CN311" s="52"/>
      <c r="CO311" s="52"/>
      <c r="CP311" s="52"/>
      <c r="CQ311" s="52" t="s">
        <v>358</v>
      </c>
      <c r="CR311" s="52">
        <v>7200</v>
      </c>
      <c r="CS311" s="52" t="s">
        <v>359</v>
      </c>
      <c r="CT311" s="52">
        <v>25</v>
      </c>
      <c r="CU311" s="52" t="s">
        <v>268</v>
      </c>
      <c r="CV311" s="52">
        <v>1</v>
      </c>
      <c r="CW311" s="52" t="s">
        <v>359</v>
      </c>
      <c r="CX311" s="52">
        <v>25</v>
      </c>
      <c r="CY311" s="52"/>
      <c r="CZ311" s="52"/>
      <c r="DA311" s="52"/>
      <c r="DB311" s="52"/>
      <c r="DC311" s="52"/>
      <c r="DD311" s="52"/>
      <c r="DE311" s="52"/>
      <c r="DF311" s="52"/>
      <c r="DG311" s="52"/>
      <c r="DH311" s="52"/>
    </row>
    <row r="312" spans="58:112" ht="16.5" x14ac:dyDescent="0.2">
      <c r="BF312" s="52">
        <v>307</v>
      </c>
      <c r="BG312" s="14">
        <f t="shared" si="55"/>
        <v>0</v>
      </c>
      <c r="BH312" s="14">
        <f t="shared" si="56"/>
        <v>480</v>
      </c>
      <c r="BI312" s="14">
        <f t="shared" si="57"/>
        <v>0</v>
      </c>
      <c r="BJ312" s="14">
        <f t="shared" si="58"/>
        <v>1200</v>
      </c>
      <c r="BK312" s="14">
        <f t="shared" si="53"/>
        <v>480</v>
      </c>
      <c r="BL312" s="14">
        <f t="shared" si="54"/>
        <v>960</v>
      </c>
      <c r="CJ312" s="52">
        <v>308</v>
      </c>
      <c r="CK312" s="52">
        <v>4</v>
      </c>
      <c r="CL312" s="52" t="s">
        <v>244</v>
      </c>
      <c r="CM312" s="52">
        <v>8</v>
      </c>
      <c r="CN312" s="52"/>
      <c r="CO312" s="52"/>
      <c r="CP312" s="52"/>
      <c r="CQ312" s="52" t="s">
        <v>358</v>
      </c>
      <c r="CR312" s="52">
        <v>7200</v>
      </c>
      <c r="CS312" s="52" t="s">
        <v>359</v>
      </c>
      <c r="CT312" s="52">
        <v>25</v>
      </c>
      <c r="CU312" s="52"/>
      <c r="CV312" s="52"/>
      <c r="CW312" s="52" t="s">
        <v>359</v>
      </c>
      <c r="CX312" s="52">
        <v>25</v>
      </c>
      <c r="CY312" s="52"/>
      <c r="CZ312" s="52"/>
      <c r="DA312" s="52"/>
      <c r="DB312" s="52"/>
      <c r="DC312" s="52"/>
      <c r="DD312" s="52"/>
      <c r="DE312" s="52"/>
      <c r="DF312" s="52"/>
      <c r="DG312" s="52"/>
      <c r="DH312" s="52"/>
    </row>
    <row r="313" spans="58:112" ht="16.5" x14ac:dyDescent="0.2">
      <c r="BF313" s="52">
        <v>308</v>
      </c>
      <c r="BG313" s="14">
        <f t="shared" si="55"/>
        <v>0</v>
      </c>
      <c r="BH313" s="14">
        <f t="shared" si="56"/>
        <v>480</v>
      </c>
      <c r="BI313" s="14">
        <f t="shared" si="57"/>
        <v>0</v>
      </c>
      <c r="BJ313" s="14">
        <f t="shared" si="58"/>
        <v>1200</v>
      </c>
      <c r="BK313" s="14">
        <f t="shared" si="53"/>
        <v>480</v>
      </c>
      <c r="BL313" s="14">
        <f t="shared" si="54"/>
        <v>960</v>
      </c>
      <c r="CJ313" s="52">
        <v>309</v>
      </c>
      <c r="CK313" s="52">
        <v>4</v>
      </c>
      <c r="CL313" s="52" t="s">
        <v>244</v>
      </c>
      <c r="CM313" s="52">
        <v>9</v>
      </c>
      <c r="CN313" s="52"/>
      <c r="CO313" s="52"/>
      <c r="CP313" s="52"/>
      <c r="CQ313" s="52" t="s">
        <v>358</v>
      </c>
      <c r="CR313" s="52">
        <v>7200</v>
      </c>
      <c r="CS313" s="52" t="s">
        <v>359</v>
      </c>
      <c r="CT313" s="52">
        <v>25</v>
      </c>
      <c r="CU313" s="52"/>
      <c r="CV313" s="52"/>
      <c r="CW313" s="52" t="s">
        <v>359</v>
      </c>
      <c r="CX313" s="52">
        <v>25</v>
      </c>
      <c r="CY313" s="52"/>
      <c r="CZ313" s="52"/>
      <c r="DA313" s="52"/>
      <c r="DB313" s="52"/>
      <c r="DC313" s="52"/>
      <c r="DD313" s="52"/>
      <c r="DE313" s="52"/>
      <c r="DF313" s="52"/>
      <c r="DG313" s="52"/>
      <c r="DH313" s="52"/>
    </row>
    <row r="314" spans="58:112" ht="16.5" x14ac:dyDescent="0.2">
      <c r="BF314" s="52">
        <v>309</v>
      </c>
      <c r="BG314" s="14">
        <f t="shared" si="55"/>
        <v>0</v>
      </c>
      <c r="BH314" s="14">
        <f t="shared" si="56"/>
        <v>480</v>
      </c>
      <c r="BI314" s="14">
        <f t="shared" si="57"/>
        <v>0</v>
      </c>
      <c r="BJ314" s="14">
        <f t="shared" si="58"/>
        <v>1200</v>
      </c>
      <c r="BK314" s="14">
        <f t="shared" si="53"/>
        <v>480</v>
      </c>
      <c r="BL314" s="14">
        <f t="shared" si="54"/>
        <v>960</v>
      </c>
      <c r="CJ314" s="52">
        <v>310</v>
      </c>
      <c r="CK314" s="52">
        <v>4</v>
      </c>
      <c r="CL314" s="52" t="s">
        <v>244</v>
      </c>
      <c r="CM314" s="52">
        <v>10</v>
      </c>
      <c r="CN314" s="52"/>
      <c r="CO314" s="52"/>
      <c r="CP314" s="52"/>
      <c r="CQ314" s="52" t="s">
        <v>358</v>
      </c>
      <c r="CR314" s="52">
        <v>7200</v>
      </c>
      <c r="CS314" s="52" t="s">
        <v>359</v>
      </c>
      <c r="CT314" s="52">
        <v>25</v>
      </c>
      <c r="CU314" s="52" t="s">
        <v>269</v>
      </c>
      <c r="CV314" s="52">
        <v>1</v>
      </c>
      <c r="CW314" s="52" t="s">
        <v>359</v>
      </c>
      <c r="CX314" s="52">
        <v>30</v>
      </c>
      <c r="CY314" s="52"/>
      <c r="CZ314" s="52"/>
      <c r="DA314" s="52"/>
      <c r="DB314" s="52"/>
      <c r="DC314" s="52"/>
      <c r="DD314" s="52"/>
      <c r="DE314" s="52"/>
      <c r="DF314" s="52"/>
      <c r="DG314" s="52"/>
      <c r="DH314" s="52"/>
    </row>
    <row r="315" spans="58:112" ht="16.5" x14ac:dyDescent="0.2">
      <c r="BF315" s="52">
        <v>310</v>
      </c>
      <c r="BG315" s="14">
        <f t="shared" si="55"/>
        <v>0</v>
      </c>
      <c r="BH315" s="14">
        <f t="shared" si="56"/>
        <v>480</v>
      </c>
      <c r="BI315" s="14">
        <f t="shared" si="57"/>
        <v>0</v>
      </c>
      <c r="BJ315" s="14">
        <f t="shared" si="58"/>
        <v>1200</v>
      </c>
      <c r="BK315" s="14">
        <f t="shared" si="53"/>
        <v>480</v>
      </c>
      <c r="BL315" s="14">
        <f t="shared" si="54"/>
        <v>960</v>
      </c>
      <c r="CJ315" s="52">
        <v>311</v>
      </c>
      <c r="CK315" s="52">
        <v>4</v>
      </c>
      <c r="CL315" s="52" t="s">
        <v>244</v>
      </c>
      <c r="CM315" s="52">
        <v>11</v>
      </c>
      <c r="CN315" s="52"/>
      <c r="CO315" s="52"/>
      <c r="CP315" s="52"/>
      <c r="CQ315" s="52" t="s">
        <v>358</v>
      </c>
      <c r="CR315" s="52">
        <v>9000</v>
      </c>
      <c r="CS315" s="52" t="s">
        <v>359</v>
      </c>
      <c r="CT315" s="52">
        <v>30</v>
      </c>
      <c r="CU315" s="52"/>
      <c r="CV315" s="52"/>
      <c r="CW315" s="52" t="s">
        <v>359</v>
      </c>
      <c r="CX315" s="52">
        <v>30</v>
      </c>
      <c r="CY315" s="52"/>
      <c r="CZ315" s="52"/>
      <c r="DA315" s="52"/>
      <c r="DB315" s="52"/>
      <c r="DC315" s="52"/>
      <c r="DD315" s="52"/>
      <c r="DE315" s="52"/>
      <c r="DF315" s="52"/>
      <c r="DG315" s="52"/>
      <c r="DH315" s="52"/>
    </row>
    <row r="316" spans="58:112" ht="16.5" x14ac:dyDescent="0.2">
      <c r="BF316" s="52">
        <v>311</v>
      </c>
      <c r="BG316" s="14">
        <f t="shared" si="55"/>
        <v>0</v>
      </c>
      <c r="BH316" s="14">
        <f t="shared" si="56"/>
        <v>480</v>
      </c>
      <c r="BI316" s="14">
        <f t="shared" si="57"/>
        <v>0</v>
      </c>
      <c r="BJ316" s="14">
        <f t="shared" si="58"/>
        <v>1200</v>
      </c>
      <c r="BK316" s="14">
        <f t="shared" si="53"/>
        <v>480</v>
      </c>
      <c r="BL316" s="14">
        <f t="shared" si="54"/>
        <v>960</v>
      </c>
      <c r="CJ316" s="52">
        <v>312</v>
      </c>
      <c r="CK316" s="52">
        <v>4</v>
      </c>
      <c r="CL316" s="52" t="s">
        <v>244</v>
      </c>
      <c r="CM316" s="52">
        <v>12</v>
      </c>
      <c r="CN316" s="52"/>
      <c r="CO316" s="52"/>
      <c r="CP316" s="52"/>
      <c r="CQ316" s="52" t="s">
        <v>358</v>
      </c>
      <c r="CR316" s="52">
        <v>9000</v>
      </c>
      <c r="CS316" s="52" t="s">
        <v>359</v>
      </c>
      <c r="CT316" s="52">
        <v>30</v>
      </c>
      <c r="CU316" s="52"/>
      <c r="CV316" s="52"/>
      <c r="CW316" s="52" t="s">
        <v>359</v>
      </c>
      <c r="CX316" s="52">
        <v>30</v>
      </c>
      <c r="CY316" s="52"/>
      <c r="CZ316" s="52"/>
      <c r="DA316" s="52"/>
      <c r="DB316" s="52"/>
      <c r="DC316" s="52"/>
      <c r="DD316" s="52"/>
      <c r="DE316" s="52"/>
      <c r="DF316" s="52"/>
      <c r="DG316" s="52"/>
      <c r="DH316" s="52"/>
    </row>
    <row r="317" spans="58:112" ht="16.5" x14ac:dyDescent="0.2">
      <c r="BF317" s="52">
        <v>312</v>
      </c>
      <c r="BG317" s="14">
        <f t="shared" si="55"/>
        <v>0</v>
      </c>
      <c r="BH317" s="14">
        <f t="shared" si="56"/>
        <v>480</v>
      </c>
      <c r="BI317" s="14">
        <f t="shared" si="57"/>
        <v>0</v>
      </c>
      <c r="BJ317" s="14">
        <f t="shared" si="58"/>
        <v>1200</v>
      </c>
      <c r="BK317" s="14">
        <f t="shared" si="53"/>
        <v>480</v>
      </c>
      <c r="BL317" s="14">
        <f t="shared" si="54"/>
        <v>960</v>
      </c>
      <c r="CJ317" s="52">
        <v>313</v>
      </c>
      <c r="CK317" s="52">
        <v>4</v>
      </c>
      <c r="CL317" s="52" t="s">
        <v>244</v>
      </c>
      <c r="CM317" s="52">
        <v>13</v>
      </c>
      <c r="CN317" s="52"/>
      <c r="CO317" s="52"/>
      <c r="CP317" s="52"/>
      <c r="CQ317" s="52" t="s">
        <v>358</v>
      </c>
      <c r="CR317" s="52">
        <v>9000</v>
      </c>
      <c r="CS317" s="52" t="s">
        <v>359</v>
      </c>
      <c r="CT317" s="52">
        <v>30</v>
      </c>
      <c r="CU317" s="52"/>
      <c r="CV317" s="52"/>
      <c r="CW317" s="52" t="s">
        <v>359</v>
      </c>
      <c r="CX317" s="52">
        <v>30</v>
      </c>
      <c r="CY317" s="52"/>
      <c r="CZ317" s="52"/>
      <c r="DA317" s="52"/>
      <c r="DB317" s="52"/>
      <c r="DC317" s="52"/>
      <c r="DD317" s="52"/>
      <c r="DE317" s="52"/>
      <c r="DF317" s="52"/>
      <c r="DG317" s="52"/>
      <c r="DH317" s="52"/>
    </row>
    <row r="318" spans="58:112" ht="16.5" x14ac:dyDescent="0.2">
      <c r="BF318" s="52">
        <v>313</v>
      </c>
      <c r="BG318" s="14">
        <f t="shared" si="55"/>
        <v>0</v>
      </c>
      <c r="BH318" s="14">
        <f t="shared" si="56"/>
        <v>480</v>
      </c>
      <c r="BI318" s="14">
        <f t="shared" si="57"/>
        <v>0</v>
      </c>
      <c r="BJ318" s="14">
        <f t="shared" si="58"/>
        <v>1200</v>
      </c>
      <c r="BK318" s="14">
        <f t="shared" si="53"/>
        <v>480</v>
      </c>
      <c r="BL318" s="14">
        <f t="shared" si="54"/>
        <v>960</v>
      </c>
      <c r="CJ318" s="52">
        <v>314</v>
      </c>
      <c r="CK318" s="52">
        <v>4</v>
      </c>
      <c r="CL318" s="52" t="s">
        <v>244</v>
      </c>
      <c r="CM318" s="52">
        <v>14</v>
      </c>
      <c r="CN318" s="52"/>
      <c r="CO318" s="52"/>
      <c r="CP318" s="52"/>
      <c r="CQ318" s="52" t="s">
        <v>358</v>
      </c>
      <c r="CR318" s="52">
        <v>9000</v>
      </c>
      <c r="CS318" s="52" t="s">
        <v>359</v>
      </c>
      <c r="CT318" s="52">
        <v>30</v>
      </c>
      <c r="CU318" s="52"/>
      <c r="CV318" s="52"/>
      <c r="CW318" s="52" t="s">
        <v>359</v>
      </c>
      <c r="CX318" s="52">
        <v>30</v>
      </c>
      <c r="CY318" s="52"/>
      <c r="CZ318" s="52"/>
      <c r="DA318" s="52"/>
      <c r="DB318" s="52"/>
      <c r="DC318" s="52"/>
      <c r="DD318" s="52"/>
      <c r="DE318" s="52"/>
      <c r="DF318" s="52"/>
      <c r="DG318" s="52"/>
      <c r="DH318" s="52"/>
    </row>
    <row r="319" spans="58:112" ht="16.5" x14ac:dyDescent="0.2">
      <c r="BF319" s="52">
        <v>314</v>
      </c>
      <c r="BG319" s="14">
        <f t="shared" si="55"/>
        <v>0</v>
      </c>
      <c r="BH319" s="14">
        <f t="shared" si="56"/>
        <v>480</v>
      </c>
      <c r="BI319" s="14">
        <f t="shared" si="57"/>
        <v>0</v>
      </c>
      <c r="BJ319" s="14">
        <f t="shared" si="58"/>
        <v>1200</v>
      </c>
      <c r="BK319" s="14">
        <f t="shared" si="53"/>
        <v>480</v>
      </c>
      <c r="BL319" s="14">
        <f t="shared" si="54"/>
        <v>960</v>
      </c>
      <c r="CJ319" s="52">
        <v>315</v>
      </c>
      <c r="CK319" s="52">
        <v>4</v>
      </c>
      <c r="CL319" s="52" t="s">
        <v>244</v>
      </c>
      <c r="CM319" s="52">
        <v>15</v>
      </c>
      <c r="CN319" s="52"/>
      <c r="CO319" s="52"/>
      <c r="CP319" s="52"/>
      <c r="CQ319" s="52" t="s">
        <v>358</v>
      </c>
      <c r="CR319" s="52">
        <v>9000</v>
      </c>
      <c r="CS319" s="52" t="s">
        <v>359</v>
      </c>
      <c r="CT319" s="52">
        <v>30</v>
      </c>
      <c r="CU319" s="52" t="s">
        <v>264</v>
      </c>
      <c r="CV319" s="52">
        <v>2</v>
      </c>
      <c r="CW319" s="52" t="s">
        <v>359</v>
      </c>
      <c r="CX319" s="52">
        <v>35</v>
      </c>
      <c r="CY319" s="52"/>
      <c r="CZ319" s="52"/>
      <c r="DA319" s="52"/>
      <c r="DB319" s="52"/>
      <c r="DC319" s="52"/>
      <c r="DD319" s="52"/>
      <c r="DE319" s="52"/>
      <c r="DF319" s="52"/>
      <c r="DG319" s="52"/>
      <c r="DH319" s="52"/>
    </row>
    <row r="320" spans="58:112" ht="16.5" x14ac:dyDescent="0.2">
      <c r="BF320" s="52">
        <v>315</v>
      </c>
      <c r="BG320" s="14">
        <f t="shared" si="55"/>
        <v>0</v>
      </c>
      <c r="BH320" s="14">
        <f t="shared" si="56"/>
        <v>480</v>
      </c>
      <c r="BI320" s="14">
        <f t="shared" si="57"/>
        <v>0</v>
      </c>
      <c r="BJ320" s="14">
        <f t="shared" si="58"/>
        <v>1200</v>
      </c>
      <c r="BK320" s="14">
        <f t="shared" si="53"/>
        <v>480</v>
      </c>
      <c r="BL320" s="14">
        <f t="shared" si="54"/>
        <v>960</v>
      </c>
      <c r="CJ320" s="52">
        <v>316</v>
      </c>
      <c r="CK320" s="52">
        <v>4</v>
      </c>
      <c r="CL320" s="52" t="s">
        <v>244</v>
      </c>
      <c r="CM320" s="52">
        <v>16</v>
      </c>
      <c r="CN320" s="52"/>
      <c r="CO320" s="52"/>
      <c r="CP320" s="52"/>
      <c r="CQ320" s="52" t="s">
        <v>358</v>
      </c>
      <c r="CR320" s="52">
        <v>10800</v>
      </c>
      <c r="CS320" s="52" t="s">
        <v>359</v>
      </c>
      <c r="CT320" s="52">
        <v>35</v>
      </c>
      <c r="CU320" s="52"/>
      <c r="CV320" s="52"/>
      <c r="CW320" s="52" t="s">
        <v>359</v>
      </c>
      <c r="CX320" s="52">
        <v>35</v>
      </c>
      <c r="CY320" s="52"/>
      <c r="CZ320" s="52"/>
      <c r="DA320" s="52"/>
      <c r="DB320" s="52"/>
      <c r="DC320" s="52"/>
      <c r="DD320" s="52"/>
      <c r="DE320" s="52"/>
      <c r="DF320" s="52"/>
      <c r="DG320" s="52"/>
      <c r="DH320" s="52"/>
    </row>
    <row r="321" spans="58:112" ht="16.5" x14ac:dyDescent="0.2">
      <c r="BF321" s="52">
        <v>316</v>
      </c>
      <c r="BG321" s="14">
        <f t="shared" si="55"/>
        <v>0</v>
      </c>
      <c r="BH321" s="14">
        <f t="shared" si="56"/>
        <v>480</v>
      </c>
      <c r="BI321" s="14">
        <f t="shared" si="57"/>
        <v>0</v>
      </c>
      <c r="BJ321" s="14">
        <f t="shared" si="58"/>
        <v>1200</v>
      </c>
      <c r="BK321" s="14">
        <f t="shared" si="53"/>
        <v>480</v>
      </c>
      <c r="BL321" s="14">
        <f t="shared" si="54"/>
        <v>960</v>
      </c>
      <c r="CJ321" s="52">
        <v>317</v>
      </c>
      <c r="CK321" s="52">
        <v>4</v>
      </c>
      <c r="CL321" s="52" t="s">
        <v>244</v>
      </c>
      <c r="CM321" s="52">
        <v>17</v>
      </c>
      <c r="CN321" s="52"/>
      <c r="CO321" s="52"/>
      <c r="CP321" s="52"/>
      <c r="CQ321" s="52" t="s">
        <v>358</v>
      </c>
      <c r="CR321" s="52">
        <v>10800</v>
      </c>
      <c r="CS321" s="52" t="s">
        <v>359</v>
      </c>
      <c r="CT321" s="52">
        <v>35</v>
      </c>
      <c r="CU321" s="52"/>
      <c r="CV321" s="52"/>
      <c r="CW321" s="52" t="s">
        <v>359</v>
      </c>
      <c r="CX321" s="52">
        <v>35</v>
      </c>
      <c r="CY321" s="52"/>
      <c r="CZ321" s="52"/>
      <c r="DA321" s="52"/>
      <c r="DB321" s="52"/>
      <c r="DC321" s="52"/>
      <c r="DD321" s="52"/>
      <c r="DE321" s="52"/>
      <c r="DF321" s="52"/>
      <c r="DG321" s="52"/>
      <c r="DH321" s="52"/>
    </row>
    <row r="322" spans="58:112" ht="16.5" x14ac:dyDescent="0.2">
      <c r="BF322" s="52">
        <v>317</v>
      </c>
      <c r="BG322" s="14">
        <f t="shared" si="55"/>
        <v>0</v>
      </c>
      <c r="BH322" s="14">
        <f t="shared" si="56"/>
        <v>480</v>
      </c>
      <c r="BI322" s="14">
        <f t="shared" si="57"/>
        <v>0</v>
      </c>
      <c r="BJ322" s="14">
        <f t="shared" si="58"/>
        <v>1200</v>
      </c>
      <c r="BK322" s="14">
        <f t="shared" si="53"/>
        <v>480</v>
      </c>
      <c r="BL322" s="14">
        <f t="shared" si="54"/>
        <v>960</v>
      </c>
      <c r="CJ322" s="52">
        <v>318</v>
      </c>
      <c r="CK322" s="52">
        <v>4</v>
      </c>
      <c r="CL322" s="52" t="s">
        <v>244</v>
      </c>
      <c r="CM322" s="52">
        <v>18</v>
      </c>
      <c r="CN322" s="52"/>
      <c r="CO322" s="52"/>
      <c r="CP322" s="52"/>
      <c r="CQ322" s="52" t="s">
        <v>358</v>
      </c>
      <c r="CR322" s="52">
        <v>10800</v>
      </c>
      <c r="CS322" s="52" t="s">
        <v>359</v>
      </c>
      <c r="CT322" s="52">
        <v>35</v>
      </c>
      <c r="CU322" s="52"/>
      <c r="CV322" s="52"/>
      <c r="CW322" s="52" t="s">
        <v>359</v>
      </c>
      <c r="CX322" s="52">
        <v>35</v>
      </c>
      <c r="CY322" s="52"/>
      <c r="CZ322" s="52"/>
      <c r="DA322" s="52"/>
      <c r="DB322" s="52"/>
      <c r="DC322" s="52"/>
      <c r="DD322" s="52"/>
      <c r="DE322" s="52"/>
      <c r="DF322" s="52"/>
      <c r="DG322" s="52"/>
      <c r="DH322" s="52"/>
    </row>
    <row r="323" spans="58:112" ht="16.5" x14ac:dyDescent="0.2">
      <c r="BF323" s="52">
        <v>318</v>
      </c>
      <c r="BG323" s="14">
        <f t="shared" si="55"/>
        <v>0</v>
      </c>
      <c r="BH323" s="14">
        <f t="shared" si="56"/>
        <v>480</v>
      </c>
      <c r="BI323" s="14">
        <f t="shared" si="57"/>
        <v>0</v>
      </c>
      <c r="BJ323" s="14">
        <f t="shared" si="58"/>
        <v>1200</v>
      </c>
      <c r="BK323" s="14">
        <f t="shared" si="53"/>
        <v>480</v>
      </c>
      <c r="BL323" s="14">
        <f t="shared" si="54"/>
        <v>960</v>
      </c>
      <c r="CJ323" s="52">
        <v>319</v>
      </c>
      <c r="CK323" s="52">
        <v>4</v>
      </c>
      <c r="CL323" s="52" t="s">
        <v>244</v>
      </c>
      <c r="CM323" s="52">
        <v>19</v>
      </c>
      <c r="CN323" s="52"/>
      <c r="CO323" s="52"/>
      <c r="CP323" s="52"/>
      <c r="CQ323" s="52" t="s">
        <v>358</v>
      </c>
      <c r="CR323" s="52">
        <v>10800</v>
      </c>
      <c r="CS323" s="52" t="s">
        <v>359</v>
      </c>
      <c r="CT323" s="52">
        <v>35</v>
      </c>
      <c r="CU323" s="52"/>
      <c r="CV323" s="52"/>
      <c r="CW323" s="52" t="s">
        <v>359</v>
      </c>
      <c r="CX323" s="52">
        <v>35</v>
      </c>
      <c r="CY323" s="52"/>
      <c r="CZ323" s="52"/>
      <c r="DA323" s="52"/>
      <c r="DB323" s="52"/>
      <c r="DC323" s="52"/>
      <c r="DD323" s="52"/>
      <c r="DE323" s="52"/>
      <c r="DF323" s="52"/>
      <c r="DG323" s="52"/>
      <c r="DH323" s="52"/>
    </row>
    <row r="324" spans="58:112" ht="16.5" x14ac:dyDescent="0.2">
      <c r="BF324" s="52">
        <v>319</v>
      </c>
      <c r="BG324" s="14">
        <f t="shared" si="55"/>
        <v>0</v>
      </c>
      <c r="BH324" s="14">
        <f t="shared" si="56"/>
        <v>480</v>
      </c>
      <c r="BI324" s="14">
        <f t="shared" si="57"/>
        <v>0</v>
      </c>
      <c r="BJ324" s="14">
        <f t="shared" si="58"/>
        <v>1200</v>
      </c>
      <c r="BK324" s="14">
        <f t="shared" si="53"/>
        <v>480</v>
      </c>
      <c r="BL324" s="14">
        <f t="shared" si="54"/>
        <v>960</v>
      </c>
      <c r="CJ324" s="52">
        <v>320</v>
      </c>
      <c r="CK324" s="52">
        <v>4</v>
      </c>
      <c r="CL324" s="52" t="s">
        <v>244</v>
      </c>
      <c r="CM324" s="52">
        <v>20</v>
      </c>
      <c r="CN324" s="52"/>
      <c r="CO324" s="52"/>
      <c r="CP324" s="52"/>
      <c r="CQ324" s="52" t="s">
        <v>358</v>
      </c>
      <c r="CR324" s="52">
        <v>12960</v>
      </c>
      <c r="CS324" s="52" t="s">
        <v>359</v>
      </c>
      <c r="CT324" s="52">
        <v>35</v>
      </c>
      <c r="CU324" s="52" t="s">
        <v>265</v>
      </c>
      <c r="CV324" s="52">
        <v>2</v>
      </c>
      <c r="CW324" s="52" t="s">
        <v>359</v>
      </c>
      <c r="CX324" s="52">
        <v>40</v>
      </c>
      <c r="CY324" s="52"/>
      <c r="CZ324" s="52"/>
      <c r="DA324" s="52"/>
      <c r="DB324" s="52"/>
      <c r="DC324" s="52"/>
      <c r="DD324" s="52"/>
      <c r="DE324" s="52"/>
      <c r="DF324" s="52"/>
      <c r="DG324" s="52"/>
      <c r="DH324" s="52"/>
    </row>
    <row r="325" spans="58:112" ht="16.5" x14ac:dyDescent="0.2">
      <c r="BF325" s="52">
        <v>320</v>
      </c>
      <c r="BG325" s="14">
        <f t="shared" si="55"/>
        <v>0</v>
      </c>
      <c r="BH325" s="14">
        <f t="shared" si="56"/>
        <v>480</v>
      </c>
      <c r="BI325" s="14">
        <f t="shared" si="57"/>
        <v>0</v>
      </c>
      <c r="BJ325" s="14">
        <f t="shared" si="58"/>
        <v>1200</v>
      </c>
      <c r="BK325" s="14">
        <f t="shared" si="53"/>
        <v>480</v>
      </c>
      <c r="BL325" s="14">
        <f t="shared" si="54"/>
        <v>960</v>
      </c>
      <c r="CJ325" s="52">
        <v>321</v>
      </c>
      <c r="CK325" s="52">
        <v>4</v>
      </c>
      <c r="CL325" s="52" t="s">
        <v>244</v>
      </c>
      <c r="CM325" s="52">
        <v>21</v>
      </c>
      <c r="CN325" s="52"/>
      <c r="CO325" s="52"/>
      <c r="CP325" s="52"/>
      <c r="CQ325" s="52" t="s">
        <v>358</v>
      </c>
      <c r="CR325" s="52">
        <v>12960</v>
      </c>
      <c r="CS325" s="52" t="s">
        <v>359</v>
      </c>
      <c r="CT325" s="52">
        <v>40</v>
      </c>
      <c r="CU325" s="52"/>
      <c r="CV325" s="52"/>
      <c r="CW325" s="52" t="s">
        <v>359</v>
      </c>
      <c r="CX325" s="52">
        <v>40</v>
      </c>
      <c r="CY325" s="52"/>
      <c r="CZ325" s="52"/>
      <c r="DA325" s="52"/>
      <c r="DB325" s="52"/>
      <c r="DC325" s="52"/>
      <c r="DD325" s="52"/>
      <c r="DE325" s="52"/>
      <c r="DF325" s="52"/>
      <c r="DG325" s="52"/>
      <c r="DH325" s="52"/>
    </row>
    <row r="326" spans="58:112" ht="16.5" x14ac:dyDescent="0.2">
      <c r="BF326" s="52">
        <v>321</v>
      </c>
      <c r="BG326" s="14">
        <f t="shared" si="55"/>
        <v>0</v>
      </c>
      <c r="BH326" s="14">
        <f t="shared" si="56"/>
        <v>480</v>
      </c>
      <c r="BI326" s="14">
        <f t="shared" si="57"/>
        <v>0</v>
      </c>
      <c r="BJ326" s="14">
        <f t="shared" si="58"/>
        <v>1200</v>
      </c>
      <c r="BK326" s="14">
        <f t="shared" si="53"/>
        <v>480</v>
      </c>
      <c r="BL326" s="14">
        <f t="shared" si="54"/>
        <v>960</v>
      </c>
      <c r="CJ326" s="52">
        <v>322</v>
      </c>
      <c r="CK326" s="52">
        <v>4</v>
      </c>
      <c r="CL326" s="52" t="s">
        <v>244</v>
      </c>
      <c r="CM326" s="52">
        <v>22</v>
      </c>
      <c r="CN326" s="52"/>
      <c r="CO326" s="52"/>
      <c r="CP326" s="52"/>
      <c r="CQ326" s="52" t="s">
        <v>358</v>
      </c>
      <c r="CR326" s="52">
        <v>12960</v>
      </c>
      <c r="CS326" s="52" t="s">
        <v>359</v>
      </c>
      <c r="CT326" s="52">
        <v>40</v>
      </c>
      <c r="CU326" s="52"/>
      <c r="CV326" s="52"/>
      <c r="CW326" s="52" t="s">
        <v>359</v>
      </c>
      <c r="CX326" s="52">
        <v>40</v>
      </c>
      <c r="CY326" s="52"/>
      <c r="CZ326" s="52"/>
      <c r="DA326" s="52"/>
      <c r="DB326" s="52"/>
      <c r="DC326" s="52"/>
      <c r="DD326" s="52"/>
      <c r="DE326" s="52"/>
      <c r="DF326" s="52"/>
      <c r="DG326" s="52"/>
      <c r="DH326" s="52"/>
    </row>
    <row r="327" spans="58:112" ht="16.5" x14ac:dyDescent="0.2">
      <c r="BF327" s="52">
        <v>322</v>
      </c>
      <c r="BG327" s="14">
        <f t="shared" si="55"/>
        <v>0</v>
      </c>
      <c r="BH327" s="14">
        <f t="shared" si="56"/>
        <v>480</v>
      </c>
      <c r="BI327" s="14">
        <f t="shared" si="57"/>
        <v>0</v>
      </c>
      <c r="BJ327" s="14">
        <f t="shared" si="58"/>
        <v>1200</v>
      </c>
      <c r="BK327" s="14">
        <f t="shared" ref="BK327:BK390" si="59">BG327+BH326</f>
        <v>480</v>
      </c>
      <c r="BL327" s="14">
        <f t="shared" ref="BL327:BL390" si="60">BK327*BL$3</f>
        <v>960</v>
      </c>
      <c r="CJ327" s="52">
        <v>323</v>
      </c>
      <c r="CK327" s="52">
        <v>4</v>
      </c>
      <c r="CL327" s="52" t="s">
        <v>244</v>
      </c>
      <c r="CM327" s="52">
        <v>23</v>
      </c>
      <c r="CN327" s="52"/>
      <c r="CO327" s="52"/>
      <c r="CP327" s="52"/>
      <c r="CQ327" s="52" t="s">
        <v>358</v>
      </c>
      <c r="CR327" s="52">
        <v>12960</v>
      </c>
      <c r="CS327" s="52" t="s">
        <v>359</v>
      </c>
      <c r="CT327" s="52">
        <v>40</v>
      </c>
      <c r="CU327" s="52"/>
      <c r="CV327" s="52"/>
      <c r="CW327" s="52" t="s">
        <v>359</v>
      </c>
      <c r="CX327" s="52">
        <v>40</v>
      </c>
      <c r="CY327" s="52"/>
      <c r="CZ327" s="52"/>
      <c r="DA327" s="52"/>
      <c r="DB327" s="52"/>
      <c r="DC327" s="52"/>
      <c r="DD327" s="52"/>
      <c r="DE327" s="52"/>
      <c r="DF327" s="52"/>
      <c r="DG327" s="52"/>
      <c r="DH327" s="52"/>
    </row>
    <row r="328" spans="58:112" ht="16.5" x14ac:dyDescent="0.2">
      <c r="BF328" s="52">
        <v>323</v>
      </c>
      <c r="BG328" s="14">
        <f t="shared" si="55"/>
        <v>0</v>
      </c>
      <c r="BH328" s="14">
        <f t="shared" si="56"/>
        <v>480</v>
      </c>
      <c r="BI328" s="14">
        <f t="shared" si="57"/>
        <v>0</v>
      </c>
      <c r="BJ328" s="14">
        <f t="shared" si="58"/>
        <v>1200</v>
      </c>
      <c r="BK328" s="14">
        <f t="shared" si="59"/>
        <v>480</v>
      </c>
      <c r="BL328" s="14">
        <f t="shared" si="60"/>
        <v>960</v>
      </c>
      <c r="CJ328" s="52">
        <v>324</v>
      </c>
      <c r="CK328" s="52">
        <v>4</v>
      </c>
      <c r="CL328" s="52" t="s">
        <v>244</v>
      </c>
      <c r="CM328" s="52">
        <v>24</v>
      </c>
      <c r="CN328" s="52"/>
      <c r="CO328" s="52"/>
      <c r="CP328" s="52"/>
      <c r="CQ328" s="52" t="s">
        <v>358</v>
      </c>
      <c r="CR328" s="52">
        <v>12960</v>
      </c>
      <c r="CS328" s="52" t="s">
        <v>359</v>
      </c>
      <c r="CT328" s="52">
        <v>40</v>
      </c>
      <c r="CU328" s="52"/>
      <c r="CV328" s="52"/>
      <c r="CW328" s="52" t="s">
        <v>359</v>
      </c>
      <c r="CX328" s="52">
        <v>40</v>
      </c>
      <c r="CY328" s="52"/>
      <c r="CZ328" s="52"/>
      <c r="DA328" s="52"/>
      <c r="DB328" s="52"/>
      <c r="DC328" s="52"/>
      <c r="DD328" s="52"/>
      <c r="DE328" s="52"/>
      <c r="DF328" s="52"/>
      <c r="DG328" s="52"/>
      <c r="DH328" s="52"/>
    </row>
    <row r="329" spans="58:112" ht="16.5" x14ac:dyDescent="0.2">
      <c r="BF329" s="52">
        <v>324</v>
      </c>
      <c r="BG329" s="14">
        <f t="shared" si="55"/>
        <v>0</v>
      </c>
      <c r="BH329" s="14">
        <f t="shared" si="56"/>
        <v>480</v>
      </c>
      <c r="BI329" s="14">
        <f t="shared" si="57"/>
        <v>0</v>
      </c>
      <c r="BJ329" s="14">
        <f t="shared" si="58"/>
        <v>1200</v>
      </c>
      <c r="BK329" s="14">
        <f t="shared" si="59"/>
        <v>480</v>
      </c>
      <c r="BL329" s="14">
        <f t="shared" si="60"/>
        <v>960</v>
      </c>
      <c r="CJ329" s="52">
        <v>325</v>
      </c>
      <c r="CK329" s="52">
        <v>4</v>
      </c>
      <c r="CL329" s="52" t="s">
        <v>244</v>
      </c>
      <c r="CM329" s="52">
        <v>25</v>
      </c>
      <c r="CN329" s="52"/>
      <c r="CO329" s="52"/>
      <c r="CP329" s="52"/>
      <c r="CQ329" s="52" t="s">
        <v>358</v>
      </c>
      <c r="CR329" s="52">
        <v>12960</v>
      </c>
      <c r="CS329" s="52" t="s">
        <v>359</v>
      </c>
      <c r="CT329" s="52">
        <v>40</v>
      </c>
      <c r="CU329" s="52" t="s">
        <v>268</v>
      </c>
      <c r="CV329" s="52">
        <v>2</v>
      </c>
      <c r="CW329" s="52" t="s">
        <v>359</v>
      </c>
      <c r="CX329" s="52">
        <v>45</v>
      </c>
      <c r="CY329" s="52"/>
      <c r="CZ329" s="52"/>
      <c r="DA329" s="52"/>
      <c r="DB329" s="52"/>
      <c r="DC329" s="52"/>
      <c r="DD329" s="52"/>
      <c r="DE329" s="52"/>
      <c r="DF329" s="52"/>
      <c r="DG329" s="52"/>
      <c r="DH329" s="52"/>
    </row>
    <row r="330" spans="58:112" ht="16.5" x14ac:dyDescent="0.2">
      <c r="BF330" s="52">
        <v>325</v>
      </c>
      <c r="BG330" s="14">
        <f t="shared" si="55"/>
        <v>0</v>
      </c>
      <c r="BH330" s="14">
        <f t="shared" si="56"/>
        <v>480</v>
      </c>
      <c r="BI330" s="14">
        <f t="shared" si="57"/>
        <v>0</v>
      </c>
      <c r="BJ330" s="14">
        <f t="shared" si="58"/>
        <v>1200</v>
      </c>
      <c r="BK330" s="14">
        <f t="shared" si="59"/>
        <v>480</v>
      </c>
      <c r="BL330" s="14">
        <f t="shared" si="60"/>
        <v>960</v>
      </c>
      <c r="CJ330" s="52">
        <v>326</v>
      </c>
      <c r="CK330" s="52">
        <v>4</v>
      </c>
      <c r="CL330" s="52" t="s">
        <v>244</v>
      </c>
      <c r="CM330" s="52">
        <v>26</v>
      </c>
      <c r="CN330" s="52"/>
      <c r="CO330" s="52"/>
      <c r="CP330" s="52"/>
      <c r="CQ330" s="52" t="s">
        <v>358</v>
      </c>
      <c r="CR330" s="52">
        <v>12960</v>
      </c>
      <c r="CS330" s="52" t="s">
        <v>359</v>
      </c>
      <c r="CT330" s="52">
        <v>45</v>
      </c>
      <c r="CU330" s="52"/>
      <c r="CV330" s="52"/>
      <c r="CW330" s="52" t="s">
        <v>359</v>
      </c>
      <c r="CX330" s="52">
        <v>45</v>
      </c>
      <c r="CY330" s="52"/>
      <c r="CZ330" s="52"/>
      <c r="DA330" s="52"/>
      <c r="DB330" s="52"/>
      <c r="DC330" s="52"/>
      <c r="DD330" s="52"/>
      <c r="DE330" s="52"/>
      <c r="DF330" s="52"/>
      <c r="DG330" s="52"/>
      <c r="DH330" s="52"/>
    </row>
    <row r="331" spans="58:112" ht="16.5" x14ac:dyDescent="0.2">
      <c r="BF331" s="52">
        <v>326</v>
      </c>
      <c r="BG331" s="14">
        <f t="shared" si="55"/>
        <v>0</v>
      </c>
      <c r="BH331" s="14">
        <f t="shared" si="56"/>
        <v>480</v>
      </c>
      <c r="BI331" s="14">
        <f t="shared" si="57"/>
        <v>0</v>
      </c>
      <c r="BJ331" s="14">
        <f t="shared" si="58"/>
        <v>1200</v>
      </c>
      <c r="BK331" s="14">
        <f t="shared" si="59"/>
        <v>480</v>
      </c>
      <c r="BL331" s="14">
        <f t="shared" si="60"/>
        <v>960</v>
      </c>
      <c r="CJ331" s="52">
        <v>327</v>
      </c>
      <c r="CK331" s="52">
        <v>4</v>
      </c>
      <c r="CL331" s="52" t="s">
        <v>244</v>
      </c>
      <c r="CM331" s="52">
        <v>27</v>
      </c>
      <c r="CN331" s="52"/>
      <c r="CO331" s="52"/>
      <c r="CP331" s="52"/>
      <c r="CQ331" s="52" t="s">
        <v>358</v>
      </c>
      <c r="CR331" s="52">
        <v>12960</v>
      </c>
      <c r="CS331" s="52" t="s">
        <v>359</v>
      </c>
      <c r="CT331" s="52">
        <v>45</v>
      </c>
      <c r="CU331" s="52"/>
      <c r="CV331" s="52"/>
      <c r="CW331" s="52" t="s">
        <v>359</v>
      </c>
      <c r="CX331" s="52">
        <v>45</v>
      </c>
      <c r="CY331" s="52"/>
      <c r="CZ331" s="52"/>
      <c r="DA331" s="52"/>
      <c r="DB331" s="52"/>
      <c r="DC331" s="52"/>
      <c r="DD331" s="52"/>
      <c r="DE331" s="52"/>
      <c r="DF331" s="52"/>
      <c r="DG331" s="52"/>
      <c r="DH331" s="52"/>
    </row>
    <row r="332" spans="58:112" ht="16.5" x14ac:dyDescent="0.2">
      <c r="BF332" s="52">
        <v>327</v>
      </c>
      <c r="BG332" s="14">
        <f t="shared" si="55"/>
        <v>0</v>
      </c>
      <c r="BH332" s="14">
        <f t="shared" si="56"/>
        <v>480</v>
      </c>
      <c r="BI332" s="14">
        <f t="shared" si="57"/>
        <v>0</v>
      </c>
      <c r="BJ332" s="14">
        <f t="shared" si="58"/>
        <v>1200</v>
      </c>
      <c r="BK332" s="14">
        <f t="shared" si="59"/>
        <v>480</v>
      </c>
      <c r="BL332" s="14">
        <f t="shared" si="60"/>
        <v>960</v>
      </c>
      <c r="CJ332" s="52">
        <v>328</v>
      </c>
      <c r="CK332" s="52">
        <v>4</v>
      </c>
      <c r="CL332" s="52" t="s">
        <v>244</v>
      </c>
      <c r="CM332" s="52">
        <v>28</v>
      </c>
      <c r="CN332" s="52"/>
      <c r="CO332" s="52"/>
      <c r="CP332" s="52"/>
      <c r="CQ332" s="52" t="s">
        <v>358</v>
      </c>
      <c r="CR332" s="52">
        <v>12960</v>
      </c>
      <c r="CS332" s="52" t="s">
        <v>359</v>
      </c>
      <c r="CT332" s="52">
        <v>45</v>
      </c>
      <c r="CU332" s="52"/>
      <c r="CV332" s="52"/>
      <c r="CW332" s="52" t="s">
        <v>359</v>
      </c>
      <c r="CX332" s="52">
        <v>45</v>
      </c>
      <c r="CY332" s="52"/>
      <c r="CZ332" s="52"/>
      <c r="DA332" s="52"/>
      <c r="DB332" s="52"/>
      <c r="DC332" s="52"/>
      <c r="DD332" s="52"/>
      <c r="DE332" s="52"/>
      <c r="DF332" s="52"/>
      <c r="DG332" s="52"/>
      <c r="DH332" s="52"/>
    </row>
    <row r="333" spans="58:112" ht="16.5" x14ac:dyDescent="0.2">
      <c r="BF333" s="52">
        <v>328</v>
      </c>
      <c r="BG333" s="14">
        <f t="shared" si="55"/>
        <v>0</v>
      </c>
      <c r="BH333" s="14">
        <f t="shared" si="56"/>
        <v>480</v>
      </c>
      <c r="BI333" s="14">
        <f t="shared" si="57"/>
        <v>0</v>
      </c>
      <c r="BJ333" s="14">
        <f t="shared" si="58"/>
        <v>1200</v>
      </c>
      <c r="BK333" s="14">
        <f t="shared" si="59"/>
        <v>480</v>
      </c>
      <c r="BL333" s="14">
        <f t="shared" si="60"/>
        <v>960</v>
      </c>
      <c r="CJ333" s="52">
        <v>329</v>
      </c>
      <c r="CK333" s="52">
        <v>4</v>
      </c>
      <c r="CL333" s="52" t="s">
        <v>244</v>
      </c>
      <c r="CM333" s="52">
        <v>29</v>
      </c>
      <c r="CN333" s="52"/>
      <c r="CO333" s="52"/>
      <c r="CP333" s="52"/>
      <c r="CQ333" s="52" t="s">
        <v>358</v>
      </c>
      <c r="CR333" s="52">
        <v>12960</v>
      </c>
      <c r="CS333" s="52" t="s">
        <v>359</v>
      </c>
      <c r="CT333" s="52">
        <v>45</v>
      </c>
      <c r="CU333" s="52"/>
      <c r="CV333" s="52"/>
      <c r="CW333" s="52" t="s">
        <v>359</v>
      </c>
      <c r="CX333" s="52">
        <v>45</v>
      </c>
      <c r="CY333" s="52"/>
      <c r="CZ333" s="52"/>
      <c r="DA333" s="52"/>
      <c r="DB333" s="52"/>
      <c r="DC333" s="52"/>
      <c r="DD333" s="52"/>
      <c r="DE333" s="52"/>
      <c r="DF333" s="52"/>
      <c r="DG333" s="52"/>
      <c r="DH333" s="52"/>
    </row>
    <row r="334" spans="58:112" ht="16.5" x14ac:dyDescent="0.2">
      <c r="BF334" s="52">
        <v>329</v>
      </c>
      <c r="BG334" s="14">
        <f t="shared" si="55"/>
        <v>0</v>
      </c>
      <c r="BH334" s="14">
        <f t="shared" si="56"/>
        <v>480</v>
      </c>
      <c r="BI334" s="14">
        <f t="shared" si="57"/>
        <v>0</v>
      </c>
      <c r="BJ334" s="14">
        <f t="shared" si="58"/>
        <v>1200</v>
      </c>
      <c r="BK334" s="14">
        <f t="shared" si="59"/>
        <v>480</v>
      </c>
      <c r="BL334" s="14">
        <f t="shared" si="60"/>
        <v>960</v>
      </c>
      <c r="CJ334" s="52">
        <v>330</v>
      </c>
      <c r="CK334" s="52">
        <v>4</v>
      </c>
      <c r="CL334" s="52" t="s">
        <v>244</v>
      </c>
      <c r="CM334" s="52">
        <v>30</v>
      </c>
      <c r="CN334" s="52"/>
      <c r="CO334" s="52"/>
      <c r="CP334" s="52"/>
      <c r="CQ334" s="52" t="s">
        <v>358</v>
      </c>
      <c r="CR334" s="52">
        <v>16200</v>
      </c>
      <c r="CS334" s="52" t="s">
        <v>359</v>
      </c>
      <c r="CT334" s="52">
        <v>45</v>
      </c>
      <c r="CU334" s="52" t="s">
        <v>269</v>
      </c>
      <c r="CV334" s="52">
        <v>2</v>
      </c>
      <c r="CW334" s="52" t="s">
        <v>359</v>
      </c>
      <c r="CX334" s="52">
        <v>50</v>
      </c>
      <c r="CY334" s="52"/>
      <c r="CZ334" s="52"/>
      <c r="DA334" s="52"/>
      <c r="DB334" s="52"/>
      <c r="DC334" s="52"/>
      <c r="DD334" s="52"/>
      <c r="DE334" s="52"/>
      <c r="DF334" s="52"/>
      <c r="DG334" s="52"/>
      <c r="DH334" s="52"/>
    </row>
    <row r="335" spans="58:112" ht="16.5" x14ac:dyDescent="0.2">
      <c r="BF335" s="52">
        <v>330</v>
      </c>
      <c r="BG335" s="14">
        <f t="shared" si="55"/>
        <v>0</v>
      </c>
      <c r="BH335" s="14">
        <f t="shared" si="56"/>
        <v>480</v>
      </c>
      <c r="BI335" s="14">
        <f t="shared" si="57"/>
        <v>0</v>
      </c>
      <c r="BJ335" s="14">
        <f t="shared" si="58"/>
        <v>1200</v>
      </c>
      <c r="BK335" s="14">
        <f t="shared" si="59"/>
        <v>480</v>
      </c>
      <c r="BL335" s="14">
        <f t="shared" si="60"/>
        <v>960</v>
      </c>
      <c r="CJ335" s="52">
        <v>331</v>
      </c>
      <c r="CK335" s="52">
        <v>4</v>
      </c>
      <c r="CL335" s="52" t="s">
        <v>244</v>
      </c>
      <c r="CM335" s="52">
        <v>31</v>
      </c>
      <c r="CN335" s="52"/>
      <c r="CO335" s="52"/>
      <c r="CP335" s="52"/>
      <c r="CQ335" s="52" t="s">
        <v>358</v>
      </c>
      <c r="CR335" s="52">
        <v>16200</v>
      </c>
      <c r="CS335" s="52" t="s">
        <v>359</v>
      </c>
      <c r="CT335" s="52">
        <v>50</v>
      </c>
      <c r="CU335" s="52"/>
      <c r="CV335" s="52"/>
      <c r="CW335" s="52" t="s">
        <v>359</v>
      </c>
      <c r="CX335" s="52">
        <v>50</v>
      </c>
      <c r="CY335" s="52"/>
      <c r="CZ335" s="52"/>
      <c r="DA335" s="52"/>
      <c r="DB335" s="52"/>
      <c r="DC335" s="52"/>
      <c r="DD335" s="52"/>
      <c r="DE335" s="52"/>
      <c r="DF335" s="52"/>
      <c r="DG335" s="52"/>
      <c r="DH335" s="52"/>
    </row>
    <row r="336" spans="58:112" ht="16.5" x14ac:dyDescent="0.2">
      <c r="BF336" s="52">
        <v>331</v>
      </c>
      <c r="BG336" s="14">
        <f t="shared" si="55"/>
        <v>0</v>
      </c>
      <c r="BH336" s="14">
        <f t="shared" si="56"/>
        <v>480</v>
      </c>
      <c r="BI336" s="14">
        <f t="shared" si="57"/>
        <v>0</v>
      </c>
      <c r="BJ336" s="14">
        <f t="shared" si="58"/>
        <v>1200</v>
      </c>
      <c r="BK336" s="14">
        <f t="shared" si="59"/>
        <v>480</v>
      </c>
      <c r="BL336" s="14">
        <f t="shared" si="60"/>
        <v>960</v>
      </c>
      <c r="CJ336" s="52">
        <v>332</v>
      </c>
      <c r="CK336" s="52">
        <v>4</v>
      </c>
      <c r="CL336" s="52" t="s">
        <v>244</v>
      </c>
      <c r="CM336" s="52">
        <v>32</v>
      </c>
      <c r="CN336" s="52"/>
      <c r="CO336" s="52"/>
      <c r="CP336" s="52"/>
      <c r="CQ336" s="52" t="s">
        <v>358</v>
      </c>
      <c r="CR336" s="52">
        <v>16200</v>
      </c>
      <c r="CS336" s="52" t="s">
        <v>359</v>
      </c>
      <c r="CT336" s="52">
        <v>50</v>
      </c>
      <c r="CU336" s="52"/>
      <c r="CV336" s="52"/>
      <c r="CW336" s="52" t="s">
        <v>359</v>
      </c>
      <c r="CX336" s="52">
        <v>50</v>
      </c>
      <c r="CY336" s="52"/>
      <c r="CZ336" s="52"/>
      <c r="DA336" s="52"/>
      <c r="DB336" s="52"/>
      <c r="DC336" s="52"/>
      <c r="DD336" s="52"/>
      <c r="DE336" s="52"/>
      <c r="DF336" s="52"/>
      <c r="DG336" s="52"/>
      <c r="DH336" s="52"/>
    </row>
    <row r="337" spans="58:112" ht="16.5" x14ac:dyDescent="0.2">
      <c r="BF337" s="52">
        <v>332</v>
      </c>
      <c r="BG337" s="14">
        <f t="shared" si="55"/>
        <v>0</v>
      </c>
      <c r="BH337" s="14">
        <f t="shared" si="56"/>
        <v>480</v>
      </c>
      <c r="BI337" s="14">
        <f t="shared" si="57"/>
        <v>0</v>
      </c>
      <c r="BJ337" s="14">
        <f t="shared" si="58"/>
        <v>1200</v>
      </c>
      <c r="BK337" s="14">
        <f t="shared" si="59"/>
        <v>480</v>
      </c>
      <c r="BL337" s="14">
        <f t="shared" si="60"/>
        <v>960</v>
      </c>
      <c r="CJ337" s="52">
        <v>333</v>
      </c>
      <c r="CK337" s="52">
        <v>4</v>
      </c>
      <c r="CL337" s="52" t="s">
        <v>244</v>
      </c>
      <c r="CM337" s="52">
        <v>33</v>
      </c>
      <c r="CN337" s="52"/>
      <c r="CO337" s="52"/>
      <c r="CP337" s="52"/>
      <c r="CQ337" s="52" t="s">
        <v>358</v>
      </c>
      <c r="CR337" s="52">
        <v>16200</v>
      </c>
      <c r="CS337" s="52" t="s">
        <v>359</v>
      </c>
      <c r="CT337" s="52">
        <v>50</v>
      </c>
      <c r="CU337" s="52"/>
      <c r="CV337" s="52"/>
      <c r="CW337" s="52" t="s">
        <v>359</v>
      </c>
      <c r="CX337" s="52">
        <v>50</v>
      </c>
      <c r="CY337" s="52"/>
      <c r="CZ337" s="52"/>
      <c r="DA337" s="52"/>
      <c r="DB337" s="52"/>
      <c r="DC337" s="52"/>
      <c r="DD337" s="52"/>
      <c r="DE337" s="52"/>
      <c r="DF337" s="52"/>
      <c r="DG337" s="52"/>
      <c r="DH337" s="52"/>
    </row>
    <row r="338" spans="58:112" ht="16.5" x14ac:dyDescent="0.2">
      <c r="BF338" s="52">
        <v>333</v>
      </c>
      <c r="BG338" s="14">
        <f t="shared" si="55"/>
        <v>0</v>
      </c>
      <c r="BH338" s="14">
        <f t="shared" si="56"/>
        <v>480</v>
      </c>
      <c r="BI338" s="14">
        <f t="shared" si="57"/>
        <v>0</v>
      </c>
      <c r="BJ338" s="14">
        <f t="shared" si="58"/>
        <v>1200</v>
      </c>
      <c r="BK338" s="14">
        <f t="shared" si="59"/>
        <v>480</v>
      </c>
      <c r="BL338" s="14">
        <f t="shared" si="60"/>
        <v>960</v>
      </c>
      <c r="CJ338" s="52">
        <v>334</v>
      </c>
      <c r="CK338" s="52">
        <v>4</v>
      </c>
      <c r="CL338" s="52" t="s">
        <v>244</v>
      </c>
      <c r="CM338" s="52">
        <v>34</v>
      </c>
      <c r="CN338" s="52"/>
      <c r="CO338" s="52"/>
      <c r="CP338" s="52"/>
      <c r="CQ338" s="52" t="s">
        <v>358</v>
      </c>
      <c r="CR338" s="52">
        <v>16200</v>
      </c>
      <c r="CS338" s="52" t="s">
        <v>359</v>
      </c>
      <c r="CT338" s="52">
        <v>50</v>
      </c>
      <c r="CU338" s="52"/>
      <c r="CV338" s="52"/>
      <c r="CW338" s="52" t="s">
        <v>359</v>
      </c>
      <c r="CX338" s="52">
        <v>50</v>
      </c>
      <c r="CY338" s="52"/>
      <c r="CZ338" s="52"/>
      <c r="DA338" s="52"/>
      <c r="DB338" s="52"/>
      <c r="DC338" s="52"/>
      <c r="DD338" s="52"/>
      <c r="DE338" s="52"/>
      <c r="DF338" s="52"/>
      <c r="DG338" s="52"/>
      <c r="DH338" s="52"/>
    </row>
    <row r="339" spans="58:112" ht="16.5" x14ac:dyDescent="0.2">
      <c r="BF339" s="52">
        <v>334</v>
      </c>
      <c r="BG339" s="14">
        <f t="shared" si="55"/>
        <v>0</v>
      </c>
      <c r="BH339" s="14">
        <f t="shared" si="56"/>
        <v>480</v>
      </c>
      <c r="BI339" s="14">
        <f t="shared" si="57"/>
        <v>0</v>
      </c>
      <c r="BJ339" s="14">
        <f t="shared" si="58"/>
        <v>1200</v>
      </c>
      <c r="BK339" s="14">
        <f t="shared" si="59"/>
        <v>480</v>
      </c>
      <c r="BL339" s="14">
        <f t="shared" si="60"/>
        <v>960</v>
      </c>
      <c r="CJ339" s="52">
        <v>335</v>
      </c>
      <c r="CK339" s="52">
        <v>4</v>
      </c>
      <c r="CL339" s="52" t="s">
        <v>244</v>
      </c>
      <c r="CM339" s="52">
        <v>35</v>
      </c>
      <c r="CN339" s="52"/>
      <c r="CO339" s="52"/>
      <c r="CP339" s="52"/>
      <c r="CQ339" s="52" t="s">
        <v>358</v>
      </c>
      <c r="CR339" s="52">
        <v>16200</v>
      </c>
      <c r="CS339" s="52" t="s">
        <v>359</v>
      </c>
      <c r="CT339" s="52">
        <v>50</v>
      </c>
      <c r="CU339" s="52" t="s">
        <v>264</v>
      </c>
      <c r="CV339" s="52">
        <v>2</v>
      </c>
      <c r="CW339" s="52" t="s">
        <v>359</v>
      </c>
      <c r="CX339" s="52">
        <v>55</v>
      </c>
      <c r="CY339" s="52"/>
      <c r="CZ339" s="52"/>
      <c r="DA339" s="52"/>
      <c r="DB339" s="52"/>
      <c r="DC339" s="52"/>
      <c r="DD339" s="52"/>
      <c r="DE339" s="52"/>
      <c r="DF339" s="52"/>
      <c r="DG339" s="52"/>
      <c r="DH339" s="52"/>
    </row>
    <row r="340" spans="58:112" ht="16.5" x14ac:dyDescent="0.2">
      <c r="BF340" s="52">
        <v>335</v>
      </c>
      <c r="BG340" s="14">
        <f t="shared" si="55"/>
        <v>0</v>
      </c>
      <c r="BH340" s="14">
        <f t="shared" si="56"/>
        <v>480</v>
      </c>
      <c r="BI340" s="14">
        <f t="shared" si="57"/>
        <v>0</v>
      </c>
      <c r="BJ340" s="14">
        <f t="shared" si="58"/>
        <v>1200</v>
      </c>
      <c r="BK340" s="14">
        <f t="shared" si="59"/>
        <v>480</v>
      </c>
      <c r="BL340" s="14">
        <f t="shared" si="60"/>
        <v>960</v>
      </c>
      <c r="CJ340" s="52">
        <v>336</v>
      </c>
      <c r="CK340" s="52">
        <v>4</v>
      </c>
      <c r="CL340" s="52" t="s">
        <v>244</v>
      </c>
      <c r="CM340" s="52">
        <v>36</v>
      </c>
      <c r="CN340" s="52"/>
      <c r="CO340" s="52"/>
      <c r="CP340" s="52"/>
      <c r="CQ340" s="52" t="s">
        <v>358</v>
      </c>
      <c r="CR340" s="52">
        <v>16200</v>
      </c>
      <c r="CS340" s="52" t="s">
        <v>359</v>
      </c>
      <c r="CT340" s="52">
        <v>55</v>
      </c>
      <c r="CU340" s="52"/>
      <c r="CV340" s="52"/>
      <c r="CW340" s="52" t="s">
        <v>359</v>
      </c>
      <c r="CX340" s="52">
        <v>55</v>
      </c>
      <c r="CY340" s="52"/>
      <c r="CZ340" s="52"/>
      <c r="DA340" s="52"/>
      <c r="DB340" s="52"/>
      <c r="DC340" s="52"/>
      <c r="DD340" s="52"/>
      <c r="DE340" s="52"/>
      <c r="DF340" s="52"/>
      <c r="DG340" s="52"/>
      <c r="DH340" s="52"/>
    </row>
    <row r="341" spans="58:112" ht="16.5" x14ac:dyDescent="0.2">
      <c r="BF341" s="52">
        <v>336</v>
      </c>
      <c r="BG341" s="14">
        <f t="shared" si="55"/>
        <v>0</v>
      </c>
      <c r="BH341" s="14">
        <f t="shared" si="56"/>
        <v>480</v>
      </c>
      <c r="BI341" s="14">
        <f t="shared" si="57"/>
        <v>0</v>
      </c>
      <c r="BJ341" s="14">
        <f t="shared" si="58"/>
        <v>1200</v>
      </c>
      <c r="BK341" s="14">
        <f t="shared" si="59"/>
        <v>480</v>
      </c>
      <c r="BL341" s="14">
        <f t="shared" si="60"/>
        <v>960</v>
      </c>
      <c r="CJ341" s="52">
        <v>337</v>
      </c>
      <c r="CK341" s="52">
        <v>4</v>
      </c>
      <c r="CL341" s="52" t="s">
        <v>244</v>
      </c>
      <c r="CM341" s="52">
        <v>37</v>
      </c>
      <c r="CN341" s="52"/>
      <c r="CO341" s="52"/>
      <c r="CP341" s="52"/>
      <c r="CQ341" s="52" t="s">
        <v>358</v>
      </c>
      <c r="CR341" s="52">
        <v>16200</v>
      </c>
      <c r="CS341" s="52" t="s">
        <v>359</v>
      </c>
      <c r="CT341" s="52">
        <v>55</v>
      </c>
      <c r="CU341" s="52"/>
      <c r="CV341" s="52"/>
      <c r="CW341" s="52" t="s">
        <v>359</v>
      </c>
      <c r="CX341" s="52">
        <v>55</v>
      </c>
      <c r="CY341" s="52"/>
      <c r="CZ341" s="52"/>
      <c r="DA341" s="52"/>
      <c r="DB341" s="52"/>
      <c r="DC341" s="52"/>
      <c r="DD341" s="52"/>
      <c r="DE341" s="52"/>
      <c r="DF341" s="52"/>
      <c r="DG341" s="52"/>
      <c r="DH341" s="52"/>
    </row>
    <row r="342" spans="58:112" ht="16.5" x14ac:dyDescent="0.2">
      <c r="BF342" s="52">
        <v>337</v>
      </c>
      <c r="BG342" s="14">
        <f t="shared" si="55"/>
        <v>0</v>
      </c>
      <c r="BH342" s="14">
        <f t="shared" si="56"/>
        <v>480</v>
      </c>
      <c r="BI342" s="14">
        <f t="shared" si="57"/>
        <v>0</v>
      </c>
      <c r="BJ342" s="14">
        <f t="shared" si="58"/>
        <v>1200</v>
      </c>
      <c r="BK342" s="14">
        <f t="shared" si="59"/>
        <v>480</v>
      </c>
      <c r="BL342" s="14">
        <f t="shared" si="60"/>
        <v>960</v>
      </c>
      <c r="CJ342" s="52">
        <v>338</v>
      </c>
      <c r="CK342" s="52">
        <v>4</v>
      </c>
      <c r="CL342" s="52" t="s">
        <v>244</v>
      </c>
      <c r="CM342" s="52">
        <v>38</v>
      </c>
      <c r="CN342" s="52"/>
      <c r="CO342" s="52"/>
      <c r="CP342" s="52"/>
      <c r="CQ342" s="52" t="s">
        <v>358</v>
      </c>
      <c r="CR342" s="52">
        <v>16200</v>
      </c>
      <c r="CS342" s="52" t="s">
        <v>359</v>
      </c>
      <c r="CT342" s="52">
        <v>55</v>
      </c>
      <c r="CU342" s="52"/>
      <c r="CV342" s="52"/>
      <c r="CW342" s="52" t="s">
        <v>359</v>
      </c>
      <c r="CX342" s="52">
        <v>55</v>
      </c>
      <c r="CY342" s="52"/>
      <c r="CZ342" s="52"/>
      <c r="DA342" s="52"/>
      <c r="DB342" s="52"/>
      <c r="DC342" s="52"/>
      <c r="DD342" s="52"/>
      <c r="DE342" s="52"/>
      <c r="DF342" s="52"/>
      <c r="DG342" s="52"/>
      <c r="DH342" s="52"/>
    </row>
    <row r="343" spans="58:112" ht="16.5" x14ac:dyDescent="0.2">
      <c r="BF343" s="52">
        <v>338</v>
      </c>
      <c r="BG343" s="14">
        <f t="shared" si="55"/>
        <v>0</v>
      </c>
      <c r="BH343" s="14">
        <f t="shared" si="56"/>
        <v>480</v>
      </c>
      <c r="BI343" s="14">
        <f t="shared" si="57"/>
        <v>0</v>
      </c>
      <c r="BJ343" s="14">
        <f t="shared" si="58"/>
        <v>1200</v>
      </c>
      <c r="BK343" s="14">
        <f t="shared" si="59"/>
        <v>480</v>
      </c>
      <c r="BL343" s="14">
        <f t="shared" si="60"/>
        <v>960</v>
      </c>
      <c r="CJ343" s="52">
        <v>339</v>
      </c>
      <c r="CK343" s="52">
        <v>4</v>
      </c>
      <c r="CL343" s="52" t="s">
        <v>244</v>
      </c>
      <c r="CM343" s="52">
        <v>39</v>
      </c>
      <c r="CN343" s="52"/>
      <c r="CO343" s="52"/>
      <c r="CP343" s="52"/>
      <c r="CQ343" s="52" t="s">
        <v>358</v>
      </c>
      <c r="CR343" s="52">
        <v>16200</v>
      </c>
      <c r="CS343" s="52" t="s">
        <v>359</v>
      </c>
      <c r="CT343" s="52">
        <v>55</v>
      </c>
      <c r="CU343" s="52"/>
      <c r="CV343" s="52"/>
      <c r="CW343" s="52" t="s">
        <v>359</v>
      </c>
      <c r="CX343" s="52">
        <v>55</v>
      </c>
      <c r="CY343" s="52"/>
      <c r="CZ343" s="52"/>
      <c r="DA343" s="52"/>
      <c r="DB343" s="52"/>
      <c r="DC343" s="52"/>
      <c r="DD343" s="52"/>
      <c r="DE343" s="52"/>
      <c r="DF343" s="52"/>
      <c r="DG343" s="52"/>
      <c r="DH343" s="52"/>
    </row>
    <row r="344" spans="58:112" ht="16.5" x14ac:dyDescent="0.2">
      <c r="BF344" s="52">
        <v>339</v>
      </c>
      <c r="BG344" s="14">
        <f t="shared" si="55"/>
        <v>0</v>
      </c>
      <c r="BH344" s="14">
        <f t="shared" si="56"/>
        <v>480</v>
      </c>
      <c r="BI344" s="14">
        <f t="shared" si="57"/>
        <v>0</v>
      </c>
      <c r="BJ344" s="14">
        <f t="shared" si="58"/>
        <v>1200</v>
      </c>
      <c r="BK344" s="14">
        <f t="shared" si="59"/>
        <v>480</v>
      </c>
      <c r="BL344" s="14">
        <f t="shared" si="60"/>
        <v>960</v>
      </c>
      <c r="CJ344" s="52">
        <v>340</v>
      </c>
      <c r="CK344" s="52">
        <v>4</v>
      </c>
      <c r="CL344" s="52" t="s">
        <v>244</v>
      </c>
      <c r="CM344" s="52">
        <v>40</v>
      </c>
      <c r="CN344" s="52"/>
      <c r="CO344" s="52"/>
      <c r="CP344" s="52"/>
      <c r="CQ344" s="52" t="s">
        <v>358</v>
      </c>
      <c r="CR344" s="52">
        <v>16200</v>
      </c>
      <c r="CS344" s="52" t="s">
        <v>359</v>
      </c>
      <c r="CT344" s="52">
        <v>55</v>
      </c>
      <c r="CU344" s="52" t="s">
        <v>265</v>
      </c>
      <c r="CV344" s="52">
        <v>2</v>
      </c>
      <c r="CW344" s="52" t="s">
        <v>359</v>
      </c>
      <c r="CX344" s="52">
        <v>60</v>
      </c>
      <c r="CY344" s="52"/>
      <c r="CZ344" s="52"/>
      <c r="DA344" s="52"/>
      <c r="DB344" s="52"/>
      <c r="DC344" s="52"/>
      <c r="DD344" s="52"/>
      <c r="DE344" s="52"/>
      <c r="DF344" s="52"/>
      <c r="DG344" s="52"/>
      <c r="DH344" s="52"/>
    </row>
    <row r="345" spans="58:112" ht="16.5" x14ac:dyDescent="0.2">
      <c r="BF345" s="52">
        <v>340</v>
      </c>
      <c r="BG345" s="14">
        <f t="shared" si="55"/>
        <v>0</v>
      </c>
      <c r="BH345" s="14">
        <f t="shared" si="56"/>
        <v>480</v>
      </c>
      <c r="BI345" s="14">
        <f t="shared" si="57"/>
        <v>0</v>
      </c>
      <c r="BJ345" s="14">
        <f t="shared" si="58"/>
        <v>1200</v>
      </c>
      <c r="BK345" s="14">
        <f t="shared" si="59"/>
        <v>480</v>
      </c>
      <c r="BL345" s="14">
        <f t="shared" si="60"/>
        <v>960</v>
      </c>
      <c r="CJ345" s="52">
        <v>341</v>
      </c>
      <c r="CK345" s="52">
        <v>4</v>
      </c>
      <c r="CL345" s="52" t="s">
        <v>244</v>
      </c>
      <c r="CM345" s="52">
        <v>41</v>
      </c>
      <c r="CN345" s="52"/>
      <c r="CO345" s="52"/>
      <c r="CP345" s="52"/>
      <c r="CQ345" s="52" t="s">
        <v>358</v>
      </c>
      <c r="CR345" s="52">
        <v>16200</v>
      </c>
      <c r="CS345" s="52" t="s">
        <v>359</v>
      </c>
      <c r="CT345" s="52">
        <v>60</v>
      </c>
      <c r="CU345" s="52"/>
      <c r="CV345" s="52"/>
      <c r="CW345" s="52" t="s">
        <v>359</v>
      </c>
      <c r="CX345" s="52">
        <v>60</v>
      </c>
      <c r="CY345" s="52"/>
      <c r="CZ345" s="52"/>
      <c r="DA345" s="52"/>
      <c r="DB345" s="52"/>
      <c r="DC345" s="52"/>
      <c r="DD345" s="52"/>
      <c r="DE345" s="52"/>
      <c r="DF345" s="52"/>
      <c r="DG345" s="52"/>
      <c r="DH345" s="52"/>
    </row>
    <row r="346" spans="58:112" ht="16.5" x14ac:dyDescent="0.2">
      <c r="BF346" s="52">
        <v>341</v>
      </c>
      <c r="BG346" s="14">
        <f t="shared" si="55"/>
        <v>0</v>
      </c>
      <c r="BH346" s="14">
        <f t="shared" si="56"/>
        <v>480</v>
      </c>
      <c r="BI346" s="14">
        <f t="shared" si="57"/>
        <v>0</v>
      </c>
      <c r="BJ346" s="14">
        <f t="shared" si="58"/>
        <v>1200</v>
      </c>
      <c r="BK346" s="14">
        <f t="shared" si="59"/>
        <v>480</v>
      </c>
      <c r="BL346" s="14">
        <f t="shared" si="60"/>
        <v>960</v>
      </c>
      <c r="CJ346" s="52">
        <v>342</v>
      </c>
      <c r="CK346" s="52">
        <v>4</v>
      </c>
      <c r="CL346" s="52" t="s">
        <v>244</v>
      </c>
      <c r="CM346" s="52">
        <v>42</v>
      </c>
      <c r="CN346" s="52"/>
      <c r="CO346" s="52"/>
      <c r="CP346" s="52"/>
      <c r="CQ346" s="52" t="s">
        <v>358</v>
      </c>
      <c r="CR346" s="52">
        <v>16200</v>
      </c>
      <c r="CS346" s="52" t="s">
        <v>359</v>
      </c>
      <c r="CT346" s="52">
        <v>60</v>
      </c>
      <c r="CU346" s="52"/>
      <c r="CV346" s="52"/>
      <c r="CW346" s="52" t="s">
        <v>359</v>
      </c>
      <c r="CX346" s="52">
        <v>60</v>
      </c>
      <c r="CY346" s="52"/>
      <c r="CZ346" s="52"/>
      <c r="DA346" s="52"/>
      <c r="DB346" s="52"/>
      <c r="DC346" s="52"/>
      <c r="DD346" s="52"/>
      <c r="DE346" s="52"/>
      <c r="DF346" s="52"/>
      <c r="DG346" s="52"/>
      <c r="DH346" s="52"/>
    </row>
    <row r="347" spans="58:112" ht="16.5" x14ac:dyDescent="0.2">
      <c r="BF347" s="52">
        <v>342</v>
      </c>
      <c r="BG347" s="14">
        <f t="shared" si="55"/>
        <v>0</v>
      </c>
      <c r="BH347" s="14">
        <f t="shared" si="56"/>
        <v>480</v>
      </c>
      <c r="BI347" s="14">
        <f t="shared" si="57"/>
        <v>0</v>
      </c>
      <c r="BJ347" s="14">
        <f t="shared" si="58"/>
        <v>1200</v>
      </c>
      <c r="BK347" s="14">
        <f t="shared" si="59"/>
        <v>480</v>
      </c>
      <c r="BL347" s="14">
        <f t="shared" si="60"/>
        <v>960</v>
      </c>
      <c r="CJ347" s="52">
        <v>343</v>
      </c>
      <c r="CK347" s="52">
        <v>4</v>
      </c>
      <c r="CL347" s="52" t="s">
        <v>244</v>
      </c>
      <c r="CM347" s="52">
        <v>43</v>
      </c>
      <c r="CN347" s="52"/>
      <c r="CO347" s="52"/>
      <c r="CP347" s="52"/>
      <c r="CQ347" s="52" t="s">
        <v>358</v>
      </c>
      <c r="CR347" s="52">
        <v>16200</v>
      </c>
      <c r="CS347" s="52" t="s">
        <v>359</v>
      </c>
      <c r="CT347" s="52">
        <v>60</v>
      </c>
      <c r="CU347" s="52"/>
      <c r="CV347" s="52"/>
      <c r="CW347" s="52" t="s">
        <v>359</v>
      </c>
      <c r="CX347" s="52">
        <v>60</v>
      </c>
      <c r="CY347" s="52"/>
      <c r="CZ347" s="52"/>
      <c r="DA347" s="52"/>
      <c r="DB347" s="52"/>
      <c r="DC347" s="52"/>
      <c r="DD347" s="52"/>
      <c r="DE347" s="52"/>
      <c r="DF347" s="52"/>
      <c r="DG347" s="52"/>
      <c r="DH347" s="52"/>
    </row>
    <row r="348" spans="58:112" ht="16.5" x14ac:dyDescent="0.2">
      <c r="BF348" s="52">
        <v>343</v>
      </c>
      <c r="BG348" s="14">
        <f t="shared" si="55"/>
        <v>0</v>
      </c>
      <c r="BH348" s="14">
        <f t="shared" si="56"/>
        <v>480</v>
      </c>
      <c r="BI348" s="14">
        <f t="shared" si="57"/>
        <v>0</v>
      </c>
      <c r="BJ348" s="14">
        <f t="shared" si="58"/>
        <v>1200</v>
      </c>
      <c r="BK348" s="14">
        <f t="shared" si="59"/>
        <v>480</v>
      </c>
      <c r="BL348" s="14">
        <f t="shared" si="60"/>
        <v>960</v>
      </c>
      <c r="CJ348" s="52">
        <v>344</v>
      </c>
      <c r="CK348" s="52">
        <v>4</v>
      </c>
      <c r="CL348" s="52" t="s">
        <v>244</v>
      </c>
      <c r="CM348" s="52">
        <v>44</v>
      </c>
      <c r="CN348" s="52"/>
      <c r="CO348" s="52"/>
      <c r="CP348" s="52"/>
      <c r="CQ348" s="52" t="s">
        <v>358</v>
      </c>
      <c r="CR348" s="52">
        <v>16200</v>
      </c>
      <c r="CS348" s="52" t="s">
        <v>359</v>
      </c>
      <c r="CT348" s="52">
        <v>60</v>
      </c>
      <c r="CU348" s="52"/>
      <c r="CV348" s="52"/>
      <c r="CW348" s="52" t="s">
        <v>359</v>
      </c>
      <c r="CX348" s="52">
        <v>60</v>
      </c>
      <c r="CY348" s="52"/>
      <c r="CZ348" s="52"/>
      <c r="DA348" s="52"/>
      <c r="DB348" s="52"/>
      <c r="DC348" s="52"/>
      <c r="DD348" s="52"/>
      <c r="DE348" s="52"/>
      <c r="DF348" s="52"/>
      <c r="DG348" s="52"/>
      <c r="DH348" s="52"/>
    </row>
    <row r="349" spans="58:112" ht="16.5" x14ac:dyDescent="0.2">
      <c r="BF349" s="52">
        <v>344</v>
      </c>
      <c r="BG349" s="14">
        <f t="shared" si="55"/>
        <v>0</v>
      </c>
      <c r="BH349" s="14">
        <f t="shared" si="56"/>
        <v>480</v>
      </c>
      <c r="BI349" s="14">
        <f t="shared" si="57"/>
        <v>0</v>
      </c>
      <c r="BJ349" s="14">
        <f t="shared" si="58"/>
        <v>1200</v>
      </c>
      <c r="BK349" s="14">
        <f t="shared" si="59"/>
        <v>480</v>
      </c>
      <c r="BL349" s="14">
        <f t="shared" si="60"/>
        <v>960</v>
      </c>
      <c r="CJ349" s="52">
        <v>345</v>
      </c>
      <c r="CK349" s="52">
        <v>4</v>
      </c>
      <c r="CL349" s="52" t="s">
        <v>244</v>
      </c>
      <c r="CM349" s="52">
        <v>45</v>
      </c>
      <c r="CN349" s="52"/>
      <c r="CO349" s="52"/>
      <c r="CP349" s="52"/>
      <c r="CQ349" s="52" t="s">
        <v>358</v>
      </c>
      <c r="CR349" s="52">
        <v>19800</v>
      </c>
      <c r="CS349" s="52" t="s">
        <v>359</v>
      </c>
      <c r="CT349" s="52">
        <v>60</v>
      </c>
      <c r="CU349" s="52" t="s">
        <v>268</v>
      </c>
      <c r="CV349" s="52">
        <v>2</v>
      </c>
      <c r="CW349" s="52" t="s">
        <v>359</v>
      </c>
      <c r="CX349" s="52">
        <v>65</v>
      </c>
      <c r="CY349" s="52"/>
      <c r="CZ349" s="52"/>
      <c r="DA349" s="52"/>
      <c r="DB349" s="52"/>
      <c r="DC349" s="52"/>
      <c r="DD349" s="52"/>
      <c r="DE349" s="52"/>
      <c r="DF349" s="52"/>
      <c r="DG349" s="52"/>
      <c r="DH349" s="52"/>
    </row>
    <row r="350" spans="58:112" ht="16.5" x14ac:dyDescent="0.2">
      <c r="BF350" s="52">
        <v>345</v>
      </c>
      <c r="BG350" s="14">
        <f t="shared" si="55"/>
        <v>0</v>
      </c>
      <c r="BH350" s="14">
        <f t="shared" si="56"/>
        <v>480</v>
      </c>
      <c r="BI350" s="14">
        <f t="shared" si="57"/>
        <v>0</v>
      </c>
      <c r="BJ350" s="14">
        <f t="shared" si="58"/>
        <v>1200</v>
      </c>
      <c r="BK350" s="14">
        <f t="shared" si="59"/>
        <v>480</v>
      </c>
      <c r="BL350" s="14">
        <f t="shared" si="60"/>
        <v>960</v>
      </c>
      <c r="CJ350" s="52">
        <v>346</v>
      </c>
      <c r="CK350" s="52">
        <v>4</v>
      </c>
      <c r="CL350" s="52" t="s">
        <v>244</v>
      </c>
      <c r="CM350" s="52">
        <v>46</v>
      </c>
      <c r="CN350" s="52"/>
      <c r="CO350" s="52"/>
      <c r="CP350" s="52"/>
      <c r="CQ350" s="52" t="s">
        <v>358</v>
      </c>
      <c r="CR350" s="52">
        <v>19800</v>
      </c>
      <c r="CS350" s="52" t="s">
        <v>359</v>
      </c>
      <c r="CT350" s="52">
        <v>65</v>
      </c>
      <c r="CU350" s="52"/>
      <c r="CV350" s="52"/>
      <c r="CW350" s="52" t="s">
        <v>359</v>
      </c>
      <c r="CX350" s="52">
        <v>65</v>
      </c>
      <c r="CY350" s="52"/>
      <c r="CZ350" s="52"/>
      <c r="DA350" s="52"/>
      <c r="DB350" s="52"/>
      <c r="DC350" s="52"/>
      <c r="DD350" s="52"/>
      <c r="DE350" s="52"/>
      <c r="DF350" s="52"/>
      <c r="DG350" s="52"/>
      <c r="DH350" s="52"/>
    </row>
    <row r="351" spans="58:112" ht="16.5" x14ac:dyDescent="0.2">
      <c r="BF351" s="52">
        <v>346</v>
      </c>
      <c r="BG351" s="14">
        <f t="shared" si="55"/>
        <v>0</v>
      </c>
      <c r="BH351" s="14">
        <f t="shared" si="56"/>
        <v>480</v>
      </c>
      <c r="BI351" s="14">
        <f t="shared" si="57"/>
        <v>0</v>
      </c>
      <c r="BJ351" s="14">
        <f t="shared" si="58"/>
        <v>1200</v>
      </c>
      <c r="BK351" s="14">
        <f t="shared" si="59"/>
        <v>480</v>
      </c>
      <c r="BL351" s="14">
        <f t="shared" si="60"/>
        <v>960</v>
      </c>
      <c r="CJ351" s="52">
        <v>347</v>
      </c>
      <c r="CK351" s="52">
        <v>4</v>
      </c>
      <c r="CL351" s="52" t="s">
        <v>244</v>
      </c>
      <c r="CM351" s="52">
        <v>47</v>
      </c>
      <c r="CN351" s="52"/>
      <c r="CO351" s="52"/>
      <c r="CP351" s="52"/>
      <c r="CQ351" s="52" t="s">
        <v>358</v>
      </c>
      <c r="CR351" s="52">
        <v>19800</v>
      </c>
      <c r="CS351" s="52" t="s">
        <v>359</v>
      </c>
      <c r="CT351" s="52">
        <v>65</v>
      </c>
      <c r="CU351" s="52"/>
      <c r="CV351" s="52"/>
      <c r="CW351" s="52" t="s">
        <v>359</v>
      </c>
      <c r="CX351" s="52">
        <v>65</v>
      </c>
      <c r="CY351" s="52"/>
      <c r="CZ351" s="52"/>
      <c r="DA351" s="52"/>
      <c r="DB351" s="52"/>
      <c r="DC351" s="52"/>
      <c r="DD351" s="52"/>
      <c r="DE351" s="52"/>
      <c r="DF351" s="52"/>
      <c r="DG351" s="52"/>
      <c r="DH351" s="52"/>
    </row>
    <row r="352" spans="58:112" ht="16.5" x14ac:dyDescent="0.2">
      <c r="BF352" s="52">
        <v>347</v>
      </c>
      <c r="BG352" s="14">
        <f t="shared" si="55"/>
        <v>0</v>
      </c>
      <c r="BH352" s="14">
        <f t="shared" si="56"/>
        <v>480</v>
      </c>
      <c r="BI352" s="14">
        <f t="shared" si="57"/>
        <v>0</v>
      </c>
      <c r="BJ352" s="14">
        <f t="shared" si="58"/>
        <v>1200</v>
      </c>
      <c r="BK352" s="14">
        <f t="shared" si="59"/>
        <v>480</v>
      </c>
      <c r="BL352" s="14">
        <f t="shared" si="60"/>
        <v>960</v>
      </c>
      <c r="CJ352" s="52">
        <v>348</v>
      </c>
      <c r="CK352" s="52">
        <v>4</v>
      </c>
      <c r="CL352" s="52" t="s">
        <v>244</v>
      </c>
      <c r="CM352" s="52">
        <v>48</v>
      </c>
      <c r="CN352" s="52"/>
      <c r="CO352" s="52"/>
      <c r="CP352" s="52"/>
      <c r="CQ352" s="52" t="s">
        <v>358</v>
      </c>
      <c r="CR352" s="52">
        <v>19800</v>
      </c>
      <c r="CS352" s="52" t="s">
        <v>359</v>
      </c>
      <c r="CT352" s="52">
        <v>65</v>
      </c>
      <c r="CU352" s="52"/>
      <c r="CV352" s="52"/>
      <c r="CW352" s="52" t="s">
        <v>359</v>
      </c>
      <c r="CX352" s="52">
        <v>65</v>
      </c>
      <c r="CY352" s="52"/>
      <c r="CZ352" s="52"/>
      <c r="DA352" s="52"/>
      <c r="DB352" s="52"/>
      <c r="DC352" s="52"/>
      <c r="DD352" s="52"/>
      <c r="DE352" s="52"/>
      <c r="DF352" s="52"/>
      <c r="DG352" s="52"/>
      <c r="DH352" s="52"/>
    </row>
    <row r="353" spans="58:112" ht="16.5" x14ac:dyDescent="0.2">
      <c r="BF353" s="52">
        <v>348</v>
      </c>
      <c r="BG353" s="14">
        <f t="shared" si="55"/>
        <v>0</v>
      </c>
      <c r="BH353" s="14">
        <f t="shared" si="56"/>
        <v>480</v>
      </c>
      <c r="BI353" s="14">
        <f t="shared" si="57"/>
        <v>0</v>
      </c>
      <c r="BJ353" s="14">
        <f t="shared" si="58"/>
        <v>1200</v>
      </c>
      <c r="BK353" s="14">
        <f t="shared" si="59"/>
        <v>480</v>
      </c>
      <c r="BL353" s="14">
        <f t="shared" si="60"/>
        <v>960</v>
      </c>
      <c r="CJ353" s="52">
        <v>349</v>
      </c>
      <c r="CK353" s="52">
        <v>4</v>
      </c>
      <c r="CL353" s="52" t="s">
        <v>244</v>
      </c>
      <c r="CM353" s="52">
        <v>49</v>
      </c>
      <c r="CN353" s="52"/>
      <c r="CO353" s="52"/>
      <c r="CP353" s="52"/>
      <c r="CQ353" s="52" t="s">
        <v>358</v>
      </c>
      <c r="CR353" s="52">
        <v>19800</v>
      </c>
      <c r="CS353" s="52" t="s">
        <v>359</v>
      </c>
      <c r="CT353" s="52">
        <v>65</v>
      </c>
      <c r="CU353" s="52"/>
      <c r="CV353" s="52"/>
      <c r="CW353" s="52" t="s">
        <v>359</v>
      </c>
      <c r="CX353" s="52">
        <v>65</v>
      </c>
      <c r="CY353" s="52"/>
      <c r="CZ353" s="52"/>
      <c r="DA353" s="52"/>
      <c r="DB353" s="52"/>
      <c r="DC353" s="52"/>
      <c r="DD353" s="52"/>
      <c r="DE353" s="52"/>
      <c r="DF353" s="52"/>
      <c r="DG353" s="52"/>
      <c r="DH353" s="52"/>
    </row>
    <row r="354" spans="58:112" ht="16.5" x14ac:dyDescent="0.2">
      <c r="BF354" s="52">
        <v>349</v>
      </c>
      <c r="BG354" s="14">
        <f t="shared" si="55"/>
        <v>0</v>
      </c>
      <c r="BH354" s="14">
        <f t="shared" si="56"/>
        <v>480</v>
      </c>
      <c r="BI354" s="14">
        <f t="shared" si="57"/>
        <v>0</v>
      </c>
      <c r="BJ354" s="14">
        <f t="shared" si="58"/>
        <v>1200</v>
      </c>
      <c r="BK354" s="14">
        <f t="shared" si="59"/>
        <v>480</v>
      </c>
      <c r="BL354" s="14">
        <f t="shared" si="60"/>
        <v>960</v>
      </c>
      <c r="CJ354" s="52">
        <v>350</v>
      </c>
      <c r="CK354" s="52">
        <v>4</v>
      </c>
      <c r="CL354" s="52" t="s">
        <v>244</v>
      </c>
      <c r="CM354" s="52">
        <v>50</v>
      </c>
      <c r="CN354" s="52"/>
      <c r="CO354" s="52"/>
      <c r="CP354" s="52"/>
      <c r="CQ354" s="52" t="s">
        <v>358</v>
      </c>
      <c r="CR354" s="52">
        <v>19800</v>
      </c>
      <c r="CS354" s="52" t="s">
        <v>359</v>
      </c>
      <c r="CT354" s="52">
        <v>65</v>
      </c>
      <c r="CU354" s="52" t="s">
        <v>269</v>
      </c>
      <c r="CV354" s="52">
        <v>2</v>
      </c>
      <c r="CW354" s="52" t="s">
        <v>359</v>
      </c>
      <c r="CX354" s="52">
        <v>70</v>
      </c>
      <c r="CY354" s="52"/>
      <c r="CZ354" s="52"/>
      <c r="DA354" s="52"/>
      <c r="DB354" s="52"/>
      <c r="DC354" s="52"/>
      <c r="DD354" s="52"/>
      <c r="DE354" s="52"/>
      <c r="DF354" s="52"/>
      <c r="DG354" s="52"/>
      <c r="DH354" s="52"/>
    </row>
    <row r="355" spans="58:112" ht="16.5" x14ac:dyDescent="0.2">
      <c r="BF355" s="52">
        <v>350</v>
      </c>
      <c r="BG355" s="14">
        <f t="shared" si="55"/>
        <v>0</v>
      </c>
      <c r="BH355" s="14">
        <f t="shared" si="56"/>
        <v>480</v>
      </c>
      <c r="BI355" s="14">
        <f t="shared" si="57"/>
        <v>0</v>
      </c>
      <c r="BJ355" s="14">
        <f t="shared" si="58"/>
        <v>1200</v>
      </c>
      <c r="BK355" s="14">
        <f t="shared" si="59"/>
        <v>480</v>
      </c>
      <c r="BL355" s="14">
        <f t="shared" si="60"/>
        <v>960</v>
      </c>
      <c r="CJ355" s="52">
        <v>351</v>
      </c>
      <c r="CK355" s="52">
        <v>4</v>
      </c>
      <c r="CL355" s="52" t="s">
        <v>244</v>
      </c>
      <c r="CM355" s="52">
        <v>51</v>
      </c>
      <c r="CN355" s="52"/>
      <c r="CO355" s="52"/>
      <c r="CP355" s="52"/>
      <c r="CQ355" s="52" t="s">
        <v>358</v>
      </c>
      <c r="CR355" s="52">
        <v>19800</v>
      </c>
      <c r="CS355" s="52" t="s">
        <v>359</v>
      </c>
      <c r="CT355" s="52">
        <v>70</v>
      </c>
      <c r="CU355" s="52"/>
      <c r="CV355" s="52"/>
      <c r="CW355" s="52" t="s">
        <v>359</v>
      </c>
      <c r="CX355" s="52">
        <v>70</v>
      </c>
      <c r="CY355" s="52"/>
      <c r="CZ355" s="52"/>
      <c r="DA355" s="52"/>
      <c r="DB355" s="52"/>
      <c r="DC355" s="52"/>
      <c r="DD355" s="52"/>
      <c r="DE355" s="52"/>
      <c r="DF355" s="52"/>
      <c r="DG355" s="52"/>
      <c r="DH355" s="52"/>
    </row>
    <row r="356" spans="58:112" ht="16.5" x14ac:dyDescent="0.2">
      <c r="BF356" s="52">
        <v>351</v>
      </c>
      <c r="BG356" s="14">
        <f t="shared" si="55"/>
        <v>0</v>
      </c>
      <c r="BH356" s="14">
        <f t="shared" si="56"/>
        <v>480</v>
      </c>
      <c r="BI356" s="14">
        <f t="shared" si="57"/>
        <v>0</v>
      </c>
      <c r="BJ356" s="14">
        <f t="shared" si="58"/>
        <v>1200</v>
      </c>
      <c r="BK356" s="14">
        <f t="shared" si="59"/>
        <v>480</v>
      </c>
      <c r="BL356" s="14">
        <f t="shared" si="60"/>
        <v>960</v>
      </c>
      <c r="CJ356" s="52">
        <v>352</v>
      </c>
      <c r="CK356" s="52">
        <v>4</v>
      </c>
      <c r="CL356" s="52" t="s">
        <v>244</v>
      </c>
      <c r="CM356" s="52">
        <v>52</v>
      </c>
      <c r="CN356" s="52"/>
      <c r="CO356" s="52"/>
      <c r="CP356" s="52"/>
      <c r="CQ356" s="52" t="s">
        <v>358</v>
      </c>
      <c r="CR356" s="52">
        <v>19800</v>
      </c>
      <c r="CS356" s="52" t="s">
        <v>359</v>
      </c>
      <c r="CT356" s="52">
        <v>70</v>
      </c>
      <c r="CU356" s="52"/>
      <c r="CV356" s="52"/>
      <c r="CW356" s="52" t="s">
        <v>359</v>
      </c>
      <c r="CX356" s="52">
        <v>70</v>
      </c>
      <c r="CY356" s="52"/>
      <c r="CZ356" s="52"/>
      <c r="DA356" s="52"/>
      <c r="DB356" s="52"/>
      <c r="DC356" s="52"/>
      <c r="DD356" s="52"/>
      <c r="DE356" s="52"/>
      <c r="DF356" s="52"/>
      <c r="DG356" s="52"/>
      <c r="DH356" s="52"/>
    </row>
    <row r="357" spans="58:112" ht="16.5" x14ac:dyDescent="0.2">
      <c r="BF357" s="52">
        <v>352</v>
      </c>
      <c r="BG357" s="14">
        <f t="shared" si="55"/>
        <v>0</v>
      </c>
      <c r="BH357" s="14">
        <f t="shared" si="56"/>
        <v>480</v>
      </c>
      <c r="BI357" s="14">
        <f t="shared" si="57"/>
        <v>0</v>
      </c>
      <c r="BJ357" s="14">
        <f t="shared" si="58"/>
        <v>1200</v>
      </c>
      <c r="BK357" s="14">
        <f t="shared" si="59"/>
        <v>480</v>
      </c>
      <c r="BL357" s="14">
        <f t="shared" si="60"/>
        <v>960</v>
      </c>
      <c r="CJ357" s="52">
        <v>353</v>
      </c>
      <c r="CK357" s="52">
        <v>4</v>
      </c>
      <c r="CL357" s="52" t="s">
        <v>244</v>
      </c>
      <c r="CM357" s="52">
        <v>53</v>
      </c>
      <c r="CN357" s="52"/>
      <c r="CO357" s="52"/>
      <c r="CP357" s="52"/>
      <c r="CQ357" s="52" t="s">
        <v>358</v>
      </c>
      <c r="CR357" s="52">
        <v>19800</v>
      </c>
      <c r="CS357" s="52" t="s">
        <v>359</v>
      </c>
      <c r="CT357" s="52">
        <v>70</v>
      </c>
      <c r="CU357" s="52"/>
      <c r="CV357" s="52"/>
      <c r="CW357" s="52" t="s">
        <v>359</v>
      </c>
      <c r="CX357" s="52">
        <v>70</v>
      </c>
      <c r="CY357" s="52"/>
      <c r="CZ357" s="52"/>
      <c r="DA357" s="52"/>
      <c r="DB357" s="52"/>
      <c r="DC357" s="52"/>
      <c r="DD357" s="52"/>
      <c r="DE357" s="52"/>
      <c r="DF357" s="52"/>
      <c r="DG357" s="52"/>
      <c r="DH357" s="52"/>
    </row>
    <row r="358" spans="58:112" ht="16.5" x14ac:dyDescent="0.2">
      <c r="BF358" s="52">
        <v>353</v>
      </c>
      <c r="BG358" s="14">
        <f t="shared" si="55"/>
        <v>0</v>
      </c>
      <c r="BH358" s="14">
        <f t="shared" si="56"/>
        <v>480</v>
      </c>
      <c r="BI358" s="14">
        <f t="shared" si="57"/>
        <v>0</v>
      </c>
      <c r="BJ358" s="14">
        <f t="shared" si="58"/>
        <v>1200</v>
      </c>
      <c r="BK358" s="14">
        <f t="shared" si="59"/>
        <v>480</v>
      </c>
      <c r="BL358" s="14">
        <f t="shared" si="60"/>
        <v>960</v>
      </c>
      <c r="CJ358" s="52">
        <v>354</v>
      </c>
      <c r="CK358" s="52">
        <v>4</v>
      </c>
      <c r="CL358" s="52" t="s">
        <v>244</v>
      </c>
      <c r="CM358" s="52">
        <v>54</v>
      </c>
      <c r="CN358" s="52"/>
      <c r="CO358" s="52"/>
      <c r="CP358" s="52"/>
      <c r="CQ358" s="52" t="s">
        <v>358</v>
      </c>
      <c r="CR358" s="52">
        <v>19800</v>
      </c>
      <c r="CS358" s="52" t="s">
        <v>359</v>
      </c>
      <c r="CT358" s="52">
        <v>70</v>
      </c>
      <c r="CU358" s="52"/>
      <c r="CV358" s="52"/>
      <c r="CW358" s="52" t="s">
        <v>359</v>
      </c>
      <c r="CX358" s="52">
        <v>70</v>
      </c>
      <c r="CY358" s="52"/>
      <c r="CZ358" s="52"/>
      <c r="DA358" s="52"/>
      <c r="DB358" s="52"/>
      <c r="DC358" s="52"/>
      <c r="DD358" s="52"/>
      <c r="DE358" s="52"/>
      <c r="DF358" s="52"/>
      <c r="DG358" s="52"/>
      <c r="DH358" s="52"/>
    </row>
    <row r="359" spans="58:112" ht="16.5" x14ac:dyDescent="0.2">
      <c r="BF359" s="52">
        <v>354</v>
      </c>
      <c r="BG359" s="14">
        <f t="shared" si="55"/>
        <v>0</v>
      </c>
      <c r="BH359" s="14">
        <f t="shared" si="56"/>
        <v>480</v>
      </c>
      <c r="BI359" s="14">
        <f t="shared" si="57"/>
        <v>0</v>
      </c>
      <c r="BJ359" s="14">
        <f t="shared" si="58"/>
        <v>1200</v>
      </c>
      <c r="BK359" s="14">
        <f t="shared" si="59"/>
        <v>480</v>
      </c>
      <c r="BL359" s="14">
        <f t="shared" si="60"/>
        <v>960</v>
      </c>
      <c r="CJ359" s="52">
        <v>355</v>
      </c>
      <c r="CK359" s="52">
        <v>4</v>
      </c>
      <c r="CL359" s="52" t="s">
        <v>244</v>
      </c>
      <c r="CM359" s="52">
        <v>55</v>
      </c>
      <c r="CN359" s="52"/>
      <c r="CO359" s="52"/>
      <c r="CP359" s="52"/>
      <c r="CQ359" s="52" t="s">
        <v>358</v>
      </c>
      <c r="CR359" s="52">
        <v>19800</v>
      </c>
      <c r="CS359" s="52" t="s">
        <v>359</v>
      </c>
      <c r="CT359" s="52">
        <v>70</v>
      </c>
      <c r="CU359" s="52" t="s">
        <v>264</v>
      </c>
      <c r="CV359" s="52">
        <v>2</v>
      </c>
      <c r="CW359" s="52" t="s">
        <v>359</v>
      </c>
      <c r="CX359" s="52">
        <v>75</v>
      </c>
      <c r="CY359" s="52"/>
      <c r="CZ359" s="52"/>
      <c r="DA359" s="52"/>
      <c r="DB359" s="52"/>
      <c r="DC359" s="52"/>
      <c r="DD359" s="52"/>
      <c r="DE359" s="52"/>
      <c r="DF359" s="52"/>
      <c r="DG359" s="52"/>
      <c r="DH359" s="52"/>
    </row>
    <row r="360" spans="58:112" ht="16.5" x14ac:dyDescent="0.2">
      <c r="BF360" s="52">
        <v>355</v>
      </c>
      <c r="BG360" s="14">
        <f t="shared" si="55"/>
        <v>0</v>
      </c>
      <c r="BH360" s="14">
        <f t="shared" si="56"/>
        <v>480</v>
      </c>
      <c r="BI360" s="14">
        <f t="shared" si="57"/>
        <v>0</v>
      </c>
      <c r="BJ360" s="14">
        <f t="shared" si="58"/>
        <v>1200</v>
      </c>
      <c r="BK360" s="14">
        <f t="shared" si="59"/>
        <v>480</v>
      </c>
      <c r="BL360" s="14">
        <f t="shared" si="60"/>
        <v>960</v>
      </c>
      <c r="CJ360" s="52">
        <v>356</v>
      </c>
      <c r="CK360" s="52">
        <v>4</v>
      </c>
      <c r="CL360" s="52" t="s">
        <v>244</v>
      </c>
      <c r="CM360" s="52">
        <v>56</v>
      </c>
      <c r="CN360" s="52"/>
      <c r="CO360" s="52"/>
      <c r="CP360" s="52"/>
      <c r="CQ360" s="52" t="s">
        <v>358</v>
      </c>
      <c r="CR360" s="52">
        <v>19800</v>
      </c>
      <c r="CS360" s="52" t="s">
        <v>359</v>
      </c>
      <c r="CT360" s="52">
        <v>75</v>
      </c>
      <c r="CU360" s="52"/>
      <c r="CV360" s="52"/>
      <c r="CW360" s="52" t="s">
        <v>359</v>
      </c>
      <c r="CX360" s="52">
        <v>75</v>
      </c>
      <c r="CY360" s="52"/>
      <c r="CZ360" s="52"/>
      <c r="DA360" s="52"/>
      <c r="DB360" s="52"/>
      <c r="DC360" s="52"/>
      <c r="DD360" s="52"/>
      <c r="DE360" s="52"/>
      <c r="DF360" s="52"/>
      <c r="DG360" s="52"/>
      <c r="DH360" s="52"/>
    </row>
    <row r="361" spans="58:112" ht="16.5" x14ac:dyDescent="0.2">
      <c r="BF361" s="52">
        <v>356</v>
      </c>
      <c r="BG361" s="14">
        <f t="shared" si="55"/>
        <v>0</v>
      </c>
      <c r="BH361" s="14">
        <f t="shared" si="56"/>
        <v>480</v>
      </c>
      <c r="BI361" s="14">
        <f t="shared" si="57"/>
        <v>0</v>
      </c>
      <c r="BJ361" s="14">
        <f t="shared" si="58"/>
        <v>1200</v>
      </c>
      <c r="BK361" s="14">
        <f t="shared" si="59"/>
        <v>480</v>
      </c>
      <c r="BL361" s="14">
        <f t="shared" si="60"/>
        <v>960</v>
      </c>
      <c r="CJ361" s="52">
        <v>357</v>
      </c>
      <c r="CK361" s="52">
        <v>4</v>
      </c>
      <c r="CL361" s="52" t="s">
        <v>244</v>
      </c>
      <c r="CM361" s="52">
        <v>57</v>
      </c>
      <c r="CN361" s="52"/>
      <c r="CO361" s="52"/>
      <c r="CP361" s="52"/>
      <c r="CQ361" s="52" t="s">
        <v>358</v>
      </c>
      <c r="CR361" s="52">
        <v>19800</v>
      </c>
      <c r="CS361" s="52" t="s">
        <v>359</v>
      </c>
      <c r="CT361" s="52">
        <v>75</v>
      </c>
      <c r="CU361" s="52"/>
      <c r="CV361" s="52"/>
      <c r="CW361" s="52" t="s">
        <v>359</v>
      </c>
      <c r="CX361" s="52">
        <v>75</v>
      </c>
      <c r="CY361" s="52"/>
      <c r="CZ361" s="52"/>
      <c r="DA361" s="52"/>
      <c r="DB361" s="52"/>
      <c r="DC361" s="52"/>
      <c r="DD361" s="52"/>
      <c r="DE361" s="52"/>
      <c r="DF361" s="52"/>
      <c r="DG361" s="52"/>
      <c r="DH361" s="52"/>
    </row>
    <row r="362" spans="58:112" ht="16.5" x14ac:dyDescent="0.2">
      <c r="BF362" s="52">
        <v>357</v>
      </c>
      <c r="BG362" s="14">
        <f t="shared" ref="BG362:BG405" si="61">SUMIFS($F$5:$F$104,$AT$6:$AT$105,"="&amp;BF362)+SUMIFS($Q$5:$Q$104,$AW$6:$AW$105,"="&amp;BF362)+SUMIFS($AB$5:$AB$104,$AZ$6:$AZ$105,"="&amp;BF362)+SUMIFS($AM$5:$AM$104,$BC$6:$BC$105,"="&amp;BF362)</f>
        <v>0</v>
      </c>
      <c r="BH362" s="14">
        <f t="shared" ref="BH362:BH405" si="62">INDEX($G$5:$G$104,MATCH(BF362,$AT$5:$AT$105,1)-1)+INDEX($R$5:$R$104,MATCH(BF362,$AW$5:$AW$105,1)-1)+INDEX($AC$5:$AC$104,MATCH(BF362,$AZ$5:$AZ$105,1)-1)+INDEX($AN$5:$AN$104,MATCH(BF362,$BC$5:$BC$105,1)-1)</f>
        <v>480</v>
      </c>
      <c r="BI362" s="14">
        <f t="shared" ref="BI362:BI405" si="63">SUMIFS($H$5:$H$104,$AT$6:$AT$105,"="&amp;BF362)+SUMIFS($S$5:$S$104,$AW$6:$AW$105,"="&amp;BF362)+SUMIFS($AD$5:$AD$104,$AZ$6:$AZ$105,"="&amp;BF362)+SUMIFS($AO$5:$AO$104,$BC$6:$BC$105,"="&amp;BF362)</f>
        <v>0</v>
      </c>
      <c r="BJ362" s="14">
        <f t="shared" ref="BJ362:BJ405" si="64">INDEX($I$5:$I$104,MATCH(BF362,$AT$5:$AT$105,1)-1)+INDEX($T$5:$T$104,MATCH(BF362,$AW$5:$AW$105,1)-1)+INDEX($AE$5:$AE$104,MATCH(BF362,$AZ$5:$AZ$105,1)-1)+INDEX($AP$5:$AP$104,MATCH(BF362,$BC$5:$BC$105,1)-1)</f>
        <v>1200</v>
      </c>
      <c r="BK362" s="14">
        <f t="shared" si="59"/>
        <v>480</v>
      </c>
      <c r="BL362" s="14">
        <f t="shared" si="60"/>
        <v>960</v>
      </c>
      <c r="CJ362" s="52">
        <v>358</v>
      </c>
      <c r="CK362" s="52">
        <v>4</v>
      </c>
      <c r="CL362" s="52" t="s">
        <v>244</v>
      </c>
      <c r="CM362" s="52">
        <v>58</v>
      </c>
      <c r="CN362" s="52"/>
      <c r="CO362" s="52"/>
      <c r="CP362" s="52"/>
      <c r="CQ362" s="52" t="s">
        <v>358</v>
      </c>
      <c r="CR362" s="52">
        <v>19800</v>
      </c>
      <c r="CS362" s="52" t="s">
        <v>359</v>
      </c>
      <c r="CT362" s="52">
        <v>75</v>
      </c>
      <c r="CU362" s="52"/>
      <c r="CV362" s="52"/>
      <c r="CW362" s="52" t="s">
        <v>359</v>
      </c>
      <c r="CX362" s="52">
        <v>75</v>
      </c>
      <c r="CY362" s="52"/>
      <c r="CZ362" s="52"/>
      <c r="DA362" s="52"/>
      <c r="DB362" s="52"/>
      <c r="DC362" s="52"/>
      <c r="DD362" s="52"/>
      <c r="DE362" s="52"/>
      <c r="DF362" s="52"/>
      <c r="DG362" s="52"/>
      <c r="DH362" s="52"/>
    </row>
    <row r="363" spans="58:112" ht="16.5" x14ac:dyDescent="0.2">
      <c r="BF363" s="52">
        <v>358</v>
      </c>
      <c r="BG363" s="14">
        <f t="shared" si="61"/>
        <v>0</v>
      </c>
      <c r="BH363" s="14">
        <f t="shared" si="62"/>
        <v>480</v>
      </c>
      <c r="BI363" s="14">
        <f t="shared" si="63"/>
        <v>0</v>
      </c>
      <c r="BJ363" s="14">
        <f t="shared" si="64"/>
        <v>1200</v>
      </c>
      <c r="BK363" s="14">
        <f t="shared" si="59"/>
        <v>480</v>
      </c>
      <c r="BL363" s="14">
        <f t="shared" si="60"/>
        <v>960</v>
      </c>
      <c r="CJ363" s="52">
        <v>359</v>
      </c>
      <c r="CK363" s="52">
        <v>4</v>
      </c>
      <c r="CL363" s="52" t="s">
        <v>244</v>
      </c>
      <c r="CM363" s="52">
        <v>59</v>
      </c>
      <c r="CN363" s="52"/>
      <c r="CO363" s="52"/>
      <c r="CP363" s="52"/>
      <c r="CQ363" s="52" t="s">
        <v>358</v>
      </c>
      <c r="CR363" s="52">
        <v>19800</v>
      </c>
      <c r="CS363" s="52" t="s">
        <v>359</v>
      </c>
      <c r="CT363" s="52">
        <v>75</v>
      </c>
      <c r="CU363" s="52"/>
      <c r="CV363" s="52"/>
      <c r="CW363" s="52" t="s">
        <v>359</v>
      </c>
      <c r="CX363" s="52">
        <v>75</v>
      </c>
      <c r="CY363" s="52"/>
      <c r="CZ363" s="52"/>
      <c r="DA363" s="52"/>
      <c r="DB363" s="52"/>
      <c r="DC363" s="52"/>
      <c r="DD363" s="52"/>
      <c r="DE363" s="52"/>
      <c r="DF363" s="52"/>
      <c r="DG363" s="52"/>
      <c r="DH363" s="52"/>
    </row>
    <row r="364" spans="58:112" ht="16.5" x14ac:dyDescent="0.2">
      <c r="BF364" s="52">
        <v>359</v>
      </c>
      <c r="BG364" s="14">
        <f t="shared" si="61"/>
        <v>0</v>
      </c>
      <c r="BH364" s="14">
        <f t="shared" si="62"/>
        <v>480</v>
      </c>
      <c r="BI364" s="14">
        <f t="shared" si="63"/>
        <v>0</v>
      </c>
      <c r="BJ364" s="14">
        <f t="shared" si="64"/>
        <v>1200</v>
      </c>
      <c r="BK364" s="14">
        <f t="shared" si="59"/>
        <v>480</v>
      </c>
      <c r="BL364" s="14">
        <f t="shared" si="60"/>
        <v>960</v>
      </c>
      <c r="CJ364" s="52">
        <v>360</v>
      </c>
      <c r="CK364" s="52">
        <v>4</v>
      </c>
      <c r="CL364" s="52" t="s">
        <v>244</v>
      </c>
      <c r="CM364" s="52">
        <v>60</v>
      </c>
      <c r="CN364" s="52"/>
      <c r="CO364" s="52"/>
      <c r="CP364" s="52"/>
      <c r="CQ364" s="52" t="s">
        <v>358</v>
      </c>
      <c r="CR364" s="52">
        <v>23400</v>
      </c>
      <c r="CS364" s="52" t="s">
        <v>359</v>
      </c>
      <c r="CT364" s="52">
        <v>75</v>
      </c>
      <c r="CU364" s="52" t="s">
        <v>265</v>
      </c>
      <c r="CV364" s="52">
        <v>2</v>
      </c>
      <c r="CW364" s="52" t="s">
        <v>359</v>
      </c>
      <c r="CX364" s="52">
        <v>80</v>
      </c>
      <c r="CY364" s="52"/>
      <c r="CZ364" s="52"/>
      <c r="DA364" s="52"/>
      <c r="DB364" s="52"/>
      <c r="DC364" s="52"/>
      <c r="DD364" s="52"/>
      <c r="DE364" s="52"/>
      <c r="DF364" s="52"/>
      <c r="DG364" s="52"/>
      <c r="DH364" s="52"/>
    </row>
    <row r="365" spans="58:112" ht="16.5" x14ac:dyDescent="0.2">
      <c r="BF365" s="52">
        <v>360</v>
      </c>
      <c r="BG365" s="14">
        <f t="shared" si="61"/>
        <v>0</v>
      </c>
      <c r="BH365" s="14">
        <f t="shared" si="62"/>
        <v>480</v>
      </c>
      <c r="BI365" s="14">
        <f t="shared" si="63"/>
        <v>0</v>
      </c>
      <c r="BJ365" s="14">
        <f t="shared" si="64"/>
        <v>1200</v>
      </c>
      <c r="BK365" s="14">
        <f t="shared" si="59"/>
        <v>480</v>
      </c>
      <c r="BL365" s="14">
        <f t="shared" si="60"/>
        <v>960</v>
      </c>
      <c r="CJ365" s="52">
        <v>361</v>
      </c>
      <c r="CK365" s="52">
        <v>4</v>
      </c>
      <c r="CL365" s="52" t="s">
        <v>244</v>
      </c>
      <c r="CM365" s="52">
        <v>61</v>
      </c>
      <c r="CN365" s="52"/>
      <c r="CO365" s="52"/>
      <c r="CP365" s="52"/>
      <c r="CQ365" s="52" t="s">
        <v>358</v>
      </c>
      <c r="CR365" s="52">
        <v>23400</v>
      </c>
      <c r="CS365" s="52" t="s">
        <v>359</v>
      </c>
      <c r="CT365" s="52">
        <v>80</v>
      </c>
      <c r="CU365" s="52"/>
      <c r="CV365" s="52"/>
      <c r="CW365" s="52" t="s">
        <v>359</v>
      </c>
      <c r="CX365" s="52">
        <v>80</v>
      </c>
      <c r="CY365" s="52"/>
      <c r="CZ365" s="52"/>
      <c r="DA365" s="52"/>
      <c r="DB365" s="52"/>
      <c r="DC365" s="52"/>
      <c r="DD365" s="52"/>
      <c r="DE365" s="52"/>
      <c r="DF365" s="52"/>
      <c r="DG365" s="52"/>
      <c r="DH365" s="52"/>
    </row>
    <row r="366" spans="58:112" ht="16.5" x14ac:dyDescent="0.2">
      <c r="BF366" s="52">
        <v>361</v>
      </c>
      <c r="BG366" s="14">
        <f t="shared" si="61"/>
        <v>0</v>
      </c>
      <c r="BH366" s="14">
        <f t="shared" si="62"/>
        <v>480</v>
      </c>
      <c r="BI366" s="14">
        <f t="shared" si="63"/>
        <v>0</v>
      </c>
      <c r="BJ366" s="14">
        <f t="shared" si="64"/>
        <v>1200</v>
      </c>
      <c r="BK366" s="14">
        <f t="shared" si="59"/>
        <v>480</v>
      </c>
      <c r="BL366" s="14">
        <f t="shared" si="60"/>
        <v>960</v>
      </c>
      <c r="CJ366" s="52">
        <v>362</v>
      </c>
      <c r="CK366" s="52">
        <v>4</v>
      </c>
      <c r="CL366" s="52" t="s">
        <v>244</v>
      </c>
      <c r="CM366" s="52">
        <v>62</v>
      </c>
      <c r="CN366" s="52"/>
      <c r="CO366" s="52"/>
      <c r="CP366" s="52"/>
      <c r="CQ366" s="52" t="s">
        <v>358</v>
      </c>
      <c r="CR366" s="52">
        <v>23400</v>
      </c>
      <c r="CS366" s="52" t="s">
        <v>359</v>
      </c>
      <c r="CT366" s="52">
        <v>80</v>
      </c>
      <c r="CU366" s="52"/>
      <c r="CV366" s="52"/>
      <c r="CW366" s="52" t="s">
        <v>359</v>
      </c>
      <c r="CX366" s="52">
        <v>80</v>
      </c>
      <c r="CY366" s="52"/>
      <c r="CZ366" s="52"/>
      <c r="DA366" s="52"/>
      <c r="DB366" s="52"/>
      <c r="DC366" s="52"/>
      <c r="DD366" s="52"/>
      <c r="DE366" s="52"/>
      <c r="DF366" s="52"/>
      <c r="DG366" s="52"/>
      <c r="DH366" s="52"/>
    </row>
    <row r="367" spans="58:112" ht="16.5" x14ac:dyDescent="0.2">
      <c r="BF367" s="52">
        <v>362</v>
      </c>
      <c r="BG367" s="14">
        <f t="shared" si="61"/>
        <v>0</v>
      </c>
      <c r="BH367" s="14">
        <f t="shared" si="62"/>
        <v>480</v>
      </c>
      <c r="BI367" s="14">
        <f t="shared" si="63"/>
        <v>0</v>
      </c>
      <c r="BJ367" s="14">
        <f t="shared" si="64"/>
        <v>1200</v>
      </c>
      <c r="BK367" s="14">
        <f t="shared" si="59"/>
        <v>480</v>
      </c>
      <c r="BL367" s="14">
        <f t="shared" si="60"/>
        <v>960</v>
      </c>
      <c r="CJ367" s="52">
        <v>363</v>
      </c>
      <c r="CK367" s="52">
        <v>4</v>
      </c>
      <c r="CL367" s="52" t="s">
        <v>244</v>
      </c>
      <c r="CM367" s="52">
        <v>63</v>
      </c>
      <c r="CN367" s="52"/>
      <c r="CO367" s="52"/>
      <c r="CP367" s="52"/>
      <c r="CQ367" s="52" t="s">
        <v>358</v>
      </c>
      <c r="CR367" s="52">
        <v>23400</v>
      </c>
      <c r="CS367" s="52" t="s">
        <v>359</v>
      </c>
      <c r="CT367" s="52">
        <v>80</v>
      </c>
      <c r="CU367" s="52"/>
      <c r="CV367" s="52"/>
      <c r="CW367" s="52" t="s">
        <v>359</v>
      </c>
      <c r="CX367" s="52">
        <v>80</v>
      </c>
      <c r="CY367" s="52"/>
      <c r="CZ367" s="52"/>
      <c r="DA367" s="52"/>
      <c r="DB367" s="52"/>
      <c r="DC367" s="52"/>
      <c r="DD367" s="52"/>
      <c r="DE367" s="52"/>
      <c r="DF367" s="52"/>
      <c r="DG367" s="52"/>
      <c r="DH367" s="52"/>
    </row>
    <row r="368" spans="58:112" ht="16.5" x14ac:dyDescent="0.2">
      <c r="BF368" s="52">
        <v>363</v>
      </c>
      <c r="BG368" s="14">
        <f t="shared" si="61"/>
        <v>0</v>
      </c>
      <c r="BH368" s="14">
        <f t="shared" si="62"/>
        <v>480</v>
      </c>
      <c r="BI368" s="14">
        <f t="shared" si="63"/>
        <v>0</v>
      </c>
      <c r="BJ368" s="14">
        <f t="shared" si="64"/>
        <v>1200</v>
      </c>
      <c r="BK368" s="14">
        <f t="shared" si="59"/>
        <v>480</v>
      </c>
      <c r="BL368" s="14">
        <f t="shared" si="60"/>
        <v>960</v>
      </c>
      <c r="CJ368" s="52">
        <v>364</v>
      </c>
      <c r="CK368" s="52">
        <v>4</v>
      </c>
      <c r="CL368" s="52" t="s">
        <v>244</v>
      </c>
      <c r="CM368" s="52">
        <v>64</v>
      </c>
      <c r="CN368" s="52"/>
      <c r="CO368" s="52"/>
      <c r="CP368" s="52"/>
      <c r="CQ368" s="52" t="s">
        <v>358</v>
      </c>
      <c r="CR368" s="52">
        <v>23400</v>
      </c>
      <c r="CS368" s="52" t="s">
        <v>359</v>
      </c>
      <c r="CT368" s="52">
        <v>80</v>
      </c>
      <c r="CU368" s="52"/>
      <c r="CV368" s="52"/>
      <c r="CW368" s="52" t="s">
        <v>359</v>
      </c>
      <c r="CX368" s="52">
        <v>80</v>
      </c>
      <c r="CY368" s="52"/>
      <c r="CZ368" s="52"/>
      <c r="DA368" s="52"/>
      <c r="DB368" s="52"/>
      <c r="DC368" s="52"/>
      <c r="DD368" s="52"/>
      <c r="DE368" s="52"/>
      <c r="DF368" s="52"/>
      <c r="DG368" s="52"/>
      <c r="DH368" s="52"/>
    </row>
    <row r="369" spans="58:112" ht="16.5" x14ac:dyDescent="0.2">
      <c r="BF369" s="52">
        <v>364</v>
      </c>
      <c r="BG369" s="14">
        <f t="shared" si="61"/>
        <v>0</v>
      </c>
      <c r="BH369" s="14">
        <f t="shared" si="62"/>
        <v>480</v>
      </c>
      <c r="BI369" s="14">
        <f t="shared" si="63"/>
        <v>0</v>
      </c>
      <c r="BJ369" s="14">
        <f t="shared" si="64"/>
        <v>1200</v>
      </c>
      <c r="BK369" s="14">
        <f t="shared" si="59"/>
        <v>480</v>
      </c>
      <c r="BL369" s="14">
        <f t="shared" si="60"/>
        <v>960</v>
      </c>
      <c r="CJ369" s="52">
        <v>365</v>
      </c>
      <c r="CK369" s="52">
        <v>4</v>
      </c>
      <c r="CL369" s="52" t="s">
        <v>244</v>
      </c>
      <c r="CM369" s="52">
        <v>65</v>
      </c>
      <c r="CN369" s="52"/>
      <c r="CO369" s="52"/>
      <c r="CP369" s="52"/>
      <c r="CQ369" s="52" t="s">
        <v>358</v>
      </c>
      <c r="CR369" s="52">
        <v>23400</v>
      </c>
      <c r="CS369" s="52" t="s">
        <v>359</v>
      </c>
      <c r="CT369" s="52">
        <v>80</v>
      </c>
      <c r="CU369" s="52" t="s">
        <v>268</v>
      </c>
      <c r="CV369" s="52">
        <v>2</v>
      </c>
      <c r="CW369" s="52" t="s">
        <v>359</v>
      </c>
      <c r="CX369" s="52">
        <v>85</v>
      </c>
      <c r="CY369" s="52"/>
      <c r="CZ369" s="52"/>
      <c r="DA369" s="52"/>
      <c r="DB369" s="52"/>
      <c r="DC369" s="52"/>
      <c r="DD369" s="52"/>
      <c r="DE369" s="52"/>
      <c r="DF369" s="52"/>
      <c r="DG369" s="52"/>
      <c r="DH369" s="52"/>
    </row>
    <row r="370" spans="58:112" ht="16.5" x14ac:dyDescent="0.2">
      <c r="BF370" s="52">
        <v>365</v>
      </c>
      <c r="BG370" s="14">
        <f t="shared" si="61"/>
        <v>0</v>
      </c>
      <c r="BH370" s="14">
        <f t="shared" si="62"/>
        <v>480</v>
      </c>
      <c r="BI370" s="14">
        <f t="shared" si="63"/>
        <v>0</v>
      </c>
      <c r="BJ370" s="14">
        <f t="shared" si="64"/>
        <v>1200</v>
      </c>
      <c r="BK370" s="14">
        <f t="shared" si="59"/>
        <v>480</v>
      </c>
      <c r="BL370" s="14">
        <f t="shared" si="60"/>
        <v>960</v>
      </c>
      <c r="CJ370" s="52">
        <v>366</v>
      </c>
      <c r="CK370" s="52">
        <v>4</v>
      </c>
      <c r="CL370" s="52" t="s">
        <v>244</v>
      </c>
      <c r="CM370" s="52">
        <v>66</v>
      </c>
      <c r="CN370" s="52"/>
      <c r="CO370" s="52"/>
      <c r="CP370" s="52"/>
      <c r="CQ370" s="52" t="s">
        <v>358</v>
      </c>
      <c r="CR370" s="52">
        <v>23400</v>
      </c>
      <c r="CS370" s="52" t="s">
        <v>359</v>
      </c>
      <c r="CT370" s="52">
        <v>85</v>
      </c>
      <c r="CU370" s="52"/>
      <c r="CV370" s="52"/>
      <c r="CW370" s="52" t="s">
        <v>359</v>
      </c>
      <c r="CX370" s="52">
        <v>85</v>
      </c>
      <c r="CY370" s="52"/>
      <c r="CZ370" s="52"/>
      <c r="DA370" s="52"/>
      <c r="DB370" s="52"/>
      <c r="DC370" s="52"/>
      <c r="DD370" s="52"/>
      <c r="DE370" s="52"/>
      <c r="DF370" s="52"/>
      <c r="DG370" s="52"/>
      <c r="DH370" s="52"/>
    </row>
    <row r="371" spans="58:112" ht="16.5" x14ac:dyDescent="0.2">
      <c r="BF371" s="52">
        <v>366</v>
      </c>
      <c r="BG371" s="14">
        <f t="shared" si="61"/>
        <v>0</v>
      </c>
      <c r="BH371" s="14">
        <f t="shared" si="62"/>
        <v>480</v>
      </c>
      <c r="BI371" s="14">
        <f t="shared" si="63"/>
        <v>0</v>
      </c>
      <c r="BJ371" s="14">
        <f t="shared" si="64"/>
        <v>1200</v>
      </c>
      <c r="BK371" s="14">
        <f t="shared" si="59"/>
        <v>480</v>
      </c>
      <c r="BL371" s="14">
        <f t="shared" si="60"/>
        <v>960</v>
      </c>
      <c r="CJ371" s="52">
        <v>367</v>
      </c>
      <c r="CK371" s="52">
        <v>4</v>
      </c>
      <c r="CL371" s="52" t="s">
        <v>244</v>
      </c>
      <c r="CM371" s="52">
        <v>67</v>
      </c>
      <c r="CN371" s="52"/>
      <c r="CO371" s="52"/>
      <c r="CP371" s="52"/>
      <c r="CQ371" s="52" t="s">
        <v>358</v>
      </c>
      <c r="CR371" s="52">
        <v>23400</v>
      </c>
      <c r="CS371" s="52" t="s">
        <v>359</v>
      </c>
      <c r="CT371" s="52">
        <v>85</v>
      </c>
      <c r="CU371" s="52"/>
      <c r="CV371" s="52"/>
      <c r="CW371" s="52" t="s">
        <v>359</v>
      </c>
      <c r="CX371" s="52">
        <v>85</v>
      </c>
      <c r="CY371" s="52"/>
      <c r="CZ371" s="52"/>
      <c r="DA371" s="52"/>
      <c r="DB371" s="52"/>
      <c r="DC371" s="52"/>
      <c r="DD371" s="52"/>
      <c r="DE371" s="52"/>
      <c r="DF371" s="52"/>
      <c r="DG371" s="52"/>
      <c r="DH371" s="52"/>
    </row>
    <row r="372" spans="58:112" ht="16.5" x14ac:dyDescent="0.2">
      <c r="BF372" s="52">
        <v>367</v>
      </c>
      <c r="BG372" s="14">
        <f t="shared" si="61"/>
        <v>0</v>
      </c>
      <c r="BH372" s="14">
        <f t="shared" si="62"/>
        <v>480</v>
      </c>
      <c r="BI372" s="14">
        <f t="shared" si="63"/>
        <v>0</v>
      </c>
      <c r="BJ372" s="14">
        <f t="shared" si="64"/>
        <v>1200</v>
      </c>
      <c r="BK372" s="14">
        <f t="shared" si="59"/>
        <v>480</v>
      </c>
      <c r="BL372" s="14">
        <f t="shared" si="60"/>
        <v>960</v>
      </c>
      <c r="CJ372" s="52">
        <v>368</v>
      </c>
      <c r="CK372" s="52">
        <v>4</v>
      </c>
      <c r="CL372" s="52" t="s">
        <v>244</v>
      </c>
      <c r="CM372" s="52">
        <v>68</v>
      </c>
      <c r="CN372" s="52"/>
      <c r="CO372" s="52"/>
      <c r="CP372" s="52"/>
      <c r="CQ372" s="52" t="s">
        <v>358</v>
      </c>
      <c r="CR372" s="52">
        <v>23400</v>
      </c>
      <c r="CS372" s="52" t="s">
        <v>359</v>
      </c>
      <c r="CT372" s="52">
        <v>85</v>
      </c>
      <c r="CU372" s="52"/>
      <c r="CV372" s="52"/>
      <c r="CW372" s="52" t="s">
        <v>359</v>
      </c>
      <c r="CX372" s="52">
        <v>85</v>
      </c>
      <c r="CY372" s="52"/>
      <c r="CZ372" s="52"/>
      <c r="DA372" s="52"/>
      <c r="DB372" s="52"/>
      <c r="DC372" s="52"/>
      <c r="DD372" s="52"/>
      <c r="DE372" s="52"/>
      <c r="DF372" s="52"/>
      <c r="DG372" s="52"/>
      <c r="DH372" s="52"/>
    </row>
    <row r="373" spans="58:112" ht="16.5" x14ac:dyDescent="0.2">
      <c r="BF373" s="52">
        <v>368</v>
      </c>
      <c r="BG373" s="14">
        <f t="shared" si="61"/>
        <v>0</v>
      </c>
      <c r="BH373" s="14">
        <f t="shared" si="62"/>
        <v>480</v>
      </c>
      <c r="BI373" s="14">
        <f t="shared" si="63"/>
        <v>0</v>
      </c>
      <c r="BJ373" s="14">
        <f t="shared" si="64"/>
        <v>1200</v>
      </c>
      <c r="BK373" s="14">
        <f t="shared" si="59"/>
        <v>480</v>
      </c>
      <c r="BL373" s="14">
        <f t="shared" si="60"/>
        <v>960</v>
      </c>
      <c r="CJ373" s="52">
        <v>369</v>
      </c>
      <c r="CK373" s="52">
        <v>4</v>
      </c>
      <c r="CL373" s="52" t="s">
        <v>244</v>
      </c>
      <c r="CM373" s="52">
        <v>69</v>
      </c>
      <c r="CN373" s="52"/>
      <c r="CO373" s="52"/>
      <c r="CP373" s="52"/>
      <c r="CQ373" s="52" t="s">
        <v>358</v>
      </c>
      <c r="CR373" s="52">
        <v>23400</v>
      </c>
      <c r="CS373" s="52" t="s">
        <v>359</v>
      </c>
      <c r="CT373" s="52">
        <v>85</v>
      </c>
      <c r="CU373" s="52"/>
      <c r="CV373" s="52"/>
      <c r="CW373" s="52" t="s">
        <v>359</v>
      </c>
      <c r="CX373" s="52">
        <v>85</v>
      </c>
      <c r="CY373" s="52"/>
      <c r="CZ373" s="52"/>
      <c r="DA373" s="52"/>
      <c r="DB373" s="52"/>
      <c r="DC373" s="52"/>
      <c r="DD373" s="52"/>
      <c r="DE373" s="52"/>
      <c r="DF373" s="52"/>
      <c r="DG373" s="52"/>
      <c r="DH373" s="52"/>
    </row>
    <row r="374" spans="58:112" ht="16.5" x14ac:dyDescent="0.2">
      <c r="BF374" s="52">
        <v>369</v>
      </c>
      <c r="BG374" s="14">
        <f t="shared" si="61"/>
        <v>0</v>
      </c>
      <c r="BH374" s="14">
        <f t="shared" si="62"/>
        <v>480</v>
      </c>
      <c r="BI374" s="14">
        <f t="shared" si="63"/>
        <v>0</v>
      </c>
      <c r="BJ374" s="14">
        <f t="shared" si="64"/>
        <v>1200</v>
      </c>
      <c r="BK374" s="14">
        <f t="shared" si="59"/>
        <v>480</v>
      </c>
      <c r="BL374" s="14">
        <f t="shared" si="60"/>
        <v>960</v>
      </c>
      <c r="CJ374" s="52">
        <v>370</v>
      </c>
      <c r="CK374" s="52">
        <v>4</v>
      </c>
      <c r="CL374" s="52" t="s">
        <v>244</v>
      </c>
      <c r="CM374" s="52">
        <v>70</v>
      </c>
      <c r="CN374" s="52"/>
      <c r="CO374" s="52"/>
      <c r="CP374" s="52"/>
      <c r="CQ374" s="52" t="s">
        <v>358</v>
      </c>
      <c r="CR374" s="52">
        <v>23400</v>
      </c>
      <c r="CS374" s="52" t="s">
        <v>359</v>
      </c>
      <c r="CT374" s="52">
        <v>85</v>
      </c>
      <c r="CU374" s="52" t="s">
        <v>269</v>
      </c>
      <c r="CV374" s="52">
        <v>2</v>
      </c>
      <c r="CW374" s="52" t="s">
        <v>359</v>
      </c>
      <c r="CX374" s="52">
        <v>90</v>
      </c>
      <c r="CY374" s="52"/>
      <c r="CZ374" s="52"/>
      <c r="DA374" s="52"/>
      <c r="DB374" s="52"/>
      <c r="DC374" s="52"/>
      <c r="DD374" s="52"/>
      <c r="DE374" s="52"/>
      <c r="DF374" s="52"/>
      <c r="DG374" s="52"/>
      <c r="DH374" s="52"/>
    </row>
    <row r="375" spans="58:112" ht="16.5" x14ac:dyDescent="0.2">
      <c r="BF375" s="52">
        <v>370</v>
      </c>
      <c r="BG375" s="14">
        <f t="shared" si="61"/>
        <v>0</v>
      </c>
      <c r="BH375" s="14">
        <f t="shared" si="62"/>
        <v>480</v>
      </c>
      <c r="BI375" s="14">
        <f t="shared" si="63"/>
        <v>0</v>
      </c>
      <c r="BJ375" s="14">
        <f t="shared" si="64"/>
        <v>1200</v>
      </c>
      <c r="BK375" s="14">
        <f t="shared" si="59"/>
        <v>480</v>
      </c>
      <c r="BL375" s="14">
        <f t="shared" si="60"/>
        <v>960</v>
      </c>
      <c r="CJ375" s="52">
        <v>371</v>
      </c>
      <c r="CK375" s="52">
        <v>4</v>
      </c>
      <c r="CL375" s="52" t="s">
        <v>244</v>
      </c>
      <c r="CM375" s="52">
        <v>71</v>
      </c>
      <c r="CN375" s="52"/>
      <c r="CO375" s="52"/>
      <c r="CP375" s="52"/>
      <c r="CQ375" s="52" t="s">
        <v>358</v>
      </c>
      <c r="CR375" s="52">
        <v>23400</v>
      </c>
      <c r="CS375" s="52" t="s">
        <v>359</v>
      </c>
      <c r="CT375" s="52">
        <v>90</v>
      </c>
      <c r="CU375" s="52"/>
      <c r="CV375" s="52"/>
      <c r="CW375" s="52" t="s">
        <v>359</v>
      </c>
      <c r="CX375" s="52">
        <v>90</v>
      </c>
      <c r="CY375" s="52"/>
      <c r="CZ375" s="52"/>
      <c r="DA375" s="52"/>
      <c r="DB375" s="52"/>
      <c r="DC375" s="52"/>
      <c r="DD375" s="52"/>
      <c r="DE375" s="52"/>
      <c r="DF375" s="52"/>
      <c r="DG375" s="52"/>
      <c r="DH375" s="52"/>
    </row>
    <row r="376" spans="58:112" ht="16.5" x14ac:dyDescent="0.2">
      <c r="BF376" s="52">
        <v>371</v>
      </c>
      <c r="BG376" s="14">
        <f t="shared" si="61"/>
        <v>0</v>
      </c>
      <c r="BH376" s="14">
        <f t="shared" si="62"/>
        <v>480</v>
      </c>
      <c r="BI376" s="14">
        <f t="shared" si="63"/>
        <v>0</v>
      </c>
      <c r="BJ376" s="14">
        <f t="shared" si="64"/>
        <v>1200</v>
      </c>
      <c r="BK376" s="14">
        <f t="shared" si="59"/>
        <v>480</v>
      </c>
      <c r="BL376" s="14">
        <f t="shared" si="60"/>
        <v>960</v>
      </c>
      <c r="CJ376" s="52">
        <v>372</v>
      </c>
      <c r="CK376" s="52">
        <v>4</v>
      </c>
      <c r="CL376" s="52" t="s">
        <v>244</v>
      </c>
      <c r="CM376" s="52">
        <v>72</v>
      </c>
      <c r="CN376" s="52"/>
      <c r="CO376" s="52"/>
      <c r="CP376" s="52"/>
      <c r="CQ376" s="52" t="s">
        <v>358</v>
      </c>
      <c r="CR376" s="52">
        <v>23400</v>
      </c>
      <c r="CS376" s="52" t="s">
        <v>359</v>
      </c>
      <c r="CT376" s="52">
        <v>90</v>
      </c>
      <c r="CU376" s="52"/>
      <c r="CV376" s="52"/>
      <c r="CW376" s="52" t="s">
        <v>359</v>
      </c>
      <c r="CX376" s="52">
        <v>90</v>
      </c>
      <c r="CY376" s="52"/>
      <c r="CZ376" s="52"/>
      <c r="DA376" s="52"/>
      <c r="DB376" s="52"/>
      <c r="DC376" s="52"/>
      <c r="DD376" s="52"/>
      <c r="DE376" s="52"/>
      <c r="DF376" s="52"/>
      <c r="DG376" s="52"/>
      <c r="DH376" s="52"/>
    </row>
    <row r="377" spans="58:112" ht="16.5" x14ac:dyDescent="0.2">
      <c r="BF377" s="52">
        <v>372</v>
      </c>
      <c r="BG377" s="14">
        <f t="shared" si="61"/>
        <v>0</v>
      </c>
      <c r="BH377" s="14">
        <f t="shared" si="62"/>
        <v>480</v>
      </c>
      <c r="BI377" s="14">
        <f t="shared" si="63"/>
        <v>0</v>
      </c>
      <c r="BJ377" s="14">
        <f t="shared" si="64"/>
        <v>1200</v>
      </c>
      <c r="BK377" s="14">
        <f t="shared" si="59"/>
        <v>480</v>
      </c>
      <c r="BL377" s="14">
        <f t="shared" si="60"/>
        <v>960</v>
      </c>
      <c r="CJ377" s="52">
        <v>373</v>
      </c>
      <c r="CK377" s="52">
        <v>4</v>
      </c>
      <c r="CL377" s="52" t="s">
        <v>244</v>
      </c>
      <c r="CM377" s="52">
        <v>73</v>
      </c>
      <c r="CN377" s="52"/>
      <c r="CO377" s="52"/>
      <c r="CP377" s="52"/>
      <c r="CQ377" s="52" t="s">
        <v>358</v>
      </c>
      <c r="CR377" s="52">
        <v>23400</v>
      </c>
      <c r="CS377" s="52" t="s">
        <v>359</v>
      </c>
      <c r="CT377" s="52">
        <v>90</v>
      </c>
      <c r="CU377" s="52"/>
      <c r="CV377" s="52"/>
      <c r="CW377" s="52" t="s">
        <v>359</v>
      </c>
      <c r="CX377" s="52">
        <v>90</v>
      </c>
      <c r="CY377" s="52"/>
      <c r="CZ377" s="52"/>
      <c r="DA377" s="52"/>
      <c r="DB377" s="52"/>
      <c r="DC377" s="52"/>
      <c r="DD377" s="52"/>
      <c r="DE377" s="52"/>
      <c r="DF377" s="52"/>
      <c r="DG377" s="52"/>
      <c r="DH377" s="52"/>
    </row>
    <row r="378" spans="58:112" ht="16.5" x14ac:dyDescent="0.2">
      <c r="BF378" s="52">
        <v>373</v>
      </c>
      <c r="BG378" s="14">
        <f t="shared" si="61"/>
        <v>0</v>
      </c>
      <c r="BH378" s="14">
        <f t="shared" si="62"/>
        <v>480</v>
      </c>
      <c r="BI378" s="14">
        <f t="shared" si="63"/>
        <v>0</v>
      </c>
      <c r="BJ378" s="14">
        <f t="shared" si="64"/>
        <v>1200</v>
      </c>
      <c r="BK378" s="14">
        <f t="shared" si="59"/>
        <v>480</v>
      </c>
      <c r="BL378" s="14">
        <f t="shared" si="60"/>
        <v>960</v>
      </c>
      <c r="CJ378" s="52">
        <v>374</v>
      </c>
      <c r="CK378" s="52">
        <v>4</v>
      </c>
      <c r="CL378" s="52" t="s">
        <v>244</v>
      </c>
      <c r="CM378" s="52">
        <v>74</v>
      </c>
      <c r="CN378" s="52"/>
      <c r="CO378" s="52"/>
      <c r="CP378" s="52"/>
      <c r="CQ378" s="52" t="s">
        <v>358</v>
      </c>
      <c r="CR378" s="52">
        <v>23400</v>
      </c>
      <c r="CS378" s="52" t="s">
        <v>359</v>
      </c>
      <c r="CT378" s="52">
        <v>90</v>
      </c>
      <c r="CU378" s="52"/>
      <c r="CV378" s="52"/>
      <c r="CW378" s="52" t="s">
        <v>359</v>
      </c>
      <c r="CX378" s="52">
        <v>90</v>
      </c>
      <c r="CY378" s="52"/>
      <c r="CZ378" s="52"/>
      <c r="DA378" s="52"/>
      <c r="DB378" s="52"/>
      <c r="DC378" s="52"/>
      <c r="DD378" s="52"/>
      <c r="DE378" s="52"/>
      <c r="DF378" s="52"/>
      <c r="DG378" s="52"/>
      <c r="DH378" s="52"/>
    </row>
    <row r="379" spans="58:112" ht="16.5" x14ac:dyDescent="0.2">
      <c r="BF379" s="52">
        <v>374</v>
      </c>
      <c r="BG379" s="14">
        <f t="shared" si="61"/>
        <v>0</v>
      </c>
      <c r="BH379" s="14">
        <f t="shared" si="62"/>
        <v>480</v>
      </c>
      <c r="BI379" s="14">
        <f t="shared" si="63"/>
        <v>0</v>
      </c>
      <c r="BJ379" s="14">
        <f t="shared" si="64"/>
        <v>1200</v>
      </c>
      <c r="BK379" s="14">
        <f t="shared" si="59"/>
        <v>480</v>
      </c>
      <c r="BL379" s="14">
        <f t="shared" si="60"/>
        <v>960</v>
      </c>
      <c r="CJ379" s="52">
        <v>375</v>
      </c>
      <c r="CK379" s="52">
        <v>4</v>
      </c>
      <c r="CL379" s="52" t="s">
        <v>244</v>
      </c>
      <c r="CM379" s="52">
        <v>75</v>
      </c>
      <c r="CN379" s="52"/>
      <c r="CO379" s="52"/>
      <c r="CP379" s="52"/>
      <c r="CQ379" s="52" t="s">
        <v>358</v>
      </c>
      <c r="CR379" s="52">
        <v>23400</v>
      </c>
      <c r="CS379" s="52" t="s">
        <v>359</v>
      </c>
      <c r="CT379" s="52">
        <v>90</v>
      </c>
      <c r="CU379" s="52" t="s">
        <v>264</v>
      </c>
      <c r="CV379" s="52">
        <v>2</v>
      </c>
      <c r="CW379" s="52" t="s">
        <v>359</v>
      </c>
      <c r="CX379" s="52">
        <v>95</v>
      </c>
      <c r="CY379" s="52"/>
      <c r="CZ379" s="52"/>
      <c r="DA379" s="52"/>
      <c r="DB379" s="52"/>
      <c r="DC379" s="52"/>
      <c r="DD379" s="52"/>
      <c r="DE379" s="52"/>
      <c r="DF379" s="52"/>
      <c r="DG379" s="52"/>
      <c r="DH379" s="52"/>
    </row>
    <row r="380" spans="58:112" ht="16.5" x14ac:dyDescent="0.2">
      <c r="BF380" s="52">
        <v>375</v>
      </c>
      <c r="BG380" s="14">
        <f t="shared" si="61"/>
        <v>0</v>
      </c>
      <c r="BH380" s="14">
        <f t="shared" si="62"/>
        <v>480</v>
      </c>
      <c r="BI380" s="14">
        <f t="shared" si="63"/>
        <v>0</v>
      </c>
      <c r="BJ380" s="14">
        <f t="shared" si="64"/>
        <v>1200</v>
      </c>
      <c r="BK380" s="14">
        <f t="shared" si="59"/>
        <v>480</v>
      </c>
      <c r="BL380" s="14">
        <f t="shared" si="60"/>
        <v>960</v>
      </c>
      <c r="CJ380" s="52">
        <v>376</v>
      </c>
      <c r="CK380" s="52">
        <v>4</v>
      </c>
      <c r="CL380" s="52" t="s">
        <v>244</v>
      </c>
      <c r="CM380" s="52">
        <v>76</v>
      </c>
      <c r="CN380" s="52"/>
      <c r="CO380" s="52"/>
      <c r="CP380" s="52"/>
      <c r="CQ380" s="52" t="s">
        <v>358</v>
      </c>
      <c r="CR380" s="52">
        <v>23400</v>
      </c>
      <c r="CS380" s="52" t="s">
        <v>359</v>
      </c>
      <c r="CT380" s="52">
        <v>95</v>
      </c>
      <c r="CU380" s="52"/>
      <c r="CV380" s="52"/>
      <c r="CW380" s="52" t="s">
        <v>359</v>
      </c>
      <c r="CX380" s="52">
        <v>95</v>
      </c>
      <c r="CY380" s="52"/>
      <c r="CZ380" s="52"/>
      <c r="DA380" s="52"/>
      <c r="DB380" s="52"/>
      <c r="DC380" s="52"/>
      <c r="DD380" s="52"/>
      <c r="DE380" s="52"/>
      <c r="DF380" s="52"/>
      <c r="DG380" s="52"/>
      <c r="DH380" s="52"/>
    </row>
    <row r="381" spans="58:112" ht="16.5" x14ac:dyDescent="0.2">
      <c r="BF381" s="52">
        <v>376</v>
      </c>
      <c r="BG381" s="14">
        <f t="shared" si="61"/>
        <v>0</v>
      </c>
      <c r="BH381" s="14">
        <f t="shared" si="62"/>
        <v>480</v>
      </c>
      <c r="BI381" s="14">
        <f t="shared" si="63"/>
        <v>0</v>
      </c>
      <c r="BJ381" s="14">
        <f t="shared" si="64"/>
        <v>1200</v>
      </c>
      <c r="BK381" s="14">
        <f t="shared" si="59"/>
        <v>480</v>
      </c>
      <c r="BL381" s="14">
        <f t="shared" si="60"/>
        <v>960</v>
      </c>
      <c r="CJ381" s="52">
        <v>377</v>
      </c>
      <c r="CK381" s="52">
        <v>4</v>
      </c>
      <c r="CL381" s="52" t="s">
        <v>244</v>
      </c>
      <c r="CM381" s="52">
        <v>77</v>
      </c>
      <c r="CN381" s="52"/>
      <c r="CO381" s="52"/>
      <c r="CP381" s="52"/>
      <c r="CQ381" s="52" t="s">
        <v>358</v>
      </c>
      <c r="CR381" s="52">
        <v>23400</v>
      </c>
      <c r="CS381" s="52" t="s">
        <v>359</v>
      </c>
      <c r="CT381" s="52">
        <v>95</v>
      </c>
      <c r="CU381" s="52"/>
      <c r="CV381" s="52"/>
      <c r="CW381" s="52" t="s">
        <v>359</v>
      </c>
      <c r="CX381" s="52">
        <v>95</v>
      </c>
      <c r="CY381" s="52"/>
      <c r="CZ381" s="52"/>
      <c r="DA381" s="52"/>
      <c r="DB381" s="52"/>
      <c r="DC381" s="52"/>
      <c r="DD381" s="52"/>
      <c r="DE381" s="52"/>
      <c r="DF381" s="52"/>
      <c r="DG381" s="52"/>
      <c r="DH381" s="52"/>
    </row>
    <row r="382" spans="58:112" ht="16.5" x14ac:dyDescent="0.2">
      <c r="BF382" s="52">
        <v>377</v>
      </c>
      <c r="BG382" s="14">
        <f t="shared" si="61"/>
        <v>0</v>
      </c>
      <c r="BH382" s="14">
        <f t="shared" si="62"/>
        <v>480</v>
      </c>
      <c r="BI382" s="14">
        <f t="shared" si="63"/>
        <v>0</v>
      </c>
      <c r="BJ382" s="14">
        <f t="shared" si="64"/>
        <v>1200</v>
      </c>
      <c r="BK382" s="14">
        <f t="shared" si="59"/>
        <v>480</v>
      </c>
      <c r="BL382" s="14">
        <f t="shared" si="60"/>
        <v>960</v>
      </c>
      <c r="CJ382" s="52">
        <v>378</v>
      </c>
      <c r="CK382" s="52">
        <v>4</v>
      </c>
      <c r="CL382" s="52" t="s">
        <v>244</v>
      </c>
      <c r="CM382" s="52">
        <v>78</v>
      </c>
      <c r="CN382" s="52"/>
      <c r="CO382" s="52"/>
      <c r="CP382" s="52"/>
      <c r="CQ382" s="52" t="s">
        <v>358</v>
      </c>
      <c r="CR382" s="52">
        <v>23400</v>
      </c>
      <c r="CS382" s="52" t="s">
        <v>359</v>
      </c>
      <c r="CT382" s="52">
        <v>95</v>
      </c>
      <c r="CU382" s="52"/>
      <c r="CV382" s="52"/>
      <c r="CW382" s="52" t="s">
        <v>359</v>
      </c>
      <c r="CX382" s="52">
        <v>95</v>
      </c>
      <c r="CY382" s="52"/>
      <c r="CZ382" s="52"/>
      <c r="DA382" s="52"/>
      <c r="DB382" s="52"/>
      <c r="DC382" s="52"/>
      <c r="DD382" s="52"/>
      <c r="DE382" s="52"/>
      <c r="DF382" s="52"/>
      <c r="DG382" s="52"/>
      <c r="DH382" s="52"/>
    </row>
    <row r="383" spans="58:112" ht="16.5" x14ac:dyDescent="0.2">
      <c r="BF383" s="52">
        <v>378</v>
      </c>
      <c r="BG383" s="14">
        <f t="shared" si="61"/>
        <v>0</v>
      </c>
      <c r="BH383" s="14">
        <f t="shared" si="62"/>
        <v>480</v>
      </c>
      <c r="BI383" s="14">
        <f t="shared" si="63"/>
        <v>0</v>
      </c>
      <c r="BJ383" s="14">
        <f t="shared" si="64"/>
        <v>1200</v>
      </c>
      <c r="BK383" s="14">
        <f t="shared" si="59"/>
        <v>480</v>
      </c>
      <c r="BL383" s="14">
        <f t="shared" si="60"/>
        <v>960</v>
      </c>
      <c r="CJ383" s="52">
        <v>379</v>
      </c>
      <c r="CK383" s="52">
        <v>4</v>
      </c>
      <c r="CL383" s="52" t="s">
        <v>244</v>
      </c>
      <c r="CM383" s="52">
        <v>79</v>
      </c>
      <c r="CN383" s="52"/>
      <c r="CO383" s="52"/>
      <c r="CP383" s="52"/>
      <c r="CQ383" s="52" t="s">
        <v>358</v>
      </c>
      <c r="CR383" s="52">
        <v>23400</v>
      </c>
      <c r="CS383" s="52" t="s">
        <v>359</v>
      </c>
      <c r="CT383" s="52">
        <v>95</v>
      </c>
      <c r="CU383" s="52"/>
      <c r="CV383" s="52"/>
      <c r="CW383" s="52" t="s">
        <v>359</v>
      </c>
      <c r="CX383" s="52">
        <v>95</v>
      </c>
      <c r="CY383" s="52"/>
      <c r="CZ383" s="52"/>
      <c r="DA383" s="52"/>
      <c r="DB383" s="52"/>
      <c r="DC383" s="52"/>
      <c r="DD383" s="52"/>
      <c r="DE383" s="52"/>
      <c r="DF383" s="52"/>
      <c r="DG383" s="52"/>
      <c r="DH383" s="52"/>
    </row>
    <row r="384" spans="58:112" ht="16.5" x14ac:dyDescent="0.2">
      <c r="BF384" s="52">
        <v>379</v>
      </c>
      <c r="BG384" s="14">
        <f t="shared" si="61"/>
        <v>0</v>
      </c>
      <c r="BH384" s="14">
        <f t="shared" si="62"/>
        <v>480</v>
      </c>
      <c r="BI384" s="14">
        <f t="shared" si="63"/>
        <v>0</v>
      </c>
      <c r="BJ384" s="14">
        <f t="shared" si="64"/>
        <v>1200</v>
      </c>
      <c r="BK384" s="14">
        <f t="shared" si="59"/>
        <v>480</v>
      </c>
      <c r="BL384" s="14">
        <f t="shared" si="60"/>
        <v>960</v>
      </c>
      <c r="CJ384" s="52">
        <v>380</v>
      </c>
      <c r="CK384" s="52">
        <v>4</v>
      </c>
      <c r="CL384" s="52" t="s">
        <v>244</v>
      </c>
      <c r="CM384" s="52">
        <v>80</v>
      </c>
      <c r="CN384" s="52"/>
      <c r="CO384" s="52"/>
      <c r="CP384" s="52"/>
      <c r="CQ384" s="52" t="s">
        <v>358</v>
      </c>
      <c r="CR384" s="52">
        <v>27000</v>
      </c>
      <c r="CS384" s="52" t="s">
        <v>359</v>
      </c>
      <c r="CT384" s="52">
        <v>95</v>
      </c>
      <c r="CU384" s="52" t="s">
        <v>265</v>
      </c>
      <c r="CV384" s="52">
        <v>2</v>
      </c>
      <c r="CW384" s="52" t="s">
        <v>359</v>
      </c>
      <c r="CX384" s="52">
        <v>100</v>
      </c>
      <c r="CY384" s="52"/>
      <c r="CZ384" s="52"/>
      <c r="DA384" s="52"/>
      <c r="DB384" s="52"/>
      <c r="DC384" s="52"/>
      <c r="DD384" s="52"/>
      <c r="DE384" s="52"/>
      <c r="DF384" s="52"/>
      <c r="DG384" s="52"/>
      <c r="DH384" s="52"/>
    </row>
    <row r="385" spans="58:112" ht="16.5" x14ac:dyDescent="0.2">
      <c r="BF385" s="52">
        <v>380</v>
      </c>
      <c r="BG385" s="14">
        <f t="shared" si="61"/>
        <v>0</v>
      </c>
      <c r="BH385" s="14">
        <f t="shared" si="62"/>
        <v>480</v>
      </c>
      <c r="BI385" s="14">
        <f t="shared" si="63"/>
        <v>0</v>
      </c>
      <c r="BJ385" s="14">
        <f t="shared" si="64"/>
        <v>1200</v>
      </c>
      <c r="BK385" s="14">
        <f t="shared" si="59"/>
        <v>480</v>
      </c>
      <c r="BL385" s="14">
        <f t="shared" si="60"/>
        <v>960</v>
      </c>
      <c r="CJ385" s="52">
        <v>381</v>
      </c>
      <c r="CK385" s="52">
        <v>4</v>
      </c>
      <c r="CL385" s="52" t="s">
        <v>244</v>
      </c>
      <c r="CM385" s="52">
        <v>81</v>
      </c>
      <c r="CN385" s="52"/>
      <c r="CO385" s="52"/>
      <c r="CP385" s="52"/>
      <c r="CQ385" s="52" t="s">
        <v>358</v>
      </c>
      <c r="CR385" s="52">
        <v>27000</v>
      </c>
      <c r="CS385" s="52" t="s">
        <v>359</v>
      </c>
      <c r="CT385" s="52">
        <v>100</v>
      </c>
      <c r="CU385" s="52"/>
      <c r="CV385" s="52"/>
      <c r="CW385" s="52" t="s">
        <v>359</v>
      </c>
      <c r="CX385" s="52">
        <v>100</v>
      </c>
      <c r="CY385" s="52"/>
      <c r="CZ385" s="52"/>
      <c r="DA385" s="52"/>
      <c r="DB385" s="52"/>
      <c r="DC385" s="52"/>
      <c r="DD385" s="52"/>
      <c r="DE385" s="52"/>
      <c r="DF385" s="52"/>
      <c r="DG385" s="52"/>
      <c r="DH385" s="52"/>
    </row>
    <row r="386" spans="58:112" ht="16.5" x14ac:dyDescent="0.2">
      <c r="BF386" s="52">
        <v>381</v>
      </c>
      <c r="BG386" s="14">
        <f t="shared" si="61"/>
        <v>0</v>
      </c>
      <c r="BH386" s="14">
        <f t="shared" si="62"/>
        <v>480</v>
      </c>
      <c r="BI386" s="14">
        <f t="shared" si="63"/>
        <v>0</v>
      </c>
      <c r="BJ386" s="14">
        <f t="shared" si="64"/>
        <v>1200</v>
      </c>
      <c r="BK386" s="14">
        <f t="shared" si="59"/>
        <v>480</v>
      </c>
      <c r="BL386" s="14">
        <f t="shared" si="60"/>
        <v>960</v>
      </c>
      <c r="CJ386" s="52">
        <v>382</v>
      </c>
      <c r="CK386" s="52">
        <v>4</v>
      </c>
      <c r="CL386" s="52" t="s">
        <v>244</v>
      </c>
      <c r="CM386" s="52">
        <v>82</v>
      </c>
      <c r="CN386" s="52"/>
      <c r="CO386" s="52"/>
      <c r="CP386" s="52"/>
      <c r="CQ386" s="52" t="s">
        <v>358</v>
      </c>
      <c r="CR386" s="52">
        <v>27000</v>
      </c>
      <c r="CS386" s="52" t="s">
        <v>359</v>
      </c>
      <c r="CT386" s="52">
        <v>100</v>
      </c>
      <c r="CU386" s="52"/>
      <c r="CV386" s="52"/>
      <c r="CW386" s="52" t="s">
        <v>359</v>
      </c>
      <c r="CX386" s="52">
        <v>100</v>
      </c>
      <c r="CY386" s="52"/>
      <c r="CZ386" s="52"/>
      <c r="DA386" s="52"/>
      <c r="DB386" s="52"/>
      <c r="DC386" s="52"/>
      <c r="DD386" s="52"/>
      <c r="DE386" s="52"/>
      <c r="DF386" s="52"/>
      <c r="DG386" s="52"/>
      <c r="DH386" s="52"/>
    </row>
    <row r="387" spans="58:112" ht="16.5" x14ac:dyDescent="0.2">
      <c r="BF387" s="52">
        <v>382</v>
      </c>
      <c r="BG387" s="14">
        <f t="shared" si="61"/>
        <v>0</v>
      </c>
      <c r="BH387" s="14">
        <f t="shared" si="62"/>
        <v>480</v>
      </c>
      <c r="BI387" s="14">
        <f t="shared" si="63"/>
        <v>0</v>
      </c>
      <c r="BJ387" s="14">
        <f t="shared" si="64"/>
        <v>1200</v>
      </c>
      <c r="BK387" s="14">
        <f t="shared" si="59"/>
        <v>480</v>
      </c>
      <c r="BL387" s="14">
        <f t="shared" si="60"/>
        <v>960</v>
      </c>
      <c r="CJ387" s="52">
        <v>383</v>
      </c>
      <c r="CK387" s="52">
        <v>4</v>
      </c>
      <c r="CL387" s="52" t="s">
        <v>244</v>
      </c>
      <c r="CM387" s="52">
        <v>83</v>
      </c>
      <c r="CN387" s="52"/>
      <c r="CO387" s="52"/>
      <c r="CP387" s="52"/>
      <c r="CQ387" s="52" t="s">
        <v>358</v>
      </c>
      <c r="CR387" s="52">
        <v>27000</v>
      </c>
      <c r="CS387" s="52" t="s">
        <v>359</v>
      </c>
      <c r="CT387" s="52">
        <v>100</v>
      </c>
      <c r="CU387" s="52"/>
      <c r="CV387" s="52"/>
      <c r="CW387" s="52" t="s">
        <v>359</v>
      </c>
      <c r="CX387" s="52">
        <v>100</v>
      </c>
      <c r="CY387" s="52"/>
      <c r="CZ387" s="52"/>
      <c r="DA387" s="52"/>
      <c r="DB387" s="52"/>
      <c r="DC387" s="52"/>
      <c r="DD387" s="52"/>
      <c r="DE387" s="52"/>
      <c r="DF387" s="52"/>
      <c r="DG387" s="52"/>
      <c r="DH387" s="52"/>
    </row>
    <row r="388" spans="58:112" ht="16.5" x14ac:dyDescent="0.2">
      <c r="BF388" s="52">
        <v>383</v>
      </c>
      <c r="BG388" s="14">
        <f t="shared" si="61"/>
        <v>0</v>
      </c>
      <c r="BH388" s="14">
        <f t="shared" si="62"/>
        <v>480</v>
      </c>
      <c r="BI388" s="14">
        <f t="shared" si="63"/>
        <v>0</v>
      </c>
      <c r="BJ388" s="14">
        <f t="shared" si="64"/>
        <v>1200</v>
      </c>
      <c r="BK388" s="14">
        <f t="shared" si="59"/>
        <v>480</v>
      </c>
      <c r="BL388" s="14">
        <f t="shared" si="60"/>
        <v>960</v>
      </c>
      <c r="CJ388" s="52">
        <v>384</v>
      </c>
      <c r="CK388" s="52">
        <v>4</v>
      </c>
      <c r="CL388" s="52" t="s">
        <v>244</v>
      </c>
      <c r="CM388" s="52">
        <v>84</v>
      </c>
      <c r="CN388" s="52"/>
      <c r="CO388" s="52"/>
      <c r="CP388" s="52"/>
      <c r="CQ388" s="52" t="s">
        <v>358</v>
      </c>
      <c r="CR388" s="52">
        <v>27000</v>
      </c>
      <c r="CS388" s="52" t="s">
        <v>359</v>
      </c>
      <c r="CT388" s="52">
        <v>100</v>
      </c>
      <c r="CU388" s="52"/>
      <c r="CV388" s="52"/>
      <c r="CW388" s="52" t="s">
        <v>359</v>
      </c>
      <c r="CX388" s="52">
        <v>100</v>
      </c>
      <c r="CY388" s="52"/>
      <c r="CZ388" s="52"/>
      <c r="DA388" s="52"/>
      <c r="DB388" s="52"/>
      <c r="DC388" s="52"/>
      <c r="DD388" s="52"/>
      <c r="DE388" s="52"/>
      <c r="DF388" s="52"/>
      <c r="DG388" s="52"/>
      <c r="DH388" s="52"/>
    </row>
    <row r="389" spans="58:112" ht="16.5" x14ac:dyDescent="0.2">
      <c r="BF389" s="52">
        <v>384</v>
      </c>
      <c r="BG389" s="14">
        <f t="shared" si="61"/>
        <v>0</v>
      </c>
      <c r="BH389" s="14">
        <f t="shared" si="62"/>
        <v>480</v>
      </c>
      <c r="BI389" s="14">
        <f t="shared" si="63"/>
        <v>0</v>
      </c>
      <c r="BJ389" s="14">
        <f t="shared" si="64"/>
        <v>1200</v>
      </c>
      <c r="BK389" s="14">
        <f t="shared" si="59"/>
        <v>480</v>
      </c>
      <c r="BL389" s="14">
        <f t="shared" si="60"/>
        <v>960</v>
      </c>
      <c r="CJ389" s="52">
        <v>385</v>
      </c>
      <c r="CK389" s="52">
        <v>4</v>
      </c>
      <c r="CL389" s="52" t="s">
        <v>244</v>
      </c>
      <c r="CM389" s="52">
        <v>85</v>
      </c>
      <c r="CN389" s="52"/>
      <c r="CO389" s="52"/>
      <c r="CP389" s="52"/>
      <c r="CQ389" s="52" t="s">
        <v>358</v>
      </c>
      <c r="CR389" s="52">
        <v>27000</v>
      </c>
      <c r="CS389" s="52" t="s">
        <v>359</v>
      </c>
      <c r="CT389" s="52">
        <v>100</v>
      </c>
      <c r="CU389" s="52" t="s">
        <v>268</v>
      </c>
      <c r="CV389" s="52">
        <v>2</v>
      </c>
      <c r="CW389" s="52" t="s">
        <v>359</v>
      </c>
      <c r="CX389" s="52">
        <v>105</v>
      </c>
      <c r="CY389" s="52"/>
      <c r="CZ389" s="52"/>
      <c r="DA389" s="52"/>
      <c r="DB389" s="52"/>
      <c r="DC389" s="52"/>
      <c r="DD389" s="52"/>
      <c r="DE389" s="52"/>
      <c r="DF389" s="52"/>
      <c r="DG389" s="52"/>
      <c r="DH389" s="52"/>
    </row>
    <row r="390" spans="58:112" ht="16.5" x14ac:dyDescent="0.2">
      <c r="BF390" s="52">
        <v>385</v>
      </c>
      <c r="BG390" s="14">
        <f t="shared" si="61"/>
        <v>0</v>
      </c>
      <c r="BH390" s="14">
        <f t="shared" si="62"/>
        <v>480</v>
      </c>
      <c r="BI390" s="14">
        <f t="shared" si="63"/>
        <v>0</v>
      </c>
      <c r="BJ390" s="14">
        <f t="shared" si="64"/>
        <v>1200</v>
      </c>
      <c r="BK390" s="14">
        <f t="shared" si="59"/>
        <v>480</v>
      </c>
      <c r="BL390" s="14">
        <f t="shared" si="60"/>
        <v>960</v>
      </c>
      <c r="CJ390" s="52">
        <v>386</v>
      </c>
      <c r="CK390" s="52">
        <v>4</v>
      </c>
      <c r="CL390" s="52" t="s">
        <v>244</v>
      </c>
      <c r="CM390" s="52">
        <v>86</v>
      </c>
      <c r="CN390" s="52"/>
      <c r="CO390" s="52"/>
      <c r="CP390" s="52"/>
      <c r="CQ390" s="52" t="s">
        <v>358</v>
      </c>
      <c r="CR390" s="52">
        <v>27000</v>
      </c>
      <c r="CS390" s="52" t="s">
        <v>359</v>
      </c>
      <c r="CT390" s="52">
        <v>105</v>
      </c>
      <c r="CU390" s="52"/>
      <c r="CV390" s="52"/>
      <c r="CW390" s="52" t="s">
        <v>359</v>
      </c>
      <c r="CX390" s="52">
        <v>105</v>
      </c>
      <c r="CY390" s="52"/>
      <c r="CZ390" s="52"/>
      <c r="DA390" s="52"/>
      <c r="DB390" s="52"/>
      <c r="DC390" s="52"/>
      <c r="DD390" s="52"/>
      <c r="DE390" s="52"/>
      <c r="DF390" s="52"/>
      <c r="DG390" s="52"/>
      <c r="DH390" s="52"/>
    </row>
    <row r="391" spans="58:112" ht="16.5" x14ac:dyDescent="0.2">
      <c r="BF391" s="52">
        <v>386</v>
      </c>
      <c r="BG391" s="14">
        <f t="shared" si="61"/>
        <v>0</v>
      </c>
      <c r="BH391" s="14">
        <f t="shared" si="62"/>
        <v>480</v>
      </c>
      <c r="BI391" s="14">
        <f t="shared" si="63"/>
        <v>0</v>
      </c>
      <c r="BJ391" s="14">
        <f t="shared" si="64"/>
        <v>1200</v>
      </c>
      <c r="BK391" s="14">
        <f t="shared" ref="BK391:BK405" si="65">BG391+BH390</f>
        <v>480</v>
      </c>
      <c r="BL391" s="14">
        <f t="shared" ref="BL391:BL454" si="66">BK391*BL$3</f>
        <v>960</v>
      </c>
      <c r="CJ391" s="52">
        <v>387</v>
      </c>
      <c r="CK391" s="52">
        <v>4</v>
      </c>
      <c r="CL391" s="52" t="s">
        <v>244</v>
      </c>
      <c r="CM391" s="52">
        <v>87</v>
      </c>
      <c r="CN391" s="52"/>
      <c r="CO391" s="52"/>
      <c r="CP391" s="52"/>
      <c r="CQ391" s="52" t="s">
        <v>358</v>
      </c>
      <c r="CR391" s="52">
        <v>27000</v>
      </c>
      <c r="CS391" s="52" t="s">
        <v>359</v>
      </c>
      <c r="CT391" s="52">
        <v>105</v>
      </c>
      <c r="CU391" s="52"/>
      <c r="CV391" s="52"/>
      <c r="CW391" s="52" t="s">
        <v>359</v>
      </c>
      <c r="CX391" s="52">
        <v>105</v>
      </c>
      <c r="CY391" s="52"/>
      <c r="CZ391" s="52"/>
      <c r="DA391" s="52"/>
      <c r="DB391" s="52"/>
      <c r="DC391" s="52"/>
      <c r="DD391" s="52"/>
      <c r="DE391" s="52"/>
      <c r="DF391" s="52"/>
      <c r="DG391" s="52"/>
      <c r="DH391" s="52"/>
    </row>
    <row r="392" spans="58:112" ht="16.5" x14ac:dyDescent="0.2">
      <c r="BF392" s="52">
        <v>387</v>
      </c>
      <c r="BG392" s="14">
        <f t="shared" si="61"/>
        <v>0</v>
      </c>
      <c r="BH392" s="14">
        <f t="shared" si="62"/>
        <v>480</v>
      </c>
      <c r="BI392" s="14">
        <f t="shared" si="63"/>
        <v>0</v>
      </c>
      <c r="BJ392" s="14">
        <f t="shared" si="64"/>
        <v>1200</v>
      </c>
      <c r="BK392" s="14">
        <f t="shared" si="65"/>
        <v>480</v>
      </c>
      <c r="BL392" s="14">
        <f t="shared" si="66"/>
        <v>960</v>
      </c>
      <c r="CJ392" s="52">
        <v>388</v>
      </c>
      <c r="CK392" s="52">
        <v>4</v>
      </c>
      <c r="CL392" s="52" t="s">
        <v>244</v>
      </c>
      <c r="CM392" s="52">
        <v>88</v>
      </c>
      <c r="CN392" s="52"/>
      <c r="CO392" s="52"/>
      <c r="CP392" s="52"/>
      <c r="CQ392" s="52" t="s">
        <v>358</v>
      </c>
      <c r="CR392" s="52">
        <v>27000</v>
      </c>
      <c r="CS392" s="52" t="s">
        <v>359</v>
      </c>
      <c r="CT392" s="52">
        <v>105</v>
      </c>
      <c r="CU392" s="52"/>
      <c r="CV392" s="52"/>
      <c r="CW392" s="52" t="s">
        <v>359</v>
      </c>
      <c r="CX392" s="52">
        <v>105</v>
      </c>
      <c r="CY392" s="52"/>
      <c r="CZ392" s="52"/>
      <c r="DA392" s="52"/>
      <c r="DB392" s="52"/>
      <c r="DC392" s="52"/>
      <c r="DD392" s="52"/>
      <c r="DE392" s="52"/>
      <c r="DF392" s="52"/>
      <c r="DG392" s="52"/>
      <c r="DH392" s="52"/>
    </row>
    <row r="393" spans="58:112" ht="16.5" x14ac:dyDescent="0.2">
      <c r="BF393" s="52">
        <v>388</v>
      </c>
      <c r="BG393" s="14">
        <f t="shared" si="61"/>
        <v>0</v>
      </c>
      <c r="BH393" s="14">
        <f t="shared" si="62"/>
        <v>480</v>
      </c>
      <c r="BI393" s="14">
        <f t="shared" si="63"/>
        <v>0</v>
      </c>
      <c r="BJ393" s="14">
        <f t="shared" si="64"/>
        <v>1200</v>
      </c>
      <c r="BK393" s="14">
        <f t="shared" si="65"/>
        <v>480</v>
      </c>
      <c r="BL393" s="14">
        <f t="shared" si="66"/>
        <v>960</v>
      </c>
      <c r="CJ393" s="52">
        <v>389</v>
      </c>
      <c r="CK393" s="52">
        <v>4</v>
      </c>
      <c r="CL393" s="52" t="s">
        <v>244</v>
      </c>
      <c r="CM393" s="52">
        <v>89</v>
      </c>
      <c r="CN393" s="52"/>
      <c r="CO393" s="52"/>
      <c r="CP393" s="52"/>
      <c r="CQ393" s="52" t="s">
        <v>358</v>
      </c>
      <c r="CR393" s="52">
        <v>27000</v>
      </c>
      <c r="CS393" s="52" t="s">
        <v>359</v>
      </c>
      <c r="CT393" s="52">
        <v>105</v>
      </c>
      <c r="CU393" s="52"/>
      <c r="CV393" s="52"/>
      <c r="CW393" s="52" t="s">
        <v>359</v>
      </c>
      <c r="CX393" s="52">
        <v>105</v>
      </c>
      <c r="CY393" s="52"/>
      <c r="CZ393" s="52"/>
      <c r="DA393" s="52"/>
      <c r="DB393" s="52"/>
      <c r="DC393" s="52"/>
      <c r="DD393" s="52"/>
      <c r="DE393" s="52"/>
      <c r="DF393" s="52"/>
      <c r="DG393" s="52"/>
      <c r="DH393" s="52"/>
    </row>
    <row r="394" spans="58:112" ht="16.5" x14ac:dyDescent="0.2">
      <c r="BF394" s="52">
        <v>389</v>
      </c>
      <c r="BG394" s="14">
        <f t="shared" si="61"/>
        <v>0</v>
      </c>
      <c r="BH394" s="14">
        <f t="shared" si="62"/>
        <v>480</v>
      </c>
      <c r="BI394" s="14">
        <f t="shared" si="63"/>
        <v>0</v>
      </c>
      <c r="BJ394" s="14">
        <f t="shared" si="64"/>
        <v>1200</v>
      </c>
      <c r="BK394" s="14">
        <f t="shared" si="65"/>
        <v>480</v>
      </c>
      <c r="BL394" s="14">
        <f t="shared" si="66"/>
        <v>960</v>
      </c>
      <c r="CJ394" s="52">
        <v>390</v>
      </c>
      <c r="CK394" s="52">
        <v>4</v>
      </c>
      <c r="CL394" s="52" t="s">
        <v>244</v>
      </c>
      <c r="CM394" s="52">
        <v>90</v>
      </c>
      <c r="CN394" s="52"/>
      <c r="CO394" s="52"/>
      <c r="CP394" s="52"/>
      <c r="CQ394" s="52" t="s">
        <v>358</v>
      </c>
      <c r="CR394" s="52">
        <v>31500</v>
      </c>
      <c r="CS394" s="52" t="s">
        <v>359</v>
      </c>
      <c r="CT394" s="52">
        <v>105</v>
      </c>
      <c r="CU394" s="52" t="s">
        <v>269</v>
      </c>
      <c r="CV394" s="52">
        <v>2</v>
      </c>
      <c r="CW394" s="52" t="s">
        <v>359</v>
      </c>
      <c r="CX394" s="52">
        <v>110</v>
      </c>
      <c r="CY394" s="52"/>
      <c r="CZ394" s="52"/>
      <c r="DA394" s="52"/>
      <c r="DB394" s="52"/>
      <c r="DC394" s="52"/>
      <c r="DD394" s="52"/>
      <c r="DE394" s="52"/>
      <c r="DF394" s="52"/>
      <c r="DG394" s="52"/>
      <c r="DH394" s="52"/>
    </row>
    <row r="395" spans="58:112" ht="16.5" x14ac:dyDescent="0.2">
      <c r="BF395" s="52">
        <v>390</v>
      </c>
      <c r="BG395" s="14">
        <f t="shared" si="61"/>
        <v>0</v>
      </c>
      <c r="BH395" s="14">
        <f t="shared" si="62"/>
        <v>480</v>
      </c>
      <c r="BI395" s="14">
        <f t="shared" si="63"/>
        <v>0</v>
      </c>
      <c r="BJ395" s="14">
        <f t="shared" si="64"/>
        <v>1200</v>
      </c>
      <c r="BK395" s="14">
        <f t="shared" si="65"/>
        <v>480</v>
      </c>
      <c r="BL395" s="14">
        <f t="shared" si="66"/>
        <v>960</v>
      </c>
      <c r="CJ395" s="52">
        <v>391</v>
      </c>
      <c r="CK395" s="52">
        <v>4</v>
      </c>
      <c r="CL395" s="52" t="s">
        <v>244</v>
      </c>
      <c r="CM395" s="52">
        <v>91</v>
      </c>
      <c r="CN395" s="52"/>
      <c r="CO395" s="52"/>
      <c r="CP395" s="52"/>
      <c r="CQ395" s="52" t="s">
        <v>358</v>
      </c>
      <c r="CR395" s="52">
        <v>31500</v>
      </c>
      <c r="CS395" s="52" t="s">
        <v>359</v>
      </c>
      <c r="CT395" s="52">
        <v>110</v>
      </c>
      <c r="CU395" s="52"/>
      <c r="CV395" s="52"/>
      <c r="CW395" s="52" t="s">
        <v>359</v>
      </c>
      <c r="CX395" s="52">
        <v>110</v>
      </c>
      <c r="CY395" s="52"/>
      <c r="CZ395" s="52"/>
      <c r="DA395" s="52"/>
      <c r="DB395" s="52"/>
      <c r="DC395" s="52"/>
      <c r="DD395" s="52"/>
      <c r="DE395" s="52"/>
      <c r="DF395" s="52"/>
      <c r="DG395" s="52"/>
      <c r="DH395" s="52"/>
    </row>
    <row r="396" spans="58:112" ht="16.5" x14ac:dyDescent="0.2">
      <c r="BF396" s="52">
        <v>391</v>
      </c>
      <c r="BG396" s="14">
        <f t="shared" si="61"/>
        <v>0</v>
      </c>
      <c r="BH396" s="14">
        <f t="shared" si="62"/>
        <v>480</v>
      </c>
      <c r="BI396" s="14">
        <f t="shared" si="63"/>
        <v>0</v>
      </c>
      <c r="BJ396" s="14">
        <f t="shared" si="64"/>
        <v>1200</v>
      </c>
      <c r="BK396" s="14">
        <f t="shared" si="65"/>
        <v>480</v>
      </c>
      <c r="BL396" s="14">
        <f t="shared" si="66"/>
        <v>960</v>
      </c>
      <c r="CJ396" s="52">
        <v>392</v>
      </c>
      <c r="CK396" s="52">
        <v>4</v>
      </c>
      <c r="CL396" s="52" t="s">
        <v>244</v>
      </c>
      <c r="CM396" s="52">
        <v>92</v>
      </c>
      <c r="CN396" s="52"/>
      <c r="CO396" s="52"/>
      <c r="CP396" s="52"/>
      <c r="CQ396" s="52" t="s">
        <v>358</v>
      </c>
      <c r="CR396" s="52">
        <v>31500</v>
      </c>
      <c r="CS396" s="52" t="s">
        <v>359</v>
      </c>
      <c r="CT396" s="52">
        <v>110</v>
      </c>
      <c r="CU396" s="52"/>
      <c r="CV396" s="52"/>
      <c r="CW396" s="52" t="s">
        <v>359</v>
      </c>
      <c r="CX396" s="52">
        <v>110</v>
      </c>
      <c r="CY396" s="52"/>
      <c r="CZ396" s="52"/>
      <c r="DA396" s="52"/>
      <c r="DB396" s="52"/>
      <c r="DC396" s="52"/>
      <c r="DD396" s="52"/>
      <c r="DE396" s="52"/>
      <c r="DF396" s="52"/>
      <c r="DG396" s="52"/>
      <c r="DH396" s="52"/>
    </row>
    <row r="397" spans="58:112" ht="16.5" x14ac:dyDescent="0.2">
      <c r="BF397" s="52">
        <v>392</v>
      </c>
      <c r="BG397" s="14">
        <f t="shared" si="61"/>
        <v>0</v>
      </c>
      <c r="BH397" s="14">
        <f t="shared" si="62"/>
        <v>480</v>
      </c>
      <c r="BI397" s="14">
        <f t="shared" si="63"/>
        <v>0</v>
      </c>
      <c r="BJ397" s="14">
        <f t="shared" si="64"/>
        <v>1200</v>
      </c>
      <c r="BK397" s="14">
        <f t="shared" si="65"/>
        <v>480</v>
      </c>
      <c r="BL397" s="14">
        <f t="shared" si="66"/>
        <v>960</v>
      </c>
      <c r="CJ397" s="52">
        <v>393</v>
      </c>
      <c r="CK397" s="52">
        <v>4</v>
      </c>
      <c r="CL397" s="52" t="s">
        <v>244</v>
      </c>
      <c r="CM397" s="52">
        <v>93</v>
      </c>
      <c r="CN397" s="52"/>
      <c r="CO397" s="52"/>
      <c r="CP397" s="52"/>
      <c r="CQ397" s="52" t="s">
        <v>358</v>
      </c>
      <c r="CR397" s="52">
        <v>31500</v>
      </c>
      <c r="CS397" s="52" t="s">
        <v>359</v>
      </c>
      <c r="CT397" s="52">
        <v>110</v>
      </c>
      <c r="CU397" s="52"/>
      <c r="CV397" s="52"/>
      <c r="CW397" s="52" t="s">
        <v>359</v>
      </c>
      <c r="CX397" s="52">
        <v>110</v>
      </c>
      <c r="CY397" s="52"/>
      <c r="CZ397" s="52"/>
      <c r="DA397" s="52"/>
      <c r="DB397" s="52"/>
      <c r="DC397" s="52"/>
      <c r="DD397" s="52"/>
      <c r="DE397" s="52"/>
      <c r="DF397" s="52"/>
      <c r="DG397" s="52"/>
      <c r="DH397" s="52"/>
    </row>
    <row r="398" spans="58:112" ht="16.5" x14ac:dyDescent="0.2">
      <c r="BF398" s="52">
        <v>393</v>
      </c>
      <c r="BG398" s="14">
        <f t="shared" si="61"/>
        <v>0</v>
      </c>
      <c r="BH398" s="14">
        <f t="shared" si="62"/>
        <v>480</v>
      </c>
      <c r="BI398" s="14">
        <f t="shared" si="63"/>
        <v>0</v>
      </c>
      <c r="BJ398" s="14">
        <f t="shared" si="64"/>
        <v>1200</v>
      </c>
      <c r="BK398" s="14">
        <f t="shared" si="65"/>
        <v>480</v>
      </c>
      <c r="BL398" s="14">
        <f t="shared" si="66"/>
        <v>960</v>
      </c>
      <c r="CJ398" s="52">
        <v>394</v>
      </c>
      <c r="CK398" s="52">
        <v>4</v>
      </c>
      <c r="CL398" s="52" t="s">
        <v>244</v>
      </c>
      <c r="CM398" s="52">
        <v>94</v>
      </c>
      <c r="CN398" s="52"/>
      <c r="CO398" s="52"/>
      <c r="CP398" s="52"/>
      <c r="CQ398" s="52" t="s">
        <v>358</v>
      </c>
      <c r="CR398" s="52">
        <v>31500</v>
      </c>
      <c r="CS398" s="52" t="s">
        <v>359</v>
      </c>
      <c r="CT398" s="52">
        <v>110</v>
      </c>
      <c r="CU398" s="52"/>
      <c r="CV398" s="52"/>
      <c r="CW398" s="52" t="s">
        <v>359</v>
      </c>
      <c r="CX398" s="52">
        <v>110</v>
      </c>
      <c r="CY398" s="52"/>
      <c r="CZ398" s="52"/>
      <c r="DA398" s="52"/>
      <c r="DB398" s="52"/>
      <c r="DC398" s="52"/>
      <c r="DD398" s="52"/>
      <c r="DE398" s="52"/>
      <c r="DF398" s="52"/>
      <c r="DG398" s="52"/>
      <c r="DH398" s="52"/>
    </row>
    <row r="399" spans="58:112" ht="16.5" x14ac:dyDescent="0.2">
      <c r="BF399" s="52">
        <v>394</v>
      </c>
      <c r="BG399" s="14">
        <f t="shared" si="61"/>
        <v>0</v>
      </c>
      <c r="BH399" s="14">
        <f t="shared" si="62"/>
        <v>480</v>
      </c>
      <c r="BI399" s="14">
        <f t="shared" si="63"/>
        <v>0</v>
      </c>
      <c r="BJ399" s="14">
        <f t="shared" si="64"/>
        <v>1200</v>
      </c>
      <c r="BK399" s="14">
        <f t="shared" si="65"/>
        <v>480</v>
      </c>
      <c r="BL399" s="14">
        <f t="shared" si="66"/>
        <v>960</v>
      </c>
      <c r="CJ399" s="52">
        <v>395</v>
      </c>
      <c r="CK399" s="52">
        <v>4</v>
      </c>
      <c r="CL399" s="52" t="s">
        <v>244</v>
      </c>
      <c r="CM399" s="52">
        <v>95</v>
      </c>
      <c r="CN399" s="52"/>
      <c r="CO399" s="52"/>
      <c r="CP399" s="52"/>
      <c r="CQ399" s="52" t="s">
        <v>358</v>
      </c>
      <c r="CR399" s="52">
        <v>31500</v>
      </c>
      <c r="CS399" s="52" t="s">
        <v>359</v>
      </c>
      <c r="CT399" s="52">
        <v>110</v>
      </c>
      <c r="CU399" s="52" t="s">
        <v>264</v>
      </c>
      <c r="CV399" s="52">
        <v>3</v>
      </c>
      <c r="CW399" s="52" t="s">
        <v>359</v>
      </c>
      <c r="CX399" s="52">
        <v>115</v>
      </c>
      <c r="CY399" s="52"/>
      <c r="CZ399" s="52"/>
      <c r="DA399" s="52"/>
      <c r="DB399" s="52"/>
      <c r="DC399" s="52"/>
      <c r="DD399" s="52"/>
      <c r="DE399" s="52"/>
      <c r="DF399" s="52"/>
      <c r="DG399" s="52"/>
      <c r="DH399" s="52"/>
    </row>
    <row r="400" spans="58:112" ht="16.5" x14ac:dyDescent="0.2">
      <c r="BF400" s="52">
        <v>395</v>
      </c>
      <c r="BG400" s="14">
        <f t="shared" si="61"/>
        <v>0</v>
      </c>
      <c r="BH400" s="14">
        <f t="shared" si="62"/>
        <v>480</v>
      </c>
      <c r="BI400" s="14">
        <f t="shared" si="63"/>
        <v>0</v>
      </c>
      <c r="BJ400" s="14">
        <f t="shared" si="64"/>
        <v>1200</v>
      </c>
      <c r="BK400" s="14">
        <f t="shared" si="65"/>
        <v>480</v>
      </c>
      <c r="BL400" s="14">
        <f t="shared" si="66"/>
        <v>960</v>
      </c>
      <c r="CJ400" s="52">
        <v>396</v>
      </c>
      <c r="CK400" s="52">
        <v>4</v>
      </c>
      <c r="CL400" s="52" t="s">
        <v>244</v>
      </c>
      <c r="CM400" s="52">
        <v>96</v>
      </c>
      <c r="CN400" s="52"/>
      <c r="CO400" s="52"/>
      <c r="CP400" s="52"/>
      <c r="CQ400" s="52" t="s">
        <v>358</v>
      </c>
      <c r="CR400" s="52">
        <v>36000</v>
      </c>
      <c r="CS400" s="52" t="s">
        <v>359</v>
      </c>
      <c r="CT400" s="52">
        <v>115</v>
      </c>
      <c r="CU400" s="52"/>
      <c r="CV400" s="52"/>
      <c r="CW400" s="52" t="s">
        <v>359</v>
      </c>
      <c r="CX400" s="52">
        <v>115</v>
      </c>
      <c r="CY400" s="52"/>
      <c r="CZ400" s="52"/>
      <c r="DA400" s="52"/>
      <c r="DB400" s="52"/>
      <c r="DC400" s="52"/>
      <c r="DD400" s="52"/>
      <c r="DE400" s="52"/>
      <c r="DF400" s="52"/>
      <c r="DG400" s="52"/>
      <c r="DH400" s="52"/>
    </row>
    <row r="401" spans="58:112" ht="16.5" x14ac:dyDescent="0.2">
      <c r="BF401" s="52">
        <v>396</v>
      </c>
      <c r="BG401" s="14">
        <f t="shared" si="61"/>
        <v>0</v>
      </c>
      <c r="BH401" s="14">
        <f t="shared" si="62"/>
        <v>480</v>
      </c>
      <c r="BI401" s="14">
        <f t="shared" si="63"/>
        <v>0</v>
      </c>
      <c r="BJ401" s="14">
        <f t="shared" si="64"/>
        <v>1200</v>
      </c>
      <c r="BK401" s="14">
        <f t="shared" si="65"/>
        <v>480</v>
      </c>
      <c r="BL401" s="14">
        <f t="shared" si="66"/>
        <v>960</v>
      </c>
      <c r="CJ401" s="52">
        <v>397</v>
      </c>
      <c r="CK401" s="52">
        <v>4</v>
      </c>
      <c r="CL401" s="52" t="s">
        <v>244</v>
      </c>
      <c r="CM401" s="52">
        <v>97</v>
      </c>
      <c r="CN401" s="52"/>
      <c r="CO401" s="52"/>
      <c r="CP401" s="52"/>
      <c r="CQ401" s="52" t="s">
        <v>358</v>
      </c>
      <c r="CR401" s="52">
        <v>36000</v>
      </c>
      <c r="CS401" s="52" t="s">
        <v>359</v>
      </c>
      <c r="CT401" s="52">
        <v>115</v>
      </c>
      <c r="CU401" s="52"/>
      <c r="CV401" s="52"/>
      <c r="CW401" s="52" t="s">
        <v>359</v>
      </c>
      <c r="CX401" s="52">
        <v>115</v>
      </c>
      <c r="CY401" s="52"/>
      <c r="CZ401" s="52"/>
      <c r="DA401" s="52"/>
      <c r="DB401" s="52"/>
      <c r="DC401" s="52"/>
      <c r="DD401" s="52"/>
      <c r="DE401" s="52"/>
      <c r="DF401" s="52"/>
      <c r="DG401" s="52"/>
      <c r="DH401" s="52"/>
    </row>
    <row r="402" spans="58:112" ht="16.5" x14ac:dyDescent="0.2">
      <c r="BF402" s="52">
        <v>397</v>
      </c>
      <c r="BG402" s="14">
        <f t="shared" si="61"/>
        <v>0</v>
      </c>
      <c r="BH402" s="14">
        <f t="shared" si="62"/>
        <v>480</v>
      </c>
      <c r="BI402" s="14">
        <f t="shared" si="63"/>
        <v>0</v>
      </c>
      <c r="BJ402" s="14">
        <f t="shared" si="64"/>
        <v>1200</v>
      </c>
      <c r="BK402" s="14">
        <f t="shared" si="65"/>
        <v>480</v>
      </c>
      <c r="BL402" s="14">
        <f t="shared" si="66"/>
        <v>960</v>
      </c>
      <c r="CJ402" s="52">
        <v>398</v>
      </c>
      <c r="CK402" s="52">
        <v>4</v>
      </c>
      <c r="CL402" s="52" t="s">
        <v>244</v>
      </c>
      <c r="CM402" s="52">
        <v>98</v>
      </c>
      <c r="CN402" s="52"/>
      <c r="CO402" s="52"/>
      <c r="CP402" s="52"/>
      <c r="CQ402" s="52" t="s">
        <v>358</v>
      </c>
      <c r="CR402" s="52">
        <v>36000</v>
      </c>
      <c r="CS402" s="52" t="s">
        <v>359</v>
      </c>
      <c r="CT402" s="52">
        <v>115</v>
      </c>
      <c r="CU402" s="52"/>
      <c r="CV402" s="52"/>
      <c r="CW402" s="52" t="s">
        <v>359</v>
      </c>
      <c r="CX402" s="52">
        <v>115</v>
      </c>
      <c r="CY402" s="52"/>
      <c r="CZ402" s="52"/>
      <c r="DA402" s="52"/>
      <c r="DB402" s="52"/>
      <c r="DC402" s="52"/>
      <c r="DD402" s="52"/>
      <c r="DE402" s="52"/>
      <c r="DF402" s="52"/>
      <c r="DG402" s="52"/>
      <c r="DH402" s="52"/>
    </row>
    <row r="403" spans="58:112" ht="16.5" x14ac:dyDescent="0.2">
      <c r="BF403" s="52">
        <v>398</v>
      </c>
      <c r="BG403" s="14">
        <f t="shared" si="61"/>
        <v>0</v>
      </c>
      <c r="BH403" s="14">
        <f t="shared" si="62"/>
        <v>480</v>
      </c>
      <c r="BI403" s="14">
        <f t="shared" si="63"/>
        <v>0</v>
      </c>
      <c r="BJ403" s="14">
        <f t="shared" si="64"/>
        <v>1200</v>
      </c>
      <c r="BK403" s="14">
        <f t="shared" si="65"/>
        <v>480</v>
      </c>
      <c r="BL403" s="14">
        <f t="shared" si="66"/>
        <v>960</v>
      </c>
      <c r="CJ403" s="52">
        <v>399</v>
      </c>
      <c r="CK403" s="52">
        <v>4</v>
      </c>
      <c r="CL403" s="52" t="s">
        <v>244</v>
      </c>
      <c r="CM403" s="52">
        <v>99</v>
      </c>
      <c r="CN403" s="52"/>
      <c r="CO403" s="52"/>
      <c r="CP403" s="52"/>
      <c r="CQ403" s="52" t="s">
        <v>358</v>
      </c>
      <c r="CR403" s="52">
        <v>36000</v>
      </c>
      <c r="CS403" s="52" t="s">
        <v>359</v>
      </c>
      <c r="CT403" s="52">
        <v>115</v>
      </c>
      <c r="CU403" s="52"/>
      <c r="CV403" s="52"/>
      <c r="CW403" s="52" t="s">
        <v>359</v>
      </c>
      <c r="CX403" s="52">
        <v>115</v>
      </c>
      <c r="CY403" s="52"/>
      <c r="CZ403" s="52"/>
      <c r="DA403" s="52"/>
      <c r="DB403" s="52"/>
      <c r="DC403" s="52"/>
      <c r="DD403" s="52"/>
      <c r="DE403" s="52"/>
      <c r="DF403" s="52"/>
      <c r="DG403" s="52"/>
      <c r="DH403" s="52"/>
    </row>
    <row r="404" spans="58:112" ht="16.5" x14ac:dyDescent="0.2">
      <c r="BF404" s="52">
        <v>399</v>
      </c>
      <c r="BG404" s="14">
        <f t="shared" si="61"/>
        <v>0</v>
      </c>
      <c r="BH404" s="14">
        <f t="shared" si="62"/>
        <v>480</v>
      </c>
      <c r="BI404" s="14">
        <f t="shared" si="63"/>
        <v>0</v>
      </c>
      <c r="BJ404" s="14">
        <f t="shared" si="64"/>
        <v>1200</v>
      </c>
      <c r="BK404" s="14">
        <f t="shared" si="65"/>
        <v>480</v>
      </c>
      <c r="BL404" s="14">
        <f t="shared" si="66"/>
        <v>960</v>
      </c>
      <c r="CJ404" s="52">
        <v>400</v>
      </c>
      <c r="CK404" s="52">
        <v>4</v>
      </c>
      <c r="CL404" s="52" t="s">
        <v>244</v>
      </c>
      <c r="CM404" s="52">
        <v>100</v>
      </c>
      <c r="CN404" s="52"/>
      <c r="CO404" s="52"/>
      <c r="CP404" s="52"/>
      <c r="CQ404" s="52" t="s">
        <v>358</v>
      </c>
      <c r="CR404" s="52">
        <v>36000</v>
      </c>
      <c r="CS404" s="52" t="s">
        <v>359</v>
      </c>
      <c r="CT404" s="52">
        <v>115</v>
      </c>
      <c r="CU404" s="52" t="s">
        <v>268</v>
      </c>
      <c r="CV404" s="52">
        <v>3</v>
      </c>
      <c r="CW404" s="52" t="s">
        <v>359</v>
      </c>
      <c r="CX404" s="52">
        <v>120</v>
      </c>
      <c r="CY404" s="52"/>
      <c r="CZ404" s="52"/>
      <c r="DA404" s="52"/>
      <c r="DB404" s="52"/>
      <c r="DC404" s="52"/>
      <c r="DD404" s="52"/>
      <c r="DE404" s="52"/>
      <c r="DF404" s="52"/>
      <c r="DG404" s="52"/>
      <c r="DH404" s="52"/>
    </row>
    <row r="405" spans="58:112" ht="16.5" x14ac:dyDescent="0.2">
      <c r="BF405" s="52">
        <v>400</v>
      </c>
      <c r="BG405" s="14">
        <f t="shared" si="61"/>
        <v>0</v>
      </c>
      <c r="BH405" s="14">
        <f t="shared" si="62"/>
        <v>480</v>
      </c>
      <c r="BI405" s="14">
        <f t="shared" si="63"/>
        <v>0</v>
      </c>
      <c r="BJ405" s="14">
        <f t="shared" si="64"/>
        <v>1200</v>
      </c>
      <c r="BK405" s="14">
        <f t="shared" si="65"/>
        <v>480</v>
      </c>
      <c r="BL405" s="14">
        <f t="shared" si="66"/>
        <v>960</v>
      </c>
    </row>
    <row r="406" spans="58:112" ht="16.5" x14ac:dyDescent="0.2">
      <c r="BF406" s="52">
        <v>401</v>
      </c>
      <c r="BG406" s="14">
        <f t="shared" ref="BG406:BG469" si="67">SUMIFS($F$5:$F$104,$AT$6:$AT$105,"="&amp;BF406)+SUMIFS($Q$5:$Q$104,$AW$6:$AW$105,"="&amp;BF406)+SUMIFS($AB$5:$AB$104,$AZ$6:$AZ$105,"="&amp;BF406)+SUMIFS($AM$5:$AM$104,$BC$6:$BC$105,"="&amp;BF406)</f>
        <v>0</v>
      </c>
      <c r="BH406" s="14">
        <f t="shared" ref="BH406:BH469" si="68">INDEX($G$5:$G$104,MATCH(BF406,$AT$5:$AT$105,1)-1)+INDEX($R$5:$R$104,MATCH(BF406,$AW$5:$AW$105,1)-1)+INDEX($AC$5:$AC$104,MATCH(BF406,$AZ$5:$AZ$105,1)-1)+INDEX($AN$5:$AN$104,MATCH(BF406,$BC$5:$BC$105,1)-1)</f>
        <v>480</v>
      </c>
      <c r="BI406" s="14">
        <f t="shared" ref="BI406:BI469" si="69">SUMIFS($H$5:$H$104,$AT$6:$AT$105,"="&amp;BF406)+SUMIFS($S$5:$S$104,$AW$6:$AW$105,"="&amp;BF406)+SUMIFS($AD$5:$AD$104,$AZ$6:$AZ$105,"="&amp;BF406)+SUMIFS($AO$5:$AO$104,$BC$6:$BC$105,"="&amp;BF406)</f>
        <v>0</v>
      </c>
      <c r="BJ406" s="14">
        <f t="shared" ref="BJ406:BJ469" si="70">INDEX($I$5:$I$104,MATCH(BF406,$AT$5:$AT$105,1)-1)+INDEX($T$5:$T$104,MATCH(BF406,$AW$5:$AW$105,1)-1)+INDEX($AE$5:$AE$104,MATCH(BF406,$AZ$5:$AZ$105,1)-1)+INDEX($AP$5:$AP$104,MATCH(BF406,$BC$5:$BC$105,1)-1)</f>
        <v>1200</v>
      </c>
      <c r="BK406" s="14">
        <f t="shared" ref="BK406:BK469" si="71">BG406+BH405</f>
        <v>480</v>
      </c>
      <c r="BL406" s="14">
        <f t="shared" si="66"/>
        <v>960</v>
      </c>
    </row>
    <row r="407" spans="58:112" ht="16.5" x14ac:dyDescent="0.2">
      <c r="BF407" s="52">
        <v>402</v>
      </c>
      <c r="BG407" s="14">
        <f t="shared" si="67"/>
        <v>0</v>
      </c>
      <c r="BH407" s="14">
        <f t="shared" si="68"/>
        <v>480</v>
      </c>
      <c r="BI407" s="14">
        <f t="shared" si="69"/>
        <v>0</v>
      </c>
      <c r="BJ407" s="14">
        <f t="shared" si="70"/>
        <v>1200</v>
      </c>
      <c r="BK407" s="14">
        <f t="shared" si="71"/>
        <v>480</v>
      </c>
      <c r="BL407" s="14">
        <f t="shared" si="66"/>
        <v>960</v>
      </c>
    </row>
    <row r="408" spans="58:112" ht="16.5" x14ac:dyDescent="0.2">
      <c r="BF408" s="52">
        <v>403</v>
      </c>
      <c r="BG408" s="14">
        <f t="shared" si="67"/>
        <v>0</v>
      </c>
      <c r="BH408" s="14">
        <f t="shared" si="68"/>
        <v>480</v>
      </c>
      <c r="BI408" s="14">
        <f t="shared" si="69"/>
        <v>0</v>
      </c>
      <c r="BJ408" s="14">
        <f t="shared" si="70"/>
        <v>1200</v>
      </c>
      <c r="BK408" s="14">
        <f t="shared" si="71"/>
        <v>480</v>
      </c>
      <c r="BL408" s="14">
        <f t="shared" si="66"/>
        <v>960</v>
      </c>
    </row>
    <row r="409" spans="58:112" ht="16.5" x14ac:dyDescent="0.2">
      <c r="BF409" s="52">
        <v>404</v>
      </c>
      <c r="BG409" s="14">
        <f t="shared" si="67"/>
        <v>0</v>
      </c>
      <c r="BH409" s="14">
        <f t="shared" si="68"/>
        <v>480</v>
      </c>
      <c r="BI409" s="14">
        <f t="shared" si="69"/>
        <v>0</v>
      </c>
      <c r="BJ409" s="14">
        <f t="shared" si="70"/>
        <v>1200</v>
      </c>
      <c r="BK409" s="14">
        <f t="shared" si="71"/>
        <v>480</v>
      </c>
      <c r="BL409" s="14">
        <f t="shared" si="66"/>
        <v>960</v>
      </c>
    </row>
    <row r="410" spans="58:112" ht="16.5" x14ac:dyDescent="0.2">
      <c r="BF410" s="52">
        <v>405</v>
      </c>
      <c r="BG410" s="14">
        <f t="shared" si="67"/>
        <v>0</v>
      </c>
      <c r="BH410" s="14">
        <f t="shared" si="68"/>
        <v>480</v>
      </c>
      <c r="BI410" s="14">
        <f t="shared" si="69"/>
        <v>0</v>
      </c>
      <c r="BJ410" s="14">
        <f t="shared" si="70"/>
        <v>1200</v>
      </c>
      <c r="BK410" s="14">
        <f t="shared" si="71"/>
        <v>480</v>
      </c>
      <c r="BL410" s="14">
        <f t="shared" si="66"/>
        <v>960</v>
      </c>
    </row>
    <row r="411" spans="58:112" ht="16.5" x14ac:dyDescent="0.2">
      <c r="BF411" s="52">
        <v>406</v>
      </c>
      <c r="BG411" s="14">
        <f t="shared" si="67"/>
        <v>0</v>
      </c>
      <c r="BH411" s="14">
        <f t="shared" si="68"/>
        <v>480</v>
      </c>
      <c r="BI411" s="14">
        <f t="shared" si="69"/>
        <v>0</v>
      </c>
      <c r="BJ411" s="14">
        <f t="shared" si="70"/>
        <v>1200</v>
      </c>
      <c r="BK411" s="14">
        <f t="shared" si="71"/>
        <v>480</v>
      </c>
      <c r="BL411" s="14">
        <f t="shared" si="66"/>
        <v>960</v>
      </c>
    </row>
    <row r="412" spans="58:112" ht="16.5" x14ac:dyDescent="0.2">
      <c r="BF412" s="52">
        <v>407</v>
      </c>
      <c r="BG412" s="14">
        <f t="shared" si="67"/>
        <v>0</v>
      </c>
      <c r="BH412" s="14">
        <f t="shared" si="68"/>
        <v>480</v>
      </c>
      <c r="BI412" s="14">
        <f t="shared" si="69"/>
        <v>0</v>
      </c>
      <c r="BJ412" s="14">
        <f t="shared" si="70"/>
        <v>1200</v>
      </c>
      <c r="BK412" s="14">
        <f t="shared" si="71"/>
        <v>480</v>
      </c>
      <c r="BL412" s="14">
        <f t="shared" si="66"/>
        <v>960</v>
      </c>
    </row>
    <row r="413" spans="58:112" ht="16.5" x14ac:dyDescent="0.2">
      <c r="BF413" s="52">
        <v>408</v>
      </c>
      <c r="BG413" s="14">
        <f t="shared" si="67"/>
        <v>0</v>
      </c>
      <c r="BH413" s="14">
        <f t="shared" si="68"/>
        <v>480</v>
      </c>
      <c r="BI413" s="14">
        <f t="shared" si="69"/>
        <v>0</v>
      </c>
      <c r="BJ413" s="14">
        <f t="shared" si="70"/>
        <v>1200</v>
      </c>
      <c r="BK413" s="14">
        <f t="shared" si="71"/>
        <v>480</v>
      </c>
      <c r="BL413" s="14">
        <f t="shared" si="66"/>
        <v>960</v>
      </c>
    </row>
    <row r="414" spans="58:112" ht="16.5" x14ac:dyDescent="0.2">
      <c r="BF414" s="52">
        <v>409</v>
      </c>
      <c r="BG414" s="14">
        <f t="shared" si="67"/>
        <v>0</v>
      </c>
      <c r="BH414" s="14">
        <f t="shared" si="68"/>
        <v>480</v>
      </c>
      <c r="BI414" s="14">
        <f t="shared" si="69"/>
        <v>0</v>
      </c>
      <c r="BJ414" s="14">
        <f t="shared" si="70"/>
        <v>1200</v>
      </c>
      <c r="BK414" s="14">
        <f t="shared" si="71"/>
        <v>480</v>
      </c>
      <c r="BL414" s="14">
        <f t="shared" si="66"/>
        <v>960</v>
      </c>
    </row>
    <row r="415" spans="58:112" ht="16.5" x14ac:dyDescent="0.2">
      <c r="BF415" s="52">
        <v>410</v>
      </c>
      <c r="BG415" s="14">
        <f t="shared" si="67"/>
        <v>0</v>
      </c>
      <c r="BH415" s="14">
        <f t="shared" si="68"/>
        <v>480</v>
      </c>
      <c r="BI415" s="14">
        <f t="shared" si="69"/>
        <v>0</v>
      </c>
      <c r="BJ415" s="14">
        <f t="shared" si="70"/>
        <v>1200</v>
      </c>
      <c r="BK415" s="14">
        <f t="shared" si="71"/>
        <v>480</v>
      </c>
      <c r="BL415" s="14">
        <f t="shared" si="66"/>
        <v>960</v>
      </c>
    </row>
    <row r="416" spans="58:112" ht="16.5" x14ac:dyDescent="0.2">
      <c r="BF416" s="52">
        <v>411</v>
      </c>
      <c r="BG416" s="14">
        <f t="shared" si="67"/>
        <v>0</v>
      </c>
      <c r="BH416" s="14">
        <f t="shared" si="68"/>
        <v>480</v>
      </c>
      <c r="BI416" s="14">
        <f t="shared" si="69"/>
        <v>0</v>
      </c>
      <c r="BJ416" s="14">
        <f t="shared" si="70"/>
        <v>1200</v>
      </c>
      <c r="BK416" s="14">
        <f t="shared" si="71"/>
        <v>480</v>
      </c>
      <c r="BL416" s="14">
        <f t="shared" si="66"/>
        <v>960</v>
      </c>
    </row>
    <row r="417" spans="58:64" ht="16.5" x14ac:dyDescent="0.2">
      <c r="BF417" s="52">
        <v>412</v>
      </c>
      <c r="BG417" s="14">
        <f t="shared" si="67"/>
        <v>0</v>
      </c>
      <c r="BH417" s="14">
        <f t="shared" si="68"/>
        <v>480</v>
      </c>
      <c r="BI417" s="14">
        <f t="shared" si="69"/>
        <v>0</v>
      </c>
      <c r="BJ417" s="14">
        <f t="shared" si="70"/>
        <v>1200</v>
      </c>
      <c r="BK417" s="14">
        <f t="shared" si="71"/>
        <v>480</v>
      </c>
      <c r="BL417" s="14">
        <f t="shared" si="66"/>
        <v>960</v>
      </c>
    </row>
    <row r="418" spans="58:64" ht="16.5" x14ac:dyDescent="0.2">
      <c r="BF418" s="52">
        <v>413</v>
      </c>
      <c r="BG418" s="14">
        <f t="shared" si="67"/>
        <v>0</v>
      </c>
      <c r="BH418" s="14">
        <f t="shared" si="68"/>
        <v>480</v>
      </c>
      <c r="BI418" s="14">
        <f t="shared" si="69"/>
        <v>0</v>
      </c>
      <c r="BJ418" s="14">
        <f t="shared" si="70"/>
        <v>1200</v>
      </c>
      <c r="BK418" s="14">
        <f t="shared" si="71"/>
        <v>480</v>
      </c>
      <c r="BL418" s="14">
        <f t="shared" si="66"/>
        <v>960</v>
      </c>
    </row>
    <row r="419" spans="58:64" ht="16.5" x14ac:dyDescent="0.2">
      <c r="BF419" s="52">
        <v>414</v>
      </c>
      <c r="BG419" s="14">
        <f t="shared" si="67"/>
        <v>0</v>
      </c>
      <c r="BH419" s="14">
        <f t="shared" si="68"/>
        <v>480</v>
      </c>
      <c r="BI419" s="14">
        <f t="shared" si="69"/>
        <v>0</v>
      </c>
      <c r="BJ419" s="14">
        <f t="shared" si="70"/>
        <v>1200</v>
      </c>
      <c r="BK419" s="14">
        <f t="shared" si="71"/>
        <v>480</v>
      </c>
      <c r="BL419" s="14">
        <f t="shared" si="66"/>
        <v>960</v>
      </c>
    </row>
    <row r="420" spans="58:64" ht="16.5" x14ac:dyDescent="0.2">
      <c r="BF420" s="52">
        <v>415</v>
      </c>
      <c r="BG420" s="14">
        <f t="shared" si="67"/>
        <v>0</v>
      </c>
      <c r="BH420" s="14">
        <f t="shared" si="68"/>
        <v>480</v>
      </c>
      <c r="BI420" s="14">
        <f t="shared" si="69"/>
        <v>0</v>
      </c>
      <c r="BJ420" s="14">
        <f t="shared" si="70"/>
        <v>1200</v>
      </c>
      <c r="BK420" s="14">
        <f t="shared" si="71"/>
        <v>480</v>
      </c>
      <c r="BL420" s="14">
        <f t="shared" si="66"/>
        <v>960</v>
      </c>
    </row>
    <row r="421" spans="58:64" ht="16.5" x14ac:dyDescent="0.2">
      <c r="BF421" s="52">
        <v>416</v>
      </c>
      <c r="BG421" s="14">
        <f t="shared" si="67"/>
        <v>0</v>
      </c>
      <c r="BH421" s="14">
        <f t="shared" si="68"/>
        <v>480</v>
      </c>
      <c r="BI421" s="14">
        <f t="shared" si="69"/>
        <v>0</v>
      </c>
      <c r="BJ421" s="14">
        <f t="shared" si="70"/>
        <v>1200</v>
      </c>
      <c r="BK421" s="14">
        <f t="shared" si="71"/>
        <v>480</v>
      </c>
      <c r="BL421" s="14">
        <f t="shared" si="66"/>
        <v>960</v>
      </c>
    </row>
    <row r="422" spans="58:64" ht="16.5" x14ac:dyDescent="0.2">
      <c r="BF422" s="52">
        <v>417</v>
      </c>
      <c r="BG422" s="14">
        <f t="shared" si="67"/>
        <v>0</v>
      </c>
      <c r="BH422" s="14">
        <f t="shared" si="68"/>
        <v>480</v>
      </c>
      <c r="BI422" s="14">
        <f t="shared" si="69"/>
        <v>0</v>
      </c>
      <c r="BJ422" s="14">
        <f t="shared" si="70"/>
        <v>1200</v>
      </c>
      <c r="BK422" s="14">
        <f t="shared" si="71"/>
        <v>480</v>
      </c>
      <c r="BL422" s="14">
        <f t="shared" si="66"/>
        <v>960</v>
      </c>
    </row>
    <row r="423" spans="58:64" ht="16.5" x14ac:dyDescent="0.2">
      <c r="BF423" s="52">
        <v>418</v>
      </c>
      <c r="BG423" s="14">
        <f t="shared" si="67"/>
        <v>0</v>
      </c>
      <c r="BH423" s="14">
        <f t="shared" si="68"/>
        <v>480</v>
      </c>
      <c r="BI423" s="14">
        <f t="shared" si="69"/>
        <v>0</v>
      </c>
      <c r="BJ423" s="14">
        <f t="shared" si="70"/>
        <v>1200</v>
      </c>
      <c r="BK423" s="14">
        <f t="shared" si="71"/>
        <v>480</v>
      </c>
      <c r="BL423" s="14">
        <f t="shared" si="66"/>
        <v>960</v>
      </c>
    </row>
    <row r="424" spans="58:64" ht="16.5" x14ac:dyDescent="0.2">
      <c r="BF424" s="52">
        <v>419</v>
      </c>
      <c r="BG424" s="14">
        <f t="shared" si="67"/>
        <v>0</v>
      </c>
      <c r="BH424" s="14">
        <f t="shared" si="68"/>
        <v>480</v>
      </c>
      <c r="BI424" s="14">
        <f t="shared" si="69"/>
        <v>0</v>
      </c>
      <c r="BJ424" s="14">
        <f t="shared" si="70"/>
        <v>1200</v>
      </c>
      <c r="BK424" s="14">
        <f t="shared" si="71"/>
        <v>480</v>
      </c>
      <c r="BL424" s="14">
        <f t="shared" si="66"/>
        <v>960</v>
      </c>
    </row>
    <row r="425" spans="58:64" ht="16.5" x14ac:dyDescent="0.2">
      <c r="BF425" s="52">
        <v>420</v>
      </c>
      <c r="BG425" s="14">
        <f t="shared" si="67"/>
        <v>0</v>
      </c>
      <c r="BH425" s="14">
        <f t="shared" si="68"/>
        <v>480</v>
      </c>
      <c r="BI425" s="14">
        <f t="shared" si="69"/>
        <v>0</v>
      </c>
      <c r="BJ425" s="14">
        <f t="shared" si="70"/>
        <v>1200</v>
      </c>
      <c r="BK425" s="14">
        <f t="shared" si="71"/>
        <v>480</v>
      </c>
      <c r="BL425" s="14">
        <f t="shared" si="66"/>
        <v>960</v>
      </c>
    </row>
    <row r="426" spans="58:64" ht="16.5" x14ac:dyDescent="0.2">
      <c r="BF426" s="52">
        <v>421</v>
      </c>
      <c r="BG426" s="14">
        <f t="shared" si="67"/>
        <v>0</v>
      </c>
      <c r="BH426" s="14">
        <f t="shared" si="68"/>
        <v>480</v>
      </c>
      <c r="BI426" s="14">
        <f t="shared" si="69"/>
        <v>0</v>
      </c>
      <c r="BJ426" s="14">
        <f t="shared" si="70"/>
        <v>1200</v>
      </c>
      <c r="BK426" s="14">
        <f t="shared" si="71"/>
        <v>480</v>
      </c>
      <c r="BL426" s="14">
        <f t="shared" si="66"/>
        <v>960</v>
      </c>
    </row>
    <row r="427" spans="58:64" ht="16.5" x14ac:dyDescent="0.2">
      <c r="BF427" s="52">
        <v>422</v>
      </c>
      <c r="BG427" s="14">
        <f t="shared" si="67"/>
        <v>0</v>
      </c>
      <c r="BH427" s="14">
        <f t="shared" si="68"/>
        <v>480</v>
      </c>
      <c r="BI427" s="14">
        <f t="shared" si="69"/>
        <v>0</v>
      </c>
      <c r="BJ427" s="14">
        <f t="shared" si="70"/>
        <v>1200</v>
      </c>
      <c r="BK427" s="14">
        <f t="shared" si="71"/>
        <v>480</v>
      </c>
      <c r="BL427" s="14">
        <f t="shared" si="66"/>
        <v>960</v>
      </c>
    </row>
    <row r="428" spans="58:64" ht="16.5" x14ac:dyDescent="0.2">
      <c r="BF428" s="52">
        <v>423</v>
      </c>
      <c r="BG428" s="14">
        <f t="shared" si="67"/>
        <v>0</v>
      </c>
      <c r="BH428" s="14">
        <f t="shared" si="68"/>
        <v>480</v>
      </c>
      <c r="BI428" s="14">
        <f t="shared" si="69"/>
        <v>0</v>
      </c>
      <c r="BJ428" s="14">
        <f t="shared" si="70"/>
        <v>1200</v>
      </c>
      <c r="BK428" s="14">
        <f t="shared" si="71"/>
        <v>480</v>
      </c>
      <c r="BL428" s="14">
        <f t="shared" si="66"/>
        <v>960</v>
      </c>
    </row>
    <row r="429" spans="58:64" ht="16.5" x14ac:dyDescent="0.2">
      <c r="BF429" s="52">
        <v>424</v>
      </c>
      <c r="BG429" s="14">
        <f t="shared" si="67"/>
        <v>0</v>
      </c>
      <c r="BH429" s="14">
        <f t="shared" si="68"/>
        <v>480</v>
      </c>
      <c r="BI429" s="14">
        <f t="shared" si="69"/>
        <v>0</v>
      </c>
      <c r="BJ429" s="14">
        <f t="shared" si="70"/>
        <v>1200</v>
      </c>
      <c r="BK429" s="14">
        <f t="shared" si="71"/>
        <v>480</v>
      </c>
      <c r="BL429" s="14">
        <f t="shared" si="66"/>
        <v>960</v>
      </c>
    </row>
    <row r="430" spans="58:64" ht="16.5" x14ac:dyDescent="0.2">
      <c r="BF430" s="52">
        <v>425</v>
      </c>
      <c r="BG430" s="14">
        <f t="shared" si="67"/>
        <v>0</v>
      </c>
      <c r="BH430" s="14">
        <f t="shared" si="68"/>
        <v>480</v>
      </c>
      <c r="BI430" s="14">
        <f t="shared" si="69"/>
        <v>0</v>
      </c>
      <c r="BJ430" s="14">
        <f t="shared" si="70"/>
        <v>1200</v>
      </c>
      <c r="BK430" s="14">
        <f t="shared" si="71"/>
        <v>480</v>
      </c>
      <c r="BL430" s="14">
        <f t="shared" si="66"/>
        <v>960</v>
      </c>
    </row>
    <row r="431" spans="58:64" ht="16.5" x14ac:dyDescent="0.2">
      <c r="BF431" s="52">
        <v>426</v>
      </c>
      <c r="BG431" s="14">
        <f t="shared" si="67"/>
        <v>0</v>
      </c>
      <c r="BH431" s="14">
        <f t="shared" si="68"/>
        <v>480</v>
      </c>
      <c r="BI431" s="14">
        <f t="shared" si="69"/>
        <v>0</v>
      </c>
      <c r="BJ431" s="14">
        <f t="shared" si="70"/>
        <v>1200</v>
      </c>
      <c r="BK431" s="14">
        <f t="shared" si="71"/>
        <v>480</v>
      </c>
      <c r="BL431" s="14">
        <f t="shared" si="66"/>
        <v>960</v>
      </c>
    </row>
    <row r="432" spans="58:64" ht="16.5" x14ac:dyDescent="0.2">
      <c r="BF432" s="52">
        <v>427</v>
      </c>
      <c r="BG432" s="14">
        <f t="shared" si="67"/>
        <v>0</v>
      </c>
      <c r="BH432" s="14">
        <f t="shared" si="68"/>
        <v>480</v>
      </c>
      <c r="BI432" s="14">
        <f t="shared" si="69"/>
        <v>0</v>
      </c>
      <c r="BJ432" s="14">
        <f t="shared" si="70"/>
        <v>1200</v>
      </c>
      <c r="BK432" s="14">
        <f t="shared" si="71"/>
        <v>480</v>
      </c>
      <c r="BL432" s="14">
        <f t="shared" si="66"/>
        <v>960</v>
      </c>
    </row>
    <row r="433" spans="58:64" ht="16.5" x14ac:dyDescent="0.2">
      <c r="BF433" s="52">
        <v>428</v>
      </c>
      <c r="BG433" s="14">
        <f t="shared" si="67"/>
        <v>0</v>
      </c>
      <c r="BH433" s="14">
        <f t="shared" si="68"/>
        <v>480</v>
      </c>
      <c r="BI433" s="14">
        <f t="shared" si="69"/>
        <v>0</v>
      </c>
      <c r="BJ433" s="14">
        <f t="shared" si="70"/>
        <v>1200</v>
      </c>
      <c r="BK433" s="14">
        <f t="shared" si="71"/>
        <v>480</v>
      </c>
      <c r="BL433" s="14">
        <f t="shared" si="66"/>
        <v>960</v>
      </c>
    </row>
    <row r="434" spans="58:64" ht="16.5" x14ac:dyDescent="0.2">
      <c r="BF434" s="52">
        <v>429</v>
      </c>
      <c r="BG434" s="14">
        <f t="shared" si="67"/>
        <v>0</v>
      </c>
      <c r="BH434" s="14">
        <f t="shared" si="68"/>
        <v>480</v>
      </c>
      <c r="BI434" s="14">
        <f t="shared" si="69"/>
        <v>0</v>
      </c>
      <c r="BJ434" s="14">
        <f t="shared" si="70"/>
        <v>1200</v>
      </c>
      <c r="BK434" s="14">
        <f t="shared" si="71"/>
        <v>480</v>
      </c>
      <c r="BL434" s="14">
        <f t="shared" si="66"/>
        <v>960</v>
      </c>
    </row>
    <row r="435" spans="58:64" ht="16.5" x14ac:dyDescent="0.2">
      <c r="BF435" s="52">
        <v>430</v>
      </c>
      <c r="BG435" s="14">
        <f t="shared" si="67"/>
        <v>0</v>
      </c>
      <c r="BH435" s="14">
        <f t="shared" si="68"/>
        <v>480</v>
      </c>
      <c r="BI435" s="14">
        <f t="shared" si="69"/>
        <v>0</v>
      </c>
      <c r="BJ435" s="14">
        <f t="shared" si="70"/>
        <v>1200</v>
      </c>
      <c r="BK435" s="14">
        <f t="shared" si="71"/>
        <v>480</v>
      </c>
      <c r="BL435" s="14">
        <f t="shared" si="66"/>
        <v>960</v>
      </c>
    </row>
    <row r="436" spans="58:64" ht="16.5" x14ac:dyDescent="0.2">
      <c r="BF436" s="52">
        <v>431</v>
      </c>
      <c r="BG436" s="14">
        <f t="shared" si="67"/>
        <v>0</v>
      </c>
      <c r="BH436" s="14">
        <f t="shared" si="68"/>
        <v>480</v>
      </c>
      <c r="BI436" s="14">
        <f t="shared" si="69"/>
        <v>0</v>
      </c>
      <c r="BJ436" s="14">
        <f t="shared" si="70"/>
        <v>1200</v>
      </c>
      <c r="BK436" s="14">
        <f t="shared" si="71"/>
        <v>480</v>
      </c>
      <c r="BL436" s="14">
        <f t="shared" si="66"/>
        <v>960</v>
      </c>
    </row>
    <row r="437" spans="58:64" ht="16.5" x14ac:dyDescent="0.2">
      <c r="BF437" s="52">
        <v>432</v>
      </c>
      <c r="BG437" s="14">
        <f t="shared" si="67"/>
        <v>0</v>
      </c>
      <c r="BH437" s="14">
        <f t="shared" si="68"/>
        <v>480</v>
      </c>
      <c r="BI437" s="14">
        <f t="shared" si="69"/>
        <v>0</v>
      </c>
      <c r="BJ437" s="14">
        <f t="shared" si="70"/>
        <v>1200</v>
      </c>
      <c r="BK437" s="14">
        <f t="shared" si="71"/>
        <v>480</v>
      </c>
      <c r="BL437" s="14">
        <f t="shared" si="66"/>
        <v>960</v>
      </c>
    </row>
    <row r="438" spans="58:64" ht="16.5" x14ac:dyDescent="0.2">
      <c r="BF438" s="52">
        <v>433</v>
      </c>
      <c r="BG438" s="14">
        <f t="shared" si="67"/>
        <v>0</v>
      </c>
      <c r="BH438" s="14">
        <f t="shared" si="68"/>
        <v>480</v>
      </c>
      <c r="BI438" s="14">
        <f t="shared" si="69"/>
        <v>0</v>
      </c>
      <c r="BJ438" s="14">
        <f t="shared" si="70"/>
        <v>1200</v>
      </c>
      <c r="BK438" s="14">
        <f t="shared" si="71"/>
        <v>480</v>
      </c>
      <c r="BL438" s="14">
        <f t="shared" si="66"/>
        <v>960</v>
      </c>
    </row>
    <row r="439" spans="58:64" ht="16.5" x14ac:dyDescent="0.2">
      <c r="BF439" s="52">
        <v>434</v>
      </c>
      <c r="BG439" s="14">
        <f t="shared" si="67"/>
        <v>0</v>
      </c>
      <c r="BH439" s="14">
        <f t="shared" si="68"/>
        <v>480</v>
      </c>
      <c r="BI439" s="14">
        <f t="shared" si="69"/>
        <v>0</v>
      </c>
      <c r="BJ439" s="14">
        <f t="shared" si="70"/>
        <v>1200</v>
      </c>
      <c r="BK439" s="14">
        <f t="shared" si="71"/>
        <v>480</v>
      </c>
      <c r="BL439" s="14">
        <f t="shared" si="66"/>
        <v>960</v>
      </c>
    </row>
    <row r="440" spans="58:64" ht="16.5" x14ac:dyDescent="0.2">
      <c r="BF440" s="52">
        <v>435</v>
      </c>
      <c r="BG440" s="14">
        <f t="shared" si="67"/>
        <v>0</v>
      </c>
      <c r="BH440" s="14">
        <f t="shared" si="68"/>
        <v>480</v>
      </c>
      <c r="BI440" s="14">
        <f t="shared" si="69"/>
        <v>0</v>
      </c>
      <c r="BJ440" s="14">
        <f t="shared" si="70"/>
        <v>1200</v>
      </c>
      <c r="BK440" s="14">
        <f t="shared" si="71"/>
        <v>480</v>
      </c>
      <c r="BL440" s="14">
        <f t="shared" si="66"/>
        <v>960</v>
      </c>
    </row>
    <row r="441" spans="58:64" ht="16.5" x14ac:dyDescent="0.2">
      <c r="BF441" s="52">
        <v>436</v>
      </c>
      <c r="BG441" s="14">
        <f t="shared" si="67"/>
        <v>0</v>
      </c>
      <c r="BH441" s="14">
        <f t="shared" si="68"/>
        <v>480</v>
      </c>
      <c r="BI441" s="14">
        <f t="shared" si="69"/>
        <v>0</v>
      </c>
      <c r="BJ441" s="14">
        <f t="shared" si="70"/>
        <v>1200</v>
      </c>
      <c r="BK441" s="14">
        <f t="shared" si="71"/>
        <v>480</v>
      </c>
      <c r="BL441" s="14">
        <f t="shared" si="66"/>
        <v>960</v>
      </c>
    </row>
    <row r="442" spans="58:64" ht="16.5" x14ac:dyDescent="0.2">
      <c r="BF442" s="52">
        <v>437</v>
      </c>
      <c r="BG442" s="14">
        <f t="shared" si="67"/>
        <v>0</v>
      </c>
      <c r="BH442" s="14">
        <f t="shared" si="68"/>
        <v>480</v>
      </c>
      <c r="BI442" s="14">
        <f t="shared" si="69"/>
        <v>0</v>
      </c>
      <c r="BJ442" s="14">
        <f t="shared" si="70"/>
        <v>1200</v>
      </c>
      <c r="BK442" s="14">
        <f t="shared" si="71"/>
        <v>480</v>
      </c>
      <c r="BL442" s="14">
        <f t="shared" si="66"/>
        <v>960</v>
      </c>
    </row>
    <row r="443" spans="58:64" ht="16.5" x14ac:dyDescent="0.2">
      <c r="BF443" s="52">
        <v>438</v>
      </c>
      <c r="BG443" s="14">
        <f t="shared" si="67"/>
        <v>0</v>
      </c>
      <c r="BH443" s="14">
        <f t="shared" si="68"/>
        <v>480</v>
      </c>
      <c r="BI443" s="14">
        <f t="shared" si="69"/>
        <v>0</v>
      </c>
      <c r="BJ443" s="14">
        <f t="shared" si="70"/>
        <v>1200</v>
      </c>
      <c r="BK443" s="14">
        <f t="shared" si="71"/>
        <v>480</v>
      </c>
      <c r="BL443" s="14">
        <f t="shared" si="66"/>
        <v>960</v>
      </c>
    </row>
    <row r="444" spans="58:64" ht="16.5" x14ac:dyDescent="0.2">
      <c r="BF444" s="52">
        <v>439</v>
      </c>
      <c r="BG444" s="14">
        <f t="shared" si="67"/>
        <v>0</v>
      </c>
      <c r="BH444" s="14">
        <f t="shared" si="68"/>
        <v>480</v>
      </c>
      <c r="BI444" s="14">
        <f t="shared" si="69"/>
        <v>0</v>
      </c>
      <c r="BJ444" s="14">
        <f t="shared" si="70"/>
        <v>1200</v>
      </c>
      <c r="BK444" s="14">
        <f t="shared" si="71"/>
        <v>480</v>
      </c>
      <c r="BL444" s="14">
        <f t="shared" si="66"/>
        <v>960</v>
      </c>
    </row>
    <row r="445" spans="58:64" ht="16.5" x14ac:dyDescent="0.2">
      <c r="BF445" s="52">
        <v>440</v>
      </c>
      <c r="BG445" s="14">
        <f t="shared" si="67"/>
        <v>0</v>
      </c>
      <c r="BH445" s="14">
        <f t="shared" si="68"/>
        <v>480</v>
      </c>
      <c r="BI445" s="14">
        <f t="shared" si="69"/>
        <v>0</v>
      </c>
      <c r="BJ445" s="14">
        <f t="shared" si="70"/>
        <v>1200</v>
      </c>
      <c r="BK445" s="14">
        <f t="shared" si="71"/>
        <v>480</v>
      </c>
      <c r="BL445" s="14">
        <f t="shared" si="66"/>
        <v>960</v>
      </c>
    </row>
    <row r="446" spans="58:64" ht="16.5" x14ac:dyDescent="0.2">
      <c r="BF446" s="52">
        <v>441</v>
      </c>
      <c r="BG446" s="14">
        <f t="shared" si="67"/>
        <v>0</v>
      </c>
      <c r="BH446" s="14">
        <f t="shared" si="68"/>
        <v>480</v>
      </c>
      <c r="BI446" s="14">
        <f t="shared" si="69"/>
        <v>0</v>
      </c>
      <c r="BJ446" s="14">
        <f t="shared" si="70"/>
        <v>1200</v>
      </c>
      <c r="BK446" s="14">
        <f t="shared" si="71"/>
        <v>480</v>
      </c>
      <c r="BL446" s="14">
        <f t="shared" si="66"/>
        <v>960</v>
      </c>
    </row>
    <row r="447" spans="58:64" ht="16.5" x14ac:dyDescent="0.2">
      <c r="BF447" s="52">
        <v>442</v>
      </c>
      <c r="BG447" s="14">
        <f t="shared" si="67"/>
        <v>0</v>
      </c>
      <c r="BH447" s="14">
        <f t="shared" si="68"/>
        <v>480</v>
      </c>
      <c r="BI447" s="14">
        <f t="shared" si="69"/>
        <v>0</v>
      </c>
      <c r="BJ447" s="14">
        <f t="shared" si="70"/>
        <v>1200</v>
      </c>
      <c r="BK447" s="14">
        <f t="shared" si="71"/>
        <v>480</v>
      </c>
      <c r="BL447" s="14">
        <f t="shared" si="66"/>
        <v>960</v>
      </c>
    </row>
    <row r="448" spans="58:64" ht="16.5" x14ac:dyDescent="0.2">
      <c r="BF448" s="52">
        <v>443</v>
      </c>
      <c r="BG448" s="14">
        <f t="shared" si="67"/>
        <v>0</v>
      </c>
      <c r="BH448" s="14">
        <f t="shared" si="68"/>
        <v>480</v>
      </c>
      <c r="BI448" s="14">
        <f t="shared" si="69"/>
        <v>0</v>
      </c>
      <c r="BJ448" s="14">
        <f t="shared" si="70"/>
        <v>1200</v>
      </c>
      <c r="BK448" s="14">
        <f t="shared" si="71"/>
        <v>480</v>
      </c>
      <c r="BL448" s="14">
        <f t="shared" si="66"/>
        <v>960</v>
      </c>
    </row>
    <row r="449" spans="58:64" ht="16.5" x14ac:dyDescent="0.2">
      <c r="BF449" s="52">
        <v>444</v>
      </c>
      <c r="BG449" s="14">
        <f t="shared" si="67"/>
        <v>0</v>
      </c>
      <c r="BH449" s="14">
        <f t="shared" si="68"/>
        <v>480</v>
      </c>
      <c r="BI449" s="14">
        <f t="shared" si="69"/>
        <v>0</v>
      </c>
      <c r="BJ449" s="14">
        <f t="shared" si="70"/>
        <v>1200</v>
      </c>
      <c r="BK449" s="14">
        <f t="shared" si="71"/>
        <v>480</v>
      </c>
      <c r="BL449" s="14">
        <f t="shared" si="66"/>
        <v>960</v>
      </c>
    </row>
    <row r="450" spans="58:64" ht="16.5" x14ac:dyDescent="0.2">
      <c r="BF450" s="52">
        <v>445</v>
      </c>
      <c r="BG450" s="14">
        <f t="shared" si="67"/>
        <v>0</v>
      </c>
      <c r="BH450" s="14">
        <f t="shared" si="68"/>
        <v>480</v>
      </c>
      <c r="BI450" s="14">
        <f t="shared" si="69"/>
        <v>0</v>
      </c>
      <c r="BJ450" s="14">
        <f t="shared" si="70"/>
        <v>1200</v>
      </c>
      <c r="BK450" s="14">
        <f t="shared" si="71"/>
        <v>480</v>
      </c>
      <c r="BL450" s="14">
        <f t="shared" si="66"/>
        <v>960</v>
      </c>
    </row>
    <row r="451" spans="58:64" ht="16.5" x14ac:dyDescent="0.2">
      <c r="BF451" s="52">
        <v>446</v>
      </c>
      <c r="BG451" s="14">
        <f t="shared" si="67"/>
        <v>0</v>
      </c>
      <c r="BH451" s="14">
        <f t="shared" si="68"/>
        <v>480</v>
      </c>
      <c r="BI451" s="14">
        <f t="shared" si="69"/>
        <v>0</v>
      </c>
      <c r="BJ451" s="14">
        <f t="shared" si="70"/>
        <v>1200</v>
      </c>
      <c r="BK451" s="14">
        <f t="shared" si="71"/>
        <v>480</v>
      </c>
      <c r="BL451" s="14">
        <f t="shared" si="66"/>
        <v>960</v>
      </c>
    </row>
    <row r="452" spans="58:64" ht="16.5" x14ac:dyDescent="0.2">
      <c r="BF452" s="52">
        <v>447</v>
      </c>
      <c r="BG452" s="14">
        <f t="shared" si="67"/>
        <v>0</v>
      </c>
      <c r="BH452" s="14">
        <f t="shared" si="68"/>
        <v>480</v>
      </c>
      <c r="BI452" s="14">
        <f t="shared" si="69"/>
        <v>0</v>
      </c>
      <c r="BJ452" s="14">
        <f t="shared" si="70"/>
        <v>1200</v>
      </c>
      <c r="BK452" s="14">
        <f t="shared" si="71"/>
        <v>480</v>
      </c>
      <c r="BL452" s="14">
        <f t="shared" si="66"/>
        <v>960</v>
      </c>
    </row>
    <row r="453" spans="58:64" ht="16.5" x14ac:dyDescent="0.2">
      <c r="BF453" s="52">
        <v>448</v>
      </c>
      <c r="BG453" s="14">
        <f t="shared" si="67"/>
        <v>0</v>
      </c>
      <c r="BH453" s="14">
        <f t="shared" si="68"/>
        <v>480</v>
      </c>
      <c r="BI453" s="14">
        <f t="shared" si="69"/>
        <v>0</v>
      </c>
      <c r="BJ453" s="14">
        <f t="shared" si="70"/>
        <v>1200</v>
      </c>
      <c r="BK453" s="14">
        <f t="shared" si="71"/>
        <v>480</v>
      </c>
      <c r="BL453" s="14">
        <f t="shared" si="66"/>
        <v>960</v>
      </c>
    </row>
    <row r="454" spans="58:64" ht="16.5" x14ac:dyDescent="0.2">
      <c r="BF454" s="52">
        <v>449</v>
      </c>
      <c r="BG454" s="14">
        <f t="shared" si="67"/>
        <v>0</v>
      </c>
      <c r="BH454" s="14">
        <f t="shared" si="68"/>
        <v>480</v>
      </c>
      <c r="BI454" s="14">
        <f t="shared" si="69"/>
        <v>0</v>
      </c>
      <c r="BJ454" s="14">
        <f t="shared" si="70"/>
        <v>1200</v>
      </c>
      <c r="BK454" s="14">
        <f t="shared" si="71"/>
        <v>480</v>
      </c>
      <c r="BL454" s="14">
        <f t="shared" si="66"/>
        <v>960</v>
      </c>
    </row>
    <row r="455" spans="58:64" ht="16.5" x14ac:dyDescent="0.2">
      <c r="BF455" s="52">
        <v>450</v>
      </c>
      <c r="BG455" s="14">
        <f t="shared" si="67"/>
        <v>0</v>
      </c>
      <c r="BH455" s="14">
        <f t="shared" si="68"/>
        <v>480</v>
      </c>
      <c r="BI455" s="14">
        <f t="shared" si="69"/>
        <v>0</v>
      </c>
      <c r="BJ455" s="14">
        <f t="shared" si="70"/>
        <v>1200</v>
      </c>
      <c r="BK455" s="14">
        <f t="shared" si="71"/>
        <v>480</v>
      </c>
      <c r="BL455" s="14">
        <f t="shared" ref="BL455:BL505" si="72">BK455*BL$3</f>
        <v>960</v>
      </c>
    </row>
    <row r="456" spans="58:64" ht="16.5" x14ac:dyDescent="0.2">
      <c r="BF456" s="52">
        <v>451</v>
      </c>
      <c r="BG456" s="14">
        <f t="shared" si="67"/>
        <v>0</v>
      </c>
      <c r="BH456" s="14">
        <f t="shared" si="68"/>
        <v>480</v>
      </c>
      <c r="BI456" s="14">
        <f t="shared" si="69"/>
        <v>0</v>
      </c>
      <c r="BJ456" s="14">
        <f t="shared" si="70"/>
        <v>1200</v>
      </c>
      <c r="BK456" s="14">
        <f t="shared" si="71"/>
        <v>480</v>
      </c>
      <c r="BL456" s="14">
        <f t="shared" si="72"/>
        <v>960</v>
      </c>
    </row>
    <row r="457" spans="58:64" ht="16.5" x14ac:dyDescent="0.2">
      <c r="BF457" s="52">
        <v>452</v>
      </c>
      <c r="BG457" s="14">
        <f t="shared" si="67"/>
        <v>0</v>
      </c>
      <c r="BH457" s="14">
        <f t="shared" si="68"/>
        <v>480</v>
      </c>
      <c r="BI457" s="14">
        <f t="shared" si="69"/>
        <v>0</v>
      </c>
      <c r="BJ457" s="14">
        <f t="shared" si="70"/>
        <v>1200</v>
      </c>
      <c r="BK457" s="14">
        <f t="shared" si="71"/>
        <v>480</v>
      </c>
      <c r="BL457" s="14">
        <f t="shared" si="72"/>
        <v>960</v>
      </c>
    </row>
    <row r="458" spans="58:64" ht="16.5" x14ac:dyDescent="0.2">
      <c r="BF458" s="52">
        <v>453</v>
      </c>
      <c r="BG458" s="14">
        <f t="shared" si="67"/>
        <v>0</v>
      </c>
      <c r="BH458" s="14">
        <f t="shared" si="68"/>
        <v>480</v>
      </c>
      <c r="BI458" s="14">
        <f t="shared" si="69"/>
        <v>0</v>
      </c>
      <c r="BJ458" s="14">
        <f t="shared" si="70"/>
        <v>1200</v>
      </c>
      <c r="BK458" s="14">
        <f t="shared" si="71"/>
        <v>480</v>
      </c>
      <c r="BL458" s="14">
        <f t="shared" si="72"/>
        <v>960</v>
      </c>
    </row>
    <row r="459" spans="58:64" ht="16.5" x14ac:dyDescent="0.2">
      <c r="BF459" s="52">
        <v>454</v>
      </c>
      <c r="BG459" s="14">
        <f t="shared" si="67"/>
        <v>0</v>
      </c>
      <c r="BH459" s="14">
        <f t="shared" si="68"/>
        <v>480</v>
      </c>
      <c r="BI459" s="14">
        <f t="shared" si="69"/>
        <v>0</v>
      </c>
      <c r="BJ459" s="14">
        <f t="shared" si="70"/>
        <v>1200</v>
      </c>
      <c r="BK459" s="14">
        <f t="shared" si="71"/>
        <v>480</v>
      </c>
      <c r="BL459" s="14">
        <f t="shared" si="72"/>
        <v>960</v>
      </c>
    </row>
    <row r="460" spans="58:64" ht="16.5" x14ac:dyDescent="0.2">
      <c r="BF460" s="52">
        <v>455</v>
      </c>
      <c r="BG460" s="14">
        <f t="shared" si="67"/>
        <v>0</v>
      </c>
      <c r="BH460" s="14">
        <f t="shared" si="68"/>
        <v>480</v>
      </c>
      <c r="BI460" s="14">
        <f t="shared" si="69"/>
        <v>0</v>
      </c>
      <c r="BJ460" s="14">
        <f t="shared" si="70"/>
        <v>1200</v>
      </c>
      <c r="BK460" s="14">
        <f t="shared" si="71"/>
        <v>480</v>
      </c>
      <c r="BL460" s="14">
        <f t="shared" si="72"/>
        <v>960</v>
      </c>
    </row>
    <row r="461" spans="58:64" ht="16.5" x14ac:dyDescent="0.2">
      <c r="BF461" s="52">
        <v>456</v>
      </c>
      <c r="BG461" s="14">
        <f t="shared" si="67"/>
        <v>0</v>
      </c>
      <c r="BH461" s="14">
        <f t="shared" si="68"/>
        <v>480</v>
      </c>
      <c r="BI461" s="14">
        <f t="shared" si="69"/>
        <v>0</v>
      </c>
      <c r="BJ461" s="14">
        <f t="shared" si="70"/>
        <v>1200</v>
      </c>
      <c r="BK461" s="14">
        <f t="shared" si="71"/>
        <v>480</v>
      </c>
      <c r="BL461" s="14">
        <f t="shared" si="72"/>
        <v>960</v>
      </c>
    </row>
    <row r="462" spans="58:64" ht="16.5" x14ac:dyDescent="0.2">
      <c r="BF462" s="52">
        <v>457</v>
      </c>
      <c r="BG462" s="14">
        <f t="shared" si="67"/>
        <v>0</v>
      </c>
      <c r="BH462" s="14">
        <f t="shared" si="68"/>
        <v>480</v>
      </c>
      <c r="BI462" s="14">
        <f t="shared" si="69"/>
        <v>0</v>
      </c>
      <c r="BJ462" s="14">
        <f t="shared" si="70"/>
        <v>1200</v>
      </c>
      <c r="BK462" s="14">
        <f t="shared" si="71"/>
        <v>480</v>
      </c>
      <c r="BL462" s="14">
        <f t="shared" si="72"/>
        <v>960</v>
      </c>
    </row>
    <row r="463" spans="58:64" ht="16.5" x14ac:dyDescent="0.2">
      <c r="BF463" s="52">
        <v>458</v>
      </c>
      <c r="BG463" s="14">
        <f t="shared" si="67"/>
        <v>0</v>
      </c>
      <c r="BH463" s="14">
        <f t="shared" si="68"/>
        <v>480</v>
      </c>
      <c r="BI463" s="14">
        <f t="shared" si="69"/>
        <v>0</v>
      </c>
      <c r="BJ463" s="14">
        <f t="shared" si="70"/>
        <v>1200</v>
      </c>
      <c r="BK463" s="14">
        <f t="shared" si="71"/>
        <v>480</v>
      </c>
      <c r="BL463" s="14">
        <f t="shared" si="72"/>
        <v>960</v>
      </c>
    </row>
    <row r="464" spans="58:64" ht="16.5" x14ac:dyDescent="0.2">
      <c r="BF464" s="52">
        <v>459</v>
      </c>
      <c r="BG464" s="14">
        <f t="shared" si="67"/>
        <v>0</v>
      </c>
      <c r="BH464" s="14">
        <f t="shared" si="68"/>
        <v>480</v>
      </c>
      <c r="BI464" s="14">
        <f t="shared" si="69"/>
        <v>0</v>
      </c>
      <c r="BJ464" s="14">
        <f t="shared" si="70"/>
        <v>1200</v>
      </c>
      <c r="BK464" s="14">
        <f t="shared" si="71"/>
        <v>480</v>
      </c>
      <c r="BL464" s="14">
        <f t="shared" si="72"/>
        <v>960</v>
      </c>
    </row>
    <row r="465" spans="58:64" ht="16.5" x14ac:dyDescent="0.2">
      <c r="BF465" s="52">
        <v>460</v>
      </c>
      <c r="BG465" s="14">
        <f t="shared" si="67"/>
        <v>0</v>
      </c>
      <c r="BH465" s="14">
        <f t="shared" si="68"/>
        <v>480</v>
      </c>
      <c r="BI465" s="14">
        <f t="shared" si="69"/>
        <v>0</v>
      </c>
      <c r="BJ465" s="14">
        <f t="shared" si="70"/>
        <v>1200</v>
      </c>
      <c r="BK465" s="14">
        <f t="shared" si="71"/>
        <v>480</v>
      </c>
      <c r="BL465" s="14">
        <f t="shared" si="72"/>
        <v>960</v>
      </c>
    </row>
    <row r="466" spans="58:64" ht="16.5" x14ac:dyDescent="0.2">
      <c r="BF466" s="52">
        <v>461</v>
      </c>
      <c r="BG466" s="14">
        <f t="shared" si="67"/>
        <v>0</v>
      </c>
      <c r="BH466" s="14">
        <f t="shared" si="68"/>
        <v>480</v>
      </c>
      <c r="BI466" s="14">
        <f t="shared" si="69"/>
        <v>0</v>
      </c>
      <c r="BJ466" s="14">
        <f t="shared" si="70"/>
        <v>1200</v>
      </c>
      <c r="BK466" s="14">
        <f t="shared" si="71"/>
        <v>480</v>
      </c>
      <c r="BL466" s="14">
        <f t="shared" si="72"/>
        <v>960</v>
      </c>
    </row>
    <row r="467" spans="58:64" ht="16.5" x14ac:dyDescent="0.2">
      <c r="BF467" s="52">
        <v>462</v>
      </c>
      <c r="BG467" s="14">
        <f t="shared" si="67"/>
        <v>0</v>
      </c>
      <c r="BH467" s="14">
        <f t="shared" si="68"/>
        <v>480</v>
      </c>
      <c r="BI467" s="14">
        <f t="shared" si="69"/>
        <v>0</v>
      </c>
      <c r="BJ467" s="14">
        <f t="shared" si="70"/>
        <v>1200</v>
      </c>
      <c r="BK467" s="14">
        <f t="shared" si="71"/>
        <v>480</v>
      </c>
      <c r="BL467" s="14">
        <f t="shared" si="72"/>
        <v>960</v>
      </c>
    </row>
    <row r="468" spans="58:64" ht="16.5" x14ac:dyDescent="0.2">
      <c r="BF468" s="52">
        <v>463</v>
      </c>
      <c r="BG468" s="14">
        <f t="shared" si="67"/>
        <v>0</v>
      </c>
      <c r="BH468" s="14">
        <f t="shared" si="68"/>
        <v>480</v>
      </c>
      <c r="BI468" s="14">
        <f t="shared" si="69"/>
        <v>0</v>
      </c>
      <c r="BJ468" s="14">
        <f t="shared" si="70"/>
        <v>1200</v>
      </c>
      <c r="BK468" s="14">
        <f t="shared" si="71"/>
        <v>480</v>
      </c>
      <c r="BL468" s="14">
        <f t="shared" si="72"/>
        <v>960</v>
      </c>
    </row>
    <row r="469" spans="58:64" ht="16.5" x14ac:dyDescent="0.2">
      <c r="BF469" s="52">
        <v>464</v>
      </c>
      <c r="BG469" s="14">
        <f t="shared" si="67"/>
        <v>0</v>
      </c>
      <c r="BH469" s="14">
        <f t="shared" si="68"/>
        <v>480</v>
      </c>
      <c r="BI469" s="14">
        <f t="shared" si="69"/>
        <v>0</v>
      </c>
      <c r="BJ469" s="14">
        <f t="shared" si="70"/>
        <v>1200</v>
      </c>
      <c r="BK469" s="14">
        <f t="shared" si="71"/>
        <v>480</v>
      </c>
      <c r="BL469" s="14">
        <f t="shared" si="72"/>
        <v>960</v>
      </c>
    </row>
    <row r="470" spans="58:64" ht="16.5" x14ac:dyDescent="0.2">
      <c r="BF470" s="52">
        <v>465</v>
      </c>
      <c r="BG470" s="14">
        <f t="shared" ref="BG470:BG505" si="73">SUMIFS($F$5:$F$104,$AT$6:$AT$105,"="&amp;BF470)+SUMIFS($Q$5:$Q$104,$AW$6:$AW$105,"="&amp;BF470)+SUMIFS($AB$5:$AB$104,$AZ$6:$AZ$105,"="&amp;BF470)+SUMIFS($AM$5:$AM$104,$BC$6:$BC$105,"="&amp;BF470)</f>
        <v>0</v>
      </c>
      <c r="BH470" s="14">
        <f t="shared" ref="BH470:BH505" si="74">INDEX($G$5:$G$104,MATCH(BF470,$AT$5:$AT$105,1)-1)+INDEX($R$5:$R$104,MATCH(BF470,$AW$5:$AW$105,1)-1)+INDEX($AC$5:$AC$104,MATCH(BF470,$AZ$5:$AZ$105,1)-1)+INDEX($AN$5:$AN$104,MATCH(BF470,$BC$5:$BC$105,1)-1)</f>
        <v>480</v>
      </c>
      <c r="BI470" s="14">
        <f t="shared" ref="BI470:BI505" si="75">SUMIFS($H$5:$H$104,$AT$6:$AT$105,"="&amp;BF470)+SUMIFS($S$5:$S$104,$AW$6:$AW$105,"="&amp;BF470)+SUMIFS($AD$5:$AD$104,$AZ$6:$AZ$105,"="&amp;BF470)+SUMIFS($AO$5:$AO$104,$BC$6:$BC$105,"="&amp;BF470)</f>
        <v>0</v>
      </c>
      <c r="BJ470" s="14">
        <f t="shared" ref="BJ470:BJ505" si="76">INDEX($I$5:$I$104,MATCH(BF470,$AT$5:$AT$105,1)-1)+INDEX($T$5:$T$104,MATCH(BF470,$AW$5:$AW$105,1)-1)+INDEX($AE$5:$AE$104,MATCH(BF470,$AZ$5:$AZ$105,1)-1)+INDEX($AP$5:$AP$104,MATCH(BF470,$BC$5:$BC$105,1)-1)</f>
        <v>1200</v>
      </c>
      <c r="BK470" s="14">
        <f t="shared" ref="BK470:BK505" si="77">BG470+BH469</f>
        <v>480</v>
      </c>
      <c r="BL470" s="14">
        <f t="shared" si="72"/>
        <v>960</v>
      </c>
    </row>
    <row r="471" spans="58:64" ht="16.5" x14ac:dyDescent="0.2">
      <c r="BF471" s="52">
        <v>466</v>
      </c>
      <c r="BG471" s="14">
        <f t="shared" si="73"/>
        <v>0</v>
      </c>
      <c r="BH471" s="14">
        <f t="shared" si="74"/>
        <v>480</v>
      </c>
      <c r="BI471" s="14">
        <f t="shared" si="75"/>
        <v>0</v>
      </c>
      <c r="BJ471" s="14">
        <f t="shared" si="76"/>
        <v>1200</v>
      </c>
      <c r="BK471" s="14">
        <f t="shared" si="77"/>
        <v>480</v>
      </c>
      <c r="BL471" s="14">
        <f t="shared" si="72"/>
        <v>960</v>
      </c>
    </row>
    <row r="472" spans="58:64" ht="16.5" x14ac:dyDescent="0.2">
      <c r="BF472" s="52">
        <v>467</v>
      </c>
      <c r="BG472" s="14">
        <f t="shared" si="73"/>
        <v>0</v>
      </c>
      <c r="BH472" s="14">
        <f t="shared" si="74"/>
        <v>480</v>
      </c>
      <c r="BI472" s="14">
        <f t="shared" si="75"/>
        <v>0</v>
      </c>
      <c r="BJ472" s="14">
        <f t="shared" si="76"/>
        <v>1200</v>
      </c>
      <c r="BK472" s="14">
        <f t="shared" si="77"/>
        <v>480</v>
      </c>
      <c r="BL472" s="14">
        <f t="shared" si="72"/>
        <v>960</v>
      </c>
    </row>
    <row r="473" spans="58:64" ht="16.5" x14ac:dyDescent="0.2">
      <c r="BF473" s="52">
        <v>468</v>
      </c>
      <c r="BG473" s="14">
        <f t="shared" si="73"/>
        <v>0</v>
      </c>
      <c r="BH473" s="14">
        <f t="shared" si="74"/>
        <v>480</v>
      </c>
      <c r="BI473" s="14">
        <f t="shared" si="75"/>
        <v>0</v>
      </c>
      <c r="BJ473" s="14">
        <f t="shared" si="76"/>
        <v>1200</v>
      </c>
      <c r="BK473" s="14">
        <f t="shared" si="77"/>
        <v>480</v>
      </c>
      <c r="BL473" s="14">
        <f t="shared" si="72"/>
        <v>960</v>
      </c>
    </row>
    <row r="474" spans="58:64" ht="16.5" x14ac:dyDescent="0.2">
      <c r="BF474" s="52">
        <v>469</v>
      </c>
      <c r="BG474" s="14">
        <f t="shared" si="73"/>
        <v>0</v>
      </c>
      <c r="BH474" s="14">
        <f t="shared" si="74"/>
        <v>480</v>
      </c>
      <c r="BI474" s="14">
        <f t="shared" si="75"/>
        <v>0</v>
      </c>
      <c r="BJ474" s="14">
        <f t="shared" si="76"/>
        <v>1200</v>
      </c>
      <c r="BK474" s="14">
        <f t="shared" si="77"/>
        <v>480</v>
      </c>
      <c r="BL474" s="14">
        <f t="shared" si="72"/>
        <v>960</v>
      </c>
    </row>
    <row r="475" spans="58:64" ht="16.5" x14ac:dyDescent="0.2">
      <c r="BF475" s="52">
        <v>470</v>
      </c>
      <c r="BG475" s="14">
        <f t="shared" si="73"/>
        <v>0</v>
      </c>
      <c r="BH475" s="14">
        <f t="shared" si="74"/>
        <v>480</v>
      </c>
      <c r="BI475" s="14">
        <f t="shared" si="75"/>
        <v>0</v>
      </c>
      <c r="BJ475" s="14">
        <f t="shared" si="76"/>
        <v>1200</v>
      </c>
      <c r="BK475" s="14">
        <f t="shared" si="77"/>
        <v>480</v>
      </c>
      <c r="BL475" s="14">
        <f t="shared" si="72"/>
        <v>960</v>
      </c>
    </row>
    <row r="476" spans="58:64" ht="16.5" x14ac:dyDescent="0.2">
      <c r="BF476" s="52">
        <v>471</v>
      </c>
      <c r="BG476" s="14">
        <f t="shared" si="73"/>
        <v>0</v>
      </c>
      <c r="BH476" s="14">
        <f t="shared" si="74"/>
        <v>480</v>
      </c>
      <c r="BI476" s="14">
        <f t="shared" si="75"/>
        <v>0</v>
      </c>
      <c r="BJ476" s="14">
        <f t="shared" si="76"/>
        <v>1200</v>
      </c>
      <c r="BK476" s="14">
        <f t="shared" si="77"/>
        <v>480</v>
      </c>
      <c r="BL476" s="14">
        <f t="shared" si="72"/>
        <v>960</v>
      </c>
    </row>
    <row r="477" spans="58:64" ht="16.5" x14ac:dyDescent="0.2">
      <c r="BF477" s="52">
        <v>472</v>
      </c>
      <c r="BG477" s="14">
        <f t="shared" si="73"/>
        <v>0</v>
      </c>
      <c r="BH477" s="14">
        <f t="shared" si="74"/>
        <v>480</v>
      </c>
      <c r="BI477" s="14">
        <f t="shared" si="75"/>
        <v>0</v>
      </c>
      <c r="BJ477" s="14">
        <f t="shared" si="76"/>
        <v>1200</v>
      </c>
      <c r="BK477" s="14">
        <f t="shared" si="77"/>
        <v>480</v>
      </c>
      <c r="BL477" s="14">
        <f t="shared" si="72"/>
        <v>960</v>
      </c>
    </row>
    <row r="478" spans="58:64" ht="16.5" x14ac:dyDescent="0.2">
      <c r="BF478" s="52">
        <v>473</v>
      </c>
      <c r="BG478" s="14">
        <f t="shared" si="73"/>
        <v>0</v>
      </c>
      <c r="BH478" s="14">
        <f t="shared" si="74"/>
        <v>480</v>
      </c>
      <c r="BI478" s="14">
        <f t="shared" si="75"/>
        <v>0</v>
      </c>
      <c r="BJ478" s="14">
        <f t="shared" si="76"/>
        <v>1200</v>
      </c>
      <c r="BK478" s="14">
        <f t="shared" si="77"/>
        <v>480</v>
      </c>
      <c r="BL478" s="14">
        <f t="shared" si="72"/>
        <v>960</v>
      </c>
    </row>
    <row r="479" spans="58:64" ht="16.5" x14ac:dyDescent="0.2">
      <c r="BF479" s="52">
        <v>474</v>
      </c>
      <c r="BG479" s="14">
        <f t="shared" si="73"/>
        <v>0</v>
      </c>
      <c r="BH479" s="14">
        <f t="shared" si="74"/>
        <v>480</v>
      </c>
      <c r="BI479" s="14">
        <f t="shared" si="75"/>
        <v>0</v>
      </c>
      <c r="BJ479" s="14">
        <f t="shared" si="76"/>
        <v>1200</v>
      </c>
      <c r="BK479" s="14">
        <f t="shared" si="77"/>
        <v>480</v>
      </c>
      <c r="BL479" s="14">
        <f t="shared" si="72"/>
        <v>960</v>
      </c>
    </row>
    <row r="480" spans="58:64" ht="16.5" x14ac:dyDescent="0.2">
      <c r="BF480" s="52">
        <v>475</v>
      </c>
      <c r="BG480" s="14">
        <f t="shared" si="73"/>
        <v>0</v>
      </c>
      <c r="BH480" s="14">
        <f t="shared" si="74"/>
        <v>480</v>
      </c>
      <c r="BI480" s="14">
        <f t="shared" si="75"/>
        <v>0</v>
      </c>
      <c r="BJ480" s="14">
        <f t="shared" si="76"/>
        <v>1200</v>
      </c>
      <c r="BK480" s="14">
        <f t="shared" si="77"/>
        <v>480</v>
      </c>
      <c r="BL480" s="14">
        <f t="shared" si="72"/>
        <v>960</v>
      </c>
    </row>
    <row r="481" spans="58:64" ht="16.5" x14ac:dyDescent="0.2">
      <c r="BF481" s="52">
        <v>476</v>
      </c>
      <c r="BG481" s="14">
        <f t="shared" si="73"/>
        <v>0</v>
      </c>
      <c r="BH481" s="14">
        <f t="shared" si="74"/>
        <v>480</v>
      </c>
      <c r="BI481" s="14">
        <f t="shared" si="75"/>
        <v>0</v>
      </c>
      <c r="BJ481" s="14">
        <f t="shared" si="76"/>
        <v>1200</v>
      </c>
      <c r="BK481" s="14">
        <f t="shared" si="77"/>
        <v>480</v>
      </c>
      <c r="BL481" s="14">
        <f t="shared" si="72"/>
        <v>960</v>
      </c>
    </row>
    <row r="482" spans="58:64" ht="16.5" x14ac:dyDescent="0.2">
      <c r="BF482" s="52">
        <v>477</v>
      </c>
      <c r="BG482" s="14">
        <f t="shared" si="73"/>
        <v>0</v>
      </c>
      <c r="BH482" s="14">
        <f t="shared" si="74"/>
        <v>480</v>
      </c>
      <c r="BI482" s="14">
        <f t="shared" si="75"/>
        <v>0</v>
      </c>
      <c r="BJ482" s="14">
        <f t="shared" si="76"/>
        <v>1200</v>
      </c>
      <c r="BK482" s="14">
        <f t="shared" si="77"/>
        <v>480</v>
      </c>
      <c r="BL482" s="14">
        <f t="shared" si="72"/>
        <v>960</v>
      </c>
    </row>
    <row r="483" spans="58:64" ht="16.5" x14ac:dyDescent="0.2">
      <c r="BF483" s="52">
        <v>478</v>
      </c>
      <c r="BG483" s="14">
        <f t="shared" si="73"/>
        <v>0</v>
      </c>
      <c r="BH483" s="14">
        <f t="shared" si="74"/>
        <v>480</v>
      </c>
      <c r="BI483" s="14">
        <f t="shared" si="75"/>
        <v>0</v>
      </c>
      <c r="BJ483" s="14">
        <f t="shared" si="76"/>
        <v>1200</v>
      </c>
      <c r="BK483" s="14">
        <f t="shared" si="77"/>
        <v>480</v>
      </c>
      <c r="BL483" s="14">
        <f t="shared" si="72"/>
        <v>960</v>
      </c>
    </row>
    <row r="484" spans="58:64" ht="16.5" x14ac:dyDescent="0.2">
      <c r="BF484" s="52">
        <v>479</v>
      </c>
      <c r="BG484" s="14">
        <f t="shared" si="73"/>
        <v>0</v>
      </c>
      <c r="BH484" s="14">
        <f t="shared" si="74"/>
        <v>480</v>
      </c>
      <c r="BI484" s="14">
        <f t="shared" si="75"/>
        <v>0</v>
      </c>
      <c r="BJ484" s="14">
        <f t="shared" si="76"/>
        <v>1200</v>
      </c>
      <c r="BK484" s="14">
        <f t="shared" si="77"/>
        <v>480</v>
      </c>
      <c r="BL484" s="14">
        <f t="shared" si="72"/>
        <v>960</v>
      </c>
    </row>
    <row r="485" spans="58:64" ht="16.5" x14ac:dyDescent="0.2">
      <c r="BF485" s="52">
        <v>480</v>
      </c>
      <c r="BG485" s="14">
        <f t="shared" si="73"/>
        <v>0</v>
      </c>
      <c r="BH485" s="14">
        <f t="shared" si="74"/>
        <v>480</v>
      </c>
      <c r="BI485" s="14">
        <f t="shared" si="75"/>
        <v>0</v>
      </c>
      <c r="BJ485" s="14">
        <f t="shared" si="76"/>
        <v>1200</v>
      </c>
      <c r="BK485" s="14">
        <f t="shared" si="77"/>
        <v>480</v>
      </c>
      <c r="BL485" s="14">
        <f t="shared" si="72"/>
        <v>960</v>
      </c>
    </row>
    <row r="486" spans="58:64" ht="16.5" x14ac:dyDescent="0.2">
      <c r="BF486" s="52">
        <v>481</v>
      </c>
      <c r="BG486" s="14">
        <f t="shared" si="73"/>
        <v>0</v>
      </c>
      <c r="BH486" s="14">
        <f t="shared" si="74"/>
        <v>480</v>
      </c>
      <c r="BI486" s="14">
        <f t="shared" si="75"/>
        <v>0</v>
      </c>
      <c r="BJ486" s="14">
        <f t="shared" si="76"/>
        <v>1200</v>
      </c>
      <c r="BK486" s="14">
        <f t="shared" si="77"/>
        <v>480</v>
      </c>
      <c r="BL486" s="14">
        <f t="shared" si="72"/>
        <v>960</v>
      </c>
    </row>
    <row r="487" spans="58:64" ht="16.5" x14ac:dyDescent="0.2">
      <c r="BF487" s="52">
        <v>482</v>
      </c>
      <c r="BG487" s="14">
        <f t="shared" si="73"/>
        <v>0</v>
      </c>
      <c r="BH487" s="14">
        <f t="shared" si="74"/>
        <v>480</v>
      </c>
      <c r="BI487" s="14">
        <f t="shared" si="75"/>
        <v>0</v>
      </c>
      <c r="BJ487" s="14">
        <f t="shared" si="76"/>
        <v>1200</v>
      </c>
      <c r="BK487" s="14">
        <f t="shared" si="77"/>
        <v>480</v>
      </c>
      <c r="BL487" s="14">
        <f t="shared" si="72"/>
        <v>960</v>
      </c>
    </row>
    <row r="488" spans="58:64" ht="16.5" x14ac:dyDescent="0.2">
      <c r="BF488" s="52">
        <v>483</v>
      </c>
      <c r="BG488" s="14">
        <f t="shared" si="73"/>
        <v>0</v>
      </c>
      <c r="BH488" s="14">
        <f t="shared" si="74"/>
        <v>480</v>
      </c>
      <c r="BI488" s="14">
        <f t="shared" si="75"/>
        <v>0</v>
      </c>
      <c r="BJ488" s="14">
        <f t="shared" si="76"/>
        <v>1200</v>
      </c>
      <c r="BK488" s="14">
        <f t="shared" si="77"/>
        <v>480</v>
      </c>
      <c r="BL488" s="14">
        <f t="shared" si="72"/>
        <v>960</v>
      </c>
    </row>
    <row r="489" spans="58:64" ht="16.5" x14ac:dyDescent="0.2">
      <c r="BF489" s="52">
        <v>484</v>
      </c>
      <c r="BG489" s="14">
        <f t="shared" si="73"/>
        <v>0</v>
      </c>
      <c r="BH489" s="14">
        <f t="shared" si="74"/>
        <v>480</v>
      </c>
      <c r="BI489" s="14">
        <f t="shared" si="75"/>
        <v>0</v>
      </c>
      <c r="BJ489" s="14">
        <f t="shared" si="76"/>
        <v>1200</v>
      </c>
      <c r="BK489" s="14">
        <f t="shared" si="77"/>
        <v>480</v>
      </c>
      <c r="BL489" s="14">
        <f t="shared" si="72"/>
        <v>960</v>
      </c>
    </row>
    <row r="490" spans="58:64" ht="16.5" x14ac:dyDescent="0.2">
      <c r="BF490" s="52">
        <v>485</v>
      </c>
      <c r="BG490" s="14">
        <f t="shared" si="73"/>
        <v>0</v>
      </c>
      <c r="BH490" s="14">
        <f t="shared" si="74"/>
        <v>480</v>
      </c>
      <c r="BI490" s="14">
        <f t="shared" si="75"/>
        <v>0</v>
      </c>
      <c r="BJ490" s="14">
        <f t="shared" si="76"/>
        <v>1200</v>
      </c>
      <c r="BK490" s="14">
        <f t="shared" si="77"/>
        <v>480</v>
      </c>
      <c r="BL490" s="14">
        <f t="shared" si="72"/>
        <v>960</v>
      </c>
    </row>
    <row r="491" spans="58:64" ht="16.5" x14ac:dyDescent="0.2">
      <c r="BF491" s="52">
        <v>486</v>
      </c>
      <c r="BG491" s="14">
        <f t="shared" si="73"/>
        <v>0</v>
      </c>
      <c r="BH491" s="14">
        <f t="shared" si="74"/>
        <v>480</v>
      </c>
      <c r="BI491" s="14">
        <f t="shared" si="75"/>
        <v>0</v>
      </c>
      <c r="BJ491" s="14">
        <f t="shared" si="76"/>
        <v>1200</v>
      </c>
      <c r="BK491" s="14">
        <f t="shared" si="77"/>
        <v>480</v>
      </c>
      <c r="BL491" s="14">
        <f t="shared" si="72"/>
        <v>960</v>
      </c>
    </row>
    <row r="492" spans="58:64" ht="16.5" x14ac:dyDescent="0.2">
      <c r="BF492" s="52">
        <v>487</v>
      </c>
      <c r="BG492" s="14">
        <f t="shared" si="73"/>
        <v>0</v>
      </c>
      <c r="BH492" s="14">
        <f t="shared" si="74"/>
        <v>480</v>
      </c>
      <c r="BI492" s="14">
        <f t="shared" si="75"/>
        <v>0</v>
      </c>
      <c r="BJ492" s="14">
        <f t="shared" si="76"/>
        <v>1200</v>
      </c>
      <c r="BK492" s="14">
        <f t="shared" si="77"/>
        <v>480</v>
      </c>
      <c r="BL492" s="14">
        <f t="shared" si="72"/>
        <v>960</v>
      </c>
    </row>
    <row r="493" spans="58:64" ht="16.5" x14ac:dyDescent="0.2">
      <c r="BF493" s="52">
        <v>488</v>
      </c>
      <c r="BG493" s="14">
        <f t="shared" si="73"/>
        <v>0</v>
      </c>
      <c r="BH493" s="14">
        <f t="shared" si="74"/>
        <v>480</v>
      </c>
      <c r="BI493" s="14">
        <f t="shared" si="75"/>
        <v>0</v>
      </c>
      <c r="BJ493" s="14">
        <f t="shared" si="76"/>
        <v>1200</v>
      </c>
      <c r="BK493" s="14">
        <f t="shared" si="77"/>
        <v>480</v>
      </c>
      <c r="BL493" s="14">
        <f t="shared" si="72"/>
        <v>960</v>
      </c>
    </row>
    <row r="494" spans="58:64" ht="16.5" x14ac:dyDescent="0.2">
      <c r="BF494" s="52">
        <v>489</v>
      </c>
      <c r="BG494" s="14">
        <f t="shared" si="73"/>
        <v>0</v>
      </c>
      <c r="BH494" s="14">
        <f t="shared" si="74"/>
        <v>480</v>
      </c>
      <c r="BI494" s="14">
        <f t="shared" si="75"/>
        <v>0</v>
      </c>
      <c r="BJ494" s="14">
        <f t="shared" si="76"/>
        <v>1200</v>
      </c>
      <c r="BK494" s="14">
        <f t="shared" si="77"/>
        <v>480</v>
      </c>
      <c r="BL494" s="14">
        <f t="shared" si="72"/>
        <v>960</v>
      </c>
    </row>
    <row r="495" spans="58:64" ht="16.5" x14ac:dyDescent="0.2">
      <c r="BF495" s="52">
        <v>490</v>
      </c>
      <c r="BG495" s="14">
        <f t="shared" si="73"/>
        <v>0</v>
      </c>
      <c r="BH495" s="14">
        <f t="shared" si="74"/>
        <v>480</v>
      </c>
      <c r="BI495" s="14">
        <f t="shared" si="75"/>
        <v>0</v>
      </c>
      <c r="BJ495" s="14">
        <f t="shared" si="76"/>
        <v>1200</v>
      </c>
      <c r="BK495" s="14">
        <f t="shared" si="77"/>
        <v>480</v>
      </c>
      <c r="BL495" s="14">
        <f t="shared" si="72"/>
        <v>960</v>
      </c>
    </row>
    <row r="496" spans="58:64" ht="16.5" x14ac:dyDescent="0.2">
      <c r="BF496" s="52">
        <v>491</v>
      </c>
      <c r="BG496" s="14">
        <f t="shared" si="73"/>
        <v>0</v>
      </c>
      <c r="BH496" s="14">
        <f t="shared" si="74"/>
        <v>480</v>
      </c>
      <c r="BI496" s="14">
        <f t="shared" si="75"/>
        <v>0</v>
      </c>
      <c r="BJ496" s="14">
        <f t="shared" si="76"/>
        <v>1200</v>
      </c>
      <c r="BK496" s="14">
        <f t="shared" si="77"/>
        <v>480</v>
      </c>
      <c r="BL496" s="14">
        <f t="shared" si="72"/>
        <v>960</v>
      </c>
    </row>
    <row r="497" spans="58:64" ht="16.5" x14ac:dyDescent="0.2">
      <c r="BF497" s="52">
        <v>492</v>
      </c>
      <c r="BG497" s="14">
        <f t="shared" si="73"/>
        <v>0</v>
      </c>
      <c r="BH497" s="14">
        <f t="shared" si="74"/>
        <v>480</v>
      </c>
      <c r="BI497" s="14">
        <f t="shared" si="75"/>
        <v>0</v>
      </c>
      <c r="BJ497" s="14">
        <f t="shared" si="76"/>
        <v>1200</v>
      </c>
      <c r="BK497" s="14">
        <f t="shared" si="77"/>
        <v>480</v>
      </c>
      <c r="BL497" s="14">
        <f t="shared" si="72"/>
        <v>960</v>
      </c>
    </row>
    <row r="498" spans="58:64" ht="16.5" x14ac:dyDescent="0.2">
      <c r="BF498" s="52">
        <v>493</v>
      </c>
      <c r="BG498" s="14">
        <f t="shared" si="73"/>
        <v>0</v>
      </c>
      <c r="BH498" s="14">
        <f t="shared" si="74"/>
        <v>480</v>
      </c>
      <c r="BI498" s="14">
        <f t="shared" si="75"/>
        <v>0</v>
      </c>
      <c r="BJ498" s="14">
        <f t="shared" si="76"/>
        <v>1200</v>
      </c>
      <c r="BK498" s="14">
        <f t="shared" si="77"/>
        <v>480</v>
      </c>
      <c r="BL498" s="14">
        <f t="shared" si="72"/>
        <v>960</v>
      </c>
    </row>
    <row r="499" spans="58:64" ht="16.5" x14ac:dyDescent="0.2">
      <c r="BF499" s="52">
        <v>494</v>
      </c>
      <c r="BG499" s="14">
        <f t="shared" si="73"/>
        <v>0</v>
      </c>
      <c r="BH499" s="14">
        <f t="shared" si="74"/>
        <v>480</v>
      </c>
      <c r="BI499" s="14">
        <f t="shared" si="75"/>
        <v>0</v>
      </c>
      <c r="BJ499" s="14">
        <f t="shared" si="76"/>
        <v>1200</v>
      </c>
      <c r="BK499" s="14">
        <f t="shared" si="77"/>
        <v>480</v>
      </c>
      <c r="BL499" s="14">
        <f t="shared" si="72"/>
        <v>960</v>
      </c>
    </row>
    <row r="500" spans="58:64" ht="16.5" x14ac:dyDescent="0.2">
      <c r="BF500" s="52">
        <v>495</v>
      </c>
      <c r="BG500" s="14">
        <f t="shared" si="73"/>
        <v>0</v>
      </c>
      <c r="BH500" s="14">
        <f t="shared" si="74"/>
        <v>480</v>
      </c>
      <c r="BI500" s="14">
        <f t="shared" si="75"/>
        <v>0</v>
      </c>
      <c r="BJ500" s="14">
        <f t="shared" si="76"/>
        <v>1200</v>
      </c>
      <c r="BK500" s="14">
        <f t="shared" si="77"/>
        <v>480</v>
      </c>
      <c r="BL500" s="14">
        <f t="shared" si="72"/>
        <v>960</v>
      </c>
    </row>
    <row r="501" spans="58:64" ht="16.5" x14ac:dyDescent="0.2">
      <c r="BF501" s="52">
        <v>496</v>
      </c>
      <c r="BG501" s="14">
        <f t="shared" si="73"/>
        <v>0</v>
      </c>
      <c r="BH501" s="14">
        <f t="shared" si="74"/>
        <v>480</v>
      </c>
      <c r="BI501" s="14">
        <f t="shared" si="75"/>
        <v>0</v>
      </c>
      <c r="BJ501" s="14">
        <f t="shared" si="76"/>
        <v>1200</v>
      </c>
      <c r="BK501" s="14">
        <f t="shared" si="77"/>
        <v>480</v>
      </c>
      <c r="BL501" s="14">
        <f t="shared" si="72"/>
        <v>960</v>
      </c>
    </row>
    <row r="502" spans="58:64" ht="16.5" x14ac:dyDescent="0.2">
      <c r="BF502" s="52">
        <v>497</v>
      </c>
      <c r="BG502" s="14">
        <f t="shared" si="73"/>
        <v>0</v>
      </c>
      <c r="BH502" s="14">
        <f t="shared" si="74"/>
        <v>480</v>
      </c>
      <c r="BI502" s="14">
        <f t="shared" si="75"/>
        <v>0</v>
      </c>
      <c r="BJ502" s="14">
        <f t="shared" si="76"/>
        <v>1200</v>
      </c>
      <c r="BK502" s="14">
        <f t="shared" si="77"/>
        <v>480</v>
      </c>
      <c r="BL502" s="14">
        <f t="shared" si="72"/>
        <v>960</v>
      </c>
    </row>
    <row r="503" spans="58:64" ht="16.5" x14ac:dyDescent="0.2">
      <c r="BF503" s="52">
        <v>498</v>
      </c>
      <c r="BG503" s="14">
        <f t="shared" si="73"/>
        <v>0</v>
      </c>
      <c r="BH503" s="14">
        <f t="shared" si="74"/>
        <v>480</v>
      </c>
      <c r="BI503" s="14">
        <f t="shared" si="75"/>
        <v>0</v>
      </c>
      <c r="BJ503" s="14">
        <f t="shared" si="76"/>
        <v>1200</v>
      </c>
      <c r="BK503" s="14">
        <f t="shared" si="77"/>
        <v>480</v>
      </c>
      <c r="BL503" s="14">
        <f t="shared" si="72"/>
        <v>960</v>
      </c>
    </row>
    <row r="504" spans="58:64" ht="16.5" x14ac:dyDescent="0.2">
      <c r="BF504" s="52">
        <v>499</v>
      </c>
      <c r="BG504" s="14">
        <f t="shared" si="73"/>
        <v>0</v>
      </c>
      <c r="BH504" s="14">
        <f t="shared" si="74"/>
        <v>480</v>
      </c>
      <c r="BI504" s="14">
        <f t="shared" si="75"/>
        <v>0</v>
      </c>
      <c r="BJ504" s="14">
        <f t="shared" si="76"/>
        <v>1200</v>
      </c>
      <c r="BK504" s="14">
        <f t="shared" si="77"/>
        <v>480</v>
      </c>
      <c r="BL504" s="14">
        <f t="shared" si="72"/>
        <v>960</v>
      </c>
    </row>
    <row r="505" spans="58:64" ht="16.5" x14ac:dyDescent="0.2">
      <c r="BF505" s="52">
        <v>500</v>
      </c>
      <c r="BG505" s="14">
        <f t="shared" si="73"/>
        <v>0</v>
      </c>
      <c r="BH505" s="14">
        <f t="shared" si="74"/>
        <v>480</v>
      </c>
      <c r="BI505" s="14">
        <f t="shared" si="75"/>
        <v>0</v>
      </c>
      <c r="BJ505" s="14">
        <f t="shared" si="76"/>
        <v>1200</v>
      </c>
      <c r="BK505" s="14">
        <f t="shared" si="77"/>
        <v>480</v>
      </c>
      <c r="BL505" s="14">
        <f t="shared" si="72"/>
        <v>960</v>
      </c>
    </row>
  </sheetData>
  <mergeCells count="9">
    <mergeCell ref="A3:I3"/>
    <mergeCell ref="L3:T3"/>
    <mergeCell ref="W3:AE3"/>
    <mergeCell ref="AH3:AP3"/>
    <mergeCell ref="BQ3:BR3"/>
    <mergeCell ref="AS3:AT3"/>
    <mergeCell ref="AV3:AW3"/>
    <mergeCell ref="AY3:AZ3"/>
    <mergeCell ref="BB3:BC3"/>
  </mergeCells>
  <phoneticPr fontId="2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V53"/>
  <sheetViews>
    <sheetView topLeftCell="V1" workbookViewId="0">
      <selection activeCell="S29" sqref="S29"/>
    </sheetView>
  </sheetViews>
  <sheetFormatPr defaultRowHeight="14.25" x14ac:dyDescent="0.2"/>
  <cols>
    <col min="1" max="1" width="9.625" customWidth="1"/>
    <col min="2" max="2" width="9" customWidth="1"/>
    <col min="3" max="3" width="9.125" customWidth="1"/>
    <col min="4" max="4" width="11" customWidth="1"/>
    <col min="5" max="5" width="12" customWidth="1"/>
    <col min="6" max="10" width="10.625" customWidth="1"/>
    <col min="11" max="11" width="11.875" customWidth="1"/>
    <col min="12" max="13" width="11.75" customWidth="1"/>
    <col min="14" max="14" width="11.875" customWidth="1"/>
    <col min="15" max="15" width="12.25" customWidth="1"/>
    <col min="16" max="17" width="14" customWidth="1"/>
    <col min="18" max="23" width="10.625" customWidth="1"/>
    <col min="24" max="24" width="9" customWidth="1"/>
    <col min="25" max="25" width="9.375" customWidth="1"/>
    <col min="26" max="26" width="14.75" customWidth="1"/>
    <col min="27" max="29" width="10.625" customWidth="1"/>
    <col min="30" max="30" width="10.625" style="142" customWidth="1"/>
    <col min="31" max="31" width="10.875" customWidth="1"/>
    <col min="32" max="32" width="11" customWidth="1"/>
    <col min="33" max="34" width="10.625" customWidth="1"/>
    <col min="35" max="35" width="11.25" customWidth="1"/>
    <col min="36" max="36" width="12.125" customWidth="1"/>
    <col min="37" max="37" width="11.125" customWidth="1"/>
    <col min="39" max="39" width="12.125" style="138" customWidth="1"/>
    <col min="41" max="41" width="9" style="142"/>
    <col min="43" max="43" width="11.5" customWidth="1"/>
    <col min="44" max="44" width="10.625" customWidth="1"/>
    <col min="45" max="45" width="11.125" customWidth="1"/>
    <col min="46" max="48" width="10.625" customWidth="1"/>
  </cols>
  <sheetData>
    <row r="1" spans="1:48" x14ac:dyDescent="0.2">
      <c r="P1">
        <v>5</v>
      </c>
    </row>
    <row r="2" spans="1:48" ht="20.25" x14ac:dyDescent="0.2">
      <c r="A2" s="233" t="s">
        <v>128</v>
      </c>
      <c r="B2" s="233"/>
      <c r="C2" s="233"/>
      <c r="D2" s="233"/>
      <c r="E2" s="233"/>
      <c r="F2" s="233"/>
      <c r="G2" s="233"/>
      <c r="H2" s="233"/>
      <c r="I2" s="233"/>
      <c r="J2" s="233"/>
      <c r="K2" s="233"/>
      <c r="L2" s="233"/>
      <c r="M2" s="233"/>
      <c r="N2" s="233"/>
      <c r="O2" s="233"/>
      <c r="P2" s="233"/>
      <c r="Q2" s="233"/>
      <c r="T2" s="35">
        <v>0.1</v>
      </c>
    </row>
    <row r="3" spans="1:48" ht="17.25" x14ac:dyDescent="0.2">
      <c r="A3" s="12" t="s">
        <v>120</v>
      </c>
      <c r="B3" s="12" t="s">
        <v>1069</v>
      </c>
      <c r="C3" s="12" t="s">
        <v>127</v>
      </c>
      <c r="D3" s="12" t="s">
        <v>130</v>
      </c>
      <c r="E3" s="12" t="s">
        <v>121</v>
      </c>
      <c r="F3" s="12" t="s">
        <v>122</v>
      </c>
      <c r="G3" s="12" t="s">
        <v>205</v>
      </c>
      <c r="H3" s="12" t="s">
        <v>126</v>
      </c>
      <c r="I3" s="12" t="s">
        <v>206</v>
      </c>
      <c r="J3" s="12" t="s">
        <v>132</v>
      </c>
      <c r="K3" s="12" t="s">
        <v>123</v>
      </c>
      <c r="L3" s="12" t="s">
        <v>124</v>
      </c>
      <c r="M3" s="12" t="s">
        <v>125</v>
      </c>
      <c r="N3" s="12" t="s">
        <v>129</v>
      </c>
      <c r="O3" s="12" t="s">
        <v>135</v>
      </c>
      <c r="P3" s="12" t="s">
        <v>405</v>
      </c>
      <c r="Q3" s="12" t="s">
        <v>133</v>
      </c>
      <c r="S3" s="12" t="s">
        <v>215</v>
      </c>
      <c r="T3" s="12" t="s">
        <v>406</v>
      </c>
      <c r="V3" s="12" t="s">
        <v>1070</v>
      </c>
      <c r="W3" s="12" t="s">
        <v>1071</v>
      </c>
      <c r="X3" s="12" t="s">
        <v>1072</v>
      </c>
      <c r="Y3" s="12" t="s">
        <v>1073</v>
      </c>
      <c r="Z3" s="12" t="s">
        <v>1074</v>
      </c>
      <c r="AB3" s="12" t="s">
        <v>1075</v>
      </c>
      <c r="AC3" s="12" t="s">
        <v>1107</v>
      </c>
      <c r="AD3" s="12" t="s">
        <v>1106</v>
      </c>
      <c r="AE3" s="12" t="s">
        <v>1077</v>
      </c>
      <c r="AF3" s="12" t="s">
        <v>1078</v>
      </c>
      <c r="AG3" s="12" t="s">
        <v>1079</v>
      </c>
      <c r="AH3" s="12" t="s">
        <v>1080</v>
      </c>
      <c r="AI3" s="12" t="s">
        <v>1081</v>
      </c>
      <c r="AJ3" s="12" t="s">
        <v>1082</v>
      </c>
      <c r="AK3" s="12" t="s">
        <v>1083</v>
      </c>
      <c r="AM3" s="12" t="s">
        <v>1084</v>
      </c>
      <c r="AN3" s="12" t="s">
        <v>1076</v>
      </c>
      <c r="AO3" s="12" t="s">
        <v>1117</v>
      </c>
      <c r="AP3" s="12" t="s">
        <v>1077</v>
      </c>
      <c r="AQ3" s="12" t="s">
        <v>1078</v>
      </c>
      <c r="AR3" s="12" t="s">
        <v>1079</v>
      </c>
      <c r="AS3" s="12" t="s">
        <v>1080</v>
      </c>
      <c r="AT3" s="12" t="s">
        <v>1081</v>
      </c>
      <c r="AU3" s="12" t="s">
        <v>1082</v>
      </c>
      <c r="AV3" s="12" t="s">
        <v>1083</v>
      </c>
    </row>
    <row r="4" spans="1:48" ht="16.5" x14ac:dyDescent="0.2">
      <c r="A4" s="24">
        <v>1</v>
      </c>
      <c r="B4" s="14">
        <f>节奏总表!L5</f>
        <v>1</v>
      </c>
      <c r="C4" s="14">
        <f>节奏总表!AC5</f>
        <v>0</v>
      </c>
      <c r="D4" s="14">
        <f>节奏总表!N5*60</f>
        <v>0</v>
      </c>
      <c r="E4" s="14">
        <f>INDEX(章节关卡!$I$6:$I$35,金币总表!A4)*D4</f>
        <v>0</v>
      </c>
      <c r="F4" s="14">
        <f>SUMIFS(章节关卡!$BE$5:$BE$304,章节关卡!$BB$5:$BB$304,"="&amp;金币总表!A4)</f>
        <v>3000</v>
      </c>
      <c r="G4" s="14">
        <f>章节关卡!Z6</f>
        <v>1500</v>
      </c>
      <c r="H4" s="24">
        <v>0</v>
      </c>
      <c r="I4" s="34">
        <v>0</v>
      </c>
      <c r="J4" s="14">
        <f>SUMIFS(芦花古楼!$H$5:$H$104,芦花古楼!$B$5:$B$104,"="&amp;金币总表!A4)</f>
        <v>0</v>
      </c>
      <c r="K4" s="14">
        <f>SUMIFS(芦花古楼!$S$5:$S$104,芦花古楼!$M$5:$M$104,"="&amp;金币总表!A4)</f>
        <v>0</v>
      </c>
      <c r="L4" s="14">
        <f>SUMIFS(芦花古楼!$AD$5:$AD$104,芦花古楼!$AI$5:$AI$104,"="&amp;金币总表!A4)</f>
        <v>0</v>
      </c>
      <c r="M4" s="14">
        <f>SUMIFS(芦花古楼!$AO$5:$AO$104,芦花古楼!$AI$5:$AI$104,"="&amp;金币总表!A4)</f>
        <v>0</v>
      </c>
      <c r="N4" s="14">
        <f>INDEX('恶灵入侵-专属解封'!$AF$6:$AF$22,MATCH(金币总表!B4,'恶灵入侵-专属解封'!$U$6:$U$22,1))</f>
        <v>0</v>
      </c>
      <c r="O4" s="14"/>
      <c r="P4" s="14">
        <f>INDEX(日常副本!$F$6:$F$18,MATCH(金币总表!B4,日常副本!$B$6:$B$18,1))*C4*P$1</f>
        <v>0</v>
      </c>
      <c r="Q4" s="14">
        <f t="shared" ref="Q4:Q33" si="0">SUM(E4:P4)</f>
        <v>4500</v>
      </c>
      <c r="S4" s="14" t="e">
        <f>ROUND(Q4/C4/价值概述!$B$3,0)</f>
        <v>#DIV/0!</v>
      </c>
      <c r="T4" s="136" t="e">
        <f>INT(S4*价值概述!$B$3*$T$2/50/5)*5</f>
        <v>#DIV/0!</v>
      </c>
      <c r="V4" s="136">
        <v>0</v>
      </c>
      <c r="W4" s="136">
        <v>0</v>
      </c>
      <c r="X4" s="136">
        <v>0</v>
      </c>
      <c r="Y4" s="136">
        <v>0</v>
      </c>
      <c r="Z4" s="136">
        <v>0</v>
      </c>
      <c r="AB4" s="21"/>
      <c r="AC4" s="21"/>
      <c r="AD4" s="21"/>
      <c r="AE4" s="21"/>
      <c r="AF4" s="21"/>
      <c r="AG4" s="21"/>
      <c r="AH4" s="21"/>
      <c r="AI4" s="21"/>
      <c r="AJ4" s="21"/>
      <c r="AK4" s="21"/>
      <c r="AM4" s="136"/>
      <c r="AN4" s="136"/>
      <c r="AO4" s="139"/>
      <c r="AP4" s="136"/>
      <c r="AQ4" s="136"/>
      <c r="AR4" s="136"/>
      <c r="AS4" s="136"/>
      <c r="AT4" s="136"/>
      <c r="AU4" s="136"/>
      <c r="AV4" s="136"/>
    </row>
    <row r="5" spans="1:48" ht="16.5" x14ac:dyDescent="0.2">
      <c r="A5" s="24">
        <v>2</v>
      </c>
      <c r="B5" s="14">
        <f>节奏总表!L6</f>
        <v>7</v>
      </c>
      <c r="C5" s="14">
        <f>节奏总表!AC6</f>
        <v>0.08</v>
      </c>
      <c r="D5" s="14">
        <f>节奏总表!N6*60</f>
        <v>240</v>
      </c>
      <c r="E5" s="14">
        <f>INDEX(章节关卡!$I$6:$I$35,金币总表!A5)*D5</f>
        <v>3600</v>
      </c>
      <c r="F5" s="14">
        <f>SUMIFS(章节关卡!$BE$5:$BE$304,章节关卡!$BB$5:$BB$304,"="&amp;金币总表!A5)</f>
        <v>4500</v>
      </c>
      <c r="G5" s="14">
        <f>章节关卡!Z7</f>
        <v>2700</v>
      </c>
      <c r="H5" s="14">
        <f>SUMIFS(章节关卡!$BO$5:$BO$304,章节关卡!$BL$5:$BL$304,"="&amp;金币总表!A4)</f>
        <v>12000</v>
      </c>
      <c r="I5" s="14">
        <f>章节关卡!AP6</f>
        <v>3000</v>
      </c>
      <c r="J5" s="14">
        <f>SUMIFS(芦花古楼!$H$5:$H$104,芦花古楼!$B$5:$B$104,"="&amp;金币总表!A5)</f>
        <v>0</v>
      </c>
      <c r="K5" s="14">
        <f>SUMIFS(芦花古楼!$S$5:$S$104,芦花古楼!$M$5:$M$104,"="&amp;金币总表!A5)</f>
        <v>0</v>
      </c>
      <c r="L5" s="14">
        <f>SUMIFS(芦花古楼!$AD$5:$AD$104,芦花古楼!$AI$5:$AI$104,"="&amp;金币总表!A5)</f>
        <v>0</v>
      </c>
      <c r="M5" s="14">
        <f>SUMIFS(芦花古楼!$AO$5:$AO$104,芦花古楼!$AI$5:$AI$104,"="&amp;金币总表!A5)</f>
        <v>0</v>
      </c>
      <c r="N5" s="14">
        <f>INDEX('恶灵入侵-专属解封'!$AF$6:$AF$22,MATCH(金币总表!B5,'恶灵入侵-专属解封'!$U$6:$U$22,1))</f>
        <v>0</v>
      </c>
      <c r="O5" s="14"/>
      <c r="P5" s="14">
        <f>INDEX(日常副本!$F$6:$F$18,MATCH(金币总表!B5,日常副本!$B$6:$B$18,1))*C5*P$1</f>
        <v>0</v>
      </c>
      <c r="Q5" s="14">
        <f t="shared" si="0"/>
        <v>25800</v>
      </c>
      <c r="R5" s="134"/>
      <c r="S5" s="14">
        <f>ROUND(Q5/C5/价值概述!$B$3,0)</f>
        <v>323</v>
      </c>
      <c r="T5" s="136">
        <f>INT(S5*价值概述!$B$3*$T$2/50/5)*5</f>
        <v>645</v>
      </c>
      <c r="V5" s="136">
        <v>1</v>
      </c>
      <c r="W5" s="136" t="s">
        <v>522</v>
      </c>
      <c r="X5" s="136">
        <v>0</v>
      </c>
      <c r="Y5" s="136">
        <v>10</v>
      </c>
      <c r="Z5" s="136">
        <f>SUMIFS($Q$4:$Q$33,$B$4:$B$33,"&lt;="&amp;Y5,$B$4:$B$33,"&gt;"&amp;X5)</f>
        <v>30300</v>
      </c>
      <c r="AB5" s="21">
        <f>SUM(AC5:AK5)</f>
        <v>1</v>
      </c>
      <c r="AC5" s="21">
        <v>0.3</v>
      </c>
      <c r="AD5" s="21">
        <v>0.2</v>
      </c>
      <c r="AE5" s="21">
        <v>0.5</v>
      </c>
      <c r="AF5" s="21"/>
      <c r="AG5" s="21"/>
      <c r="AH5" s="21"/>
      <c r="AI5" s="21"/>
      <c r="AJ5" s="21"/>
      <c r="AK5" s="21">
        <v>0</v>
      </c>
      <c r="AM5" s="136">
        <f>$Z5*AB5</f>
        <v>30300</v>
      </c>
      <c r="AN5" s="136">
        <f>$Z5*AC5</f>
        <v>9090</v>
      </c>
      <c r="AO5" s="139">
        <f>$Z5*AD5</f>
        <v>6060</v>
      </c>
      <c r="AP5" s="136">
        <f t="shared" ref="AP5:AV5" si="1">$Z5*AE5</f>
        <v>15150</v>
      </c>
      <c r="AQ5" s="136">
        <f t="shared" si="1"/>
        <v>0</v>
      </c>
      <c r="AR5" s="136">
        <f t="shared" si="1"/>
        <v>0</v>
      </c>
      <c r="AS5" s="136">
        <f t="shared" si="1"/>
        <v>0</v>
      </c>
      <c r="AT5" s="136">
        <f t="shared" si="1"/>
        <v>0</v>
      </c>
      <c r="AU5" s="136">
        <f t="shared" si="1"/>
        <v>0</v>
      </c>
      <c r="AV5" s="136">
        <f t="shared" si="1"/>
        <v>0</v>
      </c>
    </row>
    <row r="6" spans="1:48" ht="16.5" x14ac:dyDescent="0.2">
      <c r="A6" s="24">
        <v>3</v>
      </c>
      <c r="B6" s="14">
        <f>节奏总表!L7</f>
        <v>15</v>
      </c>
      <c r="C6" s="14">
        <f>节奏总表!AC7</f>
        <v>0.42</v>
      </c>
      <c r="D6" s="14">
        <f>节奏总表!N7*60</f>
        <v>1200</v>
      </c>
      <c r="E6" s="14">
        <f>INDEX(章节关卡!$I$6:$I$35,金币总表!A6)*D6</f>
        <v>24000</v>
      </c>
      <c r="F6" s="14">
        <f>SUMIFS(章节关卡!$BE$5:$BE$304,章节关卡!$BB$5:$BB$304,"="&amp;金币总表!A6)</f>
        <v>6000</v>
      </c>
      <c r="G6" s="14">
        <f>章节关卡!Z8</f>
        <v>4200</v>
      </c>
      <c r="H6" s="14">
        <f>SUMIFS(章节关卡!$BO$5:$BO$304,章节关卡!$BL$5:$BL$304,"="&amp;金币总表!A5)</f>
        <v>9000</v>
      </c>
      <c r="I6" s="14">
        <f>章节关卡!AP7</f>
        <v>5400</v>
      </c>
      <c r="J6" s="14">
        <f>SUMIFS(芦花古楼!$H$5:$H$104,芦花古楼!$B$5:$B$104,"="&amp;金币总表!A6)</f>
        <v>0</v>
      </c>
      <c r="K6" s="14">
        <f>SUMIFS(芦花古楼!$S$5:$S$104,芦花古楼!$M$5:$M$104,"="&amp;金币总表!A6)</f>
        <v>0</v>
      </c>
      <c r="L6" s="14">
        <f>SUMIFS(芦花古楼!$AD$5:$AD$104,芦花古楼!$AI$5:$AI$104,"="&amp;金币总表!A6)</f>
        <v>0</v>
      </c>
      <c r="M6" s="14">
        <f>SUMIFS(芦花古楼!$AO$5:$AO$104,芦花古楼!$AI$5:$AI$104,"="&amp;金币总表!A6)</f>
        <v>0</v>
      </c>
      <c r="N6" s="14">
        <f>INDEX('恶灵入侵-专属解封'!$AF$6:$AF$22,MATCH(金币总表!B6,'恶灵入侵-专属解封'!$U$6:$U$22,1))</f>
        <v>0</v>
      </c>
      <c r="O6" s="14"/>
      <c r="P6" s="14">
        <f>INDEX(日常副本!$F$6:$F$18,MATCH(金币总表!B6,日常副本!$B$6:$B$18,1))*C6*P$1</f>
        <v>0</v>
      </c>
      <c r="Q6" s="14">
        <f t="shared" si="0"/>
        <v>48600</v>
      </c>
      <c r="R6" s="134"/>
      <c r="S6" s="14">
        <f>ROUND(Q6/C6/价值概述!$B$3,0)</f>
        <v>116</v>
      </c>
      <c r="T6" s="136">
        <f>INT(S6*价值概述!$B$3*$T$2/50/5)*5</f>
        <v>230</v>
      </c>
      <c r="V6" s="136">
        <v>2</v>
      </c>
      <c r="W6" s="136" t="s">
        <v>523</v>
      </c>
      <c r="X6" s="136">
        <v>10</v>
      </c>
      <c r="Y6" s="136">
        <v>30</v>
      </c>
      <c r="Z6" s="136">
        <f>SUMIFS($Q$4:$Q$33,$B$4:$B$33,"&lt;="&amp;Y6,$B$4:$B$33,"&gt;"&amp;X6)</f>
        <v>292550</v>
      </c>
      <c r="AB6" s="21">
        <f t="shared" ref="AB6:AB12" si="2">SUM(AC6:AK6)</f>
        <v>1</v>
      </c>
      <c r="AC6" s="21">
        <v>0.15</v>
      </c>
      <c r="AD6" s="21">
        <v>0.1</v>
      </c>
      <c r="AE6" s="21">
        <v>0.2</v>
      </c>
      <c r="AF6" s="21">
        <v>0.55000000000000004</v>
      </c>
      <c r="AG6" s="21">
        <v>0</v>
      </c>
      <c r="AH6" s="21"/>
      <c r="AI6" s="21"/>
      <c r="AJ6" s="21"/>
      <c r="AK6" s="21">
        <v>0</v>
      </c>
      <c r="AM6" s="136">
        <f t="shared" ref="AM6:AM12" si="3">$Z6*AB6</f>
        <v>292550</v>
      </c>
      <c r="AN6" s="136">
        <f t="shared" ref="AN6:AN12" si="4">$Z6*AC6</f>
        <v>43882.5</v>
      </c>
      <c r="AO6" s="139">
        <f t="shared" ref="AO6:AO12" si="5">$Z6*AD6</f>
        <v>29255</v>
      </c>
      <c r="AP6" s="136">
        <f t="shared" ref="AP6:AP12" si="6">$Z6*AE6</f>
        <v>58510</v>
      </c>
      <c r="AQ6" s="136">
        <f>$Z6*AF6</f>
        <v>160902.5</v>
      </c>
      <c r="AR6" s="136">
        <f t="shared" ref="AR6:AR12" si="7">$Z6*AG6</f>
        <v>0</v>
      </c>
      <c r="AS6" s="136">
        <f t="shared" ref="AS6:AS12" si="8">$Z6*AH6</f>
        <v>0</v>
      </c>
      <c r="AT6" s="136">
        <f t="shared" ref="AT6:AT12" si="9">$Z6*AI6</f>
        <v>0</v>
      </c>
      <c r="AU6" s="136">
        <f t="shared" ref="AU6:AU12" si="10">$Z6*AJ6</f>
        <v>0</v>
      </c>
      <c r="AV6" s="136">
        <f t="shared" ref="AV6:AV12" si="11">$Z6*AK6</f>
        <v>0</v>
      </c>
    </row>
    <row r="7" spans="1:48" ht="16.5" x14ac:dyDescent="0.2">
      <c r="A7" s="24">
        <v>4</v>
      </c>
      <c r="B7" s="14">
        <f>节奏总表!L8</f>
        <v>25</v>
      </c>
      <c r="C7" s="14">
        <f>节奏总表!AC8</f>
        <v>0.71</v>
      </c>
      <c r="D7" s="14">
        <f>节奏总表!N8*60</f>
        <v>1320</v>
      </c>
      <c r="E7" s="14">
        <f>INDEX(章节关卡!$I$6:$I$35,金币总表!A7)*D7</f>
        <v>33000</v>
      </c>
      <c r="F7" s="14">
        <f>SUMIFS(章节关卡!$BE$5:$BE$304,章节关卡!$BB$5:$BB$304,"="&amp;金币总表!A7)</f>
        <v>7500</v>
      </c>
      <c r="G7" s="14">
        <f>章节关卡!Z9</f>
        <v>4800</v>
      </c>
      <c r="H7" s="14">
        <f>SUMIFS(章节关卡!$BO$5:$BO$304,章节关卡!$BL$5:$BL$304,"="&amp;金币总表!A6)</f>
        <v>12000</v>
      </c>
      <c r="I7" s="14">
        <f>章节关卡!AP8</f>
        <v>8400</v>
      </c>
      <c r="J7" s="14">
        <f>SUMIFS(芦花古楼!$H$5:$H$104,芦花古楼!$B$5:$B$104,"="&amp;金币总表!A7)</f>
        <v>0</v>
      </c>
      <c r="K7" s="14">
        <f>SUMIFS(芦花古楼!$S$5:$S$104,芦花古楼!$M$5:$M$104,"="&amp;金币总表!A7)</f>
        <v>0</v>
      </c>
      <c r="L7" s="14">
        <f>SUMIFS(芦花古楼!$AD$5:$AD$104,芦花古楼!$AI$5:$AI$104,"="&amp;金币总表!A7)</f>
        <v>0</v>
      </c>
      <c r="M7" s="14">
        <f>SUMIFS(芦花古楼!$AO$5:$AO$104,芦花古楼!$AI$5:$AI$104,"="&amp;金币总表!A7)</f>
        <v>0</v>
      </c>
      <c r="N7" s="14">
        <f>INDEX('恶灵入侵-专属解封'!$AF$6:$AF$22,MATCH(金币总表!B7,'恶灵入侵-专属解封'!$U$6:$U$22,1))</f>
        <v>0</v>
      </c>
      <c r="O7" s="14">
        <f>日常任务!$E$2*金币总表!C7</f>
        <v>14200</v>
      </c>
      <c r="P7" s="14">
        <f>INDEX(日常副本!$F$6:$F$18,MATCH(金币总表!B7,日常副本!$B$6:$B$18,1))*C7*P$1</f>
        <v>35500</v>
      </c>
      <c r="Q7" s="14">
        <f t="shared" si="0"/>
        <v>115400</v>
      </c>
      <c r="R7" s="134"/>
      <c r="S7" s="14">
        <f>ROUND(Q7/C7/价值概述!$B$3,0)</f>
        <v>163</v>
      </c>
      <c r="T7" s="136">
        <f>INT(S7*价值概述!$B$3*$T$2/50/5)*5</f>
        <v>325</v>
      </c>
      <c r="V7" s="136">
        <v>3</v>
      </c>
      <c r="W7" s="136" t="s">
        <v>525</v>
      </c>
      <c r="X7" s="136">
        <v>30</v>
      </c>
      <c r="Y7" s="136">
        <v>50</v>
      </c>
      <c r="Z7" s="136">
        <f t="shared" ref="Z7:Z12" si="12">SUMIFS($Q$4:$Q$33,$B$4:$B$33,"&lt;="&amp;Y7,$B$4:$B$33,"&gt;"&amp;X7)</f>
        <v>890100</v>
      </c>
      <c r="AB7" s="21">
        <f t="shared" si="2"/>
        <v>1.1000000000000001</v>
      </c>
      <c r="AC7" s="21">
        <v>0.1</v>
      </c>
      <c r="AD7" s="21">
        <v>0.1</v>
      </c>
      <c r="AE7" s="21">
        <v>0.1</v>
      </c>
      <c r="AF7" s="21">
        <v>0.5</v>
      </c>
      <c r="AG7" s="21">
        <v>0</v>
      </c>
      <c r="AH7" s="21"/>
      <c r="AI7" s="21">
        <v>0.2</v>
      </c>
      <c r="AJ7" s="21">
        <v>0.1</v>
      </c>
      <c r="AK7" s="21">
        <v>0</v>
      </c>
      <c r="AM7" s="136">
        <f t="shared" si="3"/>
        <v>979110.00000000012</v>
      </c>
      <c r="AN7" s="136">
        <f t="shared" si="4"/>
        <v>89010</v>
      </c>
      <c r="AO7" s="139">
        <f t="shared" si="5"/>
        <v>89010</v>
      </c>
      <c r="AP7" s="136">
        <f t="shared" si="6"/>
        <v>89010</v>
      </c>
      <c r="AQ7" s="136">
        <f t="shared" ref="AQ7:AQ12" si="13">$Z7*AF7</f>
        <v>445050</v>
      </c>
      <c r="AR7" s="136">
        <f t="shared" si="7"/>
        <v>0</v>
      </c>
      <c r="AS7" s="136">
        <f t="shared" si="8"/>
        <v>0</v>
      </c>
      <c r="AT7" s="136">
        <f t="shared" si="9"/>
        <v>178020</v>
      </c>
      <c r="AU7" s="136">
        <f t="shared" si="10"/>
        <v>89010</v>
      </c>
      <c r="AV7" s="136">
        <f t="shared" si="11"/>
        <v>0</v>
      </c>
    </row>
    <row r="8" spans="1:48" ht="16.5" x14ac:dyDescent="0.2">
      <c r="A8" s="24">
        <v>5</v>
      </c>
      <c r="B8" s="14">
        <f>节奏总表!L9</f>
        <v>30</v>
      </c>
      <c r="C8" s="14">
        <f>节奏总表!AC9</f>
        <v>0.5</v>
      </c>
      <c r="D8" s="14">
        <f>节奏总表!N9*60</f>
        <v>1440</v>
      </c>
      <c r="E8" s="14">
        <f>INDEX(章节关卡!$I$6:$I$35,金币总表!A8)*D8</f>
        <v>43200</v>
      </c>
      <c r="F8" s="14">
        <f>SUMIFS(章节关卡!$BE$5:$BE$304,章节关卡!$BB$5:$BB$304,"="&amp;金币总表!A8)</f>
        <v>9000</v>
      </c>
      <c r="G8" s="14">
        <f>章节关卡!Z10</f>
        <v>6750</v>
      </c>
      <c r="H8" s="14">
        <f>SUMIFS(章节关卡!$BO$5:$BO$304,章节关卡!$BL$5:$BL$304,"="&amp;金币总表!A7)</f>
        <v>15000</v>
      </c>
      <c r="I8" s="14">
        <f>章节关卡!AP9</f>
        <v>9600</v>
      </c>
      <c r="J8" s="14">
        <f>SUMIFS(芦花古楼!$H$5:$H$104,芦花古楼!$B$5:$B$104,"="&amp;金币总表!A8)</f>
        <v>0</v>
      </c>
      <c r="K8" s="14">
        <f>SUMIFS(芦花古楼!$S$5:$S$104,芦花古楼!$M$5:$M$104,"="&amp;金币总表!A8)</f>
        <v>0</v>
      </c>
      <c r="L8" s="14">
        <f>SUMIFS(芦花古楼!$AD$5:$AD$104,芦花古楼!$AI$5:$AI$104,"="&amp;金币总表!A8)</f>
        <v>0</v>
      </c>
      <c r="M8" s="14">
        <f>SUMIFS(芦花古楼!$AO$5:$AO$104,芦花古楼!$AI$5:$AI$104,"="&amp;金币总表!A8)</f>
        <v>0</v>
      </c>
      <c r="N8" s="14">
        <f>INDEX('恶灵入侵-专属解封'!$AF$6:$AF$22,MATCH(金币总表!B8,'恶灵入侵-专属解封'!$U$6:$U$22,1))</f>
        <v>0</v>
      </c>
      <c r="O8" s="14">
        <f>日常任务!$E$2*金币总表!C8</f>
        <v>10000</v>
      </c>
      <c r="P8" s="14">
        <f>INDEX(日常副本!$F$6:$F$18,MATCH(金币总表!B8,日常副本!$B$6:$B$18,1))*C8*P$1</f>
        <v>35000</v>
      </c>
      <c r="Q8" s="14">
        <f t="shared" si="0"/>
        <v>128550</v>
      </c>
      <c r="R8" s="134"/>
      <c r="S8" s="14">
        <f>ROUND(Q8/C8/价值概述!$B$3,0)</f>
        <v>257</v>
      </c>
      <c r="T8" s="136">
        <f>INT(S8*价值概述!$B$3*$T$2/50/5)*5</f>
        <v>510</v>
      </c>
      <c r="V8" s="136">
        <v>4</v>
      </c>
      <c r="W8" s="136" t="s">
        <v>527</v>
      </c>
      <c r="X8" s="136">
        <v>50</v>
      </c>
      <c r="Y8" s="136">
        <v>70</v>
      </c>
      <c r="Z8" s="136">
        <f t="shared" si="12"/>
        <v>1909850</v>
      </c>
      <c r="AB8" s="21">
        <f t="shared" si="2"/>
        <v>1.2000000000000002</v>
      </c>
      <c r="AC8" s="21">
        <v>0.1</v>
      </c>
      <c r="AD8" s="21">
        <v>0.1</v>
      </c>
      <c r="AE8" s="21">
        <v>0.1</v>
      </c>
      <c r="AF8" s="21">
        <v>0.4</v>
      </c>
      <c r="AG8" s="21">
        <v>0</v>
      </c>
      <c r="AH8" s="21">
        <v>0.2</v>
      </c>
      <c r="AI8" s="21">
        <v>0.2</v>
      </c>
      <c r="AJ8" s="21">
        <v>0.1</v>
      </c>
      <c r="AK8" s="21">
        <v>0</v>
      </c>
      <c r="AM8" s="136">
        <f t="shared" si="3"/>
        <v>2291820.0000000005</v>
      </c>
      <c r="AN8" s="136">
        <f t="shared" si="4"/>
        <v>190985</v>
      </c>
      <c r="AO8" s="139">
        <f t="shared" si="5"/>
        <v>190985</v>
      </c>
      <c r="AP8" s="136">
        <f t="shared" si="6"/>
        <v>190985</v>
      </c>
      <c r="AQ8" s="136">
        <f t="shared" si="13"/>
        <v>763940</v>
      </c>
      <c r="AR8" s="136">
        <f t="shared" si="7"/>
        <v>0</v>
      </c>
      <c r="AS8" s="136">
        <f t="shared" si="8"/>
        <v>381970</v>
      </c>
      <c r="AT8" s="136">
        <f t="shared" si="9"/>
        <v>381970</v>
      </c>
      <c r="AU8" s="136">
        <f t="shared" si="10"/>
        <v>190985</v>
      </c>
      <c r="AV8" s="136">
        <f t="shared" si="11"/>
        <v>0</v>
      </c>
    </row>
    <row r="9" spans="1:48" ht="16.5" x14ac:dyDescent="0.2">
      <c r="A9" s="24">
        <v>6</v>
      </c>
      <c r="B9" s="14">
        <f>节奏总表!L10</f>
        <v>35</v>
      </c>
      <c r="C9" s="14">
        <f>节奏总表!AC10</f>
        <v>0.54</v>
      </c>
      <c r="D9" s="14">
        <f>节奏总表!N10*60</f>
        <v>1560</v>
      </c>
      <c r="E9" s="14">
        <f>INDEX(章节关卡!$I$6:$I$35,金币总表!A9)*D9</f>
        <v>54600</v>
      </c>
      <c r="F9" s="14">
        <f>SUMIFS(章节关卡!$BE$5:$BE$304,章节关卡!$BB$5:$BB$304,"="&amp;金币总表!A9)</f>
        <v>10500</v>
      </c>
      <c r="G9" s="14">
        <f>章节关卡!Z11</f>
        <v>7500</v>
      </c>
      <c r="H9" s="14">
        <f>SUMIFS(章节关卡!$BO$5:$BO$304,章节关卡!$BL$5:$BL$304,"="&amp;金币总表!A8)</f>
        <v>18000</v>
      </c>
      <c r="I9" s="14">
        <f>章节关卡!AP10</f>
        <v>13500</v>
      </c>
      <c r="J9" s="14">
        <f>SUMIFS(芦花古楼!$H$5:$H$104,芦花古楼!$B$5:$B$104,"="&amp;金币总表!A9)</f>
        <v>0</v>
      </c>
      <c r="K9" s="14">
        <f>SUMIFS(芦花古楼!$S$5:$S$104,芦花古楼!$M$5:$M$104,"="&amp;金币总表!A9)</f>
        <v>0</v>
      </c>
      <c r="L9" s="14">
        <f>SUMIFS(芦花古楼!$AD$5:$AD$104,芦花古楼!$AI$5:$AI$104,"="&amp;金币总表!A9)</f>
        <v>0</v>
      </c>
      <c r="M9" s="14">
        <f>SUMIFS(芦花古楼!$AO$5:$AO$104,芦花古楼!$AI$5:$AI$104,"="&amp;金币总表!A9)</f>
        <v>0</v>
      </c>
      <c r="N9" s="14">
        <f>INDEX('恶灵入侵-专属解封'!$AF$6:$AF$22,MATCH(金币总表!B9,'恶灵入侵-专属解封'!$U$6:$U$22,1))</f>
        <v>15000</v>
      </c>
      <c r="O9" s="14">
        <f>日常任务!$E$2*金币总表!C9</f>
        <v>10800</v>
      </c>
      <c r="P9" s="14">
        <f>INDEX(日常副本!$F$6:$F$18,MATCH(金币总表!B9,日常副本!$B$6:$B$18,1))*C9*P$1</f>
        <v>37800.000000000007</v>
      </c>
      <c r="Q9" s="14">
        <f t="shared" si="0"/>
        <v>167700</v>
      </c>
      <c r="R9" s="134"/>
      <c r="S9" s="14">
        <f>ROUND(Q9/C9/价值概述!$B$3,0)</f>
        <v>311</v>
      </c>
      <c r="T9" s="136">
        <f>INT(S9*价值概述!$B$3*$T$2/50/5)*5</f>
        <v>620</v>
      </c>
      <c r="V9" s="136">
        <v>5</v>
      </c>
      <c r="W9" s="136" t="s">
        <v>529</v>
      </c>
      <c r="X9" s="136">
        <v>70</v>
      </c>
      <c r="Y9" s="136">
        <v>90</v>
      </c>
      <c r="Z9" s="136">
        <f t="shared" si="12"/>
        <v>4391000</v>
      </c>
      <c r="AB9" s="21">
        <f t="shared" si="2"/>
        <v>1.2000000000000002</v>
      </c>
      <c r="AC9" s="21">
        <v>0.1</v>
      </c>
      <c r="AD9" s="21">
        <v>0.1</v>
      </c>
      <c r="AE9" s="21">
        <v>0.1</v>
      </c>
      <c r="AF9" s="21">
        <v>0.4</v>
      </c>
      <c r="AG9" s="21">
        <v>0</v>
      </c>
      <c r="AH9" s="21">
        <v>0.2</v>
      </c>
      <c r="AI9" s="21">
        <v>0.2</v>
      </c>
      <c r="AJ9" s="21">
        <v>0.1</v>
      </c>
      <c r="AK9" s="21">
        <v>0</v>
      </c>
      <c r="AM9" s="136">
        <f t="shared" si="3"/>
        <v>5269200.0000000009</v>
      </c>
      <c r="AN9" s="136">
        <f t="shared" si="4"/>
        <v>439100</v>
      </c>
      <c r="AO9" s="139">
        <f t="shared" si="5"/>
        <v>439100</v>
      </c>
      <c r="AP9" s="136">
        <f t="shared" si="6"/>
        <v>439100</v>
      </c>
      <c r="AQ9" s="136">
        <f t="shared" si="13"/>
        <v>1756400</v>
      </c>
      <c r="AR9" s="136">
        <f t="shared" si="7"/>
        <v>0</v>
      </c>
      <c r="AS9" s="136">
        <f t="shared" si="8"/>
        <v>878200</v>
      </c>
      <c r="AT9" s="136">
        <f t="shared" si="9"/>
        <v>878200</v>
      </c>
      <c r="AU9" s="136">
        <f t="shared" si="10"/>
        <v>439100</v>
      </c>
      <c r="AV9" s="136">
        <f t="shared" si="11"/>
        <v>0</v>
      </c>
    </row>
    <row r="10" spans="1:48" ht="16.5" x14ac:dyDescent="0.2">
      <c r="A10" s="24">
        <v>7</v>
      </c>
      <c r="B10" s="14">
        <f>节奏总表!L11</f>
        <v>40</v>
      </c>
      <c r="C10" s="14">
        <f>节奏总表!AC11</f>
        <v>0.58000000000000007</v>
      </c>
      <c r="D10" s="14">
        <f>节奏总表!N11*60</f>
        <v>1680</v>
      </c>
      <c r="E10" s="14">
        <f>INDEX(章节关卡!$I$6:$I$35,金币总表!A10)*D10</f>
        <v>67200</v>
      </c>
      <c r="F10" s="14">
        <f>SUMIFS(章节关卡!$BE$5:$BE$304,章节关卡!$BB$5:$BB$304,"="&amp;金币总表!A10)</f>
        <v>12000</v>
      </c>
      <c r="G10" s="14">
        <f>章节关卡!Z12</f>
        <v>9000</v>
      </c>
      <c r="H10" s="14">
        <f>SUMIFS(章节关卡!$BO$5:$BO$304,章节关卡!$BL$5:$BL$304,"="&amp;金币总表!A9)</f>
        <v>21000</v>
      </c>
      <c r="I10" s="14">
        <f>章节关卡!AP11</f>
        <v>15000</v>
      </c>
      <c r="J10" s="14">
        <f>SUMIFS(芦花古楼!$H$5:$H$104,芦花古楼!$B$5:$B$104,"="&amp;金币总表!A10)</f>
        <v>0</v>
      </c>
      <c r="K10" s="14">
        <f>SUMIFS(芦花古楼!$S$5:$S$104,芦花古楼!$M$5:$M$104,"="&amp;金币总表!A10)</f>
        <v>0</v>
      </c>
      <c r="L10" s="14">
        <f>SUMIFS(芦花古楼!$AD$5:$AD$104,芦花古楼!$AI$5:$AI$104,"="&amp;金币总表!A10)</f>
        <v>0</v>
      </c>
      <c r="M10" s="14">
        <f>SUMIFS(芦花古楼!$AO$5:$AO$104,芦花古楼!$AI$5:$AI$104,"="&amp;金币总表!A10)</f>
        <v>0</v>
      </c>
      <c r="N10" s="14">
        <f>INDEX('恶灵入侵-专属解封'!$AF$6:$AF$22,MATCH(金币总表!B10,'恶灵入侵-专属解封'!$U$6:$U$22,1))</f>
        <v>18000</v>
      </c>
      <c r="O10" s="14">
        <f>日常任务!$E$2*金币总表!C10</f>
        <v>11600.000000000002</v>
      </c>
      <c r="P10" s="14">
        <f>INDEX(日常副本!$F$6:$F$18,MATCH(金币总表!B10,日常副本!$B$6:$B$18,1))*C10*P$1</f>
        <v>52200.000000000007</v>
      </c>
      <c r="Q10" s="14">
        <f t="shared" si="0"/>
        <v>206000</v>
      </c>
      <c r="R10" s="134"/>
      <c r="S10" s="14">
        <f>ROUND(Q10/C10/价值概述!$B$3,0)</f>
        <v>355</v>
      </c>
      <c r="T10" s="136">
        <f>INT(S10*价值概述!$B$3*$T$2/50/5)*5</f>
        <v>710</v>
      </c>
      <c r="V10" s="136">
        <v>6</v>
      </c>
      <c r="W10" s="136" t="s">
        <v>531</v>
      </c>
      <c r="X10" s="136">
        <v>90</v>
      </c>
      <c r="Y10" s="136">
        <v>110</v>
      </c>
      <c r="Z10" s="136">
        <f t="shared" si="12"/>
        <v>7777425</v>
      </c>
      <c r="AB10" s="21">
        <f t="shared" si="2"/>
        <v>1.2000000000000002</v>
      </c>
      <c r="AC10" s="21">
        <v>0.1</v>
      </c>
      <c r="AD10" s="21">
        <v>0.1</v>
      </c>
      <c r="AE10" s="21">
        <v>0.1</v>
      </c>
      <c r="AF10" s="21">
        <v>0.4</v>
      </c>
      <c r="AG10" s="21">
        <v>0</v>
      </c>
      <c r="AH10" s="21">
        <v>0.2</v>
      </c>
      <c r="AI10" s="21">
        <v>0.2</v>
      </c>
      <c r="AJ10" s="21">
        <v>0.1</v>
      </c>
      <c r="AK10" s="21">
        <v>0</v>
      </c>
      <c r="AM10" s="136">
        <f t="shared" si="3"/>
        <v>9332910.0000000019</v>
      </c>
      <c r="AN10" s="136">
        <f t="shared" si="4"/>
        <v>777742.5</v>
      </c>
      <c r="AO10" s="139">
        <f t="shared" si="5"/>
        <v>777742.5</v>
      </c>
      <c r="AP10" s="136">
        <f t="shared" si="6"/>
        <v>777742.5</v>
      </c>
      <c r="AQ10" s="136">
        <f t="shared" si="13"/>
        <v>3110970</v>
      </c>
      <c r="AR10" s="136">
        <f t="shared" si="7"/>
        <v>0</v>
      </c>
      <c r="AS10" s="136">
        <f t="shared" si="8"/>
        <v>1555485</v>
      </c>
      <c r="AT10" s="136">
        <f t="shared" si="9"/>
        <v>1555485</v>
      </c>
      <c r="AU10" s="136">
        <f t="shared" si="10"/>
        <v>777742.5</v>
      </c>
      <c r="AV10" s="136">
        <f t="shared" si="11"/>
        <v>0</v>
      </c>
    </row>
    <row r="11" spans="1:48" ht="16.5" x14ac:dyDescent="0.2">
      <c r="A11" s="24">
        <v>8</v>
      </c>
      <c r="B11" s="14">
        <f>节奏总表!L12</f>
        <v>45</v>
      </c>
      <c r="C11" s="14">
        <f>节奏总表!AC12</f>
        <v>0.62999999999999989</v>
      </c>
      <c r="D11" s="14">
        <f>节奏总表!N12*60</f>
        <v>1800</v>
      </c>
      <c r="E11" s="14">
        <f>INDEX(章节关卡!$I$6:$I$35,金币总表!A11)*D11</f>
        <v>81000</v>
      </c>
      <c r="F11" s="14">
        <f>SUMIFS(章节关卡!$BE$5:$BE$304,章节关卡!$BB$5:$BB$304,"="&amp;金币总表!A11)</f>
        <v>13500</v>
      </c>
      <c r="G11" s="14">
        <f>章节关卡!Z13</f>
        <v>10500</v>
      </c>
      <c r="H11" s="14">
        <f>SUMIFS(章节关卡!$BO$5:$BO$304,章节关卡!$BL$5:$BL$304,"="&amp;金币总表!A10)</f>
        <v>24000</v>
      </c>
      <c r="I11" s="14">
        <f>章节关卡!AP12</f>
        <v>18000</v>
      </c>
      <c r="J11" s="14">
        <f>SUMIFS(芦花古楼!$H$5:$H$104,芦花古楼!$B$5:$B$104,"="&amp;金币总表!A11)</f>
        <v>0</v>
      </c>
      <c r="K11" s="14">
        <f>SUMIFS(芦花古楼!$S$5:$S$104,芦花古楼!$M$5:$M$104,"="&amp;金币总表!A11)</f>
        <v>0</v>
      </c>
      <c r="L11" s="14">
        <f>SUMIFS(芦花古楼!$AD$5:$AD$104,芦花古楼!$AI$5:$AI$104,"="&amp;金币总表!A11)</f>
        <v>0</v>
      </c>
      <c r="M11" s="14">
        <f>SUMIFS(芦花古楼!$AO$5:$AO$104,芦花古楼!$AI$5:$AI$104,"="&amp;金币总表!A11)</f>
        <v>0</v>
      </c>
      <c r="N11" s="14">
        <f>INDEX('恶灵入侵-专属解封'!$AF$6:$AF$22,MATCH(金币总表!B11,'恶灵入侵-专属解封'!$U$6:$U$22,1))</f>
        <v>21000</v>
      </c>
      <c r="O11" s="14">
        <f>日常任务!$E$2*金币总表!C11</f>
        <v>12599.999999999998</v>
      </c>
      <c r="P11" s="14">
        <f>INDEX(日常副本!$F$6:$F$18,MATCH(金币总表!B11,日常副本!$B$6:$B$18,1))*C11*P$1</f>
        <v>56699.999999999993</v>
      </c>
      <c r="Q11" s="14">
        <f t="shared" si="0"/>
        <v>237300</v>
      </c>
      <c r="R11" s="134"/>
      <c r="S11" s="14">
        <f>ROUND(Q11/C11/价值概述!$B$3,0)</f>
        <v>377</v>
      </c>
      <c r="T11" s="136">
        <f>INT(S11*价值概述!$B$3*$T$2/50/5)*5</f>
        <v>750</v>
      </c>
      <c r="V11" s="136">
        <v>7</v>
      </c>
      <c r="W11" s="136" t="s">
        <v>533</v>
      </c>
      <c r="X11" s="136">
        <v>110</v>
      </c>
      <c r="Y11" s="136">
        <v>135</v>
      </c>
      <c r="Z11" s="136">
        <f t="shared" si="12"/>
        <v>18802320</v>
      </c>
      <c r="AB11" s="21">
        <f t="shared" si="2"/>
        <v>1.1000000000000001</v>
      </c>
      <c r="AC11" s="21">
        <v>0.1</v>
      </c>
      <c r="AD11" s="21">
        <v>0.1</v>
      </c>
      <c r="AE11" s="21"/>
      <c r="AF11" s="21">
        <v>0.4</v>
      </c>
      <c r="AG11" s="21">
        <v>0</v>
      </c>
      <c r="AH11" s="21">
        <v>0.2</v>
      </c>
      <c r="AI11" s="21">
        <v>0.2</v>
      </c>
      <c r="AJ11" s="21">
        <v>0.1</v>
      </c>
      <c r="AK11" s="21">
        <v>0</v>
      </c>
      <c r="AM11" s="136">
        <f t="shared" si="3"/>
        <v>20682552</v>
      </c>
      <c r="AN11" s="136">
        <f t="shared" si="4"/>
        <v>1880232</v>
      </c>
      <c r="AO11" s="139">
        <f t="shared" si="5"/>
        <v>1880232</v>
      </c>
      <c r="AP11" s="136">
        <f t="shared" si="6"/>
        <v>0</v>
      </c>
      <c r="AQ11" s="136">
        <f t="shared" si="13"/>
        <v>7520928</v>
      </c>
      <c r="AR11" s="136">
        <f t="shared" si="7"/>
        <v>0</v>
      </c>
      <c r="AS11" s="136">
        <f t="shared" si="8"/>
        <v>3760464</v>
      </c>
      <c r="AT11" s="136">
        <f t="shared" si="9"/>
        <v>3760464</v>
      </c>
      <c r="AU11" s="136">
        <f t="shared" si="10"/>
        <v>1880232</v>
      </c>
      <c r="AV11" s="136">
        <f t="shared" si="11"/>
        <v>0</v>
      </c>
    </row>
    <row r="12" spans="1:48" ht="16.5" x14ac:dyDescent="0.2">
      <c r="A12" s="24">
        <v>9</v>
      </c>
      <c r="B12" s="14">
        <f>节奏总表!L13</f>
        <v>50</v>
      </c>
      <c r="C12" s="14">
        <f>节奏总表!AC13</f>
        <v>0.71</v>
      </c>
      <c r="D12" s="14">
        <f>节奏总表!N13*60</f>
        <v>2040</v>
      </c>
      <c r="E12" s="14">
        <f>INDEX(章节关卡!$I$6:$I$35,金币总表!A12)*D12</f>
        <v>102000</v>
      </c>
      <c r="F12" s="14">
        <f>SUMIFS(章节关卡!$BE$5:$BE$304,章节关卡!$BB$5:$BB$304,"="&amp;金币总表!A12)</f>
        <v>15000</v>
      </c>
      <c r="G12" s="14">
        <f>章节关卡!Z14</f>
        <v>12000</v>
      </c>
      <c r="H12" s="14">
        <f>SUMIFS(章节关卡!$BO$5:$BO$304,章节关卡!$BL$5:$BL$304,"="&amp;金币总表!A11)</f>
        <v>27000</v>
      </c>
      <c r="I12" s="14">
        <f>章节关卡!AP13</f>
        <v>21000</v>
      </c>
      <c r="J12" s="14">
        <f>SUMIFS(芦花古楼!$H$5:$H$104,芦花古楼!$B$5:$B$104,"="&amp;金币总表!A12)</f>
        <v>0</v>
      </c>
      <c r="K12" s="14">
        <f>SUMIFS(芦花古楼!$S$5:$S$104,芦花古楼!$M$5:$M$104,"="&amp;金币总表!A12)</f>
        <v>0</v>
      </c>
      <c r="L12" s="14">
        <f>SUMIFS(芦花古楼!$AD$5:$AD$104,芦花古楼!$AI$5:$AI$104,"="&amp;金币总表!A12)</f>
        <v>0</v>
      </c>
      <c r="M12" s="14">
        <f>SUMIFS(芦花古楼!$AO$5:$AO$104,芦花古楼!$AI$5:$AI$104,"="&amp;金币总表!A12)</f>
        <v>0</v>
      </c>
      <c r="N12" s="14">
        <f>INDEX('恶灵入侵-专属解封'!$AF$6:$AF$22,MATCH(金币总表!B12,'恶灵入侵-专属解封'!$U$6:$U$22,1))</f>
        <v>24000</v>
      </c>
      <c r="O12" s="14">
        <f>日常任务!$E$2*金币总表!C12</f>
        <v>14200</v>
      </c>
      <c r="P12" s="14">
        <f>INDEX(日常副本!$F$6:$F$18,MATCH(金币总表!B12,日常副本!$B$6:$B$18,1))*C12*P$1</f>
        <v>63900</v>
      </c>
      <c r="Q12" s="14">
        <f t="shared" si="0"/>
        <v>279100</v>
      </c>
      <c r="R12" s="134"/>
      <c r="S12" s="14">
        <f>ROUND(Q12/C12/价值概述!$B$3,0)</f>
        <v>393</v>
      </c>
      <c r="T12" s="136">
        <f>INT(S12*价值概述!$B$3*$T$2/50/5)*5</f>
        <v>785</v>
      </c>
      <c r="V12" s="136">
        <v>8</v>
      </c>
      <c r="W12" s="136" t="s">
        <v>535</v>
      </c>
      <c r="X12" s="136">
        <v>135</v>
      </c>
      <c r="Y12" s="136">
        <v>150</v>
      </c>
      <c r="Z12" s="136">
        <f t="shared" si="12"/>
        <v>47869000</v>
      </c>
      <c r="AB12" s="21">
        <f t="shared" si="2"/>
        <v>1</v>
      </c>
      <c r="AC12" s="21">
        <v>0.1</v>
      </c>
      <c r="AD12" s="21">
        <v>0.1</v>
      </c>
      <c r="AE12" s="21"/>
      <c r="AF12" s="21">
        <v>0.4</v>
      </c>
      <c r="AG12" s="21">
        <v>0</v>
      </c>
      <c r="AH12" s="21">
        <v>0.2</v>
      </c>
      <c r="AI12" s="21">
        <v>0.2</v>
      </c>
      <c r="AJ12" s="21"/>
      <c r="AK12" s="21">
        <v>0</v>
      </c>
      <c r="AM12" s="136">
        <f t="shared" si="3"/>
        <v>47869000</v>
      </c>
      <c r="AN12" s="136">
        <f t="shared" si="4"/>
        <v>4786900</v>
      </c>
      <c r="AO12" s="139">
        <f t="shared" si="5"/>
        <v>4786900</v>
      </c>
      <c r="AP12" s="136">
        <f t="shared" si="6"/>
        <v>0</v>
      </c>
      <c r="AQ12" s="136">
        <f t="shared" si="13"/>
        <v>19147600</v>
      </c>
      <c r="AR12" s="136">
        <f t="shared" si="7"/>
        <v>0</v>
      </c>
      <c r="AS12" s="136">
        <f t="shared" si="8"/>
        <v>9573800</v>
      </c>
      <c r="AT12" s="136">
        <f t="shared" si="9"/>
        <v>9573800</v>
      </c>
      <c r="AU12" s="136">
        <f t="shared" si="10"/>
        <v>0</v>
      </c>
      <c r="AV12" s="136">
        <f t="shared" si="11"/>
        <v>0</v>
      </c>
    </row>
    <row r="13" spans="1:48" ht="16.5" x14ac:dyDescent="0.2">
      <c r="A13" s="24">
        <v>10</v>
      </c>
      <c r="B13" s="14">
        <f>节奏总表!L14</f>
        <v>55</v>
      </c>
      <c r="C13" s="14">
        <f>节奏总表!AC14</f>
        <v>0.83000000000000007</v>
      </c>
      <c r="D13" s="14">
        <f>节奏总表!N14*60</f>
        <v>2400</v>
      </c>
      <c r="E13" s="14">
        <f>INDEX(章节关卡!$I$6:$I$35,金币总表!A13)*D13</f>
        <v>132000</v>
      </c>
      <c r="F13" s="14">
        <f>SUMIFS(章节关卡!$BE$5:$BE$304,章节关卡!$BB$5:$BB$304,"="&amp;金币总表!A13)</f>
        <v>16500</v>
      </c>
      <c r="G13" s="14">
        <f>章节关卡!Z15</f>
        <v>13500</v>
      </c>
      <c r="H13" s="14">
        <f>SUMIFS(章节关卡!$BO$5:$BO$304,章节关卡!$BL$5:$BL$304,"="&amp;金币总表!A12)</f>
        <v>30000</v>
      </c>
      <c r="I13" s="14">
        <f>章节关卡!AP14</f>
        <v>24000</v>
      </c>
      <c r="J13" s="14">
        <f>SUMIFS(芦花古楼!$H$5:$H$104,芦花古楼!$B$5:$B$104,"="&amp;金币总表!A13)</f>
        <v>0</v>
      </c>
      <c r="K13" s="14">
        <f>SUMIFS(芦花古楼!$S$5:$S$104,芦花古楼!$M$5:$M$104,"="&amp;金币总表!A13)</f>
        <v>0</v>
      </c>
      <c r="L13" s="14">
        <f>SUMIFS(芦花古楼!$AD$5:$AD$104,芦花古楼!$AI$5:$AI$104,"="&amp;金币总表!A13)</f>
        <v>0</v>
      </c>
      <c r="M13" s="14">
        <f>SUMIFS(芦花古楼!$AO$5:$AO$104,芦花古楼!$AI$5:$AI$104,"="&amp;金币总表!A13)</f>
        <v>0</v>
      </c>
      <c r="N13" s="14">
        <f>INDEX('恶灵入侵-专属解封'!$AF$6:$AF$22,MATCH(金币总表!B13,'恶灵入侵-专属解封'!$U$6:$U$22,1))</f>
        <v>27000</v>
      </c>
      <c r="O13" s="14">
        <f>日常任务!$E$2*金币总表!C13</f>
        <v>16600</v>
      </c>
      <c r="P13" s="14">
        <f>INDEX(日常副本!$F$6:$F$18,MATCH(金币总表!B13,日常副本!$B$6:$B$18,1))*C13*P$1</f>
        <v>99600</v>
      </c>
      <c r="Q13" s="14">
        <f t="shared" si="0"/>
        <v>359200</v>
      </c>
      <c r="R13" s="134"/>
      <c r="S13" s="14">
        <f>ROUND(Q13/C13/价值概述!$B$3,0)</f>
        <v>433</v>
      </c>
      <c r="T13" s="136">
        <f>INT(S13*价值概述!$B$3*$T$2/50/5)*5</f>
        <v>865</v>
      </c>
    </row>
    <row r="14" spans="1:48" ht="16.5" x14ac:dyDescent="0.2">
      <c r="A14" s="24">
        <v>11</v>
      </c>
      <c r="B14" s="14">
        <f>节奏总表!L15</f>
        <v>60</v>
      </c>
      <c r="C14" s="14">
        <f>节奏总表!AC15</f>
        <v>0.94000000000000039</v>
      </c>
      <c r="D14" s="14">
        <f>节奏总表!N15*60</f>
        <v>2700</v>
      </c>
      <c r="E14" s="14">
        <f>INDEX(章节关卡!$I$6:$I$35,金币总表!A14)*D14</f>
        <v>162000</v>
      </c>
      <c r="F14" s="14">
        <f>SUMIFS(章节关卡!$BE$5:$BE$304,章节关卡!$BB$5:$BB$304,"="&amp;金币总表!A14)</f>
        <v>18000</v>
      </c>
      <c r="G14" s="14">
        <f>章节关卡!Z16</f>
        <v>15000</v>
      </c>
      <c r="H14" s="14">
        <f>SUMIFS(章节关卡!$BO$5:$BO$304,章节关卡!$BL$5:$BL$304,"="&amp;金币总表!A13)</f>
        <v>33000</v>
      </c>
      <c r="I14" s="14">
        <f>章节关卡!AP15</f>
        <v>27000</v>
      </c>
      <c r="J14" s="14">
        <f>SUMIFS(芦花古楼!$H$5:$H$104,芦花古楼!$B$5:$B$104,"="&amp;金币总表!A14)</f>
        <v>0</v>
      </c>
      <c r="K14" s="14">
        <f>SUMIFS(芦花古楼!$S$5:$S$104,芦花古楼!$M$5:$M$104,"="&amp;金币总表!A14)</f>
        <v>0</v>
      </c>
      <c r="L14" s="14">
        <f>SUMIFS(芦花古楼!$AD$5:$AD$104,芦花古楼!$AI$5:$AI$104,"="&amp;金币总表!A14)</f>
        <v>0</v>
      </c>
      <c r="M14" s="14">
        <f>SUMIFS(芦花古楼!$AO$5:$AO$104,芦花古楼!$AI$5:$AI$104,"="&amp;金币总表!A14)</f>
        <v>0</v>
      </c>
      <c r="N14" s="14">
        <f>INDEX('恶灵入侵-专属解封'!$AF$6:$AF$22,MATCH(金币总表!B14,'恶灵入侵-专属解封'!$U$6:$U$22,1))</f>
        <v>30000</v>
      </c>
      <c r="O14" s="14">
        <f>日常任务!$E$2*金币总表!C14</f>
        <v>18800.000000000007</v>
      </c>
      <c r="P14" s="14">
        <f>INDEX(日常副本!$F$6:$F$18,MATCH(金币总表!B14,日常副本!$B$6:$B$18,1))*C14*P$1</f>
        <v>112800.00000000006</v>
      </c>
      <c r="Q14" s="14">
        <f t="shared" si="0"/>
        <v>416600.00000000006</v>
      </c>
      <c r="R14" s="134"/>
      <c r="S14" s="14">
        <f>ROUND(Q14/C14/价值概述!$B$3,0)</f>
        <v>443</v>
      </c>
      <c r="T14" s="136">
        <f>INT(S14*价值概述!$B$3*$T$2/50/5)*5</f>
        <v>885</v>
      </c>
    </row>
    <row r="15" spans="1:48" ht="16.5" x14ac:dyDescent="0.2">
      <c r="A15" s="24">
        <v>12</v>
      </c>
      <c r="B15" s="14">
        <f>节奏总表!L16</f>
        <v>65</v>
      </c>
      <c r="C15" s="14">
        <f>节奏总表!AC16</f>
        <v>1.0599999999999996</v>
      </c>
      <c r="D15" s="14">
        <f>节奏总表!N16*60</f>
        <v>3060</v>
      </c>
      <c r="E15" s="14">
        <f>INDEX(章节关卡!$I$6:$I$35,金币总表!A15)*D15</f>
        <v>198900</v>
      </c>
      <c r="F15" s="14">
        <f>SUMIFS(章节关卡!$BE$5:$BE$304,章节关卡!$BB$5:$BB$304,"="&amp;金币总表!A15)</f>
        <v>19500</v>
      </c>
      <c r="G15" s="14">
        <f>章节关卡!Z17</f>
        <v>16500</v>
      </c>
      <c r="H15" s="14">
        <f>SUMIFS(章节关卡!$BO$5:$BO$304,章节关卡!$BL$5:$BL$304,"="&amp;金币总表!A14)</f>
        <v>36000</v>
      </c>
      <c r="I15" s="14">
        <f>章节关卡!AP16</f>
        <v>30000</v>
      </c>
      <c r="J15" s="14">
        <f>SUMIFS(芦花古楼!$H$5:$H$104,芦花古楼!$B$5:$B$104,"="&amp;金币总表!A15)</f>
        <v>0</v>
      </c>
      <c r="K15" s="14">
        <f>SUMIFS(芦花古楼!$S$5:$S$104,芦花古楼!$M$5:$M$104,"="&amp;金币总表!A15)</f>
        <v>0</v>
      </c>
      <c r="L15" s="14">
        <f>SUMIFS(芦花古楼!$AD$5:$AD$104,芦花古楼!$AI$5:$AI$104,"="&amp;金币总表!A15)</f>
        <v>0</v>
      </c>
      <c r="M15" s="14">
        <f>SUMIFS(芦花古楼!$AO$5:$AO$104,芦花古楼!$AI$5:$AI$104,"="&amp;金币总表!A15)</f>
        <v>0</v>
      </c>
      <c r="N15" s="14">
        <f>INDEX('恶灵入侵-专属解封'!$AF$6:$AF$22,MATCH(金币总表!B15,'恶灵入侵-专属解封'!$U$6:$U$22,1))</f>
        <v>33000</v>
      </c>
      <c r="O15" s="14">
        <f>日常任务!$E$2*金币总表!C15</f>
        <v>21199.999999999993</v>
      </c>
      <c r="P15" s="14">
        <f>INDEX(日常副本!$F$6:$F$18,MATCH(金币总表!B15,日常副本!$B$6:$B$18,1))*C15*P$1</f>
        <v>127199.99999999994</v>
      </c>
      <c r="Q15" s="14">
        <f t="shared" si="0"/>
        <v>482299.99999999994</v>
      </c>
      <c r="R15" s="134"/>
      <c r="S15" s="14">
        <f>ROUND(Q15/C15/价值概述!$B$3,0)</f>
        <v>455</v>
      </c>
      <c r="T15" s="136">
        <f>INT(S15*价值概述!$B$3*$T$2/50/5)*5</f>
        <v>910</v>
      </c>
    </row>
    <row r="16" spans="1:48" ht="16.5" x14ac:dyDescent="0.2">
      <c r="A16" s="24">
        <v>13</v>
      </c>
      <c r="B16" s="14">
        <f>节奏总表!L17</f>
        <v>70</v>
      </c>
      <c r="C16" s="14">
        <f>节奏总表!AC17</f>
        <v>1.3499999999999996</v>
      </c>
      <c r="D16" s="14">
        <f>节奏总表!N17*60</f>
        <v>3900</v>
      </c>
      <c r="E16" s="14">
        <f>INDEX(章节关卡!$I$6:$I$35,金币总表!A16)*D16</f>
        <v>273000</v>
      </c>
      <c r="F16" s="14">
        <f>SUMIFS(章节关卡!$BE$5:$BE$304,章节关卡!$BB$5:$BB$304,"="&amp;金币总表!A16)</f>
        <v>21000</v>
      </c>
      <c r="G16" s="14">
        <f>章节关卡!Z18</f>
        <v>18750</v>
      </c>
      <c r="H16" s="14">
        <f>SUMIFS(章节关卡!$BO$5:$BO$304,章节关卡!$BL$5:$BL$304,"="&amp;金币总表!A15)</f>
        <v>39000</v>
      </c>
      <c r="I16" s="14">
        <f>章节关卡!AP17</f>
        <v>33000</v>
      </c>
      <c r="J16" s="14">
        <f>SUMIFS(芦花古楼!$H$5:$H$104,芦花古楼!$B$5:$B$104,"="&amp;金币总表!A16)</f>
        <v>0</v>
      </c>
      <c r="K16" s="14">
        <f>SUMIFS(芦花古楼!$S$5:$S$104,芦花古楼!$M$5:$M$104,"="&amp;金币总表!A16)</f>
        <v>0</v>
      </c>
      <c r="L16" s="14">
        <f>SUMIFS(芦花古楼!$AD$5:$AD$104,芦花古楼!$AI$5:$AI$104,"="&amp;金币总表!A16)</f>
        <v>0</v>
      </c>
      <c r="M16" s="14">
        <f>SUMIFS(芦花古楼!$AO$5:$AO$104,芦花古楼!$AI$5:$AI$104,"="&amp;金币总表!A16)</f>
        <v>0</v>
      </c>
      <c r="N16" s="14">
        <f>INDEX('恶灵入侵-专属解封'!$AF$6:$AF$22,MATCH(金币总表!B16,'恶灵入侵-专属解封'!$U$6:$U$22,1))</f>
        <v>37500</v>
      </c>
      <c r="O16" s="14">
        <f>日常任务!$E$2*金币总表!C16</f>
        <v>26999.999999999993</v>
      </c>
      <c r="P16" s="14">
        <f>INDEX(日常副本!$F$6:$F$18,MATCH(金币总表!B16,日常副本!$B$6:$B$18,1))*C16*P$1</f>
        <v>202499.99999999997</v>
      </c>
      <c r="Q16" s="14">
        <f t="shared" si="0"/>
        <v>651750</v>
      </c>
      <c r="R16" s="134"/>
      <c r="S16" s="14">
        <f>ROUND(Q16/C16/价值概述!$B$3,0)</f>
        <v>483</v>
      </c>
      <c r="T16" s="136">
        <f>INT(S16*价值概述!$B$3*$T$2/50/5)*5</f>
        <v>965</v>
      </c>
    </row>
    <row r="17" spans="1:41" ht="16.5" x14ac:dyDescent="0.2">
      <c r="A17" s="24">
        <v>14</v>
      </c>
      <c r="B17" s="14">
        <f>节奏总表!L18</f>
        <v>75</v>
      </c>
      <c r="C17" s="14">
        <f>节奏总表!AC18</f>
        <v>1.5899999999999999</v>
      </c>
      <c r="D17" s="14">
        <f>节奏总表!N18*60</f>
        <v>4560</v>
      </c>
      <c r="E17" s="14">
        <f>INDEX(章节关卡!$I$6:$I$35,金币总表!A17)*D17</f>
        <v>342000</v>
      </c>
      <c r="F17" s="14">
        <f>SUMIFS(章节关卡!$BE$5:$BE$304,章节关卡!$BB$5:$BB$304,"="&amp;金币总表!A17)</f>
        <v>22500</v>
      </c>
      <c r="G17" s="14">
        <f>章节关卡!Z19</f>
        <v>20250</v>
      </c>
      <c r="H17" s="14">
        <f>SUMIFS(章节关卡!$BO$5:$BO$304,章节关卡!$BL$5:$BL$304,"="&amp;金币总表!A16)</f>
        <v>42000</v>
      </c>
      <c r="I17" s="14">
        <f>章节关卡!AP18</f>
        <v>37500</v>
      </c>
      <c r="J17" s="14">
        <f>SUMIFS(芦花古楼!$H$5:$H$104,芦花古楼!$B$5:$B$104,"="&amp;金币总表!A17)</f>
        <v>0</v>
      </c>
      <c r="K17" s="14">
        <f>SUMIFS(芦花古楼!$S$5:$S$104,芦花古楼!$M$5:$M$104,"="&amp;金币总表!A17)</f>
        <v>0</v>
      </c>
      <c r="L17" s="14">
        <f>SUMIFS(芦花古楼!$AD$5:$AD$104,芦花古楼!$AI$5:$AI$104,"="&amp;金币总表!A17)</f>
        <v>0</v>
      </c>
      <c r="M17" s="14">
        <f>SUMIFS(芦花古楼!$AO$5:$AO$104,芦花古楼!$AI$5:$AI$104,"="&amp;金币总表!A17)</f>
        <v>0</v>
      </c>
      <c r="N17" s="14">
        <f>INDEX('恶灵入侵-专属解封'!$AF$6:$AF$22,MATCH(金币总表!B17,'恶灵入侵-专属解封'!$U$6:$U$22,1))</f>
        <v>37500</v>
      </c>
      <c r="O17" s="14">
        <f>日常任务!$E$2*金币总表!C17</f>
        <v>31799.999999999996</v>
      </c>
      <c r="P17" s="14">
        <f>INDEX(日常副本!$F$6:$F$18,MATCH(金币总表!B17,日常副本!$B$6:$B$18,1))*C17*P$1</f>
        <v>238499.99999999997</v>
      </c>
      <c r="Q17" s="14">
        <f t="shared" si="0"/>
        <v>772050</v>
      </c>
      <c r="R17" s="134"/>
      <c r="S17" s="14">
        <f>ROUND(Q17/C17/价值概述!$B$3,0)</f>
        <v>486</v>
      </c>
      <c r="T17" s="136">
        <f>INT(S17*价值概述!$B$3*$T$2/50/5)*5</f>
        <v>970</v>
      </c>
    </row>
    <row r="18" spans="1:41" ht="16.5" x14ac:dyDescent="0.2">
      <c r="A18" s="24">
        <v>15</v>
      </c>
      <c r="B18" s="14">
        <f>节奏总表!L19</f>
        <v>80</v>
      </c>
      <c r="C18" s="14">
        <f>节奏总表!AC19</f>
        <v>1.870000000000001</v>
      </c>
      <c r="D18" s="14">
        <f>节奏总表!N19*60</f>
        <v>5400</v>
      </c>
      <c r="E18" s="14">
        <f>INDEX(章节关卡!$I$6:$I$35,金币总表!A18)*D18</f>
        <v>432000</v>
      </c>
      <c r="F18" s="14">
        <f>SUMIFS(章节关卡!$BE$5:$BE$304,章节关卡!$BB$5:$BB$304,"="&amp;金币总表!A18)</f>
        <v>24000</v>
      </c>
      <c r="G18" s="14">
        <f>章节关卡!Z20</f>
        <v>22500</v>
      </c>
      <c r="H18" s="14">
        <f>SUMIFS(章节关卡!$BO$5:$BO$304,章节关卡!$BL$5:$BL$304,"="&amp;金币总表!A17)</f>
        <v>45000</v>
      </c>
      <c r="I18" s="14">
        <f>章节关卡!AP19</f>
        <v>40500</v>
      </c>
      <c r="J18" s="14">
        <f>SUMIFS(芦花古楼!$H$5:$H$104,芦花古楼!$B$5:$B$104,"="&amp;金币总表!A18)</f>
        <v>0</v>
      </c>
      <c r="K18" s="14">
        <f>SUMIFS(芦花古楼!$S$5:$S$104,芦花古楼!$M$5:$M$104,"="&amp;金币总表!A18)</f>
        <v>0</v>
      </c>
      <c r="L18" s="14">
        <f>SUMIFS(芦花古楼!$AD$5:$AD$104,芦花古楼!$AI$5:$AI$104,"="&amp;金币总表!A18)</f>
        <v>0</v>
      </c>
      <c r="M18" s="14">
        <f>SUMIFS(芦花古楼!$AO$5:$AO$104,芦花古楼!$AI$5:$AI$104,"="&amp;金币总表!A18)</f>
        <v>0</v>
      </c>
      <c r="N18" s="14">
        <f>INDEX('恶灵入侵-专属解封'!$AF$6:$AF$22,MATCH(金币总表!B18,'恶灵入侵-专属解封'!$U$6:$U$22,1))</f>
        <v>45000</v>
      </c>
      <c r="O18" s="14">
        <f>日常任务!$E$2*金币总表!C18</f>
        <v>37400.000000000022</v>
      </c>
      <c r="P18" s="14">
        <f>INDEX(日常副本!$F$6:$F$18,MATCH(金币总表!B18,日常副本!$B$6:$B$18,1))*C18*P$1</f>
        <v>336600.00000000012</v>
      </c>
      <c r="Q18" s="14">
        <f t="shared" si="0"/>
        <v>983000.00000000012</v>
      </c>
      <c r="R18" s="134"/>
      <c r="S18" s="14">
        <f>ROUND(Q18/C18/价值概述!$B$3,0)</f>
        <v>526</v>
      </c>
      <c r="T18" s="136">
        <f>INT(S18*价值概述!$B$3*$T$2/50/5)*5</f>
        <v>1050</v>
      </c>
    </row>
    <row r="19" spans="1:41" ht="16.5" x14ac:dyDescent="0.2">
      <c r="A19" s="64">
        <v>16</v>
      </c>
      <c r="B19" s="14">
        <f>节奏总表!L20</f>
        <v>85</v>
      </c>
      <c r="C19" s="14">
        <f>节奏总表!AC20</f>
        <v>2.1899999999999995</v>
      </c>
      <c r="D19" s="14">
        <f>节奏总表!N20*60</f>
        <v>6300</v>
      </c>
      <c r="E19" s="14">
        <f>INDEX(章节关卡!$I$6:$I$35,金币总表!A19)*D19</f>
        <v>567000</v>
      </c>
      <c r="F19" s="14">
        <f>SUMIFS(章节关卡!$BE$5:$BE$304,章节关卡!$BB$5:$BB$304,"="&amp;金币总表!A19)</f>
        <v>27000</v>
      </c>
      <c r="G19" s="14">
        <f>章节关卡!Z21</f>
        <v>24000</v>
      </c>
      <c r="H19" s="14">
        <f>SUMIFS(章节关卡!$BO$5:$BO$304,章节关卡!$BL$5:$BL$304,"="&amp;金币总表!A18)</f>
        <v>48000</v>
      </c>
      <c r="I19" s="14">
        <f>章节关卡!AP20</f>
        <v>45000</v>
      </c>
      <c r="J19" s="14">
        <f>SUMIFS(芦花古楼!$H$5:$H$104,芦花古楼!$B$5:$B$104,"="&amp;金币总表!A19)</f>
        <v>0</v>
      </c>
      <c r="K19" s="14">
        <f>SUMIFS(芦花古楼!$S$5:$S$104,芦花古楼!$M$5:$M$104,"="&amp;金币总表!A19)</f>
        <v>0</v>
      </c>
      <c r="L19" s="14">
        <f>SUMIFS(芦花古楼!$AD$5:$AD$104,芦花古楼!$AI$5:$AI$104,"="&amp;金币总表!A19)</f>
        <v>0</v>
      </c>
      <c r="M19" s="14">
        <f>SUMIFS(芦花古楼!$AO$5:$AO$104,芦花古楼!$AI$5:$AI$104,"="&amp;金币总表!A19)</f>
        <v>0</v>
      </c>
      <c r="N19" s="14">
        <f>INDEX('恶灵入侵-专属解封'!$AF$6:$AF$22,MATCH(金币总表!B19,'恶灵入侵-专属解封'!$U$6:$U$22,1))</f>
        <v>45000</v>
      </c>
      <c r="O19" s="14">
        <f>日常任务!$E$2*金币总表!C19</f>
        <v>43799.999999999993</v>
      </c>
      <c r="P19" s="14">
        <f>INDEX(日常副本!$F$6:$F$18,MATCH(金币总表!B19,日常副本!$B$6:$B$18,1))*C19*P$1</f>
        <v>394199.99999999994</v>
      </c>
      <c r="Q19" s="14">
        <f t="shared" si="0"/>
        <v>1194000</v>
      </c>
      <c r="R19" s="134"/>
      <c r="S19" s="138"/>
      <c r="T19" s="138"/>
    </row>
    <row r="20" spans="1:41" ht="16.5" x14ac:dyDescent="0.2">
      <c r="A20" s="64">
        <v>17</v>
      </c>
      <c r="B20" s="14">
        <f>节奏总表!L21</f>
        <v>90</v>
      </c>
      <c r="C20" s="14">
        <f>节奏总表!AC21</f>
        <v>2.3299999999999983</v>
      </c>
      <c r="D20" s="14">
        <f>节奏总表!N21*60</f>
        <v>6720</v>
      </c>
      <c r="E20" s="14">
        <f>INDEX(章节关卡!$I$6:$I$35,金币总表!A20)*D20</f>
        <v>672000</v>
      </c>
      <c r="F20" s="14">
        <f>SUMIFS(章节关卡!$BE$5:$BE$304,章节关卡!$BB$5:$BB$304,"="&amp;金币总表!A20)</f>
        <v>30000</v>
      </c>
      <c r="G20" s="14">
        <f>章节关卡!Z22</f>
        <v>26250</v>
      </c>
      <c r="H20" s="14">
        <f>SUMIFS(章节关卡!$BO$5:$BO$304,章节关卡!$BL$5:$BL$304,"="&amp;金币总表!A19)</f>
        <v>54000</v>
      </c>
      <c r="I20" s="14">
        <f>章节关卡!AP21</f>
        <v>48000</v>
      </c>
      <c r="J20" s="14">
        <f>SUMIFS(芦花古楼!$H$5:$H$104,芦花古楼!$B$5:$B$104,"="&amp;金币总表!A20)</f>
        <v>0</v>
      </c>
      <c r="K20" s="14">
        <f>SUMIFS(芦花古楼!$S$5:$S$104,芦花古楼!$M$5:$M$104,"="&amp;金币总表!A20)</f>
        <v>0</v>
      </c>
      <c r="L20" s="14">
        <f>SUMIFS(芦花古楼!$AD$5:$AD$104,芦花古楼!$AI$5:$AI$104,"="&amp;金币总表!A20)</f>
        <v>0</v>
      </c>
      <c r="M20" s="14">
        <f>SUMIFS(芦花古楼!$AO$5:$AO$104,芦花古楼!$AI$5:$AI$104,"="&amp;金币总表!A20)</f>
        <v>0</v>
      </c>
      <c r="N20" s="14">
        <f>INDEX('恶灵入侵-专属解封'!$AF$6:$AF$22,MATCH(金币总表!B20,'恶灵入侵-专属解封'!$U$6:$U$22,1))</f>
        <v>52500</v>
      </c>
      <c r="O20" s="14">
        <f>日常任务!$E$2*金币总表!C20</f>
        <v>46599.999999999964</v>
      </c>
      <c r="P20" s="14">
        <f>INDEX(日常副本!$F$6:$F$18,MATCH(金币总表!B20,日常副本!$B$6:$B$18,1))*C20*P$1</f>
        <v>512599.99999999965</v>
      </c>
      <c r="Q20" s="14">
        <f t="shared" si="0"/>
        <v>1441949.9999999995</v>
      </c>
      <c r="R20" s="134"/>
      <c r="S20" s="138"/>
      <c r="T20" s="138"/>
    </row>
    <row r="21" spans="1:41" ht="16.5" x14ac:dyDescent="0.2">
      <c r="A21" s="64">
        <v>18</v>
      </c>
      <c r="B21" s="14">
        <f>节奏总表!L22</f>
        <v>95</v>
      </c>
      <c r="C21" s="14">
        <f>节奏总表!AC22</f>
        <v>2.5</v>
      </c>
      <c r="D21" s="14">
        <f>节奏总表!N22*60</f>
        <v>7200</v>
      </c>
      <c r="E21" s="14">
        <f>INDEX(章节关卡!$I$6:$I$35,金币总表!A21)*D21</f>
        <v>792000</v>
      </c>
      <c r="F21" s="14">
        <f>SUMIFS(章节关卡!$BE$5:$BE$304,章节关卡!$BB$5:$BB$304,"="&amp;金币总表!A21)</f>
        <v>33000</v>
      </c>
      <c r="G21" s="14">
        <f>章节关卡!Z23</f>
        <v>27750</v>
      </c>
      <c r="H21" s="14">
        <f>SUMIFS(章节关卡!$BO$5:$BO$304,章节关卡!$BL$5:$BL$304,"="&amp;金币总表!A20)</f>
        <v>60000</v>
      </c>
      <c r="I21" s="14">
        <f>章节关卡!AP22</f>
        <v>52500</v>
      </c>
      <c r="J21" s="14">
        <f>SUMIFS(芦花古楼!$H$5:$H$104,芦花古楼!$B$5:$B$104,"="&amp;金币总表!A21)</f>
        <v>0</v>
      </c>
      <c r="K21" s="14">
        <f>SUMIFS(芦花古楼!$S$5:$S$104,芦花古楼!$M$5:$M$104,"="&amp;金币总表!A21)</f>
        <v>0</v>
      </c>
      <c r="L21" s="14">
        <f>SUMIFS(芦花古楼!$AD$5:$AD$104,芦花古楼!$AI$5:$AI$104,"="&amp;金币总表!A21)</f>
        <v>0</v>
      </c>
      <c r="M21" s="14">
        <f>SUMIFS(芦花古楼!$AO$5:$AO$104,芦花古楼!$AI$5:$AI$104,"="&amp;金币总表!A21)</f>
        <v>0</v>
      </c>
      <c r="N21" s="14">
        <f>INDEX('恶灵入侵-专属解封'!$AF$6:$AF$22,MATCH(金币总表!B21,'恶灵入侵-专属解封'!$U$6:$U$22,1))</f>
        <v>55500</v>
      </c>
      <c r="O21" s="14">
        <f>日常任务!$E$2*金币总表!C21</f>
        <v>50000</v>
      </c>
      <c r="P21" s="14">
        <f>INDEX(日常副本!$F$6:$F$18,MATCH(金币总表!B21,日常副本!$B$6:$B$18,1))*C21*P$1</f>
        <v>550000</v>
      </c>
      <c r="Q21" s="14">
        <f t="shared" si="0"/>
        <v>1620750</v>
      </c>
      <c r="R21" s="134"/>
      <c r="S21" s="138"/>
      <c r="T21" s="138"/>
    </row>
    <row r="22" spans="1:41" ht="16.5" x14ac:dyDescent="0.2">
      <c r="A22" s="64">
        <v>19</v>
      </c>
      <c r="B22" s="14">
        <f>节奏总表!L23</f>
        <v>100</v>
      </c>
      <c r="C22" s="14">
        <f>节奏总表!AC23</f>
        <v>2.610000000000003</v>
      </c>
      <c r="D22" s="14">
        <f>节奏总表!N23*60</f>
        <v>7500</v>
      </c>
      <c r="E22" s="14">
        <f>INDEX(章节关卡!$I$6:$I$35,金币总表!A22)*D22</f>
        <v>900000</v>
      </c>
      <c r="F22" s="14">
        <f>SUMIFS(章节关卡!$BE$5:$BE$304,章节关卡!$BB$5:$BB$304,"="&amp;金币总表!A22)</f>
        <v>36000</v>
      </c>
      <c r="G22" s="14">
        <f>章节关卡!Z24</f>
        <v>30000</v>
      </c>
      <c r="H22" s="14">
        <f>SUMIFS(章节关卡!$BO$5:$BO$304,章节关卡!$BL$5:$BL$304,"="&amp;金币总表!A21)</f>
        <v>66000</v>
      </c>
      <c r="I22" s="14">
        <f>章节关卡!AP23</f>
        <v>55500</v>
      </c>
      <c r="J22" s="14">
        <f>SUMIFS(芦花古楼!$H$5:$H$104,芦花古楼!$B$5:$B$104,"="&amp;金币总表!A22)</f>
        <v>0</v>
      </c>
      <c r="K22" s="14">
        <f>SUMIFS(芦花古楼!$S$5:$S$104,芦花古楼!$M$5:$M$104,"="&amp;金币总表!A22)</f>
        <v>0</v>
      </c>
      <c r="L22" s="14">
        <f>SUMIFS(芦花古楼!$AD$5:$AD$104,芦花古楼!$AI$5:$AI$104,"="&amp;金币总表!A22)</f>
        <v>0</v>
      </c>
      <c r="M22" s="14">
        <f>SUMIFS(芦花古楼!$AO$5:$AO$104,芦花古楼!$AI$5:$AI$104,"="&amp;金币总表!A22)</f>
        <v>0</v>
      </c>
      <c r="N22" s="14">
        <f>INDEX('恶灵入侵-专属解封'!$AF$6:$AF$22,MATCH(金币总表!B22,'恶灵入侵-专属解封'!$U$6:$U$22,1))</f>
        <v>60000</v>
      </c>
      <c r="O22" s="14">
        <f>日常任务!$E$2*金币总表!C22</f>
        <v>52200.000000000058</v>
      </c>
      <c r="P22" s="14">
        <f>INDEX(日常副本!$F$6:$F$18,MATCH(金币总表!B22,日常副本!$B$6:$B$18,1))*C22*P$1</f>
        <v>574200.0000000007</v>
      </c>
      <c r="Q22" s="14">
        <f t="shared" si="0"/>
        <v>1773900.0000000007</v>
      </c>
      <c r="R22" s="134"/>
      <c r="S22" s="138"/>
      <c r="T22" s="138"/>
    </row>
    <row r="23" spans="1:41" ht="16.5" x14ac:dyDescent="0.2">
      <c r="A23" s="64">
        <v>20</v>
      </c>
      <c r="B23" s="14">
        <f>节奏总表!L24</f>
        <v>105</v>
      </c>
      <c r="C23" s="14">
        <f>节奏总表!AC24</f>
        <v>2.7099999999999973</v>
      </c>
      <c r="D23" s="14">
        <f>节奏总表!N24*60</f>
        <v>7800</v>
      </c>
      <c r="E23" s="14">
        <f>INDEX(章节关卡!$I$6:$I$35,金币总表!A23)*D23</f>
        <v>1014000</v>
      </c>
      <c r="F23" s="14">
        <f>SUMIFS(章节关卡!$BE$5:$BE$304,章节关卡!$BB$5:$BB$304,"="&amp;金币总表!A23)</f>
        <v>39000</v>
      </c>
      <c r="G23" s="14">
        <f>章节关卡!Z25</f>
        <v>31500</v>
      </c>
      <c r="H23" s="14">
        <f>SUMIFS(章节关卡!$BO$5:$BO$304,章节关卡!$BL$5:$BL$304,"="&amp;金币总表!A22)</f>
        <v>72000</v>
      </c>
      <c r="I23" s="14">
        <f>章节关卡!AP24</f>
        <v>60000</v>
      </c>
      <c r="J23" s="14">
        <f>SUMIFS(芦花古楼!$H$5:$H$104,芦花古楼!$B$5:$B$104,"="&amp;金币总表!A23)</f>
        <v>0</v>
      </c>
      <c r="K23" s="14">
        <f>SUMIFS(芦花古楼!$S$5:$S$104,芦花古楼!$M$5:$M$104,"="&amp;金币总表!A23)</f>
        <v>0</v>
      </c>
      <c r="L23" s="14">
        <f>SUMIFS(芦花古楼!$AD$5:$AD$104,芦花古楼!$AI$5:$AI$104,"="&amp;金币总表!A23)</f>
        <v>0</v>
      </c>
      <c r="M23" s="14">
        <f>SUMIFS(芦花古楼!$AO$5:$AO$104,芦花古楼!$AI$5:$AI$104,"="&amp;金币总表!A23)</f>
        <v>0</v>
      </c>
      <c r="N23" s="14">
        <f>INDEX('恶灵入侵-专属解封'!$AF$6:$AF$22,MATCH(金币总表!B23,'恶灵入侵-专属解封'!$U$6:$U$22,1))</f>
        <v>63000</v>
      </c>
      <c r="O23" s="14">
        <f>日常任务!$E$2*金币总表!C23</f>
        <v>54199.999999999949</v>
      </c>
      <c r="P23" s="14">
        <f>INDEX(日常副本!$F$6:$F$18,MATCH(金币总表!B23,日常副本!$B$6:$B$18,1))*C23*P$1</f>
        <v>758799.9999999993</v>
      </c>
      <c r="Q23" s="14">
        <f t="shared" si="0"/>
        <v>2092499.9999999993</v>
      </c>
      <c r="R23" s="134"/>
      <c r="S23" s="138"/>
      <c r="T23" s="138"/>
    </row>
    <row r="24" spans="1:41" s="132" customFormat="1" ht="16.5" x14ac:dyDescent="0.2">
      <c r="A24" s="129">
        <v>21</v>
      </c>
      <c r="B24" s="14">
        <f>节奏总表!L25</f>
        <v>110</v>
      </c>
      <c r="C24" s="14">
        <f>节奏总表!AC25</f>
        <v>2.8500000000000014</v>
      </c>
      <c r="D24" s="14">
        <f>节奏总表!N25*60</f>
        <v>8220</v>
      </c>
      <c r="E24" s="14">
        <f>INDEX(章节关卡!$I$6:$I$35,金币总表!A24)*D24</f>
        <v>1150800</v>
      </c>
      <c r="F24" s="14">
        <f>SUMIFS(章节关卡!$BE$5:$BE$304,章节关卡!$BB$5:$BB$304,"="&amp;金币总表!A24)</f>
        <v>42000</v>
      </c>
      <c r="G24" s="14">
        <f>章节关卡!Z26</f>
        <v>33975</v>
      </c>
      <c r="H24" s="14">
        <f>SUMIFS(章节关卡!$BO$5:$BO$304,章节关卡!$BL$5:$BL$304,"="&amp;金币总表!A23)</f>
        <v>78000</v>
      </c>
      <c r="I24" s="14">
        <f>章节关卡!AP25</f>
        <v>63000</v>
      </c>
      <c r="J24" s="14">
        <f>SUMIFS(芦花古楼!$H$5:$H$104,芦花古楼!$B$5:$B$104,"="&amp;金币总表!A24)</f>
        <v>0</v>
      </c>
      <c r="K24" s="14">
        <f>SUMIFS(芦花古楼!$S$5:$S$104,芦花古楼!$M$5:$M$104,"="&amp;金币总表!A24)</f>
        <v>0</v>
      </c>
      <c r="L24" s="14">
        <f>SUMIFS(芦花古楼!$AD$5:$AD$104,芦花古楼!$AI$5:$AI$104,"="&amp;金币总表!A24)</f>
        <v>0</v>
      </c>
      <c r="M24" s="14">
        <f>SUMIFS(芦花古楼!$AO$5:$AO$104,芦花古楼!$AI$5:$AI$104,"="&amp;金币总表!A24)</f>
        <v>0</v>
      </c>
      <c r="N24" s="14">
        <f>INDEX('恶灵入侵-专属解封'!$AF$6:$AF$22,MATCH(金币总表!B24,'恶灵入侵-专属解封'!$U$6:$U$22,1))</f>
        <v>67500</v>
      </c>
      <c r="O24" s="14">
        <f>日常任务!$E$2*金币总表!C24</f>
        <v>57000.000000000029</v>
      </c>
      <c r="P24" s="14">
        <f>INDEX(日常副本!$F$6:$F$18,MATCH(金币总表!B24,日常副本!$B$6:$B$18,1))*C24*P$1</f>
        <v>798000.00000000047</v>
      </c>
      <c r="Q24" s="14">
        <f t="shared" si="0"/>
        <v>2290275.0000000005</v>
      </c>
      <c r="R24" s="134"/>
      <c r="S24" s="138"/>
      <c r="T24" s="138"/>
      <c r="AD24" s="142"/>
      <c r="AM24" s="138"/>
      <c r="AO24" s="142"/>
    </row>
    <row r="25" spans="1:41" s="132" customFormat="1" ht="16.5" x14ac:dyDescent="0.2">
      <c r="A25" s="129">
        <v>22</v>
      </c>
      <c r="B25" s="14">
        <f>节奏总表!L26</f>
        <v>115</v>
      </c>
      <c r="C25" s="14">
        <f>节奏总表!AC26</f>
        <v>3</v>
      </c>
      <c r="D25" s="14">
        <f>节奏总表!N26*60</f>
        <v>8640</v>
      </c>
      <c r="E25" s="14">
        <f>INDEX(章节关卡!$I$6:$I$35,金币总表!A25)*D25</f>
        <v>1296000</v>
      </c>
      <c r="F25" s="14">
        <f>SUMIFS(章节关卡!$BE$5:$BE$304,章节关卡!$BB$5:$BB$304,"="&amp;金币总表!A25)</f>
        <v>45000</v>
      </c>
      <c r="G25" s="14">
        <f>章节关卡!Z27</f>
        <v>35720</v>
      </c>
      <c r="H25" s="14">
        <f>SUMIFS(章节关卡!$BO$5:$BO$304,章节关卡!$BL$5:$BL$304,"="&amp;金币总表!A24)</f>
        <v>84000</v>
      </c>
      <c r="I25" s="14">
        <f>章节关卡!AP26</f>
        <v>67500</v>
      </c>
      <c r="J25" s="14">
        <f>SUMIFS(芦花古楼!$H$5:$H$104,芦花古楼!$B$5:$B$104,"="&amp;金币总表!A25)</f>
        <v>0</v>
      </c>
      <c r="K25" s="14">
        <f>SUMIFS(芦花古楼!$S$5:$S$104,芦花古楼!$M$5:$M$104,"="&amp;金币总表!A25)</f>
        <v>0</v>
      </c>
      <c r="L25" s="14">
        <f>SUMIFS(芦花古楼!$AD$5:$AD$104,芦花古楼!$AI$5:$AI$104,"="&amp;金币总表!A25)</f>
        <v>0</v>
      </c>
      <c r="M25" s="14">
        <f>SUMIFS(芦花古楼!$AO$5:$AO$104,芦花古楼!$AI$5:$AI$104,"="&amp;金币总表!A25)</f>
        <v>0</v>
      </c>
      <c r="N25" s="14">
        <f>INDEX('恶灵入侵-专属解封'!$AF$6:$AF$22,MATCH(金币总表!B25,'恶灵入侵-专属解封'!$U$6:$U$22,1))</f>
        <v>67500</v>
      </c>
      <c r="O25" s="14">
        <f>日常任务!$E$2*金币总表!C25</f>
        <v>60000</v>
      </c>
      <c r="P25" s="14">
        <f>INDEX(日常副本!$F$6:$F$18,MATCH(金币总表!B25,日常副本!$B$6:$B$18,1))*C25*P$1</f>
        <v>840000</v>
      </c>
      <c r="Q25" s="14">
        <f t="shared" si="0"/>
        <v>2495720</v>
      </c>
      <c r="R25" s="134"/>
      <c r="S25" s="138"/>
      <c r="T25" s="138"/>
      <c r="AD25" s="142"/>
      <c r="AM25" s="138"/>
      <c r="AO25" s="142"/>
    </row>
    <row r="26" spans="1:41" s="132" customFormat="1" ht="16.5" x14ac:dyDescent="0.2">
      <c r="A26" s="129">
        <v>23</v>
      </c>
      <c r="B26" s="14">
        <f>节奏总表!L27</f>
        <v>120</v>
      </c>
      <c r="C26" s="14">
        <f>节奏总表!AC27</f>
        <v>3.3299999999999983</v>
      </c>
      <c r="D26" s="14">
        <f>节奏总表!N27*60</f>
        <v>9600</v>
      </c>
      <c r="E26" s="14">
        <f>INDEX(章节关卡!$I$6:$I$35,金币总表!A26)*D26</f>
        <v>1536000</v>
      </c>
      <c r="F26" s="14">
        <f>SUMIFS(章节关卡!$BE$5:$BE$304,章节关卡!$BB$5:$BB$304,"="&amp;金币总表!A26)</f>
        <v>48000</v>
      </c>
      <c r="G26" s="14">
        <f>章节关卡!Z28</f>
        <v>38250</v>
      </c>
      <c r="H26" s="14">
        <f>SUMIFS(章节关卡!$BO$5:$BO$304,章节关卡!$BL$5:$BL$304,"="&amp;金币总表!A25)</f>
        <v>90000</v>
      </c>
      <c r="I26" s="14">
        <f>章节关卡!AP27</f>
        <v>70500</v>
      </c>
      <c r="J26" s="14">
        <f>SUMIFS(芦花古楼!$H$5:$H$104,芦花古楼!$B$5:$B$104,"="&amp;金币总表!A26)</f>
        <v>0</v>
      </c>
      <c r="K26" s="14">
        <f>SUMIFS(芦花古楼!$S$5:$S$104,芦花古楼!$M$5:$M$104,"="&amp;金币总表!A26)</f>
        <v>0</v>
      </c>
      <c r="L26" s="14">
        <f>SUMIFS(芦花古楼!$AD$5:$AD$104,芦花古楼!$AI$5:$AI$104,"="&amp;金币总表!A26)</f>
        <v>0</v>
      </c>
      <c r="M26" s="14">
        <f>SUMIFS(芦花古楼!$AO$5:$AO$104,芦花古楼!$AI$5:$AI$104,"="&amp;金币总表!A26)</f>
        <v>0</v>
      </c>
      <c r="N26" s="14">
        <f>INDEX('恶灵入侵-专属解封'!$AF$6:$AF$22,MATCH(金币总表!B26,'恶灵入侵-专属解封'!$U$6:$U$22,1))</f>
        <v>75000</v>
      </c>
      <c r="O26" s="14">
        <f>日常任务!$E$2*金币总表!C26</f>
        <v>66599.999999999971</v>
      </c>
      <c r="P26" s="14">
        <f>INDEX(日常副本!$F$6:$F$18,MATCH(金币总表!B26,日常副本!$B$6:$B$18,1))*C26*P$1</f>
        <v>1132199.9999999995</v>
      </c>
      <c r="Q26" s="14">
        <f t="shared" si="0"/>
        <v>3056549.9999999995</v>
      </c>
      <c r="R26" s="134"/>
      <c r="S26" s="138"/>
      <c r="T26" s="138"/>
      <c r="AD26" s="142"/>
      <c r="AM26" s="138"/>
      <c r="AO26" s="142"/>
    </row>
    <row r="27" spans="1:41" s="132" customFormat="1" ht="16.5" x14ac:dyDescent="0.2">
      <c r="A27" s="129">
        <v>24</v>
      </c>
      <c r="B27" s="14">
        <f>节奏总表!L28</f>
        <v>125</v>
      </c>
      <c r="C27" s="14">
        <f>节奏总表!AC28</f>
        <v>3.75</v>
      </c>
      <c r="D27" s="14">
        <f>节奏总表!N28*60</f>
        <v>10800</v>
      </c>
      <c r="E27" s="14">
        <f>INDEX(章节关卡!$I$6:$I$35,金币总表!A27)*D27</f>
        <v>1836000</v>
      </c>
      <c r="F27" s="14">
        <f>SUMIFS(章节关卡!$BE$5:$BE$304,章节关卡!$BB$5:$BB$304,"="&amp;金币总表!A27)</f>
        <v>51000</v>
      </c>
      <c r="G27" s="14">
        <f>章节关卡!Z29</f>
        <v>42350</v>
      </c>
      <c r="H27" s="14">
        <f>SUMIFS(章节关卡!$BO$5:$BO$304,章节关卡!$BL$5:$BL$304,"="&amp;金币总表!A26)</f>
        <v>96000</v>
      </c>
      <c r="I27" s="14">
        <f>章节关卡!AP28</f>
        <v>75000</v>
      </c>
      <c r="J27" s="14">
        <f>SUMIFS(芦花古楼!$H$5:$H$104,芦花古楼!$B$5:$B$104,"="&amp;金币总表!A27)</f>
        <v>0</v>
      </c>
      <c r="K27" s="14">
        <f>SUMIFS(芦花古楼!$S$5:$S$104,芦花古楼!$M$5:$M$104,"="&amp;金币总表!A27)</f>
        <v>0</v>
      </c>
      <c r="L27" s="14">
        <f>SUMIFS(芦花古楼!$AD$5:$AD$104,芦花古楼!$AI$5:$AI$104,"="&amp;金币总表!A27)</f>
        <v>0</v>
      </c>
      <c r="M27" s="14">
        <f>SUMIFS(芦花古楼!$AO$5:$AO$104,芦花古楼!$AI$5:$AI$104,"="&amp;金币总表!A27)</f>
        <v>0</v>
      </c>
      <c r="N27" s="14">
        <f>INDEX('恶灵入侵-专属解封'!$AF$6:$AF$22,MATCH(金币总表!B27,'恶灵入侵-专属解封'!$U$6:$U$22,1))</f>
        <v>75000</v>
      </c>
      <c r="O27" s="14">
        <f>日常任务!$E$2*金币总表!C27</f>
        <v>75000</v>
      </c>
      <c r="P27" s="14">
        <f>INDEX(日常副本!$F$6:$F$18,MATCH(金币总表!B27,日常副本!$B$6:$B$18,1))*C27*P$1</f>
        <v>1275000</v>
      </c>
      <c r="Q27" s="14">
        <f t="shared" si="0"/>
        <v>3525350</v>
      </c>
      <c r="R27" s="134"/>
      <c r="S27" s="138"/>
      <c r="T27" s="138"/>
      <c r="AD27" s="142"/>
      <c r="AM27" s="138"/>
      <c r="AO27" s="142"/>
    </row>
    <row r="28" spans="1:41" s="132" customFormat="1" ht="16.5" x14ac:dyDescent="0.2">
      <c r="A28" s="129">
        <v>25</v>
      </c>
      <c r="B28" s="14">
        <f>节奏总表!L29</f>
        <v>130</v>
      </c>
      <c r="C28" s="14">
        <f>节奏总表!AC29</f>
        <v>4.3800000000000026</v>
      </c>
      <c r="D28" s="14">
        <f>节奏总表!N29*60</f>
        <v>12600</v>
      </c>
      <c r="E28" s="14">
        <f>INDEX(章节关卡!$I$6:$I$35,金币总表!A28)*D28</f>
        <v>2268000</v>
      </c>
      <c r="F28" s="14">
        <f>SUMIFS(章节关卡!$BE$5:$BE$304,章节关卡!$BB$5:$BB$304,"="&amp;金币总表!A28)</f>
        <v>54000</v>
      </c>
      <c r="G28" s="14">
        <f>章节关卡!Z30</f>
        <v>46500</v>
      </c>
      <c r="H28" s="14">
        <f>SUMIFS(章节关卡!$BO$5:$BO$304,章节关卡!$BL$5:$BL$304,"="&amp;金币总表!A27)</f>
        <v>102000</v>
      </c>
      <c r="I28" s="14">
        <f>章节关卡!AP29</f>
        <v>82500</v>
      </c>
      <c r="J28" s="14">
        <f>SUMIFS(芦花古楼!$H$5:$H$104,芦花古楼!$B$5:$B$104,"="&amp;金币总表!A28)</f>
        <v>0</v>
      </c>
      <c r="K28" s="14">
        <f>SUMIFS(芦花古楼!$S$5:$S$104,芦花古楼!$M$5:$M$104,"="&amp;金币总表!A28)</f>
        <v>0</v>
      </c>
      <c r="L28" s="14">
        <f>SUMIFS(芦花古楼!$AD$5:$AD$104,芦花古楼!$AI$5:$AI$104,"="&amp;金币总表!A28)</f>
        <v>0</v>
      </c>
      <c r="M28" s="14">
        <f>SUMIFS(芦花古楼!$AO$5:$AO$104,芦花古楼!$AI$5:$AI$104,"="&amp;金币总表!A28)</f>
        <v>0</v>
      </c>
      <c r="N28" s="14">
        <f>INDEX('恶灵入侵-专属解封'!$AF$6:$AF$22,MATCH(金币总表!B28,'恶灵入侵-专属解封'!$U$6:$U$22,1))</f>
        <v>90000</v>
      </c>
      <c r="O28" s="14">
        <f>日常任务!$E$2*金币总表!C28</f>
        <v>87600.000000000058</v>
      </c>
      <c r="P28" s="14">
        <f>INDEX(日常副本!$F$6:$F$18,MATCH(金币总表!B28,日常副本!$B$6:$B$18,1))*C28*P$1</f>
        <v>1664400.0000000009</v>
      </c>
      <c r="Q28" s="14">
        <f t="shared" si="0"/>
        <v>4395000.0000000009</v>
      </c>
      <c r="R28" s="134"/>
      <c r="S28" s="138"/>
      <c r="T28" s="138"/>
      <c r="AD28" s="142"/>
      <c r="AM28" s="138"/>
      <c r="AO28" s="142"/>
    </row>
    <row r="29" spans="1:41" s="132" customFormat="1" ht="16.5" x14ac:dyDescent="0.2">
      <c r="A29" s="129">
        <v>26</v>
      </c>
      <c r="B29" s="14">
        <f>节奏总表!L30</f>
        <v>135</v>
      </c>
      <c r="C29" s="14">
        <f>节奏总表!AC30</f>
        <v>5.2100000000000009</v>
      </c>
      <c r="D29" s="14">
        <f>节奏总表!N30*60</f>
        <v>15000</v>
      </c>
      <c r="E29" s="14">
        <f>INDEX(章节关卡!$I$6:$I$35,金币总表!A29)*D29</f>
        <v>2850000</v>
      </c>
      <c r="F29" s="14">
        <f>SUMIFS(章节关卡!$BE$5:$BE$304,章节关卡!$BB$5:$BB$304,"="&amp;金币总表!A29)</f>
        <v>57000</v>
      </c>
      <c r="G29" s="14">
        <f>章节关卡!Z31</f>
        <v>50700</v>
      </c>
      <c r="H29" s="14">
        <f>SUMIFS(章节关卡!$BO$5:$BO$304,章节关卡!$BL$5:$BL$304,"="&amp;金币总表!A28)</f>
        <v>108000</v>
      </c>
      <c r="I29" s="14">
        <f>章节关卡!AP30</f>
        <v>90000</v>
      </c>
      <c r="J29" s="14">
        <f>SUMIFS(芦花古楼!$H$5:$H$104,芦花古楼!$B$5:$B$104,"="&amp;金币总表!A29)</f>
        <v>0</v>
      </c>
      <c r="K29" s="14">
        <f>SUMIFS(芦花古楼!$S$5:$S$104,芦花古楼!$M$5:$M$104,"="&amp;金币总表!A29)</f>
        <v>0</v>
      </c>
      <c r="L29" s="14">
        <f>SUMIFS(芦花古楼!$AD$5:$AD$104,芦花古楼!$AI$5:$AI$104,"="&amp;金币总表!A29)</f>
        <v>0</v>
      </c>
      <c r="M29" s="14">
        <f>SUMIFS(芦花古楼!$AO$5:$AO$104,芦花古楼!$AI$5:$AI$104,"="&amp;金币总表!A29)</f>
        <v>0</v>
      </c>
      <c r="N29" s="14">
        <f>INDEX('恶灵入侵-专属解封'!$AF$6:$AF$22,MATCH(金币总表!B29,'恶灵入侵-专属解封'!$U$6:$U$22,1))</f>
        <v>90000</v>
      </c>
      <c r="O29" s="14">
        <f>日常任务!$E$2*金币总表!C29</f>
        <v>104200.00000000001</v>
      </c>
      <c r="P29" s="14">
        <f>INDEX(日常副本!$F$6:$F$18,MATCH(金币总表!B29,日常副本!$B$6:$B$18,1))*C29*P$1</f>
        <v>1979800.0000000002</v>
      </c>
      <c r="Q29" s="14">
        <f t="shared" si="0"/>
        <v>5329700</v>
      </c>
      <c r="R29" s="134"/>
      <c r="S29" s="138"/>
      <c r="T29" s="138"/>
      <c r="AD29" s="142"/>
      <c r="AM29" s="138"/>
      <c r="AO29" s="142"/>
    </row>
    <row r="30" spans="1:41" s="132" customFormat="1" ht="16.5" x14ac:dyDescent="0.2">
      <c r="A30" s="129">
        <v>27</v>
      </c>
      <c r="B30" s="14">
        <f>节奏总表!L31</f>
        <v>140</v>
      </c>
      <c r="C30" s="14">
        <f>节奏总表!AC31</f>
        <v>6.25</v>
      </c>
      <c r="D30" s="14">
        <f>节奏总表!N31*60</f>
        <v>18000</v>
      </c>
      <c r="E30" s="14">
        <f>INDEX(章节关卡!$I$6:$I$35,金币总表!A30)*D30</f>
        <v>3600000</v>
      </c>
      <c r="F30" s="14">
        <f>SUMIFS(章节关卡!$BE$5:$BE$304,章节关卡!$BB$5:$BB$304,"="&amp;金币总表!A30)</f>
        <v>60000</v>
      </c>
      <c r="G30" s="14">
        <f>章节关卡!Z32</f>
        <v>54950</v>
      </c>
      <c r="H30" s="14">
        <f>SUMIFS(章节关卡!$BO$5:$BO$304,章节关卡!$BL$5:$BL$304,"="&amp;金币总表!A29)</f>
        <v>114000</v>
      </c>
      <c r="I30" s="14">
        <f>章节关卡!AP31</f>
        <v>97500</v>
      </c>
      <c r="J30" s="14">
        <f>SUMIFS(芦花古楼!$H$5:$H$104,芦花古楼!$B$5:$B$104,"="&amp;金币总表!A30)</f>
        <v>0</v>
      </c>
      <c r="K30" s="14">
        <f>SUMIFS(芦花古楼!$S$5:$S$104,芦花古楼!$M$5:$M$104,"="&amp;金币总表!A30)</f>
        <v>0</v>
      </c>
      <c r="L30" s="14">
        <f>SUMIFS(芦花古楼!$AD$5:$AD$104,芦花古楼!$AI$5:$AI$104,"="&amp;金币总表!A30)</f>
        <v>0</v>
      </c>
      <c r="M30" s="14">
        <f>SUMIFS(芦花古楼!$AO$5:$AO$104,芦花古楼!$AI$5:$AI$104,"="&amp;金币总表!A30)</f>
        <v>0</v>
      </c>
      <c r="N30" s="14">
        <f>INDEX('恶灵入侵-专属解封'!$AF$6:$AF$22,MATCH(金币总表!B30,'恶灵入侵-专属解封'!$U$6:$U$22,1))</f>
        <v>90000</v>
      </c>
      <c r="O30" s="14">
        <f>日常任务!$E$2*金币总表!C30</f>
        <v>125000</v>
      </c>
      <c r="P30" s="14">
        <f>INDEX(日常副本!$F$6:$F$18,MATCH(金币总表!B30,日常副本!$B$6:$B$18,1))*C30*P$1</f>
        <v>2625000</v>
      </c>
      <c r="Q30" s="14">
        <f t="shared" si="0"/>
        <v>6766450</v>
      </c>
      <c r="R30" s="134"/>
      <c r="S30" s="138"/>
      <c r="T30" s="138"/>
      <c r="AD30" s="142"/>
      <c r="AM30" s="138"/>
      <c r="AO30" s="142"/>
    </row>
    <row r="31" spans="1:41" s="132" customFormat="1" ht="16.5" x14ac:dyDescent="0.2">
      <c r="A31" s="129">
        <v>28</v>
      </c>
      <c r="B31" s="14">
        <f>节奏总表!L32</f>
        <v>145</v>
      </c>
      <c r="C31" s="14">
        <f>节奏总表!AC32</f>
        <v>7.0799999999999983</v>
      </c>
      <c r="D31" s="14">
        <f>节奏总表!N32*60</f>
        <v>20400</v>
      </c>
      <c r="E31" s="14">
        <f>INDEX(章节关卡!$I$6:$I$35,金币总表!A31)*D31</f>
        <v>4284000</v>
      </c>
      <c r="F31" s="14">
        <f>SUMIFS(章节关卡!$BE$5:$BE$304,章节关卡!$BB$5:$BB$304,"="&amp;金币总表!A31)</f>
        <v>63000</v>
      </c>
      <c r="G31" s="14">
        <f>章节关卡!Z33</f>
        <v>59250</v>
      </c>
      <c r="H31" s="14">
        <f>SUMIFS(章节关卡!$BO$5:$BO$304,章节关卡!$BL$5:$BL$304,"="&amp;金币总表!A30)</f>
        <v>120000</v>
      </c>
      <c r="I31" s="14">
        <f>章节关卡!AP32</f>
        <v>105000</v>
      </c>
      <c r="J31" s="14">
        <f>SUMIFS(芦花古楼!$H$5:$H$104,芦花古楼!$B$5:$B$104,"="&amp;金币总表!A31)</f>
        <v>0</v>
      </c>
      <c r="K31" s="14">
        <f>SUMIFS(芦花古楼!$S$5:$S$104,芦花古楼!$M$5:$M$104,"="&amp;金币总表!A31)</f>
        <v>0</v>
      </c>
      <c r="L31" s="14">
        <f>SUMIFS(芦花古楼!$AD$5:$AD$104,芦花古楼!$AI$5:$AI$104,"="&amp;金币总表!A31)</f>
        <v>0</v>
      </c>
      <c r="M31" s="14">
        <f>SUMIFS(芦花古楼!$AO$5:$AO$104,芦花古楼!$AI$5:$AI$104,"="&amp;金币总表!A31)</f>
        <v>0</v>
      </c>
      <c r="N31" s="14">
        <f>INDEX('恶灵入侵-专属解封'!$AF$6:$AF$22,MATCH(金币总表!B31,'恶灵入侵-专属解封'!$U$6:$U$22,1))</f>
        <v>90000</v>
      </c>
      <c r="O31" s="14">
        <f>日常任务!$E$2*金币总表!C31</f>
        <v>141599.99999999997</v>
      </c>
      <c r="P31" s="14">
        <f>INDEX(日常副本!$F$6:$F$18,MATCH(金币总表!B31,日常副本!$B$6:$B$18,1))*C31*P$1</f>
        <v>2973599.9999999995</v>
      </c>
      <c r="Q31" s="14">
        <f t="shared" si="0"/>
        <v>7836450</v>
      </c>
      <c r="R31" s="134"/>
      <c r="S31" s="138"/>
      <c r="T31" s="138"/>
      <c r="AD31" s="142"/>
      <c r="AM31" s="138"/>
      <c r="AO31" s="142"/>
    </row>
    <row r="32" spans="1:41" s="132" customFormat="1" ht="16.5" x14ac:dyDescent="0.2">
      <c r="A32" s="129">
        <v>29</v>
      </c>
      <c r="B32" s="14">
        <v>150</v>
      </c>
      <c r="C32" s="14">
        <f>节奏总表!AC33</f>
        <v>30</v>
      </c>
      <c r="D32" s="14">
        <f>节奏总表!N33*60</f>
        <v>86400</v>
      </c>
      <c r="E32" s="14">
        <f>INDEX(章节关卡!$I$6:$I$35,金币总表!A32)*D32</f>
        <v>19008000</v>
      </c>
      <c r="F32" s="14">
        <f>SUMIFS(章节关卡!$BE$5:$BE$304,章节关卡!$BB$5:$BB$304,"="&amp;金币总表!A32)</f>
        <v>66000</v>
      </c>
      <c r="G32" s="14">
        <f>章节关卡!Z34</f>
        <v>63600</v>
      </c>
      <c r="H32" s="14">
        <f>SUMIFS(章节关卡!$BO$5:$BO$304,章节关卡!$BL$5:$BL$304,"="&amp;金币总表!A31)</f>
        <v>126000</v>
      </c>
      <c r="I32" s="14">
        <f>章节关卡!AP33</f>
        <v>112500</v>
      </c>
      <c r="J32" s="14">
        <f>SUMIFS(芦花古楼!$H$5:$H$104,芦花古楼!$B$5:$B$104,"="&amp;金币总表!A32)</f>
        <v>0</v>
      </c>
      <c r="K32" s="14">
        <f>SUMIFS(芦花古楼!$S$5:$S$104,芦花古楼!$M$5:$M$104,"="&amp;金币总表!A32)</f>
        <v>0</v>
      </c>
      <c r="L32" s="14">
        <f>SUMIFS(芦花古楼!$AD$5:$AD$104,芦花古楼!$AI$5:$AI$104,"="&amp;金币总表!A32)</f>
        <v>0</v>
      </c>
      <c r="M32" s="14">
        <f>SUMIFS(芦花古楼!$AO$5:$AO$104,芦花古楼!$AI$5:$AI$104,"="&amp;金币总表!A32)</f>
        <v>0</v>
      </c>
      <c r="N32" s="14">
        <f>INDEX('恶灵入侵-专属解封'!$AF$6:$AF$22,MATCH(金币总表!B32,'恶灵入侵-专属解封'!$U$6:$U$22,1))</f>
        <v>90000</v>
      </c>
      <c r="O32" s="14">
        <f>日常任务!$E$2*金币总表!C32</f>
        <v>600000</v>
      </c>
      <c r="P32" s="14">
        <f>INDEX(日常副本!$F$6:$F$18,MATCH(金币总表!B32,日常副本!$B$6:$B$18,1))*C32*P$1</f>
        <v>13200000</v>
      </c>
      <c r="Q32" s="14">
        <f t="shared" si="0"/>
        <v>33266100</v>
      </c>
      <c r="R32" s="134"/>
      <c r="S32" s="138"/>
      <c r="T32" s="138"/>
      <c r="AD32" s="142"/>
      <c r="AM32" s="138"/>
      <c r="AO32" s="142"/>
    </row>
    <row r="33" spans="1:41" s="132" customFormat="1" ht="16.5" x14ac:dyDescent="0.2">
      <c r="A33" s="129">
        <v>30</v>
      </c>
      <c r="B33" s="14">
        <v>151</v>
      </c>
      <c r="C33" s="14">
        <f>节奏总表!AC34</f>
        <v>60</v>
      </c>
      <c r="D33" s="14">
        <f>节奏总表!N34*60</f>
        <v>172800</v>
      </c>
      <c r="E33" s="14">
        <f>INDEX(章节关卡!$I$6:$I$35,金币总表!A33)*D33</f>
        <v>38016000</v>
      </c>
      <c r="F33" s="14">
        <f>SUMIFS(章节关卡!$BE$5:$BE$304,章节关卡!$BB$5:$BB$304,"="&amp;金币总表!A33)</f>
        <v>66000</v>
      </c>
      <c r="G33" s="14">
        <f>章节关卡!Z35</f>
        <v>76800</v>
      </c>
      <c r="H33" s="14">
        <f>SUMIFS(章节关卡!$BO$5:$BO$304,章节关卡!$BL$5:$BL$304,"="&amp;金币总表!A32)</f>
        <v>132000</v>
      </c>
      <c r="I33" s="14">
        <f>章节关卡!AP34</f>
        <v>120000</v>
      </c>
      <c r="J33" s="14">
        <f>SUMIFS(芦花古楼!$H$5:$H$104,芦花古楼!$B$5:$B$104,"="&amp;金币总表!A33)</f>
        <v>0</v>
      </c>
      <c r="K33" s="14">
        <f>SUMIFS(芦花古楼!$S$5:$S$104,芦花古楼!$M$5:$M$104,"="&amp;金币总表!A33)</f>
        <v>0</v>
      </c>
      <c r="L33" s="14">
        <f>SUMIFS(芦花古楼!$AD$5:$AD$104,芦花古楼!$AI$5:$AI$104,"="&amp;金币总表!A33)</f>
        <v>0</v>
      </c>
      <c r="M33" s="14">
        <f>SUMIFS(芦花古楼!$AO$5:$AO$104,芦花古楼!$AI$5:$AI$104,"="&amp;金币总表!A33)</f>
        <v>0</v>
      </c>
      <c r="N33" s="14">
        <f>INDEX('恶灵入侵-专属解封'!$AF$6:$AF$22,MATCH(金币总表!B33,'恶灵入侵-专属解封'!$U$6:$U$22,1))</f>
        <v>90000</v>
      </c>
      <c r="O33" s="14">
        <f>日常任务!$E$2*金币总表!C33</f>
        <v>1200000</v>
      </c>
      <c r="P33" s="14">
        <f>INDEX(日常副本!$F$6:$F$18,MATCH(金币总表!B33,日常副本!$B$6:$B$18,1))*C33*P$1</f>
        <v>26400000</v>
      </c>
      <c r="Q33" s="14">
        <f t="shared" si="0"/>
        <v>66100800</v>
      </c>
      <c r="R33" s="134"/>
      <c r="S33" s="138"/>
      <c r="T33" s="138"/>
      <c r="AD33" s="142"/>
      <c r="AM33" s="138"/>
      <c r="AO33" s="142"/>
    </row>
    <row r="34" spans="1:41" ht="16.5" x14ac:dyDescent="0.2">
      <c r="E34" s="14"/>
      <c r="F34" s="14"/>
      <c r="G34" s="21">
        <f t="shared" ref="G34:O34" si="14">G13/$Q13</f>
        <v>3.7583518930957682E-2</v>
      </c>
      <c r="H34" s="21">
        <f t="shared" si="14"/>
        <v>8.3518930957683743E-2</v>
      </c>
      <c r="I34" s="21">
        <f t="shared" si="14"/>
        <v>6.6815144766147E-2</v>
      </c>
      <c r="J34" s="21">
        <f t="shared" si="14"/>
        <v>0</v>
      </c>
      <c r="K34" s="21">
        <f t="shared" si="14"/>
        <v>0</v>
      </c>
      <c r="L34" s="21">
        <f t="shared" si="14"/>
        <v>0</v>
      </c>
      <c r="M34" s="21">
        <f t="shared" si="14"/>
        <v>0</v>
      </c>
      <c r="N34" s="21">
        <f t="shared" si="14"/>
        <v>7.5167037861915365E-2</v>
      </c>
      <c r="O34" s="21">
        <f t="shared" si="14"/>
        <v>4.6213808463251668E-2</v>
      </c>
      <c r="P34" s="14"/>
      <c r="Q34" s="15"/>
    </row>
    <row r="35" spans="1:41" x14ac:dyDescent="0.2">
      <c r="Q35" s="15"/>
    </row>
    <row r="36" spans="1:41" s="138" customFormat="1" x14ac:dyDescent="0.2">
      <c r="Q36" s="137"/>
      <c r="AD36" s="142"/>
      <c r="AO36" s="142"/>
    </row>
    <row r="37" spans="1:41" x14ac:dyDescent="0.2">
      <c r="A37" s="137"/>
      <c r="B37" s="137"/>
      <c r="C37" s="137"/>
      <c r="D37" s="137"/>
      <c r="E37" s="137"/>
      <c r="F37" s="137"/>
      <c r="G37" s="137"/>
      <c r="H37" s="137"/>
      <c r="I37" s="137"/>
      <c r="J37" s="137"/>
      <c r="K37" s="137"/>
      <c r="L37" s="137"/>
      <c r="M37" s="137"/>
      <c r="N37" s="137"/>
      <c r="O37" s="137"/>
      <c r="P37" s="137"/>
      <c r="Q37" s="137"/>
      <c r="R37" s="137"/>
      <c r="S37" s="137"/>
      <c r="T37" s="137"/>
      <c r="U37" s="137"/>
    </row>
    <row r="38" spans="1:41" x14ac:dyDescent="0.2">
      <c r="A38" s="43"/>
      <c r="B38" s="43"/>
      <c r="C38" s="43"/>
      <c r="D38" s="43"/>
      <c r="E38" s="43"/>
      <c r="F38" s="43"/>
      <c r="G38" s="43"/>
      <c r="H38" s="43"/>
      <c r="I38" s="43"/>
      <c r="J38" s="43"/>
      <c r="K38" s="43"/>
      <c r="L38" s="43"/>
      <c r="M38" s="43"/>
      <c r="N38" s="137"/>
      <c r="O38" s="250"/>
      <c r="P38" s="250"/>
      <c r="Q38" s="250"/>
      <c r="R38" s="250"/>
      <c r="S38" s="250"/>
      <c r="T38" s="250"/>
      <c r="U38" s="250"/>
    </row>
    <row r="39" spans="1:41" x14ac:dyDescent="0.2">
      <c r="A39" s="137"/>
      <c r="B39" s="137"/>
      <c r="C39" s="137"/>
      <c r="D39" s="137"/>
      <c r="E39" s="137"/>
      <c r="F39" s="137"/>
      <c r="G39" s="137"/>
      <c r="H39" s="137"/>
      <c r="I39" s="137"/>
      <c r="J39" s="137"/>
      <c r="K39" s="137"/>
      <c r="L39" s="137"/>
      <c r="M39" s="137"/>
      <c r="N39" s="137"/>
      <c r="O39" s="137"/>
      <c r="P39" s="137"/>
      <c r="Q39" s="137"/>
      <c r="R39" s="137"/>
      <c r="S39" s="137"/>
      <c r="T39" s="137"/>
      <c r="U39" s="137"/>
    </row>
    <row r="40" spans="1:41" x14ac:dyDescent="0.2">
      <c r="A40" s="137"/>
      <c r="B40" s="137"/>
      <c r="C40" s="137"/>
      <c r="D40" s="137"/>
      <c r="E40" s="137"/>
      <c r="F40" s="137"/>
      <c r="G40" s="137"/>
      <c r="H40" s="137"/>
      <c r="I40" s="137"/>
      <c r="J40" s="137"/>
      <c r="K40" s="137"/>
      <c r="L40" s="137"/>
      <c r="M40" s="137"/>
      <c r="N40" s="137"/>
      <c r="O40" s="137"/>
      <c r="P40" s="137"/>
      <c r="Q40" s="137"/>
      <c r="R40" s="137"/>
      <c r="S40" s="137"/>
      <c r="T40" s="137"/>
      <c r="U40" s="137"/>
    </row>
    <row r="41" spans="1:41" x14ac:dyDescent="0.2">
      <c r="A41" s="137"/>
      <c r="B41" s="137"/>
      <c r="C41" s="137"/>
      <c r="D41" s="137"/>
      <c r="E41" s="137"/>
      <c r="F41" s="137"/>
      <c r="G41" s="137"/>
      <c r="H41" s="137"/>
      <c r="I41" s="137"/>
      <c r="J41" s="137"/>
      <c r="K41" s="137"/>
      <c r="L41" s="137"/>
      <c r="M41" s="137"/>
      <c r="N41" s="137"/>
      <c r="O41" s="137"/>
      <c r="P41" s="137"/>
      <c r="Q41" s="137"/>
      <c r="R41" s="137"/>
      <c r="S41" s="137"/>
      <c r="T41" s="137"/>
      <c r="U41" s="137"/>
    </row>
    <row r="42" spans="1:41" x14ac:dyDescent="0.2">
      <c r="A42" s="137"/>
      <c r="B42" s="137"/>
      <c r="C42" s="137"/>
      <c r="D42" s="137"/>
      <c r="E42" s="137"/>
      <c r="F42" s="137"/>
      <c r="G42" s="137"/>
      <c r="H42" s="137"/>
      <c r="I42" s="137"/>
      <c r="J42" s="137"/>
      <c r="K42" s="137"/>
      <c r="L42" s="137"/>
      <c r="M42" s="137"/>
      <c r="N42" s="137"/>
      <c r="O42" s="137"/>
      <c r="P42" s="137"/>
      <c r="Q42" s="137"/>
      <c r="R42" s="137"/>
      <c r="S42" s="137"/>
      <c r="T42" s="137"/>
      <c r="U42" s="137"/>
    </row>
    <row r="43" spans="1:41" x14ac:dyDescent="0.2">
      <c r="A43" s="137"/>
      <c r="B43" s="137"/>
      <c r="C43" s="137"/>
      <c r="D43" s="137"/>
      <c r="E43" s="137"/>
      <c r="F43" s="137"/>
      <c r="G43" s="137"/>
      <c r="H43" s="137"/>
      <c r="I43" s="137"/>
      <c r="J43" s="137"/>
      <c r="K43" s="137"/>
      <c r="L43" s="137"/>
      <c r="M43" s="137"/>
      <c r="N43" s="137"/>
      <c r="O43" s="137"/>
      <c r="P43" s="137"/>
      <c r="Q43" s="137"/>
      <c r="R43" s="137"/>
      <c r="S43" s="137"/>
      <c r="T43" s="137"/>
      <c r="U43" s="137"/>
    </row>
    <row r="44" spans="1:41" x14ac:dyDescent="0.2">
      <c r="A44" s="137"/>
      <c r="B44" s="137"/>
      <c r="C44" s="137"/>
      <c r="D44" s="137"/>
      <c r="E44" s="137"/>
      <c r="F44" s="137"/>
      <c r="G44" s="137"/>
      <c r="H44" s="137"/>
      <c r="I44" s="137"/>
      <c r="J44" s="137"/>
      <c r="K44" s="137"/>
      <c r="L44" s="137"/>
      <c r="M44" s="137"/>
      <c r="N44" s="137"/>
      <c r="O44" s="137"/>
      <c r="P44" s="137"/>
      <c r="Q44" s="137"/>
      <c r="R44" s="137"/>
      <c r="S44" s="137"/>
      <c r="T44" s="137"/>
      <c r="U44" s="137"/>
    </row>
    <row r="45" spans="1:41" x14ac:dyDescent="0.2">
      <c r="M45" s="15"/>
      <c r="N45" s="15"/>
      <c r="O45" s="15"/>
      <c r="P45" s="15"/>
      <c r="Q45" s="15"/>
    </row>
    <row r="47" spans="1:41" x14ac:dyDescent="0.2">
      <c r="A47" s="43"/>
      <c r="B47" s="43"/>
      <c r="C47" s="43"/>
      <c r="D47" s="43"/>
      <c r="E47" s="43"/>
      <c r="F47" s="43"/>
      <c r="G47" s="43"/>
      <c r="H47" s="43"/>
      <c r="I47" s="43"/>
      <c r="J47" s="43"/>
      <c r="K47" s="43"/>
    </row>
    <row r="48" spans="1:41" x14ac:dyDescent="0.2">
      <c r="A48" s="15"/>
      <c r="B48" s="15"/>
      <c r="C48" s="15"/>
      <c r="D48" s="15"/>
      <c r="E48" s="15"/>
      <c r="F48" s="15"/>
      <c r="G48" s="15"/>
      <c r="H48" s="15"/>
      <c r="I48" s="15"/>
      <c r="J48" s="15"/>
      <c r="K48" s="15"/>
    </row>
    <row r="49" spans="1:11" x14ac:dyDescent="0.2">
      <c r="A49" s="15"/>
      <c r="B49" s="15"/>
      <c r="C49" s="15"/>
      <c r="D49" s="15"/>
      <c r="E49" s="15"/>
      <c r="F49" s="15"/>
      <c r="G49" s="15"/>
      <c r="H49" s="15"/>
      <c r="I49" s="15"/>
      <c r="J49" s="15"/>
      <c r="K49" s="15"/>
    </row>
    <row r="50" spans="1:11" x14ac:dyDescent="0.2">
      <c r="A50" s="15"/>
      <c r="B50" s="15"/>
      <c r="C50" s="15"/>
      <c r="D50" s="15"/>
      <c r="E50" s="15"/>
      <c r="F50" s="15"/>
      <c r="G50" s="15"/>
      <c r="H50" s="15"/>
      <c r="I50" s="15"/>
      <c r="J50" s="15"/>
      <c r="K50" s="15"/>
    </row>
    <row r="51" spans="1:11" x14ac:dyDescent="0.2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15"/>
    </row>
    <row r="52" spans="1:11" x14ac:dyDescent="0.2">
      <c r="A52" s="15"/>
      <c r="B52" s="15"/>
      <c r="C52" s="15"/>
      <c r="D52" s="15"/>
      <c r="E52" s="15"/>
      <c r="F52" s="15"/>
      <c r="G52" s="15"/>
      <c r="H52" s="15"/>
      <c r="I52" s="15"/>
      <c r="J52" s="15"/>
      <c r="K52" s="15"/>
    </row>
    <row r="53" spans="1:11" x14ac:dyDescent="0.2">
      <c r="A53" s="15"/>
      <c r="B53" s="15"/>
      <c r="C53" s="15"/>
      <c r="D53" s="15"/>
      <c r="E53" s="15"/>
      <c r="F53" s="15"/>
      <c r="G53" s="15"/>
      <c r="H53" s="15"/>
      <c r="I53" s="15"/>
      <c r="J53" s="15"/>
      <c r="K53" s="15"/>
    </row>
  </sheetData>
  <mergeCells count="2">
    <mergeCell ref="O38:U38"/>
    <mergeCell ref="A2:Q2"/>
  </mergeCells>
  <phoneticPr fontId="2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E19"/>
  <sheetViews>
    <sheetView workbookViewId="0">
      <selection activeCell="L26" sqref="L26"/>
    </sheetView>
  </sheetViews>
  <sheetFormatPr defaultRowHeight="14.25" x14ac:dyDescent="0.2"/>
  <cols>
    <col min="2" max="2" width="25.625" customWidth="1"/>
    <col min="3" max="3" width="10.375" customWidth="1"/>
    <col min="4" max="4" width="12.5" customWidth="1"/>
  </cols>
  <sheetData>
    <row r="2" spans="1:5" ht="16.5" x14ac:dyDescent="0.2">
      <c r="C2" s="14">
        <f>SUM(C4:C18)</f>
        <v>20</v>
      </c>
      <c r="D2" s="24">
        <v>10000</v>
      </c>
      <c r="E2" s="24">
        <v>20000</v>
      </c>
    </row>
    <row r="3" spans="1:5" ht="17.25" x14ac:dyDescent="0.2">
      <c r="A3" s="12" t="s">
        <v>30</v>
      </c>
      <c r="B3" s="12" t="s">
        <v>59</v>
      </c>
      <c r="C3" s="12" t="s">
        <v>60</v>
      </c>
      <c r="D3" s="12" t="s">
        <v>58</v>
      </c>
      <c r="E3" s="12" t="s">
        <v>134</v>
      </c>
    </row>
    <row r="4" spans="1:5" ht="16.5" x14ac:dyDescent="0.2">
      <c r="A4" s="17">
        <v>1</v>
      </c>
      <c r="B4" s="17" t="s">
        <v>275</v>
      </c>
      <c r="C4" s="17">
        <v>1</v>
      </c>
      <c r="D4" s="14">
        <f>D$2/C$2*C4</f>
        <v>500</v>
      </c>
      <c r="E4" s="14">
        <f>E$2/$C$2*$C4</f>
        <v>1000</v>
      </c>
    </row>
    <row r="5" spans="1:5" ht="16.5" x14ac:dyDescent="0.2">
      <c r="A5" s="17">
        <v>2</v>
      </c>
      <c r="B5" s="17" t="s">
        <v>48</v>
      </c>
      <c r="C5" s="17">
        <v>1</v>
      </c>
      <c r="D5" s="14">
        <f t="shared" ref="D5:D17" si="0">D$2/C$2*C5</f>
        <v>500</v>
      </c>
      <c r="E5" s="14">
        <f t="shared" ref="E5:E18" si="1">E$2/$C$2*$C5</f>
        <v>1000</v>
      </c>
    </row>
    <row r="6" spans="1:5" ht="16.5" x14ac:dyDescent="0.2">
      <c r="A6" s="17">
        <v>3</v>
      </c>
      <c r="B6" s="17" t="s">
        <v>49</v>
      </c>
      <c r="C6" s="17">
        <v>1</v>
      </c>
      <c r="D6" s="14">
        <f t="shared" si="0"/>
        <v>500</v>
      </c>
      <c r="E6" s="14">
        <f t="shared" si="1"/>
        <v>1000</v>
      </c>
    </row>
    <row r="7" spans="1:5" ht="16.5" x14ac:dyDescent="0.2">
      <c r="A7" s="17">
        <v>4</v>
      </c>
      <c r="B7" s="17" t="s">
        <v>276</v>
      </c>
      <c r="C7" s="17">
        <v>1</v>
      </c>
      <c r="D7" s="14">
        <f t="shared" si="0"/>
        <v>500</v>
      </c>
      <c r="E7" s="14">
        <f t="shared" si="1"/>
        <v>1000</v>
      </c>
    </row>
    <row r="8" spans="1:5" ht="16.5" x14ac:dyDescent="0.2">
      <c r="A8" s="17">
        <v>5</v>
      </c>
      <c r="B8" s="17" t="s">
        <v>50</v>
      </c>
      <c r="C8" s="17">
        <v>1</v>
      </c>
      <c r="D8" s="14">
        <f t="shared" si="0"/>
        <v>500</v>
      </c>
      <c r="E8" s="14">
        <f t="shared" si="1"/>
        <v>1000</v>
      </c>
    </row>
    <row r="9" spans="1:5" ht="16.5" x14ac:dyDescent="0.2">
      <c r="A9" s="17">
        <v>6</v>
      </c>
      <c r="B9" s="17" t="s">
        <v>51</v>
      </c>
      <c r="C9" s="17">
        <v>1</v>
      </c>
      <c r="D9" s="14">
        <f t="shared" si="0"/>
        <v>500</v>
      </c>
      <c r="E9" s="14">
        <f t="shared" si="1"/>
        <v>1000</v>
      </c>
    </row>
    <row r="10" spans="1:5" ht="16.5" x14ac:dyDescent="0.2">
      <c r="A10" s="17">
        <v>7</v>
      </c>
      <c r="B10" s="17" t="s">
        <v>52</v>
      </c>
      <c r="C10" s="17">
        <v>1</v>
      </c>
      <c r="D10" s="14">
        <f t="shared" si="0"/>
        <v>500</v>
      </c>
      <c r="E10" s="14">
        <f t="shared" si="1"/>
        <v>1000</v>
      </c>
    </row>
    <row r="11" spans="1:5" ht="16.5" x14ac:dyDescent="0.2">
      <c r="A11" s="17">
        <v>8</v>
      </c>
      <c r="B11" s="17" t="s">
        <v>53</v>
      </c>
      <c r="C11" s="17">
        <v>1</v>
      </c>
      <c r="D11" s="14">
        <f t="shared" si="0"/>
        <v>500</v>
      </c>
      <c r="E11" s="14">
        <f t="shared" si="1"/>
        <v>1000</v>
      </c>
    </row>
    <row r="12" spans="1:5" ht="16.5" x14ac:dyDescent="0.2">
      <c r="A12" s="17">
        <v>9</v>
      </c>
      <c r="B12" s="17" t="s">
        <v>54</v>
      </c>
      <c r="C12" s="17">
        <v>1</v>
      </c>
      <c r="D12" s="14">
        <f t="shared" si="0"/>
        <v>500</v>
      </c>
      <c r="E12" s="14">
        <f t="shared" si="1"/>
        <v>1000</v>
      </c>
    </row>
    <row r="13" spans="1:5" ht="16.5" x14ac:dyDescent="0.2">
      <c r="A13" s="60">
        <v>10</v>
      </c>
      <c r="B13" s="17" t="s">
        <v>55</v>
      </c>
      <c r="C13" s="17">
        <v>1</v>
      </c>
      <c r="D13" s="14">
        <f t="shared" si="0"/>
        <v>500</v>
      </c>
      <c r="E13" s="14">
        <f t="shared" si="1"/>
        <v>1000</v>
      </c>
    </row>
    <row r="14" spans="1:5" ht="16.5" x14ac:dyDescent="0.2">
      <c r="A14" s="60">
        <v>11</v>
      </c>
      <c r="B14" s="17" t="s">
        <v>56</v>
      </c>
      <c r="C14" s="17">
        <v>2</v>
      </c>
      <c r="D14" s="14">
        <f t="shared" si="0"/>
        <v>1000</v>
      </c>
      <c r="E14" s="14">
        <f t="shared" si="1"/>
        <v>2000</v>
      </c>
    </row>
    <row r="15" spans="1:5" ht="16.5" x14ac:dyDescent="0.2">
      <c r="A15" s="60">
        <v>12</v>
      </c>
      <c r="B15" s="17" t="s">
        <v>277</v>
      </c>
      <c r="C15" s="17">
        <v>3</v>
      </c>
      <c r="D15" s="14">
        <f t="shared" si="0"/>
        <v>1500</v>
      </c>
      <c r="E15" s="14">
        <f t="shared" si="1"/>
        <v>3000</v>
      </c>
    </row>
    <row r="16" spans="1:5" ht="16.5" x14ac:dyDescent="0.2">
      <c r="A16" s="60">
        <v>13</v>
      </c>
      <c r="B16" s="17" t="s">
        <v>38</v>
      </c>
      <c r="C16" s="17">
        <v>1</v>
      </c>
      <c r="D16" s="14">
        <f t="shared" si="0"/>
        <v>500</v>
      </c>
      <c r="E16" s="14">
        <f t="shared" si="1"/>
        <v>1000</v>
      </c>
    </row>
    <row r="17" spans="1:5" ht="16.5" x14ac:dyDescent="0.2">
      <c r="A17" s="60">
        <v>14</v>
      </c>
      <c r="B17" s="17" t="s">
        <v>57</v>
      </c>
      <c r="C17" s="17">
        <v>2</v>
      </c>
      <c r="D17" s="14">
        <f t="shared" si="0"/>
        <v>1000</v>
      </c>
      <c r="E17" s="14">
        <f t="shared" si="1"/>
        <v>2000</v>
      </c>
    </row>
    <row r="18" spans="1:5" ht="16.5" x14ac:dyDescent="0.2">
      <c r="A18" s="60">
        <v>15</v>
      </c>
      <c r="B18" s="60" t="s">
        <v>409</v>
      </c>
      <c r="C18" s="60">
        <v>2</v>
      </c>
      <c r="D18" s="14">
        <f>D$2/C$2*C18</f>
        <v>1000</v>
      </c>
      <c r="E18" s="14">
        <f t="shared" si="1"/>
        <v>2000</v>
      </c>
    </row>
    <row r="19" spans="1:5" x14ac:dyDescent="0.2">
      <c r="A19" s="15"/>
    </row>
  </sheetData>
  <phoneticPr fontId="2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K319"/>
  <sheetViews>
    <sheetView topLeftCell="AG1" workbookViewId="0">
      <selection activeCell="AM17" sqref="AM17"/>
    </sheetView>
  </sheetViews>
  <sheetFormatPr defaultRowHeight="14.25" x14ac:dyDescent="0.2"/>
  <cols>
    <col min="1" max="1" width="8.875" customWidth="1"/>
    <col min="2" max="3" width="8.75" customWidth="1"/>
    <col min="4" max="4" width="8.875" customWidth="1"/>
    <col min="5" max="5" width="9.625" style="114" customWidth="1"/>
    <col min="6" max="6" width="10.5" style="114" customWidth="1"/>
    <col min="7" max="8" width="10.5" style="117" customWidth="1"/>
    <col min="11" max="11" width="11" customWidth="1"/>
    <col min="12" max="12" width="9.25" customWidth="1"/>
    <col min="13" max="14" width="9.125" bestFit="1" customWidth="1"/>
    <col min="15" max="16" width="10.625" customWidth="1"/>
    <col min="17" max="17" width="10.125" bestFit="1" customWidth="1"/>
    <col min="18" max="18" width="9.125" bestFit="1" customWidth="1"/>
    <col min="19" max="19" width="9.625" bestFit="1" customWidth="1"/>
    <col min="20" max="20" width="9.125" customWidth="1"/>
    <col min="21" max="30" width="14" style="168" customWidth="1"/>
    <col min="31" max="31" width="12" style="168" customWidth="1"/>
    <col min="32" max="32" width="12.625" style="168" customWidth="1"/>
    <col min="33" max="47" width="14" style="168" customWidth="1"/>
    <col min="48" max="49" width="10.125" customWidth="1"/>
    <col min="50" max="59" width="12.625" customWidth="1"/>
    <col min="60" max="60" width="12.625" style="146" customWidth="1"/>
    <col min="61" max="80" width="12.625" style="168" customWidth="1"/>
    <col min="81" max="81" width="18.625" style="168" customWidth="1"/>
    <col min="82" max="91" width="12.625" style="168" customWidth="1"/>
    <col min="92" max="92" width="9" customWidth="1"/>
    <col min="93" max="93" width="9" style="142" customWidth="1"/>
    <col min="94" max="94" width="10.875" style="142" customWidth="1"/>
    <col min="95" max="96" width="9" style="142" customWidth="1"/>
    <col min="97" max="97" width="9.75" customWidth="1"/>
    <col min="102" max="102" width="9.625" customWidth="1"/>
    <col min="103" max="103" width="8.875" customWidth="1"/>
    <col min="105" max="105" width="12" customWidth="1"/>
    <col min="106" max="106" width="13.25" customWidth="1"/>
    <col min="107" max="107" width="14.25" customWidth="1"/>
    <col min="108" max="108" width="13.5" customWidth="1"/>
    <col min="109" max="109" width="12.625" bestFit="1" customWidth="1"/>
    <col min="110" max="110" width="9.75" customWidth="1"/>
    <col min="111" max="111" width="10.25" customWidth="1"/>
    <col min="112" max="114" width="10.25" style="105" customWidth="1"/>
    <col min="115" max="115" width="10.625" style="142" customWidth="1"/>
    <col min="116" max="123" width="10.625" style="105" customWidth="1"/>
    <col min="124" max="124" width="12.375" style="105" customWidth="1"/>
    <col min="125" max="125" width="13" style="105" customWidth="1"/>
    <col min="126" max="127" width="12.75" style="105" customWidth="1"/>
    <col min="128" max="133" width="10.625" style="105" customWidth="1"/>
    <col min="134" max="134" width="12.625" style="105" customWidth="1"/>
    <col min="135" max="135" width="10.625" style="105" customWidth="1"/>
    <col min="136" max="136" width="10.25" style="142" customWidth="1"/>
    <col min="137" max="141" width="11.625" style="142" customWidth="1"/>
    <col min="142" max="142" width="11.5" style="142" customWidth="1"/>
    <col min="143" max="143" width="10.5" style="142" customWidth="1"/>
    <col min="144" max="144" width="10.75" style="142" customWidth="1"/>
    <col min="145" max="145" width="11.125" style="142" customWidth="1"/>
    <col min="146" max="146" width="9.25" style="142" customWidth="1"/>
    <col min="147" max="147" width="9.625" style="142" customWidth="1"/>
    <col min="148" max="151" width="11.125" style="142" customWidth="1"/>
    <col min="152" max="152" width="11.125" style="105" customWidth="1"/>
    <col min="153" max="153" width="13.5" style="102" customWidth="1"/>
    <col min="154" max="154" width="13.5" style="103" customWidth="1"/>
    <col min="155" max="155" width="12" customWidth="1"/>
    <col min="156" max="156" width="11.25" customWidth="1"/>
    <col min="157" max="157" width="11.125" customWidth="1"/>
    <col min="158" max="158" width="11.75" customWidth="1"/>
    <col min="159" max="159" width="11.5" customWidth="1"/>
    <col min="161" max="161" width="12.375" customWidth="1"/>
  </cols>
  <sheetData>
    <row r="1" spans="1:167" ht="16.5" x14ac:dyDescent="0.2">
      <c r="CS1" s="25" t="s">
        <v>150</v>
      </c>
      <c r="CT1" s="26">
        <v>3</v>
      </c>
      <c r="CU1" s="73"/>
      <c r="CV1" s="15"/>
    </row>
    <row r="2" spans="1:167" ht="16.5" x14ac:dyDescent="0.2">
      <c r="A2" s="25" t="s">
        <v>148</v>
      </c>
      <c r="B2" s="26">
        <v>1</v>
      </c>
      <c r="C2" s="167"/>
      <c r="E2"/>
      <c r="F2" s="61" t="s">
        <v>411</v>
      </c>
      <c r="G2" s="14">
        <f>60*G4/G5</f>
        <v>5</v>
      </c>
      <c r="H2" s="14">
        <f t="shared" ref="H2:N2" si="0">60*H4/H5</f>
        <v>2.5</v>
      </c>
      <c r="I2" s="14">
        <f t="shared" si="0"/>
        <v>1</v>
      </c>
      <c r="J2" s="14">
        <f t="shared" si="0"/>
        <v>0.5</v>
      </c>
      <c r="K2" s="14">
        <f t="shared" si="0"/>
        <v>0.25</v>
      </c>
      <c r="L2" s="14">
        <f t="shared" si="0"/>
        <v>0.75</v>
      </c>
      <c r="M2" s="14">
        <f t="shared" si="0"/>
        <v>0.3</v>
      </c>
      <c r="N2" s="14">
        <f t="shared" si="0"/>
        <v>0.15</v>
      </c>
      <c r="O2" s="14"/>
      <c r="P2" s="14"/>
      <c r="Q2" s="14"/>
      <c r="R2" s="14"/>
      <c r="AW2" s="157"/>
      <c r="AX2" s="157"/>
      <c r="AY2" s="157"/>
      <c r="AZ2" s="157"/>
      <c r="BA2" s="157"/>
      <c r="BB2" s="157"/>
      <c r="BC2" s="157"/>
      <c r="BD2" s="157"/>
      <c r="BE2" s="157"/>
      <c r="BF2" s="157"/>
    </row>
    <row r="3" spans="1:167" ht="20.25" x14ac:dyDescent="0.2">
      <c r="A3" s="233" t="s">
        <v>95</v>
      </c>
      <c r="B3" s="233"/>
      <c r="C3" s="233"/>
      <c r="D3" s="233"/>
      <c r="E3" s="233"/>
      <c r="F3" s="233"/>
      <c r="G3" s="233"/>
      <c r="H3" s="233"/>
      <c r="I3" s="233"/>
      <c r="J3" s="233"/>
      <c r="K3" s="233"/>
      <c r="L3" s="233"/>
      <c r="M3" s="233"/>
      <c r="N3" s="233"/>
      <c r="O3" s="233"/>
      <c r="P3" s="233"/>
      <c r="Q3" s="233"/>
      <c r="R3" s="233"/>
      <c r="U3" s="233" t="s">
        <v>1394</v>
      </c>
      <c r="V3" s="233"/>
      <c r="W3" s="233"/>
      <c r="X3" s="233"/>
      <c r="Y3" s="233"/>
      <c r="Z3" s="233"/>
      <c r="AA3" s="233"/>
      <c r="AB3" s="233"/>
      <c r="AC3" s="233"/>
      <c r="AD3" s="233"/>
      <c r="AE3" s="233"/>
      <c r="AF3" s="233"/>
      <c r="AI3" s="233" t="s">
        <v>1400</v>
      </c>
      <c r="AJ3" s="233"/>
      <c r="AK3" s="233"/>
      <c r="AL3" s="233"/>
      <c r="AM3" s="233"/>
      <c r="AN3" s="233"/>
      <c r="AO3" s="233"/>
      <c r="AP3" s="233"/>
      <c r="AQ3" s="233"/>
      <c r="AR3" s="233"/>
      <c r="AS3" s="233"/>
      <c r="AV3" s="160" t="s">
        <v>1377</v>
      </c>
      <c r="AW3" s="159">
        <v>3</v>
      </c>
      <c r="DL3"/>
      <c r="DM3"/>
      <c r="DN3"/>
      <c r="DO3"/>
      <c r="DP3"/>
      <c r="DQ3"/>
      <c r="DR3"/>
      <c r="DS3"/>
      <c r="DT3" s="14">
        <f>AJ12+BS16</f>
        <v>3584</v>
      </c>
      <c r="DU3" s="14">
        <f t="shared" ref="DU3:DX3" si="1">AK12+BT16</f>
        <v>4030</v>
      </c>
      <c r="DV3" s="14">
        <f t="shared" si="1"/>
        <v>3250.75</v>
      </c>
      <c r="DW3" s="14">
        <f t="shared" si="1"/>
        <v>2696.5</v>
      </c>
      <c r="DX3" s="14">
        <f t="shared" si="1"/>
        <v>1112.125</v>
      </c>
      <c r="DY3" s="14">
        <f>AO12+CI15</f>
        <v>2346.6475</v>
      </c>
      <c r="DZ3" s="14">
        <f t="shared" ref="DZ3:EB3" si="2">AP12+CJ15</f>
        <v>2303.62</v>
      </c>
      <c r="EA3" s="14">
        <f t="shared" si="2"/>
        <v>1779.6675</v>
      </c>
      <c r="EB3" s="14">
        <f t="shared" si="2"/>
        <v>820.75749999999994</v>
      </c>
      <c r="EC3" s="14">
        <f>AS12</f>
        <v>300.97249999999997</v>
      </c>
      <c r="ED3" s="14">
        <f>R43</f>
        <v>0</v>
      </c>
      <c r="FE3" s="102"/>
      <c r="FF3" s="102"/>
      <c r="FG3" s="102"/>
      <c r="FH3" s="102"/>
      <c r="FI3" s="102"/>
      <c r="FJ3" s="102"/>
      <c r="FK3" s="102"/>
    </row>
    <row r="4" spans="1:167" ht="20.25" x14ac:dyDescent="0.2">
      <c r="A4" s="15"/>
      <c r="B4" s="15"/>
      <c r="C4" s="15"/>
      <c r="D4" s="15"/>
      <c r="E4" s="15"/>
      <c r="F4" s="25" t="s">
        <v>143</v>
      </c>
      <c r="G4" s="26">
        <v>0.5</v>
      </c>
      <c r="H4" s="26">
        <v>0.25</v>
      </c>
      <c r="I4" s="26">
        <v>0.1</v>
      </c>
      <c r="J4" s="26">
        <v>0.05</v>
      </c>
      <c r="K4" s="64">
        <v>2.5000000000000001E-2</v>
      </c>
      <c r="L4" s="26">
        <v>0.25</v>
      </c>
      <c r="M4" s="26">
        <v>0.1</v>
      </c>
      <c r="N4" s="26">
        <v>0.05</v>
      </c>
      <c r="O4" s="64">
        <v>2.5000000000000001E-2</v>
      </c>
      <c r="P4" s="64">
        <v>0.05</v>
      </c>
      <c r="Q4" s="30">
        <v>1</v>
      </c>
      <c r="R4" s="30">
        <v>1</v>
      </c>
      <c r="AV4" s="233" t="s">
        <v>1389</v>
      </c>
      <c r="AW4" s="233"/>
      <c r="AX4" s="233"/>
      <c r="AY4" s="233"/>
      <c r="AZ4" s="233"/>
      <c r="BA4" s="233"/>
      <c r="BB4" s="233"/>
      <c r="BC4" s="233"/>
      <c r="BD4" s="233"/>
      <c r="BE4" s="233"/>
      <c r="BF4" s="233"/>
      <c r="BH4" s="233" t="s">
        <v>1412</v>
      </c>
      <c r="BI4" s="233"/>
      <c r="BJ4" s="233"/>
      <c r="BK4" s="233"/>
      <c r="BL4" s="233"/>
      <c r="BM4" s="233"/>
      <c r="BN4" s="233"/>
      <c r="BO4" s="233"/>
      <c r="BP4" s="233"/>
      <c r="BS4" s="233" t="s">
        <v>1413</v>
      </c>
      <c r="BT4" s="233"/>
      <c r="BU4" s="233"/>
      <c r="BV4" s="233"/>
      <c r="BW4" s="233"/>
      <c r="BZ4" s="233" t="s">
        <v>1422</v>
      </c>
      <c r="CA4" s="233"/>
      <c r="CB4" s="233"/>
      <c r="CC4" s="233"/>
      <c r="CD4" s="233"/>
      <c r="CE4" s="233"/>
      <c r="CF4" s="233"/>
      <c r="CG4" s="233"/>
      <c r="CI4" s="233" t="s">
        <v>1423</v>
      </c>
      <c r="CJ4" s="233"/>
      <c r="CK4" s="233"/>
      <c r="CL4" s="233"/>
      <c r="CN4" s="233" t="s">
        <v>1118</v>
      </c>
      <c r="CO4" s="233"/>
      <c r="CP4" s="233"/>
      <c r="CS4" s="234" t="s">
        <v>961</v>
      </c>
      <c r="CT4" s="234"/>
      <c r="CU4" s="234"/>
      <c r="CV4" s="234"/>
      <c r="CW4" s="234"/>
      <c r="CX4" s="234"/>
      <c r="CY4" s="234"/>
      <c r="CZ4" s="234"/>
      <c r="DA4" s="234"/>
      <c r="DB4" s="234"/>
      <c r="DC4" s="234"/>
      <c r="DD4" s="234"/>
      <c r="DE4" s="234"/>
      <c r="DF4" s="234"/>
      <c r="DG4" s="234"/>
      <c r="DH4" s="234"/>
      <c r="DI4" s="234"/>
      <c r="DJ4" s="234"/>
      <c r="DL4"/>
      <c r="DM4"/>
      <c r="DN4"/>
      <c r="DO4"/>
      <c r="DP4"/>
      <c r="DQ4"/>
      <c r="DR4"/>
      <c r="DS4"/>
      <c r="DT4" t="s">
        <v>418</v>
      </c>
      <c r="DU4" t="s">
        <v>419</v>
      </c>
      <c r="DV4" t="s">
        <v>420</v>
      </c>
      <c r="DW4" t="s">
        <v>421</v>
      </c>
      <c r="DX4" t="s">
        <v>194</v>
      </c>
      <c r="DY4" t="s">
        <v>415</v>
      </c>
      <c r="DZ4" t="s">
        <v>416</v>
      </c>
      <c r="EA4" t="s">
        <v>417</v>
      </c>
      <c r="EB4" t="s">
        <v>966</v>
      </c>
      <c r="EC4" s="105" t="s">
        <v>982</v>
      </c>
      <c r="ED4" s="102" t="s">
        <v>979</v>
      </c>
      <c r="EF4" s="233" t="s">
        <v>964</v>
      </c>
      <c r="EG4" s="233"/>
      <c r="EH4" s="233"/>
      <c r="EI4" s="233"/>
      <c r="EJ4" s="233"/>
      <c r="EK4" s="233"/>
      <c r="EL4" s="233"/>
      <c r="EM4" s="233"/>
      <c r="EN4" s="233"/>
      <c r="EO4" s="233"/>
      <c r="EP4" s="233"/>
      <c r="EQ4" s="233"/>
      <c r="ER4" s="233"/>
      <c r="ES4" s="233"/>
      <c r="ET4" s="233"/>
      <c r="EU4" s="233"/>
      <c r="EV4" s="233"/>
      <c r="EY4" s="12" t="s">
        <v>155</v>
      </c>
      <c r="EZ4" s="12" t="s">
        <v>156</v>
      </c>
      <c r="FA4" s="12" t="s">
        <v>157</v>
      </c>
      <c r="FB4" s="12" t="s">
        <v>158</v>
      </c>
      <c r="FC4" s="12" t="s">
        <v>152</v>
      </c>
      <c r="FE4" s="102"/>
      <c r="FF4" s="102"/>
      <c r="FG4" s="102"/>
      <c r="FH4" s="102"/>
      <c r="FI4" s="102"/>
      <c r="FJ4" s="102"/>
      <c r="FK4" s="102"/>
    </row>
    <row r="5" spans="1:167" ht="17.25" x14ac:dyDescent="0.2">
      <c r="A5" s="15"/>
      <c r="B5" s="15"/>
      <c r="C5" s="15"/>
      <c r="D5" s="15"/>
      <c r="E5" s="15"/>
      <c r="F5" s="25" t="s">
        <v>144</v>
      </c>
      <c r="G5" s="26">
        <v>6</v>
      </c>
      <c r="H5" s="26">
        <v>6</v>
      </c>
      <c r="I5" s="26">
        <v>6</v>
      </c>
      <c r="J5" s="26">
        <v>6</v>
      </c>
      <c r="K5" s="64">
        <v>6</v>
      </c>
      <c r="L5" s="26">
        <v>20</v>
      </c>
      <c r="M5" s="26">
        <v>20</v>
      </c>
      <c r="N5" s="26">
        <v>20</v>
      </c>
      <c r="O5" s="64">
        <v>20</v>
      </c>
      <c r="P5" s="64">
        <v>60</v>
      </c>
      <c r="Q5" s="30">
        <v>1</v>
      </c>
      <c r="R5" s="30">
        <v>1</v>
      </c>
      <c r="AJ5" s="168" t="s">
        <v>1515</v>
      </c>
      <c r="AK5" s="168" t="s">
        <v>1516</v>
      </c>
      <c r="AL5" s="168" t="s">
        <v>1517</v>
      </c>
      <c r="AM5" s="168" t="s">
        <v>1518</v>
      </c>
      <c r="AN5" s="168" t="s">
        <v>1519</v>
      </c>
      <c r="AO5" s="168" t="s">
        <v>415</v>
      </c>
      <c r="AP5" s="168" t="s">
        <v>416</v>
      </c>
      <c r="AQ5" s="168" t="s">
        <v>417</v>
      </c>
      <c r="AR5" s="168" t="s">
        <v>1196</v>
      </c>
      <c r="AS5" s="168" t="s">
        <v>1008</v>
      </c>
      <c r="AX5" s="44">
        <v>960</v>
      </c>
      <c r="AY5" s="44">
        <v>960</v>
      </c>
      <c r="AZ5" s="44">
        <v>960</v>
      </c>
      <c r="BA5" s="44">
        <v>960</v>
      </c>
      <c r="BB5" s="44">
        <v>960</v>
      </c>
      <c r="BC5" s="44">
        <v>1440</v>
      </c>
      <c r="BD5" s="44">
        <v>1440</v>
      </c>
      <c r="BE5" s="44">
        <v>1440</v>
      </c>
      <c r="BF5" s="44">
        <v>1440</v>
      </c>
      <c r="CN5" s="141"/>
      <c r="CO5" s="141"/>
      <c r="CP5" s="141"/>
      <c r="CS5" s="45" t="s">
        <v>487</v>
      </c>
      <c r="CT5" s="12" t="s">
        <v>499</v>
      </c>
      <c r="CU5" s="12" t="s">
        <v>500</v>
      </c>
      <c r="CV5" s="12" t="s">
        <v>149</v>
      </c>
      <c r="CW5" s="12" t="s">
        <v>142</v>
      </c>
      <c r="CX5" s="12" t="s">
        <v>138</v>
      </c>
      <c r="CY5" s="12" t="s">
        <v>139</v>
      </c>
      <c r="CZ5" s="12" t="s">
        <v>140</v>
      </c>
      <c r="DA5" s="12" t="s">
        <v>141</v>
      </c>
      <c r="DB5" s="31" t="s">
        <v>426</v>
      </c>
      <c r="DC5" s="12" t="s">
        <v>412</v>
      </c>
      <c r="DD5" s="12" t="s">
        <v>413</v>
      </c>
      <c r="DE5" s="12" t="s">
        <v>414</v>
      </c>
      <c r="DF5" s="31" t="s">
        <v>430</v>
      </c>
      <c r="DG5" s="12" t="s">
        <v>429</v>
      </c>
      <c r="DH5" s="12" t="s">
        <v>1111</v>
      </c>
      <c r="DI5" s="12" t="s">
        <v>981</v>
      </c>
      <c r="DJ5" s="12" t="s">
        <v>980</v>
      </c>
      <c r="DL5" s="12" t="s">
        <v>137</v>
      </c>
      <c r="DM5" s="12" t="s">
        <v>499</v>
      </c>
      <c r="DN5" s="12" t="s">
        <v>500</v>
      </c>
      <c r="DO5" s="12" t="s">
        <v>149</v>
      </c>
      <c r="DP5" s="12" t="s">
        <v>142</v>
      </c>
      <c r="DQ5" s="12" t="s">
        <v>199</v>
      </c>
      <c r="DR5" s="12" t="s">
        <v>200</v>
      </c>
      <c r="DS5" s="12" t="s">
        <v>201</v>
      </c>
      <c r="DT5" s="12" t="s">
        <v>138</v>
      </c>
      <c r="DU5" s="12" t="s">
        <v>139</v>
      </c>
      <c r="DV5" s="12" t="s">
        <v>140</v>
      </c>
      <c r="DW5" s="12" t="s">
        <v>141</v>
      </c>
      <c r="DX5" s="12" t="s">
        <v>426</v>
      </c>
      <c r="DY5" s="12" t="s">
        <v>415</v>
      </c>
      <c r="DZ5" s="12" t="s">
        <v>416</v>
      </c>
      <c r="EA5" s="12" t="s">
        <v>417</v>
      </c>
      <c r="EB5" s="12" t="s">
        <v>424</v>
      </c>
      <c r="EC5" s="12" t="s">
        <v>982</v>
      </c>
      <c r="ED5" s="12" t="s">
        <v>978</v>
      </c>
      <c r="EF5" s="12" t="s">
        <v>962</v>
      </c>
      <c r="EG5" s="12" t="s">
        <v>963</v>
      </c>
      <c r="EH5" s="12" t="s">
        <v>142</v>
      </c>
      <c r="EI5" s="12" t="s">
        <v>994</v>
      </c>
      <c r="EJ5" s="12" t="s">
        <v>995</v>
      </c>
      <c r="EK5" s="12" t="s">
        <v>993</v>
      </c>
      <c r="EL5" s="12" t="s">
        <v>412</v>
      </c>
      <c r="EM5" s="12" t="s">
        <v>413</v>
      </c>
      <c r="EN5" s="12" t="s">
        <v>414</v>
      </c>
      <c r="EO5" s="12" t="s">
        <v>430</v>
      </c>
      <c r="EP5" s="12" t="s">
        <v>1120</v>
      </c>
      <c r="EQ5" s="12" t="s">
        <v>1121</v>
      </c>
      <c r="ER5" s="12" t="s">
        <v>412</v>
      </c>
      <c r="ES5" s="12" t="s">
        <v>413</v>
      </c>
      <c r="ET5" s="12" t="s">
        <v>414</v>
      </c>
      <c r="EU5" s="12" t="s">
        <v>424</v>
      </c>
      <c r="EV5" s="12" t="s">
        <v>996</v>
      </c>
      <c r="EY5" s="14">
        <f>金币总表!P40</f>
        <v>0</v>
      </c>
      <c r="EZ5" s="19">
        <v>0.1</v>
      </c>
      <c r="FA5" s="14">
        <f>INT(EY$5*EZ5)</f>
        <v>0</v>
      </c>
      <c r="FB5" s="30">
        <v>1</v>
      </c>
      <c r="FC5" s="14">
        <f>INT(FA5/FB5/$CT$1/500)*500</f>
        <v>0</v>
      </c>
      <c r="FE5" s="102"/>
      <c r="FF5" s="102"/>
      <c r="FG5" s="102"/>
      <c r="FH5" s="102"/>
      <c r="FI5" s="102"/>
      <c r="FJ5" s="102"/>
      <c r="FK5" s="102"/>
    </row>
    <row r="6" spans="1:167" ht="17.25" x14ac:dyDescent="0.2">
      <c r="A6" s="12" t="s">
        <v>120</v>
      </c>
      <c r="B6" s="12" t="s">
        <v>145</v>
      </c>
      <c r="C6" s="12" t="s">
        <v>492</v>
      </c>
      <c r="D6" s="12" t="s">
        <v>80</v>
      </c>
      <c r="E6" s="12" t="s">
        <v>493</v>
      </c>
      <c r="F6" s="12" t="s">
        <v>136</v>
      </c>
      <c r="G6" s="12" t="s">
        <v>138</v>
      </c>
      <c r="H6" s="12" t="s">
        <v>139</v>
      </c>
      <c r="I6" s="12" t="s">
        <v>140</v>
      </c>
      <c r="J6" s="12" t="s">
        <v>141</v>
      </c>
      <c r="K6" s="12" t="s">
        <v>422</v>
      </c>
      <c r="L6" s="12" t="s">
        <v>415</v>
      </c>
      <c r="M6" s="12" t="s">
        <v>416</v>
      </c>
      <c r="N6" s="12" t="s">
        <v>417</v>
      </c>
      <c r="O6" s="12" t="s">
        <v>427</v>
      </c>
      <c r="P6" s="12" t="s">
        <v>423</v>
      </c>
      <c r="Q6" s="12" t="s">
        <v>154</v>
      </c>
      <c r="R6" s="12" t="s">
        <v>153</v>
      </c>
      <c r="U6" s="12" t="s">
        <v>138</v>
      </c>
      <c r="V6" s="12" t="s">
        <v>139</v>
      </c>
      <c r="W6" s="12" t="s">
        <v>140</v>
      </c>
      <c r="X6" s="12" t="s">
        <v>141</v>
      </c>
      <c r="Y6" s="12" t="s">
        <v>422</v>
      </c>
      <c r="Z6" s="12" t="s">
        <v>415</v>
      </c>
      <c r="AA6" s="12" t="s">
        <v>416</v>
      </c>
      <c r="AB6" s="12" t="s">
        <v>417</v>
      </c>
      <c r="AC6" s="12" t="s">
        <v>424</v>
      </c>
      <c r="AD6" s="12" t="s">
        <v>423</v>
      </c>
      <c r="AE6" s="12" t="s">
        <v>154</v>
      </c>
      <c r="AF6" s="12" t="s">
        <v>153</v>
      </c>
      <c r="AI6" s="12" t="s">
        <v>1390</v>
      </c>
      <c r="AJ6" s="12" t="s">
        <v>138</v>
      </c>
      <c r="AK6" s="12" t="s">
        <v>139</v>
      </c>
      <c r="AL6" s="12" t="s">
        <v>140</v>
      </c>
      <c r="AM6" s="12" t="s">
        <v>141</v>
      </c>
      <c r="AN6" s="12" t="s">
        <v>422</v>
      </c>
      <c r="AO6" s="12" t="s">
        <v>415</v>
      </c>
      <c r="AP6" s="12" t="s">
        <v>416</v>
      </c>
      <c r="AQ6" s="12" t="s">
        <v>417</v>
      </c>
      <c r="AR6" s="12" t="s">
        <v>424</v>
      </c>
      <c r="AS6" s="12" t="s">
        <v>423</v>
      </c>
      <c r="AV6" s="12" t="s">
        <v>120</v>
      </c>
      <c r="AW6" s="12" t="s">
        <v>492</v>
      </c>
      <c r="AX6" s="12" t="s">
        <v>138</v>
      </c>
      <c r="AY6" s="12" t="s">
        <v>139</v>
      </c>
      <c r="AZ6" s="12" t="s">
        <v>140</v>
      </c>
      <c r="BA6" s="12" t="s">
        <v>141</v>
      </c>
      <c r="BB6" s="12" t="s">
        <v>426</v>
      </c>
      <c r="BC6" s="12" t="s">
        <v>415</v>
      </c>
      <c r="BD6" s="12" t="s">
        <v>416</v>
      </c>
      <c r="BE6" s="12" t="s">
        <v>417</v>
      </c>
      <c r="BF6" s="12" t="s">
        <v>428</v>
      </c>
      <c r="BG6" s="15"/>
      <c r="BH6" s="12" t="s">
        <v>537</v>
      </c>
      <c r="BI6" s="12" t="s">
        <v>34</v>
      </c>
      <c r="BJ6" s="12" t="s">
        <v>1401</v>
      </c>
      <c r="BK6" s="12" t="s">
        <v>1402</v>
      </c>
      <c r="BL6" s="12" t="s">
        <v>138</v>
      </c>
      <c r="BM6" s="12" t="s">
        <v>139</v>
      </c>
      <c r="BN6" s="12" t="s">
        <v>140</v>
      </c>
      <c r="BO6" s="12" t="s">
        <v>141</v>
      </c>
      <c r="BP6" s="12" t="s">
        <v>422</v>
      </c>
      <c r="BQ6" s="167"/>
      <c r="BR6" s="167"/>
      <c r="BS6" s="12" t="s">
        <v>138</v>
      </c>
      <c r="BT6" s="12" t="s">
        <v>139</v>
      </c>
      <c r="BU6" s="12" t="s">
        <v>140</v>
      </c>
      <c r="BV6" s="12" t="s">
        <v>141</v>
      </c>
      <c r="BW6" s="12" t="s">
        <v>422</v>
      </c>
      <c r="BX6" s="167"/>
      <c r="BY6" s="167"/>
      <c r="BZ6" s="12" t="s">
        <v>537</v>
      </c>
      <c r="CA6" s="12" t="s">
        <v>34</v>
      </c>
      <c r="CB6" s="12" t="s">
        <v>1401</v>
      </c>
      <c r="CC6" s="12" t="s">
        <v>1402</v>
      </c>
      <c r="CD6" s="12" t="s">
        <v>415</v>
      </c>
      <c r="CE6" s="12" t="s">
        <v>416</v>
      </c>
      <c r="CF6" s="12" t="s">
        <v>417</v>
      </c>
      <c r="CG6" s="12" t="s">
        <v>424</v>
      </c>
      <c r="CH6" s="167"/>
      <c r="CI6" s="12" t="s">
        <v>415</v>
      </c>
      <c r="CJ6" s="12" t="s">
        <v>416</v>
      </c>
      <c r="CK6" s="12" t="s">
        <v>417</v>
      </c>
      <c r="CL6" s="12" t="s">
        <v>424</v>
      </c>
      <c r="CM6" s="167"/>
      <c r="CN6" s="12" t="s">
        <v>1108</v>
      </c>
      <c r="CO6" s="12" t="s">
        <v>1109</v>
      </c>
      <c r="CP6" s="12" t="s">
        <v>1110</v>
      </c>
      <c r="CS6" s="73">
        <v>1</v>
      </c>
      <c r="CT6" s="73">
        <v>1</v>
      </c>
      <c r="CU6" s="14" t="str">
        <f>INDEX(节奏总表!$BC$4:$BC$23,MATCH(挂机升级突破!CS6+1,节奏总表!$BF$4:$BF$22,1))</f>
        <v>等活</v>
      </c>
      <c r="CV6" s="73"/>
      <c r="CW6" s="14">
        <f>INDEX(节奏总表!$AY$4:$AY$55,挂机升级突破!CS6)</f>
        <v>3</v>
      </c>
      <c r="CX6" s="19">
        <v>0.05</v>
      </c>
      <c r="CY6" s="73"/>
      <c r="CZ6" s="73"/>
      <c r="DA6" s="73"/>
      <c r="DB6" s="73"/>
      <c r="DC6" s="73"/>
      <c r="DD6" s="73"/>
      <c r="DE6" s="73"/>
      <c r="DF6" s="73"/>
      <c r="DG6" s="73"/>
      <c r="DH6" s="139">
        <v>1</v>
      </c>
      <c r="DI6" s="19">
        <v>1</v>
      </c>
      <c r="DJ6" s="14">
        <f>INDEX($CP$7:$CP$14,DH6)*DI6</f>
        <v>6060</v>
      </c>
      <c r="DL6" s="76">
        <v>1</v>
      </c>
      <c r="DM6" s="56">
        <v>1</v>
      </c>
      <c r="DN6" s="73" t="s">
        <v>522</v>
      </c>
      <c r="DO6" s="76">
        <v>9.0000000000000107</v>
      </c>
      <c r="DP6" s="14">
        <f t="shared" ref="DP6:DP37" si="3">CW6</f>
        <v>3</v>
      </c>
      <c r="DQ6" s="30">
        <v>11</v>
      </c>
      <c r="DR6" s="104">
        <v>1</v>
      </c>
      <c r="DS6" s="30"/>
      <c r="DT6" s="14">
        <f>ROUND(DT$3*CX6,0)</f>
        <v>179</v>
      </c>
      <c r="DU6" s="14">
        <f t="shared" ref="DU6:DX6" si="4">ROUND(DU$3*CY6,0)</f>
        <v>0</v>
      </c>
      <c r="DV6" s="14">
        <f t="shared" si="4"/>
        <v>0</v>
      </c>
      <c r="DW6" s="14">
        <f t="shared" si="4"/>
        <v>0</v>
      </c>
      <c r="DX6" s="14">
        <f t="shared" si="4"/>
        <v>0</v>
      </c>
      <c r="DY6" s="14">
        <f>ROUND(DY$3*DC6,0)</f>
        <v>0</v>
      </c>
      <c r="DZ6" s="14">
        <f t="shared" ref="DZ6:EC6" si="5">ROUND(DZ$3*DD6,0)</f>
        <v>0</v>
      </c>
      <c r="EA6" s="14">
        <f t="shared" si="5"/>
        <v>0</v>
      </c>
      <c r="EB6" s="14">
        <f t="shared" si="5"/>
        <v>0</v>
      </c>
      <c r="EC6" s="14">
        <f t="shared" si="5"/>
        <v>0</v>
      </c>
      <c r="ED6" s="14">
        <f t="shared" ref="ED6:ED36" si="6">DJ6</f>
        <v>6060</v>
      </c>
      <c r="EF6" s="139">
        <v>0</v>
      </c>
      <c r="EG6" s="139" t="s">
        <v>965</v>
      </c>
      <c r="EH6" s="139"/>
      <c r="EI6" s="139"/>
      <c r="EJ6" s="139"/>
      <c r="EK6" s="139"/>
      <c r="EL6" s="139"/>
      <c r="EM6" s="139"/>
      <c r="EN6" s="139"/>
      <c r="EO6" s="139"/>
      <c r="EP6" s="139"/>
      <c r="EQ6" s="139"/>
      <c r="ER6" s="14">
        <f>DY3</f>
        <v>2346.6475</v>
      </c>
      <c r="ES6" s="14">
        <f t="shared" ref="ES6:EU6" si="7">DZ3</f>
        <v>2303.62</v>
      </c>
      <c r="ET6" s="14">
        <f t="shared" si="7"/>
        <v>1779.6675</v>
      </c>
      <c r="EU6" s="14">
        <f t="shared" si="7"/>
        <v>820.75749999999994</v>
      </c>
      <c r="EV6" s="14"/>
      <c r="EZ6" s="19">
        <v>0.3</v>
      </c>
      <c r="FA6" s="14">
        <f>INT(EY$5*EZ6)</f>
        <v>0</v>
      </c>
      <c r="FB6" s="30">
        <v>1</v>
      </c>
      <c r="FC6" s="14">
        <f t="shared" ref="FC6:FC39" si="8">INT(FA6/FB6/$CT$1/500)*500</f>
        <v>0</v>
      </c>
      <c r="FE6" s="102"/>
      <c r="FF6" s="102"/>
      <c r="FG6" s="102"/>
      <c r="FH6" s="102"/>
      <c r="FI6" s="102"/>
      <c r="FJ6" s="102"/>
      <c r="FK6" s="102"/>
    </row>
    <row r="7" spans="1:167" ht="16.5" x14ac:dyDescent="0.2">
      <c r="A7" s="26">
        <v>0</v>
      </c>
      <c r="B7" s="26">
        <v>0</v>
      </c>
      <c r="C7" s="73">
        <v>0</v>
      </c>
      <c r="D7" s="14">
        <v>0</v>
      </c>
      <c r="E7" s="14"/>
      <c r="F7" s="14">
        <v>0</v>
      </c>
      <c r="G7" s="19">
        <v>0</v>
      </c>
      <c r="H7" s="19">
        <v>0</v>
      </c>
      <c r="I7" s="19">
        <v>0</v>
      </c>
      <c r="J7" s="19">
        <v>0</v>
      </c>
      <c r="K7" s="19">
        <v>0</v>
      </c>
      <c r="L7" s="19">
        <v>0</v>
      </c>
      <c r="M7" s="19">
        <v>0</v>
      </c>
      <c r="N7" s="19">
        <v>0</v>
      </c>
      <c r="O7" s="19">
        <v>0</v>
      </c>
      <c r="P7" s="19">
        <v>0</v>
      </c>
      <c r="Q7" s="14">
        <f>章节关卡!L5</f>
        <v>10</v>
      </c>
      <c r="R7" s="14">
        <f>章节关卡!I5</f>
        <v>0</v>
      </c>
      <c r="U7" s="14">
        <f>G7*$F7*G$4/G$5*$B$2</f>
        <v>0</v>
      </c>
      <c r="V7" s="14">
        <f t="shared" ref="V7:AD7" si="9">H7*$F7*H$4/H$5*$B$2</f>
        <v>0</v>
      </c>
      <c r="W7" s="14">
        <f t="shared" si="9"/>
        <v>0</v>
      </c>
      <c r="X7" s="14">
        <f t="shared" si="9"/>
        <v>0</v>
      </c>
      <c r="Y7" s="14">
        <f t="shared" si="9"/>
        <v>0</v>
      </c>
      <c r="Z7" s="14">
        <f t="shared" si="9"/>
        <v>0</v>
      </c>
      <c r="AA7" s="14">
        <f t="shared" si="9"/>
        <v>0</v>
      </c>
      <c r="AB7" s="14">
        <f t="shared" si="9"/>
        <v>0</v>
      </c>
      <c r="AC7" s="14">
        <f t="shared" si="9"/>
        <v>0</v>
      </c>
      <c r="AD7" s="14">
        <f t="shared" si="9"/>
        <v>0</v>
      </c>
      <c r="AE7" s="14">
        <f t="shared" ref="AE7" si="10">Q7*$F7*Q$4/Q$5*$B$2</f>
        <v>0</v>
      </c>
      <c r="AF7" s="14">
        <f t="shared" ref="AF7" si="11">R7*$F7*R$4/R$5*$B$2</f>
        <v>0</v>
      </c>
      <c r="AG7" s="167"/>
      <c r="AH7" s="167"/>
      <c r="AI7" s="166" t="s">
        <v>1391</v>
      </c>
      <c r="AJ7" s="166">
        <v>1</v>
      </c>
      <c r="AK7" s="166">
        <v>5</v>
      </c>
      <c r="AL7" s="166">
        <v>11</v>
      </c>
      <c r="AM7" s="166">
        <v>17</v>
      </c>
      <c r="AN7" s="166">
        <v>23</v>
      </c>
      <c r="AO7" s="166">
        <v>4</v>
      </c>
      <c r="AP7" s="166">
        <v>10</v>
      </c>
      <c r="AQ7" s="166">
        <v>16</v>
      </c>
      <c r="AR7" s="166">
        <v>19</v>
      </c>
      <c r="AS7" s="166">
        <v>1</v>
      </c>
      <c r="AT7" s="167"/>
      <c r="AU7" s="167"/>
      <c r="AV7" s="63">
        <v>0</v>
      </c>
      <c r="AW7" s="73"/>
      <c r="AX7" s="63">
        <f t="shared" ref="AX7:BF7" si="12">AX$5*G8*G$4/G$5*3</f>
        <v>0</v>
      </c>
      <c r="AY7" s="63">
        <f t="shared" si="12"/>
        <v>0</v>
      </c>
      <c r="AZ7" s="63">
        <f t="shared" si="12"/>
        <v>0</v>
      </c>
      <c r="BA7" s="63">
        <f t="shared" si="12"/>
        <v>0</v>
      </c>
      <c r="BB7" s="64">
        <f t="shared" si="12"/>
        <v>0</v>
      </c>
      <c r="BC7" s="63">
        <f t="shared" si="12"/>
        <v>0</v>
      </c>
      <c r="BD7" s="63">
        <f t="shared" si="12"/>
        <v>0</v>
      </c>
      <c r="BE7" s="63">
        <f t="shared" si="12"/>
        <v>0</v>
      </c>
      <c r="BF7" s="64">
        <f t="shared" si="12"/>
        <v>0</v>
      </c>
      <c r="BH7" s="166">
        <v>1</v>
      </c>
      <c r="BI7" s="166">
        <v>20</v>
      </c>
      <c r="BJ7" s="166">
        <f>SUMIFS($D$7:$D$37,$C$7:$C$37,"&gt;="&amp;BI7,$C$7:$C$37,"&lt;"&amp;BI8)</f>
        <v>1.1299999999999999</v>
      </c>
      <c r="BK7" s="166" t="s">
        <v>1403</v>
      </c>
      <c r="BL7" s="166">
        <v>180</v>
      </c>
      <c r="BM7" s="166"/>
      <c r="BN7" s="166"/>
      <c r="BO7" s="166"/>
      <c r="BP7" s="166"/>
      <c r="BS7" s="14">
        <f>ROUND(BL7*$BJ7*$AW$3,0)</f>
        <v>610</v>
      </c>
      <c r="BT7" s="14">
        <f t="shared" ref="BT7:BW7" si="13">ROUND(BM7*$BJ7*$AW$3,0)</f>
        <v>0</v>
      </c>
      <c r="BU7" s="14">
        <f t="shared" si="13"/>
        <v>0</v>
      </c>
      <c r="BV7" s="14">
        <f t="shared" si="13"/>
        <v>0</v>
      </c>
      <c r="BW7" s="14">
        <f t="shared" si="13"/>
        <v>0</v>
      </c>
      <c r="BZ7" s="166">
        <v>1</v>
      </c>
      <c r="CA7" s="166">
        <v>25</v>
      </c>
      <c r="CB7" s="166">
        <f>SUMIFS($D$7:$D$37,$C$7:$C$37,"&gt;="&amp;CA7,$C$7:$C$37,"&lt;"&amp;CA8)</f>
        <v>1.21</v>
      </c>
      <c r="CC7" s="166" t="s">
        <v>1414</v>
      </c>
      <c r="CD7" s="166">
        <v>15</v>
      </c>
      <c r="CE7" s="166"/>
      <c r="CF7" s="166"/>
      <c r="CG7" s="166"/>
      <c r="CI7" s="14">
        <f>CD7*$CB7*$AW$3</f>
        <v>54.449999999999996</v>
      </c>
      <c r="CJ7" s="14">
        <f t="shared" ref="CJ7:CL7" si="14">CE7*$CB7*$AW$3</f>
        <v>0</v>
      </c>
      <c r="CK7" s="14">
        <f t="shared" si="14"/>
        <v>0</v>
      </c>
      <c r="CL7" s="14">
        <f t="shared" si="14"/>
        <v>0</v>
      </c>
      <c r="CN7" s="139">
        <v>1</v>
      </c>
      <c r="CO7" s="139" t="s">
        <v>522</v>
      </c>
      <c r="CP7" s="139">
        <f>金币总表!AO5</f>
        <v>6060</v>
      </c>
      <c r="CS7" s="73">
        <v>2</v>
      </c>
      <c r="CT7" s="73">
        <v>1</v>
      </c>
      <c r="CU7" s="14" t="str">
        <f>INDEX(节奏总表!$BC$4:$BC$23,MATCH(挂机升级突破!CS7+1,节奏总表!$BF$4:$BF$22,1))</f>
        <v>黑绳</v>
      </c>
      <c r="CV7" s="73"/>
      <c r="CW7" s="14">
        <f>INDEX(节奏总表!$AY$4:$AY$55,挂机升级突破!CS7)</f>
        <v>8</v>
      </c>
      <c r="CX7" s="19">
        <v>0.17</v>
      </c>
      <c r="CY7" s="73"/>
      <c r="CZ7" s="73"/>
      <c r="DA7" s="73"/>
      <c r="DB7" s="73"/>
      <c r="DC7" s="73"/>
      <c r="DD7" s="73"/>
      <c r="DE7" s="73"/>
      <c r="DF7" s="73"/>
      <c r="DG7" s="73"/>
      <c r="DH7" s="139">
        <v>2</v>
      </c>
      <c r="DI7" s="19">
        <v>0.25</v>
      </c>
      <c r="DJ7" s="14">
        <f t="shared" ref="DJ7:DJ57" si="15">INDEX($CP$7:$CP$14,DH7)*DI7</f>
        <v>7313.75</v>
      </c>
      <c r="DL7" s="76">
        <v>2</v>
      </c>
      <c r="DM7" s="56">
        <v>1</v>
      </c>
      <c r="DN7" s="73" t="s">
        <v>523</v>
      </c>
      <c r="DO7" s="76">
        <v>9.0000000000000107</v>
      </c>
      <c r="DP7" s="14">
        <f t="shared" si="3"/>
        <v>8</v>
      </c>
      <c r="DQ7" s="104">
        <v>11</v>
      </c>
      <c r="DR7" s="104">
        <v>1</v>
      </c>
      <c r="DS7" s="30"/>
      <c r="DT7" s="14">
        <f t="shared" ref="DT7:DT57" si="16">ROUND(DT$3*CX7,0)</f>
        <v>609</v>
      </c>
      <c r="DU7" s="14">
        <f t="shared" ref="DU7:DU57" si="17">ROUND(DU$3*CY7,0)</f>
        <v>0</v>
      </c>
      <c r="DV7" s="14">
        <f t="shared" ref="DV7:DV57" si="18">ROUND(DV$3*CZ7,0)</f>
        <v>0</v>
      </c>
      <c r="DW7" s="14">
        <f t="shared" ref="DW7:DW57" si="19">ROUND(DW$3*DA7,0)</f>
        <v>0</v>
      </c>
      <c r="DX7" s="14">
        <f t="shared" ref="DX7:DX57" si="20">ROUND(DX$3*DB7,0)</f>
        <v>0</v>
      </c>
      <c r="DY7" s="14">
        <f t="shared" ref="DY7:DY57" si="21">ROUND(DY$3*DC7,0)</f>
        <v>0</v>
      </c>
      <c r="DZ7" s="14">
        <f t="shared" ref="DZ7:DZ57" si="22">ROUND(DZ$3*DD7,0)</f>
        <v>0</v>
      </c>
      <c r="EA7" s="14">
        <f t="shared" ref="EA7:EA57" si="23">ROUND(EA$3*DE7,0)</f>
        <v>0</v>
      </c>
      <c r="EB7" s="14">
        <f t="shared" ref="EB7:EB57" si="24">ROUND(EB$3*DF7,0)</f>
        <v>0</v>
      </c>
      <c r="EC7" s="14">
        <f t="shared" ref="EC7:EC57" si="25">ROUND(EC$3*DG7,0)</f>
        <v>0</v>
      </c>
      <c r="ED7" s="14">
        <f t="shared" si="6"/>
        <v>7313.75</v>
      </c>
      <c r="EF7" s="139">
        <v>1</v>
      </c>
      <c r="EG7" s="139" t="s">
        <v>522</v>
      </c>
      <c r="EH7" s="139">
        <v>1</v>
      </c>
      <c r="EI7" s="139"/>
      <c r="EJ7" s="139"/>
      <c r="EK7" s="19"/>
      <c r="EL7" s="139"/>
      <c r="EM7" s="139"/>
      <c r="EN7" s="139"/>
      <c r="EO7" s="139"/>
      <c r="EP7" s="139">
        <v>1</v>
      </c>
      <c r="EQ7" s="19">
        <v>1</v>
      </c>
      <c r="ER7" s="14">
        <f>ROUND(EL7*ER$6,0)</f>
        <v>0</v>
      </c>
      <c r="ES7" s="14">
        <f>ROUND(EM7*ES$6,0)</f>
        <v>0</v>
      </c>
      <c r="ET7" s="14">
        <f>ROUND(EN7*ET$6,0)</f>
        <v>0</v>
      </c>
      <c r="EU7" s="14">
        <f>ROUND(EO7*EU$6,0)</f>
        <v>0</v>
      </c>
      <c r="EV7" s="14">
        <f>INDEX(金币总表!$AN$5:$AN$12,挂机升级突破!EP7)*挂机升级突破!EQ7</f>
        <v>9090</v>
      </c>
      <c r="EZ7" s="19">
        <v>0.6</v>
      </c>
      <c r="FA7" s="14">
        <f>INT(EY$5*EZ7)</f>
        <v>0</v>
      </c>
      <c r="FB7" s="30">
        <v>1</v>
      </c>
      <c r="FC7" s="14">
        <f t="shared" si="8"/>
        <v>0</v>
      </c>
    </row>
    <row r="8" spans="1:167" ht="16.5" x14ac:dyDescent="0.2">
      <c r="A8" s="26">
        <v>1</v>
      </c>
      <c r="B8" s="26">
        <v>4</v>
      </c>
      <c r="C8" s="73">
        <v>10</v>
      </c>
      <c r="D8" s="14">
        <f>节奏总表!AC5</f>
        <v>0</v>
      </c>
      <c r="E8" s="14">
        <f>节奏总表!AD5</f>
        <v>0</v>
      </c>
      <c r="F8" s="14">
        <f>(节奏总表!N5+节奏总表!O5)*60</f>
        <v>0</v>
      </c>
      <c r="G8" s="19">
        <v>0</v>
      </c>
      <c r="H8" s="19">
        <v>0</v>
      </c>
      <c r="I8" s="19">
        <v>0</v>
      </c>
      <c r="J8" s="19">
        <v>0</v>
      </c>
      <c r="K8" s="19">
        <v>0</v>
      </c>
      <c r="L8" s="19">
        <v>0</v>
      </c>
      <c r="M8" s="19">
        <v>0</v>
      </c>
      <c r="N8" s="19">
        <v>0</v>
      </c>
      <c r="O8" s="19">
        <v>0</v>
      </c>
      <c r="P8" s="19">
        <v>0</v>
      </c>
      <c r="Q8" s="14">
        <f>章节关卡!L6</f>
        <v>25</v>
      </c>
      <c r="R8" s="14">
        <f>章节关卡!I6</f>
        <v>10</v>
      </c>
      <c r="U8" s="14">
        <f t="shared" ref="U8:U36" si="26">G8*$F8*G$4/G$5*$B$2</f>
        <v>0</v>
      </c>
      <c r="V8" s="14">
        <f t="shared" ref="V8:V36" si="27">H8*$F8*H$4/H$5*$B$2</f>
        <v>0</v>
      </c>
      <c r="W8" s="14">
        <f t="shared" ref="W8:W36" si="28">I8*$F8*I$4/I$5*$B$2</f>
        <v>0</v>
      </c>
      <c r="X8" s="14">
        <f t="shared" ref="X8:X36" si="29">J8*$F8*J$4/J$5*$B$2</f>
        <v>0</v>
      </c>
      <c r="Y8" s="14">
        <f t="shared" ref="Y8:Y36" si="30">K8*$F8*K$4/K$5*$B$2</f>
        <v>0</v>
      </c>
      <c r="Z8" s="14">
        <f t="shared" ref="Z8:Z36" si="31">L8*$F8*L$4/L$5*$B$2</f>
        <v>0</v>
      </c>
      <c r="AA8" s="14">
        <f t="shared" ref="AA8:AA36" si="32">M8*$F8*M$4/M$5*$B$2</f>
        <v>0</v>
      </c>
      <c r="AB8" s="14">
        <f t="shared" ref="AB8:AB36" si="33">N8*$F8*N$4/N$5*$B$2</f>
        <v>0</v>
      </c>
      <c r="AC8" s="14">
        <f t="shared" ref="AC8:AC36" si="34">O8*$F8*O$4/O$5*$B$2</f>
        <v>0</v>
      </c>
      <c r="AD8" s="14">
        <f t="shared" ref="AD8:AD36" si="35">P8*$F8*P$4/P$5*$B$2</f>
        <v>0</v>
      </c>
      <c r="AE8" s="14">
        <f t="shared" ref="AE8:AE36" si="36">Q8*$F8*Q$4/Q$5*$B$2</f>
        <v>0</v>
      </c>
      <c r="AF8" s="14">
        <f t="shared" ref="AF8:AF36" si="37">R8*$F8*R$4/R$5*$B$2</f>
        <v>0</v>
      </c>
      <c r="AG8" s="167"/>
      <c r="AH8" s="167"/>
      <c r="AI8" s="166" t="s">
        <v>1392</v>
      </c>
      <c r="AJ8" s="166">
        <v>8</v>
      </c>
      <c r="AK8" s="166">
        <v>14</v>
      </c>
      <c r="AL8" s="166">
        <v>20</v>
      </c>
      <c r="AM8" s="166">
        <v>26</v>
      </c>
      <c r="AN8" s="166">
        <v>29</v>
      </c>
      <c r="AO8" s="166">
        <v>14</v>
      </c>
      <c r="AP8" s="166">
        <v>20</v>
      </c>
      <c r="AQ8" s="166">
        <v>25</v>
      </c>
      <c r="AR8" s="166">
        <v>28</v>
      </c>
      <c r="AS8" s="166">
        <v>28</v>
      </c>
      <c r="AT8" s="167"/>
      <c r="AU8" s="167"/>
      <c r="AV8" s="63">
        <v>1</v>
      </c>
      <c r="AW8" s="73"/>
      <c r="AX8" s="63">
        <f t="shared" ref="AX8:AX38" si="38">AX$5*G8*G$4/G$5*$AW$3</f>
        <v>0</v>
      </c>
      <c r="AY8" s="159">
        <f t="shared" ref="AY8:AY38" si="39">AY$5*H8*H$4/H$5*$AW$3</f>
        <v>0</v>
      </c>
      <c r="AZ8" s="159">
        <f t="shared" ref="AZ8:AZ38" si="40">AZ$5*I8*I$4/I$5*$AW$3</f>
        <v>0</v>
      </c>
      <c r="BA8" s="159">
        <f t="shared" ref="BA8:BA38" si="41">BA$5*J8*J$4/J$5*$AW$3</f>
        <v>0</v>
      </c>
      <c r="BB8" s="159">
        <f t="shared" ref="BB8:BB38" si="42">BB$5*K8*K$4/K$5*$AW$3</f>
        <v>0</v>
      </c>
      <c r="BC8" s="159">
        <f t="shared" ref="BC8:BC38" si="43">BC$5*L8*L$4/L$5*$AW$3</f>
        <v>0</v>
      </c>
      <c r="BD8" s="159">
        <f t="shared" ref="BD8:BD38" si="44">BD$5*M8*M$4/M$5*$AW$3</f>
        <v>0</v>
      </c>
      <c r="BE8" s="159">
        <f t="shared" ref="BE8:BE38" si="45">BE$5*N8*N$4/N$5*$AW$3</f>
        <v>0</v>
      </c>
      <c r="BF8" s="159">
        <f t="shared" ref="BF8:BF38" si="46">BF$5*O8*O$4/O$5*$AW$3</f>
        <v>0</v>
      </c>
      <c r="BH8" s="166">
        <v>2</v>
      </c>
      <c r="BI8" s="166">
        <v>30</v>
      </c>
      <c r="BJ8" s="166">
        <f t="shared" ref="BJ8:BJ15" si="47">SUMIFS($D$7:$D$37,$C$7:$C$37,"&gt;="&amp;BI8,$C$7:$C$37,"&lt;"&amp;BI9)</f>
        <v>1.62</v>
      </c>
      <c r="BK8" s="166" t="s">
        <v>1404</v>
      </c>
      <c r="BL8" s="166">
        <v>240</v>
      </c>
      <c r="BM8" s="166">
        <v>24</v>
      </c>
      <c r="BN8" s="166"/>
      <c r="BO8" s="166"/>
      <c r="BP8" s="166"/>
      <c r="BS8" s="14">
        <f t="shared" ref="BS8:BS15" si="48">ROUND(BL8*$BJ8*$AW$3,0)</f>
        <v>1166</v>
      </c>
      <c r="BT8" s="14">
        <f t="shared" ref="BT8:BT15" si="49">ROUND(BM8*$BJ8*$AW$3,0)</f>
        <v>117</v>
      </c>
      <c r="BU8" s="14">
        <f t="shared" ref="BU8:BU15" si="50">ROUND(BN8*$BJ8*$AW$3,0)</f>
        <v>0</v>
      </c>
      <c r="BV8" s="14">
        <f t="shared" ref="BV8:BV15" si="51">ROUND(BO8*$BJ8*$AW$3,0)</f>
        <v>0</v>
      </c>
      <c r="BW8" s="14">
        <f t="shared" ref="BW8:BW15" si="52">ROUND(BP8*$BJ8*$AW$3,0)</f>
        <v>0</v>
      </c>
      <c r="BZ8" s="166">
        <v>2</v>
      </c>
      <c r="CA8" s="166">
        <v>35</v>
      </c>
      <c r="CB8" s="166">
        <f t="shared" ref="CB8:CB14" si="53">SUMIFS($D$7:$D$37,$C$7:$C$37,"&gt;="&amp;CA8,$C$7:$C$37,"&lt;"&amp;CA9)</f>
        <v>2.46</v>
      </c>
      <c r="CC8" s="166" t="s">
        <v>1421</v>
      </c>
      <c r="CD8" s="166">
        <v>27</v>
      </c>
      <c r="CE8" s="166"/>
      <c r="CF8" s="166"/>
      <c r="CG8" s="166"/>
      <c r="CI8" s="14">
        <f t="shared" ref="CI8:CI14" si="54">CD8*$CB8*$AW$3</f>
        <v>199.26</v>
      </c>
      <c r="CJ8" s="14">
        <f t="shared" ref="CJ8:CJ14" si="55">CE8*$CB8*$AW$3</f>
        <v>0</v>
      </c>
      <c r="CK8" s="14">
        <f t="shared" ref="CK8:CK14" si="56">CF8*$CB8*$AW$3</f>
        <v>0</v>
      </c>
      <c r="CL8" s="14">
        <f t="shared" ref="CL8:CL14" si="57">CG8*$CB8*$AW$3</f>
        <v>0</v>
      </c>
      <c r="CN8" s="139">
        <v>2</v>
      </c>
      <c r="CO8" s="139" t="s">
        <v>523</v>
      </c>
      <c r="CP8" s="139">
        <f>金币总表!AO6</f>
        <v>29255</v>
      </c>
      <c r="CS8" s="73">
        <v>3</v>
      </c>
      <c r="CT8" s="73">
        <v>2</v>
      </c>
      <c r="CU8" s="14" t="str">
        <f>INDEX(节奏总表!$BC$4:$BC$23,MATCH(挂机升级突破!CS8+1,节奏总表!$BF$4:$BF$22,1))</f>
        <v>黑绳</v>
      </c>
      <c r="CV8" s="73"/>
      <c r="CW8" s="14">
        <f>INDEX(节奏总表!$AY$4:$AY$55,挂机升级突破!CS8)</f>
        <v>13</v>
      </c>
      <c r="CX8" s="19">
        <v>0.2</v>
      </c>
      <c r="CY8" s="73"/>
      <c r="CZ8" s="73"/>
      <c r="DA8" s="73"/>
      <c r="DB8" s="73"/>
      <c r="DC8" s="73"/>
      <c r="DD8" s="73"/>
      <c r="DE8" s="73"/>
      <c r="DF8" s="73"/>
      <c r="DG8" s="73"/>
      <c r="DH8" s="139">
        <v>2</v>
      </c>
      <c r="DI8" s="19">
        <v>0.25</v>
      </c>
      <c r="DJ8" s="14">
        <f t="shared" si="15"/>
        <v>7313.75</v>
      </c>
      <c r="DL8" s="76">
        <v>3</v>
      </c>
      <c r="DM8" s="56">
        <v>2</v>
      </c>
      <c r="DN8" s="73" t="s">
        <v>523</v>
      </c>
      <c r="DO8" s="76">
        <v>9.0000000000000107</v>
      </c>
      <c r="DP8" s="14">
        <f t="shared" si="3"/>
        <v>13</v>
      </c>
      <c r="DQ8" s="104">
        <v>11</v>
      </c>
      <c r="DR8" s="104">
        <v>1</v>
      </c>
      <c r="DS8" s="30"/>
      <c r="DT8" s="14">
        <f t="shared" si="16"/>
        <v>717</v>
      </c>
      <c r="DU8" s="14">
        <f t="shared" si="17"/>
        <v>0</v>
      </c>
      <c r="DV8" s="14">
        <f t="shared" si="18"/>
        <v>0</v>
      </c>
      <c r="DW8" s="14">
        <f t="shared" si="19"/>
        <v>0</v>
      </c>
      <c r="DX8" s="14">
        <f t="shared" si="20"/>
        <v>0</v>
      </c>
      <c r="DY8" s="14">
        <f t="shared" si="21"/>
        <v>0</v>
      </c>
      <c r="DZ8" s="14">
        <f t="shared" si="22"/>
        <v>0</v>
      </c>
      <c r="EA8" s="14">
        <f t="shared" si="23"/>
        <v>0</v>
      </c>
      <c r="EB8" s="14">
        <f t="shared" si="24"/>
        <v>0</v>
      </c>
      <c r="EC8" s="14">
        <f t="shared" si="25"/>
        <v>0</v>
      </c>
      <c r="ED8" s="14">
        <f t="shared" si="6"/>
        <v>7313.75</v>
      </c>
      <c r="EF8" s="139">
        <v>2</v>
      </c>
      <c r="EG8" s="139" t="s">
        <v>523</v>
      </c>
      <c r="EH8" s="139">
        <v>5</v>
      </c>
      <c r="EI8" s="139">
        <v>5</v>
      </c>
      <c r="EJ8" s="139">
        <v>1</v>
      </c>
      <c r="EK8" s="19">
        <v>0.2</v>
      </c>
      <c r="EL8" s="192">
        <v>4.4999999999999997E-3</v>
      </c>
      <c r="EM8" s="139"/>
      <c r="EN8" s="139"/>
      <c r="EO8" s="139"/>
      <c r="EP8" s="139">
        <v>2</v>
      </c>
      <c r="EQ8" s="19">
        <v>0.5</v>
      </c>
      <c r="ER8" s="14">
        <f t="shared" ref="ER8:ER26" si="58">ROUND(EL8*ER$6,0)</f>
        <v>11</v>
      </c>
      <c r="ES8" s="14">
        <f t="shared" ref="ES8:ES26" si="59">ROUND(EM8*ES$6,0)</f>
        <v>0</v>
      </c>
      <c r="ET8" s="14">
        <f t="shared" ref="ET8:ET26" si="60">ROUND(EN8*ET$6,0)</f>
        <v>0</v>
      </c>
      <c r="EU8" s="14">
        <f t="shared" ref="EU8:EU26" si="61">ROUND(EO8*EU$6,0)</f>
        <v>0</v>
      </c>
      <c r="EV8" s="14">
        <f>INDEX(金币总表!$AN$5:$AN$12,挂机升级突破!EP8)*挂机升级突破!EQ8</f>
        <v>21941.25</v>
      </c>
      <c r="EY8" s="14">
        <f>金币总表!P41</f>
        <v>0</v>
      </c>
      <c r="EZ8" s="19">
        <v>0.1</v>
      </c>
      <c r="FA8" s="14">
        <f>INT(EY$8*EZ8)</f>
        <v>0</v>
      </c>
      <c r="FB8" s="30">
        <v>1.5</v>
      </c>
      <c r="FC8" s="14">
        <f t="shared" si="8"/>
        <v>0</v>
      </c>
    </row>
    <row r="9" spans="1:167" ht="16.5" x14ac:dyDescent="0.2">
      <c r="A9" s="26">
        <v>2</v>
      </c>
      <c r="B9" s="73">
        <v>4</v>
      </c>
      <c r="C9" s="73">
        <v>15</v>
      </c>
      <c r="D9" s="14">
        <f>节奏总表!AC6</f>
        <v>0.08</v>
      </c>
      <c r="E9" s="14">
        <f>节奏总表!AD6</f>
        <v>0.08</v>
      </c>
      <c r="F9" s="14">
        <f>(节奏总表!N6+节奏总表!O6)*60</f>
        <v>360</v>
      </c>
      <c r="G9" s="19">
        <v>0.5</v>
      </c>
      <c r="H9" s="19">
        <v>0</v>
      </c>
      <c r="I9" s="19">
        <v>0</v>
      </c>
      <c r="J9" s="19">
        <v>0</v>
      </c>
      <c r="K9" s="19">
        <v>0</v>
      </c>
      <c r="L9" s="19">
        <v>0</v>
      </c>
      <c r="M9" s="19">
        <v>0</v>
      </c>
      <c r="N9" s="19">
        <v>0</v>
      </c>
      <c r="O9" s="19">
        <v>0</v>
      </c>
      <c r="P9" s="19">
        <v>0</v>
      </c>
      <c r="Q9" s="14">
        <f>章节关卡!L7</f>
        <v>30</v>
      </c>
      <c r="R9" s="14">
        <f>章节关卡!I7</f>
        <v>15</v>
      </c>
      <c r="U9" s="14">
        <f t="shared" si="26"/>
        <v>15</v>
      </c>
      <c r="V9" s="14">
        <f t="shared" si="27"/>
        <v>0</v>
      </c>
      <c r="W9" s="14">
        <f t="shared" si="28"/>
        <v>0</v>
      </c>
      <c r="X9" s="14">
        <f t="shared" si="29"/>
        <v>0</v>
      </c>
      <c r="Y9" s="14">
        <f t="shared" si="30"/>
        <v>0</v>
      </c>
      <c r="Z9" s="14">
        <f t="shared" si="31"/>
        <v>0</v>
      </c>
      <c r="AA9" s="14">
        <f t="shared" si="32"/>
        <v>0</v>
      </c>
      <c r="AB9" s="14">
        <f t="shared" si="33"/>
        <v>0</v>
      </c>
      <c r="AC9" s="14">
        <f t="shared" si="34"/>
        <v>0</v>
      </c>
      <c r="AD9" s="14">
        <f t="shared" si="35"/>
        <v>0</v>
      </c>
      <c r="AE9" s="14">
        <f t="shared" si="36"/>
        <v>10800</v>
      </c>
      <c r="AF9" s="14">
        <f t="shared" si="37"/>
        <v>5400</v>
      </c>
      <c r="AG9" s="167"/>
      <c r="AH9" s="167"/>
      <c r="AI9" s="166" t="s">
        <v>1393</v>
      </c>
      <c r="AJ9" s="166">
        <f>SUMIFS(U$7:U$37,$A$7:$A$37,"&gt;="&amp;AJ7,$A$7:$A$37,"&lt;"&amp;AJ8)</f>
        <v>685</v>
      </c>
      <c r="AK9" s="166">
        <f t="shared" ref="AK9:AS9" si="62">SUMIFS(V$7:V$37,$A$7:$A$37,"&gt;="&amp;AK7,$A$7:$A$37,"&lt;"&amp;AK8)</f>
        <v>754</v>
      </c>
      <c r="AL9" s="166">
        <f t="shared" si="62"/>
        <v>668.75</v>
      </c>
      <c r="AM9" s="166">
        <f t="shared" si="62"/>
        <v>520.5</v>
      </c>
      <c r="AN9" s="166">
        <f t="shared" si="62"/>
        <v>239.125</v>
      </c>
      <c r="AO9" s="166">
        <f t="shared" si="62"/>
        <v>183.78749999999999</v>
      </c>
      <c r="AP9" s="166">
        <f t="shared" si="62"/>
        <v>163.62</v>
      </c>
      <c r="AQ9" s="166">
        <f t="shared" si="62"/>
        <v>116.0175</v>
      </c>
      <c r="AR9" s="166">
        <f t="shared" si="62"/>
        <v>61.897500000000008</v>
      </c>
      <c r="AS9" s="166">
        <f t="shared" si="62"/>
        <v>39.972499999999997</v>
      </c>
      <c r="AT9" s="167"/>
      <c r="AU9" s="167"/>
      <c r="AV9" s="63">
        <v>2</v>
      </c>
      <c r="AW9" s="144">
        <v>15</v>
      </c>
      <c r="AX9" s="159">
        <f t="shared" si="38"/>
        <v>120</v>
      </c>
      <c r="AY9" s="159">
        <f t="shared" si="39"/>
        <v>0</v>
      </c>
      <c r="AZ9" s="159">
        <f t="shared" si="40"/>
        <v>0</v>
      </c>
      <c r="BA9" s="159">
        <f t="shared" si="41"/>
        <v>0</v>
      </c>
      <c r="BB9" s="159">
        <f t="shared" si="42"/>
        <v>0</v>
      </c>
      <c r="BC9" s="159">
        <f t="shared" si="43"/>
        <v>0</v>
      </c>
      <c r="BD9" s="159">
        <f t="shared" si="44"/>
        <v>0</v>
      </c>
      <c r="BE9" s="159">
        <f t="shared" si="45"/>
        <v>0</v>
      </c>
      <c r="BF9" s="159">
        <f t="shared" si="46"/>
        <v>0</v>
      </c>
      <c r="BH9" s="166">
        <v>3</v>
      </c>
      <c r="BI9" s="166">
        <v>45</v>
      </c>
      <c r="BJ9" s="166">
        <f t="shared" si="47"/>
        <v>2.17</v>
      </c>
      <c r="BK9" s="166" t="s">
        <v>1405</v>
      </c>
      <c r="BL9" s="166">
        <v>120</v>
      </c>
      <c r="BM9" s="166">
        <v>75</v>
      </c>
      <c r="BN9" s="166"/>
      <c r="BO9" s="166"/>
      <c r="BP9" s="166"/>
      <c r="BS9" s="14">
        <f t="shared" si="48"/>
        <v>781</v>
      </c>
      <c r="BT9" s="14">
        <f t="shared" si="49"/>
        <v>488</v>
      </c>
      <c r="BU9" s="14">
        <f t="shared" si="50"/>
        <v>0</v>
      </c>
      <c r="BV9" s="14">
        <f t="shared" si="51"/>
        <v>0</v>
      </c>
      <c r="BW9" s="14">
        <f t="shared" si="52"/>
        <v>0</v>
      </c>
      <c r="BZ9" s="166">
        <v>3</v>
      </c>
      <c r="CA9" s="166">
        <v>55</v>
      </c>
      <c r="CB9" s="166">
        <f t="shared" si="53"/>
        <v>1.7700000000000005</v>
      </c>
      <c r="CC9" s="166" t="s">
        <v>1415</v>
      </c>
      <c r="CD9" s="166">
        <v>45</v>
      </c>
      <c r="CE9" s="166">
        <v>5</v>
      </c>
      <c r="CF9" s="166"/>
      <c r="CG9" s="166"/>
      <c r="CI9" s="14">
        <f t="shared" si="54"/>
        <v>238.95000000000005</v>
      </c>
      <c r="CJ9" s="14">
        <f t="shared" si="55"/>
        <v>26.550000000000004</v>
      </c>
      <c r="CK9" s="14">
        <f t="shared" si="56"/>
        <v>0</v>
      </c>
      <c r="CL9" s="14">
        <f t="shared" si="57"/>
        <v>0</v>
      </c>
      <c r="CN9" s="139">
        <v>3</v>
      </c>
      <c r="CO9" s="139" t="s">
        <v>525</v>
      </c>
      <c r="CP9" s="139">
        <f>金币总表!AO7</f>
        <v>89010</v>
      </c>
      <c r="CS9" s="73">
        <v>4</v>
      </c>
      <c r="CT9" s="73">
        <v>1</v>
      </c>
      <c r="CU9" s="14" t="str">
        <f>INDEX(节奏总表!$BC$4:$BC$23,MATCH(挂机升级突破!CS9+1,节奏总表!$BF$4:$BF$22,1))</f>
        <v>黑绳+1</v>
      </c>
      <c r="CV9" s="73"/>
      <c r="CW9" s="14">
        <f>INDEX(节奏总表!$AY$4:$AY$55,挂机升级突破!CS9)</f>
        <v>18</v>
      </c>
      <c r="CX9" s="19">
        <v>0.28000000000000003</v>
      </c>
      <c r="CY9" s="73"/>
      <c r="CZ9" s="73"/>
      <c r="DA9" s="73"/>
      <c r="DB9" s="73"/>
      <c r="DC9" s="73"/>
      <c r="DD9" s="73"/>
      <c r="DE9" s="73"/>
      <c r="DF9" s="73"/>
      <c r="DG9" s="73"/>
      <c r="DH9" s="139">
        <v>2</v>
      </c>
      <c r="DI9" s="19">
        <v>0.25</v>
      </c>
      <c r="DJ9" s="14">
        <f t="shared" si="15"/>
        <v>7313.75</v>
      </c>
      <c r="DL9" s="76">
        <v>4</v>
      </c>
      <c r="DM9" s="56">
        <v>1</v>
      </c>
      <c r="DN9" s="73" t="s">
        <v>524</v>
      </c>
      <c r="DO9" s="76">
        <v>9.0000000000000107</v>
      </c>
      <c r="DP9" s="14">
        <f t="shared" si="3"/>
        <v>18</v>
      </c>
      <c r="DQ9" s="104">
        <v>11</v>
      </c>
      <c r="DR9" s="104">
        <v>1</v>
      </c>
      <c r="DS9" s="30"/>
      <c r="DT9" s="14">
        <f t="shared" si="16"/>
        <v>1004</v>
      </c>
      <c r="DU9" s="14">
        <f t="shared" si="17"/>
        <v>0</v>
      </c>
      <c r="DV9" s="14">
        <f t="shared" si="18"/>
        <v>0</v>
      </c>
      <c r="DW9" s="14">
        <f t="shared" si="19"/>
        <v>0</v>
      </c>
      <c r="DX9" s="14">
        <f t="shared" si="20"/>
        <v>0</v>
      </c>
      <c r="DY9" s="14">
        <f t="shared" si="21"/>
        <v>0</v>
      </c>
      <c r="DZ9" s="14">
        <f t="shared" si="22"/>
        <v>0</v>
      </c>
      <c r="EA9" s="14">
        <f t="shared" si="23"/>
        <v>0</v>
      </c>
      <c r="EB9" s="14">
        <f t="shared" si="24"/>
        <v>0</v>
      </c>
      <c r="EC9" s="14">
        <f t="shared" si="25"/>
        <v>0</v>
      </c>
      <c r="ED9" s="14">
        <f t="shared" si="6"/>
        <v>7313.75</v>
      </c>
      <c r="EF9" s="139">
        <v>3</v>
      </c>
      <c r="EG9" s="139" t="s">
        <v>524</v>
      </c>
      <c r="EH9" s="139">
        <v>15</v>
      </c>
      <c r="EI9" s="139">
        <v>5</v>
      </c>
      <c r="EJ9" s="139">
        <v>1</v>
      </c>
      <c r="EK9" s="19">
        <v>0.2</v>
      </c>
      <c r="EL9" s="192">
        <v>1.4999999999999999E-2</v>
      </c>
      <c r="EM9" s="139"/>
      <c r="EN9" s="139"/>
      <c r="EO9" s="139"/>
      <c r="EP9" s="139">
        <v>2</v>
      </c>
      <c r="EQ9" s="19">
        <v>0.5</v>
      </c>
      <c r="ER9" s="14">
        <f t="shared" si="58"/>
        <v>35</v>
      </c>
      <c r="ES9" s="14">
        <f t="shared" si="59"/>
        <v>0</v>
      </c>
      <c r="ET9" s="14">
        <f t="shared" si="60"/>
        <v>0</v>
      </c>
      <c r="EU9" s="14">
        <f t="shared" si="61"/>
        <v>0</v>
      </c>
      <c r="EV9" s="14">
        <f>INDEX(金币总表!$AN$5:$AN$12,挂机升级突破!EP9)*挂机升级突破!EQ9</f>
        <v>21941.25</v>
      </c>
      <c r="EZ9" s="19">
        <v>0.25</v>
      </c>
      <c r="FA9" s="14">
        <f>INT(EY$8*EZ9)</f>
        <v>0</v>
      </c>
      <c r="FB9" s="30">
        <v>1.6</v>
      </c>
      <c r="FC9" s="14">
        <f t="shared" si="8"/>
        <v>0</v>
      </c>
    </row>
    <row r="10" spans="1:167" ht="16.5" x14ac:dyDescent="0.2">
      <c r="A10" s="73">
        <v>3</v>
      </c>
      <c r="B10" s="73">
        <v>4</v>
      </c>
      <c r="C10" s="73">
        <v>20</v>
      </c>
      <c r="D10" s="14">
        <f>节奏总表!AC7</f>
        <v>0.42</v>
      </c>
      <c r="E10" s="14">
        <f>节奏总表!AD7</f>
        <v>0.5</v>
      </c>
      <c r="F10" s="14">
        <f>(节奏总表!N7+节奏总表!O7)*60</f>
        <v>1440</v>
      </c>
      <c r="G10" s="19">
        <v>0.75</v>
      </c>
      <c r="H10" s="19">
        <v>0</v>
      </c>
      <c r="I10" s="19">
        <v>0</v>
      </c>
      <c r="J10" s="19">
        <v>0</v>
      </c>
      <c r="K10" s="19">
        <v>0</v>
      </c>
      <c r="L10" s="19">
        <v>0</v>
      </c>
      <c r="M10" s="19">
        <v>0</v>
      </c>
      <c r="N10" s="19">
        <v>0</v>
      </c>
      <c r="O10" s="19">
        <v>0</v>
      </c>
      <c r="P10" s="19">
        <v>0</v>
      </c>
      <c r="Q10" s="14">
        <f>章节关卡!L8</f>
        <v>35</v>
      </c>
      <c r="R10" s="14">
        <f>章节关卡!I8</f>
        <v>20</v>
      </c>
      <c r="U10" s="14">
        <f t="shared" si="26"/>
        <v>90</v>
      </c>
      <c r="V10" s="14">
        <f t="shared" si="27"/>
        <v>0</v>
      </c>
      <c r="W10" s="14">
        <f t="shared" si="28"/>
        <v>0</v>
      </c>
      <c r="X10" s="14">
        <f t="shared" si="29"/>
        <v>0</v>
      </c>
      <c r="Y10" s="14">
        <f t="shared" si="30"/>
        <v>0</v>
      </c>
      <c r="Z10" s="14">
        <f t="shared" si="31"/>
        <v>0</v>
      </c>
      <c r="AA10" s="14">
        <f t="shared" si="32"/>
        <v>0</v>
      </c>
      <c r="AB10" s="14">
        <f t="shared" si="33"/>
        <v>0</v>
      </c>
      <c r="AC10" s="14">
        <f t="shared" si="34"/>
        <v>0</v>
      </c>
      <c r="AD10" s="14">
        <f t="shared" si="35"/>
        <v>0</v>
      </c>
      <c r="AE10" s="14">
        <f t="shared" si="36"/>
        <v>50400</v>
      </c>
      <c r="AF10" s="14">
        <f t="shared" si="37"/>
        <v>28800</v>
      </c>
      <c r="AG10" s="167"/>
      <c r="AH10" s="167"/>
      <c r="AI10" s="166" t="s">
        <v>1424</v>
      </c>
      <c r="AJ10" s="166">
        <f>SUMIFS(章节关卡!$EB$5:$EB$88,章节关卡!$EA$5:$EA$88,"="&amp;挂机升级突破!AJ5)</f>
        <v>342</v>
      </c>
      <c r="AK10" s="166">
        <f>SUMIFS(章节关卡!$EB$5:$EB$88,章节关卡!$EA$5:$EA$88,"="&amp;挂机升级突破!AK5)</f>
        <v>448</v>
      </c>
      <c r="AL10" s="166">
        <f>SUMIFS(章节关卡!$EB$5:$EB$88,章节关卡!$EA$5:$EA$88,"="&amp;挂机升级突破!AL5)</f>
        <v>252</v>
      </c>
      <c r="AM10" s="166">
        <f>SUMIFS(章节关卡!$EB$5:$EB$88,章节关卡!$EA$5:$EA$88,"="&amp;挂机升级突破!AM5)</f>
        <v>161</v>
      </c>
      <c r="AN10" s="166">
        <f>SUMIFS(章节关卡!$EB$5:$EB$88,章节关卡!$EA$5:$EA$88,"="&amp;挂机升级突破!AN5)</f>
        <v>103</v>
      </c>
      <c r="AO10" s="166">
        <f>SUMIFS(章节关卡!$FA$5:$FA$94,章节关卡!$EZ$5:$EZ$94,"="&amp;挂机升级突破!AO5)</f>
        <v>318</v>
      </c>
      <c r="AP10" s="166">
        <f>SUMIFS(章节关卡!$FA$5:$FA$94,章节关卡!$EZ$5:$EZ$94,"="&amp;挂机升级突破!AP5)</f>
        <v>183</v>
      </c>
      <c r="AQ10" s="166">
        <f>SUMIFS(章节关卡!$FA$5:$FA$94,章节关卡!$EZ$5:$EZ$94,"="&amp;挂机升级突破!AQ5)</f>
        <v>117</v>
      </c>
      <c r="AR10" s="166">
        <f>SUMIFS(章节关卡!$FA$5:$FA$94,章节关卡!$EZ$5:$EZ$94,"="&amp;挂机升级突破!AR5)</f>
        <v>94</v>
      </c>
      <c r="AS10" s="166">
        <f>SUMIFS(章节关卡!$FA$5:$FA$94,章节关卡!$EZ$5:$EZ$94,"="&amp;挂机升级突破!AS5)</f>
        <v>36</v>
      </c>
      <c r="AT10" s="167"/>
      <c r="AU10" s="167"/>
      <c r="AV10" s="73">
        <v>3</v>
      </c>
      <c r="AW10" s="144">
        <v>20</v>
      </c>
      <c r="AX10" s="159">
        <f t="shared" si="38"/>
        <v>180</v>
      </c>
      <c r="AY10" s="159">
        <f t="shared" si="39"/>
        <v>0</v>
      </c>
      <c r="AZ10" s="159">
        <f t="shared" si="40"/>
        <v>0</v>
      </c>
      <c r="BA10" s="159">
        <f t="shared" si="41"/>
        <v>0</v>
      </c>
      <c r="BB10" s="159">
        <f t="shared" si="42"/>
        <v>0</v>
      </c>
      <c r="BC10" s="159">
        <f t="shared" si="43"/>
        <v>0</v>
      </c>
      <c r="BD10" s="159">
        <f t="shared" si="44"/>
        <v>0</v>
      </c>
      <c r="BE10" s="159">
        <f t="shared" si="45"/>
        <v>0</v>
      </c>
      <c r="BF10" s="159">
        <f t="shared" si="46"/>
        <v>0</v>
      </c>
      <c r="BH10" s="166">
        <v>4</v>
      </c>
      <c r="BI10" s="166">
        <v>60</v>
      </c>
      <c r="BJ10" s="166">
        <f t="shared" si="47"/>
        <v>3.3499999999999996</v>
      </c>
      <c r="BK10" s="166" t="s">
        <v>1406</v>
      </c>
      <c r="BL10" s="166"/>
      <c r="BM10" s="166">
        <v>120</v>
      </c>
      <c r="BN10" s="166">
        <v>10</v>
      </c>
      <c r="BO10" s="166"/>
      <c r="BP10" s="166"/>
      <c r="BS10" s="14">
        <f t="shared" si="48"/>
        <v>0</v>
      </c>
      <c r="BT10" s="14">
        <f t="shared" si="49"/>
        <v>1206</v>
      </c>
      <c r="BU10" s="14">
        <f t="shared" si="50"/>
        <v>101</v>
      </c>
      <c r="BV10" s="14">
        <f t="shared" si="51"/>
        <v>0</v>
      </c>
      <c r="BW10" s="14">
        <f t="shared" si="52"/>
        <v>0</v>
      </c>
      <c r="BZ10" s="166">
        <v>4</v>
      </c>
      <c r="CA10" s="166">
        <v>65</v>
      </c>
      <c r="CB10" s="166">
        <f t="shared" si="53"/>
        <v>5.87</v>
      </c>
      <c r="CC10" s="166" t="s">
        <v>1416</v>
      </c>
      <c r="CD10" s="166">
        <v>20</v>
      </c>
      <c r="CE10" s="166">
        <v>15</v>
      </c>
      <c r="CF10" s="166"/>
      <c r="CG10" s="166"/>
      <c r="CI10" s="14">
        <f t="shared" si="54"/>
        <v>352.20000000000005</v>
      </c>
      <c r="CJ10" s="14">
        <f t="shared" si="55"/>
        <v>264.14999999999998</v>
      </c>
      <c r="CK10" s="14">
        <f t="shared" si="56"/>
        <v>0</v>
      </c>
      <c r="CL10" s="14">
        <f t="shared" si="57"/>
        <v>0</v>
      </c>
      <c r="CN10" s="139">
        <v>4</v>
      </c>
      <c r="CO10" s="139" t="s">
        <v>527</v>
      </c>
      <c r="CP10" s="139">
        <f>金币总表!AO8</f>
        <v>190985</v>
      </c>
      <c r="CS10" s="73">
        <v>5</v>
      </c>
      <c r="CT10" s="73">
        <v>2</v>
      </c>
      <c r="CU10" s="14" t="str">
        <f>INDEX(节奏总表!$BC$4:$BC$23,MATCH(挂机升级突破!CS10+1,节奏总表!$BF$4:$BF$22,1))</f>
        <v>黑绳+1</v>
      </c>
      <c r="CV10" s="73"/>
      <c r="CW10" s="14">
        <f>INDEX(节奏总表!$AY$4:$AY$55,挂机升级突破!CS10)</f>
        <v>23</v>
      </c>
      <c r="CX10" s="19">
        <v>0.3</v>
      </c>
      <c r="CY10" s="73"/>
      <c r="CZ10" s="73"/>
      <c r="DA10" s="73"/>
      <c r="DB10" s="73"/>
      <c r="DC10" s="73"/>
      <c r="DD10" s="73"/>
      <c r="DE10" s="73"/>
      <c r="DF10" s="73"/>
      <c r="DG10" s="73"/>
      <c r="DH10" s="139">
        <v>2</v>
      </c>
      <c r="DI10" s="19">
        <v>0.25</v>
      </c>
      <c r="DJ10" s="14">
        <f t="shared" si="15"/>
        <v>7313.75</v>
      </c>
      <c r="DL10" s="76">
        <v>5</v>
      </c>
      <c r="DM10" s="56">
        <v>2</v>
      </c>
      <c r="DN10" s="73" t="s">
        <v>524</v>
      </c>
      <c r="DO10" s="76">
        <v>9.0000000000000107</v>
      </c>
      <c r="DP10" s="14">
        <f t="shared" si="3"/>
        <v>23</v>
      </c>
      <c r="DQ10" s="104">
        <v>11</v>
      </c>
      <c r="DR10" s="104">
        <v>1</v>
      </c>
      <c r="DS10" s="30"/>
      <c r="DT10" s="14">
        <f t="shared" si="16"/>
        <v>1075</v>
      </c>
      <c r="DU10" s="14">
        <f t="shared" si="17"/>
        <v>0</v>
      </c>
      <c r="DV10" s="14">
        <f t="shared" si="18"/>
        <v>0</v>
      </c>
      <c r="DW10" s="14">
        <f t="shared" si="19"/>
        <v>0</v>
      </c>
      <c r="DX10" s="14">
        <f t="shared" si="20"/>
        <v>0</v>
      </c>
      <c r="DY10" s="14">
        <f t="shared" si="21"/>
        <v>0</v>
      </c>
      <c r="DZ10" s="14">
        <f t="shared" si="22"/>
        <v>0</v>
      </c>
      <c r="EA10" s="14">
        <f t="shared" si="23"/>
        <v>0</v>
      </c>
      <c r="EB10" s="14">
        <f t="shared" si="24"/>
        <v>0</v>
      </c>
      <c r="EC10" s="14">
        <f t="shared" si="25"/>
        <v>0</v>
      </c>
      <c r="ED10" s="14">
        <f t="shared" si="6"/>
        <v>7313.75</v>
      </c>
      <c r="EF10" s="139">
        <v>4</v>
      </c>
      <c r="EG10" s="139" t="s">
        <v>525</v>
      </c>
      <c r="EH10" s="139">
        <v>25</v>
      </c>
      <c r="EI10" s="139">
        <v>5</v>
      </c>
      <c r="EJ10" s="139">
        <v>1</v>
      </c>
      <c r="EK10" s="19">
        <v>0.2</v>
      </c>
      <c r="EL10" s="192">
        <v>0.05</v>
      </c>
      <c r="EM10" s="139"/>
      <c r="EN10" s="139"/>
      <c r="EO10" s="139"/>
      <c r="EP10" s="139">
        <v>3</v>
      </c>
      <c r="EQ10" s="19">
        <v>0.3</v>
      </c>
      <c r="ER10" s="14">
        <f t="shared" si="58"/>
        <v>117</v>
      </c>
      <c r="ES10" s="14">
        <f t="shared" si="59"/>
        <v>0</v>
      </c>
      <c r="ET10" s="14">
        <f t="shared" si="60"/>
        <v>0</v>
      </c>
      <c r="EU10" s="14">
        <f t="shared" si="61"/>
        <v>0</v>
      </c>
      <c r="EV10" s="14">
        <f>INDEX(金币总表!$AN$5:$AN$12,挂机升级突破!EP10)*挂机升级突破!EQ10</f>
        <v>26703</v>
      </c>
      <c r="EZ10" s="19">
        <v>0.3</v>
      </c>
      <c r="FA10" s="14">
        <f>INT(EY$8*EZ10)</f>
        <v>0</v>
      </c>
      <c r="FB10" s="30">
        <v>1.7</v>
      </c>
      <c r="FC10" s="14">
        <f t="shared" si="8"/>
        <v>0</v>
      </c>
    </row>
    <row r="11" spans="1:167" ht="16.5" x14ac:dyDescent="0.2">
      <c r="A11" s="73">
        <v>4</v>
      </c>
      <c r="B11" s="73">
        <v>4</v>
      </c>
      <c r="C11" s="73">
        <v>25</v>
      </c>
      <c r="D11" s="14">
        <f>节奏总表!AC8</f>
        <v>0.71</v>
      </c>
      <c r="E11" s="14">
        <f>节奏总表!AD8</f>
        <v>1.21</v>
      </c>
      <c r="F11" s="14">
        <f>(节奏总表!N8+节奏总表!O8)*60</f>
        <v>1560</v>
      </c>
      <c r="G11" s="19">
        <v>1</v>
      </c>
      <c r="H11" s="19">
        <v>0</v>
      </c>
      <c r="I11" s="19">
        <v>0</v>
      </c>
      <c r="J11" s="19">
        <v>0</v>
      </c>
      <c r="K11" s="19">
        <v>0</v>
      </c>
      <c r="L11" s="19">
        <v>0.2</v>
      </c>
      <c r="M11" s="19">
        <v>0</v>
      </c>
      <c r="N11" s="19">
        <v>0</v>
      </c>
      <c r="O11" s="19">
        <v>0</v>
      </c>
      <c r="P11" s="19">
        <v>0</v>
      </c>
      <c r="Q11" s="14">
        <f>章节关卡!L9</f>
        <v>40</v>
      </c>
      <c r="R11" s="14">
        <f>章节关卡!I9</f>
        <v>25</v>
      </c>
      <c r="U11" s="14">
        <f t="shared" si="26"/>
        <v>130</v>
      </c>
      <c r="V11" s="14">
        <f t="shared" si="27"/>
        <v>0</v>
      </c>
      <c r="W11" s="14">
        <f t="shared" si="28"/>
        <v>0</v>
      </c>
      <c r="X11" s="14">
        <f t="shared" si="29"/>
        <v>0</v>
      </c>
      <c r="Y11" s="14">
        <f t="shared" si="30"/>
        <v>0</v>
      </c>
      <c r="Z11" s="14">
        <f t="shared" si="31"/>
        <v>3.9</v>
      </c>
      <c r="AA11" s="14">
        <f t="shared" si="32"/>
        <v>0</v>
      </c>
      <c r="AB11" s="14">
        <f t="shared" si="33"/>
        <v>0</v>
      </c>
      <c r="AC11" s="14">
        <f t="shared" si="34"/>
        <v>0</v>
      </c>
      <c r="AD11" s="14">
        <f t="shared" si="35"/>
        <v>0</v>
      </c>
      <c r="AE11" s="14">
        <f t="shared" si="36"/>
        <v>62400</v>
      </c>
      <c r="AF11" s="14">
        <f t="shared" si="37"/>
        <v>39000</v>
      </c>
      <c r="AG11" s="167"/>
      <c r="AH11" s="167"/>
      <c r="AI11" s="166" t="s">
        <v>1526</v>
      </c>
      <c r="AJ11" s="166"/>
      <c r="AK11" s="166"/>
      <c r="AL11" s="166"/>
      <c r="AM11" s="166"/>
      <c r="AN11" s="166"/>
      <c r="AO11" s="166">
        <v>1000</v>
      </c>
      <c r="AP11" s="166">
        <v>1000</v>
      </c>
      <c r="AQ11" s="166">
        <v>600</v>
      </c>
      <c r="AR11" s="166">
        <v>300</v>
      </c>
      <c r="AS11" s="166">
        <v>225</v>
      </c>
      <c r="AT11" s="167"/>
      <c r="AU11" s="167"/>
      <c r="AV11" s="73">
        <v>4</v>
      </c>
      <c r="AW11" s="144">
        <v>25</v>
      </c>
      <c r="AX11" s="159">
        <f t="shared" si="38"/>
        <v>240</v>
      </c>
      <c r="AY11" s="159">
        <f t="shared" si="39"/>
        <v>0</v>
      </c>
      <c r="AZ11" s="159">
        <f t="shared" si="40"/>
        <v>0</v>
      </c>
      <c r="BA11" s="159">
        <f t="shared" si="41"/>
        <v>0</v>
      </c>
      <c r="BB11" s="159">
        <f t="shared" si="42"/>
        <v>0</v>
      </c>
      <c r="BC11" s="159">
        <f t="shared" si="43"/>
        <v>10.8</v>
      </c>
      <c r="BD11" s="159">
        <f t="shared" si="44"/>
        <v>0</v>
      </c>
      <c r="BE11" s="159">
        <f t="shared" si="45"/>
        <v>0</v>
      </c>
      <c r="BF11" s="159">
        <f t="shared" si="46"/>
        <v>0</v>
      </c>
      <c r="BH11" s="166">
        <v>5</v>
      </c>
      <c r="BI11" s="166">
        <v>75</v>
      </c>
      <c r="BJ11" s="166">
        <f t="shared" si="47"/>
        <v>5.65</v>
      </c>
      <c r="BK11" s="166" t="s">
        <v>1407</v>
      </c>
      <c r="BL11" s="166"/>
      <c r="BM11" s="166">
        <v>60</v>
      </c>
      <c r="BN11" s="166">
        <v>32</v>
      </c>
      <c r="BO11" s="166"/>
      <c r="BP11" s="166"/>
      <c r="BS11" s="14">
        <f t="shared" si="48"/>
        <v>0</v>
      </c>
      <c r="BT11" s="14">
        <f t="shared" si="49"/>
        <v>1017</v>
      </c>
      <c r="BU11" s="14">
        <f t="shared" si="50"/>
        <v>542</v>
      </c>
      <c r="BV11" s="14">
        <f t="shared" si="51"/>
        <v>0</v>
      </c>
      <c r="BW11" s="14">
        <f t="shared" si="52"/>
        <v>0</v>
      </c>
      <c r="BZ11" s="166">
        <v>5</v>
      </c>
      <c r="CA11" s="166">
        <v>85</v>
      </c>
      <c r="CB11" s="166">
        <f t="shared" si="53"/>
        <v>7.0199999999999978</v>
      </c>
      <c r="CC11" s="166" t="s">
        <v>1417</v>
      </c>
      <c r="CD11" s="166"/>
      <c r="CE11" s="166">
        <v>20</v>
      </c>
      <c r="CF11" s="166">
        <v>3</v>
      </c>
      <c r="CG11" s="166"/>
      <c r="CI11" s="14">
        <f t="shared" si="54"/>
        <v>0</v>
      </c>
      <c r="CJ11" s="14">
        <f t="shared" si="55"/>
        <v>421.19999999999982</v>
      </c>
      <c r="CK11" s="14">
        <f t="shared" si="56"/>
        <v>63.179999999999986</v>
      </c>
      <c r="CL11" s="14">
        <f t="shared" si="57"/>
        <v>0</v>
      </c>
      <c r="CN11" s="139">
        <v>5</v>
      </c>
      <c r="CO11" s="139" t="s">
        <v>529</v>
      </c>
      <c r="CP11" s="139">
        <f>金币总表!AO9</f>
        <v>439100</v>
      </c>
      <c r="CS11" s="73">
        <v>6</v>
      </c>
      <c r="CT11" s="73">
        <v>1</v>
      </c>
      <c r="CU11" s="14" t="str">
        <f>INDEX(节奏总表!$BC$4:$BC$23,MATCH(挂机升级突破!CS11+1,节奏总表!$BF$4:$BF$22,1))</f>
        <v>众合</v>
      </c>
      <c r="CV11" s="73"/>
      <c r="CW11" s="14">
        <f>INDEX(节奏总表!$AY$4:$AY$55,挂机升级突破!CS11)</f>
        <v>28</v>
      </c>
      <c r="CX11" s="73"/>
      <c r="CY11" s="19">
        <v>0.05</v>
      </c>
      <c r="CZ11" s="73"/>
      <c r="DA11" s="73"/>
      <c r="DB11" s="73"/>
      <c r="DC11" s="73"/>
      <c r="DD11" s="73"/>
      <c r="DE11" s="73"/>
      <c r="DF11" s="73"/>
      <c r="DG11" s="73"/>
      <c r="DH11" s="139">
        <v>3</v>
      </c>
      <c r="DI11" s="19">
        <v>0.1</v>
      </c>
      <c r="DJ11" s="14">
        <f t="shared" si="15"/>
        <v>8901</v>
      </c>
      <c r="DL11" s="76">
        <v>6</v>
      </c>
      <c r="DM11" s="56">
        <v>1</v>
      </c>
      <c r="DN11" s="73" t="s">
        <v>525</v>
      </c>
      <c r="DO11" s="76">
        <v>9.0000000000000107</v>
      </c>
      <c r="DP11" s="14">
        <f t="shared" si="3"/>
        <v>28</v>
      </c>
      <c r="DQ11" s="104">
        <v>11</v>
      </c>
      <c r="DR11" s="104">
        <v>2</v>
      </c>
      <c r="DS11" s="30"/>
      <c r="DT11" s="14">
        <f t="shared" si="16"/>
        <v>0</v>
      </c>
      <c r="DU11" s="14">
        <f t="shared" si="17"/>
        <v>202</v>
      </c>
      <c r="DV11" s="14">
        <f t="shared" si="18"/>
        <v>0</v>
      </c>
      <c r="DW11" s="14">
        <f t="shared" si="19"/>
        <v>0</v>
      </c>
      <c r="DX11" s="14">
        <f t="shared" si="20"/>
        <v>0</v>
      </c>
      <c r="DY11" s="14">
        <f t="shared" si="21"/>
        <v>0</v>
      </c>
      <c r="DZ11" s="14">
        <f t="shared" si="22"/>
        <v>0</v>
      </c>
      <c r="EA11" s="14">
        <f t="shared" si="23"/>
        <v>0</v>
      </c>
      <c r="EB11" s="14">
        <f t="shared" si="24"/>
        <v>0</v>
      </c>
      <c r="EC11" s="14">
        <f t="shared" si="25"/>
        <v>0</v>
      </c>
      <c r="ED11" s="14">
        <f t="shared" si="6"/>
        <v>8901</v>
      </c>
      <c r="EF11" s="139">
        <v>5</v>
      </c>
      <c r="EG11" s="139" t="s">
        <v>526</v>
      </c>
      <c r="EH11" s="139">
        <v>35</v>
      </c>
      <c r="EI11" s="139">
        <v>5</v>
      </c>
      <c r="EJ11" s="139">
        <v>1</v>
      </c>
      <c r="EK11" s="19">
        <v>0.2</v>
      </c>
      <c r="EL11" s="192">
        <v>0.1</v>
      </c>
      <c r="EM11" s="139"/>
      <c r="EN11" s="139"/>
      <c r="EO11" s="139"/>
      <c r="EP11" s="139">
        <v>3</v>
      </c>
      <c r="EQ11" s="19">
        <v>0.3</v>
      </c>
      <c r="ER11" s="14">
        <f t="shared" si="58"/>
        <v>235</v>
      </c>
      <c r="ES11" s="14">
        <f t="shared" si="59"/>
        <v>0</v>
      </c>
      <c r="ET11" s="14">
        <f t="shared" si="60"/>
        <v>0</v>
      </c>
      <c r="EU11" s="14">
        <f t="shared" si="61"/>
        <v>0</v>
      </c>
      <c r="EV11" s="14">
        <f>INDEX(金币总表!$AN$5:$AN$12,挂机升级突破!EP11)*挂机升级突破!EQ11</f>
        <v>26703</v>
      </c>
      <c r="EZ11" s="19">
        <v>0.35</v>
      </c>
      <c r="FA11" s="14">
        <f>INT(EY$8*EZ11)</f>
        <v>0</v>
      </c>
      <c r="FB11" s="30">
        <v>1.8</v>
      </c>
      <c r="FC11" s="14">
        <f t="shared" si="8"/>
        <v>0</v>
      </c>
    </row>
    <row r="12" spans="1:167" ht="16.5" x14ac:dyDescent="0.2">
      <c r="A12" s="73">
        <v>5</v>
      </c>
      <c r="B12" s="73">
        <v>4</v>
      </c>
      <c r="C12" s="73">
        <v>30</v>
      </c>
      <c r="D12" s="14">
        <f>节奏总表!AC9</f>
        <v>0.5</v>
      </c>
      <c r="E12" s="14">
        <f>节奏总表!AD9</f>
        <v>1.71</v>
      </c>
      <c r="F12" s="14">
        <f>(节奏总表!N9+节奏总表!O9)*60</f>
        <v>1680</v>
      </c>
      <c r="G12" s="19">
        <v>1</v>
      </c>
      <c r="H12" s="19">
        <v>0.2</v>
      </c>
      <c r="I12" s="19">
        <v>0</v>
      </c>
      <c r="J12" s="19">
        <v>0</v>
      </c>
      <c r="K12" s="19">
        <v>0</v>
      </c>
      <c r="L12" s="19">
        <v>0.35</v>
      </c>
      <c r="M12" s="19">
        <v>0</v>
      </c>
      <c r="N12" s="19">
        <v>0</v>
      </c>
      <c r="O12" s="19">
        <v>0</v>
      </c>
      <c r="P12" s="19">
        <v>0</v>
      </c>
      <c r="Q12" s="14">
        <f>章节关卡!L10</f>
        <v>45</v>
      </c>
      <c r="R12" s="14">
        <f>章节关卡!I10</f>
        <v>30</v>
      </c>
      <c r="U12" s="14">
        <f t="shared" si="26"/>
        <v>140</v>
      </c>
      <c r="V12" s="14">
        <f t="shared" si="27"/>
        <v>14</v>
      </c>
      <c r="W12" s="14">
        <f t="shared" si="28"/>
        <v>0</v>
      </c>
      <c r="X12" s="14">
        <f t="shared" si="29"/>
        <v>0</v>
      </c>
      <c r="Y12" s="14">
        <f t="shared" si="30"/>
        <v>0</v>
      </c>
      <c r="Z12" s="14">
        <f t="shared" si="31"/>
        <v>7.35</v>
      </c>
      <c r="AA12" s="14">
        <f t="shared" si="32"/>
        <v>0</v>
      </c>
      <c r="AB12" s="14">
        <f t="shared" si="33"/>
        <v>0</v>
      </c>
      <c r="AC12" s="14">
        <f t="shared" si="34"/>
        <v>0</v>
      </c>
      <c r="AD12" s="14">
        <f t="shared" si="35"/>
        <v>0</v>
      </c>
      <c r="AE12" s="14">
        <f t="shared" si="36"/>
        <v>75600</v>
      </c>
      <c r="AF12" s="14">
        <f t="shared" si="37"/>
        <v>50400</v>
      </c>
      <c r="AG12" s="167"/>
      <c r="AH12" s="167"/>
      <c r="AI12" s="166" t="s">
        <v>1528</v>
      </c>
      <c r="AJ12" s="166">
        <f>SUM(AJ9:AJ11)</f>
        <v>1027</v>
      </c>
      <c r="AK12" s="166">
        <f t="shared" ref="AK12:AS12" si="63">SUM(AK9:AK11)</f>
        <v>1202</v>
      </c>
      <c r="AL12" s="166">
        <f t="shared" si="63"/>
        <v>920.75</v>
      </c>
      <c r="AM12" s="166">
        <f t="shared" si="63"/>
        <v>681.5</v>
      </c>
      <c r="AN12" s="166">
        <f t="shared" si="63"/>
        <v>342.125</v>
      </c>
      <c r="AO12" s="166">
        <f t="shared" si="63"/>
        <v>1501.7874999999999</v>
      </c>
      <c r="AP12" s="166">
        <f t="shared" si="63"/>
        <v>1346.62</v>
      </c>
      <c r="AQ12" s="166">
        <f t="shared" si="63"/>
        <v>833.01749999999993</v>
      </c>
      <c r="AR12" s="166">
        <f t="shared" si="63"/>
        <v>455.89750000000004</v>
      </c>
      <c r="AS12" s="166">
        <f t="shared" si="63"/>
        <v>300.97249999999997</v>
      </c>
      <c r="AT12" s="167"/>
      <c r="AU12" s="167"/>
      <c r="AV12" s="73">
        <v>5</v>
      </c>
      <c r="AW12" s="144">
        <v>30</v>
      </c>
      <c r="AX12" s="159">
        <f t="shared" si="38"/>
        <v>240</v>
      </c>
      <c r="AY12" s="159">
        <f t="shared" si="39"/>
        <v>24</v>
      </c>
      <c r="AZ12" s="159">
        <f t="shared" si="40"/>
        <v>0</v>
      </c>
      <c r="BA12" s="159">
        <f t="shared" si="41"/>
        <v>0</v>
      </c>
      <c r="BB12" s="159">
        <f t="shared" si="42"/>
        <v>0</v>
      </c>
      <c r="BC12" s="159">
        <f t="shared" si="43"/>
        <v>18.899999999999999</v>
      </c>
      <c r="BD12" s="159">
        <f t="shared" si="44"/>
        <v>0</v>
      </c>
      <c r="BE12" s="159">
        <f t="shared" si="45"/>
        <v>0</v>
      </c>
      <c r="BF12" s="159">
        <f t="shared" si="46"/>
        <v>0</v>
      </c>
      <c r="BH12" s="166">
        <v>6</v>
      </c>
      <c r="BI12" s="166">
        <v>90</v>
      </c>
      <c r="BJ12" s="166">
        <f t="shared" si="47"/>
        <v>7.4400000000000013</v>
      </c>
      <c r="BK12" s="166" t="s">
        <v>1408</v>
      </c>
      <c r="BL12" s="166"/>
      <c r="BM12" s="166"/>
      <c r="BN12" s="166">
        <v>48</v>
      </c>
      <c r="BO12" s="166">
        <v>5</v>
      </c>
      <c r="BP12" s="166"/>
      <c r="BS12" s="14">
        <f t="shared" si="48"/>
        <v>0</v>
      </c>
      <c r="BT12" s="14">
        <f t="shared" si="49"/>
        <v>0</v>
      </c>
      <c r="BU12" s="14">
        <f t="shared" si="50"/>
        <v>1071</v>
      </c>
      <c r="BV12" s="14">
        <f t="shared" si="51"/>
        <v>112</v>
      </c>
      <c r="BW12" s="14">
        <f t="shared" si="52"/>
        <v>0</v>
      </c>
      <c r="BZ12" s="166">
        <v>6</v>
      </c>
      <c r="CA12" s="166">
        <v>100</v>
      </c>
      <c r="CB12" s="166">
        <f t="shared" si="53"/>
        <v>8.1700000000000017</v>
      </c>
      <c r="CC12" s="166" t="s">
        <v>1418</v>
      </c>
      <c r="CD12" s="166"/>
      <c r="CE12" s="166">
        <v>10</v>
      </c>
      <c r="CF12" s="166">
        <v>7</v>
      </c>
      <c r="CG12" s="166"/>
      <c r="CI12" s="14">
        <f t="shared" si="54"/>
        <v>0</v>
      </c>
      <c r="CJ12" s="14">
        <f t="shared" si="55"/>
        <v>245.10000000000005</v>
      </c>
      <c r="CK12" s="14">
        <f t="shared" si="56"/>
        <v>171.57000000000005</v>
      </c>
      <c r="CL12" s="14">
        <f t="shared" si="57"/>
        <v>0</v>
      </c>
      <c r="CN12" s="139">
        <v>6</v>
      </c>
      <c r="CO12" s="139" t="s">
        <v>531</v>
      </c>
      <c r="CP12" s="139">
        <f>金币总表!AO10</f>
        <v>777742.5</v>
      </c>
      <c r="CS12" s="73">
        <v>7</v>
      </c>
      <c r="CT12" s="73">
        <v>2</v>
      </c>
      <c r="CU12" s="14" t="str">
        <f>INDEX(节奏总表!$BC$4:$BC$23,MATCH(挂机升级突破!CS12+1,节奏总表!$BF$4:$BF$22,1))</f>
        <v>众合</v>
      </c>
      <c r="CV12" s="73"/>
      <c r="CW12" s="14">
        <f>INDEX(节奏总表!$AY$4:$AY$55,挂机升级突破!CS12)</f>
        <v>33</v>
      </c>
      <c r="CX12" s="73"/>
      <c r="CY12" s="19">
        <v>0.05</v>
      </c>
      <c r="CZ12" s="73"/>
      <c r="DA12" s="73"/>
      <c r="DB12" s="73"/>
      <c r="DC12" s="73"/>
      <c r="DD12" s="73"/>
      <c r="DE12" s="73"/>
      <c r="DF12" s="73"/>
      <c r="DG12" s="73"/>
      <c r="DH12" s="139">
        <v>3</v>
      </c>
      <c r="DI12" s="19">
        <v>0.1</v>
      </c>
      <c r="DJ12" s="14">
        <f t="shared" si="15"/>
        <v>8901</v>
      </c>
      <c r="DL12" s="76">
        <v>7</v>
      </c>
      <c r="DM12" s="56">
        <v>2</v>
      </c>
      <c r="DN12" s="73" t="s">
        <v>525</v>
      </c>
      <c r="DO12" s="76">
        <v>9.0000000000000107</v>
      </c>
      <c r="DP12" s="14">
        <f t="shared" si="3"/>
        <v>33</v>
      </c>
      <c r="DQ12" s="104">
        <v>11</v>
      </c>
      <c r="DR12" s="104">
        <v>2</v>
      </c>
      <c r="DS12" s="30"/>
      <c r="DT12" s="14">
        <f t="shared" si="16"/>
        <v>0</v>
      </c>
      <c r="DU12" s="14">
        <f t="shared" si="17"/>
        <v>202</v>
      </c>
      <c r="DV12" s="14">
        <f t="shared" si="18"/>
        <v>0</v>
      </c>
      <c r="DW12" s="14">
        <f t="shared" si="19"/>
        <v>0</v>
      </c>
      <c r="DX12" s="14">
        <f t="shared" si="20"/>
        <v>0</v>
      </c>
      <c r="DY12" s="14">
        <f t="shared" si="21"/>
        <v>0</v>
      </c>
      <c r="DZ12" s="14">
        <f t="shared" si="22"/>
        <v>0</v>
      </c>
      <c r="EA12" s="14">
        <f t="shared" si="23"/>
        <v>0</v>
      </c>
      <c r="EB12" s="14">
        <f t="shared" si="24"/>
        <v>0</v>
      </c>
      <c r="EC12" s="14">
        <f t="shared" si="25"/>
        <v>0</v>
      </c>
      <c r="ED12" s="14">
        <f t="shared" si="6"/>
        <v>8901</v>
      </c>
      <c r="EF12" s="139">
        <v>6</v>
      </c>
      <c r="EG12" s="139" t="s">
        <v>512</v>
      </c>
      <c r="EH12" s="139">
        <v>42</v>
      </c>
      <c r="EI12" s="139">
        <v>5</v>
      </c>
      <c r="EJ12" s="139">
        <v>1</v>
      </c>
      <c r="EK12" s="19">
        <v>0.2</v>
      </c>
      <c r="EL12" s="192">
        <v>0.15</v>
      </c>
      <c r="EM12" s="139"/>
      <c r="EN12" s="139"/>
      <c r="EO12" s="139"/>
      <c r="EP12" s="139">
        <v>3</v>
      </c>
      <c r="EQ12" s="19">
        <v>0.4</v>
      </c>
      <c r="ER12" s="14">
        <f t="shared" si="58"/>
        <v>352</v>
      </c>
      <c r="ES12" s="14">
        <f t="shared" si="59"/>
        <v>0</v>
      </c>
      <c r="ET12" s="14">
        <f t="shared" si="60"/>
        <v>0</v>
      </c>
      <c r="EU12" s="14">
        <f t="shared" si="61"/>
        <v>0</v>
      </c>
      <c r="EV12" s="14">
        <f>INDEX(金币总表!$AN$5:$AN$12,挂机升级突破!EP12)*挂机升级突破!EQ12</f>
        <v>35604</v>
      </c>
      <c r="EY12" s="14">
        <f>金币总表!P42</f>
        <v>0</v>
      </c>
      <c r="EZ12" s="19">
        <v>0.22</v>
      </c>
      <c r="FA12" s="14">
        <f>INT(EY$12*EZ12)</f>
        <v>0</v>
      </c>
      <c r="FB12" s="30">
        <v>1.8</v>
      </c>
      <c r="FC12" s="14">
        <f t="shared" si="8"/>
        <v>0</v>
      </c>
    </row>
    <row r="13" spans="1:167" ht="16.5" x14ac:dyDescent="0.2">
      <c r="A13" s="73">
        <v>6</v>
      </c>
      <c r="B13" s="73">
        <v>4</v>
      </c>
      <c r="C13" s="73">
        <v>35</v>
      </c>
      <c r="D13" s="14">
        <f>节奏总表!AC10</f>
        <v>0.54</v>
      </c>
      <c r="E13" s="14">
        <f>节奏总表!AD10</f>
        <v>2.25</v>
      </c>
      <c r="F13" s="14">
        <f>(节奏总表!N10+节奏总表!O10)*60</f>
        <v>1800</v>
      </c>
      <c r="G13" s="19">
        <v>1</v>
      </c>
      <c r="H13" s="19">
        <v>0.35</v>
      </c>
      <c r="I13" s="19">
        <v>0</v>
      </c>
      <c r="J13" s="19">
        <v>0</v>
      </c>
      <c r="K13" s="19">
        <v>0</v>
      </c>
      <c r="L13" s="19">
        <v>0.5</v>
      </c>
      <c r="M13" s="19">
        <v>0</v>
      </c>
      <c r="N13" s="19">
        <v>0</v>
      </c>
      <c r="O13" s="19">
        <v>0</v>
      </c>
      <c r="P13" s="19">
        <v>0</v>
      </c>
      <c r="Q13" s="14">
        <f>章节关卡!L11</f>
        <v>50</v>
      </c>
      <c r="R13" s="14">
        <f>章节关卡!I11</f>
        <v>35</v>
      </c>
      <c r="U13" s="14">
        <f t="shared" si="26"/>
        <v>150</v>
      </c>
      <c r="V13" s="14">
        <f t="shared" si="27"/>
        <v>26.25</v>
      </c>
      <c r="W13" s="14">
        <f t="shared" si="28"/>
        <v>0</v>
      </c>
      <c r="X13" s="14">
        <f t="shared" si="29"/>
        <v>0</v>
      </c>
      <c r="Y13" s="14">
        <f t="shared" si="30"/>
        <v>0</v>
      </c>
      <c r="Z13" s="14">
        <f t="shared" si="31"/>
        <v>11.25</v>
      </c>
      <c r="AA13" s="14">
        <f t="shared" si="32"/>
        <v>0</v>
      </c>
      <c r="AB13" s="14">
        <f t="shared" si="33"/>
        <v>0</v>
      </c>
      <c r="AC13" s="14">
        <f t="shared" si="34"/>
        <v>0</v>
      </c>
      <c r="AD13" s="14">
        <f t="shared" si="35"/>
        <v>0</v>
      </c>
      <c r="AE13" s="14">
        <f t="shared" si="36"/>
        <v>90000</v>
      </c>
      <c r="AF13" s="14">
        <f t="shared" si="37"/>
        <v>63000</v>
      </c>
      <c r="AG13" s="167"/>
      <c r="AH13" s="167"/>
      <c r="AI13" s="167"/>
      <c r="AJ13" s="167"/>
      <c r="AK13" s="167"/>
      <c r="AL13" s="167"/>
      <c r="AM13" s="167"/>
      <c r="AN13" s="167"/>
      <c r="AO13" s="167"/>
      <c r="AP13" s="167"/>
      <c r="AQ13" s="167"/>
      <c r="AR13" s="167"/>
      <c r="AS13" s="167"/>
      <c r="AT13" s="167"/>
      <c r="AU13" s="167"/>
      <c r="AV13" s="73">
        <v>6</v>
      </c>
      <c r="AW13" s="144">
        <v>35</v>
      </c>
      <c r="AX13" s="159">
        <f t="shared" si="38"/>
        <v>240</v>
      </c>
      <c r="AY13" s="159">
        <f t="shared" si="39"/>
        <v>42</v>
      </c>
      <c r="AZ13" s="159">
        <f t="shared" si="40"/>
        <v>0</v>
      </c>
      <c r="BA13" s="159">
        <f t="shared" si="41"/>
        <v>0</v>
      </c>
      <c r="BB13" s="159">
        <f t="shared" si="42"/>
        <v>0</v>
      </c>
      <c r="BC13" s="159">
        <f t="shared" si="43"/>
        <v>27</v>
      </c>
      <c r="BD13" s="159">
        <f t="shared" si="44"/>
        <v>0</v>
      </c>
      <c r="BE13" s="159">
        <f t="shared" si="45"/>
        <v>0</v>
      </c>
      <c r="BF13" s="159">
        <f t="shared" si="46"/>
        <v>0</v>
      </c>
      <c r="BH13" s="166">
        <v>7</v>
      </c>
      <c r="BI13" s="166">
        <v>105</v>
      </c>
      <c r="BJ13" s="166">
        <f t="shared" si="47"/>
        <v>8.5599999999999987</v>
      </c>
      <c r="BK13" s="166" t="s">
        <v>1409</v>
      </c>
      <c r="BL13" s="166"/>
      <c r="BM13" s="166"/>
      <c r="BN13" s="166">
        <v>24</v>
      </c>
      <c r="BO13" s="166">
        <v>16</v>
      </c>
      <c r="BP13" s="166"/>
      <c r="BS13" s="14">
        <f t="shared" si="48"/>
        <v>0</v>
      </c>
      <c r="BT13" s="14">
        <f t="shared" si="49"/>
        <v>0</v>
      </c>
      <c r="BU13" s="14">
        <f t="shared" si="50"/>
        <v>616</v>
      </c>
      <c r="BV13" s="14">
        <f t="shared" si="51"/>
        <v>411</v>
      </c>
      <c r="BW13" s="14">
        <f t="shared" si="52"/>
        <v>0</v>
      </c>
      <c r="BZ13" s="166">
        <v>7</v>
      </c>
      <c r="CA13" s="166">
        <v>115</v>
      </c>
      <c r="CB13" s="166">
        <f t="shared" si="53"/>
        <v>14.46</v>
      </c>
      <c r="CC13" s="166" t="s">
        <v>1419</v>
      </c>
      <c r="CD13" s="166"/>
      <c r="CE13" s="166"/>
      <c r="CF13" s="166">
        <v>10</v>
      </c>
      <c r="CG13" s="166">
        <v>2</v>
      </c>
      <c r="CI13" s="14">
        <f t="shared" si="54"/>
        <v>0</v>
      </c>
      <c r="CJ13" s="14">
        <f t="shared" si="55"/>
        <v>0</v>
      </c>
      <c r="CK13" s="14">
        <f t="shared" si="56"/>
        <v>433.80000000000007</v>
      </c>
      <c r="CL13" s="14">
        <f t="shared" si="57"/>
        <v>86.76</v>
      </c>
      <c r="CN13" s="139">
        <v>7</v>
      </c>
      <c r="CO13" s="139" t="s">
        <v>533</v>
      </c>
      <c r="CP13" s="139">
        <f>金币总表!AO11</f>
        <v>1880232</v>
      </c>
      <c r="CS13" s="73">
        <v>8</v>
      </c>
      <c r="CT13" s="73">
        <v>1</v>
      </c>
      <c r="CU13" s="14" t="str">
        <f>INDEX(节奏总表!$BC$4:$BC$23,MATCH(挂机升级突破!CS13+1,节奏总表!$BF$4:$BF$22,1))</f>
        <v>众合+1</v>
      </c>
      <c r="CV13" s="73"/>
      <c r="CW13" s="14">
        <f>INDEX(节奏总表!$AY$4:$AY$55,挂机升级突破!CS13)</f>
        <v>38</v>
      </c>
      <c r="CX13" s="73"/>
      <c r="CY13" s="19">
        <v>0.1</v>
      </c>
      <c r="CZ13" s="73"/>
      <c r="DA13" s="73"/>
      <c r="DB13" s="73"/>
      <c r="DC13" s="19">
        <v>0.05</v>
      </c>
      <c r="DD13" s="73"/>
      <c r="DE13" s="73"/>
      <c r="DF13" s="73"/>
      <c r="DG13" s="73"/>
      <c r="DH13" s="139">
        <v>3</v>
      </c>
      <c r="DI13" s="19">
        <v>0.15</v>
      </c>
      <c r="DJ13" s="14">
        <f t="shared" si="15"/>
        <v>13351.5</v>
      </c>
      <c r="DL13" s="76">
        <v>8</v>
      </c>
      <c r="DM13" s="56">
        <v>1</v>
      </c>
      <c r="DN13" s="73" t="s">
        <v>526</v>
      </c>
      <c r="DO13" s="76">
        <v>9.0000000000000107</v>
      </c>
      <c r="DP13" s="14">
        <f t="shared" si="3"/>
        <v>38</v>
      </c>
      <c r="DQ13" s="104">
        <v>11</v>
      </c>
      <c r="DR13" s="104">
        <v>2</v>
      </c>
      <c r="DS13" s="30"/>
      <c r="DT13" s="14">
        <f t="shared" si="16"/>
        <v>0</v>
      </c>
      <c r="DU13" s="14">
        <f t="shared" si="17"/>
        <v>403</v>
      </c>
      <c r="DV13" s="14">
        <f t="shared" si="18"/>
        <v>0</v>
      </c>
      <c r="DW13" s="14">
        <f t="shared" si="19"/>
        <v>0</v>
      </c>
      <c r="DX13" s="14">
        <f t="shared" si="20"/>
        <v>0</v>
      </c>
      <c r="DY13" s="14">
        <f t="shared" si="21"/>
        <v>117</v>
      </c>
      <c r="DZ13" s="14">
        <f t="shared" si="22"/>
        <v>0</v>
      </c>
      <c r="EA13" s="14">
        <f t="shared" si="23"/>
        <v>0</v>
      </c>
      <c r="EB13" s="14">
        <f t="shared" si="24"/>
        <v>0</v>
      </c>
      <c r="EC13" s="14">
        <f t="shared" si="25"/>
        <v>0</v>
      </c>
      <c r="ED13" s="14">
        <f t="shared" si="6"/>
        <v>13351.5</v>
      </c>
      <c r="EF13" s="139">
        <v>7</v>
      </c>
      <c r="EG13" s="139" t="s">
        <v>527</v>
      </c>
      <c r="EH13" s="139">
        <v>47</v>
      </c>
      <c r="EI13" s="139">
        <v>5</v>
      </c>
      <c r="EJ13" s="139">
        <v>1</v>
      </c>
      <c r="EK13" s="19">
        <v>0.2</v>
      </c>
      <c r="EL13" s="192">
        <v>0.25</v>
      </c>
      <c r="EM13" s="139"/>
      <c r="EN13" s="139"/>
      <c r="EO13" s="139"/>
      <c r="EP13" s="139">
        <v>4</v>
      </c>
      <c r="EQ13" s="19">
        <v>0.3</v>
      </c>
      <c r="ER13" s="14">
        <f t="shared" si="58"/>
        <v>587</v>
      </c>
      <c r="ES13" s="14">
        <f t="shared" si="59"/>
        <v>0</v>
      </c>
      <c r="ET13" s="14">
        <f t="shared" si="60"/>
        <v>0</v>
      </c>
      <c r="EU13" s="14">
        <f t="shared" si="61"/>
        <v>0</v>
      </c>
      <c r="EV13" s="14">
        <f>INDEX(金币总表!$AN$5:$AN$12,挂机升级突破!EP13)*挂机升级突破!EQ13</f>
        <v>57295.5</v>
      </c>
      <c r="EW13" s="103"/>
      <c r="EZ13" s="19">
        <v>0.24</v>
      </c>
      <c r="FA13" s="14">
        <f>INT(EY$12*EZ13)</f>
        <v>0</v>
      </c>
      <c r="FB13" s="30">
        <v>1.8</v>
      </c>
      <c r="FC13" s="14">
        <f t="shared" si="8"/>
        <v>0</v>
      </c>
    </row>
    <row r="14" spans="1:167" ht="16.5" x14ac:dyDescent="0.2">
      <c r="A14" s="73">
        <v>7</v>
      </c>
      <c r="B14" s="73">
        <v>4</v>
      </c>
      <c r="C14" s="73">
        <v>40</v>
      </c>
      <c r="D14" s="14">
        <f>节奏总表!AC11</f>
        <v>0.58000000000000007</v>
      </c>
      <c r="E14" s="14">
        <f>节奏总表!AD11</f>
        <v>2.83</v>
      </c>
      <c r="F14" s="14">
        <f>(节奏总表!N11+节奏总表!O11)*60</f>
        <v>1920</v>
      </c>
      <c r="G14" s="19">
        <v>1</v>
      </c>
      <c r="H14" s="19">
        <v>0.5</v>
      </c>
      <c r="I14" s="19">
        <v>0</v>
      </c>
      <c r="J14" s="19">
        <v>0</v>
      </c>
      <c r="K14" s="19">
        <v>0</v>
      </c>
      <c r="L14" s="19">
        <v>0.65</v>
      </c>
      <c r="M14" s="19">
        <v>0</v>
      </c>
      <c r="N14" s="19">
        <v>0</v>
      </c>
      <c r="O14" s="19">
        <v>0</v>
      </c>
      <c r="P14" s="19">
        <v>0</v>
      </c>
      <c r="Q14" s="14">
        <f>章节关卡!L12</f>
        <v>60</v>
      </c>
      <c r="R14" s="14">
        <f>章节关卡!I12</f>
        <v>40</v>
      </c>
      <c r="U14" s="14">
        <f t="shared" si="26"/>
        <v>160</v>
      </c>
      <c r="V14" s="14">
        <f t="shared" si="27"/>
        <v>40</v>
      </c>
      <c r="W14" s="14">
        <f t="shared" si="28"/>
        <v>0</v>
      </c>
      <c r="X14" s="14">
        <f t="shared" si="29"/>
        <v>0</v>
      </c>
      <c r="Y14" s="14">
        <f t="shared" si="30"/>
        <v>0</v>
      </c>
      <c r="Z14" s="14">
        <f t="shared" si="31"/>
        <v>15.6</v>
      </c>
      <c r="AA14" s="14">
        <f t="shared" si="32"/>
        <v>0</v>
      </c>
      <c r="AB14" s="14">
        <f t="shared" si="33"/>
        <v>0</v>
      </c>
      <c r="AC14" s="14">
        <f t="shared" si="34"/>
        <v>0</v>
      </c>
      <c r="AD14" s="14">
        <f t="shared" si="35"/>
        <v>0</v>
      </c>
      <c r="AE14" s="14">
        <f t="shared" si="36"/>
        <v>115200</v>
      </c>
      <c r="AF14" s="14">
        <f t="shared" si="37"/>
        <v>76800</v>
      </c>
      <c r="AG14" s="167"/>
      <c r="AH14" s="167"/>
      <c r="AI14" s="167"/>
      <c r="AJ14" s="167"/>
      <c r="AK14" s="167"/>
      <c r="AL14" s="167"/>
      <c r="AM14" s="167"/>
      <c r="AN14" s="167"/>
      <c r="AO14" s="167"/>
      <c r="AP14" s="167"/>
      <c r="AQ14" s="167"/>
      <c r="AR14" s="167"/>
      <c r="AS14" s="167"/>
      <c r="AT14" s="167"/>
      <c r="AU14" s="167"/>
      <c r="AV14" s="73">
        <v>7</v>
      </c>
      <c r="AW14" s="144">
        <v>40</v>
      </c>
      <c r="AX14" s="159">
        <f t="shared" si="38"/>
        <v>240</v>
      </c>
      <c r="AY14" s="159">
        <f t="shared" si="39"/>
        <v>60</v>
      </c>
      <c r="AZ14" s="159">
        <f t="shared" si="40"/>
        <v>0</v>
      </c>
      <c r="BA14" s="159">
        <f t="shared" si="41"/>
        <v>0</v>
      </c>
      <c r="BB14" s="159">
        <f t="shared" si="42"/>
        <v>0</v>
      </c>
      <c r="BC14" s="159">
        <f t="shared" si="43"/>
        <v>35.099999999999994</v>
      </c>
      <c r="BD14" s="159">
        <f t="shared" si="44"/>
        <v>0</v>
      </c>
      <c r="BE14" s="159">
        <f t="shared" si="45"/>
        <v>0</v>
      </c>
      <c r="BF14" s="159">
        <f t="shared" si="46"/>
        <v>0</v>
      </c>
      <c r="BH14" s="166">
        <v>8</v>
      </c>
      <c r="BI14" s="166">
        <v>120</v>
      </c>
      <c r="BJ14" s="166">
        <f t="shared" si="47"/>
        <v>11.46</v>
      </c>
      <c r="BK14" s="166" t="s">
        <v>1410</v>
      </c>
      <c r="BL14" s="166"/>
      <c r="BM14" s="166"/>
      <c r="BN14" s="166"/>
      <c r="BO14" s="166">
        <v>24</v>
      </c>
      <c r="BP14" s="166">
        <v>3</v>
      </c>
      <c r="BS14" s="14">
        <f t="shared" si="48"/>
        <v>0</v>
      </c>
      <c r="BT14" s="14">
        <f t="shared" si="49"/>
        <v>0</v>
      </c>
      <c r="BU14" s="14">
        <f t="shared" si="50"/>
        <v>0</v>
      </c>
      <c r="BV14" s="14">
        <f t="shared" si="51"/>
        <v>825</v>
      </c>
      <c r="BW14" s="14">
        <f t="shared" si="52"/>
        <v>103</v>
      </c>
      <c r="BZ14" s="166">
        <v>8</v>
      </c>
      <c r="CA14" s="166">
        <v>135</v>
      </c>
      <c r="CB14" s="166">
        <f t="shared" si="53"/>
        <v>18.54</v>
      </c>
      <c r="CC14" s="166" t="s">
        <v>1420</v>
      </c>
      <c r="CD14" s="166"/>
      <c r="CE14" s="166"/>
      <c r="CF14" s="166">
        <v>5</v>
      </c>
      <c r="CG14" s="166">
        <v>5</v>
      </c>
      <c r="CI14" s="14">
        <f t="shared" si="54"/>
        <v>0</v>
      </c>
      <c r="CJ14" s="14">
        <f t="shared" si="55"/>
        <v>0</v>
      </c>
      <c r="CK14" s="14">
        <f t="shared" si="56"/>
        <v>278.09999999999997</v>
      </c>
      <c r="CL14" s="14">
        <f t="shared" si="57"/>
        <v>278.09999999999997</v>
      </c>
      <c r="CN14" s="139">
        <v>8</v>
      </c>
      <c r="CO14" s="139" t="s">
        <v>535</v>
      </c>
      <c r="CP14" s="139">
        <f>金币总表!AO12</f>
        <v>4786900</v>
      </c>
      <c r="CS14" s="73">
        <v>9</v>
      </c>
      <c r="CT14" s="73">
        <v>2</v>
      </c>
      <c r="CU14" s="14" t="str">
        <f>INDEX(节奏总表!$BC$4:$BC$23,MATCH(挂机升级突破!CS14+1,节奏总表!$BF$4:$BF$22,1))</f>
        <v>众合+1</v>
      </c>
      <c r="CV14" s="73"/>
      <c r="CW14" s="14">
        <f>INDEX(节奏总表!$AY$4:$AY$55,挂机升级突破!CS14)</f>
        <v>40</v>
      </c>
      <c r="CX14" s="73"/>
      <c r="CY14" s="19">
        <v>0.1</v>
      </c>
      <c r="CZ14" s="73"/>
      <c r="DA14" s="73"/>
      <c r="DB14" s="73"/>
      <c r="DC14" s="19">
        <v>0.05</v>
      </c>
      <c r="DD14" s="73"/>
      <c r="DE14" s="73"/>
      <c r="DF14" s="73"/>
      <c r="DG14" s="73"/>
      <c r="DH14" s="139">
        <v>3</v>
      </c>
      <c r="DI14" s="19">
        <v>0.15</v>
      </c>
      <c r="DJ14" s="14">
        <f t="shared" si="15"/>
        <v>13351.5</v>
      </c>
      <c r="DL14" s="76">
        <v>9</v>
      </c>
      <c r="DM14" s="56">
        <v>2</v>
      </c>
      <c r="DN14" s="73" t="s">
        <v>526</v>
      </c>
      <c r="DO14" s="76">
        <v>9.0000000000000107</v>
      </c>
      <c r="DP14" s="14">
        <f t="shared" si="3"/>
        <v>40</v>
      </c>
      <c r="DQ14" s="104">
        <v>11</v>
      </c>
      <c r="DR14" s="104">
        <v>2</v>
      </c>
      <c r="DS14" s="30"/>
      <c r="DT14" s="14">
        <f t="shared" si="16"/>
        <v>0</v>
      </c>
      <c r="DU14" s="14">
        <f t="shared" si="17"/>
        <v>403</v>
      </c>
      <c r="DV14" s="14">
        <f t="shared" si="18"/>
        <v>0</v>
      </c>
      <c r="DW14" s="14">
        <f t="shared" si="19"/>
        <v>0</v>
      </c>
      <c r="DX14" s="14">
        <f t="shared" si="20"/>
        <v>0</v>
      </c>
      <c r="DY14" s="14">
        <f t="shared" si="21"/>
        <v>117</v>
      </c>
      <c r="DZ14" s="14">
        <f t="shared" si="22"/>
        <v>0</v>
      </c>
      <c r="EA14" s="14">
        <f t="shared" si="23"/>
        <v>0</v>
      </c>
      <c r="EB14" s="14">
        <f t="shared" si="24"/>
        <v>0</v>
      </c>
      <c r="EC14" s="14">
        <f t="shared" si="25"/>
        <v>0</v>
      </c>
      <c r="ED14" s="14">
        <f t="shared" si="6"/>
        <v>13351.5</v>
      </c>
      <c r="EF14" s="139">
        <v>8</v>
      </c>
      <c r="EG14" s="139" t="s">
        <v>528</v>
      </c>
      <c r="EH14" s="139">
        <v>52</v>
      </c>
      <c r="EI14" s="139">
        <v>5</v>
      </c>
      <c r="EJ14" s="139">
        <v>1</v>
      </c>
      <c r="EK14" s="19">
        <v>0.2</v>
      </c>
      <c r="EL14" s="192">
        <v>0.45</v>
      </c>
      <c r="EM14" s="139"/>
      <c r="EN14" s="139"/>
      <c r="EO14" s="139"/>
      <c r="EP14" s="139">
        <v>4</v>
      </c>
      <c r="EQ14" s="19">
        <v>0.3</v>
      </c>
      <c r="ER14" s="14">
        <f t="shared" si="58"/>
        <v>1056</v>
      </c>
      <c r="ES14" s="14">
        <f t="shared" si="59"/>
        <v>0</v>
      </c>
      <c r="ET14" s="14">
        <f t="shared" si="60"/>
        <v>0</v>
      </c>
      <c r="EU14" s="14">
        <f t="shared" si="61"/>
        <v>0</v>
      </c>
      <c r="EV14" s="14">
        <f>INDEX(金币总表!$AN$5:$AN$12,挂机升级突破!EP14)*挂机升级突破!EQ14</f>
        <v>57295.5</v>
      </c>
      <c r="EZ14" s="19">
        <v>0.26</v>
      </c>
      <c r="FA14" s="14">
        <f>INT(EY$12*EZ14)</f>
        <v>0</v>
      </c>
      <c r="FB14" s="30">
        <v>1.8</v>
      </c>
      <c r="FC14" s="14">
        <f t="shared" si="8"/>
        <v>0</v>
      </c>
    </row>
    <row r="15" spans="1:167" ht="16.5" x14ac:dyDescent="0.2">
      <c r="A15" s="73">
        <v>8</v>
      </c>
      <c r="B15" s="73">
        <v>4</v>
      </c>
      <c r="C15" s="73">
        <v>45</v>
      </c>
      <c r="D15" s="14">
        <f>节奏总表!AC12</f>
        <v>0.62999999999999989</v>
      </c>
      <c r="E15" s="14">
        <f>节奏总表!AD12</f>
        <v>3.46</v>
      </c>
      <c r="F15" s="14">
        <f>(节奏总表!N12+节奏总表!O12)*60</f>
        <v>2040</v>
      </c>
      <c r="G15" s="19">
        <v>1</v>
      </c>
      <c r="H15" s="19">
        <v>0.65</v>
      </c>
      <c r="I15" s="19">
        <v>0</v>
      </c>
      <c r="J15" s="19">
        <v>0</v>
      </c>
      <c r="K15" s="19">
        <v>0</v>
      </c>
      <c r="L15" s="19">
        <v>0.8</v>
      </c>
      <c r="M15" s="19">
        <v>0</v>
      </c>
      <c r="N15" s="19">
        <v>0</v>
      </c>
      <c r="O15" s="19">
        <v>0</v>
      </c>
      <c r="P15" s="19">
        <v>0</v>
      </c>
      <c r="Q15" s="14">
        <f>章节关卡!L13</f>
        <v>70</v>
      </c>
      <c r="R15" s="14">
        <f>章节关卡!I13</f>
        <v>45</v>
      </c>
      <c r="U15" s="14">
        <f t="shared" si="26"/>
        <v>170</v>
      </c>
      <c r="V15" s="14">
        <f t="shared" si="27"/>
        <v>55.25</v>
      </c>
      <c r="W15" s="14">
        <f t="shared" si="28"/>
        <v>0</v>
      </c>
      <c r="X15" s="14">
        <f t="shared" si="29"/>
        <v>0</v>
      </c>
      <c r="Y15" s="14">
        <f t="shared" si="30"/>
        <v>0</v>
      </c>
      <c r="Z15" s="14">
        <f t="shared" si="31"/>
        <v>20.399999999999999</v>
      </c>
      <c r="AA15" s="14">
        <f t="shared" si="32"/>
        <v>0</v>
      </c>
      <c r="AB15" s="14">
        <f t="shared" si="33"/>
        <v>0</v>
      </c>
      <c r="AC15" s="14">
        <f t="shared" si="34"/>
        <v>0</v>
      </c>
      <c r="AD15" s="14">
        <f t="shared" si="35"/>
        <v>0</v>
      </c>
      <c r="AE15" s="14">
        <f t="shared" si="36"/>
        <v>142800</v>
      </c>
      <c r="AF15" s="14">
        <f t="shared" si="37"/>
        <v>91800</v>
      </c>
      <c r="AG15" s="167"/>
      <c r="AH15" s="167"/>
      <c r="AI15" s="167"/>
      <c r="AJ15" s="167"/>
      <c r="AK15" s="167"/>
      <c r="AL15" s="167"/>
      <c r="AM15" s="167"/>
      <c r="AN15" s="167"/>
      <c r="AO15" s="167"/>
      <c r="AP15" s="167"/>
      <c r="AQ15" s="167"/>
      <c r="AR15" s="167"/>
      <c r="AS15" s="167"/>
      <c r="AT15" s="167"/>
      <c r="AU15" s="167"/>
      <c r="AV15" s="73">
        <v>8</v>
      </c>
      <c r="AW15" s="144">
        <v>45</v>
      </c>
      <c r="AX15" s="159">
        <f t="shared" si="38"/>
        <v>240</v>
      </c>
      <c r="AY15" s="159">
        <f t="shared" si="39"/>
        <v>78</v>
      </c>
      <c r="AZ15" s="159">
        <f t="shared" si="40"/>
        <v>0</v>
      </c>
      <c r="BA15" s="159">
        <f t="shared" si="41"/>
        <v>0</v>
      </c>
      <c r="BB15" s="159">
        <f t="shared" si="42"/>
        <v>0</v>
      </c>
      <c r="BC15" s="159">
        <f t="shared" si="43"/>
        <v>43.2</v>
      </c>
      <c r="BD15" s="159">
        <f t="shared" si="44"/>
        <v>0</v>
      </c>
      <c r="BE15" s="159">
        <f t="shared" si="45"/>
        <v>0</v>
      </c>
      <c r="BF15" s="159">
        <f t="shared" si="46"/>
        <v>0</v>
      </c>
      <c r="BH15" s="166">
        <v>9</v>
      </c>
      <c r="BI15" s="166">
        <v>135</v>
      </c>
      <c r="BJ15" s="166">
        <f t="shared" si="47"/>
        <v>18.54</v>
      </c>
      <c r="BK15" s="166" t="s">
        <v>1411</v>
      </c>
      <c r="BL15" s="166"/>
      <c r="BM15" s="166"/>
      <c r="BN15" s="166"/>
      <c r="BO15" s="166">
        <v>12</v>
      </c>
      <c r="BP15" s="166">
        <v>12</v>
      </c>
      <c r="BS15" s="14">
        <f t="shared" si="48"/>
        <v>0</v>
      </c>
      <c r="BT15" s="14">
        <f t="shared" si="49"/>
        <v>0</v>
      </c>
      <c r="BU15" s="14">
        <f t="shared" si="50"/>
        <v>0</v>
      </c>
      <c r="BV15" s="14">
        <f t="shared" si="51"/>
        <v>667</v>
      </c>
      <c r="BW15" s="14">
        <f t="shared" si="52"/>
        <v>667</v>
      </c>
      <c r="CA15" s="85">
        <v>150</v>
      </c>
      <c r="CI15" s="14">
        <f>SUM(CI7:CI14)</f>
        <v>844.86000000000013</v>
      </c>
      <c r="CJ15" s="14">
        <f t="shared" ref="CJ15:CL15" si="64">SUM(CJ7:CJ14)</f>
        <v>956.99999999999989</v>
      </c>
      <c r="CK15" s="14">
        <f t="shared" si="64"/>
        <v>946.65000000000009</v>
      </c>
      <c r="CL15" s="14">
        <f t="shared" si="64"/>
        <v>364.85999999999996</v>
      </c>
      <c r="CS15" s="73">
        <v>10</v>
      </c>
      <c r="CT15" s="73">
        <v>1</v>
      </c>
      <c r="CU15" s="14" t="str">
        <f>INDEX(节奏总表!$BC$4:$BC$23,MATCH(挂机升级突破!CS15+1,节奏总表!$BF$4:$BF$22,1))</f>
        <v>众合+2</v>
      </c>
      <c r="CV15" s="73"/>
      <c r="CW15" s="14">
        <f>INDEX(节奏总表!$AY$4:$AY$55,挂机升级突破!CS15)</f>
        <v>43</v>
      </c>
      <c r="CX15" s="73"/>
      <c r="CY15" s="19">
        <v>0.15</v>
      </c>
      <c r="CZ15" s="73"/>
      <c r="DA15" s="73"/>
      <c r="DB15" s="73"/>
      <c r="DC15" s="19">
        <v>0.1</v>
      </c>
      <c r="DD15" s="73"/>
      <c r="DE15" s="73"/>
      <c r="DF15" s="73"/>
      <c r="DG15" s="73"/>
      <c r="DH15" s="139">
        <v>3</v>
      </c>
      <c r="DI15" s="19">
        <v>0.25</v>
      </c>
      <c r="DJ15" s="14">
        <f t="shared" si="15"/>
        <v>22252.5</v>
      </c>
      <c r="DL15" s="76">
        <v>10</v>
      </c>
      <c r="DM15" s="56">
        <v>1</v>
      </c>
      <c r="DN15" s="73" t="s">
        <v>512</v>
      </c>
      <c r="DO15" s="76">
        <v>9.0000000000000107</v>
      </c>
      <c r="DP15" s="14">
        <f t="shared" si="3"/>
        <v>43</v>
      </c>
      <c r="DQ15" s="104">
        <v>11</v>
      </c>
      <c r="DR15" s="104">
        <v>2</v>
      </c>
      <c r="DS15" s="30"/>
      <c r="DT15" s="14">
        <f t="shared" si="16"/>
        <v>0</v>
      </c>
      <c r="DU15" s="14">
        <f t="shared" si="17"/>
        <v>605</v>
      </c>
      <c r="DV15" s="14">
        <f t="shared" si="18"/>
        <v>0</v>
      </c>
      <c r="DW15" s="14">
        <f t="shared" si="19"/>
        <v>0</v>
      </c>
      <c r="DX15" s="14">
        <f t="shared" si="20"/>
        <v>0</v>
      </c>
      <c r="DY15" s="14">
        <f t="shared" si="21"/>
        <v>235</v>
      </c>
      <c r="DZ15" s="14">
        <f t="shared" si="22"/>
        <v>0</v>
      </c>
      <c r="EA15" s="14">
        <f t="shared" si="23"/>
        <v>0</v>
      </c>
      <c r="EB15" s="14">
        <f t="shared" si="24"/>
        <v>0</v>
      </c>
      <c r="EC15" s="14">
        <f t="shared" si="25"/>
        <v>0</v>
      </c>
      <c r="ED15" s="14">
        <f t="shared" si="6"/>
        <v>22252.5</v>
      </c>
      <c r="EF15" s="139">
        <v>9</v>
      </c>
      <c r="EG15" s="139" t="s">
        <v>489</v>
      </c>
      <c r="EH15" s="139">
        <v>57</v>
      </c>
      <c r="EI15" s="139">
        <v>5</v>
      </c>
      <c r="EJ15" s="139">
        <v>2</v>
      </c>
      <c r="EK15" s="19">
        <v>0.2</v>
      </c>
      <c r="EL15" s="192"/>
      <c r="EM15" s="19">
        <v>0.15</v>
      </c>
      <c r="EN15" s="139"/>
      <c r="EO15" s="139"/>
      <c r="EP15" s="139">
        <v>4</v>
      </c>
      <c r="EQ15" s="19">
        <v>0.4</v>
      </c>
      <c r="ER15" s="14">
        <f t="shared" si="58"/>
        <v>0</v>
      </c>
      <c r="ES15" s="14">
        <f t="shared" si="59"/>
        <v>346</v>
      </c>
      <c r="ET15" s="14">
        <f t="shared" si="60"/>
        <v>0</v>
      </c>
      <c r="EU15" s="14">
        <f t="shared" si="61"/>
        <v>0</v>
      </c>
      <c r="EV15" s="14">
        <f>INDEX(金币总表!$AN$5:$AN$12,挂机升级突破!EP15)*挂机升级突破!EQ15</f>
        <v>76394</v>
      </c>
      <c r="EZ15" s="19">
        <v>0.28000000000000003</v>
      </c>
      <c r="FA15" s="14">
        <f>INT(EY$12*EZ15)</f>
        <v>0</v>
      </c>
      <c r="FB15" s="30">
        <v>1.8</v>
      </c>
      <c r="FC15" s="14">
        <f t="shared" si="8"/>
        <v>0</v>
      </c>
    </row>
    <row r="16" spans="1:167" ht="16.5" x14ac:dyDescent="0.2">
      <c r="A16" s="73">
        <v>9</v>
      </c>
      <c r="B16" s="73">
        <v>4</v>
      </c>
      <c r="C16" s="73">
        <v>50</v>
      </c>
      <c r="D16" s="14">
        <f>节奏总表!AC13</f>
        <v>0.71</v>
      </c>
      <c r="E16" s="14">
        <f>节奏总表!AD13</f>
        <v>4.17</v>
      </c>
      <c r="F16" s="14">
        <f>(节奏总表!N13+节奏总表!O13)*60</f>
        <v>2280</v>
      </c>
      <c r="G16" s="19">
        <v>1</v>
      </c>
      <c r="H16" s="19">
        <v>0.8</v>
      </c>
      <c r="I16" s="19">
        <v>0</v>
      </c>
      <c r="J16" s="19">
        <v>0</v>
      </c>
      <c r="K16" s="19">
        <v>0</v>
      </c>
      <c r="L16" s="19">
        <v>1</v>
      </c>
      <c r="M16" s="19">
        <v>0</v>
      </c>
      <c r="N16" s="19">
        <v>0</v>
      </c>
      <c r="O16" s="19">
        <v>0</v>
      </c>
      <c r="P16" s="19">
        <v>0</v>
      </c>
      <c r="Q16" s="14">
        <f>章节关卡!L14</f>
        <v>80</v>
      </c>
      <c r="R16" s="14">
        <f>章节关卡!I14</f>
        <v>50</v>
      </c>
      <c r="U16" s="14">
        <f t="shared" si="26"/>
        <v>190</v>
      </c>
      <c r="V16" s="14">
        <f t="shared" si="27"/>
        <v>76</v>
      </c>
      <c r="W16" s="14">
        <f t="shared" si="28"/>
        <v>0</v>
      </c>
      <c r="X16" s="14">
        <f t="shared" si="29"/>
        <v>0</v>
      </c>
      <c r="Y16" s="14">
        <f t="shared" si="30"/>
        <v>0</v>
      </c>
      <c r="Z16" s="14">
        <f t="shared" si="31"/>
        <v>28.5</v>
      </c>
      <c r="AA16" s="14">
        <f t="shared" si="32"/>
        <v>0</v>
      </c>
      <c r="AB16" s="14">
        <f t="shared" si="33"/>
        <v>0</v>
      </c>
      <c r="AC16" s="14">
        <f t="shared" si="34"/>
        <v>0</v>
      </c>
      <c r="AD16" s="14">
        <f t="shared" si="35"/>
        <v>0</v>
      </c>
      <c r="AE16" s="14">
        <f t="shared" si="36"/>
        <v>182400</v>
      </c>
      <c r="AF16" s="14">
        <f t="shared" si="37"/>
        <v>114000</v>
      </c>
      <c r="AG16" s="167"/>
      <c r="AH16" s="167"/>
      <c r="AI16" s="167"/>
      <c r="AJ16" s="167"/>
      <c r="AK16" s="167"/>
      <c r="AL16" s="167"/>
      <c r="AM16" s="167"/>
      <c r="AN16" s="167"/>
      <c r="AO16" s="167"/>
      <c r="AP16" s="167"/>
      <c r="AQ16" s="167"/>
      <c r="AR16" s="167"/>
      <c r="AS16" s="167"/>
      <c r="AT16" s="167"/>
      <c r="AU16" s="167"/>
      <c r="AV16" s="73">
        <v>9</v>
      </c>
      <c r="AW16" s="144">
        <v>50</v>
      </c>
      <c r="AX16" s="159">
        <f t="shared" si="38"/>
        <v>240</v>
      </c>
      <c r="AY16" s="159">
        <f t="shared" si="39"/>
        <v>96</v>
      </c>
      <c r="AZ16" s="159">
        <f t="shared" si="40"/>
        <v>0</v>
      </c>
      <c r="BA16" s="159">
        <f t="shared" si="41"/>
        <v>0</v>
      </c>
      <c r="BB16" s="159">
        <f t="shared" si="42"/>
        <v>0</v>
      </c>
      <c r="BC16" s="159">
        <f t="shared" si="43"/>
        <v>54</v>
      </c>
      <c r="BD16" s="159">
        <f t="shared" si="44"/>
        <v>0</v>
      </c>
      <c r="BE16" s="159">
        <f t="shared" si="45"/>
        <v>0</v>
      </c>
      <c r="BF16" s="159">
        <f t="shared" si="46"/>
        <v>0</v>
      </c>
      <c r="BH16" s="167"/>
      <c r="BI16" s="167">
        <v>150</v>
      </c>
      <c r="BJ16" s="167"/>
      <c r="BK16" s="167"/>
      <c r="BL16" s="167"/>
      <c r="BM16" s="167"/>
      <c r="BN16" s="167"/>
      <c r="BO16" s="167"/>
      <c r="BP16" s="167"/>
      <c r="BS16" s="14">
        <f>SUM(BS7:BS15)</f>
        <v>2557</v>
      </c>
      <c r="BT16" s="14">
        <f t="shared" ref="BT16:BW16" si="65">SUM(BT7:BT15)</f>
        <v>2828</v>
      </c>
      <c r="BU16" s="14">
        <f t="shared" si="65"/>
        <v>2330</v>
      </c>
      <c r="BV16" s="14">
        <f t="shared" si="65"/>
        <v>2015</v>
      </c>
      <c r="BW16" s="14">
        <f t="shared" si="65"/>
        <v>770</v>
      </c>
      <c r="CS16" s="73">
        <v>11</v>
      </c>
      <c r="CT16" s="73">
        <v>2</v>
      </c>
      <c r="CU16" s="14" t="str">
        <f>INDEX(节奏总表!$BC$4:$BC$23,MATCH(挂机升级突破!CS16+1,节奏总表!$BF$4:$BF$22,1))</f>
        <v>众合+2</v>
      </c>
      <c r="CV16" s="73"/>
      <c r="CW16" s="14">
        <f>INDEX(节奏总表!$AY$4:$AY$55,挂机升级突破!CS16)</f>
        <v>45</v>
      </c>
      <c r="CX16" s="73"/>
      <c r="CY16" s="19">
        <v>0.15</v>
      </c>
      <c r="CZ16" s="73"/>
      <c r="DA16" s="73"/>
      <c r="DB16" s="73"/>
      <c r="DC16" s="19">
        <v>0.1</v>
      </c>
      <c r="DD16" s="73"/>
      <c r="DE16" s="73"/>
      <c r="DF16" s="73"/>
      <c r="DG16" s="73"/>
      <c r="DH16" s="139">
        <v>3</v>
      </c>
      <c r="DI16" s="19">
        <v>0.25</v>
      </c>
      <c r="DJ16" s="14">
        <f t="shared" si="15"/>
        <v>22252.5</v>
      </c>
      <c r="DL16" s="76">
        <v>11</v>
      </c>
      <c r="DM16" s="56">
        <v>2</v>
      </c>
      <c r="DN16" s="73" t="s">
        <v>512</v>
      </c>
      <c r="DO16" s="76">
        <v>9.0000000000000107</v>
      </c>
      <c r="DP16" s="14">
        <f t="shared" si="3"/>
        <v>45</v>
      </c>
      <c r="DQ16" s="104">
        <v>11</v>
      </c>
      <c r="DR16" s="104">
        <v>2</v>
      </c>
      <c r="DS16" s="30"/>
      <c r="DT16" s="14">
        <f t="shared" si="16"/>
        <v>0</v>
      </c>
      <c r="DU16" s="14">
        <f t="shared" si="17"/>
        <v>605</v>
      </c>
      <c r="DV16" s="14">
        <f t="shared" si="18"/>
        <v>0</v>
      </c>
      <c r="DW16" s="14">
        <f t="shared" si="19"/>
        <v>0</v>
      </c>
      <c r="DX16" s="14">
        <f t="shared" si="20"/>
        <v>0</v>
      </c>
      <c r="DY16" s="14">
        <f t="shared" si="21"/>
        <v>235</v>
      </c>
      <c r="DZ16" s="14">
        <f t="shared" si="22"/>
        <v>0</v>
      </c>
      <c r="EA16" s="14">
        <f t="shared" si="23"/>
        <v>0</v>
      </c>
      <c r="EB16" s="14">
        <f t="shared" si="24"/>
        <v>0</v>
      </c>
      <c r="EC16" s="14">
        <f t="shared" si="25"/>
        <v>0</v>
      </c>
      <c r="ED16" s="14">
        <f t="shared" si="6"/>
        <v>22252.5</v>
      </c>
      <c r="EF16" s="139">
        <v>10</v>
      </c>
      <c r="EG16" s="139" t="s">
        <v>529</v>
      </c>
      <c r="EH16" s="139">
        <v>65</v>
      </c>
      <c r="EI16" s="139">
        <v>5</v>
      </c>
      <c r="EJ16" s="139">
        <v>2</v>
      </c>
      <c r="EK16" s="19">
        <v>0.2</v>
      </c>
      <c r="EL16" s="192"/>
      <c r="EM16" s="19">
        <v>0.21</v>
      </c>
      <c r="EN16" s="139"/>
      <c r="EO16" s="139"/>
      <c r="EP16" s="139">
        <v>5</v>
      </c>
      <c r="EQ16" s="19">
        <v>0.3</v>
      </c>
      <c r="ER16" s="14">
        <f t="shared" si="58"/>
        <v>0</v>
      </c>
      <c r="ES16" s="14">
        <f t="shared" si="59"/>
        <v>484</v>
      </c>
      <c r="ET16" s="14">
        <f t="shared" si="60"/>
        <v>0</v>
      </c>
      <c r="EU16" s="14">
        <f t="shared" si="61"/>
        <v>0</v>
      </c>
      <c r="EV16" s="14">
        <f>INDEX(金币总表!$AN$5:$AN$12,挂机升级突破!EP16)*挂机升级突破!EQ16</f>
        <v>131730</v>
      </c>
      <c r="EY16" s="14">
        <f>金币总表!P43</f>
        <v>0</v>
      </c>
      <c r="EZ16" s="19">
        <v>0.15</v>
      </c>
      <c r="FA16" s="14">
        <f>INT(EY$16*EZ16)</f>
        <v>0</v>
      </c>
      <c r="FB16" s="30">
        <v>2</v>
      </c>
      <c r="FC16" s="14">
        <f t="shared" si="8"/>
        <v>0</v>
      </c>
    </row>
    <row r="17" spans="1:159" ht="16.5" x14ac:dyDescent="0.2">
      <c r="A17" s="73">
        <v>10</v>
      </c>
      <c r="B17" s="73">
        <v>4</v>
      </c>
      <c r="C17" s="73">
        <v>55</v>
      </c>
      <c r="D17" s="14">
        <f>节奏总表!AC14</f>
        <v>0.83000000000000007</v>
      </c>
      <c r="E17" s="14">
        <f>节奏总表!AD14</f>
        <v>5</v>
      </c>
      <c r="F17" s="14">
        <f>(节奏总表!N14+节奏总表!O14)*60</f>
        <v>2640</v>
      </c>
      <c r="G17" s="19">
        <v>1</v>
      </c>
      <c r="H17" s="19">
        <v>1</v>
      </c>
      <c r="I17" s="19">
        <v>0</v>
      </c>
      <c r="J17" s="19">
        <v>0</v>
      </c>
      <c r="K17" s="19">
        <v>0</v>
      </c>
      <c r="L17" s="19">
        <v>0.8</v>
      </c>
      <c r="M17" s="19">
        <v>0.2</v>
      </c>
      <c r="N17" s="19">
        <v>0</v>
      </c>
      <c r="O17" s="19">
        <v>0</v>
      </c>
      <c r="P17" s="19">
        <v>0</v>
      </c>
      <c r="Q17" s="14">
        <f>章节关卡!L15</f>
        <v>90</v>
      </c>
      <c r="R17" s="14">
        <f>章节关卡!I15</f>
        <v>55</v>
      </c>
      <c r="U17" s="14">
        <f t="shared" si="26"/>
        <v>220</v>
      </c>
      <c r="V17" s="14">
        <f t="shared" si="27"/>
        <v>110</v>
      </c>
      <c r="W17" s="14">
        <f t="shared" si="28"/>
        <v>0</v>
      </c>
      <c r="X17" s="14">
        <f t="shared" si="29"/>
        <v>0</v>
      </c>
      <c r="Y17" s="14">
        <f t="shared" si="30"/>
        <v>0</v>
      </c>
      <c r="Z17" s="14">
        <f t="shared" si="31"/>
        <v>26.4</v>
      </c>
      <c r="AA17" s="14">
        <f t="shared" si="32"/>
        <v>2.64</v>
      </c>
      <c r="AB17" s="14">
        <f t="shared" si="33"/>
        <v>0</v>
      </c>
      <c r="AC17" s="14">
        <f t="shared" si="34"/>
        <v>0</v>
      </c>
      <c r="AD17" s="14">
        <f t="shared" si="35"/>
        <v>0</v>
      </c>
      <c r="AE17" s="14">
        <f t="shared" si="36"/>
        <v>237600</v>
      </c>
      <c r="AF17" s="14">
        <f t="shared" si="37"/>
        <v>145200</v>
      </c>
      <c r="AG17" s="167"/>
      <c r="AH17" s="167"/>
      <c r="AI17" s="167"/>
      <c r="AJ17" s="167"/>
      <c r="AK17" s="167"/>
      <c r="AL17" s="167"/>
      <c r="AM17" s="167"/>
      <c r="AN17" s="167"/>
      <c r="AO17" s="167"/>
      <c r="AP17" s="167"/>
      <c r="AQ17" s="167"/>
      <c r="AR17" s="167"/>
      <c r="AS17" s="167"/>
      <c r="AT17" s="167"/>
      <c r="AU17" s="167"/>
      <c r="AV17" s="73">
        <v>10</v>
      </c>
      <c r="AW17" s="144">
        <v>55</v>
      </c>
      <c r="AX17" s="159">
        <f t="shared" si="38"/>
        <v>240</v>
      </c>
      <c r="AY17" s="159">
        <f t="shared" si="39"/>
        <v>120</v>
      </c>
      <c r="AZ17" s="159">
        <f t="shared" si="40"/>
        <v>0</v>
      </c>
      <c r="BA17" s="159">
        <f t="shared" si="41"/>
        <v>0</v>
      </c>
      <c r="BB17" s="159">
        <f t="shared" si="42"/>
        <v>0</v>
      </c>
      <c r="BC17" s="159">
        <f t="shared" si="43"/>
        <v>43.2</v>
      </c>
      <c r="BD17" s="159">
        <f t="shared" si="44"/>
        <v>4.32</v>
      </c>
      <c r="BE17" s="159">
        <f t="shared" si="45"/>
        <v>0</v>
      </c>
      <c r="BF17" s="159">
        <f t="shared" si="46"/>
        <v>0</v>
      </c>
      <c r="BH17" s="167"/>
      <c r="BI17" s="167"/>
      <c r="BJ17" s="167"/>
      <c r="BK17" s="167"/>
      <c r="BL17" s="167"/>
      <c r="BM17" s="167"/>
      <c r="BN17" s="167"/>
      <c r="BO17" s="167"/>
      <c r="BP17" s="167"/>
      <c r="CS17" s="73">
        <v>12</v>
      </c>
      <c r="CT17" s="73">
        <v>1</v>
      </c>
      <c r="CU17" s="14" t="str">
        <f>INDEX(节奏总表!$BC$4:$BC$23,MATCH(挂机升级突破!CS17+1,节奏总表!$BF$4:$BF$22,1))</f>
        <v>叫唤</v>
      </c>
      <c r="CV17" s="73"/>
      <c r="CW17" s="14">
        <f>INDEX(节奏总表!$AY$4:$AY$55,挂机升级突破!CS17)</f>
        <v>48</v>
      </c>
      <c r="CX17" s="73"/>
      <c r="CY17" s="19">
        <v>0.2</v>
      </c>
      <c r="CZ17" s="73"/>
      <c r="DA17" s="73"/>
      <c r="DB17" s="73"/>
      <c r="DC17" s="19">
        <v>0.12</v>
      </c>
      <c r="DD17" s="73"/>
      <c r="DE17" s="73"/>
      <c r="DF17" s="73"/>
      <c r="DG17" s="73"/>
      <c r="DH17" s="139">
        <v>4</v>
      </c>
      <c r="DI17" s="19">
        <v>0.1</v>
      </c>
      <c r="DJ17" s="14">
        <f t="shared" si="15"/>
        <v>19098.5</v>
      </c>
      <c r="DL17" s="76">
        <v>12</v>
      </c>
      <c r="DM17" s="56">
        <v>1</v>
      </c>
      <c r="DN17" s="73" t="s">
        <v>527</v>
      </c>
      <c r="DO17" s="76">
        <v>9.0000000000000107</v>
      </c>
      <c r="DP17" s="14">
        <f t="shared" si="3"/>
        <v>48</v>
      </c>
      <c r="DQ17" s="104">
        <v>11</v>
      </c>
      <c r="DR17" s="104">
        <v>2</v>
      </c>
      <c r="DS17" s="30"/>
      <c r="DT17" s="14">
        <f t="shared" si="16"/>
        <v>0</v>
      </c>
      <c r="DU17" s="14">
        <f t="shared" si="17"/>
        <v>806</v>
      </c>
      <c r="DV17" s="14">
        <f t="shared" si="18"/>
        <v>0</v>
      </c>
      <c r="DW17" s="14">
        <f t="shared" si="19"/>
        <v>0</v>
      </c>
      <c r="DX17" s="14">
        <f t="shared" si="20"/>
        <v>0</v>
      </c>
      <c r="DY17" s="14">
        <f t="shared" si="21"/>
        <v>282</v>
      </c>
      <c r="DZ17" s="14">
        <f t="shared" si="22"/>
        <v>0</v>
      </c>
      <c r="EA17" s="14">
        <f t="shared" si="23"/>
        <v>0</v>
      </c>
      <c r="EB17" s="14">
        <f t="shared" si="24"/>
        <v>0</v>
      </c>
      <c r="EC17" s="14">
        <f t="shared" si="25"/>
        <v>0</v>
      </c>
      <c r="ED17" s="14">
        <f t="shared" si="6"/>
        <v>19098.5</v>
      </c>
      <c r="EF17" s="139">
        <v>11</v>
      </c>
      <c r="EG17" s="139" t="s">
        <v>530</v>
      </c>
      <c r="EH17" s="139">
        <v>72</v>
      </c>
      <c r="EI17" s="139">
        <v>5</v>
      </c>
      <c r="EJ17" s="139">
        <v>2</v>
      </c>
      <c r="EK17" s="19">
        <v>0.2</v>
      </c>
      <c r="EL17" s="192"/>
      <c r="EM17" s="19">
        <v>0.28000000000000003</v>
      </c>
      <c r="EN17" s="139"/>
      <c r="EO17" s="139"/>
      <c r="EP17" s="139">
        <v>5</v>
      </c>
      <c r="EQ17" s="19">
        <v>0.3</v>
      </c>
      <c r="ER17" s="14">
        <f t="shared" si="58"/>
        <v>0</v>
      </c>
      <c r="ES17" s="14">
        <f t="shared" si="59"/>
        <v>645</v>
      </c>
      <c r="ET17" s="14">
        <f t="shared" si="60"/>
        <v>0</v>
      </c>
      <c r="EU17" s="14">
        <f t="shared" si="61"/>
        <v>0</v>
      </c>
      <c r="EV17" s="14">
        <f>INDEX(金币总表!$AN$5:$AN$12,挂机升级突破!EP17)*挂机升级突破!EQ17</f>
        <v>131730</v>
      </c>
      <c r="EZ17" s="19">
        <v>0.22</v>
      </c>
      <c r="FA17" s="14">
        <f>INT(EY$16*EZ17)</f>
        <v>0</v>
      </c>
      <c r="FB17" s="30">
        <v>2.2000000000000002</v>
      </c>
      <c r="FC17" s="14">
        <f t="shared" si="8"/>
        <v>0</v>
      </c>
    </row>
    <row r="18" spans="1:159" ht="16.5" x14ac:dyDescent="0.2">
      <c r="A18" s="73">
        <v>11</v>
      </c>
      <c r="B18" s="73">
        <v>4</v>
      </c>
      <c r="C18" s="73">
        <v>60</v>
      </c>
      <c r="D18" s="14">
        <f>节奏总表!AC15</f>
        <v>0.94000000000000039</v>
      </c>
      <c r="E18" s="14">
        <f>节奏总表!AD15</f>
        <v>5.94</v>
      </c>
      <c r="F18" s="14">
        <f>(节奏总表!N15+节奏总表!O15)*60</f>
        <v>2940</v>
      </c>
      <c r="G18" s="19">
        <v>1</v>
      </c>
      <c r="H18" s="19">
        <v>1</v>
      </c>
      <c r="I18" s="19">
        <v>0.2</v>
      </c>
      <c r="J18" s="19">
        <v>0</v>
      </c>
      <c r="K18" s="19">
        <v>0</v>
      </c>
      <c r="L18" s="19">
        <v>0.65</v>
      </c>
      <c r="M18" s="19">
        <v>0.35</v>
      </c>
      <c r="N18" s="19">
        <v>0</v>
      </c>
      <c r="O18" s="19">
        <v>0</v>
      </c>
      <c r="P18" s="19">
        <v>0</v>
      </c>
      <c r="Q18" s="14">
        <f>章节关卡!L16</f>
        <v>100</v>
      </c>
      <c r="R18" s="14">
        <f>章节关卡!I16</f>
        <v>60</v>
      </c>
      <c r="U18" s="14">
        <f t="shared" si="26"/>
        <v>245</v>
      </c>
      <c r="V18" s="14">
        <f t="shared" si="27"/>
        <v>122.5</v>
      </c>
      <c r="W18" s="14">
        <f t="shared" si="28"/>
        <v>9.8000000000000007</v>
      </c>
      <c r="X18" s="14">
        <f t="shared" si="29"/>
        <v>0</v>
      </c>
      <c r="Y18" s="14">
        <f t="shared" si="30"/>
        <v>0</v>
      </c>
      <c r="Z18" s="14">
        <f t="shared" si="31"/>
        <v>23.887499999999999</v>
      </c>
      <c r="AA18" s="14">
        <f t="shared" si="32"/>
        <v>5.1450000000000005</v>
      </c>
      <c r="AB18" s="14">
        <f t="shared" si="33"/>
        <v>0</v>
      </c>
      <c r="AC18" s="14">
        <f t="shared" si="34"/>
        <v>0</v>
      </c>
      <c r="AD18" s="14">
        <f t="shared" si="35"/>
        <v>0</v>
      </c>
      <c r="AE18" s="14">
        <f t="shared" si="36"/>
        <v>294000</v>
      </c>
      <c r="AF18" s="14">
        <f t="shared" si="37"/>
        <v>176400</v>
      </c>
      <c r="AG18" s="167"/>
      <c r="AH18" s="167"/>
      <c r="AI18" s="167"/>
      <c r="AJ18" s="167"/>
      <c r="AK18" s="167"/>
      <c r="AL18" s="167"/>
      <c r="AM18" s="167"/>
      <c r="AN18" s="167"/>
      <c r="AO18" s="167"/>
      <c r="AP18" s="167"/>
      <c r="AQ18" s="167"/>
      <c r="AR18" s="167"/>
      <c r="AS18" s="167"/>
      <c r="AT18" s="167"/>
      <c r="AU18" s="167"/>
      <c r="AV18" s="73">
        <v>11</v>
      </c>
      <c r="AW18" s="144">
        <v>60</v>
      </c>
      <c r="AX18" s="159">
        <f t="shared" si="38"/>
        <v>240</v>
      </c>
      <c r="AY18" s="159">
        <f t="shared" si="39"/>
        <v>120</v>
      </c>
      <c r="AZ18" s="159">
        <f t="shared" si="40"/>
        <v>9.6000000000000014</v>
      </c>
      <c r="BA18" s="159">
        <f t="shared" si="41"/>
        <v>0</v>
      </c>
      <c r="BB18" s="159">
        <f t="shared" si="42"/>
        <v>0</v>
      </c>
      <c r="BC18" s="159">
        <f t="shared" si="43"/>
        <v>35.099999999999994</v>
      </c>
      <c r="BD18" s="159">
        <f t="shared" si="44"/>
        <v>7.5600000000000005</v>
      </c>
      <c r="BE18" s="159">
        <f t="shared" si="45"/>
        <v>0</v>
      </c>
      <c r="BF18" s="159">
        <f t="shared" si="46"/>
        <v>0</v>
      </c>
      <c r="BH18" s="167"/>
      <c r="BI18" s="167"/>
      <c r="BJ18" s="167"/>
      <c r="BK18" s="167"/>
      <c r="BL18" s="167"/>
      <c r="BM18" s="167"/>
      <c r="BN18" s="167"/>
      <c r="BO18" s="167"/>
      <c r="BP18" s="167"/>
      <c r="CS18" s="73">
        <v>13</v>
      </c>
      <c r="CT18" s="73">
        <v>2</v>
      </c>
      <c r="CU18" s="14" t="str">
        <f>INDEX(节奏总表!$BC$4:$BC$23,MATCH(挂机升级突破!CS18+1,节奏总表!$BF$4:$BF$22,1))</f>
        <v>叫唤</v>
      </c>
      <c r="CV18" s="73"/>
      <c r="CW18" s="14">
        <f>INDEX(节奏总表!$AY$4:$AY$55,挂机升级突破!CS18)</f>
        <v>50</v>
      </c>
      <c r="CX18" s="73"/>
      <c r="CY18" s="19">
        <v>0.2</v>
      </c>
      <c r="CZ18" s="73"/>
      <c r="DA18" s="73"/>
      <c r="DB18" s="73"/>
      <c r="DC18" s="19">
        <v>0.12</v>
      </c>
      <c r="DD18" s="73"/>
      <c r="DE18" s="73"/>
      <c r="DF18" s="73"/>
      <c r="DG18" s="73"/>
      <c r="DH18" s="139">
        <v>4</v>
      </c>
      <c r="DI18" s="19">
        <v>0.1</v>
      </c>
      <c r="DJ18" s="14">
        <f t="shared" si="15"/>
        <v>19098.5</v>
      </c>
      <c r="DL18" s="76">
        <v>13</v>
      </c>
      <c r="DM18" s="56">
        <v>2</v>
      </c>
      <c r="DN18" s="73" t="s">
        <v>527</v>
      </c>
      <c r="DO18" s="76">
        <v>9.0000000000000107</v>
      </c>
      <c r="DP18" s="14">
        <f t="shared" si="3"/>
        <v>50</v>
      </c>
      <c r="DQ18" s="104">
        <v>11</v>
      </c>
      <c r="DR18" s="104">
        <v>2</v>
      </c>
      <c r="DS18" s="30"/>
      <c r="DT18" s="14">
        <f t="shared" si="16"/>
        <v>0</v>
      </c>
      <c r="DU18" s="14">
        <f t="shared" si="17"/>
        <v>806</v>
      </c>
      <c r="DV18" s="14">
        <f t="shared" si="18"/>
        <v>0</v>
      </c>
      <c r="DW18" s="14">
        <f t="shared" si="19"/>
        <v>0</v>
      </c>
      <c r="DX18" s="14">
        <f t="shared" si="20"/>
        <v>0</v>
      </c>
      <c r="DY18" s="14">
        <f t="shared" si="21"/>
        <v>282</v>
      </c>
      <c r="DZ18" s="14">
        <f t="shared" si="22"/>
        <v>0</v>
      </c>
      <c r="EA18" s="14">
        <f t="shared" si="23"/>
        <v>0</v>
      </c>
      <c r="EB18" s="14">
        <f t="shared" si="24"/>
        <v>0</v>
      </c>
      <c r="EC18" s="14">
        <f t="shared" si="25"/>
        <v>0</v>
      </c>
      <c r="ED18" s="14">
        <f t="shared" si="6"/>
        <v>19098.5</v>
      </c>
      <c r="EF18" s="139">
        <v>12</v>
      </c>
      <c r="EG18" s="139" t="s">
        <v>490</v>
      </c>
      <c r="EH18" s="139">
        <v>80</v>
      </c>
      <c r="EI18" s="139">
        <v>5</v>
      </c>
      <c r="EJ18" s="139">
        <v>2</v>
      </c>
      <c r="EK18" s="19">
        <v>0.2</v>
      </c>
      <c r="EL18" s="192"/>
      <c r="EM18" s="19">
        <v>0.36</v>
      </c>
      <c r="EN18" s="139"/>
      <c r="EO18" s="139"/>
      <c r="EP18" s="139">
        <v>5</v>
      </c>
      <c r="EQ18" s="19">
        <v>0.4</v>
      </c>
      <c r="ER18" s="14">
        <f t="shared" si="58"/>
        <v>0</v>
      </c>
      <c r="ES18" s="14">
        <f t="shared" si="59"/>
        <v>829</v>
      </c>
      <c r="ET18" s="14">
        <f t="shared" si="60"/>
        <v>0</v>
      </c>
      <c r="EU18" s="14">
        <f t="shared" si="61"/>
        <v>0</v>
      </c>
      <c r="EV18" s="14">
        <f>INDEX(金币总表!$AN$5:$AN$12,挂机升级突破!EP18)*挂机升级突破!EQ18</f>
        <v>175640</v>
      </c>
      <c r="EZ18" s="19">
        <v>0.28000000000000003</v>
      </c>
      <c r="FA18" s="14">
        <f>INT(EY$16*EZ18)</f>
        <v>0</v>
      </c>
      <c r="FB18" s="30">
        <v>2.4</v>
      </c>
      <c r="FC18" s="14">
        <f t="shared" si="8"/>
        <v>0</v>
      </c>
    </row>
    <row r="19" spans="1:159" ht="16.5" x14ac:dyDescent="0.2">
      <c r="A19" s="73">
        <v>12</v>
      </c>
      <c r="B19" s="73">
        <v>4</v>
      </c>
      <c r="C19" s="73">
        <v>65</v>
      </c>
      <c r="D19" s="14">
        <f>节奏总表!AC16</f>
        <v>1.0599999999999996</v>
      </c>
      <c r="E19" s="14">
        <f>节奏总表!AD16</f>
        <v>7</v>
      </c>
      <c r="F19" s="14">
        <f>(节奏总表!N16+节奏总表!O16)*60</f>
        <v>3300</v>
      </c>
      <c r="G19" s="19">
        <v>1</v>
      </c>
      <c r="H19" s="19">
        <v>1</v>
      </c>
      <c r="I19" s="19">
        <v>0.35</v>
      </c>
      <c r="J19" s="19">
        <v>0</v>
      </c>
      <c r="K19" s="19">
        <v>0</v>
      </c>
      <c r="L19" s="19">
        <v>0.5</v>
      </c>
      <c r="M19" s="19">
        <v>0.5</v>
      </c>
      <c r="N19" s="19">
        <v>0</v>
      </c>
      <c r="O19" s="19">
        <v>0</v>
      </c>
      <c r="P19" s="19">
        <v>0</v>
      </c>
      <c r="Q19" s="14">
        <f>章节关卡!L17</f>
        <v>110</v>
      </c>
      <c r="R19" s="14">
        <f>章节关卡!I17</f>
        <v>65</v>
      </c>
      <c r="U19" s="14">
        <f t="shared" si="26"/>
        <v>275</v>
      </c>
      <c r="V19" s="14">
        <f t="shared" si="27"/>
        <v>137.5</v>
      </c>
      <c r="W19" s="14">
        <f t="shared" si="28"/>
        <v>19.25</v>
      </c>
      <c r="X19" s="14">
        <f t="shared" si="29"/>
        <v>0</v>
      </c>
      <c r="Y19" s="14">
        <f t="shared" si="30"/>
        <v>0</v>
      </c>
      <c r="Z19" s="14">
        <f t="shared" si="31"/>
        <v>20.625</v>
      </c>
      <c r="AA19" s="14">
        <f t="shared" si="32"/>
        <v>8.25</v>
      </c>
      <c r="AB19" s="14">
        <f t="shared" si="33"/>
        <v>0</v>
      </c>
      <c r="AC19" s="14">
        <f t="shared" si="34"/>
        <v>0</v>
      </c>
      <c r="AD19" s="14">
        <f t="shared" si="35"/>
        <v>0</v>
      </c>
      <c r="AE19" s="14">
        <f t="shared" si="36"/>
        <v>363000</v>
      </c>
      <c r="AF19" s="14">
        <f t="shared" si="37"/>
        <v>214500</v>
      </c>
      <c r="AG19" s="167"/>
      <c r="AH19" s="167"/>
      <c r="AI19" s="167"/>
      <c r="AJ19" s="167"/>
      <c r="AK19" s="167"/>
      <c r="AL19" s="167"/>
      <c r="AM19" s="167"/>
      <c r="AN19" s="167"/>
      <c r="AO19" s="167"/>
      <c r="AP19" s="167"/>
      <c r="AQ19" s="167"/>
      <c r="AR19" s="167"/>
      <c r="AS19" s="167"/>
      <c r="AT19" s="167"/>
      <c r="AU19" s="167"/>
      <c r="AV19" s="73">
        <v>12</v>
      </c>
      <c r="AW19" s="144">
        <v>65</v>
      </c>
      <c r="AX19" s="159">
        <f t="shared" si="38"/>
        <v>240</v>
      </c>
      <c r="AY19" s="159">
        <f t="shared" si="39"/>
        <v>120</v>
      </c>
      <c r="AZ19" s="159">
        <f t="shared" si="40"/>
        <v>16.8</v>
      </c>
      <c r="BA19" s="159">
        <f t="shared" si="41"/>
        <v>0</v>
      </c>
      <c r="BB19" s="159">
        <f t="shared" si="42"/>
        <v>0</v>
      </c>
      <c r="BC19" s="159">
        <f t="shared" si="43"/>
        <v>27</v>
      </c>
      <c r="BD19" s="159">
        <f t="shared" si="44"/>
        <v>10.8</v>
      </c>
      <c r="BE19" s="159">
        <f t="shared" si="45"/>
        <v>0</v>
      </c>
      <c r="BF19" s="159">
        <f t="shared" si="46"/>
        <v>0</v>
      </c>
      <c r="BH19" s="167"/>
      <c r="BI19" s="167"/>
      <c r="BJ19" s="167"/>
      <c r="BK19" s="167"/>
      <c r="BL19" s="167"/>
      <c r="BM19" s="167"/>
      <c r="BN19" s="167"/>
      <c r="BO19" s="167"/>
      <c r="BP19" s="167"/>
      <c r="CS19" s="73">
        <v>14</v>
      </c>
      <c r="CT19" s="73">
        <v>1</v>
      </c>
      <c r="CU19" s="14" t="str">
        <f>INDEX(节奏总表!$BC$4:$BC$23,MATCH(挂机升级突破!CS19+1,节奏总表!$BF$4:$BF$22,1))</f>
        <v>叫唤+1</v>
      </c>
      <c r="CV19" s="73"/>
      <c r="CW19" s="14">
        <f>INDEX(节奏总表!$AY$4:$AY$55,挂机升级突破!CS19)</f>
        <v>53</v>
      </c>
      <c r="CX19" s="73"/>
      <c r="CY19" s="19"/>
      <c r="CZ19" s="19">
        <v>0.05</v>
      </c>
      <c r="DA19" s="73"/>
      <c r="DB19" s="73"/>
      <c r="DC19" s="19">
        <v>0.15</v>
      </c>
      <c r="DD19" s="73"/>
      <c r="DE19" s="73"/>
      <c r="DF19" s="73"/>
      <c r="DG19" s="73"/>
      <c r="DH19" s="139">
        <v>4</v>
      </c>
      <c r="DI19" s="19">
        <v>0.11</v>
      </c>
      <c r="DJ19" s="14">
        <f t="shared" si="15"/>
        <v>21008.35</v>
      </c>
      <c r="DL19" s="76">
        <v>14</v>
      </c>
      <c r="DM19" s="56">
        <v>1</v>
      </c>
      <c r="DN19" s="73" t="s">
        <v>528</v>
      </c>
      <c r="DO19" s="76">
        <v>9.0000000000000107</v>
      </c>
      <c r="DP19" s="14">
        <f t="shared" si="3"/>
        <v>53</v>
      </c>
      <c r="DQ19" s="104">
        <v>11</v>
      </c>
      <c r="DR19" s="104">
        <v>3</v>
      </c>
      <c r="DS19" s="30"/>
      <c r="DT19" s="14">
        <f t="shared" si="16"/>
        <v>0</v>
      </c>
      <c r="DU19" s="14">
        <f t="shared" si="17"/>
        <v>0</v>
      </c>
      <c r="DV19" s="14">
        <f t="shared" si="18"/>
        <v>163</v>
      </c>
      <c r="DW19" s="14">
        <f t="shared" si="19"/>
        <v>0</v>
      </c>
      <c r="DX19" s="14">
        <f t="shared" si="20"/>
        <v>0</v>
      </c>
      <c r="DY19" s="14">
        <f t="shared" si="21"/>
        <v>352</v>
      </c>
      <c r="DZ19" s="14">
        <f t="shared" si="22"/>
        <v>0</v>
      </c>
      <c r="EA19" s="14">
        <f t="shared" si="23"/>
        <v>0</v>
      </c>
      <c r="EB19" s="14">
        <f t="shared" si="24"/>
        <v>0</v>
      </c>
      <c r="EC19" s="14">
        <f t="shared" si="25"/>
        <v>0</v>
      </c>
      <c r="ED19" s="14">
        <f t="shared" si="6"/>
        <v>21008.35</v>
      </c>
      <c r="EF19" s="139">
        <v>13</v>
      </c>
      <c r="EG19" s="139" t="s">
        <v>531</v>
      </c>
      <c r="EH19" s="139">
        <v>87</v>
      </c>
      <c r="EI19" s="139">
        <v>5</v>
      </c>
      <c r="EJ19" s="139">
        <v>3</v>
      </c>
      <c r="EK19" s="19">
        <v>0.2</v>
      </c>
      <c r="EL19" s="192"/>
      <c r="EM19" s="19"/>
      <c r="EN19" s="19">
        <v>0.15</v>
      </c>
      <c r="EO19" s="139"/>
      <c r="EP19" s="139">
        <v>6</v>
      </c>
      <c r="EQ19" s="19">
        <v>0.3</v>
      </c>
      <c r="ER19" s="14">
        <f t="shared" si="58"/>
        <v>0</v>
      </c>
      <c r="ES19" s="14">
        <f t="shared" si="59"/>
        <v>0</v>
      </c>
      <c r="ET19" s="14">
        <f t="shared" si="60"/>
        <v>267</v>
      </c>
      <c r="EU19" s="14">
        <f t="shared" si="61"/>
        <v>0</v>
      </c>
      <c r="EV19" s="14">
        <f>INDEX(金币总表!$AN$5:$AN$12,挂机升级突破!EP19)*挂机升级突破!EQ19</f>
        <v>233322.75</v>
      </c>
      <c r="EZ19" s="19">
        <v>0.35</v>
      </c>
      <c r="FA19" s="14">
        <f>INT(EY$16*EZ19)</f>
        <v>0</v>
      </c>
      <c r="FB19" s="30">
        <v>2.6</v>
      </c>
      <c r="FC19" s="14">
        <f t="shared" si="8"/>
        <v>0</v>
      </c>
    </row>
    <row r="20" spans="1:159" ht="16.5" x14ac:dyDescent="0.2">
      <c r="A20" s="73">
        <v>13</v>
      </c>
      <c r="B20" s="73">
        <v>4</v>
      </c>
      <c r="C20" s="73">
        <v>70</v>
      </c>
      <c r="D20" s="14">
        <f>节奏总表!AC17</f>
        <v>1.3499999999999996</v>
      </c>
      <c r="E20" s="14">
        <f>节奏总表!AD17</f>
        <v>8.35</v>
      </c>
      <c r="F20" s="14">
        <f>(节奏总表!N17+节奏总表!O17)*60</f>
        <v>4140</v>
      </c>
      <c r="G20" s="19">
        <v>1</v>
      </c>
      <c r="H20" s="19">
        <v>1</v>
      </c>
      <c r="I20" s="19">
        <v>0.5</v>
      </c>
      <c r="J20" s="19">
        <v>0</v>
      </c>
      <c r="K20" s="19">
        <v>0</v>
      </c>
      <c r="L20" s="19">
        <v>0.5</v>
      </c>
      <c r="M20" s="19">
        <v>0.65</v>
      </c>
      <c r="N20" s="19">
        <v>0</v>
      </c>
      <c r="O20" s="19">
        <v>0</v>
      </c>
      <c r="P20" s="19">
        <v>0</v>
      </c>
      <c r="Q20" s="14">
        <f>章节关卡!L18</f>
        <v>125</v>
      </c>
      <c r="R20" s="14">
        <f>章节关卡!I18</f>
        <v>70</v>
      </c>
      <c r="U20" s="14">
        <f t="shared" si="26"/>
        <v>345</v>
      </c>
      <c r="V20" s="14">
        <f t="shared" si="27"/>
        <v>172.5</v>
      </c>
      <c r="W20" s="14">
        <f t="shared" si="28"/>
        <v>34.5</v>
      </c>
      <c r="X20" s="14">
        <f t="shared" si="29"/>
        <v>0</v>
      </c>
      <c r="Y20" s="14">
        <f t="shared" si="30"/>
        <v>0</v>
      </c>
      <c r="Z20" s="14">
        <f t="shared" si="31"/>
        <v>25.875</v>
      </c>
      <c r="AA20" s="14">
        <f t="shared" si="32"/>
        <v>13.455000000000002</v>
      </c>
      <c r="AB20" s="14">
        <f t="shared" si="33"/>
        <v>0</v>
      </c>
      <c r="AC20" s="14">
        <f t="shared" si="34"/>
        <v>0</v>
      </c>
      <c r="AD20" s="14">
        <f t="shared" si="35"/>
        <v>0</v>
      </c>
      <c r="AE20" s="14">
        <f t="shared" si="36"/>
        <v>517500</v>
      </c>
      <c r="AF20" s="14">
        <f t="shared" si="37"/>
        <v>289800</v>
      </c>
      <c r="AG20" s="167"/>
      <c r="AH20" s="167"/>
      <c r="AI20" s="167"/>
      <c r="AJ20" s="167"/>
      <c r="AK20" s="167"/>
      <c r="AL20" s="167"/>
      <c r="AM20" s="167"/>
      <c r="AN20" s="167"/>
      <c r="AO20" s="167"/>
      <c r="AP20" s="167"/>
      <c r="AQ20" s="167"/>
      <c r="AR20" s="167"/>
      <c r="AS20" s="167"/>
      <c r="AT20" s="167"/>
      <c r="AU20" s="167"/>
      <c r="AV20" s="73">
        <v>13</v>
      </c>
      <c r="AW20" s="144">
        <v>70</v>
      </c>
      <c r="AX20" s="159">
        <f t="shared" si="38"/>
        <v>240</v>
      </c>
      <c r="AY20" s="159">
        <f t="shared" si="39"/>
        <v>120</v>
      </c>
      <c r="AZ20" s="159">
        <f t="shared" si="40"/>
        <v>24</v>
      </c>
      <c r="BA20" s="159">
        <f t="shared" si="41"/>
        <v>0</v>
      </c>
      <c r="BB20" s="159">
        <f t="shared" si="42"/>
        <v>0</v>
      </c>
      <c r="BC20" s="159">
        <f t="shared" si="43"/>
        <v>27</v>
      </c>
      <c r="BD20" s="159">
        <f t="shared" si="44"/>
        <v>14.040000000000003</v>
      </c>
      <c r="BE20" s="159">
        <f t="shared" si="45"/>
        <v>0</v>
      </c>
      <c r="BF20" s="159">
        <f t="shared" si="46"/>
        <v>0</v>
      </c>
      <c r="CS20" s="73">
        <v>15</v>
      </c>
      <c r="CT20" s="73">
        <v>2</v>
      </c>
      <c r="CU20" s="14" t="str">
        <f>INDEX(节奏总表!$BC$4:$BC$23,MATCH(挂机升级突破!CS20+1,节奏总表!$BF$4:$BF$22,1))</f>
        <v>叫唤+1</v>
      </c>
      <c r="CV20" s="73"/>
      <c r="CW20" s="14">
        <f>INDEX(节奏总表!$AY$4:$AY$55,挂机升级突破!CS20)</f>
        <v>55</v>
      </c>
      <c r="CX20" s="73"/>
      <c r="CY20" s="73"/>
      <c r="CZ20" s="19">
        <v>0.05</v>
      </c>
      <c r="DA20" s="73"/>
      <c r="DB20" s="73"/>
      <c r="DC20" s="19">
        <v>0.15</v>
      </c>
      <c r="DD20" s="73"/>
      <c r="DE20" s="73"/>
      <c r="DF20" s="73"/>
      <c r="DG20" s="73"/>
      <c r="DH20" s="139">
        <v>4</v>
      </c>
      <c r="DI20" s="19">
        <v>0.12</v>
      </c>
      <c r="DJ20" s="14">
        <f t="shared" si="15"/>
        <v>22918.2</v>
      </c>
      <c r="DL20" s="76">
        <v>15</v>
      </c>
      <c r="DM20" s="56">
        <v>2</v>
      </c>
      <c r="DN20" s="73" t="s">
        <v>528</v>
      </c>
      <c r="DO20" s="76">
        <v>9.0000000000000107</v>
      </c>
      <c r="DP20" s="14">
        <f t="shared" si="3"/>
        <v>55</v>
      </c>
      <c r="DQ20" s="104">
        <v>11</v>
      </c>
      <c r="DR20" s="104">
        <v>3</v>
      </c>
      <c r="DS20" s="30"/>
      <c r="DT20" s="14">
        <f t="shared" si="16"/>
        <v>0</v>
      </c>
      <c r="DU20" s="14">
        <f t="shared" si="17"/>
        <v>0</v>
      </c>
      <c r="DV20" s="14">
        <f t="shared" si="18"/>
        <v>163</v>
      </c>
      <c r="DW20" s="14">
        <f t="shared" si="19"/>
        <v>0</v>
      </c>
      <c r="DX20" s="14">
        <f t="shared" si="20"/>
        <v>0</v>
      </c>
      <c r="DY20" s="14">
        <f t="shared" si="21"/>
        <v>352</v>
      </c>
      <c r="DZ20" s="14">
        <f t="shared" si="22"/>
        <v>0</v>
      </c>
      <c r="EA20" s="14">
        <f t="shared" si="23"/>
        <v>0</v>
      </c>
      <c r="EB20" s="14">
        <f t="shared" si="24"/>
        <v>0</v>
      </c>
      <c r="EC20" s="14">
        <f t="shared" si="25"/>
        <v>0</v>
      </c>
      <c r="ED20" s="14">
        <f t="shared" si="6"/>
        <v>22918.2</v>
      </c>
      <c r="EF20" s="139">
        <v>14</v>
      </c>
      <c r="EG20" s="139" t="s">
        <v>532</v>
      </c>
      <c r="EH20" s="139">
        <v>95</v>
      </c>
      <c r="EI20" s="139">
        <v>5</v>
      </c>
      <c r="EJ20" s="139">
        <v>3</v>
      </c>
      <c r="EK20" s="19">
        <v>0.2</v>
      </c>
      <c r="EL20" s="192"/>
      <c r="EM20" s="19"/>
      <c r="EN20" s="19">
        <v>0.21</v>
      </c>
      <c r="EO20" s="139"/>
      <c r="EP20" s="139">
        <v>6</v>
      </c>
      <c r="EQ20" s="19">
        <v>0.3</v>
      </c>
      <c r="ER20" s="14">
        <f t="shared" si="58"/>
        <v>0</v>
      </c>
      <c r="ES20" s="14">
        <f t="shared" si="59"/>
        <v>0</v>
      </c>
      <c r="ET20" s="14">
        <f t="shared" si="60"/>
        <v>374</v>
      </c>
      <c r="EU20" s="14">
        <f t="shared" si="61"/>
        <v>0</v>
      </c>
      <c r="EV20" s="14">
        <f>INDEX(金币总表!$AN$5:$AN$12,挂机升级突破!EP20)*挂机升级突破!EQ20</f>
        <v>233322.75</v>
      </c>
      <c r="EY20" s="14">
        <f>金币总表!P44</f>
        <v>0</v>
      </c>
      <c r="EZ20" s="19">
        <v>0.1</v>
      </c>
      <c r="FA20" s="14">
        <f>INT(EY$20*EZ20)</f>
        <v>0</v>
      </c>
      <c r="FB20" s="30">
        <v>2.8</v>
      </c>
      <c r="FC20" s="14">
        <f t="shared" si="8"/>
        <v>0</v>
      </c>
    </row>
    <row r="21" spans="1:159" ht="16.5" x14ac:dyDescent="0.2">
      <c r="A21" s="73">
        <v>14</v>
      </c>
      <c r="B21" s="73">
        <v>4</v>
      </c>
      <c r="C21" s="73">
        <v>75</v>
      </c>
      <c r="D21" s="14">
        <f>节奏总表!AC18</f>
        <v>1.5899999999999999</v>
      </c>
      <c r="E21" s="14">
        <f>节奏总表!AD18</f>
        <v>9.94</v>
      </c>
      <c r="F21" s="14">
        <f>(节奏总表!N18+节奏总表!O18)*60</f>
        <v>4800</v>
      </c>
      <c r="G21" s="19">
        <v>1</v>
      </c>
      <c r="H21" s="19">
        <v>1</v>
      </c>
      <c r="I21" s="19">
        <v>0.65</v>
      </c>
      <c r="J21" s="19">
        <v>0</v>
      </c>
      <c r="K21" s="19">
        <v>0</v>
      </c>
      <c r="L21" s="19">
        <v>0.5</v>
      </c>
      <c r="M21" s="19">
        <v>0.8</v>
      </c>
      <c r="N21" s="19">
        <v>0</v>
      </c>
      <c r="O21" s="19">
        <v>0</v>
      </c>
      <c r="P21" s="19">
        <v>0</v>
      </c>
      <c r="Q21" s="14">
        <f>章节关卡!L19</f>
        <v>135</v>
      </c>
      <c r="R21" s="14">
        <f>章节关卡!I19</f>
        <v>75</v>
      </c>
      <c r="U21" s="14">
        <f t="shared" si="26"/>
        <v>400</v>
      </c>
      <c r="V21" s="14">
        <f t="shared" si="27"/>
        <v>200</v>
      </c>
      <c r="W21" s="14">
        <f t="shared" si="28"/>
        <v>52</v>
      </c>
      <c r="X21" s="14">
        <f t="shared" si="29"/>
        <v>0</v>
      </c>
      <c r="Y21" s="14">
        <f t="shared" si="30"/>
        <v>0</v>
      </c>
      <c r="Z21" s="14">
        <f t="shared" si="31"/>
        <v>30</v>
      </c>
      <c r="AA21" s="14">
        <f t="shared" si="32"/>
        <v>19.2</v>
      </c>
      <c r="AB21" s="14">
        <f t="shared" si="33"/>
        <v>0</v>
      </c>
      <c r="AC21" s="14">
        <f t="shared" si="34"/>
        <v>0</v>
      </c>
      <c r="AD21" s="14">
        <f t="shared" si="35"/>
        <v>0</v>
      </c>
      <c r="AE21" s="14">
        <f t="shared" si="36"/>
        <v>648000</v>
      </c>
      <c r="AF21" s="14">
        <f t="shared" si="37"/>
        <v>360000</v>
      </c>
      <c r="AG21" s="167"/>
      <c r="AH21" s="167"/>
      <c r="AI21" s="167"/>
      <c r="AJ21" s="167"/>
      <c r="AK21" s="167"/>
      <c r="AL21" s="167"/>
      <c r="AM21" s="167"/>
      <c r="AN21" s="167"/>
      <c r="AO21" s="167"/>
      <c r="AP21" s="167"/>
      <c r="AQ21" s="167"/>
      <c r="AR21" s="167"/>
      <c r="AS21" s="167"/>
      <c r="AT21" s="167"/>
      <c r="AU21" s="167"/>
      <c r="AV21" s="73">
        <v>14</v>
      </c>
      <c r="AW21" s="144">
        <v>75</v>
      </c>
      <c r="AX21" s="159">
        <f t="shared" si="38"/>
        <v>240</v>
      </c>
      <c r="AY21" s="159">
        <f t="shared" si="39"/>
        <v>120</v>
      </c>
      <c r="AZ21" s="159">
        <f t="shared" si="40"/>
        <v>31.200000000000003</v>
      </c>
      <c r="BA21" s="159">
        <f t="shared" si="41"/>
        <v>0</v>
      </c>
      <c r="BB21" s="159">
        <f t="shared" si="42"/>
        <v>0</v>
      </c>
      <c r="BC21" s="159">
        <f t="shared" si="43"/>
        <v>27</v>
      </c>
      <c r="BD21" s="159">
        <f t="shared" si="44"/>
        <v>17.28</v>
      </c>
      <c r="BE21" s="159">
        <f t="shared" si="45"/>
        <v>0</v>
      </c>
      <c r="BF21" s="159">
        <f t="shared" si="46"/>
        <v>0</v>
      </c>
      <c r="CS21" s="73">
        <v>16</v>
      </c>
      <c r="CT21" s="76">
        <v>3</v>
      </c>
      <c r="CU21" s="14" t="str">
        <f>INDEX(节奏总表!$BC$4:$BC$23,MATCH(挂机升级突破!CS21+1,节奏总表!$BF$4:$BF$22,1))</f>
        <v>叫唤+1</v>
      </c>
      <c r="CV21" s="73"/>
      <c r="CW21" s="14">
        <f>INDEX(节奏总表!$AY$4:$AY$55,挂机升级突破!CS21)</f>
        <v>58</v>
      </c>
      <c r="CX21" s="73"/>
      <c r="CY21" s="73"/>
      <c r="CZ21" s="19">
        <v>0.05</v>
      </c>
      <c r="DA21" s="73"/>
      <c r="DB21" s="73"/>
      <c r="DC21" s="19">
        <v>0.16</v>
      </c>
      <c r="DD21" s="73"/>
      <c r="DE21" s="73"/>
      <c r="DF21" s="73"/>
      <c r="DG21" s="73"/>
      <c r="DH21" s="139">
        <v>4</v>
      </c>
      <c r="DI21" s="19">
        <v>0.12</v>
      </c>
      <c r="DJ21" s="14">
        <f t="shared" si="15"/>
        <v>22918.2</v>
      </c>
      <c r="DL21" s="76">
        <v>16</v>
      </c>
      <c r="DM21" s="64">
        <v>3</v>
      </c>
      <c r="DN21" s="73" t="s">
        <v>528</v>
      </c>
      <c r="DO21" s="76">
        <v>9.0000000000000107</v>
      </c>
      <c r="DP21" s="14">
        <f t="shared" si="3"/>
        <v>58</v>
      </c>
      <c r="DQ21" s="104">
        <v>11</v>
      </c>
      <c r="DR21" s="104">
        <v>3</v>
      </c>
      <c r="DS21" s="64"/>
      <c r="DT21" s="14">
        <f t="shared" si="16"/>
        <v>0</v>
      </c>
      <c r="DU21" s="14">
        <f t="shared" si="17"/>
        <v>0</v>
      </c>
      <c r="DV21" s="14">
        <f t="shared" si="18"/>
        <v>163</v>
      </c>
      <c r="DW21" s="14">
        <f t="shared" si="19"/>
        <v>0</v>
      </c>
      <c r="DX21" s="14">
        <f t="shared" si="20"/>
        <v>0</v>
      </c>
      <c r="DY21" s="14">
        <f t="shared" si="21"/>
        <v>375</v>
      </c>
      <c r="DZ21" s="14">
        <f t="shared" si="22"/>
        <v>0</v>
      </c>
      <c r="EA21" s="14">
        <f t="shared" si="23"/>
        <v>0</v>
      </c>
      <c r="EB21" s="14">
        <f t="shared" si="24"/>
        <v>0</v>
      </c>
      <c r="EC21" s="14">
        <f t="shared" si="25"/>
        <v>0</v>
      </c>
      <c r="ED21" s="14">
        <f t="shared" si="6"/>
        <v>22918.2</v>
      </c>
      <c r="EF21" s="139">
        <v>15</v>
      </c>
      <c r="EG21" s="139" t="s">
        <v>481</v>
      </c>
      <c r="EH21" s="139">
        <v>102</v>
      </c>
      <c r="EI21" s="139">
        <v>5</v>
      </c>
      <c r="EJ21" s="139">
        <v>3</v>
      </c>
      <c r="EK21" s="19">
        <v>0.2</v>
      </c>
      <c r="EL21" s="192"/>
      <c r="EM21" s="139"/>
      <c r="EN21" s="19">
        <v>0.28000000000000003</v>
      </c>
      <c r="EO21" s="139"/>
      <c r="EP21" s="139">
        <v>6</v>
      </c>
      <c r="EQ21" s="19">
        <v>0.4</v>
      </c>
      <c r="ER21" s="14">
        <f t="shared" si="58"/>
        <v>0</v>
      </c>
      <c r="ES21" s="14">
        <f t="shared" si="59"/>
        <v>0</v>
      </c>
      <c r="ET21" s="14">
        <f t="shared" si="60"/>
        <v>498</v>
      </c>
      <c r="EU21" s="14">
        <f t="shared" si="61"/>
        <v>0</v>
      </c>
      <c r="EV21" s="14">
        <f>INDEX(金币总表!$AN$5:$AN$12,挂机升级突破!EP21)*挂机升级突破!EQ21</f>
        <v>311097</v>
      </c>
      <c r="EZ21" s="19">
        <v>0.15</v>
      </c>
      <c r="FA21" s="14">
        <f t="shared" ref="FA21:FA39" si="66">INT(EY$20*EZ21)</f>
        <v>0</v>
      </c>
      <c r="FB21" s="30">
        <v>3</v>
      </c>
      <c r="FC21" s="14">
        <f t="shared" si="8"/>
        <v>0</v>
      </c>
    </row>
    <row r="22" spans="1:159" ht="16.5" x14ac:dyDescent="0.2">
      <c r="A22" s="73">
        <v>15</v>
      </c>
      <c r="B22" s="73">
        <v>4</v>
      </c>
      <c r="C22" s="73">
        <v>80</v>
      </c>
      <c r="D22" s="14">
        <f>节奏总表!AC19</f>
        <v>1.870000000000001</v>
      </c>
      <c r="E22" s="14">
        <f>节奏总表!AD19</f>
        <v>11.81</v>
      </c>
      <c r="F22" s="14">
        <f>(节奏总表!N19+节奏总表!O19)*60</f>
        <v>5640</v>
      </c>
      <c r="G22" s="19">
        <v>1</v>
      </c>
      <c r="H22" s="19">
        <v>1</v>
      </c>
      <c r="I22" s="19">
        <v>0.8</v>
      </c>
      <c r="J22" s="19">
        <v>0</v>
      </c>
      <c r="K22" s="19">
        <v>0</v>
      </c>
      <c r="L22" s="19">
        <v>0.5</v>
      </c>
      <c r="M22" s="19">
        <v>1</v>
      </c>
      <c r="N22" s="19">
        <v>0</v>
      </c>
      <c r="O22" s="19">
        <v>0</v>
      </c>
      <c r="P22" s="19">
        <v>0</v>
      </c>
      <c r="Q22" s="14">
        <f>章节关卡!L20</f>
        <v>150</v>
      </c>
      <c r="R22" s="14">
        <f>章节关卡!I20</f>
        <v>80</v>
      </c>
      <c r="U22" s="14">
        <f t="shared" si="26"/>
        <v>470</v>
      </c>
      <c r="V22" s="14">
        <f t="shared" si="27"/>
        <v>235</v>
      </c>
      <c r="W22" s="14">
        <f t="shared" si="28"/>
        <v>75.2</v>
      </c>
      <c r="X22" s="14">
        <f t="shared" si="29"/>
        <v>0</v>
      </c>
      <c r="Y22" s="14">
        <f t="shared" si="30"/>
        <v>0</v>
      </c>
      <c r="Z22" s="14">
        <f t="shared" si="31"/>
        <v>35.25</v>
      </c>
      <c r="AA22" s="14">
        <f t="shared" si="32"/>
        <v>28.2</v>
      </c>
      <c r="AB22" s="14">
        <f t="shared" si="33"/>
        <v>0</v>
      </c>
      <c r="AC22" s="14">
        <f t="shared" si="34"/>
        <v>0</v>
      </c>
      <c r="AD22" s="14">
        <f t="shared" si="35"/>
        <v>0</v>
      </c>
      <c r="AE22" s="14">
        <f t="shared" si="36"/>
        <v>846000</v>
      </c>
      <c r="AF22" s="14">
        <f t="shared" si="37"/>
        <v>451200</v>
      </c>
      <c r="AG22" s="167"/>
      <c r="AH22" s="167"/>
      <c r="AI22" s="167"/>
      <c r="AJ22" s="167"/>
      <c r="AK22" s="167"/>
      <c r="AL22" s="167"/>
      <c r="AM22" s="167"/>
      <c r="AN22" s="167"/>
      <c r="AO22" s="167"/>
      <c r="AP22" s="167"/>
      <c r="AQ22" s="167"/>
      <c r="AR22" s="167"/>
      <c r="AS22" s="167"/>
      <c r="AT22" s="167"/>
      <c r="AU22" s="167"/>
      <c r="AV22" s="73">
        <v>15</v>
      </c>
      <c r="AW22" s="144">
        <v>80</v>
      </c>
      <c r="AX22" s="159">
        <f t="shared" si="38"/>
        <v>240</v>
      </c>
      <c r="AY22" s="159">
        <f t="shared" si="39"/>
        <v>120</v>
      </c>
      <c r="AZ22" s="159">
        <f t="shared" si="40"/>
        <v>38.400000000000006</v>
      </c>
      <c r="BA22" s="159">
        <f t="shared" si="41"/>
        <v>0</v>
      </c>
      <c r="BB22" s="159">
        <f t="shared" si="42"/>
        <v>0</v>
      </c>
      <c r="BC22" s="159">
        <f t="shared" si="43"/>
        <v>27</v>
      </c>
      <c r="BD22" s="159">
        <f t="shared" si="44"/>
        <v>21.6</v>
      </c>
      <c r="BE22" s="159">
        <f t="shared" si="45"/>
        <v>0</v>
      </c>
      <c r="BF22" s="159">
        <f t="shared" si="46"/>
        <v>0</v>
      </c>
      <c r="CS22" s="73">
        <v>17</v>
      </c>
      <c r="CT22" s="73">
        <v>2</v>
      </c>
      <c r="CU22" s="14" t="str">
        <f>INDEX(节奏总表!$BC$4:$BC$23,MATCH(挂机升级突破!CS22+1,节奏总表!$BF$4:$BF$22,1))</f>
        <v>叫唤+2</v>
      </c>
      <c r="CV22" s="73"/>
      <c r="CW22" s="14">
        <f>INDEX(节奏总表!$AY$4:$AY$55,挂机升级突破!CS22)</f>
        <v>60</v>
      </c>
      <c r="CX22" s="73"/>
      <c r="CY22" s="73"/>
      <c r="CZ22" s="19">
        <v>0.1</v>
      </c>
      <c r="DA22" s="73"/>
      <c r="DB22" s="73"/>
      <c r="DC22" s="73"/>
      <c r="DD22" s="19">
        <v>0.05</v>
      </c>
      <c r="DE22" s="73"/>
      <c r="DF22" s="73"/>
      <c r="DG22" s="73"/>
      <c r="DH22" s="139">
        <v>4</v>
      </c>
      <c r="DI22" s="19">
        <v>0.15</v>
      </c>
      <c r="DJ22" s="14">
        <f t="shared" si="15"/>
        <v>28647.75</v>
      </c>
      <c r="DL22" s="76">
        <v>17</v>
      </c>
      <c r="DM22" s="64">
        <v>2</v>
      </c>
      <c r="DN22" s="73" t="s">
        <v>489</v>
      </c>
      <c r="DO22" s="76">
        <v>9.0000000000000107</v>
      </c>
      <c r="DP22" s="14">
        <f t="shared" si="3"/>
        <v>60</v>
      </c>
      <c r="DQ22" s="104">
        <v>11</v>
      </c>
      <c r="DR22" s="104">
        <v>3</v>
      </c>
      <c r="DS22" s="64"/>
      <c r="DT22" s="14">
        <f t="shared" si="16"/>
        <v>0</v>
      </c>
      <c r="DU22" s="14">
        <f t="shared" si="17"/>
        <v>0</v>
      </c>
      <c r="DV22" s="14">
        <f t="shared" si="18"/>
        <v>325</v>
      </c>
      <c r="DW22" s="14">
        <f t="shared" si="19"/>
        <v>0</v>
      </c>
      <c r="DX22" s="14">
        <f t="shared" si="20"/>
        <v>0</v>
      </c>
      <c r="DY22" s="14">
        <f t="shared" si="21"/>
        <v>0</v>
      </c>
      <c r="DZ22" s="14">
        <f t="shared" si="22"/>
        <v>115</v>
      </c>
      <c r="EA22" s="14">
        <f t="shared" si="23"/>
        <v>0</v>
      </c>
      <c r="EB22" s="14">
        <f t="shared" si="24"/>
        <v>0</v>
      </c>
      <c r="EC22" s="14">
        <f t="shared" si="25"/>
        <v>0</v>
      </c>
      <c r="ED22" s="14">
        <f t="shared" si="6"/>
        <v>28647.75</v>
      </c>
      <c r="EF22" s="139">
        <v>16</v>
      </c>
      <c r="EG22" s="139" t="s">
        <v>533</v>
      </c>
      <c r="EH22" s="139">
        <v>110</v>
      </c>
      <c r="EI22" s="139">
        <v>5</v>
      </c>
      <c r="EJ22" s="139">
        <v>3</v>
      </c>
      <c r="EK22" s="19">
        <v>0.2</v>
      </c>
      <c r="EL22" s="192"/>
      <c r="EM22" s="139"/>
      <c r="EN22" s="19">
        <v>0.36</v>
      </c>
      <c r="EO22" s="139"/>
      <c r="EP22" s="139">
        <v>7</v>
      </c>
      <c r="EQ22" s="19">
        <v>0.3</v>
      </c>
      <c r="ER22" s="14">
        <f t="shared" si="58"/>
        <v>0</v>
      </c>
      <c r="ES22" s="14">
        <f t="shared" si="59"/>
        <v>0</v>
      </c>
      <c r="ET22" s="14">
        <f t="shared" si="60"/>
        <v>641</v>
      </c>
      <c r="EU22" s="14">
        <f t="shared" si="61"/>
        <v>0</v>
      </c>
      <c r="EV22" s="14">
        <f>INDEX(金币总表!$AN$5:$AN$12,挂机升级突破!EP22)*挂机升级突破!EQ22</f>
        <v>564069.6</v>
      </c>
      <c r="EZ22" s="19">
        <v>0.2</v>
      </c>
      <c r="FA22" s="14">
        <f t="shared" si="66"/>
        <v>0</v>
      </c>
      <c r="FB22" s="30">
        <v>3</v>
      </c>
      <c r="FC22" s="14">
        <f t="shared" si="8"/>
        <v>0</v>
      </c>
    </row>
    <row r="23" spans="1:159" ht="16.5" x14ac:dyDescent="0.2">
      <c r="A23" s="73">
        <v>16</v>
      </c>
      <c r="B23" s="73">
        <v>4</v>
      </c>
      <c r="C23" s="73">
        <v>85</v>
      </c>
      <c r="D23" s="14">
        <f>节奏总表!AC20</f>
        <v>2.1899999999999995</v>
      </c>
      <c r="E23" s="14">
        <f>节奏总表!AD20</f>
        <v>14</v>
      </c>
      <c r="F23" s="14">
        <f>(节奏总表!N20+节奏总表!O20)*60</f>
        <v>6540</v>
      </c>
      <c r="G23" s="19">
        <v>1</v>
      </c>
      <c r="H23" s="19">
        <v>1</v>
      </c>
      <c r="I23" s="19">
        <v>1</v>
      </c>
      <c r="J23" s="19">
        <v>0</v>
      </c>
      <c r="K23" s="19">
        <v>0</v>
      </c>
      <c r="L23" s="19">
        <v>0.5</v>
      </c>
      <c r="M23" s="19">
        <v>0.8</v>
      </c>
      <c r="N23" s="19">
        <v>0.2</v>
      </c>
      <c r="O23" s="19">
        <v>0</v>
      </c>
      <c r="P23" s="19">
        <v>0</v>
      </c>
      <c r="Q23" s="14">
        <f>章节关卡!L21</f>
        <v>160</v>
      </c>
      <c r="R23" s="14">
        <f>章节关卡!I21</f>
        <v>90</v>
      </c>
      <c r="U23" s="14">
        <f t="shared" si="26"/>
        <v>545</v>
      </c>
      <c r="V23" s="14">
        <f t="shared" si="27"/>
        <v>272.5</v>
      </c>
      <c r="W23" s="14">
        <f t="shared" si="28"/>
        <v>109</v>
      </c>
      <c r="X23" s="14">
        <f t="shared" si="29"/>
        <v>0</v>
      </c>
      <c r="Y23" s="14">
        <f t="shared" si="30"/>
        <v>0</v>
      </c>
      <c r="Z23" s="14">
        <f t="shared" si="31"/>
        <v>40.875</v>
      </c>
      <c r="AA23" s="14">
        <f t="shared" si="32"/>
        <v>26.160000000000004</v>
      </c>
      <c r="AB23" s="14">
        <f t="shared" si="33"/>
        <v>3.2700000000000005</v>
      </c>
      <c r="AC23" s="14">
        <f t="shared" si="34"/>
        <v>0</v>
      </c>
      <c r="AD23" s="14">
        <f t="shared" si="35"/>
        <v>0</v>
      </c>
      <c r="AE23" s="14">
        <f t="shared" si="36"/>
        <v>1046400</v>
      </c>
      <c r="AF23" s="14">
        <f t="shared" si="37"/>
        <v>588600</v>
      </c>
      <c r="AG23" s="167"/>
      <c r="AH23" s="167"/>
      <c r="AI23" s="167"/>
      <c r="AJ23" s="167"/>
      <c r="AK23" s="167"/>
      <c r="AL23" s="167"/>
      <c r="AM23" s="167"/>
      <c r="AN23" s="167"/>
      <c r="AO23" s="167"/>
      <c r="AP23" s="167"/>
      <c r="AQ23" s="167"/>
      <c r="AR23" s="167"/>
      <c r="AS23" s="167"/>
      <c r="AT23" s="167"/>
      <c r="AU23" s="167"/>
      <c r="AV23" s="73">
        <v>16</v>
      </c>
      <c r="AW23" s="144">
        <v>85</v>
      </c>
      <c r="AX23" s="159">
        <f t="shared" si="38"/>
        <v>240</v>
      </c>
      <c r="AY23" s="159">
        <f t="shared" si="39"/>
        <v>120</v>
      </c>
      <c r="AZ23" s="159">
        <f t="shared" si="40"/>
        <v>48</v>
      </c>
      <c r="BA23" s="159">
        <f t="shared" si="41"/>
        <v>0</v>
      </c>
      <c r="BB23" s="159">
        <f t="shared" si="42"/>
        <v>0</v>
      </c>
      <c r="BC23" s="159">
        <f t="shared" si="43"/>
        <v>27</v>
      </c>
      <c r="BD23" s="159">
        <f t="shared" si="44"/>
        <v>17.28</v>
      </c>
      <c r="BE23" s="159">
        <f t="shared" si="45"/>
        <v>2.16</v>
      </c>
      <c r="BF23" s="159">
        <f t="shared" si="46"/>
        <v>0</v>
      </c>
      <c r="CS23" s="73">
        <v>18</v>
      </c>
      <c r="CT23" s="73">
        <v>3</v>
      </c>
      <c r="CU23" s="14" t="str">
        <f>INDEX(节奏总表!$BC$4:$BC$23,MATCH(挂机升级突破!CS23+1,节奏总表!$BF$4:$BF$22,1))</f>
        <v>叫唤+2</v>
      </c>
      <c r="CV23" s="73"/>
      <c r="CW23" s="14">
        <f>INDEX(节奏总表!$AY$4:$AY$55,挂机升级突破!CS23)</f>
        <v>63</v>
      </c>
      <c r="CX23" s="73"/>
      <c r="CY23" s="73"/>
      <c r="CZ23" s="19">
        <v>0.1</v>
      </c>
      <c r="DA23" s="73"/>
      <c r="DB23" s="73"/>
      <c r="DC23" s="73"/>
      <c r="DD23" s="19">
        <v>0.05</v>
      </c>
      <c r="DE23" s="73"/>
      <c r="DF23" s="73"/>
      <c r="DG23" s="73"/>
      <c r="DH23" s="139">
        <v>4</v>
      </c>
      <c r="DI23" s="19">
        <v>0.15</v>
      </c>
      <c r="DJ23" s="14">
        <f t="shared" si="15"/>
        <v>28647.75</v>
      </c>
      <c r="DL23" s="76">
        <v>18</v>
      </c>
      <c r="DM23" s="64">
        <v>3</v>
      </c>
      <c r="DN23" s="73" t="s">
        <v>489</v>
      </c>
      <c r="DO23" s="76">
        <v>9.0000000000000107</v>
      </c>
      <c r="DP23" s="14">
        <f t="shared" si="3"/>
        <v>63</v>
      </c>
      <c r="DQ23" s="104">
        <v>11</v>
      </c>
      <c r="DR23" s="104">
        <v>3</v>
      </c>
      <c r="DS23" s="64"/>
      <c r="DT23" s="14">
        <f t="shared" si="16"/>
        <v>0</v>
      </c>
      <c r="DU23" s="14">
        <f t="shared" si="17"/>
        <v>0</v>
      </c>
      <c r="DV23" s="14">
        <f t="shared" si="18"/>
        <v>325</v>
      </c>
      <c r="DW23" s="14">
        <f t="shared" si="19"/>
        <v>0</v>
      </c>
      <c r="DX23" s="14">
        <f t="shared" si="20"/>
        <v>0</v>
      </c>
      <c r="DY23" s="14">
        <f t="shared" si="21"/>
        <v>0</v>
      </c>
      <c r="DZ23" s="14">
        <f t="shared" si="22"/>
        <v>115</v>
      </c>
      <c r="EA23" s="14">
        <f t="shared" si="23"/>
        <v>0</v>
      </c>
      <c r="EB23" s="14">
        <f t="shared" si="24"/>
        <v>0</v>
      </c>
      <c r="EC23" s="14">
        <f t="shared" si="25"/>
        <v>0</v>
      </c>
      <c r="ED23" s="14">
        <f t="shared" si="6"/>
        <v>28647.75</v>
      </c>
      <c r="EF23" s="139">
        <v>17</v>
      </c>
      <c r="EG23" s="139" t="s">
        <v>534</v>
      </c>
      <c r="EH23" s="139">
        <v>117</v>
      </c>
      <c r="EI23" s="139">
        <v>5</v>
      </c>
      <c r="EJ23" s="139">
        <v>4</v>
      </c>
      <c r="EK23" s="19">
        <v>0.2</v>
      </c>
      <c r="EL23" s="192"/>
      <c r="EM23" s="139"/>
      <c r="EN23" s="19"/>
      <c r="EO23" s="19">
        <v>0.15</v>
      </c>
      <c r="EP23" s="139">
        <v>7</v>
      </c>
      <c r="EQ23" s="19">
        <v>0.3</v>
      </c>
      <c r="ER23" s="14">
        <f t="shared" si="58"/>
        <v>0</v>
      </c>
      <c r="ES23" s="14">
        <f t="shared" si="59"/>
        <v>0</v>
      </c>
      <c r="ET23" s="14">
        <f t="shared" si="60"/>
        <v>0</v>
      </c>
      <c r="EU23" s="14">
        <f t="shared" si="61"/>
        <v>123</v>
      </c>
      <c r="EV23" s="14">
        <f>INDEX(金币总表!$AN$5:$AN$12,挂机升级突破!EP23)*挂机升级突破!EQ23</f>
        <v>564069.6</v>
      </c>
      <c r="EZ23" s="19"/>
      <c r="FA23" s="14"/>
      <c r="FB23" s="64"/>
      <c r="FC23" s="14"/>
    </row>
    <row r="24" spans="1:159" ht="16.5" x14ac:dyDescent="0.2">
      <c r="A24" s="73">
        <v>17</v>
      </c>
      <c r="B24" s="73">
        <v>4</v>
      </c>
      <c r="C24" s="73">
        <v>90</v>
      </c>
      <c r="D24" s="14">
        <f>节奏总表!AC21</f>
        <v>2.3299999999999983</v>
      </c>
      <c r="E24" s="14">
        <f>节奏总表!AD21</f>
        <v>16.329999999999998</v>
      </c>
      <c r="F24" s="14">
        <f>(节奏总表!N21+节奏总表!O21)*60</f>
        <v>6960</v>
      </c>
      <c r="G24" s="19">
        <v>1</v>
      </c>
      <c r="H24" s="19">
        <v>1</v>
      </c>
      <c r="I24" s="19">
        <v>1</v>
      </c>
      <c r="J24" s="19">
        <v>0.2</v>
      </c>
      <c r="K24" s="19">
        <v>0</v>
      </c>
      <c r="L24" s="19">
        <v>0.5</v>
      </c>
      <c r="M24" s="19">
        <v>0.65</v>
      </c>
      <c r="N24" s="19">
        <v>0.35</v>
      </c>
      <c r="O24" s="19">
        <v>0</v>
      </c>
      <c r="P24" s="19">
        <v>0</v>
      </c>
      <c r="Q24" s="14">
        <f>章节关卡!L22</f>
        <v>175</v>
      </c>
      <c r="R24" s="14">
        <f>章节关卡!I22</f>
        <v>100</v>
      </c>
      <c r="U24" s="14">
        <f t="shared" si="26"/>
        <v>580</v>
      </c>
      <c r="V24" s="14">
        <f t="shared" si="27"/>
        <v>290</v>
      </c>
      <c r="W24" s="14">
        <f t="shared" si="28"/>
        <v>116</v>
      </c>
      <c r="X24" s="14">
        <f t="shared" si="29"/>
        <v>11.600000000000001</v>
      </c>
      <c r="Y24" s="14">
        <f t="shared" si="30"/>
        <v>0</v>
      </c>
      <c r="Z24" s="14">
        <f t="shared" si="31"/>
        <v>43.5</v>
      </c>
      <c r="AA24" s="14">
        <f t="shared" si="32"/>
        <v>22.62</v>
      </c>
      <c r="AB24" s="14">
        <f t="shared" si="33"/>
        <v>6.0900000000000007</v>
      </c>
      <c r="AC24" s="14">
        <f t="shared" si="34"/>
        <v>0</v>
      </c>
      <c r="AD24" s="14">
        <f t="shared" si="35"/>
        <v>0</v>
      </c>
      <c r="AE24" s="14">
        <f t="shared" si="36"/>
        <v>1218000</v>
      </c>
      <c r="AF24" s="14">
        <f t="shared" si="37"/>
        <v>696000</v>
      </c>
      <c r="AG24" s="167"/>
      <c r="AH24" s="167"/>
      <c r="AI24" s="167"/>
      <c r="AJ24" s="167"/>
      <c r="AK24" s="167"/>
      <c r="AL24" s="167"/>
      <c r="AM24" s="167"/>
      <c r="AN24" s="167"/>
      <c r="AO24" s="167"/>
      <c r="AP24" s="167"/>
      <c r="AQ24" s="167"/>
      <c r="AR24" s="167"/>
      <c r="AS24" s="167"/>
      <c r="AT24" s="167"/>
      <c r="AU24" s="167"/>
      <c r="AV24" s="73">
        <v>17</v>
      </c>
      <c r="AW24" s="144">
        <v>90</v>
      </c>
      <c r="AX24" s="159">
        <f t="shared" si="38"/>
        <v>240</v>
      </c>
      <c r="AY24" s="159">
        <f t="shared" si="39"/>
        <v>120</v>
      </c>
      <c r="AZ24" s="159">
        <f t="shared" si="40"/>
        <v>48</v>
      </c>
      <c r="BA24" s="159">
        <f t="shared" si="41"/>
        <v>4.8000000000000007</v>
      </c>
      <c r="BB24" s="159">
        <f t="shared" si="42"/>
        <v>0</v>
      </c>
      <c r="BC24" s="159">
        <f t="shared" si="43"/>
        <v>27</v>
      </c>
      <c r="BD24" s="159">
        <f t="shared" si="44"/>
        <v>14.040000000000003</v>
      </c>
      <c r="BE24" s="159">
        <f t="shared" si="45"/>
        <v>3.7800000000000002</v>
      </c>
      <c r="BF24" s="159">
        <f t="shared" si="46"/>
        <v>0</v>
      </c>
      <c r="CS24" s="73">
        <v>19</v>
      </c>
      <c r="CT24" s="73">
        <v>1</v>
      </c>
      <c r="CU24" s="14" t="str">
        <f>INDEX(节奏总表!$BC$4:$BC$23,MATCH(挂机升级突破!CS24+1,节奏总表!$BF$4:$BF$22,1))</f>
        <v>叫唤+2</v>
      </c>
      <c r="CV24" s="73"/>
      <c r="CW24" s="14">
        <f>INDEX(节奏总表!$AY$4:$AY$55,挂机升级突破!CS24)</f>
        <v>65</v>
      </c>
      <c r="CX24" s="73"/>
      <c r="CY24" s="73"/>
      <c r="CZ24" s="19">
        <v>0.1</v>
      </c>
      <c r="DA24" s="73"/>
      <c r="DB24" s="73"/>
      <c r="DC24" s="73"/>
      <c r="DD24" s="19">
        <v>0.05</v>
      </c>
      <c r="DE24" s="73"/>
      <c r="DF24" s="73"/>
      <c r="DG24" s="73"/>
      <c r="DH24" s="139">
        <v>4</v>
      </c>
      <c r="DI24" s="19">
        <v>0.15</v>
      </c>
      <c r="DJ24" s="14">
        <f t="shared" si="15"/>
        <v>28647.75</v>
      </c>
      <c r="DL24" s="76">
        <v>19</v>
      </c>
      <c r="DM24" s="64">
        <v>1</v>
      </c>
      <c r="DN24" s="73" t="s">
        <v>489</v>
      </c>
      <c r="DO24" s="76">
        <v>9.0000000000000107</v>
      </c>
      <c r="DP24" s="14">
        <f t="shared" si="3"/>
        <v>65</v>
      </c>
      <c r="DQ24" s="104">
        <v>11</v>
      </c>
      <c r="DR24" s="104">
        <v>3</v>
      </c>
      <c r="DS24" s="64"/>
      <c r="DT24" s="14">
        <f t="shared" si="16"/>
        <v>0</v>
      </c>
      <c r="DU24" s="14">
        <f t="shared" si="17"/>
        <v>0</v>
      </c>
      <c r="DV24" s="14">
        <f t="shared" si="18"/>
        <v>325</v>
      </c>
      <c r="DW24" s="14">
        <f t="shared" si="19"/>
        <v>0</v>
      </c>
      <c r="DX24" s="14">
        <f t="shared" si="20"/>
        <v>0</v>
      </c>
      <c r="DY24" s="14">
        <f t="shared" si="21"/>
        <v>0</v>
      </c>
      <c r="DZ24" s="14">
        <f t="shared" si="22"/>
        <v>115</v>
      </c>
      <c r="EA24" s="14">
        <f t="shared" si="23"/>
        <v>0</v>
      </c>
      <c r="EB24" s="14">
        <f t="shared" si="24"/>
        <v>0</v>
      </c>
      <c r="EC24" s="14">
        <f t="shared" si="25"/>
        <v>0</v>
      </c>
      <c r="ED24" s="14">
        <f t="shared" si="6"/>
        <v>28647.75</v>
      </c>
      <c r="EF24" s="139">
        <v>18</v>
      </c>
      <c r="EG24" s="139" t="s">
        <v>491</v>
      </c>
      <c r="EH24" s="139">
        <v>125</v>
      </c>
      <c r="EI24" s="139">
        <v>5</v>
      </c>
      <c r="EJ24" s="139">
        <v>4</v>
      </c>
      <c r="EK24" s="19">
        <v>0.2</v>
      </c>
      <c r="EL24" s="192"/>
      <c r="EM24" s="139"/>
      <c r="EN24" s="19"/>
      <c r="EO24" s="19">
        <v>0.21</v>
      </c>
      <c r="EP24" s="139">
        <v>7</v>
      </c>
      <c r="EQ24" s="19">
        <v>0.4</v>
      </c>
      <c r="ER24" s="14">
        <f t="shared" si="58"/>
        <v>0</v>
      </c>
      <c r="ES24" s="14">
        <f t="shared" si="59"/>
        <v>0</v>
      </c>
      <c r="ET24" s="14">
        <f t="shared" si="60"/>
        <v>0</v>
      </c>
      <c r="EU24" s="14">
        <f t="shared" si="61"/>
        <v>172</v>
      </c>
      <c r="EV24" s="14">
        <f>INDEX(金币总表!$AN$5:$AN$12,挂机升级突破!EP24)*挂机升级突破!EQ24</f>
        <v>752092.8</v>
      </c>
      <c r="EZ24" s="19"/>
      <c r="FA24" s="14"/>
      <c r="FB24" s="64"/>
      <c r="FC24" s="14"/>
    </row>
    <row r="25" spans="1:159" ht="16.5" x14ac:dyDescent="0.2">
      <c r="A25" s="73">
        <v>18</v>
      </c>
      <c r="B25" s="73">
        <v>4</v>
      </c>
      <c r="C25" s="73">
        <v>95</v>
      </c>
      <c r="D25" s="14">
        <f>节奏总表!AC22</f>
        <v>2.5</v>
      </c>
      <c r="E25" s="14">
        <f>节奏总表!AD22</f>
        <v>18.829999999999998</v>
      </c>
      <c r="F25" s="14">
        <f>(节奏总表!N22+节奏总表!O22)*60</f>
        <v>7440</v>
      </c>
      <c r="G25" s="19">
        <v>1</v>
      </c>
      <c r="H25" s="19">
        <v>1</v>
      </c>
      <c r="I25" s="19">
        <v>1</v>
      </c>
      <c r="J25" s="19">
        <v>0.35</v>
      </c>
      <c r="K25" s="19">
        <v>0</v>
      </c>
      <c r="L25" s="19">
        <v>0.5</v>
      </c>
      <c r="M25" s="19">
        <v>0.5</v>
      </c>
      <c r="N25" s="19">
        <v>0.5</v>
      </c>
      <c r="O25" s="19">
        <v>0</v>
      </c>
      <c r="P25" s="19">
        <v>0</v>
      </c>
      <c r="Q25" s="14">
        <f>章节关卡!L23</f>
        <v>185</v>
      </c>
      <c r="R25" s="14">
        <f>章节关卡!I23</f>
        <v>110</v>
      </c>
      <c r="U25" s="14">
        <f t="shared" si="26"/>
        <v>620</v>
      </c>
      <c r="V25" s="14">
        <f t="shared" si="27"/>
        <v>310</v>
      </c>
      <c r="W25" s="14">
        <f t="shared" si="28"/>
        <v>124</v>
      </c>
      <c r="X25" s="14">
        <f t="shared" si="29"/>
        <v>21.700000000000003</v>
      </c>
      <c r="Y25" s="14">
        <f t="shared" si="30"/>
        <v>0</v>
      </c>
      <c r="Z25" s="14">
        <f t="shared" si="31"/>
        <v>46.5</v>
      </c>
      <c r="AA25" s="14">
        <f t="shared" si="32"/>
        <v>18.600000000000001</v>
      </c>
      <c r="AB25" s="14">
        <f t="shared" si="33"/>
        <v>9.3000000000000007</v>
      </c>
      <c r="AC25" s="14">
        <f t="shared" si="34"/>
        <v>0</v>
      </c>
      <c r="AD25" s="14">
        <f t="shared" si="35"/>
        <v>0</v>
      </c>
      <c r="AE25" s="14">
        <f t="shared" si="36"/>
        <v>1376400</v>
      </c>
      <c r="AF25" s="14">
        <f t="shared" si="37"/>
        <v>818400</v>
      </c>
      <c r="AG25" s="167"/>
      <c r="AH25" s="167"/>
      <c r="AI25" s="167"/>
      <c r="AJ25" s="167"/>
      <c r="AK25" s="167"/>
      <c r="AL25" s="167"/>
      <c r="AM25" s="167"/>
      <c r="AN25" s="167"/>
      <c r="AO25" s="167"/>
      <c r="AP25" s="167"/>
      <c r="AQ25" s="167"/>
      <c r="AR25" s="167"/>
      <c r="AS25" s="167"/>
      <c r="AT25" s="167"/>
      <c r="AU25" s="167"/>
      <c r="AV25" s="73">
        <v>18</v>
      </c>
      <c r="AW25" s="144">
        <v>95</v>
      </c>
      <c r="AX25" s="159">
        <f t="shared" si="38"/>
        <v>240</v>
      </c>
      <c r="AY25" s="159">
        <f t="shared" si="39"/>
        <v>120</v>
      </c>
      <c r="AZ25" s="159">
        <f t="shared" si="40"/>
        <v>48</v>
      </c>
      <c r="BA25" s="159">
        <f t="shared" si="41"/>
        <v>8.4</v>
      </c>
      <c r="BB25" s="159">
        <f t="shared" si="42"/>
        <v>0</v>
      </c>
      <c r="BC25" s="159">
        <f t="shared" si="43"/>
        <v>27</v>
      </c>
      <c r="BD25" s="159">
        <f t="shared" si="44"/>
        <v>10.8</v>
      </c>
      <c r="BE25" s="159">
        <f t="shared" si="45"/>
        <v>5.4</v>
      </c>
      <c r="BF25" s="159">
        <f t="shared" si="46"/>
        <v>0</v>
      </c>
      <c r="CS25" s="73">
        <v>20</v>
      </c>
      <c r="CT25" s="73">
        <v>2</v>
      </c>
      <c r="CU25" s="14" t="str">
        <f>INDEX(节奏总表!$BC$4:$BC$23,MATCH(挂机升级突破!CS25+1,节奏总表!$BF$4:$BF$22,1))</f>
        <v>大叫唤</v>
      </c>
      <c r="CV25" s="73"/>
      <c r="CW25" s="14">
        <f>INDEX(节奏总表!$AY$4:$AY$55,挂机升级突破!CS25)</f>
        <v>68</v>
      </c>
      <c r="CX25" s="73"/>
      <c r="CY25" s="73"/>
      <c r="CZ25" s="19">
        <v>0.15</v>
      </c>
      <c r="DA25" s="73"/>
      <c r="DB25" s="73"/>
      <c r="DC25" s="73"/>
      <c r="DD25" s="19">
        <v>7.0000000000000007E-2</v>
      </c>
      <c r="DE25" s="73"/>
      <c r="DF25" s="73"/>
      <c r="DG25" s="73"/>
      <c r="DH25" s="139">
        <v>5</v>
      </c>
      <c r="DI25" s="19">
        <v>0.08</v>
      </c>
      <c r="DJ25" s="14">
        <f t="shared" si="15"/>
        <v>35128</v>
      </c>
      <c r="DL25" s="76">
        <v>20</v>
      </c>
      <c r="DM25" s="64">
        <v>2</v>
      </c>
      <c r="DN25" s="73" t="s">
        <v>529</v>
      </c>
      <c r="DO25" s="76">
        <v>9.0000000000000107</v>
      </c>
      <c r="DP25" s="14">
        <f t="shared" si="3"/>
        <v>68</v>
      </c>
      <c r="DQ25" s="104">
        <v>11</v>
      </c>
      <c r="DR25" s="104">
        <v>3</v>
      </c>
      <c r="DS25" s="64"/>
      <c r="DT25" s="14">
        <f t="shared" si="16"/>
        <v>0</v>
      </c>
      <c r="DU25" s="14">
        <f t="shared" si="17"/>
        <v>0</v>
      </c>
      <c r="DV25" s="14">
        <f t="shared" si="18"/>
        <v>488</v>
      </c>
      <c r="DW25" s="14">
        <f t="shared" si="19"/>
        <v>0</v>
      </c>
      <c r="DX25" s="14">
        <f t="shared" si="20"/>
        <v>0</v>
      </c>
      <c r="DY25" s="14">
        <f t="shared" si="21"/>
        <v>0</v>
      </c>
      <c r="DZ25" s="14">
        <f t="shared" si="22"/>
        <v>161</v>
      </c>
      <c r="EA25" s="14">
        <f t="shared" si="23"/>
        <v>0</v>
      </c>
      <c r="EB25" s="14">
        <f t="shared" si="24"/>
        <v>0</v>
      </c>
      <c r="EC25" s="14">
        <f t="shared" si="25"/>
        <v>0</v>
      </c>
      <c r="ED25" s="14">
        <f t="shared" si="6"/>
        <v>35128</v>
      </c>
      <c r="EF25" s="139">
        <v>19</v>
      </c>
      <c r="EG25" s="139" t="s">
        <v>535</v>
      </c>
      <c r="EH25" s="139">
        <v>132</v>
      </c>
      <c r="EI25" s="139">
        <v>5</v>
      </c>
      <c r="EJ25" s="139">
        <v>4</v>
      </c>
      <c r="EK25" s="19">
        <v>0.2</v>
      </c>
      <c r="EL25" s="192"/>
      <c r="EM25" s="139"/>
      <c r="EN25" s="139"/>
      <c r="EO25" s="19">
        <v>0.28000000000000003</v>
      </c>
      <c r="EP25" s="139">
        <v>8</v>
      </c>
      <c r="EQ25" s="19">
        <v>0.4</v>
      </c>
      <c r="ER25" s="14">
        <f t="shared" si="58"/>
        <v>0</v>
      </c>
      <c r="ES25" s="14">
        <f t="shared" si="59"/>
        <v>0</v>
      </c>
      <c r="ET25" s="14">
        <f t="shared" si="60"/>
        <v>0</v>
      </c>
      <c r="EU25" s="14">
        <f t="shared" si="61"/>
        <v>230</v>
      </c>
      <c r="EV25" s="14">
        <f>INDEX(金币总表!$AN$5:$AN$12,挂机升级突破!EP25)*挂机升级突破!EQ25</f>
        <v>1914760</v>
      </c>
      <c r="EZ25" s="19"/>
      <c r="FA25" s="14"/>
      <c r="FB25" s="64"/>
      <c r="FC25" s="14"/>
    </row>
    <row r="26" spans="1:159" ht="16.5" x14ac:dyDescent="0.2">
      <c r="A26" s="73">
        <v>19</v>
      </c>
      <c r="B26" s="73">
        <v>4</v>
      </c>
      <c r="C26" s="73">
        <v>100</v>
      </c>
      <c r="D26" s="14">
        <f>节奏总表!AC23</f>
        <v>2.610000000000003</v>
      </c>
      <c r="E26" s="14">
        <f>节奏总表!AD23</f>
        <v>21.44</v>
      </c>
      <c r="F26" s="14">
        <f>(节奏总表!N23+节奏总表!O23)*60</f>
        <v>7740</v>
      </c>
      <c r="G26" s="19">
        <v>1</v>
      </c>
      <c r="H26" s="19">
        <v>1</v>
      </c>
      <c r="I26" s="19">
        <v>1</v>
      </c>
      <c r="J26" s="19">
        <v>0.5</v>
      </c>
      <c r="K26" s="19">
        <v>0</v>
      </c>
      <c r="L26" s="19">
        <v>0.5</v>
      </c>
      <c r="M26" s="19">
        <v>0.5</v>
      </c>
      <c r="N26" s="19">
        <v>0.65</v>
      </c>
      <c r="O26" s="19">
        <v>0</v>
      </c>
      <c r="P26" s="19">
        <v>0.05</v>
      </c>
      <c r="Q26" s="14">
        <f>章节关卡!L24</f>
        <v>200</v>
      </c>
      <c r="R26" s="14">
        <f>章节关卡!I24</f>
        <v>120</v>
      </c>
      <c r="U26" s="14">
        <f t="shared" si="26"/>
        <v>645</v>
      </c>
      <c r="V26" s="14">
        <f t="shared" si="27"/>
        <v>322.5</v>
      </c>
      <c r="W26" s="14">
        <f t="shared" si="28"/>
        <v>129</v>
      </c>
      <c r="X26" s="14">
        <f t="shared" si="29"/>
        <v>32.25</v>
      </c>
      <c r="Y26" s="14">
        <f t="shared" si="30"/>
        <v>0</v>
      </c>
      <c r="Z26" s="14">
        <f t="shared" si="31"/>
        <v>48.375</v>
      </c>
      <c r="AA26" s="14">
        <f t="shared" si="32"/>
        <v>19.350000000000001</v>
      </c>
      <c r="AB26" s="14">
        <f t="shared" si="33"/>
        <v>12.577500000000001</v>
      </c>
      <c r="AC26" s="14">
        <f t="shared" si="34"/>
        <v>0</v>
      </c>
      <c r="AD26" s="14">
        <f t="shared" si="35"/>
        <v>0.32250000000000001</v>
      </c>
      <c r="AE26" s="14">
        <f t="shared" si="36"/>
        <v>1548000</v>
      </c>
      <c r="AF26" s="14">
        <f t="shared" si="37"/>
        <v>928800</v>
      </c>
      <c r="AG26" s="167"/>
      <c r="AH26" s="167"/>
      <c r="AI26" s="167"/>
      <c r="AJ26" s="167"/>
      <c r="AK26" s="167"/>
      <c r="AL26" s="167"/>
      <c r="AM26" s="167"/>
      <c r="AN26" s="167"/>
      <c r="AO26" s="167"/>
      <c r="AP26" s="167"/>
      <c r="AQ26" s="167"/>
      <c r="AR26" s="167"/>
      <c r="AS26" s="167"/>
      <c r="AT26" s="167"/>
      <c r="AU26" s="167"/>
      <c r="AV26" s="73">
        <v>19</v>
      </c>
      <c r="AW26" s="144">
        <v>100</v>
      </c>
      <c r="AX26" s="159">
        <f t="shared" si="38"/>
        <v>240</v>
      </c>
      <c r="AY26" s="159">
        <f t="shared" si="39"/>
        <v>120</v>
      </c>
      <c r="AZ26" s="159">
        <f t="shared" si="40"/>
        <v>48</v>
      </c>
      <c r="BA26" s="159">
        <f t="shared" si="41"/>
        <v>12</v>
      </c>
      <c r="BB26" s="159">
        <f t="shared" si="42"/>
        <v>0</v>
      </c>
      <c r="BC26" s="159">
        <f t="shared" si="43"/>
        <v>27</v>
      </c>
      <c r="BD26" s="159">
        <f t="shared" si="44"/>
        <v>10.8</v>
      </c>
      <c r="BE26" s="159">
        <f t="shared" si="45"/>
        <v>7.0200000000000014</v>
      </c>
      <c r="BF26" s="159">
        <f t="shared" si="46"/>
        <v>0</v>
      </c>
      <c r="CS26" s="73">
        <v>21</v>
      </c>
      <c r="CT26" s="73">
        <v>3</v>
      </c>
      <c r="CU26" s="14" t="str">
        <f>INDEX(节奏总表!$BC$4:$BC$23,MATCH(挂机升级突破!CS26+1,节奏总表!$BF$4:$BF$22,1))</f>
        <v>大叫唤</v>
      </c>
      <c r="CV26" s="73"/>
      <c r="CW26" s="14">
        <f>INDEX(节奏总表!$AY$4:$AY$55,挂机升级突破!CS26)</f>
        <v>70</v>
      </c>
      <c r="CX26" s="73"/>
      <c r="CY26" s="73"/>
      <c r="CZ26" s="19">
        <v>0.15</v>
      </c>
      <c r="DA26" s="73"/>
      <c r="DB26" s="73"/>
      <c r="DC26" s="73"/>
      <c r="DD26" s="19">
        <v>7.0000000000000007E-2</v>
      </c>
      <c r="DE26" s="73"/>
      <c r="DF26" s="73"/>
      <c r="DG26" s="73"/>
      <c r="DH26" s="139">
        <v>5</v>
      </c>
      <c r="DI26" s="19">
        <v>0.08</v>
      </c>
      <c r="DJ26" s="14">
        <f t="shared" si="15"/>
        <v>35128</v>
      </c>
      <c r="DL26" s="76">
        <v>21</v>
      </c>
      <c r="DM26" s="64">
        <v>3</v>
      </c>
      <c r="DN26" s="73" t="s">
        <v>529</v>
      </c>
      <c r="DO26" s="76">
        <v>9.0000000000000107</v>
      </c>
      <c r="DP26" s="14">
        <f t="shared" si="3"/>
        <v>70</v>
      </c>
      <c r="DQ26" s="104">
        <v>11</v>
      </c>
      <c r="DR26" s="104">
        <v>3</v>
      </c>
      <c r="DS26" s="64"/>
      <c r="DT26" s="14">
        <f t="shared" si="16"/>
        <v>0</v>
      </c>
      <c r="DU26" s="14">
        <f t="shared" si="17"/>
        <v>0</v>
      </c>
      <c r="DV26" s="14">
        <f t="shared" si="18"/>
        <v>488</v>
      </c>
      <c r="DW26" s="14">
        <f t="shared" si="19"/>
        <v>0</v>
      </c>
      <c r="DX26" s="14">
        <f t="shared" si="20"/>
        <v>0</v>
      </c>
      <c r="DY26" s="14">
        <f t="shared" si="21"/>
        <v>0</v>
      </c>
      <c r="DZ26" s="14">
        <f t="shared" si="22"/>
        <v>161</v>
      </c>
      <c r="EA26" s="14">
        <f t="shared" si="23"/>
        <v>0</v>
      </c>
      <c r="EB26" s="14">
        <f t="shared" si="24"/>
        <v>0</v>
      </c>
      <c r="EC26" s="14">
        <f t="shared" si="25"/>
        <v>0</v>
      </c>
      <c r="ED26" s="14">
        <f t="shared" si="6"/>
        <v>35128</v>
      </c>
      <c r="EF26" s="139">
        <v>20</v>
      </c>
      <c r="EG26" s="139" t="s">
        <v>960</v>
      </c>
      <c r="EH26" s="139">
        <v>140</v>
      </c>
      <c r="EI26" s="139">
        <v>5</v>
      </c>
      <c r="EJ26" s="139">
        <v>4</v>
      </c>
      <c r="EK26" s="19">
        <v>0.2</v>
      </c>
      <c r="EL26" s="192"/>
      <c r="EM26" s="139"/>
      <c r="EN26" s="139"/>
      <c r="EO26" s="19">
        <v>0.36</v>
      </c>
      <c r="EP26" s="139">
        <v>8</v>
      </c>
      <c r="EQ26" s="19">
        <v>0.6</v>
      </c>
      <c r="ER26" s="14">
        <f t="shared" si="58"/>
        <v>0</v>
      </c>
      <c r="ES26" s="14">
        <f t="shared" si="59"/>
        <v>0</v>
      </c>
      <c r="ET26" s="14">
        <f t="shared" si="60"/>
        <v>0</v>
      </c>
      <c r="EU26" s="14">
        <f t="shared" si="61"/>
        <v>295</v>
      </c>
      <c r="EV26" s="14">
        <f>INDEX(金币总表!$AN$5:$AN$12,挂机升级突破!EP26)*挂机升级突破!EQ26</f>
        <v>2872140</v>
      </c>
      <c r="EZ26" s="19"/>
      <c r="FA26" s="14"/>
      <c r="FB26" s="64"/>
      <c r="FC26" s="14"/>
    </row>
    <row r="27" spans="1:159" ht="16.5" x14ac:dyDescent="0.2">
      <c r="A27" s="73">
        <v>20</v>
      </c>
      <c r="B27" s="73">
        <v>4</v>
      </c>
      <c r="C27" s="73">
        <v>105</v>
      </c>
      <c r="D27" s="14">
        <f>节奏总表!AC24</f>
        <v>2.7099999999999973</v>
      </c>
      <c r="E27" s="14">
        <f>节奏总表!AD24</f>
        <v>24.15</v>
      </c>
      <c r="F27" s="14">
        <f>(节奏总表!N24+节奏总表!O24)*60</f>
        <v>8040</v>
      </c>
      <c r="G27" s="19">
        <v>1</v>
      </c>
      <c r="H27" s="19">
        <v>1</v>
      </c>
      <c r="I27" s="19">
        <v>1</v>
      </c>
      <c r="J27" s="19">
        <v>0.65</v>
      </c>
      <c r="K27" s="19">
        <v>0</v>
      </c>
      <c r="L27" s="19">
        <v>0.5</v>
      </c>
      <c r="M27" s="19">
        <v>0.5</v>
      </c>
      <c r="N27" s="19">
        <v>0.8</v>
      </c>
      <c r="O27" s="19">
        <v>0</v>
      </c>
      <c r="P27" s="19">
        <v>0.1</v>
      </c>
      <c r="Q27" s="14">
        <f>章节关卡!L25</f>
        <v>210</v>
      </c>
      <c r="R27" s="14">
        <f>章节关卡!I25</f>
        <v>130</v>
      </c>
      <c r="U27" s="14">
        <f t="shared" si="26"/>
        <v>670</v>
      </c>
      <c r="V27" s="14">
        <f t="shared" si="27"/>
        <v>335</v>
      </c>
      <c r="W27" s="14">
        <f t="shared" si="28"/>
        <v>134</v>
      </c>
      <c r="X27" s="14">
        <f t="shared" si="29"/>
        <v>43.550000000000004</v>
      </c>
      <c r="Y27" s="14">
        <f t="shared" si="30"/>
        <v>0</v>
      </c>
      <c r="Z27" s="14">
        <f t="shared" si="31"/>
        <v>50.25</v>
      </c>
      <c r="AA27" s="14">
        <f t="shared" si="32"/>
        <v>20.100000000000001</v>
      </c>
      <c r="AB27" s="14">
        <f t="shared" si="33"/>
        <v>16.080000000000002</v>
      </c>
      <c r="AC27" s="14">
        <f t="shared" si="34"/>
        <v>0</v>
      </c>
      <c r="AD27" s="14">
        <f t="shared" si="35"/>
        <v>0.67</v>
      </c>
      <c r="AE27" s="14">
        <f t="shared" si="36"/>
        <v>1688400</v>
      </c>
      <c r="AF27" s="14">
        <f t="shared" si="37"/>
        <v>1045200</v>
      </c>
      <c r="AG27" s="167"/>
      <c r="AH27" s="167"/>
      <c r="AI27" s="167"/>
      <c r="AJ27" s="167"/>
      <c r="AK27" s="167"/>
      <c r="AL27" s="167"/>
      <c r="AM27" s="167"/>
      <c r="AN27" s="167"/>
      <c r="AO27" s="167"/>
      <c r="AP27" s="167"/>
      <c r="AQ27" s="167"/>
      <c r="AR27" s="167"/>
      <c r="AS27" s="167"/>
      <c r="AT27" s="167"/>
      <c r="AU27" s="167"/>
      <c r="AV27" s="73">
        <v>20</v>
      </c>
      <c r="AW27" s="144">
        <v>105</v>
      </c>
      <c r="AX27" s="159">
        <f t="shared" si="38"/>
        <v>240</v>
      </c>
      <c r="AY27" s="159">
        <f t="shared" si="39"/>
        <v>120</v>
      </c>
      <c r="AZ27" s="159">
        <f t="shared" si="40"/>
        <v>48</v>
      </c>
      <c r="BA27" s="159">
        <f t="shared" si="41"/>
        <v>15.600000000000001</v>
      </c>
      <c r="BB27" s="159">
        <f t="shared" si="42"/>
        <v>0</v>
      </c>
      <c r="BC27" s="159">
        <f t="shared" si="43"/>
        <v>27</v>
      </c>
      <c r="BD27" s="159">
        <f t="shared" si="44"/>
        <v>10.8</v>
      </c>
      <c r="BE27" s="159">
        <f t="shared" si="45"/>
        <v>8.64</v>
      </c>
      <c r="BF27" s="159">
        <f t="shared" si="46"/>
        <v>0</v>
      </c>
      <c r="CS27" s="73">
        <v>22</v>
      </c>
      <c r="CT27" s="73">
        <v>1</v>
      </c>
      <c r="CU27" s="14" t="str">
        <f>INDEX(节奏总表!$BC$4:$BC$23,MATCH(挂机升级突破!CS27+1,节奏总表!$BF$4:$BF$22,1))</f>
        <v>大叫唤</v>
      </c>
      <c r="CV27" s="73"/>
      <c r="CW27" s="14">
        <f>INDEX(节奏总表!$AY$4:$AY$55,挂机升级突破!CS27)</f>
        <v>73</v>
      </c>
      <c r="CX27" s="73"/>
      <c r="CY27" s="73"/>
      <c r="CZ27" s="19">
        <v>0.15</v>
      </c>
      <c r="DA27" s="73"/>
      <c r="DB27" s="73"/>
      <c r="DC27" s="73"/>
      <c r="DD27" s="19">
        <v>7.0000000000000007E-2</v>
      </c>
      <c r="DE27" s="73"/>
      <c r="DF27" s="73"/>
      <c r="DG27" s="73"/>
      <c r="DH27" s="139">
        <v>5</v>
      </c>
      <c r="DI27" s="19">
        <v>0.08</v>
      </c>
      <c r="DJ27" s="14">
        <f t="shared" si="15"/>
        <v>35128</v>
      </c>
      <c r="DL27" s="76">
        <v>22</v>
      </c>
      <c r="DM27" s="76">
        <v>1</v>
      </c>
      <c r="DN27" s="76" t="s">
        <v>529</v>
      </c>
      <c r="DO27" s="76">
        <v>9.0000000000000107</v>
      </c>
      <c r="DP27" s="14">
        <f t="shared" si="3"/>
        <v>73</v>
      </c>
      <c r="DQ27" s="104">
        <v>11</v>
      </c>
      <c r="DR27" s="104">
        <v>3</v>
      </c>
      <c r="DS27" s="76"/>
      <c r="DT27" s="14">
        <f t="shared" si="16"/>
        <v>0</v>
      </c>
      <c r="DU27" s="14">
        <f t="shared" si="17"/>
        <v>0</v>
      </c>
      <c r="DV27" s="14">
        <f t="shared" si="18"/>
        <v>488</v>
      </c>
      <c r="DW27" s="14">
        <f t="shared" si="19"/>
        <v>0</v>
      </c>
      <c r="DX27" s="14">
        <f t="shared" si="20"/>
        <v>0</v>
      </c>
      <c r="DY27" s="14">
        <f t="shared" si="21"/>
        <v>0</v>
      </c>
      <c r="DZ27" s="14">
        <f t="shared" si="22"/>
        <v>161</v>
      </c>
      <c r="EA27" s="14">
        <f t="shared" si="23"/>
        <v>0</v>
      </c>
      <c r="EB27" s="14">
        <f t="shared" si="24"/>
        <v>0</v>
      </c>
      <c r="EC27" s="14">
        <f t="shared" si="25"/>
        <v>0</v>
      </c>
      <c r="ED27" s="14">
        <f t="shared" si="6"/>
        <v>35128</v>
      </c>
      <c r="EZ27" s="19"/>
      <c r="FA27" s="14"/>
      <c r="FB27" s="64"/>
      <c r="FC27" s="14"/>
    </row>
    <row r="28" spans="1:159" ht="16.5" x14ac:dyDescent="0.2">
      <c r="A28" s="73">
        <v>21</v>
      </c>
      <c r="B28" s="73">
        <v>4</v>
      </c>
      <c r="C28" s="73">
        <v>110</v>
      </c>
      <c r="D28" s="14">
        <f>节奏总表!AC25</f>
        <v>2.8500000000000014</v>
      </c>
      <c r="E28" s="14">
        <f>节奏总表!AD25</f>
        <v>27</v>
      </c>
      <c r="F28" s="14">
        <f>(节奏总表!N25+节奏总表!O25)*60</f>
        <v>8460</v>
      </c>
      <c r="G28" s="19">
        <v>1</v>
      </c>
      <c r="H28" s="19">
        <v>1</v>
      </c>
      <c r="I28" s="19">
        <v>1</v>
      </c>
      <c r="J28" s="19">
        <v>0.8</v>
      </c>
      <c r="K28" s="19">
        <v>0</v>
      </c>
      <c r="L28" s="19">
        <v>0.5</v>
      </c>
      <c r="M28" s="19">
        <v>0.5</v>
      </c>
      <c r="N28" s="19">
        <v>1</v>
      </c>
      <c r="O28" s="19">
        <v>0</v>
      </c>
      <c r="P28" s="19">
        <v>0.2</v>
      </c>
      <c r="Q28" s="14">
        <f>章节关卡!L26</f>
        <v>225</v>
      </c>
      <c r="R28" s="14">
        <f>章节关卡!I26</f>
        <v>140</v>
      </c>
      <c r="U28" s="14">
        <f t="shared" si="26"/>
        <v>705</v>
      </c>
      <c r="V28" s="14">
        <f t="shared" si="27"/>
        <v>352.5</v>
      </c>
      <c r="W28" s="14">
        <f t="shared" si="28"/>
        <v>141</v>
      </c>
      <c r="X28" s="14">
        <f t="shared" si="29"/>
        <v>56.400000000000006</v>
      </c>
      <c r="Y28" s="14">
        <f t="shared" si="30"/>
        <v>0</v>
      </c>
      <c r="Z28" s="14">
        <f t="shared" si="31"/>
        <v>52.875</v>
      </c>
      <c r="AA28" s="14">
        <f t="shared" si="32"/>
        <v>21.15</v>
      </c>
      <c r="AB28" s="14">
        <f t="shared" si="33"/>
        <v>21.15</v>
      </c>
      <c r="AC28" s="14">
        <f t="shared" si="34"/>
        <v>0</v>
      </c>
      <c r="AD28" s="14">
        <f t="shared" si="35"/>
        <v>1.4100000000000001</v>
      </c>
      <c r="AE28" s="14">
        <f t="shared" si="36"/>
        <v>1903500</v>
      </c>
      <c r="AF28" s="14">
        <f t="shared" si="37"/>
        <v>1184400</v>
      </c>
      <c r="AG28" s="167"/>
      <c r="AH28" s="167"/>
      <c r="AI28" s="167"/>
      <c r="AJ28" s="167"/>
      <c r="AK28" s="167"/>
      <c r="AL28" s="167"/>
      <c r="AM28" s="167"/>
      <c r="AN28" s="167"/>
      <c r="AO28" s="167"/>
      <c r="AP28" s="167"/>
      <c r="AQ28" s="167"/>
      <c r="AR28" s="167"/>
      <c r="AS28" s="167"/>
      <c r="AT28" s="167"/>
      <c r="AU28" s="167"/>
      <c r="AV28" s="73">
        <v>21</v>
      </c>
      <c r="AW28" s="144">
        <v>110</v>
      </c>
      <c r="AX28" s="159">
        <f t="shared" si="38"/>
        <v>240</v>
      </c>
      <c r="AY28" s="159">
        <f t="shared" si="39"/>
        <v>120</v>
      </c>
      <c r="AZ28" s="159">
        <f t="shared" si="40"/>
        <v>48</v>
      </c>
      <c r="BA28" s="159">
        <f t="shared" si="41"/>
        <v>19.200000000000003</v>
      </c>
      <c r="BB28" s="159">
        <f t="shared" si="42"/>
        <v>0</v>
      </c>
      <c r="BC28" s="159">
        <f t="shared" si="43"/>
        <v>27</v>
      </c>
      <c r="BD28" s="159">
        <f t="shared" si="44"/>
        <v>10.8</v>
      </c>
      <c r="BE28" s="159">
        <f t="shared" si="45"/>
        <v>10.8</v>
      </c>
      <c r="BF28" s="159">
        <f t="shared" si="46"/>
        <v>0</v>
      </c>
      <c r="CS28" s="73">
        <v>23</v>
      </c>
      <c r="CT28" s="73">
        <v>2</v>
      </c>
      <c r="CU28" s="14" t="str">
        <f>INDEX(节奏总表!$BC$4:$BC$23,MATCH(挂机升级突破!CS28+1,节奏总表!$BF$4:$BF$22,1))</f>
        <v>大叫唤+1</v>
      </c>
      <c r="CV28" s="73"/>
      <c r="CW28" s="14">
        <f>INDEX(节奏总表!$AY$4:$AY$55,挂机升级突破!CS28)</f>
        <v>75</v>
      </c>
      <c r="CX28" s="73"/>
      <c r="CY28" s="73"/>
      <c r="CZ28" s="19"/>
      <c r="DA28" s="19">
        <v>0.05</v>
      </c>
      <c r="DB28" s="73"/>
      <c r="DC28" s="73"/>
      <c r="DD28" s="19">
        <v>0.09</v>
      </c>
      <c r="DE28" s="73"/>
      <c r="DF28" s="73"/>
      <c r="DG28" s="73"/>
      <c r="DH28" s="139">
        <v>5</v>
      </c>
      <c r="DI28" s="19">
        <v>0.11</v>
      </c>
      <c r="DJ28" s="14">
        <f t="shared" si="15"/>
        <v>48301</v>
      </c>
      <c r="DL28" s="76">
        <v>23</v>
      </c>
      <c r="DM28" s="76">
        <v>2</v>
      </c>
      <c r="DN28" s="76" t="s">
        <v>530</v>
      </c>
      <c r="DO28" s="76">
        <v>9.0000000000000107</v>
      </c>
      <c r="DP28" s="14">
        <f t="shared" si="3"/>
        <v>75</v>
      </c>
      <c r="DQ28" s="104">
        <v>11</v>
      </c>
      <c r="DR28" s="104">
        <v>4</v>
      </c>
      <c r="DS28" s="76"/>
      <c r="DT28" s="14">
        <f t="shared" si="16"/>
        <v>0</v>
      </c>
      <c r="DU28" s="14">
        <f t="shared" si="17"/>
        <v>0</v>
      </c>
      <c r="DV28" s="14">
        <f t="shared" si="18"/>
        <v>0</v>
      </c>
      <c r="DW28" s="14">
        <f t="shared" si="19"/>
        <v>135</v>
      </c>
      <c r="DX28" s="14">
        <f t="shared" si="20"/>
        <v>0</v>
      </c>
      <c r="DY28" s="14">
        <f t="shared" si="21"/>
        <v>0</v>
      </c>
      <c r="DZ28" s="14">
        <f t="shared" si="22"/>
        <v>207</v>
      </c>
      <c r="EA28" s="14">
        <f t="shared" si="23"/>
        <v>0</v>
      </c>
      <c r="EB28" s="14">
        <f t="shared" si="24"/>
        <v>0</v>
      </c>
      <c r="EC28" s="14">
        <f t="shared" si="25"/>
        <v>0</v>
      </c>
      <c r="ED28" s="14">
        <f t="shared" si="6"/>
        <v>48301</v>
      </c>
      <c r="EZ28" s="19"/>
      <c r="FA28" s="14"/>
      <c r="FB28" s="73"/>
      <c r="FC28" s="14"/>
    </row>
    <row r="29" spans="1:159" ht="16.5" x14ac:dyDescent="0.2">
      <c r="A29" s="73">
        <v>22</v>
      </c>
      <c r="B29" s="73">
        <v>4</v>
      </c>
      <c r="C29" s="73">
        <v>115</v>
      </c>
      <c r="D29" s="14">
        <f>节奏总表!AC26</f>
        <v>3</v>
      </c>
      <c r="E29" s="14">
        <f>节奏总表!AD26</f>
        <v>30</v>
      </c>
      <c r="F29" s="14">
        <f>(节奏总表!N26+节奏总表!O26)*60</f>
        <v>8880</v>
      </c>
      <c r="G29" s="19">
        <v>1</v>
      </c>
      <c r="H29" s="19">
        <v>1</v>
      </c>
      <c r="I29" s="19">
        <v>1</v>
      </c>
      <c r="J29" s="19">
        <v>1</v>
      </c>
      <c r="K29" s="19">
        <v>0</v>
      </c>
      <c r="L29" s="19">
        <v>0.5</v>
      </c>
      <c r="M29" s="19">
        <v>0.5</v>
      </c>
      <c r="N29" s="19">
        <v>0.8</v>
      </c>
      <c r="O29" s="19">
        <v>0.2</v>
      </c>
      <c r="P29" s="19">
        <v>0.3</v>
      </c>
      <c r="Q29" s="14">
        <f>章节关卡!L27</f>
        <v>235</v>
      </c>
      <c r="R29" s="14">
        <f>章节关卡!I27</f>
        <v>150</v>
      </c>
      <c r="U29" s="14">
        <f t="shared" si="26"/>
        <v>740</v>
      </c>
      <c r="V29" s="14">
        <f t="shared" si="27"/>
        <v>370</v>
      </c>
      <c r="W29" s="14">
        <f t="shared" si="28"/>
        <v>148</v>
      </c>
      <c r="X29" s="14">
        <f t="shared" si="29"/>
        <v>74</v>
      </c>
      <c r="Y29" s="14">
        <f t="shared" si="30"/>
        <v>0</v>
      </c>
      <c r="Z29" s="14">
        <f t="shared" si="31"/>
        <v>55.5</v>
      </c>
      <c r="AA29" s="14">
        <f t="shared" si="32"/>
        <v>22.2</v>
      </c>
      <c r="AB29" s="14">
        <f t="shared" si="33"/>
        <v>17.760000000000002</v>
      </c>
      <c r="AC29" s="14">
        <f t="shared" si="34"/>
        <v>2.2200000000000002</v>
      </c>
      <c r="AD29" s="14">
        <f t="shared" si="35"/>
        <v>2.2200000000000002</v>
      </c>
      <c r="AE29" s="14">
        <f t="shared" si="36"/>
        <v>2086800</v>
      </c>
      <c r="AF29" s="14">
        <f t="shared" si="37"/>
        <v>1332000</v>
      </c>
      <c r="AV29" s="73">
        <v>22</v>
      </c>
      <c r="AW29" s="144">
        <v>115</v>
      </c>
      <c r="AX29" s="159">
        <f t="shared" si="38"/>
        <v>240</v>
      </c>
      <c r="AY29" s="159">
        <f t="shared" si="39"/>
        <v>120</v>
      </c>
      <c r="AZ29" s="159">
        <f t="shared" si="40"/>
        <v>48</v>
      </c>
      <c r="BA29" s="159">
        <f t="shared" si="41"/>
        <v>24</v>
      </c>
      <c r="BB29" s="159">
        <f t="shared" si="42"/>
        <v>0</v>
      </c>
      <c r="BC29" s="159">
        <f t="shared" si="43"/>
        <v>27</v>
      </c>
      <c r="BD29" s="159">
        <f t="shared" si="44"/>
        <v>10.8</v>
      </c>
      <c r="BE29" s="159">
        <f t="shared" si="45"/>
        <v>8.64</v>
      </c>
      <c r="BF29" s="159">
        <f t="shared" si="46"/>
        <v>1.08</v>
      </c>
      <c r="CS29" s="73">
        <v>24</v>
      </c>
      <c r="CT29" s="73">
        <v>3</v>
      </c>
      <c r="CU29" s="14" t="str">
        <f>INDEX(节奏总表!$BC$4:$BC$23,MATCH(挂机升级突破!CS29+1,节奏总表!$BF$4:$BF$22,1))</f>
        <v>大叫唤+1</v>
      </c>
      <c r="CV29" s="73"/>
      <c r="CW29" s="14">
        <f>INDEX(节奏总表!$AY$4:$AY$55,挂机升级突破!CS29)</f>
        <v>78</v>
      </c>
      <c r="CX29" s="73"/>
      <c r="CY29" s="73"/>
      <c r="CZ29" s="19"/>
      <c r="DA29" s="19">
        <v>0.05</v>
      </c>
      <c r="DB29" s="73"/>
      <c r="DC29" s="73"/>
      <c r="DD29" s="19">
        <v>0.09</v>
      </c>
      <c r="DE29" s="73"/>
      <c r="DF29" s="73"/>
      <c r="DG29" s="73"/>
      <c r="DH29" s="139">
        <v>5</v>
      </c>
      <c r="DI29" s="19">
        <v>0.11</v>
      </c>
      <c r="DJ29" s="14">
        <f t="shared" si="15"/>
        <v>48301</v>
      </c>
      <c r="DL29" s="76">
        <v>24</v>
      </c>
      <c r="DM29" s="76">
        <v>3</v>
      </c>
      <c r="DN29" s="76" t="s">
        <v>530</v>
      </c>
      <c r="DO29" s="76">
        <v>9.0000000000000107</v>
      </c>
      <c r="DP29" s="14">
        <f t="shared" si="3"/>
        <v>78</v>
      </c>
      <c r="DQ29" s="104">
        <v>11</v>
      </c>
      <c r="DR29" s="104">
        <v>4</v>
      </c>
      <c r="DS29" s="76"/>
      <c r="DT29" s="14">
        <f t="shared" si="16"/>
        <v>0</v>
      </c>
      <c r="DU29" s="14">
        <f t="shared" si="17"/>
        <v>0</v>
      </c>
      <c r="DV29" s="14">
        <f t="shared" si="18"/>
        <v>0</v>
      </c>
      <c r="DW29" s="14">
        <f t="shared" si="19"/>
        <v>135</v>
      </c>
      <c r="DX29" s="14">
        <f t="shared" si="20"/>
        <v>0</v>
      </c>
      <c r="DY29" s="14">
        <f t="shared" si="21"/>
        <v>0</v>
      </c>
      <c r="DZ29" s="14">
        <f t="shared" si="22"/>
        <v>207</v>
      </c>
      <c r="EA29" s="14">
        <f t="shared" si="23"/>
        <v>0</v>
      </c>
      <c r="EB29" s="14">
        <f t="shared" si="24"/>
        <v>0</v>
      </c>
      <c r="EC29" s="14">
        <f t="shared" si="25"/>
        <v>0</v>
      </c>
      <c r="ED29" s="14">
        <f t="shared" si="6"/>
        <v>48301</v>
      </c>
      <c r="EZ29" s="19"/>
      <c r="FA29" s="14"/>
      <c r="FB29" s="73"/>
      <c r="FC29" s="14"/>
    </row>
    <row r="30" spans="1:159" ht="16.5" x14ac:dyDescent="0.2">
      <c r="A30" s="73">
        <v>23</v>
      </c>
      <c r="B30" s="73">
        <v>4</v>
      </c>
      <c r="C30" s="73">
        <v>120</v>
      </c>
      <c r="D30" s="14">
        <f>节奏总表!AC27</f>
        <v>3.3299999999999983</v>
      </c>
      <c r="E30" s="14">
        <f>节奏总表!AD27</f>
        <v>33.33</v>
      </c>
      <c r="F30" s="14">
        <f>(节奏总表!N27+节奏总表!O27)*60</f>
        <v>9840</v>
      </c>
      <c r="G30" s="19">
        <v>1</v>
      </c>
      <c r="H30" s="19">
        <v>1</v>
      </c>
      <c r="I30" s="19">
        <v>1</v>
      </c>
      <c r="J30" s="19">
        <v>1</v>
      </c>
      <c r="K30" s="19">
        <v>0.2</v>
      </c>
      <c r="L30" s="19">
        <v>0.5</v>
      </c>
      <c r="M30" s="19">
        <v>0.5</v>
      </c>
      <c r="N30" s="19">
        <v>0.65</v>
      </c>
      <c r="O30" s="19">
        <v>0.35</v>
      </c>
      <c r="P30" s="19">
        <v>0.4</v>
      </c>
      <c r="Q30" s="14">
        <f>章节关卡!L28</f>
        <v>250</v>
      </c>
      <c r="R30" s="14">
        <f>章节关卡!I28</f>
        <v>160</v>
      </c>
      <c r="U30" s="14">
        <f t="shared" si="26"/>
        <v>820</v>
      </c>
      <c r="V30" s="14">
        <f t="shared" si="27"/>
        <v>410</v>
      </c>
      <c r="W30" s="14">
        <f t="shared" si="28"/>
        <v>164</v>
      </c>
      <c r="X30" s="14">
        <f t="shared" si="29"/>
        <v>82</v>
      </c>
      <c r="Y30" s="14">
        <f t="shared" si="30"/>
        <v>8.2000000000000011</v>
      </c>
      <c r="Z30" s="14">
        <f t="shared" si="31"/>
        <v>61.5</v>
      </c>
      <c r="AA30" s="14">
        <f t="shared" si="32"/>
        <v>24.6</v>
      </c>
      <c r="AB30" s="14">
        <f t="shared" si="33"/>
        <v>15.99</v>
      </c>
      <c r="AC30" s="14">
        <f t="shared" si="34"/>
        <v>4.3050000000000006</v>
      </c>
      <c r="AD30" s="14">
        <f t="shared" si="35"/>
        <v>3.2800000000000002</v>
      </c>
      <c r="AE30" s="14">
        <f t="shared" si="36"/>
        <v>2460000</v>
      </c>
      <c r="AF30" s="14">
        <f t="shared" si="37"/>
        <v>1574400</v>
      </c>
      <c r="AV30" s="73">
        <v>23</v>
      </c>
      <c r="AW30" s="144">
        <v>120</v>
      </c>
      <c r="AX30" s="159">
        <f t="shared" si="38"/>
        <v>240</v>
      </c>
      <c r="AY30" s="159">
        <f t="shared" si="39"/>
        <v>120</v>
      </c>
      <c r="AZ30" s="159">
        <f t="shared" si="40"/>
        <v>48</v>
      </c>
      <c r="BA30" s="159">
        <f t="shared" si="41"/>
        <v>24</v>
      </c>
      <c r="BB30" s="159">
        <f t="shared" si="42"/>
        <v>2.4000000000000004</v>
      </c>
      <c r="BC30" s="159">
        <f t="shared" si="43"/>
        <v>27</v>
      </c>
      <c r="BD30" s="159">
        <f t="shared" si="44"/>
        <v>10.8</v>
      </c>
      <c r="BE30" s="159">
        <f t="shared" si="45"/>
        <v>7.0200000000000014</v>
      </c>
      <c r="BF30" s="159">
        <f t="shared" si="46"/>
        <v>1.8900000000000001</v>
      </c>
      <c r="CS30" s="73">
        <v>25</v>
      </c>
      <c r="CT30" s="73">
        <v>1</v>
      </c>
      <c r="CU30" s="14" t="str">
        <f>INDEX(节奏总表!$BC$4:$BC$23,MATCH(挂机升级突破!CS30+1,节奏总表!$BF$4:$BF$22,1))</f>
        <v>大叫唤+1</v>
      </c>
      <c r="CV30" s="73"/>
      <c r="CW30" s="14">
        <f>INDEX(节奏总表!$AY$4:$AY$55,挂机升级突破!CS30)</f>
        <v>80</v>
      </c>
      <c r="CX30" s="73"/>
      <c r="CY30" s="73"/>
      <c r="CZ30" s="73"/>
      <c r="DA30" s="19">
        <v>0.05</v>
      </c>
      <c r="DB30" s="73"/>
      <c r="DC30" s="73"/>
      <c r="DD30" s="19">
        <v>0.1</v>
      </c>
      <c r="DE30" s="73"/>
      <c r="DF30" s="73"/>
      <c r="DG30" s="73"/>
      <c r="DH30" s="139">
        <v>5</v>
      </c>
      <c r="DI30" s="19">
        <v>0.12</v>
      </c>
      <c r="DJ30" s="14">
        <f t="shared" si="15"/>
        <v>52692</v>
      </c>
      <c r="DL30" s="76">
        <v>25</v>
      </c>
      <c r="DM30" s="76">
        <v>1</v>
      </c>
      <c r="DN30" s="76" t="s">
        <v>530</v>
      </c>
      <c r="DO30" s="76">
        <v>9.0000000000000107</v>
      </c>
      <c r="DP30" s="14">
        <f t="shared" si="3"/>
        <v>80</v>
      </c>
      <c r="DQ30" s="104">
        <v>11</v>
      </c>
      <c r="DR30" s="104">
        <v>4</v>
      </c>
      <c r="DS30" s="76"/>
      <c r="DT30" s="14">
        <f t="shared" si="16"/>
        <v>0</v>
      </c>
      <c r="DU30" s="14">
        <f t="shared" si="17"/>
        <v>0</v>
      </c>
      <c r="DV30" s="14">
        <f t="shared" si="18"/>
        <v>0</v>
      </c>
      <c r="DW30" s="14">
        <f t="shared" si="19"/>
        <v>135</v>
      </c>
      <c r="DX30" s="14">
        <f t="shared" si="20"/>
        <v>0</v>
      </c>
      <c r="DY30" s="14">
        <f t="shared" si="21"/>
        <v>0</v>
      </c>
      <c r="DZ30" s="14">
        <f t="shared" si="22"/>
        <v>230</v>
      </c>
      <c r="EA30" s="14">
        <f t="shared" si="23"/>
        <v>0</v>
      </c>
      <c r="EB30" s="14">
        <f t="shared" si="24"/>
        <v>0</v>
      </c>
      <c r="EC30" s="14">
        <f t="shared" si="25"/>
        <v>0</v>
      </c>
      <c r="ED30" s="14">
        <f t="shared" si="6"/>
        <v>52692</v>
      </c>
      <c r="EZ30" s="19"/>
      <c r="FA30" s="14"/>
      <c r="FB30" s="73"/>
      <c r="FC30" s="14"/>
    </row>
    <row r="31" spans="1:159" ht="16.5" x14ac:dyDescent="0.2">
      <c r="A31" s="73">
        <v>24</v>
      </c>
      <c r="B31" s="73">
        <v>4</v>
      </c>
      <c r="C31" s="73">
        <v>125</v>
      </c>
      <c r="D31" s="14">
        <f>节奏总表!AC28</f>
        <v>3.75</v>
      </c>
      <c r="E31" s="14">
        <f>节奏总表!AD28</f>
        <v>37.08</v>
      </c>
      <c r="F31" s="14">
        <f>(节奏总表!N28+节奏总表!O28)*60</f>
        <v>11040</v>
      </c>
      <c r="G31" s="19">
        <v>1</v>
      </c>
      <c r="H31" s="19">
        <v>1</v>
      </c>
      <c r="I31" s="19">
        <v>1</v>
      </c>
      <c r="J31" s="19">
        <v>1</v>
      </c>
      <c r="K31" s="19">
        <v>0.35</v>
      </c>
      <c r="L31" s="19">
        <v>0.5</v>
      </c>
      <c r="M31" s="19">
        <v>0.5</v>
      </c>
      <c r="N31" s="19">
        <v>0.5</v>
      </c>
      <c r="O31" s="19">
        <v>0.5</v>
      </c>
      <c r="P31" s="19">
        <v>0.5</v>
      </c>
      <c r="Q31" s="14">
        <f>章节关卡!L29</f>
        <v>275</v>
      </c>
      <c r="R31" s="14">
        <f>章节关卡!I29</f>
        <v>170</v>
      </c>
      <c r="U31" s="14">
        <f t="shared" si="26"/>
        <v>920</v>
      </c>
      <c r="V31" s="14">
        <f t="shared" si="27"/>
        <v>460</v>
      </c>
      <c r="W31" s="14">
        <f t="shared" si="28"/>
        <v>184</v>
      </c>
      <c r="X31" s="14">
        <f t="shared" si="29"/>
        <v>92</v>
      </c>
      <c r="Y31" s="14">
        <f t="shared" si="30"/>
        <v>16.099999999999998</v>
      </c>
      <c r="Z31" s="14">
        <f t="shared" si="31"/>
        <v>69</v>
      </c>
      <c r="AA31" s="14">
        <f t="shared" si="32"/>
        <v>27.6</v>
      </c>
      <c r="AB31" s="14">
        <f t="shared" si="33"/>
        <v>13.8</v>
      </c>
      <c r="AC31" s="14">
        <f t="shared" si="34"/>
        <v>6.9</v>
      </c>
      <c r="AD31" s="14">
        <f t="shared" si="35"/>
        <v>4.5999999999999996</v>
      </c>
      <c r="AE31" s="14">
        <f t="shared" si="36"/>
        <v>3036000</v>
      </c>
      <c r="AF31" s="14">
        <f t="shared" si="37"/>
        <v>1876800</v>
      </c>
      <c r="AV31" s="73">
        <v>24</v>
      </c>
      <c r="AW31" s="144">
        <v>125</v>
      </c>
      <c r="AX31" s="159">
        <f t="shared" si="38"/>
        <v>240</v>
      </c>
      <c r="AY31" s="159">
        <f t="shared" si="39"/>
        <v>120</v>
      </c>
      <c r="AZ31" s="159">
        <f t="shared" si="40"/>
        <v>48</v>
      </c>
      <c r="BA31" s="159">
        <f t="shared" si="41"/>
        <v>24</v>
      </c>
      <c r="BB31" s="159">
        <f t="shared" si="42"/>
        <v>4.2</v>
      </c>
      <c r="BC31" s="159">
        <f t="shared" si="43"/>
        <v>27</v>
      </c>
      <c r="BD31" s="159">
        <f t="shared" si="44"/>
        <v>10.8</v>
      </c>
      <c r="BE31" s="159">
        <f t="shared" si="45"/>
        <v>5.4</v>
      </c>
      <c r="BF31" s="159">
        <f t="shared" si="46"/>
        <v>2.7</v>
      </c>
      <c r="CS31" s="73">
        <v>26</v>
      </c>
      <c r="CT31" s="73">
        <v>2</v>
      </c>
      <c r="CU31" s="14" t="str">
        <f>INDEX(节奏总表!$BC$4:$BC$23,MATCH(挂机升级突破!CS31+1,节奏总表!$BF$4:$BF$22,1))</f>
        <v>大叫唤+2</v>
      </c>
      <c r="CV31" s="73"/>
      <c r="CW31" s="14">
        <f>INDEX(节奏总表!$AY$4:$AY$55,挂机升级突破!CS31)</f>
        <v>83</v>
      </c>
      <c r="CX31" s="73"/>
      <c r="CY31" s="73"/>
      <c r="CZ31" s="73"/>
      <c r="DA31" s="19">
        <v>0.06</v>
      </c>
      <c r="DB31" s="73"/>
      <c r="DC31" s="73"/>
      <c r="DD31" s="19">
        <v>0.12</v>
      </c>
      <c r="DE31" s="73"/>
      <c r="DF31" s="73"/>
      <c r="DG31" s="73"/>
      <c r="DH31" s="139">
        <v>5</v>
      </c>
      <c r="DI31" s="19">
        <v>0.14000000000000001</v>
      </c>
      <c r="DJ31" s="14">
        <f t="shared" si="15"/>
        <v>61474.000000000007</v>
      </c>
      <c r="DL31" s="76">
        <v>26</v>
      </c>
      <c r="DM31" s="76">
        <v>2</v>
      </c>
      <c r="DN31" s="76" t="s">
        <v>490</v>
      </c>
      <c r="DO31" s="76">
        <v>9.0000000000000107</v>
      </c>
      <c r="DP31" s="14">
        <f t="shared" si="3"/>
        <v>83</v>
      </c>
      <c r="DQ31" s="104">
        <v>11</v>
      </c>
      <c r="DR31" s="104">
        <v>4</v>
      </c>
      <c r="DS31" s="76"/>
      <c r="DT31" s="14">
        <f t="shared" si="16"/>
        <v>0</v>
      </c>
      <c r="DU31" s="14">
        <f t="shared" si="17"/>
        <v>0</v>
      </c>
      <c r="DV31" s="14">
        <f t="shared" si="18"/>
        <v>0</v>
      </c>
      <c r="DW31" s="14">
        <f t="shared" si="19"/>
        <v>162</v>
      </c>
      <c r="DX31" s="14">
        <f t="shared" si="20"/>
        <v>0</v>
      </c>
      <c r="DY31" s="14">
        <f t="shared" si="21"/>
        <v>0</v>
      </c>
      <c r="DZ31" s="14">
        <f t="shared" si="22"/>
        <v>276</v>
      </c>
      <c r="EA31" s="14">
        <f t="shared" si="23"/>
        <v>0</v>
      </c>
      <c r="EB31" s="14">
        <f t="shared" si="24"/>
        <v>0</v>
      </c>
      <c r="EC31" s="14">
        <f t="shared" si="25"/>
        <v>0</v>
      </c>
      <c r="ED31" s="14">
        <f t="shared" si="6"/>
        <v>61474.000000000007</v>
      </c>
      <c r="EZ31" s="19"/>
      <c r="FA31" s="14"/>
      <c r="FB31" s="73"/>
      <c r="FC31" s="14"/>
    </row>
    <row r="32" spans="1:159" ht="16.5" x14ac:dyDescent="0.2">
      <c r="A32" s="73">
        <v>25</v>
      </c>
      <c r="B32" s="73">
        <v>4</v>
      </c>
      <c r="C32" s="73">
        <v>130</v>
      </c>
      <c r="D32" s="14">
        <f>节奏总表!AC29</f>
        <v>4.3800000000000026</v>
      </c>
      <c r="E32" s="14">
        <f>节奏总表!AD29</f>
        <v>41.46</v>
      </c>
      <c r="F32" s="14">
        <f>(节奏总表!N29+节奏总表!O29)*60</f>
        <v>12840</v>
      </c>
      <c r="G32" s="19">
        <v>1</v>
      </c>
      <c r="H32" s="19">
        <v>1</v>
      </c>
      <c r="I32" s="19">
        <v>1</v>
      </c>
      <c r="J32" s="19">
        <v>1</v>
      </c>
      <c r="K32" s="19">
        <v>0.5</v>
      </c>
      <c r="L32" s="19">
        <v>0.5</v>
      </c>
      <c r="M32" s="19">
        <v>0.5</v>
      </c>
      <c r="N32" s="19">
        <v>0.5</v>
      </c>
      <c r="O32" s="19">
        <v>0.65</v>
      </c>
      <c r="P32" s="19">
        <v>0.6</v>
      </c>
      <c r="Q32" s="14">
        <f>章节关卡!L30</f>
        <v>300</v>
      </c>
      <c r="R32" s="14">
        <f>章节关卡!I30</f>
        <v>180</v>
      </c>
      <c r="U32" s="14">
        <f t="shared" si="26"/>
        <v>1070</v>
      </c>
      <c r="V32" s="14">
        <f t="shared" si="27"/>
        <v>535</v>
      </c>
      <c r="W32" s="14">
        <f t="shared" si="28"/>
        <v>214</v>
      </c>
      <c r="X32" s="14">
        <f t="shared" si="29"/>
        <v>107</v>
      </c>
      <c r="Y32" s="14">
        <f t="shared" si="30"/>
        <v>26.75</v>
      </c>
      <c r="Z32" s="14">
        <f t="shared" si="31"/>
        <v>80.25</v>
      </c>
      <c r="AA32" s="14">
        <f t="shared" si="32"/>
        <v>32.1</v>
      </c>
      <c r="AB32" s="14">
        <f t="shared" si="33"/>
        <v>16.05</v>
      </c>
      <c r="AC32" s="14">
        <f t="shared" si="34"/>
        <v>10.432500000000001</v>
      </c>
      <c r="AD32" s="14">
        <f t="shared" si="35"/>
        <v>6.4200000000000008</v>
      </c>
      <c r="AE32" s="14">
        <f t="shared" si="36"/>
        <v>3852000</v>
      </c>
      <c r="AF32" s="14">
        <f t="shared" si="37"/>
        <v>2311200</v>
      </c>
      <c r="AV32" s="73">
        <v>25</v>
      </c>
      <c r="AW32" s="144">
        <v>130</v>
      </c>
      <c r="AX32" s="159">
        <f t="shared" si="38"/>
        <v>240</v>
      </c>
      <c r="AY32" s="159">
        <f t="shared" si="39"/>
        <v>120</v>
      </c>
      <c r="AZ32" s="159">
        <f t="shared" si="40"/>
        <v>48</v>
      </c>
      <c r="BA32" s="159">
        <f t="shared" si="41"/>
        <v>24</v>
      </c>
      <c r="BB32" s="159">
        <f t="shared" si="42"/>
        <v>6</v>
      </c>
      <c r="BC32" s="159">
        <f t="shared" si="43"/>
        <v>27</v>
      </c>
      <c r="BD32" s="159">
        <f t="shared" si="44"/>
        <v>10.8</v>
      </c>
      <c r="BE32" s="159">
        <f t="shared" si="45"/>
        <v>5.4</v>
      </c>
      <c r="BF32" s="159">
        <f t="shared" si="46"/>
        <v>3.5100000000000007</v>
      </c>
      <c r="CS32" s="73">
        <v>27</v>
      </c>
      <c r="CT32" s="73">
        <v>3</v>
      </c>
      <c r="CU32" s="14" t="str">
        <f>INDEX(节奏总表!$BC$4:$BC$23,MATCH(挂机升级突破!CS32+1,节奏总表!$BF$4:$BF$22,1))</f>
        <v>大叫唤+2</v>
      </c>
      <c r="CV32" s="73"/>
      <c r="CW32" s="14">
        <f>INDEX(节奏总表!$AY$4:$AY$55,挂机升级突破!CS32)</f>
        <v>85</v>
      </c>
      <c r="CX32" s="73"/>
      <c r="CY32" s="73"/>
      <c r="CZ32" s="73"/>
      <c r="DA32" s="19">
        <v>0.06</v>
      </c>
      <c r="DB32" s="73"/>
      <c r="DC32" s="73"/>
      <c r="DD32" s="19">
        <v>0.12</v>
      </c>
      <c r="DE32" s="73"/>
      <c r="DF32" s="73"/>
      <c r="DG32" s="73"/>
      <c r="DH32" s="139">
        <v>5</v>
      </c>
      <c r="DI32" s="19">
        <v>0.14000000000000001</v>
      </c>
      <c r="DJ32" s="14">
        <f t="shared" si="15"/>
        <v>61474.000000000007</v>
      </c>
      <c r="DL32" s="76">
        <v>27</v>
      </c>
      <c r="DM32" s="76">
        <v>3</v>
      </c>
      <c r="DN32" s="76" t="s">
        <v>490</v>
      </c>
      <c r="DO32" s="76">
        <v>9.0000000000000107</v>
      </c>
      <c r="DP32" s="14">
        <f t="shared" si="3"/>
        <v>85</v>
      </c>
      <c r="DQ32" s="104">
        <v>11</v>
      </c>
      <c r="DR32" s="104">
        <v>4</v>
      </c>
      <c r="DS32" s="76"/>
      <c r="DT32" s="14">
        <f t="shared" si="16"/>
        <v>0</v>
      </c>
      <c r="DU32" s="14">
        <f t="shared" si="17"/>
        <v>0</v>
      </c>
      <c r="DV32" s="14">
        <f t="shared" si="18"/>
        <v>0</v>
      </c>
      <c r="DW32" s="14">
        <f t="shared" si="19"/>
        <v>162</v>
      </c>
      <c r="DX32" s="14">
        <f t="shared" si="20"/>
        <v>0</v>
      </c>
      <c r="DY32" s="14">
        <f t="shared" si="21"/>
        <v>0</v>
      </c>
      <c r="DZ32" s="14">
        <f t="shared" si="22"/>
        <v>276</v>
      </c>
      <c r="EA32" s="14">
        <f t="shared" si="23"/>
        <v>0</v>
      </c>
      <c r="EB32" s="14">
        <f t="shared" si="24"/>
        <v>0</v>
      </c>
      <c r="EC32" s="14">
        <f t="shared" si="25"/>
        <v>0</v>
      </c>
      <c r="ED32" s="14">
        <f t="shared" si="6"/>
        <v>61474.000000000007</v>
      </c>
      <c r="EZ32" s="19"/>
      <c r="FA32" s="14"/>
      <c r="FB32" s="73"/>
      <c r="FC32" s="14"/>
    </row>
    <row r="33" spans="1:167" ht="16.5" x14ac:dyDescent="0.2">
      <c r="A33" s="73">
        <v>26</v>
      </c>
      <c r="B33" s="73">
        <v>4</v>
      </c>
      <c r="C33" s="73">
        <v>135</v>
      </c>
      <c r="D33" s="14">
        <f>节奏总表!AC30</f>
        <v>5.2100000000000009</v>
      </c>
      <c r="E33" s="14">
        <f>节奏总表!AD30</f>
        <v>46.67</v>
      </c>
      <c r="F33" s="14">
        <f>(节奏总表!N30+节奏总表!O30)*60</f>
        <v>15240</v>
      </c>
      <c r="G33" s="19">
        <v>1</v>
      </c>
      <c r="H33" s="19">
        <v>1</v>
      </c>
      <c r="I33" s="19">
        <v>1</v>
      </c>
      <c r="J33" s="19">
        <v>1</v>
      </c>
      <c r="K33" s="19">
        <v>0.65</v>
      </c>
      <c r="L33" s="19">
        <v>0.5</v>
      </c>
      <c r="M33" s="19">
        <v>0.5</v>
      </c>
      <c r="N33" s="19">
        <v>0.5</v>
      </c>
      <c r="O33" s="19">
        <v>0.8</v>
      </c>
      <c r="P33" s="19">
        <v>0.7</v>
      </c>
      <c r="Q33" s="14">
        <f>章节关卡!L31</f>
        <v>325</v>
      </c>
      <c r="R33" s="14">
        <f>章节关卡!I31</f>
        <v>190</v>
      </c>
      <c r="U33" s="14">
        <f t="shared" si="26"/>
        <v>1270</v>
      </c>
      <c r="V33" s="14">
        <f t="shared" si="27"/>
        <v>635</v>
      </c>
      <c r="W33" s="14">
        <f t="shared" si="28"/>
        <v>254</v>
      </c>
      <c r="X33" s="14">
        <f t="shared" si="29"/>
        <v>127</v>
      </c>
      <c r="Y33" s="14">
        <f t="shared" si="30"/>
        <v>41.274999999999999</v>
      </c>
      <c r="Z33" s="14">
        <f t="shared" si="31"/>
        <v>95.25</v>
      </c>
      <c r="AA33" s="14">
        <f t="shared" si="32"/>
        <v>38.1</v>
      </c>
      <c r="AB33" s="14">
        <f t="shared" si="33"/>
        <v>19.05</v>
      </c>
      <c r="AC33" s="14">
        <f t="shared" si="34"/>
        <v>15.24</v>
      </c>
      <c r="AD33" s="14">
        <f t="shared" si="35"/>
        <v>8.8899999999999988</v>
      </c>
      <c r="AE33" s="14">
        <f t="shared" si="36"/>
        <v>4953000</v>
      </c>
      <c r="AF33" s="14">
        <f t="shared" si="37"/>
        <v>2895600</v>
      </c>
      <c r="AV33" s="73">
        <v>26</v>
      </c>
      <c r="AW33" s="144">
        <v>135</v>
      </c>
      <c r="AX33" s="159">
        <f t="shared" si="38"/>
        <v>240</v>
      </c>
      <c r="AY33" s="159">
        <f t="shared" si="39"/>
        <v>120</v>
      </c>
      <c r="AZ33" s="159">
        <f t="shared" si="40"/>
        <v>48</v>
      </c>
      <c r="BA33" s="159">
        <f t="shared" si="41"/>
        <v>24</v>
      </c>
      <c r="BB33" s="159">
        <f t="shared" si="42"/>
        <v>7.8000000000000007</v>
      </c>
      <c r="BC33" s="159">
        <f t="shared" si="43"/>
        <v>27</v>
      </c>
      <c r="BD33" s="159">
        <f t="shared" si="44"/>
        <v>10.8</v>
      </c>
      <c r="BE33" s="159">
        <f t="shared" si="45"/>
        <v>5.4</v>
      </c>
      <c r="BF33" s="159">
        <f t="shared" si="46"/>
        <v>4.32</v>
      </c>
      <c r="CS33" s="73">
        <v>28</v>
      </c>
      <c r="CT33" s="73">
        <v>1</v>
      </c>
      <c r="CU33" s="14" t="str">
        <f>INDEX(节奏总表!$BC$4:$BC$23,MATCH(挂机升级突破!CS33+1,节奏总表!$BF$4:$BF$22,1))</f>
        <v>大叫唤+2</v>
      </c>
      <c r="CV33" s="73"/>
      <c r="CW33" s="14">
        <f>INDEX(节奏总表!$AY$4:$AY$55,挂机升级突破!CS33)</f>
        <v>88</v>
      </c>
      <c r="CX33" s="73"/>
      <c r="CY33" s="73"/>
      <c r="CZ33" s="73"/>
      <c r="DA33" s="19">
        <v>0.06</v>
      </c>
      <c r="DB33" s="73"/>
      <c r="DC33" s="73"/>
      <c r="DD33" s="19">
        <v>0.12</v>
      </c>
      <c r="DE33" s="73"/>
      <c r="DF33" s="73"/>
      <c r="DG33" s="73"/>
      <c r="DH33" s="139">
        <v>5</v>
      </c>
      <c r="DI33" s="19">
        <v>0.14000000000000001</v>
      </c>
      <c r="DJ33" s="14">
        <f t="shared" si="15"/>
        <v>61474.000000000007</v>
      </c>
      <c r="DL33" s="76">
        <v>28</v>
      </c>
      <c r="DM33" s="76">
        <v>1</v>
      </c>
      <c r="DN33" s="76" t="s">
        <v>490</v>
      </c>
      <c r="DO33" s="76">
        <v>9.0000000000000107</v>
      </c>
      <c r="DP33" s="14">
        <f t="shared" si="3"/>
        <v>88</v>
      </c>
      <c r="DQ33" s="104">
        <v>11</v>
      </c>
      <c r="DR33" s="104">
        <v>4</v>
      </c>
      <c r="DS33" s="76"/>
      <c r="DT33" s="14">
        <f t="shared" si="16"/>
        <v>0</v>
      </c>
      <c r="DU33" s="14">
        <f t="shared" si="17"/>
        <v>0</v>
      </c>
      <c r="DV33" s="14">
        <f t="shared" si="18"/>
        <v>0</v>
      </c>
      <c r="DW33" s="14">
        <f t="shared" si="19"/>
        <v>162</v>
      </c>
      <c r="DX33" s="14">
        <f t="shared" si="20"/>
        <v>0</v>
      </c>
      <c r="DY33" s="14">
        <f t="shared" si="21"/>
        <v>0</v>
      </c>
      <c r="DZ33" s="14">
        <f t="shared" si="22"/>
        <v>276</v>
      </c>
      <c r="EA33" s="14">
        <f t="shared" si="23"/>
        <v>0</v>
      </c>
      <c r="EB33" s="14">
        <f t="shared" si="24"/>
        <v>0</v>
      </c>
      <c r="EC33" s="14">
        <f t="shared" si="25"/>
        <v>0</v>
      </c>
      <c r="ED33" s="14">
        <f t="shared" si="6"/>
        <v>61474.000000000007</v>
      </c>
      <c r="EZ33" s="19"/>
      <c r="FA33" s="14"/>
      <c r="FB33" s="73"/>
      <c r="FC33" s="14"/>
    </row>
    <row r="34" spans="1:167" ht="16.5" x14ac:dyDescent="0.2">
      <c r="A34" s="73">
        <v>27</v>
      </c>
      <c r="B34" s="73">
        <v>4</v>
      </c>
      <c r="C34" s="73">
        <v>140</v>
      </c>
      <c r="D34" s="14">
        <f>节奏总表!AC31</f>
        <v>6.25</v>
      </c>
      <c r="E34" s="14">
        <f>节奏总表!AD31</f>
        <v>52.92</v>
      </c>
      <c r="F34" s="14">
        <f>(节奏总表!N31+节奏总表!O31)*60</f>
        <v>18240</v>
      </c>
      <c r="G34" s="19">
        <v>1</v>
      </c>
      <c r="H34" s="19">
        <v>1</v>
      </c>
      <c r="I34" s="19">
        <v>1</v>
      </c>
      <c r="J34" s="19">
        <v>1</v>
      </c>
      <c r="K34" s="19">
        <v>0.8</v>
      </c>
      <c r="L34" s="19">
        <v>0.5</v>
      </c>
      <c r="M34" s="19">
        <v>0.5</v>
      </c>
      <c r="N34" s="19">
        <v>0.5</v>
      </c>
      <c r="O34" s="19">
        <v>1</v>
      </c>
      <c r="P34" s="19">
        <v>0.8</v>
      </c>
      <c r="Q34" s="14">
        <f>章节关卡!L32</f>
        <v>350</v>
      </c>
      <c r="R34" s="14">
        <f>章节关卡!I32</f>
        <v>200</v>
      </c>
      <c r="U34" s="14">
        <f t="shared" si="26"/>
        <v>1520</v>
      </c>
      <c r="V34" s="14">
        <f t="shared" si="27"/>
        <v>760</v>
      </c>
      <c r="W34" s="14">
        <f t="shared" si="28"/>
        <v>304</v>
      </c>
      <c r="X34" s="14">
        <f t="shared" si="29"/>
        <v>152</v>
      </c>
      <c r="Y34" s="14">
        <f t="shared" si="30"/>
        <v>60.800000000000004</v>
      </c>
      <c r="Z34" s="14">
        <f t="shared" si="31"/>
        <v>114</v>
      </c>
      <c r="AA34" s="14">
        <f t="shared" si="32"/>
        <v>45.6</v>
      </c>
      <c r="AB34" s="14">
        <f t="shared" si="33"/>
        <v>22.8</v>
      </c>
      <c r="AC34" s="14">
        <f t="shared" si="34"/>
        <v>22.8</v>
      </c>
      <c r="AD34" s="14">
        <f t="shared" si="35"/>
        <v>12.16</v>
      </c>
      <c r="AE34" s="14">
        <f t="shared" si="36"/>
        <v>6384000</v>
      </c>
      <c r="AF34" s="14">
        <f t="shared" si="37"/>
        <v>3648000</v>
      </c>
      <c r="AV34" s="73">
        <v>27</v>
      </c>
      <c r="AW34" s="73">
        <v>140</v>
      </c>
      <c r="AX34" s="159">
        <f t="shared" si="38"/>
        <v>240</v>
      </c>
      <c r="AY34" s="159">
        <f t="shared" si="39"/>
        <v>120</v>
      </c>
      <c r="AZ34" s="159">
        <f t="shared" si="40"/>
        <v>48</v>
      </c>
      <c r="BA34" s="159">
        <f t="shared" si="41"/>
        <v>24</v>
      </c>
      <c r="BB34" s="159">
        <f t="shared" si="42"/>
        <v>9.6000000000000014</v>
      </c>
      <c r="BC34" s="159">
        <f t="shared" si="43"/>
        <v>27</v>
      </c>
      <c r="BD34" s="159">
        <f t="shared" si="44"/>
        <v>10.8</v>
      </c>
      <c r="BE34" s="159">
        <f t="shared" si="45"/>
        <v>5.4</v>
      </c>
      <c r="BF34" s="159">
        <f t="shared" si="46"/>
        <v>5.4</v>
      </c>
      <c r="CS34" s="73">
        <v>29</v>
      </c>
      <c r="CT34" s="73">
        <v>2</v>
      </c>
      <c r="CU34" s="14" t="str">
        <f>INDEX(节奏总表!$BC$4:$BC$23,MATCH(挂机升级突破!CS34+1,节奏总表!$BF$4:$BF$22,1))</f>
        <v>焦热</v>
      </c>
      <c r="CV34" s="73"/>
      <c r="CW34" s="14">
        <f>INDEX(节奏总表!$AY$4:$AY$55,挂机升级突破!CS34)</f>
        <v>90</v>
      </c>
      <c r="CX34" s="73"/>
      <c r="CY34" s="73"/>
      <c r="CZ34" s="73"/>
      <c r="DA34" s="19">
        <v>7.0000000000000007E-2</v>
      </c>
      <c r="DB34" s="73"/>
      <c r="DC34" s="73"/>
      <c r="DD34" s="73"/>
      <c r="DE34" s="19">
        <v>0.05</v>
      </c>
      <c r="DF34" s="73"/>
      <c r="DG34" s="73"/>
      <c r="DH34" s="139">
        <v>6</v>
      </c>
      <c r="DI34" s="19">
        <v>0.08</v>
      </c>
      <c r="DJ34" s="14">
        <f t="shared" si="15"/>
        <v>62219.4</v>
      </c>
      <c r="DL34" s="76">
        <v>29</v>
      </c>
      <c r="DM34" s="76">
        <v>2</v>
      </c>
      <c r="DN34" s="76" t="s">
        <v>531</v>
      </c>
      <c r="DO34" s="76">
        <v>9.0000000000000107</v>
      </c>
      <c r="DP34" s="14">
        <f t="shared" si="3"/>
        <v>90</v>
      </c>
      <c r="DQ34" s="104">
        <v>11</v>
      </c>
      <c r="DR34" s="104">
        <v>4</v>
      </c>
      <c r="DS34" s="76"/>
      <c r="DT34" s="14">
        <f t="shared" si="16"/>
        <v>0</v>
      </c>
      <c r="DU34" s="14">
        <f t="shared" si="17"/>
        <v>0</v>
      </c>
      <c r="DV34" s="14">
        <f t="shared" si="18"/>
        <v>0</v>
      </c>
      <c r="DW34" s="14">
        <f t="shared" si="19"/>
        <v>189</v>
      </c>
      <c r="DX34" s="14">
        <f t="shared" si="20"/>
        <v>0</v>
      </c>
      <c r="DY34" s="14">
        <f t="shared" si="21"/>
        <v>0</v>
      </c>
      <c r="DZ34" s="14">
        <f t="shared" si="22"/>
        <v>0</v>
      </c>
      <c r="EA34" s="14">
        <f t="shared" si="23"/>
        <v>89</v>
      </c>
      <c r="EB34" s="14">
        <f t="shared" si="24"/>
        <v>0</v>
      </c>
      <c r="EC34" s="14">
        <f t="shared" si="25"/>
        <v>0</v>
      </c>
      <c r="ED34" s="14">
        <f t="shared" si="6"/>
        <v>62219.4</v>
      </c>
      <c r="EZ34" s="19"/>
      <c r="FA34" s="14"/>
      <c r="FB34" s="73"/>
      <c r="FC34" s="14"/>
    </row>
    <row r="35" spans="1:167" ht="16.5" x14ac:dyDescent="0.2">
      <c r="A35" s="73">
        <v>28</v>
      </c>
      <c r="B35" s="73">
        <v>4</v>
      </c>
      <c r="C35" s="73">
        <v>145</v>
      </c>
      <c r="D35" s="14">
        <f>节奏总表!AC32</f>
        <v>7.0799999999999983</v>
      </c>
      <c r="E35" s="14">
        <f>节奏总表!AD32</f>
        <v>60</v>
      </c>
      <c r="F35" s="14">
        <f>(节奏总表!N32+节奏总表!O32)*60</f>
        <v>20640</v>
      </c>
      <c r="G35" s="19">
        <v>1</v>
      </c>
      <c r="H35" s="19">
        <v>1</v>
      </c>
      <c r="I35" s="19">
        <v>1</v>
      </c>
      <c r="J35" s="19">
        <v>1</v>
      </c>
      <c r="K35" s="19">
        <v>1</v>
      </c>
      <c r="L35" s="19">
        <v>0.5</v>
      </c>
      <c r="M35" s="19">
        <v>0.5</v>
      </c>
      <c r="N35" s="19">
        <v>0.5</v>
      </c>
      <c r="O35" s="19">
        <v>1</v>
      </c>
      <c r="P35" s="19">
        <v>0.9</v>
      </c>
      <c r="Q35" s="14">
        <f>章节关卡!L33</f>
        <v>375</v>
      </c>
      <c r="R35" s="14">
        <f>章节关卡!I33</f>
        <v>210</v>
      </c>
      <c r="U35" s="14">
        <f t="shared" si="26"/>
        <v>1720</v>
      </c>
      <c r="V35" s="14">
        <f t="shared" si="27"/>
        <v>860</v>
      </c>
      <c r="W35" s="14">
        <f t="shared" si="28"/>
        <v>344</v>
      </c>
      <c r="X35" s="14">
        <f t="shared" si="29"/>
        <v>172</v>
      </c>
      <c r="Y35" s="14">
        <f t="shared" si="30"/>
        <v>86</v>
      </c>
      <c r="Z35" s="14">
        <f t="shared" si="31"/>
        <v>129</v>
      </c>
      <c r="AA35" s="14">
        <f t="shared" si="32"/>
        <v>51.6</v>
      </c>
      <c r="AB35" s="14">
        <f t="shared" si="33"/>
        <v>25.8</v>
      </c>
      <c r="AC35" s="14">
        <f t="shared" si="34"/>
        <v>25.8</v>
      </c>
      <c r="AD35" s="14">
        <f t="shared" si="35"/>
        <v>15.48</v>
      </c>
      <c r="AE35" s="14">
        <f t="shared" si="36"/>
        <v>7740000</v>
      </c>
      <c r="AF35" s="14">
        <f t="shared" si="37"/>
        <v>4334400</v>
      </c>
      <c r="AV35" s="73">
        <v>28</v>
      </c>
      <c r="AW35" s="73">
        <v>145</v>
      </c>
      <c r="AX35" s="159">
        <f t="shared" si="38"/>
        <v>240</v>
      </c>
      <c r="AY35" s="159">
        <f t="shared" si="39"/>
        <v>120</v>
      </c>
      <c r="AZ35" s="159">
        <f t="shared" si="40"/>
        <v>48</v>
      </c>
      <c r="BA35" s="159">
        <f t="shared" si="41"/>
        <v>24</v>
      </c>
      <c r="BB35" s="159">
        <f t="shared" si="42"/>
        <v>12</v>
      </c>
      <c r="BC35" s="159">
        <f t="shared" si="43"/>
        <v>27</v>
      </c>
      <c r="BD35" s="159">
        <f t="shared" si="44"/>
        <v>10.8</v>
      </c>
      <c r="BE35" s="159">
        <f t="shared" si="45"/>
        <v>5.4</v>
      </c>
      <c r="BF35" s="159">
        <f t="shared" si="46"/>
        <v>5.4</v>
      </c>
      <c r="CS35" s="73">
        <v>30</v>
      </c>
      <c r="CT35" s="73">
        <v>3</v>
      </c>
      <c r="CU35" s="14" t="str">
        <f>INDEX(节奏总表!$BC$4:$BC$23,MATCH(挂机升级突破!CS35+1,节奏总表!$BF$4:$BF$22,1))</f>
        <v>焦热</v>
      </c>
      <c r="CV35" s="73"/>
      <c r="CW35" s="14">
        <f>INDEX(节奏总表!$AY$4:$AY$55,挂机升级突破!CS35)</f>
        <v>93</v>
      </c>
      <c r="CX35" s="73"/>
      <c r="CY35" s="73"/>
      <c r="CZ35" s="73"/>
      <c r="DA35" s="19">
        <v>7.0000000000000007E-2</v>
      </c>
      <c r="DB35" s="73"/>
      <c r="DC35" s="73"/>
      <c r="DD35" s="73"/>
      <c r="DE35" s="19">
        <v>0.05</v>
      </c>
      <c r="DF35" s="73"/>
      <c r="DG35" s="73"/>
      <c r="DH35" s="139">
        <v>6</v>
      </c>
      <c r="DI35" s="19">
        <v>0.08</v>
      </c>
      <c r="DJ35" s="14">
        <f t="shared" si="15"/>
        <v>62219.4</v>
      </c>
      <c r="DL35" s="76">
        <v>30</v>
      </c>
      <c r="DM35" s="76">
        <v>3</v>
      </c>
      <c r="DN35" s="76" t="s">
        <v>531</v>
      </c>
      <c r="DO35" s="76">
        <v>9.0000000000000107</v>
      </c>
      <c r="DP35" s="14">
        <f t="shared" si="3"/>
        <v>93</v>
      </c>
      <c r="DQ35" s="104">
        <v>11</v>
      </c>
      <c r="DR35" s="104">
        <v>4</v>
      </c>
      <c r="DS35" s="76"/>
      <c r="DT35" s="14">
        <f t="shared" si="16"/>
        <v>0</v>
      </c>
      <c r="DU35" s="14">
        <f t="shared" si="17"/>
        <v>0</v>
      </c>
      <c r="DV35" s="14">
        <f t="shared" si="18"/>
        <v>0</v>
      </c>
      <c r="DW35" s="14">
        <f t="shared" si="19"/>
        <v>189</v>
      </c>
      <c r="DX35" s="14">
        <f t="shared" si="20"/>
        <v>0</v>
      </c>
      <c r="DY35" s="14">
        <f t="shared" si="21"/>
        <v>0</v>
      </c>
      <c r="DZ35" s="14">
        <f t="shared" si="22"/>
        <v>0</v>
      </c>
      <c r="EA35" s="14">
        <f t="shared" si="23"/>
        <v>89</v>
      </c>
      <c r="EB35" s="14">
        <f t="shared" si="24"/>
        <v>0</v>
      </c>
      <c r="EC35" s="14">
        <f t="shared" si="25"/>
        <v>0</v>
      </c>
      <c r="ED35" s="14">
        <f t="shared" si="6"/>
        <v>62219.4</v>
      </c>
      <c r="EZ35" s="19"/>
      <c r="FA35" s="14"/>
      <c r="FB35" s="73"/>
      <c r="FC35" s="14"/>
    </row>
    <row r="36" spans="1:167" ht="16.5" x14ac:dyDescent="0.2">
      <c r="A36" s="73">
        <v>29</v>
      </c>
      <c r="B36" s="73">
        <v>4</v>
      </c>
      <c r="C36" s="73">
        <v>150</v>
      </c>
      <c r="D36" s="14">
        <f>节奏总表!AC33</f>
        <v>30</v>
      </c>
      <c r="E36" s="14">
        <f>节奏总表!AD33</f>
        <v>90</v>
      </c>
      <c r="F36" s="14">
        <f>(节奏总表!N33+节奏总表!O33)*60</f>
        <v>86640</v>
      </c>
      <c r="G36" s="19">
        <v>1</v>
      </c>
      <c r="H36" s="19">
        <v>1</v>
      </c>
      <c r="I36" s="19">
        <v>1</v>
      </c>
      <c r="J36" s="19">
        <v>1</v>
      </c>
      <c r="K36" s="19">
        <v>1</v>
      </c>
      <c r="L36" s="19">
        <v>0.5</v>
      </c>
      <c r="M36" s="19">
        <v>0.5</v>
      </c>
      <c r="N36" s="19">
        <v>0.5</v>
      </c>
      <c r="O36" s="19">
        <v>1</v>
      </c>
      <c r="P36" s="19">
        <v>1</v>
      </c>
      <c r="Q36" s="14">
        <f>章节关卡!L34</f>
        <v>400</v>
      </c>
      <c r="R36" s="14">
        <f>章节关卡!I34</f>
        <v>220</v>
      </c>
      <c r="U36" s="14">
        <f t="shared" si="26"/>
        <v>7220</v>
      </c>
      <c r="V36" s="14">
        <f t="shared" si="27"/>
        <v>3610</v>
      </c>
      <c r="W36" s="14">
        <f t="shared" si="28"/>
        <v>1444</v>
      </c>
      <c r="X36" s="14">
        <f t="shared" si="29"/>
        <v>722</v>
      </c>
      <c r="Y36" s="14">
        <f t="shared" si="30"/>
        <v>361</v>
      </c>
      <c r="Z36" s="14">
        <f t="shared" si="31"/>
        <v>541.5</v>
      </c>
      <c r="AA36" s="14">
        <f t="shared" si="32"/>
        <v>216.6</v>
      </c>
      <c r="AB36" s="14">
        <f t="shared" si="33"/>
        <v>108.3</v>
      </c>
      <c r="AC36" s="14">
        <f t="shared" si="34"/>
        <v>108.3</v>
      </c>
      <c r="AD36" s="14">
        <f t="shared" si="35"/>
        <v>72.2</v>
      </c>
      <c r="AE36" s="14">
        <f t="shared" si="36"/>
        <v>34656000</v>
      </c>
      <c r="AF36" s="14">
        <f t="shared" si="37"/>
        <v>19060800</v>
      </c>
      <c r="AV36" s="73">
        <v>29</v>
      </c>
      <c r="AW36" s="73">
        <v>150</v>
      </c>
      <c r="AX36" s="159">
        <f t="shared" si="38"/>
        <v>240</v>
      </c>
      <c r="AY36" s="159">
        <f t="shared" si="39"/>
        <v>120</v>
      </c>
      <c r="AZ36" s="159">
        <f t="shared" si="40"/>
        <v>48</v>
      </c>
      <c r="BA36" s="159">
        <f t="shared" si="41"/>
        <v>24</v>
      </c>
      <c r="BB36" s="159">
        <f t="shared" si="42"/>
        <v>12</v>
      </c>
      <c r="BC36" s="159">
        <f t="shared" si="43"/>
        <v>27</v>
      </c>
      <c r="BD36" s="159">
        <f t="shared" si="44"/>
        <v>10.8</v>
      </c>
      <c r="BE36" s="159">
        <f t="shared" si="45"/>
        <v>5.4</v>
      </c>
      <c r="BF36" s="159">
        <f t="shared" si="46"/>
        <v>5.4</v>
      </c>
      <c r="CS36" s="73">
        <v>31</v>
      </c>
      <c r="CT36" s="73">
        <v>1</v>
      </c>
      <c r="CU36" s="14" t="str">
        <f>INDEX(节奏总表!$BC$4:$BC$23,MATCH(挂机升级突破!CS36+1,节奏总表!$BF$4:$BF$22,1))</f>
        <v>焦热</v>
      </c>
      <c r="CV36" s="73"/>
      <c r="CW36" s="14">
        <f>INDEX(节奏总表!$AY$4:$AY$55,挂机升级突破!CS36)</f>
        <v>95</v>
      </c>
      <c r="CX36" s="73"/>
      <c r="CY36" s="73"/>
      <c r="CZ36" s="73"/>
      <c r="DA36" s="19">
        <v>7.0000000000000007E-2</v>
      </c>
      <c r="DB36" s="73"/>
      <c r="DC36" s="73"/>
      <c r="DD36" s="73"/>
      <c r="DE36" s="19">
        <v>0.05</v>
      </c>
      <c r="DF36" s="73"/>
      <c r="DG36" s="73"/>
      <c r="DH36" s="139">
        <v>6</v>
      </c>
      <c r="DI36" s="19">
        <v>0.08</v>
      </c>
      <c r="DJ36" s="14">
        <f t="shared" si="15"/>
        <v>62219.4</v>
      </c>
      <c r="DL36" s="76">
        <v>31</v>
      </c>
      <c r="DM36" s="76">
        <v>1</v>
      </c>
      <c r="DN36" s="76" t="s">
        <v>531</v>
      </c>
      <c r="DO36" s="76">
        <v>9.0000000000000107</v>
      </c>
      <c r="DP36" s="14">
        <f t="shared" si="3"/>
        <v>95</v>
      </c>
      <c r="DQ36" s="104">
        <v>11</v>
      </c>
      <c r="DR36" s="104">
        <v>4</v>
      </c>
      <c r="DS36" s="76"/>
      <c r="DT36" s="14">
        <f t="shared" si="16"/>
        <v>0</v>
      </c>
      <c r="DU36" s="14">
        <f t="shared" si="17"/>
        <v>0</v>
      </c>
      <c r="DV36" s="14">
        <f t="shared" si="18"/>
        <v>0</v>
      </c>
      <c r="DW36" s="14">
        <f t="shared" si="19"/>
        <v>189</v>
      </c>
      <c r="DX36" s="14">
        <f t="shared" si="20"/>
        <v>0</v>
      </c>
      <c r="DY36" s="14">
        <f t="shared" si="21"/>
        <v>0</v>
      </c>
      <c r="DZ36" s="14">
        <f t="shared" si="22"/>
        <v>0</v>
      </c>
      <c r="EA36" s="14">
        <f t="shared" si="23"/>
        <v>89</v>
      </c>
      <c r="EB36" s="14">
        <f t="shared" si="24"/>
        <v>0</v>
      </c>
      <c r="EC36" s="14">
        <f t="shared" si="25"/>
        <v>0</v>
      </c>
      <c r="ED36" s="14">
        <f t="shared" si="6"/>
        <v>62219.4</v>
      </c>
      <c r="EZ36" s="19"/>
      <c r="FA36" s="14"/>
      <c r="FB36" s="73"/>
      <c r="FC36" s="14"/>
    </row>
    <row r="37" spans="1:167" s="111" customFormat="1" ht="16.5" x14ac:dyDescent="0.2">
      <c r="A37" s="109">
        <v>30</v>
      </c>
      <c r="B37" s="109">
        <v>4</v>
      </c>
      <c r="C37" s="109">
        <v>150</v>
      </c>
      <c r="D37" s="14">
        <f>节奏总表!AC34</f>
        <v>60</v>
      </c>
      <c r="E37" s="14">
        <f>节奏总表!AD34</f>
        <v>150</v>
      </c>
      <c r="F37" s="14">
        <f>(节奏总表!N34+节奏总表!O34)*60</f>
        <v>173040</v>
      </c>
      <c r="G37" s="19">
        <v>1</v>
      </c>
      <c r="H37" s="19">
        <v>1</v>
      </c>
      <c r="I37" s="19">
        <v>1</v>
      </c>
      <c r="J37" s="19">
        <v>1</v>
      </c>
      <c r="K37" s="19">
        <v>1</v>
      </c>
      <c r="L37" s="19">
        <v>0.5</v>
      </c>
      <c r="M37" s="19">
        <v>0.5</v>
      </c>
      <c r="N37" s="19">
        <v>0.5</v>
      </c>
      <c r="O37" s="19">
        <v>1</v>
      </c>
      <c r="P37" s="19">
        <v>1</v>
      </c>
      <c r="Q37" s="14">
        <f>章节关卡!L35</f>
        <v>480</v>
      </c>
      <c r="R37" s="14">
        <f>章节关卡!I35</f>
        <v>220</v>
      </c>
      <c r="U37" s="14">
        <f t="shared" ref="U37" si="67">G37*$F37*G$4/G$5*$B$2</f>
        <v>14420</v>
      </c>
      <c r="V37" s="14">
        <f t="shared" ref="V37" si="68">H37*$F37*H$4/H$5*$B$2</f>
        <v>7210</v>
      </c>
      <c r="W37" s="14">
        <f t="shared" ref="W37" si="69">I37*$F37*I$4/I$5*$B$2</f>
        <v>2884</v>
      </c>
      <c r="X37" s="14">
        <f t="shared" ref="X37" si="70">J37*$F37*J$4/J$5*$B$2</f>
        <v>1442</v>
      </c>
      <c r="Y37" s="14">
        <f t="shared" ref="Y37" si="71">K37*$F37*K$4/K$5*$B$2</f>
        <v>721</v>
      </c>
      <c r="Z37" s="14">
        <f t="shared" ref="Z37" si="72">L37*$F37*L$4/L$5*$B$2</f>
        <v>1081.5</v>
      </c>
      <c r="AA37" s="14">
        <f t="shared" ref="AA37" si="73">M37*$F37*M$4/M$5*$B$2</f>
        <v>432.6</v>
      </c>
      <c r="AB37" s="14">
        <f t="shared" ref="AB37" si="74">N37*$F37*N$4/N$5*$B$2</f>
        <v>216.3</v>
      </c>
      <c r="AC37" s="14">
        <f t="shared" ref="AC37" si="75">O37*$F37*O$4/O$5*$B$2</f>
        <v>216.3</v>
      </c>
      <c r="AD37" s="14">
        <f t="shared" ref="AD37" si="76">P37*$F37*P$4/P$5*$B$2</f>
        <v>144.19999999999999</v>
      </c>
      <c r="AE37" s="14">
        <f t="shared" ref="AE37" si="77">Q37*$F37*Q$4/Q$5*$B$2</f>
        <v>83059200</v>
      </c>
      <c r="AF37" s="14">
        <f t="shared" ref="AF37" si="78">R37*$F37*R$4/R$5*$B$2</f>
        <v>38068800</v>
      </c>
      <c r="AG37" s="168"/>
      <c r="AH37" s="168"/>
      <c r="AI37" s="168"/>
      <c r="AJ37" s="168"/>
      <c r="AK37" s="168"/>
      <c r="AL37" s="168"/>
      <c r="AM37" s="168"/>
      <c r="AN37" s="168"/>
      <c r="AO37" s="168"/>
      <c r="AP37" s="168"/>
      <c r="AQ37" s="168"/>
      <c r="AR37" s="168"/>
      <c r="AS37" s="168"/>
      <c r="AT37" s="168"/>
      <c r="AU37" s="168"/>
      <c r="AV37" s="109">
        <v>30</v>
      </c>
      <c r="AW37" s="109">
        <v>150</v>
      </c>
      <c r="AX37" s="159">
        <f t="shared" si="38"/>
        <v>240</v>
      </c>
      <c r="AY37" s="159">
        <f t="shared" si="39"/>
        <v>120</v>
      </c>
      <c r="AZ37" s="159">
        <f t="shared" si="40"/>
        <v>48</v>
      </c>
      <c r="BA37" s="159">
        <f t="shared" si="41"/>
        <v>24</v>
      </c>
      <c r="BB37" s="159">
        <f t="shared" si="42"/>
        <v>12</v>
      </c>
      <c r="BC37" s="159">
        <f t="shared" si="43"/>
        <v>27</v>
      </c>
      <c r="BD37" s="159">
        <f t="shared" si="44"/>
        <v>10.8</v>
      </c>
      <c r="BE37" s="159">
        <f t="shared" si="45"/>
        <v>5.4</v>
      </c>
      <c r="BF37" s="159">
        <f t="shared" si="46"/>
        <v>5.4</v>
      </c>
      <c r="BH37" s="146"/>
      <c r="BI37" s="168"/>
      <c r="BJ37" s="168"/>
      <c r="BK37" s="168"/>
      <c r="BL37" s="168"/>
      <c r="BM37" s="168"/>
      <c r="BN37" s="168"/>
      <c r="BO37" s="168"/>
      <c r="BP37" s="168"/>
      <c r="BQ37" s="168"/>
      <c r="BR37" s="168"/>
      <c r="BS37" s="168"/>
      <c r="BT37" s="168"/>
      <c r="BU37" s="168"/>
      <c r="BV37" s="168"/>
      <c r="BW37" s="168"/>
      <c r="BX37" s="168"/>
      <c r="BY37" s="168"/>
      <c r="BZ37" s="168"/>
      <c r="CA37" s="168"/>
      <c r="CB37" s="168"/>
      <c r="CC37" s="168"/>
      <c r="CD37" s="168"/>
      <c r="CE37" s="168"/>
      <c r="CF37" s="168"/>
      <c r="CG37" s="168"/>
      <c r="CH37" s="168"/>
      <c r="CI37" s="168"/>
      <c r="CJ37" s="168"/>
      <c r="CK37" s="168"/>
      <c r="CL37" s="168"/>
      <c r="CM37" s="168"/>
      <c r="CO37" s="142"/>
      <c r="CP37" s="142"/>
      <c r="CQ37" s="142"/>
      <c r="CR37" s="142"/>
      <c r="CS37" s="73">
        <v>32</v>
      </c>
      <c r="CT37" s="73">
        <v>2</v>
      </c>
      <c r="CU37" s="14" t="str">
        <f>INDEX(节奏总表!$BC$4:$BC$23,MATCH(挂机升级突破!CS37+1,节奏总表!$BF$4:$BF$22,1))</f>
        <v>焦热+1</v>
      </c>
      <c r="CV37" s="73"/>
      <c r="CW37" s="14">
        <f>INDEX(节奏总表!$AY$4:$AY$55,挂机升级突破!CS37)</f>
        <v>98</v>
      </c>
      <c r="CX37" s="73"/>
      <c r="CY37" s="73"/>
      <c r="CZ37" s="73"/>
      <c r="DA37" s="19">
        <v>7.0000000000000007E-2</v>
      </c>
      <c r="DB37" s="73"/>
      <c r="DC37" s="73"/>
      <c r="DD37" s="73"/>
      <c r="DE37" s="19">
        <v>7.0000000000000007E-2</v>
      </c>
      <c r="DF37" s="73"/>
      <c r="DG37" s="19">
        <v>0.04</v>
      </c>
      <c r="DH37" s="139">
        <v>6</v>
      </c>
      <c r="DI37" s="19">
        <v>0.11</v>
      </c>
      <c r="DJ37" s="14">
        <f t="shared" si="15"/>
        <v>85551.675000000003</v>
      </c>
      <c r="DK37" s="142"/>
      <c r="DL37" s="76">
        <v>32</v>
      </c>
      <c r="DM37" s="76">
        <v>2</v>
      </c>
      <c r="DN37" s="76" t="s">
        <v>532</v>
      </c>
      <c r="DO37" s="76">
        <v>9.0000000000000107</v>
      </c>
      <c r="DP37" s="14">
        <f t="shared" si="3"/>
        <v>98</v>
      </c>
      <c r="DQ37" s="104">
        <v>11</v>
      </c>
      <c r="DR37" s="104">
        <v>4</v>
      </c>
      <c r="DS37" s="76"/>
      <c r="DT37" s="14">
        <f t="shared" si="16"/>
        <v>0</v>
      </c>
      <c r="DU37" s="14">
        <f t="shared" si="17"/>
        <v>0</v>
      </c>
      <c r="DV37" s="14">
        <f t="shared" si="18"/>
        <v>0</v>
      </c>
      <c r="DW37" s="14">
        <f t="shared" si="19"/>
        <v>189</v>
      </c>
      <c r="DX37" s="14">
        <f t="shared" si="20"/>
        <v>0</v>
      </c>
      <c r="DY37" s="14">
        <f t="shared" si="21"/>
        <v>0</v>
      </c>
      <c r="DZ37" s="14">
        <f t="shared" si="22"/>
        <v>0</v>
      </c>
      <c r="EA37" s="14">
        <f t="shared" si="23"/>
        <v>125</v>
      </c>
      <c r="EB37" s="14">
        <f t="shared" si="24"/>
        <v>0</v>
      </c>
      <c r="EC37" s="14">
        <f t="shared" si="25"/>
        <v>12</v>
      </c>
      <c r="ED37" s="14">
        <f t="shared" ref="ED37:ED57" si="79">DJ37</f>
        <v>85551.675000000003</v>
      </c>
      <c r="EF37" s="142"/>
      <c r="EG37" s="142"/>
      <c r="EH37" s="142"/>
      <c r="EI37" s="142"/>
      <c r="EJ37" s="142"/>
      <c r="EK37" s="142"/>
      <c r="EL37" s="142"/>
      <c r="EM37" s="142"/>
      <c r="EN37" s="142"/>
      <c r="EO37" s="142"/>
      <c r="EP37" s="142"/>
      <c r="EQ37" s="142"/>
      <c r="ER37" s="142"/>
      <c r="ES37" s="142"/>
      <c r="ET37" s="142"/>
      <c r="EU37" s="142"/>
      <c r="EZ37" s="19"/>
      <c r="FA37" s="14"/>
      <c r="FB37" s="109"/>
      <c r="FC37" s="14"/>
    </row>
    <row r="38" spans="1:167" ht="16.5" x14ac:dyDescent="0.2">
      <c r="A38" s="168"/>
      <c r="B38" s="168"/>
      <c r="C38" s="168"/>
      <c r="D38" s="168"/>
      <c r="E38" s="168"/>
      <c r="F38" s="168"/>
      <c r="G38" s="168"/>
      <c r="H38" s="168"/>
      <c r="I38" s="168"/>
      <c r="J38" s="168"/>
      <c r="K38" s="168"/>
      <c r="L38" s="168"/>
      <c r="M38" s="168"/>
      <c r="N38" s="168"/>
      <c r="O38" s="168"/>
      <c r="P38" s="168"/>
      <c r="Q38" s="168"/>
      <c r="R38" s="168"/>
      <c r="AX38" s="159">
        <f t="shared" si="38"/>
        <v>0</v>
      </c>
      <c r="AY38" s="159">
        <f t="shared" si="39"/>
        <v>0</v>
      </c>
      <c r="AZ38" s="159">
        <f t="shared" si="40"/>
        <v>0</v>
      </c>
      <c r="BA38" s="159">
        <f t="shared" si="41"/>
        <v>0</v>
      </c>
      <c r="BB38" s="159">
        <f t="shared" si="42"/>
        <v>0</v>
      </c>
      <c r="BC38" s="159">
        <f t="shared" si="43"/>
        <v>0</v>
      </c>
      <c r="BD38" s="159">
        <f t="shared" si="44"/>
        <v>0</v>
      </c>
      <c r="BE38" s="159">
        <f t="shared" si="45"/>
        <v>0</v>
      </c>
      <c r="BF38" s="159">
        <f t="shared" si="46"/>
        <v>0</v>
      </c>
      <c r="CS38" s="73">
        <v>33</v>
      </c>
      <c r="CT38" s="73">
        <v>3</v>
      </c>
      <c r="CU38" s="14" t="str">
        <f>INDEX(节奏总表!$BC$4:$BC$23,MATCH(挂机升级突破!CS38+1,节奏总表!$BF$4:$BF$22,1))</f>
        <v>焦热+1</v>
      </c>
      <c r="CV38" s="73"/>
      <c r="CW38" s="14">
        <f>INDEX(节奏总表!$AY$4:$AY$55,挂机升级突破!CS38)</f>
        <v>100</v>
      </c>
      <c r="CX38" s="73"/>
      <c r="CY38" s="73"/>
      <c r="CZ38" s="73"/>
      <c r="DA38" s="19">
        <v>7.0000000000000007E-2</v>
      </c>
      <c r="DB38" s="73"/>
      <c r="DC38" s="73"/>
      <c r="DD38" s="73"/>
      <c r="DE38" s="19">
        <v>7.0000000000000007E-2</v>
      </c>
      <c r="DF38" s="73"/>
      <c r="DG38" s="19">
        <v>0.04</v>
      </c>
      <c r="DH38" s="139">
        <v>6</v>
      </c>
      <c r="DI38" s="19">
        <v>0.11</v>
      </c>
      <c r="DJ38" s="14">
        <f t="shared" si="15"/>
        <v>85551.675000000003</v>
      </c>
      <c r="DL38" s="76">
        <v>33</v>
      </c>
      <c r="DM38" s="76">
        <v>3</v>
      </c>
      <c r="DN38" s="76" t="s">
        <v>532</v>
      </c>
      <c r="DO38" s="76">
        <v>9.0000000000000107</v>
      </c>
      <c r="DP38" s="14">
        <f t="shared" ref="DP38:DP57" si="80">CW38</f>
        <v>100</v>
      </c>
      <c r="DQ38" s="104">
        <v>11</v>
      </c>
      <c r="DR38" s="104">
        <v>4</v>
      </c>
      <c r="DS38" s="76"/>
      <c r="DT38" s="14">
        <f t="shared" si="16"/>
        <v>0</v>
      </c>
      <c r="DU38" s="14">
        <f t="shared" si="17"/>
        <v>0</v>
      </c>
      <c r="DV38" s="14">
        <f t="shared" si="18"/>
        <v>0</v>
      </c>
      <c r="DW38" s="14">
        <f t="shared" si="19"/>
        <v>189</v>
      </c>
      <c r="DX38" s="14">
        <f t="shared" si="20"/>
        <v>0</v>
      </c>
      <c r="DY38" s="14">
        <f t="shared" si="21"/>
        <v>0</v>
      </c>
      <c r="DZ38" s="14">
        <f t="shared" si="22"/>
        <v>0</v>
      </c>
      <c r="EA38" s="14">
        <f t="shared" si="23"/>
        <v>125</v>
      </c>
      <c r="EB38" s="14">
        <f t="shared" si="24"/>
        <v>0</v>
      </c>
      <c r="EC38" s="14">
        <f t="shared" si="25"/>
        <v>12</v>
      </c>
      <c r="ED38" s="14">
        <f t="shared" si="79"/>
        <v>85551.675000000003</v>
      </c>
      <c r="EZ38" s="19">
        <v>0.25</v>
      </c>
      <c r="FA38" s="14">
        <f t="shared" si="66"/>
        <v>0</v>
      </c>
      <c r="FB38" s="30">
        <v>3</v>
      </c>
      <c r="FC38" s="14">
        <f t="shared" si="8"/>
        <v>0</v>
      </c>
    </row>
    <row r="39" spans="1:167" ht="16.5" x14ac:dyDescent="0.2">
      <c r="A39" s="167"/>
      <c r="B39" s="167"/>
      <c r="C39" s="167"/>
      <c r="D39" s="167"/>
      <c r="E39" s="167"/>
      <c r="F39" s="167"/>
      <c r="G39" s="167"/>
      <c r="H39" s="167"/>
      <c r="I39" s="167"/>
      <c r="J39" s="167"/>
      <c r="K39" s="167"/>
      <c r="L39" s="167"/>
      <c r="M39" s="167"/>
      <c r="N39" s="167"/>
      <c r="O39" s="167"/>
      <c r="P39" s="167"/>
      <c r="Q39" s="167"/>
      <c r="R39" s="167"/>
      <c r="CS39" s="73">
        <v>34</v>
      </c>
      <c r="CT39" s="73">
        <v>1</v>
      </c>
      <c r="CU39" s="14" t="str">
        <f>INDEX(节奏总表!$BC$4:$BC$23,MATCH(挂机升级突破!CS39+1,节奏总表!$BF$4:$BF$22,1))</f>
        <v>焦热+1</v>
      </c>
      <c r="CV39" s="73"/>
      <c r="CW39" s="14">
        <f>INDEX(节奏总表!$AY$4:$AY$55,挂机升级突破!CS39)</f>
        <v>103</v>
      </c>
      <c r="CX39" s="73"/>
      <c r="CY39" s="73"/>
      <c r="CZ39" s="73"/>
      <c r="DA39" s="19">
        <v>0.08</v>
      </c>
      <c r="DB39" s="73"/>
      <c r="DC39" s="73"/>
      <c r="DD39" s="73"/>
      <c r="DE39" s="19">
        <v>7.0000000000000007E-2</v>
      </c>
      <c r="DF39" s="73"/>
      <c r="DG39" s="19">
        <v>0.04</v>
      </c>
      <c r="DH39" s="139">
        <v>6</v>
      </c>
      <c r="DI39" s="19">
        <v>0.11</v>
      </c>
      <c r="DJ39" s="14">
        <f t="shared" si="15"/>
        <v>85551.675000000003</v>
      </c>
      <c r="DL39" s="76">
        <v>34</v>
      </c>
      <c r="DM39" s="76">
        <v>1</v>
      </c>
      <c r="DN39" s="76" t="s">
        <v>532</v>
      </c>
      <c r="DO39" s="76">
        <v>9.0000000000000107</v>
      </c>
      <c r="DP39" s="14">
        <f t="shared" si="80"/>
        <v>103</v>
      </c>
      <c r="DQ39" s="104">
        <v>11</v>
      </c>
      <c r="DR39" s="104">
        <v>4</v>
      </c>
      <c r="DS39" s="76"/>
      <c r="DT39" s="14">
        <f t="shared" si="16"/>
        <v>0</v>
      </c>
      <c r="DU39" s="14">
        <f t="shared" si="17"/>
        <v>0</v>
      </c>
      <c r="DV39" s="14">
        <f t="shared" si="18"/>
        <v>0</v>
      </c>
      <c r="DW39" s="14">
        <f t="shared" si="19"/>
        <v>216</v>
      </c>
      <c r="DX39" s="14">
        <f t="shared" si="20"/>
        <v>0</v>
      </c>
      <c r="DY39" s="14">
        <f t="shared" si="21"/>
        <v>0</v>
      </c>
      <c r="DZ39" s="14">
        <f t="shared" si="22"/>
        <v>0</v>
      </c>
      <c r="EA39" s="14">
        <f t="shared" si="23"/>
        <v>125</v>
      </c>
      <c r="EB39" s="14">
        <f t="shared" si="24"/>
        <v>0</v>
      </c>
      <c r="EC39" s="14">
        <f t="shared" si="25"/>
        <v>12</v>
      </c>
      <c r="ED39" s="14">
        <f t="shared" si="79"/>
        <v>85551.675000000003</v>
      </c>
      <c r="EZ39" s="19">
        <v>0.3</v>
      </c>
      <c r="FA39" s="14">
        <f t="shared" si="66"/>
        <v>0</v>
      </c>
      <c r="FB39" s="30">
        <v>3</v>
      </c>
      <c r="FC39" s="14">
        <f t="shared" si="8"/>
        <v>0</v>
      </c>
    </row>
    <row r="40" spans="1:167" ht="16.5" x14ac:dyDescent="0.2">
      <c r="A40" s="167"/>
      <c r="B40" s="167"/>
      <c r="C40" s="167"/>
      <c r="D40" s="167"/>
      <c r="E40" s="167"/>
      <c r="F40" s="167"/>
      <c r="G40" s="167"/>
      <c r="H40" s="167"/>
      <c r="I40" s="167"/>
      <c r="J40" s="167"/>
      <c r="K40" s="167"/>
      <c r="L40" s="167"/>
      <c r="M40" s="167"/>
      <c r="N40" s="167"/>
      <c r="O40" s="167"/>
      <c r="P40" s="167"/>
      <c r="Q40" s="167"/>
      <c r="R40" s="167"/>
      <c r="CS40" s="73">
        <v>35</v>
      </c>
      <c r="CT40" s="73">
        <v>2</v>
      </c>
      <c r="CU40" s="14" t="str">
        <f>INDEX(节奏总表!$BC$4:$BC$23,MATCH(挂机升级突破!CS40+1,节奏总表!$BF$4:$BF$22,1))</f>
        <v>焦热+2</v>
      </c>
      <c r="CV40" s="73"/>
      <c r="CW40" s="14">
        <f>INDEX(节奏总表!$AY$4:$AY$55,挂机升级突破!CS40)</f>
        <v>105</v>
      </c>
      <c r="CX40" s="73"/>
      <c r="CY40" s="73"/>
      <c r="CZ40" s="73"/>
      <c r="DA40" s="19">
        <v>0.08</v>
      </c>
      <c r="DB40" s="73"/>
      <c r="DC40" s="73"/>
      <c r="DD40" s="73"/>
      <c r="DE40" s="19">
        <v>0.09</v>
      </c>
      <c r="DF40" s="73"/>
      <c r="DG40" s="19">
        <v>0.04</v>
      </c>
      <c r="DH40" s="139">
        <v>6</v>
      </c>
      <c r="DI40" s="19">
        <v>0.14000000000000001</v>
      </c>
      <c r="DJ40" s="14">
        <f t="shared" si="15"/>
        <v>108883.95000000001</v>
      </c>
      <c r="DL40" s="76">
        <v>35</v>
      </c>
      <c r="DM40" s="76">
        <v>2</v>
      </c>
      <c r="DN40" s="76" t="s">
        <v>481</v>
      </c>
      <c r="DO40" s="76">
        <v>9.0000000000000107</v>
      </c>
      <c r="DP40" s="14">
        <f t="shared" si="80"/>
        <v>105</v>
      </c>
      <c r="DQ40" s="104">
        <v>11</v>
      </c>
      <c r="DR40" s="104">
        <v>4</v>
      </c>
      <c r="DS40" s="76"/>
      <c r="DT40" s="14">
        <f t="shared" si="16"/>
        <v>0</v>
      </c>
      <c r="DU40" s="14">
        <f t="shared" si="17"/>
        <v>0</v>
      </c>
      <c r="DV40" s="14">
        <f t="shared" si="18"/>
        <v>0</v>
      </c>
      <c r="DW40" s="14">
        <f t="shared" si="19"/>
        <v>216</v>
      </c>
      <c r="DX40" s="14">
        <f t="shared" si="20"/>
        <v>0</v>
      </c>
      <c r="DY40" s="14">
        <f t="shared" si="21"/>
        <v>0</v>
      </c>
      <c r="DZ40" s="14">
        <f t="shared" si="22"/>
        <v>0</v>
      </c>
      <c r="EA40" s="14">
        <f t="shared" si="23"/>
        <v>160</v>
      </c>
      <c r="EB40" s="14">
        <f t="shared" si="24"/>
        <v>0</v>
      </c>
      <c r="EC40" s="14">
        <f t="shared" si="25"/>
        <v>12</v>
      </c>
      <c r="ED40" s="14">
        <f t="shared" si="79"/>
        <v>108883.95000000001</v>
      </c>
    </row>
    <row r="41" spans="1:167" ht="16.5" x14ac:dyDescent="0.2">
      <c r="A41" s="167"/>
      <c r="B41" s="167"/>
      <c r="C41" s="167"/>
      <c r="D41" s="167"/>
      <c r="E41" s="167"/>
      <c r="F41" s="167"/>
      <c r="G41" s="167"/>
      <c r="H41" s="167"/>
      <c r="I41" s="167"/>
      <c r="J41" s="167"/>
      <c r="K41" s="167"/>
      <c r="L41" s="167"/>
      <c r="M41" s="167"/>
      <c r="N41" s="167"/>
      <c r="O41" s="167"/>
      <c r="P41" s="167"/>
      <c r="Q41" s="167"/>
      <c r="R41" s="167"/>
      <c r="CS41" s="73">
        <v>36</v>
      </c>
      <c r="CT41" s="73">
        <v>3</v>
      </c>
      <c r="CU41" s="14" t="str">
        <f>INDEX(节奏总表!$BC$4:$BC$23,MATCH(挂机升级突破!CS41+1,节奏总表!$BF$4:$BF$22,1))</f>
        <v>焦热+2</v>
      </c>
      <c r="CV41" s="73"/>
      <c r="CW41" s="14">
        <f>INDEX(节奏总表!$AY$4:$AY$55,挂机升级突破!CS41)</f>
        <v>108</v>
      </c>
      <c r="CX41" s="73"/>
      <c r="CY41" s="73"/>
      <c r="CZ41" s="73"/>
      <c r="DA41" s="19">
        <v>0.08</v>
      </c>
      <c r="DB41" s="73"/>
      <c r="DC41" s="73"/>
      <c r="DD41" s="73"/>
      <c r="DE41" s="19">
        <v>0.09</v>
      </c>
      <c r="DF41" s="73"/>
      <c r="DG41" s="19">
        <v>0.04</v>
      </c>
      <c r="DH41" s="139">
        <v>6</v>
      </c>
      <c r="DI41" s="19">
        <v>0.14000000000000001</v>
      </c>
      <c r="DJ41" s="14">
        <f t="shared" si="15"/>
        <v>108883.95000000001</v>
      </c>
      <c r="DL41" s="76">
        <v>36</v>
      </c>
      <c r="DM41" s="76">
        <v>3</v>
      </c>
      <c r="DN41" s="76" t="s">
        <v>481</v>
      </c>
      <c r="DO41" s="76">
        <v>9.0000000000000107</v>
      </c>
      <c r="DP41" s="14">
        <f t="shared" si="80"/>
        <v>108</v>
      </c>
      <c r="DQ41" s="104">
        <v>11</v>
      </c>
      <c r="DR41" s="104">
        <v>4</v>
      </c>
      <c r="DS41" s="76"/>
      <c r="DT41" s="14">
        <f t="shared" si="16"/>
        <v>0</v>
      </c>
      <c r="DU41" s="14">
        <f t="shared" si="17"/>
        <v>0</v>
      </c>
      <c r="DV41" s="14">
        <f t="shared" si="18"/>
        <v>0</v>
      </c>
      <c r="DW41" s="14">
        <f t="shared" si="19"/>
        <v>216</v>
      </c>
      <c r="DX41" s="14">
        <f t="shared" si="20"/>
        <v>0</v>
      </c>
      <c r="DY41" s="14">
        <f t="shared" si="21"/>
        <v>0</v>
      </c>
      <c r="DZ41" s="14">
        <f t="shared" si="22"/>
        <v>0</v>
      </c>
      <c r="EA41" s="14">
        <f t="shared" si="23"/>
        <v>160</v>
      </c>
      <c r="EB41" s="14">
        <f t="shared" si="24"/>
        <v>0</v>
      </c>
      <c r="EC41" s="14">
        <f t="shared" si="25"/>
        <v>12</v>
      </c>
      <c r="ED41" s="14">
        <f t="shared" si="79"/>
        <v>108883.95000000001</v>
      </c>
    </row>
    <row r="42" spans="1:167" ht="16.5" x14ac:dyDescent="0.2">
      <c r="A42" s="167"/>
      <c r="B42" s="167"/>
      <c r="C42" s="167"/>
      <c r="D42" s="167"/>
      <c r="E42" s="167"/>
      <c r="F42" s="167"/>
      <c r="G42" s="167"/>
      <c r="H42" s="167"/>
      <c r="I42" s="167"/>
      <c r="J42" s="167"/>
      <c r="K42" s="167"/>
      <c r="L42" s="167"/>
      <c r="M42" s="167"/>
      <c r="N42" s="167"/>
      <c r="O42" s="167"/>
      <c r="P42" s="167"/>
      <c r="Q42" s="167"/>
      <c r="R42" s="167"/>
      <c r="CS42" s="73">
        <v>37</v>
      </c>
      <c r="CT42" s="73">
        <v>1</v>
      </c>
      <c r="CU42" s="14" t="str">
        <f>INDEX(节奏总表!$BC$4:$BC$23,MATCH(挂机升级突破!CS42+1,节奏总表!$BF$4:$BF$22,1))</f>
        <v>焦热+2</v>
      </c>
      <c r="CV42" s="73"/>
      <c r="CW42" s="14">
        <f>INDEX(节奏总表!$AY$4:$AY$55,挂机升级突破!CS42)</f>
        <v>110</v>
      </c>
      <c r="CX42" s="73"/>
      <c r="CY42" s="73"/>
      <c r="CZ42" s="73"/>
      <c r="DA42" s="19">
        <v>0.08</v>
      </c>
      <c r="DB42" s="73"/>
      <c r="DC42" s="73"/>
      <c r="DD42" s="73"/>
      <c r="DE42" s="19">
        <v>0.1</v>
      </c>
      <c r="DF42" s="73"/>
      <c r="DG42" s="19">
        <v>0.05</v>
      </c>
      <c r="DH42" s="139">
        <v>6</v>
      </c>
      <c r="DI42" s="19">
        <v>0.15</v>
      </c>
      <c r="DJ42" s="14">
        <f t="shared" si="15"/>
        <v>116661.375</v>
      </c>
      <c r="DL42" s="76">
        <v>37</v>
      </c>
      <c r="DM42" s="76">
        <v>1</v>
      </c>
      <c r="DN42" s="76" t="s">
        <v>481</v>
      </c>
      <c r="DO42" s="76">
        <v>9.0000000000000107</v>
      </c>
      <c r="DP42" s="14">
        <f t="shared" si="80"/>
        <v>110</v>
      </c>
      <c r="DQ42" s="104">
        <v>11</v>
      </c>
      <c r="DR42" s="104">
        <v>4</v>
      </c>
      <c r="DS42" s="76"/>
      <c r="DT42" s="14">
        <f t="shared" si="16"/>
        <v>0</v>
      </c>
      <c r="DU42" s="14">
        <f t="shared" si="17"/>
        <v>0</v>
      </c>
      <c r="DV42" s="14">
        <f t="shared" si="18"/>
        <v>0</v>
      </c>
      <c r="DW42" s="14">
        <f t="shared" si="19"/>
        <v>216</v>
      </c>
      <c r="DX42" s="14">
        <f t="shared" si="20"/>
        <v>0</v>
      </c>
      <c r="DY42" s="14">
        <f t="shared" si="21"/>
        <v>0</v>
      </c>
      <c r="DZ42" s="14">
        <f t="shared" si="22"/>
        <v>0</v>
      </c>
      <c r="EA42" s="14">
        <f t="shared" si="23"/>
        <v>178</v>
      </c>
      <c r="EB42" s="14">
        <f t="shared" si="24"/>
        <v>0</v>
      </c>
      <c r="EC42" s="14">
        <f t="shared" si="25"/>
        <v>15</v>
      </c>
      <c r="ED42" s="14">
        <f t="shared" si="79"/>
        <v>116661.375</v>
      </c>
    </row>
    <row r="43" spans="1:167" ht="16.5" x14ac:dyDescent="0.2">
      <c r="A43" s="167"/>
      <c r="B43" s="167"/>
      <c r="C43" s="167"/>
      <c r="D43" s="167"/>
      <c r="E43" s="167"/>
      <c r="F43" s="167"/>
      <c r="G43" s="167"/>
      <c r="H43" s="167"/>
      <c r="I43" s="167"/>
      <c r="J43" s="167"/>
      <c r="K43" s="167"/>
      <c r="L43" s="167"/>
      <c r="M43" s="167"/>
      <c r="N43" s="167"/>
      <c r="O43" s="167"/>
      <c r="P43" s="167"/>
      <c r="Q43" s="167"/>
      <c r="R43" s="167"/>
      <c r="CS43" s="73">
        <v>38</v>
      </c>
      <c r="CT43" s="73">
        <v>2</v>
      </c>
      <c r="CU43" s="14" t="str">
        <f>INDEX(节奏总表!$BC$4:$BC$23,MATCH(挂机升级突破!CS43+1,节奏总表!$BF$4:$BF$22,1))</f>
        <v>大焦热</v>
      </c>
      <c r="CV43" s="73"/>
      <c r="CW43" s="14">
        <f>INDEX(节奏总表!$AY$4:$AY$55,挂机升级突破!CS43)</f>
        <v>113</v>
      </c>
      <c r="CX43" s="73"/>
      <c r="CY43" s="73"/>
      <c r="CZ43" s="73"/>
      <c r="DA43" s="19"/>
      <c r="DB43" s="19">
        <v>0.05</v>
      </c>
      <c r="DC43" s="73"/>
      <c r="DD43" s="73"/>
      <c r="DE43" s="19">
        <v>0.12</v>
      </c>
      <c r="DF43" s="73"/>
      <c r="DG43" s="19">
        <v>0.05</v>
      </c>
      <c r="DH43" s="139">
        <v>7</v>
      </c>
      <c r="DI43" s="19">
        <v>0.08</v>
      </c>
      <c r="DJ43" s="14">
        <f t="shared" si="15"/>
        <v>150418.56</v>
      </c>
      <c r="DL43" s="76">
        <v>38</v>
      </c>
      <c r="DM43" s="76">
        <v>2</v>
      </c>
      <c r="DN43" s="76" t="s">
        <v>533</v>
      </c>
      <c r="DO43" s="76">
        <v>9.0000000000000107</v>
      </c>
      <c r="DP43" s="14">
        <f t="shared" si="80"/>
        <v>113</v>
      </c>
      <c r="DQ43" s="104">
        <v>11</v>
      </c>
      <c r="DR43" s="104">
        <v>5</v>
      </c>
      <c r="DS43" s="76"/>
      <c r="DT43" s="14">
        <f t="shared" si="16"/>
        <v>0</v>
      </c>
      <c r="DU43" s="14">
        <f t="shared" si="17"/>
        <v>0</v>
      </c>
      <c r="DV43" s="14">
        <f t="shared" si="18"/>
        <v>0</v>
      </c>
      <c r="DW43" s="14">
        <f t="shared" si="19"/>
        <v>0</v>
      </c>
      <c r="DX43" s="14">
        <f t="shared" si="20"/>
        <v>56</v>
      </c>
      <c r="DY43" s="14">
        <f t="shared" si="21"/>
        <v>0</v>
      </c>
      <c r="DZ43" s="14">
        <f t="shared" si="22"/>
        <v>0</v>
      </c>
      <c r="EA43" s="14">
        <f t="shared" si="23"/>
        <v>214</v>
      </c>
      <c r="EB43" s="14">
        <f t="shared" si="24"/>
        <v>0</v>
      </c>
      <c r="EC43" s="14">
        <f t="shared" si="25"/>
        <v>15</v>
      </c>
      <c r="ED43" s="14">
        <f t="shared" si="79"/>
        <v>150418.56</v>
      </c>
    </row>
    <row r="44" spans="1:167" ht="16.5" x14ac:dyDescent="0.2">
      <c r="CS44" s="73">
        <v>39</v>
      </c>
      <c r="CT44" s="73">
        <v>3</v>
      </c>
      <c r="CU44" s="14" t="str">
        <f>INDEX(节奏总表!$BC$4:$BC$23,MATCH(挂机升级突破!CS44+1,节奏总表!$BF$4:$BF$22,1))</f>
        <v>大焦热</v>
      </c>
      <c r="CV44" s="73"/>
      <c r="CW44" s="14">
        <f>INDEX(节奏总表!$AY$4:$AY$55,挂机升级突破!CS44)</f>
        <v>115</v>
      </c>
      <c r="CX44" s="73"/>
      <c r="CY44" s="73"/>
      <c r="CZ44" s="73"/>
      <c r="DA44" s="73"/>
      <c r="DB44" s="19">
        <v>0.05</v>
      </c>
      <c r="DC44" s="73"/>
      <c r="DD44" s="73"/>
      <c r="DE44" s="19">
        <v>0.12</v>
      </c>
      <c r="DF44" s="73"/>
      <c r="DG44" s="19">
        <v>0.05</v>
      </c>
      <c r="DH44" s="139">
        <v>7</v>
      </c>
      <c r="DI44" s="19">
        <v>0.08</v>
      </c>
      <c r="DJ44" s="14">
        <f t="shared" si="15"/>
        <v>150418.56</v>
      </c>
      <c r="DL44" s="76">
        <v>39</v>
      </c>
      <c r="DM44" s="76">
        <v>3</v>
      </c>
      <c r="DN44" s="76" t="s">
        <v>533</v>
      </c>
      <c r="DO44" s="76">
        <v>9.0000000000000107</v>
      </c>
      <c r="DP44" s="14">
        <f t="shared" si="80"/>
        <v>115</v>
      </c>
      <c r="DQ44" s="104">
        <v>11</v>
      </c>
      <c r="DR44" s="104">
        <v>5</v>
      </c>
      <c r="DS44" s="76"/>
      <c r="DT44" s="14">
        <f t="shared" si="16"/>
        <v>0</v>
      </c>
      <c r="DU44" s="14">
        <f t="shared" si="17"/>
        <v>0</v>
      </c>
      <c r="DV44" s="14">
        <f t="shared" si="18"/>
        <v>0</v>
      </c>
      <c r="DW44" s="14">
        <f t="shared" si="19"/>
        <v>0</v>
      </c>
      <c r="DX44" s="14">
        <f t="shared" si="20"/>
        <v>56</v>
      </c>
      <c r="DY44" s="14">
        <f t="shared" si="21"/>
        <v>0</v>
      </c>
      <c r="DZ44" s="14">
        <f t="shared" si="22"/>
        <v>0</v>
      </c>
      <c r="EA44" s="14">
        <f t="shared" si="23"/>
        <v>214</v>
      </c>
      <c r="EB44" s="14">
        <f t="shared" si="24"/>
        <v>0</v>
      </c>
      <c r="EC44" s="14">
        <f t="shared" si="25"/>
        <v>15</v>
      </c>
      <c r="ED44" s="14">
        <f t="shared" si="79"/>
        <v>150418.56</v>
      </c>
    </row>
    <row r="45" spans="1:167" ht="16.5" x14ac:dyDescent="0.2">
      <c r="CS45" s="73">
        <v>40</v>
      </c>
      <c r="CT45" s="73">
        <v>1</v>
      </c>
      <c r="CU45" s="14" t="str">
        <f>INDEX(节奏总表!$BC$4:$BC$23,MATCH(挂机升级突破!CS45+1,节奏总表!$BF$4:$BF$22,1))</f>
        <v>大焦热</v>
      </c>
      <c r="CV45" s="73"/>
      <c r="CW45" s="14">
        <f>INDEX(节奏总表!$AY$4:$AY$55,挂机升级突破!CS45)</f>
        <v>118</v>
      </c>
      <c r="CX45" s="73"/>
      <c r="CY45" s="73"/>
      <c r="CZ45" s="73"/>
      <c r="DA45" s="73"/>
      <c r="DB45" s="19">
        <v>0.05</v>
      </c>
      <c r="DC45" s="73"/>
      <c r="DD45" s="73"/>
      <c r="DE45" s="19">
        <v>0.12</v>
      </c>
      <c r="DF45" s="73"/>
      <c r="DG45" s="19">
        <v>0.05</v>
      </c>
      <c r="DH45" s="139">
        <v>7</v>
      </c>
      <c r="DI45" s="19">
        <v>0.08</v>
      </c>
      <c r="DJ45" s="14">
        <f t="shared" si="15"/>
        <v>150418.56</v>
      </c>
      <c r="DL45" s="76">
        <v>40</v>
      </c>
      <c r="DM45" s="76">
        <v>1</v>
      </c>
      <c r="DN45" s="76" t="s">
        <v>533</v>
      </c>
      <c r="DO45" s="76">
        <v>9.0000000000000107</v>
      </c>
      <c r="DP45" s="14">
        <f t="shared" si="80"/>
        <v>118</v>
      </c>
      <c r="DQ45" s="104">
        <v>11</v>
      </c>
      <c r="DR45" s="104">
        <v>5</v>
      </c>
      <c r="DS45" s="76"/>
      <c r="DT45" s="14">
        <f t="shared" si="16"/>
        <v>0</v>
      </c>
      <c r="DU45" s="14">
        <f t="shared" si="17"/>
        <v>0</v>
      </c>
      <c r="DV45" s="14">
        <f t="shared" si="18"/>
        <v>0</v>
      </c>
      <c r="DW45" s="14">
        <f t="shared" si="19"/>
        <v>0</v>
      </c>
      <c r="DX45" s="14">
        <f t="shared" si="20"/>
        <v>56</v>
      </c>
      <c r="DY45" s="14">
        <f t="shared" si="21"/>
        <v>0</v>
      </c>
      <c r="DZ45" s="14">
        <f t="shared" si="22"/>
        <v>0</v>
      </c>
      <c r="EA45" s="14">
        <f t="shared" si="23"/>
        <v>214</v>
      </c>
      <c r="EB45" s="14">
        <f t="shared" si="24"/>
        <v>0</v>
      </c>
      <c r="EC45" s="14">
        <f t="shared" si="25"/>
        <v>15</v>
      </c>
      <c r="ED45" s="14">
        <f t="shared" si="79"/>
        <v>150418.56</v>
      </c>
    </row>
    <row r="46" spans="1:167" ht="16.5" x14ac:dyDescent="0.2">
      <c r="CS46" s="73">
        <v>41</v>
      </c>
      <c r="CT46" s="73">
        <v>2</v>
      </c>
      <c r="CU46" s="14" t="str">
        <f>INDEX(节奏总表!$BC$4:$BC$23,MATCH(挂机升级突破!CS46+1,节奏总表!$BF$4:$BF$22,1))</f>
        <v>大焦热+1</v>
      </c>
      <c r="CV46" s="73"/>
      <c r="CW46" s="14">
        <f>INDEX(节奏总表!$AY$4:$AY$55,挂机升级突破!CS46)</f>
        <v>120</v>
      </c>
      <c r="CX46" s="73"/>
      <c r="CY46" s="73"/>
      <c r="CZ46" s="73"/>
      <c r="DA46" s="73"/>
      <c r="DB46" s="19">
        <v>0.06</v>
      </c>
      <c r="DC46" s="73"/>
      <c r="DD46" s="73"/>
      <c r="DE46" s="73"/>
      <c r="DF46" s="19">
        <v>0.05</v>
      </c>
      <c r="DG46" s="19">
        <v>0.05</v>
      </c>
      <c r="DH46" s="139">
        <v>7</v>
      </c>
      <c r="DI46" s="19">
        <v>0.11</v>
      </c>
      <c r="DJ46" s="14">
        <f t="shared" si="15"/>
        <v>206825.52</v>
      </c>
      <c r="DL46" s="76">
        <v>41</v>
      </c>
      <c r="DM46" s="76">
        <v>2</v>
      </c>
      <c r="DN46" s="76" t="s">
        <v>534</v>
      </c>
      <c r="DO46" s="76">
        <v>9.0000000000000107</v>
      </c>
      <c r="DP46" s="14">
        <f t="shared" si="80"/>
        <v>120</v>
      </c>
      <c r="DQ46" s="104">
        <v>11</v>
      </c>
      <c r="DR46" s="104">
        <v>5</v>
      </c>
      <c r="DS46" s="76">
        <v>10</v>
      </c>
      <c r="DT46" s="14">
        <f t="shared" si="16"/>
        <v>0</v>
      </c>
      <c r="DU46" s="14">
        <f t="shared" si="17"/>
        <v>0</v>
      </c>
      <c r="DV46" s="14">
        <f t="shared" si="18"/>
        <v>0</v>
      </c>
      <c r="DW46" s="14">
        <f t="shared" si="19"/>
        <v>0</v>
      </c>
      <c r="DX46" s="14">
        <f t="shared" si="20"/>
        <v>67</v>
      </c>
      <c r="DY46" s="14">
        <f t="shared" si="21"/>
        <v>0</v>
      </c>
      <c r="DZ46" s="14">
        <f t="shared" si="22"/>
        <v>0</v>
      </c>
      <c r="EA46" s="14">
        <f t="shared" si="23"/>
        <v>0</v>
      </c>
      <c r="EB46" s="14">
        <f t="shared" si="24"/>
        <v>41</v>
      </c>
      <c r="EC46" s="14">
        <f t="shared" si="25"/>
        <v>15</v>
      </c>
      <c r="ED46" s="14">
        <f t="shared" si="79"/>
        <v>206825.52</v>
      </c>
    </row>
    <row r="47" spans="1:167" ht="16.5" x14ac:dyDescent="0.2">
      <c r="CS47" s="73">
        <v>42</v>
      </c>
      <c r="CT47" s="73">
        <v>3</v>
      </c>
      <c r="CU47" s="14" t="str">
        <f>INDEX(节奏总表!$BC$4:$BC$23,MATCH(挂机升级突破!CS47+1,节奏总表!$BF$4:$BF$22,1))</f>
        <v>大焦热+1</v>
      </c>
      <c r="CV47" s="73"/>
      <c r="CW47" s="14">
        <f>INDEX(节奏总表!$AY$4:$AY$55,挂机升级突破!CS47)</f>
        <v>123</v>
      </c>
      <c r="CX47" s="73"/>
      <c r="CY47" s="73"/>
      <c r="CZ47" s="73"/>
      <c r="DA47" s="73"/>
      <c r="DB47" s="19">
        <v>0.06</v>
      </c>
      <c r="DC47" s="73"/>
      <c r="DD47" s="73"/>
      <c r="DE47" s="73"/>
      <c r="DF47" s="19">
        <v>0.05</v>
      </c>
      <c r="DG47" s="19">
        <v>0.05</v>
      </c>
      <c r="DH47" s="139">
        <v>7</v>
      </c>
      <c r="DI47" s="19">
        <v>0.11</v>
      </c>
      <c r="DJ47" s="14">
        <f t="shared" si="15"/>
        <v>206825.52</v>
      </c>
      <c r="DK47" s="141"/>
      <c r="DL47" s="76">
        <v>42</v>
      </c>
      <c r="DM47" s="76">
        <v>3</v>
      </c>
      <c r="DN47" s="76" t="s">
        <v>534</v>
      </c>
      <c r="DO47" s="76">
        <v>9.0000000000000107</v>
      </c>
      <c r="DP47" s="14">
        <f t="shared" si="80"/>
        <v>123</v>
      </c>
      <c r="DQ47" s="104">
        <v>11</v>
      </c>
      <c r="DR47" s="104">
        <v>5</v>
      </c>
      <c r="DS47" s="104">
        <v>10</v>
      </c>
      <c r="DT47" s="14">
        <f t="shared" si="16"/>
        <v>0</v>
      </c>
      <c r="DU47" s="14">
        <f t="shared" si="17"/>
        <v>0</v>
      </c>
      <c r="DV47" s="14">
        <f t="shared" si="18"/>
        <v>0</v>
      </c>
      <c r="DW47" s="14">
        <f t="shared" si="19"/>
        <v>0</v>
      </c>
      <c r="DX47" s="14">
        <f t="shared" si="20"/>
        <v>67</v>
      </c>
      <c r="DY47" s="14">
        <f t="shared" si="21"/>
        <v>0</v>
      </c>
      <c r="DZ47" s="14">
        <f t="shared" si="22"/>
        <v>0</v>
      </c>
      <c r="EA47" s="14">
        <f t="shared" si="23"/>
        <v>0</v>
      </c>
      <c r="EB47" s="14">
        <f t="shared" si="24"/>
        <v>41</v>
      </c>
      <c r="EC47" s="14">
        <f t="shared" si="25"/>
        <v>15</v>
      </c>
      <c r="ED47" s="14">
        <f t="shared" si="79"/>
        <v>206825.52</v>
      </c>
      <c r="EE47" s="106"/>
      <c r="EF47" s="141"/>
      <c r="EG47" s="141"/>
      <c r="EH47" s="141"/>
      <c r="EI47" s="141"/>
      <c r="EJ47" s="141"/>
      <c r="EK47" s="141"/>
      <c r="EL47" s="141"/>
      <c r="EM47" s="141"/>
      <c r="EN47" s="141"/>
      <c r="EO47" s="141"/>
      <c r="EP47" s="141"/>
      <c r="EQ47" s="141"/>
      <c r="ER47" s="141"/>
      <c r="ES47" s="141"/>
      <c r="ET47" s="141"/>
      <c r="EU47" s="141"/>
      <c r="EV47" s="106"/>
      <c r="EW47" s="15"/>
      <c r="EX47" s="15"/>
    </row>
    <row r="48" spans="1:167" ht="16.5" x14ac:dyDescent="0.2">
      <c r="CS48" s="73">
        <v>43</v>
      </c>
      <c r="CT48" s="73">
        <v>1</v>
      </c>
      <c r="CU48" s="14" t="str">
        <f>INDEX(节奏总表!$BC$4:$BC$23,MATCH(挂机升级突破!CS48+1,节奏总表!$BF$4:$BF$22,1))</f>
        <v>大焦热+1</v>
      </c>
      <c r="CV48" s="73"/>
      <c r="CW48" s="14">
        <f>INDEX(节奏总表!$AY$4:$AY$55,挂机升级突破!CS48)</f>
        <v>125</v>
      </c>
      <c r="CX48" s="73"/>
      <c r="CY48" s="73"/>
      <c r="CZ48" s="73"/>
      <c r="DA48" s="73"/>
      <c r="DB48" s="19">
        <v>0.06</v>
      </c>
      <c r="DC48" s="73"/>
      <c r="DD48" s="73"/>
      <c r="DE48" s="73"/>
      <c r="DF48" s="19">
        <v>0.05</v>
      </c>
      <c r="DG48" s="19">
        <v>0.05</v>
      </c>
      <c r="DH48" s="139">
        <v>7</v>
      </c>
      <c r="DI48" s="19">
        <v>0.11</v>
      </c>
      <c r="DJ48" s="14">
        <f t="shared" si="15"/>
        <v>206825.52</v>
      </c>
      <c r="DL48" s="76">
        <v>43</v>
      </c>
      <c r="DM48" s="76">
        <v>1</v>
      </c>
      <c r="DN48" s="76" t="s">
        <v>534</v>
      </c>
      <c r="DO48" s="76">
        <v>9.0000000000000107</v>
      </c>
      <c r="DP48" s="14">
        <f t="shared" si="80"/>
        <v>125</v>
      </c>
      <c r="DQ48" s="104">
        <v>11</v>
      </c>
      <c r="DR48" s="104">
        <v>5</v>
      </c>
      <c r="DS48" s="104">
        <v>10</v>
      </c>
      <c r="DT48" s="14">
        <f t="shared" si="16"/>
        <v>0</v>
      </c>
      <c r="DU48" s="14">
        <f t="shared" si="17"/>
        <v>0</v>
      </c>
      <c r="DV48" s="14">
        <f t="shared" si="18"/>
        <v>0</v>
      </c>
      <c r="DW48" s="14">
        <f t="shared" si="19"/>
        <v>0</v>
      </c>
      <c r="DX48" s="14">
        <f t="shared" si="20"/>
        <v>67</v>
      </c>
      <c r="DY48" s="14">
        <f t="shared" si="21"/>
        <v>0</v>
      </c>
      <c r="DZ48" s="14">
        <f t="shared" si="22"/>
        <v>0</v>
      </c>
      <c r="EA48" s="14">
        <f t="shared" si="23"/>
        <v>0</v>
      </c>
      <c r="EB48" s="14">
        <f t="shared" si="24"/>
        <v>41</v>
      </c>
      <c r="EC48" s="14">
        <f t="shared" si="25"/>
        <v>15</v>
      </c>
      <c r="ED48" s="14">
        <f t="shared" si="79"/>
        <v>206825.52</v>
      </c>
      <c r="EY48" s="15"/>
      <c r="EZ48" s="28"/>
      <c r="FA48" s="15"/>
      <c r="FB48" s="28"/>
      <c r="FC48" s="15"/>
      <c r="FD48" s="15"/>
      <c r="FE48" s="15"/>
      <c r="FF48" s="15"/>
      <c r="FG48" s="15"/>
      <c r="FH48" s="15"/>
      <c r="FI48" s="15"/>
      <c r="FJ48" s="15"/>
      <c r="FK48" s="15"/>
    </row>
    <row r="49" spans="1:134" ht="17.25" x14ac:dyDescent="0.2">
      <c r="A49" s="12" t="s">
        <v>30</v>
      </c>
      <c r="B49" s="12" t="s">
        <v>146</v>
      </c>
      <c r="C49" s="12" t="s">
        <v>45</v>
      </c>
      <c r="D49" s="12" t="s">
        <v>147</v>
      </c>
      <c r="E49" s="113"/>
      <c r="F49" s="12" t="s">
        <v>138</v>
      </c>
      <c r="G49" s="12" t="s">
        <v>139</v>
      </c>
      <c r="H49" s="12" t="s">
        <v>140</v>
      </c>
      <c r="I49" s="12" t="s">
        <v>141</v>
      </c>
      <c r="J49" s="12" t="s">
        <v>425</v>
      </c>
      <c r="K49" s="12" t="s">
        <v>415</v>
      </c>
      <c r="L49" s="12" t="s">
        <v>416</v>
      </c>
      <c r="M49" s="12" t="s">
        <v>417</v>
      </c>
      <c r="N49" s="12" t="s">
        <v>424</v>
      </c>
      <c r="O49" s="12" t="s">
        <v>423</v>
      </c>
      <c r="P49" s="12" t="s">
        <v>151</v>
      </c>
      <c r="Q49" s="12" t="s">
        <v>152</v>
      </c>
      <c r="CS49" s="73">
        <v>44</v>
      </c>
      <c r="CT49" s="73">
        <v>2</v>
      </c>
      <c r="CU49" s="14" t="str">
        <f>INDEX(节奏总表!$BC$4:$BC$23,MATCH(挂机升级突破!CS49+1,节奏总表!$BF$4:$BF$22,1))</f>
        <v>大焦热+2</v>
      </c>
      <c r="CV49" s="73"/>
      <c r="CW49" s="14">
        <f>INDEX(节奏总表!$AY$4:$AY$55,挂机升级突破!CS49)</f>
        <v>128</v>
      </c>
      <c r="CX49" s="73"/>
      <c r="CY49" s="73"/>
      <c r="CZ49" s="73"/>
      <c r="DA49" s="73"/>
      <c r="DB49" s="19">
        <v>7.0000000000000007E-2</v>
      </c>
      <c r="DC49" s="73"/>
      <c r="DD49" s="73"/>
      <c r="DE49" s="73"/>
      <c r="DF49" s="19">
        <v>7.0000000000000007E-2</v>
      </c>
      <c r="DG49" s="19">
        <v>0.05</v>
      </c>
      <c r="DH49" s="139">
        <v>7</v>
      </c>
      <c r="DI49" s="19">
        <v>0.14000000000000001</v>
      </c>
      <c r="DJ49" s="14">
        <f t="shared" si="15"/>
        <v>263232.48000000004</v>
      </c>
      <c r="DL49" s="76">
        <v>44</v>
      </c>
      <c r="DM49" s="76">
        <v>2</v>
      </c>
      <c r="DN49" s="76" t="s">
        <v>491</v>
      </c>
      <c r="DO49" s="76">
        <v>9.0000000000000107</v>
      </c>
      <c r="DP49" s="14">
        <f t="shared" si="80"/>
        <v>128</v>
      </c>
      <c r="DQ49" s="104">
        <v>11</v>
      </c>
      <c r="DR49" s="104">
        <v>5</v>
      </c>
      <c r="DS49" s="104">
        <v>10</v>
      </c>
      <c r="DT49" s="14">
        <f t="shared" si="16"/>
        <v>0</v>
      </c>
      <c r="DU49" s="14">
        <f t="shared" si="17"/>
        <v>0</v>
      </c>
      <c r="DV49" s="14">
        <f t="shared" si="18"/>
        <v>0</v>
      </c>
      <c r="DW49" s="14">
        <f t="shared" si="19"/>
        <v>0</v>
      </c>
      <c r="DX49" s="14">
        <f t="shared" si="20"/>
        <v>78</v>
      </c>
      <c r="DY49" s="14">
        <f t="shared" si="21"/>
        <v>0</v>
      </c>
      <c r="DZ49" s="14">
        <f t="shared" si="22"/>
        <v>0</v>
      </c>
      <c r="EA49" s="14">
        <f t="shared" si="23"/>
        <v>0</v>
      </c>
      <c r="EB49" s="14">
        <f t="shared" si="24"/>
        <v>57</v>
      </c>
      <c r="EC49" s="14">
        <f t="shared" si="25"/>
        <v>15</v>
      </c>
      <c r="ED49" s="14">
        <f t="shared" si="79"/>
        <v>263232.48000000004</v>
      </c>
    </row>
    <row r="50" spans="1:134" ht="16.5" x14ac:dyDescent="0.2">
      <c r="A50" s="26">
        <v>1</v>
      </c>
      <c r="B50" s="26">
        <f>INT((A50-1)/4)+1</f>
        <v>1</v>
      </c>
      <c r="C50" s="26">
        <v>1</v>
      </c>
      <c r="D50" s="19">
        <v>0.5</v>
      </c>
      <c r="E50" s="113"/>
      <c r="F50" s="21">
        <f t="shared" ref="F50:O50" si="81">(INDEX(G$7:G$37,$B50)*(1-$D50)+INDEX(G$7:G$37,$B50+1)*$D50)*G$4*$B$2</f>
        <v>0</v>
      </c>
      <c r="G50" s="21">
        <f t="shared" si="81"/>
        <v>0</v>
      </c>
      <c r="H50" s="21">
        <f t="shared" si="81"/>
        <v>0</v>
      </c>
      <c r="I50" s="21">
        <f t="shared" si="81"/>
        <v>0</v>
      </c>
      <c r="J50" s="21">
        <f t="shared" si="81"/>
        <v>0</v>
      </c>
      <c r="K50" s="21">
        <f t="shared" si="81"/>
        <v>0</v>
      </c>
      <c r="L50" s="21">
        <f t="shared" si="81"/>
        <v>0</v>
      </c>
      <c r="M50" s="21">
        <f t="shared" si="81"/>
        <v>0</v>
      </c>
      <c r="N50" s="21">
        <f t="shared" si="81"/>
        <v>0</v>
      </c>
      <c r="O50" s="21">
        <f t="shared" si="81"/>
        <v>0</v>
      </c>
      <c r="P50" s="32">
        <f t="shared" ref="P50:Q69" si="82">INT((INDEX(Q$7:Q$37,$B50)*(1-$D50)+INDEX(Q$7:Q$37,$B50+1)*$D50)*Q$4*$B$2)</f>
        <v>17</v>
      </c>
      <c r="Q50" s="32">
        <f t="shared" si="82"/>
        <v>5</v>
      </c>
      <c r="CS50" s="73">
        <v>45</v>
      </c>
      <c r="CT50" s="73">
        <v>3</v>
      </c>
      <c r="CU50" s="14" t="str">
        <f>INDEX(节奏总表!$BC$4:$BC$23,MATCH(挂机升级突破!CS50+1,节奏总表!$BF$4:$BF$22,1))</f>
        <v>大焦热+2</v>
      </c>
      <c r="CV50" s="73"/>
      <c r="CW50" s="14">
        <f>INDEX(节奏总表!$AY$4:$AY$55,挂机升级突破!CS50)</f>
        <v>130</v>
      </c>
      <c r="CX50" s="73"/>
      <c r="CY50" s="73"/>
      <c r="CZ50" s="73"/>
      <c r="DA50" s="73"/>
      <c r="DB50" s="19">
        <v>7.0000000000000007E-2</v>
      </c>
      <c r="DC50" s="73"/>
      <c r="DD50" s="73"/>
      <c r="DE50" s="73"/>
      <c r="DF50" s="19">
        <v>7.0000000000000007E-2</v>
      </c>
      <c r="DG50" s="19">
        <v>0.05</v>
      </c>
      <c r="DH50" s="139">
        <v>7</v>
      </c>
      <c r="DI50" s="19">
        <v>0.14000000000000001</v>
      </c>
      <c r="DJ50" s="14">
        <f t="shared" si="15"/>
        <v>263232.48000000004</v>
      </c>
      <c r="DL50" s="76">
        <v>45</v>
      </c>
      <c r="DM50" s="76">
        <v>3</v>
      </c>
      <c r="DN50" s="76" t="s">
        <v>491</v>
      </c>
      <c r="DO50" s="76">
        <v>9.0000000000000107</v>
      </c>
      <c r="DP50" s="14">
        <f t="shared" si="80"/>
        <v>130</v>
      </c>
      <c r="DQ50" s="104">
        <v>11</v>
      </c>
      <c r="DR50" s="104">
        <v>5</v>
      </c>
      <c r="DS50" s="104">
        <v>10</v>
      </c>
      <c r="DT50" s="14">
        <f t="shared" si="16"/>
        <v>0</v>
      </c>
      <c r="DU50" s="14">
        <f t="shared" si="17"/>
        <v>0</v>
      </c>
      <c r="DV50" s="14">
        <f t="shared" si="18"/>
        <v>0</v>
      </c>
      <c r="DW50" s="14">
        <f t="shared" si="19"/>
        <v>0</v>
      </c>
      <c r="DX50" s="14">
        <f t="shared" si="20"/>
        <v>78</v>
      </c>
      <c r="DY50" s="14">
        <f t="shared" si="21"/>
        <v>0</v>
      </c>
      <c r="DZ50" s="14">
        <f t="shared" si="22"/>
        <v>0</v>
      </c>
      <c r="EA50" s="14">
        <f t="shared" si="23"/>
        <v>0</v>
      </c>
      <c r="EB50" s="14">
        <f t="shared" si="24"/>
        <v>57</v>
      </c>
      <c r="EC50" s="14">
        <f t="shared" si="25"/>
        <v>15</v>
      </c>
      <c r="ED50" s="14">
        <f t="shared" si="79"/>
        <v>263232.48000000004</v>
      </c>
    </row>
    <row r="51" spans="1:134" ht="16.5" x14ac:dyDescent="0.2">
      <c r="A51" s="26">
        <v>2</v>
      </c>
      <c r="B51" s="104">
        <f t="shared" ref="B51:B114" si="83">INT((A51-1)/4)+1</f>
        <v>1</v>
      </c>
      <c r="C51" s="26">
        <v>2</v>
      </c>
      <c r="D51" s="19">
        <v>0.65</v>
      </c>
      <c r="E51" s="113"/>
      <c r="F51" s="21">
        <f t="shared" ref="F51:O51" si="84">(INDEX(G$7:G$37,$B51)*(1-$D51)+INDEX(G$7:G$37,$B51+1)*$D51)*G$4*$B$2</f>
        <v>0</v>
      </c>
      <c r="G51" s="21">
        <f t="shared" si="84"/>
        <v>0</v>
      </c>
      <c r="H51" s="21">
        <f t="shared" si="84"/>
        <v>0</v>
      </c>
      <c r="I51" s="21">
        <f t="shared" si="84"/>
        <v>0</v>
      </c>
      <c r="J51" s="21">
        <f t="shared" si="84"/>
        <v>0</v>
      </c>
      <c r="K51" s="21">
        <f t="shared" si="84"/>
        <v>0</v>
      </c>
      <c r="L51" s="21">
        <f t="shared" si="84"/>
        <v>0</v>
      </c>
      <c r="M51" s="21">
        <f t="shared" si="84"/>
        <v>0</v>
      </c>
      <c r="N51" s="21">
        <f t="shared" si="84"/>
        <v>0</v>
      </c>
      <c r="O51" s="21">
        <f t="shared" si="84"/>
        <v>0</v>
      </c>
      <c r="P51" s="32">
        <f t="shared" si="82"/>
        <v>19</v>
      </c>
      <c r="Q51" s="32">
        <f t="shared" si="82"/>
        <v>6</v>
      </c>
      <c r="CS51" s="73">
        <v>46</v>
      </c>
      <c r="CT51" s="73">
        <v>1</v>
      </c>
      <c r="CU51" s="14" t="str">
        <f>INDEX(节奏总表!$BC$4:$BC$23,MATCH(挂机升级突破!CS51+1,节奏总表!$BF$4:$BF$22,1))</f>
        <v>大焦热+2</v>
      </c>
      <c r="CV51" s="73"/>
      <c r="CW51" s="14">
        <f>INDEX(节奏总表!$AY$4:$AY$55,挂机升级突破!CS51)</f>
        <v>133</v>
      </c>
      <c r="CX51" s="73"/>
      <c r="CY51" s="73"/>
      <c r="CZ51" s="73"/>
      <c r="DA51" s="73"/>
      <c r="DB51" s="19">
        <v>7.0000000000000007E-2</v>
      </c>
      <c r="DC51" s="73"/>
      <c r="DD51" s="73"/>
      <c r="DE51" s="73"/>
      <c r="DF51" s="19">
        <v>7.0000000000000007E-2</v>
      </c>
      <c r="DG51" s="19">
        <v>0.05</v>
      </c>
      <c r="DH51" s="139">
        <v>7</v>
      </c>
      <c r="DI51" s="19">
        <v>0.15</v>
      </c>
      <c r="DJ51" s="14">
        <f t="shared" si="15"/>
        <v>282034.8</v>
      </c>
      <c r="DL51" s="76">
        <v>46</v>
      </c>
      <c r="DM51" s="76">
        <v>1</v>
      </c>
      <c r="DN51" s="76" t="s">
        <v>491</v>
      </c>
      <c r="DO51" s="76">
        <v>9.0000000000000107</v>
      </c>
      <c r="DP51" s="14">
        <f t="shared" si="80"/>
        <v>133</v>
      </c>
      <c r="DQ51" s="104">
        <v>11</v>
      </c>
      <c r="DR51" s="104">
        <v>5</v>
      </c>
      <c r="DS51" s="104">
        <v>10</v>
      </c>
      <c r="DT51" s="14">
        <f t="shared" si="16"/>
        <v>0</v>
      </c>
      <c r="DU51" s="14">
        <f t="shared" si="17"/>
        <v>0</v>
      </c>
      <c r="DV51" s="14">
        <f t="shared" si="18"/>
        <v>0</v>
      </c>
      <c r="DW51" s="14">
        <f t="shared" si="19"/>
        <v>0</v>
      </c>
      <c r="DX51" s="14">
        <f t="shared" si="20"/>
        <v>78</v>
      </c>
      <c r="DY51" s="14">
        <f t="shared" si="21"/>
        <v>0</v>
      </c>
      <c r="DZ51" s="14">
        <f t="shared" si="22"/>
        <v>0</v>
      </c>
      <c r="EA51" s="14">
        <f t="shared" si="23"/>
        <v>0</v>
      </c>
      <c r="EB51" s="14">
        <f t="shared" si="24"/>
        <v>57</v>
      </c>
      <c r="EC51" s="14">
        <f t="shared" si="25"/>
        <v>15</v>
      </c>
      <c r="ED51" s="14">
        <f t="shared" si="79"/>
        <v>282034.8</v>
      </c>
    </row>
    <row r="52" spans="1:134" ht="16.5" x14ac:dyDescent="0.2">
      <c r="A52" s="26">
        <v>3</v>
      </c>
      <c r="B52" s="104">
        <f t="shared" si="83"/>
        <v>1</v>
      </c>
      <c r="C52" s="26">
        <v>3</v>
      </c>
      <c r="D52" s="19">
        <v>0.8</v>
      </c>
      <c r="E52" s="113"/>
      <c r="F52" s="21">
        <f t="shared" ref="F52:O52" si="85">(INDEX(G$7:G$37,$B52)*(1-$D52)+INDEX(G$7:G$37,$B52+1)*$D52)*G$4*$B$2</f>
        <v>0</v>
      </c>
      <c r="G52" s="21">
        <f t="shared" si="85"/>
        <v>0</v>
      </c>
      <c r="H52" s="21">
        <f t="shared" si="85"/>
        <v>0</v>
      </c>
      <c r="I52" s="21">
        <f t="shared" si="85"/>
        <v>0</v>
      </c>
      <c r="J52" s="21">
        <f t="shared" si="85"/>
        <v>0</v>
      </c>
      <c r="K52" s="21">
        <f t="shared" si="85"/>
        <v>0</v>
      </c>
      <c r="L52" s="21">
        <f t="shared" si="85"/>
        <v>0</v>
      </c>
      <c r="M52" s="21">
        <f t="shared" si="85"/>
        <v>0</v>
      </c>
      <c r="N52" s="21">
        <f t="shared" si="85"/>
        <v>0</v>
      </c>
      <c r="O52" s="21">
        <f t="shared" si="85"/>
        <v>0</v>
      </c>
      <c r="P52" s="32">
        <f t="shared" si="82"/>
        <v>22</v>
      </c>
      <c r="Q52" s="32">
        <f t="shared" si="82"/>
        <v>8</v>
      </c>
      <c r="CS52" s="73">
        <v>47</v>
      </c>
      <c r="CT52" s="73">
        <v>2</v>
      </c>
      <c r="CU52" s="14" t="str">
        <f>INDEX(节奏总表!$BC$4:$BC$23,MATCH(挂机升级突破!CS52+1,节奏总表!$BF$4:$BF$22,1))</f>
        <v>无间</v>
      </c>
      <c r="CV52" s="73"/>
      <c r="CW52" s="14">
        <f>INDEX(节奏总表!$AY$4:$AY$55,挂机升级突破!CS52)</f>
        <v>135</v>
      </c>
      <c r="CX52" s="73"/>
      <c r="CY52" s="73"/>
      <c r="CZ52" s="73"/>
      <c r="DA52" s="73"/>
      <c r="DB52" s="19">
        <v>7.0000000000000007E-2</v>
      </c>
      <c r="DC52" s="73"/>
      <c r="DD52" s="73"/>
      <c r="DE52" s="73"/>
      <c r="DF52" s="19">
        <v>0.09</v>
      </c>
      <c r="DG52" s="19">
        <v>0.05</v>
      </c>
      <c r="DH52" s="139">
        <v>8</v>
      </c>
      <c r="DI52" s="19">
        <v>0.12</v>
      </c>
      <c r="DJ52" s="14">
        <f t="shared" si="15"/>
        <v>574428</v>
      </c>
      <c r="DL52" s="76">
        <v>47</v>
      </c>
      <c r="DM52" s="76">
        <v>2</v>
      </c>
      <c r="DN52" s="76" t="s">
        <v>535</v>
      </c>
      <c r="DO52" s="76">
        <v>9.0000000000000107</v>
      </c>
      <c r="DP52" s="14">
        <f t="shared" si="80"/>
        <v>135</v>
      </c>
      <c r="DQ52" s="104">
        <v>11</v>
      </c>
      <c r="DR52" s="104">
        <v>5</v>
      </c>
      <c r="DS52" s="104">
        <v>10</v>
      </c>
      <c r="DT52" s="14">
        <f t="shared" si="16"/>
        <v>0</v>
      </c>
      <c r="DU52" s="14">
        <f t="shared" si="17"/>
        <v>0</v>
      </c>
      <c r="DV52" s="14">
        <f t="shared" si="18"/>
        <v>0</v>
      </c>
      <c r="DW52" s="14">
        <f t="shared" si="19"/>
        <v>0</v>
      </c>
      <c r="DX52" s="14">
        <f t="shared" si="20"/>
        <v>78</v>
      </c>
      <c r="DY52" s="14">
        <f t="shared" si="21"/>
        <v>0</v>
      </c>
      <c r="DZ52" s="14">
        <f t="shared" si="22"/>
        <v>0</v>
      </c>
      <c r="EA52" s="14">
        <f t="shared" si="23"/>
        <v>0</v>
      </c>
      <c r="EB52" s="14">
        <f t="shared" si="24"/>
        <v>74</v>
      </c>
      <c r="EC52" s="14">
        <f t="shared" si="25"/>
        <v>15</v>
      </c>
      <c r="ED52" s="14">
        <f t="shared" si="79"/>
        <v>574428</v>
      </c>
    </row>
    <row r="53" spans="1:134" ht="16.5" x14ac:dyDescent="0.2">
      <c r="A53" s="26">
        <v>4</v>
      </c>
      <c r="B53" s="104">
        <f t="shared" si="83"/>
        <v>1</v>
      </c>
      <c r="C53" s="26">
        <v>4</v>
      </c>
      <c r="D53" s="19">
        <v>1</v>
      </c>
      <c r="E53" s="113"/>
      <c r="F53" s="21">
        <f t="shared" ref="F53:O53" si="86">(INDEX(G$7:G$37,$B53)*(1-$D53)+INDEX(G$7:G$37,$B53+1)*$D53)*G$4*$B$2</f>
        <v>0</v>
      </c>
      <c r="G53" s="21">
        <f t="shared" si="86"/>
        <v>0</v>
      </c>
      <c r="H53" s="21">
        <f t="shared" si="86"/>
        <v>0</v>
      </c>
      <c r="I53" s="21">
        <f t="shared" si="86"/>
        <v>0</v>
      </c>
      <c r="J53" s="21">
        <f t="shared" si="86"/>
        <v>0</v>
      </c>
      <c r="K53" s="21">
        <f t="shared" si="86"/>
        <v>0</v>
      </c>
      <c r="L53" s="21">
        <f t="shared" si="86"/>
        <v>0</v>
      </c>
      <c r="M53" s="21">
        <f t="shared" si="86"/>
        <v>0</v>
      </c>
      <c r="N53" s="21">
        <f t="shared" si="86"/>
        <v>0</v>
      </c>
      <c r="O53" s="21">
        <f t="shared" si="86"/>
        <v>0</v>
      </c>
      <c r="P53" s="32">
        <f t="shared" si="82"/>
        <v>25</v>
      </c>
      <c r="Q53" s="32">
        <f t="shared" si="82"/>
        <v>10</v>
      </c>
      <c r="CS53" s="73">
        <v>48</v>
      </c>
      <c r="CT53" s="73">
        <v>3</v>
      </c>
      <c r="CU53" s="14" t="str">
        <f>INDEX(节奏总表!$BC$4:$BC$23,MATCH(挂机升级突破!CS53+1,节奏总表!$BF$4:$BF$22,1))</f>
        <v>无间</v>
      </c>
      <c r="CV53" s="73"/>
      <c r="CW53" s="14">
        <f>INDEX(节奏总表!$AY$4:$AY$55,挂机升级突破!CS53)</f>
        <v>138</v>
      </c>
      <c r="CX53" s="73"/>
      <c r="CY53" s="73"/>
      <c r="CZ53" s="73"/>
      <c r="DA53" s="73"/>
      <c r="DB53" s="19">
        <v>7.0000000000000007E-2</v>
      </c>
      <c r="DC53" s="73"/>
      <c r="DD53" s="73"/>
      <c r="DE53" s="73"/>
      <c r="DF53" s="19">
        <v>0.09</v>
      </c>
      <c r="DG53" s="19">
        <v>0.05</v>
      </c>
      <c r="DH53" s="139">
        <v>8</v>
      </c>
      <c r="DI53" s="19">
        <v>0.12</v>
      </c>
      <c r="DJ53" s="14">
        <f t="shared" si="15"/>
        <v>574428</v>
      </c>
      <c r="DL53" s="76">
        <v>48</v>
      </c>
      <c r="DM53" s="76">
        <v>3</v>
      </c>
      <c r="DN53" s="76" t="s">
        <v>535</v>
      </c>
      <c r="DO53" s="76">
        <v>9.0000000000000107</v>
      </c>
      <c r="DP53" s="14">
        <f t="shared" si="80"/>
        <v>138</v>
      </c>
      <c r="DQ53" s="104">
        <v>11</v>
      </c>
      <c r="DR53" s="104">
        <v>5</v>
      </c>
      <c r="DS53" s="104">
        <v>10</v>
      </c>
      <c r="DT53" s="14">
        <f t="shared" si="16"/>
        <v>0</v>
      </c>
      <c r="DU53" s="14">
        <f t="shared" si="17"/>
        <v>0</v>
      </c>
      <c r="DV53" s="14">
        <f t="shared" si="18"/>
        <v>0</v>
      </c>
      <c r="DW53" s="14">
        <f t="shared" si="19"/>
        <v>0</v>
      </c>
      <c r="DX53" s="14">
        <f t="shared" si="20"/>
        <v>78</v>
      </c>
      <c r="DY53" s="14">
        <f t="shared" si="21"/>
        <v>0</v>
      </c>
      <c r="DZ53" s="14">
        <f t="shared" si="22"/>
        <v>0</v>
      </c>
      <c r="EA53" s="14">
        <f t="shared" si="23"/>
        <v>0</v>
      </c>
      <c r="EB53" s="14">
        <f t="shared" si="24"/>
        <v>74</v>
      </c>
      <c r="EC53" s="14">
        <f t="shared" si="25"/>
        <v>15</v>
      </c>
      <c r="ED53" s="14">
        <f t="shared" si="79"/>
        <v>574428</v>
      </c>
    </row>
    <row r="54" spans="1:134" ht="16.5" x14ac:dyDescent="0.2">
      <c r="A54" s="26">
        <v>5</v>
      </c>
      <c r="B54" s="104">
        <f t="shared" si="83"/>
        <v>2</v>
      </c>
      <c r="C54" s="118">
        <v>1</v>
      </c>
      <c r="D54" s="19">
        <v>0.5</v>
      </c>
      <c r="E54" s="113"/>
      <c r="F54" s="21">
        <f t="shared" ref="F54:O54" si="87">(INDEX(G$7:G$37,$B54)*(1-$D54)+INDEX(G$7:G$37,$B54+1)*$D54)*G$4*$B$2</f>
        <v>0.125</v>
      </c>
      <c r="G54" s="21">
        <f t="shared" si="87"/>
        <v>0</v>
      </c>
      <c r="H54" s="21">
        <f t="shared" si="87"/>
        <v>0</v>
      </c>
      <c r="I54" s="21">
        <f t="shared" si="87"/>
        <v>0</v>
      </c>
      <c r="J54" s="21">
        <f t="shared" si="87"/>
        <v>0</v>
      </c>
      <c r="K54" s="21">
        <f t="shared" si="87"/>
        <v>0</v>
      </c>
      <c r="L54" s="21">
        <f t="shared" si="87"/>
        <v>0</v>
      </c>
      <c r="M54" s="21">
        <f t="shared" si="87"/>
        <v>0</v>
      </c>
      <c r="N54" s="21">
        <f t="shared" si="87"/>
        <v>0</v>
      </c>
      <c r="O54" s="21">
        <f t="shared" si="87"/>
        <v>0</v>
      </c>
      <c r="P54" s="32">
        <f t="shared" si="82"/>
        <v>27</v>
      </c>
      <c r="Q54" s="32">
        <f t="shared" si="82"/>
        <v>12</v>
      </c>
      <c r="CS54" s="73">
        <v>49</v>
      </c>
      <c r="CT54" s="73">
        <v>1</v>
      </c>
      <c r="CU54" s="14" t="str">
        <f>INDEX(节奏总表!$BC$4:$BC$23,MATCH(挂机升级突破!CS54+1,节奏总表!$BF$4:$BF$22,1))</f>
        <v>无间</v>
      </c>
      <c r="CV54" s="73"/>
      <c r="CW54" s="14">
        <f>INDEX(节奏总表!$AY$4:$AY$55,挂机升级突破!CS54)</f>
        <v>140</v>
      </c>
      <c r="CX54" s="73"/>
      <c r="CY54" s="73"/>
      <c r="CZ54" s="73"/>
      <c r="DA54" s="73"/>
      <c r="DB54" s="19">
        <v>0.08</v>
      </c>
      <c r="DC54" s="73"/>
      <c r="DD54" s="73"/>
      <c r="DE54" s="73"/>
      <c r="DF54" s="19">
        <v>0.1</v>
      </c>
      <c r="DG54" s="19">
        <v>0.05</v>
      </c>
      <c r="DH54" s="139">
        <v>8</v>
      </c>
      <c r="DI54" s="19">
        <v>0.12</v>
      </c>
      <c r="DJ54" s="14">
        <f t="shared" si="15"/>
        <v>574428</v>
      </c>
      <c r="DL54" s="76">
        <v>49</v>
      </c>
      <c r="DM54" s="76">
        <v>1</v>
      </c>
      <c r="DN54" s="76" t="s">
        <v>535</v>
      </c>
      <c r="DO54" s="76">
        <v>9.0000000000000107</v>
      </c>
      <c r="DP54" s="14">
        <f t="shared" si="80"/>
        <v>140</v>
      </c>
      <c r="DQ54" s="104">
        <v>11</v>
      </c>
      <c r="DR54" s="104">
        <v>5</v>
      </c>
      <c r="DS54" s="104">
        <v>10</v>
      </c>
      <c r="DT54" s="14">
        <f t="shared" si="16"/>
        <v>0</v>
      </c>
      <c r="DU54" s="14">
        <f t="shared" si="17"/>
        <v>0</v>
      </c>
      <c r="DV54" s="14">
        <f t="shared" si="18"/>
        <v>0</v>
      </c>
      <c r="DW54" s="14">
        <f t="shared" si="19"/>
        <v>0</v>
      </c>
      <c r="DX54" s="14">
        <f t="shared" si="20"/>
        <v>89</v>
      </c>
      <c r="DY54" s="14">
        <f t="shared" si="21"/>
        <v>0</v>
      </c>
      <c r="DZ54" s="14">
        <f t="shared" si="22"/>
        <v>0</v>
      </c>
      <c r="EA54" s="14">
        <f t="shared" si="23"/>
        <v>0</v>
      </c>
      <c r="EB54" s="14">
        <f t="shared" si="24"/>
        <v>82</v>
      </c>
      <c r="EC54" s="14">
        <f t="shared" si="25"/>
        <v>15</v>
      </c>
      <c r="ED54" s="14">
        <f t="shared" si="79"/>
        <v>574428</v>
      </c>
    </row>
    <row r="55" spans="1:134" ht="16.5" x14ac:dyDescent="0.2">
      <c r="A55" s="26">
        <v>6</v>
      </c>
      <c r="B55" s="104">
        <f t="shared" si="83"/>
        <v>2</v>
      </c>
      <c r="C55" s="118">
        <v>2</v>
      </c>
      <c r="D55" s="19">
        <v>0.65</v>
      </c>
      <c r="E55" s="113"/>
      <c r="F55" s="21">
        <f t="shared" ref="F55:O55" si="88">(INDEX(G$7:G$37,$B55)*(1-$D55)+INDEX(G$7:G$37,$B55+1)*$D55)*G$4*$B$2</f>
        <v>0.16250000000000001</v>
      </c>
      <c r="G55" s="21">
        <f t="shared" si="88"/>
        <v>0</v>
      </c>
      <c r="H55" s="21">
        <f t="shared" si="88"/>
        <v>0</v>
      </c>
      <c r="I55" s="21">
        <f t="shared" si="88"/>
        <v>0</v>
      </c>
      <c r="J55" s="21">
        <f t="shared" si="88"/>
        <v>0</v>
      </c>
      <c r="K55" s="21">
        <f t="shared" si="88"/>
        <v>0</v>
      </c>
      <c r="L55" s="21">
        <f t="shared" si="88"/>
        <v>0</v>
      </c>
      <c r="M55" s="21">
        <f t="shared" si="88"/>
        <v>0</v>
      </c>
      <c r="N55" s="21">
        <f t="shared" si="88"/>
        <v>0</v>
      </c>
      <c r="O55" s="21">
        <f t="shared" si="88"/>
        <v>0</v>
      </c>
      <c r="P55" s="32">
        <f t="shared" si="82"/>
        <v>28</v>
      </c>
      <c r="Q55" s="32">
        <f t="shared" si="82"/>
        <v>13</v>
      </c>
      <c r="CS55" s="73">
        <v>50</v>
      </c>
      <c r="CT55" s="73">
        <v>2</v>
      </c>
      <c r="CU55" s="14" t="str">
        <f>INDEX(节奏总表!$BC$4:$BC$23,MATCH(挂机升级突破!CS55+1,节奏总表!$BF$4:$BF$22,1))</f>
        <v>无间</v>
      </c>
      <c r="CV55" s="73"/>
      <c r="CW55" s="14">
        <f>INDEX(节奏总表!$AY$4:$AY$55,挂机升级突破!CS55)</f>
        <v>143</v>
      </c>
      <c r="CX55" s="73"/>
      <c r="CY55" s="73"/>
      <c r="CZ55" s="73"/>
      <c r="DA55" s="73"/>
      <c r="DB55" s="19">
        <v>0.08</v>
      </c>
      <c r="DC55" s="73"/>
      <c r="DD55" s="73"/>
      <c r="DE55" s="73"/>
      <c r="DF55" s="19">
        <v>0.12</v>
      </c>
      <c r="DG55" s="19">
        <v>0.05</v>
      </c>
      <c r="DH55" s="139">
        <v>8</v>
      </c>
      <c r="DI55" s="19">
        <v>0.2</v>
      </c>
      <c r="DJ55" s="14">
        <f t="shared" si="15"/>
        <v>957380</v>
      </c>
      <c r="DL55" s="76">
        <v>50</v>
      </c>
      <c r="DM55" s="76">
        <v>2</v>
      </c>
      <c r="DN55" s="76" t="s">
        <v>535</v>
      </c>
      <c r="DO55" s="76">
        <v>9.0000000000000107</v>
      </c>
      <c r="DP55" s="14">
        <f t="shared" si="80"/>
        <v>143</v>
      </c>
      <c r="DQ55" s="104">
        <v>11</v>
      </c>
      <c r="DR55" s="104">
        <v>5</v>
      </c>
      <c r="DS55" s="104">
        <v>10</v>
      </c>
      <c r="DT55" s="14">
        <f t="shared" si="16"/>
        <v>0</v>
      </c>
      <c r="DU55" s="14">
        <f t="shared" si="17"/>
        <v>0</v>
      </c>
      <c r="DV55" s="14">
        <f t="shared" si="18"/>
        <v>0</v>
      </c>
      <c r="DW55" s="14">
        <f t="shared" si="19"/>
        <v>0</v>
      </c>
      <c r="DX55" s="14">
        <f t="shared" si="20"/>
        <v>89</v>
      </c>
      <c r="DY55" s="14">
        <f t="shared" si="21"/>
        <v>0</v>
      </c>
      <c r="DZ55" s="14">
        <f t="shared" si="22"/>
        <v>0</v>
      </c>
      <c r="EA55" s="14">
        <f t="shared" si="23"/>
        <v>0</v>
      </c>
      <c r="EB55" s="14">
        <f t="shared" si="24"/>
        <v>98</v>
      </c>
      <c r="EC55" s="14">
        <f t="shared" si="25"/>
        <v>15</v>
      </c>
      <c r="ED55" s="14">
        <f t="shared" si="79"/>
        <v>957380</v>
      </c>
    </row>
    <row r="56" spans="1:134" ht="16.5" x14ac:dyDescent="0.2">
      <c r="A56" s="26">
        <v>7</v>
      </c>
      <c r="B56" s="104">
        <f t="shared" si="83"/>
        <v>2</v>
      </c>
      <c r="C56" s="118">
        <v>3</v>
      </c>
      <c r="D56" s="19">
        <v>0.8</v>
      </c>
      <c r="E56" s="113"/>
      <c r="F56" s="21">
        <f t="shared" ref="F56:O56" si="89">(INDEX(G$7:G$37,$B56)*(1-$D56)+INDEX(G$7:G$37,$B56+1)*$D56)*G$4*$B$2</f>
        <v>0.2</v>
      </c>
      <c r="G56" s="21">
        <f t="shared" si="89"/>
        <v>0</v>
      </c>
      <c r="H56" s="21">
        <f t="shared" si="89"/>
        <v>0</v>
      </c>
      <c r="I56" s="21">
        <f t="shared" si="89"/>
        <v>0</v>
      </c>
      <c r="J56" s="21">
        <f t="shared" si="89"/>
        <v>0</v>
      </c>
      <c r="K56" s="21">
        <f t="shared" si="89"/>
        <v>0</v>
      </c>
      <c r="L56" s="21">
        <f t="shared" si="89"/>
        <v>0</v>
      </c>
      <c r="M56" s="21">
        <f t="shared" si="89"/>
        <v>0</v>
      </c>
      <c r="N56" s="21">
        <f t="shared" si="89"/>
        <v>0</v>
      </c>
      <c r="O56" s="21">
        <f t="shared" si="89"/>
        <v>0</v>
      </c>
      <c r="P56" s="32">
        <f t="shared" si="82"/>
        <v>29</v>
      </c>
      <c r="Q56" s="32">
        <f t="shared" si="82"/>
        <v>14</v>
      </c>
      <c r="CS56" s="73">
        <v>51</v>
      </c>
      <c r="CT56" s="73">
        <v>3</v>
      </c>
      <c r="CU56" s="14" t="str">
        <f>INDEX(节奏总表!$BC$4:$BC$23,MATCH(挂机升级突破!CS56+1,节奏总表!$BF$4:$BF$22,1))</f>
        <v>无间</v>
      </c>
      <c r="CV56" s="73"/>
      <c r="CW56" s="14">
        <f>INDEX(节奏总表!$AY$4:$AY$55,挂机升级突破!CS56)</f>
        <v>145</v>
      </c>
      <c r="CX56" s="73"/>
      <c r="CY56" s="73"/>
      <c r="CZ56" s="73"/>
      <c r="DA56" s="73"/>
      <c r="DB56" s="19">
        <v>0.08</v>
      </c>
      <c r="DC56" s="73"/>
      <c r="DD56" s="73"/>
      <c r="DE56" s="73"/>
      <c r="DF56" s="19">
        <v>0.12</v>
      </c>
      <c r="DG56" s="19">
        <v>0.05</v>
      </c>
      <c r="DH56" s="139">
        <v>8</v>
      </c>
      <c r="DI56" s="19">
        <v>0.22</v>
      </c>
      <c r="DJ56" s="14">
        <f t="shared" si="15"/>
        <v>1053118</v>
      </c>
      <c r="DL56" s="76">
        <v>51</v>
      </c>
      <c r="DM56" s="76">
        <v>3</v>
      </c>
      <c r="DN56" s="76" t="s">
        <v>535</v>
      </c>
      <c r="DO56" s="76">
        <v>9.0000000000000107</v>
      </c>
      <c r="DP56" s="14">
        <f t="shared" si="80"/>
        <v>145</v>
      </c>
      <c r="DQ56" s="104">
        <v>11</v>
      </c>
      <c r="DR56" s="104">
        <v>5</v>
      </c>
      <c r="DS56" s="104">
        <v>10</v>
      </c>
      <c r="DT56" s="14">
        <f t="shared" si="16"/>
        <v>0</v>
      </c>
      <c r="DU56" s="14">
        <f t="shared" si="17"/>
        <v>0</v>
      </c>
      <c r="DV56" s="14">
        <f t="shared" si="18"/>
        <v>0</v>
      </c>
      <c r="DW56" s="14">
        <f t="shared" si="19"/>
        <v>0</v>
      </c>
      <c r="DX56" s="14">
        <f t="shared" si="20"/>
        <v>89</v>
      </c>
      <c r="DY56" s="14">
        <f t="shared" si="21"/>
        <v>0</v>
      </c>
      <c r="DZ56" s="14">
        <f t="shared" si="22"/>
        <v>0</v>
      </c>
      <c r="EA56" s="14">
        <f t="shared" si="23"/>
        <v>0</v>
      </c>
      <c r="EB56" s="14">
        <f t="shared" si="24"/>
        <v>98</v>
      </c>
      <c r="EC56" s="14">
        <f t="shared" si="25"/>
        <v>15</v>
      </c>
      <c r="ED56" s="14">
        <f t="shared" si="79"/>
        <v>1053118</v>
      </c>
    </row>
    <row r="57" spans="1:134" ht="16.5" x14ac:dyDescent="0.2">
      <c r="A57" s="26">
        <v>8</v>
      </c>
      <c r="B57" s="104">
        <f t="shared" si="83"/>
        <v>2</v>
      </c>
      <c r="C57" s="118">
        <v>4</v>
      </c>
      <c r="D57" s="19">
        <v>1</v>
      </c>
      <c r="E57" s="113"/>
      <c r="F57" s="21">
        <f t="shared" ref="F57:O57" si="90">(INDEX(G$7:G$37,$B57)*(1-$D57)+INDEX(G$7:G$37,$B57+1)*$D57)*G$4*$B$2</f>
        <v>0.25</v>
      </c>
      <c r="G57" s="21">
        <f t="shared" si="90"/>
        <v>0</v>
      </c>
      <c r="H57" s="21">
        <f t="shared" si="90"/>
        <v>0</v>
      </c>
      <c r="I57" s="21">
        <f t="shared" si="90"/>
        <v>0</v>
      </c>
      <c r="J57" s="21">
        <f t="shared" si="90"/>
        <v>0</v>
      </c>
      <c r="K57" s="21">
        <f t="shared" si="90"/>
        <v>0</v>
      </c>
      <c r="L57" s="21">
        <f t="shared" si="90"/>
        <v>0</v>
      </c>
      <c r="M57" s="21">
        <f t="shared" si="90"/>
        <v>0</v>
      </c>
      <c r="N57" s="21">
        <f t="shared" si="90"/>
        <v>0</v>
      </c>
      <c r="O57" s="21">
        <f t="shared" si="90"/>
        <v>0</v>
      </c>
      <c r="P57" s="32">
        <f t="shared" si="82"/>
        <v>30</v>
      </c>
      <c r="Q57" s="32">
        <f t="shared" si="82"/>
        <v>15</v>
      </c>
      <c r="CS57" s="73">
        <v>52</v>
      </c>
      <c r="CT57" s="73">
        <v>4</v>
      </c>
      <c r="CU57" s="14" t="str">
        <f>INDEX(节奏总表!$BC$4:$BC$23,MATCH(挂机升级突破!CS57+1,节奏总表!$BF$4:$BF$22,1))</f>
        <v>无间</v>
      </c>
      <c r="CV57" s="73"/>
      <c r="CW57" s="14">
        <f>INDEX(节奏总表!$AY$4:$AY$55,挂机升级突破!CS57)</f>
        <v>148</v>
      </c>
      <c r="CX57" s="73"/>
      <c r="CY57" s="73"/>
      <c r="CZ57" s="73"/>
      <c r="DA57" s="73"/>
      <c r="DB57" s="19">
        <v>0.08</v>
      </c>
      <c r="DC57" s="73"/>
      <c r="DD57" s="73"/>
      <c r="DE57" s="73"/>
      <c r="DF57" s="19">
        <v>0.12</v>
      </c>
      <c r="DG57" s="19">
        <v>0.05</v>
      </c>
      <c r="DH57" s="139">
        <v>8</v>
      </c>
      <c r="DI57" s="19">
        <v>0.22</v>
      </c>
      <c r="DJ57" s="14">
        <f t="shared" si="15"/>
        <v>1053118</v>
      </c>
      <c r="DL57" s="76">
        <v>52</v>
      </c>
      <c r="DM57" s="76">
        <v>4</v>
      </c>
      <c r="DN57" s="76" t="s">
        <v>535</v>
      </c>
      <c r="DO57" s="76">
        <v>9.0000000000000107</v>
      </c>
      <c r="DP57" s="14">
        <f t="shared" si="80"/>
        <v>148</v>
      </c>
      <c r="DQ57" s="104">
        <v>11</v>
      </c>
      <c r="DR57" s="104">
        <v>5</v>
      </c>
      <c r="DS57" s="104">
        <v>10</v>
      </c>
      <c r="DT57" s="14">
        <f t="shared" si="16"/>
        <v>0</v>
      </c>
      <c r="DU57" s="14">
        <f t="shared" si="17"/>
        <v>0</v>
      </c>
      <c r="DV57" s="14">
        <f t="shared" si="18"/>
        <v>0</v>
      </c>
      <c r="DW57" s="14">
        <f t="shared" si="19"/>
        <v>0</v>
      </c>
      <c r="DX57" s="14">
        <f t="shared" si="20"/>
        <v>89</v>
      </c>
      <c r="DY57" s="14">
        <f t="shared" si="21"/>
        <v>0</v>
      </c>
      <c r="DZ57" s="14">
        <f t="shared" si="22"/>
        <v>0</v>
      </c>
      <c r="EA57" s="14">
        <f t="shared" si="23"/>
        <v>0</v>
      </c>
      <c r="EB57" s="14">
        <f t="shared" si="24"/>
        <v>98</v>
      </c>
      <c r="EC57" s="14">
        <f t="shared" si="25"/>
        <v>15</v>
      </c>
      <c r="ED57" s="14">
        <f t="shared" si="79"/>
        <v>1053118</v>
      </c>
    </row>
    <row r="58" spans="1:134" ht="16.5" x14ac:dyDescent="0.2">
      <c r="A58" s="26">
        <v>9</v>
      </c>
      <c r="B58" s="104">
        <f t="shared" si="83"/>
        <v>3</v>
      </c>
      <c r="C58" s="118">
        <v>1</v>
      </c>
      <c r="D58" s="19">
        <v>0.25</v>
      </c>
      <c r="E58" s="113"/>
      <c r="F58" s="21">
        <f t="shared" ref="F58:O58" si="91">(INDEX(G$7:G$37,$B58)*(1-$D58)+INDEX(G$7:G$37,$B58+1)*$D58)*G$4*$B$2</f>
        <v>0.28125</v>
      </c>
      <c r="G58" s="21">
        <f t="shared" si="91"/>
        <v>0</v>
      </c>
      <c r="H58" s="21">
        <f t="shared" si="91"/>
        <v>0</v>
      </c>
      <c r="I58" s="21">
        <f t="shared" si="91"/>
        <v>0</v>
      </c>
      <c r="J58" s="21">
        <f t="shared" si="91"/>
        <v>0</v>
      </c>
      <c r="K58" s="21">
        <f t="shared" si="91"/>
        <v>0</v>
      </c>
      <c r="L58" s="21">
        <f t="shared" si="91"/>
        <v>0</v>
      </c>
      <c r="M58" s="21">
        <f t="shared" si="91"/>
        <v>0</v>
      </c>
      <c r="N58" s="21">
        <f t="shared" si="91"/>
        <v>0</v>
      </c>
      <c r="O58" s="21">
        <f t="shared" si="91"/>
        <v>0</v>
      </c>
      <c r="P58" s="32">
        <f t="shared" si="82"/>
        <v>31</v>
      </c>
      <c r="Q58" s="32">
        <f t="shared" si="82"/>
        <v>16</v>
      </c>
    </row>
    <row r="59" spans="1:134" ht="16.5" x14ac:dyDescent="0.2">
      <c r="A59" s="26">
        <v>10</v>
      </c>
      <c r="B59" s="104">
        <f t="shared" si="83"/>
        <v>3</v>
      </c>
      <c r="C59" s="118">
        <v>2</v>
      </c>
      <c r="D59" s="19">
        <v>0.5</v>
      </c>
      <c r="E59" s="113"/>
      <c r="F59" s="21">
        <f t="shared" ref="F59:O59" si="92">(INDEX(G$7:G$37,$B59)*(1-$D59)+INDEX(G$7:G$37,$B59+1)*$D59)*G$4*$B$2</f>
        <v>0.3125</v>
      </c>
      <c r="G59" s="21">
        <f t="shared" si="92"/>
        <v>0</v>
      </c>
      <c r="H59" s="21">
        <f t="shared" si="92"/>
        <v>0</v>
      </c>
      <c r="I59" s="21">
        <f t="shared" si="92"/>
        <v>0</v>
      </c>
      <c r="J59" s="21">
        <f t="shared" si="92"/>
        <v>0</v>
      </c>
      <c r="K59" s="21">
        <f t="shared" si="92"/>
        <v>0</v>
      </c>
      <c r="L59" s="21">
        <f t="shared" si="92"/>
        <v>0</v>
      </c>
      <c r="M59" s="21">
        <f t="shared" si="92"/>
        <v>0</v>
      </c>
      <c r="N59" s="21">
        <f t="shared" si="92"/>
        <v>0</v>
      </c>
      <c r="O59" s="21">
        <f t="shared" si="92"/>
        <v>0</v>
      </c>
      <c r="P59" s="32">
        <f t="shared" si="82"/>
        <v>32</v>
      </c>
      <c r="Q59" s="32">
        <f t="shared" si="82"/>
        <v>17</v>
      </c>
    </row>
    <row r="60" spans="1:134" ht="16.5" x14ac:dyDescent="0.2">
      <c r="A60" s="26">
        <v>11</v>
      </c>
      <c r="B60" s="104">
        <f t="shared" si="83"/>
        <v>3</v>
      </c>
      <c r="C60" s="118">
        <v>3</v>
      </c>
      <c r="D60" s="19">
        <v>0.75</v>
      </c>
      <c r="E60" s="113"/>
      <c r="F60" s="21">
        <f t="shared" ref="F60:O60" si="93">(INDEX(G$7:G$37,$B60)*(1-$D60)+INDEX(G$7:G$37,$B60+1)*$D60)*G$4*$B$2</f>
        <v>0.34375</v>
      </c>
      <c r="G60" s="21">
        <f t="shared" si="93"/>
        <v>0</v>
      </c>
      <c r="H60" s="21">
        <f t="shared" si="93"/>
        <v>0</v>
      </c>
      <c r="I60" s="21">
        <f t="shared" si="93"/>
        <v>0</v>
      </c>
      <c r="J60" s="21">
        <f t="shared" si="93"/>
        <v>0</v>
      </c>
      <c r="K60" s="21">
        <f t="shared" si="93"/>
        <v>0</v>
      </c>
      <c r="L60" s="21">
        <f t="shared" si="93"/>
        <v>0</v>
      </c>
      <c r="M60" s="21">
        <f t="shared" si="93"/>
        <v>0</v>
      </c>
      <c r="N60" s="21">
        <f t="shared" si="93"/>
        <v>0</v>
      </c>
      <c r="O60" s="21">
        <f t="shared" si="93"/>
        <v>0</v>
      </c>
      <c r="P60" s="32">
        <f t="shared" si="82"/>
        <v>33</v>
      </c>
      <c r="Q60" s="32">
        <f t="shared" si="82"/>
        <v>18</v>
      </c>
    </row>
    <row r="61" spans="1:134" ht="16.5" x14ac:dyDescent="0.2">
      <c r="A61" s="26">
        <v>12</v>
      </c>
      <c r="B61" s="104">
        <f t="shared" si="83"/>
        <v>3</v>
      </c>
      <c r="C61" s="118">
        <v>4</v>
      </c>
      <c r="D61" s="19">
        <v>1</v>
      </c>
      <c r="E61" s="113"/>
      <c r="F61" s="21">
        <f t="shared" ref="F61:O61" si="94">(INDEX(G$7:G$37,$B61)*(1-$D61)+INDEX(G$7:G$37,$B61+1)*$D61)*G$4*$B$2</f>
        <v>0.375</v>
      </c>
      <c r="G61" s="21">
        <f t="shared" si="94"/>
        <v>0</v>
      </c>
      <c r="H61" s="21">
        <f t="shared" si="94"/>
        <v>0</v>
      </c>
      <c r="I61" s="21">
        <f t="shared" si="94"/>
        <v>0</v>
      </c>
      <c r="J61" s="21">
        <f t="shared" si="94"/>
        <v>0</v>
      </c>
      <c r="K61" s="21">
        <f t="shared" si="94"/>
        <v>0</v>
      </c>
      <c r="L61" s="21">
        <f t="shared" si="94"/>
        <v>0</v>
      </c>
      <c r="M61" s="21">
        <f t="shared" si="94"/>
        <v>0</v>
      </c>
      <c r="N61" s="21">
        <f t="shared" si="94"/>
        <v>0</v>
      </c>
      <c r="O61" s="21">
        <f t="shared" si="94"/>
        <v>0</v>
      </c>
      <c r="P61" s="32">
        <f t="shared" si="82"/>
        <v>35</v>
      </c>
      <c r="Q61" s="32">
        <f t="shared" si="82"/>
        <v>20</v>
      </c>
    </row>
    <row r="62" spans="1:134" ht="16.5" x14ac:dyDescent="0.2">
      <c r="A62" s="26">
        <v>13</v>
      </c>
      <c r="B62" s="104">
        <f t="shared" si="83"/>
        <v>4</v>
      </c>
      <c r="C62" s="118">
        <v>1</v>
      </c>
      <c r="D62" s="19">
        <v>0.25</v>
      </c>
      <c r="E62" s="113"/>
      <c r="F62" s="21">
        <f t="shared" ref="F62:O62" si="95">(INDEX(G$7:G$37,$B62)*(1-$D62)+INDEX(G$7:G$37,$B62+1)*$D62)*G$4*$B$2</f>
        <v>0.40625</v>
      </c>
      <c r="G62" s="21">
        <f t="shared" si="95"/>
        <v>0</v>
      </c>
      <c r="H62" s="21">
        <f t="shared" si="95"/>
        <v>0</v>
      </c>
      <c r="I62" s="21">
        <f t="shared" si="95"/>
        <v>0</v>
      </c>
      <c r="J62" s="21">
        <f t="shared" si="95"/>
        <v>0</v>
      </c>
      <c r="K62" s="21">
        <f t="shared" si="95"/>
        <v>1.2500000000000001E-2</v>
      </c>
      <c r="L62" s="21">
        <f t="shared" si="95"/>
        <v>0</v>
      </c>
      <c r="M62" s="21">
        <f t="shared" si="95"/>
        <v>0</v>
      </c>
      <c r="N62" s="21">
        <f t="shared" si="95"/>
        <v>0</v>
      </c>
      <c r="O62" s="21">
        <f t="shared" si="95"/>
        <v>0</v>
      </c>
      <c r="P62" s="32">
        <f t="shared" si="82"/>
        <v>36</v>
      </c>
      <c r="Q62" s="32">
        <f t="shared" si="82"/>
        <v>21</v>
      </c>
    </row>
    <row r="63" spans="1:134" ht="16.5" x14ac:dyDescent="0.2">
      <c r="A63" s="26">
        <v>14</v>
      </c>
      <c r="B63" s="104">
        <f t="shared" si="83"/>
        <v>4</v>
      </c>
      <c r="C63" s="118">
        <v>2</v>
      </c>
      <c r="D63" s="19">
        <v>0.5</v>
      </c>
      <c r="E63" s="113"/>
      <c r="F63" s="21">
        <f t="shared" ref="F63:O63" si="96">(INDEX(G$7:G$37,$B63)*(1-$D63)+INDEX(G$7:G$37,$B63+1)*$D63)*G$4*$B$2</f>
        <v>0.4375</v>
      </c>
      <c r="G63" s="21">
        <f t="shared" si="96"/>
        <v>0</v>
      </c>
      <c r="H63" s="21">
        <f t="shared" si="96"/>
        <v>0</v>
      </c>
      <c r="I63" s="21">
        <f t="shared" si="96"/>
        <v>0</v>
      </c>
      <c r="J63" s="21">
        <f t="shared" si="96"/>
        <v>0</v>
      </c>
      <c r="K63" s="21">
        <f t="shared" si="96"/>
        <v>2.5000000000000001E-2</v>
      </c>
      <c r="L63" s="21">
        <f t="shared" si="96"/>
        <v>0</v>
      </c>
      <c r="M63" s="21">
        <f t="shared" si="96"/>
        <v>0</v>
      </c>
      <c r="N63" s="21">
        <f t="shared" si="96"/>
        <v>0</v>
      </c>
      <c r="O63" s="21">
        <f t="shared" si="96"/>
        <v>0</v>
      </c>
      <c r="P63" s="32">
        <f t="shared" si="82"/>
        <v>37</v>
      </c>
      <c r="Q63" s="32">
        <f t="shared" si="82"/>
        <v>22</v>
      </c>
    </row>
    <row r="64" spans="1:134" ht="16.5" x14ac:dyDescent="0.2">
      <c r="A64" s="26">
        <v>15</v>
      </c>
      <c r="B64" s="104">
        <f t="shared" si="83"/>
        <v>4</v>
      </c>
      <c r="C64" s="118">
        <v>3</v>
      </c>
      <c r="D64" s="19">
        <v>0.75</v>
      </c>
      <c r="E64" s="113"/>
      <c r="F64" s="21">
        <f t="shared" ref="F64:O64" si="97">(INDEX(G$7:G$37,$B64)*(1-$D64)+INDEX(G$7:G$37,$B64+1)*$D64)*G$4*$B$2</f>
        <v>0.46875</v>
      </c>
      <c r="G64" s="21">
        <f t="shared" si="97"/>
        <v>0</v>
      </c>
      <c r="H64" s="21">
        <f t="shared" si="97"/>
        <v>0</v>
      </c>
      <c r="I64" s="21">
        <f t="shared" si="97"/>
        <v>0</v>
      </c>
      <c r="J64" s="21">
        <f t="shared" si="97"/>
        <v>0</v>
      </c>
      <c r="K64" s="21">
        <f t="shared" si="97"/>
        <v>3.7500000000000006E-2</v>
      </c>
      <c r="L64" s="21">
        <f t="shared" si="97"/>
        <v>0</v>
      </c>
      <c r="M64" s="21">
        <f t="shared" si="97"/>
        <v>0</v>
      </c>
      <c r="N64" s="21">
        <f t="shared" si="97"/>
        <v>0</v>
      </c>
      <c r="O64" s="21">
        <f t="shared" si="97"/>
        <v>0</v>
      </c>
      <c r="P64" s="32">
        <f t="shared" si="82"/>
        <v>38</v>
      </c>
      <c r="Q64" s="32">
        <f t="shared" si="82"/>
        <v>23</v>
      </c>
    </row>
    <row r="65" spans="1:156" ht="16.5" x14ac:dyDescent="0.2">
      <c r="A65" s="26">
        <v>16</v>
      </c>
      <c r="B65" s="104">
        <f t="shared" si="83"/>
        <v>4</v>
      </c>
      <c r="C65" s="118">
        <v>4</v>
      </c>
      <c r="D65" s="19">
        <v>1</v>
      </c>
      <c r="E65" s="113"/>
      <c r="F65" s="21">
        <f t="shared" ref="F65:O65" si="98">(INDEX(G$7:G$37,$B65)*(1-$D65)+INDEX(G$7:G$37,$B65+1)*$D65)*G$4*$B$2</f>
        <v>0.5</v>
      </c>
      <c r="G65" s="21">
        <f t="shared" si="98"/>
        <v>0</v>
      </c>
      <c r="H65" s="21">
        <f t="shared" si="98"/>
        <v>0</v>
      </c>
      <c r="I65" s="21">
        <f t="shared" si="98"/>
        <v>0</v>
      </c>
      <c r="J65" s="21">
        <f t="shared" si="98"/>
        <v>0</v>
      </c>
      <c r="K65" s="21">
        <f t="shared" si="98"/>
        <v>0.05</v>
      </c>
      <c r="L65" s="21">
        <f t="shared" si="98"/>
        <v>0</v>
      </c>
      <c r="M65" s="21">
        <f t="shared" si="98"/>
        <v>0</v>
      </c>
      <c r="N65" s="21">
        <f t="shared" si="98"/>
        <v>0</v>
      </c>
      <c r="O65" s="21">
        <f t="shared" si="98"/>
        <v>0</v>
      </c>
      <c r="P65" s="32">
        <f t="shared" si="82"/>
        <v>40</v>
      </c>
      <c r="Q65" s="32">
        <f t="shared" si="82"/>
        <v>25</v>
      </c>
      <c r="EH65" s="141"/>
      <c r="EI65" s="141"/>
      <c r="EJ65" s="141"/>
      <c r="EK65" s="141"/>
      <c r="EL65" s="141"/>
      <c r="EM65" s="141"/>
      <c r="EN65" s="141"/>
      <c r="EO65" s="141"/>
      <c r="EP65" s="141"/>
      <c r="EQ65" s="141"/>
      <c r="ER65" s="141"/>
      <c r="ES65" s="141"/>
      <c r="ET65" s="141"/>
      <c r="EU65" s="141"/>
      <c r="EV65" s="106"/>
      <c r="EW65" s="15"/>
      <c r="EX65" s="15"/>
      <c r="EY65" s="106"/>
      <c r="EZ65" s="106"/>
    </row>
    <row r="66" spans="1:156" ht="16.5" x14ac:dyDescent="0.2">
      <c r="A66" s="26">
        <v>17</v>
      </c>
      <c r="B66" s="104">
        <f t="shared" si="83"/>
        <v>5</v>
      </c>
      <c r="C66" s="118">
        <v>1</v>
      </c>
      <c r="D66" s="19">
        <v>0.25</v>
      </c>
      <c r="E66" s="113"/>
      <c r="F66" s="21">
        <f t="shared" ref="F66:O66" si="99">(INDEX(G$7:G$37,$B66)*(1-$D66)+INDEX(G$7:G$37,$B66+1)*$D66)*G$4*$B$2</f>
        <v>0.5</v>
      </c>
      <c r="G66" s="21">
        <f t="shared" si="99"/>
        <v>1.2500000000000001E-2</v>
      </c>
      <c r="H66" s="21">
        <f t="shared" si="99"/>
        <v>0</v>
      </c>
      <c r="I66" s="21">
        <f t="shared" si="99"/>
        <v>0</v>
      </c>
      <c r="J66" s="21">
        <f t="shared" si="99"/>
        <v>0</v>
      </c>
      <c r="K66" s="21">
        <f t="shared" si="99"/>
        <v>5.9375000000000004E-2</v>
      </c>
      <c r="L66" s="21">
        <f t="shared" si="99"/>
        <v>0</v>
      </c>
      <c r="M66" s="21">
        <f t="shared" si="99"/>
        <v>0</v>
      </c>
      <c r="N66" s="21">
        <f t="shared" si="99"/>
        <v>0</v>
      </c>
      <c r="O66" s="21">
        <f t="shared" si="99"/>
        <v>0</v>
      </c>
      <c r="P66" s="32">
        <f t="shared" si="82"/>
        <v>41</v>
      </c>
      <c r="Q66" s="32">
        <f t="shared" si="82"/>
        <v>26</v>
      </c>
      <c r="EH66" s="141"/>
      <c r="EI66" s="141"/>
      <c r="EJ66" s="141"/>
      <c r="EK66" s="141"/>
      <c r="EL66" s="141"/>
      <c r="EM66" s="141"/>
      <c r="EN66" s="141"/>
      <c r="EO66" s="141"/>
      <c r="EP66" s="141"/>
      <c r="EQ66" s="141"/>
      <c r="ER66" s="141"/>
      <c r="ES66" s="141"/>
      <c r="ET66" s="141"/>
      <c r="EU66" s="141"/>
      <c r="EV66" s="106"/>
      <c r="EW66" s="15"/>
      <c r="EX66" s="15"/>
      <c r="EY66" s="106"/>
      <c r="EZ66" s="106"/>
    </row>
    <row r="67" spans="1:156" ht="16.5" x14ac:dyDescent="0.2">
      <c r="A67" s="26">
        <v>18</v>
      </c>
      <c r="B67" s="104">
        <f t="shared" si="83"/>
        <v>5</v>
      </c>
      <c r="C67" s="118">
        <v>2</v>
      </c>
      <c r="D67" s="19">
        <v>0.5</v>
      </c>
      <c r="E67" s="113"/>
      <c r="F67" s="21">
        <f t="shared" ref="F67:O67" si="100">(INDEX(G$7:G$37,$B67)*(1-$D67)+INDEX(G$7:G$37,$B67+1)*$D67)*G$4*$B$2</f>
        <v>0.5</v>
      </c>
      <c r="G67" s="21">
        <f t="shared" si="100"/>
        <v>2.5000000000000001E-2</v>
      </c>
      <c r="H67" s="21">
        <f t="shared" si="100"/>
        <v>0</v>
      </c>
      <c r="I67" s="21">
        <f t="shared" si="100"/>
        <v>0</v>
      </c>
      <c r="J67" s="21">
        <f t="shared" si="100"/>
        <v>0</v>
      </c>
      <c r="K67" s="21">
        <f t="shared" si="100"/>
        <v>6.8750000000000006E-2</v>
      </c>
      <c r="L67" s="21">
        <f t="shared" si="100"/>
        <v>0</v>
      </c>
      <c r="M67" s="21">
        <f t="shared" si="100"/>
        <v>0</v>
      </c>
      <c r="N67" s="21">
        <f t="shared" si="100"/>
        <v>0</v>
      </c>
      <c r="O67" s="21">
        <f t="shared" si="100"/>
        <v>0</v>
      </c>
      <c r="P67" s="32">
        <f t="shared" si="82"/>
        <v>42</v>
      </c>
      <c r="Q67" s="32">
        <f t="shared" si="82"/>
        <v>27</v>
      </c>
      <c r="EH67" s="141"/>
      <c r="EI67" s="141"/>
      <c r="EJ67" s="141"/>
      <c r="EK67" s="141"/>
      <c r="EL67" s="141"/>
      <c r="EM67" s="141"/>
      <c r="EN67" s="141"/>
      <c r="EO67" s="141"/>
      <c r="EP67" s="141"/>
      <c r="EQ67" s="141"/>
      <c r="ER67" s="141"/>
      <c r="ES67" s="141"/>
      <c r="ET67" s="141"/>
      <c r="EU67" s="141"/>
      <c r="EV67" s="106"/>
      <c r="EW67" s="15"/>
      <c r="EX67" s="15"/>
      <c r="EY67" s="106"/>
      <c r="EZ67" s="106"/>
    </row>
    <row r="68" spans="1:156" ht="16.5" x14ac:dyDescent="0.2">
      <c r="A68" s="26">
        <v>19</v>
      </c>
      <c r="B68" s="104">
        <f t="shared" si="83"/>
        <v>5</v>
      </c>
      <c r="C68" s="118">
        <v>3</v>
      </c>
      <c r="D68" s="19">
        <v>0.75</v>
      </c>
      <c r="E68" s="113"/>
      <c r="F68" s="21">
        <f t="shared" ref="F68:O68" si="101">(INDEX(G$7:G$37,$B68)*(1-$D68)+INDEX(G$7:G$37,$B68+1)*$D68)*G$4*$B$2</f>
        <v>0.5</v>
      </c>
      <c r="G68" s="21">
        <f t="shared" si="101"/>
        <v>3.7500000000000006E-2</v>
      </c>
      <c r="H68" s="21">
        <f t="shared" si="101"/>
        <v>0</v>
      </c>
      <c r="I68" s="21">
        <f t="shared" si="101"/>
        <v>0</v>
      </c>
      <c r="J68" s="21">
        <f t="shared" si="101"/>
        <v>0</v>
      </c>
      <c r="K68" s="21">
        <f t="shared" si="101"/>
        <v>7.8124999999999986E-2</v>
      </c>
      <c r="L68" s="21">
        <f t="shared" si="101"/>
        <v>0</v>
      </c>
      <c r="M68" s="21">
        <f t="shared" si="101"/>
        <v>0</v>
      </c>
      <c r="N68" s="21">
        <f t="shared" si="101"/>
        <v>0</v>
      </c>
      <c r="O68" s="21">
        <f t="shared" si="101"/>
        <v>0</v>
      </c>
      <c r="P68" s="32">
        <f t="shared" si="82"/>
        <v>43</v>
      </c>
      <c r="Q68" s="32">
        <f t="shared" si="82"/>
        <v>28</v>
      </c>
      <c r="EH68" s="141"/>
      <c r="EI68" s="141"/>
      <c r="EJ68" s="141"/>
      <c r="EK68" s="141"/>
      <c r="EL68" s="141"/>
      <c r="EM68" s="141"/>
      <c r="EN68" s="141"/>
      <c r="EO68" s="141"/>
      <c r="EP68" s="141"/>
      <c r="EQ68" s="141"/>
      <c r="ER68" s="141"/>
      <c r="ES68" s="141"/>
      <c r="ET68" s="141"/>
      <c r="EU68" s="141"/>
      <c r="EV68" s="106"/>
      <c r="EW68" s="15"/>
      <c r="EX68" s="15"/>
      <c r="EY68" s="106"/>
      <c r="EZ68" s="106"/>
    </row>
    <row r="69" spans="1:156" ht="16.5" x14ac:dyDescent="0.2">
      <c r="A69" s="26">
        <v>20</v>
      </c>
      <c r="B69" s="104">
        <f t="shared" si="83"/>
        <v>5</v>
      </c>
      <c r="C69" s="118">
        <v>4</v>
      </c>
      <c r="D69" s="19">
        <v>1</v>
      </c>
      <c r="E69" s="113"/>
      <c r="F69" s="21">
        <f t="shared" ref="F69:O69" si="102">(INDEX(G$7:G$37,$B69)*(1-$D69)+INDEX(G$7:G$37,$B69+1)*$D69)*G$4*$B$2</f>
        <v>0.5</v>
      </c>
      <c r="G69" s="21">
        <f t="shared" si="102"/>
        <v>0.05</v>
      </c>
      <c r="H69" s="21">
        <f t="shared" si="102"/>
        <v>0</v>
      </c>
      <c r="I69" s="21">
        <f t="shared" si="102"/>
        <v>0</v>
      </c>
      <c r="J69" s="21">
        <f t="shared" si="102"/>
        <v>0</v>
      </c>
      <c r="K69" s="21">
        <f t="shared" si="102"/>
        <v>8.7499999999999994E-2</v>
      </c>
      <c r="L69" s="21">
        <f t="shared" si="102"/>
        <v>0</v>
      </c>
      <c r="M69" s="21">
        <f t="shared" si="102"/>
        <v>0</v>
      </c>
      <c r="N69" s="21">
        <f t="shared" si="102"/>
        <v>0</v>
      </c>
      <c r="O69" s="21">
        <f t="shared" si="102"/>
        <v>0</v>
      </c>
      <c r="P69" s="32">
        <f t="shared" si="82"/>
        <v>45</v>
      </c>
      <c r="Q69" s="32">
        <f t="shared" si="82"/>
        <v>30</v>
      </c>
      <c r="EH69" s="141"/>
      <c r="EI69" s="141"/>
      <c r="EJ69" s="141"/>
      <c r="EK69" s="141"/>
      <c r="EL69" s="141"/>
      <c r="EM69" s="141"/>
      <c r="EN69" s="141"/>
      <c r="EO69" s="141"/>
      <c r="EP69" s="141"/>
      <c r="EQ69" s="141"/>
      <c r="ER69" s="141"/>
      <c r="ES69" s="141"/>
      <c r="ET69" s="141"/>
      <c r="EU69" s="141"/>
      <c r="EV69" s="106"/>
      <c r="EW69" s="15"/>
      <c r="EX69" s="15"/>
      <c r="EY69" s="106"/>
      <c r="EZ69" s="106"/>
    </row>
    <row r="70" spans="1:156" ht="16.5" x14ac:dyDescent="0.2">
      <c r="A70" s="26">
        <v>21</v>
      </c>
      <c r="B70" s="104">
        <f t="shared" si="83"/>
        <v>6</v>
      </c>
      <c r="C70" s="118">
        <v>1</v>
      </c>
      <c r="D70" s="19">
        <v>0.25</v>
      </c>
      <c r="E70" s="113"/>
      <c r="F70" s="21">
        <f t="shared" ref="F70:O70" si="103">(INDEX(G$7:G$37,$B70)*(1-$D70)+INDEX(G$7:G$37,$B70+1)*$D70)*G$4*$B$2</f>
        <v>0.5</v>
      </c>
      <c r="G70" s="21">
        <f t="shared" si="103"/>
        <v>5.9375000000000004E-2</v>
      </c>
      <c r="H70" s="21">
        <f t="shared" si="103"/>
        <v>0</v>
      </c>
      <c r="I70" s="21">
        <f t="shared" si="103"/>
        <v>0</v>
      </c>
      <c r="J70" s="21">
        <f t="shared" si="103"/>
        <v>0</v>
      </c>
      <c r="K70" s="21">
        <f t="shared" si="103"/>
        <v>9.6874999999999989E-2</v>
      </c>
      <c r="L70" s="21">
        <f t="shared" si="103"/>
        <v>0</v>
      </c>
      <c r="M70" s="21">
        <f t="shared" si="103"/>
        <v>0</v>
      </c>
      <c r="N70" s="21">
        <f t="shared" si="103"/>
        <v>0</v>
      </c>
      <c r="O70" s="21">
        <f t="shared" si="103"/>
        <v>0</v>
      </c>
      <c r="P70" s="32">
        <f t="shared" ref="P70:Q89" si="104">INT((INDEX(Q$7:Q$37,$B70)*(1-$D70)+INDEX(Q$7:Q$37,$B70+1)*$D70)*Q$4*$B$2)</f>
        <v>46</v>
      </c>
      <c r="Q70" s="32">
        <f t="shared" si="104"/>
        <v>31</v>
      </c>
      <c r="EH70" s="141"/>
      <c r="EI70" s="141"/>
      <c r="EJ70" s="141"/>
      <c r="EK70" s="141"/>
      <c r="EL70" s="141"/>
      <c r="EM70" s="141"/>
      <c r="EN70" s="141"/>
      <c r="EO70" s="141"/>
      <c r="EP70" s="141"/>
      <c r="EQ70" s="141"/>
      <c r="ER70" s="141"/>
      <c r="ES70" s="141"/>
      <c r="ET70" s="141"/>
      <c r="EU70" s="141"/>
      <c r="EV70" s="106"/>
      <c r="EW70" s="15"/>
      <c r="EX70" s="15"/>
      <c r="EY70" s="106"/>
      <c r="EZ70" s="106"/>
    </row>
    <row r="71" spans="1:156" ht="16.5" x14ac:dyDescent="0.2">
      <c r="A71" s="26">
        <v>22</v>
      </c>
      <c r="B71" s="104">
        <f t="shared" si="83"/>
        <v>6</v>
      </c>
      <c r="C71" s="118">
        <v>2</v>
      </c>
      <c r="D71" s="19">
        <v>0.5</v>
      </c>
      <c r="E71" s="113"/>
      <c r="F71" s="21">
        <f t="shared" ref="F71:O71" si="105">(INDEX(G$7:G$37,$B71)*(1-$D71)+INDEX(G$7:G$37,$B71+1)*$D71)*G$4*$B$2</f>
        <v>0.5</v>
      </c>
      <c r="G71" s="21">
        <f t="shared" si="105"/>
        <v>6.8750000000000006E-2</v>
      </c>
      <c r="H71" s="21">
        <f t="shared" si="105"/>
        <v>0</v>
      </c>
      <c r="I71" s="21">
        <f t="shared" si="105"/>
        <v>0</v>
      </c>
      <c r="J71" s="21">
        <f t="shared" si="105"/>
        <v>0</v>
      </c>
      <c r="K71" s="21">
        <f t="shared" si="105"/>
        <v>0.10625</v>
      </c>
      <c r="L71" s="21">
        <f t="shared" si="105"/>
        <v>0</v>
      </c>
      <c r="M71" s="21">
        <f t="shared" si="105"/>
        <v>0</v>
      </c>
      <c r="N71" s="21">
        <f t="shared" si="105"/>
        <v>0</v>
      </c>
      <c r="O71" s="21">
        <f t="shared" si="105"/>
        <v>0</v>
      </c>
      <c r="P71" s="32">
        <f t="shared" si="104"/>
        <v>47</v>
      </c>
      <c r="Q71" s="32">
        <f t="shared" si="104"/>
        <v>32</v>
      </c>
      <c r="EH71" s="141"/>
      <c r="EI71" s="141"/>
      <c r="EJ71" s="141"/>
      <c r="EK71" s="141"/>
      <c r="EL71" s="141"/>
      <c r="EM71" s="141"/>
      <c r="EN71" s="141"/>
      <c r="EO71" s="141"/>
      <c r="EP71" s="141"/>
      <c r="EQ71" s="141"/>
      <c r="ER71" s="141"/>
      <c r="ES71" s="141"/>
      <c r="ET71" s="141"/>
      <c r="EU71" s="141"/>
      <c r="EV71" s="106"/>
      <c r="EW71" s="15"/>
      <c r="EX71" s="15"/>
      <c r="EY71" s="106"/>
      <c r="EZ71" s="106"/>
    </row>
    <row r="72" spans="1:156" ht="16.5" x14ac:dyDescent="0.2">
      <c r="A72" s="26">
        <v>23</v>
      </c>
      <c r="B72" s="104">
        <f t="shared" si="83"/>
        <v>6</v>
      </c>
      <c r="C72" s="118">
        <v>3</v>
      </c>
      <c r="D72" s="19">
        <v>0.75</v>
      </c>
      <c r="E72" s="113"/>
      <c r="F72" s="21">
        <f t="shared" ref="F72:O72" si="106">(INDEX(G$7:G$37,$B72)*(1-$D72)+INDEX(G$7:G$37,$B72+1)*$D72)*G$4*$B$2</f>
        <v>0.5</v>
      </c>
      <c r="G72" s="21">
        <f t="shared" si="106"/>
        <v>7.8124999999999986E-2</v>
      </c>
      <c r="H72" s="21">
        <f t="shared" si="106"/>
        <v>0</v>
      </c>
      <c r="I72" s="21">
        <f t="shared" si="106"/>
        <v>0</v>
      </c>
      <c r="J72" s="21">
        <f t="shared" si="106"/>
        <v>0</v>
      </c>
      <c r="K72" s="21">
        <f t="shared" si="106"/>
        <v>0.11562500000000001</v>
      </c>
      <c r="L72" s="21">
        <f t="shared" si="106"/>
        <v>0</v>
      </c>
      <c r="M72" s="21">
        <f t="shared" si="106"/>
        <v>0</v>
      </c>
      <c r="N72" s="21">
        <f t="shared" si="106"/>
        <v>0</v>
      </c>
      <c r="O72" s="21">
        <f t="shared" si="106"/>
        <v>0</v>
      </c>
      <c r="P72" s="32">
        <f t="shared" si="104"/>
        <v>48</v>
      </c>
      <c r="Q72" s="32">
        <f t="shared" si="104"/>
        <v>33</v>
      </c>
      <c r="EH72" s="141"/>
      <c r="EI72" s="141"/>
      <c r="EJ72" s="141"/>
      <c r="EK72" s="141"/>
      <c r="EL72" s="141"/>
      <c r="EM72" s="141"/>
      <c r="EN72" s="141"/>
      <c r="EO72" s="141"/>
      <c r="EP72" s="141"/>
      <c r="EQ72" s="141"/>
      <c r="ER72" s="141"/>
      <c r="ES72" s="141"/>
      <c r="ET72" s="141"/>
      <c r="EU72" s="141"/>
      <c r="EV72" s="106"/>
      <c r="EW72" s="15"/>
      <c r="EX72" s="15"/>
      <c r="EY72" s="106"/>
      <c r="EZ72" s="106"/>
    </row>
    <row r="73" spans="1:156" ht="16.5" x14ac:dyDescent="0.2">
      <c r="A73" s="26">
        <v>24</v>
      </c>
      <c r="B73" s="104">
        <f t="shared" si="83"/>
        <v>6</v>
      </c>
      <c r="C73" s="118">
        <v>4</v>
      </c>
      <c r="D73" s="19">
        <v>1</v>
      </c>
      <c r="E73" s="113"/>
      <c r="F73" s="21">
        <f t="shared" ref="F73:O73" si="107">(INDEX(G$7:G$37,$B73)*(1-$D73)+INDEX(G$7:G$37,$B73+1)*$D73)*G$4*$B$2</f>
        <v>0.5</v>
      </c>
      <c r="G73" s="21">
        <f t="shared" si="107"/>
        <v>8.7499999999999994E-2</v>
      </c>
      <c r="H73" s="21">
        <f t="shared" si="107"/>
        <v>0</v>
      </c>
      <c r="I73" s="21">
        <f t="shared" si="107"/>
        <v>0</v>
      </c>
      <c r="J73" s="21">
        <f t="shared" si="107"/>
        <v>0</v>
      </c>
      <c r="K73" s="21">
        <f t="shared" si="107"/>
        <v>0.125</v>
      </c>
      <c r="L73" s="21">
        <f t="shared" si="107"/>
        <v>0</v>
      </c>
      <c r="M73" s="21">
        <f t="shared" si="107"/>
        <v>0</v>
      </c>
      <c r="N73" s="21">
        <f t="shared" si="107"/>
        <v>0</v>
      </c>
      <c r="O73" s="21">
        <f t="shared" si="107"/>
        <v>0</v>
      </c>
      <c r="P73" s="32">
        <f t="shared" si="104"/>
        <v>50</v>
      </c>
      <c r="Q73" s="32">
        <f t="shared" si="104"/>
        <v>35</v>
      </c>
      <c r="EH73" s="141"/>
      <c r="EI73" s="141"/>
      <c r="EJ73" s="141"/>
      <c r="EK73" s="141"/>
      <c r="EL73" s="141"/>
      <c r="EM73" s="141"/>
      <c r="EN73" s="141"/>
      <c r="EO73" s="141"/>
      <c r="EP73" s="141"/>
      <c r="EQ73" s="141"/>
      <c r="ER73" s="141"/>
      <c r="ES73" s="141"/>
      <c r="ET73" s="141"/>
      <c r="EU73" s="141"/>
      <c r="EV73" s="106"/>
      <c r="EW73" s="15"/>
      <c r="EX73" s="15"/>
      <c r="EY73" s="106"/>
      <c r="EZ73" s="106"/>
    </row>
    <row r="74" spans="1:156" ht="16.5" x14ac:dyDescent="0.2">
      <c r="A74" s="26">
        <v>25</v>
      </c>
      <c r="B74" s="104">
        <f t="shared" si="83"/>
        <v>7</v>
      </c>
      <c r="C74" s="118">
        <v>1</v>
      </c>
      <c r="D74" s="19">
        <v>0.25</v>
      </c>
      <c r="E74" s="113"/>
      <c r="F74" s="21">
        <f t="shared" ref="F74:O74" si="108">(INDEX(G$7:G$37,$B74)*(1-$D74)+INDEX(G$7:G$37,$B74+1)*$D74)*G$4*$B$2</f>
        <v>0.5</v>
      </c>
      <c r="G74" s="21">
        <f t="shared" si="108"/>
        <v>9.6874999999999989E-2</v>
      </c>
      <c r="H74" s="21">
        <f t="shared" si="108"/>
        <v>0</v>
      </c>
      <c r="I74" s="21">
        <f t="shared" si="108"/>
        <v>0</v>
      </c>
      <c r="J74" s="21">
        <f t="shared" si="108"/>
        <v>0</v>
      </c>
      <c r="K74" s="21">
        <f t="shared" si="108"/>
        <v>0.13437499999999999</v>
      </c>
      <c r="L74" s="21">
        <f t="shared" si="108"/>
        <v>0</v>
      </c>
      <c r="M74" s="21">
        <f t="shared" si="108"/>
        <v>0</v>
      </c>
      <c r="N74" s="21">
        <f t="shared" si="108"/>
        <v>0</v>
      </c>
      <c r="O74" s="21">
        <f t="shared" si="108"/>
        <v>0</v>
      </c>
      <c r="P74" s="32">
        <f t="shared" si="104"/>
        <v>52</v>
      </c>
      <c r="Q74" s="32">
        <f t="shared" si="104"/>
        <v>36</v>
      </c>
      <c r="EH74" s="141"/>
      <c r="EI74" s="141"/>
      <c r="EJ74" s="141"/>
      <c r="EK74" s="141"/>
      <c r="EL74" s="141"/>
      <c r="EM74" s="141"/>
      <c r="EN74" s="141"/>
      <c r="EO74" s="141"/>
      <c r="EP74" s="141"/>
      <c r="EQ74" s="141"/>
      <c r="ER74" s="141"/>
      <c r="ES74" s="141"/>
      <c r="ET74" s="141"/>
      <c r="EU74" s="141"/>
      <c r="EV74" s="106"/>
      <c r="EW74" s="15"/>
      <c r="EX74" s="15"/>
      <c r="EY74" s="106"/>
      <c r="EZ74" s="106"/>
    </row>
    <row r="75" spans="1:156" ht="16.5" x14ac:dyDescent="0.2">
      <c r="A75" s="26">
        <v>26</v>
      </c>
      <c r="B75" s="104">
        <f t="shared" si="83"/>
        <v>7</v>
      </c>
      <c r="C75" s="118">
        <v>2</v>
      </c>
      <c r="D75" s="19">
        <v>0.5</v>
      </c>
      <c r="E75" s="113"/>
      <c r="F75" s="21">
        <f t="shared" ref="F75:O75" si="109">(INDEX(G$7:G$37,$B75)*(1-$D75)+INDEX(G$7:G$37,$B75+1)*$D75)*G$4*$B$2</f>
        <v>0.5</v>
      </c>
      <c r="G75" s="21">
        <f t="shared" si="109"/>
        <v>0.10625</v>
      </c>
      <c r="H75" s="21">
        <f t="shared" si="109"/>
        <v>0</v>
      </c>
      <c r="I75" s="21">
        <f t="shared" si="109"/>
        <v>0</v>
      </c>
      <c r="J75" s="21">
        <f t="shared" si="109"/>
        <v>0</v>
      </c>
      <c r="K75" s="21">
        <f t="shared" si="109"/>
        <v>0.14374999999999999</v>
      </c>
      <c r="L75" s="21">
        <f t="shared" si="109"/>
        <v>0</v>
      </c>
      <c r="M75" s="21">
        <f t="shared" si="109"/>
        <v>0</v>
      </c>
      <c r="N75" s="21">
        <f t="shared" si="109"/>
        <v>0</v>
      </c>
      <c r="O75" s="21">
        <f t="shared" si="109"/>
        <v>0</v>
      </c>
      <c r="P75" s="32">
        <f t="shared" si="104"/>
        <v>55</v>
      </c>
      <c r="Q75" s="32">
        <f t="shared" si="104"/>
        <v>37</v>
      </c>
      <c r="EH75" s="141"/>
      <c r="EI75" s="141"/>
      <c r="EJ75" s="141"/>
      <c r="EK75" s="141"/>
      <c r="EL75" s="141"/>
      <c r="EM75" s="141"/>
      <c r="EN75" s="141"/>
      <c r="EO75" s="141"/>
      <c r="EP75" s="141"/>
      <c r="EQ75" s="141"/>
      <c r="ER75" s="141"/>
      <c r="ES75" s="141"/>
      <c r="ET75" s="141"/>
      <c r="EU75" s="141"/>
      <c r="EV75" s="106"/>
      <c r="EW75" s="15"/>
      <c r="EX75" s="15"/>
      <c r="EY75" s="106"/>
      <c r="EZ75" s="106"/>
    </row>
    <row r="76" spans="1:156" ht="16.5" x14ac:dyDescent="0.2">
      <c r="A76" s="26">
        <v>27</v>
      </c>
      <c r="B76" s="104">
        <f t="shared" si="83"/>
        <v>7</v>
      </c>
      <c r="C76" s="118">
        <v>3</v>
      </c>
      <c r="D76" s="19">
        <v>0.75</v>
      </c>
      <c r="E76" s="113"/>
      <c r="F76" s="21">
        <f t="shared" ref="F76:O76" si="110">(INDEX(G$7:G$37,$B76)*(1-$D76)+INDEX(G$7:G$37,$B76+1)*$D76)*G$4*$B$2</f>
        <v>0.5</v>
      </c>
      <c r="G76" s="21">
        <f t="shared" si="110"/>
        <v>0.11562500000000001</v>
      </c>
      <c r="H76" s="21">
        <f t="shared" si="110"/>
        <v>0</v>
      </c>
      <c r="I76" s="21">
        <f t="shared" si="110"/>
        <v>0</v>
      </c>
      <c r="J76" s="21">
        <f t="shared" si="110"/>
        <v>0</v>
      </c>
      <c r="K76" s="21">
        <f t="shared" si="110"/>
        <v>0.15312500000000001</v>
      </c>
      <c r="L76" s="21">
        <f t="shared" si="110"/>
        <v>0</v>
      </c>
      <c r="M76" s="21">
        <f t="shared" si="110"/>
        <v>0</v>
      </c>
      <c r="N76" s="21">
        <f t="shared" si="110"/>
        <v>0</v>
      </c>
      <c r="O76" s="21">
        <f t="shared" si="110"/>
        <v>0</v>
      </c>
      <c r="P76" s="32">
        <f t="shared" si="104"/>
        <v>57</v>
      </c>
      <c r="Q76" s="32">
        <f t="shared" si="104"/>
        <v>38</v>
      </c>
      <c r="EH76" s="141"/>
      <c r="EI76" s="141"/>
      <c r="EJ76" s="141"/>
      <c r="EK76" s="141"/>
      <c r="EL76" s="141"/>
      <c r="EM76" s="141"/>
      <c r="EN76" s="141"/>
      <c r="EO76" s="141"/>
      <c r="EP76" s="141"/>
      <c r="EQ76" s="141"/>
      <c r="ER76" s="141"/>
      <c r="ES76" s="141"/>
      <c r="ET76" s="141"/>
      <c r="EU76" s="141"/>
      <c r="EV76" s="106"/>
      <c r="EW76" s="15"/>
      <c r="EX76" s="15"/>
      <c r="EY76" s="106"/>
      <c r="EZ76" s="106"/>
    </row>
    <row r="77" spans="1:156" ht="16.5" x14ac:dyDescent="0.2">
      <c r="A77" s="26">
        <v>28</v>
      </c>
      <c r="B77" s="104">
        <f t="shared" si="83"/>
        <v>7</v>
      </c>
      <c r="C77" s="118">
        <v>4</v>
      </c>
      <c r="D77" s="19">
        <v>1</v>
      </c>
      <c r="E77" s="113"/>
      <c r="F77" s="21">
        <f t="shared" ref="F77:O77" si="111">(INDEX(G$7:G$37,$B77)*(1-$D77)+INDEX(G$7:G$37,$B77+1)*$D77)*G$4*$B$2</f>
        <v>0.5</v>
      </c>
      <c r="G77" s="21">
        <f t="shared" si="111"/>
        <v>0.125</v>
      </c>
      <c r="H77" s="21">
        <f t="shared" si="111"/>
        <v>0</v>
      </c>
      <c r="I77" s="21">
        <f t="shared" si="111"/>
        <v>0</v>
      </c>
      <c r="J77" s="21">
        <f t="shared" si="111"/>
        <v>0</v>
      </c>
      <c r="K77" s="21">
        <f t="shared" si="111"/>
        <v>0.16250000000000001</v>
      </c>
      <c r="L77" s="21">
        <f t="shared" si="111"/>
        <v>0</v>
      </c>
      <c r="M77" s="21">
        <f t="shared" si="111"/>
        <v>0</v>
      </c>
      <c r="N77" s="21">
        <f t="shared" si="111"/>
        <v>0</v>
      </c>
      <c r="O77" s="21">
        <f t="shared" si="111"/>
        <v>0</v>
      </c>
      <c r="P77" s="32">
        <f t="shared" si="104"/>
        <v>60</v>
      </c>
      <c r="Q77" s="32">
        <f t="shared" si="104"/>
        <v>40</v>
      </c>
      <c r="EH77" s="141"/>
      <c r="EI77" s="141"/>
      <c r="EJ77" s="141"/>
      <c r="EK77" s="141"/>
      <c r="EL77" s="141"/>
      <c r="EM77" s="141"/>
      <c r="EN77" s="141"/>
      <c r="EO77" s="141"/>
      <c r="EP77" s="141"/>
      <c r="EQ77" s="141"/>
      <c r="ER77" s="141"/>
      <c r="ES77" s="141"/>
      <c r="ET77" s="141"/>
      <c r="EU77" s="141"/>
      <c r="EV77" s="106"/>
      <c r="EW77" s="15"/>
      <c r="EX77" s="15"/>
      <c r="EY77" s="106"/>
      <c r="EZ77" s="106"/>
    </row>
    <row r="78" spans="1:156" ht="16.5" x14ac:dyDescent="0.2">
      <c r="A78" s="26">
        <v>29</v>
      </c>
      <c r="B78" s="104">
        <f t="shared" si="83"/>
        <v>8</v>
      </c>
      <c r="C78" s="118">
        <v>1</v>
      </c>
      <c r="D78" s="19">
        <v>0.25</v>
      </c>
      <c r="E78" s="113"/>
      <c r="F78" s="21">
        <f t="shared" ref="F78:O78" si="112">(INDEX(G$7:G$37,$B78)*(1-$D78)+INDEX(G$7:G$37,$B78+1)*$D78)*G$4*$B$2</f>
        <v>0.5</v>
      </c>
      <c r="G78" s="21">
        <f t="shared" si="112"/>
        <v>0.13437499999999999</v>
      </c>
      <c r="H78" s="21">
        <f t="shared" si="112"/>
        <v>0</v>
      </c>
      <c r="I78" s="21">
        <f t="shared" si="112"/>
        <v>0</v>
      </c>
      <c r="J78" s="21">
        <f t="shared" si="112"/>
        <v>0</v>
      </c>
      <c r="K78" s="21">
        <f t="shared" si="112"/>
        <v>0.171875</v>
      </c>
      <c r="L78" s="21">
        <f t="shared" si="112"/>
        <v>0</v>
      </c>
      <c r="M78" s="21">
        <f t="shared" si="112"/>
        <v>0</v>
      </c>
      <c r="N78" s="21">
        <f t="shared" si="112"/>
        <v>0</v>
      </c>
      <c r="O78" s="21">
        <f t="shared" si="112"/>
        <v>0</v>
      </c>
      <c r="P78" s="32">
        <f t="shared" si="104"/>
        <v>62</v>
      </c>
      <c r="Q78" s="32">
        <f t="shared" si="104"/>
        <v>41</v>
      </c>
      <c r="EH78" s="141"/>
      <c r="EI78" s="141"/>
      <c r="EJ78" s="141"/>
      <c r="EK78" s="141"/>
      <c r="EL78" s="141"/>
      <c r="EM78" s="141"/>
      <c r="EN78" s="141"/>
      <c r="EO78" s="141"/>
      <c r="EP78" s="141"/>
      <c r="EQ78" s="141"/>
      <c r="ER78" s="141"/>
      <c r="ES78" s="141"/>
      <c r="ET78" s="141"/>
      <c r="EU78" s="141"/>
      <c r="EV78" s="106"/>
      <c r="EW78" s="15"/>
      <c r="EX78" s="15"/>
      <c r="EY78" s="106"/>
      <c r="EZ78" s="106"/>
    </row>
    <row r="79" spans="1:156" ht="16.5" x14ac:dyDescent="0.2">
      <c r="A79" s="26">
        <v>30</v>
      </c>
      <c r="B79" s="104">
        <f t="shared" si="83"/>
        <v>8</v>
      </c>
      <c r="C79" s="118">
        <v>2</v>
      </c>
      <c r="D79" s="19">
        <v>0.5</v>
      </c>
      <c r="E79" s="113"/>
      <c r="F79" s="21">
        <f t="shared" ref="F79:O79" si="113">(INDEX(G$7:G$37,$B79)*(1-$D79)+INDEX(G$7:G$37,$B79+1)*$D79)*G$4*$B$2</f>
        <v>0.5</v>
      </c>
      <c r="G79" s="21">
        <f t="shared" si="113"/>
        <v>0.14374999999999999</v>
      </c>
      <c r="H79" s="21">
        <f t="shared" si="113"/>
        <v>0</v>
      </c>
      <c r="I79" s="21">
        <f t="shared" si="113"/>
        <v>0</v>
      </c>
      <c r="J79" s="21">
        <f t="shared" si="113"/>
        <v>0</v>
      </c>
      <c r="K79" s="21">
        <f t="shared" si="113"/>
        <v>0.18125000000000002</v>
      </c>
      <c r="L79" s="21">
        <f t="shared" si="113"/>
        <v>0</v>
      </c>
      <c r="M79" s="21">
        <f t="shared" si="113"/>
        <v>0</v>
      </c>
      <c r="N79" s="21">
        <f t="shared" si="113"/>
        <v>0</v>
      </c>
      <c r="O79" s="21">
        <f t="shared" si="113"/>
        <v>0</v>
      </c>
      <c r="P79" s="32">
        <f t="shared" si="104"/>
        <v>65</v>
      </c>
      <c r="Q79" s="32">
        <f t="shared" si="104"/>
        <v>42</v>
      </c>
      <c r="EH79" s="141"/>
      <c r="EI79" s="141"/>
      <c r="EJ79" s="141"/>
      <c r="EK79" s="141"/>
      <c r="EL79" s="141"/>
      <c r="EM79" s="141"/>
      <c r="EN79" s="141"/>
      <c r="EO79" s="141"/>
      <c r="EP79" s="141"/>
      <c r="EQ79" s="141"/>
      <c r="ER79" s="141"/>
      <c r="ES79" s="141"/>
      <c r="ET79" s="141"/>
      <c r="EU79" s="141"/>
      <c r="EV79" s="106"/>
      <c r="EW79" s="15"/>
      <c r="EX79" s="15"/>
      <c r="EY79" s="106"/>
      <c r="EZ79" s="106"/>
    </row>
    <row r="80" spans="1:156" ht="16.5" x14ac:dyDescent="0.2">
      <c r="A80" s="26">
        <v>31</v>
      </c>
      <c r="B80" s="104">
        <f t="shared" si="83"/>
        <v>8</v>
      </c>
      <c r="C80" s="118">
        <v>3</v>
      </c>
      <c r="D80" s="19">
        <v>0.75</v>
      </c>
      <c r="E80" s="113"/>
      <c r="F80" s="21">
        <f t="shared" ref="F80:O80" si="114">(INDEX(G$7:G$37,$B80)*(1-$D80)+INDEX(G$7:G$37,$B80+1)*$D80)*G$4*$B$2</f>
        <v>0.5</v>
      </c>
      <c r="G80" s="21">
        <f t="shared" si="114"/>
        <v>0.15312500000000001</v>
      </c>
      <c r="H80" s="21">
        <f t="shared" si="114"/>
        <v>0</v>
      </c>
      <c r="I80" s="21">
        <f t="shared" si="114"/>
        <v>0</v>
      </c>
      <c r="J80" s="21">
        <f t="shared" si="114"/>
        <v>0</v>
      </c>
      <c r="K80" s="21">
        <f t="shared" si="114"/>
        <v>0.19062500000000002</v>
      </c>
      <c r="L80" s="21">
        <f t="shared" si="114"/>
        <v>0</v>
      </c>
      <c r="M80" s="21">
        <f t="shared" si="114"/>
        <v>0</v>
      </c>
      <c r="N80" s="21">
        <f t="shared" si="114"/>
        <v>0</v>
      </c>
      <c r="O80" s="21">
        <f t="shared" si="114"/>
        <v>0</v>
      </c>
      <c r="P80" s="32">
        <f t="shared" si="104"/>
        <v>67</v>
      </c>
      <c r="Q80" s="32">
        <f t="shared" si="104"/>
        <v>43</v>
      </c>
      <c r="EH80" s="141"/>
      <c r="EI80" s="141"/>
      <c r="EJ80" s="141"/>
      <c r="EK80" s="141"/>
      <c r="EL80" s="141"/>
      <c r="EM80" s="141"/>
      <c r="EN80" s="141"/>
      <c r="EO80" s="141"/>
      <c r="EP80" s="141"/>
      <c r="EQ80" s="141"/>
      <c r="ER80" s="141"/>
      <c r="ES80" s="141"/>
      <c r="ET80" s="141"/>
      <c r="EU80" s="141"/>
      <c r="EV80" s="106"/>
      <c r="EW80" s="15"/>
      <c r="EX80" s="15"/>
      <c r="EY80" s="106"/>
      <c r="EZ80" s="106"/>
    </row>
    <row r="81" spans="1:156" ht="16.5" x14ac:dyDescent="0.2">
      <c r="A81" s="26">
        <v>32</v>
      </c>
      <c r="B81" s="104">
        <f t="shared" si="83"/>
        <v>8</v>
      </c>
      <c r="C81" s="118">
        <v>4</v>
      </c>
      <c r="D81" s="19">
        <v>1</v>
      </c>
      <c r="E81" s="113"/>
      <c r="F81" s="21">
        <f t="shared" ref="F81:O81" si="115">(INDEX(G$7:G$37,$B81)*(1-$D81)+INDEX(G$7:G$37,$B81+1)*$D81)*G$4*$B$2</f>
        <v>0.5</v>
      </c>
      <c r="G81" s="21">
        <f t="shared" si="115"/>
        <v>0.16250000000000001</v>
      </c>
      <c r="H81" s="21">
        <f t="shared" si="115"/>
        <v>0</v>
      </c>
      <c r="I81" s="21">
        <f t="shared" si="115"/>
        <v>0</v>
      </c>
      <c r="J81" s="21">
        <f t="shared" si="115"/>
        <v>0</v>
      </c>
      <c r="K81" s="21">
        <f t="shared" si="115"/>
        <v>0.2</v>
      </c>
      <c r="L81" s="21">
        <f t="shared" si="115"/>
        <v>0</v>
      </c>
      <c r="M81" s="21">
        <f t="shared" si="115"/>
        <v>0</v>
      </c>
      <c r="N81" s="21">
        <f t="shared" si="115"/>
        <v>0</v>
      </c>
      <c r="O81" s="21">
        <f t="shared" si="115"/>
        <v>0</v>
      </c>
      <c r="P81" s="32">
        <f t="shared" si="104"/>
        <v>70</v>
      </c>
      <c r="Q81" s="32">
        <f t="shared" si="104"/>
        <v>45</v>
      </c>
      <c r="EH81" s="141"/>
      <c r="EI81" s="141"/>
      <c r="EJ81" s="141"/>
      <c r="EK81" s="141"/>
      <c r="EL81" s="141"/>
      <c r="EM81" s="141"/>
      <c r="EN81" s="141"/>
      <c r="EO81" s="141"/>
      <c r="EP81" s="141"/>
      <c r="EQ81" s="141"/>
      <c r="ER81" s="141"/>
      <c r="ES81" s="141"/>
      <c r="ET81" s="141"/>
      <c r="EU81" s="141"/>
      <c r="EV81" s="106"/>
      <c r="EW81" s="15"/>
      <c r="EX81" s="15"/>
      <c r="EY81" s="106"/>
      <c r="EZ81" s="106"/>
    </row>
    <row r="82" spans="1:156" ht="16.5" x14ac:dyDescent="0.2">
      <c r="A82" s="26">
        <v>33</v>
      </c>
      <c r="B82" s="104">
        <f t="shared" si="83"/>
        <v>9</v>
      </c>
      <c r="C82" s="118">
        <v>1</v>
      </c>
      <c r="D82" s="19">
        <v>0.25</v>
      </c>
      <c r="E82" s="113"/>
      <c r="F82" s="21">
        <f t="shared" ref="F82:O82" si="116">(INDEX(G$7:G$37,$B82)*(1-$D82)+INDEX(G$7:G$37,$B82+1)*$D82)*G$4*$B$2</f>
        <v>0.5</v>
      </c>
      <c r="G82" s="21">
        <f t="shared" si="116"/>
        <v>0.171875</v>
      </c>
      <c r="H82" s="21">
        <f t="shared" si="116"/>
        <v>0</v>
      </c>
      <c r="I82" s="21">
        <f t="shared" si="116"/>
        <v>0</v>
      </c>
      <c r="J82" s="21">
        <f t="shared" si="116"/>
        <v>0</v>
      </c>
      <c r="K82" s="21">
        <f t="shared" si="116"/>
        <v>0.21250000000000002</v>
      </c>
      <c r="L82" s="21">
        <f t="shared" si="116"/>
        <v>0</v>
      </c>
      <c r="M82" s="21">
        <f t="shared" si="116"/>
        <v>0</v>
      </c>
      <c r="N82" s="21">
        <f t="shared" si="116"/>
        <v>0</v>
      </c>
      <c r="O82" s="21">
        <f t="shared" si="116"/>
        <v>0</v>
      </c>
      <c r="P82" s="32">
        <f t="shared" si="104"/>
        <v>72</v>
      </c>
      <c r="Q82" s="32">
        <f t="shared" si="104"/>
        <v>46</v>
      </c>
      <c r="EH82" s="141"/>
      <c r="EI82" s="141"/>
      <c r="EJ82" s="141"/>
      <c r="EK82" s="141"/>
      <c r="EL82" s="141"/>
      <c r="EM82" s="141"/>
      <c r="EN82" s="141"/>
      <c r="EO82" s="141"/>
      <c r="EP82" s="141"/>
      <c r="EQ82" s="141"/>
      <c r="ER82" s="141"/>
      <c r="ES82" s="141"/>
      <c r="ET82" s="141"/>
      <c r="EU82" s="141"/>
      <c r="EV82" s="106"/>
      <c r="EW82" s="15"/>
      <c r="EX82" s="15"/>
      <c r="EY82" s="106"/>
      <c r="EZ82" s="106"/>
    </row>
    <row r="83" spans="1:156" ht="16.5" x14ac:dyDescent="0.2">
      <c r="A83" s="26">
        <v>34</v>
      </c>
      <c r="B83" s="104">
        <f t="shared" si="83"/>
        <v>9</v>
      </c>
      <c r="C83" s="118">
        <v>2</v>
      </c>
      <c r="D83" s="19">
        <v>0.5</v>
      </c>
      <c r="E83" s="113"/>
      <c r="F83" s="21">
        <f t="shared" ref="F83:O83" si="117">(INDEX(G$7:G$37,$B83)*(1-$D83)+INDEX(G$7:G$37,$B83+1)*$D83)*G$4*$B$2</f>
        <v>0.5</v>
      </c>
      <c r="G83" s="21">
        <f t="shared" si="117"/>
        <v>0.18125000000000002</v>
      </c>
      <c r="H83" s="21">
        <f t="shared" si="117"/>
        <v>0</v>
      </c>
      <c r="I83" s="21">
        <f t="shared" si="117"/>
        <v>0</v>
      </c>
      <c r="J83" s="21">
        <f t="shared" si="117"/>
        <v>0</v>
      </c>
      <c r="K83" s="21">
        <f t="shared" si="117"/>
        <v>0.22500000000000001</v>
      </c>
      <c r="L83" s="21">
        <f t="shared" si="117"/>
        <v>0</v>
      </c>
      <c r="M83" s="21">
        <f t="shared" si="117"/>
        <v>0</v>
      </c>
      <c r="N83" s="21">
        <f t="shared" si="117"/>
        <v>0</v>
      </c>
      <c r="O83" s="21">
        <f t="shared" si="117"/>
        <v>0</v>
      </c>
      <c r="P83" s="32">
        <f t="shared" si="104"/>
        <v>75</v>
      </c>
      <c r="Q83" s="32">
        <f t="shared" si="104"/>
        <v>47</v>
      </c>
      <c r="EH83" s="141"/>
      <c r="EI83" s="141"/>
      <c r="EJ83" s="141"/>
      <c r="EK83" s="141"/>
      <c r="EL83" s="141"/>
      <c r="EM83" s="141"/>
      <c r="EN83" s="141"/>
      <c r="EO83" s="141"/>
      <c r="EP83" s="141"/>
      <c r="EQ83" s="141"/>
      <c r="ER83" s="141"/>
      <c r="ES83" s="141"/>
      <c r="ET83" s="141"/>
      <c r="EU83" s="141"/>
      <c r="EV83" s="106"/>
      <c r="EW83" s="15"/>
      <c r="EX83" s="15"/>
      <c r="EY83" s="106"/>
      <c r="EZ83" s="106"/>
    </row>
    <row r="84" spans="1:156" ht="16.5" x14ac:dyDescent="0.2">
      <c r="A84" s="26">
        <v>35</v>
      </c>
      <c r="B84" s="104">
        <f t="shared" si="83"/>
        <v>9</v>
      </c>
      <c r="C84" s="118">
        <v>3</v>
      </c>
      <c r="D84" s="19">
        <v>0.75</v>
      </c>
      <c r="E84" s="113"/>
      <c r="F84" s="21">
        <f t="shared" ref="F84:O84" si="118">(INDEX(G$7:G$37,$B84)*(1-$D84)+INDEX(G$7:G$37,$B84+1)*$D84)*G$4*$B$2</f>
        <v>0.5</v>
      </c>
      <c r="G84" s="21">
        <f t="shared" si="118"/>
        <v>0.19062500000000002</v>
      </c>
      <c r="H84" s="21">
        <f t="shared" si="118"/>
        <v>0</v>
      </c>
      <c r="I84" s="21">
        <f t="shared" si="118"/>
        <v>0</v>
      </c>
      <c r="J84" s="21">
        <f t="shared" si="118"/>
        <v>0</v>
      </c>
      <c r="K84" s="21">
        <f t="shared" si="118"/>
        <v>0.23749999999999999</v>
      </c>
      <c r="L84" s="21">
        <f t="shared" si="118"/>
        <v>0</v>
      </c>
      <c r="M84" s="21">
        <f t="shared" si="118"/>
        <v>0</v>
      </c>
      <c r="N84" s="21">
        <f t="shared" si="118"/>
        <v>0</v>
      </c>
      <c r="O84" s="21">
        <f t="shared" si="118"/>
        <v>0</v>
      </c>
      <c r="P84" s="32">
        <f t="shared" si="104"/>
        <v>77</v>
      </c>
      <c r="Q84" s="32">
        <f t="shared" si="104"/>
        <v>48</v>
      </c>
      <c r="EH84" s="141"/>
      <c r="EI84" s="141"/>
      <c r="EJ84" s="141"/>
      <c r="EK84" s="141"/>
      <c r="EL84" s="141"/>
      <c r="EM84" s="141"/>
      <c r="EN84" s="141"/>
      <c r="EO84" s="141"/>
      <c r="EP84" s="141"/>
      <c r="EQ84" s="141"/>
      <c r="ER84" s="141"/>
      <c r="ES84" s="141"/>
      <c r="ET84" s="141"/>
      <c r="EU84" s="141"/>
      <c r="EV84" s="106"/>
      <c r="EW84" s="15"/>
      <c r="EX84" s="15"/>
      <c r="EY84" s="106"/>
      <c r="EZ84" s="106"/>
    </row>
    <row r="85" spans="1:156" ht="16.5" x14ac:dyDescent="0.2">
      <c r="A85" s="26">
        <v>36</v>
      </c>
      <c r="B85" s="104">
        <f t="shared" si="83"/>
        <v>9</v>
      </c>
      <c r="C85" s="118">
        <v>4</v>
      </c>
      <c r="D85" s="19">
        <v>1</v>
      </c>
      <c r="E85" s="113"/>
      <c r="F85" s="21">
        <f t="shared" ref="F85:O85" si="119">(INDEX(G$7:G$37,$B85)*(1-$D85)+INDEX(G$7:G$37,$B85+1)*$D85)*G$4*$B$2</f>
        <v>0.5</v>
      </c>
      <c r="G85" s="21">
        <f t="shared" si="119"/>
        <v>0.2</v>
      </c>
      <c r="H85" s="21">
        <f t="shared" si="119"/>
        <v>0</v>
      </c>
      <c r="I85" s="21">
        <f t="shared" si="119"/>
        <v>0</v>
      </c>
      <c r="J85" s="21">
        <f t="shared" si="119"/>
        <v>0</v>
      </c>
      <c r="K85" s="21">
        <f t="shared" si="119"/>
        <v>0.25</v>
      </c>
      <c r="L85" s="21">
        <f t="shared" si="119"/>
        <v>0</v>
      </c>
      <c r="M85" s="21">
        <f t="shared" si="119"/>
        <v>0</v>
      </c>
      <c r="N85" s="21">
        <f t="shared" si="119"/>
        <v>0</v>
      </c>
      <c r="O85" s="21">
        <f t="shared" si="119"/>
        <v>0</v>
      </c>
      <c r="P85" s="32">
        <f t="shared" si="104"/>
        <v>80</v>
      </c>
      <c r="Q85" s="32">
        <f t="shared" si="104"/>
        <v>50</v>
      </c>
      <c r="EH85" s="141"/>
      <c r="EI85" s="141"/>
      <c r="EJ85" s="141"/>
      <c r="EK85" s="141"/>
      <c r="EL85" s="141"/>
      <c r="EM85" s="141"/>
      <c r="EN85" s="141"/>
      <c r="EO85" s="141"/>
      <c r="EP85" s="141"/>
      <c r="EQ85" s="141"/>
      <c r="ER85" s="141"/>
      <c r="ES85" s="141"/>
      <c r="ET85" s="141"/>
      <c r="EU85" s="141"/>
      <c r="EV85" s="106"/>
      <c r="EW85" s="15"/>
      <c r="EX85" s="15"/>
      <c r="EY85" s="106"/>
      <c r="EZ85" s="106"/>
    </row>
    <row r="86" spans="1:156" ht="16.5" x14ac:dyDescent="0.2">
      <c r="A86" s="26">
        <v>37</v>
      </c>
      <c r="B86" s="104">
        <f t="shared" si="83"/>
        <v>10</v>
      </c>
      <c r="C86" s="118">
        <v>1</v>
      </c>
      <c r="D86" s="19">
        <v>0.25</v>
      </c>
      <c r="E86" s="113"/>
      <c r="F86" s="21">
        <f t="shared" ref="F86:O86" si="120">(INDEX(G$7:G$37,$B86)*(1-$D86)+INDEX(G$7:G$37,$B86+1)*$D86)*G$4*$B$2</f>
        <v>0.5</v>
      </c>
      <c r="G86" s="21">
        <f t="shared" si="120"/>
        <v>0.21250000000000002</v>
      </c>
      <c r="H86" s="21">
        <f t="shared" si="120"/>
        <v>0</v>
      </c>
      <c r="I86" s="21">
        <f t="shared" si="120"/>
        <v>0</v>
      </c>
      <c r="J86" s="21">
        <f t="shared" si="120"/>
        <v>0</v>
      </c>
      <c r="K86" s="21">
        <f t="shared" si="120"/>
        <v>0.23749999999999999</v>
      </c>
      <c r="L86" s="21">
        <f t="shared" si="120"/>
        <v>5.000000000000001E-3</v>
      </c>
      <c r="M86" s="21">
        <f t="shared" si="120"/>
        <v>0</v>
      </c>
      <c r="N86" s="21">
        <f t="shared" si="120"/>
        <v>0</v>
      </c>
      <c r="O86" s="21">
        <f t="shared" si="120"/>
        <v>0</v>
      </c>
      <c r="P86" s="32">
        <f t="shared" si="104"/>
        <v>82</v>
      </c>
      <c r="Q86" s="32">
        <f t="shared" si="104"/>
        <v>51</v>
      </c>
      <c r="EH86" s="141"/>
      <c r="EI86" s="141"/>
      <c r="EJ86" s="141"/>
      <c r="EK86" s="141"/>
      <c r="EL86" s="141"/>
      <c r="EM86" s="141"/>
      <c r="EN86" s="141"/>
      <c r="EO86" s="141"/>
      <c r="EP86" s="141"/>
      <c r="EQ86" s="141"/>
      <c r="ER86" s="141"/>
      <c r="ES86" s="141"/>
      <c r="ET86" s="141"/>
      <c r="EU86" s="141"/>
      <c r="EV86" s="106"/>
      <c r="EW86" s="15"/>
      <c r="EX86" s="15"/>
      <c r="EY86" s="106"/>
      <c r="EZ86" s="106"/>
    </row>
    <row r="87" spans="1:156" ht="16.5" x14ac:dyDescent="0.2">
      <c r="A87" s="26">
        <v>38</v>
      </c>
      <c r="B87" s="104">
        <f t="shared" si="83"/>
        <v>10</v>
      </c>
      <c r="C87" s="118">
        <v>2</v>
      </c>
      <c r="D87" s="19">
        <v>0.5</v>
      </c>
      <c r="E87" s="113"/>
      <c r="F87" s="21">
        <f t="shared" ref="F87:O87" si="121">(INDEX(G$7:G$37,$B87)*(1-$D87)+INDEX(G$7:G$37,$B87+1)*$D87)*G$4*$B$2</f>
        <v>0.5</v>
      </c>
      <c r="G87" s="21">
        <f t="shared" si="121"/>
        <v>0.22500000000000001</v>
      </c>
      <c r="H87" s="21">
        <f t="shared" si="121"/>
        <v>0</v>
      </c>
      <c r="I87" s="21">
        <f t="shared" si="121"/>
        <v>0</v>
      </c>
      <c r="J87" s="21">
        <f t="shared" si="121"/>
        <v>0</v>
      </c>
      <c r="K87" s="21">
        <f t="shared" si="121"/>
        <v>0.22500000000000001</v>
      </c>
      <c r="L87" s="21">
        <f t="shared" si="121"/>
        <v>1.0000000000000002E-2</v>
      </c>
      <c r="M87" s="21">
        <f t="shared" si="121"/>
        <v>0</v>
      </c>
      <c r="N87" s="21">
        <f t="shared" si="121"/>
        <v>0</v>
      </c>
      <c r="O87" s="21">
        <f t="shared" si="121"/>
        <v>0</v>
      </c>
      <c r="P87" s="32">
        <f t="shared" si="104"/>
        <v>85</v>
      </c>
      <c r="Q87" s="32">
        <f t="shared" si="104"/>
        <v>52</v>
      </c>
      <c r="EH87" s="141"/>
      <c r="EI87" s="141"/>
      <c r="EJ87" s="141"/>
      <c r="EK87" s="141"/>
      <c r="EL87" s="141"/>
      <c r="EM87" s="141"/>
      <c r="EN87" s="141"/>
      <c r="EO87" s="141"/>
      <c r="EP87" s="141"/>
      <c r="EQ87" s="141"/>
      <c r="ER87" s="141"/>
      <c r="ES87" s="141"/>
      <c r="ET87" s="141"/>
      <c r="EU87" s="141"/>
      <c r="EV87" s="106"/>
      <c r="EW87" s="15"/>
      <c r="EX87" s="15"/>
    </row>
    <row r="88" spans="1:156" ht="16.5" x14ac:dyDescent="0.2">
      <c r="A88" s="26">
        <v>39</v>
      </c>
      <c r="B88" s="104">
        <f t="shared" si="83"/>
        <v>10</v>
      </c>
      <c r="C88" s="118">
        <v>3</v>
      </c>
      <c r="D88" s="19">
        <v>0.75</v>
      </c>
      <c r="E88" s="113"/>
      <c r="F88" s="21">
        <f t="shared" ref="F88:O88" si="122">(INDEX(G$7:G$37,$B88)*(1-$D88)+INDEX(G$7:G$37,$B88+1)*$D88)*G$4*$B$2</f>
        <v>0.5</v>
      </c>
      <c r="G88" s="21">
        <f t="shared" si="122"/>
        <v>0.23749999999999999</v>
      </c>
      <c r="H88" s="21">
        <f t="shared" si="122"/>
        <v>0</v>
      </c>
      <c r="I88" s="21">
        <f t="shared" si="122"/>
        <v>0</v>
      </c>
      <c r="J88" s="21">
        <f t="shared" si="122"/>
        <v>0</v>
      </c>
      <c r="K88" s="21">
        <f t="shared" si="122"/>
        <v>0.21250000000000002</v>
      </c>
      <c r="L88" s="21">
        <f t="shared" si="122"/>
        <v>1.5000000000000003E-2</v>
      </c>
      <c r="M88" s="21">
        <f t="shared" si="122"/>
        <v>0</v>
      </c>
      <c r="N88" s="21">
        <f t="shared" si="122"/>
        <v>0</v>
      </c>
      <c r="O88" s="21">
        <f t="shared" si="122"/>
        <v>0</v>
      </c>
      <c r="P88" s="32">
        <f t="shared" si="104"/>
        <v>87</v>
      </c>
      <c r="Q88" s="32">
        <f t="shared" si="104"/>
        <v>53</v>
      </c>
      <c r="EH88" s="141"/>
      <c r="EI88" s="141"/>
      <c r="EJ88" s="141"/>
      <c r="EK88" s="141"/>
      <c r="EL88" s="141"/>
      <c r="EM88" s="141"/>
      <c r="EN88" s="141"/>
      <c r="EO88" s="141"/>
      <c r="EP88" s="141"/>
      <c r="EQ88" s="141"/>
      <c r="ER88" s="141"/>
      <c r="ES88" s="141"/>
      <c r="ET88" s="141"/>
      <c r="EU88" s="141"/>
      <c r="EV88" s="106"/>
      <c r="EW88" s="15"/>
      <c r="EX88" s="15"/>
    </row>
    <row r="89" spans="1:156" ht="16.5" x14ac:dyDescent="0.2">
      <c r="A89" s="26">
        <v>40</v>
      </c>
      <c r="B89" s="104">
        <f t="shared" si="83"/>
        <v>10</v>
      </c>
      <c r="C89" s="118">
        <v>4</v>
      </c>
      <c r="D89" s="19">
        <v>1</v>
      </c>
      <c r="E89" s="113"/>
      <c r="F89" s="21">
        <f t="shared" ref="F89:O89" si="123">(INDEX(G$7:G$37,$B89)*(1-$D89)+INDEX(G$7:G$37,$B89+1)*$D89)*G$4*$B$2</f>
        <v>0.5</v>
      </c>
      <c r="G89" s="21">
        <f t="shared" si="123"/>
        <v>0.25</v>
      </c>
      <c r="H89" s="21">
        <f t="shared" si="123"/>
        <v>0</v>
      </c>
      <c r="I89" s="21">
        <f t="shared" si="123"/>
        <v>0</v>
      </c>
      <c r="J89" s="21">
        <f t="shared" si="123"/>
        <v>0</v>
      </c>
      <c r="K89" s="21">
        <f t="shared" si="123"/>
        <v>0.2</v>
      </c>
      <c r="L89" s="21">
        <f t="shared" si="123"/>
        <v>2.0000000000000004E-2</v>
      </c>
      <c r="M89" s="21">
        <f t="shared" si="123"/>
        <v>0</v>
      </c>
      <c r="N89" s="21">
        <f t="shared" si="123"/>
        <v>0</v>
      </c>
      <c r="O89" s="21">
        <f t="shared" si="123"/>
        <v>0</v>
      </c>
      <c r="P89" s="32">
        <f t="shared" si="104"/>
        <v>90</v>
      </c>
      <c r="Q89" s="32">
        <f t="shared" si="104"/>
        <v>55</v>
      </c>
      <c r="EH89" s="141"/>
      <c r="EI89" s="141"/>
      <c r="EJ89" s="141"/>
      <c r="EK89" s="141"/>
      <c r="EL89" s="141"/>
      <c r="EM89" s="141"/>
      <c r="EN89" s="141"/>
      <c r="EO89" s="141"/>
      <c r="EP89" s="141"/>
      <c r="EQ89" s="141"/>
      <c r="ER89" s="141"/>
      <c r="ES89" s="141"/>
      <c r="ET89" s="141"/>
      <c r="EU89" s="141"/>
      <c r="EV89" s="106"/>
      <c r="EW89" s="15"/>
      <c r="EX89" s="15"/>
    </row>
    <row r="90" spans="1:156" ht="16.5" x14ac:dyDescent="0.2">
      <c r="A90" s="26">
        <v>41</v>
      </c>
      <c r="B90" s="104">
        <f t="shared" si="83"/>
        <v>11</v>
      </c>
      <c r="C90" s="118">
        <v>1</v>
      </c>
      <c r="D90" s="19">
        <v>0.25</v>
      </c>
      <c r="E90" s="113"/>
      <c r="F90" s="21">
        <f t="shared" ref="F90:O90" si="124">(INDEX(G$7:G$37,$B90)*(1-$D90)+INDEX(G$7:G$37,$B90+1)*$D90)*G$4*$B$2</f>
        <v>0.5</v>
      </c>
      <c r="G90" s="21">
        <f t="shared" si="124"/>
        <v>0.25</v>
      </c>
      <c r="H90" s="21">
        <f t="shared" si="124"/>
        <v>5.000000000000001E-3</v>
      </c>
      <c r="I90" s="21">
        <f t="shared" si="124"/>
        <v>0</v>
      </c>
      <c r="J90" s="21">
        <f t="shared" si="124"/>
        <v>0</v>
      </c>
      <c r="K90" s="21">
        <f t="shared" si="124"/>
        <v>0.19062500000000002</v>
      </c>
      <c r="L90" s="21">
        <f t="shared" si="124"/>
        <v>2.3750000000000004E-2</v>
      </c>
      <c r="M90" s="21">
        <f t="shared" si="124"/>
        <v>0</v>
      </c>
      <c r="N90" s="21">
        <f t="shared" si="124"/>
        <v>0</v>
      </c>
      <c r="O90" s="21">
        <f t="shared" si="124"/>
        <v>0</v>
      </c>
      <c r="P90" s="32">
        <f t="shared" ref="P90:Q109" si="125">INT((INDEX(Q$7:Q$37,$B90)*(1-$D90)+INDEX(Q$7:Q$37,$B90+1)*$D90)*Q$4*$B$2)</f>
        <v>92</v>
      </c>
      <c r="Q90" s="32">
        <f t="shared" si="125"/>
        <v>56</v>
      </c>
      <c r="EH90" s="141"/>
      <c r="EI90" s="141"/>
      <c r="EJ90" s="141"/>
      <c r="EK90" s="141"/>
      <c r="EL90" s="141"/>
      <c r="EM90" s="141"/>
      <c r="EN90" s="141"/>
      <c r="EO90" s="141"/>
      <c r="EP90" s="141"/>
      <c r="EQ90" s="141"/>
      <c r="ER90" s="141"/>
      <c r="ES90" s="141"/>
      <c r="ET90" s="141"/>
      <c r="EU90" s="141"/>
      <c r="EV90" s="106"/>
      <c r="EW90" s="15"/>
      <c r="EX90" s="15"/>
    </row>
    <row r="91" spans="1:156" ht="16.5" x14ac:dyDescent="0.2">
      <c r="A91" s="26">
        <v>42</v>
      </c>
      <c r="B91" s="104">
        <f t="shared" si="83"/>
        <v>11</v>
      </c>
      <c r="C91" s="118">
        <v>2</v>
      </c>
      <c r="D91" s="19">
        <v>0.5</v>
      </c>
      <c r="E91" s="113"/>
      <c r="F91" s="21">
        <f t="shared" ref="F91:O91" si="126">(INDEX(G$7:G$37,$B91)*(1-$D91)+INDEX(G$7:G$37,$B91+1)*$D91)*G$4*$B$2</f>
        <v>0.5</v>
      </c>
      <c r="G91" s="21">
        <f t="shared" si="126"/>
        <v>0.25</v>
      </c>
      <c r="H91" s="21">
        <f t="shared" si="126"/>
        <v>1.0000000000000002E-2</v>
      </c>
      <c r="I91" s="21">
        <f t="shared" si="126"/>
        <v>0</v>
      </c>
      <c r="J91" s="21">
        <f t="shared" si="126"/>
        <v>0</v>
      </c>
      <c r="K91" s="21">
        <f t="shared" si="126"/>
        <v>0.18125000000000002</v>
      </c>
      <c r="L91" s="21">
        <f t="shared" si="126"/>
        <v>2.7500000000000004E-2</v>
      </c>
      <c r="M91" s="21">
        <f t="shared" si="126"/>
        <v>0</v>
      </c>
      <c r="N91" s="21">
        <f t="shared" si="126"/>
        <v>0</v>
      </c>
      <c r="O91" s="21">
        <f t="shared" si="126"/>
        <v>0</v>
      </c>
      <c r="P91" s="32">
        <f t="shared" si="125"/>
        <v>95</v>
      </c>
      <c r="Q91" s="32">
        <f t="shared" si="125"/>
        <v>57</v>
      </c>
      <c r="EH91" s="141"/>
      <c r="EI91" s="141"/>
      <c r="EJ91" s="141"/>
      <c r="EK91" s="141"/>
      <c r="EL91" s="141"/>
      <c r="EM91" s="141"/>
      <c r="EN91" s="141"/>
      <c r="EO91" s="141"/>
      <c r="EP91" s="141"/>
      <c r="EQ91" s="141"/>
      <c r="ER91" s="141"/>
      <c r="ES91" s="141"/>
      <c r="ET91" s="141"/>
      <c r="EU91" s="141"/>
      <c r="EV91" s="106"/>
      <c r="EW91" s="15"/>
      <c r="EX91" s="15"/>
    </row>
    <row r="92" spans="1:156" ht="16.5" x14ac:dyDescent="0.2">
      <c r="A92" s="26">
        <v>43</v>
      </c>
      <c r="B92" s="104">
        <f t="shared" si="83"/>
        <v>11</v>
      </c>
      <c r="C92" s="118">
        <v>3</v>
      </c>
      <c r="D92" s="19">
        <v>0.75</v>
      </c>
      <c r="E92" s="113"/>
      <c r="F92" s="21">
        <f t="shared" ref="F92:O92" si="127">(INDEX(G$7:G$37,$B92)*(1-$D92)+INDEX(G$7:G$37,$B92+1)*$D92)*G$4*$B$2</f>
        <v>0.5</v>
      </c>
      <c r="G92" s="21">
        <f t="shared" si="127"/>
        <v>0.25</v>
      </c>
      <c r="H92" s="21">
        <f t="shared" si="127"/>
        <v>1.5000000000000003E-2</v>
      </c>
      <c r="I92" s="21">
        <f t="shared" si="127"/>
        <v>0</v>
      </c>
      <c r="J92" s="21">
        <f t="shared" si="127"/>
        <v>0</v>
      </c>
      <c r="K92" s="21">
        <f t="shared" si="127"/>
        <v>0.171875</v>
      </c>
      <c r="L92" s="21">
        <f t="shared" si="127"/>
        <v>3.1249999999999997E-2</v>
      </c>
      <c r="M92" s="21">
        <f t="shared" si="127"/>
        <v>0</v>
      </c>
      <c r="N92" s="21">
        <f t="shared" si="127"/>
        <v>0</v>
      </c>
      <c r="O92" s="21">
        <f t="shared" si="127"/>
        <v>0</v>
      </c>
      <c r="P92" s="32">
        <f t="shared" si="125"/>
        <v>97</v>
      </c>
      <c r="Q92" s="32">
        <f t="shared" si="125"/>
        <v>58</v>
      </c>
      <c r="EH92" s="141"/>
      <c r="EI92" s="141"/>
      <c r="EJ92" s="141"/>
      <c r="EK92" s="141"/>
      <c r="EL92" s="141"/>
      <c r="EM92" s="141"/>
      <c r="EN92" s="141"/>
      <c r="EO92" s="141"/>
      <c r="EP92" s="141"/>
      <c r="EQ92" s="141"/>
      <c r="ER92" s="141"/>
      <c r="ES92" s="141"/>
      <c r="ET92" s="141"/>
      <c r="EU92" s="141"/>
      <c r="EV92" s="106"/>
      <c r="EW92" s="15"/>
      <c r="EX92" s="15"/>
    </row>
    <row r="93" spans="1:156" ht="16.5" x14ac:dyDescent="0.2">
      <c r="A93" s="26">
        <v>44</v>
      </c>
      <c r="B93" s="104">
        <f t="shared" si="83"/>
        <v>11</v>
      </c>
      <c r="C93" s="118">
        <v>4</v>
      </c>
      <c r="D93" s="19">
        <v>1</v>
      </c>
      <c r="E93" s="113"/>
      <c r="F93" s="21">
        <f t="shared" ref="F93:O93" si="128">(INDEX(G$7:G$37,$B93)*(1-$D93)+INDEX(G$7:G$37,$B93+1)*$D93)*G$4*$B$2</f>
        <v>0.5</v>
      </c>
      <c r="G93" s="21">
        <f t="shared" si="128"/>
        <v>0.25</v>
      </c>
      <c r="H93" s="21">
        <f t="shared" si="128"/>
        <v>2.0000000000000004E-2</v>
      </c>
      <c r="I93" s="21">
        <f t="shared" si="128"/>
        <v>0</v>
      </c>
      <c r="J93" s="21">
        <f t="shared" si="128"/>
        <v>0</v>
      </c>
      <c r="K93" s="21">
        <f t="shared" si="128"/>
        <v>0.16250000000000001</v>
      </c>
      <c r="L93" s="21">
        <f t="shared" si="128"/>
        <v>3.4999999999999996E-2</v>
      </c>
      <c r="M93" s="21">
        <f t="shared" si="128"/>
        <v>0</v>
      </c>
      <c r="N93" s="21">
        <f t="shared" si="128"/>
        <v>0</v>
      </c>
      <c r="O93" s="21">
        <f t="shared" si="128"/>
        <v>0</v>
      </c>
      <c r="P93" s="32">
        <f t="shared" si="125"/>
        <v>100</v>
      </c>
      <c r="Q93" s="32">
        <f t="shared" si="125"/>
        <v>60</v>
      </c>
      <c r="EH93" s="141"/>
      <c r="EI93" s="141"/>
      <c r="EJ93" s="141"/>
      <c r="EK93" s="141"/>
      <c r="EL93" s="141"/>
      <c r="EM93" s="141"/>
      <c r="EN93" s="141"/>
      <c r="EO93" s="141"/>
      <c r="EP93" s="141"/>
      <c r="EQ93" s="141"/>
      <c r="ER93" s="141"/>
      <c r="ES93" s="141"/>
      <c r="ET93" s="141"/>
      <c r="EU93" s="141"/>
      <c r="EV93" s="106"/>
      <c r="EW93" s="15"/>
      <c r="EX93" s="15"/>
    </row>
    <row r="94" spans="1:156" ht="16.5" x14ac:dyDescent="0.2">
      <c r="A94" s="26">
        <v>45</v>
      </c>
      <c r="B94" s="104">
        <f t="shared" si="83"/>
        <v>12</v>
      </c>
      <c r="C94" s="118">
        <v>1</v>
      </c>
      <c r="D94" s="19">
        <v>0.25</v>
      </c>
      <c r="E94" s="113"/>
      <c r="F94" s="21">
        <f t="shared" ref="F94:O94" si="129">(INDEX(G$7:G$37,$B94)*(1-$D94)+INDEX(G$7:G$37,$B94+1)*$D94)*G$4*$B$2</f>
        <v>0.5</v>
      </c>
      <c r="G94" s="21">
        <f t="shared" si="129"/>
        <v>0.25</v>
      </c>
      <c r="H94" s="21">
        <f t="shared" si="129"/>
        <v>2.3750000000000004E-2</v>
      </c>
      <c r="I94" s="21">
        <f t="shared" si="129"/>
        <v>0</v>
      </c>
      <c r="J94" s="21">
        <f t="shared" si="129"/>
        <v>0</v>
      </c>
      <c r="K94" s="21">
        <f t="shared" si="129"/>
        <v>0.15312500000000001</v>
      </c>
      <c r="L94" s="21">
        <f t="shared" si="129"/>
        <v>3.875E-2</v>
      </c>
      <c r="M94" s="21">
        <f t="shared" si="129"/>
        <v>0</v>
      </c>
      <c r="N94" s="21">
        <f t="shared" si="129"/>
        <v>0</v>
      </c>
      <c r="O94" s="21">
        <f t="shared" si="129"/>
        <v>0</v>
      </c>
      <c r="P94" s="32">
        <f t="shared" si="125"/>
        <v>102</v>
      </c>
      <c r="Q94" s="32">
        <f t="shared" si="125"/>
        <v>61</v>
      </c>
      <c r="EH94" s="141"/>
      <c r="EI94" s="141"/>
      <c r="EJ94" s="141"/>
      <c r="EK94" s="141"/>
      <c r="EL94" s="141"/>
      <c r="EM94" s="141"/>
      <c r="EN94" s="141"/>
      <c r="EO94" s="141"/>
      <c r="EP94" s="141"/>
      <c r="EQ94" s="141"/>
      <c r="ER94" s="141"/>
      <c r="ES94" s="141"/>
      <c r="ET94" s="141"/>
      <c r="EU94" s="141"/>
      <c r="EV94" s="106"/>
      <c r="EW94" s="15"/>
      <c r="EX94" s="15"/>
    </row>
    <row r="95" spans="1:156" ht="16.5" x14ac:dyDescent="0.2">
      <c r="A95" s="26">
        <v>46</v>
      </c>
      <c r="B95" s="104">
        <f t="shared" si="83"/>
        <v>12</v>
      </c>
      <c r="C95" s="118">
        <v>2</v>
      </c>
      <c r="D95" s="19">
        <v>0.5</v>
      </c>
      <c r="E95" s="113"/>
      <c r="F95" s="21">
        <f t="shared" ref="F95:O95" si="130">(INDEX(G$7:G$37,$B95)*(1-$D95)+INDEX(G$7:G$37,$B95+1)*$D95)*G$4*$B$2</f>
        <v>0.5</v>
      </c>
      <c r="G95" s="21">
        <f t="shared" si="130"/>
        <v>0.25</v>
      </c>
      <c r="H95" s="21">
        <f t="shared" si="130"/>
        <v>2.7500000000000004E-2</v>
      </c>
      <c r="I95" s="21">
        <f t="shared" si="130"/>
        <v>0</v>
      </c>
      <c r="J95" s="21">
        <f t="shared" si="130"/>
        <v>0</v>
      </c>
      <c r="K95" s="21">
        <f t="shared" si="130"/>
        <v>0.14374999999999999</v>
      </c>
      <c r="L95" s="21">
        <f t="shared" si="130"/>
        <v>4.2500000000000003E-2</v>
      </c>
      <c r="M95" s="21">
        <f t="shared" si="130"/>
        <v>0</v>
      </c>
      <c r="N95" s="21">
        <f t="shared" si="130"/>
        <v>0</v>
      </c>
      <c r="O95" s="21">
        <f t="shared" si="130"/>
        <v>0</v>
      </c>
      <c r="P95" s="32">
        <f t="shared" si="125"/>
        <v>105</v>
      </c>
      <c r="Q95" s="32">
        <f t="shared" si="125"/>
        <v>62</v>
      </c>
      <c r="EH95" s="141"/>
      <c r="EI95" s="141"/>
      <c r="EJ95" s="141"/>
      <c r="EK95" s="141"/>
      <c r="EL95" s="141"/>
      <c r="EM95" s="141"/>
      <c r="EN95" s="141"/>
      <c r="EO95" s="141"/>
      <c r="EP95" s="141"/>
      <c r="EQ95" s="141"/>
      <c r="ER95" s="141"/>
      <c r="ES95" s="141"/>
      <c r="ET95" s="141"/>
      <c r="EU95" s="141"/>
      <c r="EV95" s="106"/>
      <c r="EW95" s="15"/>
      <c r="EX95" s="15"/>
    </row>
    <row r="96" spans="1:156" ht="16.5" x14ac:dyDescent="0.2">
      <c r="A96" s="26">
        <v>47</v>
      </c>
      <c r="B96" s="104">
        <f t="shared" si="83"/>
        <v>12</v>
      </c>
      <c r="C96" s="118">
        <v>3</v>
      </c>
      <c r="D96" s="19">
        <v>0.75</v>
      </c>
      <c r="E96" s="113"/>
      <c r="F96" s="21">
        <f t="shared" ref="F96:O96" si="131">(INDEX(G$7:G$37,$B96)*(1-$D96)+INDEX(G$7:G$37,$B96+1)*$D96)*G$4*$B$2</f>
        <v>0.5</v>
      </c>
      <c r="G96" s="21">
        <f t="shared" si="131"/>
        <v>0.25</v>
      </c>
      <c r="H96" s="21">
        <f t="shared" si="131"/>
        <v>3.1249999999999997E-2</v>
      </c>
      <c r="I96" s="21">
        <f t="shared" si="131"/>
        <v>0</v>
      </c>
      <c r="J96" s="21">
        <f t="shared" si="131"/>
        <v>0</v>
      </c>
      <c r="K96" s="21">
        <f t="shared" si="131"/>
        <v>0.13437499999999999</v>
      </c>
      <c r="L96" s="21">
        <f t="shared" si="131"/>
        <v>4.6250000000000006E-2</v>
      </c>
      <c r="M96" s="21">
        <f t="shared" si="131"/>
        <v>0</v>
      </c>
      <c r="N96" s="21">
        <f t="shared" si="131"/>
        <v>0</v>
      </c>
      <c r="O96" s="21">
        <f t="shared" si="131"/>
        <v>0</v>
      </c>
      <c r="P96" s="32">
        <f t="shared" si="125"/>
        <v>107</v>
      </c>
      <c r="Q96" s="32">
        <f t="shared" si="125"/>
        <v>63</v>
      </c>
      <c r="EH96" s="141"/>
      <c r="EI96" s="141"/>
      <c r="EJ96" s="141"/>
      <c r="EK96" s="141"/>
      <c r="EL96" s="141"/>
      <c r="EM96" s="141"/>
      <c r="EN96" s="141"/>
      <c r="EO96" s="141"/>
      <c r="EP96" s="141"/>
      <c r="EQ96" s="141"/>
      <c r="ER96" s="141"/>
      <c r="ES96" s="141"/>
      <c r="ET96" s="141"/>
      <c r="EU96" s="141"/>
      <c r="EV96" s="106"/>
      <c r="EW96" s="15"/>
      <c r="EX96" s="15"/>
    </row>
    <row r="97" spans="1:156" ht="16.5" x14ac:dyDescent="0.2">
      <c r="A97" s="26">
        <v>48</v>
      </c>
      <c r="B97" s="104">
        <f t="shared" si="83"/>
        <v>12</v>
      </c>
      <c r="C97" s="118">
        <v>4</v>
      </c>
      <c r="D97" s="19">
        <v>1</v>
      </c>
      <c r="E97" s="113"/>
      <c r="F97" s="21">
        <f t="shared" ref="F97:O97" si="132">(INDEX(G$7:G$37,$B97)*(1-$D97)+INDEX(G$7:G$37,$B97+1)*$D97)*G$4*$B$2</f>
        <v>0.5</v>
      </c>
      <c r="G97" s="21">
        <f t="shared" si="132"/>
        <v>0.25</v>
      </c>
      <c r="H97" s="21">
        <f t="shared" si="132"/>
        <v>3.4999999999999996E-2</v>
      </c>
      <c r="I97" s="21">
        <f t="shared" si="132"/>
        <v>0</v>
      </c>
      <c r="J97" s="21">
        <f t="shared" si="132"/>
        <v>0</v>
      </c>
      <c r="K97" s="21">
        <f t="shared" si="132"/>
        <v>0.125</v>
      </c>
      <c r="L97" s="21">
        <f t="shared" si="132"/>
        <v>0.05</v>
      </c>
      <c r="M97" s="21">
        <f t="shared" si="132"/>
        <v>0</v>
      </c>
      <c r="N97" s="21">
        <f t="shared" si="132"/>
        <v>0</v>
      </c>
      <c r="O97" s="21">
        <f t="shared" si="132"/>
        <v>0</v>
      </c>
      <c r="P97" s="32">
        <f t="shared" si="125"/>
        <v>110</v>
      </c>
      <c r="Q97" s="32">
        <f t="shared" si="125"/>
        <v>65</v>
      </c>
      <c r="EY97" s="15"/>
      <c r="EZ97" s="15"/>
    </row>
    <row r="98" spans="1:156" ht="16.5" x14ac:dyDescent="0.2">
      <c r="A98" s="26">
        <v>49</v>
      </c>
      <c r="B98" s="104">
        <f t="shared" si="83"/>
        <v>13</v>
      </c>
      <c r="C98" s="118">
        <v>1</v>
      </c>
      <c r="D98" s="19">
        <v>0.25</v>
      </c>
      <c r="E98" s="113"/>
      <c r="F98" s="21">
        <f t="shared" ref="F98:O98" si="133">(INDEX(G$7:G$37,$B98)*(1-$D98)+INDEX(G$7:G$37,$B98+1)*$D98)*G$4*$B$2</f>
        <v>0.5</v>
      </c>
      <c r="G98" s="21">
        <f t="shared" si="133"/>
        <v>0.25</v>
      </c>
      <c r="H98" s="21">
        <f t="shared" si="133"/>
        <v>3.875E-2</v>
      </c>
      <c r="I98" s="21">
        <f t="shared" si="133"/>
        <v>0</v>
      </c>
      <c r="J98" s="21">
        <f t="shared" si="133"/>
        <v>0</v>
      </c>
      <c r="K98" s="21">
        <f t="shared" si="133"/>
        <v>0.125</v>
      </c>
      <c r="L98" s="21">
        <f t="shared" si="133"/>
        <v>5.3749999999999999E-2</v>
      </c>
      <c r="M98" s="21">
        <f t="shared" si="133"/>
        <v>0</v>
      </c>
      <c r="N98" s="21">
        <f t="shared" si="133"/>
        <v>0</v>
      </c>
      <c r="O98" s="21">
        <f t="shared" si="133"/>
        <v>0</v>
      </c>
      <c r="P98" s="32">
        <f t="shared" si="125"/>
        <v>113</v>
      </c>
      <c r="Q98" s="32">
        <f t="shared" si="125"/>
        <v>66</v>
      </c>
      <c r="EY98" s="15"/>
      <c r="EZ98" s="15"/>
    </row>
    <row r="99" spans="1:156" ht="16.5" x14ac:dyDescent="0.2">
      <c r="A99" s="26">
        <v>50</v>
      </c>
      <c r="B99" s="104">
        <f t="shared" si="83"/>
        <v>13</v>
      </c>
      <c r="C99" s="118">
        <v>2</v>
      </c>
      <c r="D99" s="19">
        <v>0.5</v>
      </c>
      <c r="E99" s="113"/>
      <c r="F99" s="21">
        <f t="shared" ref="F99:O99" si="134">(INDEX(G$7:G$37,$B99)*(1-$D99)+INDEX(G$7:G$37,$B99+1)*$D99)*G$4*$B$2</f>
        <v>0.5</v>
      </c>
      <c r="G99" s="21">
        <f t="shared" si="134"/>
        <v>0.25</v>
      </c>
      <c r="H99" s="21">
        <f t="shared" si="134"/>
        <v>4.2500000000000003E-2</v>
      </c>
      <c r="I99" s="21">
        <f t="shared" si="134"/>
        <v>0</v>
      </c>
      <c r="J99" s="21">
        <f t="shared" si="134"/>
        <v>0</v>
      </c>
      <c r="K99" s="21">
        <f t="shared" si="134"/>
        <v>0.125</v>
      </c>
      <c r="L99" s="21">
        <f t="shared" si="134"/>
        <v>5.7499999999999996E-2</v>
      </c>
      <c r="M99" s="21">
        <f t="shared" si="134"/>
        <v>0</v>
      </c>
      <c r="N99" s="21">
        <f t="shared" si="134"/>
        <v>0</v>
      </c>
      <c r="O99" s="21">
        <f t="shared" si="134"/>
        <v>0</v>
      </c>
      <c r="P99" s="32">
        <f t="shared" si="125"/>
        <v>117</v>
      </c>
      <c r="Q99" s="32">
        <f t="shared" si="125"/>
        <v>67</v>
      </c>
      <c r="EY99" s="15"/>
      <c r="EZ99" s="15"/>
    </row>
    <row r="100" spans="1:156" ht="16.5" x14ac:dyDescent="0.2">
      <c r="A100" s="26">
        <v>51</v>
      </c>
      <c r="B100" s="104">
        <f t="shared" si="83"/>
        <v>13</v>
      </c>
      <c r="C100" s="118">
        <v>3</v>
      </c>
      <c r="D100" s="19">
        <v>0.75</v>
      </c>
      <c r="E100" s="113"/>
      <c r="F100" s="21">
        <f t="shared" ref="F100:O100" si="135">(INDEX(G$7:G$37,$B100)*(1-$D100)+INDEX(G$7:G$37,$B100+1)*$D100)*G$4*$B$2</f>
        <v>0.5</v>
      </c>
      <c r="G100" s="21">
        <f t="shared" si="135"/>
        <v>0.25</v>
      </c>
      <c r="H100" s="21">
        <f t="shared" si="135"/>
        <v>4.6250000000000006E-2</v>
      </c>
      <c r="I100" s="21">
        <f t="shared" si="135"/>
        <v>0</v>
      </c>
      <c r="J100" s="21">
        <f t="shared" si="135"/>
        <v>0</v>
      </c>
      <c r="K100" s="21">
        <f t="shared" si="135"/>
        <v>0.125</v>
      </c>
      <c r="L100" s="21">
        <f t="shared" si="135"/>
        <v>6.1250000000000006E-2</v>
      </c>
      <c r="M100" s="21">
        <f t="shared" si="135"/>
        <v>0</v>
      </c>
      <c r="N100" s="21">
        <f t="shared" si="135"/>
        <v>0</v>
      </c>
      <c r="O100" s="21">
        <f t="shared" si="135"/>
        <v>0</v>
      </c>
      <c r="P100" s="32">
        <f t="shared" si="125"/>
        <v>121</v>
      </c>
      <c r="Q100" s="32">
        <f t="shared" si="125"/>
        <v>68</v>
      </c>
      <c r="EY100" s="15"/>
      <c r="EZ100" s="15"/>
    </row>
    <row r="101" spans="1:156" ht="16.5" x14ac:dyDescent="0.2">
      <c r="A101" s="26">
        <v>52</v>
      </c>
      <c r="B101" s="104">
        <f t="shared" si="83"/>
        <v>13</v>
      </c>
      <c r="C101" s="118">
        <v>4</v>
      </c>
      <c r="D101" s="19">
        <v>1</v>
      </c>
      <c r="E101" s="113"/>
      <c r="F101" s="21">
        <f t="shared" ref="F101:O101" si="136">(INDEX(G$7:G$37,$B101)*(1-$D101)+INDEX(G$7:G$37,$B101+1)*$D101)*G$4*$B$2</f>
        <v>0.5</v>
      </c>
      <c r="G101" s="21">
        <f t="shared" si="136"/>
        <v>0.25</v>
      </c>
      <c r="H101" s="21">
        <f t="shared" si="136"/>
        <v>0.05</v>
      </c>
      <c r="I101" s="21">
        <f t="shared" si="136"/>
        <v>0</v>
      </c>
      <c r="J101" s="21">
        <f t="shared" si="136"/>
        <v>0</v>
      </c>
      <c r="K101" s="21">
        <f t="shared" si="136"/>
        <v>0.125</v>
      </c>
      <c r="L101" s="21">
        <f t="shared" si="136"/>
        <v>6.5000000000000002E-2</v>
      </c>
      <c r="M101" s="21">
        <f t="shared" si="136"/>
        <v>0</v>
      </c>
      <c r="N101" s="21">
        <f t="shared" si="136"/>
        <v>0</v>
      </c>
      <c r="O101" s="21">
        <f t="shared" si="136"/>
        <v>0</v>
      </c>
      <c r="P101" s="32">
        <f t="shared" si="125"/>
        <v>125</v>
      </c>
      <c r="Q101" s="32">
        <f t="shared" si="125"/>
        <v>70</v>
      </c>
      <c r="EY101" s="15"/>
      <c r="EZ101" s="15"/>
    </row>
    <row r="102" spans="1:156" ht="16.5" x14ac:dyDescent="0.2">
      <c r="A102" s="26">
        <v>53</v>
      </c>
      <c r="B102" s="104">
        <f t="shared" si="83"/>
        <v>14</v>
      </c>
      <c r="C102" s="118">
        <v>1</v>
      </c>
      <c r="D102" s="19">
        <v>0.25</v>
      </c>
      <c r="E102" s="113"/>
      <c r="F102" s="21">
        <f t="shared" ref="F102:O102" si="137">(INDEX(G$7:G$37,$B102)*(1-$D102)+INDEX(G$7:G$37,$B102+1)*$D102)*G$4*$B$2</f>
        <v>0.5</v>
      </c>
      <c r="G102" s="21">
        <f t="shared" si="137"/>
        <v>0.25</v>
      </c>
      <c r="H102" s="21">
        <f t="shared" si="137"/>
        <v>5.3749999999999999E-2</v>
      </c>
      <c r="I102" s="21">
        <f t="shared" si="137"/>
        <v>0</v>
      </c>
      <c r="J102" s="21">
        <f t="shared" si="137"/>
        <v>0</v>
      </c>
      <c r="K102" s="21">
        <f t="shared" si="137"/>
        <v>0.125</v>
      </c>
      <c r="L102" s="21">
        <f t="shared" si="137"/>
        <v>6.8750000000000006E-2</v>
      </c>
      <c r="M102" s="21">
        <f t="shared" si="137"/>
        <v>0</v>
      </c>
      <c r="N102" s="21">
        <f t="shared" si="137"/>
        <v>0</v>
      </c>
      <c r="O102" s="21">
        <f t="shared" si="137"/>
        <v>0</v>
      </c>
      <c r="P102" s="32">
        <f t="shared" si="125"/>
        <v>127</v>
      </c>
      <c r="Q102" s="32">
        <f t="shared" si="125"/>
        <v>71</v>
      </c>
      <c r="EY102" s="15"/>
      <c r="EZ102" s="15"/>
    </row>
    <row r="103" spans="1:156" ht="16.5" x14ac:dyDescent="0.2">
      <c r="A103" s="26">
        <v>54</v>
      </c>
      <c r="B103" s="104">
        <f t="shared" si="83"/>
        <v>14</v>
      </c>
      <c r="C103" s="118">
        <v>2</v>
      </c>
      <c r="D103" s="19">
        <v>0.5</v>
      </c>
      <c r="E103" s="113"/>
      <c r="F103" s="21">
        <f t="shared" ref="F103:O103" si="138">(INDEX(G$7:G$37,$B103)*(1-$D103)+INDEX(G$7:G$37,$B103+1)*$D103)*G$4*$B$2</f>
        <v>0.5</v>
      </c>
      <c r="G103" s="21">
        <f t="shared" si="138"/>
        <v>0.25</v>
      </c>
      <c r="H103" s="21">
        <f t="shared" si="138"/>
        <v>5.7499999999999996E-2</v>
      </c>
      <c r="I103" s="21">
        <f t="shared" si="138"/>
        <v>0</v>
      </c>
      <c r="J103" s="21">
        <f t="shared" si="138"/>
        <v>0</v>
      </c>
      <c r="K103" s="21">
        <f t="shared" si="138"/>
        <v>0.125</v>
      </c>
      <c r="L103" s="21">
        <f t="shared" si="138"/>
        <v>7.2500000000000009E-2</v>
      </c>
      <c r="M103" s="21">
        <f t="shared" si="138"/>
        <v>0</v>
      </c>
      <c r="N103" s="21">
        <f t="shared" si="138"/>
        <v>0</v>
      </c>
      <c r="O103" s="21">
        <f t="shared" si="138"/>
        <v>0</v>
      </c>
      <c r="P103" s="32">
        <f t="shared" si="125"/>
        <v>130</v>
      </c>
      <c r="Q103" s="32">
        <f t="shared" si="125"/>
        <v>72</v>
      </c>
      <c r="EY103" s="15"/>
      <c r="EZ103" s="15"/>
    </row>
    <row r="104" spans="1:156" ht="16.5" x14ac:dyDescent="0.2">
      <c r="A104" s="26">
        <v>55</v>
      </c>
      <c r="B104" s="104">
        <f t="shared" si="83"/>
        <v>14</v>
      </c>
      <c r="C104" s="118">
        <v>3</v>
      </c>
      <c r="D104" s="19">
        <v>0.75</v>
      </c>
      <c r="E104" s="113"/>
      <c r="F104" s="21">
        <f t="shared" ref="F104:O104" si="139">(INDEX(G$7:G$37,$B104)*(1-$D104)+INDEX(G$7:G$37,$B104+1)*$D104)*G$4*$B$2</f>
        <v>0.5</v>
      </c>
      <c r="G104" s="21">
        <f t="shared" si="139"/>
        <v>0.25</v>
      </c>
      <c r="H104" s="21">
        <f t="shared" si="139"/>
        <v>6.1250000000000006E-2</v>
      </c>
      <c r="I104" s="21">
        <f t="shared" si="139"/>
        <v>0</v>
      </c>
      <c r="J104" s="21">
        <f t="shared" si="139"/>
        <v>0</v>
      </c>
      <c r="K104" s="21">
        <f t="shared" si="139"/>
        <v>0.125</v>
      </c>
      <c r="L104" s="21">
        <f t="shared" si="139"/>
        <v>7.6250000000000012E-2</v>
      </c>
      <c r="M104" s="21">
        <f t="shared" si="139"/>
        <v>0</v>
      </c>
      <c r="N104" s="21">
        <f t="shared" si="139"/>
        <v>0</v>
      </c>
      <c r="O104" s="21">
        <f t="shared" si="139"/>
        <v>0</v>
      </c>
      <c r="P104" s="32">
        <f t="shared" si="125"/>
        <v>132</v>
      </c>
      <c r="Q104" s="32">
        <f t="shared" si="125"/>
        <v>73</v>
      </c>
      <c r="EY104" s="15"/>
      <c r="EZ104" s="15"/>
    </row>
    <row r="105" spans="1:156" ht="16.5" x14ac:dyDescent="0.2">
      <c r="A105" s="26">
        <v>56</v>
      </c>
      <c r="B105" s="104">
        <f t="shared" si="83"/>
        <v>14</v>
      </c>
      <c r="C105" s="118">
        <v>4</v>
      </c>
      <c r="D105" s="19">
        <v>1</v>
      </c>
      <c r="E105" s="113"/>
      <c r="F105" s="21">
        <f t="shared" ref="F105:O105" si="140">(INDEX(G$7:G$37,$B105)*(1-$D105)+INDEX(G$7:G$37,$B105+1)*$D105)*G$4*$B$2</f>
        <v>0.5</v>
      </c>
      <c r="G105" s="21">
        <f t="shared" si="140"/>
        <v>0.25</v>
      </c>
      <c r="H105" s="21">
        <f t="shared" si="140"/>
        <v>6.5000000000000002E-2</v>
      </c>
      <c r="I105" s="21">
        <f t="shared" si="140"/>
        <v>0</v>
      </c>
      <c r="J105" s="21">
        <f t="shared" si="140"/>
        <v>0</v>
      </c>
      <c r="K105" s="21">
        <f t="shared" si="140"/>
        <v>0.125</v>
      </c>
      <c r="L105" s="21">
        <f t="shared" si="140"/>
        <v>8.0000000000000016E-2</v>
      </c>
      <c r="M105" s="21">
        <f t="shared" si="140"/>
        <v>0</v>
      </c>
      <c r="N105" s="21">
        <f t="shared" si="140"/>
        <v>0</v>
      </c>
      <c r="O105" s="21">
        <f t="shared" si="140"/>
        <v>0</v>
      </c>
      <c r="P105" s="32">
        <f t="shared" si="125"/>
        <v>135</v>
      </c>
      <c r="Q105" s="32">
        <f t="shared" si="125"/>
        <v>75</v>
      </c>
      <c r="EY105" s="15"/>
      <c r="EZ105" s="15"/>
    </row>
    <row r="106" spans="1:156" ht="16.5" x14ac:dyDescent="0.2">
      <c r="A106" s="26">
        <v>57</v>
      </c>
      <c r="B106" s="104">
        <f t="shared" si="83"/>
        <v>15</v>
      </c>
      <c r="C106" s="118">
        <v>1</v>
      </c>
      <c r="D106" s="19">
        <v>0.25</v>
      </c>
      <c r="E106" s="113"/>
      <c r="F106" s="21">
        <f t="shared" ref="F106:O106" si="141">(INDEX(G$7:G$37,$B106)*(1-$D106)+INDEX(G$7:G$37,$B106+1)*$D106)*G$4*$B$2</f>
        <v>0.5</v>
      </c>
      <c r="G106" s="21">
        <f t="shared" si="141"/>
        <v>0.25</v>
      </c>
      <c r="H106" s="21">
        <f t="shared" si="141"/>
        <v>6.8750000000000006E-2</v>
      </c>
      <c r="I106" s="21">
        <f t="shared" si="141"/>
        <v>0</v>
      </c>
      <c r="J106" s="21">
        <f t="shared" si="141"/>
        <v>0</v>
      </c>
      <c r="K106" s="21">
        <f t="shared" si="141"/>
        <v>0.125</v>
      </c>
      <c r="L106" s="21">
        <f t="shared" si="141"/>
        <v>8.500000000000002E-2</v>
      </c>
      <c r="M106" s="21">
        <f t="shared" si="141"/>
        <v>0</v>
      </c>
      <c r="N106" s="21">
        <f t="shared" si="141"/>
        <v>0</v>
      </c>
      <c r="O106" s="21">
        <f t="shared" si="141"/>
        <v>0</v>
      </c>
      <c r="P106" s="32">
        <f t="shared" si="125"/>
        <v>138</v>
      </c>
      <c r="Q106" s="32">
        <f t="shared" si="125"/>
        <v>76</v>
      </c>
      <c r="EY106" s="15"/>
      <c r="EZ106" s="15"/>
    </row>
    <row r="107" spans="1:156" ht="16.5" x14ac:dyDescent="0.2">
      <c r="A107" s="26">
        <v>58</v>
      </c>
      <c r="B107" s="104">
        <f t="shared" si="83"/>
        <v>15</v>
      </c>
      <c r="C107" s="118">
        <v>2</v>
      </c>
      <c r="D107" s="19">
        <v>0.5</v>
      </c>
      <c r="E107" s="113"/>
      <c r="F107" s="21">
        <f t="shared" ref="F107:O107" si="142">(INDEX(G$7:G$37,$B107)*(1-$D107)+INDEX(G$7:G$37,$B107+1)*$D107)*G$4*$B$2</f>
        <v>0.5</v>
      </c>
      <c r="G107" s="21">
        <f t="shared" si="142"/>
        <v>0.25</v>
      </c>
      <c r="H107" s="21">
        <f t="shared" si="142"/>
        <v>7.2500000000000009E-2</v>
      </c>
      <c r="I107" s="21">
        <f t="shared" si="142"/>
        <v>0</v>
      </c>
      <c r="J107" s="21">
        <f t="shared" si="142"/>
        <v>0</v>
      </c>
      <c r="K107" s="21">
        <f t="shared" si="142"/>
        <v>0.125</v>
      </c>
      <c r="L107" s="21">
        <f t="shared" si="142"/>
        <v>9.0000000000000011E-2</v>
      </c>
      <c r="M107" s="21">
        <f t="shared" si="142"/>
        <v>0</v>
      </c>
      <c r="N107" s="21">
        <f t="shared" si="142"/>
        <v>0</v>
      </c>
      <c r="O107" s="21">
        <f t="shared" si="142"/>
        <v>0</v>
      </c>
      <c r="P107" s="32">
        <f t="shared" si="125"/>
        <v>142</v>
      </c>
      <c r="Q107" s="32">
        <f t="shared" si="125"/>
        <v>77</v>
      </c>
      <c r="EY107" s="15"/>
      <c r="EZ107" s="15"/>
    </row>
    <row r="108" spans="1:156" ht="16.5" x14ac:dyDescent="0.2">
      <c r="A108" s="26">
        <v>59</v>
      </c>
      <c r="B108" s="104">
        <f t="shared" si="83"/>
        <v>15</v>
      </c>
      <c r="C108" s="118">
        <v>3</v>
      </c>
      <c r="D108" s="19">
        <v>0.75</v>
      </c>
      <c r="E108" s="113"/>
      <c r="F108" s="21">
        <f t="shared" ref="F108:O108" si="143">(INDEX(G$7:G$37,$B108)*(1-$D108)+INDEX(G$7:G$37,$B108+1)*$D108)*G$4*$B$2</f>
        <v>0.5</v>
      </c>
      <c r="G108" s="21">
        <f t="shared" si="143"/>
        <v>0.25</v>
      </c>
      <c r="H108" s="21">
        <f t="shared" si="143"/>
        <v>7.6250000000000012E-2</v>
      </c>
      <c r="I108" s="21">
        <f t="shared" si="143"/>
        <v>0</v>
      </c>
      <c r="J108" s="21">
        <f t="shared" si="143"/>
        <v>0</v>
      </c>
      <c r="K108" s="21">
        <f t="shared" si="143"/>
        <v>0.125</v>
      </c>
      <c r="L108" s="21">
        <f t="shared" si="143"/>
        <v>9.5000000000000001E-2</v>
      </c>
      <c r="M108" s="21">
        <f t="shared" si="143"/>
        <v>0</v>
      </c>
      <c r="N108" s="21">
        <f t="shared" si="143"/>
        <v>0</v>
      </c>
      <c r="O108" s="21">
        <f t="shared" si="143"/>
        <v>0</v>
      </c>
      <c r="P108" s="32">
        <f t="shared" si="125"/>
        <v>146</v>
      </c>
      <c r="Q108" s="32">
        <f t="shared" si="125"/>
        <v>78</v>
      </c>
      <c r="EY108" s="15"/>
      <c r="EZ108" s="15"/>
    </row>
    <row r="109" spans="1:156" ht="16.5" x14ac:dyDescent="0.2">
      <c r="A109" s="26">
        <v>60</v>
      </c>
      <c r="B109" s="104">
        <f t="shared" si="83"/>
        <v>15</v>
      </c>
      <c r="C109" s="118">
        <v>4</v>
      </c>
      <c r="D109" s="19">
        <v>1</v>
      </c>
      <c r="E109" s="113"/>
      <c r="F109" s="21">
        <f t="shared" ref="F109:O109" si="144">(INDEX(G$7:G$37,$B109)*(1-$D109)+INDEX(G$7:G$37,$B109+1)*$D109)*G$4*$B$2</f>
        <v>0.5</v>
      </c>
      <c r="G109" s="21">
        <f t="shared" si="144"/>
        <v>0.25</v>
      </c>
      <c r="H109" s="21">
        <f t="shared" si="144"/>
        <v>8.0000000000000016E-2</v>
      </c>
      <c r="I109" s="21">
        <f t="shared" si="144"/>
        <v>0</v>
      </c>
      <c r="J109" s="21">
        <f t="shared" si="144"/>
        <v>0</v>
      </c>
      <c r="K109" s="21">
        <f t="shared" si="144"/>
        <v>0.125</v>
      </c>
      <c r="L109" s="21">
        <f t="shared" si="144"/>
        <v>0.1</v>
      </c>
      <c r="M109" s="21">
        <f t="shared" si="144"/>
        <v>0</v>
      </c>
      <c r="N109" s="21">
        <f t="shared" si="144"/>
        <v>0</v>
      </c>
      <c r="O109" s="21">
        <f t="shared" si="144"/>
        <v>0</v>
      </c>
      <c r="P109" s="32">
        <f t="shared" si="125"/>
        <v>150</v>
      </c>
      <c r="Q109" s="32">
        <f t="shared" si="125"/>
        <v>80</v>
      </c>
      <c r="EY109" s="15"/>
      <c r="EZ109" s="15"/>
    </row>
    <row r="110" spans="1:156" ht="16.5" x14ac:dyDescent="0.2">
      <c r="A110" s="26">
        <v>61</v>
      </c>
      <c r="B110" s="104">
        <f t="shared" si="83"/>
        <v>16</v>
      </c>
      <c r="C110" s="118">
        <v>1</v>
      </c>
      <c r="D110" s="19">
        <v>0.25</v>
      </c>
      <c r="E110" s="113"/>
      <c r="F110" s="21">
        <f t="shared" ref="F110:O110" si="145">(INDEX(G$7:G$37,$B110)*(1-$D110)+INDEX(G$7:G$37,$B110+1)*$D110)*G$4*$B$2</f>
        <v>0.5</v>
      </c>
      <c r="G110" s="21">
        <f t="shared" si="145"/>
        <v>0.25</v>
      </c>
      <c r="H110" s="21">
        <f t="shared" si="145"/>
        <v>8.500000000000002E-2</v>
      </c>
      <c r="I110" s="21">
        <f t="shared" si="145"/>
        <v>0</v>
      </c>
      <c r="J110" s="21">
        <f t="shared" si="145"/>
        <v>0</v>
      </c>
      <c r="K110" s="21">
        <f t="shared" si="145"/>
        <v>0.125</v>
      </c>
      <c r="L110" s="21">
        <f t="shared" si="145"/>
        <v>9.5000000000000001E-2</v>
      </c>
      <c r="M110" s="21">
        <f t="shared" si="145"/>
        <v>2.5000000000000005E-3</v>
      </c>
      <c r="N110" s="21">
        <f t="shared" si="145"/>
        <v>0</v>
      </c>
      <c r="O110" s="21">
        <f t="shared" si="145"/>
        <v>0</v>
      </c>
      <c r="P110" s="32">
        <f t="shared" ref="P110:Q129" si="146">INT((INDEX(Q$7:Q$37,$B110)*(1-$D110)+INDEX(Q$7:Q$37,$B110+1)*$D110)*Q$4*$B$2)</f>
        <v>152</v>
      </c>
      <c r="Q110" s="32">
        <f t="shared" si="146"/>
        <v>82</v>
      </c>
      <c r="EY110" s="15"/>
      <c r="EZ110" s="15"/>
    </row>
    <row r="111" spans="1:156" ht="16.5" x14ac:dyDescent="0.2">
      <c r="A111" s="26">
        <v>62</v>
      </c>
      <c r="B111" s="104">
        <f t="shared" si="83"/>
        <v>16</v>
      </c>
      <c r="C111" s="118">
        <v>2</v>
      </c>
      <c r="D111" s="19">
        <v>0.5</v>
      </c>
      <c r="E111" s="113"/>
      <c r="F111" s="21">
        <f t="shared" ref="F111:O111" si="147">(INDEX(G$7:G$37,$B111)*(1-$D111)+INDEX(G$7:G$37,$B111+1)*$D111)*G$4*$B$2</f>
        <v>0.5</v>
      </c>
      <c r="G111" s="21">
        <f t="shared" si="147"/>
        <v>0.25</v>
      </c>
      <c r="H111" s="21">
        <f t="shared" si="147"/>
        <v>9.0000000000000011E-2</v>
      </c>
      <c r="I111" s="21">
        <f t="shared" si="147"/>
        <v>0</v>
      </c>
      <c r="J111" s="21">
        <f t="shared" si="147"/>
        <v>0</v>
      </c>
      <c r="K111" s="21">
        <f t="shared" si="147"/>
        <v>0.125</v>
      </c>
      <c r="L111" s="21">
        <f t="shared" si="147"/>
        <v>9.0000000000000011E-2</v>
      </c>
      <c r="M111" s="21">
        <f t="shared" si="147"/>
        <v>5.000000000000001E-3</v>
      </c>
      <c r="N111" s="21">
        <f t="shared" si="147"/>
        <v>0</v>
      </c>
      <c r="O111" s="21">
        <f t="shared" si="147"/>
        <v>0</v>
      </c>
      <c r="P111" s="32">
        <f t="shared" si="146"/>
        <v>155</v>
      </c>
      <c r="Q111" s="32">
        <f t="shared" si="146"/>
        <v>85</v>
      </c>
      <c r="EY111" s="15"/>
      <c r="EZ111" s="15"/>
    </row>
    <row r="112" spans="1:156" ht="16.5" x14ac:dyDescent="0.2">
      <c r="A112" s="26">
        <v>63</v>
      </c>
      <c r="B112" s="104">
        <f t="shared" si="83"/>
        <v>16</v>
      </c>
      <c r="C112" s="118">
        <v>3</v>
      </c>
      <c r="D112" s="19">
        <v>0.75</v>
      </c>
      <c r="E112" s="113"/>
      <c r="F112" s="21">
        <f t="shared" ref="F112:O112" si="148">(INDEX(G$7:G$37,$B112)*(1-$D112)+INDEX(G$7:G$37,$B112+1)*$D112)*G$4*$B$2</f>
        <v>0.5</v>
      </c>
      <c r="G112" s="21">
        <f t="shared" si="148"/>
        <v>0.25</v>
      </c>
      <c r="H112" s="21">
        <f t="shared" si="148"/>
        <v>9.5000000000000001E-2</v>
      </c>
      <c r="I112" s="21">
        <f t="shared" si="148"/>
        <v>0</v>
      </c>
      <c r="J112" s="21">
        <f t="shared" si="148"/>
        <v>0</v>
      </c>
      <c r="K112" s="21">
        <f t="shared" si="148"/>
        <v>0.125</v>
      </c>
      <c r="L112" s="21">
        <f t="shared" si="148"/>
        <v>8.500000000000002E-2</v>
      </c>
      <c r="M112" s="21">
        <f t="shared" si="148"/>
        <v>7.5000000000000015E-3</v>
      </c>
      <c r="N112" s="21">
        <f t="shared" si="148"/>
        <v>0</v>
      </c>
      <c r="O112" s="21">
        <f t="shared" si="148"/>
        <v>0</v>
      </c>
      <c r="P112" s="32">
        <f t="shared" si="146"/>
        <v>157</v>
      </c>
      <c r="Q112" s="32">
        <f t="shared" si="146"/>
        <v>87</v>
      </c>
      <c r="EY112" s="15"/>
      <c r="EZ112" s="15"/>
    </row>
    <row r="113" spans="1:156" ht="16.5" x14ac:dyDescent="0.2">
      <c r="A113" s="26">
        <v>64</v>
      </c>
      <c r="B113" s="104">
        <f t="shared" si="83"/>
        <v>16</v>
      </c>
      <c r="C113" s="118">
        <v>4</v>
      </c>
      <c r="D113" s="19">
        <v>1</v>
      </c>
      <c r="E113" s="113"/>
      <c r="F113" s="21">
        <f t="shared" ref="F113:O113" si="149">(INDEX(G$7:G$37,$B113)*(1-$D113)+INDEX(G$7:G$37,$B113+1)*$D113)*G$4*$B$2</f>
        <v>0.5</v>
      </c>
      <c r="G113" s="21">
        <f t="shared" si="149"/>
        <v>0.25</v>
      </c>
      <c r="H113" s="21">
        <f t="shared" si="149"/>
        <v>0.1</v>
      </c>
      <c r="I113" s="21">
        <f t="shared" si="149"/>
        <v>0</v>
      </c>
      <c r="J113" s="21">
        <f t="shared" si="149"/>
        <v>0</v>
      </c>
      <c r="K113" s="21">
        <f t="shared" si="149"/>
        <v>0.125</v>
      </c>
      <c r="L113" s="21">
        <f t="shared" si="149"/>
        <v>8.0000000000000016E-2</v>
      </c>
      <c r="M113" s="21">
        <f t="shared" si="149"/>
        <v>1.0000000000000002E-2</v>
      </c>
      <c r="N113" s="21">
        <f t="shared" si="149"/>
        <v>0</v>
      </c>
      <c r="O113" s="21">
        <f t="shared" si="149"/>
        <v>0</v>
      </c>
      <c r="P113" s="32">
        <f t="shared" si="146"/>
        <v>160</v>
      </c>
      <c r="Q113" s="32">
        <f t="shared" si="146"/>
        <v>90</v>
      </c>
      <c r="EY113" s="15"/>
      <c r="EZ113" s="15"/>
    </row>
    <row r="114" spans="1:156" ht="16.5" x14ac:dyDescent="0.2">
      <c r="A114" s="26">
        <v>65</v>
      </c>
      <c r="B114" s="104">
        <f t="shared" si="83"/>
        <v>17</v>
      </c>
      <c r="C114" s="118">
        <v>1</v>
      </c>
      <c r="D114" s="19">
        <v>0.25</v>
      </c>
      <c r="E114" s="113"/>
      <c r="F114" s="21">
        <f t="shared" ref="F114:O114" si="150">(INDEX(G$7:G$37,$B114)*(1-$D114)+INDEX(G$7:G$37,$B114+1)*$D114)*G$4*$B$2</f>
        <v>0.5</v>
      </c>
      <c r="G114" s="21">
        <f t="shared" si="150"/>
        <v>0.25</v>
      </c>
      <c r="H114" s="21">
        <f t="shared" si="150"/>
        <v>0.1</v>
      </c>
      <c r="I114" s="21">
        <f t="shared" si="150"/>
        <v>2.5000000000000005E-3</v>
      </c>
      <c r="J114" s="21">
        <f t="shared" si="150"/>
        <v>0</v>
      </c>
      <c r="K114" s="21">
        <f t="shared" si="150"/>
        <v>0.125</v>
      </c>
      <c r="L114" s="21">
        <f t="shared" si="150"/>
        <v>7.6250000000000012E-2</v>
      </c>
      <c r="M114" s="21">
        <f t="shared" si="150"/>
        <v>1.1875000000000002E-2</v>
      </c>
      <c r="N114" s="21">
        <f t="shared" si="150"/>
        <v>0</v>
      </c>
      <c r="O114" s="21">
        <f t="shared" si="150"/>
        <v>0</v>
      </c>
      <c r="P114" s="32">
        <f t="shared" si="146"/>
        <v>163</v>
      </c>
      <c r="Q114" s="32">
        <f t="shared" si="146"/>
        <v>92</v>
      </c>
      <c r="EY114" s="15"/>
      <c r="EZ114" s="15"/>
    </row>
    <row r="115" spans="1:156" ht="16.5" x14ac:dyDescent="0.2">
      <c r="A115" s="26">
        <v>66</v>
      </c>
      <c r="B115" s="104">
        <f t="shared" ref="B115:B169" si="151">INT((A115-1)/4)+1</f>
        <v>17</v>
      </c>
      <c r="C115" s="118">
        <v>2</v>
      </c>
      <c r="D115" s="19">
        <v>0.5</v>
      </c>
      <c r="E115" s="113"/>
      <c r="F115" s="21">
        <f t="shared" ref="F115:O115" si="152">(INDEX(G$7:G$37,$B115)*(1-$D115)+INDEX(G$7:G$37,$B115+1)*$D115)*G$4*$B$2</f>
        <v>0.5</v>
      </c>
      <c r="G115" s="21">
        <f t="shared" si="152"/>
        <v>0.25</v>
      </c>
      <c r="H115" s="21">
        <f t="shared" si="152"/>
        <v>0.1</v>
      </c>
      <c r="I115" s="21">
        <f t="shared" si="152"/>
        <v>5.000000000000001E-3</v>
      </c>
      <c r="J115" s="21">
        <f t="shared" si="152"/>
        <v>0</v>
      </c>
      <c r="K115" s="21">
        <f t="shared" si="152"/>
        <v>0.125</v>
      </c>
      <c r="L115" s="21">
        <f t="shared" si="152"/>
        <v>7.2500000000000009E-2</v>
      </c>
      <c r="M115" s="21">
        <f t="shared" si="152"/>
        <v>1.3750000000000002E-2</v>
      </c>
      <c r="N115" s="21">
        <f t="shared" si="152"/>
        <v>0</v>
      </c>
      <c r="O115" s="21">
        <f t="shared" si="152"/>
        <v>0</v>
      </c>
      <c r="P115" s="32">
        <f t="shared" si="146"/>
        <v>167</v>
      </c>
      <c r="Q115" s="32">
        <f t="shared" si="146"/>
        <v>95</v>
      </c>
      <c r="EY115" s="15"/>
      <c r="EZ115" s="15"/>
    </row>
    <row r="116" spans="1:156" ht="16.5" x14ac:dyDescent="0.2">
      <c r="A116" s="26">
        <v>67</v>
      </c>
      <c r="B116" s="104">
        <f t="shared" si="151"/>
        <v>17</v>
      </c>
      <c r="C116" s="118">
        <v>3</v>
      </c>
      <c r="D116" s="19">
        <v>0.75</v>
      </c>
      <c r="E116" s="113"/>
      <c r="F116" s="21">
        <f t="shared" ref="F116:O116" si="153">(INDEX(G$7:G$37,$B116)*(1-$D116)+INDEX(G$7:G$37,$B116+1)*$D116)*G$4*$B$2</f>
        <v>0.5</v>
      </c>
      <c r="G116" s="21">
        <f t="shared" si="153"/>
        <v>0.25</v>
      </c>
      <c r="H116" s="21">
        <f t="shared" si="153"/>
        <v>0.1</v>
      </c>
      <c r="I116" s="21">
        <f t="shared" si="153"/>
        <v>7.5000000000000015E-3</v>
      </c>
      <c r="J116" s="21">
        <f t="shared" si="153"/>
        <v>0</v>
      </c>
      <c r="K116" s="21">
        <f t="shared" si="153"/>
        <v>0.125</v>
      </c>
      <c r="L116" s="21">
        <f t="shared" si="153"/>
        <v>6.8750000000000006E-2</v>
      </c>
      <c r="M116" s="21">
        <f t="shared" si="153"/>
        <v>1.5624999999999998E-2</v>
      </c>
      <c r="N116" s="21">
        <f t="shared" si="153"/>
        <v>0</v>
      </c>
      <c r="O116" s="21">
        <f t="shared" si="153"/>
        <v>0</v>
      </c>
      <c r="P116" s="32">
        <f t="shared" si="146"/>
        <v>171</v>
      </c>
      <c r="Q116" s="32">
        <f t="shared" si="146"/>
        <v>97</v>
      </c>
      <c r="EY116" s="15"/>
      <c r="EZ116" s="15"/>
    </row>
    <row r="117" spans="1:156" ht="16.5" x14ac:dyDescent="0.2">
      <c r="A117" s="26">
        <v>68</v>
      </c>
      <c r="B117" s="104">
        <f t="shared" si="151"/>
        <v>17</v>
      </c>
      <c r="C117" s="118">
        <v>4</v>
      </c>
      <c r="D117" s="19">
        <v>1</v>
      </c>
      <c r="E117" s="113"/>
      <c r="F117" s="21">
        <f t="shared" ref="F117:O117" si="154">(INDEX(G$7:G$37,$B117)*(1-$D117)+INDEX(G$7:G$37,$B117+1)*$D117)*G$4*$B$2</f>
        <v>0.5</v>
      </c>
      <c r="G117" s="21">
        <f t="shared" si="154"/>
        <v>0.25</v>
      </c>
      <c r="H117" s="21">
        <f t="shared" si="154"/>
        <v>0.1</v>
      </c>
      <c r="I117" s="21">
        <f t="shared" si="154"/>
        <v>1.0000000000000002E-2</v>
      </c>
      <c r="J117" s="21">
        <f t="shared" si="154"/>
        <v>0</v>
      </c>
      <c r="K117" s="21">
        <f t="shared" si="154"/>
        <v>0.125</v>
      </c>
      <c r="L117" s="21">
        <f t="shared" si="154"/>
        <v>6.5000000000000002E-2</v>
      </c>
      <c r="M117" s="21">
        <f t="shared" si="154"/>
        <v>1.7499999999999998E-2</v>
      </c>
      <c r="N117" s="21">
        <f t="shared" si="154"/>
        <v>0</v>
      </c>
      <c r="O117" s="21">
        <f t="shared" si="154"/>
        <v>0</v>
      </c>
      <c r="P117" s="32">
        <f t="shared" si="146"/>
        <v>175</v>
      </c>
      <c r="Q117" s="32">
        <f t="shared" si="146"/>
        <v>100</v>
      </c>
      <c r="EY117" s="15"/>
      <c r="EZ117" s="15"/>
    </row>
    <row r="118" spans="1:156" ht="16.5" x14ac:dyDescent="0.2">
      <c r="A118" s="26">
        <v>69</v>
      </c>
      <c r="B118" s="104">
        <f t="shared" si="151"/>
        <v>18</v>
      </c>
      <c r="C118" s="118">
        <v>1</v>
      </c>
      <c r="D118" s="19">
        <v>0.25</v>
      </c>
      <c r="E118" s="113"/>
      <c r="F118" s="21">
        <f t="shared" ref="F118:O118" si="155">(INDEX(G$7:G$37,$B118)*(1-$D118)+INDEX(G$7:G$37,$B118+1)*$D118)*G$4*$B$2</f>
        <v>0.5</v>
      </c>
      <c r="G118" s="21">
        <f t="shared" si="155"/>
        <v>0.25</v>
      </c>
      <c r="H118" s="21">
        <f t="shared" si="155"/>
        <v>0.1</v>
      </c>
      <c r="I118" s="21">
        <f t="shared" si="155"/>
        <v>1.1875000000000002E-2</v>
      </c>
      <c r="J118" s="21">
        <f t="shared" si="155"/>
        <v>0</v>
      </c>
      <c r="K118" s="21">
        <f t="shared" si="155"/>
        <v>0.125</v>
      </c>
      <c r="L118" s="21">
        <f t="shared" si="155"/>
        <v>6.1250000000000006E-2</v>
      </c>
      <c r="M118" s="21">
        <f t="shared" si="155"/>
        <v>1.9375E-2</v>
      </c>
      <c r="N118" s="21">
        <f t="shared" si="155"/>
        <v>0</v>
      </c>
      <c r="O118" s="21">
        <f t="shared" si="155"/>
        <v>0</v>
      </c>
      <c r="P118" s="32">
        <f t="shared" si="146"/>
        <v>177</v>
      </c>
      <c r="Q118" s="32">
        <f t="shared" si="146"/>
        <v>102</v>
      </c>
    </row>
    <row r="119" spans="1:156" ht="16.5" x14ac:dyDescent="0.2">
      <c r="A119" s="26">
        <v>70</v>
      </c>
      <c r="B119" s="104">
        <f t="shared" si="151"/>
        <v>18</v>
      </c>
      <c r="C119" s="118">
        <v>2</v>
      </c>
      <c r="D119" s="19">
        <v>0.5</v>
      </c>
      <c r="E119" s="113"/>
      <c r="F119" s="21">
        <f t="shared" ref="F119:O119" si="156">(INDEX(G$7:G$37,$B119)*(1-$D119)+INDEX(G$7:G$37,$B119+1)*$D119)*G$4*$B$2</f>
        <v>0.5</v>
      </c>
      <c r="G119" s="21">
        <f t="shared" si="156"/>
        <v>0.25</v>
      </c>
      <c r="H119" s="21">
        <f t="shared" si="156"/>
        <v>0.1</v>
      </c>
      <c r="I119" s="21">
        <f t="shared" si="156"/>
        <v>1.3750000000000002E-2</v>
      </c>
      <c r="J119" s="21">
        <f t="shared" si="156"/>
        <v>0</v>
      </c>
      <c r="K119" s="21">
        <f t="shared" si="156"/>
        <v>0.125</v>
      </c>
      <c r="L119" s="21">
        <f t="shared" si="156"/>
        <v>5.7499999999999996E-2</v>
      </c>
      <c r="M119" s="21">
        <f t="shared" si="156"/>
        <v>2.1250000000000002E-2</v>
      </c>
      <c r="N119" s="21">
        <f t="shared" si="156"/>
        <v>0</v>
      </c>
      <c r="O119" s="21">
        <f t="shared" si="156"/>
        <v>0</v>
      </c>
      <c r="P119" s="32">
        <f t="shared" si="146"/>
        <v>180</v>
      </c>
      <c r="Q119" s="32">
        <f t="shared" si="146"/>
        <v>105</v>
      </c>
    </row>
    <row r="120" spans="1:156" ht="16.5" x14ac:dyDescent="0.2">
      <c r="A120" s="26">
        <v>71</v>
      </c>
      <c r="B120" s="104">
        <f t="shared" si="151"/>
        <v>18</v>
      </c>
      <c r="C120" s="118">
        <v>3</v>
      </c>
      <c r="D120" s="19">
        <v>0.75</v>
      </c>
      <c r="E120" s="113"/>
      <c r="F120" s="21">
        <f t="shared" ref="F120:O120" si="157">(INDEX(G$7:G$37,$B120)*(1-$D120)+INDEX(G$7:G$37,$B120+1)*$D120)*G$4*$B$2</f>
        <v>0.5</v>
      </c>
      <c r="G120" s="21">
        <f t="shared" si="157"/>
        <v>0.25</v>
      </c>
      <c r="H120" s="21">
        <f t="shared" si="157"/>
        <v>0.1</v>
      </c>
      <c r="I120" s="21">
        <f t="shared" si="157"/>
        <v>1.5624999999999998E-2</v>
      </c>
      <c r="J120" s="21">
        <f t="shared" si="157"/>
        <v>0</v>
      </c>
      <c r="K120" s="21">
        <f t="shared" si="157"/>
        <v>0.125</v>
      </c>
      <c r="L120" s="21">
        <f t="shared" si="157"/>
        <v>5.3749999999999999E-2</v>
      </c>
      <c r="M120" s="21">
        <f t="shared" si="157"/>
        <v>2.3125000000000003E-2</v>
      </c>
      <c r="N120" s="21">
        <f t="shared" si="157"/>
        <v>0</v>
      </c>
      <c r="O120" s="21">
        <f t="shared" si="157"/>
        <v>0</v>
      </c>
      <c r="P120" s="32">
        <f t="shared" si="146"/>
        <v>182</v>
      </c>
      <c r="Q120" s="32">
        <f t="shared" si="146"/>
        <v>107</v>
      </c>
    </row>
    <row r="121" spans="1:156" ht="16.5" x14ac:dyDescent="0.2">
      <c r="A121" s="26">
        <v>72</v>
      </c>
      <c r="B121" s="104">
        <f t="shared" si="151"/>
        <v>18</v>
      </c>
      <c r="C121" s="118">
        <v>4</v>
      </c>
      <c r="D121" s="19">
        <v>1</v>
      </c>
      <c r="E121" s="113"/>
      <c r="F121" s="21">
        <f t="shared" ref="F121:O121" si="158">(INDEX(G$7:G$37,$B121)*(1-$D121)+INDEX(G$7:G$37,$B121+1)*$D121)*G$4*$B$2</f>
        <v>0.5</v>
      </c>
      <c r="G121" s="21">
        <f t="shared" si="158"/>
        <v>0.25</v>
      </c>
      <c r="H121" s="21">
        <f t="shared" si="158"/>
        <v>0.1</v>
      </c>
      <c r="I121" s="21">
        <f t="shared" si="158"/>
        <v>1.7499999999999998E-2</v>
      </c>
      <c r="J121" s="21">
        <f t="shared" si="158"/>
        <v>0</v>
      </c>
      <c r="K121" s="21">
        <f t="shared" si="158"/>
        <v>0.125</v>
      </c>
      <c r="L121" s="21">
        <f t="shared" si="158"/>
        <v>0.05</v>
      </c>
      <c r="M121" s="21">
        <f t="shared" si="158"/>
        <v>2.5000000000000001E-2</v>
      </c>
      <c r="N121" s="21">
        <f t="shared" si="158"/>
        <v>0</v>
      </c>
      <c r="O121" s="21">
        <f t="shared" si="158"/>
        <v>0</v>
      </c>
      <c r="P121" s="32">
        <f t="shared" si="146"/>
        <v>185</v>
      </c>
      <c r="Q121" s="32">
        <f t="shared" si="146"/>
        <v>110</v>
      </c>
    </row>
    <row r="122" spans="1:156" ht="16.5" x14ac:dyDescent="0.2">
      <c r="A122" s="26">
        <v>73</v>
      </c>
      <c r="B122" s="104">
        <f t="shared" si="151"/>
        <v>19</v>
      </c>
      <c r="C122" s="118">
        <v>1</v>
      </c>
      <c r="D122" s="19">
        <v>0.25</v>
      </c>
      <c r="E122" s="113"/>
      <c r="F122" s="21">
        <f t="shared" ref="F122:O122" si="159">(INDEX(G$7:G$37,$B122)*(1-$D122)+INDEX(G$7:G$37,$B122+1)*$D122)*G$4*$B$2</f>
        <v>0.5</v>
      </c>
      <c r="G122" s="21">
        <f t="shared" si="159"/>
        <v>0.25</v>
      </c>
      <c r="H122" s="21">
        <f t="shared" si="159"/>
        <v>0.1</v>
      </c>
      <c r="I122" s="21">
        <f t="shared" si="159"/>
        <v>1.9375E-2</v>
      </c>
      <c r="J122" s="21">
        <f t="shared" si="159"/>
        <v>0</v>
      </c>
      <c r="K122" s="21">
        <f t="shared" si="159"/>
        <v>0.125</v>
      </c>
      <c r="L122" s="21">
        <f t="shared" si="159"/>
        <v>0.05</v>
      </c>
      <c r="M122" s="21">
        <f t="shared" si="159"/>
        <v>2.6875E-2</v>
      </c>
      <c r="N122" s="21">
        <f t="shared" si="159"/>
        <v>0</v>
      </c>
      <c r="O122" s="21">
        <f t="shared" si="159"/>
        <v>6.2500000000000012E-4</v>
      </c>
      <c r="P122" s="32">
        <f t="shared" si="146"/>
        <v>188</v>
      </c>
      <c r="Q122" s="32">
        <f t="shared" si="146"/>
        <v>112</v>
      </c>
    </row>
    <row r="123" spans="1:156" ht="16.5" x14ac:dyDescent="0.2">
      <c r="A123" s="26">
        <v>74</v>
      </c>
      <c r="B123" s="104">
        <f t="shared" si="151"/>
        <v>19</v>
      </c>
      <c r="C123" s="118">
        <v>2</v>
      </c>
      <c r="D123" s="19">
        <v>0.5</v>
      </c>
      <c r="E123" s="113"/>
      <c r="F123" s="21">
        <f t="shared" ref="F123:O123" si="160">(INDEX(G$7:G$37,$B123)*(1-$D123)+INDEX(G$7:G$37,$B123+1)*$D123)*G$4*$B$2</f>
        <v>0.5</v>
      </c>
      <c r="G123" s="21">
        <f t="shared" si="160"/>
        <v>0.25</v>
      </c>
      <c r="H123" s="21">
        <f t="shared" si="160"/>
        <v>0.1</v>
      </c>
      <c r="I123" s="21">
        <f t="shared" si="160"/>
        <v>2.1250000000000002E-2</v>
      </c>
      <c r="J123" s="21">
        <f t="shared" si="160"/>
        <v>0</v>
      </c>
      <c r="K123" s="21">
        <f t="shared" si="160"/>
        <v>0.125</v>
      </c>
      <c r="L123" s="21">
        <f t="shared" si="160"/>
        <v>0.05</v>
      </c>
      <c r="M123" s="21">
        <f t="shared" si="160"/>
        <v>2.8749999999999998E-2</v>
      </c>
      <c r="N123" s="21">
        <f t="shared" si="160"/>
        <v>0</v>
      </c>
      <c r="O123" s="21">
        <f t="shared" si="160"/>
        <v>1.2500000000000002E-3</v>
      </c>
      <c r="P123" s="32">
        <f t="shared" si="146"/>
        <v>192</v>
      </c>
      <c r="Q123" s="32">
        <f t="shared" si="146"/>
        <v>115</v>
      </c>
    </row>
    <row r="124" spans="1:156" ht="16.5" x14ac:dyDescent="0.2">
      <c r="A124" s="26">
        <v>75</v>
      </c>
      <c r="B124" s="104">
        <f t="shared" si="151"/>
        <v>19</v>
      </c>
      <c r="C124" s="118">
        <v>3</v>
      </c>
      <c r="D124" s="19">
        <v>0.75</v>
      </c>
      <c r="E124" s="113"/>
      <c r="F124" s="21">
        <f t="shared" ref="F124:O124" si="161">(INDEX(G$7:G$37,$B124)*(1-$D124)+INDEX(G$7:G$37,$B124+1)*$D124)*G$4*$B$2</f>
        <v>0.5</v>
      </c>
      <c r="G124" s="21">
        <f t="shared" si="161"/>
        <v>0.25</v>
      </c>
      <c r="H124" s="21">
        <f t="shared" si="161"/>
        <v>0.1</v>
      </c>
      <c r="I124" s="21">
        <f t="shared" si="161"/>
        <v>2.3125000000000003E-2</v>
      </c>
      <c r="J124" s="21">
        <f t="shared" si="161"/>
        <v>0</v>
      </c>
      <c r="K124" s="21">
        <f t="shared" si="161"/>
        <v>0.125</v>
      </c>
      <c r="L124" s="21">
        <f t="shared" si="161"/>
        <v>0.05</v>
      </c>
      <c r="M124" s="21">
        <f t="shared" si="161"/>
        <v>3.0625000000000003E-2</v>
      </c>
      <c r="N124" s="21">
        <f t="shared" si="161"/>
        <v>0</v>
      </c>
      <c r="O124" s="21">
        <f t="shared" si="161"/>
        <v>1.8750000000000004E-3</v>
      </c>
      <c r="P124" s="32">
        <f t="shared" si="146"/>
        <v>196</v>
      </c>
      <c r="Q124" s="32">
        <f t="shared" si="146"/>
        <v>117</v>
      </c>
    </row>
    <row r="125" spans="1:156" ht="16.5" x14ac:dyDescent="0.2">
      <c r="A125" s="26">
        <v>76</v>
      </c>
      <c r="B125" s="104">
        <f t="shared" si="151"/>
        <v>19</v>
      </c>
      <c r="C125" s="118">
        <v>4</v>
      </c>
      <c r="D125" s="19">
        <v>1</v>
      </c>
      <c r="E125" s="113"/>
      <c r="F125" s="21">
        <f t="shared" ref="F125:O125" si="162">(INDEX(G$7:G$37,$B125)*(1-$D125)+INDEX(G$7:G$37,$B125+1)*$D125)*G$4*$B$2</f>
        <v>0.5</v>
      </c>
      <c r="G125" s="21">
        <f t="shared" si="162"/>
        <v>0.25</v>
      </c>
      <c r="H125" s="21">
        <f t="shared" si="162"/>
        <v>0.1</v>
      </c>
      <c r="I125" s="21">
        <f t="shared" si="162"/>
        <v>2.5000000000000001E-2</v>
      </c>
      <c r="J125" s="21">
        <f t="shared" si="162"/>
        <v>0</v>
      </c>
      <c r="K125" s="21">
        <f t="shared" si="162"/>
        <v>0.125</v>
      </c>
      <c r="L125" s="21">
        <f t="shared" si="162"/>
        <v>0.05</v>
      </c>
      <c r="M125" s="21">
        <f t="shared" si="162"/>
        <v>3.2500000000000001E-2</v>
      </c>
      <c r="N125" s="21">
        <f t="shared" si="162"/>
        <v>0</v>
      </c>
      <c r="O125" s="21">
        <f t="shared" si="162"/>
        <v>2.5000000000000005E-3</v>
      </c>
      <c r="P125" s="32">
        <f t="shared" si="146"/>
        <v>200</v>
      </c>
      <c r="Q125" s="32">
        <f t="shared" si="146"/>
        <v>120</v>
      </c>
    </row>
    <row r="126" spans="1:156" ht="16.5" x14ac:dyDescent="0.2">
      <c r="A126" s="26">
        <v>77</v>
      </c>
      <c r="B126" s="104">
        <f t="shared" si="151"/>
        <v>20</v>
      </c>
      <c r="C126" s="118">
        <v>1</v>
      </c>
      <c r="D126" s="19">
        <v>0.25</v>
      </c>
      <c r="E126" s="113"/>
      <c r="F126" s="21">
        <f t="shared" ref="F126:O126" si="163">(INDEX(G$7:G$37,$B126)*(1-$D126)+INDEX(G$7:G$37,$B126+1)*$D126)*G$4*$B$2</f>
        <v>0.5</v>
      </c>
      <c r="G126" s="21">
        <f t="shared" si="163"/>
        <v>0.25</v>
      </c>
      <c r="H126" s="21">
        <f t="shared" si="163"/>
        <v>0.1</v>
      </c>
      <c r="I126" s="21">
        <f t="shared" si="163"/>
        <v>2.6875E-2</v>
      </c>
      <c r="J126" s="21">
        <f t="shared" si="163"/>
        <v>0</v>
      </c>
      <c r="K126" s="21">
        <f t="shared" si="163"/>
        <v>0.125</v>
      </c>
      <c r="L126" s="21">
        <f t="shared" si="163"/>
        <v>0.05</v>
      </c>
      <c r="M126" s="21">
        <f t="shared" si="163"/>
        <v>3.4375000000000003E-2</v>
      </c>
      <c r="N126" s="21">
        <f t="shared" si="163"/>
        <v>0</v>
      </c>
      <c r="O126" s="21">
        <f t="shared" si="163"/>
        <v>3.1250000000000002E-3</v>
      </c>
      <c r="P126" s="32">
        <f t="shared" si="146"/>
        <v>202</v>
      </c>
      <c r="Q126" s="32">
        <f t="shared" si="146"/>
        <v>122</v>
      </c>
    </row>
    <row r="127" spans="1:156" ht="16.5" x14ac:dyDescent="0.2">
      <c r="A127" s="26">
        <v>78</v>
      </c>
      <c r="B127" s="104">
        <f t="shared" si="151"/>
        <v>20</v>
      </c>
      <c r="C127" s="118">
        <v>2</v>
      </c>
      <c r="D127" s="19">
        <v>0.5</v>
      </c>
      <c r="E127" s="113"/>
      <c r="F127" s="21">
        <f t="shared" ref="F127:O127" si="164">(INDEX(G$7:G$37,$B127)*(1-$D127)+INDEX(G$7:G$37,$B127+1)*$D127)*G$4*$B$2</f>
        <v>0.5</v>
      </c>
      <c r="G127" s="21">
        <f t="shared" si="164"/>
        <v>0.25</v>
      </c>
      <c r="H127" s="21">
        <f t="shared" si="164"/>
        <v>0.1</v>
      </c>
      <c r="I127" s="21">
        <f t="shared" si="164"/>
        <v>2.8749999999999998E-2</v>
      </c>
      <c r="J127" s="21">
        <f t="shared" si="164"/>
        <v>0</v>
      </c>
      <c r="K127" s="21">
        <f t="shared" si="164"/>
        <v>0.125</v>
      </c>
      <c r="L127" s="21">
        <f t="shared" si="164"/>
        <v>0.05</v>
      </c>
      <c r="M127" s="21">
        <f t="shared" si="164"/>
        <v>3.6250000000000004E-2</v>
      </c>
      <c r="N127" s="21">
        <f t="shared" si="164"/>
        <v>0</v>
      </c>
      <c r="O127" s="21">
        <f t="shared" si="164"/>
        <v>3.7500000000000007E-3</v>
      </c>
      <c r="P127" s="32">
        <f t="shared" si="146"/>
        <v>205</v>
      </c>
      <c r="Q127" s="32">
        <f t="shared" si="146"/>
        <v>125</v>
      </c>
    </row>
    <row r="128" spans="1:156" ht="16.5" x14ac:dyDescent="0.2">
      <c r="A128" s="26">
        <v>79</v>
      </c>
      <c r="B128" s="104">
        <f t="shared" si="151"/>
        <v>20</v>
      </c>
      <c r="C128" s="118">
        <v>3</v>
      </c>
      <c r="D128" s="19">
        <v>0.75</v>
      </c>
      <c r="E128" s="113"/>
      <c r="F128" s="21">
        <f t="shared" ref="F128:O128" si="165">(INDEX(G$7:G$37,$B128)*(1-$D128)+INDEX(G$7:G$37,$B128+1)*$D128)*G$4*$B$2</f>
        <v>0.5</v>
      </c>
      <c r="G128" s="21">
        <f t="shared" si="165"/>
        <v>0.25</v>
      </c>
      <c r="H128" s="21">
        <f t="shared" si="165"/>
        <v>0.1</v>
      </c>
      <c r="I128" s="21">
        <f t="shared" si="165"/>
        <v>3.0625000000000003E-2</v>
      </c>
      <c r="J128" s="21">
        <f t="shared" si="165"/>
        <v>0</v>
      </c>
      <c r="K128" s="21">
        <f t="shared" si="165"/>
        <v>0.125</v>
      </c>
      <c r="L128" s="21">
        <f t="shared" si="165"/>
        <v>0.05</v>
      </c>
      <c r="M128" s="21">
        <f t="shared" si="165"/>
        <v>3.8125000000000006E-2</v>
      </c>
      <c r="N128" s="21">
        <f t="shared" si="165"/>
        <v>0</v>
      </c>
      <c r="O128" s="21">
        <f t="shared" si="165"/>
        <v>4.3750000000000004E-3</v>
      </c>
      <c r="P128" s="32">
        <f t="shared" si="146"/>
        <v>207</v>
      </c>
      <c r="Q128" s="32">
        <f t="shared" si="146"/>
        <v>127</v>
      </c>
    </row>
    <row r="129" spans="1:17" ht="16.5" x14ac:dyDescent="0.2">
      <c r="A129" s="26">
        <v>80</v>
      </c>
      <c r="B129" s="104">
        <f t="shared" si="151"/>
        <v>20</v>
      </c>
      <c r="C129" s="118">
        <v>4</v>
      </c>
      <c r="D129" s="19">
        <v>1</v>
      </c>
      <c r="E129" s="113"/>
      <c r="F129" s="21">
        <f t="shared" ref="F129:O129" si="166">(INDEX(G$7:G$37,$B129)*(1-$D129)+INDEX(G$7:G$37,$B129+1)*$D129)*G$4*$B$2</f>
        <v>0.5</v>
      </c>
      <c r="G129" s="21">
        <f t="shared" si="166"/>
        <v>0.25</v>
      </c>
      <c r="H129" s="21">
        <f t="shared" si="166"/>
        <v>0.1</v>
      </c>
      <c r="I129" s="21">
        <f t="shared" si="166"/>
        <v>3.2500000000000001E-2</v>
      </c>
      <c r="J129" s="21">
        <f t="shared" si="166"/>
        <v>0</v>
      </c>
      <c r="K129" s="21">
        <f t="shared" si="166"/>
        <v>0.125</v>
      </c>
      <c r="L129" s="21">
        <f t="shared" si="166"/>
        <v>0.05</v>
      </c>
      <c r="M129" s="21">
        <f t="shared" si="166"/>
        <v>4.0000000000000008E-2</v>
      </c>
      <c r="N129" s="21">
        <f t="shared" si="166"/>
        <v>0</v>
      </c>
      <c r="O129" s="21">
        <f t="shared" si="166"/>
        <v>5.000000000000001E-3</v>
      </c>
      <c r="P129" s="32">
        <f t="shared" si="146"/>
        <v>210</v>
      </c>
      <c r="Q129" s="32">
        <f t="shared" si="146"/>
        <v>130</v>
      </c>
    </row>
    <row r="130" spans="1:17" ht="16.5" x14ac:dyDescent="0.2">
      <c r="A130" s="26">
        <v>81</v>
      </c>
      <c r="B130" s="104">
        <f t="shared" si="151"/>
        <v>21</v>
      </c>
      <c r="C130" s="118">
        <v>1</v>
      </c>
      <c r="D130" s="19">
        <v>0.25</v>
      </c>
      <c r="E130" s="113"/>
      <c r="F130" s="21">
        <f t="shared" ref="F130:O130" si="167">(INDEX(G$7:G$37,$B130)*(1-$D130)+INDEX(G$7:G$37,$B130+1)*$D130)*G$4*$B$2</f>
        <v>0.5</v>
      </c>
      <c r="G130" s="21">
        <f t="shared" si="167"/>
        <v>0.25</v>
      </c>
      <c r="H130" s="21">
        <f t="shared" si="167"/>
        <v>0.1</v>
      </c>
      <c r="I130" s="21">
        <f t="shared" si="167"/>
        <v>3.4375000000000003E-2</v>
      </c>
      <c r="J130" s="21">
        <f t="shared" si="167"/>
        <v>0</v>
      </c>
      <c r="K130" s="21">
        <f t="shared" si="167"/>
        <v>0.125</v>
      </c>
      <c r="L130" s="21">
        <f t="shared" si="167"/>
        <v>0.05</v>
      </c>
      <c r="M130" s="21">
        <f t="shared" si="167"/>
        <v>4.250000000000001E-2</v>
      </c>
      <c r="N130" s="21">
        <f t="shared" si="167"/>
        <v>0</v>
      </c>
      <c r="O130" s="21">
        <f t="shared" si="167"/>
        <v>6.2500000000000003E-3</v>
      </c>
      <c r="P130" s="32">
        <f t="shared" ref="P130:Q149" si="168">INT((INDEX(Q$7:Q$37,$B130)*(1-$D130)+INDEX(Q$7:Q$37,$B130+1)*$D130)*Q$4*$B$2)</f>
        <v>213</v>
      </c>
      <c r="Q130" s="32">
        <f t="shared" si="168"/>
        <v>132</v>
      </c>
    </row>
    <row r="131" spans="1:17" ht="16.5" x14ac:dyDescent="0.2">
      <c r="A131" s="26">
        <v>82</v>
      </c>
      <c r="B131" s="104">
        <f t="shared" si="151"/>
        <v>21</v>
      </c>
      <c r="C131" s="118">
        <v>2</v>
      </c>
      <c r="D131" s="19">
        <v>0.5</v>
      </c>
      <c r="E131" s="113"/>
      <c r="F131" s="21">
        <f t="shared" ref="F131:O131" si="169">(INDEX(G$7:G$37,$B131)*(1-$D131)+INDEX(G$7:G$37,$B131+1)*$D131)*G$4*$B$2</f>
        <v>0.5</v>
      </c>
      <c r="G131" s="21">
        <f t="shared" si="169"/>
        <v>0.25</v>
      </c>
      <c r="H131" s="21">
        <f t="shared" si="169"/>
        <v>0.1</v>
      </c>
      <c r="I131" s="21">
        <f t="shared" si="169"/>
        <v>3.6250000000000004E-2</v>
      </c>
      <c r="J131" s="21">
        <f t="shared" si="169"/>
        <v>0</v>
      </c>
      <c r="K131" s="21">
        <f t="shared" si="169"/>
        <v>0.125</v>
      </c>
      <c r="L131" s="21">
        <f t="shared" si="169"/>
        <v>0.05</v>
      </c>
      <c r="M131" s="21">
        <f t="shared" si="169"/>
        <v>4.5000000000000005E-2</v>
      </c>
      <c r="N131" s="21">
        <f t="shared" si="169"/>
        <v>0</v>
      </c>
      <c r="O131" s="21">
        <f t="shared" si="169"/>
        <v>7.5000000000000015E-3</v>
      </c>
      <c r="P131" s="32">
        <f t="shared" si="168"/>
        <v>217</v>
      </c>
      <c r="Q131" s="32">
        <f t="shared" si="168"/>
        <v>135</v>
      </c>
    </row>
    <row r="132" spans="1:17" ht="16.5" x14ac:dyDescent="0.2">
      <c r="A132" s="26">
        <v>83</v>
      </c>
      <c r="B132" s="104">
        <f t="shared" si="151"/>
        <v>21</v>
      </c>
      <c r="C132" s="118">
        <v>3</v>
      </c>
      <c r="D132" s="19">
        <v>0.75</v>
      </c>
      <c r="E132" s="113"/>
      <c r="F132" s="21">
        <f t="shared" ref="F132:O132" si="170">(INDEX(G$7:G$37,$B132)*(1-$D132)+INDEX(G$7:G$37,$B132+1)*$D132)*G$4*$B$2</f>
        <v>0.5</v>
      </c>
      <c r="G132" s="21">
        <f t="shared" si="170"/>
        <v>0.25</v>
      </c>
      <c r="H132" s="21">
        <f t="shared" si="170"/>
        <v>0.1</v>
      </c>
      <c r="I132" s="21">
        <f t="shared" si="170"/>
        <v>3.8125000000000006E-2</v>
      </c>
      <c r="J132" s="21">
        <f t="shared" si="170"/>
        <v>0</v>
      </c>
      <c r="K132" s="21">
        <f t="shared" si="170"/>
        <v>0.125</v>
      </c>
      <c r="L132" s="21">
        <f t="shared" si="170"/>
        <v>0.05</v>
      </c>
      <c r="M132" s="21">
        <f t="shared" si="170"/>
        <v>4.7500000000000001E-2</v>
      </c>
      <c r="N132" s="21">
        <f t="shared" si="170"/>
        <v>0</v>
      </c>
      <c r="O132" s="21">
        <f t="shared" si="170"/>
        <v>8.7500000000000008E-3</v>
      </c>
      <c r="P132" s="32">
        <f t="shared" si="168"/>
        <v>221</v>
      </c>
      <c r="Q132" s="32">
        <f t="shared" si="168"/>
        <v>137</v>
      </c>
    </row>
    <row r="133" spans="1:17" ht="16.5" x14ac:dyDescent="0.2">
      <c r="A133" s="26">
        <v>84</v>
      </c>
      <c r="B133" s="104">
        <f t="shared" si="151"/>
        <v>21</v>
      </c>
      <c r="C133" s="118">
        <v>4</v>
      </c>
      <c r="D133" s="19">
        <v>1</v>
      </c>
      <c r="E133" s="113"/>
      <c r="F133" s="21">
        <f t="shared" ref="F133:O133" si="171">(INDEX(G$7:G$37,$B133)*(1-$D133)+INDEX(G$7:G$37,$B133+1)*$D133)*G$4*$B$2</f>
        <v>0.5</v>
      </c>
      <c r="G133" s="21">
        <f t="shared" si="171"/>
        <v>0.25</v>
      </c>
      <c r="H133" s="21">
        <f t="shared" si="171"/>
        <v>0.1</v>
      </c>
      <c r="I133" s="21">
        <f t="shared" si="171"/>
        <v>4.0000000000000008E-2</v>
      </c>
      <c r="J133" s="21">
        <f t="shared" si="171"/>
        <v>0</v>
      </c>
      <c r="K133" s="21">
        <f t="shared" si="171"/>
        <v>0.125</v>
      </c>
      <c r="L133" s="21">
        <f t="shared" si="171"/>
        <v>0.05</v>
      </c>
      <c r="M133" s="21">
        <f t="shared" si="171"/>
        <v>0.05</v>
      </c>
      <c r="N133" s="21">
        <f t="shared" si="171"/>
        <v>0</v>
      </c>
      <c r="O133" s="21">
        <f t="shared" si="171"/>
        <v>1.0000000000000002E-2</v>
      </c>
      <c r="P133" s="32">
        <f t="shared" si="168"/>
        <v>225</v>
      </c>
      <c r="Q133" s="32">
        <f t="shared" si="168"/>
        <v>140</v>
      </c>
    </row>
    <row r="134" spans="1:17" ht="16.5" x14ac:dyDescent="0.2">
      <c r="A134" s="26">
        <v>85</v>
      </c>
      <c r="B134" s="104">
        <f t="shared" si="151"/>
        <v>22</v>
      </c>
      <c r="C134" s="118">
        <v>1</v>
      </c>
      <c r="D134" s="19">
        <v>0.25</v>
      </c>
      <c r="E134" s="113"/>
      <c r="F134" s="21">
        <f t="shared" ref="F134:O134" si="172">(INDEX(G$7:G$37,$B134)*(1-$D134)+INDEX(G$7:G$37,$B134+1)*$D134)*G$4*$B$2</f>
        <v>0.5</v>
      </c>
      <c r="G134" s="21">
        <f t="shared" si="172"/>
        <v>0.25</v>
      </c>
      <c r="H134" s="21">
        <f t="shared" si="172"/>
        <v>0.1</v>
      </c>
      <c r="I134" s="21">
        <f t="shared" si="172"/>
        <v>4.250000000000001E-2</v>
      </c>
      <c r="J134" s="21">
        <f t="shared" si="172"/>
        <v>0</v>
      </c>
      <c r="K134" s="21">
        <f t="shared" si="172"/>
        <v>0.125</v>
      </c>
      <c r="L134" s="21">
        <f t="shared" si="172"/>
        <v>0.05</v>
      </c>
      <c r="M134" s="21">
        <f t="shared" si="172"/>
        <v>4.7500000000000001E-2</v>
      </c>
      <c r="N134" s="21">
        <f t="shared" si="172"/>
        <v>1.2500000000000002E-3</v>
      </c>
      <c r="O134" s="21">
        <f t="shared" si="172"/>
        <v>1.1250000000000003E-2</v>
      </c>
      <c r="P134" s="32">
        <f t="shared" si="168"/>
        <v>227</v>
      </c>
      <c r="Q134" s="32">
        <f t="shared" si="168"/>
        <v>142</v>
      </c>
    </row>
    <row r="135" spans="1:17" ht="16.5" x14ac:dyDescent="0.2">
      <c r="A135" s="26">
        <v>86</v>
      </c>
      <c r="B135" s="104">
        <f t="shared" si="151"/>
        <v>22</v>
      </c>
      <c r="C135" s="118">
        <v>2</v>
      </c>
      <c r="D135" s="19">
        <v>0.5</v>
      </c>
      <c r="E135" s="113"/>
      <c r="F135" s="21">
        <f t="shared" ref="F135:O135" si="173">(INDEX(G$7:G$37,$B135)*(1-$D135)+INDEX(G$7:G$37,$B135+1)*$D135)*G$4*$B$2</f>
        <v>0.5</v>
      </c>
      <c r="G135" s="21">
        <f t="shared" si="173"/>
        <v>0.25</v>
      </c>
      <c r="H135" s="21">
        <f t="shared" si="173"/>
        <v>0.1</v>
      </c>
      <c r="I135" s="21">
        <f t="shared" si="173"/>
        <v>4.5000000000000005E-2</v>
      </c>
      <c r="J135" s="21">
        <f t="shared" si="173"/>
        <v>0</v>
      </c>
      <c r="K135" s="21">
        <f t="shared" si="173"/>
        <v>0.125</v>
      </c>
      <c r="L135" s="21">
        <f t="shared" si="173"/>
        <v>0.05</v>
      </c>
      <c r="M135" s="21">
        <f t="shared" si="173"/>
        <v>4.5000000000000005E-2</v>
      </c>
      <c r="N135" s="21">
        <f t="shared" si="173"/>
        <v>2.5000000000000005E-3</v>
      </c>
      <c r="O135" s="21">
        <f t="shared" si="173"/>
        <v>1.2500000000000001E-2</v>
      </c>
      <c r="P135" s="32">
        <f t="shared" si="168"/>
        <v>230</v>
      </c>
      <c r="Q135" s="32">
        <f t="shared" si="168"/>
        <v>145</v>
      </c>
    </row>
    <row r="136" spans="1:17" ht="16.5" x14ac:dyDescent="0.2">
      <c r="A136" s="26">
        <v>87</v>
      </c>
      <c r="B136" s="104">
        <f t="shared" si="151"/>
        <v>22</v>
      </c>
      <c r="C136" s="118">
        <v>3</v>
      </c>
      <c r="D136" s="19">
        <v>0.75</v>
      </c>
      <c r="E136" s="113"/>
      <c r="F136" s="21">
        <f t="shared" ref="F136:O136" si="174">(INDEX(G$7:G$37,$B136)*(1-$D136)+INDEX(G$7:G$37,$B136+1)*$D136)*G$4*$B$2</f>
        <v>0.5</v>
      </c>
      <c r="G136" s="21">
        <f t="shared" si="174"/>
        <v>0.25</v>
      </c>
      <c r="H136" s="21">
        <f t="shared" si="174"/>
        <v>0.1</v>
      </c>
      <c r="I136" s="21">
        <f t="shared" si="174"/>
        <v>4.7500000000000001E-2</v>
      </c>
      <c r="J136" s="21">
        <f t="shared" si="174"/>
        <v>0</v>
      </c>
      <c r="K136" s="21">
        <f t="shared" si="174"/>
        <v>0.125</v>
      </c>
      <c r="L136" s="21">
        <f t="shared" si="174"/>
        <v>0.05</v>
      </c>
      <c r="M136" s="21">
        <f t="shared" si="174"/>
        <v>4.250000000000001E-2</v>
      </c>
      <c r="N136" s="21">
        <f t="shared" si="174"/>
        <v>3.7500000000000007E-3</v>
      </c>
      <c r="O136" s="21">
        <f t="shared" si="174"/>
        <v>1.3749999999999998E-2</v>
      </c>
      <c r="P136" s="32">
        <f t="shared" si="168"/>
        <v>232</v>
      </c>
      <c r="Q136" s="32">
        <f t="shared" si="168"/>
        <v>147</v>
      </c>
    </row>
    <row r="137" spans="1:17" ht="16.5" x14ac:dyDescent="0.2">
      <c r="A137" s="26">
        <v>88</v>
      </c>
      <c r="B137" s="104">
        <f t="shared" si="151"/>
        <v>22</v>
      </c>
      <c r="C137" s="118">
        <v>4</v>
      </c>
      <c r="D137" s="19">
        <v>1</v>
      </c>
      <c r="E137" s="113"/>
      <c r="F137" s="21">
        <f t="shared" ref="F137:O137" si="175">(INDEX(G$7:G$37,$B137)*(1-$D137)+INDEX(G$7:G$37,$B137+1)*$D137)*G$4*$B$2</f>
        <v>0.5</v>
      </c>
      <c r="G137" s="21">
        <f t="shared" si="175"/>
        <v>0.25</v>
      </c>
      <c r="H137" s="21">
        <f t="shared" si="175"/>
        <v>0.1</v>
      </c>
      <c r="I137" s="21">
        <f t="shared" si="175"/>
        <v>0.05</v>
      </c>
      <c r="J137" s="21">
        <f t="shared" si="175"/>
        <v>0</v>
      </c>
      <c r="K137" s="21">
        <f t="shared" si="175"/>
        <v>0.125</v>
      </c>
      <c r="L137" s="21">
        <f t="shared" si="175"/>
        <v>0.05</v>
      </c>
      <c r="M137" s="21">
        <f t="shared" si="175"/>
        <v>4.0000000000000008E-2</v>
      </c>
      <c r="N137" s="21">
        <f t="shared" si="175"/>
        <v>5.000000000000001E-3</v>
      </c>
      <c r="O137" s="21">
        <f t="shared" si="175"/>
        <v>1.4999999999999999E-2</v>
      </c>
      <c r="P137" s="32">
        <f t="shared" si="168"/>
        <v>235</v>
      </c>
      <c r="Q137" s="32">
        <f t="shared" si="168"/>
        <v>150</v>
      </c>
    </row>
    <row r="138" spans="1:17" ht="16.5" x14ac:dyDescent="0.2">
      <c r="A138" s="26">
        <v>89</v>
      </c>
      <c r="B138" s="104">
        <f t="shared" si="151"/>
        <v>23</v>
      </c>
      <c r="C138" s="118">
        <v>1</v>
      </c>
      <c r="D138" s="19">
        <v>0.25</v>
      </c>
      <c r="E138" s="113"/>
      <c r="F138" s="21">
        <f t="shared" ref="F138:O138" si="176">(INDEX(G$7:G$37,$B138)*(1-$D138)+INDEX(G$7:G$37,$B138+1)*$D138)*G$4*$B$2</f>
        <v>0.5</v>
      </c>
      <c r="G138" s="21">
        <f t="shared" si="176"/>
        <v>0.25</v>
      </c>
      <c r="H138" s="21">
        <f t="shared" si="176"/>
        <v>0.1</v>
      </c>
      <c r="I138" s="21">
        <f t="shared" si="176"/>
        <v>0.05</v>
      </c>
      <c r="J138" s="21">
        <f t="shared" si="176"/>
        <v>1.2500000000000002E-3</v>
      </c>
      <c r="K138" s="21">
        <f t="shared" si="176"/>
        <v>0.125</v>
      </c>
      <c r="L138" s="21">
        <f t="shared" si="176"/>
        <v>0.05</v>
      </c>
      <c r="M138" s="21">
        <f t="shared" si="176"/>
        <v>3.8125000000000006E-2</v>
      </c>
      <c r="N138" s="21">
        <f t="shared" si="176"/>
        <v>5.9375000000000009E-3</v>
      </c>
      <c r="O138" s="21">
        <f t="shared" si="176"/>
        <v>1.6249999999999997E-2</v>
      </c>
      <c r="P138" s="32">
        <f t="shared" si="168"/>
        <v>238</v>
      </c>
      <c r="Q138" s="32">
        <f t="shared" si="168"/>
        <v>152</v>
      </c>
    </row>
    <row r="139" spans="1:17" ht="16.5" x14ac:dyDescent="0.2">
      <c r="A139" s="26">
        <v>90</v>
      </c>
      <c r="B139" s="104">
        <f t="shared" si="151"/>
        <v>23</v>
      </c>
      <c r="C139" s="118">
        <v>2</v>
      </c>
      <c r="D139" s="19">
        <v>0.5</v>
      </c>
      <c r="E139" s="113"/>
      <c r="F139" s="21">
        <f t="shared" ref="F139:O139" si="177">(INDEX(G$7:G$37,$B139)*(1-$D139)+INDEX(G$7:G$37,$B139+1)*$D139)*G$4*$B$2</f>
        <v>0.5</v>
      </c>
      <c r="G139" s="21">
        <f t="shared" si="177"/>
        <v>0.25</v>
      </c>
      <c r="H139" s="21">
        <f t="shared" si="177"/>
        <v>0.1</v>
      </c>
      <c r="I139" s="21">
        <f t="shared" si="177"/>
        <v>0.05</v>
      </c>
      <c r="J139" s="21">
        <f t="shared" si="177"/>
        <v>2.5000000000000005E-3</v>
      </c>
      <c r="K139" s="21">
        <f t="shared" si="177"/>
        <v>0.125</v>
      </c>
      <c r="L139" s="21">
        <f t="shared" si="177"/>
        <v>0.05</v>
      </c>
      <c r="M139" s="21">
        <f t="shared" si="177"/>
        <v>3.6250000000000004E-2</v>
      </c>
      <c r="N139" s="21">
        <f t="shared" si="177"/>
        <v>6.8750000000000009E-3</v>
      </c>
      <c r="O139" s="21">
        <f t="shared" si="177"/>
        <v>1.7499999999999998E-2</v>
      </c>
      <c r="P139" s="32">
        <f t="shared" si="168"/>
        <v>242</v>
      </c>
      <c r="Q139" s="32">
        <f t="shared" si="168"/>
        <v>155</v>
      </c>
    </row>
    <row r="140" spans="1:17" ht="16.5" x14ac:dyDescent="0.2">
      <c r="A140" s="26">
        <v>91</v>
      </c>
      <c r="B140" s="104">
        <f t="shared" si="151"/>
        <v>23</v>
      </c>
      <c r="C140" s="118">
        <v>3</v>
      </c>
      <c r="D140" s="19">
        <v>0.75</v>
      </c>
      <c r="E140" s="113"/>
      <c r="F140" s="21">
        <f t="shared" ref="F140:O140" si="178">(INDEX(G$7:G$37,$B140)*(1-$D140)+INDEX(G$7:G$37,$B140+1)*$D140)*G$4*$B$2</f>
        <v>0.5</v>
      </c>
      <c r="G140" s="21">
        <f t="shared" si="178"/>
        <v>0.25</v>
      </c>
      <c r="H140" s="21">
        <f t="shared" si="178"/>
        <v>0.1</v>
      </c>
      <c r="I140" s="21">
        <f t="shared" si="178"/>
        <v>0.05</v>
      </c>
      <c r="J140" s="21">
        <f t="shared" si="178"/>
        <v>3.7500000000000007E-3</v>
      </c>
      <c r="K140" s="21">
        <f t="shared" si="178"/>
        <v>0.125</v>
      </c>
      <c r="L140" s="21">
        <f t="shared" si="178"/>
        <v>0.05</v>
      </c>
      <c r="M140" s="21">
        <f t="shared" si="178"/>
        <v>3.4375000000000003E-2</v>
      </c>
      <c r="N140" s="21">
        <f t="shared" si="178"/>
        <v>7.8124999999999991E-3</v>
      </c>
      <c r="O140" s="21">
        <f t="shared" si="178"/>
        <v>1.8750000000000003E-2</v>
      </c>
      <c r="P140" s="32">
        <f t="shared" si="168"/>
        <v>246</v>
      </c>
      <c r="Q140" s="32">
        <f t="shared" si="168"/>
        <v>157</v>
      </c>
    </row>
    <row r="141" spans="1:17" ht="16.5" x14ac:dyDescent="0.2">
      <c r="A141" s="26">
        <v>92</v>
      </c>
      <c r="B141" s="104">
        <f t="shared" si="151"/>
        <v>23</v>
      </c>
      <c r="C141" s="118">
        <v>4</v>
      </c>
      <c r="D141" s="19">
        <v>1</v>
      </c>
      <c r="E141" s="113"/>
      <c r="F141" s="21">
        <f t="shared" ref="F141:O141" si="179">(INDEX(G$7:G$37,$B141)*(1-$D141)+INDEX(G$7:G$37,$B141+1)*$D141)*G$4*$B$2</f>
        <v>0.5</v>
      </c>
      <c r="G141" s="21">
        <f t="shared" si="179"/>
        <v>0.25</v>
      </c>
      <c r="H141" s="21">
        <f t="shared" si="179"/>
        <v>0.1</v>
      </c>
      <c r="I141" s="21">
        <f t="shared" si="179"/>
        <v>0.05</v>
      </c>
      <c r="J141" s="21">
        <f t="shared" si="179"/>
        <v>5.000000000000001E-3</v>
      </c>
      <c r="K141" s="21">
        <f t="shared" si="179"/>
        <v>0.125</v>
      </c>
      <c r="L141" s="21">
        <f t="shared" si="179"/>
        <v>0.05</v>
      </c>
      <c r="M141" s="21">
        <f t="shared" si="179"/>
        <v>3.2500000000000001E-2</v>
      </c>
      <c r="N141" s="21">
        <f t="shared" si="179"/>
        <v>8.7499999999999991E-3</v>
      </c>
      <c r="O141" s="21">
        <f t="shared" si="179"/>
        <v>2.0000000000000004E-2</v>
      </c>
      <c r="P141" s="32">
        <f t="shared" si="168"/>
        <v>250</v>
      </c>
      <c r="Q141" s="32">
        <f t="shared" si="168"/>
        <v>160</v>
      </c>
    </row>
    <row r="142" spans="1:17" ht="16.5" x14ac:dyDescent="0.2">
      <c r="A142" s="26">
        <v>93</v>
      </c>
      <c r="B142" s="104">
        <f t="shared" si="151"/>
        <v>24</v>
      </c>
      <c r="C142" s="118">
        <v>1</v>
      </c>
      <c r="D142" s="19">
        <v>0.25</v>
      </c>
      <c r="E142" s="113"/>
      <c r="F142" s="21">
        <f t="shared" ref="F142:O142" si="180">(INDEX(G$7:G$37,$B142)*(1-$D142)+INDEX(G$7:G$37,$B142+1)*$D142)*G$4*$B$2</f>
        <v>0.5</v>
      </c>
      <c r="G142" s="21">
        <f t="shared" si="180"/>
        <v>0.25</v>
      </c>
      <c r="H142" s="21">
        <f t="shared" si="180"/>
        <v>0.1</v>
      </c>
      <c r="I142" s="21">
        <f t="shared" si="180"/>
        <v>0.05</v>
      </c>
      <c r="J142" s="21">
        <f t="shared" si="180"/>
        <v>5.9375000000000009E-3</v>
      </c>
      <c r="K142" s="21">
        <f t="shared" si="180"/>
        <v>0.125</v>
      </c>
      <c r="L142" s="21">
        <f t="shared" si="180"/>
        <v>0.05</v>
      </c>
      <c r="M142" s="21">
        <f t="shared" si="180"/>
        <v>3.0625000000000003E-2</v>
      </c>
      <c r="N142" s="21">
        <f t="shared" si="180"/>
        <v>9.6874999999999999E-3</v>
      </c>
      <c r="O142" s="21">
        <f t="shared" si="180"/>
        <v>2.1250000000000005E-2</v>
      </c>
      <c r="P142" s="32">
        <f t="shared" si="168"/>
        <v>256</v>
      </c>
      <c r="Q142" s="32">
        <f t="shared" si="168"/>
        <v>162</v>
      </c>
    </row>
    <row r="143" spans="1:17" ht="16.5" x14ac:dyDescent="0.2">
      <c r="A143" s="26">
        <v>94</v>
      </c>
      <c r="B143" s="104">
        <f t="shared" si="151"/>
        <v>24</v>
      </c>
      <c r="C143" s="118">
        <v>2</v>
      </c>
      <c r="D143" s="19">
        <v>0.5</v>
      </c>
      <c r="E143" s="113"/>
      <c r="F143" s="21">
        <f t="shared" ref="F143:O143" si="181">(INDEX(G$7:G$37,$B143)*(1-$D143)+INDEX(G$7:G$37,$B143+1)*$D143)*G$4*$B$2</f>
        <v>0.5</v>
      </c>
      <c r="G143" s="21">
        <f t="shared" si="181"/>
        <v>0.25</v>
      </c>
      <c r="H143" s="21">
        <f t="shared" si="181"/>
        <v>0.1</v>
      </c>
      <c r="I143" s="21">
        <f t="shared" si="181"/>
        <v>0.05</v>
      </c>
      <c r="J143" s="21">
        <f t="shared" si="181"/>
        <v>6.8750000000000009E-3</v>
      </c>
      <c r="K143" s="21">
        <f t="shared" si="181"/>
        <v>0.125</v>
      </c>
      <c r="L143" s="21">
        <f t="shared" si="181"/>
        <v>0.05</v>
      </c>
      <c r="M143" s="21">
        <f t="shared" si="181"/>
        <v>2.8749999999999998E-2</v>
      </c>
      <c r="N143" s="21">
        <f t="shared" si="181"/>
        <v>1.0625000000000001E-2</v>
      </c>
      <c r="O143" s="21">
        <f t="shared" si="181"/>
        <v>2.2500000000000003E-2</v>
      </c>
      <c r="P143" s="32">
        <f t="shared" si="168"/>
        <v>262</v>
      </c>
      <c r="Q143" s="32">
        <f t="shared" si="168"/>
        <v>165</v>
      </c>
    </row>
    <row r="144" spans="1:17" ht="16.5" x14ac:dyDescent="0.2">
      <c r="A144" s="26">
        <v>95</v>
      </c>
      <c r="B144" s="104">
        <f t="shared" si="151"/>
        <v>24</v>
      </c>
      <c r="C144" s="118">
        <v>3</v>
      </c>
      <c r="D144" s="19">
        <v>0.75</v>
      </c>
      <c r="E144" s="113"/>
      <c r="F144" s="21">
        <f t="shared" ref="F144:O144" si="182">(INDEX(G$7:G$37,$B144)*(1-$D144)+INDEX(G$7:G$37,$B144+1)*$D144)*G$4*$B$2</f>
        <v>0.5</v>
      </c>
      <c r="G144" s="21">
        <f t="shared" si="182"/>
        <v>0.25</v>
      </c>
      <c r="H144" s="21">
        <f t="shared" si="182"/>
        <v>0.1</v>
      </c>
      <c r="I144" s="21">
        <f t="shared" si="182"/>
        <v>0.05</v>
      </c>
      <c r="J144" s="21">
        <f t="shared" si="182"/>
        <v>7.8124999999999991E-3</v>
      </c>
      <c r="K144" s="21">
        <f t="shared" si="182"/>
        <v>0.125</v>
      </c>
      <c r="L144" s="21">
        <f t="shared" si="182"/>
        <v>0.05</v>
      </c>
      <c r="M144" s="21">
        <f t="shared" si="182"/>
        <v>2.6875E-2</v>
      </c>
      <c r="N144" s="21">
        <f t="shared" si="182"/>
        <v>1.1562500000000002E-2</v>
      </c>
      <c r="O144" s="21">
        <f t="shared" si="182"/>
        <v>2.375E-2</v>
      </c>
      <c r="P144" s="32">
        <f t="shared" si="168"/>
        <v>268</v>
      </c>
      <c r="Q144" s="32">
        <f t="shared" si="168"/>
        <v>167</v>
      </c>
    </row>
    <row r="145" spans="1:17" ht="16.5" x14ac:dyDescent="0.2">
      <c r="A145" s="26">
        <v>96</v>
      </c>
      <c r="B145" s="104">
        <f t="shared" si="151"/>
        <v>24</v>
      </c>
      <c r="C145" s="118">
        <v>4</v>
      </c>
      <c r="D145" s="19">
        <v>1</v>
      </c>
      <c r="E145" s="113"/>
      <c r="F145" s="21">
        <f t="shared" ref="F145:O145" si="183">(INDEX(G$7:G$37,$B145)*(1-$D145)+INDEX(G$7:G$37,$B145+1)*$D145)*G$4*$B$2</f>
        <v>0.5</v>
      </c>
      <c r="G145" s="21">
        <f t="shared" si="183"/>
        <v>0.25</v>
      </c>
      <c r="H145" s="21">
        <f t="shared" si="183"/>
        <v>0.1</v>
      </c>
      <c r="I145" s="21">
        <f t="shared" si="183"/>
        <v>0.05</v>
      </c>
      <c r="J145" s="21">
        <f t="shared" si="183"/>
        <v>8.7499999999999991E-3</v>
      </c>
      <c r="K145" s="21">
        <f t="shared" si="183"/>
        <v>0.125</v>
      </c>
      <c r="L145" s="21">
        <f t="shared" si="183"/>
        <v>0.05</v>
      </c>
      <c r="M145" s="21">
        <f t="shared" si="183"/>
        <v>2.5000000000000001E-2</v>
      </c>
      <c r="N145" s="21">
        <f t="shared" si="183"/>
        <v>1.2500000000000001E-2</v>
      </c>
      <c r="O145" s="21">
        <f t="shared" si="183"/>
        <v>2.5000000000000001E-2</v>
      </c>
      <c r="P145" s="32">
        <f t="shared" si="168"/>
        <v>275</v>
      </c>
      <c r="Q145" s="32">
        <f t="shared" si="168"/>
        <v>170</v>
      </c>
    </row>
    <row r="146" spans="1:17" ht="16.5" x14ac:dyDescent="0.2">
      <c r="A146" s="26">
        <v>97</v>
      </c>
      <c r="B146" s="104">
        <f t="shared" si="151"/>
        <v>25</v>
      </c>
      <c r="C146" s="118">
        <v>1</v>
      </c>
      <c r="D146" s="19">
        <v>0.25</v>
      </c>
      <c r="E146" s="113"/>
      <c r="F146" s="21">
        <f t="shared" ref="F146:O146" si="184">(INDEX(G$7:G$37,$B146)*(1-$D146)+INDEX(G$7:G$37,$B146+1)*$D146)*G$4*$B$2</f>
        <v>0.5</v>
      </c>
      <c r="G146" s="21">
        <f t="shared" si="184"/>
        <v>0.25</v>
      </c>
      <c r="H146" s="21">
        <f t="shared" si="184"/>
        <v>0.1</v>
      </c>
      <c r="I146" s="21">
        <f t="shared" si="184"/>
        <v>0.05</v>
      </c>
      <c r="J146" s="21">
        <f t="shared" si="184"/>
        <v>9.6874999999999999E-3</v>
      </c>
      <c r="K146" s="21">
        <f t="shared" si="184"/>
        <v>0.125</v>
      </c>
      <c r="L146" s="21">
        <f t="shared" si="184"/>
        <v>0.05</v>
      </c>
      <c r="M146" s="21">
        <f t="shared" si="184"/>
        <v>2.5000000000000001E-2</v>
      </c>
      <c r="N146" s="21">
        <f t="shared" si="184"/>
        <v>1.34375E-2</v>
      </c>
      <c r="O146" s="21">
        <f t="shared" si="184"/>
        <v>2.6250000000000002E-2</v>
      </c>
      <c r="P146" s="32">
        <f t="shared" si="168"/>
        <v>281</v>
      </c>
      <c r="Q146" s="32">
        <f t="shared" si="168"/>
        <v>172</v>
      </c>
    </row>
    <row r="147" spans="1:17" ht="16.5" x14ac:dyDescent="0.2">
      <c r="A147" s="26">
        <v>98</v>
      </c>
      <c r="B147" s="104">
        <f t="shared" si="151"/>
        <v>25</v>
      </c>
      <c r="C147" s="118">
        <v>2</v>
      </c>
      <c r="D147" s="19">
        <v>0.5</v>
      </c>
      <c r="E147" s="113"/>
      <c r="F147" s="21">
        <f t="shared" ref="F147:O147" si="185">(INDEX(G$7:G$37,$B147)*(1-$D147)+INDEX(G$7:G$37,$B147+1)*$D147)*G$4*$B$2</f>
        <v>0.5</v>
      </c>
      <c r="G147" s="21">
        <f t="shared" si="185"/>
        <v>0.25</v>
      </c>
      <c r="H147" s="21">
        <f t="shared" si="185"/>
        <v>0.1</v>
      </c>
      <c r="I147" s="21">
        <f t="shared" si="185"/>
        <v>0.05</v>
      </c>
      <c r="J147" s="21">
        <f t="shared" si="185"/>
        <v>1.0625000000000001E-2</v>
      </c>
      <c r="K147" s="21">
        <f t="shared" si="185"/>
        <v>0.125</v>
      </c>
      <c r="L147" s="21">
        <f t="shared" si="185"/>
        <v>0.05</v>
      </c>
      <c r="M147" s="21">
        <f t="shared" si="185"/>
        <v>2.5000000000000001E-2</v>
      </c>
      <c r="N147" s="21">
        <f t="shared" si="185"/>
        <v>1.4374999999999999E-2</v>
      </c>
      <c r="O147" s="21">
        <f t="shared" si="185"/>
        <v>2.7500000000000004E-2</v>
      </c>
      <c r="P147" s="32">
        <f t="shared" si="168"/>
        <v>287</v>
      </c>
      <c r="Q147" s="32">
        <f t="shared" si="168"/>
        <v>175</v>
      </c>
    </row>
    <row r="148" spans="1:17" ht="16.5" x14ac:dyDescent="0.2">
      <c r="A148" s="26">
        <v>99</v>
      </c>
      <c r="B148" s="104">
        <f t="shared" si="151"/>
        <v>25</v>
      </c>
      <c r="C148" s="118">
        <v>3</v>
      </c>
      <c r="D148" s="19">
        <v>0.75</v>
      </c>
      <c r="E148" s="113"/>
      <c r="F148" s="21">
        <f t="shared" ref="F148:O148" si="186">(INDEX(G$7:G$37,$B148)*(1-$D148)+INDEX(G$7:G$37,$B148+1)*$D148)*G$4*$B$2</f>
        <v>0.5</v>
      </c>
      <c r="G148" s="21">
        <f t="shared" si="186"/>
        <v>0.25</v>
      </c>
      <c r="H148" s="21">
        <f t="shared" si="186"/>
        <v>0.1</v>
      </c>
      <c r="I148" s="21">
        <f t="shared" si="186"/>
        <v>0.05</v>
      </c>
      <c r="J148" s="21">
        <f t="shared" si="186"/>
        <v>1.1562500000000002E-2</v>
      </c>
      <c r="K148" s="21">
        <f t="shared" si="186"/>
        <v>0.125</v>
      </c>
      <c r="L148" s="21">
        <f t="shared" si="186"/>
        <v>0.05</v>
      </c>
      <c r="M148" s="21">
        <f t="shared" si="186"/>
        <v>2.5000000000000001E-2</v>
      </c>
      <c r="N148" s="21">
        <f t="shared" si="186"/>
        <v>1.5312500000000001E-2</v>
      </c>
      <c r="O148" s="21">
        <f t="shared" si="186"/>
        <v>2.8749999999999998E-2</v>
      </c>
      <c r="P148" s="32">
        <f t="shared" si="168"/>
        <v>293</v>
      </c>
      <c r="Q148" s="32">
        <f t="shared" si="168"/>
        <v>177</v>
      </c>
    </row>
    <row r="149" spans="1:17" ht="16.5" x14ac:dyDescent="0.2">
      <c r="A149" s="26">
        <v>100</v>
      </c>
      <c r="B149" s="104">
        <f t="shared" si="151"/>
        <v>25</v>
      </c>
      <c r="C149" s="118">
        <v>4</v>
      </c>
      <c r="D149" s="19">
        <v>1</v>
      </c>
      <c r="E149" s="113"/>
      <c r="F149" s="21">
        <f t="shared" ref="F149:O149" si="187">(INDEX(G$7:G$37,$B149)*(1-$D149)+INDEX(G$7:G$37,$B149+1)*$D149)*G$4*$B$2</f>
        <v>0.5</v>
      </c>
      <c r="G149" s="21">
        <f t="shared" si="187"/>
        <v>0.25</v>
      </c>
      <c r="H149" s="21">
        <f t="shared" si="187"/>
        <v>0.1</v>
      </c>
      <c r="I149" s="21">
        <f t="shared" si="187"/>
        <v>0.05</v>
      </c>
      <c r="J149" s="21">
        <f t="shared" si="187"/>
        <v>1.2500000000000001E-2</v>
      </c>
      <c r="K149" s="21">
        <f t="shared" si="187"/>
        <v>0.125</v>
      </c>
      <c r="L149" s="21">
        <f t="shared" si="187"/>
        <v>0.05</v>
      </c>
      <c r="M149" s="21">
        <f t="shared" si="187"/>
        <v>2.5000000000000001E-2</v>
      </c>
      <c r="N149" s="21">
        <f t="shared" si="187"/>
        <v>1.6250000000000001E-2</v>
      </c>
      <c r="O149" s="21">
        <f t="shared" si="187"/>
        <v>0.03</v>
      </c>
      <c r="P149" s="32">
        <f t="shared" si="168"/>
        <v>300</v>
      </c>
      <c r="Q149" s="32">
        <f t="shared" si="168"/>
        <v>180</v>
      </c>
    </row>
    <row r="150" spans="1:17" ht="16.5" x14ac:dyDescent="0.2">
      <c r="A150" s="26">
        <v>101</v>
      </c>
      <c r="B150" s="104">
        <f t="shared" si="151"/>
        <v>26</v>
      </c>
      <c r="C150" s="118">
        <v>1</v>
      </c>
      <c r="D150" s="19">
        <v>0.25</v>
      </c>
      <c r="E150" s="113"/>
      <c r="F150" s="21">
        <f t="shared" ref="F150:O150" si="188">(INDEX(G$7:G$37,$B150)*(1-$D150)+INDEX(G$7:G$37,$B150+1)*$D150)*G$4*$B$2</f>
        <v>0.5</v>
      </c>
      <c r="G150" s="21">
        <f t="shared" si="188"/>
        <v>0.25</v>
      </c>
      <c r="H150" s="21">
        <f t="shared" si="188"/>
        <v>0.1</v>
      </c>
      <c r="I150" s="21">
        <f t="shared" si="188"/>
        <v>0.05</v>
      </c>
      <c r="J150" s="21">
        <f t="shared" si="188"/>
        <v>1.34375E-2</v>
      </c>
      <c r="K150" s="21">
        <f t="shared" si="188"/>
        <v>0.125</v>
      </c>
      <c r="L150" s="21">
        <f t="shared" si="188"/>
        <v>0.05</v>
      </c>
      <c r="M150" s="21">
        <f t="shared" si="188"/>
        <v>2.5000000000000001E-2</v>
      </c>
      <c r="N150" s="21">
        <f t="shared" si="188"/>
        <v>1.7187500000000001E-2</v>
      </c>
      <c r="O150" s="21">
        <f t="shared" si="188"/>
        <v>3.125E-2</v>
      </c>
      <c r="P150" s="32">
        <f t="shared" ref="P150:Q169" si="189">INT((INDEX(Q$7:Q$37,$B150)*(1-$D150)+INDEX(Q$7:Q$37,$B150+1)*$D150)*Q$4*$B$2)</f>
        <v>306</v>
      </c>
      <c r="Q150" s="32">
        <f t="shared" si="189"/>
        <v>182</v>
      </c>
    </row>
    <row r="151" spans="1:17" ht="16.5" x14ac:dyDescent="0.2">
      <c r="A151" s="26">
        <v>102</v>
      </c>
      <c r="B151" s="104">
        <f t="shared" si="151"/>
        <v>26</v>
      </c>
      <c r="C151" s="118">
        <v>2</v>
      </c>
      <c r="D151" s="19">
        <v>0.5</v>
      </c>
      <c r="E151" s="113"/>
      <c r="F151" s="21">
        <f t="shared" ref="F151:O151" si="190">(INDEX(G$7:G$37,$B151)*(1-$D151)+INDEX(G$7:G$37,$B151+1)*$D151)*G$4*$B$2</f>
        <v>0.5</v>
      </c>
      <c r="G151" s="21">
        <f t="shared" si="190"/>
        <v>0.25</v>
      </c>
      <c r="H151" s="21">
        <f t="shared" si="190"/>
        <v>0.1</v>
      </c>
      <c r="I151" s="21">
        <f t="shared" si="190"/>
        <v>0.05</v>
      </c>
      <c r="J151" s="21">
        <f t="shared" si="190"/>
        <v>1.4374999999999999E-2</v>
      </c>
      <c r="K151" s="21">
        <f t="shared" si="190"/>
        <v>0.125</v>
      </c>
      <c r="L151" s="21">
        <f t="shared" si="190"/>
        <v>0.05</v>
      </c>
      <c r="M151" s="21">
        <f t="shared" si="190"/>
        <v>2.5000000000000001E-2</v>
      </c>
      <c r="N151" s="21">
        <f t="shared" si="190"/>
        <v>1.8125000000000002E-2</v>
      </c>
      <c r="O151" s="21">
        <f t="shared" si="190"/>
        <v>3.2499999999999994E-2</v>
      </c>
      <c r="P151" s="32">
        <f t="shared" si="189"/>
        <v>312</v>
      </c>
      <c r="Q151" s="32">
        <f t="shared" si="189"/>
        <v>185</v>
      </c>
    </row>
    <row r="152" spans="1:17" ht="16.5" x14ac:dyDescent="0.2">
      <c r="A152" s="26">
        <v>103</v>
      </c>
      <c r="B152" s="104">
        <f t="shared" si="151"/>
        <v>26</v>
      </c>
      <c r="C152" s="118">
        <v>3</v>
      </c>
      <c r="D152" s="19">
        <v>0.75</v>
      </c>
      <c r="E152" s="113"/>
      <c r="F152" s="21">
        <f t="shared" ref="F152:O152" si="191">(INDEX(G$7:G$37,$B152)*(1-$D152)+INDEX(G$7:G$37,$B152+1)*$D152)*G$4*$B$2</f>
        <v>0.5</v>
      </c>
      <c r="G152" s="21">
        <f t="shared" si="191"/>
        <v>0.25</v>
      </c>
      <c r="H152" s="21">
        <f t="shared" si="191"/>
        <v>0.1</v>
      </c>
      <c r="I152" s="21">
        <f t="shared" si="191"/>
        <v>0.05</v>
      </c>
      <c r="J152" s="21">
        <f t="shared" si="191"/>
        <v>1.5312500000000001E-2</v>
      </c>
      <c r="K152" s="21">
        <f t="shared" si="191"/>
        <v>0.125</v>
      </c>
      <c r="L152" s="21">
        <f t="shared" si="191"/>
        <v>0.05</v>
      </c>
      <c r="M152" s="21">
        <f t="shared" si="191"/>
        <v>2.5000000000000001E-2</v>
      </c>
      <c r="N152" s="21">
        <f t="shared" si="191"/>
        <v>1.9062500000000003E-2</v>
      </c>
      <c r="O152" s="21">
        <f t="shared" si="191"/>
        <v>3.3749999999999995E-2</v>
      </c>
      <c r="P152" s="32">
        <f t="shared" si="189"/>
        <v>318</v>
      </c>
      <c r="Q152" s="32">
        <f t="shared" si="189"/>
        <v>187</v>
      </c>
    </row>
    <row r="153" spans="1:17" ht="16.5" x14ac:dyDescent="0.2">
      <c r="A153" s="26">
        <v>104</v>
      </c>
      <c r="B153" s="104">
        <f t="shared" si="151"/>
        <v>26</v>
      </c>
      <c r="C153" s="118">
        <v>4</v>
      </c>
      <c r="D153" s="19">
        <v>1</v>
      </c>
      <c r="E153" s="113"/>
      <c r="F153" s="21">
        <f t="shared" ref="F153:O153" si="192">(INDEX(G$7:G$37,$B153)*(1-$D153)+INDEX(G$7:G$37,$B153+1)*$D153)*G$4*$B$2</f>
        <v>0.5</v>
      </c>
      <c r="G153" s="21">
        <f t="shared" si="192"/>
        <v>0.25</v>
      </c>
      <c r="H153" s="21">
        <f t="shared" si="192"/>
        <v>0.1</v>
      </c>
      <c r="I153" s="21">
        <f t="shared" si="192"/>
        <v>0.05</v>
      </c>
      <c r="J153" s="21">
        <f t="shared" si="192"/>
        <v>1.6250000000000001E-2</v>
      </c>
      <c r="K153" s="21">
        <f t="shared" si="192"/>
        <v>0.125</v>
      </c>
      <c r="L153" s="21">
        <f t="shared" si="192"/>
        <v>0.05</v>
      </c>
      <c r="M153" s="21">
        <f t="shared" si="192"/>
        <v>2.5000000000000001E-2</v>
      </c>
      <c r="N153" s="21">
        <f t="shared" si="192"/>
        <v>2.0000000000000004E-2</v>
      </c>
      <c r="O153" s="21">
        <f t="shared" si="192"/>
        <v>3.4999999999999996E-2</v>
      </c>
      <c r="P153" s="32">
        <f t="shared" si="189"/>
        <v>325</v>
      </c>
      <c r="Q153" s="32">
        <f t="shared" si="189"/>
        <v>190</v>
      </c>
    </row>
    <row r="154" spans="1:17" ht="16.5" x14ac:dyDescent="0.2">
      <c r="A154" s="26">
        <v>105</v>
      </c>
      <c r="B154" s="104">
        <f t="shared" si="151"/>
        <v>27</v>
      </c>
      <c r="C154" s="118">
        <v>1</v>
      </c>
      <c r="D154" s="19">
        <v>0.25</v>
      </c>
      <c r="E154" s="113"/>
      <c r="F154" s="21">
        <f t="shared" ref="F154:O154" si="193">(INDEX(G$7:G$37,$B154)*(1-$D154)+INDEX(G$7:G$37,$B154+1)*$D154)*G$4*$B$2</f>
        <v>0.5</v>
      </c>
      <c r="G154" s="21">
        <f t="shared" si="193"/>
        <v>0.25</v>
      </c>
      <c r="H154" s="21">
        <f t="shared" si="193"/>
        <v>0.1</v>
      </c>
      <c r="I154" s="21">
        <f t="shared" si="193"/>
        <v>0.05</v>
      </c>
      <c r="J154" s="21">
        <f t="shared" si="193"/>
        <v>1.7187500000000001E-2</v>
      </c>
      <c r="K154" s="21">
        <f t="shared" si="193"/>
        <v>0.125</v>
      </c>
      <c r="L154" s="21">
        <f t="shared" si="193"/>
        <v>0.05</v>
      </c>
      <c r="M154" s="21">
        <f t="shared" si="193"/>
        <v>2.5000000000000001E-2</v>
      </c>
      <c r="N154" s="21">
        <f t="shared" si="193"/>
        <v>2.1250000000000005E-2</v>
      </c>
      <c r="O154" s="21">
        <f t="shared" si="193"/>
        <v>3.6249999999999998E-2</v>
      </c>
      <c r="P154" s="32">
        <f t="shared" si="189"/>
        <v>331</v>
      </c>
      <c r="Q154" s="32">
        <f t="shared" si="189"/>
        <v>192</v>
      </c>
    </row>
    <row r="155" spans="1:17" ht="16.5" x14ac:dyDescent="0.2">
      <c r="A155" s="26">
        <v>106</v>
      </c>
      <c r="B155" s="104">
        <f t="shared" si="151"/>
        <v>27</v>
      </c>
      <c r="C155" s="118">
        <v>2</v>
      </c>
      <c r="D155" s="19">
        <v>0.5</v>
      </c>
      <c r="E155" s="113"/>
      <c r="F155" s="21">
        <f t="shared" ref="F155:O155" si="194">(INDEX(G$7:G$37,$B155)*(1-$D155)+INDEX(G$7:G$37,$B155+1)*$D155)*G$4*$B$2</f>
        <v>0.5</v>
      </c>
      <c r="G155" s="21">
        <f t="shared" si="194"/>
        <v>0.25</v>
      </c>
      <c r="H155" s="21">
        <f t="shared" si="194"/>
        <v>0.1</v>
      </c>
      <c r="I155" s="21">
        <f t="shared" si="194"/>
        <v>0.05</v>
      </c>
      <c r="J155" s="21">
        <f t="shared" si="194"/>
        <v>1.8125000000000002E-2</v>
      </c>
      <c r="K155" s="21">
        <f t="shared" si="194"/>
        <v>0.125</v>
      </c>
      <c r="L155" s="21">
        <f t="shared" si="194"/>
        <v>0.05</v>
      </c>
      <c r="M155" s="21">
        <f t="shared" si="194"/>
        <v>2.5000000000000001E-2</v>
      </c>
      <c r="N155" s="21">
        <f t="shared" si="194"/>
        <v>2.2500000000000003E-2</v>
      </c>
      <c r="O155" s="21">
        <f t="shared" si="194"/>
        <v>3.7500000000000006E-2</v>
      </c>
      <c r="P155" s="32">
        <f t="shared" si="189"/>
        <v>337</v>
      </c>
      <c r="Q155" s="32">
        <f t="shared" si="189"/>
        <v>195</v>
      </c>
    </row>
    <row r="156" spans="1:17" ht="16.5" x14ac:dyDescent="0.2">
      <c r="A156" s="26">
        <v>107</v>
      </c>
      <c r="B156" s="104">
        <f t="shared" si="151"/>
        <v>27</v>
      </c>
      <c r="C156" s="118">
        <v>3</v>
      </c>
      <c r="D156" s="19">
        <v>0.75</v>
      </c>
      <c r="E156" s="113"/>
      <c r="F156" s="21">
        <f t="shared" ref="F156:O156" si="195">(INDEX(G$7:G$37,$B156)*(1-$D156)+INDEX(G$7:G$37,$B156+1)*$D156)*G$4*$B$2</f>
        <v>0.5</v>
      </c>
      <c r="G156" s="21">
        <f t="shared" si="195"/>
        <v>0.25</v>
      </c>
      <c r="H156" s="21">
        <f t="shared" si="195"/>
        <v>0.1</v>
      </c>
      <c r="I156" s="21">
        <f t="shared" si="195"/>
        <v>0.05</v>
      </c>
      <c r="J156" s="21">
        <f t="shared" si="195"/>
        <v>1.9062500000000003E-2</v>
      </c>
      <c r="K156" s="21">
        <f t="shared" si="195"/>
        <v>0.125</v>
      </c>
      <c r="L156" s="21">
        <f t="shared" si="195"/>
        <v>0.05</v>
      </c>
      <c r="M156" s="21">
        <f t="shared" si="195"/>
        <v>2.5000000000000001E-2</v>
      </c>
      <c r="N156" s="21">
        <f t="shared" si="195"/>
        <v>2.375E-2</v>
      </c>
      <c r="O156" s="21">
        <f t="shared" si="195"/>
        <v>3.8750000000000007E-2</v>
      </c>
      <c r="P156" s="32">
        <f t="shared" si="189"/>
        <v>343</v>
      </c>
      <c r="Q156" s="32">
        <f t="shared" si="189"/>
        <v>197</v>
      </c>
    </row>
    <row r="157" spans="1:17" ht="16.5" x14ac:dyDescent="0.2">
      <c r="A157" s="26">
        <v>108</v>
      </c>
      <c r="B157" s="104">
        <f t="shared" si="151"/>
        <v>27</v>
      </c>
      <c r="C157" s="118">
        <v>4</v>
      </c>
      <c r="D157" s="19">
        <v>1</v>
      </c>
      <c r="E157" s="113"/>
      <c r="F157" s="21">
        <f t="shared" ref="F157:O157" si="196">(INDEX(G$7:G$37,$B157)*(1-$D157)+INDEX(G$7:G$37,$B157+1)*$D157)*G$4*$B$2</f>
        <v>0.5</v>
      </c>
      <c r="G157" s="21">
        <f t="shared" si="196"/>
        <v>0.25</v>
      </c>
      <c r="H157" s="21">
        <f t="shared" si="196"/>
        <v>0.1</v>
      </c>
      <c r="I157" s="21">
        <f t="shared" si="196"/>
        <v>0.05</v>
      </c>
      <c r="J157" s="21">
        <f t="shared" si="196"/>
        <v>2.0000000000000004E-2</v>
      </c>
      <c r="K157" s="21">
        <f t="shared" si="196"/>
        <v>0.125</v>
      </c>
      <c r="L157" s="21">
        <f t="shared" si="196"/>
        <v>0.05</v>
      </c>
      <c r="M157" s="21">
        <f t="shared" si="196"/>
        <v>2.5000000000000001E-2</v>
      </c>
      <c r="N157" s="21">
        <f t="shared" si="196"/>
        <v>2.5000000000000001E-2</v>
      </c>
      <c r="O157" s="21">
        <f t="shared" si="196"/>
        <v>4.0000000000000008E-2</v>
      </c>
      <c r="P157" s="32">
        <f t="shared" si="189"/>
        <v>350</v>
      </c>
      <c r="Q157" s="32">
        <f t="shared" si="189"/>
        <v>200</v>
      </c>
    </row>
    <row r="158" spans="1:17" ht="16.5" x14ac:dyDescent="0.2">
      <c r="A158" s="26">
        <v>109</v>
      </c>
      <c r="B158" s="104">
        <f t="shared" si="151"/>
        <v>28</v>
      </c>
      <c r="C158" s="118">
        <v>1</v>
      </c>
      <c r="D158" s="19">
        <v>0.25</v>
      </c>
      <c r="E158" s="113"/>
      <c r="F158" s="21">
        <f t="shared" ref="F158:O158" si="197">(INDEX(G$7:G$37,$B158)*(1-$D158)+INDEX(G$7:G$37,$B158+1)*$D158)*G$4*$B$2</f>
        <v>0.5</v>
      </c>
      <c r="G158" s="21">
        <f t="shared" si="197"/>
        <v>0.25</v>
      </c>
      <c r="H158" s="21">
        <f t="shared" si="197"/>
        <v>0.1</v>
      </c>
      <c r="I158" s="21">
        <f t="shared" si="197"/>
        <v>0.05</v>
      </c>
      <c r="J158" s="21">
        <f t="shared" si="197"/>
        <v>2.1250000000000005E-2</v>
      </c>
      <c r="K158" s="21">
        <f t="shared" si="197"/>
        <v>0.125</v>
      </c>
      <c r="L158" s="21">
        <f t="shared" si="197"/>
        <v>0.05</v>
      </c>
      <c r="M158" s="21">
        <f t="shared" si="197"/>
        <v>2.5000000000000001E-2</v>
      </c>
      <c r="N158" s="21">
        <f t="shared" si="197"/>
        <v>2.5000000000000001E-2</v>
      </c>
      <c r="O158" s="21">
        <f t="shared" si="197"/>
        <v>4.1250000000000009E-2</v>
      </c>
      <c r="P158" s="32">
        <f t="shared" si="189"/>
        <v>356</v>
      </c>
      <c r="Q158" s="32">
        <f t="shared" si="189"/>
        <v>202</v>
      </c>
    </row>
    <row r="159" spans="1:17" ht="16.5" x14ac:dyDescent="0.2">
      <c r="A159" s="26">
        <v>110</v>
      </c>
      <c r="B159" s="104">
        <f t="shared" si="151"/>
        <v>28</v>
      </c>
      <c r="C159" s="118">
        <v>2</v>
      </c>
      <c r="D159" s="19">
        <v>0.5</v>
      </c>
      <c r="E159" s="113"/>
      <c r="F159" s="21">
        <f t="shared" ref="F159:O159" si="198">(INDEX(G$7:G$37,$B159)*(1-$D159)+INDEX(G$7:G$37,$B159+1)*$D159)*G$4*$B$2</f>
        <v>0.5</v>
      </c>
      <c r="G159" s="21">
        <f t="shared" si="198"/>
        <v>0.25</v>
      </c>
      <c r="H159" s="21">
        <f t="shared" si="198"/>
        <v>0.1</v>
      </c>
      <c r="I159" s="21">
        <f t="shared" si="198"/>
        <v>0.05</v>
      </c>
      <c r="J159" s="21">
        <f t="shared" si="198"/>
        <v>2.2500000000000003E-2</v>
      </c>
      <c r="K159" s="21">
        <f t="shared" si="198"/>
        <v>0.125</v>
      </c>
      <c r="L159" s="21">
        <f t="shared" si="198"/>
        <v>0.05</v>
      </c>
      <c r="M159" s="21">
        <f t="shared" si="198"/>
        <v>2.5000000000000001E-2</v>
      </c>
      <c r="N159" s="21">
        <f t="shared" si="198"/>
        <v>2.5000000000000001E-2</v>
      </c>
      <c r="O159" s="21">
        <f t="shared" si="198"/>
        <v>4.250000000000001E-2</v>
      </c>
      <c r="P159" s="32">
        <f t="shared" si="189"/>
        <v>362</v>
      </c>
      <c r="Q159" s="32">
        <f t="shared" si="189"/>
        <v>205</v>
      </c>
    </row>
    <row r="160" spans="1:17" ht="16.5" x14ac:dyDescent="0.2">
      <c r="A160" s="26">
        <v>111</v>
      </c>
      <c r="B160" s="104">
        <f t="shared" si="151"/>
        <v>28</v>
      </c>
      <c r="C160" s="118">
        <v>3</v>
      </c>
      <c r="D160" s="19">
        <v>0.75</v>
      </c>
      <c r="E160" s="113"/>
      <c r="F160" s="21">
        <f t="shared" ref="F160:O160" si="199">(INDEX(G$7:G$37,$B160)*(1-$D160)+INDEX(G$7:G$37,$B160+1)*$D160)*G$4*$B$2</f>
        <v>0.5</v>
      </c>
      <c r="G160" s="21">
        <f t="shared" si="199"/>
        <v>0.25</v>
      </c>
      <c r="H160" s="21">
        <f t="shared" si="199"/>
        <v>0.1</v>
      </c>
      <c r="I160" s="21">
        <f t="shared" si="199"/>
        <v>0.05</v>
      </c>
      <c r="J160" s="21">
        <f t="shared" si="199"/>
        <v>2.375E-2</v>
      </c>
      <c r="K160" s="21">
        <f t="shared" si="199"/>
        <v>0.125</v>
      </c>
      <c r="L160" s="21">
        <f t="shared" si="199"/>
        <v>0.05</v>
      </c>
      <c r="M160" s="21">
        <f t="shared" si="199"/>
        <v>2.5000000000000001E-2</v>
      </c>
      <c r="N160" s="21">
        <f t="shared" si="199"/>
        <v>2.5000000000000001E-2</v>
      </c>
      <c r="O160" s="21">
        <f t="shared" si="199"/>
        <v>4.3750000000000004E-2</v>
      </c>
      <c r="P160" s="32">
        <f t="shared" si="189"/>
        <v>368</v>
      </c>
      <c r="Q160" s="32">
        <f t="shared" si="189"/>
        <v>207</v>
      </c>
    </row>
    <row r="161" spans="1:20" ht="16.5" x14ac:dyDescent="0.2">
      <c r="A161" s="26">
        <v>112</v>
      </c>
      <c r="B161" s="104">
        <f t="shared" si="151"/>
        <v>28</v>
      </c>
      <c r="C161" s="118">
        <v>4</v>
      </c>
      <c r="D161" s="19">
        <v>1</v>
      </c>
      <c r="E161" s="113"/>
      <c r="F161" s="21">
        <f t="shared" ref="F161:O161" si="200">(INDEX(G$7:G$37,$B161)*(1-$D161)+INDEX(G$7:G$37,$B161+1)*$D161)*G$4*$B$2</f>
        <v>0.5</v>
      </c>
      <c r="G161" s="21">
        <f t="shared" si="200"/>
        <v>0.25</v>
      </c>
      <c r="H161" s="21">
        <f t="shared" si="200"/>
        <v>0.1</v>
      </c>
      <c r="I161" s="21">
        <f t="shared" si="200"/>
        <v>0.05</v>
      </c>
      <c r="J161" s="21">
        <f t="shared" si="200"/>
        <v>2.5000000000000001E-2</v>
      </c>
      <c r="K161" s="21">
        <f t="shared" si="200"/>
        <v>0.125</v>
      </c>
      <c r="L161" s="21">
        <f t="shared" si="200"/>
        <v>0.05</v>
      </c>
      <c r="M161" s="21">
        <f t="shared" si="200"/>
        <v>2.5000000000000001E-2</v>
      </c>
      <c r="N161" s="21">
        <f t="shared" si="200"/>
        <v>2.5000000000000001E-2</v>
      </c>
      <c r="O161" s="21">
        <f t="shared" si="200"/>
        <v>4.5000000000000005E-2</v>
      </c>
      <c r="P161" s="32">
        <f t="shared" si="189"/>
        <v>375</v>
      </c>
      <c r="Q161" s="32">
        <f t="shared" si="189"/>
        <v>210</v>
      </c>
    </row>
    <row r="162" spans="1:20" ht="16.5" x14ac:dyDescent="0.2">
      <c r="A162" s="26">
        <v>113</v>
      </c>
      <c r="B162" s="104">
        <f t="shared" si="151"/>
        <v>29</v>
      </c>
      <c r="C162" s="118">
        <v>1</v>
      </c>
      <c r="D162" s="19">
        <v>0.25</v>
      </c>
      <c r="E162" s="113"/>
      <c r="F162" s="21">
        <f t="shared" ref="F162:O162" si="201">(INDEX(G$7:G$37,$B162)*(1-$D162)+INDEX(G$7:G$37,$B162+1)*$D162)*G$4*$B$2</f>
        <v>0.5</v>
      </c>
      <c r="G162" s="21">
        <f t="shared" si="201"/>
        <v>0.25</v>
      </c>
      <c r="H162" s="21">
        <f t="shared" si="201"/>
        <v>0.1</v>
      </c>
      <c r="I162" s="21">
        <f t="shared" si="201"/>
        <v>0.05</v>
      </c>
      <c r="J162" s="21">
        <f t="shared" si="201"/>
        <v>2.5000000000000001E-2</v>
      </c>
      <c r="K162" s="21">
        <f t="shared" si="201"/>
        <v>0.125</v>
      </c>
      <c r="L162" s="21">
        <f t="shared" si="201"/>
        <v>0.05</v>
      </c>
      <c r="M162" s="21">
        <f t="shared" si="201"/>
        <v>2.5000000000000001E-2</v>
      </c>
      <c r="N162" s="21">
        <f t="shared" si="201"/>
        <v>2.5000000000000001E-2</v>
      </c>
      <c r="O162" s="21">
        <f t="shared" si="201"/>
        <v>4.6250000000000006E-2</v>
      </c>
      <c r="P162" s="32">
        <f t="shared" si="189"/>
        <v>381</v>
      </c>
      <c r="Q162" s="32">
        <f t="shared" si="189"/>
        <v>212</v>
      </c>
    </row>
    <row r="163" spans="1:20" ht="16.5" x14ac:dyDescent="0.2">
      <c r="A163" s="26">
        <v>114</v>
      </c>
      <c r="B163" s="104">
        <f t="shared" si="151"/>
        <v>29</v>
      </c>
      <c r="C163" s="118">
        <v>2</v>
      </c>
      <c r="D163" s="19">
        <v>0.5</v>
      </c>
      <c r="E163" s="113"/>
      <c r="F163" s="21">
        <f t="shared" ref="F163:O163" si="202">(INDEX(G$7:G$37,$B163)*(1-$D163)+INDEX(G$7:G$37,$B163+1)*$D163)*G$4*$B$2</f>
        <v>0.5</v>
      </c>
      <c r="G163" s="21">
        <f t="shared" si="202"/>
        <v>0.25</v>
      </c>
      <c r="H163" s="21">
        <f t="shared" si="202"/>
        <v>0.1</v>
      </c>
      <c r="I163" s="21">
        <f t="shared" si="202"/>
        <v>0.05</v>
      </c>
      <c r="J163" s="21">
        <f t="shared" si="202"/>
        <v>2.5000000000000001E-2</v>
      </c>
      <c r="K163" s="21">
        <f t="shared" si="202"/>
        <v>0.125</v>
      </c>
      <c r="L163" s="21">
        <f t="shared" si="202"/>
        <v>0.05</v>
      </c>
      <c r="M163" s="21">
        <f t="shared" si="202"/>
        <v>2.5000000000000001E-2</v>
      </c>
      <c r="N163" s="21">
        <f t="shared" si="202"/>
        <v>2.5000000000000001E-2</v>
      </c>
      <c r="O163" s="21">
        <f t="shared" si="202"/>
        <v>4.7500000000000001E-2</v>
      </c>
      <c r="P163" s="32">
        <f t="shared" si="189"/>
        <v>387</v>
      </c>
      <c r="Q163" s="32">
        <f t="shared" si="189"/>
        <v>215</v>
      </c>
    </row>
    <row r="164" spans="1:20" ht="16.5" x14ac:dyDescent="0.2">
      <c r="A164" s="26">
        <v>115</v>
      </c>
      <c r="B164" s="104">
        <f t="shared" si="151"/>
        <v>29</v>
      </c>
      <c r="C164" s="118">
        <v>3</v>
      </c>
      <c r="D164" s="19">
        <v>0.75</v>
      </c>
      <c r="E164" s="113"/>
      <c r="F164" s="21">
        <f t="shared" ref="F164:O164" si="203">(INDEX(G$7:G$37,$B164)*(1-$D164)+INDEX(G$7:G$37,$B164+1)*$D164)*G$4*$B$2</f>
        <v>0.5</v>
      </c>
      <c r="G164" s="21">
        <f t="shared" si="203"/>
        <v>0.25</v>
      </c>
      <c r="H164" s="21">
        <f t="shared" si="203"/>
        <v>0.1</v>
      </c>
      <c r="I164" s="21">
        <f t="shared" si="203"/>
        <v>0.05</v>
      </c>
      <c r="J164" s="21">
        <f t="shared" si="203"/>
        <v>2.5000000000000001E-2</v>
      </c>
      <c r="K164" s="21">
        <f t="shared" si="203"/>
        <v>0.125</v>
      </c>
      <c r="L164" s="21">
        <f t="shared" si="203"/>
        <v>0.05</v>
      </c>
      <c r="M164" s="21">
        <f t="shared" si="203"/>
        <v>2.5000000000000001E-2</v>
      </c>
      <c r="N164" s="21">
        <f t="shared" si="203"/>
        <v>2.5000000000000001E-2</v>
      </c>
      <c r="O164" s="21">
        <f t="shared" si="203"/>
        <v>4.8750000000000002E-2</v>
      </c>
      <c r="P164" s="32">
        <f t="shared" si="189"/>
        <v>393</v>
      </c>
      <c r="Q164" s="32">
        <f t="shared" si="189"/>
        <v>217</v>
      </c>
    </row>
    <row r="165" spans="1:20" ht="16.5" x14ac:dyDescent="0.2">
      <c r="A165" s="26">
        <v>116</v>
      </c>
      <c r="B165" s="104">
        <f t="shared" si="151"/>
        <v>29</v>
      </c>
      <c r="C165" s="118">
        <v>4</v>
      </c>
      <c r="D165" s="19">
        <v>1</v>
      </c>
      <c r="E165" s="113"/>
      <c r="F165" s="21">
        <f t="shared" ref="F165:O165" si="204">(INDEX(G$7:G$37,$B165)*(1-$D165)+INDEX(G$7:G$37,$B165+1)*$D165)*G$4*$B$2</f>
        <v>0.5</v>
      </c>
      <c r="G165" s="21">
        <f t="shared" si="204"/>
        <v>0.25</v>
      </c>
      <c r="H165" s="21">
        <f t="shared" si="204"/>
        <v>0.1</v>
      </c>
      <c r="I165" s="21">
        <f t="shared" si="204"/>
        <v>0.05</v>
      </c>
      <c r="J165" s="21">
        <f t="shared" si="204"/>
        <v>2.5000000000000001E-2</v>
      </c>
      <c r="K165" s="21">
        <f t="shared" si="204"/>
        <v>0.125</v>
      </c>
      <c r="L165" s="21">
        <f t="shared" si="204"/>
        <v>0.05</v>
      </c>
      <c r="M165" s="21">
        <f t="shared" si="204"/>
        <v>2.5000000000000001E-2</v>
      </c>
      <c r="N165" s="21">
        <f t="shared" si="204"/>
        <v>2.5000000000000001E-2</v>
      </c>
      <c r="O165" s="21">
        <f t="shared" si="204"/>
        <v>0.05</v>
      </c>
      <c r="P165" s="32">
        <f t="shared" si="189"/>
        <v>400</v>
      </c>
      <c r="Q165" s="32">
        <f t="shared" si="189"/>
        <v>220</v>
      </c>
    </row>
    <row r="166" spans="1:20" ht="16.5" x14ac:dyDescent="0.2">
      <c r="A166" s="118">
        <v>117</v>
      </c>
      <c r="B166" s="118">
        <f t="shared" si="151"/>
        <v>30</v>
      </c>
      <c r="C166" s="118">
        <v>1</v>
      </c>
      <c r="D166" s="19">
        <v>0.25</v>
      </c>
      <c r="E166" s="113"/>
      <c r="F166" s="21">
        <f t="shared" ref="F166:O166" si="205">(INDEX(G$7:G$37,$B166)*(1-$D166)+INDEX(G$7:G$37,$B166+1)*$D166)*G$4*$B$2</f>
        <v>0.5</v>
      </c>
      <c r="G166" s="21">
        <f t="shared" si="205"/>
        <v>0.25</v>
      </c>
      <c r="H166" s="21">
        <f t="shared" si="205"/>
        <v>0.1</v>
      </c>
      <c r="I166" s="21">
        <f t="shared" si="205"/>
        <v>0.05</v>
      </c>
      <c r="J166" s="21">
        <f t="shared" si="205"/>
        <v>2.5000000000000001E-2</v>
      </c>
      <c r="K166" s="21">
        <f t="shared" si="205"/>
        <v>0.125</v>
      </c>
      <c r="L166" s="21">
        <f t="shared" si="205"/>
        <v>0.05</v>
      </c>
      <c r="M166" s="21">
        <f t="shared" si="205"/>
        <v>2.5000000000000001E-2</v>
      </c>
      <c r="N166" s="21">
        <f t="shared" si="205"/>
        <v>2.5000000000000001E-2</v>
      </c>
      <c r="O166" s="21">
        <f t="shared" si="205"/>
        <v>0.05</v>
      </c>
      <c r="P166" s="32">
        <f t="shared" si="189"/>
        <v>420</v>
      </c>
      <c r="Q166" s="32">
        <f t="shared" si="189"/>
        <v>220</v>
      </c>
    </row>
    <row r="167" spans="1:20" ht="16.5" x14ac:dyDescent="0.2">
      <c r="A167" s="118">
        <v>118</v>
      </c>
      <c r="B167" s="118">
        <f t="shared" si="151"/>
        <v>30</v>
      </c>
      <c r="C167" s="118">
        <v>2</v>
      </c>
      <c r="D167" s="19">
        <v>0.5</v>
      </c>
      <c r="E167" s="113"/>
      <c r="F167" s="21">
        <f t="shared" ref="F167:O167" si="206">(INDEX(G$7:G$37,$B167)*(1-$D167)+INDEX(G$7:G$37,$B167+1)*$D167)*G$4*$B$2</f>
        <v>0.5</v>
      </c>
      <c r="G167" s="21">
        <f t="shared" si="206"/>
        <v>0.25</v>
      </c>
      <c r="H167" s="21">
        <f t="shared" si="206"/>
        <v>0.1</v>
      </c>
      <c r="I167" s="21">
        <f t="shared" si="206"/>
        <v>0.05</v>
      </c>
      <c r="J167" s="21">
        <f t="shared" si="206"/>
        <v>2.5000000000000001E-2</v>
      </c>
      <c r="K167" s="21">
        <f t="shared" si="206"/>
        <v>0.125</v>
      </c>
      <c r="L167" s="21">
        <f t="shared" si="206"/>
        <v>0.05</v>
      </c>
      <c r="M167" s="21">
        <f t="shared" si="206"/>
        <v>2.5000000000000001E-2</v>
      </c>
      <c r="N167" s="21">
        <f t="shared" si="206"/>
        <v>2.5000000000000001E-2</v>
      </c>
      <c r="O167" s="21">
        <f t="shared" si="206"/>
        <v>0.05</v>
      </c>
      <c r="P167" s="32">
        <f t="shared" si="189"/>
        <v>440</v>
      </c>
      <c r="Q167" s="32">
        <f t="shared" si="189"/>
        <v>220</v>
      </c>
    </row>
    <row r="168" spans="1:20" ht="16.5" x14ac:dyDescent="0.2">
      <c r="A168" s="118">
        <v>119</v>
      </c>
      <c r="B168" s="118">
        <f t="shared" si="151"/>
        <v>30</v>
      </c>
      <c r="C168" s="118">
        <v>3</v>
      </c>
      <c r="D168" s="19">
        <v>0.75</v>
      </c>
      <c r="E168" s="113"/>
      <c r="F168" s="21">
        <f t="shared" ref="F168:O168" si="207">(INDEX(G$7:G$37,$B168)*(1-$D168)+INDEX(G$7:G$37,$B168+1)*$D168)*G$4*$B$2</f>
        <v>0.5</v>
      </c>
      <c r="G168" s="21">
        <f t="shared" si="207"/>
        <v>0.25</v>
      </c>
      <c r="H168" s="21">
        <f t="shared" si="207"/>
        <v>0.1</v>
      </c>
      <c r="I168" s="21">
        <f t="shared" si="207"/>
        <v>0.05</v>
      </c>
      <c r="J168" s="21">
        <f t="shared" si="207"/>
        <v>2.5000000000000001E-2</v>
      </c>
      <c r="K168" s="21">
        <f t="shared" si="207"/>
        <v>0.125</v>
      </c>
      <c r="L168" s="21">
        <f t="shared" si="207"/>
        <v>0.05</v>
      </c>
      <c r="M168" s="21">
        <f t="shared" si="207"/>
        <v>2.5000000000000001E-2</v>
      </c>
      <c r="N168" s="21">
        <f t="shared" si="207"/>
        <v>2.5000000000000001E-2</v>
      </c>
      <c r="O168" s="21">
        <f t="shared" si="207"/>
        <v>0.05</v>
      </c>
      <c r="P168" s="32">
        <f t="shared" si="189"/>
        <v>460</v>
      </c>
      <c r="Q168" s="32">
        <f t="shared" si="189"/>
        <v>220</v>
      </c>
    </row>
    <row r="169" spans="1:20" ht="16.5" x14ac:dyDescent="0.2">
      <c r="A169" s="118">
        <v>120</v>
      </c>
      <c r="B169" s="118">
        <f t="shared" si="151"/>
        <v>30</v>
      </c>
      <c r="C169" s="118">
        <v>4</v>
      </c>
      <c r="D169" s="19">
        <v>1</v>
      </c>
      <c r="E169" s="113"/>
      <c r="F169" s="21">
        <f t="shared" ref="F169:O169" si="208">(INDEX(G$7:G$37,$B169)*(1-$D169)+INDEX(G$7:G$37,$B169+1)*$D169)*G$4*$B$2</f>
        <v>0.5</v>
      </c>
      <c r="G169" s="21">
        <f t="shared" si="208"/>
        <v>0.25</v>
      </c>
      <c r="H169" s="21">
        <f t="shared" si="208"/>
        <v>0.1</v>
      </c>
      <c r="I169" s="21">
        <f t="shared" si="208"/>
        <v>0.05</v>
      </c>
      <c r="J169" s="21">
        <f t="shared" si="208"/>
        <v>2.5000000000000001E-2</v>
      </c>
      <c r="K169" s="21">
        <f t="shared" si="208"/>
        <v>0.125</v>
      </c>
      <c r="L169" s="21">
        <f t="shared" si="208"/>
        <v>0.05</v>
      </c>
      <c r="M169" s="21">
        <f t="shared" si="208"/>
        <v>2.5000000000000001E-2</v>
      </c>
      <c r="N169" s="21">
        <f t="shared" si="208"/>
        <v>2.5000000000000001E-2</v>
      </c>
      <c r="O169" s="21">
        <f t="shared" si="208"/>
        <v>0.05</v>
      </c>
      <c r="P169" s="32">
        <f t="shared" si="189"/>
        <v>480</v>
      </c>
      <c r="Q169" s="32">
        <f t="shared" si="189"/>
        <v>220</v>
      </c>
    </row>
    <row r="170" spans="1:20" x14ac:dyDescent="0.2">
      <c r="A170" s="106"/>
      <c r="B170" s="106"/>
      <c r="C170" s="106"/>
      <c r="D170" s="106"/>
      <c r="E170" s="113"/>
      <c r="F170" s="113"/>
      <c r="G170" s="116"/>
      <c r="H170" s="116"/>
      <c r="I170" s="106"/>
      <c r="J170" s="106"/>
      <c r="K170" s="106"/>
      <c r="L170" s="106"/>
      <c r="M170" s="106"/>
      <c r="N170" s="106"/>
      <c r="O170" s="106"/>
      <c r="P170" s="106"/>
      <c r="Q170" s="106"/>
      <c r="R170" s="106"/>
      <c r="S170" s="106"/>
      <c r="T170" s="106"/>
    </row>
    <row r="171" spans="1:20" x14ac:dyDescent="0.2">
      <c r="A171" s="106"/>
      <c r="B171" s="106"/>
      <c r="C171" s="106"/>
      <c r="D171" s="106"/>
      <c r="E171" s="113"/>
      <c r="F171" s="113"/>
      <c r="G171" s="116"/>
      <c r="H171" s="116"/>
      <c r="I171" s="106"/>
      <c r="J171" s="106"/>
      <c r="K171" s="106"/>
      <c r="L171" s="106"/>
      <c r="M171" s="106"/>
      <c r="N171" s="106"/>
      <c r="O171" s="106"/>
      <c r="P171" s="106"/>
      <c r="Q171" s="106"/>
      <c r="R171" s="106"/>
      <c r="S171" s="106"/>
      <c r="T171" s="106"/>
    </row>
    <row r="172" spans="1:20" x14ac:dyDescent="0.2">
      <c r="A172" s="106"/>
      <c r="B172" s="106"/>
      <c r="C172" s="106"/>
      <c r="D172" s="106"/>
      <c r="E172" s="113"/>
      <c r="F172" s="113"/>
      <c r="G172" s="116"/>
      <c r="H172" s="116"/>
      <c r="I172" s="106"/>
      <c r="J172" s="106"/>
      <c r="K172" s="106"/>
      <c r="L172" s="106"/>
      <c r="M172" s="106"/>
      <c r="N172" s="106"/>
      <c r="O172" s="106"/>
      <c r="P172" s="106"/>
      <c r="Q172" s="106"/>
      <c r="R172" s="106"/>
      <c r="S172" s="106"/>
      <c r="T172" s="106"/>
    </row>
    <row r="173" spans="1:20" x14ac:dyDescent="0.2">
      <c r="A173" s="106"/>
      <c r="B173" s="106"/>
      <c r="C173" s="106"/>
      <c r="D173" s="106"/>
      <c r="E173" s="113"/>
      <c r="F173" s="113"/>
      <c r="G173" s="116"/>
      <c r="H173" s="116"/>
      <c r="I173" s="106"/>
      <c r="J173" s="106"/>
      <c r="K173" s="106"/>
      <c r="L173" s="106"/>
      <c r="M173" s="106"/>
      <c r="N173" s="106"/>
      <c r="O173" s="106"/>
      <c r="P173" s="106"/>
      <c r="Q173" s="106"/>
      <c r="R173" s="106"/>
      <c r="S173" s="106"/>
      <c r="T173" s="106"/>
    </row>
    <row r="174" spans="1:20" x14ac:dyDescent="0.2">
      <c r="A174" s="106"/>
      <c r="B174" s="106"/>
      <c r="C174" s="106"/>
      <c r="D174" s="106"/>
      <c r="E174" s="113"/>
      <c r="F174" s="113"/>
      <c r="G174" s="116"/>
      <c r="H174" s="116"/>
      <c r="I174" s="106"/>
      <c r="J174" s="106"/>
      <c r="K174" s="106"/>
      <c r="L174" s="106"/>
      <c r="M174" s="106"/>
      <c r="N174" s="106"/>
      <c r="O174" s="106"/>
      <c r="P174" s="106"/>
      <c r="Q174" s="106"/>
      <c r="R174" s="106"/>
      <c r="S174" s="106"/>
      <c r="T174" s="106"/>
    </row>
    <row r="175" spans="1:20" x14ac:dyDescent="0.2">
      <c r="A175" s="106"/>
      <c r="B175" s="106"/>
      <c r="C175" s="106"/>
      <c r="D175" s="106"/>
      <c r="E175" s="113"/>
      <c r="F175" s="113"/>
      <c r="G175" s="116"/>
      <c r="H175" s="116"/>
      <c r="I175" s="106"/>
      <c r="J175" s="106"/>
      <c r="K175" s="106"/>
      <c r="L175" s="106"/>
      <c r="M175" s="106"/>
      <c r="N175" s="106"/>
      <c r="O175" s="106"/>
      <c r="P175" s="106"/>
      <c r="Q175" s="106"/>
      <c r="R175" s="106"/>
      <c r="S175" s="106"/>
      <c r="T175" s="106"/>
    </row>
    <row r="176" spans="1:20" x14ac:dyDescent="0.2">
      <c r="A176" s="106"/>
      <c r="B176" s="106"/>
      <c r="C176" s="106"/>
      <c r="D176" s="106"/>
      <c r="E176" s="113"/>
      <c r="F176" s="113"/>
      <c r="G176" s="116"/>
      <c r="H176" s="116"/>
      <c r="I176" s="106"/>
      <c r="J176" s="106"/>
      <c r="K176" s="106"/>
      <c r="L176" s="106"/>
      <c r="M176" s="106"/>
      <c r="N176" s="106"/>
      <c r="O176" s="106"/>
      <c r="P176" s="106"/>
      <c r="Q176" s="106"/>
      <c r="R176" s="106"/>
      <c r="S176" s="106"/>
      <c r="T176" s="106"/>
    </row>
    <row r="177" spans="1:20" x14ac:dyDescent="0.2">
      <c r="A177" s="106"/>
      <c r="B177" s="106"/>
      <c r="C177" s="106"/>
      <c r="D177" s="106"/>
      <c r="E177" s="113"/>
      <c r="F177" s="113"/>
      <c r="G177" s="116"/>
      <c r="H177" s="116"/>
      <c r="I177" s="106"/>
      <c r="J177" s="106"/>
      <c r="K177" s="106"/>
      <c r="L177" s="106"/>
      <c r="M177" s="106"/>
      <c r="N177" s="106"/>
      <c r="O177" s="106"/>
      <c r="P177" s="106"/>
      <c r="Q177" s="106"/>
      <c r="R177" s="106"/>
      <c r="S177" s="106"/>
      <c r="T177" s="106"/>
    </row>
    <row r="178" spans="1:20" x14ac:dyDescent="0.2">
      <c r="A178" s="106"/>
      <c r="B178" s="106"/>
      <c r="C178" s="106"/>
      <c r="D178" s="106"/>
      <c r="E178" s="113"/>
      <c r="F178" s="113"/>
      <c r="G178" s="116"/>
      <c r="H178" s="116"/>
      <c r="I178" s="106"/>
      <c r="J178" s="106"/>
      <c r="K178" s="106"/>
      <c r="L178" s="106"/>
      <c r="M178" s="106"/>
      <c r="N178" s="106"/>
      <c r="O178" s="106"/>
      <c r="P178" s="106"/>
      <c r="Q178" s="106"/>
      <c r="R178" s="106"/>
      <c r="S178" s="106"/>
      <c r="T178" s="106"/>
    </row>
    <row r="179" spans="1:20" x14ac:dyDescent="0.2">
      <c r="A179" s="106"/>
      <c r="B179" s="106"/>
      <c r="C179" s="106"/>
      <c r="D179" s="106"/>
      <c r="E179" s="113"/>
      <c r="F179" s="113"/>
      <c r="G179" s="116"/>
      <c r="H179" s="116"/>
      <c r="I179" s="106"/>
      <c r="J179" s="106"/>
      <c r="K179" s="106"/>
      <c r="L179" s="106"/>
      <c r="M179" s="106"/>
      <c r="N179" s="106"/>
      <c r="O179" s="106"/>
      <c r="P179" s="106"/>
      <c r="Q179" s="106"/>
      <c r="R179" s="106"/>
      <c r="S179" s="106"/>
      <c r="T179" s="106"/>
    </row>
    <row r="180" spans="1:20" x14ac:dyDescent="0.2">
      <c r="A180" s="106"/>
      <c r="B180" s="106"/>
      <c r="C180" s="106"/>
      <c r="D180" s="106"/>
      <c r="E180" s="113"/>
      <c r="F180" s="113"/>
      <c r="G180" s="116"/>
      <c r="H180" s="116"/>
      <c r="I180" s="106"/>
      <c r="J180" s="106"/>
      <c r="K180" s="106"/>
      <c r="L180" s="106"/>
      <c r="M180" s="106"/>
      <c r="N180" s="106"/>
      <c r="O180" s="106"/>
      <c r="P180" s="106"/>
      <c r="Q180" s="106"/>
      <c r="R180" s="106"/>
      <c r="S180" s="106"/>
      <c r="T180" s="106"/>
    </row>
    <row r="181" spans="1:20" x14ac:dyDescent="0.2">
      <c r="A181" s="106"/>
      <c r="B181" s="106"/>
      <c r="C181" s="106"/>
      <c r="D181" s="106"/>
      <c r="E181" s="113"/>
      <c r="F181" s="113"/>
      <c r="G181" s="116"/>
      <c r="H181" s="116"/>
      <c r="I181" s="106"/>
      <c r="J181" s="106"/>
      <c r="K181" s="106"/>
      <c r="L181" s="106"/>
      <c r="M181" s="106"/>
      <c r="N181" s="106"/>
      <c r="O181" s="106"/>
      <c r="P181" s="106"/>
      <c r="Q181" s="106"/>
      <c r="R181" s="106"/>
      <c r="S181" s="106"/>
      <c r="T181" s="106"/>
    </row>
    <row r="182" spans="1:20" x14ac:dyDescent="0.2">
      <c r="A182" s="106"/>
      <c r="B182" s="106"/>
      <c r="C182" s="106"/>
      <c r="D182" s="106"/>
      <c r="E182" s="113"/>
      <c r="F182" s="113"/>
      <c r="G182" s="116"/>
      <c r="H182" s="116"/>
      <c r="I182" s="106"/>
      <c r="J182" s="106"/>
      <c r="K182" s="106"/>
      <c r="L182" s="106"/>
      <c r="M182" s="106"/>
      <c r="N182" s="106"/>
      <c r="O182" s="106"/>
      <c r="P182" s="106"/>
      <c r="Q182" s="106"/>
      <c r="R182" s="106"/>
      <c r="S182" s="106"/>
      <c r="T182" s="106"/>
    </row>
    <row r="183" spans="1:20" x14ac:dyDescent="0.2">
      <c r="A183" s="106"/>
      <c r="B183" s="106"/>
      <c r="C183" s="106"/>
      <c r="D183" s="106"/>
      <c r="E183" s="113"/>
      <c r="F183" s="113"/>
      <c r="G183" s="116"/>
      <c r="H183" s="116"/>
      <c r="I183" s="106"/>
      <c r="J183" s="106"/>
      <c r="K183" s="106"/>
      <c r="L183" s="106"/>
      <c r="M183" s="106"/>
      <c r="N183" s="106"/>
      <c r="O183" s="106"/>
      <c r="P183" s="106"/>
      <c r="Q183" s="106"/>
      <c r="R183" s="106"/>
      <c r="S183" s="106"/>
      <c r="T183" s="106"/>
    </row>
    <row r="184" spans="1:20" x14ac:dyDescent="0.2">
      <c r="A184" s="106"/>
      <c r="B184" s="106"/>
      <c r="C184" s="106"/>
      <c r="D184" s="106"/>
      <c r="E184" s="113"/>
      <c r="F184" s="113"/>
      <c r="G184" s="116"/>
      <c r="H184" s="116"/>
      <c r="I184" s="106"/>
      <c r="J184" s="106"/>
      <c r="K184" s="106"/>
      <c r="L184" s="106"/>
      <c r="M184" s="106"/>
      <c r="N184" s="106"/>
      <c r="O184" s="106"/>
      <c r="P184" s="106"/>
      <c r="Q184" s="106"/>
      <c r="R184" s="106"/>
      <c r="S184" s="106"/>
      <c r="T184" s="106"/>
    </row>
    <row r="185" spans="1:20" x14ac:dyDescent="0.2">
      <c r="A185" s="106"/>
      <c r="B185" s="106"/>
      <c r="C185" s="106"/>
      <c r="D185" s="106"/>
      <c r="E185" s="113"/>
      <c r="F185" s="113"/>
      <c r="G185" s="116"/>
      <c r="H185" s="116"/>
      <c r="I185" s="106"/>
      <c r="J185" s="106"/>
      <c r="K185" s="106"/>
      <c r="L185" s="106"/>
      <c r="M185" s="106"/>
      <c r="N185" s="106"/>
      <c r="O185" s="106"/>
      <c r="P185" s="106"/>
      <c r="Q185" s="106"/>
      <c r="R185" s="106"/>
      <c r="S185" s="106"/>
      <c r="T185" s="106"/>
    </row>
    <row r="186" spans="1:20" x14ac:dyDescent="0.2">
      <c r="A186" s="106"/>
      <c r="B186" s="106"/>
      <c r="C186" s="106"/>
      <c r="D186" s="106"/>
      <c r="E186" s="113"/>
      <c r="F186" s="113"/>
      <c r="G186" s="116"/>
      <c r="H186" s="116"/>
      <c r="I186" s="106"/>
      <c r="J186" s="106"/>
      <c r="K186" s="106"/>
      <c r="L186" s="106"/>
      <c r="M186" s="106"/>
      <c r="N186" s="106"/>
      <c r="O186" s="106"/>
      <c r="P186" s="106"/>
      <c r="Q186" s="106"/>
      <c r="R186" s="106"/>
      <c r="S186" s="106"/>
      <c r="T186" s="106"/>
    </row>
    <row r="187" spans="1:20" x14ac:dyDescent="0.2">
      <c r="A187" s="106"/>
      <c r="B187" s="106"/>
      <c r="C187" s="106"/>
      <c r="D187" s="106"/>
      <c r="E187" s="113"/>
      <c r="F187" s="113"/>
      <c r="G187" s="116"/>
      <c r="H187" s="116"/>
      <c r="I187" s="106"/>
      <c r="J187" s="106"/>
      <c r="K187" s="106"/>
      <c r="L187" s="106"/>
      <c r="M187" s="106"/>
      <c r="N187" s="106"/>
      <c r="O187" s="106"/>
      <c r="P187" s="106"/>
      <c r="Q187" s="106"/>
      <c r="R187" s="106"/>
      <c r="S187" s="106"/>
      <c r="T187" s="106"/>
    </row>
    <row r="188" spans="1:20" x14ac:dyDescent="0.2">
      <c r="A188" s="106"/>
      <c r="B188" s="106"/>
      <c r="C188" s="106"/>
      <c r="D188" s="106"/>
      <c r="E188" s="113"/>
      <c r="F188" s="113"/>
      <c r="G188" s="116"/>
      <c r="H188" s="116"/>
      <c r="I188" s="106"/>
      <c r="J188" s="106"/>
      <c r="K188" s="106"/>
      <c r="L188" s="106"/>
      <c r="M188" s="106"/>
      <c r="N188" s="106"/>
      <c r="O188" s="106"/>
      <c r="P188" s="106"/>
      <c r="Q188" s="106"/>
      <c r="R188" s="106"/>
      <c r="S188" s="106"/>
      <c r="T188" s="106"/>
    </row>
    <row r="189" spans="1:20" x14ac:dyDescent="0.2">
      <c r="A189" s="106"/>
      <c r="B189" s="106"/>
      <c r="C189" s="106"/>
      <c r="D189" s="106"/>
      <c r="E189" s="113"/>
      <c r="F189" s="113"/>
      <c r="G189" s="116"/>
      <c r="H189" s="116"/>
      <c r="I189" s="106"/>
      <c r="J189" s="106"/>
      <c r="K189" s="106"/>
      <c r="L189" s="106"/>
      <c r="M189" s="106"/>
      <c r="N189" s="106"/>
      <c r="O189" s="106"/>
      <c r="P189" s="106"/>
      <c r="Q189" s="106"/>
      <c r="R189" s="106"/>
      <c r="S189" s="106"/>
      <c r="T189" s="106"/>
    </row>
    <row r="190" spans="1:20" x14ac:dyDescent="0.2">
      <c r="A190" s="106"/>
      <c r="B190" s="106"/>
      <c r="C190" s="106"/>
      <c r="D190" s="106"/>
      <c r="E190" s="113"/>
      <c r="F190" s="113"/>
      <c r="G190" s="116"/>
      <c r="H190" s="116"/>
      <c r="I190" s="106"/>
      <c r="J190" s="106"/>
      <c r="K190" s="106"/>
      <c r="L190" s="106"/>
      <c r="M190" s="106"/>
      <c r="N190" s="106"/>
      <c r="O190" s="106"/>
      <c r="P190" s="106"/>
      <c r="Q190" s="106"/>
      <c r="R190" s="106"/>
      <c r="S190" s="106"/>
      <c r="T190" s="106"/>
    </row>
    <row r="191" spans="1:20" x14ac:dyDescent="0.2">
      <c r="A191" s="106"/>
      <c r="B191" s="106"/>
      <c r="C191" s="106"/>
      <c r="D191" s="106"/>
      <c r="E191" s="113"/>
      <c r="F191" s="113"/>
      <c r="G191" s="116"/>
      <c r="H191" s="116"/>
      <c r="I191" s="106"/>
      <c r="J191" s="106"/>
      <c r="K191" s="106"/>
      <c r="L191" s="106"/>
      <c r="M191" s="106"/>
      <c r="N191" s="106"/>
      <c r="O191" s="106"/>
      <c r="P191" s="106"/>
      <c r="Q191" s="106"/>
      <c r="R191" s="106"/>
      <c r="S191" s="106"/>
      <c r="T191" s="106"/>
    </row>
    <row r="192" spans="1:20" x14ac:dyDescent="0.2">
      <c r="A192" s="106"/>
      <c r="B192" s="106"/>
      <c r="C192" s="106"/>
      <c r="D192" s="106"/>
      <c r="E192" s="113"/>
      <c r="F192" s="113"/>
      <c r="G192" s="116"/>
      <c r="H192" s="116"/>
      <c r="I192" s="106"/>
      <c r="J192" s="106"/>
      <c r="K192" s="106"/>
      <c r="L192" s="106"/>
      <c r="M192" s="106"/>
      <c r="N192" s="106"/>
      <c r="O192" s="106"/>
      <c r="P192" s="106"/>
      <c r="Q192" s="106"/>
      <c r="R192" s="106"/>
      <c r="S192" s="106"/>
      <c r="T192" s="106"/>
    </row>
    <row r="193" spans="1:20" x14ac:dyDescent="0.2">
      <c r="A193" s="106"/>
      <c r="B193" s="106"/>
      <c r="C193" s="106"/>
      <c r="D193" s="106"/>
      <c r="E193" s="113"/>
      <c r="F193" s="113"/>
      <c r="G193" s="116"/>
      <c r="H193" s="116"/>
      <c r="I193" s="106"/>
      <c r="J193" s="106"/>
      <c r="K193" s="106"/>
      <c r="L193" s="106"/>
      <c r="M193" s="106"/>
      <c r="N193" s="106"/>
      <c r="O193" s="106"/>
      <c r="P193" s="106"/>
      <c r="Q193" s="106"/>
      <c r="R193" s="106"/>
      <c r="S193" s="106"/>
      <c r="T193" s="106"/>
    </row>
    <row r="194" spans="1:20" x14ac:dyDescent="0.2">
      <c r="A194" s="106"/>
      <c r="B194" s="106"/>
      <c r="C194" s="106"/>
      <c r="D194" s="106"/>
      <c r="E194" s="113"/>
      <c r="F194" s="113"/>
      <c r="G194" s="116"/>
      <c r="H194" s="116"/>
      <c r="I194" s="106"/>
      <c r="J194" s="106"/>
      <c r="K194" s="106"/>
      <c r="L194" s="106"/>
      <c r="M194" s="106"/>
      <c r="N194" s="106"/>
      <c r="O194" s="106"/>
      <c r="P194" s="106"/>
      <c r="Q194" s="106"/>
      <c r="R194" s="106"/>
      <c r="S194" s="106"/>
      <c r="T194" s="106"/>
    </row>
    <row r="195" spans="1:20" x14ac:dyDescent="0.2">
      <c r="A195" s="106"/>
      <c r="B195" s="106"/>
      <c r="C195" s="106"/>
      <c r="D195" s="106"/>
      <c r="E195" s="113"/>
      <c r="F195" s="113"/>
      <c r="G195" s="116"/>
      <c r="H195" s="116"/>
      <c r="I195" s="106"/>
      <c r="J195" s="106"/>
      <c r="K195" s="106"/>
      <c r="L195" s="106"/>
      <c r="M195" s="106"/>
      <c r="N195" s="106"/>
      <c r="O195" s="106"/>
      <c r="P195" s="106"/>
      <c r="Q195" s="106"/>
      <c r="R195" s="106"/>
      <c r="S195" s="106"/>
      <c r="T195" s="106"/>
    </row>
    <row r="196" spans="1:20" x14ac:dyDescent="0.2">
      <c r="A196" s="106"/>
      <c r="B196" s="106"/>
      <c r="C196" s="106"/>
      <c r="D196" s="106"/>
      <c r="E196" s="113"/>
      <c r="F196" s="113"/>
      <c r="G196" s="116"/>
      <c r="H196" s="116"/>
      <c r="I196" s="106"/>
      <c r="J196" s="106"/>
      <c r="K196" s="106"/>
      <c r="L196" s="106"/>
      <c r="M196" s="106"/>
      <c r="N196" s="106"/>
      <c r="O196" s="106"/>
      <c r="P196" s="106"/>
      <c r="Q196" s="106"/>
      <c r="R196" s="106"/>
      <c r="S196" s="106"/>
      <c r="T196" s="106"/>
    </row>
    <row r="197" spans="1:20" x14ac:dyDescent="0.2">
      <c r="A197" s="106"/>
      <c r="B197" s="106"/>
      <c r="C197" s="106"/>
      <c r="D197" s="106"/>
      <c r="E197" s="113"/>
      <c r="F197" s="113"/>
      <c r="G197" s="116"/>
      <c r="H197" s="116"/>
      <c r="I197" s="106"/>
      <c r="J197" s="106"/>
      <c r="K197" s="106"/>
      <c r="L197" s="106"/>
      <c r="M197" s="106"/>
      <c r="N197" s="106"/>
      <c r="O197" s="106"/>
      <c r="P197" s="106"/>
      <c r="Q197" s="106"/>
      <c r="R197" s="106"/>
      <c r="S197" s="106"/>
      <c r="T197" s="106"/>
    </row>
    <row r="198" spans="1:20" x14ac:dyDescent="0.2">
      <c r="A198" s="106"/>
      <c r="B198" s="106"/>
      <c r="C198" s="106"/>
      <c r="D198" s="106"/>
      <c r="E198" s="113"/>
      <c r="F198" s="113"/>
      <c r="G198" s="116"/>
      <c r="H198" s="116"/>
      <c r="I198" s="106"/>
      <c r="J198" s="106"/>
      <c r="K198" s="106"/>
      <c r="L198" s="106"/>
      <c r="M198" s="106"/>
      <c r="N198" s="106"/>
      <c r="O198" s="106"/>
      <c r="P198" s="106"/>
      <c r="Q198" s="106"/>
      <c r="R198" s="106"/>
      <c r="S198" s="106"/>
      <c r="T198" s="106"/>
    </row>
    <row r="199" spans="1:20" x14ac:dyDescent="0.2">
      <c r="A199" s="106"/>
      <c r="B199" s="106"/>
      <c r="C199" s="106"/>
      <c r="D199" s="106"/>
      <c r="E199" s="113"/>
      <c r="F199" s="113"/>
      <c r="G199" s="116"/>
      <c r="H199" s="116"/>
      <c r="I199" s="106"/>
      <c r="J199" s="106"/>
      <c r="K199" s="106"/>
      <c r="L199" s="106"/>
      <c r="M199" s="106"/>
      <c r="N199" s="106"/>
      <c r="O199" s="106"/>
      <c r="P199" s="106"/>
      <c r="Q199" s="106"/>
      <c r="R199" s="106"/>
      <c r="S199" s="106"/>
      <c r="T199" s="106"/>
    </row>
    <row r="200" spans="1:20" x14ac:dyDescent="0.2">
      <c r="A200" s="106"/>
      <c r="B200" s="106"/>
      <c r="C200" s="106"/>
      <c r="D200" s="106"/>
      <c r="E200" s="113"/>
      <c r="F200" s="113"/>
      <c r="G200" s="116"/>
      <c r="H200" s="116"/>
      <c r="I200" s="106"/>
      <c r="J200" s="106"/>
      <c r="K200" s="106"/>
      <c r="L200" s="106"/>
      <c r="M200" s="106"/>
      <c r="N200" s="106"/>
      <c r="O200" s="106"/>
      <c r="P200" s="106"/>
      <c r="Q200" s="106"/>
      <c r="R200" s="106"/>
      <c r="S200" s="106"/>
      <c r="T200" s="106"/>
    </row>
    <row r="201" spans="1:20" x14ac:dyDescent="0.2">
      <c r="A201" s="106"/>
      <c r="B201" s="106"/>
      <c r="C201" s="106"/>
      <c r="D201" s="106"/>
      <c r="E201" s="113"/>
      <c r="F201" s="113"/>
      <c r="G201" s="116"/>
      <c r="H201" s="116"/>
      <c r="I201" s="106"/>
      <c r="J201" s="106"/>
      <c r="K201" s="106"/>
      <c r="L201" s="106"/>
      <c r="M201" s="106"/>
      <c r="N201" s="106"/>
      <c r="O201" s="106"/>
      <c r="P201" s="106"/>
      <c r="Q201" s="106"/>
      <c r="R201" s="106"/>
      <c r="S201" s="106"/>
      <c r="T201" s="106"/>
    </row>
    <row r="202" spans="1:20" x14ac:dyDescent="0.2">
      <c r="A202" s="106"/>
      <c r="B202" s="106"/>
      <c r="C202" s="106"/>
      <c r="D202" s="106"/>
      <c r="E202" s="113"/>
      <c r="F202" s="113"/>
      <c r="G202" s="116"/>
      <c r="H202" s="116"/>
      <c r="I202" s="106"/>
      <c r="J202" s="106"/>
      <c r="K202" s="106"/>
      <c r="L202" s="106"/>
      <c r="M202" s="106"/>
      <c r="N202" s="106"/>
      <c r="O202" s="106"/>
      <c r="P202" s="106"/>
      <c r="Q202" s="106"/>
      <c r="R202" s="106"/>
      <c r="S202" s="106"/>
      <c r="T202" s="106"/>
    </row>
    <row r="203" spans="1:20" x14ac:dyDescent="0.2">
      <c r="A203" s="106"/>
      <c r="B203" s="106"/>
      <c r="C203" s="106"/>
      <c r="D203" s="106"/>
      <c r="E203" s="113"/>
      <c r="F203" s="113"/>
      <c r="G203" s="116"/>
      <c r="H203" s="116"/>
      <c r="I203" s="106"/>
      <c r="J203" s="106"/>
      <c r="K203" s="106"/>
      <c r="L203" s="106"/>
      <c r="M203" s="106"/>
      <c r="N203" s="106"/>
      <c r="O203" s="106"/>
      <c r="P203" s="106"/>
      <c r="Q203" s="106"/>
      <c r="R203" s="106"/>
      <c r="S203" s="106"/>
      <c r="T203" s="106"/>
    </row>
    <row r="204" spans="1:20" x14ac:dyDescent="0.2">
      <c r="A204" s="106"/>
      <c r="B204" s="106"/>
      <c r="C204" s="106"/>
      <c r="D204" s="106"/>
      <c r="E204" s="113"/>
      <c r="F204" s="113"/>
      <c r="G204" s="116"/>
      <c r="H204" s="116"/>
      <c r="I204" s="106"/>
      <c r="J204" s="106"/>
      <c r="K204" s="106"/>
      <c r="L204" s="106"/>
      <c r="M204" s="106"/>
      <c r="N204" s="106"/>
      <c r="O204" s="106"/>
      <c r="P204" s="106"/>
      <c r="Q204" s="106"/>
      <c r="R204" s="106"/>
      <c r="S204" s="106"/>
      <c r="T204" s="106"/>
    </row>
    <row r="205" spans="1:20" x14ac:dyDescent="0.2">
      <c r="A205" s="106"/>
      <c r="B205" s="106"/>
      <c r="C205" s="106"/>
      <c r="D205" s="106"/>
      <c r="E205" s="113"/>
      <c r="F205" s="113"/>
      <c r="G205" s="116"/>
      <c r="H205" s="116"/>
      <c r="I205" s="106"/>
      <c r="J205" s="106"/>
      <c r="K205" s="106"/>
      <c r="L205" s="106"/>
      <c r="M205" s="106"/>
      <c r="N205" s="106"/>
      <c r="O205" s="106"/>
      <c r="P205" s="106"/>
      <c r="Q205" s="106"/>
      <c r="R205" s="106"/>
      <c r="S205" s="106"/>
      <c r="T205" s="106"/>
    </row>
    <row r="206" spans="1:20" x14ac:dyDescent="0.2">
      <c r="A206" s="106"/>
      <c r="B206" s="106"/>
      <c r="C206" s="106"/>
      <c r="D206" s="106"/>
      <c r="E206" s="113"/>
      <c r="F206" s="113"/>
      <c r="G206" s="116"/>
      <c r="H206" s="116"/>
      <c r="I206" s="106"/>
      <c r="J206" s="106"/>
      <c r="K206" s="106"/>
      <c r="L206" s="106"/>
      <c r="M206" s="106"/>
      <c r="N206" s="106"/>
      <c r="O206" s="106"/>
      <c r="P206" s="106"/>
      <c r="Q206" s="106"/>
      <c r="R206" s="106"/>
      <c r="S206" s="106"/>
      <c r="T206" s="106"/>
    </row>
    <row r="207" spans="1:20" x14ac:dyDescent="0.2">
      <c r="A207" s="106"/>
      <c r="B207" s="106"/>
      <c r="C207" s="106"/>
      <c r="D207" s="106"/>
      <c r="E207" s="113"/>
      <c r="F207" s="113"/>
      <c r="G207" s="116"/>
      <c r="H207" s="116"/>
      <c r="I207" s="106"/>
      <c r="J207" s="106"/>
      <c r="K207" s="106"/>
      <c r="L207" s="106"/>
      <c r="M207" s="106"/>
      <c r="N207" s="106"/>
      <c r="O207" s="106"/>
      <c r="P207" s="106"/>
      <c r="Q207" s="106"/>
      <c r="R207" s="106"/>
      <c r="S207" s="106"/>
      <c r="T207" s="106"/>
    </row>
    <row r="208" spans="1:20" x14ac:dyDescent="0.2">
      <c r="A208" s="106"/>
      <c r="B208" s="106"/>
      <c r="C208" s="106"/>
      <c r="D208" s="106"/>
      <c r="E208" s="113"/>
      <c r="F208" s="113"/>
      <c r="G208" s="116"/>
      <c r="H208" s="116"/>
      <c r="I208" s="106"/>
      <c r="J208" s="106"/>
      <c r="K208" s="106"/>
      <c r="L208" s="106"/>
      <c r="M208" s="106"/>
      <c r="N208" s="106"/>
      <c r="O208" s="106"/>
      <c r="P208" s="106"/>
      <c r="Q208" s="106"/>
      <c r="R208" s="106"/>
      <c r="S208" s="106"/>
      <c r="T208" s="106"/>
    </row>
    <row r="209" spans="1:20" x14ac:dyDescent="0.2">
      <c r="A209" s="106"/>
      <c r="B209" s="106"/>
      <c r="C209" s="106"/>
      <c r="D209" s="106"/>
      <c r="E209" s="113"/>
      <c r="F209" s="113"/>
      <c r="G209" s="116"/>
      <c r="H209" s="116"/>
      <c r="I209" s="106"/>
      <c r="J209" s="106"/>
      <c r="K209" s="106"/>
      <c r="L209" s="106"/>
      <c r="M209" s="106"/>
      <c r="N209" s="106"/>
      <c r="O209" s="106"/>
      <c r="P209" s="106"/>
      <c r="Q209" s="106"/>
      <c r="R209" s="106"/>
      <c r="S209" s="106"/>
      <c r="T209" s="106"/>
    </row>
    <row r="210" spans="1:20" x14ac:dyDescent="0.2">
      <c r="A210" s="106"/>
      <c r="B210" s="106"/>
      <c r="C210" s="106"/>
      <c r="D210" s="106"/>
      <c r="E210" s="113"/>
      <c r="F210" s="113"/>
      <c r="G210" s="116"/>
      <c r="H210" s="116"/>
      <c r="I210" s="106"/>
      <c r="J210" s="106"/>
      <c r="K210" s="106"/>
      <c r="L210" s="106"/>
      <c r="M210" s="106"/>
      <c r="N210" s="106"/>
      <c r="O210" s="106"/>
      <c r="P210" s="106"/>
      <c r="Q210" s="106"/>
      <c r="R210" s="106"/>
      <c r="S210" s="106"/>
      <c r="T210" s="106"/>
    </row>
    <row r="211" spans="1:20" x14ac:dyDescent="0.2">
      <c r="A211" s="106"/>
      <c r="B211" s="106"/>
      <c r="C211" s="106"/>
      <c r="D211" s="106"/>
      <c r="E211" s="113"/>
      <c r="F211" s="113"/>
      <c r="G211" s="116"/>
      <c r="H211" s="116"/>
      <c r="I211" s="106"/>
      <c r="J211" s="106"/>
      <c r="K211" s="106"/>
      <c r="L211" s="106"/>
      <c r="M211" s="106"/>
      <c r="N211" s="106"/>
      <c r="O211" s="106"/>
      <c r="P211" s="106"/>
      <c r="Q211" s="106"/>
      <c r="R211" s="106"/>
      <c r="S211" s="106"/>
      <c r="T211" s="106"/>
    </row>
    <row r="212" spans="1:20" x14ac:dyDescent="0.2">
      <c r="A212" s="106"/>
      <c r="B212" s="106"/>
      <c r="C212" s="106"/>
      <c r="D212" s="106"/>
      <c r="E212" s="113"/>
      <c r="F212" s="113"/>
      <c r="G212" s="116"/>
      <c r="H212" s="116"/>
      <c r="I212" s="106"/>
      <c r="J212" s="106"/>
      <c r="K212" s="106"/>
      <c r="L212" s="106"/>
      <c r="M212" s="106"/>
      <c r="N212" s="106"/>
      <c r="O212" s="106"/>
      <c r="P212" s="106"/>
      <c r="Q212" s="106"/>
      <c r="R212" s="106"/>
      <c r="S212" s="106"/>
      <c r="T212" s="106"/>
    </row>
    <row r="213" spans="1:20" x14ac:dyDescent="0.2">
      <c r="A213" s="106"/>
      <c r="B213" s="106"/>
      <c r="C213" s="106"/>
      <c r="D213" s="106"/>
      <c r="E213" s="113"/>
      <c r="F213" s="113"/>
      <c r="G213" s="116"/>
      <c r="H213" s="116"/>
      <c r="I213" s="106"/>
      <c r="J213" s="106"/>
      <c r="K213" s="106"/>
      <c r="L213" s="106"/>
      <c r="M213" s="106"/>
      <c r="N213" s="106"/>
      <c r="O213" s="106"/>
      <c r="P213" s="106"/>
      <c r="Q213" s="106"/>
      <c r="R213" s="106"/>
      <c r="S213" s="106"/>
      <c r="T213" s="106"/>
    </row>
    <row r="214" spans="1:20" x14ac:dyDescent="0.2">
      <c r="A214" s="106"/>
      <c r="B214" s="106"/>
      <c r="C214" s="106"/>
      <c r="D214" s="106"/>
      <c r="E214" s="113"/>
      <c r="F214" s="113"/>
      <c r="G214" s="116"/>
      <c r="H214" s="116"/>
      <c r="I214" s="106"/>
      <c r="J214" s="106"/>
      <c r="K214" s="106"/>
      <c r="L214" s="106"/>
      <c r="M214" s="106"/>
      <c r="N214" s="106"/>
      <c r="O214" s="106"/>
      <c r="P214" s="106"/>
      <c r="Q214" s="106"/>
      <c r="R214" s="106"/>
      <c r="S214" s="106"/>
      <c r="T214" s="106"/>
    </row>
    <row r="215" spans="1:20" x14ac:dyDescent="0.2">
      <c r="A215" s="106"/>
      <c r="B215" s="106"/>
      <c r="C215" s="106"/>
      <c r="D215" s="106"/>
      <c r="E215" s="113"/>
      <c r="F215" s="113"/>
      <c r="G215" s="116"/>
      <c r="H215" s="116"/>
      <c r="I215" s="106"/>
      <c r="J215" s="106"/>
      <c r="K215" s="106"/>
      <c r="L215" s="106"/>
      <c r="M215" s="106"/>
      <c r="N215" s="106"/>
      <c r="O215" s="106"/>
      <c r="P215" s="106"/>
      <c r="Q215" s="106"/>
      <c r="R215" s="106"/>
      <c r="S215" s="106"/>
      <c r="T215" s="106"/>
    </row>
    <row r="216" spans="1:20" x14ac:dyDescent="0.2">
      <c r="A216" s="106"/>
      <c r="B216" s="106"/>
      <c r="C216" s="106"/>
      <c r="D216" s="106"/>
      <c r="E216" s="113"/>
      <c r="F216" s="113"/>
      <c r="G216" s="116"/>
      <c r="H216" s="116"/>
      <c r="I216" s="106"/>
      <c r="J216" s="106"/>
      <c r="K216" s="106"/>
      <c r="L216" s="106"/>
      <c r="M216" s="106"/>
      <c r="N216" s="106"/>
      <c r="O216" s="106"/>
      <c r="P216" s="106"/>
      <c r="Q216" s="106"/>
      <c r="R216" s="106"/>
      <c r="S216" s="106"/>
      <c r="T216" s="106"/>
    </row>
    <row r="217" spans="1:20" x14ac:dyDescent="0.2">
      <c r="A217" s="106"/>
      <c r="B217" s="106"/>
      <c r="C217" s="106"/>
      <c r="D217" s="106"/>
      <c r="E217" s="113"/>
      <c r="F217" s="113"/>
      <c r="G217" s="116"/>
      <c r="H217" s="116"/>
      <c r="I217" s="106"/>
      <c r="J217" s="106"/>
      <c r="K217" s="106"/>
      <c r="L217" s="106"/>
      <c r="M217" s="106"/>
      <c r="N217" s="106"/>
      <c r="O217" s="106"/>
      <c r="P217" s="106"/>
      <c r="Q217" s="106"/>
      <c r="R217" s="106"/>
      <c r="S217" s="106"/>
      <c r="T217" s="106"/>
    </row>
    <row r="218" spans="1:20" x14ac:dyDescent="0.2">
      <c r="A218" s="106"/>
      <c r="B218" s="106"/>
      <c r="C218" s="106"/>
      <c r="D218" s="106"/>
      <c r="E218" s="113"/>
      <c r="F218" s="113"/>
      <c r="G218" s="116"/>
      <c r="H218" s="116"/>
      <c r="I218" s="106"/>
      <c r="J218" s="106"/>
      <c r="K218" s="106"/>
      <c r="L218" s="106"/>
      <c r="M218" s="106"/>
      <c r="N218" s="106"/>
      <c r="O218" s="106"/>
      <c r="P218" s="106"/>
      <c r="Q218" s="106"/>
      <c r="R218" s="106"/>
      <c r="S218" s="106"/>
      <c r="T218" s="106"/>
    </row>
    <row r="219" spans="1:20" x14ac:dyDescent="0.2">
      <c r="A219" s="106"/>
      <c r="B219" s="106"/>
      <c r="C219" s="106"/>
      <c r="D219" s="106"/>
      <c r="E219" s="113"/>
      <c r="F219" s="113"/>
      <c r="G219" s="116"/>
      <c r="H219" s="116"/>
      <c r="I219" s="106"/>
      <c r="J219" s="106"/>
      <c r="K219" s="106"/>
      <c r="L219" s="106"/>
      <c r="M219" s="106"/>
      <c r="N219" s="106"/>
      <c r="O219" s="106"/>
      <c r="P219" s="106"/>
      <c r="Q219" s="106"/>
      <c r="R219" s="106"/>
      <c r="S219" s="106"/>
      <c r="T219" s="106"/>
    </row>
    <row r="220" spans="1:20" x14ac:dyDescent="0.2">
      <c r="A220" s="106"/>
      <c r="B220" s="106"/>
      <c r="C220" s="106"/>
      <c r="D220" s="106"/>
      <c r="E220" s="113"/>
      <c r="F220" s="113"/>
      <c r="G220" s="116"/>
      <c r="H220" s="116"/>
      <c r="I220" s="106"/>
      <c r="J220" s="106"/>
      <c r="K220" s="106"/>
      <c r="L220" s="106"/>
      <c r="M220" s="106"/>
      <c r="N220" s="106"/>
      <c r="O220" s="106"/>
      <c r="P220" s="106"/>
      <c r="Q220" s="106"/>
      <c r="R220" s="106"/>
      <c r="S220" s="106"/>
      <c r="T220" s="106"/>
    </row>
    <row r="221" spans="1:20" x14ac:dyDescent="0.2">
      <c r="A221" s="106"/>
      <c r="B221" s="106"/>
      <c r="C221" s="106"/>
      <c r="D221" s="106"/>
      <c r="E221" s="113"/>
      <c r="F221" s="113"/>
      <c r="G221" s="116"/>
      <c r="H221" s="116"/>
      <c r="I221" s="106"/>
      <c r="J221" s="106"/>
      <c r="K221" s="106"/>
      <c r="L221" s="106"/>
      <c r="M221" s="106"/>
      <c r="N221" s="106"/>
      <c r="O221" s="106"/>
      <c r="P221" s="106"/>
      <c r="Q221" s="106"/>
      <c r="R221" s="106"/>
      <c r="S221" s="106"/>
      <c r="T221" s="106"/>
    </row>
    <row r="222" spans="1:20" x14ac:dyDescent="0.2">
      <c r="A222" s="106"/>
      <c r="B222" s="106"/>
      <c r="C222" s="106"/>
      <c r="D222" s="106"/>
      <c r="E222" s="113"/>
      <c r="F222" s="113"/>
      <c r="G222" s="116"/>
      <c r="H222" s="116"/>
      <c r="I222" s="106"/>
      <c r="J222" s="106"/>
      <c r="K222" s="106"/>
      <c r="L222" s="106"/>
      <c r="M222" s="106"/>
      <c r="N222" s="106"/>
      <c r="O222" s="106"/>
      <c r="P222" s="106"/>
      <c r="Q222" s="106"/>
      <c r="R222" s="106"/>
      <c r="S222" s="106"/>
      <c r="T222" s="106"/>
    </row>
    <row r="223" spans="1:20" x14ac:dyDescent="0.2">
      <c r="A223" s="106"/>
      <c r="B223" s="106"/>
      <c r="C223" s="106"/>
      <c r="D223" s="106"/>
      <c r="E223" s="113"/>
      <c r="F223" s="113"/>
      <c r="G223" s="116"/>
      <c r="H223" s="116"/>
      <c r="I223" s="106"/>
      <c r="J223" s="106"/>
      <c r="K223" s="106"/>
      <c r="L223" s="106"/>
      <c r="M223" s="106"/>
      <c r="N223" s="106"/>
      <c r="O223" s="106"/>
      <c r="P223" s="106"/>
      <c r="Q223" s="106"/>
      <c r="R223" s="106"/>
      <c r="S223" s="106"/>
      <c r="T223" s="106"/>
    </row>
    <row r="224" spans="1:20" x14ac:dyDescent="0.2">
      <c r="A224" s="106"/>
      <c r="B224" s="106"/>
      <c r="C224" s="106"/>
      <c r="D224" s="106"/>
      <c r="E224" s="113"/>
      <c r="F224" s="113"/>
      <c r="G224" s="116"/>
      <c r="H224" s="116"/>
      <c r="I224" s="106"/>
      <c r="J224" s="106"/>
      <c r="K224" s="106"/>
      <c r="L224" s="106"/>
      <c r="M224" s="106"/>
      <c r="N224" s="106"/>
      <c r="O224" s="106"/>
      <c r="P224" s="106"/>
      <c r="Q224" s="106"/>
      <c r="R224" s="106"/>
      <c r="S224" s="106"/>
      <c r="T224" s="106"/>
    </row>
    <row r="225" spans="1:20" x14ac:dyDescent="0.2">
      <c r="A225" s="106"/>
      <c r="B225" s="106"/>
      <c r="C225" s="106"/>
      <c r="D225" s="106"/>
      <c r="E225" s="113"/>
      <c r="F225" s="113"/>
      <c r="G225" s="116"/>
      <c r="H225" s="116"/>
      <c r="I225" s="106"/>
      <c r="J225" s="106"/>
      <c r="K225" s="106"/>
      <c r="L225" s="106"/>
      <c r="M225" s="106"/>
      <c r="N225" s="106"/>
      <c r="O225" s="106"/>
      <c r="P225" s="106"/>
      <c r="Q225" s="106"/>
      <c r="R225" s="106"/>
      <c r="S225" s="106"/>
      <c r="T225" s="106"/>
    </row>
    <row r="226" spans="1:20" x14ac:dyDescent="0.2">
      <c r="A226" s="106"/>
      <c r="B226" s="106"/>
      <c r="C226" s="106"/>
      <c r="D226" s="106"/>
      <c r="E226" s="113"/>
      <c r="F226" s="113"/>
      <c r="G226" s="116"/>
      <c r="H226" s="116"/>
      <c r="I226" s="106"/>
      <c r="J226" s="106"/>
      <c r="K226" s="106"/>
      <c r="L226" s="106"/>
      <c r="M226" s="106"/>
      <c r="N226" s="106"/>
      <c r="O226" s="106"/>
      <c r="P226" s="106"/>
      <c r="Q226" s="106"/>
      <c r="R226" s="106"/>
      <c r="S226" s="106"/>
      <c r="T226" s="106"/>
    </row>
    <row r="227" spans="1:20" x14ac:dyDescent="0.2">
      <c r="A227" s="106"/>
      <c r="B227" s="106"/>
      <c r="C227" s="106"/>
      <c r="D227" s="106"/>
      <c r="E227" s="113"/>
      <c r="F227" s="113"/>
      <c r="G227" s="116"/>
      <c r="H227" s="116"/>
      <c r="I227" s="106"/>
      <c r="J227" s="106"/>
      <c r="K227" s="106"/>
      <c r="L227" s="106"/>
      <c r="M227" s="106"/>
      <c r="N227" s="106"/>
      <c r="O227" s="106"/>
      <c r="P227" s="106"/>
      <c r="Q227" s="106"/>
      <c r="R227" s="106"/>
      <c r="S227" s="106"/>
      <c r="T227" s="106"/>
    </row>
    <row r="228" spans="1:20" x14ac:dyDescent="0.2">
      <c r="A228" s="106"/>
      <c r="B228" s="106"/>
      <c r="C228" s="106"/>
      <c r="D228" s="106"/>
      <c r="E228" s="113"/>
      <c r="F228" s="113"/>
      <c r="G228" s="116"/>
      <c r="H228" s="116"/>
      <c r="I228" s="106"/>
      <c r="J228" s="106"/>
      <c r="K228" s="106"/>
      <c r="L228" s="106"/>
      <c r="M228" s="106"/>
      <c r="N228" s="106"/>
      <c r="O228" s="106"/>
      <c r="P228" s="106"/>
      <c r="Q228" s="106"/>
      <c r="R228" s="106"/>
      <c r="S228" s="106"/>
      <c r="T228" s="106"/>
    </row>
    <row r="229" spans="1:20" x14ac:dyDescent="0.2">
      <c r="A229" s="106"/>
      <c r="B229" s="106"/>
      <c r="C229" s="106"/>
      <c r="D229" s="106"/>
      <c r="E229" s="113"/>
      <c r="F229" s="113"/>
      <c r="G229" s="116"/>
      <c r="H229" s="116"/>
      <c r="I229" s="106"/>
      <c r="J229" s="106"/>
      <c r="K229" s="106"/>
      <c r="L229" s="106"/>
      <c r="M229" s="106"/>
      <c r="N229" s="106"/>
      <c r="O229" s="106"/>
      <c r="P229" s="106"/>
      <c r="Q229" s="106"/>
      <c r="R229" s="106"/>
      <c r="S229" s="106"/>
      <c r="T229" s="106"/>
    </row>
    <row r="230" spans="1:20" x14ac:dyDescent="0.2">
      <c r="A230" s="106"/>
      <c r="B230" s="106"/>
      <c r="C230" s="106"/>
      <c r="D230" s="106"/>
      <c r="E230" s="113"/>
      <c r="F230" s="113"/>
      <c r="G230" s="116"/>
      <c r="H230" s="116"/>
      <c r="I230" s="106"/>
      <c r="J230" s="106"/>
      <c r="K230" s="106"/>
      <c r="L230" s="106"/>
      <c r="M230" s="106"/>
      <c r="N230" s="106"/>
      <c r="O230" s="106"/>
      <c r="P230" s="106"/>
      <c r="Q230" s="106"/>
      <c r="R230" s="106"/>
      <c r="S230" s="106"/>
      <c r="T230" s="106"/>
    </row>
    <row r="231" spans="1:20" x14ac:dyDescent="0.2">
      <c r="A231" s="106"/>
      <c r="B231" s="106"/>
      <c r="C231" s="106"/>
      <c r="D231" s="106"/>
      <c r="E231" s="113"/>
      <c r="F231" s="113"/>
      <c r="G231" s="116"/>
      <c r="H231" s="116"/>
      <c r="I231" s="106"/>
      <c r="J231" s="106"/>
      <c r="K231" s="106"/>
      <c r="L231" s="106"/>
      <c r="M231" s="106"/>
      <c r="N231" s="106"/>
      <c r="O231" s="106"/>
      <c r="P231" s="106"/>
      <c r="Q231" s="106"/>
      <c r="R231" s="106"/>
      <c r="S231" s="106"/>
      <c r="T231" s="106"/>
    </row>
    <row r="232" spans="1:20" x14ac:dyDescent="0.2">
      <c r="A232" s="106"/>
      <c r="B232" s="106"/>
      <c r="C232" s="106"/>
      <c r="D232" s="106"/>
      <c r="E232" s="113"/>
      <c r="F232" s="113"/>
      <c r="G232" s="116"/>
      <c r="H232" s="116"/>
      <c r="I232" s="106"/>
      <c r="J232" s="106"/>
      <c r="K232" s="106"/>
      <c r="L232" s="106"/>
      <c r="M232" s="106"/>
      <c r="N232" s="106"/>
      <c r="O232" s="106"/>
      <c r="P232" s="106"/>
      <c r="Q232" s="106"/>
      <c r="R232" s="106"/>
      <c r="S232" s="106"/>
      <c r="T232" s="106"/>
    </row>
    <row r="233" spans="1:20" x14ac:dyDescent="0.2">
      <c r="A233" s="106"/>
      <c r="B233" s="106"/>
      <c r="C233" s="106"/>
      <c r="D233" s="106"/>
      <c r="E233" s="113"/>
      <c r="F233" s="113"/>
      <c r="G233" s="116"/>
      <c r="H233" s="116"/>
      <c r="I233" s="106"/>
      <c r="J233" s="106"/>
      <c r="K233" s="106"/>
      <c r="L233" s="106"/>
      <c r="M233" s="106"/>
      <c r="N233" s="106"/>
      <c r="O233" s="106"/>
      <c r="P233" s="106"/>
      <c r="Q233" s="106"/>
      <c r="R233" s="106"/>
      <c r="S233" s="106"/>
      <c r="T233" s="106"/>
    </row>
    <row r="234" spans="1:20" x14ac:dyDescent="0.2">
      <c r="A234" s="106"/>
      <c r="B234" s="106"/>
      <c r="C234" s="106"/>
      <c r="D234" s="106"/>
      <c r="E234" s="113"/>
      <c r="F234" s="113"/>
      <c r="G234" s="116"/>
      <c r="H234" s="116"/>
      <c r="I234" s="106"/>
      <c r="J234" s="106"/>
      <c r="K234" s="106"/>
      <c r="L234" s="106"/>
      <c r="M234" s="106"/>
      <c r="N234" s="106"/>
      <c r="O234" s="106"/>
      <c r="P234" s="106"/>
      <c r="Q234" s="106"/>
      <c r="R234" s="106"/>
      <c r="S234" s="106"/>
      <c r="T234" s="106"/>
    </row>
    <row r="235" spans="1:20" x14ac:dyDescent="0.2">
      <c r="A235" s="106"/>
      <c r="B235" s="106"/>
      <c r="C235" s="106"/>
      <c r="D235" s="106"/>
      <c r="E235" s="113"/>
      <c r="F235" s="113"/>
      <c r="G235" s="116"/>
      <c r="H235" s="116"/>
      <c r="I235" s="106"/>
      <c r="J235" s="106"/>
      <c r="K235" s="106"/>
      <c r="L235" s="106"/>
      <c r="M235" s="106"/>
      <c r="N235" s="106"/>
      <c r="O235" s="106"/>
      <c r="P235" s="106"/>
      <c r="Q235" s="106"/>
      <c r="R235" s="106"/>
      <c r="S235" s="106"/>
      <c r="T235" s="106"/>
    </row>
    <row r="236" spans="1:20" x14ac:dyDescent="0.2">
      <c r="A236" s="106"/>
      <c r="B236" s="106"/>
      <c r="C236" s="106"/>
      <c r="D236" s="106"/>
      <c r="E236" s="113"/>
      <c r="F236" s="113"/>
      <c r="G236" s="116"/>
      <c r="H236" s="116"/>
      <c r="I236" s="106"/>
      <c r="J236" s="106"/>
      <c r="K236" s="106"/>
      <c r="L236" s="106"/>
      <c r="M236" s="106"/>
      <c r="N236" s="106"/>
      <c r="O236" s="106"/>
      <c r="P236" s="106"/>
      <c r="Q236" s="106"/>
      <c r="R236" s="106"/>
      <c r="S236" s="106"/>
      <c r="T236" s="106"/>
    </row>
    <row r="237" spans="1:20" x14ac:dyDescent="0.2">
      <c r="A237" s="106"/>
      <c r="B237" s="106"/>
      <c r="C237" s="106"/>
      <c r="D237" s="106"/>
      <c r="E237" s="113"/>
      <c r="F237" s="113"/>
      <c r="G237" s="116"/>
      <c r="H237" s="116"/>
      <c r="I237" s="106"/>
      <c r="J237" s="106"/>
      <c r="K237" s="106"/>
      <c r="L237" s="106"/>
      <c r="M237" s="106"/>
      <c r="N237" s="106"/>
      <c r="O237" s="106"/>
      <c r="P237" s="106"/>
      <c r="Q237" s="106"/>
      <c r="R237" s="106"/>
      <c r="S237" s="106"/>
      <c r="T237" s="106"/>
    </row>
    <row r="238" spans="1:20" x14ac:dyDescent="0.2">
      <c r="A238" s="106"/>
      <c r="B238" s="106"/>
      <c r="C238" s="106"/>
      <c r="D238" s="106"/>
      <c r="E238" s="113"/>
      <c r="F238" s="113"/>
      <c r="G238" s="116"/>
      <c r="H238" s="116"/>
      <c r="I238" s="106"/>
      <c r="J238" s="106"/>
      <c r="K238" s="106"/>
      <c r="L238" s="106"/>
      <c r="M238" s="106"/>
      <c r="N238" s="106"/>
      <c r="O238" s="106"/>
      <c r="P238" s="106"/>
      <c r="Q238" s="106"/>
      <c r="R238" s="106"/>
      <c r="S238" s="106"/>
      <c r="T238" s="106"/>
    </row>
    <row r="239" spans="1:20" x14ac:dyDescent="0.2">
      <c r="A239" s="106"/>
      <c r="B239" s="106"/>
      <c r="C239" s="106"/>
      <c r="D239" s="106"/>
      <c r="E239" s="113"/>
      <c r="F239" s="113"/>
      <c r="G239" s="116"/>
      <c r="H239" s="116"/>
      <c r="I239" s="106"/>
      <c r="J239" s="106"/>
      <c r="K239" s="106"/>
      <c r="L239" s="106"/>
      <c r="M239" s="106"/>
      <c r="N239" s="106"/>
      <c r="O239" s="106"/>
      <c r="P239" s="106"/>
      <c r="Q239" s="106"/>
      <c r="R239" s="106"/>
      <c r="S239" s="106"/>
      <c r="T239" s="106"/>
    </row>
    <row r="240" spans="1:20" x14ac:dyDescent="0.2">
      <c r="A240" s="106"/>
      <c r="B240" s="106"/>
      <c r="C240" s="106"/>
      <c r="D240" s="106"/>
      <c r="E240" s="113"/>
      <c r="F240" s="113"/>
      <c r="G240" s="116"/>
      <c r="H240" s="116"/>
      <c r="I240" s="106"/>
      <c r="J240" s="106"/>
      <c r="K240" s="106"/>
      <c r="L240" s="106"/>
      <c r="M240" s="106"/>
      <c r="N240" s="106"/>
      <c r="O240" s="106"/>
      <c r="P240" s="106"/>
      <c r="Q240" s="106"/>
      <c r="R240" s="106"/>
      <c r="S240" s="106"/>
      <c r="T240" s="106"/>
    </row>
    <row r="241" spans="1:20" x14ac:dyDescent="0.2">
      <c r="A241" s="106"/>
      <c r="B241" s="106"/>
      <c r="C241" s="106"/>
      <c r="D241" s="106"/>
      <c r="E241" s="113"/>
      <c r="F241" s="113"/>
      <c r="G241" s="116"/>
      <c r="H241" s="116"/>
      <c r="I241" s="106"/>
      <c r="J241" s="106"/>
      <c r="K241" s="106"/>
      <c r="L241" s="106"/>
      <c r="M241" s="106"/>
      <c r="N241" s="106"/>
      <c r="O241" s="106"/>
      <c r="P241" s="106"/>
      <c r="Q241" s="106"/>
      <c r="R241" s="106"/>
      <c r="S241" s="106"/>
      <c r="T241" s="106"/>
    </row>
    <row r="242" spans="1:20" x14ac:dyDescent="0.2">
      <c r="A242" s="106"/>
      <c r="B242" s="106"/>
      <c r="C242" s="106"/>
      <c r="D242" s="106"/>
      <c r="E242" s="113"/>
      <c r="F242" s="113"/>
      <c r="G242" s="116"/>
      <c r="H242" s="116"/>
      <c r="I242" s="106"/>
      <c r="J242" s="106"/>
      <c r="K242" s="106"/>
      <c r="L242" s="106"/>
      <c r="M242" s="106"/>
      <c r="N242" s="106"/>
      <c r="O242" s="106"/>
      <c r="P242" s="106"/>
      <c r="Q242" s="106"/>
      <c r="R242" s="106"/>
      <c r="S242" s="106"/>
      <c r="T242" s="106"/>
    </row>
    <row r="243" spans="1:20" x14ac:dyDescent="0.2">
      <c r="A243" s="106"/>
      <c r="B243" s="106"/>
      <c r="C243" s="106"/>
      <c r="D243" s="106"/>
      <c r="E243" s="113"/>
      <c r="F243" s="113"/>
      <c r="G243" s="116"/>
      <c r="H243" s="116"/>
      <c r="I243" s="106"/>
      <c r="J243" s="106"/>
      <c r="K243" s="106"/>
      <c r="L243" s="106"/>
      <c r="M243" s="106"/>
      <c r="N243" s="106"/>
      <c r="O243" s="106"/>
      <c r="P243" s="106"/>
      <c r="Q243" s="106"/>
      <c r="R243" s="106"/>
      <c r="S243" s="106"/>
      <c r="T243" s="106"/>
    </row>
    <row r="244" spans="1:20" x14ac:dyDescent="0.2">
      <c r="A244" s="106"/>
      <c r="B244" s="106"/>
      <c r="C244" s="106"/>
      <c r="D244" s="106"/>
      <c r="E244" s="113"/>
      <c r="F244" s="113"/>
      <c r="G244" s="116"/>
      <c r="H244" s="116"/>
      <c r="I244" s="106"/>
      <c r="J244" s="106"/>
      <c r="K244" s="106"/>
      <c r="L244" s="106"/>
      <c r="M244" s="106"/>
      <c r="N244" s="106"/>
      <c r="O244" s="106"/>
      <c r="P244" s="106"/>
      <c r="Q244" s="106"/>
      <c r="R244" s="106"/>
      <c r="S244" s="106"/>
      <c r="T244" s="106"/>
    </row>
    <row r="245" spans="1:20" x14ac:dyDescent="0.2">
      <c r="A245" s="106"/>
      <c r="B245" s="106"/>
      <c r="C245" s="106"/>
      <c r="D245" s="106"/>
      <c r="E245" s="113"/>
      <c r="F245" s="113"/>
      <c r="G245" s="116"/>
      <c r="H245" s="116"/>
      <c r="I245" s="106"/>
      <c r="J245" s="106"/>
      <c r="K245" s="106"/>
      <c r="L245" s="106"/>
      <c r="M245" s="106"/>
      <c r="N245" s="106"/>
      <c r="O245" s="106"/>
      <c r="P245" s="106"/>
      <c r="Q245" s="106"/>
      <c r="R245" s="106"/>
      <c r="S245" s="106"/>
      <c r="T245" s="106"/>
    </row>
    <row r="246" spans="1:20" x14ac:dyDescent="0.2">
      <c r="A246" s="106"/>
      <c r="B246" s="106"/>
      <c r="C246" s="106"/>
      <c r="D246" s="106"/>
      <c r="E246" s="113"/>
      <c r="F246" s="113"/>
      <c r="G246" s="116"/>
      <c r="H246" s="116"/>
      <c r="I246" s="106"/>
      <c r="J246" s="106"/>
      <c r="K246" s="106"/>
      <c r="L246" s="106"/>
      <c r="M246" s="106"/>
      <c r="N246" s="106"/>
      <c r="O246" s="106"/>
      <c r="P246" s="106"/>
      <c r="Q246" s="106"/>
      <c r="R246" s="106"/>
      <c r="S246" s="106"/>
      <c r="T246" s="106"/>
    </row>
    <row r="247" spans="1:20" x14ac:dyDescent="0.2">
      <c r="A247" s="106"/>
      <c r="B247" s="106"/>
      <c r="C247" s="106"/>
      <c r="D247" s="106"/>
      <c r="E247" s="113"/>
      <c r="F247" s="113"/>
      <c r="G247" s="116"/>
      <c r="H247" s="116"/>
      <c r="I247" s="106"/>
      <c r="J247" s="106"/>
      <c r="K247" s="106"/>
      <c r="L247" s="106"/>
      <c r="M247" s="106"/>
      <c r="N247" s="106"/>
      <c r="O247" s="106"/>
      <c r="P247" s="106"/>
      <c r="Q247" s="106"/>
      <c r="R247" s="106"/>
      <c r="S247" s="106"/>
      <c r="T247" s="106"/>
    </row>
    <row r="248" spans="1:20" x14ac:dyDescent="0.2">
      <c r="A248" s="106"/>
      <c r="B248" s="106"/>
      <c r="C248" s="106"/>
      <c r="D248" s="106"/>
      <c r="E248" s="113"/>
      <c r="F248" s="113"/>
      <c r="G248" s="116"/>
      <c r="H248" s="116"/>
      <c r="I248" s="106"/>
      <c r="J248" s="106"/>
      <c r="K248" s="106"/>
      <c r="L248" s="106"/>
      <c r="M248" s="106"/>
      <c r="N248" s="106"/>
      <c r="O248" s="106"/>
      <c r="P248" s="106"/>
      <c r="Q248" s="106"/>
      <c r="R248" s="106"/>
      <c r="S248" s="106"/>
      <c r="T248" s="106"/>
    </row>
    <row r="249" spans="1:20" x14ac:dyDescent="0.2">
      <c r="A249" s="106"/>
      <c r="B249" s="106"/>
      <c r="C249" s="106"/>
      <c r="D249" s="106"/>
      <c r="E249" s="113"/>
      <c r="F249" s="113"/>
      <c r="G249" s="116"/>
      <c r="H249" s="116"/>
      <c r="I249" s="106"/>
      <c r="J249" s="106"/>
      <c r="K249" s="106"/>
      <c r="L249" s="106"/>
      <c r="M249" s="106"/>
      <c r="N249" s="106"/>
      <c r="O249" s="106"/>
      <c r="P249" s="106"/>
      <c r="Q249" s="106"/>
      <c r="R249" s="106"/>
      <c r="S249" s="106"/>
      <c r="T249" s="106"/>
    </row>
    <row r="250" spans="1:20" x14ac:dyDescent="0.2">
      <c r="A250" s="106"/>
      <c r="B250" s="106"/>
      <c r="C250" s="106"/>
      <c r="D250" s="106"/>
      <c r="E250" s="113"/>
      <c r="F250" s="113"/>
      <c r="G250" s="116"/>
      <c r="H250" s="116"/>
      <c r="I250" s="106"/>
      <c r="J250" s="106"/>
      <c r="K250" s="106"/>
      <c r="L250" s="106"/>
      <c r="M250" s="106"/>
      <c r="N250" s="106"/>
      <c r="O250" s="106"/>
      <c r="P250" s="106"/>
      <c r="Q250" s="106"/>
      <c r="R250" s="106"/>
      <c r="S250" s="106"/>
      <c r="T250" s="106"/>
    </row>
    <row r="251" spans="1:20" x14ac:dyDescent="0.2">
      <c r="A251" s="106"/>
      <c r="B251" s="106"/>
      <c r="C251" s="106"/>
      <c r="D251" s="106"/>
      <c r="E251" s="113"/>
      <c r="F251" s="113"/>
      <c r="G251" s="116"/>
      <c r="H251" s="116"/>
      <c r="I251" s="106"/>
      <c r="J251" s="106"/>
      <c r="K251" s="106"/>
      <c r="L251" s="106"/>
      <c r="M251" s="106"/>
      <c r="N251" s="106"/>
      <c r="O251" s="106"/>
      <c r="P251" s="106"/>
      <c r="Q251" s="106"/>
      <c r="R251" s="106"/>
      <c r="S251" s="106"/>
      <c r="T251" s="106"/>
    </row>
    <row r="252" spans="1:20" x14ac:dyDescent="0.2">
      <c r="A252" s="106"/>
      <c r="B252" s="106"/>
      <c r="C252" s="106"/>
      <c r="D252" s="106"/>
      <c r="E252" s="113"/>
      <c r="F252" s="113"/>
      <c r="G252" s="116"/>
      <c r="H252" s="116"/>
      <c r="I252" s="106"/>
      <c r="J252" s="106"/>
      <c r="K252" s="106"/>
      <c r="L252" s="106"/>
      <c r="M252" s="106"/>
      <c r="N252" s="106"/>
      <c r="O252" s="106"/>
      <c r="P252" s="106"/>
      <c r="Q252" s="106"/>
      <c r="R252" s="106"/>
      <c r="S252" s="106"/>
      <c r="T252" s="106"/>
    </row>
    <row r="253" spans="1:20" x14ac:dyDescent="0.2">
      <c r="A253" s="106"/>
      <c r="B253" s="106"/>
      <c r="C253" s="106"/>
      <c r="D253" s="106"/>
      <c r="E253" s="113"/>
      <c r="F253" s="113"/>
      <c r="G253" s="116"/>
      <c r="H253" s="116"/>
      <c r="I253" s="106"/>
      <c r="J253" s="106"/>
      <c r="K253" s="106"/>
      <c r="L253" s="106"/>
      <c r="M253" s="106"/>
      <c r="N253" s="106"/>
      <c r="O253" s="106"/>
      <c r="P253" s="106"/>
      <c r="Q253" s="106"/>
      <c r="R253" s="106"/>
      <c r="S253" s="106"/>
      <c r="T253" s="106"/>
    </row>
    <row r="254" spans="1:20" x14ac:dyDescent="0.2">
      <c r="A254" s="106"/>
      <c r="B254" s="106"/>
      <c r="C254" s="106"/>
      <c r="D254" s="106"/>
      <c r="E254" s="113"/>
      <c r="F254" s="113"/>
      <c r="G254" s="116"/>
      <c r="H254" s="116"/>
      <c r="I254" s="106"/>
      <c r="J254" s="106"/>
      <c r="K254" s="106"/>
      <c r="L254" s="106"/>
      <c r="M254" s="106"/>
      <c r="N254" s="106"/>
      <c r="O254" s="106"/>
      <c r="P254" s="106"/>
      <c r="Q254" s="106"/>
      <c r="R254" s="106"/>
      <c r="S254" s="106"/>
      <c r="T254" s="106"/>
    </row>
    <row r="255" spans="1:20" x14ac:dyDescent="0.2">
      <c r="A255" s="106"/>
      <c r="B255" s="106"/>
      <c r="C255" s="106"/>
      <c r="D255" s="106"/>
      <c r="E255" s="113"/>
      <c r="F255" s="113"/>
      <c r="G255" s="116"/>
      <c r="H255" s="116"/>
      <c r="I255" s="106"/>
      <c r="J255" s="106"/>
      <c r="K255" s="106"/>
      <c r="L255" s="106"/>
      <c r="M255" s="106"/>
      <c r="N255" s="106"/>
      <c r="O255" s="106"/>
      <c r="P255" s="106"/>
      <c r="Q255" s="106"/>
      <c r="R255" s="106"/>
      <c r="S255" s="106"/>
      <c r="T255" s="106"/>
    </row>
    <row r="256" spans="1:20" x14ac:dyDescent="0.2">
      <c r="A256" s="106"/>
      <c r="B256" s="106"/>
      <c r="C256" s="106"/>
      <c r="D256" s="106"/>
      <c r="E256" s="113"/>
      <c r="F256" s="113"/>
      <c r="G256" s="116"/>
      <c r="H256" s="116"/>
      <c r="I256" s="106"/>
      <c r="J256" s="106"/>
      <c r="K256" s="106"/>
      <c r="L256" s="106"/>
      <c r="M256" s="106"/>
      <c r="N256" s="106"/>
      <c r="O256" s="106"/>
      <c r="P256" s="106"/>
      <c r="Q256" s="106"/>
      <c r="R256" s="106"/>
      <c r="S256" s="106"/>
      <c r="T256" s="106"/>
    </row>
    <row r="257" spans="1:20" x14ac:dyDescent="0.2">
      <c r="A257" s="106"/>
      <c r="B257" s="106"/>
      <c r="C257" s="106"/>
      <c r="D257" s="106"/>
      <c r="E257" s="113"/>
      <c r="F257" s="113"/>
      <c r="G257" s="116"/>
      <c r="H257" s="116"/>
      <c r="I257" s="106"/>
      <c r="J257" s="106"/>
      <c r="K257" s="106"/>
      <c r="L257" s="106"/>
      <c r="M257" s="106"/>
      <c r="N257" s="106"/>
      <c r="O257" s="106"/>
      <c r="P257" s="106"/>
      <c r="Q257" s="106"/>
      <c r="R257" s="106"/>
      <c r="S257" s="106"/>
      <c r="T257" s="106"/>
    </row>
    <row r="258" spans="1:20" x14ac:dyDescent="0.2">
      <c r="A258" s="106"/>
      <c r="B258" s="106"/>
      <c r="C258" s="106"/>
      <c r="D258" s="106"/>
      <c r="E258" s="113"/>
      <c r="F258" s="113"/>
      <c r="G258" s="116"/>
      <c r="H258" s="116"/>
      <c r="I258" s="106"/>
      <c r="J258" s="106"/>
      <c r="K258" s="106"/>
      <c r="L258" s="106"/>
      <c r="M258" s="106"/>
      <c r="N258" s="106"/>
      <c r="O258" s="106"/>
      <c r="P258" s="106"/>
      <c r="Q258" s="106"/>
      <c r="R258" s="106"/>
      <c r="S258" s="106"/>
      <c r="T258" s="106"/>
    </row>
    <row r="259" spans="1:20" x14ac:dyDescent="0.2">
      <c r="A259" s="106"/>
      <c r="B259" s="106"/>
      <c r="C259" s="106"/>
      <c r="D259" s="106"/>
      <c r="E259" s="113"/>
      <c r="F259" s="113"/>
      <c r="G259" s="116"/>
      <c r="H259" s="116"/>
      <c r="I259" s="106"/>
      <c r="J259" s="106"/>
      <c r="K259" s="106"/>
      <c r="L259" s="106"/>
      <c r="M259" s="106"/>
      <c r="N259" s="106"/>
      <c r="O259" s="106"/>
      <c r="P259" s="106"/>
      <c r="Q259" s="106"/>
      <c r="R259" s="106"/>
      <c r="S259" s="106"/>
      <c r="T259" s="106"/>
    </row>
    <row r="260" spans="1:20" x14ac:dyDescent="0.2">
      <c r="A260" s="106"/>
      <c r="B260" s="106"/>
      <c r="C260" s="106"/>
      <c r="D260" s="106"/>
      <c r="E260" s="113"/>
      <c r="F260" s="113"/>
      <c r="G260" s="116"/>
      <c r="H260" s="116"/>
      <c r="I260" s="106"/>
      <c r="J260" s="106"/>
      <c r="K260" s="106"/>
      <c r="L260" s="106"/>
      <c r="M260" s="106"/>
      <c r="N260" s="106"/>
      <c r="O260" s="106"/>
      <c r="P260" s="106"/>
      <c r="Q260" s="106"/>
      <c r="R260" s="106"/>
      <c r="S260" s="106"/>
      <c r="T260" s="106"/>
    </row>
    <row r="261" spans="1:20" x14ac:dyDescent="0.2">
      <c r="A261" s="106"/>
      <c r="B261" s="106"/>
      <c r="C261" s="106"/>
      <c r="D261" s="106"/>
      <c r="E261" s="113"/>
      <c r="F261" s="113"/>
      <c r="G261" s="116"/>
      <c r="H261" s="116"/>
      <c r="I261" s="106"/>
      <c r="J261" s="106"/>
      <c r="K261" s="106"/>
      <c r="L261" s="106"/>
      <c r="M261" s="106"/>
      <c r="N261" s="106"/>
      <c r="O261" s="106"/>
      <c r="P261" s="106"/>
      <c r="Q261" s="106"/>
      <c r="R261" s="106"/>
      <c r="S261" s="106"/>
      <c r="T261" s="106"/>
    </row>
    <row r="262" spans="1:20" x14ac:dyDescent="0.2">
      <c r="A262" s="106"/>
      <c r="B262" s="106"/>
      <c r="C262" s="106"/>
      <c r="D262" s="106"/>
      <c r="E262" s="113"/>
      <c r="F262" s="113"/>
      <c r="G262" s="116"/>
      <c r="H262" s="116"/>
      <c r="I262" s="106"/>
      <c r="J262" s="106"/>
      <c r="K262" s="106"/>
      <c r="L262" s="106"/>
      <c r="M262" s="106"/>
      <c r="N262" s="106"/>
      <c r="O262" s="106"/>
      <c r="P262" s="106"/>
      <c r="Q262" s="106"/>
      <c r="R262" s="106"/>
      <c r="S262" s="106"/>
      <c r="T262" s="106"/>
    </row>
    <row r="263" spans="1:20" x14ac:dyDescent="0.2">
      <c r="A263" s="106"/>
      <c r="B263" s="106"/>
      <c r="C263" s="106"/>
      <c r="D263" s="106"/>
      <c r="E263" s="113"/>
      <c r="F263" s="113"/>
      <c r="G263" s="116"/>
      <c r="H263" s="116"/>
      <c r="I263" s="106"/>
      <c r="J263" s="106"/>
      <c r="K263" s="106"/>
      <c r="L263" s="106"/>
      <c r="M263" s="106"/>
      <c r="N263" s="106"/>
      <c r="O263" s="106"/>
      <c r="P263" s="106"/>
      <c r="Q263" s="106"/>
      <c r="R263" s="106"/>
      <c r="S263" s="106"/>
      <c r="T263" s="106"/>
    </row>
    <row r="264" spans="1:20" x14ac:dyDescent="0.2">
      <c r="A264" s="106"/>
      <c r="B264" s="106"/>
      <c r="C264" s="106"/>
      <c r="D264" s="106"/>
      <c r="E264" s="113"/>
      <c r="F264" s="113"/>
      <c r="G264" s="116"/>
      <c r="H264" s="116"/>
      <c r="I264" s="106"/>
      <c r="J264" s="106"/>
      <c r="K264" s="106"/>
      <c r="L264" s="106"/>
      <c r="M264" s="106"/>
      <c r="N264" s="106"/>
      <c r="O264" s="106"/>
      <c r="P264" s="106"/>
      <c r="Q264" s="106"/>
      <c r="R264" s="106"/>
      <c r="S264" s="106"/>
      <c r="T264" s="106"/>
    </row>
    <row r="265" spans="1:20" x14ac:dyDescent="0.2">
      <c r="A265" s="106"/>
      <c r="B265" s="106"/>
      <c r="C265" s="106"/>
      <c r="D265" s="106"/>
      <c r="E265" s="113"/>
      <c r="F265" s="113"/>
      <c r="G265" s="116"/>
      <c r="H265" s="116"/>
      <c r="I265" s="106"/>
      <c r="J265" s="106"/>
      <c r="K265" s="106"/>
      <c r="L265" s="106"/>
      <c r="M265" s="106"/>
      <c r="N265" s="106"/>
      <c r="O265" s="106"/>
      <c r="P265" s="106"/>
      <c r="Q265" s="106"/>
      <c r="R265" s="106"/>
      <c r="S265" s="106"/>
      <c r="T265" s="106"/>
    </row>
    <row r="266" spans="1:20" x14ac:dyDescent="0.2">
      <c r="A266" s="106"/>
      <c r="B266" s="106"/>
      <c r="C266" s="106"/>
      <c r="D266" s="106"/>
      <c r="E266" s="113"/>
      <c r="F266" s="113"/>
      <c r="G266" s="116"/>
      <c r="H266" s="116"/>
      <c r="I266" s="106"/>
      <c r="J266" s="106"/>
      <c r="K266" s="106"/>
      <c r="L266" s="106"/>
      <c r="M266" s="106"/>
      <c r="N266" s="106"/>
      <c r="O266" s="106"/>
      <c r="P266" s="106"/>
      <c r="Q266" s="106"/>
      <c r="R266" s="106"/>
      <c r="S266" s="106"/>
      <c r="T266" s="106"/>
    </row>
    <row r="267" spans="1:20" x14ac:dyDescent="0.2">
      <c r="A267" s="106"/>
      <c r="B267" s="106"/>
      <c r="C267" s="106"/>
      <c r="D267" s="106"/>
      <c r="E267" s="113"/>
      <c r="F267" s="113"/>
      <c r="G267" s="116"/>
      <c r="H267" s="116"/>
      <c r="I267" s="106"/>
      <c r="J267" s="106"/>
      <c r="K267" s="106"/>
      <c r="L267" s="106"/>
      <c r="M267" s="106"/>
      <c r="N267" s="106"/>
      <c r="O267" s="106"/>
      <c r="P267" s="106"/>
      <c r="Q267" s="106"/>
      <c r="R267" s="106"/>
      <c r="S267" s="106"/>
      <c r="T267" s="106"/>
    </row>
    <row r="268" spans="1:20" x14ac:dyDescent="0.2">
      <c r="A268" s="106"/>
      <c r="B268" s="106"/>
      <c r="C268" s="106"/>
      <c r="D268" s="106"/>
      <c r="E268" s="113"/>
      <c r="F268" s="113"/>
      <c r="G268" s="116"/>
      <c r="H268" s="116"/>
      <c r="I268" s="106"/>
      <c r="J268" s="106"/>
      <c r="K268" s="106"/>
      <c r="L268" s="106"/>
      <c r="M268" s="106"/>
      <c r="N268" s="106"/>
      <c r="O268" s="106"/>
      <c r="P268" s="106"/>
      <c r="Q268" s="106"/>
      <c r="R268" s="106"/>
      <c r="S268" s="106"/>
      <c r="T268" s="106"/>
    </row>
    <row r="269" spans="1:20" x14ac:dyDescent="0.2">
      <c r="A269" s="106"/>
      <c r="B269" s="106"/>
      <c r="C269" s="106"/>
      <c r="D269" s="106"/>
      <c r="E269" s="113"/>
      <c r="F269" s="113"/>
      <c r="G269" s="116"/>
      <c r="H269" s="116"/>
      <c r="I269" s="106"/>
      <c r="J269" s="106"/>
      <c r="K269" s="106"/>
      <c r="L269" s="106"/>
      <c r="M269" s="106"/>
      <c r="N269" s="106"/>
      <c r="O269" s="106"/>
      <c r="P269" s="106"/>
      <c r="Q269" s="106"/>
      <c r="R269" s="106"/>
      <c r="S269" s="106"/>
      <c r="T269" s="106"/>
    </row>
    <row r="270" spans="1:20" x14ac:dyDescent="0.2">
      <c r="A270" s="106"/>
      <c r="B270" s="106"/>
      <c r="C270" s="106"/>
      <c r="D270" s="106"/>
      <c r="E270" s="113"/>
      <c r="F270" s="113"/>
      <c r="G270" s="116"/>
      <c r="H270" s="116"/>
      <c r="I270" s="106"/>
      <c r="J270" s="106"/>
      <c r="K270" s="106"/>
      <c r="L270" s="106"/>
      <c r="M270" s="106"/>
      <c r="N270" s="106"/>
      <c r="O270" s="106"/>
      <c r="P270" s="106"/>
      <c r="Q270" s="106"/>
      <c r="R270" s="106"/>
      <c r="S270" s="106"/>
      <c r="T270" s="106"/>
    </row>
    <row r="271" spans="1:20" x14ac:dyDescent="0.2">
      <c r="A271" s="106"/>
      <c r="B271" s="106"/>
      <c r="C271" s="106"/>
      <c r="D271" s="106"/>
      <c r="E271" s="113"/>
      <c r="F271" s="113"/>
      <c r="G271" s="116"/>
      <c r="H271" s="116"/>
      <c r="I271" s="106"/>
      <c r="J271" s="106"/>
      <c r="K271" s="106"/>
      <c r="L271" s="106"/>
      <c r="M271" s="106"/>
      <c r="N271" s="106"/>
      <c r="O271" s="106"/>
      <c r="P271" s="106"/>
      <c r="Q271" s="106"/>
      <c r="R271" s="106"/>
      <c r="S271" s="106"/>
      <c r="T271" s="106"/>
    </row>
    <row r="272" spans="1:20" x14ac:dyDescent="0.2">
      <c r="A272" s="106"/>
      <c r="B272" s="106"/>
      <c r="C272" s="106"/>
      <c r="D272" s="106"/>
      <c r="E272" s="113"/>
      <c r="F272" s="113"/>
      <c r="G272" s="116"/>
      <c r="H272" s="116"/>
      <c r="I272" s="106"/>
      <c r="J272" s="106"/>
      <c r="K272" s="106"/>
      <c r="L272" s="106"/>
      <c r="M272" s="106"/>
      <c r="N272" s="106"/>
      <c r="O272" s="106"/>
      <c r="P272" s="106"/>
      <c r="Q272" s="106"/>
      <c r="R272" s="106"/>
      <c r="S272" s="106"/>
      <c r="T272" s="106"/>
    </row>
    <row r="273" spans="1:20" x14ac:dyDescent="0.2">
      <c r="A273" s="106"/>
      <c r="B273" s="106"/>
      <c r="C273" s="106"/>
      <c r="D273" s="106"/>
      <c r="E273" s="113"/>
      <c r="F273" s="113"/>
      <c r="G273" s="116"/>
      <c r="H273" s="116"/>
      <c r="I273" s="106"/>
      <c r="J273" s="106"/>
      <c r="K273" s="106"/>
      <c r="L273" s="106"/>
      <c r="M273" s="106"/>
      <c r="N273" s="106"/>
      <c r="O273" s="106"/>
      <c r="P273" s="106"/>
      <c r="Q273" s="106"/>
      <c r="R273" s="106"/>
      <c r="S273" s="106"/>
      <c r="T273" s="106"/>
    </row>
    <row r="274" spans="1:20" x14ac:dyDescent="0.2">
      <c r="A274" s="106"/>
      <c r="B274" s="106"/>
      <c r="C274" s="106"/>
      <c r="D274" s="106"/>
      <c r="E274" s="113"/>
      <c r="F274" s="113"/>
      <c r="G274" s="116"/>
      <c r="H274" s="116"/>
      <c r="I274" s="106"/>
      <c r="J274" s="106"/>
      <c r="K274" s="106"/>
      <c r="L274" s="106"/>
      <c r="M274" s="106"/>
      <c r="N274" s="106"/>
      <c r="O274" s="106"/>
      <c r="P274" s="106"/>
      <c r="Q274" s="106"/>
      <c r="R274" s="106"/>
      <c r="S274" s="106"/>
      <c r="T274" s="106"/>
    </row>
    <row r="275" spans="1:20" x14ac:dyDescent="0.2">
      <c r="A275" s="106"/>
      <c r="B275" s="106"/>
      <c r="C275" s="106"/>
      <c r="D275" s="106"/>
      <c r="E275" s="113"/>
      <c r="F275" s="113"/>
      <c r="G275" s="116"/>
      <c r="H275" s="116"/>
      <c r="I275" s="106"/>
      <c r="J275" s="106"/>
      <c r="K275" s="106"/>
      <c r="L275" s="106"/>
      <c r="M275" s="106"/>
      <c r="N275" s="106"/>
      <c r="O275" s="106"/>
      <c r="P275" s="106"/>
      <c r="Q275" s="106"/>
      <c r="R275" s="106"/>
      <c r="S275" s="106"/>
      <c r="T275" s="106"/>
    </row>
    <row r="276" spans="1:20" x14ac:dyDescent="0.2">
      <c r="A276" s="106"/>
      <c r="B276" s="106"/>
      <c r="C276" s="106"/>
      <c r="D276" s="106"/>
      <c r="E276" s="113"/>
      <c r="F276" s="113"/>
      <c r="G276" s="116"/>
      <c r="H276" s="116"/>
      <c r="I276" s="106"/>
      <c r="J276" s="106"/>
      <c r="K276" s="106"/>
      <c r="L276" s="106"/>
      <c r="M276" s="106"/>
      <c r="N276" s="106"/>
      <c r="O276" s="106"/>
      <c r="P276" s="106"/>
      <c r="Q276" s="106"/>
      <c r="R276" s="106"/>
      <c r="S276" s="106"/>
      <c r="T276" s="106"/>
    </row>
    <row r="277" spans="1:20" x14ac:dyDescent="0.2">
      <c r="A277" s="106"/>
      <c r="B277" s="106"/>
      <c r="C277" s="106"/>
      <c r="D277" s="106"/>
      <c r="E277" s="113"/>
      <c r="F277" s="113"/>
      <c r="G277" s="116"/>
      <c r="H277" s="116"/>
      <c r="I277" s="106"/>
      <c r="J277" s="106"/>
      <c r="K277" s="106"/>
      <c r="L277" s="106"/>
      <c r="M277" s="106"/>
      <c r="N277" s="106"/>
      <c r="O277" s="106"/>
      <c r="P277" s="106"/>
      <c r="Q277" s="106"/>
      <c r="R277" s="106"/>
      <c r="S277" s="106"/>
      <c r="T277" s="106"/>
    </row>
    <row r="278" spans="1:20" x14ac:dyDescent="0.2">
      <c r="A278" s="106"/>
      <c r="B278" s="106"/>
      <c r="C278" s="106"/>
      <c r="D278" s="106"/>
      <c r="E278" s="113"/>
      <c r="F278" s="113"/>
      <c r="G278" s="116"/>
      <c r="H278" s="116"/>
      <c r="I278" s="106"/>
      <c r="J278" s="106"/>
      <c r="K278" s="106"/>
      <c r="L278" s="106"/>
      <c r="M278" s="106"/>
      <c r="N278" s="106"/>
      <c r="O278" s="106"/>
      <c r="P278" s="106"/>
      <c r="Q278" s="106"/>
      <c r="R278" s="106"/>
      <c r="S278" s="106"/>
      <c r="T278" s="106"/>
    </row>
    <row r="279" spans="1:20" x14ac:dyDescent="0.2">
      <c r="A279" s="106"/>
      <c r="B279" s="106"/>
      <c r="C279" s="106"/>
      <c r="D279" s="106"/>
      <c r="E279" s="113"/>
      <c r="F279" s="113"/>
      <c r="G279" s="116"/>
      <c r="H279" s="116"/>
      <c r="I279" s="106"/>
      <c r="J279" s="106"/>
      <c r="K279" s="106"/>
      <c r="L279" s="106"/>
      <c r="M279" s="106"/>
      <c r="N279" s="106"/>
      <c r="O279" s="106"/>
      <c r="P279" s="106"/>
      <c r="Q279" s="106"/>
      <c r="R279" s="106"/>
      <c r="S279" s="106"/>
      <c r="T279" s="106"/>
    </row>
    <row r="280" spans="1:20" x14ac:dyDescent="0.2">
      <c r="A280" s="106"/>
      <c r="B280" s="106"/>
      <c r="C280" s="106"/>
      <c r="D280" s="106"/>
      <c r="E280" s="113"/>
      <c r="F280" s="113"/>
      <c r="G280" s="116"/>
      <c r="H280" s="116"/>
      <c r="I280" s="106"/>
      <c r="J280" s="106"/>
      <c r="K280" s="106"/>
      <c r="L280" s="106"/>
      <c r="M280" s="106"/>
      <c r="N280" s="106"/>
      <c r="O280" s="106"/>
      <c r="P280" s="106"/>
      <c r="Q280" s="106"/>
      <c r="R280" s="106"/>
      <c r="S280" s="106"/>
      <c r="T280" s="106"/>
    </row>
    <row r="281" spans="1:20" x14ac:dyDescent="0.2">
      <c r="A281" s="106"/>
      <c r="B281" s="106"/>
      <c r="C281" s="106"/>
      <c r="D281" s="106"/>
      <c r="E281" s="113"/>
      <c r="F281" s="113"/>
      <c r="G281" s="116"/>
      <c r="H281" s="116"/>
      <c r="I281" s="106"/>
      <c r="J281" s="106"/>
      <c r="K281" s="106"/>
      <c r="L281" s="106"/>
      <c r="M281" s="106"/>
      <c r="N281" s="106"/>
      <c r="O281" s="106"/>
      <c r="P281" s="106"/>
      <c r="Q281" s="106"/>
      <c r="R281" s="106"/>
      <c r="S281" s="106"/>
      <c r="T281" s="106"/>
    </row>
    <row r="282" spans="1:20" x14ac:dyDescent="0.2">
      <c r="A282" s="106"/>
      <c r="B282" s="106"/>
      <c r="C282" s="106"/>
      <c r="D282" s="106"/>
      <c r="E282" s="113"/>
      <c r="F282" s="113"/>
      <c r="G282" s="116"/>
      <c r="H282" s="116"/>
      <c r="I282" s="106"/>
      <c r="J282" s="106"/>
      <c r="K282" s="106"/>
      <c r="L282" s="106"/>
      <c r="M282" s="106"/>
      <c r="N282" s="106"/>
      <c r="O282" s="106"/>
      <c r="P282" s="106"/>
      <c r="Q282" s="106"/>
      <c r="R282" s="106"/>
      <c r="S282" s="106"/>
      <c r="T282" s="106"/>
    </row>
    <row r="283" spans="1:20" x14ac:dyDescent="0.2">
      <c r="A283" s="106"/>
      <c r="B283" s="106"/>
      <c r="C283" s="106"/>
      <c r="D283" s="106"/>
      <c r="E283" s="113"/>
      <c r="F283" s="113"/>
      <c r="G283" s="116"/>
      <c r="H283" s="116"/>
      <c r="I283" s="106"/>
      <c r="J283" s="106"/>
      <c r="K283" s="106"/>
      <c r="L283" s="106"/>
      <c r="M283" s="106"/>
      <c r="N283" s="106"/>
      <c r="O283" s="106"/>
      <c r="P283" s="106"/>
      <c r="Q283" s="106"/>
      <c r="R283" s="106"/>
      <c r="S283" s="106"/>
      <c r="T283" s="106"/>
    </row>
    <row r="284" spans="1:20" x14ac:dyDescent="0.2">
      <c r="A284" s="106"/>
      <c r="B284" s="106"/>
      <c r="C284" s="106"/>
      <c r="D284" s="106"/>
      <c r="E284" s="113"/>
      <c r="F284" s="113"/>
      <c r="G284" s="116"/>
      <c r="H284" s="116"/>
      <c r="I284" s="106"/>
      <c r="J284" s="106"/>
      <c r="K284" s="106"/>
      <c r="L284" s="106"/>
      <c r="M284" s="106"/>
      <c r="N284" s="106"/>
      <c r="O284" s="106"/>
      <c r="P284" s="106"/>
      <c r="Q284" s="106"/>
      <c r="R284" s="106"/>
      <c r="S284" s="106"/>
      <c r="T284" s="106"/>
    </row>
    <row r="285" spans="1:20" x14ac:dyDescent="0.2">
      <c r="A285" s="106"/>
      <c r="B285" s="106"/>
      <c r="C285" s="106"/>
      <c r="D285" s="106"/>
      <c r="E285" s="113"/>
      <c r="F285" s="113"/>
      <c r="G285" s="116"/>
      <c r="H285" s="116"/>
      <c r="I285" s="106"/>
      <c r="J285" s="106"/>
      <c r="K285" s="106"/>
      <c r="L285" s="106"/>
      <c r="M285" s="106"/>
      <c r="N285" s="106"/>
      <c r="O285" s="106"/>
      <c r="P285" s="106"/>
      <c r="Q285" s="106"/>
      <c r="R285" s="106"/>
      <c r="S285" s="106"/>
      <c r="T285" s="106"/>
    </row>
    <row r="286" spans="1:20" x14ac:dyDescent="0.2">
      <c r="A286" s="106"/>
      <c r="B286" s="106"/>
      <c r="C286" s="106"/>
      <c r="D286" s="106"/>
      <c r="E286" s="113"/>
      <c r="F286" s="113"/>
      <c r="G286" s="116"/>
      <c r="H286" s="116"/>
      <c r="I286" s="106"/>
      <c r="J286" s="106"/>
      <c r="K286" s="106"/>
      <c r="L286" s="106"/>
      <c r="M286" s="106"/>
      <c r="N286" s="106"/>
      <c r="O286" s="106"/>
      <c r="P286" s="106"/>
      <c r="Q286" s="106"/>
      <c r="R286" s="106"/>
      <c r="S286" s="106"/>
      <c r="T286" s="106"/>
    </row>
    <row r="287" spans="1:20" x14ac:dyDescent="0.2">
      <c r="A287" s="106"/>
      <c r="B287" s="106"/>
      <c r="C287" s="106"/>
      <c r="D287" s="106"/>
      <c r="E287" s="113"/>
      <c r="F287" s="113"/>
      <c r="G287" s="116"/>
      <c r="H287" s="116"/>
      <c r="I287" s="106"/>
      <c r="J287" s="106"/>
      <c r="K287" s="106"/>
      <c r="L287" s="106"/>
      <c r="M287" s="106"/>
      <c r="N287" s="106"/>
      <c r="O287" s="106"/>
      <c r="P287" s="106"/>
      <c r="Q287" s="106"/>
      <c r="R287" s="106"/>
      <c r="S287" s="106"/>
      <c r="T287" s="106"/>
    </row>
    <row r="288" spans="1:20" x14ac:dyDescent="0.2">
      <c r="A288" s="106"/>
      <c r="B288" s="106"/>
      <c r="C288" s="106"/>
      <c r="D288" s="106"/>
      <c r="E288" s="113"/>
      <c r="F288" s="113"/>
      <c r="G288" s="116"/>
      <c r="H288" s="116"/>
      <c r="I288" s="106"/>
      <c r="J288" s="106"/>
      <c r="K288" s="106"/>
      <c r="L288" s="106"/>
      <c r="M288" s="106"/>
      <c r="N288" s="106"/>
      <c r="O288" s="106"/>
      <c r="P288" s="106"/>
      <c r="Q288" s="106"/>
      <c r="R288" s="106"/>
      <c r="S288" s="106"/>
      <c r="T288" s="106"/>
    </row>
    <row r="289" spans="1:20" x14ac:dyDescent="0.2">
      <c r="A289" s="106"/>
      <c r="B289" s="106"/>
      <c r="C289" s="106"/>
      <c r="D289" s="106"/>
      <c r="E289" s="113"/>
      <c r="F289" s="113"/>
      <c r="G289" s="116"/>
      <c r="H289" s="116"/>
      <c r="I289" s="106"/>
      <c r="J289" s="106"/>
      <c r="K289" s="106"/>
      <c r="L289" s="106"/>
      <c r="M289" s="106"/>
      <c r="N289" s="106"/>
      <c r="O289" s="106"/>
      <c r="P289" s="106"/>
      <c r="Q289" s="106"/>
      <c r="R289" s="106"/>
      <c r="S289" s="106"/>
      <c r="T289" s="106"/>
    </row>
    <row r="290" spans="1:20" x14ac:dyDescent="0.2">
      <c r="A290" s="106"/>
      <c r="B290" s="106"/>
      <c r="C290" s="106"/>
      <c r="D290" s="106"/>
      <c r="E290" s="113"/>
      <c r="F290" s="113"/>
      <c r="G290" s="116"/>
      <c r="H290" s="116"/>
      <c r="I290" s="106"/>
      <c r="J290" s="106"/>
      <c r="K290" s="106"/>
      <c r="L290" s="106"/>
      <c r="M290" s="106"/>
      <c r="N290" s="106"/>
      <c r="O290" s="106"/>
      <c r="P290" s="106"/>
      <c r="Q290" s="106"/>
      <c r="R290" s="106"/>
      <c r="S290" s="106"/>
      <c r="T290" s="106"/>
    </row>
    <row r="291" spans="1:20" x14ac:dyDescent="0.2">
      <c r="A291" s="106"/>
      <c r="B291" s="106"/>
      <c r="C291" s="106"/>
      <c r="D291" s="106"/>
      <c r="E291" s="113"/>
      <c r="F291" s="113"/>
      <c r="G291" s="116"/>
      <c r="H291" s="116"/>
      <c r="I291" s="106"/>
      <c r="J291" s="106"/>
      <c r="K291" s="106"/>
      <c r="L291" s="106"/>
      <c r="M291" s="106"/>
      <c r="N291" s="106"/>
      <c r="O291" s="106"/>
      <c r="P291" s="106"/>
      <c r="Q291" s="106"/>
      <c r="R291" s="106"/>
      <c r="S291" s="106"/>
      <c r="T291" s="106"/>
    </row>
    <row r="292" spans="1:20" x14ac:dyDescent="0.2">
      <c r="A292" s="106"/>
      <c r="B292" s="106"/>
      <c r="C292" s="106"/>
      <c r="D292" s="106"/>
      <c r="E292" s="113"/>
      <c r="F292" s="113"/>
      <c r="G292" s="116"/>
      <c r="H292" s="116"/>
      <c r="I292" s="106"/>
      <c r="J292" s="106"/>
      <c r="K292" s="106"/>
      <c r="L292" s="106"/>
      <c r="M292" s="106"/>
      <c r="N292" s="106"/>
      <c r="O292" s="106"/>
      <c r="P292" s="106"/>
      <c r="Q292" s="106"/>
      <c r="R292" s="106"/>
      <c r="S292" s="106"/>
      <c r="T292" s="106"/>
    </row>
    <row r="293" spans="1:20" x14ac:dyDescent="0.2">
      <c r="A293" s="106"/>
      <c r="B293" s="106"/>
      <c r="C293" s="106"/>
      <c r="D293" s="106"/>
      <c r="E293" s="113"/>
      <c r="F293" s="113"/>
      <c r="G293" s="116"/>
      <c r="H293" s="116"/>
      <c r="I293" s="106"/>
      <c r="J293" s="106"/>
      <c r="K293" s="106"/>
      <c r="L293" s="106"/>
      <c r="M293" s="106"/>
      <c r="N293" s="106"/>
      <c r="O293" s="106"/>
      <c r="P293" s="106"/>
      <c r="Q293" s="106"/>
      <c r="R293" s="106"/>
      <c r="S293" s="106"/>
      <c r="T293" s="106"/>
    </row>
    <row r="294" spans="1:20" x14ac:dyDescent="0.2">
      <c r="A294" s="106"/>
      <c r="B294" s="106"/>
      <c r="C294" s="106"/>
      <c r="D294" s="106"/>
      <c r="E294" s="113"/>
      <c r="F294" s="113"/>
      <c r="G294" s="116"/>
      <c r="H294" s="116"/>
      <c r="I294" s="106"/>
      <c r="J294" s="106"/>
      <c r="K294" s="106"/>
      <c r="L294" s="106"/>
      <c r="M294" s="106"/>
      <c r="N294" s="106"/>
      <c r="O294" s="106"/>
      <c r="P294" s="106"/>
      <c r="Q294" s="106"/>
      <c r="R294" s="106"/>
      <c r="S294" s="106"/>
      <c r="T294" s="106"/>
    </row>
    <row r="295" spans="1:20" x14ac:dyDescent="0.2">
      <c r="A295" s="106"/>
      <c r="B295" s="106"/>
      <c r="C295" s="106"/>
      <c r="D295" s="106"/>
      <c r="E295" s="113"/>
      <c r="F295" s="113"/>
      <c r="G295" s="116"/>
      <c r="H295" s="116"/>
      <c r="I295" s="106"/>
      <c r="J295" s="106"/>
      <c r="K295" s="106"/>
      <c r="L295" s="106"/>
      <c r="M295" s="106"/>
      <c r="N295" s="106"/>
      <c r="O295" s="106"/>
      <c r="P295" s="106"/>
      <c r="Q295" s="106"/>
      <c r="R295" s="106"/>
      <c r="S295" s="106"/>
      <c r="T295" s="106"/>
    </row>
    <row r="296" spans="1:20" x14ac:dyDescent="0.2">
      <c r="A296" s="106"/>
      <c r="B296" s="106"/>
      <c r="C296" s="106"/>
      <c r="D296" s="106"/>
      <c r="E296" s="113"/>
      <c r="F296" s="113"/>
      <c r="G296" s="116"/>
      <c r="H296" s="116"/>
      <c r="I296" s="106"/>
      <c r="J296" s="106"/>
      <c r="K296" s="106"/>
      <c r="L296" s="106"/>
      <c r="M296" s="106"/>
      <c r="N296" s="106"/>
      <c r="O296" s="106"/>
      <c r="P296" s="106"/>
      <c r="Q296" s="106"/>
      <c r="R296" s="106"/>
      <c r="S296" s="106"/>
      <c r="T296" s="106"/>
    </row>
    <row r="297" spans="1:20" x14ac:dyDescent="0.2">
      <c r="A297" s="106"/>
      <c r="B297" s="106"/>
      <c r="C297" s="106"/>
      <c r="D297" s="106"/>
      <c r="E297" s="113"/>
      <c r="F297" s="113"/>
      <c r="G297" s="116"/>
      <c r="H297" s="116"/>
      <c r="I297" s="106"/>
      <c r="J297" s="106"/>
      <c r="K297" s="106"/>
      <c r="L297" s="106"/>
      <c r="M297" s="106"/>
      <c r="N297" s="106"/>
      <c r="O297" s="106"/>
      <c r="P297" s="106"/>
      <c r="Q297" s="106"/>
      <c r="R297" s="106"/>
      <c r="S297" s="106"/>
      <c r="T297" s="106"/>
    </row>
    <row r="298" spans="1:20" x14ac:dyDescent="0.2">
      <c r="A298" s="106"/>
      <c r="B298" s="106"/>
      <c r="C298" s="106"/>
      <c r="D298" s="106"/>
      <c r="E298" s="113"/>
      <c r="F298" s="113"/>
      <c r="G298" s="116"/>
      <c r="H298" s="116"/>
      <c r="I298" s="106"/>
      <c r="J298" s="106"/>
      <c r="K298" s="106"/>
      <c r="L298" s="106"/>
      <c r="M298" s="106"/>
      <c r="N298" s="106"/>
      <c r="O298" s="106"/>
      <c r="P298" s="106"/>
      <c r="Q298" s="106"/>
      <c r="R298" s="106"/>
      <c r="S298" s="106"/>
      <c r="T298" s="106"/>
    </row>
    <row r="299" spans="1:20" x14ac:dyDescent="0.2">
      <c r="A299" s="106"/>
      <c r="B299" s="106"/>
      <c r="C299" s="106"/>
      <c r="D299" s="106"/>
      <c r="E299" s="113"/>
      <c r="F299" s="113"/>
      <c r="G299" s="116"/>
      <c r="H299" s="116"/>
      <c r="I299" s="106"/>
      <c r="J299" s="106"/>
      <c r="K299" s="106"/>
      <c r="L299" s="106"/>
      <c r="M299" s="106"/>
      <c r="N299" s="106"/>
      <c r="O299" s="106"/>
      <c r="P299" s="106"/>
      <c r="Q299" s="106"/>
      <c r="R299" s="106"/>
      <c r="S299" s="106"/>
      <c r="T299" s="106"/>
    </row>
    <row r="300" spans="1:20" x14ac:dyDescent="0.2">
      <c r="A300" s="106"/>
      <c r="B300" s="106"/>
      <c r="C300" s="106"/>
      <c r="D300" s="106"/>
      <c r="E300" s="113"/>
      <c r="F300" s="113"/>
      <c r="G300" s="116"/>
      <c r="H300" s="116"/>
      <c r="I300" s="106"/>
      <c r="J300" s="106"/>
      <c r="K300" s="106"/>
      <c r="L300" s="106"/>
      <c r="M300" s="106"/>
      <c r="N300" s="106"/>
      <c r="O300" s="106"/>
      <c r="P300" s="106"/>
      <c r="Q300" s="106"/>
      <c r="R300" s="106"/>
      <c r="S300" s="106"/>
      <c r="T300" s="106"/>
    </row>
    <row r="301" spans="1:20" x14ac:dyDescent="0.2">
      <c r="A301" s="106"/>
      <c r="B301" s="106"/>
      <c r="C301" s="106"/>
      <c r="D301" s="106"/>
      <c r="E301" s="113"/>
      <c r="F301" s="113"/>
      <c r="G301" s="116"/>
      <c r="H301" s="116"/>
      <c r="I301" s="106"/>
      <c r="J301" s="106"/>
      <c r="K301" s="106"/>
      <c r="L301" s="106"/>
      <c r="M301" s="106"/>
      <c r="N301" s="106"/>
      <c r="O301" s="106"/>
      <c r="P301" s="106"/>
      <c r="Q301" s="106"/>
      <c r="R301" s="106"/>
      <c r="S301" s="106"/>
      <c r="T301" s="106"/>
    </row>
    <row r="302" spans="1:20" x14ac:dyDescent="0.2">
      <c r="A302" s="106"/>
      <c r="B302" s="106"/>
      <c r="C302" s="106"/>
      <c r="D302" s="106"/>
      <c r="E302" s="113"/>
      <c r="F302" s="113"/>
      <c r="G302" s="116"/>
      <c r="H302" s="116"/>
      <c r="I302" s="106"/>
      <c r="J302" s="106"/>
      <c r="K302" s="106"/>
      <c r="L302" s="106"/>
      <c r="M302" s="106"/>
      <c r="N302" s="106"/>
      <c r="O302" s="106"/>
      <c r="P302" s="106"/>
      <c r="Q302" s="106"/>
      <c r="R302" s="106"/>
      <c r="S302" s="106"/>
      <c r="T302" s="106"/>
    </row>
    <row r="303" spans="1:20" x14ac:dyDescent="0.2">
      <c r="A303" s="106"/>
      <c r="B303" s="106"/>
      <c r="C303" s="106"/>
      <c r="D303" s="106"/>
      <c r="E303" s="113"/>
      <c r="F303" s="113"/>
      <c r="G303" s="116"/>
      <c r="H303" s="116"/>
      <c r="I303" s="106"/>
      <c r="J303" s="106"/>
      <c r="K303" s="106"/>
      <c r="L303" s="106"/>
      <c r="M303" s="106"/>
      <c r="N303" s="106"/>
      <c r="O303" s="106"/>
      <c r="P303" s="106"/>
      <c r="Q303" s="106"/>
      <c r="R303" s="106"/>
      <c r="S303" s="106"/>
      <c r="T303" s="106"/>
    </row>
    <row r="304" spans="1:20" x14ac:dyDescent="0.2">
      <c r="A304" s="106"/>
      <c r="B304" s="106"/>
      <c r="C304" s="106"/>
      <c r="D304" s="106"/>
      <c r="E304" s="113"/>
      <c r="F304" s="113"/>
      <c r="G304" s="116"/>
      <c r="H304" s="116"/>
      <c r="I304" s="106"/>
      <c r="J304" s="106"/>
      <c r="K304" s="106"/>
      <c r="L304" s="106"/>
      <c r="M304" s="106"/>
      <c r="N304" s="106"/>
      <c r="O304" s="106"/>
      <c r="P304" s="106"/>
      <c r="Q304" s="106"/>
      <c r="R304" s="106"/>
      <c r="S304" s="106"/>
      <c r="T304" s="106"/>
    </row>
    <row r="305" spans="1:20" x14ac:dyDescent="0.2">
      <c r="A305" s="106"/>
      <c r="B305" s="106"/>
      <c r="C305" s="106"/>
      <c r="D305" s="106"/>
      <c r="E305" s="113"/>
      <c r="F305" s="113"/>
      <c r="G305" s="116"/>
      <c r="H305" s="116"/>
      <c r="I305" s="106"/>
      <c r="J305" s="106"/>
      <c r="K305" s="106"/>
      <c r="L305" s="106"/>
      <c r="M305" s="106"/>
      <c r="N305" s="106"/>
      <c r="O305" s="106"/>
      <c r="P305" s="106"/>
      <c r="Q305" s="106"/>
      <c r="R305" s="106"/>
      <c r="S305" s="106"/>
      <c r="T305" s="106"/>
    </row>
    <row r="306" spans="1:20" x14ac:dyDescent="0.2">
      <c r="A306" s="106"/>
      <c r="B306" s="106"/>
      <c r="C306" s="106"/>
      <c r="D306" s="106"/>
      <c r="E306" s="113"/>
      <c r="F306" s="113"/>
      <c r="G306" s="116"/>
      <c r="H306" s="116"/>
      <c r="I306" s="106"/>
      <c r="J306" s="106"/>
      <c r="K306" s="106"/>
      <c r="L306" s="106"/>
      <c r="M306" s="106"/>
      <c r="N306" s="106"/>
      <c r="O306" s="106"/>
      <c r="P306" s="106"/>
      <c r="Q306" s="106"/>
      <c r="R306" s="106"/>
      <c r="S306" s="106"/>
      <c r="T306" s="106"/>
    </row>
    <row r="307" spans="1:20" x14ac:dyDescent="0.2">
      <c r="A307" s="106"/>
      <c r="B307" s="106"/>
      <c r="C307" s="106"/>
      <c r="D307" s="106"/>
      <c r="E307" s="113"/>
      <c r="F307" s="113"/>
      <c r="G307" s="116"/>
      <c r="H307" s="116"/>
      <c r="I307" s="106"/>
      <c r="J307" s="106"/>
      <c r="K307" s="106"/>
      <c r="L307" s="106"/>
      <c r="M307" s="106"/>
      <c r="N307" s="106"/>
      <c r="O307" s="106"/>
      <c r="P307" s="106"/>
      <c r="Q307" s="106"/>
      <c r="R307" s="106"/>
      <c r="S307" s="106"/>
      <c r="T307" s="106"/>
    </row>
    <row r="308" spans="1:20" x14ac:dyDescent="0.2">
      <c r="A308" s="106"/>
      <c r="B308" s="106"/>
      <c r="C308" s="106"/>
      <c r="D308" s="106"/>
      <c r="E308" s="113"/>
      <c r="F308" s="113"/>
      <c r="G308" s="116"/>
      <c r="H308" s="116"/>
      <c r="I308" s="106"/>
      <c r="J308" s="106"/>
      <c r="K308" s="106"/>
      <c r="L308" s="106"/>
      <c r="M308" s="106"/>
      <c r="N308" s="106"/>
      <c r="O308" s="106"/>
      <c r="P308" s="106"/>
      <c r="Q308" s="106"/>
      <c r="R308" s="106"/>
      <c r="S308" s="106"/>
      <c r="T308" s="106"/>
    </row>
    <row r="309" spans="1:20" x14ac:dyDescent="0.2">
      <c r="A309" s="106"/>
      <c r="B309" s="106"/>
      <c r="C309" s="106"/>
      <c r="D309" s="106"/>
      <c r="E309" s="113"/>
      <c r="F309" s="113"/>
      <c r="G309" s="116"/>
      <c r="H309" s="116"/>
      <c r="I309" s="106"/>
      <c r="J309" s="106"/>
      <c r="K309" s="106"/>
      <c r="L309" s="106"/>
      <c r="M309" s="106"/>
      <c r="N309" s="106"/>
      <c r="O309" s="106"/>
      <c r="P309" s="106"/>
      <c r="Q309" s="106"/>
      <c r="R309" s="106"/>
      <c r="S309" s="106"/>
      <c r="T309" s="106"/>
    </row>
    <row r="310" spans="1:20" x14ac:dyDescent="0.2">
      <c r="A310" s="106"/>
      <c r="B310" s="106"/>
      <c r="C310" s="106"/>
      <c r="D310" s="106"/>
      <c r="E310" s="113"/>
      <c r="F310" s="113"/>
      <c r="G310" s="116"/>
      <c r="H310" s="116"/>
      <c r="I310" s="106"/>
      <c r="J310" s="106"/>
      <c r="K310" s="106"/>
      <c r="L310" s="106"/>
      <c r="M310" s="106"/>
      <c r="N310" s="106"/>
      <c r="O310" s="106"/>
      <c r="P310" s="106"/>
      <c r="Q310" s="106"/>
      <c r="R310" s="106"/>
      <c r="S310" s="106"/>
      <c r="T310" s="106"/>
    </row>
    <row r="311" spans="1:20" x14ac:dyDescent="0.2">
      <c r="A311" s="106"/>
      <c r="B311" s="106"/>
      <c r="C311" s="106"/>
      <c r="D311" s="106"/>
      <c r="E311" s="113"/>
      <c r="F311" s="113"/>
      <c r="G311" s="116"/>
      <c r="H311" s="116"/>
      <c r="I311" s="106"/>
      <c r="J311" s="106"/>
      <c r="K311" s="106"/>
      <c r="L311" s="106"/>
      <c r="M311" s="106"/>
      <c r="N311" s="106"/>
      <c r="O311" s="106"/>
      <c r="P311" s="106"/>
      <c r="Q311" s="106"/>
      <c r="R311" s="106"/>
      <c r="S311" s="106"/>
      <c r="T311" s="106"/>
    </row>
    <row r="312" spans="1:20" x14ac:dyDescent="0.2">
      <c r="A312" s="106"/>
      <c r="B312" s="106"/>
      <c r="C312" s="106"/>
      <c r="D312" s="106"/>
      <c r="E312" s="113"/>
      <c r="F312" s="113"/>
      <c r="G312" s="116"/>
      <c r="H312" s="116"/>
      <c r="I312" s="106"/>
      <c r="J312" s="106"/>
      <c r="K312" s="106"/>
      <c r="L312" s="106"/>
      <c r="M312" s="106"/>
      <c r="N312" s="106"/>
      <c r="O312" s="106"/>
      <c r="P312" s="106"/>
      <c r="Q312" s="106"/>
      <c r="R312" s="106"/>
      <c r="S312" s="106"/>
      <c r="T312" s="106"/>
    </row>
    <row r="313" spans="1:20" x14ac:dyDescent="0.2">
      <c r="A313" s="106"/>
      <c r="B313" s="106"/>
      <c r="C313" s="106"/>
      <c r="D313" s="106"/>
      <c r="E313" s="113"/>
      <c r="F313" s="113"/>
      <c r="G313" s="116"/>
      <c r="H313" s="116"/>
      <c r="I313" s="106"/>
      <c r="J313" s="106"/>
      <c r="K313" s="106"/>
      <c r="L313" s="106"/>
      <c r="M313" s="106"/>
      <c r="N313" s="106"/>
      <c r="O313" s="106"/>
      <c r="P313" s="106"/>
      <c r="Q313" s="106"/>
      <c r="R313" s="106"/>
      <c r="S313" s="106"/>
      <c r="T313" s="106"/>
    </row>
    <row r="314" spans="1:20" x14ac:dyDescent="0.2">
      <c r="A314" s="106"/>
      <c r="B314" s="106"/>
      <c r="C314" s="106"/>
      <c r="D314" s="106"/>
      <c r="E314" s="113"/>
      <c r="F314" s="113"/>
      <c r="G314" s="116"/>
      <c r="H314" s="116"/>
      <c r="I314" s="106"/>
      <c r="J314" s="106"/>
      <c r="K314" s="106"/>
      <c r="L314" s="106"/>
      <c r="M314" s="106"/>
      <c r="N314" s="106"/>
      <c r="O314" s="106"/>
      <c r="P314" s="106"/>
      <c r="Q314" s="106"/>
      <c r="R314" s="106"/>
      <c r="S314" s="106"/>
      <c r="T314" s="106"/>
    </row>
    <row r="315" spans="1:20" x14ac:dyDescent="0.2">
      <c r="A315" s="106"/>
      <c r="B315" s="106"/>
      <c r="C315" s="106"/>
      <c r="D315" s="106"/>
      <c r="E315" s="113"/>
      <c r="F315" s="113"/>
      <c r="G315" s="116"/>
      <c r="H315" s="116"/>
      <c r="I315" s="106"/>
      <c r="J315" s="106"/>
      <c r="K315" s="106"/>
      <c r="L315" s="106"/>
      <c r="M315" s="106"/>
      <c r="N315" s="106"/>
      <c r="O315" s="106"/>
      <c r="P315" s="106"/>
      <c r="Q315" s="106"/>
      <c r="R315" s="106"/>
      <c r="S315" s="106"/>
      <c r="T315" s="106"/>
    </row>
    <row r="316" spans="1:20" x14ac:dyDescent="0.2">
      <c r="A316" s="106"/>
      <c r="B316" s="106"/>
      <c r="C316" s="106"/>
      <c r="D316" s="106"/>
      <c r="E316" s="113"/>
      <c r="F316" s="113"/>
      <c r="G316" s="116"/>
      <c r="H316" s="116"/>
      <c r="I316" s="106"/>
      <c r="J316" s="106"/>
      <c r="K316" s="106"/>
      <c r="L316" s="106"/>
      <c r="M316" s="106"/>
      <c r="N316" s="106"/>
      <c r="O316" s="106"/>
      <c r="P316" s="106"/>
      <c r="Q316" s="106"/>
      <c r="R316" s="106"/>
      <c r="S316" s="106"/>
      <c r="T316" s="106"/>
    </row>
    <row r="317" spans="1:20" x14ac:dyDescent="0.2">
      <c r="A317" s="106"/>
      <c r="B317" s="106"/>
      <c r="C317" s="106"/>
      <c r="D317" s="106"/>
      <c r="E317" s="113"/>
      <c r="F317" s="113"/>
      <c r="G317" s="116"/>
      <c r="H317" s="116"/>
      <c r="I317" s="106"/>
      <c r="J317" s="106"/>
      <c r="K317" s="106"/>
      <c r="L317" s="106"/>
      <c r="M317" s="106"/>
      <c r="N317" s="106"/>
      <c r="O317" s="106"/>
      <c r="P317" s="106"/>
      <c r="Q317" s="106"/>
      <c r="R317" s="106"/>
      <c r="S317" s="106"/>
      <c r="T317" s="106"/>
    </row>
    <row r="318" spans="1:20" x14ac:dyDescent="0.2">
      <c r="A318" s="106"/>
      <c r="B318" s="106"/>
      <c r="C318" s="106"/>
      <c r="D318" s="106"/>
      <c r="E318" s="113"/>
      <c r="F318" s="113"/>
      <c r="G318" s="116"/>
      <c r="H318" s="116"/>
      <c r="I318" s="106"/>
      <c r="J318" s="106"/>
      <c r="K318" s="106"/>
      <c r="L318" s="106"/>
      <c r="M318" s="106"/>
      <c r="N318" s="106"/>
      <c r="O318" s="106"/>
      <c r="P318" s="106"/>
      <c r="Q318" s="106"/>
      <c r="R318" s="106"/>
      <c r="S318" s="106"/>
      <c r="T318" s="106"/>
    </row>
    <row r="319" spans="1:20" x14ac:dyDescent="0.2">
      <c r="A319" s="106"/>
      <c r="B319" s="106"/>
      <c r="C319" s="106"/>
      <c r="D319" s="106"/>
      <c r="E319" s="113"/>
      <c r="F319" s="113"/>
      <c r="G319" s="116"/>
      <c r="H319" s="116"/>
      <c r="I319" s="106"/>
      <c r="J319" s="106"/>
      <c r="K319" s="106"/>
      <c r="L319" s="106"/>
      <c r="M319" s="106"/>
      <c r="N319" s="106"/>
      <c r="O319" s="106"/>
      <c r="P319" s="106"/>
      <c r="Q319" s="106"/>
      <c r="R319" s="106"/>
      <c r="S319" s="106"/>
      <c r="T319" s="106"/>
    </row>
  </sheetData>
  <mergeCells count="11">
    <mergeCell ref="A3:R3"/>
    <mergeCell ref="AV4:BF4"/>
    <mergeCell ref="CS4:DJ4"/>
    <mergeCell ref="CN4:CP4"/>
    <mergeCell ref="EF4:EV4"/>
    <mergeCell ref="U3:AF3"/>
    <mergeCell ref="AI3:AS3"/>
    <mergeCell ref="BH4:BP4"/>
    <mergeCell ref="BS4:BW4"/>
    <mergeCell ref="BZ4:CG4"/>
    <mergeCell ref="CI4:CL4"/>
  </mergeCells>
  <phoneticPr fontId="2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DS2222"/>
  <sheetViews>
    <sheetView workbookViewId="0">
      <selection activeCell="BA8" sqref="BA7:BA8"/>
    </sheetView>
  </sheetViews>
  <sheetFormatPr defaultRowHeight="14.25" x14ac:dyDescent="0.2"/>
  <cols>
    <col min="1" max="1" width="9.625" bestFit="1" customWidth="1"/>
    <col min="2" max="2" width="12.25" customWidth="1"/>
    <col min="3" max="5" width="9.5" bestFit="1" customWidth="1"/>
    <col min="6" max="6" width="9.625" bestFit="1" customWidth="1"/>
    <col min="7" max="7" width="10.375" customWidth="1"/>
    <col min="10" max="10" width="11.5" customWidth="1"/>
    <col min="11" max="11" width="12" customWidth="1"/>
    <col min="12" max="12" width="13.875" customWidth="1"/>
    <col min="13" max="14" width="11.875" customWidth="1"/>
    <col min="15" max="15" width="11.875" style="138" customWidth="1"/>
    <col min="16" max="16" width="12.375" style="142" customWidth="1"/>
    <col min="17" max="19" width="13.625" style="142" customWidth="1"/>
    <col min="20" max="20" width="9.125" style="142" customWidth="1"/>
    <col min="21" max="25" width="13.625" style="142" customWidth="1"/>
    <col min="26" max="26" width="10.625" style="142" customWidth="1"/>
    <col min="27" max="27" width="10.625" style="195" customWidth="1"/>
    <col min="28" max="28" width="13.875" style="195" customWidth="1"/>
    <col min="29" max="32" width="13.625" style="195" customWidth="1"/>
    <col min="33" max="33" width="12.625" style="198" customWidth="1"/>
    <col min="34" max="36" width="13.625" style="195" customWidth="1"/>
    <col min="37" max="37" width="7.75" style="105" customWidth="1"/>
    <col min="38" max="38" width="8.375" style="105" customWidth="1"/>
    <col min="39" max="41" width="9.375" style="105" customWidth="1"/>
    <col min="42" max="42" width="9.375" style="209" customWidth="1"/>
    <col min="43" max="43" width="12.625" style="105" customWidth="1"/>
    <col min="44" max="44" width="10" style="105" customWidth="1"/>
    <col min="45" max="45" width="17.5" style="105" customWidth="1"/>
    <col min="46" max="46" width="10.625" style="105" customWidth="1"/>
    <col min="47" max="47" width="13.625" style="105" customWidth="1"/>
    <col min="48" max="48" width="13.875" style="105" customWidth="1"/>
    <col min="49" max="50" width="13.625" style="105" customWidth="1"/>
    <col min="51" max="51" width="13.875" style="105" customWidth="1"/>
    <col min="52" max="53" width="13.625" style="105" customWidth="1"/>
    <col min="54" max="60" width="13.625" style="198" customWidth="1"/>
    <col min="61" max="63" width="12.625" style="198" customWidth="1"/>
    <col min="64" max="64" width="10.625" style="105" customWidth="1"/>
    <col min="65" max="68" width="10.5" style="105" customWidth="1"/>
    <col min="69" max="69" width="10.5" style="209" customWidth="1"/>
    <col min="70" max="70" width="12.625" style="105" customWidth="1"/>
    <col min="71" max="71" width="9.625" style="105" customWidth="1"/>
    <col min="72" max="72" width="19.75" style="105" customWidth="1"/>
    <col min="73" max="79" width="12.625" style="105" customWidth="1"/>
    <col min="80" max="80" width="12.25" customWidth="1"/>
    <col min="83" max="84" width="9" style="171"/>
    <col min="85" max="85" width="12.375" customWidth="1"/>
    <col min="86" max="86" width="10.375" customWidth="1"/>
    <col min="87" max="87" width="11.25" customWidth="1"/>
    <col min="89" max="89" width="9.625" bestFit="1" customWidth="1"/>
    <col min="90" max="91" width="9.625" style="171" customWidth="1"/>
    <col min="92" max="92" width="11.25" customWidth="1"/>
    <col min="94" max="94" width="11.5" customWidth="1"/>
    <col min="95" max="95" width="10.5" customWidth="1"/>
    <col min="99" max="99" width="12" customWidth="1"/>
    <col min="103" max="103" width="10.625" customWidth="1"/>
    <col min="104" max="104" width="12.5" customWidth="1"/>
    <col min="106" max="111" width="9" style="171"/>
    <col min="115" max="115" width="9" style="138"/>
    <col min="116" max="116" width="14" customWidth="1"/>
    <col min="117" max="118" width="10.625" customWidth="1"/>
    <col min="119" max="119" width="16.125" style="138" customWidth="1"/>
    <col min="120" max="121" width="10.625" customWidth="1"/>
    <col min="122" max="122" width="16.5" customWidth="1"/>
    <col min="123" max="123" width="14.75" customWidth="1"/>
  </cols>
  <sheetData>
    <row r="2" spans="1:123" x14ac:dyDescent="0.2">
      <c r="G2" s="15"/>
      <c r="H2" s="15"/>
      <c r="U2" s="142">
        <v>2</v>
      </c>
      <c r="V2" s="142">
        <v>3</v>
      </c>
      <c r="W2" s="142">
        <v>4</v>
      </c>
      <c r="X2" s="142">
        <v>5</v>
      </c>
      <c r="AB2" s="195">
        <v>5</v>
      </c>
      <c r="AC2" s="198">
        <v>5</v>
      </c>
      <c r="AD2" s="198">
        <v>5</v>
      </c>
      <c r="AE2" s="198">
        <v>5</v>
      </c>
      <c r="AF2" s="198">
        <v>5</v>
      </c>
      <c r="AG2" s="198">
        <v>1</v>
      </c>
      <c r="AH2" s="198">
        <v>50</v>
      </c>
      <c r="BI2" s="198">
        <v>500</v>
      </c>
    </row>
    <row r="3" spans="1:123" ht="20.25" x14ac:dyDescent="0.2">
      <c r="A3" s="233" t="s">
        <v>159</v>
      </c>
      <c r="B3" s="233"/>
      <c r="C3" s="233"/>
      <c r="D3" s="233"/>
      <c r="E3" s="233"/>
      <c r="F3" s="233"/>
      <c r="I3" s="233" t="s">
        <v>388</v>
      </c>
      <c r="J3" s="233"/>
      <c r="K3" s="233"/>
      <c r="L3" s="233"/>
      <c r="M3" s="233"/>
      <c r="T3" s="233" t="s">
        <v>1586</v>
      </c>
      <c r="U3" s="233"/>
      <c r="V3" s="233"/>
      <c r="W3" s="233"/>
      <c r="X3" s="233"/>
      <c r="Z3" s="233" t="s">
        <v>1587</v>
      </c>
      <c r="AA3" s="233"/>
      <c r="AB3" s="233"/>
      <c r="AC3" s="233"/>
      <c r="AD3" s="233"/>
      <c r="AE3" s="233"/>
      <c r="AF3" s="233"/>
      <c r="AG3" s="233"/>
      <c r="AH3" s="233"/>
      <c r="AK3" s="233" t="s">
        <v>967</v>
      </c>
      <c r="AL3" s="233"/>
      <c r="AM3" s="233"/>
      <c r="AN3" s="233"/>
      <c r="AO3" s="233"/>
      <c r="AP3" s="233"/>
      <c r="AQ3" s="233"/>
      <c r="AR3" s="233"/>
      <c r="AS3" s="233"/>
      <c r="AT3" s="233"/>
      <c r="AU3" s="233"/>
      <c r="AV3" s="233"/>
      <c r="AW3" s="233"/>
      <c r="AX3" s="233"/>
      <c r="AY3" s="233"/>
      <c r="AZ3" s="233"/>
      <c r="BC3" s="233" t="s">
        <v>1588</v>
      </c>
      <c r="BD3" s="233"/>
      <c r="BE3" s="233"/>
      <c r="BF3" s="233"/>
      <c r="BG3" s="233"/>
      <c r="BH3" s="233"/>
      <c r="BI3" s="233"/>
      <c r="BL3" s="233" t="s">
        <v>1119</v>
      </c>
      <c r="BM3" s="233"/>
      <c r="BN3" s="233"/>
      <c r="BO3" s="233"/>
      <c r="BP3" s="233"/>
      <c r="BQ3" s="233"/>
      <c r="BR3" s="233"/>
      <c r="BS3" s="233"/>
      <c r="BT3" s="233"/>
      <c r="BU3" s="233"/>
      <c r="BV3" s="233"/>
      <c r="BW3" s="233"/>
      <c r="BX3" s="233"/>
      <c r="BY3" s="233"/>
      <c r="BZ3" s="233"/>
      <c r="CC3" s="233" t="s">
        <v>279</v>
      </c>
      <c r="CD3" s="233"/>
      <c r="CE3" s="233"/>
      <c r="CF3" s="233"/>
      <c r="CG3" s="233"/>
      <c r="CH3" s="233"/>
      <c r="CI3" s="233"/>
      <c r="CJ3" s="233"/>
      <c r="CK3" s="233"/>
      <c r="CL3" s="233"/>
      <c r="CM3" s="233"/>
      <c r="CN3" s="233"/>
      <c r="CO3" s="233"/>
      <c r="CP3" s="233"/>
      <c r="CQ3" s="233"/>
      <c r="DB3" s="171">
        <v>0.5</v>
      </c>
      <c r="DC3" s="171">
        <v>0.8</v>
      </c>
      <c r="DD3" s="171">
        <v>1</v>
      </c>
      <c r="DE3" s="171">
        <v>1.2</v>
      </c>
      <c r="DF3" s="171">
        <v>1.5</v>
      </c>
      <c r="DI3" s="233" t="s">
        <v>1087</v>
      </c>
      <c r="DJ3" s="233"/>
      <c r="DK3" s="233"/>
      <c r="DL3" s="233"/>
      <c r="DM3" s="233"/>
      <c r="DN3" s="233"/>
      <c r="DO3" s="233"/>
      <c r="DP3" s="233"/>
      <c r="DQ3" s="233"/>
      <c r="DR3" s="233"/>
      <c r="DS3" s="233"/>
    </row>
    <row r="4" spans="1:123" ht="17.25" x14ac:dyDescent="0.2">
      <c r="A4" s="12" t="s">
        <v>164</v>
      </c>
      <c r="B4" s="12" t="s">
        <v>160</v>
      </c>
      <c r="C4" s="12" t="s">
        <v>161</v>
      </c>
      <c r="D4" s="12" t="s">
        <v>410</v>
      </c>
      <c r="E4" s="12" t="s">
        <v>163</v>
      </c>
      <c r="F4" s="12" t="s">
        <v>371</v>
      </c>
      <c r="I4" s="12" t="s">
        <v>370</v>
      </c>
      <c r="J4" s="12" t="s">
        <v>161</v>
      </c>
      <c r="K4" s="12" t="s">
        <v>162</v>
      </c>
      <c r="L4" s="12" t="s">
        <v>163</v>
      </c>
      <c r="M4" s="12" t="s">
        <v>369</v>
      </c>
      <c r="N4" s="187"/>
      <c r="P4" s="27" t="s">
        <v>1122</v>
      </c>
      <c r="Q4" s="139">
        <v>7</v>
      </c>
      <c r="T4" s="12" t="s">
        <v>1112</v>
      </c>
      <c r="U4" s="12" t="s">
        <v>1113</v>
      </c>
      <c r="V4" s="12" t="s">
        <v>1114</v>
      </c>
      <c r="W4" s="12" t="s">
        <v>1115</v>
      </c>
      <c r="X4" s="12" t="s">
        <v>1116</v>
      </c>
      <c r="Z4" s="12" t="s">
        <v>1583</v>
      </c>
      <c r="AA4" s="12" t="s">
        <v>1584</v>
      </c>
      <c r="AB4" s="12" t="s">
        <v>138</v>
      </c>
      <c r="AC4" s="12" t="s">
        <v>139</v>
      </c>
      <c r="AD4" s="12" t="s">
        <v>140</v>
      </c>
      <c r="AE4" s="12" t="s">
        <v>141</v>
      </c>
      <c r="AF4" s="12" t="s">
        <v>422</v>
      </c>
      <c r="AG4" s="12" t="s">
        <v>1589</v>
      </c>
      <c r="AH4" s="12" t="s">
        <v>1585</v>
      </c>
      <c r="AK4" s="12" t="s">
        <v>968</v>
      </c>
      <c r="AL4" s="12" t="s">
        <v>977</v>
      </c>
      <c r="AM4" s="12" t="s">
        <v>986</v>
      </c>
      <c r="AN4" s="12" t="s">
        <v>987</v>
      </c>
      <c r="AO4" s="12" t="s">
        <v>988</v>
      </c>
      <c r="AP4" s="12" t="s">
        <v>1604</v>
      </c>
      <c r="AQ4" s="12" t="s">
        <v>990</v>
      </c>
      <c r="AR4" s="12" t="s">
        <v>985</v>
      </c>
      <c r="AS4" s="12" t="s">
        <v>976</v>
      </c>
      <c r="AT4" s="12" t="s">
        <v>969</v>
      </c>
      <c r="AU4" s="12" t="s">
        <v>970</v>
      </c>
      <c r="AV4" s="12" t="s">
        <v>971</v>
      </c>
      <c r="AW4" s="12" t="s">
        <v>972</v>
      </c>
      <c r="AX4" s="12" t="s">
        <v>973</v>
      </c>
      <c r="AY4" s="12" t="s">
        <v>974</v>
      </c>
      <c r="AZ4" s="12" t="s">
        <v>975</v>
      </c>
      <c r="BC4" s="12" t="s">
        <v>1583</v>
      </c>
      <c r="BD4" s="12" t="s">
        <v>1584</v>
      </c>
      <c r="BE4" s="12" t="s">
        <v>415</v>
      </c>
      <c r="BF4" s="12" t="s">
        <v>416</v>
      </c>
      <c r="BG4" s="12" t="s">
        <v>417</v>
      </c>
      <c r="BH4" s="12" t="s">
        <v>1196</v>
      </c>
      <c r="BI4" s="12" t="s">
        <v>1585</v>
      </c>
      <c r="BL4" s="12" t="s">
        <v>989</v>
      </c>
      <c r="BM4" s="12" t="s">
        <v>977</v>
      </c>
      <c r="BN4" s="12" t="s">
        <v>997</v>
      </c>
      <c r="BO4" s="12" t="s">
        <v>987</v>
      </c>
      <c r="BP4" s="12" t="s">
        <v>985</v>
      </c>
      <c r="BQ4" s="12" t="s">
        <v>1605</v>
      </c>
      <c r="BR4" s="12" t="s">
        <v>991</v>
      </c>
      <c r="BS4" s="12" t="s">
        <v>992</v>
      </c>
      <c r="BT4" s="12" t="s">
        <v>976</v>
      </c>
      <c r="BU4" s="12" t="s">
        <v>970</v>
      </c>
      <c r="BV4" s="12" t="s">
        <v>971</v>
      </c>
      <c r="BW4" s="12" t="s">
        <v>972</v>
      </c>
      <c r="BX4" s="12" t="s">
        <v>973</v>
      </c>
      <c r="BY4" s="12" t="s">
        <v>974</v>
      </c>
      <c r="BZ4" s="12" t="s">
        <v>975</v>
      </c>
      <c r="CC4" s="12" t="s">
        <v>280</v>
      </c>
      <c r="CD4" s="12" t="s">
        <v>281</v>
      </c>
      <c r="CE4" s="12" t="s">
        <v>1529</v>
      </c>
      <c r="CF4" s="12" t="s">
        <v>1530</v>
      </c>
      <c r="CG4" s="12" t="s">
        <v>283</v>
      </c>
      <c r="CH4" s="12" t="s">
        <v>285</v>
      </c>
      <c r="CI4" s="12" t="s">
        <v>284</v>
      </c>
      <c r="CJ4" s="12" t="s">
        <v>287</v>
      </c>
      <c r="CK4" s="12" t="s">
        <v>286</v>
      </c>
      <c r="CL4" s="12" t="s">
        <v>1531</v>
      </c>
      <c r="CM4" s="12" t="s">
        <v>1532</v>
      </c>
      <c r="CN4" s="31" t="s">
        <v>288</v>
      </c>
      <c r="CO4" s="31" t="s">
        <v>289</v>
      </c>
      <c r="CP4" s="31" t="s">
        <v>290</v>
      </c>
      <c r="CQ4" s="12" t="s">
        <v>291</v>
      </c>
      <c r="CT4" s="12" t="s">
        <v>292</v>
      </c>
      <c r="CU4" s="12" t="s">
        <v>282</v>
      </c>
      <c r="CV4" s="12" t="s">
        <v>293</v>
      </c>
      <c r="CW4" s="12" t="s">
        <v>294</v>
      </c>
      <c r="CX4" s="12" t="s">
        <v>295</v>
      </c>
      <c r="CY4" s="12" t="s">
        <v>282</v>
      </c>
      <c r="CZ4" s="12" t="s">
        <v>282</v>
      </c>
      <c r="DB4" s="45" t="s">
        <v>1533</v>
      </c>
      <c r="DC4" s="45" t="s">
        <v>1534</v>
      </c>
      <c r="DD4" s="45" t="s">
        <v>1535</v>
      </c>
      <c r="DE4" s="45" t="s">
        <v>1536</v>
      </c>
      <c r="DF4" s="45" t="s">
        <v>1537</v>
      </c>
      <c r="DI4" s="12" t="s">
        <v>1086</v>
      </c>
      <c r="DJ4" s="12" t="s">
        <v>1088</v>
      </c>
      <c r="DK4" s="12" t="s">
        <v>1104</v>
      </c>
      <c r="DL4" s="12" t="s">
        <v>1094</v>
      </c>
      <c r="DM4" s="12" t="s">
        <v>1095</v>
      </c>
      <c r="DN4" s="12" t="s">
        <v>1096</v>
      </c>
      <c r="DO4" s="12" t="s">
        <v>1105</v>
      </c>
      <c r="DP4" s="12" t="s">
        <v>801</v>
      </c>
      <c r="DQ4" s="12" t="s">
        <v>802</v>
      </c>
      <c r="DR4" s="12" t="s">
        <v>846</v>
      </c>
      <c r="DS4" s="12" t="s">
        <v>847</v>
      </c>
    </row>
    <row r="5" spans="1:123" ht="16.5" x14ac:dyDescent="0.2">
      <c r="A5" s="29" t="s">
        <v>165</v>
      </c>
      <c r="B5" s="19">
        <v>0.5</v>
      </c>
      <c r="C5" s="19">
        <v>0.8</v>
      </c>
      <c r="D5" s="19">
        <v>1</v>
      </c>
      <c r="E5" s="19">
        <v>1.2</v>
      </c>
      <c r="F5" s="19">
        <v>1.5</v>
      </c>
      <c r="I5" s="55">
        <v>1</v>
      </c>
      <c r="J5" s="55">
        <v>20</v>
      </c>
      <c r="K5" s="55">
        <v>40</v>
      </c>
      <c r="L5" s="55">
        <v>80</v>
      </c>
      <c r="M5" s="55">
        <v>120</v>
      </c>
      <c r="N5" s="187"/>
      <c r="P5" s="140" t="s">
        <v>1123</v>
      </c>
      <c r="Q5" s="139">
        <v>15</v>
      </c>
      <c r="T5" s="139">
        <v>1</v>
      </c>
      <c r="U5" s="139">
        <f>ROUND(INDEX(挂机升级突破!$DJ$6:$DJ$57,卡牌消耗!$T5)*INDEX(卡牌消耗!$B$8:$F$8,卡牌消耗!U$2)/$Q$4/5,0)*5</f>
        <v>605</v>
      </c>
      <c r="V5" s="139">
        <f>ROUND(INDEX(挂机升级突破!$DJ$6:$DJ$57,卡牌消耗!$T5)*INDEX(卡牌消耗!$B$8:$F$8,卡牌消耗!V$2)/$Q$4/5,0)*5</f>
        <v>865</v>
      </c>
      <c r="W5" s="139">
        <f>ROUND(INDEX(挂机升级突破!$DJ$6:$DJ$57,卡牌消耗!$T5)*INDEX(卡牌消耗!$B$8:$F$8,卡牌消耗!W$2)/$Q$4/5,0)*5</f>
        <v>1300</v>
      </c>
      <c r="X5" s="139">
        <f>ROUND(INDEX(挂机升级突破!$DJ$6:$DJ$57,卡牌消耗!$T5)*INDEX(卡牌消耗!$B$8:$F$8,卡牌消耗!X$2)/$Q$4/5,0)*5</f>
        <v>1730</v>
      </c>
      <c r="Z5" s="196">
        <v>2</v>
      </c>
      <c r="AA5" s="196">
        <v>1</v>
      </c>
      <c r="AB5" s="14">
        <f>ROUND(INDEX(挂机升级突破!DT$6:DT$57,卡牌消耗!$AA5)*INDEX(卡牌消耗!$B$5:$F$5,卡牌消耗!$Z5)/卡牌消耗!$Q$4/AB$2,0)*AB$2</f>
        <v>20</v>
      </c>
      <c r="AC5" s="14">
        <f>ROUND(INDEX(挂机升级突破!DU$6:DU$57,卡牌消耗!$AA5)*INDEX(卡牌消耗!$B$5:$F$5,卡牌消耗!$Z5)/卡牌消耗!$Q$4/AC$2,0)*AC$2</f>
        <v>0</v>
      </c>
      <c r="AD5" s="14">
        <f>ROUND(INDEX(挂机升级突破!DV$6:DV$57,卡牌消耗!$AA5)*INDEX(卡牌消耗!$B$5:$F$5,卡牌消耗!$Z5)/卡牌消耗!$Q$4/AD$2,0)*AD$2</f>
        <v>0</v>
      </c>
      <c r="AE5" s="14">
        <f>ROUND(INDEX(挂机升级突破!DW$6:DW$57,卡牌消耗!$AA5)*INDEX(卡牌消耗!$B$5:$F$5,卡牌消耗!$Z5)/卡牌消耗!$Q$4/AE$2,0)*AE$2</f>
        <v>0</v>
      </c>
      <c r="AF5" s="14">
        <f>ROUND(INDEX(挂机升级突破!DX$6:DX$57,卡牌消耗!$AA5)*INDEX(卡牌消耗!$B$5:$F$5,卡牌消耗!$Z5)/卡牌消耗!$Q$4/AF$2,0)*AF$2</f>
        <v>0</v>
      </c>
      <c r="AG5" s="14">
        <f>ROUND(INDEX(挂机升级突破!EC$6:EC$57,卡牌消耗!$AA5)*INDEX(卡牌消耗!$B$7:$F$7,卡牌消耗!$Z5)/卡牌消耗!$Q$4/AG$2,0)*AG$2</f>
        <v>0</v>
      </c>
      <c r="AH5" s="14">
        <f>ROUND(INDEX(挂机升级突破!ED$6:ED$57,卡牌消耗!$AA5)*INDEX(卡牌消耗!$B$8:$F$8,卡牌消耗!$Z5)/卡牌消耗!$Q$4/AH$2,0)*AH$2</f>
        <v>600</v>
      </c>
      <c r="AK5" s="104">
        <v>1</v>
      </c>
      <c r="AL5" s="14">
        <f>INT((AK5-1)/52)+1</f>
        <v>1</v>
      </c>
      <c r="AM5" s="14">
        <f>INDEX(挂机升级突破!DQ$6:DQ$57,卡牌消耗!$AT5)</f>
        <v>11</v>
      </c>
      <c r="AN5" s="14">
        <f>INDEX(挂机升级突破!DR$6:DR$57,卡牌消耗!$AT5)</f>
        <v>1</v>
      </c>
      <c r="AO5" s="14">
        <f>INDEX(挂机升级突破!DS$6:DS$57,卡牌消耗!$AT5)</f>
        <v>0</v>
      </c>
      <c r="AP5" s="14">
        <f>INDEX(挂机升级突破!$DP$6:$DP$57,卡牌消耗!AT5)</f>
        <v>3</v>
      </c>
      <c r="AQ5" s="14" t="str">
        <f>INDEX($B$13:$B$45,AL5)</f>
        <v>关羽</v>
      </c>
      <c r="AR5" s="14">
        <f>INDEX($C$13:$C$45,AL5)</f>
        <v>5</v>
      </c>
      <c r="AS5" s="14" t="str">
        <f>AQ5&amp;"魂火-"&amp;AT5</f>
        <v>关羽魂火-1</v>
      </c>
      <c r="AT5" s="14">
        <f>AK5-(AL5-1)*52</f>
        <v>1</v>
      </c>
      <c r="AU5" s="14" t="str">
        <f>IF(AM5&gt;0,INDEX(挂机升级突破!$DT$4:$ED$4,AM5),"")</f>
        <v>金币</v>
      </c>
      <c r="AV5" s="14">
        <f>ROUND(INDEX(挂机升级突破!$DJ$6:$DJ$57,卡牌消耗!AT5)*INDEX(卡牌消耗!$B$8:$F$8,AR5)/$Q$4/50,0)*50</f>
        <v>1750</v>
      </c>
      <c r="AW5" s="14" t="str">
        <f>IF(AN5&gt;0,INDEX(挂机升级突破!$DT$4:$ED$4,AN5),"")</f>
        <v>绿色基础材料</v>
      </c>
      <c r="AX5" s="14">
        <f>ROUND(INDEX(挂机升级突破!$DT$6:$ED$57,卡牌消耗!AT5,AN5)*INDEX(卡牌消耗!$B$5:$F$5,AR5)/$Q$4/5,0)*5</f>
        <v>40</v>
      </c>
      <c r="AY5" s="14" t="str">
        <f>IF(AO5&gt;0,INDEX(挂机升级突破!$DT$4:$ED$4,AO5),"")</f>
        <v/>
      </c>
      <c r="AZ5" s="14" t="str">
        <f>IF(AO5&gt;0,ROUND(INDEX(挂机升级突破!$DT$6:$ED$57,卡牌消耗!AT5,AO5)*INDEX(卡牌消耗!$B$7:$F$7,AR5)/$Q$4,0),"")</f>
        <v/>
      </c>
      <c r="BC5" s="196">
        <v>2</v>
      </c>
      <c r="BD5" s="196">
        <v>1</v>
      </c>
      <c r="BE5" s="14">
        <f>ROUND(INDEX(挂机升级突破!ER$7:ER$26,卡牌消耗!$BD5)*INDEX(卡牌消耗!$B$6:$F$6,$BC5)/$Q$4,0)</f>
        <v>0</v>
      </c>
      <c r="BF5" s="14">
        <f>ROUND(INDEX(挂机升级突破!ES$7:ES$26,卡牌消耗!$BD5)*INDEX(卡牌消耗!$B$6:$F$6,$BC5)/$Q$4,0)</f>
        <v>0</v>
      </c>
      <c r="BG5" s="14">
        <f>ROUND(INDEX(挂机升级突破!ET$7:ET$26,卡牌消耗!$BD5)*INDEX(卡牌消耗!$B$6:$F$6,$BC5)/$Q$4,0)</f>
        <v>0</v>
      </c>
      <c r="BH5" s="14">
        <f>ROUND(INDEX(挂机升级突破!EU$7:EU$26,卡牌消耗!$BD5)*INDEX(卡牌消耗!$B$6:$F$6,$BC5)/$Q$4,0)</f>
        <v>0</v>
      </c>
      <c r="BI5" s="14">
        <f>ROUND(INDEX(挂机升级突破!$EV$7:$EV$26,卡牌消耗!BD5)*INDEX(卡牌消耗!$B$8:$F$8,$BC5)/$Q$4/BI$2,0)*BI$2</f>
        <v>1000</v>
      </c>
      <c r="BL5" s="104">
        <v>1</v>
      </c>
      <c r="BM5" s="14">
        <f>INT((BL5-1)/20)+1</f>
        <v>1</v>
      </c>
      <c r="BN5" s="14">
        <f>INDEX(挂机升级突破!$EI$7:$EI$26,BS5)</f>
        <v>0</v>
      </c>
      <c r="BO5" s="14">
        <f>INDEX(挂机升级突破!$EJ$7:$EJ$26,BS5)</f>
        <v>0</v>
      </c>
      <c r="BP5" s="14">
        <f>INDEX($C$13:$C$45,BM5)</f>
        <v>5</v>
      </c>
      <c r="BQ5" s="14">
        <f>INDEX(挂机升级突破!$EH$7:$EH$26,卡牌消耗!BS5)</f>
        <v>1</v>
      </c>
      <c r="BR5" s="14" t="str">
        <f>INDEX($B$13:$B$45,BM5)</f>
        <v>关羽</v>
      </c>
      <c r="BS5" s="14">
        <f>BL5-(BM5-1)*20</f>
        <v>1</v>
      </c>
      <c r="BT5" s="14" t="str">
        <f>BR5&amp;BS5&amp;"突"</f>
        <v>关羽1突</v>
      </c>
      <c r="BU5" s="14" t="str">
        <f>IF(BN5&gt;0,INDEX(挂机升级突破!$ER$5:$EV$5,卡牌消耗!BN5),"")</f>
        <v/>
      </c>
      <c r="BV5" s="14" t="str">
        <f>IF(BN5&gt;0,ROUND(INDEX(挂机升级突破!$EV$7:$EV$26,卡牌消耗!BS5)*INDEX(卡牌消耗!$B$8:$F$8,BP5)/$Q$4/500,0)*500,"")</f>
        <v/>
      </c>
      <c r="BW5" s="14" t="str">
        <f>IF(BO5&gt;0,INDEX(挂机升级突破!$ER$5:$EV$5,卡牌消耗!BO5),"")</f>
        <v/>
      </c>
      <c r="BX5" s="14" t="str">
        <f>IF(BO5&gt;0,ROUND(INDEX(挂机升级突破!$ER$7:$EU$26,卡牌消耗!BS5,卡牌消耗!BO5)*INDEX($B$6:$F$6,BP5)/$Q$4/5,0)*5,"")</f>
        <v/>
      </c>
      <c r="BY5" s="104"/>
      <c r="BZ5" s="104"/>
      <c r="CC5" s="169">
        <v>1</v>
      </c>
      <c r="CD5" s="169" t="s">
        <v>1380</v>
      </c>
      <c r="CE5" s="169">
        <v>1</v>
      </c>
      <c r="CF5" s="169">
        <v>7</v>
      </c>
      <c r="CG5" s="153">
        <f>INDEX(章节关卡!$L$6:$L$35,卡牌消耗!CC5)*INDEX(节奏总表!$N$5:$N$34,卡牌消耗!CC5)*60</f>
        <v>0</v>
      </c>
      <c r="CH5" s="153">
        <v>1</v>
      </c>
      <c r="CI5" s="153">
        <f>SUMIFS(章节关卡!$BF$5:$BF$304,章节关卡!$BB$5:$BB$304,"="&amp;卡牌消耗!CH5)</f>
        <v>11250</v>
      </c>
      <c r="CJ5" s="153"/>
      <c r="CK5" s="153"/>
      <c r="CL5" s="169">
        <f>SUMIFS(章节关卡!$ED$5:$ED$94,章节关卡!$DK$5:$DK$94,"="&amp;卡牌消耗!CH5)</f>
        <v>6750</v>
      </c>
      <c r="CM5" s="169"/>
      <c r="CN5" s="153">
        <f>CG5+CI5+CK5+CL5+CM5</f>
        <v>18000</v>
      </c>
      <c r="CO5" s="153">
        <v>0.5</v>
      </c>
      <c r="CP5" s="153">
        <f>INT(CN5*CO5/CQ5)</f>
        <v>3000</v>
      </c>
      <c r="CQ5" s="153">
        <v>3</v>
      </c>
      <c r="CT5" s="173" t="s">
        <v>296</v>
      </c>
      <c r="CU5" s="169">
        <v>1</v>
      </c>
      <c r="CV5" s="50">
        <v>1</v>
      </c>
      <c r="CW5" s="50">
        <v>5</v>
      </c>
      <c r="CX5" s="21">
        <f>CW5/$CU$7</f>
        <v>0.1111111111111111</v>
      </c>
      <c r="CY5" s="50">
        <f>INT($CU$6*CX5/5)*5</f>
        <v>330</v>
      </c>
      <c r="CZ5" s="50">
        <f>SUM(CY$5:CY5)</f>
        <v>330</v>
      </c>
      <c r="DB5" s="188">
        <f>INT($CY5*DB$3/50)*50</f>
        <v>150</v>
      </c>
      <c r="DC5" s="188">
        <f t="shared" ref="DC5:DF20" si="0">INT($CY5*DC$3/50)*50</f>
        <v>250</v>
      </c>
      <c r="DD5" s="188">
        <f t="shared" si="0"/>
        <v>300</v>
      </c>
      <c r="DE5" s="188">
        <f t="shared" si="0"/>
        <v>350</v>
      </c>
      <c r="DF5" s="188">
        <f t="shared" si="0"/>
        <v>450</v>
      </c>
      <c r="DI5" s="136">
        <v>1</v>
      </c>
      <c r="DJ5" s="14">
        <f>INT((DI5-1)/5)+1</f>
        <v>1</v>
      </c>
      <c r="DK5" s="14">
        <f t="shared" ref="DK5:DK68" si="1">INDEX($C$52:$C$120,DJ5)</f>
        <v>3</v>
      </c>
      <c r="DL5" s="14">
        <f t="shared" ref="DL5:DL68" si="2">INDEX($A$52:$A$120,DJ5)</f>
        <v>1101001</v>
      </c>
      <c r="DM5" s="136" t="s">
        <v>1097</v>
      </c>
      <c r="DN5" s="14">
        <f t="shared" ref="DN5:DN68" si="3">DI5-INDEX($E$51:$E$120,DJ5)</f>
        <v>1</v>
      </c>
      <c r="DO5" s="14" t="str">
        <f t="shared" ref="DO5:DO68" si="4">INDEX($B$52:$B$120,DJ5)&amp;"-"&amp;DN5&amp;"星"</f>
        <v>常服曹焱兵-1星</v>
      </c>
      <c r="DP5" s="136" t="s">
        <v>1103</v>
      </c>
      <c r="DQ5" s="14">
        <f>INDEX($K$21:$N$25,DN5,DK5-1)</f>
        <v>4000</v>
      </c>
      <c r="DR5" s="14" t="str">
        <f t="shared" ref="DR5:DR68" si="5">INDEX($B$52:$B$120,DJ5)&amp;"碎片"</f>
        <v>常服曹焱兵碎片</v>
      </c>
      <c r="DS5" s="14">
        <f>INDEX($J$5:$M$9,DN5,DK5-1)</f>
        <v>40</v>
      </c>
    </row>
    <row r="6" spans="1:123" ht="16.5" x14ac:dyDescent="0.2">
      <c r="A6" s="29" t="s">
        <v>983</v>
      </c>
      <c r="B6" s="19">
        <v>0.5</v>
      </c>
      <c r="C6" s="19">
        <v>0.8</v>
      </c>
      <c r="D6" s="19">
        <v>1</v>
      </c>
      <c r="E6" s="19">
        <v>1.2</v>
      </c>
      <c r="F6" s="19">
        <v>1.5</v>
      </c>
      <c r="I6" s="55">
        <v>2</v>
      </c>
      <c r="J6" s="55">
        <v>20</v>
      </c>
      <c r="K6" s="55">
        <v>40</v>
      </c>
      <c r="L6" s="55">
        <v>80</v>
      </c>
      <c r="M6" s="205">
        <v>120</v>
      </c>
      <c r="N6" s="187"/>
      <c r="T6" s="139">
        <v>2</v>
      </c>
      <c r="U6" s="139">
        <f>ROUND(INDEX(挂机升级突破!$DJ$6:$DJ$57,卡牌消耗!$T6)*INDEX(卡牌消耗!$B$8:$F$8,卡牌消耗!U$2)/$Q$4/5,0)*5</f>
        <v>730</v>
      </c>
      <c r="V6" s="139">
        <f>ROUND(INDEX(挂机升级突破!$DJ$6:$DJ$57,卡牌消耗!$T6)*INDEX(卡牌消耗!$B$8:$F$8,卡牌消耗!V$2)/$Q$4/5,0)*5</f>
        <v>1045</v>
      </c>
      <c r="W6" s="139">
        <f>ROUND(INDEX(挂机升级突破!$DJ$6:$DJ$57,卡牌消耗!$T6)*INDEX(卡牌消耗!$B$8:$F$8,卡牌消耗!W$2)/$Q$4/5,0)*5</f>
        <v>1565</v>
      </c>
      <c r="X6" s="139">
        <f>ROUND(INDEX(挂机升级突破!$DJ$6:$DJ$57,卡牌消耗!$T6)*INDEX(卡牌消耗!$B$8:$F$8,卡牌消耗!X$2)/$Q$4/5,0)*5</f>
        <v>2090</v>
      </c>
      <c r="Z6" s="196">
        <v>2</v>
      </c>
      <c r="AA6" s="196">
        <v>2</v>
      </c>
      <c r="AB6" s="14">
        <f>ROUND(INDEX(挂机升级突破!DT$6:DT$57,卡牌消耗!$AA6)*INDEX(卡牌消耗!$B$5:$F$5,卡牌消耗!$Z6)/卡牌消耗!$Q$4/AB$2,0)*AB$2</f>
        <v>70</v>
      </c>
      <c r="AC6" s="14">
        <f>ROUND(INDEX(挂机升级突破!DU$6:DU$57,卡牌消耗!$AA6)*INDEX(卡牌消耗!$B$5:$F$5,卡牌消耗!$Z6)/卡牌消耗!$Q$4/AC$2,0)*AC$2</f>
        <v>0</v>
      </c>
      <c r="AD6" s="14">
        <f>ROUND(INDEX(挂机升级突破!DV$6:DV$57,卡牌消耗!$AA6)*INDEX(卡牌消耗!$B$5:$F$5,卡牌消耗!$Z6)/卡牌消耗!$Q$4/AD$2,0)*AD$2</f>
        <v>0</v>
      </c>
      <c r="AE6" s="14">
        <f>ROUND(INDEX(挂机升级突破!DW$6:DW$57,卡牌消耗!$AA6)*INDEX(卡牌消耗!$B$5:$F$5,卡牌消耗!$Z6)/卡牌消耗!$Q$4/AE$2,0)*AE$2</f>
        <v>0</v>
      </c>
      <c r="AF6" s="14">
        <f>ROUND(INDEX(挂机升级突破!DX$6:DX$57,卡牌消耗!$AA6)*INDEX(卡牌消耗!$B$5:$F$5,卡牌消耗!$Z6)/卡牌消耗!$Q$4/AF$2,0)*AF$2</f>
        <v>0</v>
      </c>
      <c r="AG6" s="14">
        <f>ROUND(INDEX(挂机升级突破!EC$6:EC$57,卡牌消耗!$AA6)*INDEX(卡牌消耗!$B$7:$F$7,卡牌消耗!$Z6)/卡牌消耗!$Q$4/AG$2,0)*AG$2</f>
        <v>0</v>
      </c>
      <c r="AH6" s="14">
        <f>ROUND(INDEX(挂机升级突破!ED$6:ED$57,卡牌消耗!$AA6)*INDEX(卡牌消耗!$B$8:$F$8,卡牌消耗!$Z6)/卡牌消耗!$Q$4/AH$2,0)*AH$2</f>
        <v>750</v>
      </c>
      <c r="AK6" s="104">
        <v>2</v>
      </c>
      <c r="AL6" s="14">
        <f t="shared" ref="AL6:AL69" si="6">INT((AK6-1)/52)+1</f>
        <v>1</v>
      </c>
      <c r="AM6" s="14">
        <f>INDEX(挂机升级突破!DQ$6:DQ$57,卡牌消耗!$AT6)</f>
        <v>11</v>
      </c>
      <c r="AN6" s="14">
        <f>INDEX(挂机升级突破!DR$6:DR$57,卡牌消耗!$AT6)</f>
        <v>1</v>
      </c>
      <c r="AO6" s="14">
        <f>INDEX(挂机升级突破!DS$6:DS$57,卡牌消耗!$AT6)</f>
        <v>0</v>
      </c>
      <c r="AP6" s="14">
        <f>INDEX(挂机升级突破!$DP$6:$DP$57,卡牌消耗!AT6)</f>
        <v>8</v>
      </c>
      <c r="AQ6" s="14" t="str">
        <f t="shared" ref="AQ6:AQ69" si="7">INDEX($B$13:$B$45,AL6)</f>
        <v>关羽</v>
      </c>
      <c r="AR6" s="14">
        <f t="shared" ref="AR6:AR69" si="8">INDEX($C$13:$C$45,AL6)</f>
        <v>5</v>
      </c>
      <c r="AS6" s="14" t="str">
        <f t="shared" ref="AS6:AS69" si="9">AQ6&amp;"魂火-"&amp;AT6</f>
        <v>关羽魂火-2</v>
      </c>
      <c r="AT6" s="14">
        <f t="shared" ref="AT6:AT69" si="10">AK6-(AL6-1)*52</f>
        <v>2</v>
      </c>
      <c r="AU6" s="14" t="str">
        <f>IF(AM6&gt;0,INDEX(挂机升级突破!$DT$4:$ED$4,AM6),"")</f>
        <v>金币</v>
      </c>
      <c r="AV6" s="14">
        <f>ROUND(INDEX(挂机升级突破!$DJ$6:$DJ$57,卡牌消耗!AT6)*INDEX(卡牌消耗!$B$8:$F$8,AR6)/$Q$4/50,0)*50</f>
        <v>2100</v>
      </c>
      <c r="AW6" s="14" t="str">
        <f>IF(AN6&gt;0,INDEX(挂机升级突破!$DT$4:$ED$4,AN6),"")</f>
        <v>绿色基础材料</v>
      </c>
      <c r="AX6" s="14">
        <f>ROUND(INDEX(挂机升级突破!$DT$6:$ED$57,卡牌消耗!AT6,AN6)*INDEX(卡牌消耗!$B$5:$F$5,AR6)/$Q$4/5,0)*5</f>
        <v>130</v>
      </c>
      <c r="AY6" s="14" t="str">
        <f>IF(AO6&gt;0,INDEX(挂机升级突破!$DT$4:$ED$4,AO6),"")</f>
        <v/>
      </c>
      <c r="AZ6" s="14" t="str">
        <f>IF(AO6&gt;0,ROUND(INDEX(挂机升级突破!$DT$6:$ED$57,卡牌消耗!AT6,AO6)*INDEX(卡牌消耗!$B$7:$F$7,AR6)/$Q$4,0),"")</f>
        <v/>
      </c>
      <c r="BC6" s="196">
        <v>2</v>
      </c>
      <c r="BD6" s="196">
        <v>2</v>
      </c>
      <c r="BE6" s="14">
        <f>ROUND(INDEX(挂机升级突破!ER$7:ER$26,卡牌消耗!$BD6)*INDEX(卡牌消耗!$B$6:$F$6,$BC6)/$Q$4,0)</f>
        <v>1</v>
      </c>
      <c r="BF6" s="14">
        <f>ROUND(INDEX(挂机升级突破!ES$7:ES$26,卡牌消耗!$BD6)*INDEX(卡牌消耗!$B$6:$F$6,$BC6)/$Q$4,0)</f>
        <v>0</v>
      </c>
      <c r="BG6" s="14">
        <f>ROUND(INDEX(挂机升级突破!ET$7:ET$26,卡牌消耗!$BD6)*INDEX(卡牌消耗!$B$6:$F$6,$BC6)/$Q$4,0)</f>
        <v>0</v>
      </c>
      <c r="BH6" s="14">
        <f>ROUND(INDEX(挂机升级突破!EU$7:EU$26,卡牌消耗!$BD6)*INDEX(卡牌消耗!$B$6:$F$6,$BC6)/$Q$4,0)</f>
        <v>0</v>
      </c>
      <c r="BI6" s="14">
        <f>ROUND(INDEX(挂机升级突破!$EV$7:$EV$26,卡牌消耗!BD6)*INDEX(卡牌消耗!$B$8:$F$8,$BC6)/$Q$4/BI$2,0)*BI$2</f>
        <v>2000</v>
      </c>
      <c r="BL6" s="104">
        <v>2</v>
      </c>
      <c r="BM6" s="14">
        <f t="shared" ref="BM6:BM69" si="11">INT((BL6-1)/20)+1</f>
        <v>1</v>
      </c>
      <c r="BN6" s="14">
        <f>INDEX(挂机升级突破!$EI$7:$EI$26,BS6)</f>
        <v>5</v>
      </c>
      <c r="BO6" s="14">
        <f>INDEX(挂机升级突破!$EJ$7:$EJ$26,BS6)</f>
        <v>1</v>
      </c>
      <c r="BP6" s="14">
        <f t="shared" ref="BP6:BP69" si="12">INDEX($C$13:$C$45,BM6)</f>
        <v>5</v>
      </c>
      <c r="BQ6" s="14">
        <f>INDEX(挂机升级突破!$EH$7:$EH$26,卡牌消耗!BS6)</f>
        <v>5</v>
      </c>
      <c r="BR6" s="14" t="str">
        <f t="shared" ref="BR6:BR69" si="13">INDEX($B$13:$B$45,BM6)</f>
        <v>关羽</v>
      </c>
      <c r="BS6" s="14">
        <f t="shared" ref="BS6:BS69" si="14">BL6-(BM6-1)*20</f>
        <v>2</v>
      </c>
      <c r="BT6" s="14" t="str">
        <f t="shared" ref="BT6:BT69" si="15">BR6&amp;BS6&amp;"突"</f>
        <v>关羽2突</v>
      </c>
      <c r="BU6" s="14" t="str">
        <f>IF(BN6&gt;0,INDEX(挂机升级突破!$ER$5:$EV$5,卡牌消耗!BN6),"")</f>
        <v>金币</v>
      </c>
      <c r="BV6" s="14">
        <f>IF(BN6&gt;0,ROUND(INDEX(挂机升级突破!$EV$7:$EV$26,卡牌消耗!BS6)*INDEX(卡牌消耗!$B$8:$F$8,BP6)/$Q$4/500,0)*500,"")</f>
        <v>6500</v>
      </c>
      <c r="BW6" s="14" t="str">
        <f>IF(BO6&gt;0,INDEX(挂机升级突破!$ER$5:$EV$5,卡牌消耗!BO6),"")</f>
        <v>玄铁</v>
      </c>
      <c r="BX6" s="14">
        <f>IF(BO6&gt;0,ROUND(INDEX(挂机升级突破!$ER$7:$EU$26,卡牌消耗!BS6,卡牌消耗!BO6)*INDEX($B$6:$F$6,BP6)/$Q$4,0),"")</f>
        <v>2</v>
      </c>
      <c r="BY6" s="193"/>
      <c r="BZ6" s="193"/>
      <c r="CC6" s="158">
        <v>2</v>
      </c>
      <c r="CD6" s="158" t="s">
        <v>1381</v>
      </c>
      <c r="CE6" s="158">
        <v>7</v>
      </c>
      <c r="CF6" s="158">
        <v>15</v>
      </c>
      <c r="CG6" s="169">
        <f>INDEX(章节关卡!$L$6:$L$35,卡牌消耗!CC6)*INDEX(节奏总表!$N$5:$N$34,卡牌消耗!CC6)*60</f>
        <v>7200</v>
      </c>
      <c r="CH6" s="153">
        <v>2</v>
      </c>
      <c r="CI6" s="169">
        <f>SUMIFS(章节关卡!$BF$5:$BF$304,章节关卡!$BB$5:$BB$304,"="&amp;卡牌消耗!CH6)</f>
        <v>13500</v>
      </c>
      <c r="CJ6" s="153"/>
      <c r="CK6" s="153"/>
      <c r="CL6" s="169">
        <f>SUMIFS(章节关卡!$ED$5:$ED$94,章节关卡!$DK$5:$DK$94,"="&amp;卡牌消耗!CH6)</f>
        <v>10800</v>
      </c>
      <c r="CM6" s="169"/>
      <c r="CN6" s="169">
        <f t="shared" ref="CN6:CN32" si="16">CG6+CI6+CK6+CL6+CM6</f>
        <v>31500</v>
      </c>
      <c r="CO6" s="153">
        <v>0.7</v>
      </c>
      <c r="CP6" s="153">
        <f t="shared" ref="CP6:CP32" si="17">INT(CN6*CO6/CQ6)</f>
        <v>6784</v>
      </c>
      <c r="CQ6" s="153">
        <v>3.25</v>
      </c>
      <c r="CT6" s="171"/>
      <c r="CU6" s="14">
        <f>INDEX($CP$5:$CP$32,CU5)</f>
        <v>3000</v>
      </c>
      <c r="CV6" s="50">
        <v>2</v>
      </c>
      <c r="CW6" s="50">
        <v>6</v>
      </c>
      <c r="CX6" s="21">
        <f t="shared" ref="CX6:CX10" si="18">CW6/$CU$7</f>
        <v>0.13333333333333333</v>
      </c>
      <c r="CY6" s="169">
        <f t="shared" ref="CY6:CY10" si="19">INT($CU$6*CX6/5)*5</f>
        <v>400</v>
      </c>
      <c r="CZ6" s="50">
        <f>SUM(CY$5:CY6)</f>
        <v>730</v>
      </c>
      <c r="DB6" s="188">
        <f t="shared" ref="DB6:DF37" si="20">INT($CY6*DB$3/50)*50</f>
        <v>200</v>
      </c>
      <c r="DC6" s="188">
        <f t="shared" si="0"/>
        <v>300</v>
      </c>
      <c r="DD6" s="188">
        <f t="shared" si="0"/>
        <v>400</v>
      </c>
      <c r="DE6" s="188">
        <f t="shared" si="0"/>
        <v>450</v>
      </c>
      <c r="DF6" s="188">
        <f t="shared" si="0"/>
        <v>600</v>
      </c>
      <c r="DI6" s="136">
        <v>2</v>
      </c>
      <c r="DJ6" s="14">
        <f t="shared" ref="DJ6:DJ69" si="21">INT((DI6-1)/5)+1</f>
        <v>1</v>
      </c>
      <c r="DK6" s="14">
        <f t="shared" si="1"/>
        <v>3</v>
      </c>
      <c r="DL6" s="14">
        <f t="shared" si="2"/>
        <v>1101001</v>
      </c>
      <c r="DM6" s="136" t="s">
        <v>1097</v>
      </c>
      <c r="DN6" s="14">
        <f t="shared" si="3"/>
        <v>2</v>
      </c>
      <c r="DO6" s="14" t="str">
        <f t="shared" si="4"/>
        <v>常服曹焱兵-2星</v>
      </c>
      <c r="DP6" s="136" t="s">
        <v>1103</v>
      </c>
      <c r="DQ6" s="14">
        <f t="shared" ref="DQ6:DQ69" si="22">INDEX($K$21:$N$25,DN6,DK6-1)</f>
        <v>5000</v>
      </c>
      <c r="DR6" s="14" t="str">
        <f t="shared" si="5"/>
        <v>常服曹焱兵碎片</v>
      </c>
      <c r="DS6" s="14">
        <f t="shared" ref="DS6:DS69" si="23">INDEX($J$5:$M$9,DN6,DK6-1)</f>
        <v>40</v>
      </c>
    </row>
    <row r="7" spans="1:123" ht="16.5" x14ac:dyDescent="0.2">
      <c r="A7" s="29" t="s">
        <v>984</v>
      </c>
      <c r="B7" s="21">
        <v>1</v>
      </c>
      <c r="C7" s="21">
        <v>0.5</v>
      </c>
      <c r="D7" s="21">
        <v>1</v>
      </c>
      <c r="E7" s="21">
        <v>1.5</v>
      </c>
      <c r="F7" s="21">
        <v>2</v>
      </c>
      <c r="I7" s="55">
        <v>3</v>
      </c>
      <c r="J7" s="205">
        <v>20</v>
      </c>
      <c r="K7" s="205">
        <v>40</v>
      </c>
      <c r="L7" s="205">
        <v>80</v>
      </c>
      <c r="M7" s="205">
        <v>120</v>
      </c>
      <c r="N7" s="187"/>
      <c r="T7" s="139">
        <v>3</v>
      </c>
      <c r="U7" s="139">
        <f>ROUND(INDEX(挂机升级突破!$DJ$6:$DJ$57,卡牌消耗!$T7)*INDEX(卡牌消耗!$B$8:$F$8,卡牌消耗!U$2)/$Q$4/5,0)*5</f>
        <v>730</v>
      </c>
      <c r="V7" s="139">
        <f>ROUND(INDEX(挂机升级突破!$DJ$6:$DJ$57,卡牌消耗!$T7)*INDEX(卡牌消耗!$B$8:$F$8,卡牌消耗!V$2)/$Q$4/5,0)*5</f>
        <v>1045</v>
      </c>
      <c r="W7" s="139">
        <f>ROUND(INDEX(挂机升级突破!$DJ$6:$DJ$57,卡牌消耗!$T7)*INDEX(卡牌消耗!$B$8:$F$8,卡牌消耗!W$2)/$Q$4/5,0)*5</f>
        <v>1565</v>
      </c>
      <c r="X7" s="139">
        <f>ROUND(INDEX(挂机升级突破!$DJ$6:$DJ$57,卡牌消耗!$T7)*INDEX(卡牌消耗!$B$8:$F$8,卡牌消耗!X$2)/$Q$4/5,0)*5</f>
        <v>2090</v>
      </c>
      <c r="Z7" s="196">
        <v>2</v>
      </c>
      <c r="AA7" s="196">
        <v>3</v>
      </c>
      <c r="AB7" s="14">
        <f>ROUND(INDEX(挂机升级突破!DT$6:DT$57,卡牌消耗!$AA7)*INDEX(卡牌消耗!$B$5:$F$5,卡牌消耗!$Z7)/卡牌消耗!$Q$4/AB$2,0)*AB$2</f>
        <v>80</v>
      </c>
      <c r="AC7" s="14">
        <f>ROUND(INDEX(挂机升级突破!DU$6:DU$57,卡牌消耗!$AA7)*INDEX(卡牌消耗!$B$5:$F$5,卡牌消耗!$Z7)/卡牌消耗!$Q$4/AC$2,0)*AC$2</f>
        <v>0</v>
      </c>
      <c r="AD7" s="14">
        <f>ROUND(INDEX(挂机升级突破!DV$6:DV$57,卡牌消耗!$AA7)*INDEX(卡牌消耗!$B$5:$F$5,卡牌消耗!$Z7)/卡牌消耗!$Q$4/AD$2,0)*AD$2</f>
        <v>0</v>
      </c>
      <c r="AE7" s="14">
        <f>ROUND(INDEX(挂机升级突破!DW$6:DW$57,卡牌消耗!$AA7)*INDEX(卡牌消耗!$B$5:$F$5,卡牌消耗!$Z7)/卡牌消耗!$Q$4/AE$2,0)*AE$2</f>
        <v>0</v>
      </c>
      <c r="AF7" s="14">
        <f>ROUND(INDEX(挂机升级突破!DX$6:DX$57,卡牌消耗!$AA7)*INDEX(卡牌消耗!$B$5:$F$5,卡牌消耗!$Z7)/卡牌消耗!$Q$4/AF$2,0)*AF$2</f>
        <v>0</v>
      </c>
      <c r="AG7" s="14">
        <f>ROUND(INDEX(挂机升级突破!EC$6:EC$57,卡牌消耗!$AA7)*INDEX(卡牌消耗!$B$7:$F$7,卡牌消耗!$Z7)/卡牌消耗!$Q$4/AG$2,0)*AG$2</f>
        <v>0</v>
      </c>
      <c r="AH7" s="14">
        <f>ROUND(INDEX(挂机升级突破!ED$6:ED$57,卡牌消耗!$AA7)*INDEX(卡牌消耗!$B$8:$F$8,卡牌消耗!$Z7)/卡牌消耗!$Q$4/AH$2,0)*AH$2</f>
        <v>750</v>
      </c>
      <c r="AK7" s="104">
        <v>3</v>
      </c>
      <c r="AL7" s="14">
        <f t="shared" si="6"/>
        <v>1</v>
      </c>
      <c r="AM7" s="14">
        <f>INDEX(挂机升级突破!DQ$6:DQ$57,卡牌消耗!$AT7)</f>
        <v>11</v>
      </c>
      <c r="AN7" s="14">
        <f>INDEX(挂机升级突破!DR$6:DR$57,卡牌消耗!$AT7)</f>
        <v>1</v>
      </c>
      <c r="AO7" s="14">
        <f>INDEX(挂机升级突破!DS$6:DS$57,卡牌消耗!$AT7)</f>
        <v>0</v>
      </c>
      <c r="AP7" s="14">
        <f>INDEX(挂机升级突破!$DP$6:$DP$57,卡牌消耗!AT7)</f>
        <v>13</v>
      </c>
      <c r="AQ7" s="14" t="str">
        <f t="shared" si="7"/>
        <v>关羽</v>
      </c>
      <c r="AR7" s="14">
        <f t="shared" si="8"/>
        <v>5</v>
      </c>
      <c r="AS7" s="14" t="str">
        <f t="shared" si="9"/>
        <v>关羽魂火-3</v>
      </c>
      <c r="AT7" s="14">
        <f t="shared" si="10"/>
        <v>3</v>
      </c>
      <c r="AU7" s="14" t="str">
        <f>IF(AM7&gt;0,INDEX(挂机升级突破!$DT$4:$ED$4,AM7),"")</f>
        <v>金币</v>
      </c>
      <c r="AV7" s="14">
        <f>ROUND(INDEX(挂机升级突破!$DJ$6:$DJ$57,卡牌消耗!AT7)*INDEX(卡牌消耗!$B$8:$F$8,AR7)/$Q$4/50,0)*50</f>
        <v>2100</v>
      </c>
      <c r="AW7" s="14" t="str">
        <f>IF(AN7&gt;0,INDEX(挂机升级突破!$DT$4:$ED$4,AN7),"")</f>
        <v>绿色基础材料</v>
      </c>
      <c r="AX7" s="14">
        <f>ROUND(INDEX(挂机升级突破!$DT$6:$ED$57,卡牌消耗!AT7,AN7)*INDEX(卡牌消耗!$B$5:$F$5,AR7)/$Q$4/5,0)*5</f>
        <v>155</v>
      </c>
      <c r="AY7" s="14" t="str">
        <f>IF(AO7&gt;0,INDEX(挂机升级突破!$DT$4:$ED$4,AO7),"")</f>
        <v/>
      </c>
      <c r="AZ7" s="14" t="str">
        <f>IF(AO7&gt;0,ROUND(INDEX(挂机升级突破!$DT$6:$ED$57,卡牌消耗!AT7,AO7)*INDEX(卡牌消耗!$B$7:$F$7,AR7)/$Q$4,0),"")</f>
        <v/>
      </c>
      <c r="BC7" s="196">
        <v>2</v>
      </c>
      <c r="BD7" s="196">
        <v>3</v>
      </c>
      <c r="BE7" s="14">
        <f>ROUND(INDEX(挂机升级突破!ER$7:ER$26,卡牌消耗!$BD7)*INDEX(卡牌消耗!$B$6:$F$6,$BC7)/$Q$4,0)</f>
        <v>4</v>
      </c>
      <c r="BF7" s="14">
        <f>ROUND(INDEX(挂机升级突破!ES$7:ES$26,卡牌消耗!$BD7)*INDEX(卡牌消耗!$B$6:$F$6,$BC7)/$Q$4,0)</f>
        <v>0</v>
      </c>
      <c r="BG7" s="14">
        <f>ROUND(INDEX(挂机升级突破!ET$7:ET$26,卡牌消耗!$BD7)*INDEX(卡牌消耗!$B$6:$F$6,$BC7)/$Q$4,0)</f>
        <v>0</v>
      </c>
      <c r="BH7" s="14">
        <f>ROUND(INDEX(挂机升级突破!EU$7:EU$26,卡牌消耗!$BD7)*INDEX(卡牌消耗!$B$6:$F$6,$BC7)/$Q$4,0)</f>
        <v>0</v>
      </c>
      <c r="BI7" s="14">
        <f>ROUND(INDEX(挂机升级突破!$EV$7:$EV$26,卡牌消耗!BD7)*INDEX(卡牌消耗!$B$8:$F$8,$BC7)/$Q$4/BI$2,0)*BI$2</f>
        <v>2000</v>
      </c>
      <c r="BL7" s="104">
        <v>3</v>
      </c>
      <c r="BM7" s="14">
        <f t="shared" si="11"/>
        <v>1</v>
      </c>
      <c r="BN7" s="14">
        <f>INDEX(挂机升级突破!$EI$7:$EI$26,BS7)</f>
        <v>5</v>
      </c>
      <c r="BO7" s="14">
        <f>INDEX(挂机升级突破!$EJ$7:$EJ$26,BS7)</f>
        <v>1</v>
      </c>
      <c r="BP7" s="14">
        <f t="shared" si="12"/>
        <v>5</v>
      </c>
      <c r="BQ7" s="14">
        <f>INDEX(挂机升级突破!$EH$7:$EH$26,卡牌消耗!BS7)</f>
        <v>15</v>
      </c>
      <c r="BR7" s="14" t="str">
        <f t="shared" si="13"/>
        <v>关羽</v>
      </c>
      <c r="BS7" s="14">
        <f t="shared" si="14"/>
        <v>3</v>
      </c>
      <c r="BT7" s="14" t="str">
        <f t="shared" si="15"/>
        <v>关羽3突</v>
      </c>
      <c r="BU7" s="14" t="str">
        <f>IF(BN7&gt;0,INDEX(挂机升级突破!$ER$5:$EV$5,卡牌消耗!BN7),"")</f>
        <v>金币</v>
      </c>
      <c r="BV7" s="14">
        <f>IF(BN7&gt;0,ROUND(INDEX(挂机升级突破!$EV$7:$EV$26,卡牌消耗!BS7)*INDEX(卡牌消耗!$B$8:$F$8,BP7)/$Q$4/500,0)*500,"")</f>
        <v>6500</v>
      </c>
      <c r="BW7" s="14" t="str">
        <f>IF(BO7&gt;0,INDEX(挂机升级突破!$ER$5:$EV$5,卡牌消耗!BO7),"")</f>
        <v>玄铁</v>
      </c>
      <c r="BX7" s="14">
        <f>IF(BO7&gt;0,ROUND(INDEX(挂机升级突破!$ER$7:$EU$26,卡牌消耗!BS7,卡牌消耗!BO7)*INDEX($B$6:$F$6,BP7)/$Q$4,0),"")</f>
        <v>8</v>
      </c>
      <c r="BY7" s="193"/>
      <c r="BZ7" s="193"/>
      <c r="CC7" s="158">
        <v>3</v>
      </c>
      <c r="CD7" s="158" t="s">
        <v>1369</v>
      </c>
      <c r="CE7" s="158">
        <v>15</v>
      </c>
      <c r="CF7" s="158">
        <v>25</v>
      </c>
      <c r="CG7" s="169">
        <f>INDEX(章节关卡!$L$6:$L$35,卡牌消耗!CC7)*INDEX(节奏总表!$N$5:$N$34,卡牌消耗!CC7)*60</f>
        <v>42000</v>
      </c>
      <c r="CH7" s="169">
        <v>3</v>
      </c>
      <c r="CI7" s="169">
        <f>SUMIFS(章节关卡!$BF$5:$BF$304,章节关卡!$BB$5:$BB$304,"="&amp;卡牌消耗!CH7)</f>
        <v>15750</v>
      </c>
      <c r="CJ7" s="153">
        <v>1</v>
      </c>
      <c r="CK7" s="153">
        <f>SUMIFS(章节关卡!$BP$5:$BP$304,章节关卡!$BL$5:$BL$304,"="&amp;卡牌消耗!CJ7)</f>
        <v>22500</v>
      </c>
      <c r="CL7" s="169">
        <f>SUMIFS(章节关卡!$ED$5:$ED$94,章节关卡!$DK$5:$DK$94,"="&amp;卡牌消耗!CH7)</f>
        <v>12600</v>
      </c>
      <c r="CM7" s="169">
        <f>SUMIFS(章节关卡!$FC$5:$FC$94,章节关卡!$DK$5:$DK$94,"="&amp;CJ7)</f>
        <v>18900</v>
      </c>
      <c r="CN7" s="169">
        <f t="shared" si="16"/>
        <v>111750</v>
      </c>
      <c r="CO7" s="153">
        <v>0.8</v>
      </c>
      <c r="CP7" s="153">
        <f t="shared" si="17"/>
        <v>25542</v>
      </c>
      <c r="CQ7" s="169">
        <v>3.5</v>
      </c>
      <c r="CT7" s="170"/>
      <c r="CU7" s="14">
        <f>SUMIFS($CW$5:$CW$154,$CV$5:$CV$154,"&gt;="&amp;INDEX($CE$5:$CE$32,CU5),$CV$5:$CV$154,"&lt;"&amp;INDEX($CF$5:$CF$32,CU5))</f>
        <v>45</v>
      </c>
      <c r="CV7" s="169">
        <v>3</v>
      </c>
      <c r="CW7" s="169">
        <v>7</v>
      </c>
      <c r="CX7" s="21">
        <f t="shared" si="18"/>
        <v>0.15555555555555556</v>
      </c>
      <c r="CY7" s="169">
        <f t="shared" si="19"/>
        <v>465</v>
      </c>
      <c r="CZ7" s="50">
        <f>SUM(CY$5:CY7)</f>
        <v>1195</v>
      </c>
      <c r="DB7" s="188">
        <f t="shared" si="20"/>
        <v>200</v>
      </c>
      <c r="DC7" s="188">
        <f t="shared" si="0"/>
        <v>350</v>
      </c>
      <c r="DD7" s="188">
        <f t="shared" si="0"/>
        <v>450</v>
      </c>
      <c r="DE7" s="188">
        <f t="shared" si="0"/>
        <v>550</v>
      </c>
      <c r="DF7" s="188">
        <f t="shared" si="0"/>
        <v>650</v>
      </c>
      <c r="DI7" s="186">
        <v>3</v>
      </c>
      <c r="DJ7" s="14">
        <f t="shared" si="21"/>
        <v>1</v>
      </c>
      <c r="DK7" s="14">
        <f t="shared" si="1"/>
        <v>3</v>
      </c>
      <c r="DL7" s="14">
        <f t="shared" si="2"/>
        <v>1101001</v>
      </c>
      <c r="DM7" s="136" t="s">
        <v>1097</v>
      </c>
      <c r="DN7" s="14">
        <f t="shared" si="3"/>
        <v>3</v>
      </c>
      <c r="DO7" s="14" t="str">
        <f t="shared" si="4"/>
        <v>常服曹焱兵-3星</v>
      </c>
      <c r="DP7" s="136" t="s">
        <v>1103</v>
      </c>
      <c r="DQ7" s="14">
        <f t="shared" si="22"/>
        <v>10000</v>
      </c>
      <c r="DR7" s="14" t="str">
        <f t="shared" si="5"/>
        <v>常服曹焱兵碎片</v>
      </c>
      <c r="DS7" s="14">
        <f t="shared" si="23"/>
        <v>40</v>
      </c>
    </row>
    <row r="8" spans="1:123" ht="16.5" x14ac:dyDescent="0.2">
      <c r="A8" s="29" t="s">
        <v>67</v>
      </c>
      <c r="B8" s="21">
        <v>0.5</v>
      </c>
      <c r="C8" s="21">
        <v>0.7</v>
      </c>
      <c r="D8" s="21">
        <v>1</v>
      </c>
      <c r="E8" s="21">
        <v>1.5</v>
      </c>
      <c r="F8" s="21">
        <v>2</v>
      </c>
      <c r="I8" s="55">
        <v>4</v>
      </c>
      <c r="J8" s="205">
        <v>20</v>
      </c>
      <c r="K8" s="205">
        <v>40</v>
      </c>
      <c r="L8" s="205">
        <v>80</v>
      </c>
      <c r="M8" s="205">
        <v>120</v>
      </c>
      <c r="N8" s="187"/>
      <c r="T8" s="139">
        <v>4</v>
      </c>
      <c r="U8" s="139">
        <f>ROUND(INDEX(挂机升级突破!$DJ$6:$DJ$57,卡牌消耗!$T8)*INDEX(卡牌消耗!$B$8:$F$8,卡牌消耗!U$2)/$Q$4/5,0)*5</f>
        <v>730</v>
      </c>
      <c r="V8" s="139">
        <f>ROUND(INDEX(挂机升级突破!$DJ$6:$DJ$57,卡牌消耗!$T8)*INDEX(卡牌消耗!$B$8:$F$8,卡牌消耗!V$2)/$Q$4/5,0)*5</f>
        <v>1045</v>
      </c>
      <c r="W8" s="139">
        <f>ROUND(INDEX(挂机升级突破!$DJ$6:$DJ$57,卡牌消耗!$T8)*INDEX(卡牌消耗!$B$8:$F$8,卡牌消耗!W$2)/$Q$4/5,0)*5</f>
        <v>1565</v>
      </c>
      <c r="X8" s="139">
        <f>ROUND(INDEX(挂机升级突破!$DJ$6:$DJ$57,卡牌消耗!$T8)*INDEX(卡牌消耗!$B$8:$F$8,卡牌消耗!X$2)/$Q$4/5,0)*5</f>
        <v>2090</v>
      </c>
      <c r="Z8" s="196">
        <v>2</v>
      </c>
      <c r="AA8" s="196">
        <v>4</v>
      </c>
      <c r="AB8" s="14">
        <f>ROUND(INDEX(挂机升级突破!DT$6:DT$57,卡牌消耗!$AA8)*INDEX(卡牌消耗!$B$5:$F$5,卡牌消耗!$Z8)/卡牌消耗!$Q$4/AB$2,0)*AB$2</f>
        <v>115</v>
      </c>
      <c r="AC8" s="14">
        <f>ROUND(INDEX(挂机升级突破!DU$6:DU$57,卡牌消耗!$AA8)*INDEX(卡牌消耗!$B$5:$F$5,卡牌消耗!$Z8)/卡牌消耗!$Q$4/AC$2,0)*AC$2</f>
        <v>0</v>
      </c>
      <c r="AD8" s="14">
        <f>ROUND(INDEX(挂机升级突破!DV$6:DV$57,卡牌消耗!$AA8)*INDEX(卡牌消耗!$B$5:$F$5,卡牌消耗!$Z8)/卡牌消耗!$Q$4/AD$2,0)*AD$2</f>
        <v>0</v>
      </c>
      <c r="AE8" s="14">
        <f>ROUND(INDEX(挂机升级突破!DW$6:DW$57,卡牌消耗!$AA8)*INDEX(卡牌消耗!$B$5:$F$5,卡牌消耗!$Z8)/卡牌消耗!$Q$4/AE$2,0)*AE$2</f>
        <v>0</v>
      </c>
      <c r="AF8" s="14">
        <f>ROUND(INDEX(挂机升级突破!DX$6:DX$57,卡牌消耗!$AA8)*INDEX(卡牌消耗!$B$5:$F$5,卡牌消耗!$Z8)/卡牌消耗!$Q$4/AF$2,0)*AF$2</f>
        <v>0</v>
      </c>
      <c r="AG8" s="14">
        <f>ROUND(INDEX(挂机升级突破!EC$6:EC$57,卡牌消耗!$AA8)*INDEX(卡牌消耗!$B$7:$F$7,卡牌消耗!$Z8)/卡牌消耗!$Q$4/AG$2,0)*AG$2</f>
        <v>0</v>
      </c>
      <c r="AH8" s="14">
        <f>ROUND(INDEX(挂机升级突破!ED$6:ED$57,卡牌消耗!$AA8)*INDEX(卡牌消耗!$B$8:$F$8,卡牌消耗!$Z8)/卡牌消耗!$Q$4/AH$2,0)*AH$2</f>
        <v>750</v>
      </c>
      <c r="AK8" s="104">
        <v>4</v>
      </c>
      <c r="AL8" s="14">
        <f t="shared" si="6"/>
        <v>1</v>
      </c>
      <c r="AM8" s="14">
        <f>INDEX(挂机升级突破!DQ$6:DQ$57,卡牌消耗!$AT8)</f>
        <v>11</v>
      </c>
      <c r="AN8" s="14">
        <f>INDEX(挂机升级突破!DR$6:DR$57,卡牌消耗!$AT8)</f>
        <v>1</v>
      </c>
      <c r="AO8" s="14">
        <f>INDEX(挂机升级突破!DS$6:DS$57,卡牌消耗!$AT8)</f>
        <v>0</v>
      </c>
      <c r="AP8" s="14">
        <f>INDEX(挂机升级突破!$DP$6:$DP$57,卡牌消耗!AT8)</f>
        <v>18</v>
      </c>
      <c r="AQ8" s="14" t="str">
        <f t="shared" si="7"/>
        <v>关羽</v>
      </c>
      <c r="AR8" s="14">
        <f t="shared" si="8"/>
        <v>5</v>
      </c>
      <c r="AS8" s="14" t="str">
        <f t="shared" si="9"/>
        <v>关羽魂火-4</v>
      </c>
      <c r="AT8" s="14">
        <f t="shared" si="10"/>
        <v>4</v>
      </c>
      <c r="AU8" s="14" t="str">
        <f>IF(AM8&gt;0,INDEX(挂机升级突破!$DT$4:$ED$4,AM8),"")</f>
        <v>金币</v>
      </c>
      <c r="AV8" s="14">
        <f>ROUND(INDEX(挂机升级突破!$DJ$6:$DJ$57,卡牌消耗!AT8)*INDEX(卡牌消耗!$B$8:$F$8,AR8)/$Q$4/50,0)*50</f>
        <v>2100</v>
      </c>
      <c r="AW8" s="14" t="str">
        <f>IF(AN8&gt;0,INDEX(挂机升级突破!$DT$4:$ED$4,AN8),"")</f>
        <v>绿色基础材料</v>
      </c>
      <c r="AX8" s="14">
        <f>ROUND(INDEX(挂机升级突破!$DT$6:$ED$57,卡牌消耗!AT8,AN8)*INDEX(卡牌消耗!$B$5:$F$5,AR8)/$Q$4/5,0)*5</f>
        <v>215</v>
      </c>
      <c r="AY8" s="14" t="str">
        <f>IF(AO8&gt;0,INDEX(挂机升级突破!$DT$4:$ED$4,AO8),"")</f>
        <v/>
      </c>
      <c r="AZ8" s="14" t="str">
        <f>IF(AO8&gt;0,ROUND(INDEX(挂机升级突破!$DT$6:$ED$57,卡牌消耗!AT8,AO8)*INDEX(卡牌消耗!$B$7:$F$7,AR8)/$Q$4,0),"")</f>
        <v/>
      </c>
      <c r="BC8" s="196">
        <v>2</v>
      </c>
      <c r="BD8" s="196">
        <v>4</v>
      </c>
      <c r="BE8" s="14">
        <f>ROUND(INDEX(挂机升级突破!ER$7:ER$26,卡牌消耗!$BD8)*INDEX(卡牌消耗!$B$6:$F$6,$BC8)/$Q$4,0)</f>
        <v>13</v>
      </c>
      <c r="BF8" s="14">
        <f>ROUND(INDEX(挂机升级突破!ES$7:ES$26,卡牌消耗!$BD8)*INDEX(卡牌消耗!$B$6:$F$6,$BC8)/$Q$4,0)</f>
        <v>0</v>
      </c>
      <c r="BG8" s="14">
        <f>ROUND(INDEX(挂机升级突破!ET$7:ET$26,卡牌消耗!$BD8)*INDEX(卡牌消耗!$B$6:$F$6,$BC8)/$Q$4,0)</f>
        <v>0</v>
      </c>
      <c r="BH8" s="14">
        <f>ROUND(INDEX(挂机升级突破!EU$7:EU$26,卡牌消耗!$BD8)*INDEX(卡牌消耗!$B$6:$F$6,$BC8)/$Q$4,0)</f>
        <v>0</v>
      </c>
      <c r="BI8" s="14">
        <f>ROUND(INDEX(挂机升级突破!$EV$7:$EV$26,卡牌消耗!BD8)*INDEX(卡牌消耗!$B$8:$F$8,$BC8)/$Q$4/BI$2,0)*BI$2</f>
        <v>2500</v>
      </c>
      <c r="BL8" s="104">
        <v>4</v>
      </c>
      <c r="BM8" s="14">
        <f t="shared" si="11"/>
        <v>1</v>
      </c>
      <c r="BN8" s="14">
        <f>INDEX(挂机升级突破!$EI$7:$EI$26,BS8)</f>
        <v>5</v>
      </c>
      <c r="BO8" s="14">
        <f>INDEX(挂机升级突破!$EJ$7:$EJ$26,BS8)</f>
        <v>1</v>
      </c>
      <c r="BP8" s="14">
        <f t="shared" si="12"/>
        <v>5</v>
      </c>
      <c r="BQ8" s="14">
        <f>INDEX(挂机升级突破!$EH$7:$EH$26,卡牌消耗!BS8)</f>
        <v>25</v>
      </c>
      <c r="BR8" s="14" t="str">
        <f t="shared" si="13"/>
        <v>关羽</v>
      </c>
      <c r="BS8" s="14">
        <f t="shared" si="14"/>
        <v>4</v>
      </c>
      <c r="BT8" s="14" t="str">
        <f t="shared" si="15"/>
        <v>关羽4突</v>
      </c>
      <c r="BU8" s="14" t="str">
        <f>IF(BN8&gt;0,INDEX(挂机升级突破!$ER$5:$EV$5,卡牌消耗!BN8),"")</f>
        <v>金币</v>
      </c>
      <c r="BV8" s="14">
        <f>IF(BN8&gt;0,ROUND(INDEX(挂机升级突破!$EV$7:$EV$26,卡牌消耗!BS8)*INDEX(卡牌消耗!$B$8:$F$8,BP8)/$Q$4/500,0)*500,"")</f>
        <v>7500</v>
      </c>
      <c r="BW8" s="14" t="str">
        <f>IF(BO8&gt;0,INDEX(挂机升级突破!$ER$5:$EV$5,卡牌消耗!BO8),"")</f>
        <v>玄铁</v>
      </c>
      <c r="BX8" s="14">
        <f>IF(BO8&gt;0,ROUND(INDEX(挂机升级突破!$ER$7:$EU$26,卡牌消耗!BS8,卡牌消耗!BO8)*INDEX($B$6:$F$6,BP8)/$Q$4,0),"")</f>
        <v>25</v>
      </c>
      <c r="BY8" s="193"/>
      <c r="BZ8" s="193"/>
      <c r="CC8" s="158">
        <v>4</v>
      </c>
      <c r="CD8" s="158" t="s">
        <v>1370</v>
      </c>
      <c r="CE8" s="158">
        <v>25</v>
      </c>
      <c r="CF8" s="158">
        <v>30</v>
      </c>
      <c r="CG8" s="169">
        <f>INDEX(章节关卡!$L$6:$L$35,卡牌消耗!CC8)*INDEX(节奏总表!$N$5:$N$34,卡牌消耗!CC8)*60</f>
        <v>52800</v>
      </c>
      <c r="CH8" s="169">
        <v>4</v>
      </c>
      <c r="CI8" s="169">
        <f>SUMIFS(章节关卡!$BF$5:$BF$304,章节关卡!$BB$5:$BB$304,"="&amp;卡牌消耗!CH8)</f>
        <v>18000</v>
      </c>
      <c r="CJ8" s="153">
        <v>2</v>
      </c>
      <c r="CK8" s="153">
        <f>SUMIFS(章节关卡!$BP$5:$BP$304,章节关卡!$BL$5:$BL$304,"="&amp;卡牌消耗!CJ8)</f>
        <v>27000</v>
      </c>
      <c r="CL8" s="169">
        <f>SUMIFS(章节关卡!$ED$5:$ED$94,章节关卡!$DK$5:$DK$94,"="&amp;卡牌消耗!CH8)</f>
        <v>14400</v>
      </c>
      <c r="CM8" s="169">
        <f>SUMIFS(章节关卡!$FC$5:$FC$94,章节关卡!$DK$5:$DK$94,"="&amp;CJ8)</f>
        <v>21600</v>
      </c>
      <c r="CN8" s="169">
        <f t="shared" si="16"/>
        <v>133800</v>
      </c>
      <c r="CO8" s="153">
        <v>0.9</v>
      </c>
      <c r="CP8" s="153">
        <f t="shared" si="17"/>
        <v>32112</v>
      </c>
      <c r="CQ8" s="169">
        <v>3.75</v>
      </c>
      <c r="CT8" s="170"/>
      <c r="CU8" s="170"/>
      <c r="CV8" s="169">
        <v>4</v>
      </c>
      <c r="CW8" s="169">
        <v>8</v>
      </c>
      <c r="CX8" s="21">
        <f t="shared" si="18"/>
        <v>0.17777777777777778</v>
      </c>
      <c r="CY8" s="169">
        <f t="shared" si="19"/>
        <v>530</v>
      </c>
      <c r="CZ8" s="50">
        <f>SUM(CY$5:CY8)</f>
        <v>1725</v>
      </c>
      <c r="DB8" s="188">
        <f t="shared" si="20"/>
        <v>250</v>
      </c>
      <c r="DC8" s="188">
        <f t="shared" si="0"/>
        <v>400</v>
      </c>
      <c r="DD8" s="188">
        <f t="shared" si="0"/>
        <v>500</v>
      </c>
      <c r="DE8" s="188">
        <f t="shared" si="0"/>
        <v>600</v>
      </c>
      <c r="DF8" s="188">
        <f t="shared" si="0"/>
        <v>750</v>
      </c>
      <c r="DI8" s="186">
        <v>4</v>
      </c>
      <c r="DJ8" s="14">
        <f t="shared" si="21"/>
        <v>1</v>
      </c>
      <c r="DK8" s="14">
        <f t="shared" si="1"/>
        <v>3</v>
      </c>
      <c r="DL8" s="14">
        <f t="shared" si="2"/>
        <v>1101001</v>
      </c>
      <c r="DM8" s="136" t="s">
        <v>1097</v>
      </c>
      <c r="DN8" s="14">
        <f t="shared" si="3"/>
        <v>4</v>
      </c>
      <c r="DO8" s="14" t="str">
        <f t="shared" si="4"/>
        <v>常服曹焱兵-4星</v>
      </c>
      <c r="DP8" s="136" t="s">
        <v>1103</v>
      </c>
      <c r="DQ8" s="14">
        <f t="shared" si="22"/>
        <v>20000</v>
      </c>
      <c r="DR8" s="14" t="str">
        <f t="shared" si="5"/>
        <v>常服曹焱兵碎片</v>
      </c>
      <c r="DS8" s="14">
        <f t="shared" si="23"/>
        <v>40</v>
      </c>
    </row>
    <row r="9" spans="1:123" ht="16.5" x14ac:dyDescent="0.2">
      <c r="I9" s="55">
        <v>5</v>
      </c>
      <c r="J9" s="205">
        <v>20</v>
      </c>
      <c r="K9" s="205">
        <v>40</v>
      </c>
      <c r="L9" s="205">
        <v>80</v>
      </c>
      <c r="M9" s="205">
        <v>120</v>
      </c>
      <c r="N9" s="187"/>
      <c r="T9" s="139">
        <v>5</v>
      </c>
      <c r="U9" s="139">
        <f>ROUND(INDEX(挂机升级突破!$DJ$6:$DJ$57,卡牌消耗!$T9)*INDEX(卡牌消耗!$B$8:$F$8,卡牌消耗!U$2)/$Q$4/5,0)*5</f>
        <v>730</v>
      </c>
      <c r="V9" s="139">
        <f>ROUND(INDEX(挂机升级突破!$DJ$6:$DJ$57,卡牌消耗!$T9)*INDEX(卡牌消耗!$B$8:$F$8,卡牌消耗!V$2)/$Q$4/5,0)*5</f>
        <v>1045</v>
      </c>
      <c r="W9" s="139">
        <f>ROUND(INDEX(挂机升级突破!$DJ$6:$DJ$57,卡牌消耗!$T9)*INDEX(卡牌消耗!$B$8:$F$8,卡牌消耗!W$2)/$Q$4/5,0)*5</f>
        <v>1565</v>
      </c>
      <c r="X9" s="139">
        <f>ROUND(INDEX(挂机升级突破!$DJ$6:$DJ$57,卡牌消耗!$T9)*INDEX(卡牌消耗!$B$8:$F$8,卡牌消耗!X$2)/$Q$4/5,0)*5</f>
        <v>2090</v>
      </c>
      <c r="Z9" s="196">
        <v>2</v>
      </c>
      <c r="AA9" s="196">
        <v>5</v>
      </c>
      <c r="AB9" s="14">
        <f>ROUND(INDEX(挂机升级突破!DT$6:DT$57,卡牌消耗!$AA9)*INDEX(卡牌消耗!$B$5:$F$5,卡牌消耗!$Z9)/卡牌消耗!$Q$4/AB$2,0)*AB$2</f>
        <v>125</v>
      </c>
      <c r="AC9" s="14">
        <f>ROUND(INDEX(挂机升级突破!DU$6:DU$57,卡牌消耗!$AA9)*INDEX(卡牌消耗!$B$5:$F$5,卡牌消耗!$Z9)/卡牌消耗!$Q$4/AC$2,0)*AC$2</f>
        <v>0</v>
      </c>
      <c r="AD9" s="14">
        <f>ROUND(INDEX(挂机升级突破!DV$6:DV$57,卡牌消耗!$AA9)*INDEX(卡牌消耗!$B$5:$F$5,卡牌消耗!$Z9)/卡牌消耗!$Q$4/AD$2,0)*AD$2</f>
        <v>0</v>
      </c>
      <c r="AE9" s="14">
        <f>ROUND(INDEX(挂机升级突破!DW$6:DW$57,卡牌消耗!$AA9)*INDEX(卡牌消耗!$B$5:$F$5,卡牌消耗!$Z9)/卡牌消耗!$Q$4/AE$2,0)*AE$2</f>
        <v>0</v>
      </c>
      <c r="AF9" s="14">
        <f>ROUND(INDEX(挂机升级突破!DX$6:DX$57,卡牌消耗!$AA9)*INDEX(卡牌消耗!$B$5:$F$5,卡牌消耗!$Z9)/卡牌消耗!$Q$4/AF$2,0)*AF$2</f>
        <v>0</v>
      </c>
      <c r="AG9" s="14">
        <f>ROUND(INDEX(挂机升级突破!EC$6:EC$57,卡牌消耗!$AA9)*INDEX(卡牌消耗!$B$7:$F$7,卡牌消耗!$Z9)/卡牌消耗!$Q$4/AG$2,0)*AG$2</f>
        <v>0</v>
      </c>
      <c r="AH9" s="14">
        <f>ROUND(INDEX(挂机升级突破!ED$6:ED$57,卡牌消耗!$AA9)*INDEX(卡牌消耗!$B$8:$F$8,卡牌消耗!$Z9)/卡牌消耗!$Q$4/AH$2,0)*AH$2</f>
        <v>750</v>
      </c>
      <c r="AK9" s="104">
        <v>5</v>
      </c>
      <c r="AL9" s="14">
        <f t="shared" si="6"/>
        <v>1</v>
      </c>
      <c r="AM9" s="14">
        <f>INDEX(挂机升级突破!DQ$6:DQ$57,卡牌消耗!$AT9)</f>
        <v>11</v>
      </c>
      <c r="AN9" s="14">
        <f>INDEX(挂机升级突破!DR$6:DR$57,卡牌消耗!$AT9)</f>
        <v>1</v>
      </c>
      <c r="AO9" s="14">
        <f>INDEX(挂机升级突破!DS$6:DS$57,卡牌消耗!$AT9)</f>
        <v>0</v>
      </c>
      <c r="AP9" s="14">
        <f>INDEX(挂机升级突破!$DP$6:$DP$57,卡牌消耗!AT9)</f>
        <v>23</v>
      </c>
      <c r="AQ9" s="14" t="str">
        <f t="shared" si="7"/>
        <v>关羽</v>
      </c>
      <c r="AR9" s="14">
        <f t="shared" si="8"/>
        <v>5</v>
      </c>
      <c r="AS9" s="14" t="str">
        <f t="shared" si="9"/>
        <v>关羽魂火-5</v>
      </c>
      <c r="AT9" s="14">
        <f t="shared" si="10"/>
        <v>5</v>
      </c>
      <c r="AU9" s="14" t="str">
        <f>IF(AM9&gt;0,INDEX(挂机升级突破!$DT$4:$ED$4,AM9),"")</f>
        <v>金币</v>
      </c>
      <c r="AV9" s="14">
        <f>ROUND(INDEX(挂机升级突破!$DJ$6:$DJ$57,卡牌消耗!AT9)*INDEX(卡牌消耗!$B$8:$F$8,AR9)/$Q$4/50,0)*50</f>
        <v>2100</v>
      </c>
      <c r="AW9" s="14" t="str">
        <f>IF(AN9&gt;0,INDEX(挂机升级突破!$DT$4:$ED$4,AN9),"")</f>
        <v>绿色基础材料</v>
      </c>
      <c r="AX9" s="14">
        <f>ROUND(INDEX(挂机升级突破!$DT$6:$ED$57,卡牌消耗!AT9,AN9)*INDEX(卡牌消耗!$B$5:$F$5,AR9)/$Q$4/5,0)*5</f>
        <v>230</v>
      </c>
      <c r="AY9" s="14" t="str">
        <f>IF(AO9&gt;0,INDEX(挂机升级突破!$DT$4:$ED$4,AO9),"")</f>
        <v/>
      </c>
      <c r="AZ9" s="14" t="str">
        <f>IF(AO9&gt;0,ROUND(INDEX(挂机升级突破!$DT$6:$ED$57,卡牌消耗!AT9,AO9)*INDEX(卡牌消耗!$B$7:$F$7,AR9)/$Q$4,0),"")</f>
        <v/>
      </c>
      <c r="BC9" s="196">
        <v>2</v>
      </c>
      <c r="BD9" s="196">
        <v>5</v>
      </c>
      <c r="BE9" s="14">
        <f>ROUND(INDEX(挂机升级突破!ER$7:ER$26,卡牌消耗!$BD9)*INDEX(卡牌消耗!$B$6:$F$6,$BC9)/$Q$4,0)</f>
        <v>27</v>
      </c>
      <c r="BF9" s="14">
        <f>ROUND(INDEX(挂机升级突破!ES$7:ES$26,卡牌消耗!$BD9)*INDEX(卡牌消耗!$B$6:$F$6,$BC9)/$Q$4,0)</f>
        <v>0</v>
      </c>
      <c r="BG9" s="14">
        <f>ROUND(INDEX(挂机升级突破!ET$7:ET$26,卡牌消耗!$BD9)*INDEX(卡牌消耗!$B$6:$F$6,$BC9)/$Q$4,0)</f>
        <v>0</v>
      </c>
      <c r="BH9" s="14">
        <f>ROUND(INDEX(挂机升级突破!EU$7:EU$26,卡牌消耗!$BD9)*INDEX(卡牌消耗!$B$6:$F$6,$BC9)/$Q$4,0)</f>
        <v>0</v>
      </c>
      <c r="BI9" s="14">
        <f>ROUND(INDEX(挂机升级突破!$EV$7:$EV$26,卡牌消耗!BD9)*INDEX(卡牌消耗!$B$8:$F$8,$BC9)/$Q$4/BI$2,0)*BI$2</f>
        <v>2500</v>
      </c>
      <c r="BL9" s="104">
        <v>5</v>
      </c>
      <c r="BM9" s="14">
        <f t="shared" si="11"/>
        <v>1</v>
      </c>
      <c r="BN9" s="14">
        <f>INDEX(挂机升级突破!$EI$7:$EI$26,BS9)</f>
        <v>5</v>
      </c>
      <c r="BO9" s="14">
        <f>INDEX(挂机升级突破!$EJ$7:$EJ$26,BS9)</f>
        <v>1</v>
      </c>
      <c r="BP9" s="14">
        <f t="shared" si="12"/>
        <v>5</v>
      </c>
      <c r="BQ9" s="14">
        <f>INDEX(挂机升级突破!$EH$7:$EH$26,卡牌消耗!BS9)</f>
        <v>35</v>
      </c>
      <c r="BR9" s="14" t="str">
        <f t="shared" si="13"/>
        <v>关羽</v>
      </c>
      <c r="BS9" s="14">
        <f t="shared" si="14"/>
        <v>5</v>
      </c>
      <c r="BT9" s="14" t="str">
        <f t="shared" si="15"/>
        <v>关羽5突</v>
      </c>
      <c r="BU9" s="14" t="str">
        <f>IF(BN9&gt;0,INDEX(挂机升级突破!$ER$5:$EV$5,卡牌消耗!BN9),"")</f>
        <v>金币</v>
      </c>
      <c r="BV9" s="14">
        <f>IF(BN9&gt;0,ROUND(INDEX(挂机升级突破!$EV$7:$EV$26,卡牌消耗!BS9)*INDEX(卡牌消耗!$B$8:$F$8,BP9)/$Q$4/500,0)*500,"")</f>
        <v>7500</v>
      </c>
      <c r="BW9" s="14" t="str">
        <f>IF(BO9&gt;0,INDEX(挂机升级突破!$ER$5:$EV$5,卡牌消耗!BO9),"")</f>
        <v>玄铁</v>
      </c>
      <c r="BX9" s="14">
        <f>IF(BO9&gt;0,ROUND(INDEX(挂机升级突破!$ER$7:$EU$26,卡牌消耗!BS9,卡牌消耗!BO9)*INDEX($B$6:$F$6,BP9)/$Q$4/5,0)*5,"")</f>
        <v>50</v>
      </c>
      <c r="BY9" s="193"/>
      <c r="BZ9" s="193"/>
      <c r="CC9" s="158">
        <v>5</v>
      </c>
      <c r="CD9" s="169" t="s">
        <v>447</v>
      </c>
      <c r="CE9" s="169">
        <v>30</v>
      </c>
      <c r="CF9" s="169">
        <v>35</v>
      </c>
      <c r="CG9" s="169">
        <f>INDEX(章节关卡!$L$6:$L$35,卡牌消耗!CC9)*INDEX(节奏总表!$N$5:$N$34,卡牌消耗!CC9)*60</f>
        <v>64800</v>
      </c>
      <c r="CH9" s="169">
        <v>5</v>
      </c>
      <c r="CI9" s="169">
        <f>SUMIFS(章节关卡!$BF$5:$BF$304,章节关卡!$BB$5:$BB$304,"="&amp;卡牌消耗!CH9)</f>
        <v>20250</v>
      </c>
      <c r="CJ9" s="169">
        <v>3</v>
      </c>
      <c r="CK9" s="153">
        <f>SUMIFS(章节关卡!$BP$5:$BP$304,章节关卡!$BL$5:$BL$304,"="&amp;卡牌消耗!CJ9)</f>
        <v>31500</v>
      </c>
      <c r="CL9" s="169">
        <f>SUMIFS(章节关卡!$ED$5:$ED$94,章节关卡!$DK$5:$DK$94,"="&amp;卡牌消耗!CH9)</f>
        <v>16200</v>
      </c>
      <c r="CM9" s="169">
        <f>SUMIFS(章节关卡!$FC$5:$FC$94,章节关卡!$DK$5:$DK$94,"="&amp;CJ9)</f>
        <v>30375</v>
      </c>
      <c r="CN9" s="169">
        <f t="shared" si="16"/>
        <v>163125</v>
      </c>
      <c r="CO9" s="153">
        <v>1</v>
      </c>
      <c r="CP9" s="153">
        <f t="shared" si="17"/>
        <v>40781</v>
      </c>
      <c r="CQ9" s="169">
        <v>4</v>
      </c>
      <c r="CT9" s="15"/>
      <c r="CU9" s="15"/>
      <c r="CV9" s="169">
        <v>5</v>
      </c>
      <c r="CW9" s="169">
        <v>9</v>
      </c>
      <c r="CX9" s="21">
        <f t="shared" si="18"/>
        <v>0.2</v>
      </c>
      <c r="CY9" s="169">
        <f t="shared" si="19"/>
        <v>600</v>
      </c>
      <c r="CZ9" s="50">
        <f>SUM(CY$5:CY9)</f>
        <v>2325</v>
      </c>
      <c r="DB9" s="188">
        <f t="shared" si="20"/>
        <v>300</v>
      </c>
      <c r="DC9" s="188">
        <f t="shared" si="0"/>
        <v>450</v>
      </c>
      <c r="DD9" s="188">
        <f t="shared" si="0"/>
        <v>600</v>
      </c>
      <c r="DE9" s="188">
        <f t="shared" si="0"/>
        <v>700</v>
      </c>
      <c r="DF9" s="188">
        <f t="shared" si="0"/>
        <v>900</v>
      </c>
      <c r="DI9" s="186">
        <v>5</v>
      </c>
      <c r="DJ9" s="14">
        <f t="shared" si="21"/>
        <v>1</v>
      </c>
      <c r="DK9" s="14">
        <f t="shared" si="1"/>
        <v>3</v>
      </c>
      <c r="DL9" s="14">
        <f t="shared" si="2"/>
        <v>1101001</v>
      </c>
      <c r="DM9" s="136" t="s">
        <v>1097</v>
      </c>
      <c r="DN9" s="14">
        <f t="shared" si="3"/>
        <v>5</v>
      </c>
      <c r="DO9" s="14" t="str">
        <f t="shared" si="4"/>
        <v>常服曹焱兵-5星</v>
      </c>
      <c r="DP9" s="136" t="s">
        <v>1103</v>
      </c>
      <c r="DQ9" s="14">
        <f t="shared" si="22"/>
        <v>40000</v>
      </c>
      <c r="DR9" s="14" t="str">
        <f t="shared" si="5"/>
        <v>常服曹焱兵碎片</v>
      </c>
      <c r="DS9" s="14">
        <f t="shared" si="23"/>
        <v>40</v>
      </c>
    </row>
    <row r="10" spans="1:123" ht="16.5" x14ac:dyDescent="0.2">
      <c r="T10" s="139">
        <v>6</v>
      </c>
      <c r="U10" s="139">
        <f>ROUND(INDEX(挂机升级突破!$DJ$6:$DJ$57,卡牌消耗!$T10)*INDEX(卡牌消耗!$B$8:$F$8,卡牌消耗!U$2)/$Q$4/5,0)*5</f>
        <v>890</v>
      </c>
      <c r="V10" s="139">
        <f>ROUND(INDEX(挂机升级突破!$DJ$6:$DJ$57,卡牌消耗!$T10)*INDEX(卡牌消耗!$B$8:$F$8,卡牌消耗!V$2)/$Q$4/5,0)*5</f>
        <v>1270</v>
      </c>
      <c r="W10" s="139">
        <f>ROUND(INDEX(挂机升级突破!$DJ$6:$DJ$57,卡牌消耗!$T10)*INDEX(卡牌消耗!$B$8:$F$8,卡牌消耗!W$2)/$Q$4/5,0)*5</f>
        <v>1905</v>
      </c>
      <c r="X10" s="139">
        <f>ROUND(INDEX(挂机升级突破!$DJ$6:$DJ$57,卡牌消耗!$T10)*INDEX(卡牌消耗!$B$8:$F$8,卡牌消耗!X$2)/$Q$4/5,0)*5</f>
        <v>2545</v>
      </c>
      <c r="Z10" s="196">
        <v>2</v>
      </c>
      <c r="AA10" s="196">
        <v>6</v>
      </c>
      <c r="AB10" s="14">
        <f>ROUND(INDEX(挂机升级突破!DT$6:DT$57,卡牌消耗!$AA10)*INDEX(卡牌消耗!$B$5:$F$5,卡牌消耗!$Z10)/卡牌消耗!$Q$4/AB$2,0)*AB$2</f>
        <v>0</v>
      </c>
      <c r="AC10" s="14">
        <f>ROUND(INDEX(挂机升级突破!DU$6:DU$57,卡牌消耗!$AA10)*INDEX(卡牌消耗!$B$5:$F$5,卡牌消耗!$Z10)/卡牌消耗!$Q$4/AC$2,0)*AC$2</f>
        <v>25</v>
      </c>
      <c r="AD10" s="14">
        <f>ROUND(INDEX(挂机升级突破!DV$6:DV$57,卡牌消耗!$AA10)*INDEX(卡牌消耗!$B$5:$F$5,卡牌消耗!$Z10)/卡牌消耗!$Q$4/AD$2,0)*AD$2</f>
        <v>0</v>
      </c>
      <c r="AE10" s="14">
        <f>ROUND(INDEX(挂机升级突破!DW$6:DW$57,卡牌消耗!$AA10)*INDEX(卡牌消耗!$B$5:$F$5,卡牌消耗!$Z10)/卡牌消耗!$Q$4/AE$2,0)*AE$2</f>
        <v>0</v>
      </c>
      <c r="AF10" s="14">
        <f>ROUND(INDEX(挂机升级突破!DX$6:DX$57,卡牌消耗!$AA10)*INDEX(卡牌消耗!$B$5:$F$5,卡牌消耗!$Z10)/卡牌消耗!$Q$4/AF$2,0)*AF$2</f>
        <v>0</v>
      </c>
      <c r="AG10" s="14">
        <f>ROUND(INDEX(挂机升级突破!EC$6:EC$57,卡牌消耗!$AA10)*INDEX(卡牌消耗!$B$7:$F$7,卡牌消耗!$Z10)/卡牌消耗!$Q$4/AG$2,0)*AG$2</f>
        <v>0</v>
      </c>
      <c r="AH10" s="14">
        <f>ROUND(INDEX(挂机升级突破!ED$6:ED$57,卡牌消耗!$AA10)*INDEX(卡牌消耗!$B$8:$F$8,卡牌消耗!$Z10)/卡牌消耗!$Q$4/AH$2,0)*AH$2</f>
        <v>900</v>
      </c>
      <c r="AK10" s="104">
        <v>6</v>
      </c>
      <c r="AL10" s="14">
        <f t="shared" si="6"/>
        <v>1</v>
      </c>
      <c r="AM10" s="14">
        <f>INDEX(挂机升级突破!DQ$6:DQ$57,卡牌消耗!$AT10)</f>
        <v>11</v>
      </c>
      <c r="AN10" s="14">
        <f>INDEX(挂机升级突破!DR$6:DR$57,卡牌消耗!$AT10)</f>
        <v>2</v>
      </c>
      <c r="AO10" s="14">
        <f>INDEX(挂机升级突破!DS$6:DS$57,卡牌消耗!$AT10)</f>
        <v>0</v>
      </c>
      <c r="AP10" s="14">
        <f>INDEX(挂机升级突破!$DP$6:$DP$57,卡牌消耗!AT10)</f>
        <v>28</v>
      </c>
      <c r="AQ10" s="14" t="str">
        <f t="shared" si="7"/>
        <v>关羽</v>
      </c>
      <c r="AR10" s="14">
        <f t="shared" si="8"/>
        <v>5</v>
      </c>
      <c r="AS10" s="14" t="str">
        <f t="shared" si="9"/>
        <v>关羽魂火-6</v>
      </c>
      <c r="AT10" s="14">
        <f t="shared" si="10"/>
        <v>6</v>
      </c>
      <c r="AU10" s="14" t="str">
        <f>IF(AM10&gt;0,INDEX(挂机升级突破!$DT$4:$ED$4,AM10),"")</f>
        <v>金币</v>
      </c>
      <c r="AV10" s="14">
        <f>ROUND(INDEX(挂机升级突破!$DJ$6:$DJ$57,卡牌消耗!AT10)*INDEX(卡牌消耗!$B$8:$F$8,AR10)/$Q$4/50,0)*50</f>
        <v>2550</v>
      </c>
      <c r="AW10" s="14" t="str">
        <f>IF(AN10&gt;0,INDEX(挂机升级突破!$DT$4:$ED$4,AN10),"")</f>
        <v>蓝色基础材料</v>
      </c>
      <c r="AX10" s="14">
        <f>ROUND(INDEX(挂机升级突破!$DT$6:$ED$57,卡牌消耗!AT10,AN10)*INDEX(卡牌消耗!$B$5:$F$5,AR10)/$Q$4/5,0)*5</f>
        <v>45</v>
      </c>
      <c r="AY10" s="14" t="str">
        <f>IF(AO10&gt;0,INDEX(挂机升级突破!$DT$4:$ED$4,AO10),"")</f>
        <v/>
      </c>
      <c r="AZ10" s="14" t="str">
        <f>IF(AO10&gt;0,ROUND(INDEX(挂机升级突破!$DT$6:$ED$57,卡牌消耗!AT10,AO10)*INDEX(卡牌消耗!$B$7:$F$7,AR10)/$Q$4,0),"")</f>
        <v/>
      </c>
      <c r="BC10" s="196">
        <v>2</v>
      </c>
      <c r="BD10" s="196">
        <v>6</v>
      </c>
      <c r="BE10" s="14">
        <f>ROUND(INDEX(挂机升级突破!ER$7:ER$26,卡牌消耗!$BD10)*INDEX(卡牌消耗!$B$6:$F$6,$BC10)/$Q$4,0)</f>
        <v>40</v>
      </c>
      <c r="BF10" s="14">
        <f>ROUND(INDEX(挂机升级突破!ES$7:ES$26,卡牌消耗!$BD10)*INDEX(卡牌消耗!$B$6:$F$6,$BC10)/$Q$4,0)</f>
        <v>0</v>
      </c>
      <c r="BG10" s="14">
        <f>ROUND(INDEX(挂机升级突破!ET$7:ET$26,卡牌消耗!$BD10)*INDEX(卡牌消耗!$B$6:$F$6,$BC10)/$Q$4,0)</f>
        <v>0</v>
      </c>
      <c r="BH10" s="14">
        <f>ROUND(INDEX(挂机升级突破!EU$7:EU$26,卡牌消耗!$BD10)*INDEX(卡牌消耗!$B$6:$F$6,$BC10)/$Q$4,0)</f>
        <v>0</v>
      </c>
      <c r="BI10" s="14">
        <f>ROUND(INDEX(挂机升级突破!$EV$7:$EV$26,卡牌消耗!BD10)*INDEX(卡牌消耗!$B$8:$F$8,$BC10)/$Q$4/BI$2,0)*BI$2</f>
        <v>3500</v>
      </c>
      <c r="BL10" s="104">
        <v>6</v>
      </c>
      <c r="BM10" s="14">
        <f t="shared" si="11"/>
        <v>1</v>
      </c>
      <c r="BN10" s="14">
        <f>INDEX(挂机升级突破!$EI$7:$EI$26,BS10)</f>
        <v>5</v>
      </c>
      <c r="BO10" s="14">
        <f>INDEX(挂机升级突破!$EJ$7:$EJ$26,BS10)</f>
        <v>1</v>
      </c>
      <c r="BP10" s="14">
        <f t="shared" si="12"/>
        <v>5</v>
      </c>
      <c r="BQ10" s="14">
        <f>INDEX(挂机升级突破!$EH$7:$EH$26,卡牌消耗!BS10)</f>
        <v>42</v>
      </c>
      <c r="BR10" s="14" t="str">
        <f t="shared" si="13"/>
        <v>关羽</v>
      </c>
      <c r="BS10" s="14">
        <f t="shared" si="14"/>
        <v>6</v>
      </c>
      <c r="BT10" s="14" t="str">
        <f t="shared" si="15"/>
        <v>关羽6突</v>
      </c>
      <c r="BU10" s="14" t="str">
        <f>IF(BN10&gt;0,INDEX(挂机升级突破!$ER$5:$EV$5,卡牌消耗!BN10),"")</f>
        <v>金币</v>
      </c>
      <c r="BV10" s="14">
        <f>IF(BN10&gt;0,ROUND(INDEX(挂机升级突破!$EV$7:$EV$26,卡牌消耗!BS10)*INDEX(卡牌消耗!$B$8:$F$8,BP10)/$Q$4/500,0)*500,"")</f>
        <v>10000</v>
      </c>
      <c r="BW10" s="14" t="str">
        <f>IF(BO10&gt;0,INDEX(挂机升级突破!$ER$5:$EV$5,卡牌消耗!BO10),"")</f>
        <v>玄铁</v>
      </c>
      <c r="BX10" s="14">
        <f>IF(BO10&gt;0,ROUND(INDEX(挂机升级突破!$ER$7:$EU$26,卡牌消耗!BS10,卡牌消耗!BO10)*INDEX($B$6:$F$6,BP10)/$Q$4/5,0)*5,"")</f>
        <v>75</v>
      </c>
      <c r="BY10" s="193"/>
      <c r="BZ10" s="193"/>
      <c r="CC10" s="158">
        <v>6</v>
      </c>
      <c r="CD10" s="169" t="s">
        <v>448</v>
      </c>
      <c r="CE10" s="169">
        <v>35</v>
      </c>
      <c r="CF10" s="169">
        <v>40</v>
      </c>
      <c r="CG10" s="169">
        <f>INDEX(章节关卡!$L$6:$L$35,卡牌消耗!CC10)*INDEX(节奏总表!$N$5:$N$34,卡牌消耗!CC10)*60</f>
        <v>78000</v>
      </c>
      <c r="CH10" s="169">
        <v>6</v>
      </c>
      <c r="CI10" s="169">
        <f>SUMIFS(章节关卡!$BF$5:$BF$304,章节关卡!$BB$5:$BB$304,"="&amp;卡牌消耗!CH10)</f>
        <v>22500</v>
      </c>
      <c r="CJ10" s="169">
        <v>4</v>
      </c>
      <c r="CK10" s="153">
        <f>SUMIFS(章节关卡!$BP$5:$BP$304,章节关卡!$BL$5:$BL$304,"="&amp;卡牌消耗!CJ10)</f>
        <v>36000</v>
      </c>
      <c r="CL10" s="169">
        <f>SUMIFS(章节关卡!$ED$5:$ED$94,章节关卡!$DK$5:$DK$94,"="&amp;卡牌消耗!CH10)</f>
        <v>18000</v>
      </c>
      <c r="CM10" s="169">
        <f>SUMIFS(章节关卡!$FC$5:$FC$94,章节关卡!$DK$5:$DK$94,"="&amp;CJ10)</f>
        <v>33750</v>
      </c>
      <c r="CN10" s="169">
        <f t="shared" si="16"/>
        <v>188250</v>
      </c>
      <c r="CO10" s="153">
        <v>1</v>
      </c>
      <c r="CP10" s="153">
        <f t="shared" si="17"/>
        <v>41833</v>
      </c>
      <c r="CQ10" s="169">
        <v>4.5</v>
      </c>
      <c r="CT10" s="15"/>
      <c r="CU10" s="15"/>
      <c r="CV10" s="169">
        <v>6</v>
      </c>
      <c r="CW10" s="169">
        <v>10</v>
      </c>
      <c r="CX10" s="21">
        <f t="shared" si="18"/>
        <v>0.22222222222222221</v>
      </c>
      <c r="CY10" s="169">
        <f t="shared" si="19"/>
        <v>665</v>
      </c>
      <c r="CZ10" s="50">
        <f>SUM(CY$5:CY10)</f>
        <v>2990</v>
      </c>
      <c r="DB10" s="188">
        <f t="shared" si="20"/>
        <v>300</v>
      </c>
      <c r="DC10" s="188">
        <f t="shared" si="0"/>
        <v>500</v>
      </c>
      <c r="DD10" s="188">
        <f t="shared" si="0"/>
        <v>650</v>
      </c>
      <c r="DE10" s="188">
        <f t="shared" si="0"/>
        <v>750</v>
      </c>
      <c r="DF10" s="188">
        <f t="shared" si="0"/>
        <v>950</v>
      </c>
      <c r="DI10" s="186">
        <v>6</v>
      </c>
      <c r="DJ10" s="14">
        <f t="shared" si="21"/>
        <v>2</v>
      </c>
      <c r="DK10" s="14">
        <f t="shared" si="1"/>
        <v>2</v>
      </c>
      <c r="DL10" s="14">
        <f t="shared" si="2"/>
        <v>1101002</v>
      </c>
      <c r="DM10" s="136" t="s">
        <v>1097</v>
      </c>
      <c r="DN10" s="14">
        <f t="shared" si="3"/>
        <v>1</v>
      </c>
      <c r="DO10" s="14" t="str">
        <f t="shared" si="4"/>
        <v>曹玄亮-1星</v>
      </c>
      <c r="DP10" s="136" t="s">
        <v>1103</v>
      </c>
      <c r="DQ10" s="14">
        <f t="shared" si="22"/>
        <v>3000</v>
      </c>
      <c r="DR10" s="14" t="str">
        <f t="shared" si="5"/>
        <v>曹玄亮碎片</v>
      </c>
      <c r="DS10" s="14">
        <f t="shared" si="23"/>
        <v>20</v>
      </c>
    </row>
    <row r="11" spans="1:123" ht="16.5" customHeight="1" x14ac:dyDescent="0.2">
      <c r="A11" s="33" t="s">
        <v>171</v>
      </c>
      <c r="B11">
        <v>20</v>
      </c>
      <c r="C11">
        <v>30</v>
      </c>
      <c r="D11">
        <v>45</v>
      </c>
      <c r="I11" s="233" t="s">
        <v>389</v>
      </c>
      <c r="J11" s="233"/>
      <c r="K11" s="233"/>
      <c r="L11" s="233"/>
      <c r="M11" s="233"/>
      <c r="N11" s="233"/>
      <c r="T11" s="139">
        <v>7</v>
      </c>
      <c r="U11" s="139">
        <f>ROUND(INDEX(挂机升级突破!$DJ$6:$DJ$57,卡牌消耗!$T11)*INDEX(卡牌消耗!$B$8:$F$8,卡牌消耗!U$2)/$Q$4/5,0)*5</f>
        <v>890</v>
      </c>
      <c r="V11" s="139">
        <f>ROUND(INDEX(挂机升级突破!$DJ$6:$DJ$57,卡牌消耗!$T11)*INDEX(卡牌消耗!$B$8:$F$8,卡牌消耗!V$2)/$Q$4/5,0)*5</f>
        <v>1270</v>
      </c>
      <c r="W11" s="139">
        <f>ROUND(INDEX(挂机升级突破!$DJ$6:$DJ$57,卡牌消耗!$T11)*INDEX(卡牌消耗!$B$8:$F$8,卡牌消耗!W$2)/$Q$4/5,0)*5</f>
        <v>1905</v>
      </c>
      <c r="X11" s="139">
        <f>ROUND(INDEX(挂机升级突破!$DJ$6:$DJ$57,卡牌消耗!$T11)*INDEX(卡牌消耗!$B$8:$F$8,卡牌消耗!X$2)/$Q$4/5,0)*5</f>
        <v>2545</v>
      </c>
      <c r="Z11" s="196">
        <v>2</v>
      </c>
      <c r="AA11" s="196">
        <v>7</v>
      </c>
      <c r="AB11" s="14">
        <f>ROUND(INDEX(挂机升级突破!DT$6:DT$57,卡牌消耗!$AA11)*INDEX(卡牌消耗!$B$5:$F$5,卡牌消耗!$Z11)/卡牌消耗!$Q$4/AB$2,0)*AB$2</f>
        <v>0</v>
      </c>
      <c r="AC11" s="14">
        <f>ROUND(INDEX(挂机升级突破!DU$6:DU$57,卡牌消耗!$AA11)*INDEX(卡牌消耗!$B$5:$F$5,卡牌消耗!$Z11)/卡牌消耗!$Q$4/AC$2,0)*AC$2</f>
        <v>25</v>
      </c>
      <c r="AD11" s="14">
        <f>ROUND(INDEX(挂机升级突破!DV$6:DV$57,卡牌消耗!$AA11)*INDEX(卡牌消耗!$B$5:$F$5,卡牌消耗!$Z11)/卡牌消耗!$Q$4/AD$2,0)*AD$2</f>
        <v>0</v>
      </c>
      <c r="AE11" s="14">
        <f>ROUND(INDEX(挂机升级突破!DW$6:DW$57,卡牌消耗!$AA11)*INDEX(卡牌消耗!$B$5:$F$5,卡牌消耗!$Z11)/卡牌消耗!$Q$4/AE$2,0)*AE$2</f>
        <v>0</v>
      </c>
      <c r="AF11" s="14">
        <f>ROUND(INDEX(挂机升级突破!DX$6:DX$57,卡牌消耗!$AA11)*INDEX(卡牌消耗!$B$5:$F$5,卡牌消耗!$Z11)/卡牌消耗!$Q$4/AF$2,0)*AF$2</f>
        <v>0</v>
      </c>
      <c r="AG11" s="14">
        <f>ROUND(INDEX(挂机升级突破!EC$6:EC$57,卡牌消耗!$AA11)*INDEX(卡牌消耗!$B$7:$F$7,卡牌消耗!$Z11)/卡牌消耗!$Q$4/AG$2,0)*AG$2</f>
        <v>0</v>
      </c>
      <c r="AH11" s="14">
        <f>ROUND(INDEX(挂机升级突破!ED$6:ED$57,卡牌消耗!$AA11)*INDEX(卡牌消耗!$B$8:$F$8,卡牌消耗!$Z11)/卡牌消耗!$Q$4/AH$2,0)*AH$2</f>
        <v>900</v>
      </c>
      <c r="AK11" s="104">
        <v>7</v>
      </c>
      <c r="AL11" s="14">
        <f t="shared" si="6"/>
        <v>1</v>
      </c>
      <c r="AM11" s="14">
        <f>INDEX(挂机升级突破!DQ$6:DQ$57,卡牌消耗!$AT11)</f>
        <v>11</v>
      </c>
      <c r="AN11" s="14">
        <f>INDEX(挂机升级突破!DR$6:DR$57,卡牌消耗!$AT11)</f>
        <v>2</v>
      </c>
      <c r="AO11" s="14">
        <f>INDEX(挂机升级突破!DS$6:DS$57,卡牌消耗!$AT11)</f>
        <v>0</v>
      </c>
      <c r="AP11" s="14">
        <f>INDEX(挂机升级突破!$DP$6:$DP$57,卡牌消耗!AT11)</f>
        <v>33</v>
      </c>
      <c r="AQ11" s="14" t="str">
        <f t="shared" si="7"/>
        <v>关羽</v>
      </c>
      <c r="AR11" s="14">
        <f t="shared" si="8"/>
        <v>5</v>
      </c>
      <c r="AS11" s="14" t="str">
        <f t="shared" si="9"/>
        <v>关羽魂火-7</v>
      </c>
      <c r="AT11" s="14">
        <f t="shared" si="10"/>
        <v>7</v>
      </c>
      <c r="AU11" s="14" t="str">
        <f>IF(AM11&gt;0,INDEX(挂机升级突破!$DT$4:$ED$4,AM11),"")</f>
        <v>金币</v>
      </c>
      <c r="AV11" s="14">
        <f>ROUND(INDEX(挂机升级突破!$DJ$6:$DJ$57,卡牌消耗!AT11)*INDEX(卡牌消耗!$B$8:$F$8,AR11)/$Q$4/50,0)*50</f>
        <v>2550</v>
      </c>
      <c r="AW11" s="14" t="str">
        <f>IF(AN11&gt;0,INDEX(挂机升级突破!$DT$4:$ED$4,AN11),"")</f>
        <v>蓝色基础材料</v>
      </c>
      <c r="AX11" s="14">
        <f>ROUND(INDEX(挂机升级突破!$DT$6:$ED$57,卡牌消耗!AT11,AN11)*INDEX(卡牌消耗!$B$5:$F$5,AR11)/$Q$4/5,0)*5</f>
        <v>45</v>
      </c>
      <c r="AY11" s="14" t="str">
        <f>IF(AO11&gt;0,INDEX(挂机升级突破!$DT$4:$ED$4,AO11),"")</f>
        <v/>
      </c>
      <c r="AZ11" s="14" t="str">
        <f>IF(AO11&gt;0,ROUND(INDEX(挂机升级突破!$DT$6:$ED$57,卡牌消耗!AT11,AO11)*INDEX(卡牌消耗!$B$7:$F$7,AR11)/$Q$4,0),"")</f>
        <v/>
      </c>
      <c r="BC11" s="196">
        <v>2</v>
      </c>
      <c r="BD11" s="196">
        <v>7</v>
      </c>
      <c r="BE11" s="14">
        <f>ROUND(INDEX(挂机升级突破!ER$7:ER$26,卡牌消耗!$BD11)*INDEX(卡牌消耗!$B$6:$F$6,$BC11)/$Q$4,0)</f>
        <v>67</v>
      </c>
      <c r="BF11" s="14">
        <f>ROUND(INDEX(挂机升级突破!ES$7:ES$26,卡牌消耗!$BD11)*INDEX(卡牌消耗!$B$6:$F$6,$BC11)/$Q$4,0)</f>
        <v>0</v>
      </c>
      <c r="BG11" s="14">
        <f>ROUND(INDEX(挂机升级突破!ET$7:ET$26,卡牌消耗!$BD11)*INDEX(卡牌消耗!$B$6:$F$6,$BC11)/$Q$4,0)</f>
        <v>0</v>
      </c>
      <c r="BH11" s="14">
        <f>ROUND(INDEX(挂机升级突破!EU$7:EU$26,卡牌消耗!$BD11)*INDEX(卡牌消耗!$B$6:$F$6,$BC11)/$Q$4,0)</f>
        <v>0</v>
      </c>
      <c r="BI11" s="14">
        <f>ROUND(INDEX(挂机升级突破!$EV$7:$EV$26,卡牌消耗!BD11)*INDEX(卡牌消耗!$B$8:$F$8,$BC11)/$Q$4/BI$2,0)*BI$2</f>
        <v>5500</v>
      </c>
      <c r="BL11" s="104">
        <v>7</v>
      </c>
      <c r="BM11" s="14">
        <f t="shared" si="11"/>
        <v>1</v>
      </c>
      <c r="BN11" s="14">
        <f>INDEX(挂机升级突破!$EI$7:$EI$26,BS11)</f>
        <v>5</v>
      </c>
      <c r="BO11" s="14">
        <f>INDEX(挂机升级突破!$EJ$7:$EJ$26,BS11)</f>
        <v>1</v>
      </c>
      <c r="BP11" s="14">
        <f t="shared" si="12"/>
        <v>5</v>
      </c>
      <c r="BQ11" s="14">
        <f>INDEX(挂机升级突破!$EH$7:$EH$26,卡牌消耗!BS11)</f>
        <v>47</v>
      </c>
      <c r="BR11" s="14" t="str">
        <f t="shared" si="13"/>
        <v>关羽</v>
      </c>
      <c r="BS11" s="14">
        <f t="shared" si="14"/>
        <v>7</v>
      </c>
      <c r="BT11" s="14" t="str">
        <f t="shared" si="15"/>
        <v>关羽7突</v>
      </c>
      <c r="BU11" s="14" t="str">
        <f>IF(BN11&gt;0,INDEX(挂机升级突破!$ER$5:$EV$5,卡牌消耗!BN11),"")</f>
        <v>金币</v>
      </c>
      <c r="BV11" s="14">
        <f>IF(BN11&gt;0,ROUND(INDEX(挂机升级突破!$EV$7:$EV$26,卡牌消耗!BS11)*INDEX(卡牌消耗!$B$8:$F$8,BP11)/$Q$4/500,0)*500,"")</f>
        <v>16500</v>
      </c>
      <c r="BW11" s="14" t="str">
        <f>IF(BO11&gt;0,INDEX(挂机升级突破!$ER$5:$EV$5,卡牌消耗!BO11),"")</f>
        <v>玄铁</v>
      </c>
      <c r="BX11" s="14">
        <f>IF(BO11&gt;0,ROUND(INDEX(挂机升级突破!$ER$7:$EU$26,卡牌消耗!BS11,卡牌消耗!BO11)*INDEX($B$6:$F$6,BP11)/$Q$4/5,0)*5,"")</f>
        <v>125</v>
      </c>
      <c r="BY11" s="193"/>
      <c r="BZ11" s="193"/>
      <c r="CC11" s="158">
        <v>7</v>
      </c>
      <c r="CD11" s="169" t="s">
        <v>449</v>
      </c>
      <c r="CE11" s="169">
        <v>40</v>
      </c>
      <c r="CF11" s="169">
        <v>45</v>
      </c>
      <c r="CG11" s="169">
        <f>INDEX(章节关卡!$L$6:$L$35,卡牌消耗!CC11)*INDEX(节奏总表!$N$5:$N$34,卡牌消耗!CC11)*60</f>
        <v>100800</v>
      </c>
      <c r="CH11" s="169">
        <v>7</v>
      </c>
      <c r="CI11" s="169">
        <f>SUMIFS(章节关卡!$BF$5:$BF$304,章节关卡!$BB$5:$BB$304,"="&amp;卡牌消耗!CH11)</f>
        <v>27000</v>
      </c>
      <c r="CJ11" s="169">
        <v>5</v>
      </c>
      <c r="CK11" s="153">
        <f>SUMIFS(章节关卡!$BP$5:$BP$304,章节关卡!$BL$5:$BL$304,"="&amp;卡牌消耗!CJ11)</f>
        <v>40500</v>
      </c>
      <c r="CL11" s="169">
        <f>SUMIFS(章节关卡!$ED$5:$ED$94,章节关卡!$DK$5:$DK$94,"="&amp;卡牌消耗!CH11)</f>
        <v>21600</v>
      </c>
      <c r="CM11" s="169">
        <f>SUMIFS(章节关卡!$FC$5:$FC$94,章节关卡!$DK$5:$DK$94,"="&amp;CJ11)</f>
        <v>64800</v>
      </c>
      <c r="CN11" s="169">
        <f t="shared" si="16"/>
        <v>254700</v>
      </c>
      <c r="CO11" s="153">
        <v>1</v>
      </c>
      <c r="CP11" s="153">
        <f t="shared" si="17"/>
        <v>50940</v>
      </c>
      <c r="CQ11" s="169">
        <v>5</v>
      </c>
      <c r="CS11" s="171"/>
      <c r="CT11" s="173" t="s">
        <v>120</v>
      </c>
      <c r="CU11" s="169">
        <v>2</v>
      </c>
      <c r="CV11" s="169">
        <v>7</v>
      </c>
      <c r="CW11" s="169">
        <v>10</v>
      </c>
      <c r="CX11" s="21">
        <f>CW11/$CU$13</f>
        <v>0.10638297872340426</v>
      </c>
      <c r="CY11" s="65">
        <f>INT($CU$12*CX11/5)*5</f>
        <v>720</v>
      </c>
      <c r="CZ11" s="50">
        <f>SUM(CY$5:CY11)</f>
        <v>3710</v>
      </c>
      <c r="DB11" s="188">
        <f t="shared" si="20"/>
        <v>350</v>
      </c>
      <c r="DC11" s="188">
        <f t="shared" si="0"/>
        <v>550</v>
      </c>
      <c r="DD11" s="188">
        <f t="shared" si="0"/>
        <v>700</v>
      </c>
      <c r="DE11" s="188">
        <f t="shared" si="0"/>
        <v>850</v>
      </c>
      <c r="DF11" s="188">
        <f t="shared" si="0"/>
        <v>1050</v>
      </c>
      <c r="DI11" s="186">
        <v>7</v>
      </c>
      <c r="DJ11" s="14">
        <f t="shared" si="21"/>
        <v>2</v>
      </c>
      <c r="DK11" s="14">
        <f t="shared" si="1"/>
        <v>2</v>
      </c>
      <c r="DL11" s="14">
        <f t="shared" si="2"/>
        <v>1101002</v>
      </c>
      <c r="DM11" s="136" t="s">
        <v>1097</v>
      </c>
      <c r="DN11" s="14">
        <f t="shared" si="3"/>
        <v>2</v>
      </c>
      <c r="DO11" s="14" t="str">
        <f t="shared" si="4"/>
        <v>曹玄亮-2星</v>
      </c>
      <c r="DP11" s="136" t="s">
        <v>1103</v>
      </c>
      <c r="DQ11" s="14">
        <f t="shared" si="22"/>
        <v>3500</v>
      </c>
      <c r="DR11" s="14" t="str">
        <f t="shared" si="5"/>
        <v>曹玄亮碎片</v>
      </c>
      <c r="DS11" s="14">
        <f t="shared" si="23"/>
        <v>20</v>
      </c>
    </row>
    <row r="12" spans="1:123" ht="17.25" x14ac:dyDescent="0.2">
      <c r="A12" s="12" t="s">
        <v>166</v>
      </c>
      <c r="B12" s="12" t="s">
        <v>167</v>
      </c>
      <c r="C12" s="12" t="s">
        <v>168</v>
      </c>
      <c r="D12" s="12" t="s">
        <v>169</v>
      </c>
      <c r="E12" s="12" t="s">
        <v>170</v>
      </c>
      <c r="F12" s="12" t="s">
        <v>216</v>
      </c>
      <c r="G12" s="15"/>
      <c r="I12" s="12" t="s">
        <v>370</v>
      </c>
      <c r="J12" s="23" t="s">
        <v>1075</v>
      </c>
      <c r="K12" s="12" t="s">
        <v>161</v>
      </c>
      <c r="L12" s="12" t="s">
        <v>162</v>
      </c>
      <c r="M12" s="12" t="s">
        <v>163</v>
      </c>
      <c r="N12" s="12" t="s">
        <v>369</v>
      </c>
      <c r="T12" s="139">
        <v>8</v>
      </c>
      <c r="U12" s="139">
        <f>ROUND(INDEX(挂机升级突破!$DJ$6:$DJ$57,卡牌消耗!$T12)*INDEX(卡牌消耗!$B$8:$F$8,卡牌消耗!U$2)/$Q$4/5,0)*5</f>
        <v>1335</v>
      </c>
      <c r="V12" s="139">
        <f>ROUND(INDEX(挂机升级突破!$DJ$6:$DJ$57,卡牌消耗!$T12)*INDEX(卡牌消耗!$B$8:$F$8,卡牌消耗!V$2)/$Q$4/5,0)*5</f>
        <v>1905</v>
      </c>
      <c r="W12" s="139">
        <f>ROUND(INDEX(挂机升级突破!$DJ$6:$DJ$57,卡牌消耗!$T12)*INDEX(卡牌消耗!$B$8:$F$8,卡牌消耗!W$2)/$Q$4/5,0)*5</f>
        <v>2860</v>
      </c>
      <c r="X12" s="139">
        <f>ROUND(INDEX(挂机升级突破!$DJ$6:$DJ$57,卡牌消耗!$T12)*INDEX(卡牌消耗!$B$8:$F$8,卡牌消耗!X$2)/$Q$4/5,0)*5</f>
        <v>3815</v>
      </c>
      <c r="Z12" s="196">
        <v>2</v>
      </c>
      <c r="AA12" s="196">
        <v>8</v>
      </c>
      <c r="AB12" s="14">
        <f>ROUND(INDEX(挂机升级突破!DT$6:DT$57,卡牌消耗!$AA12)*INDEX(卡牌消耗!$B$5:$F$5,卡牌消耗!$Z12)/卡牌消耗!$Q$4/AB$2,0)*AB$2</f>
        <v>0</v>
      </c>
      <c r="AC12" s="14">
        <f>ROUND(INDEX(挂机升级突破!DU$6:DU$57,卡牌消耗!$AA12)*INDEX(卡牌消耗!$B$5:$F$5,卡牌消耗!$Z12)/卡牌消耗!$Q$4/AC$2,0)*AC$2</f>
        <v>45</v>
      </c>
      <c r="AD12" s="14">
        <f>ROUND(INDEX(挂机升级突破!DV$6:DV$57,卡牌消耗!$AA12)*INDEX(卡牌消耗!$B$5:$F$5,卡牌消耗!$Z12)/卡牌消耗!$Q$4/AD$2,0)*AD$2</f>
        <v>0</v>
      </c>
      <c r="AE12" s="14">
        <f>ROUND(INDEX(挂机升级突破!DW$6:DW$57,卡牌消耗!$AA12)*INDEX(卡牌消耗!$B$5:$F$5,卡牌消耗!$Z12)/卡牌消耗!$Q$4/AE$2,0)*AE$2</f>
        <v>0</v>
      </c>
      <c r="AF12" s="14">
        <f>ROUND(INDEX(挂机升级突破!DX$6:DX$57,卡牌消耗!$AA12)*INDEX(卡牌消耗!$B$5:$F$5,卡牌消耗!$Z12)/卡牌消耗!$Q$4/AF$2,0)*AF$2</f>
        <v>0</v>
      </c>
      <c r="AG12" s="14">
        <f>ROUND(INDEX(挂机升级突破!EC$6:EC$57,卡牌消耗!$AA12)*INDEX(卡牌消耗!$B$7:$F$7,卡牌消耗!$Z12)/卡牌消耗!$Q$4/AG$2,0)*AG$2</f>
        <v>0</v>
      </c>
      <c r="AH12" s="14">
        <f>ROUND(INDEX(挂机升级突破!ED$6:ED$57,卡牌消耗!$AA12)*INDEX(卡牌消耗!$B$8:$F$8,卡牌消耗!$Z12)/卡牌消耗!$Q$4/AH$2,0)*AH$2</f>
        <v>1350</v>
      </c>
      <c r="AK12" s="104">
        <v>8</v>
      </c>
      <c r="AL12" s="14">
        <f t="shared" si="6"/>
        <v>1</v>
      </c>
      <c r="AM12" s="14">
        <f>INDEX(挂机升级突破!DQ$6:DQ$57,卡牌消耗!$AT12)</f>
        <v>11</v>
      </c>
      <c r="AN12" s="14">
        <f>INDEX(挂机升级突破!DR$6:DR$57,卡牌消耗!$AT12)</f>
        <v>2</v>
      </c>
      <c r="AO12" s="14">
        <f>INDEX(挂机升级突破!DS$6:DS$57,卡牌消耗!$AT12)</f>
        <v>0</v>
      </c>
      <c r="AP12" s="14">
        <f>INDEX(挂机升级突破!$DP$6:$DP$57,卡牌消耗!AT12)</f>
        <v>38</v>
      </c>
      <c r="AQ12" s="14" t="str">
        <f t="shared" si="7"/>
        <v>关羽</v>
      </c>
      <c r="AR12" s="14">
        <f t="shared" si="8"/>
        <v>5</v>
      </c>
      <c r="AS12" s="14" t="str">
        <f t="shared" si="9"/>
        <v>关羽魂火-8</v>
      </c>
      <c r="AT12" s="14">
        <f t="shared" si="10"/>
        <v>8</v>
      </c>
      <c r="AU12" s="14" t="str">
        <f>IF(AM12&gt;0,INDEX(挂机升级突破!$DT$4:$ED$4,AM12),"")</f>
        <v>金币</v>
      </c>
      <c r="AV12" s="14">
        <f>ROUND(INDEX(挂机升级突破!$DJ$6:$DJ$57,卡牌消耗!AT12)*INDEX(卡牌消耗!$B$8:$F$8,AR12)/$Q$4/50,0)*50</f>
        <v>3800</v>
      </c>
      <c r="AW12" s="14" t="str">
        <f>IF(AN12&gt;0,INDEX(挂机升级突破!$DT$4:$ED$4,AN12),"")</f>
        <v>蓝色基础材料</v>
      </c>
      <c r="AX12" s="14">
        <f>ROUND(INDEX(挂机升级突破!$DT$6:$ED$57,卡牌消耗!AT12,AN12)*INDEX(卡牌消耗!$B$5:$F$5,AR12)/$Q$4/5,0)*5</f>
        <v>85</v>
      </c>
      <c r="AY12" s="14" t="str">
        <f>IF(AO12&gt;0,INDEX(挂机升级突破!$DT$4:$ED$4,AO12),"")</f>
        <v/>
      </c>
      <c r="AZ12" s="14" t="str">
        <f>IF(AO12&gt;0,ROUND(INDEX(挂机升级突破!$DT$6:$ED$57,卡牌消耗!AT12,AO12)*INDEX(卡牌消耗!$B$7:$F$7,AR12)/$Q$4,0),"")</f>
        <v/>
      </c>
      <c r="BC12" s="196">
        <v>2</v>
      </c>
      <c r="BD12" s="196">
        <v>8</v>
      </c>
      <c r="BE12" s="14">
        <f>ROUND(INDEX(挂机升级突破!ER$7:ER$26,卡牌消耗!$BD12)*INDEX(卡牌消耗!$B$6:$F$6,$BC12)/$Q$4,0)</f>
        <v>121</v>
      </c>
      <c r="BF12" s="14">
        <f>ROUND(INDEX(挂机升级突破!ES$7:ES$26,卡牌消耗!$BD12)*INDEX(卡牌消耗!$B$6:$F$6,$BC12)/$Q$4,0)</f>
        <v>0</v>
      </c>
      <c r="BG12" s="14">
        <f>ROUND(INDEX(挂机升级突破!ET$7:ET$26,卡牌消耗!$BD12)*INDEX(卡牌消耗!$B$6:$F$6,$BC12)/$Q$4,0)</f>
        <v>0</v>
      </c>
      <c r="BH12" s="14">
        <f>ROUND(INDEX(挂机升级突破!EU$7:EU$26,卡牌消耗!$BD12)*INDEX(卡牌消耗!$B$6:$F$6,$BC12)/$Q$4,0)</f>
        <v>0</v>
      </c>
      <c r="BI12" s="14">
        <f>ROUND(INDEX(挂机升级突破!$EV$7:$EV$26,卡牌消耗!BD12)*INDEX(卡牌消耗!$B$8:$F$8,$BC12)/$Q$4/BI$2,0)*BI$2</f>
        <v>5500</v>
      </c>
      <c r="BL12" s="104">
        <v>8</v>
      </c>
      <c r="BM12" s="14">
        <f t="shared" si="11"/>
        <v>1</v>
      </c>
      <c r="BN12" s="14">
        <f>INDEX(挂机升级突破!$EI$7:$EI$26,BS12)</f>
        <v>5</v>
      </c>
      <c r="BO12" s="14">
        <f>INDEX(挂机升级突破!$EJ$7:$EJ$26,BS12)</f>
        <v>1</v>
      </c>
      <c r="BP12" s="14">
        <f t="shared" si="12"/>
        <v>5</v>
      </c>
      <c r="BQ12" s="14">
        <f>INDEX(挂机升级突破!$EH$7:$EH$26,卡牌消耗!BS12)</f>
        <v>52</v>
      </c>
      <c r="BR12" s="14" t="str">
        <f t="shared" si="13"/>
        <v>关羽</v>
      </c>
      <c r="BS12" s="14">
        <f t="shared" si="14"/>
        <v>8</v>
      </c>
      <c r="BT12" s="14" t="str">
        <f t="shared" si="15"/>
        <v>关羽8突</v>
      </c>
      <c r="BU12" s="14" t="str">
        <f>IF(BN12&gt;0,INDEX(挂机升级突破!$ER$5:$EV$5,卡牌消耗!BN12),"")</f>
        <v>金币</v>
      </c>
      <c r="BV12" s="14">
        <f>IF(BN12&gt;0,ROUND(INDEX(挂机升级突破!$EV$7:$EV$26,卡牌消耗!BS12)*INDEX(卡牌消耗!$B$8:$F$8,BP12)/$Q$4/500,0)*500,"")</f>
        <v>16500</v>
      </c>
      <c r="BW12" s="14" t="str">
        <f>IF(BO12&gt;0,INDEX(挂机升级突破!$ER$5:$EV$5,卡牌消耗!BO12),"")</f>
        <v>玄铁</v>
      </c>
      <c r="BX12" s="14">
        <f>IF(BO12&gt;0,ROUND(INDEX(挂机升级突破!$ER$7:$EU$26,卡牌消耗!BS12,卡牌消耗!BO12)*INDEX($B$6:$F$6,BP12)/$Q$4/5,0)*5,"")</f>
        <v>225</v>
      </c>
      <c r="BY12" s="193"/>
      <c r="BZ12" s="193"/>
      <c r="CC12" s="158">
        <v>8</v>
      </c>
      <c r="CD12" s="169" t="s">
        <v>450</v>
      </c>
      <c r="CE12" s="169">
        <v>45</v>
      </c>
      <c r="CF12" s="169">
        <v>50</v>
      </c>
      <c r="CG12" s="169">
        <f>INDEX(章节关卡!$L$6:$L$35,卡牌消耗!CC12)*INDEX(节奏总表!$N$5:$N$34,卡牌消耗!CC12)*60</f>
        <v>126000</v>
      </c>
      <c r="CH12" s="169">
        <v>8</v>
      </c>
      <c r="CI12" s="169">
        <f>SUMIFS(章节关卡!$BF$5:$BF$304,章节关卡!$BB$5:$BB$304,"="&amp;卡牌消耗!CH12)</f>
        <v>31500</v>
      </c>
      <c r="CJ12" s="169">
        <v>6</v>
      </c>
      <c r="CK12" s="153">
        <f>SUMIFS(章节关卡!$BP$5:$BP$304,章节关卡!$BL$5:$BL$304,"="&amp;卡牌消耗!CJ12)</f>
        <v>45000</v>
      </c>
      <c r="CL12" s="169">
        <f>SUMIFS(章节关卡!$ED$5:$ED$94,章节关卡!$DK$5:$DK$94,"="&amp;卡牌消耗!CH12)</f>
        <v>25200</v>
      </c>
      <c r="CM12" s="169">
        <f>SUMIFS(章节关卡!$FC$5:$FC$94,章节关卡!$DK$5:$DK$94,"="&amp;CJ12)</f>
        <v>75600</v>
      </c>
      <c r="CN12" s="169">
        <f t="shared" si="16"/>
        <v>303300</v>
      </c>
      <c r="CO12" s="153">
        <v>1</v>
      </c>
      <c r="CP12" s="153">
        <f t="shared" si="17"/>
        <v>55145</v>
      </c>
      <c r="CQ12" s="169">
        <v>5.5</v>
      </c>
      <c r="CS12" s="171"/>
      <c r="CT12" s="171"/>
      <c r="CU12" s="14">
        <f>INDEX($CP$5:$CP$32,CU11)</f>
        <v>6784</v>
      </c>
      <c r="CV12" s="169">
        <v>8</v>
      </c>
      <c r="CW12" s="169">
        <v>10.5</v>
      </c>
      <c r="CX12" s="21">
        <f t="shared" ref="CX12:CX18" si="24">CW12/$CU$13</f>
        <v>0.11170212765957446</v>
      </c>
      <c r="CY12" s="169">
        <f t="shared" ref="CY12:CY18" si="25">INT($CU$12*CX12/5)*5</f>
        <v>755</v>
      </c>
      <c r="CZ12" s="50">
        <f>SUM(CY$5:CY12)</f>
        <v>4465</v>
      </c>
      <c r="DB12" s="188">
        <f t="shared" si="20"/>
        <v>350</v>
      </c>
      <c r="DC12" s="188">
        <f t="shared" si="0"/>
        <v>600</v>
      </c>
      <c r="DD12" s="188">
        <f t="shared" si="0"/>
        <v>750</v>
      </c>
      <c r="DE12" s="188">
        <f t="shared" si="0"/>
        <v>900</v>
      </c>
      <c r="DF12" s="188">
        <f t="shared" si="0"/>
        <v>1100</v>
      </c>
      <c r="DI12" s="186">
        <v>8</v>
      </c>
      <c r="DJ12" s="14">
        <f t="shared" si="21"/>
        <v>2</v>
      </c>
      <c r="DK12" s="14">
        <f t="shared" si="1"/>
        <v>2</v>
      </c>
      <c r="DL12" s="14">
        <f t="shared" si="2"/>
        <v>1101002</v>
      </c>
      <c r="DM12" s="136" t="s">
        <v>1097</v>
      </c>
      <c r="DN12" s="14">
        <f t="shared" si="3"/>
        <v>3</v>
      </c>
      <c r="DO12" s="14" t="str">
        <f t="shared" si="4"/>
        <v>曹玄亮-3星</v>
      </c>
      <c r="DP12" s="136" t="s">
        <v>1103</v>
      </c>
      <c r="DQ12" s="14">
        <f t="shared" si="22"/>
        <v>7000</v>
      </c>
      <c r="DR12" s="14" t="str">
        <f t="shared" si="5"/>
        <v>曹玄亮碎片</v>
      </c>
      <c r="DS12" s="14">
        <f t="shared" si="23"/>
        <v>20</v>
      </c>
    </row>
    <row r="13" spans="1:123" ht="16.5" x14ac:dyDescent="0.2">
      <c r="A13" s="14">
        <v>1102001</v>
      </c>
      <c r="B13" s="14" t="s">
        <v>172</v>
      </c>
      <c r="C13" s="14">
        <v>5</v>
      </c>
      <c r="D13" s="14">
        <v>80</v>
      </c>
      <c r="E13" s="14">
        <v>3</v>
      </c>
      <c r="F13" s="38">
        <f>A13+400000</f>
        <v>1502001</v>
      </c>
      <c r="G13" s="15"/>
      <c r="I13" s="55">
        <v>1</v>
      </c>
      <c r="J13" s="136">
        <f>金币总表!AP5+金币总表!AP6</f>
        <v>73660</v>
      </c>
      <c r="K13" s="55">
        <f>INT($J13*B$8/$Q$5)</f>
        <v>2455</v>
      </c>
      <c r="L13" s="139">
        <f t="shared" ref="L13:N13" si="26">INT($J13*C$8/$Q$5)</f>
        <v>3437</v>
      </c>
      <c r="M13" s="139">
        <f t="shared" si="26"/>
        <v>4910</v>
      </c>
      <c r="N13" s="139">
        <f t="shared" si="26"/>
        <v>7366</v>
      </c>
      <c r="T13" s="139">
        <v>9</v>
      </c>
      <c r="U13" s="139">
        <f>ROUND(INDEX(挂机升级突破!$DJ$6:$DJ$57,卡牌消耗!$T13)*INDEX(卡牌消耗!$B$8:$F$8,卡牌消耗!U$2)/$Q$4/5,0)*5</f>
        <v>1335</v>
      </c>
      <c r="V13" s="139">
        <f>ROUND(INDEX(挂机升级突破!$DJ$6:$DJ$57,卡牌消耗!$T13)*INDEX(卡牌消耗!$B$8:$F$8,卡牌消耗!V$2)/$Q$4/5,0)*5</f>
        <v>1905</v>
      </c>
      <c r="W13" s="139">
        <f>ROUND(INDEX(挂机升级突破!$DJ$6:$DJ$57,卡牌消耗!$T13)*INDEX(卡牌消耗!$B$8:$F$8,卡牌消耗!W$2)/$Q$4/5,0)*5</f>
        <v>2860</v>
      </c>
      <c r="X13" s="139">
        <f>ROUND(INDEX(挂机升级突破!$DJ$6:$DJ$57,卡牌消耗!$T13)*INDEX(卡牌消耗!$B$8:$F$8,卡牌消耗!X$2)/$Q$4/5,0)*5</f>
        <v>3815</v>
      </c>
      <c r="Z13" s="196">
        <v>2</v>
      </c>
      <c r="AA13" s="196">
        <v>9</v>
      </c>
      <c r="AB13" s="14">
        <f>ROUND(INDEX(挂机升级突破!DT$6:DT$57,卡牌消耗!$AA13)*INDEX(卡牌消耗!$B$5:$F$5,卡牌消耗!$Z13)/卡牌消耗!$Q$4/AB$2,0)*AB$2</f>
        <v>0</v>
      </c>
      <c r="AC13" s="14">
        <f>ROUND(INDEX(挂机升级突破!DU$6:DU$57,卡牌消耗!$AA13)*INDEX(卡牌消耗!$B$5:$F$5,卡牌消耗!$Z13)/卡牌消耗!$Q$4/AC$2,0)*AC$2</f>
        <v>45</v>
      </c>
      <c r="AD13" s="14">
        <f>ROUND(INDEX(挂机升级突破!DV$6:DV$57,卡牌消耗!$AA13)*INDEX(卡牌消耗!$B$5:$F$5,卡牌消耗!$Z13)/卡牌消耗!$Q$4/AD$2,0)*AD$2</f>
        <v>0</v>
      </c>
      <c r="AE13" s="14">
        <f>ROUND(INDEX(挂机升级突破!DW$6:DW$57,卡牌消耗!$AA13)*INDEX(卡牌消耗!$B$5:$F$5,卡牌消耗!$Z13)/卡牌消耗!$Q$4/AE$2,0)*AE$2</f>
        <v>0</v>
      </c>
      <c r="AF13" s="14">
        <f>ROUND(INDEX(挂机升级突破!DX$6:DX$57,卡牌消耗!$AA13)*INDEX(卡牌消耗!$B$5:$F$5,卡牌消耗!$Z13)/卡牌消耗!$Q$4/AF$2,0)*AF$2</f>
        <v>0</v>
      </c>
      <c r="AG13" s="14">
        <f>ROUND(INDEX(挂机升级突破!EC$6:EC$57,卡牌消耗!$AA13)*INDEX(卡牌消耗!$B$7:$F$7,卡牌消耗!$Z13)/卡牌消耗!$Q$4/AG$2,0)*AG$2</f>
        <v>0</v>
      </c>
      <c r="AH13" s="14">
        <f>ROUND(INDEX(挂机升级突破!ED$6:ED$57,卡牌消耗!$AA13)*INDEX(卡牌消耗!$B$8:$F$8,卡牌消耗!$Z13)/卡牌消耗!$Q$4/AH$2,0)*AH$2</f>
        <v>1350</v>
      </c>
      <c r="AK13" s="104">
        <v>9</v>
      </c>
      <c r="AL13" s="14">
        <f t="shared" si="6"/>
        <v>1</v>
      </c>
      <c r="AM13" s="14">
        <f>INDEX(挂机升级突破!DQ$6:DQ$57,卡牌消耗!$AT13)</f>
        <v>11</v>
      </c>
      <c r="AN13" s="14">
        <f>INDEX(挂机升级突破!DR$6:DR$57,卡牌消耗!$AT13)</f>
        <v>2</v>
      </c>
      <c r="AO13" s="14">
        <f>INDEX(挂机升级突破!DS$6:DS$57,卡牌消耗!$AT13)</f>
        <v>0</v>
      </c>
      <c r="AP13" s="14">
        <f>INDEX(挂机升级突破!$DP$6:$DP$57,卡牌消耗!AT13)</f>
        <v>40</v>
      </c>
      <c r="AQ13" s="14" t="str">
        <f t="shared" si="7"/>
        <v>关羽</v>
      </c>
      <c r="AR13" s="14">
        <f t="shared" si="8"/>
        <v>5</v>
      </c>
      <c r="AS13" s="14" t="str">
        <f t="shared" si="9"/>
        <v>关羽魂火-9</v>
      </c>
      <c r="AT13" s="14">
        <f t="shared" si="10"/>
        <v>9</v>
      </c>
      <c r="AU13" s="14" t="str">
        <f>IF(AM13&gt;0,INDEX(挂机升级突破!$DT$4:$ED$4,AM13),"")</f>
        <v>金币</v>
      </c>
      <c r="AV13" s="14">
        <f>ROUND(INDEX(挂机升级突破!$DJ$6:$DJ$57,卡牌消耗!AT13)*INDEX(卡牌消耗!$B$8:$F$8,AR13)/$Q$4/50,0)*50</f>
        <v>3800</v>
      </c>
      <c r="AW13" s="14" t="str">
        <f>IF(AN13&gt;0,INDEX(挂机升级突破!$DT$4:$ED$4,AN13),"")</f>
        <v>蓝色基础材料</v>
      </c>
      <c r="AX13" s="14">
        <f>ROUND(INDEX(挂机升级突破!$DT$6:$ED$57,卡牌消耗!AT13,AN13)*INDEX(卡牌消耗!$B$5:$F$5,AR13)/$Q$4/5,0)*5</f>
        <v>85</v>
      </c>
      <c r="AY13" s="14" t="str">
        <f>IF(AO13&gt;0,INDEX(挂机升级突破!$DT$4:$ED$4,AO13),"")</f>
        <v/>
      </c>
      <c r="AZ13" s="14" t="str">
        <f>IF(AO13&gt;0,ROUND(INDEX(挂机升级突破!$DT$6:$ED$57,卡牌消耗!AT13,AO13)*INDEX(卡牌消耗!$B$7:$F$7,AR13)/$Q$4,0),"")</f>
        <v/>
      </c>
      <c r="BC13" s="196">
        <v>2</v>
      </c>
      <c r="BD13" s="196">
        <v>9</v>
      </c>
      <c r="BE13" s="14">
        <f>ROUND(INDEX(挂机升级突破!ER$7:ER$26,卡牌消耗!$BD13)*INDEX(卡牌消耗!$B$6:$F$6,$BC13)/$Q$4,0)</f>
        <v>0</v>
      </c>
      <c r="BF13" s="14">
        <f>ROUND(INDEX(挂机升级突破!ES$7:ES$26,卡牌消耗!$BD13)*INDEX(卡牌消耗!$B$6:$F$6,$BC13)/$Q$4,0)</f>
        <v>40</v>
      </c>
      <c r="BG13" s="14">
        <f>ROUND(INDEX(挂机升级突破!ET$7:ET$26,卡牌消耗!$BD13)*INDEX(卡牌消耗!$B$6:$F$6,$BC13)/$Q$4,0)</f>
        <v>0</v>
      </c>
      <c r="BH13" s="14">
        <f>ROUND(INDEX(挂机升级突破!EU$7:EU$26,卡牌消耗!$BD13)*INDEX(卡牌消耗!$B$6:$F$6,$BC13)/$Q$4,0)</f>
        <v>0</v>
      </c>
      <c r="BI13" s="14">
        <f>ROUND(INDEX(挂机升级突破!$EV$7:$EV$26,卡牌消耗!BD13)*INDEX(卡牌消耗!$B$8:$F$8,$BC13)/$Q$4/BI$2,0)*BI$2</f>
        <v>7500</v>
      </c>
      <c r="BL13" s="104">
        <v>9</v>
      </c>
      <c r="BM13" s="14">
        <f t="shared" si="11"/>
        <v>1</v>
      </c>
      <c r="BN13" s="14">
        <f>INDEX(挂机升级突破!$EI$7:$EI$26,BS13)</f>
        <v>5</v>
      </c>
      <c r="BO13" s="14">
        <f>INDEX(挂机升级突破!$EJ$7:$EJ$26,BS13)</f>
        <v>2</v>
      </c>
      <c r="BP13" s="14">
        <f t="shared" si="12"/>
        <v>5</v>
      </c>
      <c r="BQ13" s="14">
        <f>INDEX(挂机升级突破!$EH$7:$EH$26,卡牌消耗!BS13)</f>
        <v>57</v>
      </c>
      <c r="BR13" s="14" t="str">
        <f t="shared" si="13"/>
        <v>关羽</v>
      </c>
      <c r="BS13" s="14">
        <f t="shared" si="14"/>
        <v>9</v>
      </c>
      <c r="BT13" s="14" t="str">
        <f t="shared" si="15"/>
        <v>关羽9突</v>
      </c>
      <c r="BU13" s="14" t="str">
        <f>IF(BN13&gt;0,INDEX(挂机升级突破!$ER$5:$EV$5,卡牌消耗!BN13),"")</f>
        <v>金币</v>
      </c>
      <c r="BV13" s="14">
        <f>IF(BN13&gt;0,ROUND(INDEX(挂机升级突破!$EV$7:$EV$26,卡牌消耗!BS13)*INDEX(卡牌消耗!$B$8:$F$8,BP13)/$Q$4/500,0)*500,"")</f>
        <v>22000</v>
      </c>
      <c r="BW13" s="14" t="str">
        <f>IF(BO13&gt;0,INDEX(挂机升级突破!$ER$5:$EV$5,卡牌消耗!BO13),"")</f>
        <v>乌金</v>
      </c>
      <c r="BX13" s="14">
        <f>IF(BO13&gt;0,ROUND(INDEX(挂机升级突破!$ER$7:$EU$26,卡牌消耗!BS13,卡牌消耗!BO13)*INDEX($B$6:$F$6,BP13)/$Q$4/5,0)*5,"")</f>
        <v>75</v>
      </c>
      <c r="BY13" s="193"/>
      <c r="BZ13" s="193"/>
      <c r="CC13" s="158">
        <v>9</v>
      </c>
      <c r="CD13" s="169" t="s">
        <v>451</v>
      </c>
      <c r="CE13" s="169">
        <v>50</v>
      </c>
      <c r="CF13" s="169">
        <v>55</v>
      </c>
      <c r="CG13" s="169">
        <f>INDEX(章节关卡!$L$6:$L$35,卡牌消耗!CC13)*INDEX(节奏总表!$N$5:$N$34,卡牌消耗!CC13)*60</f>
        <v>163200</v>
      </c>
      <c r="CH13" s="169">
        <v>9</v>
      </c>
      <c r="CI13" s="169">
        <f>SUMIFS(章节关卡!$BF$5:$BF$304,章节关卡!$BB$5:$BB$304,"="&amp;卡牌消耗!CH13)</f>
        <v>36000</v>
      </c>
      <c r="CJ13" s="169">
        <v>7</v>
      </c>
      <c r="CK13" s="153">
        <f>SUMIFS(章节关卡!$BP$5:$BP$304,章节关卡!$BL$5:$BL$304,"="&amp;卡牌消耗!CJ13)</f>
        <v>54000</v>
      </c>
      <c r="CL13" s="169">
        <f>SUMIFS(章节关卡!$ED$5:$ED$94,章节关卡!$DK$5:$DK$94,"="&amp;卡牌消耗!CH13)</f>
        <v>28800</v>
      </c>
      <c r="CM13" s="169">
        <f>SUMIFS(章节关卡!$FC$5:$FC$94,章节关卡!$DK$5:$DK$94,"="&amp;CJ13)</f>
        <v>86400</v>
      </c>
      <c r="CN13" s="169">
        <f t="shared" si="16"/>
        <v>368400</v>
      </c>
      <c r="CO13" s="153">
        <v>1</v>
      </c>
      <c r="CP13" s="153">
        <f t="shared" si="17"/>
        <v>61400</v>
      </c>
      <c r="CQ13" s="169">
        <v>6</v>
      </c>
      <c r="CS13" s="171"/>
      <c r="CT13" s="170"/>
      <c r="CU13" s="14">
        <f>SUMIFS($CW$5:$CW$154,$CV$5:$CV$154,"&gt;="&amp;INDEX($CE$5:$CE$32,CU11),$CV$5:$CV$154,"&lt;"&amp;INDEX($CF$5:$CF$32,CU11))</f>
        <v>94</v>
      </c>
      <c r="CV13" s="169">
        <v>9</v>
      </c>
      <c r="CW13" s="169">
        <v>11</v>
      </c>
      <c r="CX13" s="21">
        <f t="shared" si="24"/>
        <v>0.11702127659574468</v>
      </c>
      <c r="CY13" s="169">
        <f t="shared" si="25"/>
        <v>790</v>
      </c>
      <c r="CZ13" s="50">
        <f>SUM(CY$5:CY13)</f>
        <v>5255</v>
      </c>
      <c r="DB13" s="188">
        <f t="shared" si="20"/>
        <v>350</v>
      </c>
      <c r="DC13" s="188">
        <f t="shared" si="0"/>
        <v>600</v>
      </c>
      <c r="DD13" s="188">
        <f t="shared" si="0"/>
        <v>750</v>
      </c>
      <c r="DE13" s="188">
        <f t="shared" si="0"/>
        <v>900</v>
      </c>
      <c r="DF13" s="188">
        <f t="shared" si="0"/>
        <v>1150</v>
      </c>
      <c r="DI13" s="186">
        <v>9</v>
      </c>
      <c r="DJ13" s="14">
        <f t="shared" si="21"/>
        <v>2</v>
      </c>
      <c r="DK13" s="14">
        <f t="shared" si="1"/>
        <v>2</v>
      </c>
      <c r="DL13" s="14">
        <f t="shared" si="2"/>
        <v>1101002</v>
      </c>
      <c r="DM13" s="136" t="s">
        <v>1097</v>
      </c>
      <c r="DN13" s="14">
        <f t="shared" si="3"/>
        <v>4</v>
      </c>
      <c r="DO13" s="14" t="str">
        <f t="shared" si="4"/>
        <v>曹玄亮-4星</v>
      </c>
      <c r="DP13" s="136" t="s">
        <v>1103</v>
      </c>
      <c r="DQ13" s="14">
        <f t="shared" si="22"/>
        <v>16000</v>
      </c>
      <c r="DR13" s="14" t="str">
        <f t="shared" si="5"/>
        <v>曹玄亮碎片</v>
      </c>
      <c r="DS13" s="14">
        <f t="shared" si="23"/>
        <v>20</v>
      </c>
    </row>
    <row r="14" spans="1:123" ht="16.5" x14ac:dyDescent="0.2">
      <c r="A14" s="14">
        <v>1102002</v>
      </c>
      <c r="B14" s="14" t="s">
        <v>173</v>
      </c>
      <c r="C14" s="14">
        <v>3</v>
      </c>
      <c r="D14" s="14">
        <v>40</v>
      </c>
      <c r="E14" s="14">
        <v>1</v>
      </c>
      <c r="F14" s="101">
        <f t="shared" ref="F14:F40" si="27">A14+400000</f>
        <v>1502002</v>
      </c>
      <c r="G14" s="15"/>
      <c r="I14" s="55">
        <v>2</v>
      </c>
      <c r="J14" s="136">
        <f>金币总表!AP7</f>
        <v>89010</v>
      </c>
      <c r="K14" s="139">
        <f t="shared" ref="K14:K17" si="28">INT($J14*B$8/$Q$5)</f>
        <v>2967</v>
      </c>
      <c r="L14" s="139">
        <f t="shared" ref="L14:L17" si="29">INT($J14*C$8/$Q$5)</f>
        <v>4153</v>
      </c>
      <c r="M14" s="139">
        <f t="shared" ref="M14:M17" si="30">INT($J14*D$8/$Q$5)</f>
        <v>5934</v>
      </c>
      <c r="N14" s="139">
        <f t="shared" ref="N14:N17" si="31">INT($J14*E$8/$Q$5)</f>
        <v>8901</v>
      </c>
      <c r="T14" s="139">
        <v>10</v>
      </c>
      <c r="U14" s="139">
        <f>ROUND(INDEX(挂机升级突破!$DJ$6:$DJ$57,卡牌消耗!$T14)*INDEX(卡牌消耗!$B$8:$F$8,卡牌消耗!U$2)/$Q$4/5,0)*5</f>
        <v>2225</v>
      </c>
      <c r="V14" s="139">
        <f>ROUND(INDEX(挂机升级突破!$DJ$6:$DJ$57,卡牌消耗!$T14)*INDEX(卡牌消耗!$B$8:$F$8,卡牌消耗!V$2)/$Q$4/5,0)*5</f>
        <v>3180</v>
      </c>
      <c r="W14" s="139">
        <f>ROUND(INDEX(挂机升级突破!$DJ$6:$DJ$57,卡牌消耗!$T14)*INDEX(卡牌消耗!$B$8:$F$8,卡牌消耗!W$2)/$Q$4/5,0)*5</f>
        <v>4770</v>
      </c>
      <c r="X14" s="139">
        <f>ROUND(INDEX(挂机升级突破!$DJ$6:$DJ$57,卡牌消耗!$T14)*INDEX(卡牌消耗!$B$8:$F$8,卡牌消耗!X$2)/$Q$4/5,0)*5</f>
        <v>6360</v>
      </c>
      <c r="Z14" s="196">
        <v>2</v>
      </c>
      <c r="AA14" s="196">
        <v>10</v>
      </c>
      <c r="AB14" s="14">
        <f>ROUND(INDEX(挂机升级突破!DT$6:DT$57,卡牌消耗!$AA14)*INDEX(卡牌消耗!$B$5:$F$5,卡牌消耗!$Z14)/卡牌消耗!$Q$4/AB$2,0)*AB$2</f>
        <v>0</v>
      </c>
      <c r="AC14" s="14">
        <f>ROUND(INDEX(挂机升级突破!DU$6:DU$57,卡牌消耗!$AA14)*INDEX(卡牌消耗!$B$5:$F$5,卡牌消耗!$Z14)/卡牌消耗!$Q$4/AC$2,0)*AC$2</f>
        <v>70</v>
      </c>
      <c r="AD14" s="14">
        <f>ROUND(INDEX(挂机升级突破!DV$6:DV$57,卡牌消耗!$AA14)*INDEX(卡牌消耗!$B$5:$F$5,卡牌消耗!$Z14)/卡牌消耗!$Q$4/AD$2,0)*AD$2</f>
        <v>0</v>
      </c>
      <c r="AE14" s="14">
        <f>ROUND(INDEX(挂机升级突破!DW$6:DW$57,卡牌消耗!$AA14)*INDEX(卡牌消耗!$B$5:$F$5,卡牌消耗!$Z14)/卡牌消耗!$Q$4/AE$2,0)*AE$2</f>
        <v>0</v>
      </c>
      <c r="AF14" s="14">
        <f>ROUND(INDEX(挂机升级突破!DX$6:DX$57,卡牌消耗!$AA14)*INDEX(卡牌消耗!$B$5:$F$5,卡牌消耗!$Z14)/卡牌消耗!$Q$4/AF$2,0)*AF$2</f>
        <v>0</v>
      </c>
      <c r="AG14" s="14">
        <f>ROUND(INDEX(挂机升级突破!EC$6:EC$57,卡牌消耗!$AA14)*INDEX(卡牌消耗!$B$7:$F$7,卡牌消耗!$Z14)/卡牌消耗!$Q$4/AG$2,0)*AG$2</f>
        <v>0</v>
      </c>
      <c r="AH14" s="14">
        <f>ROUND(INDEX(挂机升级突破!ED$6:ED$57,卡牌消耗!$AA14)*INDEX(卡牌消耗!$B$8:$F$8,卡牌消耗!$Z14)/卡牌消耗!$Q$4/AH$2,0)*AH$2</f>
        <v>2250</v>
      </c>
      <c r="AK14" s="104">
        <v>10</v>
      </c>
      <c r="AL14" s="14">
        <f t="shared" si="6"/>
        <v>1</v>
      </c>
      <c r="AM14" s="14">
        <f>INDEX(挂机升级突破!DQ$6:DQ$57,卡牌消耗!$AT14)</f>
        <v>11</v>
      </c>
      <c r="AN14" s="14">
        <f>INDEX(挂机升级突破!DR$6:DR$57,卡牌消耗!$AT14)</f>
        <v>2</v>
      </c>
      <c r="AO14" s="14">
        <f>INDEX(挂机升级突破!DS$6:DS$57,卡牌消耗!$AT14)</f>
        <v>0</v>
      </c>
      <c r="AP14" s="14">
        <f>INDEX(挂机升级突破!$DP$6:$DP$57,卡牌消耗!AT14)</f>
        <v>43</v>
      </c>
      <c r="AQ14" s="14" t="str">
        <f t="shared" si="7"/>
        <v>关羽</v>
      </c>
      <c r="AR14" s="14">
        <f t="shared" si="8"/>
        <v>5</v>
      </c>
      <c r="AS14" s="14" t="str">
        <f t="shared" si="9"/>
        <v>关羽魂火-10</v>
      </c>
      <c r="AT14" s="14">
        <f t="shared" si="10"/>
        <v>10</v>
      </c>
      <c r="AU14" s="14" t="str">
        <f>IF(AM14&gt;0,INDEX(挂机升级突破!$DT$4:$ED$4,AM14),"")</f>
        <v>金币</v>
      </c>
      <c r="AV14" s="14">
        <f>ROUND(INDEX(挂机升级突破!$DJ$6:$DJ$57,卡牌消耗!AT14)*INDEX(卡牌消耗!$B$8:$F$8,AR14)/$Q$4/50,0)*50</f>
        <v>6350</v>
      </c>
      <c r="AW14" s="14" t="str">
        <f>IF(AN14&gt;0,INDEX(挂机升级突破!$DT$4:$ED$4,AN14),"")</f>
        <v>蓝色基础材料</v>
      </c>
      <c r="AX14" s="14">
        <f>ROUND(INDEX(挂机升级突破!$DT$6:$ED$57,卡牌消耗!AT14,AN14)*INDEX(卡牌消耗!$B$5:$F$5,AR14)/$Q$4/5,0)*5</f>
        <v>130</v>
      </c>
      <c r="AY14" s="14" t="str">
        <f>IF(AO14&gt;0,INDEX(挂机升级突破!$DT$4:$ED$4,AO14),"")</f>
        <v/>
      </c>
      <c r="AZ14" s="14" t="str">
        <f>IF(AO14&gt;0,ROUND(INDEX(挂机升级突破!$DT$6:$ED$57,卡牌消耗!AT14,AO14)*INDEX(卡牌消耗!$B$7:$F$7,AR14)/$Q$4,0),"")</f>
        <v/>
      </c>
      <c r="BC14" s="196">
        <v>2</v>
      </c>
      <c r="BD14" s="196">
        <v>10</v>
      </c>
      <c r="BE14" s="14">
        <f>ROUND(INDEX(挂机升级突破!ER$7:ER$26,卡牌消耗!$BD14)*INDEX(卡牌消耗!$B$6:$F$6,$BC14)/$Q$4,0)</f>
        <v>0</v>
      </c>
      <c r="BF14" s="14">
        <f>ROUND(INDEX(挂机升级突破!ES$7:ES$26,卡牌消耗!$BD14)*INDEX(卡牌消耗!$B$6:$F$6,$BC14)/$Q$4,0)</f>
        <v>55</v>
      </c>
      <c r="BG14" s="14">
        <f>ROUND(INDEX(挂机升级突破!ET$7:ET$26,卡牌消耗!$BD14)*INDEX(卡牌消耗!$B$6:$F$6,$BC14)/$Q$4,0)</f>
        <v>0</v>
      </c>
      <c r="BH14" s="14">
        <f>ROUND(INDEX(挂机升级突破!EU$7:EU$26,卡牌消耗!$BD14)*INDEX(卡牌消耗!$B$6:$F$6,$BC14)/$Q$4,0)</f>
        <v>0</v>
      </c>
      <c r="BI14" s="14">
        <f>ROUND(INDEX(挂机升级突破!$EV$7:$EV$26,卡牌消耗!BD14)*INDEX(卡牌消耗!$B$8:$F$8,$BC14)/$Q$4/BI$2,0)*BI$2</f>
        <v>13000</v>
      </c>
      <c r="BL14" s="104">
        <v>10</v>
      </c>
      <c r="BM14" s="14">
        <f t="shared" si="11"/>
        <v>1</v>
      </c>
      <c r="BN14" s="14">
        <f>INDEX(挂机升级突破!$EI$7:$EI$26,BS14)</f>
        <v>5</v>
      </c>
      <c r="BO14" s="14">
        <f>INDEX(挂机升级突破!$EJ$7:$EJ$26,BS14)</f>
        <v>2</v>
      </c>
      <c r="BP14" s="14">
        <f t="shared" si="12"/>
        <v>5</v>
      </c>
      <c r="BQ14" s="14">
        <f>INDEX(挂机升级突破!$EH$7:$EH$26,卡牌消耗!BS14)</f>
        <v>65</v>
      </c>
      <c r="BR14" s="14" t="str">
        <f t="shared" si="13"/>
        <v>关羽</v>
      </c>
      <c r="BS14" s="14">
        <f t="shared" si="14"/>
        <v>10</v>
      </c>
      <c r="BT14" s="14" t="str">
        <f t="shared" si="15"/>
        <v>关羽10突</v>
      </c>
      <c r="BU14" s="14" t="str">
        <f>IF(BN14&gt;0,INDEX(挂机升级突破!$ER$5:$EV$5,卡牌消耗!BN14),"")</f>
        <v>金币</v>
      </c>
      <c r="BV14" s="14">
        <f>IF(BN14&gt;0,ROUND(INDEX(挂机升级突破!$EV$7:$EV$26,卡牌消耗!BS14)*INDEX(卡牌消耗!$B$8:$F$8,BP14)/$Q$4/500,0)*500,"")</f>
        <v>37500</v>
      </c>
      <c r="BW14" s="14" t="str">
        <f>IF(BO14&gt;0,INDEX(挂机升级突破!$ER$5:$EV$5,卡牌消耗!BO14),"")</f>
        <v>乌金</v>
      </c>
      <c r="BX14" s="14">
        <f>IF(BO14&gt;0,ROUND(INDEX(挂机升级突破!$ER$7:$EU$26,卡牌消耗!BS14,卡牌消耗!BO14)*INDEX($B$6:$F$6,BP14)/$Q$4/5,0)*5,"")</f>
        <v>105</v>
      </c>
      <c r="BY14" s="193"/>
      <c r="BZ14" s="193"/>
      <c r="CC14" s="158">
        <v>10</v>
      </c>
      <c r="CD14" s="169" t="s">
        <v>452</v>
      </c>
      <c r="CE14" s="169">
        <v>55</v>
      </c>
      <c r="CF14" s="169">
        <v>60</v>
      </c>
      <c r="CG14" s="169">
        <f>INDEX(章节关卡!$L$6:$L$35,卡牌消耗!CC14)*INDEX(节奏总表!$N$5:$N$34,卡牌消耗!CC14)*60</f>
        <v>216000</v>
      </c>
      <c r="CH14" s="169">
        <v>10</v>
      </c>
      <c r="CI14" s="169">
        <f>SUMIFS(章节关卡!$BF$5:$BF$304,章节关卡!$BB$5:$BB$304,"="&amp;卡牌消耗!CH14)</f>
        <v>40500</v>
      </c>
      <c r="CJ14" s="169">
        <v>8</v>
      </c>
      <c r="CK14" s="153">
        <f>SUMIFS(章节关卡!$BP$5:$BP$304,章节关卡!$BL$5:$BL$304,"="&amp;卡牌消耗!CJ14)</f>
        <v>63000</v>
      </c>
      <c r="CL14" s="169">
        <f>SUMIFS(章节关卡!$ED$5:$ED$94,章节关卡!$DK$5:$DK$94,"="&amp;卡牌消耗!CH14)</f>
        <v>32400</v>
      </c>
      <c r="CM14" s="169">
        <f>SUMIFS(章节关卡!$FC$5:$FC$94,章节关卡!$DK$5:$DK$94,"="&amp;CJ14)</f>
        <v>97200</v>
      </c>
      <c r="CN14" s="169">
        <f t="shared" si="16"/>
        <v>449100</v>
      </c>
      <c r="CO14" s="153">
        <v>1</v>
      </c>
      <c r="CP14" s="153">
        <f t="shared" si="17"/>
        <v>69092</v>
      </c>
      <c r="CQ14" s="169">
        <v>6.5</v>
      </c>
      <c r="CS14" s="171"/>
      <c r="CT14" s="171"/>
      <c r="CU14" s="171"/>
      <c r="CV14" s="169">
        <v>10</v>
      </c>
      <c r="CW14" s="169">
        <v>11.5</v>
      </c>
      <c r="CX14" s="21">
        <f t="shared" si="24"/>
        <v>0.12234042553191489</v>
      </c>
      <c r="CY14" s="169">
        <f t="shared" si="25"/>
        <v>825</v>
      </c>
      <c r="CZ14" s="50">
        <f>SUM(CY$5:CY14)</f>
        <v>6080</v>
      </c>
      <c r="DB14" s="188">
        <f t="shared" si="20"/>
        <v>400</v>
      </c>
      <c r="DC14" s="188">
        <f t="shared" si="0"/>
        <v>650</v>
      </c>
      <c r="DD14" s="188">
        <f t="shared" si="0"/>
        <v>800</v>
      </c>
      <c r="DE14" s="188">
        <f t="shared" si="0"/>
        <v>950</v>
      </c>
      <c r="DF14" s="188">
        <f t="shared" si="0"/>
        <v>1200</v>
      </c>
      <c r="DI14" s="186">
        <v>10</v>
      </c>
      <c r="DJ14" s="14">
        <f t="shared" si="21"/>
        <v>2</v>
      </c>
      <c r="DK14" s="14">
        <f t="shared" si="1"/>
        <v>2</v>
      </c>
      <c r="DL14" s="14">
        <f t="shared" si="2"/>
        <v>1101002</v>
      </c>
      <c r="DM14" s="136" t="s">
        <v>1097</v>
      </c>
      <c r="DN14" s="14">
        <f t="shared" si="3"/>
        <v>5</v>
      </c>
      <c r="DO14" s="14" t="str">
        <f t="shared" si="4"/>
        <v>曹玄亮-5星</v>
      </c>
      <c r="DP14" s="136" t="s">
        <v>1103</v>
      </c>
      <c r="DQ14" s="14">
        <f t="shared" si="22"/>
        <v>30000</v>
      </c>
      <c r="DR14" s="14" t="str">
        <f t="shared" si="5"/>
        <v>曹玄亮碎片</v>
      </c>
      <c r="DS14" s="14">
        <f t="shared" si="23"/>
        <v>20</v>
      </c>
    </row>
    <row r="15" spans="1:123" ht="16.5" x14ac:dyDescent="0.2">
      <c r="A15" s="14">
        <v>1102003</v>
      </c>
      <c r="B15" s="14" t="s">
        <v>174</v>
      </c>
      <c r="C15" s="14">
        <v>4</v>
      </c>
      <c r="D15" s="14">
        <v>40</v>
      </c>
      <c r="E15" s="14">
        <v>1</v>
      </c>
      <c r="F15" s="101">
        <f t="shared" si="27"/>
        <v>1502003</v>
      </c>
      <c r="G15" s="15"/>
      <c r="I15" s="55">
        <v>3</v>
      </c>
      <c r="J15" s="136">
        <f>金币总表!AP8</f>
        <v>190985</v>
      </c>
      <c r="K15" s="139">
        <f t="shared" si="28"/>
        <v>6366</v>
      </c>
      <c r="L15" s="139">
        <f t="shared" si="29"/>
        <v>8912</v>
      </c>
      <c r="M15" s="139">
        <f t="shared" si="30"/>
        <v>12732</v>
      </c>
      <c r="N15" s="139">
        <f t="shared" si="31"/>
        <v>19098</v>
      </c>
      <c r="T15" s="139">
        <v>11</v>
      </c>
      <c r="U15" s="139">
        <f>ROUND(INDEX(挂机升级突破!$DJ$6:$DJ$57,卡牌消耗!$T15)*INDEX(卡牌消耗!$B$8:$F$8,卡牌消耗!U$2)/$Q$4/5,0)*5</f>
        <v>2225</v>
      </c>
      <c r="V15" s="139">
        <f>ROUND(INDEX(挂机升级突破!$DJ$6:$DJ$57,卡牌消耗!$T15)*INDEX(卡牌消耗!$B$8:$F$8,卡牌消耗!V$2)/$Q$4/5,0)*5</f>
        <v>3180</v>
      </c>
      <c r="W15" s="139">
        <f>ROUND(INDEX(挂机升级突破!$DJ$6:$DJ$57,卡牌消耗!$T15)*INDEX(卡牌消耗!$B$8:$F$8,卡牌消耗!W$2)/$Q$4/5,0)*5</f>
        <v>4770</v>
      </c>
      <c r="X15" s="139">
        <f>ROUND(INDEX(挂机升级突破!$DJ$6:$DJ$57,卡牌消耗!$T15)*INDEX(卡牌消耗!$B$8:$F$8,卡牌消耗!X$2)/$Q$4/5,0)*5</f>
        <v>6360</v>
      </c>
      <c r="Z15" s="196">
        <v>2</v>
      </c>
      <c r="AA15" s="196">
        <v>11</v>
      </c>
      <c r="AB15" s="14">
        <f>ROUND(INDEX(挂机升级突破!DT$6:DT$57,卡牌消耗!$AA15)*INDEX(卡牌消耗!$B$5:$F$5,卡牌消耗!$Z15)/卡牌消耗!$Q$4/AB$2,0)*AB$2</f>
        <v>0</v>
      </c>
      <c r="AC15" s="14">
        <f>ROUND(INDEX(挂机升级突破!DU$6:DU$57,卡牌消耗!$AA15)*INDEX(卡牌消耗!$B$5:$F$5,卡牌消耗!$Z15)/卡牌消耗!$Q$4/AC$2,0)*AC$2</f>
        <v>70</v>
      </c>
      <c r="AD15" s="14">
        <f>ROUND(INDEX(挂机升级突破!DV$6:DV$57,卡牌消耗!$AA15)*INDEX(卡牌消耗!$B$5:$F$5,卡牌消耗!$Z15)/卡牌消耗!$Q$4/AD$2,0)*AD$2</f>
        <v>0</v>
      </c>
      <c r="AE15" s="14">
        <f>ROUND(INDEX(挂机升级突破!DW$6:DW$57,卡牌消耗!$AA15)*INDEX(卡牌消耗!$B$5:$F$5,卡牌消耗!$Z15)/卡牌消耗!$Q$4/AE$2,0)*AE$2</f>
        <v>0</v>
      </c>
      <c r="AF15" s="14">
        <f>ROUND(INDEX(挂机升级突破!DX$6:DX$57,卡牌消耗!$AA15)*INDEX(卡牌消耗!$B$5:$F$5,卡牌消耗!$Z15)/卡牌消耗!$Q$4/AF$2,0)*AF$2</f>
        <v>0</v>
      </c>
      <c r="AG15" s="14">
        <f>ROUND(INDEX(挂机升级突破!EC$6:EC$57,卡牌消耗!$AA15)*INDEX(卡牌消耗!$B$7:$F$7,卡牌消耗!$Z15)/卡牌消耗!$Q$4/AG$2,0)*AG$2</f>
        <v>0</v>
      </c>
      <c r="AH15" s="14">
        <f>ROUND(INDEX(挂机升级突破!ED$6:ED$57,卡牌消耗!$AA15)*INDEX(卡牌消耗!$B$8:$F$8,卡牌消耗!$Z15)/卡牌消耗!$Q$4/AH$2,0)*AH$2</f>
        <v>2250</v>
      </c>
      <c r="AK15" s="104">
        <v>11</v>
      </c>
      <c r="AL15" s="14">
        <f t="shared" si="6"/>
        <v>1</v>
      </c>
      <c r="AM15" s="14">
        <f>INDEX(挂机升级突破!DQ$6:DQ$57,卡牌消耗!$AT15)</f>
        <v>11</v>
      </c>
      <c r="AN15" s="14">
        <f>INDEX(挂机升级突破!DR$6:DR$57,卡牌消耗!$AT15)</f>
        <v>2</v>
      </c>
      <c r="AO15" s="14">
        <f>INDEX(挂机升级突破!DS$6:DS$57,卡牌消耗!$AT15)</f>
        <v>0</v>
      </c>
      <c r="AP15" s="14">
        <f>INDEX(挂机升级突破!$DP$6:$DP$57,卡牌消耗!AT15)</f>
        <v>45</v>
      </c>
      <c r="AQ15" s="14" t="str">
        <f t="shared" si="7"/>
        <v>关羽</v>
      </c>
      <c r="AR15" s="14">
        <f t="shared" si="8"/>
        <v>5</v>
      </c>
      <c r="AS15" s="14" t="str">
        <f t="shared" si="9"/>
        <v>关羽魂火-11</v>
      </c>
      <c r="AT15" s="14">
        <f t="shared" si="10"/>
        <v>11</v>
      </c>
      <c r="AU15" s="14" t="str">
        <f>IF(AM15&gt;0,INDEX(挂机升级突破!$DT$4:$ED$4,AM15),"")</f>
        <v>金币</v>
      </c>
      <c r="AV15" s="14">
        <f>ROUND(INDEX(挂机升级突破!$DJ$6:$DJ$57,卡牌消耗!AT15)*INDEX(卡牌消耗!$B$8:$F$8,AR15)/$Q$4/50,0)*50</f>
        <v>6350</v>
      </c>
      <c r="AW15" s="14" t="str">
        <f>IF(AN15&gt;0,INDEX(挂机升级突破!$DT$4:$ED$4,AN15),"")</f>
        <v>蓝色基础材料</v>
      </c>
      <c r="AX15" s="14">
        <f>ROUND(INDEX(挂机升级突破!$DT$6:$ED$57,卡牌消耗!AT15,AN15)*INDEX(卡牌消耗!$B$5:$F$5,AR15)/$Q$4/5,0)*5</f>
        <v>130</v>
      </c>
      <c r="AY15" s="14" t="str">
        <f>IF(AO15&gt;0,INDEX(挂机升级突破!$DT$4:$ED$4,AO15),"")</f>
        <v/>
      </c>
      <c r="AZ15" s="14" t="str">
        <f>IF(AO15&gt;0,ROUND(INDEX(挂机升级突破!$DT$6:$ED$57,卡牌消耗!AT15,AO15)*INDEX(卡牌消耗!$B$7:$F$7,AR15)/$Q$4,0),"")</f>
        <v/>
      </c>
      <c r="BC15" s="196">
        <v>2</v>
      </c>
      <c r="BD15" s="196">
        <v>11</v>
      </c>
      <c r="BE15" s="14">
        <f>ROUND(INDEX(挂机升级突破!ER$7:ER$26,卡牌消耗!$BD15)*INDEX(卡牌消耗!$B$6:$F$6,$BC15)/$Q$4,0)</f>
        <v>0</v>
      </c>
      <c r="BF15" s="14">
        <f>ROUND(INDEX(挂机升级突破!ES$7:ES$26,卡牌消耗!$BD15)*INDEX(卡牌消耗!$B$6:$F$6,$BC15)/$Q$4,0)</f>
        <v>74</v>
      </c>
      <c r="BG15" s="14">
        <f>ROUND(INDEX(挂机升级突破!ET$7:ET$26,卡牌消耗!$BD15)*INDEX(卡牌消耗!$B$6:$F$6,$BC15)/$Q$4,0)</f>
        <v>0</v>
      </c>
      <c r="BH15" s="14">
        <f>ROUND(INDEX(挂机升级突破!EU$7:EU$26,卡牌消耗!$BD15)*INDEX(卡牌消耗!$B$6:$F$6,$BC15)/$Q$4,0)</f>
        <v>0</v>
      </c>
      <c r="BI15" s="14">
        <f>ROUND(INDEX(挂机升级突破!$EV$7:$EV$26,卡牌消耗!BD15)*INDEX(卡牌消耗!$B$8:$F$8,$BC15)/$Q$4/BI$2,0)*BI$2</f>
        <v>13000</v>
      </c>
      <c r="BL15" s="104">
        <v>11</v>
      </c>
      <c r="BM15" s="14">
        <f t="shared" si="11"/>
        <v>1</v>
      </c>
      <c r="BN15" s="14">
        <f>INDEX(挂机升级突破!$EI$7:$EI$26,BS15)</f>
        <v>5</v>
      </c>
      <c r="BO15" s="14">
        <f>INDEX(挂机升级突破!$EJ$7:$EJ$26,BS15)</f>
        <v>2</v>
      </c>
      <c r="BP15" s="14">
        <f t="shared" si="12"/>
        <v>5</v>
      </c>
      <c r="BQ15" s="14">
        <f>INDEX(挂机升级突破!$EH$7:$EH$26,卡牌消耗!BS15)</f>
        <v>72</v>
      </c>
      <c r="BR15" s="14" t="str">
        <f t="shared" si="13"/>
        <v>关羽</v>
      </c>
      <c r="BS15" s="14">
        <f t="shared" si="14"/>
        <v>11</v>
      </c>
      <c r="BT15" s="14" t="str">
        <f t="shared" si="15"/>
        <v>关羽11突</v>
      </c>
      <c r="BU15" s="14" t="str">
        <f>IF(BN15&gt;0,INDEX(挂机升级突破!$ER$5:$EV$5,卡牌消耗!BN15),"")</f>
        <v>金币</v>
      </c>
      <c r="BV15" s="14">
        <f>IF(BN15&gt;0,ROUND(INDEX(挂机升级突破!$EV$7:$EV$26,卡牌消耗!BS15)*INDEX(卡牌消耗!$B$8:$F$8,BP15)/$Q$4/500,0)*500,"")</f>
        <v>37500</v>
      </c>
      <c r="BW15" s="14" t="str">
        <f>IF(BO15&gt;0,INDEX(挂机升级突破!$ER$5:$EV$5,卡牌消耗!BO15),"")</f>
        <v>乌金</v>
      </c>
      <c r="BX15" s="14">
        <f>IF(BO15&gt;0,ROUND(INDEX(挂机升级突破!$ER$7:$EU$26,卡牌消耗!BS15,卡牌消耗!BO15)*INDEX($B$6:$F$6,BP15)/$Q$4/5,0)*5,"")</f>
        <v>140</v>
      </c>
      <c r="BY15" s="193"/>
      <c r="BZ15" s="193"/>
      <c r="CC15" s="158">
        <v>11</v>
      </c>
      <c r="CD15" s="169" t="s">
        <v>453</v>
      </c>
      <c r="CE15" s="169">
        <v>60</v>
      </c>
      <c r="CF15" s="169">
        <v>65</v>
      </c>
      <c r="CG15" s="169">
        <f>INDEX(章节关卡!$L$6:$L$35,卡牌消耗!CC15)*INDEX(节奏总表!$N$5:$N$34,卡牌消耗!CC15)*60</f>
        <v>270000</v>
      </c>
      <c r="CH15" s="169">
        <v>11</v>
      </c>
      <c r="CI15" s="169">
        <f>SUMIFS(章节关卡!$BF$5:$BF$304,章节关卡!$BB$5:$BB$304,"="&amp;卡牌消耗!CH15)</f>
        <v>45000</v>
      </c>
      <c r="CJ15" s="169">
        <v>9</v>
      </c>
      <c r="CK15" s="153">
        <f>SUMIFS(章节关卡!$BP$5:$BP$304,章节关卡!$BL$5:$BL$304,"="&amp;卡牌消耗!CJ15)</f>
        <v>72000</v>
      </c>
      <c r="CL15" s="169">
        <f>SUMIFS(章节关卡!$ED$5:$ED$94,章节关卡!$DK$5:$DK$94,"="&amp;卡牌消耗!CH15)</f>
        <v>36000</v>
      </c>
      <c r="CM15" s="169">
        <f>SUMIFS(章节关卡!$FC$5:$FC$94,章节关卡!$DK$5:$DK$94,"="&amp;CJ15)</f>
        <v>108000</v>
      </c>
      <c r="CN15" s="169">
        <f t="shared" si="16"/>
        <v>531000</v>
      </c>
      <c r="CO15" s="153">
        <v>1</v>
      </c>
      <c r="CP15" s="153">
        <f t="shared" si="17"/>
        <v>75857</v>
      </c>
      <c r="CQ15" s="169">
        <v>7</v>
      </c>
      <c r="CS15" s="171"/>
      <c r="CT15" s="171"/>
      <c r="CU15" s="171"/>
      <c r="CV15" s="169">
        <v>11</v>
      </c>
      <c r="CW15" s="169">
        <v>12</v>
      </c>
      <c r="CX15" s="21">
        <f t="shared" si="24"/>
        <v>0.1276595744680851</v>
      </c>
      <c r="CY15" s="169">
        <f t="shared" si="25"/>
        <v>865</v>
      </c>
      <c r="CZ15" s="50">
        <f>SUM(CY$5:CY15)</f>
        <v>6945</v>
      </c>
      <c r="DB15" s="188">
        <f t="shared" si="20"/>
        <v>400</v>
      </c>
      <c r="DC15" s="188">
        <f t="shared" si="0"/>
        <v>650</v>
      </c>
      <c r="DD15" s="188">
        <f t="shared" si="0"/>
        <v>850</v>
      </c>
      <c r="DE15" s="188">
        <f t="shared" si="0"/>
        <v>1000</v>
      </c>
      <c r="DF15" s="188">
        <f t="shared" si="0"/>
        <v>1250</v>
      </c>
      <c r="DI15" s="186">
        <v>11</v>
      </c>
      <c r="DJ15" s="14">
        <f t="shared" si="21"/>
        <v>3</v>
      </c>
      <c r="DK15" s="14">
        <f t="shared" si="1"/>
        <v>3</v>
      </c>
      <c r="DL15" s="14">
        <f t="shared" si="2"/>
        <v>1101003</v>
      </c>
      <c r="DM15" s="136" t="s">
        <v>1097</v>
      </c>
      <c r="DN15" s="14">
        <f t="shared" si="3"/>
        <v>1</v>
      </c>
      <c r="DO15" s="14" t="str">
        <f t="shared" si="4"/>
        <v>战斗夏铃-1星</v>
      </c>
      <c r="DP15" s="136" t="s">
        <v>1103</v>
      </c>
      <c r="DQ15" s="14">
        <f t="shared" si="22"/>
        <v>4000</v>
      </c>
      <c r="DR15" s="14" t="str">
        <f t="shared" si="5"/>
        <v>战斗夏铃碎片</v>
      </c>
      <c r="DS15" s="14">
        <f t="shared" si="23"/>
        <v>40</v>
      </c>
    </row>
    <row r="16" spans="1:123" ht="16.5" x14ac:dyDescent="0.2">
      <c r="A16" s="14">
        <v>1102004</v>
      </c>
      <c r="B16" s="14" t="s">
        <v>175</v>
      </c>
      <c r="C16" s="14">
        <v>2</v>
      </c>
      <c r="D16" s="14">
        <v>20</v>
      </c>
      <c r="E16" s="14">
        <v>2</v>
      </c>
      <c r="F16" s="101">
        <f t="shared" si="27"/>
        <v>1502004</v>
      </c>
      <c r="G16" s="15"/>
      <c r="I16" s="55">
        <v>4</v>
      </c>
      <c r="J16" s="136">
        <f>金币总表!AP9</f>
        <v>439100</v>
      </c>
      <c r="K16" s="139">
        <f t="shared" si="28"/>
        <v>14636</v>
      </c>
      <c r="L16" s="139">
        <f t="shared" si="29"/>
        <v>20491</v>
      </c>
      <c r="M16" s="139">
        <f t="shared" si="30"/>
        <v>29273</v>
      </c>
      <c r="N16" s="139">
        <f t="shared" si="31"/>
        <v>43910</v>
      </c>
      <c r="T16" s="139">
        <v>12</v>
      </c>
      <c r="U16" s="139">
        <f>ROUND(INDEX(挂机升级突破!$DJ$6:$DJ$57,卡牌消耗!$T16)*INDEX(卡牌消耗!$B$8:$F$8,卡牌消耗!U$2)/$Q$4/5,0)*5</f>
        <v>1910</v>
      </c>
      <c r="V16" s="139">
        <f>ROUND(INDEX(挂机升级突破!$DJ$6:$DJ$57,卡牌消耗!$T16)*INDEX(卡牌消耗!$B$8:$F$8,卡牌消耗!V$2)/$Q$4/5,0)*5</f>
        <v>2730</v>
      </c>
      <c r="W16" s="139">
        <f>ROUND(INDEX(挂机升级突破!$DJ$6:$DJ$57,卡牌消耗!$T16)*INDEX(卡牌消耗!$B$8:$F$8,卡牌消耗!W$2)/$Q$4/5,0)*5</f>
        <v>4095</v>
      </c>
      <c r="X16" s="139">
        <f>ROUND(INDEX(挂机升级突破!$DJ$6:$DJ$57,卡牌消耗!$T16)*INDEX(卡牌消耗!$B$8:$F$8,卡牌消耗!X$2)/$Q$4/5,0)*5</f>
        <v>5455</v>
      </c>
      <c r="Z16" s="196">
        <v>2</v>
      </c>
      <c r="AA16" s="196">
        <v>12</v>
      </c>
      <c r="AB16" s="14">
        <f>ROUND(INDEX(挂机升级突破!DT$6:DT$57,卡牌消耗!$AA16)*INDEX(卡牌消耗!$B$5:$F$5,卡牌消耗!$Z16)/卡牌消耗!$Q$4/AB$2,0)*AB$2</f>
        <v>0</v>
      </c>
      <c r="AC16" s="14">
        <f>ROUND(INDEX(挂机升级突破!DU$6:DU$57,卡牌消耗!$AA16)*INDEX(卡牌消耗!$B$5:$F$5,卡牌消耗!$Z16)/卡牌消耗!$Q$4/AC$2,0)*AC$2</f>
        <v>90</v>
      </c>
      <c r="AD16" s="14">
        <f>ROUND(INDEX(挂机升级突破!DV$6:DV$57,卡牌消耗!$AA16)*INDEX(卡牌消耗!$B$5:$F$5,卡牌消耗!$Z16)/卡牌消耗!$Q$4/AD$2,0)*AD$2</f>
        <v>0</v>
      </c>
      <c r="AE16" s="14">
        <f>ROUND(INDEX(挂机升级突破!DW$6:DW$57,卡牌消耗!$AA16)*INDEX(卡牌消耗!$B$5:$F$5,卡牌消耗!$Z16)/卡牌消耗!$Q$4/AE$2,0)*AE$2</f>
        <v>0</v>
      </c>
      <c r="AF16" s="14">
        <f>ROUND(INDEX(挂机升级突破!DX$6:DX$57,卡牌消耗!$AA16)*INDEX(卡牌消耗!$B$5:$F$5,卡牌消耗!$Z16)/卡牌消耗!$Q$4/AF$2,0)*AF$2</f>
        <v>0</v>
      </c>
      <c r="AG16" s="14">
        <f>ROUND(INDEX(挂机升级突破!EC$6:EC$57,卡牌消耗!$AA16)*INDEX(卡牌消耗!$B$7:$F$7,卡牌消耗!$Z16)/卡牌消耗!$Q$4/AG$2,0)*AG$2</f>
        <v>0</v>
      </c>
      <c r="AH16" s="14">
        <f>ROUND(INDEX(挂机升级突破!ED$6:ED$57,卡牌消耗!$AA16)*INDEX(卡牌消耗!$B$8:$F$8,卡牌消耗!$Z16)/卡牌消耗!$Q$4/AH$2,0)*AH$2</f>
        <v>1900</v>
      </c>
      <c r="AK16" s="104">
        <v>12</v>
      </c>
      <c r="AL16" s="14">
        <f t="shared" si="6"/>
        <v>1</v>
      </c>
      <c r="AM16" s="14">
        <f>INDEX(挂机升级突破!DQ$6:DQ$57,卡牌消耗!$AT16)</f>
        <v>11</v>
      </c>
      <c r="AN16" s="14">
        <f>INDEX(挂机升级突破!DR$6:DR$57,卡牌消耗!$AT16)</f>
        <v>2</v>
      </c>
      <c r="AO16" s="14">
        <f>INDEX(挂机升级突破!DS$6:DS$57,卡牌消耗!$AT16)</f>
        <v>0</v>
      </c>
      <c r="AP16" s="14">
        <f>INDEX(挂机升级突破!$DP$6:$DP$57,卡牌消耗!AT16)</f>
        <v>48</v>
      </c>
      <c r="AQ16" s="14" t="str">
        <f t="shared" si="7"/>
        <v>关羽</v>
      </c>
      <c r="AR16" s="14">
        <f t="shared" si="8"/>
        <v>5</v>
      </c>
      <c r="AS16" s="14" t="str">
        <f t="shared" si="9"/>
        <v>关羽魂火-12</v>
      </c>
      <c r="AT16" s="14">
        <f t="shared" si="10"/>
        <v>12</v>
      </c>
      <c r="AU16" s="14" t="str">
        <f>IF(AM16&gt;0,INDEX(挂机升级突破!$DT$4:$ED$4,AM16),"")</f>
        <v>金币</v>
      </c>
      <c r="AV16" s="14">
        <f>ROUND(INDEX(挂机升级突破!$DJ$6:$DJ$57,卡牌消耗!AT16)*INDEX(卡牌消耗!$B$8:$F$8,AR16)/$Q$4/50,0)*50</f>
        <v>5450</v>
      </c>
      <c r="AW16" s="14" t="str">
        <f>IF(AN16&gt;0,INDEX(挂机升级突破!$DT$4:$ED$4,AN16),"")</f>
        <v>蓝色基础材料</v>
      </c>
      <c r="AX16" s="14">
        <f>ROUND(INDEX(挂机升级突破!$DT$6:$ED$57,卡牌消耗!AT16,AN16)*INDEX(卡牌消耗!$B$5:$F$5,AR16)/$Q$4/5,0)*5</f>
        <v>175</v>
      </c>
      <c r="AY16" s="14" t="str">
        <f>IF(AO16&gt;0,INDEX(挂机升级突破!$DT$4:$ED$4,AO16),"")</f>
        <v/>
      </c>
      <c r="AZ16" s="14" t="str">
        <f>IF(AO16&gt;0,ROUND(INDEX(挂机升级突破!$DT$6:$ED$57,卡牌消耗!AT16,AO16)*INDEX(卡牌消耗!$B$7:$F$7,AR16)/$Q$4,0),"")</f>
        <v/>
      </c>
      <c r="BC16" s="196">
        <v>2</v>
      </c>
      <c r="BD16" s="196">
        <v>12</v>
      </c>
      <c r="BE16" s="14">
        <f>ROUND(INDEX(挂机升级突破!ER$7:ER$26,卡牌消耗!$BD16)*INDEX(卡牌消耗!$B$6:$F$6,$BC16)/$Q$4,0)</f>
        <v>0</v>
      </c>
      <c r="BF16" s="14">
        <f>ROUND(INDEX(挂机升级突破!ES$7:ES$26,卡牌消耗!$BD16)*INDEX(卡牌消耗!$B$6:$F$6,$BC16)/$Q$4,0)</f>
        <v>95</v>
      </c>
      <c r="BG16" s="14">
        <f>ROUND(INDEX(挂机升级突破!ET$7:ET$26,卡牌消耗!$BD16)*INDEX(卡牌消耗!$B$6:$F$6,$BC16)/$Q$4,0)</f>
        <v>0</v>
      </c>
      <c r="BH16" s="14">
        <f>ROUND(INDEX(挂机升级突破!EU$7:EU$26,卡牌消耗!$BD16)*INDEX(卡牌消耗!$B$6:$F$6,$BC16)/$Q$4,0)</f>
        <v>0</v>
      </c>
      <c r="BI16" s="14">
        <f>ROUND(INDEX(挂机升级突破!$EV$7:$EV$26,卡牌消耗!BD16)*INDEX(卡牌消耗!$B$8:$F$8,$BC16)/$Q$4/BI$2,0)*BI$2</f>
        <v>17500</v>
      </c>
      <c r="BL16" s="104">
        <v>12</v>
      </c>
      <c r="BM16" s="14">
        <f t="shared" si="11"/>
        <v>1</v>
      </c>
      <c r="BN16" s="14">
        <f>INDEX(挂机升级突破!$EI$7:$EI$26,BS16)</f>
        <v>5</v>
      </c>
      <c r="BO16" s="14">
        <f>INDEX(挂机升级突破!$EJ$7:$EJ$26,BS16)</f>
        <v>2</v>
      </c>
      <c r="BP16" s="14">
        <f t="shared" si="12"/>
        <v>5</v>
      </c>
      <c r="BQ16" s="14">
        <f>INDEX(挂机升级突破!$EH$7:$EH$26,卡牌消耗!BS16)</f>
        <v>80</v>
      </c>
      <c r="BR16" s="14" t="str">
        <f t="shared" si="13"/>
        <v>关羽</v>
      </c>
      <c r="BS16" s="14">
        <f t="shared" si="14"/>
        <v>12</v>
      </c>
      <c r="BT16" s="14" t="str">
        <f t="shared" si="15"/>
        <v>关羽12突</v>
      </c>
      <c r="BU16" s="14" t="str">
        <f>IF(BN16&gt;0,INDEX(挂机升级突破!$ER$5:$EV$5,卡牌消耗!BN16),"")</f>
        <v>金币</v>
      </c>
      <c r="BV16" s="14">
        <f>IF(BN16&gt;0,ROUND(INDEX(挂机升级突破!$EV$7:$EV$26,卡牌消耗!BS16)*INDEX(卡牌消耗!$B$8:$F$8,BP16)/$Q$4/500,0)*500,"")</f>
        <v>50000</v>
      </c>
      <c r="BW16" s="14" t="str">
        <f>IF(BO16&gt;0,INDEX(挂机升级突破!$ER$5:$EV$5,卡牌消耗!BO16),"")</f>
        <v>乌金</v>
      </c>
      <c r="BX16" s="14">
        <f>IF(BO16&gt;0,ROUND(INDEX(挂机升级突破!$ER$7:$EU$26,卡牌消耗!BS16,卡牌消耗!BO16)*INDEX($B$6:$F$6,BP16)/$Q$4/5,0)*5,"")</f>
        <v>180</v>
      </c>
      <c r="BY16" s="193"/>
      <c r="BZ16" s="193"/>
      <c r="CC16" s="158">
        <v>12</v>
      </c>
      <c r="CD16" s="169" t="s">
        <v>454</v>
      </c>
      <c r="CE16" s="169">
        <v>65</v>
      </c>
      <c r="CF16" s="169">
        <v>70</v>
      </c>
      <c r="CG16" s="169">
        <f>INDEX(章节关卡!$L$6:$L$35,卡牌消耗!CC16)*INDEX(节奏总表!$N$5:$N$34,卡牌消耗!CC16)*60</f>
        <v>336600</v>
      </c>
      <c r="CH16" s="169">
        <v>12</v>
      </c>
      <c r="CI16" s="169">
        <f>SUMIFS(章节关卡!$BF$5:$BF$304,章节关卡!$BB$5:$BB$304,"="&amp;卡牌消耗!CH16)</f>
        <v>49500</v>
      </c>
      <c r="CJ16" s="169">
        <v>10</v>
      </c>
      <c r="CK16" s="153">
        <f>SUMIFS(章节关卡!$BP$5:$BP$304,章节关卡!$BL$5:$BL$304,"="&amp;卡牌消耗!CJ16)</f>
        <v>81000</v>
      </c>
      <c r="CL16" s="169">
        <f>SUMIFS(章节关卡!$ED$5:$ED$94,章节关卡!$DK$5:$DK$94,"="&amp;卡牌消耗!CH16)</f>
        <v>39600</v>
      </c>
      <c r="CM16" s="169">
        <f>SUMIFS(章节关卡!$FC$5:$FC$94,章节关卡!$DK$5:$DK$94,"="&amp;CJ16)</f>
        <v>118800</v>
      </c>
      <c r="CN16" s="169">
        <f t="shared" si="16"/>
        <v>625500</v>
      </c>
      <c r="CO16" s="153">
        <v>1</v>
      </c>
      <c r="CP16" s="153">
        <f t="shared" si="17"/>
        <v>83400</v>
      </c>
      <c r="CQ16" s="169">
        <v>7.5</v>
      </c>
      <c r="CS16" s="171"/>
      <c r="CT16" s="171"/>
      <c r="CU16" s="171"/>
      <c r="CV16" s="169">
        <v>12</v>
      </c>
      <c r="CW16" s="169">
        <v>12.5</v>
      </c>
      <c r="CX16" s="21">
        <f t="shared" si="24"/>
        <v>0.13297872340425532</v>
      </c>
      <c r="CY16" s="169">
        <f t="shared" si="25"/>
        <v>900</v>
      </c>
      <c r="CZ16" s="50">
        <f>SUM(CY$5:CY16)</f>
        <v>7845</v>
      </c>
      <c r="DB16" s="188">
        <f t="shared" si="20"/>
        <v>450</v>
      </c>
      <c r="DC16" s="188">
        <f t="shared" si="0"/>
        <v>700</v>
      </c>
      <c r="DD16" s="188">
        <f t="shared" si="0"/>
        <v>900</v>
      </c>
      <c r="DE16" s="188">
        <f t="shared" si="0"/>
        <v>1050</v>
      </c>
      <c r="DF16" s="188">
        <f t="shared" si="0"/>
        <v>1350</v>
      </c>
      <c r="DI16" s="186">
        <v>12</v>
      </c>
      <c r="DJ16" s="14">
        <f t="shared" si="21"/>
        <v>3</v>
      </c>
      <c r="DK16" s="14">
        <f t="shared" si="1"/>
        <v>3</v>
      </c>
      <c r="DL16" s="14">
        <f t="shared" si="2"/>
        <v>1101003</v>
      </c>
      <c r="DM16" s="136" t="s">
        <v>1097</v>
      </c>
      <c r="DN16" s="14">
        <f t="shared" si="3"/>
        <v>2</v>
      </c>
      <c r="DO16" s="14" t="str">
        <f t="shared" si="4"/>
        <v>战斗夏铃-2星</v>
      </c>
      <c r="DP16" s="136" t="s">
        <v>1103</v>
      </c>
      <c r="DQ16" s="14">
        <f t="shared" si="22"/>
        <v>5000</v>
      </c>
      <c r="DR16" s="14" t="str">
        <f t="shared" si="5"/>
        <v>战斗夏铃碎片</v>
      </c>
      <c r="DS16" s="14">
        <f t="shared" si="23"/>
        <v>40</v>
      </c>
    </row>
    <row r="17" spans="1:123" ht="16.5" x14ac:dyDescent="0.2">
      <c r="A17" s="14">
        <v>1102005</v>
      </c>
      <c r="B17" s="14" t="s">
        <v>176</v>
      </c>
      <c r="C17" s="14">
        <v>3</v>
      </c>
      <c r="D17" s="14">
        <v>40</v>
      </c>
      <c r="E17" s="14">
        <v>3</v>
      </c>
      <c r="F17" s="101">
        <f t="shared" si="27"/>
        <v>1502005</v>
      </c>
      <c r="G17" s="15"/>
      <c r="I17" s="55">
        <v>5</v>
      </c>
      <c r="J17" s="136">
        <f>金币总表!AP10</f>
        <v>777742.5</v>
      </c>
      <c r="K17" s="139">
        <f t="shared" si="28"/>
        <v>25924</v>
      </c>
      <c r="L17" s="139">
        <f t="shared" si="29"/>
        <v>36294</v>
      </c>
      <c r="M17" s="139">
        <f t="shared" si="30"/>
        <v>51849</v>
      </c>
      <c r="N17" s="139">
        <f t="shared" si="31"/>
        <v>77774</v>
      </c>
      <c r="T17" s="139">
        <v>13</v>
      </c>
      <c r="U17" s="139">
        <f>ROUND(INDEX(挂机升级突破!$DJ$6:$DJ$57,卡牌消耗!$T17)*INDEX(卡牌消耗!$B$8:$F$8,卡牌消耗!U$2)/$Q$4/5,0)*5</f>
        <v>1910</v>
      </c>
      <c r="V17" s="139">
        <f>ROUND(INDEX(挂机升级突破!$DJ$6:$DJ$57,卡牌消耗!$T17)*INDEX(卡牌消耗!$B$8:$F$8,卡牌消耗!V$2)/$Q$4/5,0)*5</f>
        <v>2730</v>
      </c>
      <c r="W17" s="139">
        <f>ROUND(INDEX(挂机升级突破!$DJ$6:$DJ$57,卡牌消耗!$T17)*INDEX(卡牌消耗!$B$8:$F$8,卡牌消耗!W$2)/$Q$4/5,0)*5</f>
        <v>4095</v>
      </c>
      <c r="X17" s="139">
        <f>ROUND(INDEX(挂机升级突破!$DJ$6:$DJ$57,卡牌消耗!$T17)*INDEX(卡牌消耗!$B$8:$F$8,卡牌消耗!X$2)/$Q$4/5,0)*5</f>
        <v>5455</v>
      </c>
      <c r="Z17" s="196">
        <v>2</v>
      </c>
      <c r="AA17" s="196">
        <v>13</v>
      </c>
      <c r="AB17" s="14">
        <f>ROUND(INDEX(挂机升级突破!DT$6:DT$57,卡牌消耗!$AA17)*INDEX(卡牌消耗!$B$5:$F$5,卡牌消耗!$Z17)/卡牌消耗!$Q$4/AB$2,0)*AB$2</f>
        <v>0</v>
      </c>
      <c r="AC17" s="14">
        <f>ROUND(INDEX(挂机升级突破!DU$6:DU$57,卡牌消耗!$AA17)*INDEX(卡牌消耗!$B$5:$F$5,卡牌消耗!$Z17)/卡牌消耗!$Q$4/AC$2,0)*AC$2</f>
        <v>90</v>
      </c>
      <c r="AD17" s="14">
        <f>ROUND(INDEX(挂机升级突破!DV$6:DV$57,卡牌消耗!$AA17)*INDEX(卡牌消耗!$B$5:$F$5,卡牌消耗!$Z17)/卡牌消耗!$Q$4/AD$2,0)*AD$2</f>
        <v>0</v>
      </c>
      <c r="AE17" s="14">
        <f>ROUND(INDEX(挂机升级突破!DW$6:DW$57,卡牌消耗!$AA17)*INDEX(卡牌消耗!$B$5:$F$5,卡牌消耗!$Z17)/卡牌消耗!$Q$4/AE$2,0)*AE$2</f>
        <v>0</v>
      </c>
      <c r="AF17" s="14">
        <f>ROUND(INDEX(挂机升级突破!DX$6:DX$57,卡牌消耗!$AA17)*INDEX(卡牌消耗!$B$5:$F$5,卡牌消耗!$Z17)/卡牌消耗!$Q$4/AF$2,0)*AF$2</f>
        <v>0</v>
      </c>
      <c r="AG17" s="14">
        <f>ROUND(INDEX(挂机升级突破!EC$6:EC$57,卡牌消耗!$AA17)*INDEX(卡牌消耗!$B$7:$F$7,卡牌消耗!$Z17)/卡牌消耗!$Q$4/AG$2,0)*AG$2</f>
        <v>0</v>
      </c>
      <c r="AH17" s="14">
        <f>ROUND(INDEX(挂机升级突破!ED$6:ED$57,卡牌消耗!$AA17)*INDEX(卡牌消耗!$B$8:$F$8,卡牌消耗!$Z17)/卡牌消耗!$Q$4/AH$2,0)*AH$2</f>
        <v>1900</v>
      </c>
      <c r="AK17" s="104">
        <v>13</v>
      </c>
      <c r="AL17" s="14">
        <f t="shared" si="6"/>
        <v>1</v>
      </c>
      <c r="AM17" s="14">
        <f>INDEX(挂机升级突破!DQ$6:DQ$57,卡牌消耗!$AT17)</f>
        <v>11</v>
      </c>
      <c r="AN17" s="14">
        <f>INDEX(挂机升级突破!DR$6:DR$57,卡牌消耗!$AT17)</f>
        <v>2</v>
      </c>
      <c r="AO17" s="14">
        <f>INDEX(挂机升级突破!DS$6:DS$57,卡牌消耗!$AT17)</f>
        <v>0</v>
      </c>
      <c r="AP17" s="14">
        <f>INDEX(挂机升级突破!$DP$6:$DP$57,卡牌消耗!AT17)</f>
        <v>50</v>
      </c>
      <c r="AQ17" s="14" t="str">
        <f t="shared" si="7"/>
        <v>关羽</v>
      </c>
      <c r="AR17" s="14">
        <f t="shared" si="8"/>
        <v>5</v>
      </c>
      <c r="AS17" s="14" t="str">
        <f t="shared" si="9"/>
        <v>关羽魂火-13</v>
      </c>
      <c r="AT17" s="14">
        <f t="shared" si="10"/>
        <v>13</v>
      </c>
      <c r="AU17" s="14" t="str">
        <f>IF(AM17&gt;0,INDEX(挂机升级突破!$DT$4:$ED$4,AM17),"")</f>
        <v>金币</v>
      </c>
      <c r="AV17" s="14">
        <f>ROUND(INDEX(挂机升级突破!$DJ$6:$DJ$57,卡牌消耗!AT17)*INDEX(卡牌消耗!$B$8:$F$8,AR17)/$Q$4/50,0)*50</f>
        <v>5450</v>
      </c>
      <c r="AW17" s="14" t="str">
        <f>IF(AN17&gt;0,INDEX(挂机升级突破!$DT$4:$ED$4,AN17),"")</f>
        <v>蓝色基础材料</v>
      </c>
      <c r="AX17" s="14">
        <f>ROUND(INDEX(挂机升级突破!$DT$6:$ED$57,卡牌消耗!AT17,AN17)*INDEX(卡牌消耗!$B$5:$F$5,AR17)/$Q$4/5,0)*5</f>
        <v>175</v>
      </c>
      <c r="AY17" s="14" t="str">
        <f>IF(AO17&gt;0,INDEX(挂机升级突破!$DT$4:$ED$4,AO17),"")</f>
        <v/>
      </c>
      <c r="AZ17" s="14" t="str">
        <f>IF(AO17&gt;0,ROUND(INDEX(挂机升级突破!$DT$6:$ED$57,卡牌消耗!AT17,AO17)*INDEX(卡牌消耗!$B$7:$F$7,AR17)/$Q$4,0),"")</f>
        <v/>
      </c>
      <c r="BC17" s="196">
        <v>2</v>
      </c>
      <c r="BD17" s="196">
        <v>13</v>
      </c>
      <c r="BE17" s="14">
        <f>ROUND(INDEX(挂机升级突破!ER$7:ER$26,卡牌消耗!$BD17)*INDEX(卡牌消耗!$B$6:$F$6,$BC17)/$Q$4,0)</f>
        <v>0</v>
      </c>
      <c r="BF17" s="14">
        <f>ROUND(INDEX(挂机升级突破!ES$7:ES$26,卡牌消耗!$BD17)*INDEX(卡牌消耗!$B$6:$F$6,$BC17)/$Q$4,0)</f>
        <v>0</v>
      </c>
      <c r="BG17" s="14">
        <f>ROUND(INDEX(挂机升级突破!ET$7:ET$26,卡牌消耗!$BD17)*INDEX(卡牌消耗!$B$6:$F$6,$BC17)/$Q$4,0)</f>
        <v>31</v>
      </c>
      <c r="BH17" s="14">
        <f>ROUND(INDEX(挂机升级突破!EU$7:EU$26,卡牌消耗!$BD17)*INDEX(卡牌消耗!$B$6:$F$6,$BC17)/$Q$4,0)</f>
        <v>0</v>
      </c>
      <c r="BI17" s="14">
        <f>ROUND(INDEX(挂机升级突破!$EV$7:$EV$26,卡牌消耗!BD17)*INDEX(卡牌消耗!$B$8:$F$8,$BC17)/$Q$4/BI$2,0)*BI$2</f>
        <v>23500</v>
      </c>
      <c r="BL17" s="104">
        <v>13</v>
      </c>
      <c r="BM17" s="14">
        <f t="shared" si="11"/>
        <v>1</v>
      </c>
      <c r="BN17" s="14">
        <f>INDEX(挂机升级突破!$EI$7:$EI$26,BS17)</f>
        <v>5</v>
      </c>
      <c r="BO17" s="14">
        <f>INDEX(挂机升级突破!$EJ$7:$EJ$26,BS17)</f>
        <v>3</v>
      </c>
      <c r="BP17" s="14">
        <f t="shared" si="12"/>
        <v>5</v>
      </c>
      <c r="BQ17" s="14">
        <f>INDEX(挂机升级突破!$EH$7:$EH$26,卡牌消耗!BS17)</f>
        <v>87</v>
      </c>
      <c r="BR17" s="14" t="str">
        <f t="shared" si="13"/>
        <v>关羽</v>
      </c>
      <c r="BS17" s="14">
        <f t="shared" si="14"/>
        <v>13</v>
      </c>
      <c r="BT17" s="14" t="str">
        <f t="shared" si="15"/>
        <v>关羽13突</v>
      </c>
      <c r="BU17" s="14" t="str">
        <f>IF(BN17&gt;0,INDEX(挂机升级突破!$ER$5:$EV$5,卡牌消耗!BN17),"")</f>
        <v>金币</v>
      </c>
      <c r="BV17" s="14">
        <f>IF(BN17&gt;0,ROUND(INDEX(挂机升级突破!$EV$7:$EV$26,卡牌消耗!BS17)*INDEX(卡牌消耗!$B$8:$F$8,BP17)/$Q$4/500,0)*500,"")</f>
        <v>66500</v>
      </c>
      <c r="BW17" s="14" t="str">
        <f>IF(BO17&gt;0,INDEX(挂机升级突破!$ER$5:$EV$5,卡牌消耗!BO17),"")</f>
        <v>银母</v>
      </c>
      <c r="BX17" s="14">
        <f>IF(BO17&gt;0,ROUND(INDEX(挂机升级突破!$ER$7:$EU$26,卡牌消耗!BS17,卡牌消耗!BO17)*INDEX($B$6:$F$6,BP17)/$Q$4/5,0)*5,"")</f>
        <v>55</v>
      </c>
      <c r="BY17" s="193"/>
      <c r="BZ17" s="193"/>
      <c r="CC17" s="158">
        <v>13</v>
      </c>
      <c r="CD17" s="169" t="s">
        <v>455</v>
      </c>
      <c r="CE17" s="169">
        <v>70</v>
      </c>
      <c r="CF17" s="169">
        <v>75</v>
      </c>
      <c r="CG17" s="169">
        <f>INDEX(章节关卡!$L$6:$L$35,卡牌消耗!CC17)*INDEX(节奏总表!$N$5:$N$34,卡牌消耗!CC17)*60</f>
        <v>487500</v>
      </c>
      <c r="CH17" s="169">
        <v>13</v>
      </c>
      <c r="CI17" s="169">
        <f>SUMIFS(章节关卡!$BF$5:$BF$304,章节关卡!$BB$5:$BB$304,"="&amp;卡牌消耗!CH17)</f>
        <v>56250</v>
      </c>
      <c r="CJ17" s="169">
        <v>11</v>
      </c>
      <c r="CK17" s="153">
        <f>SUMIFS(章节关卡!$BP$5:$BP$304,章节关卡!$BL$5:$BL$304,"="&amp;卡牌消耗!CJ17)</f>
        <v>90000</v>
      </c>
      <c r="CL17" s="169">
        <f>SUMIFS(章节关卡!$ED$5:$ED$94,章节关卡!$DK$5:$DK$94,"="&amp;卡牌消耗!CH17)</f>
        <v>45000</v>
      </c>
      <c r="CM17" s="169">
        <f>SUMIFS(章节关卡!$FC$5:$FC$94,章节关卡!$DK$5:$DK$94,"="&amp;CJ17)</f>
        <v>135000</v>
      </c>
      <c r="CN17" s="169">
        <f t="shared" si="16"/>
        <v>813750</v>
      </c>
      <c r="CO17" s="153">
        <v>1</v>
      </c>
      <c r="CP17" s="153">
        <f t="shared" si="17"/>
        <v>101718</v>
      </c>
      <c r="CQ17" s="169">
        <v>8</v>
      </c>
      <c r="CS17" s="171"/>
      <c r="CT17" s="171"/>
      <c r="CU17" s="171"/>
      <c r="CV17" s="169">
        <v>13</v>
      </c>
      <c r="CW17" s="169">
        <v>13</v>
      </c>
      <c r="CX17" s="21">
        <f t="shared" si="24"/>
        <v>0.13829787234042554</v>
      </c>
      <c r="CY17" s="169">
        <f t="shared" si="25"/>
        <v>935</v>
      </c>
      <c r="CZ17" s="50">
        <f>SUM(CY$5:CY17)</f>
        <v>8780</v>
      </c>
      <c r="DB17" s="188">
        <f t="shared" si="20"/>
        <v>450</v>
      </c>
      <c r="DC17" s="188">
        <f t="shared" si="0"/>
        <v>700</v>
      </c>
      <c r="DD17" s="188">
        <f t="shared" si="0"/>
        <v>900</v>
      </c>
      <c r="DE17" s="188">
        <f t="shared" si="0"/>
        <v>1100</v>
      </c>
      <c r="DF17" s="188">
        <f t="shared" si="0"/>
        <v>1400</v>
      </c>
      <c r="DI17" s="186">
        <v>13</v>
      </c>
      <c r="DJ17" s="14">
        <f t="shared" si="21"/>
        <v>3</v>
      </c>
      <c r="DK17" s="14">
        <f t="shared" si="1"/>
        <v>3</v>
      </c>
      <c r="DL17" s="14">
        <f t="shared" si="2"/>
        <v>1101003</v>
      </c>
      <c r="DM17" s="136" t="s">
        <v>1097</v>
      </c>
      <c r="DN17" s="14">
        <f t="shared" si="3"/>
        <v>3</v>
      </c>
      <c r="DO17" s="14" t="str">
        <f t="shared" si="4"/>
        <v>战斗夏铃-3星</v>
      </c>
      <c r="DP17" s="136" t="s">
        <v>1103</v>
      </c>
      <c r="DQ17" s="14">
        <f t="shared" si="22"/>
        <v>10000</v>
      </c>
      <c r="DR17" s="14" t="str">
        <f t="shared" si="5"/>
        <v>战斗夏铃碎片</v>
      </c>
      <c r="DS17" s="14">
        <f t="shared" si="23"/>
        <v>40</v>
      </c>
    </row>
    <row r="18" spans="1:123" ht="18.75" customHeight="1" x14ac:dyDescent="0.2">
      <c r="A18" s="14">
        <v>1102006</v>
      </c>
      <c r="B18" s="14" t="s">
        <v>177</v>
      </c>
      <c r="C18" s="14">
        <v>5</v>
      </c>
      <c r="D18" s="14">
        <v>80</v>
      </c>
      <c r="E18" s="14">
        <v>2</v>
      </c>
      <c r="F18" s="101">
        <f t="shared" si="27"/>
        <v>1502006</v>
      </c>
      <c r="G18" s="15"/>
      <c r="T18" s="139">
        <v>14</v>
      </c>
      <c r="U18" s="139">
        <f>ROUND(INDEX(挂机升级突破!$DJ$6:$DJ$57,卡牌消耗!$T18)*INDEX(卡牌消耗!$B$8:$F$8,卡牌消耗!U$2)/$Q$4/5,0)*5</f>
        <v>2100</v>
      </c>
      <c r="V18" s="139">
        <f>ROUND(INDEX(挂机升级突破!$DJ$6:$DJ$57,卡牌消耗!$T18)*INDEX(卡牌消耗!$B$8:$F$8,卡牌消耗!V$2)/$Q$4/5,0)*5</f>
        <v>3000</v>
      </c>
      <c r="W18" s="139">
        <f>ROUND(INDEX(挂机升级突破!$DJ$6:$DJ$57,卡牌消耗!$T18)*INDEX(卡牌消耗!$B$8:$F$8,卡牌消耗!W$2)/$Q$4/5,0)*5</f>
        <v>4500</v>
      </c>
      <c r="X18" s="139">
        <f>ROUND(INDEX(挂机升级突破!$DJ$6:$DJ$57,卡牌消耗!$T18)*INDEX(卡牌消耗!$B$8:$F$8,卡牌消耗!X$2)/$Q$4/5,0)*5</f>
        <v>6000</v>
      </c>
      <c r="Z18" s="196">
        <v>2</v>
      </c>
      <c r="AA18" s="196">
        <v>14</v>
      </c>
      <c r="AB18" s="14">
        <f>ROUND(INDEX(挂机升级突破!DT$6:DT$57,卡牌消耗!$AA18)*INDEX(卡牌消耗!$B$5:$F$5,卡牌消耗!$Z18)/卡牌消耗!$Q$4/AB$2,0)*AB$2</f>
        <v>0</v>
      </c>
      <c r="AC18" s="14">
        <f>ROUND(INDEX(挂机升级突破!DU$6:DU$57,卡牌消耗!$AA18)*INDEX(卡牌消耗!$B$5:$F$5,卡牌消耗!$Z18)/卡牌消耗!$Q$4/AC$2,0)*AC$2</f>
        <v>0</v>
      </c>
      <c r="AD18" s="14">
        <f>ROUND(INDEX(挂机升级突破!DV$6:DV$57,卡牌消耗!$AA18)*INDEX(卡牌消耗!$B$5:$F$5,卡牌消耗!$Z18)/卡牌消耗!$Q$4/AD$2,0)*AD$2</f>
        <v>20</v>
      </c>
      <c r="AE18" s="14">
        <f>ROUND(INDEX(挂机升级突破!DW$6:DW$57,卡牌消耗!$AA18)*INDEX(卡牌消耗!$B$5:$F$5,卡牌消耗!$Z18)/卡牌消耗!$Q$4/AE$2,0)*AE$2</f>
        <v>0</v>
      </c>
      <c r="AF18" s="14">
        <f>ROUND(INDEX(挂机升级突破!DX$6:DX$57,卡牌消耗!$AA18)*INDEX(卡牌消耗!$B$5:$F$5,卡牌消耗!$Z18)/卡牌消耗!$Q$4/AF$2,0)*AF$2</f>
        <v>0</v>
      </c>
      <c r="AG18" s="14">
        <f>ROUND(INDEX(挂机升级突破!EC$6:EC$57,卡牌消耗!$AA18)*INDEX(卡牌消耗!$B$7:$F$7,卡牌消耗!$Z18)/卡牌消耗!$Q$4/AG$2,0)*AG$2</f>
        <v>0</v>
      </c>
      <c r="AH18" s="14">
        <f>ROUND(INDEX(挂机升级突破!ED$6:ED$57,卡牌消耗!$AA18)*INDEX(卡牌消耗!$B$8:$F$8,卡牌消耗!$Z18)/卡牌消耗!$Q$4/AH$2,0)*AH$2</f>
        <v>2100</v>
      </c>
      <c r="AK18" s="104">
        <v>14</v>
      </c>
      <c r="AL18" s="14">
        <f t="shared" si="6"/>
        <v>1</v>
      </c>
      <c r="AM18" s="14">
        <f>INDEX(挂机升级突破!DQ$6:DQ$57,卡牌消耗!$AT18)</f>
        <v>11</v>
      </c>
      <c r="AN18" s="14">
        <f>INDEX(挂机升级突破!DR$6:DR$57,卡牌消耗!$AT18)</f>
        <v>3</v>
      </c>
      <c r="AO18" s="14">
        <f>INDEX(挂机升级突破!DS$6:DS$57,卡牌消耗!$AT18)</f>
        <v>0</v>
      </c>
      <c r="AP18" s="14">
        <f>INDEX(挂机升级突破!$DP$6:$DP$57,卡牌消耗!AT18)</f>
        <v>53</v>
      </c>
      <c r="AQ18" s="14" t="str">
        <f t="shared" si="7"/>
        <v>关羽</v>
      </c>
      <c r="AR18" s="14">
        <f t="shared" si="8"/>
        <v>5</v>
      </c>
      <c r="AS18" s="14" t="str">
        <f t="shared" si="9"/>
        <v>关羽魂火-14</v>
      </c>
      <c r="AT18" s="14">
        <f t="shared" si="10"/>
        <v>14</v>
      </c>
      <c r="AU18" s="14" t="str">
        <f>IF(AM18&gt;0,INDEX(挂机升级突破!$DT$4:$ED$4,AM18),"")</f>
        <v>金币</v>
      </c>
      <c r="AV18" s="14">
        <f>ROUND(INDEX(挂机升级突破!$DJ$6:$DJ$57,卡牌消耗!AT18)*INDEX(卡牌消耗!$B$8:$F$8,AR18)/$Q$4/50,0)*50</f>
        <v>6000</v>
      </c>
      <c r="AW18" s="14" t="str">
        <f>IF(AN18&gt;0,INDEX(挂机升级突破!$DT$4:$ED$4,AN18),"")</f>
        <v>紫色基础材料</v>
      </c>
      <c r="AX18" s="14">
        <f>ROUND(INDEX(挂机升级突破!$DT$6:$ED$57,卡牌消耗!AT18,AN18)*INDEX(卡牌消耗!$B$5:$F$5,AR18)/$Q$4/5,0)*5</f>
        <v>35</v>
      </c>
      <c r="AY18" s="14" t="str">
        <f>IF(AO18&gt;0,INDEX(挂机升级突破!$DT$4:$ED$4,AO18),"")</f>
        <v/>
      </c>
      <c r="AZ18" s="14" t="str">
        <f>IF(AO18&gt;0,ROUND(INDEX(挂机升级突破!$DT$6:$ED$57,卡牌消耗!AT18,AO18)*INDEX(卡牌消耗!$B$7:$F$7,AR18)/$Q$4,0),"")</f>
        <v/>
      </c>
      <c r="BC18" s="196">
        <v>2</v>
      </c>
      <c r="BD18" s="196">
        <v>14</v>
      </c>
      <c r="BE18" s="14">
        <f>ROUND(INDEX(挂机升级突破!ER$7:ER$26,卡牌消耗!$BD18)*INDEX(卡牌消耗!$B$6:$F$6,$BC18)/$Q$4,0)</f>
        <v>0</v>
      </c>
      <c r="BF18" s="14">
        <f>ROUND(INDEX(挂机升级突破!ES$7:ES$26,卡牌消耗!$BD18)*INDEX(卡牌消耗!$B$6:$F$6,$BC18)/$Q$4,0)</f>
        <v>0</v>
      </c>
      <c r="BG18" s="14">
        <f>ROUND(INDEX(挂机升级突破!ET$7:ET$26,卡牌消耗!$BD18)*INDEX(卡牌消耗!$B$6:$F$6,$BC18)/$Q$4,0)</f>
        <v>43</v>
      </c>
      <c r="BH18" s="14">
        <f>ROUND(INDEX(挂机升级突破!EU$7:EU$26,卡牌消耗!$BD18)*INDEX(卡牌消耗!$B$6:$F$6,$BC18)/$Q$4,0)</f>
        <v>0</v>
      </c>
      <c r="BI18" s="14">
        <f>ROUND(INDEX(挂机升级突破!$EV$7:$EV$26,卡牌消耗!BD18)*INDEX(卡牌消耗!$B$8:$F$8,$BC18)/$Q$4/BI$2,0)*BI$2</f>
        <v>23500</v>
      </c>
      <c r="BL18" s="104">
        <v>14</v>
      </c>
      <c r="BM18" s="14">
        <f t="shared" si="11"/>
        <v>1</v>
      </c>
      <c r="BN18" s="14">
        <f>INDEX(挂机升级突破!$EI$7:$EI$26,BS18)</f>
        <v>5</v>
      </c>
      <c r="BO18" s="14">
        <f>INDEX(挂机升级突破!$EJ$7:$EJ$26,BS18)</f>
        <v>3</v>
      </c>
      <c r="BP18" s="14">
        <f t="shared" si="12"/>
        <v>5</v>
      </c>
      <c r="BQ18" s="14">
        <f>INDEX(挂机升级突破!$EH$7:$EH$26,卡牌消耗!BS18)</f>
        <v>95</v>
      </c>
      <c r="BR18" s="14" t="str">
        <f t="shared" si="13"/>
        <v>关羽</v>
      </c>
      <c r="BS18" s="14">
        <f t="shared" si="14"/>
        <v>14</v>
      </c>
      <c r="BT18" s="14" t="str">
        <f t="shared" si="15"/>
        <v>关羽14突</v>
      </c>
      <c r="BU18" s="14" t="str">
        <f>IF(BN18&gt;0,INDEX(挂机升级突破!$ER$5:$EV$5,卡牌消耗!BN18),"")</f>
        <v>金币</v>
      </c>
      <c r="BV18" s="14">
        <f>IF(BN18&gt;0,ROUND(INDEX(挂机升级突破!$EV$7:$EV$26,卡牌消耗!BS18)*INDEX(卡牌消耗!$B$8:$F$8,BP18)/$Q$4/500,0)*500,"")</f>
        <v>66500</v>
      </c>
      <c r="BW18" s="14" t="str">
        <f>IF(BO18&gt;0,INDEX(挂机升级突破!$ER$5:$EV$5,卡牌消耗!BO18),"")</f>
        <v>银母</v>
      </c>
      <c r="BX18" s="14">
        <f>IF(BO18&gt;0,ROUND(INDEX(挂机升级突破!$ER$7:$EU$26,卡牌消耗!BS18,卡牌消耗!BO18)*INDEX($B$6:$F$6,BP18)/$Q$4/5,0)*5,"")</f>
        <v>80</v>
      </c>
      <c r="BY18" s="193"/>
      <c r="BZ18" s="193"/>
      <c r="CC18" s="158">
        <v>14</v>
      </c>
      <c r="CD18" s="169" t="s">
        <v>456</v>
      </c>
      <c r="CE18" s="169">
        <v>75</v>
      </c>
      <c r="CF18" s="169">
        <v>80</v>
      </c>
      <c r="CG18" s="169">
        <f>INDEX(章节关卡!$L$6:$L$35,卡牌消耗!CC18)*INDEX(节奏总表!$N$5:$N$34,卡牌消耗!CC18)*60</f>
        <v>615600</v>
      </c>
      <c r="CH18" s="169">
        <v>14</v>
      </c>
      <c r="CI18" s="169">
        <f>SUMIFS(章节关卡!$BF$5:$BF$304,章节关卡!$BB$5:$BB$304,"="&amp;卡牌消耗!CH18)</f>
        <v>60750</v>
      </c>
      <c r="CJ18" s="169">
        <v>12</v>
      </c>
      <c r="CK18" s="153">
        <f>SUMIFS(章节关卡!$BP$5:$BP$304,章节关卡!$BL$5:$BL$304,"="&amp;卡牌消耗!CJ18)</f>
        <v>99000</v>
      </c>
      <c r="CL18" s="169">
        <f>SUMIFS(章节关卡!$ED$5:$ED$94,章节关卡!$DK$5:$DK$94,"="&amp;卡牌消耗!CH18)</f>
        <v>48600</v>
      </c>
      <c r="CM18" s="169">
        <f>SUMIFS(章节关卡!$FC$5:$FC$94,章节关卡!$DK$5:$DK$94,"="&amp;CJ18)</f>
        <v>145800</v>
      </c>
      <c r="CN18" s="169">
        <f t="shared" si="16"/>
        <v>969750</v>
      </c>
      <c r="CO18" s="153">
        <v>1</v>
      </c>
      <c r="CP18" s="153">
        <f t="shared" si="17"/>
        <v>114088</v>
      </c>
      <c r="CQ18" s="169">
        <v>8.5</v>
      </c>
      <c r="CS18" s="171"/>
      <c r="CT18" s="171"/>
      <c r="CU18" s="171"/>
      <c r="CV18" s="169">
        <v>14</v>
      </c>
      <c r="CW18" s="169">
        <v>13.5</v>
      </c>
      <c r="CX18" s="21">
        <f t="shared" si="24"/>
        <v>0.14361702127659576</v>
      </c>
      <c r="CY18" s="169">
        <f t="shared" si="25"/>
        <v>970</v>
      </c>
      <c r="CZ18" s="50">
        <f>SUM(CY$5:CY18)</f>
        <v>9750</v>
      </c>
      <c r="DB18" s="188">
        <f t="shared" si="20"/>
        <v>450</v>
      </c>
      <c r="DC18" s="188">
        <f t="shared" si="0"/>
        <v>750</v>
      </c>
      <c r="DD18" s="188">
        <f t="shared" si="0"/>
        <v>950</v>
      </c>
      <c r="DE18" s="188">
        <f t="shared" si="0"/>
        <v>1150</v>
      </c>
      <c r="DF18" s="188">
        <f t="shared" si="0"/>
        <v>1450</v>
      </c>
      <c r="DI18" s="186">
        <v>14</v>
      </c>
      <c r="DJ18" s="14">
        <f t="shared" si="21"/>
        <v>3</v>
      </c>
      <c r="DK18" s="14">
        <f t="shared" si="1"/>
        <v>3</v>
      </c>
      <c r="DL18" s="14">
        <f t="shared" si="2"/>
        <v>1101003</v>
      </c>
      <c r="DM18" s="136" t="s">
        <v>1097</v>
      </c>
      <c r="DN18" s="14">
        <f t="shared" si="3"/>
        <v>4</v>
      </c>
      <c r="DO18" s="14" t="str">
        <f t="shared" si="4"/>
        <v>战斗夏铃-4星</v>
      </c>
      <c r="DP18" s="136" t="s">
        <v>1103</v>
      </c>
      <c r="DQ18" s="14">
        <f t="shared" si="22"/>
        <v>20000</v>
      </c>
      <c r="DR18" s="14" t="str">
        <f t="shared" si="5"/>
        <v>战斗夏铃碎片</v>
      </c>
      <c r="DS18" s="14">
        <f t="shared" si="23"/>
        <v>40</v>
      </c>
    </row>
    <row r="19" spans="1:123" ht="20.25" x14ac:dyDescent="0.2">
      <c r="A19" s="14">
        <v>1102007</v>
      </c>
      <c r="B19" s="14" t="s">
        <v>178</v>
      </c>
      <c r="C19" s="14">
        <v>4</v>
      </c>
      <c r="D19" s="14">
        <v>40</v>
      </c>
      <c r="E19" s="14">
        <v>3</v>
      </c>
      <c r="F19" s="101">
        <f t="shared" si="27"/>
        <v>1502007</v>
      </c>
      <c r="G19" s="15"/>
      <c r="I19" s="233" t="s">
        <v>1085</v>
      </c>
      <c r="J19" s="233"/>
      <c r="K19" s="233"/>
      <c r="L19" s="233"/>
      <c r="M19" s="233"/>
      <c r="N19" s="233"/>
      <c r="T19" s="139">
        <v>15</v>
      </c>
      <c r="U19" s="139">
        <f>ROUND(INDEX(挂机升级突破!$DJ$6:$DJ$57,卡牌消耗!$T19)*INDEX(卡牌消耗!$B$8:$F$8,卡牌消耗!U$2)/$Q$4/5,0)*5</f>
        <v>2290</v>
      </c>
      <c r="V19" s="139">
        <f>ROUND(INDEX(挂机升级突破!$DJ$6:$DJ$57,卡牌消耗!$T19)*INDEX(卡牌消耗!$B$8:$F$8,卡牌消耗!V$2)/$Q$4/5,0)*5</f>
        <v>3275</v>
      </c>
      <c r="W19" s="139">
        <f>ROUND(INDEX(挂机升级突破!$DJ$6:$DJ$57,卡牌消耗!$T19)*INDEX(卡牌消耗!$B$8:$F$8,卡牌消耗!W$2)/$Q$4/5,0)*5</f>
        <v>4910</v>
      </c>
      <c r="X19" s="139">
        <f>ROUND(INDEX(挂机升级突破!$DJ$6:$DJ$57,卡牌消耗!$T19)*INDEX(卡牌消耗!$B$8:$F$8,卡牌消耗!X$2)/$Q$4/5,0)*5</f>
        <v>6550</v>
      </c>
      <c r="Z19" s="196">
        <v>2</v>
      </c>
      <c r="AA19" s="196">
        <v>15</v>
      </c>
      <c r="AB19" s="14">
        <f>ROUND(INDEX(挂机升级突破!DT$6:DT$57,卡牌消耗!$AA19)*INDEX(卡牌消耗!$B$5:$F$5,卡牌消耗!$Z19)/卡牌消耗!$Q$4/AB$2,0)*AB$2</f>
        <v>0</v>
      </c>
      <c r="AC19" s="14">
        <f>ROUND(INDEX(挂机升级突破!DU$6:DU$57,卡牌消耗!$AA19)*INDEX(卡牌消耗!$B$5:$F$5,卡牌消耗!$Z19)/卡牌消耗!$Q$4/AC$2,0)*AC$2</f>
        <v>0</v>
      </c>
      <c r="AD19" s="14">
        <f>ROUND(INDEX(挂机升级突破!DV$6:DV$57,卡牌消耗!$AA19)*INDEX(卡牌消耗!$B$5:$F$5,卡牌消耗!$Z19)/卡牌消耗!$Q$4/AD$2,0)*AD$2</f>
        <v>20</v>
      </c>
      <c r="AE19" s="14">
        <f>ROUND(INDEX(挂机升级突破!DW$6:DW$57,卡牌消耗!$AA19)*INDEX(卡牌消耗!$B$5:$F$5,卡牌消耗!$Z19)/卡牌消耗!$Q$4/AE$2,0)*AE$2</f>
        <v>0</v>
      </c>
      <c r="AF19" s="14">
        <f>ROUND(INDEX(挂机升级突破!DX$6:DX$57,卡牌消耗!$AA19)*INDEX(卡牌消耗!$B$5:$F$5,卡牌消耗!$Z19)/卡牌消耗!$Q$4/AF$2,0)*AF$2</f>
        <v>0</v>
      </c>
      <c r="AG19" s="14">
        <f>ROUND(INDEX(挂机升级突破!EC$6:EC$57,卡牌消耗!$AA19)*INDEX(卡牌消耗!$B$7:$F$7,卡牌消耗!$Z19)/卡牌消耗!$Q$4/AG$2,0)*AG$2</f>
        <v>0</v>
      </c>
      <c r="AH19" s="14">
        <f>ROUND(INDEX(挂机升级突破!ED$6:ED$57,卡牌消耗!$AA19)*INDEX(卡牌消耗!$B$8:$F$8,卡牌消耗!$Z19)/卡牌消耗!$Q$4/AH$2,0)*AH$2</f>
        <v>2300</v>
      </c>
      <c r="AK19" s="104">
        <v>15</v>
      </c>
      <c r="AL19" s="14">
        <f t="shared" si="6"/>
        <v>1</v>
      </c>
      <c r="AM19" s="14">
        <f>INDEX(挂机升级突破!DQ$6:DQ$57,卡牌消耗!$AT19)</f>
        <v>11</v>
      </c>
      <c r="AN19" s="14">
        <f>INDEX(挂机升级突破!DR$6:DR$57,卡牌消耗!$AT19)</f>
        <v>3</v>
      </c>
      <c r="AO19" s="14">
        <f>INDEX(挂机升级突破!DS$6:DS$57,卡牌消耗!$AT19)</f>
        <v>0</v>
      </c>
      <c r="AP19" s="14">
        <f>INDEX(挂机升级突破!$DP$6:$DP$57,卡牌消耗!AT19)</f>
        <v>55</v>
      </c>
      <c r="AQ19" s="14" t="str">
        <f t="shared" si="7"/>
        <v>关羽</v>
      </c>
      <c r="AR19" s="14">
        <f t="shared" si="8"/>
        <v>5</v>
      </c>
      <c r="AS19" s="14" t="str">
        <f t="shared" si="9"/>
        <v>关羽魂火-15</v>
      </c>
      <c r="AT19" s="14">
        <f t="shared" si="10"/>
        <v>15</v>
      </c>
      <c r="AU19" s="14" t="str">
        <f>IF(AM19&gt;0,INDEX(挂机升级突破!$DT$4:$ED$4,AM19),"")</f>
        <v>金币</v>
      </c>
      <c r="AV19" s="14">
        <f>ROUND(INDEX(挂机升级突破!$DJ$6:$DJ$57,卡牌消耗!AT19)*INDEX(卡牌消耗!$B$8:$F$8,AR19)/$Q$4/50,0)*50</f>
        <v>6550</v>
      </c>
      <c r="AW19" s="14" t="str">
        <f>IF(AN19&gt;0,INDEX(挂机升级突破!$DT$4:$ED$4,AN19),"")</f>
        <v>紫色基础材料</v>
      </c>
      <c r="AX19" s="14">
        <f>ROUND(INDEX(挂机升级突破!$DT$6:$ED$57,卡牌消耗!AT19,AN19)*INDEX(卡牌消耗!$B$5:$F$5,AR19)/$Q$4/5,0)*5</f>
        <v>35</v>
      </c>
      <c r="AY19" s="14" t="str">
        <f>IF(AO19&gt;0,INDEX(挂机升级突破!$DT$4:$ED$4,AO19),"")</f>
        <v/>
      </c>
      <c r="AZ19" s="14" t="str">
        <f>IF(AO19&gt;0,ROUND(INDEX(挂机升级突破!$DT$6:$ED$57,卡牌消耗!AT19,AO19)*INDEX(卡牌消耗!$B$7:$F$7,AR19)/$Q$4,0),"")</f>
        <v/>
      </c>
      <c r="BC19" s="196">
        <v>2</v>
      </c>
      <c r="BD19" s="196">
        <v>15</v>
      </c>
      <c r="BE19" s="14">
        <f>ROUND(INDEX(挂机升级突破!ER$7:ER$26,卡牌消耗!$BD19)*INDEX(卡牌消耗!$B$6:$F$6,$BC19)/$Q$4,0)</f>
        <v>0</v>
      </c>
      <c r="BF19" s="14">
        <f>ROUND(INDEX(挂机升级突破!ES$7:ES$26,卡牌消耗!$BD19)*INDEX(卡牌消耗!$B$6:$F$6,$BC19)/$Q$4,0)</f>
        <v>0</v>
      </c>
      <c r="BG19" s="14">
        <f>ROUND(INDEX(挂机升级突破!ET$7:ET$26,卡牌消耗!$BD19)*INDEX(卡牌消耗!$B$6:$F$6,$BC19)/$Q$4,0)</f>
        <v>57</v>
      </c>
      <c r="BH19" s="14">
        <f>ROUND(INDEX(挂机升级突破!EU$7:EU$26,卡牌消耗!$BD19)*INDEX(卡牌消耗!$B$6:$F$6,$BC19)/$Q$4,0)</f>
        <v>0</v>
      </c>
      <c r="BI19" s="14">
        <f>ROUND(INDEX(挂机升级突破!$EV$7:$EV$26,卡牌消耗!BD19)*INDEX(卡牌消耗!$B$8:$F$8,$BC19)/$Q$4/BI$2,0)*BI$2</f>
        <v>31000</v>
      </c>
      <c r="BL19" s="104">
        <v>15</v>
      </c>
      <c r="BM19" s="14">
        <f t="shared" si="11"/>
        <v>1</v>
      </c>
      <c r="BN19" s="14">
        <f>INDEX(挂机升级突破!$EI$7:$EI$26,BS19)</f>
        <v>5</v>
      </c>
      <c r="BO19" s="14">
        <f>INDEX(挂机升级突破!$EJ$7:$EJ$26,BS19)</f>
        <v>3</v>
      </c>
      <c r="BP19" s="14">
        <f t="shared" si="12"/>
        <v>5</v>
      </c>
      <c r="BQ19" s="14">
        <f>INDEX(挂机升级突破!$EH$7:$EH$26,卡牌消耗!BS19)</f>
        <v>102</v>
      </c>
      <c r="BR19" s="14" t="str">
        <f t="shared" si="13"/>
        <v>关羽</v>
      </c>
      <c r="BS19" s="14">
        <f t="shared" si="14"/>
        <v>15</v>
      </c>
      <c r="BT19" s="14" t="str">
        <f t="shared" si="15"/>
        <v>关羽15突</v>
      </c>
      <c r="BU19" s="14" t="str">
        <f>IF(BN19&gt;0,INDEX(挂机升级突破!$ER$5:$EV$5,卡牌消耗!BN19),"")</f>
        <v>金币</v>
      </c>
      <c r="BV19" s="14">
        <f>IF(BN19&gt;0,ROUND(INDEX(挂机升级突破!$EV$7:$EV$26,卡牌消耗!BS19)*INDEX(卡牌消耗!$B$8:$F$8,BP19)/$Q$4/500,0)*500,"")</f>
        <v>89000</v>
      </c>
      <c r="BW19" s="14" t="str">
        <f>IF(BO19&gt;0,INDEX(挂机升级突破!$ER$5:$EV$5,卡牌消耗!BO19),"")</f>
        <v>银母</v>
      </c>
      <c r="BX19" s="14">
        <f>IF(BO19&gt;0,ROUND(INDEX(挂机升级突破!$ER$7:$EU$26,卡牌消耗!BS19,卡牌消耗!BO19)*INDEX($B$6:$F$6,BP19)/$Q$4/5,0)*5,"")</f>
        <v>105</v>
      </c>
      <c r="BY19" s="193"/>
      <c r="BZ19" s="193"/>
      <c r="CC19" s="158">
        <v>15</v>
      </c>
      <c r="CD19" s="169" t="s">
        <v>457</v>
      </c>
      <c r="CE19" s="169">
        <v>80</v>
      </c>
      <c r="CF19" s="169">
        <v>85</v>
      </c>
      <c r="CG19" s="169">
        <f>INDEX(章节关卡!$L$6:$L$35,卡牌消耗!CC19)*INDEX(节奏总表!$N$5:$N$34,卡牌消耗!CC19)*60</f>
        <v>810000</v>
      </c>
      <c r="CH19" s="169">
        <v>15</v>
      </c>
      <c r="CI19" s="169">
        <f>SUMIFS(章节关卡!$BF$5:$BF$304,章节关卡!$BB$5:$BB$304,"="&amp;卡牌消耗!CH19)</f>
        <v>67500</v>
      </c>
      <c r="CJ19" s="169">
        <v>13</v>
      </c>
      <c r="CK19" s="153">
        <f>SUMIFS(章节关卡!$BP$5:$BP$304,章节关卡!$BL$5:$BL$304,"="&amp;卡牌消耗!CJ19)</f>
        <v>112500</v>
      </c>
      <c r="CL19" s="169">
        <f>SUMIFS(章节关卡!$ED$5:$ED$94,章节关卡!$DK$5:$DK$94,"="&amp;卡牌消耗!CH19)</f>
        <v>54000</v>
      </c>
      <c r="CM19" s="169">
        <f>SUMIFS(章节关卡!$FC$5:$FC$94,章节关卡!$DK$5:$DK$94,"="&amp;CJ19)</f>
        <v>162000</v>
      </c>
      <c r="CN19" s="169">
        <f t="shared" si="16"/>
        <v>1206000</v>
      </c>
      <c r="CO19" s="153">
        <v>1</v>
      </c>
      <c r="CP19" s="153">
        <f t="shared" si="17"/>
        <v>134000</v>
      </c>
      <c r="CQ19" s="169">
        <v>9</v>
      </c>
      <c r="CS19" s="171"/>
      <c r="CT19" s="173" t="s">
        <v>120</v>
      </c>
      <c r="CU19" s="169">
        <v>3</v>
      </c>
      <c r="CV19" s="169">
        <v>15</v>
      </c>
      <c r="CW19" s="66">
        <v>4</v>
      </c>
      <c r="CX19" s="21">
        <f>CW19/$CU$21</f>
        <v>6.4000000000000001E-2</v>
      </c>
      <c r="CY19" s="169">
        <f>INT($CU$20*CX19/5)*5</f>
        <v>1630</v>
      </c>
      <c r="CZ19" s="50">
        <f>SUM(CY$5:CY19)</f>
        <v>11380</v>
      </c>
      <c r="DB19" s="188">
        <f t="shared" si="20"/>
        <v>800</v>
      </c>
      <c r="DC19" s="188">
        <f t="shared" si="0"/>
        <v>1300</v>
      </c>
      <c r="DD19" s="188">
        <f t="shared" si="0"/>
        <v>1600</v>
      </c>
      <c r="DE19" s="188">
        <f t="shared" si="0"/>
        <v>1950</v>
      </c>
      <c r="DF19" s="188">
        <f t="shared" si="0"/>
        <v>2400</v>
      </c>
      <c r="DI19" s="186">
        <v>15</v>
      </c>
      <c r="DJ19" s="14">
        <f t="shared" si="21"/>
        <v>3</v>
      </c>
      <c r="DK19" s="14">
        <f t="shared" si="1"/>
        <v>3</v>
      </c>
      <c r="DL19" s="14">
        <f t="shared" si="2"/>
        <v>1101003</v>
      </c>
      <c r="DM19" s="136" t="s">
        <v>1097</v>
      </c>
      <c r="DN19" s="14">
        <f t="shared" si="3"/>
        <v>5</v>
      </c>
      <c r="DO19" s="14" t="str">
        <f t="shared" si="4"/>
        <v>战斗夏铃-5星</v>
      </c>
      <c r="DP19" s="136" t="s">
        <v>1103</v>
      </c>
      <c r="DQ19" s="14">
        <f t="shared" si="22"/>
        <v>40000</v>
      </c>
      <c r="DR19" s="14" t="str">
        <f t="shared" si="5"/>
        <v>战斗夏铃碎片</v>
      </c>
      <c r="DS19" s="14">
        <f t="shared" si="23"/>
        <v>40</v>
      </c>
    </row>
    <row r="20" spans="1:123" ht="17.25" x14ac:dyDescent="0.2">
      <c r="A20" s="14">
        <v>1102008</v>
      </c>
      <c r="B20" s="14" t="s">
        <v>179</v>
      </c>
      <c r="C20" s="14">
        <v>4</v>
      </c>
      <c r="D20" s="14">
        <v>80</v>
      </c>
      <c r="E20" s="14">
        <v>1</v>
      </c>
      <c r="F20" s="101">
        <f t="shared" si="27"/>
        <v>1502008</v>
      </c>
      <c r="G20" s="15"/>
      <c r="I20" s="12" t="s">
        <v>370</v>
      </c>
      <c r="J20" s="23" t="s">
        <v>1075</v>
      </c>
      <c r="K20" s="12" t="s">
        <v>161</v>
      </c>
      <c r="L20" s="12" t="s">
        <v>162</v>
      </c>
      <c r="M20" s="12" t="s">
        <v>163</v>
      </c>
      <c r="N20" s="12" t="s">
        <v>369</v>
      </c>
      <c r="T20" s="139">
        <v>16</v>
      </c>
      <c r="U20" s="139">
        <f>ROUND(INDEX(挂机升级突破!$DJ$6:$DJ$57,卡牌消耗!$T20)*INDEX(卡牌消耗!$B$8:$F$8,卡牌消耗!U$2)/$Q$4/5,0)*5</f>
        <v>2290</v>
      </c>
      <c r="V20" s="139">
        <f>ROUND(INDEX(挂机升级突破!$DJ$6:$DJ$57,卡牌消耗!$T20)*INDEX(卡牌消耗!$B$8:$F$8,卡牌消耗!V$2)/$Q$4/5,0)*5</f>
        <v>3275</v>
      </c>
      <c r="W20" s="139">
        <f>ROUND(INDEX(挂机升级突破!$DJ$6:$DJ$57,卡牌消耗!$T20)*INDEX(卡牌消耗!$B$8:$F$8,卡牌消耗!W$2)/$Q$4/5,0)*5</f>
        <v>4910</v>
      </c>
      <c r="X20" s="139">
        <f>ROUND(INDEX(挂机升级突破!$DJ$6:$DJ$57,卡牌消耗!$T20)*INDEX(卡牌消耗!$B$8:$F$8,卡牌消耗!X$2)/$Q$4/5,0)*5</f>
        <v>6550</v>
      </c>
      <c r="Z20" s="196">
        <v>2</v>
      </c>
      <c r="AA20" s="196">
        <v>16</v>
      </c>
      <c r="AB20" s="14">
        <f>ROUND(INDEX(挂机升级突破!DT$6:DT$57,卡牌消耗!$AA20)*INDEX(卡牌消耗!$B$5:$F$5,卡牌消耗!$Z20)/卡牌消耗!$Q$4/AB$2,0)*AB$2</f>
        <v>0</v>
      </c>
      <c r="AC20" s="14">
        <f>ROUND(INDEX(挂机升级突破!DU$6:DU$57,卡牌消耗!$AA20)*INDEX(卡牌消耗!$B$5:$F$5,卡牌消耗!$Z20)/卡牌消耗!$Q$4/AC$2,0)*AC$2</f>
        <v>0</v>
      </c>
      <c r="AD20" s="14">
        <f>ROUND(INDEX(挂机升级突破!DV$6:DV$57,卡牌消耗!$AA20)*INDEX(卡牌消耗!$B$5:$F$5,卡牌消耗!$Z20)/卡牌消耗!$Q$4/AD$2,0)*AD$2</f>
        <v>20</v>
      </c>
      <c r="AE20" s="14">
        <f>ROUND(INDEX(挂机升级突破!DW$6:DW$57,卡牌消耗!$AA20)*INDEX(卡牌消耗!$B$5:$F$5,卡牌消耗!$Z20)/卡牌消耗!$Q$4/AE$2,0)*AE$2</f>
        <v>0</v>
      </c>
      <c r="AF20" s="14">
        <f>ROUND(INDEX(挂机升级突破!DX$6:DX$57,卡牌消耗!$AA20)*INDEX(卡牌消耗!$B$5:$F$5,卡牌消耗!$Z20)/卡牌消耗!$Q$4/AF$2,0)*AF$2</f>
        <v>0</v>
      </c>
      <c r="AG20" s="14">
        <f>ROUND(INDEX(挂机升级突破!EC$6:EC$57,卡牌消耗!$AA20)*INDEX(卡牌消耗!$B$7:$F$7,卡牌消耗!$Z20)/卡牌消耗!$Q$4/AG$2,0)*AG$2</f>
        <v>0</v>
      </c>
      <c r="AH20" s="14">
        <f>ROUND(INDEX(挂机升级突破!ED$6:ED$57,卡牌消耗!$AA20)*INDEX(卡牌消耗!$B$8:$F$8,卡牌消耗!$Z20)/卡牌消耗!$Q$4/AH$2,0)*AH$2</f>
        <v>2300</v>
      </c>
      <c r="AK20" s="104">
        <v>16</v>
      </c>
      <c r="AL20" s="14">
        <f t="shared" si="6"/>
        <v>1</v>
      </c>
      <c r="AM20" s="14">
        <f>INDEX(挂机升级突破!DQ$6:DQ$57,卡牌消耗!$AT20)</f>
        <v>11</v>
      </c>
      <c r="AN20" s="14">
        <f>INDEX(挂机升级突破!DR$6:DR$57,卡牌消耗!$AT20)</f>
        <v>3</v>
      </c>
      <c r="AO20" s="14">
        <f>INDEX(挂机升级突破!DS$6:DS$57,卡牌消耗!$AT20)</f>
        <v>0</v>
      </c>
      <c r="AP20" s="14">
        <f>INDEX(挂机升级突破!$DP$6:$DP$57,卡牌消耗!AT20)</f>
        <v>58</v>
      </c>
      <c r="AQ20" s="14" t="str">
        <f t="shared" si="7"/>
        <v>关羽</v>
      </c>
      <c r="AR20" s="14">
        <f t="shared" si="8"/>
        <v>5</v>
      </c>
      <c r="AS20" s="14" t="str">
        <f t="shared" si="9"/>
        <v>关羽魂火-16</v>
      </c>
      <c r="AT20" s="14">
        <f t="shared" si="10"/>
        <v>16</v>
      </c>
      <c r="AU20" s="14" t="str">
        <f>IF(AM20&gt;0,INDEX(挂机升级突破!$DT$4:$ED$4,AM20),"")</f>
        <v>金币</v>
      </c>
      <c r="AV20" s="14">
        <f>ROUND(INDEX(挂机升级突破!$DJ$6:$DJ$57,卡牌消耗!AT20)*INDEX(卡牌消耗!$B$8:$F$8,AR20)/$Q$4/50,0)*50</f>
        <v>6550</v>
      </c>
      <c r="AW20" s="14" t="str">
        <f>IF(AN20&gt;0,INDEX(挂机升级突破!$DT$4:$ED$4,AN20),"")</f>
        <v>紫色基础材料</v>
      </c>
      <c r="AX20" s="14">
        <f>ROUND(INDEX(挂机升级突破!$DT$6:$ED$57,卡牌消耗!AT20,AN20)*INDEX(卡牌消耗!$B$5:$F$5,AR20)/$Q$4/5,0)*5</f>
        <v>35</v>
      </c>
      <c r="AY20" s="14" t="str">
        <f>IF(AO20&gt;0,INDEX(挂机升级突破!$DT$4:$ED$4,AO20),"")</f>
        <v/>
      </c>
      <c r="AZ20" s="14" t="str">
        <f>IF(AO20&gt;0,ROUND(INDEX(挂机升级突破!$DT$6:$ED$57,卡牌消耗!AT20,AO20)*INDEX(卡牌消耗!$B$7:$F$7,AR20)/$Q$4,0),"")</f>
        <v/>
      </c>
      <c r="BC20" s="196">
        <v>2</v>
      </c>
      <c r="BD20" s="196">
        <v>16</v>
      </c>
      <c r="BE20" s="14">
        <f>ROUND(INDEX(挂机升级突破!ER$7:ER$26,卡牌消耗!$BD20)*INDEX(卡牌消耗!$B$6:$F$6,$BC20)/$Q$4,0)</f>
        <v>0</v>
      </c>
      <c r="BF20" s="14">
        <f>ROUND(INDEX(挂机升级突破!ES$7:ES$26,卡牌消耗!$BD20)*INDEX(卡牌消耗!$B$6:$F$6,$BC20)/$Q$4,0)</f>
        <v>0</v>
      </c>
      <c r="BG20" s="14">
        <f>ROUND(INDEX(挂机升级突破!ET$7:ET$26,卡牌消耗!$BD20)*INDEX(卡牌消耗!$B$6:$F$6,$BC20)/$Q$4,0)</f>
        <v>73</v>
      </c>
      <c r="BH20" s="14">
        <f>ROUND(INDEX(挂机升级突破!EU$7:EU$26,卡牌消耗!$BD20)*INDEX(卡牌消耗!$B$6:$F$6,$BC20)/$Q$4,0)</f>
        <v>0</v>
      </c>
      <c r="BI20" s="14">
        <f>ROUND(INDEX(挂机升级突破!$EV$7:$EV$26,卡牌消耗!BD20)*INDEX(卡牌消耗!$B$8:$F$8,$BC20)/$Q$4/BI$2,0)*BI$2</f>
        <v>56500</v>
      </c>
      <c r="BL20" s="104">
        <v>16</v>
      </c>
      <c r="BM20" s="14">
        <f t="shared" si="11"/>
        <v>1</v>
      </c>
      <c r="BN20" s="14">
        <f>INDEX(挂机升级突破!$EI$7:$EI$26,BS20)</f>
        <v>5</v>
      </c>
      <c r="BO20" s="14">
        <f>INDEX(挂机升级突破!$EJ$7:$EJ$26,BS20)</f>
        <v>3</v>
      </c>
      <c r="BP20" s="14">
        <f t="shared" si="12"/>
        <v>5</v>
      </c>
      <c r="BQ20" s="14">
        <f>INDEX(挂机升级突破!$EH$7:$EH$26,卡牌消耗!BS20)</f>
        <v>110</v>
      </c>
      <c r="BR20" s="14" t="str">
        <f t="shared" si="13"/>
        <v>关羽</v>
      </c>
      <c r="BS20" s="14">
        <f t="shared" si="14"/>
        <v>16</v>
      </c>
      <c r="BT20" s="14" t="str">
        <f t="shared" si="15"/>
        <v>关羽16突</v>
      </c>
      <c r="BU20" s="14" t="str">
        <f>IF(BN20&gt;0,INDEX(挂机升级突破!$ER$5:$EV$5,卡牌消耗!BN20),"")</f>
        <v>金币</v>
      </c>
      <c r="BV20" s="14">
        <f>IF(BN20&gt;0,ROUND(INDEX(挂机升级突破!$EV$7:$EV$26,卡牌消耗!BS20)*INDEX(卡牌消耗!$B$8:$F$8,BP20)/$Q$4/500,0)*500,"")</f>
        <v>161000</v>
      </c>
      <c r="BW20" s="14" t="str">
        <f>IF(BO20&gt;0,INDEX(挂机升级突破!$ER$5:$EV$5,卡牌消耗!BO20),"")</f>
        <v>银母</v>
      </c>
      <c r="BX20" s="14">
        <f>IF(BO20&gt;0,ROUND(INDEX(挂机升级突破!$ER$7:$EU$26,卡牌消耗!BS20,卡牌消耗!BO20)*INDEX($B$6:$F$6,BP20)/$Q$4/5,0)*5,"")</f>
        <v>135</v>
      </c>
      <c r="BY20" s="193"/>
      <c r="BZ20" s="193"/>
      <c r="CC20" s="158">
        <v>16</v>
      </c>
      <c r="CD20" s="169" t="s">
        <v>458</v>
      </c>
      <c r="CE20" s="169">
        <v>85</v>
      </c>
      <c r="CF20" s="169">
        <v>90</v>
      </c>
      <c r="CG20" s="169">
        <f>INDEX(章节关卡!$L$6:$L$35,卡牌消耗!CC20)*INDEX(节奏总表!$N$5:$N$34,卡牌消耗!CC20)*60</f>
        <v>1008000</v>
      </c>
      <c r="CH20" s="169">
        <v>16</v>
      </c>
      <c r="CI20" s="169">
        <f>SUMIFS(章节关卡!$BF$5:$BF$304,章节关卡!$BB$5:$BB$304,"="&amp;卡牌消耗!CH20)</f>
        <v>72000</v>
      </c>
      <c r="CJ20" s="169">
        <v>14</v>
      </c>
      <c r="CK20" s="169">
        <f>SUMIFS(章节关卡!$BP$5:$BP$304,章节关卡!$BL$5:$BL$304,"="&amp;卡牌消耗!CJ20)</f>
        <v>121500</v>
      </c>
      <c r="CL20" s="169">
        <f>SUMIFS(章节关卡!$ED$5:$ED$94,章节关卡!$DK$5:$DK$94,"="&amp;卡牌消耗!CH20)</f>
        <v>57600</v>
      </c>
      <c r="CM20" s="169">
        <f>SUMIFS(章节关卡!$FC$5:$FC$94,章节关卡!$DK$5:$DK$94,"="&amp;CJ20)</f>
        <v>172800</v>
      </c>
      <c r="CN20" s="169">
        <f t="shared" si="16"/>
        <v>1431900</v>
      </c>
      <c r="CO20" s="169">
        <v>1</v>
      </c>
      <c r="CP20" s="169">
        <f t="shared" si="17"/>
        <v>159100</v>
      </c>
      <c r="CQ20" s="169">
        <v>9</v>
      </c>
      <c r="CS20" s="171"/>
      <c r="CT20" s="171"/>
      <c r="CU20" s="14">
        <f>INDEX($CP$5:$CP$32,CU19)</f>
        <v>25542</v>
      </c>
      <c r="CV20" s="169">
        <v>16</v>
      </c>
      <c r="CW20" s="66">
        <v>4.5</v>
      </c>
      <c r="CX20" s="21">
        <f t="shared" ref="CX20:CX28" si="32">CW20/$CU$21</f>
        <v>7.1999999999999995E-2</v>
      </c>
      <c r="CY20" s="169">
        <f t="shared" ref="CY20:CY28" si="33">INT($CU$20*CX20/5)*5</f>
        <v>1835</v>
      </c>
      <c r="CZ20" s="50">
        <f>SUM(CY$5:CY20)</f>
        <v>13215</v>
      </c>
      <c r="DB20" s="188">
        <f t="shared" si="20"/>
        <v>900</v>
      </c>
      <c r="DC20" s="188">
        <f t="shared" si="0"/>
        <v>1450</v>
      </c>
      <c r="DD20" s="188">
        <f t="shared" si="0"/>
        <v>1800</v>
      </c>
      <c r="DE20" s="188">
        <f t="shared" si="0"/>
        <v>2200</v>
      </c>
      <c r="DF20" s="188">
        <f t="shared" si="0"/>
        <v>2750</v>
      </c>
      <c r="DI20" s="186">
        <v>16</v>
      </c>
      <c r="DJ20" s="14">
        <f t="shared" si="21"/>
        <v>4</v>
      </c>
      <c r="DK20" s="14">
        <f t="shared" si="1"/>
        <v>4</v>
      </c>
      <c r="DL20" s="14">
        <f t="shared" si="2"/>
        <v>1101004</v>
      </c>
      <c r="DM20" s="136" t="s">
        <v>1097</v>
      </c>
      <c r="DN20" s="14">
        <f t="shared" si="3"/>
        <v>1</v>
      </c>
      <c r="DO20" s="14" t="str">
        <f t="shared" si="4"/>
        <v>项昆仑-1星</v>
      </c>
      <c r="DP20" s="136" t="s">
        <v>1103</v>
      </c>
      <c r="DQ20" s="14">
        <f t="shared" si="22"/>
        <v>6000</v>
      </c>
      <c r="DR20" s="14" t="str">
        <f t="shared" si="5"/>
        <v>项昆仑碎片</v>
      </c>
      <c r="DS20" s="14">
        <f t="shared" si="23"/>
        <v>80</v>
      </c>
    </row>
    <row r="21" spans="1:123" ht="16.5" x14ac:dyDescent="0.2">
      <c r="A21" s="14">
        <v>1102009</v>
      </c>
      <c r="B21" s="14" t="s">
        <v>180</v>
      </c>
      <c r="C21" s="14">
        <v>3</v>
      </c>
      <c r="D21" s="14">
        <v>80</v>
      </c>
      <c r="E21" s="14">
        <v>1</v>
      </c>
      <c r="F21" s="101">
        <f t="shared" si="27"/>
        <v>1502009</v>
      </c>
      <c r="G21" s="15"/>
      <c r="I21" s="136">
        <v>1</v>
      </c>
      <c r="J21" s="136"/>
      <c r="K21" s="136">
        <v>3000</v>
      </c>
      <c r="L21" s="136">
        <v>4000</v>
      </c>
      <c r="M21" s="136">
        <v>6000</v>
      </c>
      <c r="N21" s="136">
        <v>9000</v>
      </c>
      <c r="T21" s="139">
        <v>17</v>
      </c>
      <c r="U21" s="139">
        <f>ROUND(INDEX(挂机升级突破!$DJ$6:$DJ$57,卡牌消耗!$T21)*INDEX(卡牌消耗!$B$8:$F$8,卡牌消耗!U$2)/$Q$4/5,0)*5</f>
        <v>2865</v>
      </c>
      <c r="V21" s="139">
        <f>ROUND(INDEX(挂机升级突破!$DJ$6:$DJ$57,卡牌消耗!$T21)*INDEX(卡牌消耗!$B$8:$F$8,卡牌消耗!V$2)/$Q$4/5,0)*5</f>
        <v>4095</v>
      </c>
      <c r="W21" s="139">
        <f>ROUND(INDEX(挂机升级突破!$DJ$6:$DJ$57,卡牌消耗!$T21)*INDEX(卡牌消耗!$B$8:$F$8,卡牌消耗!W$2)/$Q$4/5,0)*5</f>
        <v>6140</v>
      </c>
      <c r="X21" s="139">
        <f>ROUND(INDEX(挂机升级突破!$DJ$6:$DJ$57,卡牌消耗!$T21)*INDEX(卡牌消耗!$B$8:$F$8,卡牌消耗!X$2)/$Q$4/5,0)*5</f>
        <v>8185</v>
      </c>
      <c r="Z21" s="196">
        <v>2</v>
      </c>
      <c r="AA21" s="196">
        <v>17</v>
      </c>
      <c r="AB21" s="14">
        <f>ROUND(INDEX(挂机升级突破!DT$6:DT$57,卡牌消耗!$AA21)*INDEX(卡牌消耗!$B$5:$F$5,卡牌消耗!$Z21)/卡牌消耗!$Q$4/AB$2,0)*AB$2</f>
        <v>0</v>
      </c>
      <c r="AC21" s="14">
        <f>ROUND(INDEX(挂机升级突破!DU$6:DU$57,卡牌消耗!$AA21)*INDEX(卡牌消耗!$B$5:$F$5,卡牌消耗!$Z21)/卡牌消耗!$Q$4/AC$2,0)*AC$2</f>
        <v>0</v>
      </c>
      <c r="AD21" s="14">
        <f>ROUND(INDEX(挂机升级突破!DV$6:DV$57,卡牌消耗!$AA21)*INDEX(卡牌消耗!$B$5:$F$5,卡牌消耗!$Z21)/卡牌消耗!$Q$4/AD$2,0)*AD$2</f>
        <v>35</v>
      </c>
      <c r="AE21" s="14">
        <f>ROUND(INDEX(挂机升级突破!DW$6:DW$57,卡牌消耗!$AA21)*INDEX(卡牌消耗!$B$5:$F$5,卡牌消耗!$Z21)/卡牌消耗!$Q$4/AE$2,0)*AE$2</f>
        <v>0</v>
      </c>
      <c r="AF21" s="14">
        <f>ROUND(INDEX(挂机升级突破!DX$6:DX$57,卡牌消耗!$AA21)*INDEX(卡牌消耗!$B$5:$F$5,卡牌消耗!$Z21)/卡牌消耗!$Q$4/AF$2,0)*AF$2</f>
        <v>0</v>
      </c>
      <c r="AG21" s="14">
        <f>ROUND(INDEX(挂机升级突破!EC$6:EC$57,卡牌消耗!$AA21)*INDEX(卡牌消耗!$B$7:$F$7,卡牌消耗!$Z21)/卡牌消耗!$Q$4/AG$2,0)*AG$2</f>
        <v>0</v>
      </c>
      <c r="AH21" s="14">
        <f>ROUND(INDEX(挂机升级突破!ED$6:ED$57,卡牌消耗!$AA21)*INDEX(卡牌消耗!$B$8:$F$8,卡牌消耗!$Z21)/卡牌消耗!$Q$4/AH$2,0)*AH$2</f>
        <v>2850</v>
      </c>
      <c r="AK21" s="104">
        <v>17</v>
      </c>
      <c r="AL21" s="14">
        <f t="shared" si="6"/>
        <v>1</v>
      </c>
      <c r="AM21" s="14">
        <f>INDEX(挂机升级突破!DQ$6:DQ$57,卡牌消耗!$AT21)</f>
        <v>11</v>
      </c>
      <c r="AN21" s="14">
        <f>INDEX(挂机升级突破!DR$6:DR$57,卡牌消耗!$AT21)</f>
        <v>3</v>
      </c>
      <c r="AO21" s="14">
        <f>INDEX(挂机升级突破!DS$6:DS$57,卡牌消耗!$AT21)</f>
        <v>0</v>
      </c>
      <c r="AP21" s="14">
        <f>INDEX(挂机升级突破!$DP$6:$DP$57,卡牌消耗!AT21)</f>
        <v>60</v>
      </c>
      <c r="AQ21" s="14" t="str">
        <f t="shared" si="7"/>
        <v>关羽</v>
      </c>
      <c r="AR21" s="14">
        <f t="shared" si="8"/>
        <v>5</v>
      </c>
      <c r="AS21" s="14" t="str">
        <f t="shared" si="9"/>
        <v>关羽魂火-17</v>
      </c>
      <c r="AT21" s="14">
        <f t="shared" si="10"/>
        <v>17</v>
      </c>
      <c r="AU21" s="14" t="str">
        <f>IF(AM21&gt;0,INDEX(挂机升级突破!$DT$4:$ED$4,AM21),"")</f>
        <v>金币</v>
      </c>
      <c r="AV21" s="14">
        <f>ROUND(INDEX(挂机升级突破!$DJ$6:$DJ$57,卡牌消耗!AT21)*INDEX(卡牌消耗!$B$8:$F$8,AR21)/$Q$4/50,0)*50</f>
        <v>8200</v>
      </c>
      <c r="AW21" s="14" t="str">
        <f>IF(AN21&gt;0,INDEX(挂机升级突破!$DT$4:$ED$4,AN21),"")</f>
        <v>紫色基础材料</v>
      </c>
      <c r="AX21" s="14">
        <f>ROUND(INDEX(挂机升级突破!$DT$6:$ED$57,卡牌消耗!AT21,AN21)*INDEX(卡牌消耗!$B$5:$F$5,AR21)/$Q$4/5,0)*5</f>
        <v>70</v>
      </c>
      <c r="AY21" s="14" t="str">
        <f>IF(AO21&gt;0,INDEX(挂机升级突破!$DT$4:$ED$4,AO21),"")</f>
        <v/>
      </c>
      <c r="AZ21" s="14" t="str">
        <f>IF(AO21&gt;0,ROUND(INDEX(挂机升级突破!$DT$6:$ED$57,卡牌消耗!AT21,AO21)*INDEX(卡牌消耗!$B$7:$F$7,AR21)/$Q$4,0),"")</f>
        <v/>
      </c>
      <c r="BC21" s="196">
        <v>2</v>
      </c>
      <c r="BD21" s="196">
        <v>17</v>
      </c>
      <c r="BE21" s="14">
        <f>ROUND(INDEX(挂机升级突破!ER$7:ER$26,卡牌消耗!$BD21)*INDEX(卡牌消耗!$B$6:$F$6,$BC21)/$Q$4,0)</f>
        <v>0</v>
      </c>
      <c r="BF21" s="14">
        <f>ROUND(INDEX(挂机升级突破!ES$7:ES$26,卡牌消耗!$BD21)*INDEX(卡牌消耗!$B$6:$F$6,$BC21)/$Q$4,0)</f>
        <v>0</v>
      </c>
      <c r="BG21" s="14">
        <f>ROUND(INDEX(挂机升级突破!ET$7:ET$26,卡牌消耗!$BD21)*INDEX(卡牌消耗!$B$6:$F$6,$BC21)/$Q$4,0)</f>
        <v>0</v>
      </c>
      <c r="BH21" s="14">
        <f>ROUND(INDEX(挂机升级突破!EU$7:EU$26,卡牌消耗!$BD21)*INDEX(卡牌消耗!$B$6:$F$6,$BC21)/$Q$4,0)</f>
        <v>14</v>
      </c>
      <c r="BI21" s="14">
        <f>ROUND(INDEX(挂机升级突破!$EV$7:$EV$26,卡牌消耗!BD21)*INDEX(卡牌消耗!$B$8:$F$8,$BC21)/$Q$4/BI$2,0)*BI$2</f>
        <v>56500</v>
      </c>
      <c r="BL21" s="104">
        <v>17</v>
      </c>
      <c r="BM21" s="14">
        <f t="shared" si="11"/>
        <v>1</v>
      </c>
      <c r="BN21" s="14">
        <f>INDEX(挂机升级突破!$EI$7:$EI$26,BS21)</f>
        <v>5</v>
      </c>
      <c r="BO21" s="14">
        <f>INDEX(挂机升级突破!$EJ$7:$EJ$26,BS21)</f>
        <v>4</v>
      </c>
      <c r="BP21" s="14">
        <f t="shared" si="12"/>
        <v>5</v>
      </c>
      <c r="BQ21" s="14">
        <f>INDEX(挂机升级突破!$EH$7:$EH$26,卡牌消耗!BS21)</f>
        <v>117</v>
      </c>
      <c r="BR21" s="14" t="str">
        <f t="shared" si="13"/>
        <v>关羽</v>
      </c>
      <c r="BS21" s="14">
        <f t="shared" si="14"/>
        <v>17</v>
      </c>
      <c r="BT21" s="14" t="str">
        <f t="shared" si="15"/>
        <v>关羽17突</v>
      </c>
      <c r="BU21" s="14" t="str">
        <f>IF(BN21&gt;0,INDEX(挂机升级突破!$ER$5:$EV$5,卡牌消耗!BN21),"")</f>
        <v>金币</v>
      </c>
      <c r="BV21" s="14">
        <f>IF(BN21&gt;0,ROUND(INDEX(挂机升级突破!$EV$7:$EV$26,卡牌消耗!BS21)*INDEX(卡牌消耗!$B$8:$F$8,BP21)/$Q$4/500,0)*500,"")</f>
        <v>161000</v>
      </c>
      <c r="BW21" s="14" t="str">
        <f>IF(BO21&gt;0,INDEX(挂机升级突破!$ER$5:$EV$5,卡牌消耗!BO21),"")</f>
        <v>铀金</v>
      </c>
      <c r="BX21" s="14">
        <f>IF(BO21&gt;0,ROUND(INDEX(挂机升级突破!$ER$7:$EU$26,卡牌消耗!BS21,卡牌消耗!BO21)*INDEX($B$6:$F$6,BP21)/$Q$4/5,0)*5,"")</f>
        <v>25</v>
      </c>
      <c r="BY21" s="193"/>
      <c r="BZ21" s="193"/>
      <c r="CC21" s="158">
        <v>17</v>
      </c>
      <c r="CD21" s="169" t="s">
        <v>459</v>
      </c>
      <c r="CE21" s="169">
        <v>90</v>
      </c>
      <c r="CF21" s="169">
        <v>95</v>
      </c>
      <c r="CG21" s="169">
        <f>INDEX(章节关卡!$L$6:$L$35,卡牌消耗!CC21)*INDEX(节奏总表!$N$5:$N$34,卡牌消耗!CC21)*60</f>
        <v>1176000</v>
      </c>
      <c r="CH21" s="169">
        <v>17</v>
      </c>
      <c r="CI21" s="169">
        <f>SUMIFS(章节关卡!$BF$5:$BF$304,章节关卡!$BB$5:$BB$304,"="&amp;卡牌消耗!CH21)</f>
        <v>78750</v>
      </c>
      <c r="CJ21" s="169">
        <v>15</v>
      </c>
      <c r="CK21" s="169">
        <f>SUMIFS(章节关卡!$BP$5:$BP$304,章节关卡!$BL$5:$BL$304,"="&amp;卡牌消耗!CJ21)</f>
        <v>135000</v>
      </c>
      <c r="CL21" s="169">
        <f>SUMIFS(章节关卡!$ED$5:$ED$94,章节关卡!$DK$5:$DK$94,"="&amp;卡牌消耗!CH21)</f>
        <v>63000</v>
      </c>
      <c r="CM21" s="169">
        <f>SUMIFS(章节关卡!$FC$5:$FC$94,章节关卡!$DK$5:$DK$94,"="&amp;CJ21)</f>
        <v>189000</v>
      </c>
      <c r="CN21" s="169">
        <f t="shared" si="16"/>
        <v>1641750</v>
      </c>
      <c r="CO21" s="169">
        <v>1</v>
      </c>
      <c r="CP21" s="169">
        <f t="shared" si="17"/>
        <v>182416</v>
      </c>
      <c r="CQ21" s="169">
        <v>9</v>
      </c>
      <c r="CS21" s="171"/>
      <c r="CT21" s="170"/>
      <c r="CU21" s="14">
        <f>SUMIFS($CW$5:$CW$154,$CV$5:$CV$154,"&gt;="&amp;INDEX($CE$5:$CE$32,CU19),$CV$5:$CV$154,"&lt;"&amp;INDEX($CF$5:$CF$32,CU19))</f>
        <v>62.5</v>
      </c>
      <c r="CV21" s="169">
        <v>17</v>
      </c>
      <c r="CW21" s="169">
        <v>5</v>
      </c>
      <c r="CX21" s="21">
        <f t="shared" si="32"/>
        <v>0.08</v>
      </c>
      <c r="CY21" s="169">
        <f t="shared" si="33"/>
        <v>2040</v>
      </c>
      <c r="CZ21" s="50">
        <f>SUM(CY$5:CY21)</f>
        <v>15255</v>
      </c>
      <c r="DB21" s="188">
        <f t="shared" si="20"/>
        <v>1000</v>
      </c>
      <c r="DC21" s="188">
        <f t="shared" si="20"/>
        <v>1600</v>
      </c>
      <c r="DD21" s="188">
        <f t="shared" si="20"/>
        <v>2000</v>
      </c>
      <c r="DE21" s="188">
        <f t="shared" si="20"/>
        <v>2400</v>
      </c>
      <c r="DF21" s="188">
        <f t="shared" si="20"/>
        <v>3050</v>
      </c>
      <c r="DI21" s="186">
        <v>17</v>
      </c>
      <c r="DJ21" s="14">
        <f t="shared" si="21"/>
        <v>4</v>
      </c>
      <c r="DK21" s="14">
        <f t="shared" si="1"/>
        <v>4</v>
      </c>
      <c r="DL21" s="14">
        <f t="shared" si="2"/>
        <v>1101004</v>
      </c>
      <c r="DM21" s="136" t="s">
        <v>1097</v>
      </c>
      <c r="DN21" s="14">
        <f t="shared" si="3"/>
        <v>2</v>
      </c>
      <c r="DO21" s="14" t="str">
        <f t="shared" si="4"/>
        <v>项昆仑-2星</v>
      </c>
      <c r="DP21" s="136" t="s">
        <v>1103</v>
      </c>
      <c r="DQ21" s="14">
        <f t="shared" si="22"/>
        <v>8000</v>
      </c>
      <c r="DR21" s="14" t="str">
        <f t="shared" si="5"/>
        <v>项昆仑碎片</v>
      </c>
      <c r="DS21" s="14">
        <f t="shared" si="23"/>
        <v>80</v>
      </c>
    </row>
    <row r="22" spans="1:123" ht="16.5" x14ac:dyDescent="0.2">
      <c r="A22" s="14">
        <v>1102010</v>
      </c>
      <c r="B22" s="14" t="s">
        <v>181</v>
      </c>
      <c r="C22" s="14">
        <v>4</v>
      </c>
      <c r="D22" s="14">
        <v>80</v>
      </c>
      <c r="E22" s="14">
        <v>1</v>
      </c>
      <c r="F22" s="101">
        <f t="shared" si="27"/>
        <v>1502010</v>
      </c>
      <c r="G22" s="15"/>
      <c r="I22" s="136">
        <v>2</v>
      </c>
      <c r="J22" s="136"/>
      <c r="K22" s="136">
        <v>3500</v>
      </c>
      <c r="L22" s="136">
        <v>5000</v>
      </c>
      <c r="M22" s="136">
        <v>8000</v>
      </c>
      <c r="N22" s="136">
        <v>12000</v>
      </c>
      <c r="T22" s="139">
        <v>18</v>
      </c>
      <c r="U22" s="139">
        <f>ROUND(INDEX(挂机升级突破!$DJ$6:$DJ$57,卡牌消耗!$T22)*INDEX(卡牌消耗!$B$8:$F$8,卡牌消耗!U$2)/$Q$4/5,0)*5</f>
        <v>2865</v>
      </c>
      <c r="V22" s="139">
        <f>ROUND(INDEX(挂机升级突破!$DJ$6:$DJ$57,卡牌消耗!$T22)*INDEX(卡牌消耗!$B$8:$F$8,卡牌消耗!V$2)/$Q$4/5,0)*5</f>
        <v>4095</v>
      </c>
      <c r="W22" s="139">
        <f>ROUND(INDEX(挂机升级突破!$DJ$6:$DJ$57,卡牌消耗!$T22)*INDEX(卡牌消耗!$B$8:$F$8,卡牌消耗!W$2)/$Q$4/5,0)*5</f>
        <v>6140</v>
      </c>
      <c r="X22" s="139">
        <f>ROUND(INDEX(挂机升级突破!$DJ$6:$DJ$57,卡牌消耗!$T22)*INDEX(卡牌消耗!$B$8:$F$8,卡牌消耗!X$2)/$Q$4/5,0)*5</f>
        <v>8185</v>
      </c>
      <c r="Z22" s="196">
        <v>2</v>
      </c>
      <c r="AA22" s="196">
        <v>18</v>
      </c>
      <c r="AB22" s="14">
        <f>ROUND(INDEX(挂机升级突破!DT$6:DT$57,卡牌消耗!$AA22)*INDEX(卡牌消耗!$B$5:$F$5,卡牌消耗!$Z22)/卡牌消耗!$Q$4/AB$2,0)*AB$2</f>
        <v>0</v>
      </c>
      <c r="AC22" s="14">
        <f>ROUND(INDEX(挂机升级突破!DU$6:DU$57,卡牌消耗!$AA22)*INDEX(卡牌消耗!$B$5:$F$5,卡牌消耗!$Z22)/卡牌消耗!$Q$4/AC$2,0)*AC$2</f>
        <v>0</v>
      </c>
      <c r="AD22" s="14">
        <f>ROUND(INDEX(挂机升级突破!DV$6:DV$57,卡牌消耗!$AA22)*INDEX(卡牌消耗!$B$5:$F$5,卡牌消耗!$Z22)/卡牌消耗!$Q$4/AD$2,0)*AD$2</f>
        <v>35</v>
      </c>
      <c r="AE22" s="14">
        <f>ROUND(INDEX(挂机升级突破!DW$6:DW$57,卡牌消耗!$AA22)*INDEX(卡牌消耗!$B$5:$F$5,卡牌消耗!$Z22)/卡牌消耗!$Q$4/AE$2,0)*AE$2</f>
        <v>0</v>
      </c>
      <c r="AF22" s="14">
        <f>ROUND(INDEX(挂机升级突破!DX$6:DX$57,卡牌消耗!$AA22)*INDEX(卡牌消耗!$B$5:$F$5,卡牌消耗!$Z22)/卡牌消耗!$Q$4/AF$2,0)*AF$2</f>
        <v>0</v>
      </c>
      <c r="AG22" s="14">
        <f>ROUND(INDEX(挂机升级突破!EC$6:EC$57,卡牌消耗!$AA22)*INDEX(卡牌消耗!$B$7:$F$7,卡牌消耗!$Z22)/卡牌消耗!$Q$4/AG$2,0)*AG$2</f>
        <v>0</v>
      </c>
      <c r="AH22" s="14">
        <f>ROUND(INDEX(挂机升级突破!ED$6:ED$57,卡牌消耗!$AA22)*INDEX(卡牌消耗!$B$8:$F$8,卡牌消耗!$Z22)/卡牌消耗!$Q$4/AH$2,0)*AH$2</f>
        <v>2850</v>
      </c>
      <c r="AK22" s="104">
        <v>18</v>
      </c>
      <c r="AL22" s="14">
        <f t="shared" si="6"/>
        <v>1</v>
      </c>
      <c r="AM22" s="14">
        <f>INDEX(挂机升级突破!DQ$6:DQ$57,卡牌消耗!$AT22)</f>
        <v>11</v>
      </c>
      <c r="AN22" s="14">
        <f>INDEX(挂机升级突破!DR$6:DR$57,卡牌消耗!$AT22)</f>
        <v>3</v>
      </c>
      <c r="AO22" s="14">
        <f>INDEX(挂机升级突破!DS$6:DS$57,卡牌消耗!$AT22)</f>
        <v>0</v>
      </c>
      <c r="AP22" s="14">
        <f>INDEX(挂机升级突破!$DP$6:$DP$57,卡牌消耗!AT22)</f>
        <v>63</v>
      </c>
      <c r="AQ22" s="14" t="str">
        <f t="shared" si="7"/>
        <v>关羽</v>
      </c>
      <c r="AR22" s="14">
        <f t="shared" si="8"/>
        <v>5</v>
      </c>
      <c r="AS22" s="14" t="str">
        <f t="shared" si="9"/>
        <v>关羽魂火-18</v>
      </c>
      <c r="AT22" s="14">
        <f t="shared" si="10"/>
        <v>18</v>
      </c>
      <c r="AU22" s="14" t="str">
        <f>IF(AM22&gt;0,INDEX(挂机升级突破!$DT$4:$ED$4,AM22),"")</f>
        <v>金币</v>
      </c>
      <c r="AV22" s="14">
        <f>ROUND(INDEX(挂机升级突破!$DJ$6:$DJ$57,卡牌消耗!AT22)*INDEX(卡牌消耗!$B$8:$F$8,AR22)/$Q$4/50,0)*50</f>
        <v>8200</v>
      </c>
      <c r="AW22" s="14" t="str">
        <f>IF(AN22&gt;0,INDEX(挂机升级突破!$DT$4:$ED$4,AN22),"")</f>
        <v>紫色基础材料</v>
      </c>
      <c r="AX22" s="14">
        <f>ROUND(INDEX(挂机升级突破!$DT$6:$ED$57,卡牌消耗!AT22,AN22)*INDEX(卡牌消耗!$B$5:$F$5,AR22)/$Q$4/5,0)*5</f>
        <v>70</v>
      </c>
      <c r="AY22" s="14" t="str">
        <f>IF(AO22&gt;0,INDEX(挂机升级突破!$DT$4:$ED$4,AO22),"")</f>
        <v/>
      </c>
      <c r="AZ22" s="14" t="str">
        <f>IF(AO22&gt;0,ROUND(INDEX(挂机升级突破!$DT$6:$ED$57,卡牌消耗!AT22,AO22)*INDEX(卡牌消耗!$B$7:$F$7,AR22)/$Q$4,0),"")</f>
        <v/>
      </c>
      <c r="BC22" s="196">
        <v>2</v>
      </c>
      <c r="BD22" s="196">
        <v>18</v>
      </c>
      <c r="BE22" s="14">
        <f>ROUND(INDEX(挂机升级突破!ER$7:ER$26,卡牌消耗!$BD22)*INDEX(卡牌消耗!$B$6:$F$6,$BC22)/$Q$4,0)</f>
        <v>0</v>
      </c>
      <c r="BF22" s="14">
        <f>ROUND(INDEX(挂机升级突破!ES$7:ES$26,卡牌消耗!$BD22)*INDEX(卡牌消耗!$B$6:$F$6,$BC22)/$Q$4,0)</f>
        <v>0</v>
      </c>
      <c r="BG22" s="14">
        <f>ROUND(INDEX(挂机升级突破!ET$7:ET$26,卡牌消耗!$BD22)*INDEX(卡牌消耗!$B$6:$F$6,$BC22)/$Q$4,0)</f>
        <v>0</v>
      </c>
      <c r="BH22" s="14">
        <f>ROUND(INDEX(挂机升级突破!EU$7:EU$26,卡牌消耗!$BD22)*INDEX(卡牌消耗!$B$6:$F$6,$BC22)/$Q$4,0)</f>
        <v>20</v>
      </c>
      <c r="BI22" s="14">
        <f>ROUND(INDEX(挂机升级突破!$EV$7:$EV$26,卡牌消耗!BD22)*INDEX(卡牌消耗!$B$8:$F$8,$BC22)/$Q$4/BI$2,0)*BI$2</f>
        <v>75000</v>
      </c>
      <c r="BL22" s="104">
        <v>18</v>
      </c>
      <c r="BM22" s="14">
        <f t="shared" si="11"/>
        <v>1</v>
      </c>
      <c r="BN22" s="14">
        <f>INDEX(挂机升级突破!$EI$7:$EI$26,BS22)</f>
        <v>5</v>
      </c>
      <c r="BO22" s="14">
        <f>INDEX(挂机升级突破!$EJ$7:$EJ$26,BS22)</f>
        <v>4</v>
      </c>
      <c r="BP22" s="14">
        <f t="shared" si="12"/>
        <v>5</v>
      </c>
      <c r="BQ22" s="14">
        <f>INDEX(挂机升级突破!$EH$7:$EH$26,卡牌消耗!BS22)</f>
        <v>125</v>
      </c>
      <c r="BR22" s="14" t="str">
        <f t="shared" si="13"/>
        <v>关羽</v>
      </c>
      <c r="BS22" s="14">
        <f t="shared" si="14"/>
        <v>18</v>
      </c>
      <c r="BT22" s="14" t="str">
        <f t="shared" si="15"/>
        <v>关羽18突</v>
      </c>
      <c r="BU22" s="14" t="str">
        <f>IF(BN22&gt;0,INDEX(挂机升级突破!$ER$5:$EV$5,卡牌消耗!BN22),"")</f>
        <v>金币</v>
      </c>
      <c r="BV22" s="14">
        <f>IF(BN22&gt;0,ROUND(INDEX(挂机升级突破!$EV$7:$EV$26,卡牌消耗!BS22)*INDEX(卡牌消耗!$B$8:$F$8,BP22)/$Q$4/500,0)*500,"")</f>
        <v>215000</v>
      </c>
      <c r="BW22" s="14" t="str">
        <f>IF(BO22&gt;0,INDEX(挂机升级突破!$ER$5:$EV$5,卡牌消耗!BO22),"")</f>
        <v>铀金</v>
      </c>
      <c r="BX22" s="14">
        <f>IF(BO22&gt;0,ROUND(INDEX(挂机升级突破!$ER$7:$EU$26,卡牌消耗!BS22,卡牌消耗!BO22)*INDEX($B$6:$F$6,BP22)/$Q$4/5,0)*5,"")</f>
        <v>35</v>
      </c>
      <c r="BY22" s="193"/>
      <c r="BZ22" s="193"/>
      <c r="CC22" s="158">
        <v>18</v>
      </c>
      <c r="CD22" s="169" t="s">
        <v>460</v>
      </c>
      <c r="CE22" s="169">
        <v>95</v>
      </c>
      <c r="CF22" s="169">
        <v>100</v>
      </c>
      <c r="CG22" s="169">
        <f>INDEX(章节关卡!$L$6:$L$35,卡牌消耗!CC22)*INDEX(节奏总表!$N$5:$N$34,卡牌消耗!CC22)*60</f>
        <v>1332000</v>
      </c>
      <c r="CH22" s="169">
        <v>18</v>
      </c>
      <c r="CI22" s="169">
        <f>SUMIFS(章节关卡!$BF$5:$BF$304,章节关卡!$BB$5:$BB$304,"="&amp;卡牌消耗!CH22)</f>
        <v>83250</v>
      </c>
      <c r="CJ22" s="169">
        <v>16</v>
      </c>
      <c r="CK22" s="169">
        <f>SUMIFS(章节关卡!$BP$5:$BP$304,章节关卡!$BL$5:$BL$304,"="&amp;卡牌消耗!CJ22)</f>
        <v>144000</v>
      </c>
      <c r="CL22" s="169">
        <f>SUMIFS(章节关卡!$ED$5:$ED$94,章节关卡!$DK$5:$DK$94,"="&amp;卡牌消耗!CH22)</f>
        <v>66600</v>
      </c>
      <c r="CM22" s="169">
        <f>SUMIFS(章节关卡!$FC$5:$FC$94,章节关卡!$DK$5:$DK$94,"="&amp;CJ22)</f>
        <v>199800</v>
      </c>
      <c r="CN22" s="169">
        <f t="shared" si="16"/>
        <v>1825650</v>
      </c>
      <c r="CO22" s="169">
        <v>1</v>
      </c>
      <c r="CP22" s="169">
        <f t="shared" si="17"/>
        <v>202850</v>
      </c>
      <c r="CQ22" s="169">
        <v>9</v>
      </c>
      <c r="CS22" s="171"/>
      <c r="CT22" s="171"/>
      <c r="CU22" s="171"/>
      <c r="CV22" s="169">
        <v>18</v>
      </c>
      <c r="CW22" s="169">
        <v>5.5</v>
      </c>
      <c r="CX22" s="21">
        <f t="shared" si="32"/>
        <v>8.7999999999999995E-2</v>
      </c>
      <c r="CY22" s="169">
        <f t="shared" si="33"/>
        <v>2245</v>
      </c>
      <c r="CZ22" s="50">
        <f>SUM(CY$5:CY22)</f>
        <v>17500</v>
      </c>
      <c r="DB22" s="188">
        <f t="shared" si="20"/>
        <v>1100</v>
      </c>
      <c r="DC22" s="188">
        <f t="shared" si="20"/>
        <v>1750</v>
      </c>
      <c r="DD22" s="188">
        <f t="shared" si="20"/>
        <v>2200</v>
      </c>
      <c r="DE22" s="188">
        <f t="shared" si="20"/>
        <v>2650</v>
      </c>
      <c r="DF22" s="188">
        <f t="shared" si="20"/>
        <v>3350</v>
      </c>
      <c r="DI22" s="186">
        <v>18</v>
      </c>
      <c r="DJ22" s="14">
        <f t="shared" si="21"/>
        <v>4</v>
      </c>
      <c r="DK22" s="14">
        <f t="shared" si="1"/>
        <v>4</v>
      </c>
      <c r="DL22" s="14">
        <f t="shared" si="2"/>
        <v>1101004</v>
      </c>
      <c r="DM22" s="136" t="s">
        <v>1097</v>
      </c>
      <c r="DN22" s="14">
        <f t="shared" si="3"/>
        <v>3</v>
      </c>
      <c r="DO22" s="14" t="str">
        <f t="shared" si="4"/>
        <v>项昆仑-3星</v>
      </c>
      <c r="DP22" s="136" t="s">
        <v>1103</v>
      </c>
      <c r="DQ22" s="14">
        <f t="shared" si="22"/>
        <v>14000</v>
      </c>
      <c r="DR22" s="14" t="str">
        <f t="shared" si="5"/>
        <v>项昆仑碎片</v>
      </c>
      <c r="DS22" s="14">
        <f t="shared" si="23"/>
        <v>80</v>
      </c>
    </row>
    <row r="23" spans="1:123" ht="16.5" x14ac:dyDescent="0.2">
      <c r="A23" s="14">
        <v>1102011</v>
      </c>
      <c r="B23" s="14" t="s">
        <v>182</v>
      </c>
      <c r="C23" s="14">
        <v>4</v>
      </c>
      <c r="D23" s="14">
        <v>80</v>
      </c>
      <c r="E23" s="14">
        <v>3</v>
      </c>
      <c r="F23" s="101">
        <f t="shared" si="27"/>
        <v>1502011</v>
      </c>
      <c r="G23" s="15"/>
      <c r="I23" s="136">
        <v>3</v>
      </c>
      <c r="J23" s="136"/>
      <c r="K23" s="136">
        <v>7000</v>
      </c>
      <c r="L23" s="136">
        <v>10000</v>
      </c>
      <c r="M23" s="136">
        <v>14000</v>
      </c>
      <c r="N23" s="136">
        <v>20000</v>
      </c>
      <c r="T23" s="139">
        <v>19</v>
      </c>
      <c r="U23" s="139">
        <f>ROUND(INDEX(挂机升级突破!$DJ$6:$DJ$57,卡牌消耗!$T23)*INDEX(卡牌消耗!$B$8:$F$8,卡牌消耗!U$2)/$Q$4/5,0)*5</f>
        <v>2865</v>
      </c>
      <c r="V23" s="139">
        <f>ROUND(INDEX(挂机升级突破!$DJ$6:$DJ$57,卡牌消耗!$T23)*INDEX(卡牌消耗!$B$8:$F$8,卡牌消耗!V$2)/$Q$4/5,0)*5</f>
        <v>4095</v>
      </c>
      <c r="W23" s="139">
        <f>ROUND(INDEX(挂机升级突破!$DJ$6:$DJ$57,卡牌消耗!$T23)*INDEX(卡牌消耗!$B$8:$F$8,卡牌消耗!W$2)/$Q$4/5,0)*5</f>
        <v>6140</v>
      </c>
      <c r="X23" s="139">
        <f>ROUND(INDEX(挂机升级突破!$DJ$6:$DJ$57,卡牌消耗!$T23)*INDEX(卡牌消耗!$B$8:$F$8,卡牌消耗!X$2)/$Q$4/5,0)*5</f>
        <v>8185</v>
      </c>
      <c r="Z23" s="196">
        <v>2</v>
      </c>
      <c r="AA23" s="196">
        <v>19</v>
      </c>
      <c r="AB23" s="14">
        <f>ROUND(INDEX(挂机升级突破!DT$6:DT$57,卡牌消耗!$AA23)*INDEX(卡牌消耗!$B$5:$F$5,卡牌消耗!$Z23)/卡牌消耗!$Q$4/AB$2,0)*AB$2</f>
        <v>0</v>
      </c>
      <c r="AC23" s="14">
        <f>ROUND(INDEX(挂机升级突破!DU$6:DU$57,卡牌消耗!$AA23)*INDEX(卡牌消耗!$B$5:$F$5,卡牌消耗!$Z23)/卡牌消耗!$Q$4/AC$2,0)*AC$2</f>
        <v>0</v>
      </c>
      <c r="AD23" s="14">
        <f>ROUND(INDEX(挂机升级突破!DV$6:DV$57,卡牌消耗!$AA23)*INDEX(卡牌消耗!$B$5:$F$5,卡牌消耗!$Z23)/卡牌消耗!$Q$4/AD$2,0)*AD$2</f>
        <v>35</v>
      </c>
      <c r="AE23" s="14">
        <f>ROUND(INDEX(挂机升级突破!DW$6:DW$57,卡牌消耗!$AA23)*INDEX(卡牌消耗!$B$5:$F$5,卡牌消耗!$Z23)/卡牌消耗!$Q$4/AE$2,0)*AE$2</f>
        <v>0</v>
      </c>
      <c r="AF23" s="14">
        <f>ROUND(INDEX(挂机升级突破!DX$6:DX$57,卡牌消耗!$AA23)*INDEX(卡牌消耗!$B$5:$F$5,卡牌消耗!$Z23)/卡牌消耗!$Q$4/AF$2,0)*AF$2</f>
        <v>0</v>
      </c>
      <c r="AG23" s="14">
        <f>ROUND(INDEX(挂机升级突破!EC$6:EC$57,卡牌消耗!$AA23)*INDEX(卡牌消耗!$B$7:$F$7,卡牌消耗!$Z23)/卡牌消耗!$Q$4/AG$2,0)*AG$2</f>
        <v>0</v>
      </c>
      <c r="AH23" s="14">
        <f>ROUND(INDEX(挂机升级突破!ED$6:ED$57,卡牌消耗!$AA23)*INDEX(卡牌消耗!$B$8:$F$8,卡牌消耗!$Z23)/卡牌消耗!$Q$4/AH$2,0)*AH$2</f>
        <v>2850</v>
      </c>
      <c r="AK23" s="104">
        <v>19</v>
      </c>
      <c r="AL23" s="14">
        <f t="shared" si="6"/>
        <v>1</v>
      </c>
      <c r="AM23" s="14">
        <f>INDEX(挂机升级突破!DQ$6:DQ$57,卡牌消耗!$AT23)</f>
        <v>11</v>
      </c>
      <c r="AN23" s="14">
        <f>INDEX(挂机升级突破!DR$6:DR$57,卡牌消耗!$AT23)</f>
        <v>3</v>
      </c>
      <c r="AO23" s="14">
        <f>INDEX(挂机升级突破!DS$6:DS$57,卡牌消耗!$AT23)</f>
        <v>0</v>
      </c>
      <c r="AP23" s="14">
        <f>INDEX(挂机升级突破!$DP$6:$DP$57,卡牌消耗!AT23)</f>
        <v>65</v>
      </c>
      <c r="AQ23" s="14" t="str">
        <f t="shared" si="7"/>
        <v>关羽</v>
      </c>
      <c r="AR23" s="14">
        <f t="shared" si="8"/>
        <v>5</v>
      </c>
      <c r="AS23" s="14" t="str">
        <f t="shared" si="9"/>
        <v>关羽魂火-19</v>
      </c>
      <c r="AT23" s="14">
        <f t="shared" si="10"/>
        <v>19</v>
      </c>
      <c r="AU23" s="14" t="str">
        <f>IF(AM23&gt;0,INDEX(挂机升级突破!$DT$4:$ED$4,AM23),"")</f>
        <v>金币</v>
      </c>
      <c r="AV23" s="14">
        <f>ROUND(INDEX(挂机升级突破!$DJ$6:$DJ$57,卡牌消耗!AT23)*INDEX(卡牌消耗!$B$8:$F$8,AR23)/$Q$4/50,0)*50</f>
        <v>8200</v>
      </c>
      <c r="AW23" s="14" t="str">
        <f>IF(AN23&gt;0,INDEX(挂机升级突破!$DT$4:$ED$4,AN23),"")</f>
        <v>紫色基础材料</v>
      </c>
      <c r="AX23" s="14">
        <f>ROUND(INDEX(挂机升级突破!$DT$6:$ED$57,卡牌消耗!AT23,AN23)*INDEX(卡牌消耗!$B$5:$F$5,AR23)/$Q$4/5,0)*5</f>
        <v>70</v>
      </c>
      <c r="AY23" s="14" t="str">
        <f>IF(AO23&gt;0,INDEX(挂机升级突破!$DT$4:$ED$4,AO23),"")</f>
        <v/>
      </c>
      <c r="AZ23" s="14" t="str">
        <f>IF(AO23&gt;0,ROUND(INDEX(挂机升级突破!$DT$6:$ED$57,卡牌消耗!AT23,AO23)*INDEX(卡牌消耗!$B$7:$F$7,AR23)/$Q$4,0),"")</f>
        <v/>
      </c>
      <c r="BC23" s="196">
        <v>2</v>
      </c>
      <c r="BD23" s="196">
        <v>19</v>
      </c>
      <c r="BE23" s="14">
        <f>ROUND(INDEX(挂机升级突破!ER$7:ER$26,卡牌消耗!$BD23)*INDEX(卡牌消耗!$B$6:$F$6,$BC23)/$Q$4,0)</f>
        <v>0</v>
      </c>
      <c r="BF23" s="14">
        <f>ROUND(INDEX(挂机升级突破!ES$7:ES$26,卡牌消耗!$BD23)*INDEX(卡牌消耗!$B$6:$F$6,$BC23)/$Q$4,0)</f>
        <v>0</v>
      </c>
      <c r="BG23" s="14">
        <f>ROUND(INDEX(挂机升级突破!ET$7:ET$26,卡牌消耗!$BD23)*INDEX(卡牌消耗!$B$6:$F$6,$BC23)/$Q$4,0)</f>
        <v>0</v>
      </c>
      <c r="BH23" s="14">
        <f>ROUND(INDEX(挂机升级突破!EU$7:EU$26,卡牌消耗!$BD23)*INDEX(卡牌消耗!$B$6:$F$6,$BC23)/$Q$4,0)</f>
        <v>26</v>
      </c>
      <c r="BI23" s="14">
        <f>ROUND(INDEX(挂机升级突破!$EV$7:$EV$26,卡牌消耗!BD23)*INDEX(卡牌消耗!$B$8:$F$8,$BC23)/$Q$4/BI$2,0)*BI$2</f>
        <v>191500</v>
      </c>
      <c r="BL23" s="104">
        <v>19</v>
      </c>
      <c r="BM23" s="14">
        <f t="shared" si="11"/>
        <v>1</v>
      </c>
      <c r="BN23" s="14">
        <f>INDEX(挂机升级突破!$EI$7:$EI$26,BS23)</f>
        <v>5</v>
      </c>
      <c r="BO23" s="14">
        <f>INDEX(挂机升级突破!$EJ$7:$EJ$26,BS23)</f>
        <v>4</v>
      </c>
      <c r="BP23" s="14">
        <f t="shared" si="12"/>
        <v>5</v>
      </c>
      <c r="BQ23" s="14">
        <f>INDEX(挂机升级突破!$EH$7:$EH$26,卡牌消耗!BS23)</f>
        <v>132</v>
      </c>
      <c r="BR23" s="14" t="str">
        <f t="shared" si="13"/>
        <v>关羽</v>
      </c>
      <c r="BS23" s="14">
        <f t="shared" si="14"/>
        <v>19</v>
      </c>
      <c r="BT23" s="14" t="str">
        <f t="shared" si="15"/>
        <v>关羽19突</v>
      </c>
      <c r="BU23" s="14" t="str">
        <f>IF(BN23&gt;0,INDEX(挂机升级突破!$ER$5:$EV$5,卡牌消耗!BN23),"")</f>
        <v>金币</v>
      </c>
      <c r="BV23" s="14">
        <f>IF(BN23&gt;0,ROUND(INDEX(挂机升级突破!$EV$7:$EV$26,卡牌消耗!BS23)*INDEX(卡牌消耗!$B$8:$F$8,BP23)/$Q$4/500,0)*500,"")</f>
        <v>547000</v>
      </c>
      <c r="BW23" s="14" t="str">
        <f>IF(BO23&gt;0,INDEX(挂机升级突破!$ER$5:$EV$5,卡牌消耗!BO23),"")</f>
        <v>铀金</v>
      </c>
      <c r="BX23" s="14">
        <f>IF(BO23&gt;0,ROUND(INDEX(挂机升级突破!$ER$7:$EU$26,卡牌消耗!BS23,卡牌消耗!BO23)*INDEX($B$6:$F$6,BP23)/$Q$4/5,0)*5,"")</f>
        <v>50</v>
      </c>
      <c r="BY23" s="193"/>
      <c r="BZ23" s="193"/>
      <c r="CC23" s="158">
        <v>19</v>
      </c>
      <c r="CD23" s="169" t="s">
        <v>462</v>
      </c>
      <c r="CE23" s="169">
        <v>100</v>
      </c>
      <c r="CF23" s="169">
        <v>105</v>
      </c>
      <c r="CG23" s="169">
        <f>INDEX(章节关卡!$L$6:$L$35,卡牌消耗!CC23)*INDEX(节奏总表!$N$5:$N$34,卡牌消耗!CC23)*60</f>
        <v>1500000</v>
      </c>
      <c r="CH23" s="169">
        <v>19</v>
      </c>
      <c r="CI23" s="169">
        <f>SUMIFS(章节关卡!$BF$5:$BF$304,章节关卡!$BB$5:$BB$304,"="&amp;卡牌消耗!CH23)</f>
        <v>90000</v>
      </c>
      <c r="CJ23" s="169">
        <v>17</v>
      </c>
      <c r="CK23" s="169">
        <f>SUMIFS(章节关卡!$BP$5:$BP$304,章节关卡!$BL$5:$BL$304,"="&amp;卡牌消耗!CJ23)</f>
        <v>157500</v>
      </c>
      <c r="CL23" s="169">
        <f>SUMIFS(章节关卡!$ED$5:$ED$94,章节关卡!$DK$5:$DK$94,"="&amp;卡牌消耗!CH23)</f>
        <v>72000</v>
      </c>
      <c r="CM23" s="169">
        <f>SUMIFS(章节关卡!$FC$5:$FC$94,章节关卡!$DK$5:$DK$94,"="&amp;CJ23)</f>
        <v>216000</v>
      </c>
      <c r="CN23" s="169">
        <f t="shared" si="16"/>
        <v>2035500</v>
      </c>
      <c r="CO23" s="169">
        <v>1</v>
      </c>
      <c r="CP23" s="169">
        <f t="shared" si="17"/>
        <v>226166</v>
      </c>
      <c r="CQ23" s="169">
        <v>9</v>
      </c>
      <c r="CS23" s="171"/>
      <c r="CT23" s="171"/>
      <c r="CU23" s="171"/>
      <c r="CV23" s="169">
        <v>19</v>
      </c>
      <c r="CW23" s="169">
        <v>6</v>
      </c>
      <c r="CX23" s="21">
        <f t="shared" si="32"/>
        <v>9.6000000000000002E-2</v>
      </c>
      <c r="CY23" s="169">
        <f t="shared" si="33"/>
        <v>2450</v>
      </c>
      <c r="CZ23" s="50">
        <f>SUM(CY$5:CY23)</f>
        <v>19950</v>
      </c>
      <c r="DB23" s="188">
        <f t="shared" si="20"/>
        <v>1200</v>
      </c>
      <c r="DC23" s="188">
        <f t="shared" si="20"/>
        <v>1950</v>
      </c>
      <c r="DD23" s="188">
        <f t="shared" si="20"/>
        <v>2450</v>
      </c>
      <c r="DE23" s="188">
        <f t="shared" si="20"/>
        <v>2900</v>
      </c>
      <c r="DF23" s="188">
        <f t="shared" si="20"/>
        <v>3650</v>
      </c>
      <c r="DI23" s="186">
        <v>19</v>
      </c>
      <c r="DJ23" s="14">
        <f t="shared" si="21"/>
        <v>4</v>
      </c>
      <c r="DK23" s="14">
        <f t="shared" si="1"/>
        <v>4</v>
      </c>
      <c r="DL23" s="14">
        <f t="shared" si="2"/>
        <v>1101004</v>
      </c>
      <c r="DM23" s="136" t="s">
        <v>1097</v>
      </c>
      <c r="DN23" s="14">
        <f t="shared" si="3"/>
        <v>4</v>
      </c>
      <c r="DO23" s="14" t="str">
        <f t="shared" si="4"/>
        <v>项昆仑-4星</v>
      </c>
      <c r="DP23" s="136" t="s">
        <v>1103</v>
      </c>
      <c r="DQ23" s="14">
        <f t="shared" si="22"/>
        <v>32000</v>
      </c>
      <c r="DR23" s="14" t="str">
        <f t="shared" si="5"/>
        <v>项昆仑碎片</v>
      </c>
      <c r="DS23" s="14">
        <f t="shared" si="23"/>
        <v>80</v>
      </c>
    </row>
    <row r="24" spans="1:123" ht="16.5" x14ac:dyDescent="0.2">
      <c r="A24" s="14">
        <v>1102012</v>
      </c>
      <c r="B24" s="14" t="s">
        <v>183</v>
      </c>
      <c r="C24" s="14">
        <v>5</v>
      </c>
      <c r="D24" s="14">
        <v>80</v>
      </c>
      <c r="E24" s="14">
        <v>1</v>
      </c>
      <c r="F24" s="101">
        <f t="shared" si="27"/>
        <v>1502012</v>
      </c>
      <c r="G24" s="15"/>
      <c r="I24" s="136">
        <v>4</v>
      </c>
      <c r="J24" s="136"/>
      <c r="K24" s="136">
        <v>16000</v>
      </c>
      <c r="L24" s="136">
        <v>20000</v>
      </c>
      <c r="M24" s="136">
        <v>32000</v>
      </c>
      <c r="N24" s="136">
        <v>50000</v>
      </c>
      <c r="T24" s="139">
        <v>20</v>
      </c>
      <c r="U24" s="139">
        <f>ROUND(INDEX(挂机升级突破!$DJ$6:$DJ$57,卡牌消耗!$T24)*INDEX(卡牌消耗!$B$8:$F$8,卡牌消耗!U$2)/$Q$4/5,0)*5</f>
        <v>3515</v>
      </c>
      <c r="V24" s="139">
        <f>ROUND(INDEX(挂机升级突破!$DJ$6:$DJ$57,卡牌消耗!$T24)*INDEX(卡牌消耗!$B$8:$F$8,卡牌消耗!V$2)/$Q$4/5,0)*5</f>
        <v>5020</v>
      </c>
      <c r="W24" s="139">
        <f>ROUND(INDEX(挂机升级突破!$DJ$6:$DJ$57,卡牌消耗!$T24)*INDEX(卡牌消耗!$B$8:$F$8,卡牌消耗!W$2)/$Q$4/5,0)*5</f>
        <v>7525</v>
      </c>
      <c r="X24" s="139">
        <f>ROUND(INDEX(挂机升级突破!$DJ$6:$DJ$57,卡牌消耗!$T24)*INDEX(卡牌消耗!$B$8:$F$8,卡牌消耗!X$2)/$Q$4/5,0)*5</f>
        <v>10035</v>
      </c>
      <c r="Z24" s="196">
        <v>2</v>
      </c>
      <c r="AA24" s="196">
        <v>20</v>
      </c>
      <c r="AB24" s="14">
        <f>ROUND(INDEX(挂机升级突破!DT$6:DT$57,卡牌消耗!$AA24)*INDEX(卡牌消耗!$B$5:$F$5,卡牌消耗!$Z24)/卡牌消耗!$Q$4/AB$2,0)*AB$2</f>
        <v>0</v>
      </c>
      <c r="AC24" s="14">
        <f>ROUND(INDEX(挂机升级突破!DU$6:DU$57,卡牌消耗!$AA24)*INDEX(卡牌消耗!$B$5:$F$5,卡牌消耗!$Z24)/卡牌消耗!$Q$4/AC$2,0)*AC$2</f>
        <v>0</v>
      </c>
      <c r="AD24" s="14">
        <f>ROUND(INDEX(挂机升级突破!DV$6:DV$57,卡牌消耗!$AA24)*INDEX(卡牌消耗!$B$5:$F$5,卡牌消耗!$Z24)/卡牌消耗!$Q$4/AD$2,0)*AD$2</f>
        <v>55</v>
      </c>
      <c r="AE24" s="14">
        <f>ROUND(INDEX(挂机升级突破!DW$6:DW$57,卡牌消耗!$AA24)*INDEX(卡牌消耗!$B$5:$F$5,卡牌消耗!$Z24)/卡牌消耗!$Q$4/AE$2,0)*AE$2</f>
        <v>0</v>
      </c>
      <c r="AF24" s="14">
        <f>ROUND(INDEX(挂机升级突破!DX$6:DX$57,卡牌消耗!$AA24)*INDEX(卡牌消耗!$B$5:$F$5,卡牌消耗!$Z24)/卡牌消耗!$Q$4/AF$2,0)*AF$2</f>
        <v>0</v>
      </c>
      <c r="AG24" s="14">
        <f>ROUND(INDEX(挂机升级突破!EC$6:EC$57,卡牌消耗!$AA24)*INDEX(卡牌消耗!$B$7:$F$7,卡牌消耗!$Z24)/卡牌消耗!$Q$4/AG$2,0)*AG$2</f>
        <v>0</v>
      </c>
      <c r="AH24" s="14">
        <f>ROUND(INDEX(挂机升级突破!ED$6:ED$57,卡牌消耗!$AA24)*INDEX(卡牌消耗!$B$8:$F$8,卡牌消耗!$Z24)/卡牌消耗!$Q$4/AH$2,0)*AH$2</f>
        <v>3500</v>
      </c>
      <c r="AK24" s="104">
        <v>20</v>
      </c>
      <c r="AL24" s="14">
        <f t="shared" si="6"/>
        <v>1</v>
      </c>
      <c r="AM24" s="14">
        <f>INDEX(挂机升级突破!DQ$6:DQ$57,卡牌消耗!$AT24)</f>
        <v>11</v>
      </c>
      <c r="AN24" s="14">
        <f>INDEX(挂机升级突破!DR$6:DR$57,卡牌消耗!$AT24)</f>
        <v>3</v>
      </c>
      <c r="AO24" s="14">
        <f>INDEX(挂机升级突破!DS$6:DS$57,卡牌消耗!$AT24)</f>
        <v>0</v>
      </c>
      <c r="AP24" s="14">
        <f>INDEX(挂机升级突破!$DP$6:$DP$57,卡牌消耗!AT24)</f>
        <v>68</v>
      </c>
      <c r="AQ24" s="14" t="str">
        <f t="shared" si="7"/>
        <v>关羽</v>
      </c>
      <c r="AR24" s="14">
        <f t="shared" si="8"/>
        <v>5</v>
      </c>
      <c r="AS24" s="14" t="str">
        <f t="shared" si="9"/>
        <v>关羽魂火-20</v>
      </c>
      <c r="AT24" s="14">
        <f t="shared" si="10"/>
        <v>20</v>
      </c>
      <c r="AU24" s="14" t="str">
        <f>IF(AM24&gt;0,INDEX(挂机升级突破!$DT$4:$ED$4,AM24),"")</f>
        <v>金币</v>
      </c>
      <c r="AV24" s="14">
        <f>ROUND(INDEX(挂机升级突破!$DJ$6:$DJ$57,卡牌消耗!AT24)*INDEX(卡牌消耗!$B$8:$F$8,AR24)/$Q$4/50,0)*50</f>
        <v>10050</v>
      </c>
      <c r="AW24" s="14" t="str">
        <f>IF(AN24&gt;0,INDEX(挂机升级突破!$DT$4:$ED$4,AN24),"")</f>
        <v>紫色基础材料</v>
      </c>
      <c r="AX24" s="14">
        <f>ROUND(INDEX(挂机升级突破!$DT$6:$ED$57,卡牌消耗!AT24,AN24)*INDEX(卡牌消耗!$B$5:$F$5,AR24)/$Q$4/5,0)*5</f>
        <v>105</v>
      </c>
      <c r="AY24" s="14" t="str">
        <f>IF(AO24&gt;0,INDEX(挂机升级突破!$DT$4:$ED$4,AO24),"")</f>
        <v/>
      </c>
      <c r="AZ24" s="14" t="str">
        <f>IF(AO24&gt;0,ROUND(INDEX(挂机升级突破!$DT$6:$ED$57,卡牌消耗!AT24,AO24)*INDEX(卡牌消耗!$B$7:$F$7,AR24)/$Q$4,0),"")</f>
        <v/>
      </c>
      <c r="BC24" s="196">
        <v>2</v>
      </c>
      <c r="BD24" s="196">
        <v>20</v>
      </c>
      <c r="BE24" s="14">
        <f>ROUND(INDEX(挂机升级突破!ER$7:ER$26,卡牌消耗!$BD24)*INDEX(卡牌消耗!$B$6:$F$6,$BC24)/$Q$4,0)</f>
        <v>0</v>
      </c>
      <c r="BF24" s="14">
        <f>ROUND(INDEX(挂机升级突破!ES$7:ES$26,卡牌消耗!$BD24)*INDEX(卡牌消耗!$B$6:$F$6,$BC24)/$Q$4,0)</f>
        <v>0</v>
      </c>
      <c r="BG24" s="14">
        <f>ROUND(INDEX(挂机升级突破!ET$7:ET$26,卡牌消耗!$BD24)*INDEX(卡牌消耗!$B$6:$F$6,$BC24)/$Q$4,0)</f>
        <v>0</v>
      </c>
      <c r="BH24" s="14">
        <f>ROUND(INDEX(挂机升级突破!EU$7:EU$26,卡牌消耗!$BD24)*INDEX(卡牌消耗!$B$6:$F$6,$BC24)/$Q$4,0)</f>
        <v>34</v>
      </c>
      <c r="BI24" s="14">
        <f>ROUND(INDEX(挂机升级突破!$EV$7:$EV$26,卡牌消耗!BD24)*INDEX(卡牌消耗!$B$8:$F$8,$BC24)/$Q$4/BI$2,0)*BI$2</f>
        <v>287000</v>
      </c>
      <c r="BL24" s="104">
        <v>20</v>
      </c>
      <c r="BM24" s="14">
        <f t="shared" si="11"/>
        <v>1</v>
      </c>
      <c r="BN24" s="14">
        <f>INDEX(挂机升级突破!$EI$7:$EI$26,BS24)</f>
        <v>5</v>
      </c>
      <c r="BO24" s="14">
        <f>INDEX(挂机升级突破!$EJ$7:$EJ$26,BS24)</f>
        <v>4</v>
      </c>
      <c r="BP24" s="14">
        <f t="shared" si="12"/>
        <v>5</v>
      </c>
      <c r="BQ24" s="14">
        <f>INDEX(挂机升级突破!$EH$7:$EH$26,卡牌消耗!BS24)</f>
        <v>140</v>
      </c>
      <c r="BR24" s="14" t="str">
        <f t="shared" si="13"/>
        <v>关羽</v>
      </c>
      <c r="BS24" s="14">
        <f t="shared" si="14"/>
        <v>20</v>
      </c>
      <c r="BT24" s="14" t="str">
        <f t="shared" si="15"/>
        <v>关羽20突</v>
      </c>
      <c r="BU24" s="14" t="str">
        <f>IF(BN24&gt;0,INDEX(挂机升级突破!$ER$5:$EV$5,卡牌消耗!BN24),"")</f>
        <v>金币</v>
      </c>
      <c r="BV24" s="14">
        <f>IF(BN24&gt;0,ROUND(INDEX(挂机升级突破!$EV$7:$EV$26,卡牌消耗!BS24)*INDEX(卡牌消耗!$B$8:$F$8,BP24)/$Q$4/500,0)*500,"")</f>
        <v>820500</v>
      </c>
      <c r="BW24" s="14" t="str">
        <f>IF(BO24&gt;0,INDEX(挂机升级突破!$ER$5:$EV$5,卡牌消耗!BO24),"")</f>
        <v>铀金</v>
      </c>
      <c r="BX24" s="14">
        <f>IF(BO24&gt;0,ROUND(INDEX(挂机升级突破!$ER$7:$EU$26,卡牌消耗!BS24,卡牌消耗!BO24)*INDEX($B$6:$F$6,BP24)/$Q$4/5,0)*5,"")</f>
        <v>65</v>
      </c>
      <c r="BY24" s="193"/>
      <c r="BZ24" s="193"/>
      <c r="CC24" s="158">
        <v>20</v>
      </c>
      <c r="CD24" s="169" t="s">
        <v>463</v>
      </c>
      <c r="CE24" s="169">
        <v>105</v>
      </c>
      <c r="CF24" s="169">
        <v>110</v>
      </c>
      <c r="CG24" s="169">
        <f>INDEX(章节关卡!$L$6:$L$35,卡牌消耗!CC24)*INDEX(节奏总表!$N$5:$N$34,卡牌消耗!CC24)*60</f>
        <v>1638000</v>
      </c>
      <c r="CH24" s="169">
        <v>20</v>
      </c>
      <c r="CI24" s="169">
        <f>SUMIFS(章节关卡!$BF$5:$BF$304,章节关卡!$BB$5:$BB$304,"="&amp;卡牌消耗!CH24)</f>
        <v>94500</v>
      </c>
      <c r="CJ24" s="169">
        <v>18</v>
      </c>
      <c r="CK24" s="169">
        <f>SUMIFS(章节关卡!$BP$5:$BP$304,章节关卡!$BL$5:$BL$304,"="&amp;卡牌消耗!CJ24)</f>
        <v>166500</v>
      </c>
      <c r="CL24" s="169">
        <f>SUMIFS(章节关卡!$ED$5:$ED$94,章节关卡!$DK$5:$DK$94,"="&amp;卡牌消耗!CH24)</f>
        <v>75600</v>
      </c>
      <c r="CM24" s="169">
        <f>SUMIFS(章节关卡!$FC$5:$FC$94,章节关卡!$DK$5:$DK$94,"="&amp;CJ24)</f>
        <v>226800</v>
      </c>
      <c r="CN24" s="169">
        <f t="shared" si="16"/>
        <v>2201400</v>
      </c>
      <c r="CO24" s="169">
        <v>1</v>
      </c>
      <c r="CP24" s="169">
        <f t="shared" si="17"/>
        <v>244600</v>
      </c>
      <c r="CQ24" s="169">
        <v>9</v>
      </c>
      <c r="CS24" s="171"/>
      <c r="CT24" s="171"/>
      <c r="CU24" s="171"/>
      <c r="CV24" s="169">
        <v>20</v>
      </c>
      <c r="CW24" s="169">
        <v>6.5</v>
      </c>
      <c r="CX24" s="21">
        <f t="shared" si="32"/>
        <v>0.104</v>
      </c>
      <c r="CY24" s="169">
        <f t="shared" si="33"/>
        <v>2655</v>
      </c>
      <c r="CZ24" s="50">
        <f>SUM(CY$5:CY24)</f>
        <v>22605</v>
      </c>
      <c r="DB24" s="188">
        <f t="shared" si="20"/>
        <v>1300</v>
      </c>
      <c r="DC24" s="188">
        <f t="shared" si="20"/>
        <v>2100</v>
      </c>
      <c r="DD24" s="188">
        <f t="shared" si="20"/>
        <v>2650</v>
      </c>
      <c r="DE24" s="188">
        <f t="shared" si="20"/>
        <v>3150</v>
      </c>
      <c r="DF24" s="188">
        <f t="shared" si="20"/>
        <v>3950</v>
      </c>
      <c r="DI24" s="186">
        <v>20</v>
      </c>
      <c r="DJ24" s="14">
        <f t="shared" si="21"/>
        <v>4</v>
      </c>
      <c r="DK24" s="14">
        <f t="shared" si="1"/>
        <v>4</v>
      </c>
      <c r="DL24" s="14">
        <f t="shared" si="2"/>
        <v>1101004</v>
      </c>
      <c r="DM24" s="136" t="s">
        <v>1097</v>
      </c>
      <c r="DN24" s="14">
        <f t="shared" si="3"/>
        <v>5</v>
      </c>
      <c r="DO24" s="14" t="str">
        <f t="shared" si="4"/>
        <v>项昆仑-5星</v>
      </c>
      <c r="DP24" s="136" t="s">
        <v>1103</v>
      </c>
      <c r="DQ24" s="14">
        <f t="shared" si="22"/>
        <v>60000</v>
      </c>
      <c r="DR24" s="14" t="str">
        <f t="shared" si="5"/>
        <v>项昆仑碎片</v>
      </c>
      <c r="DS24" s="14">
        <f t="shared" si="23"/>
        <v>80</v>
      </c>
    </row>
    <row r="25" spans="1:123" ht="16.5" x14ac:dyDescent="0.2">
      <c r="A25" s="14">
        <v>1102013</v>
      </c>
      <c r="B25" s="14" t="s">
        <v>184</v>
      </c>
      <c r="C25" s="14">
        <v>2</v>
      </c>
      <c r="D25" s="14">
        <v>20</v>
      </c>
      <c r="E25" s="14">
        <v>3</v>
      </c>
      <c r="F25" s="101">
        <f t="shared" si="27"/>
        <v>1502013</v>
      </c>
      <c r="G25" s="15"/>
      <c r="I25" s="136">
        <v>5</v>
      </c>
      <c r="J25" s="136"/>
      <c r="K25" s="136">
        <v>30000</v>
      </c>
      <c r="L25" s="136">
        <v>40000</v>
      </c>
      <c r="M25" s="136">
        <v>60000</v>
      </c>
      <c r="N25" s="136">
        <v>90000</v>
      </c>
      <c r="T25" s="139">
        <v>21</v>
      </c>
      <c r="U25" s="139">
        <f>ROUND(INDEX(挂机升级突破!$DJ$6:$DJ$57,卡牌消耗!$T25)*INDEX(卡牌消耗!$B$8:$F$8,卡牌消耗!U$2)/$Q$4/5,0)*5</f>
        <v>3515</v>
      </c>
      <c r="V25" s="139">
        <f>ROUND(INDEX(挂机升级突破!$DJ$6:$DJ$57,卡牌消耗!$T25)*INDEX(卡牌消耗!$B$8:$F$8,卡牌消耗!V$2)/$Q$4/5,0)*5</f>
        <v>5020</v>
      </c>
      <c r="W25" s="139">
        <f>ROUND(INDEX(挂机升级突破!$DJ$6:$DJ$57,卡牌消耗!$T25)*INDEX(卡牌消耗!$B$8:$F$8,卡牌消耗!W$2)/$Q$4/5,0)*5</f>
        <v>7525</v>
      </c>
      <c r="X25" s="139">
        <f>ROUND(INDEX(挂机升级突破!$DJ$6:$DJ$57,卡牌消耗!$T25)*INDEX(卡牌消耗!$B$8:$F$8,卡牌消耗!X$2)/$Q$4/5,0)*5</f>
        <v>10035</v>
      </c>
      <c r="Z25" s="196">
        <v>2</v>
      </c>
      <c r="AA25" s="196">
        <v>21</v>
      </c>
      <c r="AB25" s="14">
        <f>ROUND(INDEX(挂机升级突破!DT$6:DT$57,卡牌消耗!$AA25)*INDEX(卡牌消耗!$B$5:$F$5,卡牌消耗!$Z25)/卡牌消耗!$Q$4/AB$2,0)*AB$2</f>
        <v>0</v>
      </c>
      <c r="AC25" s="14">
        <f>ROUND(INDEX(挂机升级突破!DU$6:DU$57,卡牌消耗!$AA25)*INDEX(卡牌消耗!$B$5:$F$5,卡牌消耗!$Z25)/卡牌消耗!$Q$4/AC$2,0)*AC$2</f>
        <v>0</v>
      </c>
      <c r="AD25" s="14">
        <f>ROUND(INDEX(挂机升级突破!DV$6:DV$57,卡牌消耗!$AA25)*INDEX(卡牌消耗!$B$5:$F$5,卡牌消耗!$Z25)/卡牌消耗!$Q$4/AD$2,0)*AD$2</f>
        <v>55</v>
      </c>
      <c r="AE25" s="14">
        <f>ROUND(INDEX(挂机升级突破!DW$6:DW$57,卡牌消耗!$AA25)*INDEX(卡牌消耗!$B$5:$F$5,卡牌消耗!$Z25)/卡牌消耗!$Q$4/AE$2,0)*AE$2</f>
        <v>0</v>
      </c>
      <c r="AF25" s="14">
        <f>ROUND(INDEX(挂机升级突破!DX$6:DX$57,卡牌消耗!$AA25)*INDEX(卡牌消耗!$B$5:$F$5,卡牌消耗!$Z25)/卡牌消耗!$Q$4/AF$2,0)*AF$2</f>
        <v>0</v>
      </c>
      <c r="AG25" s="14">
        <f>ROUND(INDEX(挂机升级突破!EC$6:EC$57,卡牌消耗!$AA25)*INDEX(卡牌消耗!$B$7:$F$7,卡牌消耗!$Z25)/卡牌消耗!$Q$4/AG$2,0)*AG$2</f>
        <v>0</v>
      </c>
      <c r="AH25" s="14">
        <f>ROUND(INDEX(挂机升级突破!ED$6:ED$57,卡牌消耗!$AA25)*INDEX(卡牌消耗!$B$8:$F$8,卡牌消耗!$Z25)/卡牌消耗!$Q$4/AH$2,0)*AH$2</f>
        <v>3500</v>
      </c>
      <c r="AK25" s="104">
        <v>21</v>
      </c>
      <c r="AL25" s="14">
        <f t="shared" si="6"/>
        <v>1</v>
      </c>
      <c r="AM25" s="14">
        <f>INDEX(挂机升级突破!DQ$6:DQ$57,卡牌消耗!$AT25)</f>
        <v>11</v>
      </c>
      <c r="AN25" s="14">
        <f>INDEX(挂机升级突破!DR$6:DR$57,卡牌消耗!$AT25)</f>
        <v>3</v>
      </c>
      <c r="AO25" s="14">
        <f>INDEX(挂机升级突破!DS$6:DS$57,卡牌消耗!$AT25)</f>
        <v>0</v>
      </c>
      <c r="AP25" s="14">
        <f>INDEX(挂机升级突破!$DP$6:$DP$57,卡牌消耗!AT25)</f>
        <v>70</v>
      </c>
      <c r="AQ25" s="14" t="str">
        <f t="shared" si="7"/>
        <v>关羽</v>
      </c>
      <c r="AR25" s="14">
        <f t="shared" si="8"/>
        <v>5</v>
      </c>
      <c r="AS25" s="14" t="str">
        <f t="shared" si="9"/>
        <v>关羽魂火-21</v>
      </c>
      <c r="AT25" s="14">
        <f t="shared" si="10"/>
        <v>21</v>
      </c>
      <c r="AU25" s="14" t="str">
        <f>IF(AM25&gt;0,INDEX(挂机升级突破!$DT$4:$ED$4,AM25),"")</f>
        <v>金币</v>
      </c>
      <c r="AV25" s="14">
        <f>ROUND(INDEX(挂机升级突破!$DJ$6:$DJ$57,卡牌消耗!AT25)*INDEX(卡牌消耗!$B$8:$F$8,AR25)/$Q$4/50,0)*50</f>
        <v>10050</v>
      </c>
      <c r="AW25" s="14" t="str">
        <f>IF(AN25&gt;0,INDEX(挂机升级突破!$DT$4:$ED$4,AN25),"")</f>
        <v>紫色基础材料</v>
      </c>
      <c r="AX25" s="14">
        <f>ROUND(INDEX(挂机升级突破!$DT$6:$ED$57,卡牌消耗!AT25,AN25)*INDEX(卡牌消耗!$B$5:$F$5,AR25)/$Q$4/5,0)*5</f>
        <v>105</v>
      </c>
      <c r="AY25" s="14" t="str">
        <f>IF(AO25&gt;0,INDEX(挂机升级突破!$DT$4:$ED$4,AO25),"")</f>
        <v/>
      </c>
      <c r="AZ25" s="14" t="str">
        <f>IF(AO25&gt;0,ROUND(INDEX(挂机升级突破!$DT$6:$ED$57,卡牌消耗!AT25,AO25)*INDEX(卡牌消耗!$B$7:$F$7,AR25)/$Q$4,0),"")</f>
        <v/>
      </c>
      <c r="BC25" s="196">
        <v>3</v>
      </c>
      <c r="BD25" s="196">
        <v>1</v>
      </c>
      <c r="BE25" s="14">
        <f>ROUND(INDEX(挂机升级突破!ER$7:ER$26,卡牌消耗!$BD25)*INDEX(卡牌消耗!$B$6:$F$6,$BC25)/$Q$4,0)</f>
        <v>0</v>
      </c>
      <c r="BF25" s="14">
        <f>ROUND(INDEX(挂机升级突破!ES$7:ES$26,卡牌消耗!$BD25)*INDEX(卡牌消耗!$B$6:$F$6,$BC25)/$Q$4,0)</f>
        <v>0</v>
      </c>
      <c r="BG25" s="14">
        <f>ROUND(INDEX(挂机升级突破!ET$7:ET$26,卡牌消耗!$BD25)*INDEX(卡牌消耗!$B$6:$F$6,$BC25)/$Q$4,0)</f>
        <v>0</v>
      </c>
      <c r="BH25" s="14">
        <f>ROUND(INDEX(挂机升级突破!EU$7:EU$26,卡牌消耗!$BD25)*INDEX(卡牌消耗!$B$6:$F$6,$BC25)/$Q$4,0)</f>
        <v>0</v>
      </c>
      <c r="BI25" s="14">
        <f>ROUND(INDEX(挂机升级突破!$EV$7:$EV$26,卡牌消耗!BD25)*INDEX(卡牌消耗!$B$8:$F$8,$BC25)/$Q$4/BI$2,0)*BI$2</f>
        <v>1500</v>
      </c>
      <c r="BL25" s="104">
        <v>21</v>
      </c>
      <c r="BM25" s="14">
        <f t="shared" si="11"/>
        <v>2</v>
      </c>
      <c r="BN25" s="14">
        <f>INDEX(挂机升级突破!$EI$7:$EI$26,BS25)</f>
        <v>0</v>
      </c>
      <c r="BO25" s="14">
        <f>INDEX(挂机升级突破!$EJ$7:$EJ$26,BS25)</f>
        <v>0</v>
      </c>
      <c r="BP25" s="14">
        <f t="shared" si="12"/>
        <v>3</v>
      </c>
      <c r="BQ25" s="14">
        <f>INDEX(挂机升级突破!$EH$7:$EH$26,卡牌消耗!BS25)</f>
        <v>1</v>
      </c>
      <c r="BR25" s="14" t="str">
        <f t="shared" si="13"/>
        <v>许褚</v>
      </c>
      <c r="BS25" s="14">
        <f t="shared" si="14"/>
        <v>1</v>
      </c>
      <c r="BT25" s="14" t="str">
        <f t="shared" si="15"/>
        <v>许褚1突</v>
      </c>
      <c r="BU25" s="14" t="str">
        <f>IF(BN25&gt;0,INDEX(挂机升级突破!$ER$5:$EV$5,卡牌消耗!BN25),"")</f>
        <v/>
      </c>
      <c r="BV25" s="14" t="str">
        <f>IF(BN25&gt;0,ROUND(INDEX(挂机升级突破!$EV$7:$EV$26,卡牌消耗!BS25)*INDEX(卡牌消耗!$B$8:$F$8,BP25)/$Q$4/500,0)*500,"")</f>
        <v/>
      </c>
      <c r="BW25" s="14" t="str">
        <f>IF(BO25&gt;0,INDEX(挂机升级突破!$ER$5:$EV$5,卡牌消耗!BO25),"")</f>
        <v/>
      </c>
      <c r="BX25" s="14" t="str">
        <f>IF(BO25&gt;0,ROUND(INDEX(挂机升级突破!$ER$7:$EU$26,卡牌消耗!BS25,卡牌消耗!BO25)*INDEX($B$6:$F$6,BP25)/$Q$4/5,0)*5,"")</f>
        <v/>
      </c>
      <c r="BY25" s="193"/>
      <c r="BZ25" s="193"/>
      <c r="CC25" s="158">
        <v>21</v>
      </c>
      <c r="CD25" s="169" t="s">
        <v>464</v>
      </c>
      <c r="CE25" s="169">
        <v>110</v>
      </c>
      <c r="CF25" s="169">
        <v>115</v>
      </c>
      <c r="CG25" s="169">
        <f>INDEX(章节关卡!$L$6:$L$35,卡牌消耗!CC25)*INDEX(节奏总表!$N$5:$N$34,卡牌消耗!CC25)*60</f>
        <v>1849500</v>
      </c>
      <c r="CH25" s="169">
        <v>21</v>
      </c>
      <c r="CI25" s="169">
        <f>SUMIFS(章节关卡!$BF$5:$BF$304,章节关卡!$BB$5:$BB$304,"="&amp;卡牌消耗!CH25)</f>
        <v>101250</v>
      </c>
      <c r="CJ25" s="169">
        <v>19</v>
      </c>
      <c r="CK25" s="169">
        <f>SUMIFS(章节关卡!$BP$5:$BP$304,章节关卡!$BL$5:$BL$304,"="&amp;卡牌消耗!CJ25)</f>
        <v>180000</v>
      </c>
      <c r="CL25" s="169">
        <f>SUMIFS(章节关卡!$ED$5:$ED$94,章节关卡!$DK$5:$DK$94,"="&amp;卡牌消耗!CH25)</f>
        <v>81000</v>
      </c>
      <c r="CM25" s="169">
        <f>SUMIFS(章节关卡!$FC$5:$FC$94,章节关卡!$DK$5:$DK$94,"="&amp;CJ25)</f>
        <v>243000</v>
      </c>
      <c r="CN25" s="169">
        <f t="shared" si="16"/>
        <v>2454750</v>
      </c>
      <c r="CO25" s="169">
        <v>1</v>
      </c>
      <c r="CP25" s="169">
        <f t="shared" si="17"/>
        <v>272750</v>
      </c>
      <c r="CQ25" s="169">
        <v>9</v>
      </c>
      <c r="CS25" s="171"/>
      <c r="CT25" s="171"/>
      <c r="CU25" s="171"/>
      <c r="CV25" s="169">
        <v>21</v>
      </c>
      <c r="CW25" s="169">
        <v>7</v>
      </c>
      <c r="CX25" s="21">
        <f t="shared" si="32"/>
        <v>0.112</v>
      </c>
      <c r="CY25" s="169">
        <f t="shared" si="33"/>
        <v>2860</v>
      </c>
      <c r="CZ25" s="50">
        <f>SUM(CY$5:CY25)</f>
        <v>25465</v>
      </c>
      <c r="DB25" s="188">
        <f t="shared" si="20"/>
        <v>1400</v>
      </c>
      <c r="DC25" s="188">
        <f t="shared" si="20"/>
        <v>2250</v>
      </c>
      <c r="DD25" s="188">
        <f t="shared" si="20"/>
        <v>2850</v>
      </c>
      <c r="DE25" s="188">
        <f t="shared" si="20"/>
        <v>3400</v>
      </c>
      <c r="DF25" s="188">
        <f t="shared" si="20"/>
        <v>4250</v>
      </c>
      <c r="DI25" s="186">
        <v>21</v>
      </c>
      <c r="DJ25" s="14">
        <f t="shared" si="21"/>
        <v>5</v>
      </c>
      <c r="DK25" s="14">
        <f t="shared" si="1"/>
        <v>4</v>
      </c>
      <c r="DL25" s="14">
        <f t="shared" si="2"/>
        <v>1101005</v>
      </c>
      <c r="DM25" s="136" t="s">
        <v>1097</v>
      </c>
      <c r="DN25" s="14">
        <f t="shared" si="3"/>
        <v>1</v>
      </c>
      <c r="DO25" s="14" t="str">
        <f t="shared" si="4"/>
        <v>刘羽禅-1星</v>
      </c>
      <c r="DP25" s="136" t="s">
        <v>1103</v>
      </c>
      <c r="DQ25" s="14">
        <f t="shared" si="22"/>
        <v>6000</v>
      </c>
      <c r="DR25" s="14" t="str">
        <f t="shared" si="5"/>
        <v>刘羽禅碎片</v>
      </c>
      <c r="DS25" s="14">
        <f t="shared" si="23"/>
        <v>80</v>
      </c>
    </row>
    <row r="26" spans="1:123" ht="16.5" x14ac:dyDescent="0.2">
      <c r="A26" s="14">
        <v>1102014</v>
      </c>
      <c r="B26" s="14" t="s">
        <v>185</v>
      </c>
      <c r="C26" s="14">
        <v>3</v>
      </c>
      <c r="D26" s="14">
        <v>40</v>
      </c>
      <c r="E26" s="14">
        <v>3</v>
      </c>
      <c r="F26" s="101">
        <f t="shared" si="27"/>
        <v>1502014</v>
      </c>
      <c r="G26" s="15"/>
      <c r="T26" s="139">
        <v>22</v>
      </c>
      <c r="U26" s="139">
        <f>ROUND(INDEX(挂机升级突破!$DJ$6:$DJ$57,卡牌消耗!$T26)*INDEX(卡牌消耗!$B$8:$F$8,卡牌消耗!U$2)/$Q$4/5,0)*5</f>
        <v>3515</v>
      </c>
      <c r="V26" s="139">
        <f>ROUND(INDEX(挂机升级突破!$DJ$6:$DJ$57,卡牌消耗!$T26)*INDEX(卡牌消耗!$B$8:$F$8,卡牌消耗!V$2)/$Q$4/5,0)*5</f>
        <v>5020</v>
      </c>
      <c r="W26" s="139">
        <f>ROUND(INDEX(挂机升级突破!$DJ$6:$DJ$57,卡牌消耗!$T26)*INDEX(卡牌消耗!$B$8:$F$8,卡牌消耗!W$2)/$Q$4/5,0)*5</f>
        <v>7525</v>
      </c>
      <c r="X26" s="139">
        <f>ROUND(INDEX(挂机升级突破!$DJ$6:$DJ$57,卡牌消耗!$T26)*INDEX(卡牌消耗!$B$8:$F$8,卡牌消耗!X$2)/$Q$4/5,0)*5</f>
        <v>10035</v>
      </c>
      <c r="Z26" s="196">
        <v>2</v>
      </c>
      <c r="AA26" s="196">
        <v>22</v>
      </c>
      <c r="AB26" s="14">
        <f>ROUND(INDEX(挂机升级突破!DT$6:DT$57,卡牌消耗!$AA26)*INDEX(卡牌消耗!$B$5:$F$5,卡牌消耗!$Z26)/卡牌消耗!$Q$4/AB$2,0)*AB$2</f>
        <v>0</v>
      </c>
      <c r="AC26" s="14">
        <f>ROUND(INDEX(挂机升级突破!DU$6:DU$57,卡牌消耗!$AA26)*INDEX(卡牌消耗!$B$5:$F$5,卡牌消耗!$Z26)/卡牌消耗!$Q$4/AC$2,0)*AC$2</f>
        <v>0</v>
      </c>
      <c r="AD26" s="14">
        <f>ROUND(INDEX(挂机升级突破!DV$6:DV$57,卡牌消耗!$AA26)*INDEX(卡牌消耗!$B$5:$F$5,卡牌消耗!$Z26)/卡牌消耗!$Q$4/AD$2,0)*AD$2</f>
        <v>55</v>
      </c>
      <c r="AE26" s="14">
        <f>ROUND(INDEX(挂机升级突破!DW$6:DW$57,卡牌消耗!$AA26)*INDEX(卡牌消耗!$B$5:$F$5,卡牌消耗!$Z26)/卡牌消耗!$Q$4/AE$2,0)*AE$2</f>
        <v>0</v>
      </c>
      <c r="AF26" s="14">
        <f>ROUND(INDEX(挂机升级突破!DX$6:DX$57,卡牌消耗!$AA26)*INDEX(卡牌消耗!$B$5:$F$5,卡牌消耗!$Z26)/卡牌消耗!$Q$4/AF$2,0)*AF$2</f>
        <v>0</v>
      </c>
      <c r="AG26" s="14">
        <f>ROUND(INDEX(挂机升级突破!EC$6:EC$57,卡牌消耗!$AA26)*INDEX(卡牌消耗!$B$7:$F$7,卡牌消耗!$Z26)/卡牌消耗!$Q$4/AG$2,0)*AG$2</f>
        <v>0</v>
      </c>
      <c r="AH26" s="14">
        <f>ROUND(INDEX(挂机升级突破!ED$6:ED$57,卡牌消耗!$AA26)*INDEX(卡牌消耗!$B$8:$F$8,卡牌消耗!$Z26)/卡牌消耗!$Q$4/AH$2,0)*AH$2</f>
        <v>3500</v>
      </c>
      <c r="AK26" s="104">
        <v>22</v>
      </c>
      <c r="AL26" s="14">
        <f t="shared" si="6"/>
        <v>1</v>
      </c>
      <c r="AM26" s="14">
        <f>INDEX(挂机升级突破!DQ$6:DQ$57,卡牌消耗!$AT26)</f>
        <v>11</v>
      </c>
      <c r="AN26" s="14">
        <f>INDEX(挂机升级突破!DR$6:DR$57,卡牌消耗!$AT26)</f>
        <v>3</v>
      </c>
      <c r="AO26" s="14">
        <f>INDEX(挂机升级突破!DS$6:DS$57,卡牌消耗!$AT26)</f>
        <v>0</v>
      </c>
      <c r="AP26" s="14">
        <f>INDEX(挂机升级突破!$DP$6:$DP$57,卡牌消耗!AT26)</f>
        <v>73</v>
      </c>
      <c r="AQ26" s="14" t="str">
        <f t="shared" si="7"/>
        <v>关羽</v>
      </c>
      <c r="AR26" s="14">
        <f t="shared" si="8"/>
        <v>5</v>
      </c>
      <c r="AS26" s="14" t="str">
        <f t="shared" si="9"/>
        <v>关羽魂火-22</v>
      </c>
      <c r="AT26" s="14">
        <f t="shared" si="10"/>
        <v>22</v>
      </c>
      <c r="AU26" s="14" t="str">
        <f>IF(AM26&gt;0,INDEX(挂机升级突破!$DT$4:$ED$4,AM26),"")</f>
        <v>金币</v>
      </c>
      <c r="AV26" s="14">
        <f>ROUND(INDEX(挂机升级突破!$DJ$6:$DJ$57,卡牌消耗!AT26)*INDEX(卡牌消耗!$B$8:$F$8,AR26)/$Q$4/50,0)*50</f>
        <v>10050</v>
      </c>
      <c r="AW26" s="14" t="str">
        <f>IF(AN26&gt;0,INDEX(挂机升级突破!$DT$4:$ED$4,AN26),"")</f>
        <v>紫色基础材料</v>
      </c>
      <c r="AX26" s="14">
        <f>ROUND(INDEX(挂机升级突破!$DT$6:$ED$57,卡牌消耗!AT26,AN26)*INDEX(卡牌消耗!$B$5:$F$5,AR26)/$Q$4/5,0)*5</f>
        <v>105</v>
      </c>
      <c r="AY26" s="14" t="str">
        <f>IF(AO26&gt;0,INDEX(挂机升级突破!$DT$4:$ED$4,AO26),"")</f>
        <v/>
      </c>
      <c r="AZ26" s="14" t="str">
        <f>IF(AO26&gt;0,ROUND(INDEX(挂机升级突破!$DT$6:$ED$57,卡牌消耗!AT26,AO26)*INDEX(卡牌消耗!$B$7:$F$7,AR26)/$Q$4,0),"")</f>
        <v/>
      </c>
      <c r="BC26" s="196">
        <v>3</v>
      </c>
      <c r="BD26" s="196">
        <v>2</v>
      </c>
      <c r="BE26" s="14">
        <f>ROUND(INDEX(挂机升级突破!ER$7:ER$26,卡牌消耗!$BD26)*INDEX(卡牌消耗!$B$6:$F$6,$BC26)/$Q$4,0)</f>
        <v>2</v>
      </c>
      <c r="BF26" s="14">
        <f>ROUND(INDEX(挂机升级突破!ES$7:ES$26,卡牌消耗!$BD26)*INDEX(卡牌消耗!$B$6:$F$6,$BC26)/$Q$4,0)</f>
        <v>0</v>
      </c>
      <c r="BG26" s="14">
        <f>ROUND(INDEX(挂机升级突破!ET$7:ET$26,卡牌消耗!$BD26)*INDEX(卡牌消耗!$B$6:$F$6,$BC26)/$Q$4,0)</f>
        <v>0</v>
      </c>
      <c r="BH26" s="14">
        <f>ROUND(INDEX(挂机升级突破!EU$7:EU$26,卡牌消耗!$BD26)*INDEX(卡牌消耗!$B$6:$F$6,$BC26)/$Q$4,0)</f>
        <v>0</v>
      </c>
      <c r="BI26" s="14">
        <f>ROUND(INDEX(挂机升级突破!$EV$7:$EV$26,卡牌消耗!BD26)*INDEX(卡牌消耗!$B$8:$F$8,$BC26)/$Q$4/BI$2,0)*BI$2</f>
        <v>3000</v>
      </c>
      <c r="BL26" s="104">
        <v>22</v>
      </c>
      <c r="BM26" s="14">
        <f t="shared" si="11"/>
        <v>2</v>
      </c>
      <c r="BN26" s="14">
        <f>INDEX(挂机升级突破!$EI$7:$EI$26,BS26)</f>
        <v>5</v>
      </c>
      <c r="BO26" s="14">
        <f>INDEX(挂机升级突破!$EJ$7:$EJ$26,BS26)</f>
        <v>1</v>
      </c>
      <c r="BP26" s="14">
        <f t="shared" si="12"/>
        <v>3</v>
      </c>
      <c r="BQ26" s="14">
        <f>INDEX(挂机升级突破!$EH$7:$EH$26,卡牌消耗!BS26)</f>
        <v>5</v>
      </c>
      <c r="BR26" s="14" t="str">
        <f t="shared" si="13"/>
        <v>许褚</v>
      </c>
      <c r="BS26" s="14">
        <f t="shared" si="14"/>
        <v>2</v>
      </c>
      <c r="BT26" s="14" t="str">
        <f t="shared" si="15"/>
        <v>许褚2突</v>
      </c>
      <c r="BU26" s="14" t="str">
        <f>IF(BN26&gt;0,INDEX(挂机升级突破!$ER$5:$EV$5,卡牌消耗!BN26),"")</f>
        <v>金币</v>
      </c>
      <c r="BV26" s="14">
        <f>IF(BN26&gt;0,ROUND(INDEX(挂机升级突破!$EV$7:$EV$26,卡牌消耗!BS26)*INDEX(卡牌消耗!$B$8:$F$8,BP26)/$Q$4/500,0)*500,"")</f>
        <v>3000</v>
      </c>
      <c r="BW26" s="14" t="str">
        <f>IF(BO26&gt;0,INDEX(挂机升级突破!$ER$5:$EV$5,卡牌消耗!BO26),"")</f>
        <v>玄铁</v>
      </c>
      <c r="BX26" s="14">
        <f>IF(BO26&gt;0,ROUND(INDEX(挂机升级突破!$ER$7:$EU$26,卡牌消耗!BS26,卡牌消耗!BO26)*INDEX($B$6:$F$6,BP26)/$Q$4,0),"")</f>
        <v>2</v>
      </c>
      <c r="BY26" s="193"/>
      <c r="BZ26" s="193"/>
      <c r="CC26" s="158">
        <v>22</v>
      </c>
      <c r="CD26" s="169" t="s">
        <v>465</v>
      </c>
      <c r="CE26" s="169">
        <v>115</v>
      </c>
      <c r="CF26" s="169">
        <v>120</v>
      </c>
      <c r="CG26" s="169">
        <f>INDEX(章节关卡!$L$6:$L$35,卡牌消耗!CC26)*INDEX(节奏总表!$N$5:$N$34,卡牌消耗!CC26)*60</f>
        <v>2030400</v>
      </c>
      <c r="CH26" s="169">
        <v>22</v>
      </c>
      <c r="CI26" s="169">
        <f>SUMIFS(章节关卡!$BF$5:$BF$304,章节关卡!$BB$5:$BB$304,"="&amp;卡牌消耗!CH26)</f>
        <v>105750</v>
      </c>
      <c r="CJ26" s="169">
        <v>20</v>
      </c>
      <c r="CK26" s="169">
        <f>SUMIFS(章节关卡!$BP$5:$BP$304,章节关卡!$BL$5:$BL$304,"="&amp;卡牌消耗!CJ26)</f>
        <v>189000</v>
      </c>
      <c r="CL26" s="169">
        <f>SUMIFS(章节关卡!$ED$5:$ED$94,章节关卡!$DK$5:$DK$94,"="&amp;卡牌消耗!CH26)</f>
        <v>84600</v>
      </c>
      <c r="CM26" s="169">
        <f>SUMIFS(章节关卡!$FC$5:$FC$94,章节关卡!$DK$5:$DK$94,"="&amp;CJ26)</f>
        <v>253800</v>
      </c>
      <c r="CN26" s="169">
        <f t="shared" si="16"/>
        <v>2663550</v>
      </c>
      <c r="CO26" s="169">
        <v>1</v>
      </c>
      <c r="CP26" s="169">
        <f t="shared" si="17"/>
        <v>295950</v>
      </c>
      <c r="CQ26" s="169">
        <v>9</v>
      </c>
      <c r="CS26" s="171"/>
      <c r="CT26" s="171"/>
      <c r="CU26" s="171"/>
      <c r="CV26" s="169">
        <v>22</v>
      </c>
      <c r="CW26" s="169">
        <v>7.5</v>
      </c>
      <c r="CX26" s="21">
        <f t="shared" si="32"/>
        <v>0.12</v>
      </c>
      <c r="CY26" s="169">
        <f t="shared" si="33"/>
        <v>3065</v>
      </c>
      <c r="CZ26" s="50">
        <f>SUM(CY$5:CY26)</f>
        <v>28530</v>
      </c>
      <c r="DB26" s="188">
        <f t="shared" si="20"/>
        <v>1500</v>
      </c>
      <c r="DC26" s="188">
        <f t="shared" si="20"/>
        <v>2450</v>
      </c>
      <c r="DD26" s="188">
        <f t="shared" si="20"/>
        <v>3050</v>
      </c>
      <c r="DE26" s="188">
        <f t="shared" si="20"/>
        <v>3650</v>
      </c>
      <c r="DF26" s="188">
        <f t="shared" si="20"/>
        <v>4550</v>
      </c>
      <c r="DI26" s="186">
        <v>22</v>
      </c>
      <c r="DJ26" s="14">
        <f t="shared" si="21"/>
        <v>5</v>
      </c>
      <c r="DK26" s="14">
        <f t="shared" si="1"/>
        <v>4</v>
      </c>
      <c r="DL26" s="14">
        <f t="shared" si="2"/>
        <v>1101005</v>
      </c>
      <c r="DM26" s="136" t="s">
        <v>1097</v>
      </c>
      <c r="DN26" s="14">
        <f t="shared" si="3"/>
        <v>2</v>
      </c>
      <c r="DO26" s="14" t="str">
        <f t="shared" si="4"/>
        <v>刘羽禅-2星</v>
      </c>
      <c r="DP26" s="136" t="s">
        <v>1103</v>
      </c>
      <c r="DQ26" s="14">
        <f t="shared" si="22"/>
        <v>8000</v>
      </c>
      <c r="DR26" s="14" t="str">
        <f t="shared" si="5"/>
        <v>刘羽禅碎片</v>
      </c>
      <c r="DS26" s="14">
        <f t="shared" si="23"/>
        <v>80</v>
      </c>
    </row>
    <row r="27" spans="1:123" ht="16.5" x14ac:dyDescent="0.2">
      <c r="A27" s="14">
        <v>1102015</v>
      </c>
      <c r="B27" s="14" t="s">
        <v>186</v>
      </c>
      <c r="C27" s="14">
        <v>2</v>
      </c>
      <c r="D27" s="14">
        <v>20</v>
      </c>
      <c r="E27" s="14">
        <v>2</v>
      </c>
      <c r="F27" s="101">
        <f t="shared" si="27"/>
        <v>1502015</v>
      </c>
      <c r="G27" s="15"/>
      <c r="T27" s="139">
        <v>23</v>
      </c>
      <c r="U27" s="139">
        <f>ROUND(INDEX(挂机升级突破!$DJ$6:$DJ$57,卡牌消耗!$T27)*INDEX(卡牌消耗!$B$8:$F$8,卡牌消耗!U$2)/$Q$4/5,0)*5</f>
        <v>4830</v>
      </c>
      <c r="V27" s="139">
        <f>ROUND(INDEX(挂机升级突破!$DJ$6:$DJ$57,卡牌消耗!$T27)*INDEX(卡牌消耗!$B$8:$F$8,卡牌消耗!V$2)/$Q$4/5,0)*5</f>
        <v>6900</v>
      </c>
      <c r="W27" s="139">
        <f>ROUND(INDEX(挂机升级突破!$DJ$6:$DJ$57,卡牌消耗!$T27)*INDEX(卡牌消耗!$B$8:$F$8,卡牌消耗!W$2)/$Q$4/5,0)*5</f>
        <v>10350</v>
      </c>
      <c r="X27" s="139">
        <f>ROUND(INDEX(挂机升级突破!$DJ$6:$DJ$57,卡牌消耗!$T27)*INDEX(卡牌消耗!$B$8:$F$8,卡牌消耗!X$2)/$Q$4/5,0)*5</f>
        <v>13800</v>
      </c>
      <c r="Z27" s="196">
        <v>2</v>
      </c>
      <c r="AA27" s="196">
        <v>23</v>
      </c>
      <c r="AB27" s="14">
        <f>ROUND(INDEX(挂机升级突破!DT$6:DT$57,卡牌消耗!$AA27)*INDEX(卡牌消耗!$B$5:$F$5,卡牌消耗!$Z27)/卡牌消耗!$Q$4/AB$2,0)*AB$2</f>
        <v>0</v>
      </c>
      <c r="AC27" s="14">
        <f>ROUND(INDEX(挂机升级突破!DU$6:DU$57,卡牌消耗!$AA27)*INDEX(卡牌消耗!$B$5:$F$5,卡牌消耗!$Z27)/卡牌消耗!$Q$4/AC$2,0)*AC$2</f>
        <v>0</v>
      </c>
      <c r="AD27" s="14">
        <f>ROUND(INDEX(挂机升级突破!DV$6:DV$57,卡牌消耗!$AA27)*INDEX(卡牌消耗!$B$5:$F$5,卡牌消耗!$Z27)/卡牌消耗!$Q$4/AD$2,0)*AD$2</f>
        <v>0</v>
      </c>
      <c r="AE27" s="14">
        <f>ROUND(INDEX(挂机升级突破!DW$6:DW$57,卡牌消耗!$AA27)*INDEX(卡牌消耗!$B$5:$F$5,卡牌消耗!$Z27)/卡牌消耗!$Q$4/AE$2,0)*AE$2</f>
        <v>15</v>
      </c>
      <c r="AF27" s="14">
        <f>ROUND(INDEX(挂机升级突破!DX$6:DX$57,卡牌消耗!$AA27)*INDEX(卡牌消耗!$B$5:$F$5,卡牌消耗!$Z27)/卡牌消耗!$Q$4/AF$2,0)*AF$2</f>
        <v>0</v>
      </c>
      <c r="AG27" s="14">
        <f>ROUND(INDEX(挂机升级突破!EC$6:EC$57,卡牌消耗!$AA27)*INDEX(卡牌消耗!$B$7:$F$7,卡牌消耗!$Z27)/卡牌消耗!$Q$4/AG$2,0)*AG$2</f>
        <v>0</v>
      </c>
      <c r="AH27" s="14">
        <f>ROUND(INDEX(挂机升级突破!ED$6:ED$57,卡牌消耗!$AA27)*INDEX(卡牌消耗!$B$8:$F$8,卡牌消耗!$Z27)/卡牌消耗!$Q$4/AH$2,0)*AH$2</f>
        <v>4850</v>
      </c>
      <c r="AK27" s="104">
        <v>23</v>
      </c>
      <c r="AL27" s="14">
        <f t="shared" si="6"/>
        <v>1</v>
      </c>
      <c r="AM27" s="14">
        <f>INDEX(挂机升级突破!DQ$6:DQ$57,卡牌消耗!$AT27)</f>
        <v>11</v>
      </c>
      <c r="AN27" s="14">
        <f>INDEX(挂机升级突破!DR$6:DR$57,卡牌消耗!$AT27)</f>
        <v>4</v>
      </c>
      <c r="AO27" s="14">
        <f>INDEX(挂机升级突破!DS$6:DS$57,卡牌消耗!$AT27)</f>
        <v>0</v>
      </c>
      <c r="AP27" s="14">
        <f>INDEX(挂机升级突破!$DP$6:$DP$57,卡牌消耗!AT27)</f>
        <v>75</v>
      </c>
      <c r="AQ27" s="14" t="str">
        <f t="shared" si="7"/>
        <v>关羽</v>
      </c>
      <c r="AR27" s="14">
        <f t="shared" si="8"/>
        <v>5</v>
      </c>
      <c r="AS27" s="14" t="str">
        <f t="shared" si="9"/>
        <v>关羽魂火-23</v>
      </c>
      <c r="AT27" s="14">
        <f t="shared" si="10"/>
        <v>23</v>
      </c>
      <c r="AU27" s="14" t="str">
        <f>IF(AM27&gt;0,INDEX(挂机升级突破!$DT$4:$ED$4,AM27),"")</f>
        <v>金币</v>
      </c>
      <c r="AV27" s="14">
        <f>ROUND(INDEX(挂机升级突破!$DJ$6:$DJ$57,卡牌消耗!AT27)*INDEX(卡牌消耗!$B$8:$F$8,AR27)/$Q$4/50,0)*50</f>
        <v>13800</v>
      </c>
      <c r="AW27" s="14" t="str">
        <f>IF(AN27&gt;0,INDEX(挂机升级突破!$DT$4:$ED$4,AN27),"")</f>
        <v>橙色基础材料</v>
      </c>
      <c r="AX27" s="14">
        <f>ROUND(INDEX(挂机升级突破!$DT$6:$ED$57,卡牌消耗!AT27,AN27)*INDEX(卡牌消耗!$B$5:$F$5,AR27)/$Q$4/5,0)*5</f>
        <v>30</v>
      </c>
      <c r="AY27" s="14" t="str">
        <f>IF(AO27&gt;0,INDEX(挂机升级突破!$DT$4:$ED$4,AO27),"")</f>
        <v/>
      </c>
      <c r="AZ27" s="14" t="str">
        <f>IF(AO27&gt;0,ROUND(INDEX(挂机升级突破!$DT$6:$ED$57,卡牌消耗!AT27,AO27)*INDEX(卡牌消耗!$B$7:$F$7,AR27)/$Q$4,0),"")</f>
        <v/>
      </c>
      <c r="BC27" s="196">
        <v>3</v>
      </c>
      <c r="BD27" s="196">
        <v>3</v>
      </c>
      <c r="BE27" s="14">
        <f>ROUND(INDEX(挂机升级突破!ER$7:ER$26,卡牌消耗!$BD27)*INDEX(卡牌消耗!$B$6:$F$6,$BC27)/$Q$4,0)</f>
        <v>5</v>
      </c>
      <c r="BF27" s="14">
        <f>ROUND(INDEX(挂机升级突破!ES$7:ES$26,卡牌消耗!$BD27)*INDEX(卡牌消耗!$B$6:$F$6,$BC27)/$Q$4,0)</f>
        <v>0</v>
      </c>
      <c r="BG27" s="14">
        <f>ROUND(INDEX(挂机升级突破!ET$7:ET$26,卡牌消耗!$BD27)*INDEX(卡牌消耗!$B$6:$F$6,$BC27)/$Q$4,0)</f>
        <v>0</v>
      </c>
      <c r="BH27" s="14">
        <f>ROUND(INDEX(挂机升级突破!EU$7:EU$26,卡牌消耗!$BD27)*INDEX(卡牌消耗!$B$6:$F$6,$BC27)/$Q$4,0)</f>
        <v>0</v>
      </c>
      <c r="BI27" s="14">
        <f>ROUND(INDEX(挂机升级突破!$EV$7:$EV$26,卡牌消耗!BD27)*INDEX(卡牌消耗!$B$8:$F$8,$BC27)/$Q$4/BI$2,0)*BI$2</f>
        <v>3000</v>
      </c>
      <c r="BL27" s="104">
        <v>23</v>
      </c>
      <c r="BM27" s="14">
        <f t="shared" si="11"/>
        <v>2</v>
      </c>
      <c r="BN27" s="14">
        <f>INDEX(挂机升级突破!$EI$7:$EI$26,BS27)</f>
        <v>5</v>
      </c>
      <c r="BO27" s="14">
        <f>INDEX(挂机升级突破!$EJ$7:$EJ$26,BS27)</f>
        <v>1</v>
      </c>
      <c r="BP27" s="14">
        <f t="shared" si="12"/>
        <v>3</v>
      </c>
      <c r="BQ27" s="14">
        <f>INDEX(挂机升级突破!$EH$7:$EH$26,卡牌消耗!BS27)</f>
        <v>15</v>
      </c>
      <c r="BR27" s="14" t="str">
        <f t="shared" si="13"/>
        <v>许褚</v>
      </c>
      <c r="BS27" s="14">
        <f t="shared" si="14"/>
        <v>3</v>
      </c>
      <c r="BT27" s="14" t="str">
        <f t="shared" si="15"/>
        <v>许褚3突</v>
      </c>
      <c r="BU27" s="14" t="str">
        <f>IF(BN27&gt;0,INDEX(挂机升级突破!$ER$5:$EV$5,卡牌消耗!BN27),"")</f>
        <v>金币</v>
      </c>
      <c r="BV27" s="14">
        <f>IF(BN27&gt;0,ROUND(INDEX(挂机升级突破!$EV$7:$EV$26,卡牌消耗!BS27)*INDEX(卡牌消耗!$B$8:$F$8,BP27)/$Q$4/500,0)*500,"")</f>
        <v>3000</v>
      </c>
      <c r="BW27" s="14" t="str">
        <f>IF(BO27&gt;0,INDEX(挂机升级突破!$ER$5:$EV$5,卡牌消耗!BO27),"")</f>
        <v>玄铁</v>
      </c>
      <c r="BX27" s="14">
        <f>IF(BO27&gt;0,ROUND(INDEX(挂机升级突破!$ER$7:$EU$26,卡牌消耗!BS27,卡牌消耗!BO27)*INDEX($B$6:$F$6,BP27)/$Q$4,0),"")</f>
        <v>5</v>
      </c>
      <c r="BY27" s="193"/>
      <c r="BZ27" s="193"/>
      <c r="CC27" s="158">
        <v>23</v>
      </c>
      <c r="CD27" s="169" t="s">
        <v>466</v>
      </c>
      <c r="CE27" s="169">
        <v>120</v>
      </c>
      <c r="CF27" s="169">
        <v>125</v>
      </c>
      <c r="CG27" s="169">
        <f>INDEX(章节关卡!$L$6:$L$35,卡牌消耗!CC27)*INDEX(节奏总表!$N$5:$N$34,卡牌消耗!CC27)*60</f>
        <v>2400000</v>
      </c>
      <c r="CH27" s="169">
        <v>23</v>
      </c>
      <c r="CI27" s="169">
        <f>SUMIFS(章节关卡!$BF$5:$BF$304,章节关卡!$BB$5:$BB$304,"="&amp;卡牌消耗!CH27)</f>
        <v>112500</v>
      </c>
      <c r="CJ27" s="169">
        <v>21</v>
      </c>
      <c r="CK27" s="169">
        <f>SUMIFS(章节关卡!$BP$5:$BP$304,章节关卡!$BL$5:$BL$304,"="&amp;卡牌消耗!CJ27)</f>
        <v>202500</v>
      </c>
      <c r="CL27" s="169">
        <f>SUMIFS(章节关卡!$ED$5:$ED$94,章节关卡!$DK$5:$DK$94,"="&amp;卡牌消耗!CH27)</f>
        <v>90000</v>
      </c>
      <c r="CM27" s="169">
        <f>SUMIFS(章节关卡!$FC$5:$FC$94,章节关卡!$DK$5:$DK$94,"="&amp;CJ27)</f>
        <v>270000</v>
      </c>
      <c r="CN27" s="169">
        <f t="shared" si="16"/>
        <v>3075000</v>
      </c>
      <c r="CO27" s="169">
        <v>1</v>
      </c>
      <c r="CP27" s="169">
        <f t="shared" si="17"/>
        <v>341666</v>
      </c>
      <c r="CQ27" s="169">
        <v>9</v>
      </c>
      <c r="CS27" s="171"/>
      <c r="CT27" s="171"/>
      <c r="CU27" s="171"/>
      <c r="CV27" s="169">
        <v>23</v>
      </c>
      <c r="CW27" s="169">
        <v>8</v>
      </c>
      <c r="CX27" s="21">
        <f t="shared" si="32"/>
        <v>0.128</v>
      </c>
      <c r="CY27" s="169">
        <f t="shared" si="33"/>
        <v>3265</v>
      </c>
      <c r="CZ27" s="50">
        <f>SUM(CY$5:CY27)</f>
        <v>31795</v>
      </c>
      <c r="DB27" s="188">
        <f t="shared" si="20"/>
        <v>1600</v>
      </c>
      <c r="DC27" s="188">
        <f t="shared" si="20"/>
        <v>2600</v>
      </c>
      <c r="DD27" s="188">
        <f t="shared" si="20"/>
        <v>3250</v>
      </c>
      <c r="DE27" s="188">
        <f t="shared" si="20"/>
        <v>3900</v>
      </c>
      <c r="DF27" s="188">
        <f t="shared" si="20"/>
        <v>4850</v>
      </c>
      <c r="DI27" s="186">
        <v>23</v>
      </c>
      <c r="DJ27" s="14">
        <f t="shared" si="21"/>
        <v>5</v>
      </c>
      <c r="DK27" s="14">
        <f t="shared" si="1"/>
        <v>4</v>
      </c>
      <c r="DL27" s="14">
        <f t="shared" si="2"/>
        <v>1101005</v>
      </c>
      <c r="DM27" s="136" t="s">
        <v>1097</v>
      </c>
      <c r="DN27" s="14">
        <f t="shared" si="3"/>
        <v>3</v>
      </c>
      <c r="DO27" s="14" t="str">
        <f t="shared" si="4"/>
        <v>刘羽禅-3星</v>
      </c>
      <c r="DP27" s="136" t="s">
        <v>1103</v>
      </c>
      <c r="DQ27" s="14">
        <f t="shared" si="22"/>
        <v>14000</v>
      </c>
      <c r="DR27" s="14" t="str">
        <f t="shared" si="5"/>
        <v>刘羽禅碎片</v>
      </c>
      <c r="DS27" s="14">
        <f t="shared" si="23"/>
        <v>80</v>
      </c>
    </row>
    <row r="28" spans="1:123" ht="18" customHeight="1" x14ac:dyDescent="0.2">
      <c r="A28" s="14">
        <v>1102016</v>
      </c>
      <c r="B28" s="14" t="s">
        <v>187</v>
      </c>
      <c r="C28" s="14">
        <v>4</v>
      </c>
      <c r="D28" s="14">
        <v>80</v>
      </c>
      <c r="E28" s="14">
        <v>2</v>
      </c>
      <c r="F28" s="101">
        <f t="shared" si="27"/>
        <v>1502016</v>
      </c>
      <c r="G28" s="15"/>
      <c r="I28" s="233" t="s">
        <v>1570</v>
      </c>
      <c r="J28" s="233"/>
      <c r="K28" s="233"/>
      <c r="L28" s="233"/>
      <c r="M28" s="233"/>
      <c r="T28" s="139">
        <v>24</v>
      </c>
      <c r="U28" s="139">
        <f>ROUND(INDEX(挂机升级突破!$DJ$6:$DJ$57,卡牌消耗!$T28)*INDEX(卡牌消耗!$B$8:$F$8,卡牌消耗!U$2)/$Q$4/5,0)*5</f>
        <v>4830</v>
      </c>
      <c r="V28" s="139">
        <f>ROUND(INDEX(挂机升级突破!$DJ$6:$DJ$57,卡牌消耗!$T28)*INDEX(卡牌消耗!$B$8:$F$8,卡牌消耗!V$2)/$Q$4/5,0)*5</f>
        <v>6900</v>
      </c>
      <c r="W28" s="139">
        <f>ROUND(INDEX(挂机升级突破!$DJ$6:$DJ$57,卡牌消耗!$T28)*INDEX(卡牌消耗!$B$8:$F$8,卡牌消耗!W$2)/$Q$4/5,0)*5</f>
        <v>10350</v>
      </c>
      <c r="X28" s="139">
        <f>ROUND(INDEX(挂机升级突破!$DJ$6:$DJ$57,卡牌消耗!$T28)*INDEX(卡牌消耗!$B$8:$F$8,卡牌消耗!X$2)/$Q$4/5,0)*5</f>
        <v>13800</v>
      </c>
      <c r="Z28" s="196">
        <v>2</v>
      </c>
      <c r="AA28" s="196">
        <v>24</v>
      </c>
      <c r="AB28" s="14">
        <f>ROUND(INDEX(挂机升级突破!DT$6:DT$57,卡牌消耗!$AA28)*INDEX(卡牌消耗!$B$5:$F$5,卡牌消耗!$Z28)/卡牌消耗!$Q$4/AB$2,0)*AB$2</f>
        <v>0</v>
      </c>
      <c r="AC28" s="14">
        <f>ROUND(INDEX(挂机升级突破!DU$6:DU$57,卡牌消耗!$AA28)*INDEX(卡牌消耗!$B$5:$F$5,卡牌消耗!$Z28)/卡牌消耗!$Q$4/AC$2,0)*AC$2</f>
        <v>0</v>
      </c>
      <c r="AD28" s="14">
        <f>ROUND(INDEX(挂机升级突破!DV$6:DV$57,卡牌消耗!$AA28)*INDEX(卡牌消耗!$B$5:$F$5,卡牌消耗!$Z28)/卡牌消耗!$Q$4/AD$2,0)*AD$2</f>
        <v>0</v>
      </c>
      <c r="AE28" s="14">
        <f>ROUND(INDEX(挂机升级突破!DW$6:DW$57,卡牌消耗!$AA28)*INDEX(卡牌消耗!$B$5:$F$5,卡牌消耗!$Z28)/卡牌消耗!$Q$4/AE$2,0)*AE$2</f>
        <v>15</v>
      </c>
      <c r="AF28" s="14">
        <f>ROUND(INDEX(挂机升级突破!DX$6:DX$57,卡牌消耗!$AA28)*INDEX(卡牌消耗!$B$5:$F$5,卡牌消耗!$Z28)/卡牌消耗!$Q$4/AF$2,0)*AF$2</f>
        <v>0</v>
      </c>
      <c r="AG28" s="14">
        <f>ROUND(INDEX(挂机升级突破!EC$6:EC$57,卡牌消耗!$AA28)*INDEX(卡牌消耗!$B$7:$F$7,卡牌消耗!$Z28)/卡牌消耗!$Q$4/AG$2,0)*AG$2</f>
        <v>0</v>
      </c>
      <c r="AH28" s="14">
        <f>ROUND(INDEX(挂机升级突破!ED$6:ED$57,卡牌消耗!$AA28)*INDEX(卡牌消耗!$B$8:$F$8,卡牌消耗!$Z28)/卡牌消耗!$Q$4/AH$2,0)*AH$2</f>
        <v>4850</v>
      </c>
      <c r="AK28" s="104">
        <v>24</v>
      </c>
      <c r="AL28" s="14">
        <f t="shared" si="6"/>
        <v>1</v>
      </c>
      <c r="AM28" s="14">
        <f>INDEX(挂机升级突破!DQ$6:DQ$57,卡牌消耗!$AT28)</f>
        <v>11</v>
      </c>
      <c r="AN28" s="14">
        <f>INDEX(挂机升级突破!DR$6:DR$57,卡牌消耗!$AT28)</f>
        <v>4</v>
      </c>
      <c r="AO28" s="14">
        <f>INDEX(挂机升级突破!DS$6:DS$57,卡牌消耗!$AT28)</f>
        <v>0</v>
      </c>
      <c r="AP28" s="14">
        <f>INDEX(挂机升级突破!$DP$6:$DP$57,卡牌消耗!AT28)</f>
        <v>78</v>
      </c>
      <c r="AQ28" s="14" t="str">
        <f t="shared" si="7"/>
        <v>关羽</v>
      </c>
      <c r="AR28" s="14">
        <f t="shared" si="8"/>
        <v>5</v>
      </c>
      <c r="AS28" s="14" t="str">
        <f t="shared" si="9"/>
        <v>关羽魂火-24</v>
      </c>
      <c r="AT28" s="14">
        <f t="shared" si="10"/>
        <v>24</v>
      </c>
      <c r="AU28" s="14" t="str">
        <f>IF(AM28&gt;0,INDEX(挂机升级突破!$DT$4:$ED$4,AM28),"")</f>
        <v>金币</v>
      </c>
      <c r="AV28" s="14">
        <f>ROUND(INDEX(挂机升级突破!$DJ$6:$DJ$57,卡牌消耗!AT28)*INDEX(卡牌消耗!$B$8:$F$8,AR28)/$Q$4/50,0)*50</f>
        <v>13800</v>
      </c>
      <c r="AW28" s="14" t="str">
        <f>IF(AN28&gt;0,INDEX(挂机升级突破!$DT$4:$ED$4,AN28),"")</f>
        <v>橙色基础材料</v>
      </c>
      <c r="AX28" s="14">
        <f>ROUND(INDEX(挂机升级突破!$DT$6:$ED$57,卡牌消耗!AT28,AN28)*INDEX(卡牌消耗!$B$5:$F$5,AR28)/$Q$4/5,0)*5</f>
        <v>30</v>
      </c>
      <c r="AY28" s="14" t="str">
        <f>IF(AO28&gt;0,INDEX(挂机升级突破!$DT$4:$ED$4,AO28),"")</f>
        <v/>
      </c>
      <c r="AZ28" s="14" t="str">
        <f>IF(AO28&gt;0,ROUND(INDEX(挂机升级突破!$DT$6:$ED$57,卡牌消耗!AT28,AO28)*INDEX(卡牌消耗!$B$7:$F$7,AR28)/$Q$4,0),"")</f>
        <v/>
      </c>
      <c r="BC28" s="196">
        <v>3</v>
      </c>
      <c r="BD28" s="196">
        <v>4</v>
      </c>
      <c r="BE28" s="14">
        <f>ROUND(INDEX(挂机升级突破!ER$7:ER$26,卡牌消耗!$BD28)*INDEX(卡牌消耗!$B$6:$F$6,$BC28)/$Q$4,0)</f>
        <v>17</v>
      </c>
      <c r="BF28" s="14">
        <f>ROUND(INDEX(挂机升级突破!ES$7:ES$26,卡牌消耗!$BD28)*INDEX(卡牌消耗!$B$6:$F$6,$BC28)/$Q$4,0)</f>
        <v>0</v>
      </c>
      <c r="BG28" s="14">
        <f>ROUND(INDEX(挂机升级突破!ET$7:ET$26,卡牌消耗!$BD28)*INDEX(卡牌消耗!$B$6:$F$6,$BC28)/$Q$4,0)</f>
        <v>0</v>
      </c>
      <c r="BH28" s="14">
        <f>ROUND(INDEX(挂机升级突破!EU$7:EU$26,卡牌消耗!$BD28)*INDEX(卡牌消耗!$B$6:$F$6,$BC28)/$Q$4,0)</f>
        <v>0</v>
      </c>
      <c r="BI28" s="14">
        <f>ROUND(INDEX(挂机升级突破!$EV$7:$EV$26,卡牌消耗!BD28)*INDEX(卡牌消耗!$B$8:$F$8,$BC28)/$Q$4/BI$2,0)*BI$2</f>
        <v>4000</v>
      </c>
      <c r="BL28" s="104">
        <v>24</v>
      </c>
      <c r="BM28" s="14">
        <f t="shared" si="11"/>
        <v>2</v>
      </c>
      <c r="BN28" s="14">
        <f>INDEX(挂机升级突破!$EI$7:$EI$26,BS28)</f>
        <v>5</v>
      </c>
      <c r="BO28" s="14">
        <f>INDEX(挂机升级突破!$EJ$7:$EJ$26,BS28)</f>
        <v>1</v>
      </c>
      <c r="BP28" s="14">
        <f t="shared" si="12"/>
        <v>3</v>
      </c>
      <c r="BQ28" s="14">
        <f>INDEX(挂机升级突破!$EH$7:$EH$26,卡牌消耗!BS28)</f>
        <v>25</v>
      </c>
      <c r="BR28" s="14" t="str">
        <f t="shared" si="13"/>
        <v>许褚</v>
      </c>
      <c r="BS28" s="14">
        <f t="shared" si="14"/>
        <v>4</v>
      </c>
      <c r="BT28" s="14" t="str">
        <f t="shared" si="15"/>
        <v>许褚4突</v>
      </c>
      <c r="BU28" s="14" t="str">
        <f>IF(BN28&gt;0,INDEX(挂机升级突破!$ER$5:$EV$5,卡牌消耗!BN28),"")</f>
        <v>金币</v>
      </c>
      <c r="BV28" s="14">
        <f>IF(BN28&gt;0,ROUND(INDEX(挂机升级突破!$EV$7:$EV$26,卡牌消耗!BS28)*INDEX(卡牌消耗!$B$8:$F$8,BP28)/$Q$4/500,0)*500,"")</f>
        <v>4000</v>
      </c>
      <c r="BW28" s="14" t="str">
        <f>IF(BO28&gt;0,INDEX(挂机升级突破!$ER$5:$EV$5,卡牌消耗!BO28),"")</f>
        <v>玄铁</v>
      </c>
      <c r="BX28" s="14">
        <f>IF(BO28&gt;0,ROUND(INDEX(挂机升级突破!$ER$7:$EU$26,卡牌消耗!BS28,卡牌消耗!BO28)*INDEX($B$6:$F$6,BP28)/$Q$4,0),"")</f>
        <v>17</v>
      </c>
      <c r="BY28" s="193"/>
      <c r="BZ28" s="193"/>
      <c r="CC28" s="158">
        <v>24</v>
      </c>
      <c r="CD28" s="169" t="s">
        <v>467</v>
      </c>
      <c r="CE28" s="169">
        <v>125</v>
      </c>
      <c r="CF28" s="169">
        <v>130</v>
      </c>
      <c r="CG28" s="169">
        <f>INDEX(章节关卡!$L$6:$L$35,卡牌消耗!CC28)*INDEX(节奏总表!$N$5:$N$34,卡牌消耗!CC28)*60</f>
        <v>2970000</v>
      </c>
      <c r="CH28" s="169">
        <v>24</v>
      </c>
      <c r="CI28" s="169">
        <f>SUMIFS(章节关卡!$BF$5:$BF$304,章节关卡!$BB$5:$BB$304,"="&amp;卡牌消耗!CH28)</f>
        <v>123750</v>
      </c>
      <c r="CJ28" s="169">
        <v>22</v>
      </c>
      <c r="CK28" s="169">
        <f>SUMIFS(章节关卡!$BP$5:$BP$304,章节关卡!$BL$5:$BL$304,"="&amp;卡牌消耗!CJ28)</f>
        <v>211500</v>
      </c>
      <c r="CL28" s="169">
        <f>SUMIFS(章节关卡!$ED$5:$ED$94,章节关卡!$DK$5:$DK$94,"="&amp;卡牌消耗!CH28)</f>
        <v>99000</v>
      </c>
      <c r="CM28" s="169">
        <f>SUMIFS(章节关卡!$FC$5:$FC$94,章节关卡!$DK$5:$DK$94,"="&amp;CJ28)</f>
        <v>297000</v>
      </c>
      <c r="CN28" s="169">
        <f t="shared" si="16"/>
        <v>3701250</v>
      </c>
      <c r="CO28" s="169">
        <v>1</v>
      </c>
      <c r="CP28" s="169">
        <f t="shared" si="17"/>
        <v>411250</v>
      </c>
      <c r="CQ28" s="169">
        <v>9</v>
      </c>
      <c r="CS28" s="171"/>
      <c r="CT28" s="171"/>
      <c r="CU28" s="171"/>
      <c r="CV28" s="169">
        <v>24</v>
      </c>
      <c r="CW28" s="169">
        <v>8.5</v>
      </c>
      <c r="CX28" s="21">
        <f t="shared" si="32"/>
        <v>0.13600000000000001</v>
      </c>
      <c r="CY28" s="169">
        <f t="shared" si="33"/>
        <v>3470</v>
      </c>
      <c r="CZ28" s="50">
        <f>SUM(CY$5:CY28)</f>
        <v>35265</v>
      </c>
      <c r="DB28" s="188">
        <f t="shared" si="20"/>
        <v>1700</v>
      </c>
      <c r="DC28" s="188">
        <f t="shared" si="20"/>
        <v>2750</v>
      </c>
      <c r="DD28" s="188">
        <f t="shared" si="20"/>
        <v>3450</v>
      </c>
      <c r="DE28" s="188">
        <f t="shared" si="20"/>
        <v>4150</v>
      </c>
      <c r="DF28" s="188">
        <f t="shared" si="20"/>
        <v>5200</v>
      </c>
      <c r="DI28" s="186">
        <v>24</v>
      </c>
      <c r="DJ28" s="14">
        <f t="shared" si="21"/>
        <v>5</v>
      </c>
      <c r="DK28" s="14">
        <f t="shared" si="1"/>
        <v>4</v>
      </c>
      <c r="DL28" s="14">
        <f t="shared" si="2"/>
        <v>1101005</v>
      </c>
      <c r="DM28" s="136" t="s">
        <v>1097</v>
      </c>
      <c r="DN28" s="14">
        <f t="shared" si="3"/>
        <v>4</v>
      </c>
      <c r="DO28" s="14" t="str">
        <f t="shared" si="4"/>
        <v>刘羽禅-4星</v>
      </c>
      <c r="DP28" s="136" t="s">
        <v>1103</v>
      </c>
      <c r="DQ28" s="14">
        <f t="shared" si="22"/>
        <v>32000</v>
      </c>
      <c r="DR28" s="14" t="str">
        <f t="shared" si="5"/>
        <v>刘羽禅碎片</v>
      </c>
      <c r="DS28" s="14">
        <f t="shared" si="23"/>
        <v>80</v>
      </c>
    </row>
    <row r="29" spans="1:123" ht="17.25" x14ac:dyDescent="0.2">
      <c r="A29" s="14">
        <v>1102017</v>
      </c>
      <c r="B29" s="14" t="s">
        <v>188</v>
      </c>
      <c r="C29" s="14">
        <v>3</v>
      </c>
      <c r="D29" s="14">
        <v>40</v>
      </c>
      <c r="E29" s="14">
        <v>2</v>
      </c>
      <c r="F29" s="101">
        <f t="shared" si="27"/>
        <v>1502017</v>
      </c>
      <c r="G29" s="15"/>
      <c r="I29" s="12" t="s">
        <v>1571</v>
      </c>
      <c r="J29" s="12" t="s">
        <v>1572</v>
      </c>
      <c r="K29" s="12" t="s">
        <v>1573</v>
      </c>
      <c r="L29" s="12" t="s">
        <v>1574</v>
      </c>
      <c r="M29" s="12" t="s">
        <v>1575</v>
      </c>
      <c r="T29" s="139">
        <v>25</v>
      </c>
      <c r="U29" s="139">
        <f>ROUND(INDEX(挂机升级突破!$DJ$6:$DJ$57,卡牌消耗!$T29)*INDEX(卡牌消耗!$B$8:$F$8,卡牌消耗!U$2)/$Q$4/5,0)*5</f>
        <v>5270</v>
      </c>
      <c r="V29" s="139">
        <f>ROUND(INDEX(挂机升级突破!$DJ$6:$DJ$57,卡牌消耗!$T29)*INDEX(卡牌消耗!$B$8:$F$8,卡牌消耗!V$2)/$Q$4/5,0)*5</f>
        <v>7525</v>
      </c>
      <c r="W29" s="139">
        <f>ROUND(INDEX(挂机升级突破!$DJ$6:$DJ$57,卡牌消耗!$T29)*INDEX(卡牌消耗!$B$8:$F$8,卡牌消耗!W$2)/$Q$4/5,0)*5</f>
        <v>11290</v>
      </c>
      <c r="X29" s="139">
        <f>ROUND(INDEX(挂机升级突破!$DJ$6:$DJ$57,卡牌消耗!$T29)*INDEX(卡牌消耗!$B$8:$F$8,卡牌消耗!X$2)/$Q$4/5,0)*5</f>
        <v>15055</v>
      </c>
      <c r="Z29" s="196">
        <v>2</v>
      </c>
      <c r="AA29" s="196">
        <v>25</v>
      </c>
      <c r="AB29" s="14">
        <f>ROUND(INDEX(挂机升级突破!DT$6:DT$57,卡牌消耗!$AA29)*INDEX(卡牌消耗!$B$5:$F$5,卡牌消耗!$Z29)/卡牌消耗!$Q$4/AB$2,0)*AB$2</f>
        <v>0</v>
      </c>
      <c r="AC29" s="14">
        <f>ROUND(INDEX(挂机升级突破!DU$6:DU$57,卡牌消耗!$AA29)*INDEX(卡牌消耗!$B$5:$F$5,卡牌消耗!$Z29)/卡牌消耗!$Q$4/AC$2,0)*AC$2</f>
        <v>0</v>
      </c>
      <c r="AD29" s="14">
        <f>ROUND(INDEX(挂机升级突破!DV$6:DV$57,卡牌消耗!$AA29)*INDEX(卡牌消耗!$B$5:$F$5,卡牌消耗!$Z29)/卡牌消耗!$Q$4/AD$2,0)*AD$2</f>
        <v>0</v>
      </c>
      <c r="AE29" s="14">
        <f>ROUND(INDEX(挂机升级突破!DW$6:DW$57,卡牌消耗!$AA29)*INDEX(卡牌消耗!$B$5:$F$5,卡牌消耗!$Z29)/卡牌消耗!$Q$4/AE$2,0)*AE$2</f>
        <v>15</v>
      </c>
      <c r="AF29" s="14">
        <f>ROUND(INDEX(挂机升级突破!DX$6:DX$57,卡牌消耗!$AA29)*INDEX(卡牌消耗!$B$5:$F$5,卡牌消耗!$Z29)/卡牌消耗!$Q$4/AF$2,0)*AF$2</f>
        <v>0</v>
      </c>
      <c r="AG29" s="14">
        <f>ROUND(INDEX(挂机升级突破!EC$6:EC$57,卡牌消耗!$AA29)*INDEX(卡牌消耗!$B$7:$F$7,卡牌消耗!$Z29)/卡牌消耗!$Q$4/AG$2,0)*AG$2</f>
        <v>0</v>
      </c>
      <c r="AH29" s="14">
        <f>ROUND(INDEX(挂机升级突破!ED$6:ED$57,卡牌消耗!$AA29)*INDEX(卡牌消耗!$B$8:$F$8,卡牌消耗!$Z29)/卡牌消耗!$Q$4/AH$2,0)*AH$2</f>
        <v>5250</v>
      </c>
      <c r="AK29" s="104">
        <v>25</v>
      </c>
      <c r="AL29" s="14">
        <f t="shared" si="6"/>
        <v>1</v>
      </c>
      <c r="AM29" s="14">
        <f>INDEX(挂机升级突破!DQ$6:DQ$57,卡牌消耗!$AT29)</f>
        <v>11</v>
      </c>
      <c r="AN29" s="14">
        <f>INDEX(挂机升级突破!DR$6:DR$57,卡牌消耗!$AT29)</f>
        <v>4</v>
      </c>
      <c r="AO29" s="14">
        <f>INDEX(挂机升级突破!DS$6:DS$57,卡牌消耗!$AT29)</f>
        <v>0</v>
      </c>
      <c r="AP29" s="14">
        <f>INDEX(挂机升级突破!$DP$6:$DP$57,卡牌消耗!AT29)</f>
        <v>80</v>
      </c>
      <c r="AQ29" s="14" t="str">
        <f t="shared" si="7"/>
        <v>关羽</v>
      </c>
      <c r="AR29" s="14">
        <f t="shared" si="8"/>
        <v>5</v>
      </c>
      <c r="AS29" s="14" t="str">
        <f t="shared" si="9"/>
        <v>关羽魂火-25</v>
      </c>
      <c r="AT29" s="14">
        <f t="shared" si="10"/>
        <v>25</v>
      </c>
      <c r="AU29" s="14" t="str">
        <f>IF(AM29&gt;0,INDEX(挂机升级突破!$DT$4:$ED$4,AM29),"")</f>
        <v>金币</v>
      </c>
      <c r="AV29" s="14">
        <f>ROUND(INDEX(挂机升级突破!$DJ$6:$DJ$57,卡牌消耗!AT29)*INDEX(卡牌消耗!$B$8:$F$8,AR29)/$Q$4/50,0)*50</f>
        <v>15050</v>
      </c>
      <c r="AW29" s="14" t="str">
        <f>IF(AN29&gt;0,INDEX(挂机升级突破!$DT$4:$ED$4,AN29),"")</f>
        <v>橙色基础材料</v>
      </c>
      <c r="AX29" s="14">
        <f>ROUND(INDEX(挂机升级突破!$DT$6:$ED$57,卡牌消耗!AT29,AN29)*INDEX(卡牌消耗!$B$5:$F$5,AR29)/$Q$4/5,0)*5</f>
        <v>30</v>
      </c>
      <c r="AY29" s="14" t="str">
        <f>IF(AO29&gt;0,INDEX(挂机升级突破!$DT$4:$ED$4,AO29),"")</f>
        <v/>
      </c>
      <c r="AZ29" s="14" t="str">
        <f>IF(AO29&gt;0,ROUND(INDEX(挂机升级突破!$DT$6:$ED$57,卡牌消耗!AT29,AO29)*INDEX(卡牌消耗!$B$7:$F$7,AR29)/$Q$4,0),"")</f>
        <v/>
      </c>
      <c r="BC29" s="196">
        <v>3</v>
      </c>
      <c r="BD29" s="196">
        <v>5</v>
      </c>
      <c r="BE29" s="14">
        <f>ROUND(INDEX(挂机升级突破!ER$7:ER$26,卡牌消耗!$BD29)*INDEX(卡牌消耗!$B$6:$F$6,$BC29)/$Q$4,0)</f>
        <v>34</v>
      </c>
      <c r="BF29" s="14">
        <f>ROUND(INDEX(挂机升级突破!ES$7:ES$26,卡牌消耗!$BD29)*INDEX(卡牌消耗!$B$6:$F$6,$BC29)/$Q$4,0)</f>
        <v>0</v>
      </c>
      <c r="BG29" s="14">
        <f>ROUND(INDEX(挂机升级突破!ET$7:ET$26,卡牌消耗!$BD29)*INDEX(卡牌消耗!$B$6:$F$6,$BC29)/$Q$4,0)</f>
        <v>0</v>
      </c>
      <c r="BH29" s="14">
        <f>ROUND(INDEX(挂机升级突破!EU$7:EU$26,卡牌消耗!$BD29)*INDEX(卡牌消耗!$B$6:$F$6,$BC29)/$Q$4,0)</f>
        <v>0</v>
      </c>
      <c r="BI29" s="14">
        <f>ROUND(INDEX(挂机升级突破!$EV$7:$EV$26,卡牌消耗!BD29)*INDEX(卡牌消耗!$B$8:$F$8,$BC29)/$Q$4/BI$2,0)*BI$2</f>
        <v>4000</v>
      </c>
      <c r="BL29" s="104">
        <v>25</v>
      </c>
      <c r="BM29" s="14">
        <f t="shared" si="11"/>
        <v>2</v>
      </c>
      <c r="BN29" s="14">
        <f>INDEX(挂机升级突破!$EI$7:$EI$26,BS29)</f>
        <v>5</v>
      </c>
      <c r="BO29" s="14">
        <f>INDEX(挂机升级突破!$EJ$7:$EJ$26,BS29)</f>
        <v>1</v>
      </c>
      <c r="BP29" s="14">
        <f t="shared" si="12"/>
        <v>3</v>
      </c>
      <c r="BQ29" s="14">
        <f>INDEX(挂机升级突破!$EH$7:$EH$26,卡牌消耗!BS29)</f>
        <v>35</v>
      </c>
      <c r="BR29" s="14" t="str">
        <f t="shared" si="13"/>
        <v>许褚</v>
      </c>
      <c r="BS29" s="14">
        <f t="shared" si="14"/>
        <v>5</v>
      </c>
      <c r="BT29" s="14" t="str">
        <f t="shared" si="15"/>
        <v>许褚5突</v>
      </c>
      <c r="BU29" s="14" t="str">
        <f>IF(BN29&gt;0,INDEX(挂机升级突破!$ER$5:$EV$5,卡牌消耗!BN29),"")</f>
        <v>金币</v>
      </c>
      <c r="BV29" s="14">
        <f>IF(BN29&gt;0,ROUND(INDEX(挂机升级突破!$EV$7:$EV$26,卡牌消耗!BS29)*INDEX(卡牌消耗!$B$8:$F$8,BP29)/$Q$4/500,0)*500,"")</f>
        <v>4000</v>
      </c>
      <c r="BW29" s="14" t="str">
        <f>IF(BO29&gt;0,INDEX(挂机升级突破!$ER$5:$EV$5,卡牌消耗!BO29),"")</f>
        <v>玄铁</v>
      </c>
      <c r="BX29" s="14">
        <f>IF(BO29&gt;0,ROUND(INDEX(挂机升级突破!$ER$7:$EU$26,卡牌消耗!BS29,卡牌消耗!BO29)*INDEX($B$6:$F$6,BP29)/$Q$4/5,0)*5,"")</f>
        <v>35</v>
      </c>
      <c r="BY29" s="193"/>
      <c r="BZ29" s="193"/>
      <c r="CC29" s="158">
        <v>25</v>
      </c>
      <c r="CD29" s="169" t="s">
        <v>468</v>
      </c>
      <c r="CE29" s="169">
        <v>130</v>
      </c>
      <c r="CF29" s="169">
        <v>135</v>
      </c>
      <c r="CG29" s="169">
        <f>INDEX(章节关卡!$L$6:$L$35,卡牌消耗!CC29)*INDEX(节奏总表!$N$5:$N$34,卡牌消耗!CC29)*60</f>
        <v>3780000</v>
      </c>
      <c r="CH29" s="169">
        <v>25</v>
      </c>
      <c r="CI29" s="169">
        <f>SUMIFS(章节关卡!$BF$5:$BF$304,章节关卡!$BB$5:$BB$304,"="&amp;卡牌消耗!CH29)</f>
        <v>135000</v>
      </c>
      <c r="CJ29" s="169">
        <v>23</v>
      </c>
      <c r="CK29" s="169">
        <f>SUMIFS(章节关卡!$BP$5:$BP$304,章节关卡!$BL$5:$BL$304,"="&amp;卡牌消耗!CJ29)</f>
        <v>225000</v>
      </c>
      <c r="CL29" s="169">
        <f>SUMIFS(章节关卡!$ED$5:$ED$94,章节关卡!$DK$5:$DK$94,"="&amp;卡牌消耗!CH29)</f>
        <v>108000</v>
      </c>
      <c r="CM29" s="169">
        <f>SUMIFS(章节关卡!$FC$5:$FC$94,章节关卡!$DK$5:$DK$94,"="&amp;CJ29)</f>
        <v>324000</v>
      </c>
      <c r="CN29" s="169">
        <f t="shared" si="16"/>
        <v>4572000</v>
      </c>
      <c r="CO29" s="169">
        <v>1</v>
      </c>
      <c r="CP29" s="169">
        <f t="shared" si="17"/>
        <v>508000</v>
      </c>
      <c r="CQ29" s="169">
        <v>9</v>
      </c>
      <c r="CS29" s="171"/>
      <c r="CT29" s="173" t="s">
        <v>120</v>
      </c>
      <c r="CU29" s="169">
        <v>4</v>
      </c>
      <c r="CV29" s="169">
        <v>25</v>
      </c>
      <c r="CW29" s="50">
        <v>5</v>
      </c>
      <c r="CX29" s="21">
        <f>CW29/$CU31</f>
        <v>0.18181818181818182</v>
      </c>
      <c r="CY29" s="169">
        <f>INT($CU30*CX29/5)*5</f>
        <v>5835</v>
      </c>
      <c r="CZ29" s="50">
        <f>SUM(CY$5:CY29)</f>
        <v>41100</v>
      </c>
      <c r="DB29" s="188">
        <f t="shared" si="20"/>
        <v>2900</v>
      </c>
      <c r="DC29" s="188">
        <f t="shared" si="20"/>
        <v>4650</v>
      </c>
      <c r="DD29" s="188">
        <f t="shared" si="20"/>
        <v>5800</v>
      </c>
      <c r="DE29" s="188">
        <f t="shared" si="20"/>
        <v>7000</v>
      </c>
      <c r="DF29" s="188">
        <f t="shared" si="20"/>
        <v>8750</v>
      </c>
      <c r="DI29" s="186">
        <v>25</v>
      </c>
      <c r="DJ29" s="14">
        <f t="shared" si="21"/>
        <v>5</v>
      </c>
      <c r="DK29" s="14">
        <f t="shared" si="1"/>
        <v>4</v>
      </c>
      <c r="DL29" s="14">
        <f t="shared" si="2"/>
        <v>1101005</v>
      </c>
      <c r="DM29" s="136" t="s">
        <v>1097</v>
      </c>
      <c r="DN29" s="14">
        <f t="shared" si="3"/>
        <v>5</v>
      </c>
      <c r="DO29" s="14" t="str">
        <f t="shared" si="4"/>
        <v>刘羽禅-5星</v>
      </c>
      <c r="DP29" s="136" t="s">
        <v>1103</v>
      </c>
      <c r="DQ29" s="14">
        <f t="shared" si="22"/>
        <v>60000</v>
      </c>
      <c r="DR29" s="14" t="str">
        <f t="shared" si="5"/>
        <v>刘羽禅碎片</v>
      </c>
      <c r="DS29" s="14">
        <f t="shared" si="23"/>
        <v>80</v>
      </c>
    </row>
    <row r="30" spans="1:123" ht="16.5" x14ac:dyDescent="0.2">
      <c r="A30" s="14">
        <v>1102018</v>
      </c>
      <c r="B30" s="14" t="s">
        <v>189</v>
      </c>
      <c r="C30" s="14">
        <v>2</v>
      </c>
      <c r="D30" s="14">
        <v>20</v>
      </c>
      <c r="E30" s="14">
        <v>2</v>
      </c>
      <c r="F30" s="101">
        <f t="shared" si="27"/>
        <v>1502018</v>
      </c>
      <c r="G30" s="15"/>
      <c r="I30" s="186">
        <v>1</v>
      </c>
      <c r="J30" s="186">
        <v>20</v>
      </c>
      <c r="K30" s="186">
        <v>40</v>
      </c>
      <c r="L30" s="186">
        <v>80</v>
      </c>
      <c r="M30" s="186">
        <v>80</v>
      </c>
      <c r="T30" s="139">
        <v>26</v>
      </c>
      <c r="U30" s="139">
        <f>ROUND(INDEX(挂机升级突破!$DJ$6:$DJ$57,卡牌消耗!$T30)*INDEX(卡牌消耗!$B$8:$F$8,卡牌消耗!U$2)/$Q$4/5,0)*5</f>
        <v>6145</v>
      </c>
      <c r="V30" s="139">
        <f>ROUND(INDEX(挂机升级突破!$DJ$6:$DJ$57,卡牌消耗!$T30)*INDEX(卡牌消耗!$B$8:$F$8,卡牌消耗!V$2)/$Q$4/5,0)*5</f>
        <v>8780</v>
      </c>
      <c r="W30" s="139">
        <f>ROUND(INDEX(挂机升级突破!$DJ$6:$DJ$57,卡牌消耗!$T30)*INDEX(卡牌消耗!$B$8:$F$8,卡牌消耗!W$2)/$Q$4/5,0)*5</f>
        <v>13175</v>
      </c>
      <c r="X30" s="139">
        <f>ROUND(INDEX(挂机升级突破!$DJ$6:$DJ$57,卡牌消耗!$T30)*INDEX(卡牌消耗!$B$8:$F$8,卡牌消耗!X$2)/$Q$4/5,0)*5</f>
        <v>17565</v>
      </c>
      <c r="Z30" s="196">
        <v>2</v>
      </c>
      <c r="AA30" s="196">
        <v>26</v>
      </c>
      <c r="AB30" s="14">
        <f>ROUND(INDEX(挂机升级突破!DT$6:DT$57,卡牌消耗!$AA30)*INDEX(卡牌消耗!$B$5:$F$5,卡牌消耗!$Z30)/卡牌消耗!$Q$4/AB$2,0)*AB$2</f>
        <v>0</v>
      </c>
      <c r="AC30" s="14">
        <f>ROUND(INDEX(挂机升级突破!DU$6:DU$57,卡牌消耗!$AA30)*INDEX(卡牌消耗!$B$5:$F$5,卡牌消耗!$Z30)/卡牌消耗!$Q$4/AC$2,0)*AC$2</f>
        <v>0</v>
      </c>
      <c r="AD30" s="14">
        <f>ROUND(INDEX(挂机升级突破!DV$6:DV$57,卡牌消耗!$AA30)*INDEX(卡牌消耗!$B$5:$F$5,卡牌消耗!$Z30)/卡牌消耗!$Q$4/AD$2,0)*AD$2</f>
        <v>0</v>
      </c>
      <c r="AE30" s="14">
        <f>ROUND(INDEX(挂机升级突破!DW$6:DW$57,卡牌消耗!$AA30)*INDEX(卡牌消耗!$B$5:$F$5,卡牌消耗!$Z30)/卡牌消耗!$Q$4/AE$2,0)*AE$2</f>
        <v>20</v>
      </c>
      <c r="AF30" s="14">
        <f>ROUND(INDEX(挂机升级突破!DX$6:DX$57,卡牌消耗!$AA30)*INDEX(卡牌消耗!$B$5:$F$5,卡牌消耗!$Z30)/卡牌消耗!$Q$4/AF$2,0)*AF$2</f>
        <v>0</v>
      </c>
      <c r="AG30" s="14">
        <f>ROUND(INDEX(挂机升级突破!EC$6:EC$57,卡牌消耗!$AA30)*INDEX(卡牌消耗!$B$7:$F$7,卡牌消耗!$Z30)/卡牌消耗!$Q$4/AG$2,0)*AG$2</f>
        <v>0</v>
      </c>
      <c r="AH30" s="14">
        <f>ROUND(INDEX(挂机升级突破!ED$6:ED$57,卡牌消耗!$AA30)*INDEX(卡牌消耗!$B$8:$F$8,卡牌消耗!$Z30)/卡牌消耗!$Q$4/AH$2,0)*AH$2</f>
        <v>6150</v>
      </c>
      <c r="AK30" s="104">
        <v>26</v>
      </c>
      <c r="AL30" s="14">
        <f t="shared" si="6"/>
        <v>1</v>
      </c>
      <c r="AM30" s="14">
        <f>INDEX(挂机升级突破!DQ$6:DQ$57,卡牌消耗!$AT30)</f>
        <v>11</v>
      </c>
      <c r="AN30" s="14">
        <f>INDEX(挂机升级突破!DR$6:DR$57,卡牌消耗!$AT30)</f>
        <v>4</v>
      </c>
      <c r="AO30" s="14">
        <f>INDEX(挂机升级突破!DS$6:DS$57,卡牌消耗!$AT30)</f>
        <v>0</v>
      </c>
      <c r="AP30" s="14">
        <f>INDEX(挂机升级突破!$DP$6:$DP$57,卡牌消耗!AT30)</f>
        <v>83</v>
      </c>
      <c r="AQ30" s="14" t="str">
        <f t="shared" si="7"/>
        <v>关羽</v>
      </c>
      <c r="AR30" s="14">
        <f t="shared" si="8"/>
        <v>5</v>
      </c>
      <c r="AS30" s="14" t="str">
        <f t="shared" si="9"/>
        <v>关羽魂火-26</v>
      </c>
      <c r="AT30" s="14">
        <f t="shared" si="10"/>
        <v>26</v>
      </c>
      <c r="AU30" s="14" t="str">
        <f>IF(AM30&gt;0,INDEX(挂机升级突破!$DT$4:$ED$4,AM30),"")</f>
        <v>金币</v>
      </c>
      <c r="AV30" s="14">
        <f>ROUND(INDEX(挂机升级突破!$DJ$6:$DJ$57,卡牌消耗!AT30)*INDEX(卡牌消耗!$B$8:$F$8,AR30)/$Q$4/50,0)*50</f>
        <v>17550</v>
      </c>
      <c r="AW30" s="14" t="str">
        <f>IF(AN30&gt;0,INDEX(挂机升级突破!$DT$4:$ED$4,AN30),"")</f>
        <v>橙色基础材料</v>
      </c>
      <c r="AX30" s="14">
        <f>ROUND(INDEX(挂机升级突破!$DT$6:$ED$57,卡牌消耗!AT30,AN30)*INDEX(卡牌消耗!$B$5:$F$5,AR30)/$Q$4/5,0)*5</f>
        <v>35</v>
      </c>
      <c r="AY30" s="14" t="str">
        <f>IF(AO30&gt;0,INDEX(挂机升级突破!$DT$4:$ED$4,AO30),"")</f>
        <v/>
      </c>
      <c r="AZ30" s="14" t="str">
        <f>IF(AO30&gt;0,ROUND(INDEX(挂机升级突破!$DT$6:$ED$57,卡牌消耗!AT30,AO30)*INDEX(卡牌消耗!$B$7:$F$7,AR30)/$Q$4,0),"")</f>
        <v/>
      </c>
      <c r="BC30" s="196">
        <v>3</v>
      </c>
      <c r="BD30" s="196">
        <v>6</v>
      </c>
      <c r="BE30" s="14">
        <f>ROUND(INDEX(挂机升级突破!ER$7:ER$26,卡牌消耗!$BD30)*INDEX(卡牌消耗!$B$6:$F$6,$BC30)/$Q$4,0)</f>
        <v>50</v>
      </c>
      <c r="BF30" s="14">
        <f>ROUND(INDEX(挂机升级突破!ES$7:ES$26,卡牌消耗!$BD30)*INDEX(卡牌消耗!$B$6:$F$6,$BC30)/$Q$4,0)</f>
        <v>0</v>
      </c>
      <c r="BG30" s="14">
        <f>ROUND(INDEX(挂机升级突破!ET$7:ET$26,卡牌消耗!$BD30)*INDEX(卡牌消耗!$B$6:$F$6,$BC30)/$Q$4,0)</f>
        <v>0</v>
      </c>
      <c r="BH30" s="14">
        <f>ROUND(INDEX(挂机升级突破!EU$7:EU$26,卡牌消耗!$BD30)*INDEX(卡牌消耗!$B$6:$F$6,$BC30)/$Q$4,0)</f>
        <v>0</v>
      </c>
      <c r="BI30" s="14">
        <f>ROUND(INDEX(挂机升级突破!$EV$7:$EV$26,卡牌消耗!BD30)*INDEX(卡牌消耗!$B$8:$F$8,$BC30)/$Q$4/BI$2,0)*BI$2</f>
        <v>5000</v>
      </c>
      <c r="BL30" s="104">
        <v>26</v>
      </c>
      <c r="BM30" s="14">
        <f t="shared" si="11"/>
        <v>2</v>
      </c>
      <c r="BN30" s="14">
        <f>INDEX(挂机升级突破!$EI$7:$EI$26,BS30)</f>
        <v>5</v>
      </c>
      <c r="BO30" s="14">
        <f>INDEX(挂机升级突破!$EJ$7:$EJ$26,BS30)</f>
        <v>1</v>
      </c>
      <c r="BP30" s="14">
        <f t="shared" si="12"/>
        <v>3</v>
      </c>
      <c r="BQ30" s="14">
        <f>INDEX(挂机升级突破!$EH$7:$EH$26,卡牌消耗!BS30)</f>
        <v>42</v>
      </c>
      <c r="BR30" s="14" t="str">
        <f t="shared" si="13"/>
        <v>许褚</v>
      </c>
      <c r="BS30" s="14">
        <f t="shared" si="14"/>
        <v>6</v>
      </c>
      <c r="BT30" s="14" t="str">
        <f t="shared" si="15"/>
        <v>许褚6突</v>
      </c>
      <c r="BU30" s="14" t="str">
        <f>IF(BN30&gt;0,INDEX(挂机升级突破!$ER$5:$EV$5,卡牌消耗!BN30),"")</f>
        <v>金币</v>
      </c>
      <c r="BV30" s="14">
        <f>IF(BN30&gt;0,ROUND(INDEX(挂机升级突破!$EV$7:$EV$26,卡牌消耗!BS30)*INDEX(卡牌消耗!$B$8:$F$8,BP30)/$Q$4/500,0)*500,"")</f>
        <v>5000</v>
      </c>
      <c r="BW30" s="14" t="str">
        <f>IF(BO30&gt;0,INDEX(挂机升级突破!$ER$5:$EV$5,卡牌消耗!BO30),"")</f>
        <v>玄铁</v>
      </c>
      <c r="BX30" s="14">
        <f>IF(BO30&gt;0,ROUND(INDEX(挂机升级突破!$ER$7:$EU$26,卡牌消耗!BS30,卡牌消耗!BO30)*INDEX($B$6:$F$6,BP30)/$Q$4/5,0)*5,"")</f>
        <v>50</v>
      </c>
      <c r="BY30" s="193"/>
      <c r="BZ30" s="193"/>
      <c r="CC30" s="158">
        <v>26</v>
      </c>
      <c r="CD30" s="169" t="s">
        <v>469</v>
      </c>
      <c r="CE30" s="169">
        <v>135</v>
      </c>
      <c r="CF30" s="169">
        <v>140</v>
      </c>
      <c r="CG30" s="169">
        <f>INDEX(章节关卡!$L$6:$L$35,卡牌消耗!CC30)*INDEX(节奏总表!$N$5:$N$34,卡牌消耗!CC30)*60</f>
        <v>4875000</v>
      </c>
      <c r="CH30" s="169">
        <v>26</v>
      </c>
      <c r="CI30" s="169">
        <f>SUMIFS(章节关卡!$BF$5:$BF$304,章节关卡!$BB$5:$BB$304,"="&amp;卡牌消耗!CH30)</f>
        <v>146250</v>
      </c>
      <c r="CJ30" s="169">
        <v>24</v>
      </c>
      <c r="CK30" s="169">
        <f>SUMIFS(章节关卡!$BP$5:$BP$304,章节关卡!$BL$5:$BL$304,"="&amp;卡牌消耗!CJ30)</f>
        <v>247500</v>
      </c>
      <c r="CL30" s="169">
        <f>SUMIFS(章节关卡!$ED$5:$ED$94,章节关卡!$DK$5:$DK$94,"="&amp;卡牌消耗!CH30)</f>
        <v>117000</v>
      </c>
      <c r="CM30" s="169">
        <f>SUMIFS(章节关卡!$FC$5:$FC$94,章节关卡!$DK$5:$DK$94,"="&amp;CJ30)</f>
        <v>351000</v>
      </c>
      <c r="CN30" s="169">
        <f t="shared" si="16"/>
        <v>5736750</v>
      </c>
      <c r="CO30" s="169">
        <v>1</v>
      </c>
      <c r="CP30" s="169">
        <f t="shared" si="17"/>
        <v>637416</v>
      </c>
      <c r="CQ30" s="169">
        <v>9</v>
      </c>
      <c r="CS30" s="171"/>
      <c r="CT30" s="171"/>
      <c r="CU30" s="14">
        <f>INDEX($CP$5:$CP$32,CU29)</f>
        <v>32112</v>
      </c>
      <c r="CV30" s="169">
        <v>26</v>
      </c>
      <c r="CW30" s="50">
        <v>5.25</v>
      </c>
      <c r="CX30" s="21">
        <f>CW30/$CU31</f>
        <v>0.19090909090909092</v>
      </c>
      <c r="CY30" s="169">
        <f>INT($CU30*CX30/5)*5</f>
        <v>6130</v>
      </c>
      <c r="CZ30" s="50">
        <f>SUM(CY$5:CY30)</f>
        <v>47230</v>
      </c>
      <c r="DB30" s="188">
        <f t="shared" si="20"/>
        <v>3050</v>
      </c>
      <c r="DC30" s="188">
        <f t="shared" si="20"/>
        <v>4900</v>
      </c>
      <c r="DD30" s="188">
        <f t="shared" si="20"/>
        <v>6100</v>
      </c>
      <c r="DE30" s="188">
        <f t="shared" si="20"/>
        <v>7350</v>
      </c>
      <c r="DF30" s="188">
        <f t="shared" si="20"/>
        <v>9150</v>
      </c>
      <c r="DI30" s="186">
        <v>26</v>
      </c>
      <c r="DJ30" s="14">
        <f t="shared" si="21"/>
        <v>6</v>
      </c>
      <c r="DK30" s="14">
        <f t="shared" si="1"/>
        <v>4</v>
      </c>
      <c r="DL30" s="14">
        <f t="shared" si="2"/>
        <v>1101006</v>
      </c>
      <c r="DM30" s="136" t="s">
        <v>1097</v>
      </c>
      <c r="DN30" s="14">
        <f t="shared" si="3"/>
        <v>1</v>
      </c>
      <c r="DO30" s="14" t="str">
        <f t="shared" si="4"/>
        <v>红莲缇娜-1星</v>
      </c>
      <c r="DP30" s="136" t="s">
        <v>1103</v>
      </c>
      <c r="DQ30" s="14">
        <f t="shared" si="22"/>
        <v>6000</v>
      </c>
      <c r="DR30" s="14" t="str">
        <f t="shared" si="5"/>
        <v>红莲缇娜碎片</v>
      </c>
      <c r="DS30" s="14">
        <f t="shared" si="23"/>
        <v>80</v>
      </c>
    </row>
    <row r="31" spans="1:123" ht="16.5" x14ac:dyDescent="0.2">
      <c r="A31" s="14">
        <v>1102019</v>
      </c>
      <c r="B31" s="14" t="s">
        <v>190</v>
      </c>
      <c r="C31" s="14">
        <v>2</v>
      </c>
      <c r="D31" s="14">
        <v>20</v>
      </c>
      <c r="E31" s="14">
        <v>1</v>
      </c>
      <c r="F31" s="101">
        <f t="shared" si="27"/>
        <v>1502019</v>
      </c>
      <c r="G31" s="15"/>
      <c r="I31" s="186">
        <v>2</v>
      </c>
      <c r="J31" s="186">
        <v>40</v>
      </c>
      <c r="K31" s="186">
        <v>80</v>
      </c>
      <c r="L31" s="186">
        <v>80</v>
      </c>
      <c r="M31" s="186">
        <v>80</v>
      </c>
      <c r="T31" s="139">
        <v>27</v>
      </c>
      <c r="U31" s="139">
        <f>ROUND(INDEX(挂机升级突破!$DJ$6:$DJ$57,卡牌消耗!$T31)*INDEX(卡牌消耗!$B$8:$F$8,卡牌消耗!U$2)/$Q$4/5,0)*5</f>
        <v>6145</v>
      </c>
      <c r="V31" s="139">
        <f>ROUND(INDEX(挂机升级突破!$DJ$6:$DJ$57,卡牌消耗!$T31)*INDEX(卡牌消耗!$B$8:$F$8,卡牌消耗!V$2)/$Q$4/5,0)*5</f>
        <v>8780</v>
      </c>
      <c r="W31" s="139">
        <f>ROUND(INDEX(挂机升级突破!$DJ$6:$DJ$57,卡牌消耗!$T31)*INDEX(卡牌消耗!$B$8:$F$8,卡牌消耗!W$2)/$Q$4/5,0)*5</f>
        <v>13175</v>
      </c>
      <c r="X31" s="139">
        <f>ROUND(INDEX(挂机升级突破!$DJ$6:$DJ$57,卡牌消耗!$T31)*INDEX(卡牌消耗!$B$8:$F$8,卡牌消耗!X$2)/$Q$4/5,0)*5</f>
        <v>17565</v>
      </c>
      <c r="Z31" s="196">
        <v>2</v>
      </c>
      <c r="AA31" s="196">
        <v>27</v>
      </c>
      <c r="AB31" s="14">
        <f>ROUND(INDEX(挂机升级突破!DT$6:DT$57,卡牌消耗!$AA31)*INDEX(卡牌消耗!$B$5:$F$5,卡牌消耗!$Z31)/卡牌消耗!$Q$4/AB$2,0)*AB$2</f>
        <v>0</v>
      </c>
      <c r="AC31" s="14">
        <f>ROUND(INDEX(挂机升级突破!DU$6:DU$57,卡牌消耗!$AA31)*INDEX(卡牌消耗!$B$5:$F$5,卡牌消耗!$Z31)/卡牌消耗!$Q$4/AC$2,0)*AC$2</f>
        <v>0</v>
      </c>
      <c r="AD31" s="14">
        <f>ROUND(INDEX(挂机升级突破!DV$6:DV$57,卡牌消耗!$AA31)*INDEX(卡牌消耗!$B$5:$F$5,卡牌消耗!$Z31)/卡牌消耗!$Q$4/AD$2,0)*AD$2</f>
        <v>0</v>
      </c>
      <c r="AE31" s="14">
        <f>ROUND(INDEX(挂机升级突破!DW$6:DW$57,卡牌消耗!$AA31)*INDEX(卡牌消耗!$B$5:$F$5,卡牌消耗!$Z31)/卡牌消耗!$Q$4/AE$2,0)*AE$2</f>
        <v>20</v>
      </c>
      <c r="AF31" s="14">
        <f>ROUND(INDEX(挂机升级突破!DX$6:DX$57,卡牌消耗!$AA31)*INDEX(卡牌消耗!$B$5:$F$5,卡牌消耗!$Z31)/卡牌消耗!$Q$4/AF$2,0)*AF$2</f>
        <v>0</v>
      </c>
      <c r="AG31" s="14">
        <f>ROUND(INDEX(挂机升级突破!EC$6:EC$57,卡牌消耗!$AA31)*INDEX(卡牌消耗!$B$7:$F$7,卡牌消耗!$Z31)/卡牌消耗!$Q$4/AG$2,0)*AG$2</f>
        <v>0</v>
      </c>
      <c r="AH31" s="14">
        <f>ROUND(INDEX(挂机升级突破!ED$6:ED$57,卡牌消耗!$AA31)*INDEX(卡牌消耗!$B$8:$F$8,卡牌消耗!$Z31)/卡牌消耗!$Q$4/AH$2,0)*AH$2</f>
        <v>6150</v>
      </c>
      <c r="AK31" s="104">
        <v>27</v>
      </c>
      <c r="AL31" s="14">
        <f t="shared" si="6"/>
        <v>1</v>
      </c>
      <c r="AM31" s="14">
        <f>INDEX(挂机升级突破!DQ$6:DQ$57,卡牌消耗!$AT31)</f>
        <v>11</v>
      </c>
      <c r="AN31" s="14">
        <f>INDEX(挂机升级突破!DR$6:DR$57,卡牌消耗!$AT31)</f>
        <v>4</v>
      </c>
      <c r="AO31" s="14">
        <f>INDEX(挂机升级突破!DS$6:DS$57,卡牌消耗!$AT31)</f>
        <v>0</v>
      </c>
      <c r="AP31" s="14">
        <f>INDEX(挂机升级突破!$DP$6:$DP$57,卡牌消耗!AT31)</f>
        <v>85</v>
      </c>
      <c r="AQ31" s="14" t="str">
        <f t="shared" si="7"/>
        <v>关羽</v>
      </c>
      <c r="AR31" s="14">
        <f t="shared" si="8"/>
        <v>5</v>
      </c>
      <c r="AS31" s="14" t="str">
        <f t="shared" si="9"/>
        <v>关羽魂火-27</v>
      </c>
      <c r="AT31" s="14">
        <f t="shared" si="10"/>
        <v>27</v>
      </c>
      <c r="AU31" s="14" t="str">
        <f>IF(AM31&gt;0,INDEX(挂机升级突破!$DT$4:$ED$4,AM31),"")</f>
        <v>金币</v>
      </c>
      <c r="AV31" s="14">
        <f>ROUND(INDEX(挂机升级突破!$DJ$6:$DJ$57,卡牌消耗!AT31)*INDEX(卡牌消耗!$B$8:$F$8,AR31)/$Q$4/50,0)*50</f>
        <v>17550</v>
      </c>
      <c r="AW31" s="14" t="str">
        <f>IF(AN31&gt;0,INDEX(挂机升级突破!$DT$4:$ED$4,AN31),"")</f>
        <v>橙色基础材料</v>
      </c>
      <c r="AX31" s="14">
        <f>ROUND(INDEX(挂机升级突破!$DT$6:$ED$57,卡牌消耗!AT31,AN31)*INDEX(卡牌消耗!$B$5:$F$5,AR31)/$Q$4/5,0)*5</f>
        <v>35</v>
      </c>
      <c r="AY31" s="14" t="str">
        <f>IF(AO31&gt;0,INDEX(挂机升级突破!$DT$4:$ED$4,AO31),"")</f>
        <v/>
      </c>
      <c r="AZ31" s="14" t="str">
        <f>IF(AO31&gt;0,ROUND(INDEX(挂机升级突破!$DT$6:$ED$57,卡牌消耗!AT31,AO31)*INDEX(卡牌消耗!$B$7:$F$7,AR31)/$Q$4,0),"")</f>
        <v/>
      </c>
      <c r="BC31" s="196">
        <v>3</v>
      </c>
      <c r="BD31" s="196">
        <v>7</v>
      </c>
      <c r="BE31" s="14">
        <f>ROUND(INDEX(挂机升级突破!ER$7:ER$26,卡牌消耗!$BD31)*INDEX(卡牌消耗!$B$6:$F$6,$BC31)/$Q$4,0)</f>
        <v>84</v>
      </c>
      <c r="BF31" s="14">
        <f>ROUND(INDEX(挂机升级突破!ES$7:ES$26,卡牌消耗!$BD31)*INDEX(卡牌消耗!$B$6:$F$6,$BC31)/$Q$4,0)</f>
        <v>0</v>
      </c>
      <c r="BG31" s="14">
        <f>ROUND(INDEX(挂机升级突破!ET$7:ET$26,卡牌消耗!$BD31)*INDEX(卡牌消耗!$B$6:$F$6,$BC31)/$Q$4,0)</f>
        <v>0</v>
      </c>
      <c r="BH31" s="14">
        <f>ROUND(INDEX(挂机升级突破!EU$7:EU$26,卡牌消耗!$BD31)*INDEX(卡牌消耗!$B$6:$F$6,$BC31)/$Q$4,0)</f>
        <v>0</v>
      </c>
      <c r="BI31" s="14">
        <f>ROUND(INDEX(挂机升级突破!$EV$7:$EV$26,卡牌消耗!BD31)*INDEX(卡牌消耗!$B$8:$F$8,$BC31)/$Q$4/BI$2,0)*BI$2</f>
        <v>8000</v>
      </c>
      <c r="BL31" s="104">
        <v>27</v>
      </c>
      <c r="BM31" s="14">
        <f t="shared" si="11"/>
        <v>2</v>
      </c>
      <c r="BN31" s="14">
        <f>INDEX(挂机升级突破!$EI$7:$EI$26,BS31)</f>
        <v>5</v>
      </c>
      <c r="BO31" s="14">
        <f>INDEX(挂机升级突破!$EJ$7:$EJ$26,BS31)</f>
        <v>1</v>
      </c>
      <c r="BP31" s="14">
        <f t="shared" si="12"/>
        <v>3</v>
      </c>
      <c r="BQ31" s="14">
        <f>INDEX(挂机升级突破!$EH$7:$EH$26,卡牌消耗!BS31)</f>
        <v>47</v>
      </c>
      <c r="BR31" s="14" t="str">
        <f t="shared" si="13"/>
        <v>许褚</v>
      </c>
      <c r="BS31" s="14">
        <f t="shared" si="14"/>
        <v>7</v>
      </c>
      <c r="BT31" s="14" t="str">
        <f t="shared" si="15"/>
        <v>许褚7突</v>
      </c>
      <c r="BU31" s="14" t="str">
        <f>IF(BN31&gt;0,INDEX(挂机升级突破!$ER$5:$EV$5,卡牌消耗!BN31),"")</f>
        <v>金币</v>
      </c>
      <c r="BV31" s="14">
        <f>IF(BN31&gt;0,ROUND(INDEX(挂机升级突破!$EV$7:$EV$26,卡牌消耗!BS31)*INDEX(卡牌消耗!$B$8:$F$8,BP31)/$Q$4/500,0)*500,"")</f>
        <v>8000</v>
      </c>
      <c r="BW31" s="14" t="str">
        <f>IF(BO31&gt;0,INDEX(挂机升级突破!$ER$5:$EV$5,卡牌消耗!BO31),"")</f>
        <v>玄铁</v>
      </c>
      <c r="BX31" s="14">
        <f>IF(BO31&gt;0,ROUND(INDEX(挂机升级突破!$ER$7:$EU$26,卡牌消耗!BS31,卡牌消耗!BO31)*INDEX($B$6:$F$6,BP31)/$Q$4/5,0)*5,"")</f>
        <v>85</v>
      </c>
      <c r="BY31" s="193"/>
      <c r="BZ31" s="193"/>
      <c r="CC31" s="158">
        <v>27</v>
      </c>
      <c r="CD31" s="169" t="s">
        <v>470</v>
      </c>
      <c r="CE31" s="169">
        <v>140</v>
      </c>
      <c r="CF31" s="169">
        <v>145</v>
      </c>
      <c r="CG31" s="169">
        <f>INDEX(章节关卡!$L$6:$L$35,卡牌消耗!CC31)*INDEX(节奏总表!$N$5:$N$34,卡牌消耗!CC31)*60</f>
        <v>6300000</v>
      </c>
      <c r="CH31" s="169">
        <v>27</v>
      </c>
      <c r="CI31" s="169">
        <f>SUMIFS(章节关卡!$BF$5:$BF$304,章节关卡!$BB$5:$BB$304,"="&amp;卡牌消耗!CH31)</f>
        <v>157500</v>
      </c>
      <c r="CJ31" s="169">
        <v>25</v>
      </c>
      <c r="CK31" s="169">
        <f>SUMIFS(章节关卡!$BP$5:$BP$304,章节关卡!$BL$5:$BL$304,"="&amp;卡牌消耗!CJ31)</f>
        <v>270000</v>
      </c>
      <c r="CL31" s="169">
        <f>SUMIFS(章节关卡!$ED$5:$ED$94,章节关卡!$DK$5:$DK$94,"="&amp;卡牌消耗!CH31)</f>
        <v>126000</v>
      </c>
      <c r="CM31" s="169">
        <f>SUMIFS(章节关卡!$FC$5:$FC$94,章节关卡!$DK$5:$DK$94,"="&amp;CJ31)</f>
        <v>378000</v>
      </c>
      <c r="CN31" s="169">
        <f t="shared" si="16"/>
        <v>7231500</v>
      </c>
      <c r="CO31" s="169">
        <v>1</v>
      </c>
      <c r="CP31" s="169">
        <f t="shared" si="17"/>
        <v>803500</v>
      </c>
      <c r="CQ31" s="169">
        <v>9</v>
      </c>
      <c r="CS31" s="171"/>
      <c r="CT31" s="170"/>
      <c r="CU31" s="14">
        <f>SUMIFS($CW$5:$CW$154,$CV$5:$CV$154,"&gt;="&amp;INDEX($CE$5:$CE$32,CU29),$CV$5:$CV$154,"&lt;"&amp;INDEX($CF$5:$CF$32,CU29))</f>
        <v>27.5</v>
      </c>
      <c r="CV31" s="169">
        <v>27</v>
      </c>
      <c r="CW31" s="169">
        <v>5.5</v>
      </c>
      <c r="CX31" s="21">
        <f>CW31/$CU31</f>
        <v>0.2</v>
      </c>
      <c r="CY31" s="169">
        <f>INT($CU30*CX31/5)*5</f>
        <v>6420</v>
      </c>
      <c r="CZ31" s="169">
        <f>SUM(CY$5:CY31)</f>
        <v>53650</v>
      </c>
      <c r="DB31" s="188">
        <f t="shared" si="20"/>
        <v>3200</v>
      </c>
      <c r="DC31" s="188">
        <f t="shared" si="20"/>
        <v>5100</v>
      </c>
      <c r="DD31" s="188">
        <f t="shared" si="20"/>
        <v>6400</v>
      </c>
      <c r="DE31" s="188">
        <f t="shared" si="20"/>
        <v>7700</v>
      </c>
      <c r="DF31" s="188">
        <f t="shared" si="20"/>
        <v>9600</v>
      </c>
      <c r="DI31" s="186">
        <v>27</v>
      </c>
      <c r="DJ31" s="14">
        <f t="shared" si="21"/>
        <v>6</v>
      </c>
      <c r="DK31" s="14">
        <f t="shared" si="1"/>
        <v>4</v>
      </c>
      <c r="DL31" s="14">
        <f t="shared" si="2"/>
        <v>1101006</v>
      </c>
      <c r="DM31" s="136" t="s">
        <v>1097</v>
      </c>
      <c r="DN31" s="14">
        <f t="shared" si="3"/>
        <v>2</v>
      </c>
      <c r="DO31" s="14" t="str">
        <f t="shared" si="4"/>
        <v>红莲缇娜-2星</v>
      </c>
      <c r="DP31" s="136" t="s">
        <v>1103</v>
      </c>
      <c r="DQ31" s="14">
        <f t="shared" si="22"/>
        <v>8000</v>
      </c>
      <c r="DR31" s="14" t="str">
        <f t="shared" si="5"/>
        <v>红莲缇娜碎片</v>
      </c>
      <c r="DS31" s="14">
        <f t="shared" si="23"/>
        <v>80</v>
      </c>
    </row>
    <row r="32" spans="1:123" ht="16.5" x14ac:dyDescent="0.2">
      <c r="A32" s="14">
        <v>1102020</v>
      </c>
      <c r="B32" s="14" t="s">
        <v>191</v>
      </c>
      <c r="C32" s="14">
        <v>3</v>
      </c>
      <c r="D32" s="14">
        <v>40</v>
      </c>
      <c r="E32" s="14">
        <v>2</v>
      </c>
      <c r="F32" s="101">
        <f t="shared" si="27"/>
        <v>1502020</v>
      </c>
      <c r="G32" s="15"/>
      <c r="I32" s="186">
        <v>3</v>
      </c>
      <c r="J32" s="186">
        <v>80</v>
      </c>
      <c r="K32" s="186">
        <v>120</v>
      </c>
      <c r="L32" s="186">
        <v>160</v>
      </c>
      <c r="M32" s="186">
        <v>160</v>
      </c>
      <c r="T32" s="139">
        <v>28</v>
      </c>
      <c r="U32" s="139">
        <f>ROUND(INDEX(挂机升级突破!$DJ$6:$DJ$57,卡牌消耗!$T32)*INDEX(卡牌消耗!$B$8:$F$8,卡牌消耗!U$2)/$Q$4/5,0)*5</f>
        <v>6145</v>
      </c>
      <c r="V32" s="139">
        <f>ROUND(INDEX(挂机升级突破!$DJ$6:$DJ$57,卡牌消耗!$T32)*INDEX(卡牌消耗!$B$8:$F$8,卡牌消耗!V$2)/$Q$4/5,0)*5</f>
        <v>8780</v>
      </c>
      <c r="W32" s="139">
        <f>ROUND(INDEX(挂机升级突破!$DJ$6:$DJ$57,卡牌消耗!$T32)*INDEX(卡牌消耗!$B$8:$F$8,卡牌消耗!W$2)/$Q$4/5,0)*5</f>
        <v>13175</v>
      </c>
      <c r="X32" s="139">
        <f>ROUND(INDEX(挂机升级突破!$DJ$6:$DJ$57,卡牌消耗!$T32)*INDEX(卡牌消耗!$B$8:$F$8,卡牌消耗!X$2)/$Q$4/5,0)*5</f>
        <v>17565</v>
      </c>
      <c r="Z32" s="196">
        <v>2</v>
      </c>
      <c r="AA32" s="196">
        <v>28</v>
      </c>
      <c r="AB32" s="14">
        <f>ROUND(INDEX(挂机升级突破!DT$6:DT$57,卡牌消耗!$AA32)*INDEX(卡牌消耗!$B$5:$F$5,卡牌消耗!$Z32)/卡牌消耗!$Q$4/AB$2,0)*AB$2</f>
        <v>0</v>
      </c>
      <c r="AC32" s="14">
        <f>ROUND(INDEX(挂机升级突破!DU$6:DU$57,卡牌消耗!$AA32)*INDEX(卡牌消耗!$B$5:$F$5,卡牌消耗!$Z32)/卡牌消耗!$Q$4/AC$2,0)*AC$2</f>
        <v>0</v>
      </c>
      <c r="AD32" s="14">
        <f>ROUND(INDEX(挂机升级突破!DV$6:DV$57,卡牌消耗!$AA32)*INDEX(卡牌消耗!$B$5:$F$5,卡牌消耗!$Z32)/卡牌消耗!$Q$4/AD$2,0)*AD$2</f>
        <v>0</v>
      </c>
      <c r="AE32" s="14">
        <f>ROUND(INDEX(挂机升级突破!DW$6:DW$57,卡牌消耗!$AA32)*INDEX(卡牌消耗!$B$5:$F$5,卡牌消耗!$Z32)/卡牌消耗!$Q$4/AE$2,0)*AE$2</f>
        <v>20</v>
      </c>
      <c r="AF32" s="14">
        <f>ROUND(INDEX(挂机升级突破!DX$6:DX$57,卡牌消耗!$AA32)*INDEX(卡牌消耗!$B$5:$F$5,卡牌消耗!$Z32)/卡牌消耗!$Q$4/AF$2,0)*AF$2</f>
        <v>0</v>
      </c>
      <c r="AG32" s="14">
        <f>ROUND(INDEX(挂机升级突破!EC$6:EC$57,卡牌消耗!$AA32)*INDEX(卡牌消耗!$B$7:$F$7,卡牌消耗!$Z32)/卡牌消耗!$Q$4/AG$2,0)*AG$2</f>
        <v>0</v>
      </c>
      <c r="AH32" s="14">
        <f>ROUND(INDEX(挂机升级突破!ED$6:ED$57,卡牌消耗!$AA32)*INDEX(卡牌消耗!$B$8:$F$8,卡牌消耗!$Z32)/卡牌消耗!$Q$4/AH$2,0)*AH$2</f>
        <v>6150</v>
      </c>
      <c r="AK32" s="104">
        <v>28</v>
      </c>
      <c r="AL32" s="14">
        <f t="shared" si="6"/>
        <v>1</v>
      </c>
      <c r="AM32" s="14">
        <f>INDEX(挂机升级突破!DQ$6:DQ$57,卡牌消耗!$AT32)</f>
        <v>11</v>
      </c>
      <c r="AN32" s="14">
        <f>INDEX(挂机升级突破!DR$6:DR$57,卡牌消耗!$AT32)</f>
        <v>4</v>
      </c>
      <c r="AO32" s="14">
        <f>INDEX(挂机升级突破!DS$6:DS$57,卡牌消耗!$AT32)</f>
        <v>0</v>
      </c>
      <c r="AP32" s="14">
        <f>INDEX(挂机升级突破!$DP$6:$DP$57,卡牌消耗!AT32)</f>
        <v>88</v>
      </c>
      <c r="AQ32" s="14" t="str">
        <f t="shared" si="7"/>
        <v>关羽</v>
      </c>
      <c r="AR32" s="14">
        <f t="shared" si="8"/>
        <v>5</v>
      </c>
      <c r="AS32" s="14" t="str">
        <f t="shared" si="9"/>
        <v>关羽魂火-28</v>
      </c>
      <c r="AT32" s="14">
        <f t="shared" si="10"/>
        <v>28</v>
      </c>
      <c r="AU32" s="14" t="str">
        <f>IF(AM32&gt;0,INDEX(挂机升级突破!$DT$4:$ED$4,AM32),"")</f>
        <v>金币</v>
      </c>
      <c r="AV32" s="14">
        <f>ROUND(INDEX(挂机升级突破!$DJ$6:$DJ$57,卡牌消耗!AT32)*INDEX(卡牌消耗!$B$8:$F$8,AR32)/$Q$4/50,0)*50</f>
        <v>17550</v>
      </c>
      <c r="AW32" s="14" t="str">
        <f>IF(AN32&gt;0,INDEX(挂机升级突破!$DT$4:$ED$4,AN32),"")</f>
        <v>橙色基础材料</v>
      </c>
      <c r="AX32" s="14">
        <f>ROUND(INDEX(挂机升级突破!$DT$6:$ED$57,卡牌消耗!AT32,AN32)*INDEX(卡牌消耗!$B$5:$F$5,AR32)/$Q$4/5,0)*5</f>
        <v>35</v>
      </c>
      <c r="AY32" s="14" t="str">
        <f>IF(AO32&gt;0,INDEX(挂机升级突破!$DT$4:$ED$4,AO32),"")</f>
        <v/>
      </c>
      <c r="AZ32" s="14" t="str">
        <f>IF(AO32&gt;0,ROUND(INDEX(挂机升级突破!$DT$6:$ED$57,卡牌消耗!AT32,AO32)*INDEX(卡牌消耗!$B$7:$F$7,AR32)/$Q$4,0),"")</f>
        <v/>
      </c>
      <c r="BC32" s="196">
        <v>3</v>
      </c>
      <c r="BD32" s="196">
        <v>8</v>
      </c>
      <c r="BE32" s="14">
        <f>ROUND(INDEX(挂机升级突破!ER$7:ER$26,卡牌消耗!$BD32)*INDEX(卡牌消耗!$B$6:$F$6,$BC32)/$Q$4,0)</f>
        <v>151</v>
      </c>
      <c r="BF32" s="14">
        <f>ROUND(INDEX(挂机升级突破!ES$7:ES$26,卡牌消耗!$BD32)*INDEX(卡牌消耗!$B$6:$F$6,$BC32)/$Q$4,0)</f>
        <v>0</v>
      </c>
      <c r="BG32" s="14">
        <f>ROUND(INDEX(挂机升级突破!ET$7:ET$26,卡牌消耗!$BD32)*INDEX(卡牌消耗!$B$6:$F$6,$BC32)/$Q$4,0)</f>
        <v>0</v>
      </c>
      <c r="BH32" s="14">
        <f>ROUND(INDEX(挂机升级突破!EU$7:EU$26,卡牌消耗!$BD32)*INDEX(卡牌消耗!$B$6:$F$6,$BC32)/$Q$4,0)</f>
        <v>0</v>
      </c>
      <c r="BI32" s="14">
        <f>ROUND(INDEX(挂机升级突破!$EV$7:$EV$26,卡牌消耗!BD32)*INDEX(卡牌消耗!$B$8:$F$8,$BC32)/$Q$4/BI$2,0)*BI$2</f>
        <v>8000</v>
      </c>
      <c r="BL32" s="104">
        <v>28</v>
      </c>
      <c r="BM32" s="14">
        <f t="shared" si="11"/>
        <v>2</v>
      </c>
      <c r="BN32" s="14">
        <f>INDEX(挂机升级突破!$EI$7:$EI$26,BS32)</f>
        <v>5</v>
      </c>
      <c r="BO32" s="14">
        <f>INDEX(挂机升级突破!$EJ$7:$EJ$26,BS32)</f>
        <v>1</v>
      </c>
      <c r="BP32" s="14">
        <f t="shared" si="12"/>
        <v>3</v>
      </c>
      <c r="BQ32" s="14">
        <f>INDEX(挂机升级突破!$EH$7:$EH$26,卡牌消耗!BS32)</f>
        <v>52</v>
      </c>
      <c r="BR32" s="14" t="str">
        <f t="shared" si="13"/>
        <v>许褚</v>
      </c>
      <c r="BS32" s="14">
        <f t="shared" si="14"/>
        <v>8</v>
      </c>
      <c r="BT32" s="14" t="str">
        <f t="shared" si="15"/>
        <v>许褚8突</v>
      </c>
      <c r="BU32" s="14" t="str">
        <f>IF(BN32&gt;0,INDEX(挂机升级突破!$ER$5:$EV$5,卡牌消耗!BN32),"")</f>
        <v>金币</v>
      </c>
      <c r="BV32" s="14">
        <f>IF(BN32&gt;0,ROUND(INDEX(挂机升级突破!$EV$7:$EV$26,卡牌消耗!BS32)*INDEX(卡牌消耗!$B$8:$F$8,BP32)/$Q$4/500,0)*500,"")</f>
        <v>8000</v>
      </c>
      <c r="BW32" s="14" t="str">
        <f>IF(BO32&gt;0,INDEX(挂机升级突破!$ER$5:$EV$5,卡牌消耗!BO32),"")</f>
        <v>玄铁</v>
      </c>
      <c r="BX32" s="14">
        <f>IF(BO32&gt;0,ROUND(INDEX(挂机升级突破!$ER$7:$EU$26,卡牌消耗!BS32,卡牌消耗!BO32)*INDEX($B$6:$F$6,BP32)/$Q$4/5,0)*5,"")</f>
        <v>150</v>
      </c>
      <c r="BY32" s="193"/>
      <c r="BZ32" s="193"/>
      <c r="CC32" s="158">
        <v>28</v>
      </c>
      <c r="CD32" s="169" t="s">
        <v>471</v>
      </c>
      <c r="CE32" s="169">
        <v>145</v>
      </c>
      <c r="CF32" s="169">
        <v>150</v>
      </c>
      <c r="CG32" s="169">
        <f>INDEX(章节关卡!$L$6:$L$35,卡牌消耗!CC32)*INDEX(节奏总表!$N$5:$N$34,卡牌消耗!CC32)*60</f>
        <v>7650000</v>
      </c>
      <c r="CH32" s="169">
        <v>28</v>
      </c>
      <c r="CI32" s="169">
        <f>SUMIFS(章节关卡!$BF$5:$BF$304,章节关卡!$BB$5:$BB$304,"="&amp;卡牌消耗!CH32)</f>
        <v>168750</v>
      </c>
      <c r="CJ32" s="169">
        <v>26</v>
      </c>
      <c r="CK32" s="169">
        <f>SUMIFS(章节关卡!$BP$5:$BP$304,章节关卡!$BL$5:$BL$304,"="&amp;卡牌消耗!CJ32)</f>
        <v>292500</v>
      </c>
      <c r="CL32" s="169">
        <f>SUMIFS(章节关卡!$ED$5:$ED$94,章节关卡!$DK$5:$DK$94,"="&amp;卡牌消耗!CH32)</f>
        <v>135000</v>
      </c>
      <c r="CM32" s="169">
        <f>SUMIFS(章节关卡!$FC$5:$FC$94,章节关卡!$DK$5:$DK$94,"="&amp;CJ32)</f>
        <v>405000</v>
      </c>
      <c r="CN32" s="169">
        <f t="shared" si="16"/>
        <v>8651250</v>
      </c>
      <c r="CO32" s="169">
        <v>1</v>
      </c>
      <c r="CP32" s="169">
        <f t="shared" si="17"/>
        <v>961250</v>
      </c>
      <c r="CQ32" s="169">
        <v>9</v>
      </c>
      <c r="CS32" s="171"/>
      <c r="CT32" s="171"/>
      <c r="CU32" s="171"/>
      <c r="CV32" s="169">
        <v>28</v>
      </c>
      <c r="CW32" s="169">
        <v>5.75</v>
      </c>
      <c r="CX32" s="21">
        <f>CW32/$CU31</f>
        <v>0.20909090909090908</v>
      </c>
      <c r="CY32" s="169">
        <f>INT($CU30*CX32/5)*5</f>
        <v>6710</v>
      </c>
      <c r="CZ32" s="169">
        <f>SUM(CY$5:CY32)</f>
        <v>60360</v>
      </c>
      <c r="DB32" s="188">
        <f t="shared" si="20"/>
        <v>3350</v>
      </c>
      <c r="DC32" s="188">
        <f t="shared" si="20"/>
        <v>5350</v>
      </c>
      <c r="DD32" s="188">
        <f t="shared" si="20"/>
        <v>6700</v>
      </c>
      <c r="DE32" s="188">
        <f t="shared" si="20"/>
        <v>8050</v>
      </c>
      <c r="DF32" s="188">
        <f t="shared" si="20"/>
        <v>10050</v>
      </c>
      <c r="DI32" s="186">
        <v>28</v>
      </c>
      <c r="DJ32" s="14">
        <f t="shared" si="21"/>
        <v>6</v>
      </c>
      <c r="DK32" s="14">
        <f t="shared" si="1"/>
        <v>4</v>
      </c>
      <c r="DL32" s="14">
        <f t="shared" si="2"/>
        <v>1101006</v>
      </c>
      <c r="DM32" s="136" t="s">
        <v>1097</v>
      </c>
      <c r="DN32" s="14">
        <f t="shared" si="3"/>
        <v>3</v>
      </c>
      <c r="DO32" s="14" t="str">
        <f t="shared" si="4"/>
        <v>红莲缇娜-3星</v>
      </c>
      <c r="DP32" s="136" t="s">
        <v>1103</v>
      </c>
      <c r="DQ32" s="14">
        <f t="shared" si="22"/>
        <v>14000</v>
      </c>
      <c r="DR32" s="14" t="str">
        <f t="shared" si="5"/>
        <v>红莲缇娜碎片</v>
      </c>
      <c r="DS32" s="14">
        <f t="shared" si="23"/>
        <v>80</v>
      </c>
    </row>
    <row r="33" spans="1:123" ht="16.5" x14ac:dyDescent="0.2">
      <c r="A33" s="14">
        <v>1102021</v>
      </c>
      <c r="B33" s="14" t="s">
        <v>192</v>
      </c>
      <c r="C33" s="14">
        <v>3</v>
      </c>
      <c r="D33" s="14">
        <v>20</v>
      </c>
      <c r="E33" s="14">
        <v>1</v>
      </c>
      <c r="F33" s="101">
        <f t="shared" si="27"/>
        <v>1502021</v>
      </c>
      <c r="G33" s="15"/>
      <c r="I33" s="186">
        <v>4</v>
      </c>
      <c r="J33" s="186">
        <v>120</v>
      </c>
      <c r="K33" s="186">
        <v>160</v>
      </c>
      <c r="L33" s="186">
        <v>240</v>
      </c>
      <c r="M33" s="186">
        <v>240</v>
      </c>
      <c r="T33" s="139">
        <v>29</v>
      </c>
      <c r="U33" s="139">
        <f>ROUND(INDEX(挂机升级突破!$DJ$6:$DJ$57,卡牌消耗!$T33)*INDEX(卡牌消耗!$B$8:$F$8,卡牌消耗!U$2)/$Q$4/5,0)*5</f>
        <v>6220</v>
      </c>
      <c r="V33" s="139">
        <f>ROUND(INDEX(挂机升级突破!$DJ$6:$DJ$57,卡牌消耗!$T33)*INDEX(卡牌消耗!$B$8:$F$8,卡牌消耗!V$2)/$Q$4/5,0)*5</f>
        <v>8890</v>
      </c>
      <c r="W33" s="139">
        <f>ROUND(INDEX(挂机升级突破!$DJ$6:$DJ$57,卡牌消耗!$T33)*INDEX(卡牌消耗!$B$8:$F$8,卡牌消耗!W$2)/$Q$4/5,0)*5</f>
        <v>13335</v>
      </c>
      <c r="X33" s="139">
        <f>ROUND(INDEX(挂机升级突破!$DJ$6:$DJ$57,卡牌消耗!$T33)*INDEX(卡牌消耗!$B$8:$F$8,卡牌消耗!X$2)/$Q$4/5,0)*5</f>
        <v>17775</v>
      </c>
      <c r="Z33" s="196">
        <v>2</v>
      </c>
      <c r="AA33" s="196">
        <v>29</v>
      </c>
      <c r="AB33" s="14">
        <f>ROUND(INDEX(挂机升级突破!DT$6:DT$57,卡牌消耗!$AA33)*INDEX(卡牌消耗!$B$5:$F$5,卡牌消耗!$Z33)/卡牌消耗!$Q$4/AB$2,0)*AB$2</f>
        <v>0</v>
      </c>
      <c r="AC33" s="14">
        <f>ROUND(INDEX(挂机升级突破!DU$6:DU$57,卡牌消耗!$AA33)*INDEX(卡牌消耗!$B$5:$F$5,卡牌消耗!$Z33)/卡牌消耗!$Q$4/AC$2,0)*AC$2</f>
        <v>0</v>
      </c>
      <c r="AD33" s="14">
        <f>ROUND(INDEX(挂机升级突破!DV$6:DV$57,卡牌消耗!$AA33)*INDEX(卡牌消耗!$B$5:$F$5,卡牌消耗!$Z33)/卡牌消耗!$Q$4/AD$2,0)*AD$2</f>
        <v>0</v>
      </c>
      <c r="AE33" s="14">
        <f>ROUND(INDEX(挂机升级突破!DW$6:DW$57,卡牌消耗!$AA33)*INDEX(卡牌消耗!$B$5:$F$5,卡牌消耗!$Z33)/卡牌消耗!$Q$4/AE$2,0)*AE$2</f>
        <v>20</v>
      </c>
      <c r="AF33" s="14">
        <f>ROUND(INDEX(挂机升级突破!DX$6:DX$57,卡牌消耗!$AA33)*INDEX(卡牌消耗!$B$5:$F$5,卡牌消耗!$Z33)/卡牌消耗!$Q$4/AF$2,0)*AF$2</f>
        <v>0</v>
      </c>
      <c r="AG33" s="14">
        <f>ROUND(INDEX(挂机升级突破!EC$6:EC$57,卡牌消耗!$AA33)*INDEX(卡牌消耗!$B$7:$F$7,卡牌消耗!$Z33)/卡牌消耗!$Q$4/AG$2,0)*AG$2</f>
        <v>0</v>
      </c>
      <c r="AH33" s="14">
        <f>ROUND(INDEX(挂机升级突破!ED$6:ED$57,卡牌消耗!$AA33)*INDEX(卡牌消耗!$B$8:$F$8,卡牌消耗!$Z33)/卡牌消耗!$Q$4/AH$2,0)*AH$2</f>
        <v>6200</v>
      </c>
      <c r="AK33" s="104">
        <v>29</v>
      </c>
      <c r="AL33" s="14">
        <f t="shared" si="6"/>
        <v>1</v>
      </c>
      <c r="AM33" s="14">
        <f>INDEX(挂机升级突破!DQ$6:DQ$57,卡牌消耗!$AT33)</f>
        <v>11</v>
      </c>
      <c r="AN33" s="14">
        <f>INDEX(挂机升级突破!DR$6:DR$57,卡牌消耗!$AT33)</f>
        <v>4</v>
      </c>
      <c r="AO33" s="14">
        <f>INDEX(挂机升级突破!DS$6:DS$57,卡牌消耗!$AT33)</f>
        <v>0</v>
      </c>
      <c r="AP33" s="14">
        <f>INDEX(挂机升级突破!$DP$6:$DP$57,卡牌消耗!AT33)</f>
        <v>90</v>
      </c>
      <c r="AQ33" s="14" t="str">
        <f t="shared" si="7"/>
        <v>关羽</v>
      </c>
      <c r="AR33" s="14">
        <f t="shared" si="8"/>
        <v>5</v>
      </c>
      <c r="AS33" s="14" t="str">
        <f t="shared" si="9"/>
        <v>关羽魂火-29</v>
      </c>
      <c r="AT33" s="14">
        <f t="shared" si="10"/>
        <v>29</v>
      </c>
      <c r="AU33" s="14" t="str">
        <f>IF(AM33&gt;0,INDEX(挂机升级突破!$DT$4:$ED$4,AM33),"")</f>
        <v>金币</v>
      </c>
      <c r="AV33" s="14">
        <f>ROUND(INDEX(挂机升级突破!$DJ$6:$DJ$57,卡牌消耗!AT33)*INDEX(卡牌消耗!$B$8:$F$8,AR33)/$Q$4/50,0)*50</f>
        <v>17800</v>
      </c>
      <c r="AW33" s="14" t="str">
        <f>IF(AN33&gt;0,INDEX(挂机升级突破!$DT$4:$ED$4,AN33),"")</f>
        <v>橙色基础材料</v>
      </c>
      <c r="AX33" s="14">
        <f>ROUND(INDEX(挂机升级突破!$DT$6:$ED$57,卡牌消耗!AT33,AN33)*INDEX(卡牌消耗!$B$5:$F$5,AR33)/$Q$4/5,0)*5</f>
        <v>40</v>
      </c>
      <c r="AY33" s="14" t="str">
        <f>IF(AO33&gt;0,INDEX(挂机升级突破!$DT$4:$ED$4,AO33),"")</f>
        <v/>
      </c>
      <c r="AZ33" s="14" t="str">
        <f>IF(AO33&gt;0,ROUND(INDEX(挂机升级突破!$DT$6:$ED$57,卡牌消耗!AT33,AO33)*INDEX(卡牌消耗!$B$7:$F$7,AR33)/$Q$4,0),"")</f>
        <v/>
      </c>
      <c r="BC33" s="196">
        <v>3</v>
      </c>
      <c r="BD33" s="196">
        <v>9</v>
      </c>
      <c r="BE33" s="14">
        <f>ROUND(INDEX(挂机升级突破!ER$7:ER$26,卡牌消耗!$BD33)*INDEX(卡牌消耗!$B$6:$F$6,$BC33)/$Q$4,0)</f>
        <v>0</v>
      </c>
      <c r="BF33" s="14">
        <f>ROUND(INDEX(挂机升级突破!ES$7:ES$26,卡牌消耗!$BD33)*INDEX(卡牌消耗!$B$6:$F$6,$BC33)/$Q$4,0)</f>
        <v>49</v>
      </c>
      <c r="BG33" s="14">
        <f>ROUND(INDEX(挂机升级突破!ET$7:ET$26,卡牌消耗!$BD33)*INDEX(卡牌消耗!$B$6:$F$6,$BC33)/$Q$4,0)</f>
        <v>0</v>
      </c>
      <c r="BH33" s="14">
        <f>ROUND(INDEX(挂机升级突破!EU$7:EU$26,卡牌消耗!$BD33)*INDEX(卡牌消耗!$B$6:$F$6,$BC33)/$Q$4,0)</f>
        <v>0</v>
      </c>
      <c r="BI33" s="14">
        <f>ROUND(INDEX(挂机升级突破!$EV$7:$EV$26,卡牌消耗!BD33)*INDEX(卡牌消耗!$B$8:$F$8,$BC33)/$Q$4/BI$2,0)*BI$2</f>
        <v>11000</v>
      </c>
      <c r="BL33" s="104">
        <v>29</v>
      </c>
      <c r="BM33" s="14">
        <f t="shared" si="11"/>
        <v>2</v>
      </c>
      <c r="BN33" s="14">
        <f>INDEX(挂机升级突破!$EI$7:$EI$26,BS33)</f>
        <v>5</v>
      </c>
      <c r="BO33" s="14">
        <f>INDEX(挂机升级突破!$EJ$7:$EJ$26,BS33)</f>
        <v>2</v>
      </c>
      <c r="BP33" s="14">
        <f t="shared" si="12"/>
        <v>3</v>
      </c>
      <c r="BQ33" s="14">
        <f>INDEX(挂机升级突破!$EH$7:$EH$26,卡牌消耗!BS33)</f>
        <v>57</v>
      </c>
      <c r="BR33" s="14" t="str">
        <f t="shared" si="13"/>
        <v>许褚</v>
      </c>
      <c r="BS33" s="14">
        <f t="shared" si="14"/>
        <v>9</v>
      </c>
      <c r="BT33" s="14" t="str">
        <f t="shared" si="15"/>
        <v>许褚9突</v>
      </c>
      <c r="BU33" s="14" t="str">
        <f>IF(BN33&gt;0,INDEX(挂机升级突破!$ER$5:$EV$5,卡牌消耗!BN33),"")</f>
        <v>金币</v>
      </c>
      <c r="BV33" s="14">
        <f>IF(BN33&gt;0,ROUND(INDEX(挂机升级突破!$EV$7:$EV$26,卡牌消耗!BS33)*INDEX(卡牌消耗!$B$8:$F$8,BP33)/$Q$4/500,0)*500,"")</f>
        <v>11000</v>
      </c>
      <c r="BW33" s="14" t="str">
        <f>IF(BO33&gt;0,INDEX(挂机升级突破!$ER$5:$EV$5,卡牌消耗!BO33),"")</f>
        <v>乌金</v>
      </c>
      <c r="BX33" s="14">
        <f>IF(BO33&gt;0,ROUND(INDEX(挂机升级突破!$ER$7:$EU$26,卡牌消耗!BS33,卡牌消耗!BO33)*INDEX($B$6:$F$6,BP33)/$Q$4/5,0)*5,"")</f>
        <v>50</v>
      </c>
      <c r="BY33" s="193"/>
      <c r="BZ33" s="193"/>
      <c r="CC33" s="170"/>
      <c r="CD33" s="170"/>
      <c r="CE33" s="170"/>
      <c r="CF33" s="170"/>
      <c r="CG33" s="170"/>
      <c r="CH33" s="170"/>
      <c r="CI33" s="170"/>
      <c r="CJ33" s="170"/>
      <c r="CK33" s="170"/>
      <c r="CL33" s="170"/>
      <c r="CM33" s="170"/>
      <c r="CN33" s="170"/>
      <c r="CO33" s="170"/>
      <c r="CP33" s="170"/>
      <c r="CQ33" s="170"/>
      <c r="CS33" s="171"/>
      <c r="CT33" s="171"/>
      <c r="CU33" s="171"/>
      <c r="CV33" s="169">
        <v>29</v>
      </c>
      <c r="CW33" s="169">
        <v>6</v>
      </c>
      <c r="CX33" s="21">
        <f>CW33/$CU31</f>
        <v>0.21818181818181817</v>
      </c>
      <c r="CY33" s="169">
        <f>INT($CU30*CX33/5)*5</f>
        <v>7005</v>
      </c>
      <c r="CZ33" s="169">
        <f>SUM(CY$5:CY33)</f>
        <v>67365</v>
      </c>
      <c r="DB33" s="188">
        <f t="shared" si="20"/>
        <v>3500</v>
      </c>
      <c r="DC33" s="188">
        <f t="shared" si="20"/>
        <v>5600</v>
      </c>
      <c r="DD33" s="188">
        <f t="shared" si="20"/>
        <v>7000</v>
      </c>
      <c r="DE33" s="188">
        <f t="shared" si="20"/>
        <v>8400</v>
      </c>
      <c r="DF33" s="188">
        <f t="shared" si="20"/>
        <v>10500</v>
      </c>
      <c r="DI33" s="186">
        <v>29</v>
      </c>
      <c r="DJ33" s="14">
        <f t="shared" si="21"/>
        <v>6</v>
      </c>
      <c r="DK33" s="14">
        <f t="shared" si="1"/>
        <v>4</v>
      </c>
      <c r="DL33" s="14">
        <f t="shared" si="2"/>
        <v>1101006</v>
      </c>
      <c r="DM33" s="136" t="s">
        <v>1097</v>
      </c>
      <c r="DN33" s="14">
        <f t="shared" si="3"/>
        <v>4</v>
      </c>
      <c r="DO33" s="14" t="str">
        <f t="shared" si="4"/>
        <v>红莲缇娜-4星</v>
      </c>
      <c r="DP33" s="136" t="s">
        <v>1103</v>
      </c>
      <c r="DQ33" s="14">
        <f t="shared" si="22"/>
        <v>32000</v>
      </c>
      <c r="DR33" s="14" t="str">
        <f t="shared" si="5"/>
        <v>红莲缇娜碎片</v>
      </c>
      <c r="DS33" s="14">
        <f t="shared" si="23"/>
        <v>80</v>
      </c>
    </row>
    <row r="34" spans="1:123" ht="16.5" x14ac:dyDescent="0.2">
      <c r="A34" s="14">
        <v>1102050</v>
      </c>
      <c r="B34" s="14" t="s">
        <v>387</v>
      </c>
      <c r="C34" s="14">
        <v>2</v>
      </c>
      <c r="D34" s="14">
        <v>5</v>
      </c>
      <c r="E34" s="14">
        <v>3</v>
      </c>
      <c r="F34" s="101">
        <f t="shared" si="27"/>
        <v>1502050</v>
      </c>
      <c r="G34" s="15"/>
      <c r="I34" s="186">
        <v>5</v>
      </c>
      <c r="J34" s="186">
        <v>160</v>
      </c>
      <c r="K34" s="186">
        <v>240</v>
      </c>
      <c r="L34" s="186">
        <v>320</v>
      </c>
      <c r="M34" s="186">
        <v>320</v>
      </c>
      <c r="T34" s="139">
        <v>30</v>
      </c>
      <c r="U34" s="139">
        <f>ROUND(INDEX(挂机升级突破!$DJ$6:$DJ$57,卡牌消耗!$T34)*INDEX(卡牌消耗!$B$8:$F$8,卡牌消耗!U$2)/$Q$4/5,0)*5</f>
        <v>6220</v>
      </c>
      <c r="V34" s="139">
        <f>ROUND(INDEX(挂机升级突破!$DJ$6:$DJ$57,卡牌消耗!$T34)*INDEX(卡牌消耗!$B$8:$F$8,卡牌消耗!V$2)/$Q$4/5,0)*5</f>
        <v>8890</v>
      </c>
      <c r="W34" s="139">
        <f>ROUND(INDEX(挂机升级突破!$DJ$6:$DJ$57,卡牌消耗!$T34)*INDEX(卡牌消耗!$B$8:$F$8,卡牌消耗!W$2)/$Q$4/5,0)*5</f>
        <v>13335</v>
      </c>
      <c r="X34" s="139">
        <f>ROUND(INDEX(挂机升级突破!$DJ$6:$DJ$57,卡牌消耗!$T34)*INDEX(卡牌消耗!$B$8:$F$8,卡牌消耗!X$2)/$Q$4/5,0)*5</f>
        <v>17775</v>
      </c>
      <c r="Z34" s="196">
        <v>2</v>
      </c>
      <c r="AA34" s="196">
        <v>30</v>
      </c>
      <c r="AB34" s="14">
        <f>ROUND(INDEX(挂机升级突破!DT$6:DT$57,卡牌消耗!$AA34)*INDEX(卡牌消耗!$B$5:$F$5,卡牌消耗!$Z34)/卡牌消耗!$Q$4/AB$2,0)*AB$2</f>
        <v>0</v>
      </c>
      <c r="AC34" s="14">
        <f>ROUND(INDEX(挂机升级突破!DU$6:DU$57,卡牌消耗!$AA34)*INDEX(卡牌消耗!$B$5:$F$5,卡牌消耗!$Z34)/卡牌消耗!$Q$4/AC$2,0)*AC$2</f>
        <v>0</v>
      </c>
      <c r="AD34" s="14">
        <f>ROUND(INDEX(挂机升级突破!DV$6:DV$57,卡牌消耗!$AA34)*INDEX(卡牌消耗!$B$5:$F$5,卡牌消耗!$Z34)/卡牌消耗!$Q$4/AD$2,0)*AD$2</f>
        <v>0</v>
      </c>
      <c r="AE34" s="14">
        <f>ROUND(INDEX(挂机升级突破!DW$6:DW$57,卡牌消耗!$AA34)*INDEX(卡牌消耗!$B$5:$F$5,卡牌消耗!$Z34)/卡牌消耗!$Q$4/AE$2,0)*AE$2</f>
        <v>20</v>
      </c>
      <c r="AF34" s="14">
        <f>ROUND(INDEX(挂机升级突破!DX$6:DX$57,卡牌消耗!$AA34)*INDEX(卡牌消耗!$B$5:$F$5,卡牌消耗!$Z34)/卡牌消耗!$Q$4/AF$2,0)*AF$2</f>
        <v>0</v>
      </c>
      <c r="AG34" s="14">
        <f>ROUND(INDEX(挂机升级突破!EC$6:EC$57,卡牌消耗!$AA34)*INDEX(卡牌消耗!$B$7:$F$7,卡牌消耗!$Z34)/卡牌消耗!$Q$4/AG$2,0)*AG$2</f>
        <v>0</v>
      </c>
      <c r="AH34" s="14">
        <f>ROUND(INDEX(挂机升级突破!ED$6:ED$57,卡牌消耗!$AA34)*INDEX(卡牌消耗!$B$8:$F$8,卡牌消耗!$Z34)/卡牌消耗!$Q$4/AH$2,0)*AH$2</f>
        <v>6200</v>
      </c>
      <c r="AK34" s="104">
        <v>30</v>
      </c>
      <c r="AL34" s="14">
        <f t="shared" si="6"/>
        <v>1</v>
      </c>
      <c r="AM34" s="14">
        <f>INDEX(挂机升级突破!DQ$6:DQ$57,卡牌消耗!$AT34)</f>
        <v>11</v>
      </c>
      <c r="AN34" s="14">
        <f>INDEX(挂机升级突破!DR$6:DR$57,卡牌消耗!$AT34)</f>
        <v>4</v>
      </c>
      <c r="AO34" s="14">
        <f>INDEX(挂机升级突破!DS$6:DS$57,卡牌消耗!$AT34)</f>
        <v>0</v>
      </c>
      <c r="AP34" s="14">
        <f>INDEX(挂机升级突破!$DP$6:$DP$57,卡牌消耗!AT34)</f>
        <v>93</v>
      </c>
      <c r="AQ34" s="14" t="str">
        <f t="shared" si="7"/>
        <v>关羽</v>
      </c>
      <c r="AR34" s="14">
        <f t="shared" si="8"/>
        <v>5</v>
      </c>
      <c r="AS34" s="14" t="str">
        <f t="shared" si="9"/>
        <v>关羽魂火-30</v>
      </c>
      <c r="AT34" s="14">
        <f t="shared" si="10"/>
        <v>30</v>
      </c>
      <c r="AU34" s="14" t="str">
        <f>IF(AM34&gt;0,INDEX(挂机升级突破!$DT$4:$ED$4,AM34),"")</f>
        <v>金币</v>
      </c>
      <c r="AV34" s="14">
        <f>ROUND(INDEX(挂机升级突破!$DJ$6:$DJ$57,卡牌消耗!AT34)*INDEX(卡牌消耗!$B$8:$F$8,AR34)/$Q$4/50,0)*50</f>
        <v>17800</v>
      </c>
      <c r="AW34" s="14" t="str">
        <f>IF(AN34&gt;0,INDEX(挂机升级突破!$DT$4:$ED$4,AN34),"")</f>
        <v>橙色基础材料</v>
      </c>
      <c r="AX34" s="14">
        <f>ROUND(INDEX(挂机升级突破!$DT$6:$ED$57,卡牌消耗!AT34,AN34)*INDEX(卡牌消耗!$B$5:$F$5,AR34)/$Q$4/5,0)*5</f>
        <v>40</v>
      </c>
      <c r="AY34" s="14" t="str">
        <f>IF(AO34&gt;0,INDEX(挂机升级突破!$DT$4:$ED$4,AO34),"")</f>
        <v/>
      </c>
      <c r="AZ34" s="14" t="str">
        <f>IF(AO34&gt;0,ROUND(INDEX(挂机升级突破!$DT$6:$ED$57,卡牌消耗!AT34,AO34)*INDEX(卡牌消耗!$B$7:$F$7,AR34)/$Q$4,0),"")</f>
        <v/>
      </c>
      <c r="BC34" s="196">
        <v>3</v>
      </c>
      <c r="BD34" s="196">
        <v>10</v>
      </c>
      <c r="BE34" s="14">
        <f>ROUND(INDEX(挂机升级突破!ER$7:ER$26,卡牌消耗!$BD34)*INDEX(卡牌消耗!$B$6:$F$6,$BC34)/$Q$4,0)</f>
        <v>0</v>
      </c>
      <c r="BF34" s="14">
        <f>ROUND(INDEX(挂机升级突破!ES$7:ES$26,卡牌消耗!$BD34)*INDEX(卡牌消耗!$B$6:$F$6,$BC34)/$Q$4,0)</f>
        <v>69</v>
      </c>
      <c r="BG34" s="14">
        <f>ROUND(INDEX(挂机升级突破!ET$7:ET$26,卡牌消耗!$BD34)*INDEX(卡牌消耗!$B$6:$F$6,$BC34)/$Q$4,0)</f>
        <v>0</v>
      </c>
      <c r="BH34" s="14">
        <f>ROUND(INDEX(挂机升级突破!EU$7:EU$26,卡牌消耗!$BD34)*INDEX(卡牌消耗!$B$6:$F$6,$BC34)/$Q$4,0)</f>
        <v>0</v>
      </c>
      <c r="BI34" s="14">
        <f>ROUND(INDEX(挂机升级突破!$EV$7:$EV$26,卡牌消耗!BD34)*INDEX(卡牌消耗!$B$8:$F$8,$BC34)/$Q$4/BI$2,0)*BI$2</f>
        <v>19000</v>
      </c>
      <c r="BL34" s="104">
        <v>30</v>
      </c>
      <c r="BM34" s="14">
        <f t="shared" si="11"/>
        <v>2</v>
      </c>
      <c r="BN34" s="14">
        <f>INDEX(挂机升级突破!$EI$7:$EI$26,BS34)</f>
        <v>5</v>
      </c>
      <c r="BO34" s="14">
        <f>INDEX(挂机升级突破!$EJ$7:$EJ$26,BS34)</f>
        <v>2</v>
      </c>
      <c r="BP34" s="14">
        <f t="shared" si="12"/>
        <v>3</v>
      </c>
      <c r="BQ34" s="14">
        <f>INDEX(挂机升级突破!$EH$7:$EH$26,卡牌消耗!BS34)</f>
        <v>65</v>
      </c>
      <c r="BR34" s="14" t="str">
        <f t="shared" si="13"/>
        <v>许褚</v>
      </c>
      <c r="BS34" s="14">
        <f t="shared" si="14"/>
        <v>10</v>
      </c>
      <c r="BT34" s="14" t="str">
        <f t="shared" si="15"/>
        <v>许褚10突</v>
      </c>
      <c r="BU34" s="14" t="str">
        <f>IF(BN34&gt;0,INDEX(挂机升级突破!$ER$5:$EV$5,卡牌消耗!BN34),"")</f>
        <v>金币</v>
      </c>
      <c r="BV34" s="14">
        <f>IF(BN34&gt;0,ROUND(INDEX(挂机升级突破!$EV$7:$EV$26,卡牌消耗!BS34)*INDEX(卡牌消耗!$B$8:$F$8,BP34)/$Q$4/500,0)*500,"")</f>
        <v>19000</v>
      </c>
      <c r="BW34" s="14" t="str">
        <f>IF(BO34&gt;0,INDEX(挂机升级突破!$ER$5:$EV$5,卡牌消耗!BO34),"")</f>
        <v>乌金</v>
      </c>
      <c r="BX34" s="14">
        <f>IF(BO34&gt;0,ROUND(INDEX(挂机升级突破!$ER$7:$EU$26,卡牌消耗!BS34,卡牌消耗!BO34)*INDEX($B$6:$F$6,BP34)/$Q$4/5,0)*5,"")</f>
        <v>70</v>
      </c>
      <c r="BY34" s="193"/>
      <c r="BZ34" s="193"/>
      <c r="CC34" s="170"/>
      <c r="CD34" s="170"/>
      <c r="CE34" s="170"/>
      <c r="CF34" s="170"/>
      <c r="CG34" s="170"/>
      <c r="CH34" s="170"/>
      <c r="CI34" s="170"/>
      <c r="CJ34" s="170"/>
      <c r="CK34" s="170"/>
      <c r="CL34" s="170"/>
      <c r="CM34" s="170"/>
      <c r="CN34" s="170"/>
      <c r="CO34" s="170"/>
      <c r="CP34" s="170"/>
      <c r="CQ34" s="170"/>
      <c r="CS34" s="171"/>
      <c r="CT34" s="173" t="s">
        <v>120</v>
      </c>
      <c r="CU34" s="169">
        <v>5</v>
      </c>
      <c r="CV34" s="169">
        <v>30</v>
      </c>
      <c r="CW34" s="169">
        <v>5</v>
      </c>
      <c r="CX34" s="21">
        <f>CW34/$CU36</f>
        <v>0.18181818181818182</v>
      </c>
      <c r="CY34" s="169">
        <f t="shared" ref="CY34" si="34">INT($CU35*CX34/5)*5</f>
        <v>7410</v>
      </c>
      <c r="CZ34" s="169">
        <f>SUM(CY$5:CY34)</f>
        <v>74775</v>
      </c>
      <c r="DB34" s="188">
        <f t="shared" si="20"/>
        <v>3700</v>
      </c>
      <c r="DC34" s="188">
        <f t="shared" si="20"/>
        <v>5900</v>
      </c>
      <c r="DD34" s="188">
        <f t="shared" si="20"/>
        <v>7400</v>
      </c>
      <c r="DE34" s="188">
        <f t="shared" si="20"/>
        <v>8850</v>
      </c>
      <c r="DF34" s="188">
        <f t="shared" si="20"/>
        <v>11100</v>
      </c>
      <c r="DI34" s="186">
        <v>30</v>
      </c>
      <c r="DJ34" s="14">
        <f t="shared" si="21"/>
        <v>6</v>
      </c>
      <c r="DK34" s="14">
        <f t="shared" si="1"/>
        <v>4</v>
      </c>
      <c r="DL34" s="14">
        <f t="shared" si="2"/>
        <v>1101006</v>
      </c>
      <c r="DM34" s="136" t="s">
        <v>1097</v>
      </c>
      <c r="DN34" s="14">
        <f t="shared" si="3"/>
        <v>5</v>
      </c>
      <c r="DO34" s="14" t="str">
        <f t="shared" si="4"/>
        <v>红莲缇娜-5星</v>
      </c>
      <c r="DP34" s="136" t="s">
        <v>1103</v>
      </c>
      <c r="DQ34" s="14">
        <f t="shared" si="22"/>
        <v>60000</v>
      </c>
      <c r="DR34" s="14" t="str">
        <f t="shared" si="5"/>
        <v>红莲缇娜碎片</v>
      </c>
      <c r="DS34" s="14">
        <f t="shared" si="23"/>
        <v>80</v>
      </c>
    </row>
    <row r="35" spans="1:123" s="102" customFormat="1" ht="16.5" x14ac:dyDescent="0.2">
      <c r="A35" s="14">
        <v>1102023</v>
      </c>
      <c r="B35" s="14" t="s">
        <v>959</v>
      </c>
      <c r="C35" s="14">
        <v>2</v>
      </c>
      <c r="D35" s="14">
        <v>20</v>
      </c>
      <c r="E35" s="14">
        <v>2</v>
      </c>
      <c r="F35" s="101">
        <f t="shared" si="27"/>
        <v>1502023</v>
      </c>
      <c r="G35" s="15"/>
      <c r="O35" s="138"/>
      <c r="P35" s="142"/>
      <c r="Q35" s="142"/>
      <c r="R35" s="142"/>
      <c r="S35" s="142"/>
      <c r="T35" s="139">
        <v>31</v>
      </c>
      <c r="U35" s="139">
        <f>ROUND(INDEX(挂机升级突破!$DJ$6:$DJ$57,卡牌消耗!$T35)*INDEX(卡牌消耗!$B$8:$F$8,卡牌消耗!U$2)/$Q$4/5,0)*5</f>
        <v>6220</v>
      </c>
      <c r="V35" s="139">
        <f>ROUND(INDEX(挂机升级突破!$DJ$6:$DJ$57,卡牌消耗!$T35)*INDEX(卡牌消耗!$B$8:$F$8,卡牌消耗!V$2)/$Q$4/5,0)*5</f>
        <v>8890</v>
      </c>
      <c r="W35" s="139">
        <f>ROUND(INDEX(挂机升级突破!$DJ$6:$DJ$57,卡牌消耗!$T35)*INDEX(卡牌消耗!$B$8:$F$8,卡牌消耗!W$2)/$Q$4/5,0)*5</f>
        <v>13335</v>
      </c>
      <c r="X35" s="139">
        <f>ROUND(INDEX(挂机升级突破!$DJ$6:$DJ$57,卡牌消耗!$T35)*INDEX(卡牌消耗!$B$8:$F$8,卡牌消耗!X$2)/$Q$4/5,0)*5</f>
        <v>17775</v>
      </c>
      <c r="Y35" s="142"/>
      <c r="Z35" s="196">
        <v>2</v>
      </c>
      <c r="AA35" s="196">
        <v>31</v>
      </c>
      <c r="AB35" s="14">
        <f>ROUND(INDEX(挂机升级突破!DT$6:DT$57,卡牌消耗!$AA35)*INDEX(卡牌消耗!$B$5:$F$5,卡牌消耗!$Z35)/卡牌消耗!$Q$4/AB$2,0)*AB$2</f>
        <v>0</v>
      </c>
      <c r="AC35" s="14">
        <f>ROUND(INDEX(挂机升级突破!DU$6:DU$57,卡牌消耗!$AA35)*INDEX(卡牌消耗!$B$5:$F$5,卡牌消耗!$Z35)/卡牌消耗!$Q$4/AC$2,0)*AC$2</f>
        <v>0</v>
      </c>
      <c r="AD35" s="14">
        <f>ROUND(INDEX(挂机升级突破!DV$6:DV$57,卡牌消耗!$AA35)*INDEX(卡牌消耗!$B$5:$F$5,卡牌消耗!$Z35)/卡牌消耗!$Q$4/AD$2,0)*AD$2</f>
        <v>0</v>
      </c>
      <c r="AE35" s="14">
        <f>ROUND(INDEX(挂机升级突破!DW$6:DW$57,卡牌消耗!$AA35)*INDEX(卡牌消耗!$B$5:$F$5,卡牌消耗!$Z35)/卡牌消耗!$Q$4/AE$2,0)*AE$2</f>
        <v>20</v>
      </c>
      <c r="AF35" s="14">
        <f>ROUND(INDEX(挂机升级突破!DX$6:DX$57,卡牌消耗!$AA35)*INDEX(卡牌消耗!$B$5:$F$5,卡牌消耗!$Z35)/卡牌消耗!$Q$4/AF$2,0)*AF$2</f>
        <v>0</v>
      </c>
      <c r="AG35" s="14">
        <f>ROUND(INDEX(挂机升级突破!EC$6:EC$57,卡牌消耗!$AA35)*INDEX(卡牌消耗!$B$7:$F$7,卡牌消耗!$Z35)/卡牌消耗!$Q$4/AG$2,0)*AG$2</f>
        <v>0</v>
      </c>
      <c r="AH35" s="14">
        <f>ROUND(INDEX(挂机升级突破!ED$6:ED$57,卡牌消耗!$AA35)*INDEX(卡牌消耗!$B$8:$F$8,卡牌消耗!$Z35)/卡牌消耗!$Q$4/AH$2,0)*AH$2</f>
        <v>6200</v>
      </c>
      <c r="AI35" s="195"/>
      <c r="AJ35" s="195"/>
      <c r="AK35" s="104">
        <v>31</v>
      </c>
      <c r="AL35" s="14">
        <f t="shared" si="6"/>
        <v>1</v>
      </c>
      <c r="AM35" s="14">
        <f>INDEX(挂机升级突破!DQ$6:DQ$57,卡牌消耗!$AT35)</f>
        <v>11</v>
      </c>
      <c r="AN35" s="14">
        <f>INDEX(挂机升级突破!DR$6:DR$57,卡牌消耗!$AT35)</f>
        <v>4</v>
      </c>
      <c r="AO35" s="14">
        <f>INDEX(挂机升级突破!DS$6:DS$57,卡牌消耗!$AT35)</f>
        <v>0</v>
      </c>
      <c r="AP35" s="14">
        <f>INDEX(挂机升级突破!$DP$6:$DP$57,卡牌消耗!AT35)</f>
        <v>95</v>
      </c>
      <c r="AQ35" s="14" t="str">
        <f t="shared" si="7"/>
        <v>关羽</v>
      </c>
      <c r="AR35" s="14">
        <f t="shared" si="8"/>
        <v>5</v>
      </c>
      <c r="AS35" s="14" t="str">
        <f t="shared" si="9"/>
        <v>关羽魂火-31</v>
      </c>
      <c r="AT35" s="14">
        <f t="shared" si="10"/>
        <v>31</v>
      </c>
      <c r="AU35" s="14" t="str">
        <f>IF(AM35&gt;0,INDEX(挂机升级突破!$DT$4:$ED$4,AM35),"")</f>
        <v>金币</v>
      </c>
      <c r="AV35" s="14">
        <f>ROUND(INDEX(挂机升级突破!$DJ$6:$DJ$57,卡牌消耗!AT35)*INDEX(卡牌消耗!$B$8:$F$8,AR35)/$Q$4/50,0)*50</f>
        <v>17800</v>
      </c>
      <c r="AW35" s="14" t="str">
        <f>IF(AN35&gt;0,INDEX(挂机升级突破!$DT$4:$ED$4,AN35),"")</f>
        <v>橙色基础材料</v>
      </c>
      <c r="AX35" s="14">
        <f>ROUND(INDEX(挂机升级突破!$DT$6:$ED$57,卡牌消耗!AT35,AN35)*INDEX(卡牌消耗!$B$5:$F$5,AR35)/$Q$4/5,0)*5</f>
        <v>40</v>
      </c>
      <c r="AY35" s="14" t="str">
        <f>IF(AO35&gt;0,INDEX(挂机升级突破!$DT$4:$ED$4,AO35),"")</f>
        <v/>
      </c>
      <c r="AZ35" s="14" t="str">
        <f>IF(AO35&gt;0,ROUND(INDEX(挂机升级突破!$DT$6:$ED$57,卡牌消耗!AT35,AO35)*INDEX(卡牌消耗!$B$7:$F$7,AR35)/$Q$4,0),"")</f>
        <v/>
      </c>
      <c r="BA35" s="105"/>
      <c r="BB35" s="198"/>
      <c r="BC35" s="196">
        <v>3</v>
      </c>
      <c r="BD35" s="196">
        <v>11</v>
      </c>
      <c r="BE35" s="14">
        <f>ROUND(INDEX(挂机升级突破!ER$7:ER$26,卡牌消耗!$BD35)*INDEX(卡牌消耗!$B$6:$F$6,$BC35)/$Q$4,0)</f>
        <v>0</v>
      </c>
      <c r="BF35" s="14">
        <f>ROUND(INDEX(挂机升级突破!ES$7:ES$26,卡牌消耗!$BD35)*INDEX(卡牌消耗!$B$6:$F$6,$BC35)/$Q$4,0)</f>
        <v>92</v>
      </c>
      <c r="BG35" s="14">
        <f>ROUND(INDEX(挂机升级突破!ET$7:ET$26,卡牌消耗!$BD35)*INDEX(卡牌消耗!$B$6:$F$6,$BC35)/$Q$4,0)</f>
        <v>0</v>
      </c>
      <c r="BH35" s="14">
        <f>ROUND(INDEX(挂机升级突破!EU$7:EU$26,卡牌消耗!$BD35)*INDEX(卡牌消耗!$B$6:$F$6,$BC35)/$Q$4,0)</f>
        <v>0</v>
      </c>
      <c r="BI35" s="14">
        <f>ROUND(INDEX(挂机升级突破!$EV$7:$EV$26,卡牌消耗!BD35)*INDEX(卡牌消耗!$B$8:$F$8,$BC35)/$Q$4/BI$2,0)*BI$2</f>
        <v>19000</v>
      </c>
      <c r="BJ35" s="198"/>
      <c r="BK35" s="198"/>
      <c r="BL35" s="104">
        <v>31</v>
      </c>
      <c r="BM35" s="14">
        <f t="shared" si="11"/>
        <v>2</v>
      </c>
      <c r="BN35" s="14">
        <f>INDEX(挂机升级突破!$EI$7:$EI$26,BS35)</f>
        <v>5</v>
      </c>
      <c r="BO35" s="14">
        <f>INDEX(挂机升级突破!$EJ$7:$EJ$26,BS35)</f>
        <v>2</v>
      </c>
      <c r="BP35" s="14">
        <f t="shared" si="12"/>
        <v>3</v>
      </c>
      <c r="BQ35" s="14">
        <f>INDEX(挂机升级突破!$EH$7:$EH$26,卡牌消耗!BS35)</f>
        <v>72</v>
      </c>
      <c r="BR35" s="14" t="str">
        <f t="shared" si="13"/>
        <v>许褚</v>
      </c>
      <c r="BS35" s="14">
        <f t="shared" si="14"/>
        <v>11</v>
      </c>
      <c r="BT35" s="14" t="str">
        <f t="shared" si="15"/>
        <v>许褚11突</v>
      </c>
      <c r="BU35" s="14" t="str">
        <f>IF(BN35&gt;0,INDEX(挂机升级突破!$ER$5:$EV$5,卡牌消耗!BN35),"")</f>
        <v>金币</v>
      </c>
      <c r="BV35" s="14">
        <f>IF(BN35&gt;0,ROUND(INDEX(挂机升级突破!$EV$7:$EV$26,卡牌消耗!BS35)*INDEX(卡牌消耗!$B$8:$F$8,BP35)/$Q$4/500,0)*500,"")</f>
        <v>19000</v>
      </c>
      <c r="BW35" s="14" t="str">
        <f>IF(BO35&gt;0,INDEX(挂机升级突破!$ER$5:$EV$5,卡牌消耗!BO35),"")</f>
        <v>乌金</v>
      </c>
      <c r="BX35" s="14">
        <f>IF(BO35&gt;0,ROUND(INDEX(挂机升级突破!$ER$7:$EU$26,卡牌消耗!BS35,卡牌消耗!BO35)*INDEX($B$6:$F$6,BP35)/$Q$4/5,0)*5,"")</f>
        <v>90</v>
      </c>
      <c r="BY35" s="193"/>
      <c r="BZ35" s="193"/>
      <c r="CA35" s="105"/>
      <c r="CE35" s="171"/>
      <c r="CF35" s="171"/>
      <c r="CL35" s="171"/>
      <c r="CM35" s="171"/>
      <c r="CS35" s="171"/>
      <c r="CT35" s="171"/>
      <c r="CU35" s="14">
        <f>INDEX($CP$5:$CP$32,CU34)</f>
        <v>40781</v>
      </c>
      <c r="CV35" s="169">
        <v>31</v>
      </c>
      <c r="CW35" s="169">
        <v>5.25</v>
      </c>
      <c r="CX35" s="21">
        <f>CW35/$CU36</f>
        <v>0.19090909090909092</v>
      </c>
      <c r="CY35" s="169">
        <f t="shared" ref="CY35" si="35">INT($CU35*CX35/5)*5</f>
        <v>7785</v>
      </c>
      <c r="CZ35" s="169">
        <f>SUM(CY$5:CY35)</f>
        <v>82560</v>
      </c>
      <c r="DB35" s="188">
        <f t="shared" si="20"/>
        <v>3850</v>
      </c>
      <c r="DC35" s="188">
        <f t="shared" si="20"/>
        <v>6200</v>
      </c>
      <c r="DD35" s="188">
        <f t="shared" si="20"/>
        <v>7750</v>
      </c>
      <c r="DE35" s="188">
        <f t="shared" si="20"/>
        <v>9300</v>
      </c>
      <c r="DF35" s="188">
        <f t="shared" si="20"/>
        <v>11650</v>
      </c>
      <c r="DG35" s="171"/>
      <c r="DI35" s="186">
        <v>31</v>
      </c>
      <c r="DJ35" s="14">
        <f t="shared" si="21"/>
        <v>7</v>
      </c>
      <c r="DK35" s="14">
        <f t="shared" si="1"/>
        <v>4</v>
      </c>
      <c r="DL35" s="14">
        <f t="shared" si="2"/>
        <v>1101007</v>
      </c>
      <c r="DM35" s="136" t="s">
        <v>1097</v>
      </c>
      <c r="DN35" s="14">
        <f t="shared" si="3"/>
        <v>1</v>
      </c>
      <c r="DO35" s="14" t="str">
        <f t="shared" si="4"/>
        <v>战斗曹焱兵-1星</v>
      </c>
      <c r="DP35" s="136" t="s">
        <v>1103</v>
      </c>
      <c r="DQ35" s="14">
        <f t="shared" si="22"/>
        <v>6000</v>
      </c>
      <c r="DR35" s="14" t="str">
        <f t="shared" si="5"/>
        <v>战斗曹焱兵碎片</v>
      </c>
      <c r="DS35" s="14">
        <f t="shared" si="23"/>
        <v>80</v>
      </c>
    </row>
    <row r="36" spans="1:123" s="102" customFormat="1" ht="16.5" x14ac:dyDescent="0.2">
      <c r="A36" s="14">
        <v>1102024</v>
      </c>
      <c r="B36" s="14" t="s">
        <v>954</v>
      </c>
      <c r="C36" s="14">
        <v>3</v>
      </c>
      <c r="D36" s="14">
        <v>40</v>
      </c>
      <c r="E36" s="14">
        <v>2</v>
      </c>
      <c r="F36" s="101">
        <f t="shared" si="27"/>
        <v>1502024</v>
      </c>
      <c r="G36" s="15"/>
      <c r="O36" s="138"/>
      <c r="P36" s="142"/>
      <c r="Q36" s="142"/>
      <c r="R36" s="142"/>
      <c r="S36" s="142"/>
      <c r="T36" s="139">
        <v>32</v>
      </c>
      <c r="U36" s="139">
        <f>ROUND(INDEX(挂机升级突破!$DJ$6:$DJ$57,卡牌消耗!$T36)*INDEX(卡牌消耗!$B$8:$F$8,卡牌消耗!U$2)/$Q$4/5,0)*5</f>
        <v>8555</v>
      </c>
      <c r="V36" s="139">
        <f>ROUND(INDEX(挂机升级突破!$DJ$6:$DJ$57,卡牌消耗!$T36)*INDEX(卡牌消耗!$B$8:$F$8,卡牌消耗!V$2)/$Q$4/5,0)*5</f>
        <v>12220</v>
      </c>
      <c r="W36" s="139">
        <f>ROUND(INDEX(挂机升级突破!$DJ$6:$DJ$57,卡牌消耗!$T36)*INDEX(卡牌消耗!$B$8:$F$8,卡牌消耗!W$2)/$Q$4/5,0)*5</f>
        <v>18335</v>
      </c>
      <c r="X36" s="139">
        <f>ROUND(INDEX(挂机升级突破!$DJ$6:$DJ$57,卡牌消耗!$T36)*INDEX(卡牌消耗!$B$8:$F$8,卡牌消耗!X$2)/$Q$4/5,0)*5</f>
        <v>24445</v>
      </c>
      <c r="Y36" s="142"/>
      <c r="Z36" s="196">
        <v>2</v>
      </c>
      <c r="AA36" s="196">
        <v>32</v>
      </c>
      <c r="AB36" s="14">
        <f>ROUND(INDEX(挂机升级突破!DT$6:DT$57,卡牌消耗!$AA36)*INDEX(卡牌消耗!$B$5:$F$5,卡牌消耗!$Z36)/卡牌消耗!$Q$4/AB$2,0)*AB$2</f>
        <v>0</v>
      </c>
      <c r="AC36" s="14">
        <f>ROUND(INDEX(挂机升级突破!DU$6:DU$57,卡牌消耗!$AA36)*INDEX(卡牌消耗!$B$5:$F$5,卡牌消耗!$Z36)/卡牌消耗!$Q$4/AC$2,0)*AC$2</f>
        <v>0</v>
      </c>
      <c r="AD36" s="14">
        <f>ROUND(INDEX(挂机升级突破!DV$6:DV$57,卡牌消耗!$AA36)*INDEX(卡牌消耗!$B$5:$F$5,卡牌消耗!$Z36)/卡牌消耗!$Q$4/AD$2,0)*AD$2</f>
        <v>0</v>
      </c>
      <c r="AE36" s="14">
        <f>ROUND(INDEX(挂机升级突破!DW$6:DW$57,卡牌消耗!$AA36)*INDEX(卡牌消耗!$B$5:$F$5,卡牌消耗!$Z36)/卡牌消耗!$Q$4/AE$2,0)*AE$2</f>
        <v>20</v>
      </c>
      <c r="AF36" s="14">
        <f>ROUND(INDEX(挂机升级突破!DX$6:DX$57,卡牌消耗!$AA36)*INDEX(卡牌消耗!$B$5:$F$5,卡牌消耗!$Z36)/卡牌消耗!$Q$4/AF$2,0)*AF$2</f>
        <v>0</v>
      </c>
      <c r="AG36" s="14">
        <f>ROUND(INDEX(挂机升级突破!EC$6:EC$57,卡牌消耗!$AA36)*INDEX(卡牌消耗!$B$7:$F$7,卡牌消耗!$Z36)/卡牌消耗!$Q$4/AG$2,0)*AG$2</f>
        <v>1</v>
      </c>
      <c r="AH36" s="14">
        <f>ROUND(INDEX(挂机升级突破!ED$6:ED$57,卡牌消耗!$AA36)*INDEX(卡牌消耗!$B$8:$F$8,卡牌消耗!$Z36)/卡牌消耗!$Q$4/AH$2,0)*AH$2</f>
        <v>8550</v>
      </c>
      <c r="AI36" s="195"/>
      <c r="AJ36" s="195"/>
      <c r="AK36" s="104">
        <v>32</v>
      </c>
      <c r="AL36" s="14">
        <f t="shared" si="6"/>
        <v>1</v>
      </c>
      <c r="AM36" s="14">
        <f>INDEX(挂机升级突破!DQ$6:DQ$57,卡牌消耗!$AT36)</f>
        <v>11</v>
      </c>
      <c r="AN36" s="14">
        <f>INDEX(挂机升级突破!DR$6:DR$57,卡牌消耗!$AT36)</f>
        <v>4</v>
      </c>
      <c r="AO36" s="14">
        <f>INDEX(挂机升级突破!DS$6:DS$57,卡牌消耗!$AT36)</f>
        <v>0</v>
      </c>
      <c r="AP36" s="14">
        <f>INDEX(挂机升级突破!$DP$6:$DP$57,卡牌消耗!AT36)</f>
        <v>98</v>
      </c>
      <c r="AQ36" s="14" t="str">
        <f t="shared" si="7"/>
        <v>关羽</v>
      </c>
      <c r="AR36" s="14">
        <f t="shared" si="8"/>
        <v>5</v>
      </c>
      <c r="AS36" s="14" t="str">
        <f t="shared" si="9"/>
        <v>关羽魂火-32</v>
      </c>
      <c r="AT36" s="14">
        <f t="shared" si="10"/>
        <v>32</v>
      </c>
      <c r="AU36" s="14" t="str">
        <f>IF(AM36&gt;0,INDEX(挂机升级突破!$DT$4:$ED$4,AM36),"")</f>
        <v>金币</v>
      </c>
      <c r="AV36" s="14">
        <f>ROUND(INDEX(挂机升级突破!$DJ$6:$DJ$57,卡牌消耗!AT36)*INDEX(卡牌消耗!$B$8:$F$8,AR36)/$Q$4/50,0)*50</f>
        <v>24450</v>
      </c>
      <c r="AW36" s="14" t="str">
        <f>IF(AN36&gt;0,INDEX(挂机升级突破!$DT$4:$ED$4,AN36),"")</f>
        <v>橙色基础材料</v>
      </c>
      <c r="AX36" s="14">
        <f>ROUND(INDEX(挂机升级突破!$DT$6:$ED$57,卡牌消耗!AT36,AN36)*INDEX(卡牌消耗!$B$5:$F$5,AR36)/$Q$4/5,0)*5</f>
        <v>40</v>
      </c>
      <c r="AY36" s="14" t="str">
        <f>IF(AO36&gt;0,INDEX(挂机升级突破!$DT$4:$ED$4,AO36),"")</f>
        <v/>
      </c>
      <c r="AZ36" s="14" t="str">
        <f>IF(AO36&gt;0,ROUND(INDEX(挂机升级突破!$DT$6:$ED$57,卡牌消耗!AT36,AO36)*INDEX(卡牌消耗!$B$7:$F$7,AR36)/$Q$4,0),"")</f>
        <v/>
      </c>
      <c r="BA36" s="105"/>
      <c r="BB36" s="198"/>
      <c r="BC36" s="196">
        <v>3</v>
      </c>
      <c r="BD36" s="196">
        <v>12</v>
      </c>
      <c r="BE36" s="14">
        <f>ROUND(INDEX(挂机升级突破!ER$7:ER$26,卡牌消耗!$BD36)*INDEX(卡牌消耗!$B$6:$F$6,$BC36)/$Q$4,0)</f>
        <v>0</v>
      </c>
      <c r="BF36" s="14">
        <f>ROUND(INDEX(挂机升级突破!ES$7:ES$26,卡牌消耗!$BD36)*INDEX(卡牌消耗!$B$6:$F$6,$BC36)/$Q$4,0)</f>
        <v>118</v>
      </c>
      <c r="BG36" s="14">
        <f>ROUND(INDEX(挂机升级突破!ET$7:ET$26,卡牌消耗!$BD36)*INDEX(卡牌消耗!$B$6:$F$6,$BC36)/$Q$4,0)</f>
        <v>0</v>
      </c>
      <c r="BH36" s="14">
        <f>ROUND(INDEX(挂机升级突破!EU$7:EU$26,卡牌消耗!$BD36)*INDEX(卡牌消耗!$B$6:$F$6,$BC36)/$Q$4,0)</f>
        <v>0</v>
      </c>
      <c r="BI36" s="14">
        <f>ROUND(INDEX(挂机升级突破!$EV$7:$EV$26,卡牌消耗!BD36)*INDEX(卡牌消耗!$B$8:$F$8,$BC36)/$Q$4/BI$2,0)*BI$2</f>
        <v>25000</v>
      </c>
      <c r="BJ36" s="198"/>
      <c r="BK36" s="198"/>
      <c r="BL36" s="104">
        <v>32</v>
      </c>
      <c r="BM36" s="14">
        <f t="shared" si="11"/>
        <v>2</v>
      </c>
      <c r="BN36" s="14">
        <f>INDEX(挂机升级突破!$EI$7:$EI$26,BS36)</f>
        <v>5</v>
      </c>
      <c r="BO36" s="14">
        <f>INDEX(挂机升级突破!$EJ$7:$EJ$26,BS36)</f>
        <v>2</v>
      </c>
      <c r="BP36" s="14">
        <f t="shared" si="12"/>
        <v>3</v>
      </c>
      <c r="BQ36" s="14">
        <f>INDEX(挂机升级突破!$EH$7:$EH$26,卡牌消耗!BS36)</f>
        <v>80</v>
      </c>
      <c r="BR36" s="14" t="str">
        <f t="shared" si="13"/>
        <v>许褚</v>
      </c>
      <c r="BS36" s="14">
        <f t="shared" si="14"/>
        <v>12</v>
      </c>
      <c r="BT36" s="14" t="str">
        <f t="shared" si="15"/>
        <v>许褚12突</v>
      </c>
      <c r="BU36" s="14" t="str">
        <f>IF(BN36&gt;0,INDEX(挂机升级突破!$ER$5:$EV$5,卡牌消耗!BN36),"")</f>
        <v>金币</v>
      </c>
      <c r="BV36" s="14">
        <f>IF(BN36&gt;0,ROUND(INDEX(挂机升级突破!$EV$7:$EV$26,卡牌消耗!BS36)*INDEX(卡牌消耗!$B$8:$F$8,BP36)/$Q$4/500,0)*500,"")</f>
        <v>25000</v>
      </c>
      <c r="BW36" s="14" t="str">
        <f>IF(BO36&gt;0,INDEX(挂机升级突破!$ER$5:$EV$5,卡牌消耗!BO36),"")</f>
        <v>乌金</v>
      </c>
      <c r="BX36" s="14">
        <f>IF(BO36&gt;0,ROUND(INDEX(挂机升级突破!$ER$7:$EU$26,卡牌消耗!BS36,卡牌消耗!BO36)*INDEX($B$6:$F$6,BP36)/$Q$4/5,0)*5,"")</f>
        <v>120</v>
      </c>
      <c r="BY36" s="193"/>
      <c r="BZ36" s="193"/>
      <c r="CA36" s="105"/>
      <c r="CE36" s="171"/>
      <c r="CF36" s="171"/>
      <c r="CL36" s="171"/>
      <c r="CM36" s="171"/>
      <c r="CS36" s="171"/>
      <c r="CT36" s="170"/>
      <c r="CU36" s="14">
        <f>SUMIFS($CW$5:$CW$154,$CV$5:$CV$154,"&gt;="&amp;INDEX($CE$5:$CE$32,CU34),$CV$5:$CV$154,"&lt;"&amp;INDEX($CF$5:$CF$32,CU34))</f>
        <v>27.5</v>
      </c>
      <c r="CV36" s="169">
        <v>32</v>
      </c>
      <c r="CW36" s="169">
        <v>5.5</v>
      </c>
      <c r="CX36" s="21">
        <f>CW36/$CU36</f>
        <v>0.2</v>
      </c>
      <c r="CY36" s="169">
        <f t="shared" ref="CY36" si="36">INT($CU35*CX36/5)*5</f>
        <v>8155</v>
      </c>
      <c r="CZ36" s="169">
        <f>SUM(CY$5:CY36)</f>
        <v>90715</v>
      </c>
      <c r="DB36" s="188">
        <f t="shared" si="20"/>
        <v>4050</v>
      </c>
      <c r="DC36" s="188">
        <f t="shared" si="20"/>
        <v>6500</v>
      </c>
      <c r="DD36" s="188">
        <f t="shared" si="20"/>
        <v>8150</v>
      </c>
      <c r="DE36" s="188">
        <f t="shared" si="20"/>
        <v>9750</v>
      </c>
      <c r="DF36" s="188">
        <f t="shared" si="20"/>
        <v>12200</v>
      </c>
      <c r="DG36" s="171"/>
      <c r="DI36" s="186">
        <v>32</v>
      </c>
      <c r="DJ36" s="14">
        <f t="shared" si="21"/>
        <v>7</v>
      </c>
      <c r="DK36" s="14">
        <f t="shared" si="1"/>
        <v>4</v>
      </c>
      <c r="DL36" s="14">
        <f t="shared" si="2"/>
        <v>1101007</v>
      </c>
      <c r="DM36" s="136" t="s">
        <v>1097</v>
      </c>
      <c r="DN36" s="14">
        <f t="shared" si="3"/>
        <v>2</v>
      </c>
      <c r="DO36" s="14" t="str">
        <f t="shared" si="4"/>
        <v>战斗曹焱兵-2星</v>
      </c>
      <c r="DP36" s="136" t="s">
        <v>1103</v>
      </c>
      <c r="DQ36" s="14">
        <f t="shared" si="22"/>
        <v>8000</v>
      </c>
      <c r="DR36" s="14" t="str">
        <f t="shared" si="5"/>
        <v>战斗曹焱兵碎片</v>
      </c>
      <c r="DS36" s="14">
        <f t="shared" si="23"/>
        <v>80</v>
      </c>
    </row>
    <row r="37" spans="1:123" s="102" customFormat="1" ht="16.5" x14ac:dyDescent="0.2">
      <c r="A37" s="14">
        <v>1102026</v>
      </c>
      <c r="B37" s="14" t="s">
        <v>955</v>
      </c>
      <c r="C37" s="14">
        <v>3</v>
      </c>
      <c r="D37" s="14">
        <v>40</v>
      </c>
      <c r="E37" s="14">
        <v>2</v>
      </c>
      <c r="F37" s="101">
        <f t="shared" si="27"/>
        <v>1502026</v>
      </c>
      <c r="G37" s="15"/>
      <c r="O37" s="138"/>
      <c r="P37" s="142"/>
      <c r="Q37" s="142"/>
      <c r="R37" s="142"/>
      <c r="S37" s="142"/>
      <c r="T37" s="139">
        <v>33</v>
      </c>
      <c r="U37" s="139">
        <f>ROUND(INDEX(挂机升级突破!$DJ$6:$DJ$57,卡牌消耗!$T37)*INDEX(卡牌消耗!$B$8:$F$8,卡牌消耗!U$2)/$Q$4/5,0)*5</f>
        <v>8555</v>
      </c>
      <c r="V37" s="139">
        <f>ROUND(INDEX(挂机升级突破!$DJ$6:$DJ$57,卡牌消耗!$T37)*INDEX(卡牌消耗!$B$8:$F$8,卡牌消耗!V$2)/$Q$4/5,0)*5</f>
        <v>12220</v>
      </c>
      <c r="W37" s="139">
        <f>ROUND(INDEX(挂机升级突破!$DJ$6:$DJ$57,卡牌消耗!$T37)*INDEX(卡牌消耗!$B$8:$F$8,卡牌消耗!W$2)/$Q$4/5,0)*5</f>
        <v>18335</v>
      </c>
      <c r="X37" s="139">
        <f>ROUND(INDEX(挂机升级突破!$DJ$6:$DJ$57,卡牌消耗!$T37)*INDEX(卡牌消耗!$B$8:$F$8,卡牌消耗!X$2)/$Q$4/5,0)*5</f>
        <v>24445</v>
      </c>
      <c r="Y37" s="142"/>
      <c r="Z37" s="196">
        <v>2</v>
      </c>
      <c r="AA37" s="196">
        <v>33</v>
      </c>
      <c r="AB37" s="14">
        <f>ROUND(INDEX(挂机升级突破!DT$6:DT$57,卡牌消耗!$AA37)*INDEX(卡牌消耗!$B$5:$F$5,卡牌消耗!$Z37)/卡牌消耗!$Q$4/AB$2,0)*AB$2</f>
        <v>0</v>
      </c>
      <c r="AC37" s="14">
        <f>ROUND(INDEX(挂机升级突破!DU$6:DU$57,卡牌消耗!$AA37)*INDEX(卡牌消耗!$B$5:$F$5,卡牌消耗!$Z37)/卡牌消耗!$Q$4/AC$2,0)*AC$2</f>
        <v>0</v>
      </c>
      <c r="AD37" s="14">
        <f>ROUND(INDEX(挂机升级突破!DV$6:DV$57,卡牌消耗!$AA37)*INDEX(卡牌消耗!$B$5:$F$5,卡牌消耗!$Z37)/卡牌消耗!$Q$4/AD$2,0)*AD$2</f>
        <v>0</v>
      </c>
      <c r="AE37" s="14">
        <f>ROUND(INDEX(挂机升级突破!DW$6:DW$57,卡牌消耗!$AA37)*INDEX(卡牌消耗!$B$5:$F$5,卡牌消耗!$Z37)/卡牌消耗!$Q$4/AE$2,0)*AE$2</f>
        <v>20</v>
      </c>
      <c r="AF37" s="14">
        <f>ROUND(INDEX(挂机升级突破!DX$6:DX$57,卡牌消耗!$AA37)*INDEX(卡牌消耗!$B$5:$F$5,卡牌消耗!$Z37)/卡牌消耗!$Q$4/AF$2,0)*AF$2</f>
        <v>0</v>
      </c>
      <c r="AG37" s="14">
        <f>ROUND(INDEX(挂机升级突破!EC$6:EC$57,卡牌消耗!$AA37)*INDEX(卡牌消耗!$B$7:$F$7,卡牌消耗!$Z37)/卡牌消耗!$Q$4/AG$2,0)*AG$2</f>
        <v>1</v>
      </c>
      <c r="AH37" s="14">
        <f>ROUND(INDEX(挂机升级突破!ED$6:ED$57,卡牌消耗!$AA37)*INDEX(卡牌消耗!$B$8:$F$8,卡牌消耗!$Z37)/卡牌消耗!$Q$4/AH$2,0)*AH$2</f>
        <v>8550</v>
      </c>
      <c r="AI37" s="195"/>
      <c r="AJ37" s="195"/>
      <c r="AK37" s="104">
        <v>33</v>
      </c>
      <c r="AL37" s="14">
        <f t="shared" si="6"/>
        <v>1</v>
      </c>
      <c r="AM37" s="14">
        <f>INDEX(挂机升级突破!DQ$6:DQ$57,卡牌消耗!$AT37)</f>
        <v>11</v>
      </c>
      <c r="AN37" s="14">
        <f>INDEX(挂机升级突破!DR$6:DR$57,卡牌消耗!$AT37)</f>
        <v>4</v>
      </c>
      <c r="AO37" s="14">
        <f>INDEX(挂机升级突破!DS$6:DS$57,卡牌消耗!$AT37)</f>
        <v>0</v>
      </c>
      <c r="AP37" s="14">
        <f>INDEX(挂机升级突破!$DP$6:$DP$57,卡牌消耗!AT37)</f>
        <v>100</v>
      </c>
      <c r="AQ37" s="14" t="str">
        <f t="shared" si="7"/>
        <v>关羽</v>
      </c>
      <c r="AR37" s="14">
        <f t="shared" si="8"/>
        <v>5</v>
      </c>
      <c r="AS37" s="14" t="str">
        <f t="shared" si="9"/>
        <v>关羽魂火-33</v>
      </c>
      <c r="AT37" s="14">
        <f t="shared" si="10"/>
        <v>33</v>
      </c>
      <c r="AU37" s="14" t="str">
        <f>IF(AM37&gt;0,INDEX(挂机升级突破!$DT$4:$ED$4,AM37),"")</f>
        <v>金币</v>
      </c>
      <c r="AV37" s="14">
        <f>ROUND(INDEX(挂机升级突破!$DJ$6:$DJ$57,卡牌消耗!AT37)*INDEX(卡牌消耗!$B$8:$F$8,AR37)/$Q$4/50,0)*50</f>
        <v>24450</v>
      </c>
      <c r="AW37" s="14" t="str">
        <f>IF(AN37&gt;0,INDEX(挂机升级突破!$DT$4:$ED$4,AN37),"")</f>
        <v>橙色基础材料</v>
      </c>
      <c r="AX37" s="14">
        <f>ROUND(INDEX(挂机升级突破!$DT$6:$ED$57,卡牌消耗!AT37,AN37)*INDEX(卡牌消耗!$B$5:$F$5,AR37)/$Q$4/5,0)*5</f>
        <v>40</v>
      </c>
      <c r="AY37" s="14" t="str">
        <f>IF(AO37&gt;0,INDEX(挂机升级突破!$DT$4:$ED$4,AO37),"")</f>
        <v/>
      </c>
      <c r="AZ37" s="14" t="str">
        <f>IF(AO37&gt;0,ROUND(INDEX(挂机升级突破!$DT$6:$ED$57,卡牌消耗!AT37,AO37)*INDEX(卡牌消耗!$B$7:$F$7,AR37)/$Q$4,0),"")</f>
        <v/>
      </c>
      <c r="BA37" s="105"/>
      <c r="BB37" s="198"/>
      <c r="BC37" s="196">
        <v>3</v>
      </c>
      <c r="BD37" s="196">
        <v>13</v>
      </c>
      <c r="BE37" s="14">
        <f>ROUND(INDEX(挂机升级突破!ER$7:ER$26,卡牌消耗!$BD37)*INDEX(卡牌消耗!$B$6:$F$6,$BC37)/$Q$4,0)</f>
        <v>0</v>
      </c>
      <c r="BF37" s="14">
        <f>ROUND(INDEX(挂机升级突破!ES$7:ES$26,卡牌消耗!$BD37)*INDEX(卡牌消耗!$B$6:$F$6,$BC37)/$Q$4,0)</f>
        <v>0</v>
      </c>
      <c r="BG37" s="14">
        <f>ROUND(INDEX(挂机升级突破!ET$7:ET$26,卡牌消耗!$BD37)*INDEX(卡牌消耗!$B$6:$F$6,$BC37)/$Q$4,0)</f>
        <v>38</v>
      </c>
      <c r="BH37" s="14">
        <f>ROUND(INDEX(挂机升级突破!EU$7:EU$26,卡牌消耗!$BD37)*INDEX(卡牌消耗!$B$6:$F$6,$BC37)/$Q$4,0)</f>
        <v>0</v>
      </c>
      <c r="BI37" s="14">
        <f>ROUND(INDEX(挂机升级突破!$EV$7:$EV$26,卡牌消耗!BD37)*INDEX(卡牌消耗!$B$8:$F$8,$BC37)/$Q$4/BI$2,0)*BI$2</f>
        <v>33500</v>
      </c>
      <c r="BJ37" s="198"/>
      <c r="BK37" s="198"/>
      <c r="BL37" s="104">
        <v>33</v>
      </c>
      <c r="BM37" s="14">
        <f t="shared" si="11"/>
        <v>2</v>
      </c>
      <c r="BN37" s="14">
        <f>INDEX(挂机升级突破!$EI$7:$EI$26,BS37)</f>
        <v>5</v>
      </c>
      <c r="BO37" s="14">
        <f>INDEX(挂机升级突破!$EJ$7:$EJ$26,BS37)</f>
        <v>3</v>
      </c>
      <c r="BP37" s="14">
        <f t="shared" si="12"/>
        <v>3</v>
      </c>
      <c r="BQ37" s="14">
        <f>INDEX(挂机升级突破!$EH$7:$EH$26,卡牌消耗!BS37)</f>
        <v>87</v>
      </c>
      <c r="BR37" s="14" t="str">
        <f t="shared" si="13"/>
        <v>许褚</v>
      </c>
      <c r="BS37" s="14">
        <f t="shared" si="14"/>
        <v>13</v>
      </c>
      <c r="BT37" s="14" t="str">
        <f t="shared" si="15"/>
        <v>许褚13突</v>
      </c>
      <c r="BU37" s="14" t="str">
        <f>IF(BN37&gt;0,INDEX(挂机升级突破!$ER$5:$EV$5,卡牌消耗!BN37),"")</f>
        <v>金币</v>
      </c>
      <c r="BV37" s="14">
        <f>IF(BN37&gt;0,ROUND(INDEX(挂机升级突破!$EV$7:$EV$26,卡牌消耗!BS37)*INDEX(卡牌消耗!$B$8:$F$8,BP37)/$Q$4/500,0)*500,"")</f>
        <v>33500</v>
      </c>
      <c r="BW37" s="14" t="str">
        <f>IF(BO37&gt;0,INDEX(挂机升级突破!$ER$5:$EV$5,卡牌消耗!BO37),"")</f>
        <v>银母</v>
      </c>
      <c r="BX37" s="14">
        <f>IF(BO37&gt;0,ROUND(INDEX(挂机升级突破!$ER$7:$EU$26,卡牌消耗!BS37,卡牌消耗!BO37)*INDEX($B$6:$F$6,BP37)/$Q$4/5,0)*5,"")</f>
        <v>40</v>
      </c>
      <c r="BY37" s="193"/>
      <c r="BZ37" s="193"/>
      <c r="CA37" s="105"/>
      <c r="CE37" s="171"/>
      <c r="CF37" s="171"/>
      <c r="CL37" s="171"/>
      <c r="CM37" s="171"/>
      <c r="CS37" s="171"/>
      <c r="CT37" s="171"/>
      <c r="CU37" s="171"/>
      <c r="CV37" s="169">
        <v>33</v>
      </c>
      <c r="CW37" s="169">
        <v>5.75</v>
      </c>
      <c r="CX37" s="21">
        <f>CW37/$CU36</f>
        <v>0.20909090909090908</v>
      </c>
      <c r="CY37" s="169">
        <f t="shared" ref="CY37" si="37">INT($CU35*CX37/5)*5</f>
        <v>8525</v>
      </c>
      <c r="CZ37" s="169">
        <f>SUM(CY$5:CY37)</f>
        <v>99240</v>
      </c>
      <c r="DB37" s="188">
        <f t="shared" si="20"/>
        <v>4250</v>
      </c>
      <c r="DC37" s="188">
        <f t="shared" si="20"/>
        <v>6800</v>
      </c>
      <c r="DD37" s="188">
        <f t="shared" si="20"/>
        <v>8500</v>
      </c>
      <c r="DE37" s="188">
        <f t="shared" si="20"/>
        <v>10200</v>
      </c>
      <c r="DF37" s="188">
        <f t="shared" si="20"/>
        <v>12750</v>
      </c>
      <c r="DG37" s="171"/>
      <c r="DI37" s="186">
        <v>33</v>
      </c>
      <c r="DJ37" s="14">
        <f t="shared" si="21"/>
        <v>7</v>
      </c>
      <c r="DK37" s="14">
        <f t="shared" si="1"/>
        <v>4</v>
      </c>
      <c r="DL37" s="14">
        <f t="shared" si="2"/>
        <v>1101007</v>
      </c>
      <c r="DM37" s="136" t="s">
        <v>1097</v>
      </c>
      <c r="DN37" s="14">
        <f t="shared" si="3"/>
        <v>3</v>
      </c>
      <c r="DO37" s="14" t="str">
        <f t="shared" si="4"/>
        <v>战斗曹焱兵-3星</v>
      </c>
      <c r="DP37" s="136" t="s">
        <v>1103</v>
      </c>
      <c r="DQ37" s="14">
        <f t="shared" si="22"/>
        <v>14000</v>
      </c>
      <c r="DR37" s="14" t="str">
        <f t="shared" si="5"/>
        <v>战斗曹焱兵碎片</v>
      </c>
      <c r="DS37" s="14">
        <f t="shared" si="23"/>
        <v>80</v>
      </c>
    </row>
    <row r="38" spans="1:123" s="102" customFormat="1" ht="16.5" x14ac:dyDescent="0.2">
      <c r="A38" s="14">
        <v>1102028</v>
      </c>
      <c r="B38" s="14" t="s">
        <v>956</v>
      </c>
      <c r="C38" s="14">
        <v>5</v>
      </c>
      <c r="D38" s="14">
        <v>80</v>
      </c>
      <c r="E38" s="14">
        <v>1</v>
      </c>
      <c r="F38" s="101">
        <f t="shared" si="27"/>
        <v>1502028</v>
      </c>
      <c r="G38" s="15"/>
      <c r="O38" s="138"/>
      <c r="P38" s="142"/>
      <c r="Q38" s="142"/>
      <c r="R38" s="142"/>
      <c r="S38" s="142"/>
      <c r="T38" s="139">
        <v>34</v>
      </c>
      <c r="U38" s="139">
        <f>ROUND(INDEX(挂机升级突破!$DJ$6:$DJ$57,卡牌消耗!$T38)*INDEX(卡牌消耗!$B$8:$F$8,卡牌消耗!U$2)/$Q$4/5,0)*5</f>
        <v>8555</v>
      </c>
      <c r="V38" s="139">
        <f>ROUND(INDEX(挂机升级突破!$DJ$6:$DJ$57,卡牌消耗!$T38)*INDEX(卡牌消耗!$B$8:$F$8,卡牌消耗!V$2)/$Q$4/5,0)*5</f>
        <v>12220</v>
      </c>
      <c r="W38" s="139">
        <f>ROUND(INDEX(挂机升级突破!$DJ$6:$DJ$57,卡牌消耗!$T38)*INDEX(卡牌消耗!$B$8:$F$8,卡牌消耗!W$2)/$Q$4/5,0)*5</f>
        <v>18335</v>
      </c>
      <c r="X38" s="139">
        <f>ROUND(INDEX(挂机升级突破!$DJ$6:$DJ$57,卡牌消耗!$T38)*INDEX(卡牌消耗!$B$8:$F$8,卡牌消耗!X$2)/$Q$4/5,0)*5</f>
        <v>24445</v>
      </c>
      <c r="Y38" s="142"/>
      <c r="Z38" s="196">
        <v>2</v>
      </c>
      <c r="AA38" s="196">
        <v>34</v>
      </c>
      <c r="AB38" s="14">
        <f>ROUND(INDEX(挂机升级突破!DT$6:DT$57,卡牌消耗!$AA38)*INDEX(卡牌消耗!$B$5:$F$5,卡牌消耗!$Z38)/卡牌消耗!$Q$4/AB$2,0)*AB$2</f>
        <v>0</v>
      </c>
      <c r="AC38" s="14">
        <f>ROUND(INDEX(挂机升级突破!DU$6:DU$57,卡牌消耗!$AA38)*INDEX(卡牌消耗!$B$5:$F$5,卡牌消耗!$Z38)/卡牌消耗!$Q$4/AC$2,0)*AC$2</f>
        <v>0</v>
      </c>
      <c r="AD38" s="14">
        <f>ROUND(INDEX(挂机升级突破!DV$6:DV$57,卡牌消耗!$AA38)*INDEX(卡牌消耗!$B$5:$F$5,卡牌消耗!$Z38)/卡牌消耗!$Q$4/AD$2,0)*AD$2</f>
        <v>0</v>
      </c>
      <c r="AE38" s="14">
        <f>ROUND(INDEX(挂机升级突破!DW$6:DW$57,卡牌消耗!$AA38)*INDEX(卡牌消耗!$B$5:$F$5,卡牌消耗!$Z38)/卡牌消耗!$Q$4/AE$2,0)*AE$2</f>
        <v>25</v>
      </c>
      <c r="AF38" s="14">
        <f>ROUND(INDEX(挂机升级突破!DX$6:DX$57,卡牌消耗!$AA38)*INDEX(卡牌消耗!$B$5:$F$5,卡牌消耗!$Z38)/卡牌消耗!$Q$4/AF$2,0)*AF$2</f>
        <v>0</v>
      </c>
      <c r="AG38" s="14">
        <f>ROUND(INDEX(挂机升级突破!EC$6:EC$57,卡牌消耗!$AA38)*INDEX(卡牌消耗!$B$7:$F$7,卡牌消耗!$Z38)/卡牌消耗!$Q$4/AG$2,0)*AG$2</f>
        <v>1</v>
      </c>
      <c r="AH38" s="14">
        <f>ROUND(INDEX(挂机升级突破!ED$6:ED$57,卡牌消耗!$AA38)*INDEX(卡牌消耗!$B$8:$F$8,卡牌消耗!$Z38)/卡牌消耗!$Q$4/AH$2,0)*AH$2</f>
        <v>8550</v>
      </c>
      <c r="AI38" s="195"/>
      <c r="AJ38" s="195"/>
      <c r="AK38" s="104">
        <v>34</v>
      </c>
      <c r="AL38" s="14">
        <f t="shared" si="6"/>
        <v>1</v>
      </c>
      <c r="AM38" s="14">
        <f>INDEX(挂机升级突破!DQ$6:DQ$57,卡牌消耗!$AT38)</f>
        <v>11</v>
      </c>
      <c r="AN38" s="14">
        <f>INDEX(挂机升级突破!DR$6:DR$57,卡牌消耗!$AT38)</f>
        <v>4</v>
      </c>
      <c r="AO38" s="14">
        <f>INDEX(挂机升级突破!DS$6:DS$57,卡牌消耗!$AT38)</f>
        <v>0</v>
      </c>
      <c r="AP38" s="14">
        <f>INDEX(挂机升级突破!$DP$6:$DP$57,卡牌消耗!AT38)</f>
        <v>103</v>
      </c>
      <c r="AQ38" s="14" t="str">
        <f t="shared" si="7"/>
        <v>关羽</v>
      </c>
      <c r="AR38" s="14">
        <f t="shared" si="8"/>
        <v>5</v>
      </c>
      <c r="AS38" s="14" t="str">
        <f t="shared" si="9"/>
        <v>关羽魂火-34</v>
      </c>
      <c r="AT38" s="14">
        <f t="shared" si="10"/>
        <v>34</v>
      </c>
      <c r="AU38" s="14" t="str">
        <f>IF(AM38&gt;0,INDEX(挂机升级突破!$DT$4:$ED$4,AM38),"")</f>
        <v>金币</v>
      </c>
      <c r="AV38" s="14">
        <f>ROUND(INDEX(挂机升级突破!$DJ$6:$DJ$57,卡牌消耗!AT38)*INDEX(卡牌消耗!$B$8:$F$8,AR38)/$Q$4/50,0)*50</f>
        <v>24450</v>
      </c>
      <c r="AW38" s="14" t="str">
        <f>IF(AN38&gt;0,INDEX(挂机升级突破!$DT$4:$ED$4,AN38),"")</f>
        <v>橙色基础材料</v>
      </c>
      <c r="AX38" s="14">
        <f>ROUND(INDEX(挂机升级突破!$DT$6:$ED$57,卡牌消耗!AT38,AN38)*INDEX(卡牌消耗!$B$5:$F$5,AR38)/$Q$4/5,0)*5</f>
        <v>45</v>
      </c>
      <c r="AY38" s="14" t="str">
        <f>IF(AO38&gt;0,INDEX(挂机升级突破!$DT$4:$ED$4,AO38),"")</f>
        <v/>
      </c>
      <c r="AZ38" s="14" t="str">
        <f>IF(AO38&gt;0,ROUND(INDEX(挂机升级突破!$DT$6:$ED$57,卡牌消耗!AT38,AO38)*INDEX(卡牌消耗!$B$7:$F$7,AR38)/$Q$4,0),"")</f>
        <v/>
      </c>
      <c r="BA38" s="105"/>
      <c r="BB38" s="198"/>
      <c r="BC38" s="196">
        <v>3</v>
      </c>
      <c r="BD38" s="196">
        <v>14</v>
      </c>
      <c r="BE38" s="14">
        <f>ROUND(INDEX(挂机升级突破!ER$7:ER$26,卡牌消耗!$BD38)*INDEX(卡牌消耗!$B$6:$F$6,$BC38)/$Q$4,0)</f>
        <v>0</v>
      </c>
      <c r="BF38" s="14">
        <f>ROUND(INDEX(挂机升级突破!ES$7:ES$26,卡牌消耗!$BD38)*INDEX(卡牌消耗!$B$6:$F$6,$BC38)/$Q$4,0)</f>
        <v>0</v>
      </c>
      <c r="BG38" s="14">
        <f>ROUND(INDEX(挂机升级突破!ET$7:ET$26,卡牌消耗!$BD38)*INDEX(卡牌消耗!$B$6:$F$6,$BC38)/$Q$4,0)</f>
        <v>53</v>
      </c>
      <c r="BH38" s="14">
        <f>ROUND(INDEX(挂机升级突破!EU$7:EU$26,卡牌消耗!$BD38)*INDEX(卡牌消耗!$B$6:$F$6,$BC38)/$Q$4,0)</f>
        <v>0</v>
      </c>
      <c r="BI38" s="14">
        <f>ROUND(INDEX(挂机升级突破!$EV$7:$EV$26,卡牌消耗!BD38)*INDEX(卡牌消耗!$B$8:$F$8,$BC38)/$Q$4/BI$2,0)*BI$2</f>
        <v>33500</v>
      </c>
      <c r="BJ38" s="198"/>
      <c r="BK38" s="198"/>
      <c r="BL38" s="104">
        <v>34</v>
      </c>
      <c r="BM38" s="14">
        <f t="shared" si="11"/>
        <v>2</v>
      </c>
      <c r="BN38" s="14">
        <f>INDEX(挂机升级突破!$EI$7:$EI$26,BS38)</f>
        <v>5</v>
      </c>
      <c r="BO38" s="14">
        <f>INDEX(挂机升级突破!$EJ$7:$EJ$26,BS38)</f>
        <v>3</v>
      </c>
      <c r="BP38" s="14">
        <f t="shared" si="12"/>
        <v>3</v>
      </c>
      <c r="BQ38" s="14">
        <f>INDEX(挂机升级突破!$EH$7:$EH$26,卡牌消耗!BS38)</f>
        <v>95</v>
      </c>
      <c r="BR38" s="14" t="str">
        <f t="shared" si="13"/>
        <v>许褚</v>
      </c>
      <c r="BS38" s="14">
        <f t="shared" si="14"/>
        <v>14</v>
      </c>
      <c r="BT38" s="14" t="str">
        <f t="shared" si="15"/>
        <v>许褚14突</v>
      </c>
      <c r="BU38" s="14" t="str">
        <f>IF(BN38&gt;0,INDEX(挂机升级突破!$ER$5:$EV$5,卡牌消耗!BN38),"")</f>
        <v>金币</v>
      </c>
      <c r="BV38" s="14">
        <f>IF(BN38&gt;0,ROUND(INDEX(挂机升级突破!$EV$7:$EV$26,卡牌消耗!BS38)*INDEX(卡牌消耗!$B$8:$F$8,BP38)/$Q$4/500,0)*500,"")</f>
        <v>33500</v>
      </c>
      <c r="BW38" s="14" t="str">
        <f>IF(BO38&gt;0,INDEX(挂机升级突破!$ER$5:$EV$5,卡牌消耗!BO38),"")</f>
        <v>银母</v>
      </c>
      <c r="BX38" s="14">
        <f>IF(BO38&gt;0,ROUND(INDEX(挂机升级突破!$ER$7:$EU$26,卡牌消耗!BS38,卡牌消耗!BO38)*INDEX($B$6:$F$6,BP38)/$Q$4/5,0)*5,"")</f>
        <v>55</v>
      </c>
      <c r="BY38" s="193"/>
      <c r="BZ38" s="193"/>
      <c r="CA38" s="105"/>
      <c r="CE38" s="171"/>
      <c r="CF38" s="171"/>
      <c r="CL38" s="171"/>
      <c r="CM38" s="171"/>
      <c r="CS38" s="171"/>
      <c r="CT38" s="171"/>
      <c r="CU38" s="171"/>
      <c r="CV38" s="169">
        <v>34</v>
      </c>
      <c r="CW38" s="169">
        <v>6</v>
      </c>
      <c r="CX38" s="21">
        <f>CW38/$CU36</f>
        <v>0.21818181818181817</v>
      </c>
      <c r="CY38" s="169">
        <f t="shared" ref="CY38" si="38">INT($CU35*CX38/5)*5</f>
        <v>8895</v>
      </c>
      <c r="CZ38" s="169">
        <f>SUM(CY$5:CY38)</f>
        <v>108135</v>
      </c>
      <c r="DB38" s="188">
        <f t="shared" ref="DB38:DF69" si="39">INT($CY38*DB$3/50)*50</f>
        <v>4400</v>
      </c>
      <c r="DC38" s="188">
        <f t="shared" si="39"/>
        <v>7100</v>
      </c>
      <c r="DD38" s="188">
        <f t="shared" si="39"/>
        <v>8850</v>
      </c>
      <c r="DE38" s="188">
        <f t="shared" si="39"/>
        <v>10650</v>
      </c>
      <c r="DF38" s="188">
        <f t="shared" si="39"/>
        <v>13300</v>
      </c>
      <c r="DG38" s="171"/>
      <c r="DI38" s="186">
        <v>34</v>
      </c>
      <c r="DJ38" s="14">
        <f t="shared" si="21"/>
        <v>7</v>
      </c>
      <c r="DK38" s="14">
        <f t="shared" si="1"/>
        <v>4</v>
      </c>
      <c r="DL38" s="14">
        <f t="shared" si="2"/>
        <v>1101007</v>
      </c>
      <c r="DM38" s="136" t="s">
        <v>1097</v>
      </c>
      <c r="DN38" s="14">
        <f t="shared" si="3"/>
        <v>4</v>
      </c>
      <c r="DO38" s="14" t="str">
        <f t="shared" si="4"/>
        <v>战斗曹焱兵-4星</v>
      </c>
      <c r="DP38" s="136" t="s">
        <v>1103</v>
      </c>
      <c r="DQ38" s="14">
        <f t="shared" si="22"/>
        <v>32000</v>
      </c>
      <c r="DR38" s="14" t="str">
        <f t="shared" si="5"/>
        <v>战斗曹焱兵碎片</v>
      </c>
      <c r="DS38" s="14">
        <f t="shared" si="23"/>
        <v>80</v>
      </c>
    </row>
    <row r="39" spans="1:123" s="102" customFormat="1" ht="16.5" x14ac:dyDescent="0.2">
      <c r="A39" s="14">
        <v>1102030</v>
      </c>
      <c r="B39" s="14" t="s">
        <v>957</v>
      </c>
      <c r="C39" s="14">
        <v>3</v>
      </c>
      <c r="D39" s="14">
        <v>40</v>
      </c>
      <c r="E39" s="14">
        <v>3</v>
      </c>
      <c r="F39" s="101">
        <f t="shared" si="27"/>
        <v>1502030</v>
      </c>
      <c r="G39" s="15"/>
      <c r="O39" s="138"/>
      <c r="P39" s="142"/>
      <c r="Q39" s="142"/>
      <c r="R39" s="142"/>
      <c r="S39" s="142"/>
      <c r="T39" s="139">
        <v>35</v>
      </c>
      <c r="U39" s="139">
        <f>ROUND(INDEX(挂机升级突破!$DJ$6:$DJ$57,卡牌消耗!$T39)*INDEX(卡牌消耗!$B$8:$F$8,卡牌消耗!U$2)/$Q$4/5,0)*5</f>
        <v>10890</v>
      </c>
      <c r="V39" s="139">
        <f>ROUND(INDEX(挂机升级突破!$DJ$6:$DJ$57,卡牌消耗!$T39)*INDEX(卡牌消耗!$B$8:$F$8,卡牌消耗!V$2)/$Q$4/5,0)*5</f>
        <v>15555</v>
      </c>
      <c r="W39" s="139">
        <f>ROUND(INDEX(挂机升级突破!$DJ$6:$DJ$57,卡牌消耗!$T39)*INDEX(卡牌消耗!$B$8:$F$8,卡牌消耗!W$2)/$Q$4/5,0)*5</f>
        <v>23330</v>
      </c>
      <c r="X39" s="139">
        <f>ROUND(INDEX(挂机升级突破!$DJ$6:$DJ$57,卡牌消耗!$T39)*INDEX(卡牌消耗!$B$8:$F$8,卡牌消耗!X$2)/$Q$4/5,0)*5</f>
        <v>31110</v>
      </c>
      <c r="Y39" s="142"/>
      <c r="Z39" s="196">
        <v>2</v>
      </c>
      <c r="AA39" s="196">
        <v>35</v>
      </c>
      <c r="AB39" s="14">
        <f>ROUND(INDEX(挂机升级突破!DT$6:DT$57,卡牌消耗!$AA39)*INDEX(卡牌消耗!$B$5:$F$5,卡牌消耗!$Z39)/卡牌消耗!$Q$4/AB$2,0)*AB$2</f>
        <v>0</v>
      </c>
      <c r="AC39" s="14">
        <f>ROUND(INDEX(挂机升级突破!DU$6:DU$57,卡牌消耗!$AA39)*INDEX(卡牌消耗!$B$5:$F$5,卡牌消耗!$Z39)/卡牌消耗!$Q$4/AC$2,0)*AC$2</f>
        <v>0</v>
      </c>
      <c r="AD39" s="14">
        <f>ROUND(INDEX(挂机升级突破!DV$6:DV$57,卡牌消耗!$AA39)*INDEX(卡牌消耗!$B$5:$F$5,卡牌消耗!$Z39)/卡牌消耗!$Q$4/AD$2,0)*AD$2</f>
        <v>0</v>
      </c>
      <c r="AE39" s="14">
        <f>ROUND(INDEX(挂机升级突破!DW$6:DW$57,卡牌消耗!$AA39)*INDEX(卡牌消耗!$B$5:$F$5,卡牌消耗!$Z39)/卡牌消耗!$Q$4/AE$2,0)*AE$2</f>
        <v>25</v>
      </c>
      <c r="AF39" s="14">
        <f>ROUND(INDEX(挂机升级突破!DX$6:DX$57,卡牌消耗!$AA39)*INDEX(卡牌消耗!$B$5:$F$5,卡牌消耗!$Z39)/卡牌消耗!$Q$4/AF$2,0)*AF$2</f>
        <v>0</v>
      </c>
      <c r="AG39" s="14">
        <f>ROUND(INDEX(挂机升级突破!EC$6:EC$57,卡牌消耗!$AA39)*INDEX(卡牌消耗!$B$7:$F$7,卡牌消耗!$Z39)/卡牌消耗!$Q$4/AG$2,0)*AG$2</f>
        <v>1</v>
      </c>
      <c r="AH39" s="14">
        <f>ROUND(INDEX(挂机升级突破!ED$6:ED$57,卡牌消耗!$AA39)*INDEX(卡牌消耗!$B$8:$F$8,卡牌消耗!$Z39)/卡牌消耗!$Q$4/AH$2,0)*AH$2</f>
        <v>10900</v>
      </c>
      <c r="AI39" s="195"/>
      <c r="AJ39" s="195"/>
      <c r="AK39" s="104">
        <v>35</v>
      </c>
      <c r="AL39" s="14">
        <f t="shared" si="6"/>
        <v>1</v>
      </c>
      <c r="AM39" s="14">
        <f>INDEX(挂机升级突破!DQ$6:DQ$57,卡牌消耗!$AT39)</f>
        <v>11</v>
      </c>
      <c r="AN39" s="14">
        <f>INDEX(挂机升级突破!DR$6:DR$57,卡牌消耗!$AT39)</f>
        <v>4</v>
      </c>
      <c r="AO39" s="14">
        <f>INDEX(挂机升级突破!DS$6:DS$57,卡牌消耗!$AT39)</f>
        <v>0</v>
      </c>
      <c r="AP39" s="14">
        <f>INDEX(挂机升级突破!$DP$6:$DP$57,卡牌消耗!AT39)</f>
        <v>105</v>
      </c>
      <c r="AQ39" s="14" t="str">
        <f t="shared" si="7"/>
        <v>关羽</v>
      </c>
      <c r="AR39" s="14">
        <f t="shared" si="8"/>
        <v>5</v>
      </c>
      <c r="AS39" s="14" t="str">
        <f t="shared" si="9"/>
        <v>关羽魂火-35</v>
      </c>
      <c r="AT39" s="14">
        <f t="shared" si="10"/>
        <v>35</v>
      </c>
      <c r="AU39" s="14" t="str">
        <f>IF(AM39&gt;0,INDEX(挂机升级突破!$DT$4:$ED$4,AM39),"")</f>
        <v>金币</v>
      </c>
      <c r="AV39" s="14">
        <f>ROUND(INDEX(挂机升级突破!$DJ$6:$DJ$57,卡牌消耗!AT39)*INDEX(卡牌消耗!$B$8:$F$8,AR39)/$Q$4/50,0)*50</f>
        <v>31100</v>
      </c>
      <c r="AW39" s="14" t="str">
        <f>IF(AN39&gt;0,INDEX(挂机升级突破!$DT$4:$ED$4,AN39),"")</f>
        <v>橙色基础材料</v>
      </c>
      <c r="AX39" s="14">
        <f>ROUND(INDEX(挂机升级突破!$DT$6:$ED$57,卡牌消耗!AT39,AN39)*INDEX(卡牌消耗!$B$5:$F$5,AR39)/$Q$4/5,0)*5</f>
        <v>45</v>
      </c>
      <c r="AY39" s="14" t="str">
        <f>IF(AO39&gt;0,INDEX(挂机升级突破!$DT$4:$ED$4,AO39),"")</f>
        <v/>
      </c>
      <c r="AZ39" s="14" t="str">
        <f>IF(AO39&gt;0,ROUND(INDEX(挂机升级突破!$DT$6:$ED$57,卡牌消耗!AT39,AO39)*INDEX(卡牌消耗!$B$7:$F$7,AR39)/$Q$4,0),"")</f>
        <v/>
      </c>
      <c r="BA39" s="105"/>
      <c r="BB39" s="198"/>
      <c r="BC39" s="196">
        <v>3</v>
      </c>
      <c r="BD39" s="196">
        <v>15</v>
      </c>
      <c r="BE39" s="14">
        <f>ROUND(INDEX(挂机升级突破!ER$7:ER$26,卡牌消耗!$BD39)*INDEX(卡牌消耗!$B$6:$F$6,$BC39)/$Q$4,0)</f>
        <v>0</v>
      </c>
      <c r="BF39" s="14">
        <f>ROUND(INDEX(挂机升级突破!ES$7:ES$26,卡牌消耗!$BD39)*INDEX(卡牌消耗!$B$6:$F$6,$BC39)/$Q$4,0)</f>
        <v>0</v>
      </c>
      <c r="BG39" s="14">
        <f>ROUND(INDEX(挂机升级突破!ET$7:ET$26,卡牌消耗!$BD39)*INDEX(卡牌消耗!$B$6:$F$6,$BC39)/$Q$4,0)</f>
        <v>71</v>
      </c>
      <c r="BH39" s="14">
        <f>ROUND(INDEX(挂机升级突破!EU$7:EU$26,卡牌消耗!$BD39)*INDEX(卡牌消耗!$B$6:$F$6,$BC39)/$Q$4,0)</f>
        <v>0</v>
      </c>
      <c r="BI39" s="14">
        <f>ROUND(INDEX(挂机升级突破!$EV$7:$EV$26,卡牌消耗!BD39)*INDEX(卡牌消耗!$B$8:$F$8,$BC39)/$Q$4/BI$2,0)*BI$2</f>
        <v>44500</v>
      </c>
      <c r="BJ39" s="198"/>
      <c r="BK39" s="198"/>
      <c r="BL39" s="104">
        <v>35</v>
      </c>
      <c r="BM39" s="14">
        <f t="shared" si="11"/>
        <v>2</v>
      </c>
      <c r="BN39" s="14">
        <f>INDEX(挂机升级突破!$EI$7:$EI$26,BS39)</f>
        <v>5</v>
      </c>
      <c r="BO39" s="14">
        <f>INDEX(挂机升级突破!$EJ$7:$EJ$26,BS39)</f>
        <v>3</v>
      </c>
      <c r="BP39" s="14">
        <f t="shared" si="12"/>
        <v>3</v>
      </c>
      <c r="BQ39" s="14">
        <f>INDEX(挂机升级突破!$EH$7:$EH$26,卡牌消耗!BS39)</f>
        <v>102</v>
      </c>
      <c r="BR39" s="14" t="str">
        <f t="shared" si="13"/>
        <v>许褚</v>
      </c>
      <c r="BS39" s="14">
        <f t="shared" si="14"/>
        <v>15</v>
      </c>
      <c r="BT39" s="14" t="str">
        <f t="shared" si="15"/>
        <v>许褚15突</v>
      </c>
      <c r="BU39" s="14" t="str">
        <f>IF(BN39&gt;0,INDEX(挂机升级突破!$ER$5:$EV$5,卡牌消耗!BN39),"")</f>
        <v>金币</v>
      </c>
      <c r="BV39" s="14">
        <f>IF(BN39&gt;0,ROUND(INDEX(挂机升级突破!$EV$7:$EV$26,卡牌消耗!BS39)*INDEX(卡牌消耗!$B$8:$F$8,BP39)/$Q$4/500,0)*500,"")</f>
        <v>44500</v>
      </c>
      <c r="BW39" s="14" t="str">
        <f>IF(BO39&gt;0,INDEX(挂机升级突破!$ER$5:$EV$5,卡牌消耗!BO39),"")</f>
        <v>银母</v>
      </c>
      <c r="BX39" s="14">
        <f>IF(BO39&gt;0,ROUND(INDEX(挂机升级突破!$ER$7:$EU$26,卡牌消耗!BS39,卡牌消耗!BO39)*INDEX($B$6:$F$6,BP39)/$Q$4/5,0)*5,"")</f>
        <v>70</v>
      </c>
      <c r="BY39" s="193"/>
      <c r="BZ39" s="193"/>
      <c r="CA39" s="105"/>
      <c r="CE39" s="171"/>
      <c r="CF39" s="171"/>
      <c r="CL39" s="171"/>
      <c r="CM39" s="171"/>
      <c r="CS39" s="171"/>
      <c r="CT39" s="173" t="s">
        <v>120</v>
      </c>
      <c r="CU39" s="169">
        <v>6</v>
      </c>
      <c r="CV39" s="169">
        <v>35</v>
      </c>
      <c r="CW39" s="169">
        <v>5</v>
      </c>
      <c r="CX39" s="21">
        <f>CW39/$CU41</f>
        <v>0.18181818181818182</v>
      </c>
      <c r="CY39" s="169">
        <f t="shared" ref="CY39" si="40">INT($CU40*CX39/5)*5</f>
        <v>7605</v>
      </c>
      <c r="CZ39" s="169">
        <f>SUM(CY$5:CY39)</f>
        <v>115740</v>
      </c>
      <c r="DB39" s="188">
        <f t="shared" si="39"/>
        <v>3800</v>
      </c>
      <c r="DC39" s="188">
        <f t="shared" si="39"/>
        <v>6050</v>
      </c>
      <c r="DD39" s="188">
        <f t="shared" si="39"/>
        <v>7600</v>
      </c>
      <c r="DE39" s="188">
        <f t="shared" si="39"/>
        <v>9100</v>
      </c>
      <c r="DF39" s="188">
        <f t="shared" si="39"/>
        <v>11400</v>
      </c>
      <c r="DG39" s="171"/>
      <c r="DI39" s="186">
        <v>35</v>
      </c>
      <c r="DJ39" s="14">
        <f t="shared" si="21"/>
        <v>7</v>
      </c>
      <c r="DK39" s="14">
        <f t="shared" si="1"/>
        <v>4</v>
      </c>
      <c r="DL39" s="14">
        <f t="shared" si="2"/>
        <v>1101007</v>
      </c>
      <c r="DM39" s="136" t="s">
        <v>1097</v>
      </c>
      <c r="DN39" s="14">
        <f t="shared" si="3"/>
        <v>5</v>
      </c>
      <c r="DO39" s="14" t="str">
        <f t="shared" si="4"/>
        <v>战斗曹焱兵-5星</v>
      </c>
      <c r="DP39" s="136" t="s">
        <v>1103</v>
      </c>
      <c r="DQ39" s="14">
        <f t="shared" si="22"/>
        <v>60000</v>
      </c>
      <c r="DR39" s="14" t="str">
        <f t="shared" si="5"/>
        <v>战斗曹焱兵碎片</v>
      </c>
      <c r="DS39" s="14">
        <f t="shared" si="23"/>
        <v>80</v>
      </c>
    </row>
    <row r="40" spans="1:123" s="102" customFormat="1" ht="16.5" x14ac:dyDescent="0.2">
      <c r="A40" s="14">
        <v>1102031</v>
      </c>
      <c r="B40" s="14" t="s">
        <v>958</v>
      </c>
      <c r="C40" s="14">
        <v>4</v>
      </c>
      <c r="D40" s="14">
        <v>80</v>
      </c>
      <c r="E40" s="14">
        <v>2</v>
      </c>
      <c r="F40" s="101">
        <f t="shared" si="27"/>
        <v>1502031</v>
      </c>
      <c r="G40" s="15"/>
      <c r="O40" s="138"/>
      <c r="P40" s="142"/>
      <c r="Q40" s="142"/>
      <c r="R40" s="142"/>
      <c r="S40" s="142"/>
      <c r="T40" s="139">
        <v>36</v>
      </c>
      <c r="U40" s="139">
        <f>ROUND(INDEX(挂机升级突破!$DJ$6:$DJ$57,卡牌消耗!$T40)*INDEX(卡牌消耗!$B$8:$F$8,卡牌消耗!U$2)/$Q$4/5,0)*5</f>
        <v>10890</v>
      </c>
      <c r="V40" s="139">
        <f>ROUND(INDEX(挂机升级突破!$DJ$6:$DJ$57,卡牌消耗!$T40)*INDEX(卡牌消耗!$B$8:$F$8,卡牌消耗!V$2)/$Q$4/5,0)*5</f>
        <v>15555</v>
      </c>
      <c r="W40" s="139">
        <f>ROUND(INDEX(挂机升级突破!$DJ$6:$DJ$57,卡牌消耗!$T40)*INDEX(卡牌消耗!$B$8:$F$8,卡牌消耗!W$2)/$Q$4/5,0)*5</f>
        <v>23330</v>
      </c>
      <c r="X40" s="139">
        <f>ROUND(INDEX(挂机升级突破!$DJ$6:$DJ$57,卡牌消耗!$T40)*INDEX(卡牌消耗!$B$8:$F$8,卡牌消耗!X$2)/$Q$4/5,0)*5</f>
        <v>31110</v>
      </c>
      <c r="Y40" s="142"/>
      <c r="Z40" s="196">
        <v>2</v>
      </c>
      <c r="AA40" s="196">
        <v>36</v>
      </c>
      <c r="AB40" s="14">
        <f>ROUND(INDEX(挂机升级突破!DT$6:DT$57,卡牌消耗!$AA40)*INDEX(卡牌消耗!$B$5:$F$5,卡牌消耗!$Z40)/卡牌消耗!$Q$4/AB$2,0)*AB$2</f>
        <v>0</v>
      </c>
      <c r="AC40" s="14">
        <f>ROUND(INDEX(挂机升级突破!DU$6:DU$57,卡牌消耗!$AA40)*INDEX(卡牌消耗!$B$5:$F$5,卡牌消耗!$Z40)/卡牌消耗!$Q$4/AC$2,0)*AC$2</f>
        <v>0</v>
      </c>
      <c r="AD40" s="14">
        <f>ROUND(INDEX(挂机升级突破!DV$6:DV$57,卡牌消耗!$AA40)*INDEX(卡牌消耗!$B$5:$F$5,卡牌消耗!$Z40)/卡牌消耗!$Q$4/AD$2,0)*AD$2</f>
        <v>0</v>
      </c>
      <c r="AE40" s="14">
        <f>ROUND(INDEX(挂机升级突破!DW$6:DW$57,卡牌消耗!$AA40)*INDEX(卡牌消耗!$B$5:$F$5,卡牌消耗!$Z40)/卡牌消耗!$Q$4/AE$2,0)*AE$2</f>
        <v>25</v>
      </c>
      <c r="AF40" s="14">
        <f>ROUND(INDEX(挂机升级突破!DX$6:DX$57,卡牌消耗!$AA40)*INDEX(卡牌消耗!$B$5:$F$5,卡牌消耗!$Z40)/卡牌消耗!$Q$4/AF$2,0)*AF$2</f>
        <v>0</v>
      </c>
      <c r="AG40" s="14">
        <f>ROUND(INDEX(挂机升级突破!EC$6:EC$57,卡牌消耗!$AA40)*INDEX(卡牌消耗!$B$7:$F$7,卡牌消耗!$Z40)/卡牌消耗!$Q$4/AG$2,0)*AG$2</f>
        <v>1</v>
      </c>
      <c r="AH40" s="14">
        <f>ROUND(INDEX(挂机升级突破!ED$6:ED$57,卡牌消耗!$AA40)*INDEX(卡牌消耗!$B$8:$F$8,卡牌消耗!$Z40)/卡牌消耗!$Q$4/AH$2,0)*AH$2</f>
        <v>10900</v>
      </c>
      <c r="AI40" s="195"/>
      <c r="AJ40" s="195"/>
      <c r="AK40" s="104">
        <v>36</v>
      </c>
      <c r="AL40" s="14">
        <f t="shared" si="6"/>
        <v>1</v>
      </c>
      <c r="AM40" s="14">
        <f>INDEX(挂机升级突破!DQ$6:DQ$57,卡牌消耗!$AT40)</f>
        <v>11</v>
      </c>
      <c r="AN40" s="14">
        <f>INDEX(挂机升级突破!DR$6:DR$57,卡牌消耗!$AT40)</f>
        <v>4</v>
      </c>
      <c r="AO40" s="14">
        <f>INDEX(挂机升级突破!DS$6:DS$57,卡牌消耗!$AT40)</f>
        <v>0</v>
      </c>
      <c r="AP40" s="14">
        <f>INDEX(挂机升级突破!$DP$6:$DP$57,卡牌消耗!AT40)</f>
        <v>108</v>
      </c>
      <c r="AQ40" s="14" t="str">
        <f t="shared" si="7"/>
        <v>关羽</v>
      </c>
      <c r="AR40" s="14">
        <f t="shared" si="8"/>
        <v>5</v>
      </c>
      <c r="AS40" s="14" t="str">
        <f t="shared" si="9"/>
        <v>关羽魂火-36</v>
      </c>
      <c r="AT40" s="14">
        <f t="shared" si="10"/>
        <v>36</v>
      </c>
      <c r="AU40" s="14" t="str">
        <f>IF(AM40&gt;0,INDEX(挂机升级突破!$DT$4:$ED$4,AM40),"")</f>
        <v>金币</v>
      </c>
      <c r="AV40" s="14">
        <f>ROUND(INDEX(挂机升级突破!$DJ$6:$DJ$57,卡牌消耗!AT40)*INDEX(卡牌消耗!$B$8:$F$8,AR40)/$Q$4/50,0)*50</f>
        <v>31100</v>
      </c>
      <c r="AW40" s="14" t="str">
        <f>IF(AN40&gt;0,INDEX(挂机升级突破!$DT$4:$ED$4,AN40),"")</f>
        <v>橙色基础材料</v>
      </c>
      <c r="AX40" s="14">
        <f>ROUND(INDEX(挂机升级突破!$DT$6:$ED$57,卡牌消耗!AT40,AN40)*INDEX(卡牌消耗!$B$5:$F$5,AR40)/$Q$4/5,0)*5</f>
        <v>45</v>
      </c>
      <c r="AY40" s="14" t="str">
        <f>IF(AO40&gt;0,INDEX(挂机升级突破!$DT$4:$ED$4,AO40),"")</f>
        <v/>
      </c>
      <c r="AZ40" s="14" t="str">
        <f>IF(AO40&gt;0,ROUND(INDEX(挂机升级突破!$DT$6:$ED$57,卡牌消耗!AT40,AO40)*INDEX(卡牌消耗!$B$7:$F$7,AR40)/$Q$4,0),"")</f>
        <v/>
      </c>
      <c r="BA40" s="105"/>
      <c r="BB40" s="198"/>
      <c r="BC40" s="196">
        <v>3</v>
      </c>
      <c r="BD40" s="196">
        <v>16</v>
      </c>
      <c r="BE40" s="14">
        <f>ROUND(INDEX(挂机升级突破!ER$7:ER$26,卡牌消耗!$BD40)*INDEX(卡牌消耗!$B$6:$F$6,$BC40)/$Q$4,0)</f>
        <v>0</v>
      </c>
      <c r="BF40" s="14">
        <f>ROUND(INDEX(挂机升级突破!ES$7:ES$26,卡牌消耗!$BD40)*INDEX(卡牌消耗!$B$6:$F$6,$BC40)/$Q$4,0)</f>
        <v>0</v>
      </c>
      <c r="BG40" s="14">
        <f>ROUND(INDEX(挂机升级突破!ET$7:ET$26,卡牌消耗!$BD40)*INDEX(卡牌消耗!$B$6:$F$6,$BC40)/$Q$4,0)</f>
        <v>92</v>
      </c>
      <c r="BH40" s="14">
        <f>ROUND(INDEX(挂机升级突破!EU$7:EU$26,卡牌消耗!$BD40)*INDEX(卡牌消耗!$B$6:$F$6,$BC40)/$Q$4,0)</f>
        <v>0</v>
      </c>
      <c r="BI40" s="14">
        <f>ROUND(INDEX(挂机升级突破!$EV$7:$EV$26,卡牌消耗!BD40)*INDEX(卡牌消耗!$B$8:$F$8,$BC40)/$Q$4/BI$2,0)*BI$2</f>
        <v>80500</v>
      </c>
      <c r="BJ40" s="198"/>
      <c r="BK40" s="198"/>
      <c r="BL40" s="104">
        <v>36</v>
      </c>
      <c r="BM40" s="14">
        <f t="shared" si="11"/>
        <v>2</v>
      </c>
      <c r="BN40" s="14">
        <f>INDEX(挂机升级突破!$EI$7:$EI$26,BS40)</f>
        <v>5</v>
      </c>
      <c r="BO40" s="14">
        <f>INDEX(挂机升级突破!$EJ$7:$EJ$26,BS40)</f>
        <v>3</v>
      </c>
      <c r="BP40" s="14">
        <f t="shared" si="12"/>
        <v>3</v>
      </c>
      <c r="BQ40" s="14">
        <f>INDEX(挂机升级突破!$EH$7:$EH$26,卡牌消耗!BS40)</f>
        <v>110</v>
      </c>
      <c r="BR40" s="14" t="str">
        <f t="shared" si="13"/>
        <v>许褚</v>
      </c>
      <c r="BS40" s="14">
        <f t="shared" si="14"/>
        <v>16</v>
      </c>
      <c r="BT40" s="14" t="str">
        <f t="shared" si="15"/>
        <v>许褚16突</v>
      </c>
      <c r="BU40" s="14" t="str">
        <f>IF(BN40&gt;0,INDEX(挂机升级突破!$ER$5:$EV$5,卡牌消耗!BN40),"")</f>
        <v>金币</v>
      </c>
      <c r="BV40" s="14">
        <f>IF(BN40&gt;0,ROUND(INDEX(挂机升级突破!$EV$7:$EV$26,卡牌消耗!BS40)*INDEX(卡牌消耗!$B$8:$F$8,BP40)/$Q$4/500,0)*500,"")</f>
        <v>80500</v>
      </c>
      <c r="BW40" s="14" t="str">
        <f>IF(BO40&gt;0,INDEX(挂机升级突破!$ER$5:$EV$5,卡牌消耗!BO40),"")</f>
        <v>银母</v>
      </c>
      <c r="BX40" s="14">
        <f>IF(BO40&gt;0,ROUND(INDEX(挂机升级突破!$ER$7:$EU$26,卡牌消耗!BS40,卡牌消耗!BO40)*INDEX($B$6:$F$6,BP40)/$Q$4/5,0)*5,"")</f>
        <v>90</v>
      </c>
      <c r="BY40" s="193"/>
      <c r="BZ40" s="193"/>
      <c r="CA40" s="105"/>
      <c r="CE40" s="171"/>
      <c r="CF40" s="171"/>
      <c r="CL40" s="171"/>
      <c r="CM40" s="171"/>
      <c r="CS40" s="171"/>
      <c r="CT40" s="171"/>
      <c r="CU40" s="14">
        <f>INDEX($CP$5:$CP$32,CU39)</f>
        <v>41833</v>
      </c>
      <c r="CV40" s="169">
        <v>36</v>
      </c>
      <c r="CW40" s="169">
        <v>5.25</v>
      </c>
      <c r="CX40" s="21">
        <f>CW40/$CU41</f>
        <v>0.19090909090909092</v>
      </c>
      <c r="CY40" s="169">
        <f t="shared" ref="CY40" si="41">INT($CU40*CX40/5)*5</f>
        <v>7985</v>
      </c>
      <c r="CZ40" s="169">
        <f>SUM(CY$5:CY40)</f>
        <v>123725</v>
      </c>
      <c r="DB40" s="188">
        <f t="shared" si="39"/>
        <v>3950</v>
      </c>
      <c r="DC40" s="188">
        <f t="shared" si="39"/>
        <v>6350</v>
      </c>
      <c r="DD40" s="188">
        <f t="shared" si="39"/>
        <v>7950</v>
      </c>
      <c r="DE40" s="188">
        <f t="shared" si="39"/>
        <v>9550</v>
      </c>
      <c r="DF40" s="188">
        <f t="shared" si="39"/>
        <v>11950</v>
      </c>
      <c r="DG40" s="171"/>
      <c r="DI40" s="186">
        <v>36</v>
      </c>
      <c r="DJ40" s="14">
        <f t="shared" si="21"/>
        <v>8</v>
      </c>
      <c r="DK40" s="14">
        <f t="shared" si="1"/>
        <v>2</v>
      </c>
      <c r="DL40" s="14">
        <f t="shared" si="2"/>
        <v>1101008</v>
      </c>
      <c r="DM40" s="136" t="s">
        <v>1097</v>
      </c>
      <c r="DN40" s="14">
        <f t="shared" si="3"/>
        <v>1</v>
      </c>
      <c r="DO40" s="14" t="str">
        <f t="shared" si="4"/>
        <v>黑尔坎普-1星</v>
      </c>
      <c r="DP40" s="136" t="s">
        <v>1103</v>
      </c>
      <c r="DQ40" s="14">
        <f t="shared" si="22"/>
        <v>3000</v>
      </c>
      <c r="DR40" s="14" t="str">
        <f t="shared" si="5"/>
        <v>黑尔坎普碎片</v>
      </c>
      <c r="DS40" s="14">
        <f t="shared" si="23"/>
        <v>20</v>
      </c>
    </row>
    <row r="41" spans="1:123" s="102" customFormat="1" ht="16.5" x14ac:dyDescent="0.2">
      <c r="A41" s="14">
        <v>1102999</v>
      </c>
      <c r="B41" s="14" t="s">
        <v>1566</v>
      </c>
      <c r="C41" s="14">
        <v>2</v>
      </c>
      <c r="D41" s="14">
        <v>20</v>
      </c>
      <c r="E41" s="14">
        <v>1</v>
      </c>
      <c r="F41" s="193">
        <v>1502999</v>
      </c>
      <c r="G41" s="138"/>
      <c r="O41" s="138"/>
      <c r="P41" s="142"/>
      <c r="Q41" s="142"/>
      <c r="R41" s="142"/>
      <c r="S41" s="142"/>
      <c r="T41" s="139">
        <v>37</v>
      </c>
      <c r="U41" s="139">
        <f>ROUND(INDEX(挂机升级突破!$DJ$6:$DJ$57,卡牌消耗!$T41)*INDEX(卡牌消耗!$B$8:$F$8,卡牌消耗!U$2)/$Q$4/5,0)*5</f>
        <v>11665</v>
      </c>
      <c r="V41" s="139">
        <f>ROUND(INDEX(挂机升级突破!$DJ$6:$DJ$57,卡牌消耗!$T41)*INDEX(卡牌消耗!$B$8:$F$8,卡牌消耗!V$2)/$Q$4/5,0)*5</f>
        <v>16665</v>
      </c>
      <c r="W41" s="139">
        <f>ROUND(INDEX(挂机升级突破!$DJ$6:$DJ$57,卡牌消耗!$T41)*INDEX(卡牌消耗!$B$8:$F$8,卡牌消耗!W$2)/$Q$4/5,0)*5</f>
        <v>25000</v>
      </c>
      <c r="X41" s="139">
        <f>ROUND(INDEX(挂机升级突破!$DJ$6:$DJ$57,卡牌消耗!$T41)*INDEX(卡牌消耗!$B$8:$F$8,卡牌消耗!X$2)/$Q$4/5,0)*5</f>
        <v>33330</v>
      </c>
      <c r="Y41" s="142"/>
      <c r="Z41" s="196">
        <v>2</v>
      </c>
      <c r="AA41" s="196">
        <v>37</v>
      </c>
      <c r="AB41" s="14">
        <f>ROUND(INDEX(挂机升级突破!DT$6:DT$57,卡牌消耗!$AA41)*INDEX(卡牌消耗!$B$5:$F$5,卡牌消耗!$Z41)/卡牌消耗!$Q$4/AB$2,0)*AB$2</f>
        <v>0</v>
      </c>
      <c r="AC41" s="14">
        <f>ROUND(INDEX(挂机升级突破!DU$6:DU$57,卡牌消耗!$AA41)*INDEX(卡牌消耗!$B$5:$F$5,卡牌消耗!$Z41)/卡牌消耗!$Q$4/AC$2,0)*AC$2</f>
        <v>0</v>
      </c>
      <c r="AD41" s="14">
        <f>ROUND(INDEX(挂机升级突破!DV$6:DV$57,卡牌消耗!$AA41)*INDEX(卡牌消耗!$B$5:$F$5,卡牌消耗!$Z41)/卡牌消耗!$Q$4/AD$2,0)*AD$2</f>
        <v>0</v>
      </c>
      <c r="AE41" s="14">
        <f>ROUND(INDEX(挂机升级突破!DW$6:DW$57,卡牌消耗!$AA41)*INDEX(卡牌消耗!$B$5:$F$5,卡牌消耗!$Z41)/卡牌消耗!$Q$4/AE$2,0)*AE$2</f>
        <v>25</v>
      </c>
      <c r="AF41" s="14">
        <f>ROUND(INDEX(挂机升级突破!DX$6:DX$57,卡牌消耗!$AA41)*INDEX(卡牌消耗!$B$5:$F$5,卡牌消耗!$Z41)/卡牌消耗!$Q$4/AF$2,0)*AF$2</f>
        <v>0</v>
      </c>
      <c r="AG41" s="14">
        <f>ROUND(INDEX(挂机升级突破!EC$6:EC$57,卡牌消耗!$AA41)*INDEX(卡牌消耗!$B$7:$F$7,卡牌消耗!$Z41)/卡牌消耗!$Q$4/AG$2,0)*AG$2</f>
        <v>1</v>
      </c>
      <c r="AH41" s="14">
        <f>ROUND(INDEX(挂机升级突破!ED$6:ED$57,卡牌消耗!$AA41)*INDEX(卡牌消耗!$B$8:$F$8,卡牌消耗!$Z41)/卡牌消耗!$Q$4/AH$2,0)*AH$2</f>
        <v>11650</v>
      </c>
      <c r="AI41" s="195"/>
      <c r="AJ41" s="195"/>
      <c r="AK41" s="104">
        <v>37</v>
      </c>
      <c r="AL41" s="14">
        <f t="shared" si="6"/>
        <v>1</v>
      </c>
      <c r="AM41" s="14">
        <f>INDEX(挂机升级突破!DQ$6:DQ$57,卡牌消耗!$AT41)</f>
        <v>11</v>
      </c>
      <c r="AN41" s="14">
        <f>INDEX(挂机升级突破!DR$6:DR$57,卡牌消耗!$AT41)</f>
        <v>4</v>
      </c>
      <c r="AO41" s="14">
        <f>INDEX(挂机升级突破!DS$6:DS$57,卡牌消耗!$AT41)</f>
        <v>0</v>
      </c>
      <c r="AP41" s="14">
        <f>INDEX(挂机升级突破!$DP$6:$DP$57,卡牌消耗!AT41)</f>
        <v>110</v>
      </c>
      <c r="AQ41" s="14" t="str">
        <f t="shared" si="7"/>
        <v>关羽</v>
      </c>
      <c r="AR41" s="14">
        <f t="shared" si="8"/>
        <v>5</v>
      </c>
      <c r="AS41" s="14" t="str">
        <f t="shared" si="9"/>
        <v>关羽魂火-37</v>
      </c>
      <c r="AT41" s="14">
        <f t="shared" si="10"/>
        <v>37</v>
      </c>
      <c r="AU41" s="14" t="str">
        <f>IF(AM41&gt;0,INDEX(挂机升级突破!$DT$4:$ED$4,AM41),"")</f>
        <v>金币</v>
      </c>
      <c r="AV41" s="14">
        <f>ROUND(INDEX(挂机升级突破!$DJ$6:$DJ$57,卡牌消耗!AT41)*INDEX(卡牌消耗!$B$8:$F$8,AR41)/$Q$4/50,0)*50</f>
        <v>33350</v>
      </c>
      <c r="AW41" s="14" t="str">
        <f>IF(AN41&gt;0,INDEX(挂机升级突破!$DT$4:$ED$4,AN41),"")</f>
        <v>橙色基础材料</v>
      </c>
      <c r="AX41" s="14">
        <f>ROUND(INDEX(挂机升级突破!$DT$6:$ED$57,卡牌消耗!AT41,AN41)*INDEX(卡牌消耗!$B$5:$F$5,AR41)/$Q$4/5,0)*5</f>
        <v>45</v>
      </c>
      <c r="AY41" s="14" t="str">
        <f>IF(AO41&gt;0,INDEX(挂机升级突破!$DT$4:$ED$4,AO41),"")</f>
        <v/>
      </c>
      <c r="AZ41" s="14" t="str">
        <f>IF(AO41&gt;0,ROUND(INDEX(挂机升级突破!$DT$6:$ED$57,卡牌消耗!AT41,AO41)*INDEX(卡牌消耗!$B$7:$F$7,AR41)/$Q$4,0),"")</f>
        <v/>
      </c>
      <c r="BA41" s="105"/>
      <c r="BB41" s="198"/>
      <c r="BC41" s="196">
        <v>3</v>
      </c>
      <c r="BD41" s="196">
        <v>17</v>
      </c>
      <c r="BE41" s="14">
        <f>ROUND(INDEX(挂机升级突破!ER$7:ER$26,卡牌消耗!$BD41)*INDEX(卡牌消耗!$B$6:$F$6,$BC41)/$Q$4,0)</f>
        <v>0</v>
      </c>
      <c r="BF41" s="14">
        <f>ROUND(INDEX(挂机升级突破!ES$7:ES$26,卡牌消耗!$BD41)*INDEX(卡牌消耗!$B$6:$F$6,$BC41)/$Q$4,0)</f>
        <v>0</v>
      </c>
      <c r="BG41" s="14">
        <f>ROUND(INDEX(挂机升级突破!ET$7:ET$26,卡牌消耗!$BD41)*INDEX(卡牌消耗!$B$6:$F$6,$BC41)/$Q$4,0)</f>
        <v>0</v>
      </c>
      <c r="BH41" s="14">
        <f>ROUND(INDEX(挂机升级突破!EU$7:EU$26,卡牌消耗!$BD41)*INDEX(卡牌消耗!$B$6:$F$6,$BC41)/$Q$4,0)</f>
        <v>18</v>
      </c>
      <c r="BI41" s="14">
        <f>ROUND(INDEX(挂机升级突破!$EV$7:$EV$26,卡牌消耗!BD41)*INDEX(卡牌消耗!$B$8:$F$8,$BC41)/$Q$4/BI$2,0)*BI$2</f>
        <v>80500</v>
      </c>
      <c r="BJ41" s="198"/>
      <c r="BK41" s="198"/>
      <c r="BL41" s="104">
        <v>37</v>
      </c>
      <c r="BM41" s="14">
        <f t="shared" si="11"/>
        <v>2</v>
      </c>
      <c r="BN41" s="14">
        <f>INDEX(挂机升级突破!$EI$7:$EI$26,BS41)</f>
        <v>5</v>
      </c>
      <c r="BO41" s="14">
        <f>INDEX(挂机升级突破!$EJ$7:$EJ$26,BS41)</f>
        <v>4</v>
      </c>
      <c r="BP41" s="14">
        <f t="shared" si="12"/>
        <v>3</v>
      </c>
      <c r="BQ41" s="14">
        <f>INDEX(挂机升级突破!$EH$7:$EH$26,卡牌消耗!BS41)</f>
        <v>117</v>
      </c>
      <c r="BR41" s="14" t="str">
        <f t="shared" si="13"/>
        <v>许褚</v>
      </c>
      <c r="BS41" s="14">
        <f t="shared" si="14"/>
        <v>17</v>
      </c>
      <c r="BT41" s="14" t="str">
        <f t="shared" si="15"/>
        <v>许褚17突</v>
      </c>
      <c r="BU41" s="14" t="str">
        <f>IF(BN41&gt;0,INDEX(挂机升级突破!$ER$5:$EV$5,卡牌消耗!BN41),"")</f>
        <v>金币</v>
      </c>
      <c r="BV41" s="14">
        <f>IF(BN41&gt;0,ROUND(INDEX(挂机升级突破!$EV$7:$EV$26,卡牌消耗!BS41)*INDEX(卡牌消耗!$B$8:$F$8,BP41)/$Q$4/500,0)*500,"")</f>
        <v>80500</v>
      </c>
      <c r="BW41" s="14" t="str">
        <f>IF(BO41&gt;0,INDEX(挂机升级突破!$ER$5:$EV$5,卡牌消耗!BO41),"")</f>
        <v>铀金</v>
      </c>
      <c r="BX41" s="14">
        <f>IF(BO41&gt;0,ROUND(INDEX(挂机升级突破!$ER$7:$EU$26,卡牌消耗!BS41,卡牌消耗!BO41)*INDEX($B$6:$F$6,BP41)/$Q$4/5,0)*5,"")</f>
        <v>20</v>
      </c>
      <c r="BY41" s="193"/>
      <c r="BZ41" s="193"/>
      <c r="CA41" s="105"/>
      <c r="CE41" s="171"/>
      <c r="CF41" s="171"/>
      <c r="CL41" s="171"/>
      <c r="CM41" s="171"/>
      <c r="CS41" s="171"/>
      <c r="CT41" s="170"/>
      <c r="CU41" s="14">
        <f>SUMIFS($CW$5:$CW$154,$CV$5:$CV$154,"&gt;="&amp;INDEX($CE$5:$CE$32,CU39),$CV$5:$CV$154,"&lt;"&amp;INDEX($CF$5:$CF$32,CU39))</f>
        <v>27.5</v>
      </c>
      <c r="CV41" s="169">
        <v>37</v>
      </c>
      <c r="CW41" s="169">
        <v>5.5</v>
      </c>
      <c r="CX41" s="21">
        <f>CW41/$CU41</f>
        <v>0.2</v>
      </c>
      <c r="CY41" s="169">
        <f t="shared" ref="CY41" si="42">INT($CU40*CX41/5)*5</f>
        <v>8365</v>
      </c>
      <c r="CZ41" s="169">
        <f>SUM(CY$5:CY41)</f>
        <v>132090</v>
      </c>
      <c r="DB41" s="188">
        <f t="shared" si="39"/>
        <v>4150</v>
      </c>
      <c r="DC41" s="188">
        <f t="shared" si="39"/>
        <v>6650</v>
      </c>
      <c r="DD41" s="188">
        <f t="shared" si="39"/>
        <v>8350</v>
      </c>
      <c r="DE41" s="188">
        <f t="shared" si="39"/>
        <v>10000</v>
      </c>
      <c r="DF41" s="188">
        <f t="shared" si="39"/>
        <v>12500</v>
      </c>
      <c r="DG41" s="171"/>
      <c r="DI41" s="186">
        <v>37</v>
      </c>
      <c r="DJ41" s="14">
        <f t="shared" si="21"/>
        <v>8</v>
      </c>
      <c r="DK41" s="14">
        <f t="shared" si="1"/>
        <v>2</v>
      </c>
      <c r="DL41" s="14">
        <f t="shared" si="2"/>
        <v>1101008</v>
      </c>
      <c r="DM41" s="136" t="s">
        <v>1097</v>
      </c>
      <c r="DN41" s="14">
        <f t="shared" si="3"/>
        <v>2</v>
      </c>
      <c r="DO41" s="14" t="str">
        <f t="shared" si="4"/>
        <v>黑尔坎普-2星</v>
      </c>
      <c r="DP41" s="136" t="s">
        <v>1103</v>
      </c>
      <c r="DQ41" s="14">
        <f t="shared" si="22"/>
        <v>3500</v>
      </c>
      <c r="DR41" s="14" t="str">
        <f t="shared" si="5"/>
        <v>黑尔坎普碎片</v>
      </c>
      <c r="DS41" s="14">
        <f t="shared" si="23"/>
        <v>20</v>
      </c>
    </row>
    <row r="42" spans="1:123" s="102" customFormat="1" ht="16.5" x14ac:dyDescent="0.2">
      <c r="A42" s="14">
        <v>1102998</v>
      </c>
      <c r="B42" s="14" t="s">
        <v>1567</v>
      </c>
      <c r="C42" s="14">
        <v>3</v>
      </c>
      <c r="D42" s="14">
        <v>40</v>
      </c>
      <c r="E42" s="14">
        <v>1</v>
      </c>
      <c r="F42" s="193">
        <v>1502998</v>
      </c>
      <c r="G42" s="138"/>
      <c r="O42" s="138"/>
      <c r="P42" s="142"/>
      <c r="Q42" s="142"/>
      <c r="R42" s="142"/>
      <c r="S42" s="142"/>
      <c r="T42" s="139">
        <v>38</v>
      </c>
      <c r="U42" s="139">
        <f>ROUND(INDEX(挂机升级突破!$DJ$6:$DJ$57,卡牌消耗!$T42)*INDEX(卡牌消耗!$B$8:$F$8,卡牌消耗!U$2)/$Q$4/5,0)*5</f>
        <v>15040</v>
      </c>
      <c r="V42" s="139">
        <f>ROUND(INDEX(挂机升级突破!$DJ$6:$DJ$57,卡牌消耗!$T42)*INDEX(卡牌消耗!$B$8:$F$8,卡牌消耗!V$2)/$Q$4/5,0)*5</f>
        <v>21490</v>
      </c>
      <c r="W42" s="139">
        <f>ROUND(INDEX(挂机升级突破!$DJ$6:$DJ$57,卡牌消耗!$T42)*INDEX(卡牌消耗!$B$8:$F$8,卡牌消耗!W$2)/$Q$4/5,0)*5</f>
        <v>32235</v>
      </c>
      <c r="X42" s="139">
        <f>ROUND(INDEX(挂机升级突破!$DJ$6:$DJ$57,卡牌消耗!$T42)*INDEX(卡牌消耗!$B$8:$F$8,卡牌消耗!X$2)/$Q$4/5,0)*5</f>
        <v>42975</v>
      </c>
      <c r="Y42" s="142"/>
      <c r="Z42" s="196">
        <v>2</v>
      </c>
      <c r="AA42" s="196">
        <v>38</v>
      </c>
      <c r="AB42" s="14">
        <f>ROUND(INDEX(挂机升级突破!DT$6:DT$57,卡牌消耗!$AA42)*INDEX(卡牌消耗!$B$5:$F$5,卡牌消耗!$Z42)/卡牌消耗!$Q$4/AB$2,0)*AB$2</f>
        <v>0</v>
      </c>
      <c r="AC42" s="14">
        <f>ROUND(INDEX(挂机升级突破!DU$6:DU$57,卡牌消耗!$AA42)*INDEX(卡牌消耗!$B$5:$F$5,卡牌消耗!$Z42)/卡牌消耗!$Q$4/AC$2,0)*AC$2</f>
        <v>0</v>
      </c>
      <c r="AD42" s="14">
        <f>ROUND(INDEX(挂机升级突破!DV$6:DV$57,卡牌消耗!$AA42)*INDEX(卡牌消耗!$B$5:$F$5,卡牌消耗!$Z42)/卡牌消耗!$Q$4/AD$2,0)*AD$2</f>
        <v>0</v>
      </c>
      <c r="AE42" s="14">
        <f>ROUND(INDEX(挂机升级突破!DW$6:DW$57,卡牌消耗!$AA42)*INDEX(卡牌消耗!$B$5:$F$5,卡牌消耗!$Z42)/卡牌消耗!$Q$4/AE$2,0)*AE$2</f>
        <v>0</v>
      </c>
      <c r="AF42" s="14">
        <f>ROUND(INDEX(挂机升级突破!DX$6:DX$57,卡牌消耗!$AA42)*INDEX(卡牌消耗!$B$5:$F$5,卡牌消耗!$Z42)/卡牌消耗!$Q$4/AF$2,0)*AF$2</f>
        <v>5</v>
      </c>
      <c r="AG42" s="14">
        <f>ROUND(INDEX(挂机升级突破!EC$6:EC$57,卡牌消耗!$AA42)*INDEX(卡牌消耗!$B$7:$F$7,卡牌消耗!$Z42)/卡牌消耗!$Q$4/AG$2,0)*AG$2</f>
        <v>1</v>
      </c>
      <c r="AH42" s="14">
        <f>ROUND(INDEX(挂机升级突破!ED$6:ED$57,卡牌消耗!$AA42)*INDEX(卡牌消耗!$B$8:$F$8,卡牌消耗!$Z42)/卡牌消耗!$Q$4/AH$2,0)*AH$2</f>
        <v>15050</v>
      </c>
      <c r="AI42" s="195"/>
      <c r="AJ42" s="195"/>
      <c r="AK42" s="104">
        <v>38</v>
      </c>
      <c r="AL42" s="14">
        <f t="shared" si="6"/>
        <v>1</v>
      </c>
      <c r="AM42" s="14">
        <f>INDEX(挂机升级突破!DQ$6:DQ$57,卡牌消耗!$AT42)</f>
        <v>11</v>
      </c>
      <c r="AN42" s="14">
        <f>INDEX(挂机升级突破!DR$6:DR$57,卡牌消耗!$AT42)</f>
        <v>5</v>
      </c>
      <c r="AO42" s="14">
        <f>INDEX(挂机升级突破!DS$6:DS$57,卡牌消耗!$AT42)</f>
        <v>0</v>
      </c>
      <c r="AP42" s="14">
        <f>INDEX(挂机升级突破!$DP$6:$DP$57,卡牌消耗!AT42)</f>
        <v>113</v>
      </c>
      <c r="AQ42" s="14" t="str">
        <f t="shared" si="7"/>
        <v>关羽</v>
      </c>
      <c r="AR42" s="14">
        <f t="shared" si="8"/>
        <v>5</v>
      </c>
      <c r="AS42" s="14" t="str">
        <f t="shared" si="9"/>
        <v>关羽魂火-38</v>
      </c>
      <c r="AT42" s="14">
        <f t="shared" si="10"/>
        <v>38</v>
      </c>
      <c r="AU42" s="14" t="str">
        <f>IF(AM42&gt;0,INDEX(挂机升级突破!$DT$4:$ED$4,AM42),"")</f>
        <v>金币</v>
      </c>
      <c r="AV42" s="14">
        <f>ROUND(INDEX(挂机升级突破!$DJ$6:$DJ$57,卡牌消耗!AT42)*INDEX(卡牌消耗!$B$8:$F$8,AR42)/$Q$4/50,0)*50</f>
        <v>43000</v>
      </c>
      <c r="AW42" s="14" t="str">
        <f>IF(AN42&gt;0,INDEX(挂机升级突破!$DT$4:$ED$4,AN42),"")</f>
        <v>红色基础材料</v>
      </c>
      <c r="AX42" s="14">
        <f>ROUND(INDEX(挂机升级突破!$DT$6:$ED$57,卡牌消耗!AT42,AN42)*INDEX(卡牌消耗!$B$5:$F$5,AR42)/$Q$4/5,0)*5</f>
        <v>10</v>
      </c>
      <c r="AY42" s="14" t="str">
        <f>IF(AO42&gt;0,INDEX(挂机升级突破!$DT$4:$ED$4,AO42),"")</f>
        <v/>
      </c>
      <c r="AZ42" s="14" t="str">
        <f>IF(AO42&gt;0,ROUND(INDEX(挂机升级突破!$DT$6:$ED$57,卡牌消耗!AT42,AO42)*INDEX(卡牌消耗!$B$7:$F$7,AR42)/$Q$4,0),"")</f>
        <v/>
      </c>
      <c r="BA42" s="105"/>
      <c r="BB42" s="198"/>
      <c r="BC42" s="196">
        <v>3</v>
      </c>
      <c r="BD42" s="196">
        <v>18</v>
      </c>
      <c r="BE42" s="14">
        <f>ROUND(INDEX(挂机升级突破!ER$7:ER$26,卡牌消耗!$BD42)*INDEX(卡牌消耗!$B$6:$F$6,$BC42)/$Q$4,0)</f>
        <v>0</v>
      </c>
      <c r="BF42" s="14">
        <f>ROUND(INDEX(挂机升级突破!ES$7:ES$26,卡牌消耗!$BD42)*INDEX(卡牌消耗!$B$6:$F$6,$BC42)/$Q$4,0)</f>
        <v>0</v>
      </c>
      <c r="BG42" s="14">
        <f>ROUND(INDEX(挂机升级突破!ET$7:ET$26,卡牌消耗!$BD42)*INDEX(卡牌消耗!$B$6:$F$6,$BC42)/$Q$4,0)</f>
        <v>0</v>
      </c>
      <c r="BH42" s="14">
        <f>ROUND(INDEX(挂机升级突破!EU$7:EU$26,卡牌消耗!$BD42)*INDEX(卡牌消耗!$B$6:$F$6,$BC42)/$Q$4,0)</f>
        <v>25</v>
      </c>
      <c r="BI42" s="14">
        <f>ROUND(INDEX(挂机升级突破!$EV$7:$EV$26,卡牌消耗!BD42)*INDEX(卡牌消耗!$B$8:$F$8,$BC42)/$Q$4/BI$2,0)*BI$2</f>
        <v>107500</v>
      </c>
      <c r="BJ42" s="198"/>
      <c r="BK42" s="198"/>
      <c r="BL42" s="104">
        <v>38</v>
      </c>
      <c r="BM42" s="14">
        <f t="shared" si="11"/>
        <v>2</v>
      </c>
      <c r="BN42" s="14">
        <f>INDEX(挂机升级突破!$EI$7:$EI$26,BS42)</f>
        <v>5</v>
      </c>
      <c r="BO42" s="14">
        <f>INDEX(挂机升级突破!$EJ$7:$EJ$26,BS42)</f>
        <v>4</v>
      </c>
      <c r="BP42" s="14">
        <f t="shared" si="12"/>
        <v>3</v>
      </c>
      <c r="BQ42" s="14">
        <f>INDEX(挂机升级突破!$EH$7:$EH$26,卡牌消耗!BS42)</f>
        <v>125</v>
      </c>
      <c r="BR42" s="14" t="str">
        <f t="shared" si="13"/>
        <v>许褚</v>
      </c>
      <c r="BS42" s="14">
        <f t="shared" si="14"/>
        <v>18</v>
      </c>
      <c r="BT42" s="14" t="str">
        <f t="shared" si="15"/>
        <v>许褚18突</v>
      </c>
      <c r="BU42" s="14" t="str">
        <f>IF(BN42&gt;0,INDEX(挂机升级突破!$ER$5:$EV$5,卡牌消耗!BN42),"")</f>
        <v>金币</v>
      </c>
      <c r="BV42" s="14">
        <f>IF(BN42&gt;0,ROUND(INDEX(挂机升级突破!$EV$7:$EV$26,卡牌消耗!BS42)*INDEX(卡牌消耗!$B$8:$F$8,BP42)/$Q$4/500,0)*500,"")</f>
        <v>107500</v>
      </c>
      <c r="BW42" s="14" t="str">
        <f>IF(BO42&gt;0,INDEX(挂机升级突破!$ER$5:$EV$5,卡牌消耗!BO42),"")</f>
        <v>铀金</v>
      </c>
      <c r="BX42" s="14">
        <f>IF(BO42&gt;0,ROUND(INDEX(挂机升级突破!$ER$7:$EU$26,卡牌消耗!BS42,卡牌消耗!BO42)*INDEX($B$6:$F$6,BP42)/$Q$4/5,0)*5,"")</f>
        <v>25</v>
      </c>
      <c r="BY42" s="193"/>
      <c r="BZ42" s="193"/>
      <c r="CA42" s="105"/>
      <c r="CE42" s="171"/>
      <c r="CF42" s="171"/>
      <c r="CL42" s="171"/>
      <c r="CM42" s="171"/>
      <c r="CS42" s="171"/>
      <c r="CT42" s="171"/>
      <c r="CU42" s="171"/>
      <c r="CV42" s="169">
        <v>38</v>
      </c>
      <c r="CW42" s="169">
        <v>5.75</v>
      </c>
      <c r="CX42" s="21">
        <f>CW42/$CU41</f>
        <v>0.20909090909090908</v>
      </c>
      <c r="CY42" s="169">
        <f t="shared" ref="CY42" si="43">INT($CU40*CX42/5)*5</f>
        <v>8745</v>
      </c>
      <c r="CZ42" s="169">
        <f>SUM(CY$5:CY42)</f>
        <v>140835</v>
      </c>
      <c r="DB42" s="188">
        <f t="shared" si="39"/>
        <v>4350</v>
      </c>
      <c r="DC42" s="188">
        <f t="shared" si="39"/>
        <v>6950</v>
      </c>
      <c r="DD42" s="188">
        <f t="shared" si="39"/>
        <v>8700</v>
      </c>
      <c r="DE42" s="188">
        <f t="shared" si="39"/>
        <v>10450</v>
      </c>
      <c r="DF42" s="188">
        <f t="shared" si="39"/>
        <v>13100</v>
      </c>
      <c r="DG42" s="171"/>
      <c r="DI42" s="186">
        <v>38</v>
      </c>
      <c r="DJ42" s="14">
        <f t="shared" si="21"/>
        <v>8</v>
      </c>
      <c r="DK42" s="14">
        <f t="shared" si="1"/>
        <v>2</v>
      </c>
      <c r="DL42" s="14">
        <f t="shared" si="2"/>
        <v>1101008</v>
      </c>
      <c r="DM42" s="136" t="s">
        <v>1097</v>
      </c>
      <c r="DN42" s="14">
        <f t="shared" si="3"/>
        <v>3</v>
      </c>
      <c r="DO42" s="14" t="str">
        <f t="shared" si="4"/>
        <v>黑尔坎普-3星</v>
      </c>
      <c r="DP42" s="136" t="s">
        <v>1103</v>
      </c>
      <c r="DQ42" s="14">
        <f t="shared" si="22"/>
        <v>7000</v>
      </c>
      <c r="DR42" s="14" t="str">
        <f t="shared" si="5"/>
        <v>黑尔坎普碎片</v>
      </c>
      <c r="DS42" s="14">
        <f t="shared" si="23"/>
        <v>20</v>
      </c>
    </row>
    <row r="43" spans="1:123" ht="16.5" x14ac:dyDescent="0.2">
      <c r="A43" s="14">
        <v>1102997</v>
      </c>
      <c r="B43" s="14" t="s">
        <v>1568</v>
      </c>
      <c r="C43" s="14">
        <v>4</v>
      </c>
      <c r="D43" s="14">
        <v>80</v>
      </c>
      <c r="E43" s="14">
        <v>1</v>
      </c>
      <c r="F43" s="193">
        <v>1502997</v>
      </c>
      <c r="G43" s="138"/>
      <c r="T43" s="139">
        <v>39</v>
      </c>
      <c r="U43" s="139">
        <f>ROUND(INDEX(挂机升级突破!$DJ$6:$DJ$57,卡牌消耗!$T43)*INDEX(卡牌消耗!$B$8:$F$8,卡牌消耗!U$2)/$Q$4/5,0)*5</f>
        <v>15040</v>
      </c>
      <c r="V43" s="139">
        <f>ROUND(INDEX(挂机升级突破!$DJ$6:$DJ$57,卡牌消耗!$T43)*INDEX(卡牌消耗!$B$8:$F$8,卡牌消耗!V$2)/$Q$4/5,0)*5</f>
        <v>21490</v>
      </c>
      <c r="W43" s="139">
        <f>ROUND(INDEX(挂机升级突破!$DJ$6:$DJ$57,卡牌消耗!$T43)*INDEX(卡牌消耗!$B$8:$F$8,卡牌消耗!W$2)/$Q$4/5,0)*5</f>
        <v>32235</v>
      </c>
      <c r="X43" s="139">
        <f>ROUND(INDEX(挂机升级突破!$DJ$6:$DJ$57,卡牌消耗!$T43)*INDEX(卡牌消耗!$B$8:$F$8,卡牌消耗!X$2)/$Q$4/5,0)*5</f>
        <v>42975</v>
      </c>
      <c r="Z43" s="196">
        <v>2</v>
      </c>
      <c r="AA43" s="196">
        <v>39</v>
      </c>
      <c r="AB43" s="14">
        <f>ROUND(INDEX(挂机升级突破!DT$6:DT$57,卡牌消耗!$AA43)*INDEX(卡牌消耗!$B$5:$F$5,卡牌消耗!$Z43)/卡牌消耗!$Q$4/AB$2,0)*AB$2</f>
        <v>0</v>
      </c>
      <c r="AC43" s="14">
        <f>ROUND(INDEX(挂机升级突破!DU$6:DU$57,卡牌消耗!$AA43)*INDEX(卡牌消耗!$B$5:$F$5,卡牌消耗!$Z43)/卡牌消耗!$Q$4/AC$2,0)*AC$2</f>
        <v>0</v>
      </c>
      <c r="AD43" s="14">
        <f>ROUND(INDEX(挂机升级突破!DV$6:DV$57,卡牌消耗!$AA43)*INDEX(卡牌消耗!$B$5:$F$5,卡牌消耗!$Z43)/卡牌消耗!$Q$4/AD$2,0)*AD$2</f>
        <v>0</v>
      </c>
      <c r="AE43" s="14">
        <f>ROUND(INDEX(挂机升级突破!DW$6:DW$57,卡牌消耗!$AA43)*INDEX(卡牌消耗!$B$5:$F$5,卡牌消耗!$Z43)/卡牌消耗!$Q$4/AE$2,0)*AE$2</f>
        <v>0</v>
      </c>
      <c r="AF43" s="14">
        <f>ROUND(INDEX(挂机升级突破!DX$6:DX$57,卡牌消耗!$AA43)*INDEX(卡牌消耗!$B$5:$F$5,卡牌消耗!$Z43)/卡牌消耗!$Q$4/AF$2,0)*AF$2</f>
        <v>5</v>
      </c>
      <c r="AG43" s="14">
        <f>ROUND(INDEX(挂机升级突破!EC$6:EC$57,卡牌消耗!$AA43)*INDEX(卡牌消耗!$B$7:$F$7,卡牌消耗!$Z43)/卡牌消耗!$Q$4/AG$2,0)*AG$2</f>
        <v>1</v>
      </c>
      <c r="AH43" s="14">
        <f>ROUND(INDEX(挂机升级突破!ED$6:ED$57,卡牌消耗!$AA43)*INDEX(卡牌消耗!$B$8:$F$8,卡牌消耗!$Z43)/卡牌消耗!$Q$4/AH$2,0)*AH$2</f>
        <v>15050</v>
      </c>
      <c r="AK43" s="104">
        <v>39</v>
      </c>
      <c r="AL43" s="14">
        <f t="shared" si="6"/>
        <v>1</v>
      </c>
      <c r="AM43" s="14">
        <f>INDEX(挂机升级突破!DQ$6:DQ$57,卡牌消耗!$AT43)</f>
        <v>11</v>
      </c>
      <c r="AN43" s="14">
        <f>INDEX(挂机升级突破!DR$6:DR$57,卡牌消耗!$AT43)</f>
        <v>5</v>
      </c>
      <c r="AO43" s="14">
        <f>INDEX(挂机升级突破!DS$6:DS$57,卡牌消耗!$AT43)</f>
        <v>0</v>
      </c>
      <c r="AP43" s="14">
        <f>INDEX(挂机升级突破!$DP$6:$DP$57,卡牌消耗!AT43)</f>
        <v>115</v>
      </c>
      <c r="AQ43" s="14" t="str">
        <f t="shared" si="7"/>
        <v>关羽</v>
      </c>
      <c r="AR43" s="14">
        <f t="shared" si="8"/>
        <v>5</v>
      </c>
      <c r="AS43" s="14" t="str">
        <f t="shared" si="9"/>
        <v>关羽魂火-39</v>
      </c>
      <c r="AT43" s="14">
        <f t="shared" si="10"/>
        <v>39</v>
      </c>
      <c r="AU43" s="14" t="str">
        <f>IF(AM43&gt;0,INDEX(挂机升级突破!$DT$4:$ED$4,AM43),"")</f>
        <v>金币</v>
      </c>
      <c r="AV43" s="14">
        <f>ROUND(INDEX(挂机升级突破!$DJ$6:$DJ$57,卡牌消耗!AT43)*INDEX(卡牌消耗!$B$8:$F$8,AR43)/$Q$4/50,0)*50</f>
        <v>43000</v>
      </c>
      <c r="AW43" s="14" t="str">
        <f>IF(AN43&gt;0,INDEX(挂机升级突破!$DT$4:$ED$4,AN43),"")</f>
        <v>红色基础材料</v>
      </c>
      <c r="AX43" s="14">
        <f>ROUND(INDEX(挂机升级突破!$DT$6:$ED$57,卡牌消耗!AT43,AN43)*INDEX(卡牌消耗!$B$5:$F$5,AR43)/$Q$4/5,0)*5</f>
        <v>10</v>
      </c>
      <c r="AY43" s="14" t="str">
        <f>IF(AO43&gt;0,INDEX(挂机升级突破!$DT$4:$ED$4,AO43),"")</f>
        <v/>
      </c>
      <c r="AZ43" s="14" t="str">
        <f>IF(AO43&gt;0,ROUND(INDEX(挂机升级突破!$DT$6:$ED$57,卡牌消耗!AT43,AO43)*INDEX(卡牌消耗!$B$7:$F$7,AR43)/$Q$4,0),"")</f>
        <v/>
      </c>
      <c r="BC43" s="196">
        <v>3</v>
      </c>
      <c r="BD43" s="196">
        <v>19</v>
      </c>
      <c r="BE43" s="14">
        <f>ROUND(INDEX(挂机升级突破!ER$7:ER$26,卡牌消耗!$BD43)*INDEX(卡牌消耗!$B$6:$F$6,$BC43)/$Q$4,0)</f>
        <v>0</v>
      </c>
      <c r="BF43" s="14">
        <f>ROUND(INDEX(挂机升级突破!ES$7:ES$26,卡牌消耗!$BD43)*INDEX(卡牌消耗!$B$6:$F$6,$BC43)/$Q$4,0)</f>
        <v>0</v>
      </c>
      <c r="BG43" s="14">
        <f>ROUND(INDEX(挂机升级突破!ET$7:ET$26,卡牌消耗!$BD43)*INDEX(卡牌消耗!$B$6:$F$6,$BC43)/$Q$4,0)</f>
        <v>0</v>
      </c>
      <c r="BH43" s="14">
        <f>ROUND(INDEX(挂机升级突破!EU$7:EU$26,卡牌消耗!$BD43)*INDEX(卡牌消耗!$B$6:$F$6,$BC43)/$Q$4,0)</f>
        <v>33</v>
      </c>
      <c r="BI43" s="14">
        <f>ROUND(INDEX(挂机升级突破!$EV$7:$EV$26,卡牌消耗!BD43)*INDEX(卡牌消耗!$B$8:$F$8,$BC43)/$Q$4/BI$2,0)*BI$2</f>
        <v>273500</v>
      </c>
      <c r="BL43" s="104">
        <v>39</v>
      </c>
      <c r="BM43" s="14">
        <f t="shared" si="11"/>
        <v>2</v>
      </c>
      <c r="BN43" s="14">
        <f>INDEX(挂机升级突破!$EI$7:$EI$26,BS43)</f>
        <v>5</v>
      </c>
      <c r="BO43" s="14">
        <f>INDEX(挂机升级突破!$EJ$7:$EJ$26,BS43)</f>
        <v>4</v>
      </c>
      <c r="BP43" s="14">
        <f t="shared" si="12"/>
        <v>3</v>
      </c>
      <c r="BQ43" s="14">
        <f>INDEX(挂机升级突破!$EH$7:$EH$26,卡牌消耗!BS43)</f>
        <v>132</v>
      </c>
      <c r="BR43" s="14" t="str">
        <f t="shared" si="13"/>
        <v>许褚</v>
      </c>
      <c r="BS43" s="14">
        <f t="shared" si="14"/>
        <v>19</v>
      </c>
      <c r="BT43" s="14" t="str">
        <f t="shared" si="15"/>
        <v>许褚19突</v>
      </c>
      <c r="BU43" s="14" t="str">
        <f>IF(BN43&gt;0,INDEX(挂机升级突破!$ER$5:$EV$5,卡牌消耗!BN43),"")</f>
        <v>金币</v>
      </c>
      <c r="BV43" s="14">
        <f>IF(BN43&gt;0,ROUND(INDEX(挂机升级突破!$EV$7:$EV$26,卡牌消耗!BS43)*INDEX(卡牌消耗!$B$8:$F$8,BP43)/$Q$4/500,0)*500,"")</f>
        <v>273500</v>
      </c>
      <c r="BW43" s="14" t="str">
        <f>IF(BO43&gt;0,INDEX(挂机升级突破!$ER$5:$EV$5,卡牌消耗!BO43),"")</f>
        <v>铀金</v>
      </c>
      <c r="BX43" s="14">
        <f>IF(BO43&gt;0,ROUND(INDEX(挂机升级突破!$ER$7:$EU$26,卡牌消耗!BS43,卡牌消耗!BO43)*INDEX($B$6:$F$6,BP43)/$Q$4/5,0)*5,"")</f>
        <v>35</v>
      </c>
      <c r="BY43" s="193"/>
      <c r="BZ43" s="193"/>
      <c r="CS43" s="171"/>
      <c r="CT43" s="171"/>
      <c r="CU43" s="171"/>
      <c r="CV43" s="169">
        <v>39</v>
      </c>
      <c r="CW43" s="169">
        <v>6</v>
      </c>
      <c r="CX43" s="21">
        <f>CW43/$CU41</f>
        <v>0.21818181818181817</v>
      </c>
      <c r="CY43" s="169">
        <f t="shared" ref="CY43" si="44">INT($CU40*CX43/5)*5</f>
        <v>9125</v>
      </c>
      <c r="CZ43" s="169">
        <f>SUM(CY$5:CY43)</f>
        <v>149960</v>
      </c>
      <c r="DB43" s="188">
        <f t="shared" si="39"/>
        <v>4550</v>
      </c>
      <c r="DC43" s="188">
        <f t="shared" si="39"/>
        <v>7300</v>
      </c>
      <c r="DD43" s="188">
        <f t="shared" si="39"/>
        <v>9100</v>
      </c>
      <c r="DE43" s="188">
        <f t="shared" si="39"/>
        <v>10950</v>
      </c>
      <c r="DF43" s="188">
        <f t="shared" si="39"/>
        <v>13650</v>
      </c>
      <c r="DI43" s="186">
        <v>39</v>
      </c>
      <c r="DJ43" s="14">
        <f t="shared" si="21"/>
        <v>8</v>
      </c>
      <c r="DK43" s="14">
        <f t="shared" si="1"/>
        <v>2</v>
      </c>
      <c r="DL43" s="14">
        <f t="shared" si="2"/>
        <v>1101008</v>
      </c>
      <c r="DM43" s="136" t="s">
        <v>1097</v>
      </c>
      <c r="DN43" s="14">
        <f t="shared" si="3"/>
        <v>4</v>
      </c>
      <c r="DO43" s="14" t="str">
        <f t="shared" si="4"/>
        <v>黑尔坎普-4星</v>
      </c>
      <c r="DP43" s="136" t="s">
        <v>1103</v>
      </c>
      <c r="DQ43" s="14">
        <f t="shared" si="22"/>
        <v>16000</v>
      </c>
      <c r="DR43" s="14" t="str">
        <f t="shared" si="5"/>
        <v>黑尔坎普碎片</v>
      </c>
      <c r="DS43" s="14">
        <f t="shared" si="23"/>
        <v>20</v>
      </c>
    </row>
    <row r="44" spans="1:123" ht="16.5" x14ac:dyDescent="0.2">
      <c r="A44" s="14">
        <v>1102996</v>
      </c>
      <c r="B44" s="14" t="s">
        <v>1569</v>
      </c>
      <c r="C44" s="14">
        <v>5</v>
      </c>
      <c r="D44" s="14">
        <v>80</v>
      </c>
      <c r="E44" s="14">
        <v>1</v>
      </c>
      <c r="F44" s="193">
        <v>1502996</v>
      </c>
      <c r="K44" s="43"/>
      <c r="L44" s="43"/>
      <c r="M44" s="43"/>
      <c r="N44" s="43"/>
      <c r="O44" s="43"/>
      <c r="P44" s="141"/>
      <c r="Q44" s="141"/>
      <c r="R44" s="141"/>
      <c r="S44" s="141"/>
      <c r="T44" s="139">
        <v>40</v>
      </c>
      <c r="U44" s="139">
        <f>ROUND(INDEX(挂机升级突破!$DJ$6:$DJ$57,卡牌消耗!$T44)*INDEX(卡牌消耗!$B$8:$F$8,卡牌消耗!U$2)/$Q$4/5,0)*5</f>
        <v>15040</v>
      </c>
      <c r="V44" s="139">
        <f>ROUND(INDEX(挂机升级突破!$DJ$6:$DJ$57,卡牌消耗!$T44)*INDEX(卡牌消耗!$B$8:$F$8,卡牌消耗!V$2)/$Q$4/5,0)*5</f>
        <v>21490</v>
      </c>
      <c r="W44" s="139">
        <f>ROUND(INDEX(挂机升级突破!$DJ$6:$DJ$57,卡牌消耗!$T44)*INDEX(卡牌消耗!$B$8:$F$8,卡牌消耗!W$2)/$Q$4/5,0)*5</f>
        <v>32235</v>
      </c>
      <c r="X44" s="139">
        <f>ROUND(INDEX(挂机升级突破!$DJ$6:$DJ$57,卡牌消耗!$T44)*INDEX(卡牌消耗!$B$8:$F$8,卡牌消耗!X$2)/$Q$4/5,0)*5</f>
        <v>42975</v>
      </c>
      <c r="Y44" s="141"/>
      <c r="Z44" s="196">
        <v>2</v>
      </c>
      <c r="AA44" s="196">
        <v>40</v>
      </c>
      <c r="AB44" s="14">
        <f>ROUND(INDEX(挂机升级突破!DT$6:DT$57,卡牌消耗!$AA44)*INDEX(卡牌消耗!$B$5:$F$5,卡牌消耗!$Z44)/卡牌消耗!$Q$4/AB$2,0)*AB$2</f>
        <v>0</v>
      </c>
      <c r="AC44" s="14">
        <f>ROUND(INDEX(挂机升级突破!DU$6:DU$57,卡牌消耗!$AA44)*INDEX(卡牌消耗!$B$5:$F$5,卡牌消耗!$Z44)/卡牌消耗!$Q$4/AC$2,0)*AC$2</f>
        <v>0</v>
      </c>
      <c r="AD44" s="14">
        <f>ROUND(INDEX(挂机升级突破!DV$6:DV$57,卡牌消耗!$AA44)*INDEX(卡牌消耗!$B$5:$F$5,卡牌消耗!$Z44)/卡牌消耗!$Q$4/AD$2,0)*AD$2</f>
        <v>0</v>
      </c>
      <c r="AE44" s="14">
        <f>ROUND(INDEX(挂机升级突破!DW$6:DW$57,卡牌消耗!$AA44)*INDEX(卡牌消耗!$B$5:$F$5,卡牌消耗!$Z44)/卡牌消耗!$Q$4/AE$2,0)*AE$2</f>
        <v>0</v>
      </c>
      <c r="AF44" s="14">
        <f>ROUND(INDEX(挂机升级突破!DX$6:DX$57,卡牌消耗!$AA44)*INDEX(卡牌消耗!$B$5:$F$5,卡牌消耗!$Z44)/卡牌消耗!$Q$4/AF$2,0)*AF$2</f>
        <v>5</v>
      </c>
      <c r="AG44" s="14">
        <f>ROUND(INDEX(挂机升级突破!EC$6:EC$57,卡牌消耗!$AA44)*INDEX(卡牌消耗!$B$7:$F$7,卡牌消耗!$Z44)/卡牌消耗!$Q$4/AG$2,0)*AG$2</f>
        <v>1</v>
      </c>
      <c r="AH44" s="14">
        <f>ROUND(INDEX(挂机升级突破!ED$6:ED$57,卡牌消耗!$AA44)*INDEX(卡牌消耗!$B$8:$F$8,卡牌消耗!$Z44)/卡牌消耗!$Q$4/AH$2,0)*AH$2</f>
        <v>15050</v>
      </c>
      <c r="AI44" s="194"/>
      <c r="AJ44" s="194"/>
      <c r="AK44" s="104">
        <v>40</v>
      </c>
      <c r="AL44" s="14">
        <f t="shared" si="6"/>
        <v>1</v>
      </c>
      <c r="AM44" s="14">
        <f>INDEX(挂机升级突破!DQ$6:DQ$57,卡牌消耗!$AT44)</f>
        <v>11</v>
      </c>
      <c r="AN44" s="14">
        <f>INDEX(挂机升级突破!DR$6:DR$57,卡牌消耗!$AT44)</f>
        <v>5</v>
      </c>
      <c r="AO44" s="14">
        <f>INDEX(挂机升级突破!DS$6:DS$57,卡牌消耗!$AT44)</f>
        <v>0</v>
      </c>
      <c r="AP44" s="14">
        <f>INDEX(挂机升级突破!$DP$6:$DP$57,卡牌消耗!AT44)</f>
        <v>118</v>
      </c>
      <c r="AQ44" s="14" t="str">
        <f t="shared" si="7"/>
        <v>关羽</v>
      </c>
      <c r="AR44" s="14">
        <f t="shared" si="8"/>
        <v>5</v>
      </c>
      <c r="AS44" s="14" t="str">
        <f t="shared" si="9"/>
        <v>关羽魂火-40</v>
      </c>
      <c r="AT44" s="14">
        <f t="shared" si="10"/>
        <v>40</v>
      </c>
      <c r="AU44" s="14" t="str">
        <f>IF(AM44&gt;0,INDEX(挂机升级突破!$DT$4:$ED$4,AM44),"")</f>
        <v>金币</v>
      </c>
      <c r="AV44" s="14">
        <f>ROUND(INDEX(挂机升级突破!$DJ$6:$DJ$57,卡牌消耗!AT44)*INDEX(卡牌消耗!$B$8:$F$8,AR44)/$Q$4/50,0)*50</f>
        <v>43000</v>
      </c>
      <c r="AW44" s="14" t="str">
        <f>IF(AN44&gt;0,INDEX(挂机升级突破!$DT$4:$ED$4,AN44),"")</f>
        <v>红色基础材料</v>
      </c>
      <c r="AX44" s="14">
        <f>ROUND(INDEX(挂机升级突破!$DT$6:$ED$57,卡牌消耗!AT44,AN44)*INDEX(卡牌消耗!$B$5:$F$5,AR44)/$Q$4/5,0)*5</f>
        <v>10</v>
      </c>
      <c r="AY44" s="14" t="str">
        <f>IF(AO44&gt;0,INDEX(挂机升级突破!$DT$4:$ED$4,AO44),"")</f>
        <v/>
      </c>
      <c r="AZ44" s="14" t="str">
        <f>IF(AO44&gt;0,ROUND(INDEX(挂机升级突破!$DT$6:$ED$57,卡牌消耗!AT44,AO44)*INDEX(卡牌消耗!$B$7:$F$7,AR44)/$Q$4,0),"")</f>
        <v/>
      </c>
      <c r="BA44" s="106"/>
      <c r="BB44" s="197"/>
      <c r="BC44" s="196">
        <v>3</v>
      </c>
      <c r="BD44" s="196">
        <v>20</v>
      </c>
      <c r="BE44" s="14">
        <f>ROUND(INDEX(挂机升级突破!ER$7:ER$26,卡牌消耗!$BD44)*INDEX(卡牌消耗!$B$6:$F$6,$BC44)/$Q$4,0)</f>
        <v>0</v>
      </c>
      <c r="BF44" s="14">
        <f>ROUND(INDEX(挂机升级突破!ES$7:ES$26,卡牌消耗!$BD44)*INDEX(卡牌消耗!$B$6:$F$6,$BC44)/$Q$4,0)</f>
        <v>0</v>
      </c>
      <c r="BG44" s="14">
        <f>ROUND(INDEX(挂机升级突破!ET$7:ET$26,卡牌消耗!$BD44)*INDEX(卡牌消耗!$B$6:$F$6,$BC44)/$Q$4,0)</f>
        <v>0</v>
      </c>
      <c r="BH44" s="14">
        <f>ROUND(INDEX(挂机升级突破!EU$7:EU$26,卡牌消耗!$BD44)*INDEX(卡牌消耗!$B$6:$F$6,$BC44)/$Q$4,0)</f>
        <v>42</v>
      </c>
      <c r="BI44" s="14">
        <f>ROUND(INDEX(挂机升级突破!$EV$7:$EV$26,卡牌消耗!BD44)*INDEX(卡牌消耗!$B$8:$F$8,$BC44)/$Q$4/BI$2,0)*BI$2</f>
        <v>410500</v>
      </c>
      <c r="BJ44" s="43"/>
      <c r="BK44" s="43"/>
      <c r="BL44" s="104">
        <v>40</v>
      </c>
      <c r="BM44" s="14">
        <f t="shared" si="11"/>
        <v>2</v>
      </c>
      <c r="BN44" s="14">
        <f>INDEX(挂机升级突破!$EI$7:$EI$26,BS44)</f>
        <v>5</v>
      </c>
      <c r="BO44" s="14">
        <f>INDEX(挂机升级突破!$EJ$7:$EJ$26,BS44)</f>
        <v>4</v>
      </c>
      <c r="BP44" s="14">
        <f t="shared" si="12"/>
        <v>3</v>
      </c>
      <c r="BQ44" s="14">
        <f>INDEX(挂机升级突破!$EH$7:$EH$26,卡牌消耗!BS44)</f>
        <v>140</v>
      </c>
      <c r="BR44" s="14" t="str">
        <f t="shared" si="13"/>
        <v>许褚</v>
      </c>
      <c r="BS44" s="14">
        <f t="shared" si="14"/>
        <v>20</v>
      </c>
      <c r="BT44" s="14" t="str">
        <f t="shared" si="15"/>
        <v>许褚20突</v>
      </c>
      <c r="BU44" s="14" t="str">
        <f>IF(BN44&gt;0,INDEX(挂机升级突破!$ER$5:$EV$5,卡牌消耗!BN44),"")</f>
        <v>金币</v>
      </c>
      <c r="BV44" s="14">
        <f>IF(BN44&gt;0,ROUND(INDEX(挂机升级突破!$EV$7:$EV$26,卡牌消耗!BS44)*INDEX(卡牌消耗!$B$8:$F$8,BP44)/$Q$4/500,0)*500,"")</f>
        <v>410500</v>
      </c>
      <c r="BW44" s="14" t="str">
        <f>IF(BO44&gt;0,INDEX(挂机升级突破!$ER$5:$EV$5,卡牌消耗!BO44),"")</f>
        <v>铀金</v>
      </c>
      <c r="BX44" s="14">
        <f>IF(BO44&gt;0,ROUND(INDEX(挂机升级突破!$ER$7:$EU$26,卡牌消耗!BS44,卡牌消耗!BO44)*INDEX($B$6:$F$6,BP44)/$Q$4/5,0)*5,"")</f>
        <v>40</v>
      </c>
      <c r="BY44" s="193"/>
      <c r="BZ44" s="193"/>
      <c r="CA44" s="43"/>
      <c r="CS44" s="171"/>
      <c r="CT44" s="173" t="s">
        <v>120</v>
      </c>
      <c r="CU44" s="169">
        <v>7</v>
      </c>
      <c r="CV44" s="169">
        <v>40</v>
      </c>
      <c r="CW44" s="169">
        <v>5</v>
      </c>
      <c r="CX44" s="21">
        <f t="shared" ref="CX44" si="45">CW44/$CU46</f>
        <v>0.18181818181818182</v>
      </c>
      <c r="CY44" s="169">
        <f t="shared" ref="CY44" si="46">INT($CU45*CX44/5)*5</f>
        <v>9260</v>
      </c>
      <c r="CZ44" s="169">
        <f>SUM(CY$5:CY44)</f>
        <v>159220</v>
      </c>
      <c r="DB44" s="188">
        <f t="shared" si="39"/>
        <v>4600</v>
      </c>
      <c r="DC44" s="188">
        <f t="shared" si="39"/>
        <v>7400</v>
      </c>
      <c r="DD44" s="188">
        <f t="shared" si="39"/>
        <v>9250</v>
      </c>
      <c r="DE44" s="188">
        <f t="shared" si="39"/>
        <v>11100</v>
      </c>
      <c r="DF44" s="188">
        <f t="shared" si="39"/>
        <v>13850</v>
      </c>
      <c r="DI44" s="186">
        <v>40</v>
      </c>
      <c r="DJ44" s="14">
        <f t="shared" si="21"/>
        <v>8</v>
      </c>
      <c r="DK44" s="14">
        <f t="shared" si="1"/>
        <v>2</v>
      </c>
      <c r="DL44" s="14">
        <f t="shared" si="2"/>
        <v>1101008</v>
      </c>
      <c r="DM44" s="136" t="s">
        <v>1097</v>
      </c>
      <c r="DN44" s="14">
        <f t="shared" si="3"/>
        <v>5</v>
      </c>
      <c r="DO44" s="14" t="str">
        <f t="shared" si="4"/>
        <v>黑尔坎普-5星</v>
      </c>
      <c r="DP44" s="136" t="s">
        <v>1103</v>
      </c>
      <c r="DQ44" s="14">
        <f t="shared" si="22"/>
        <v>30000</v>
      </c>
      <c r="DR44" s="14" t="str">
        <f t="shared" si="5"/>
        <v>黑尔坎普碎片</v>
      </c>
      <c r="DS44" s="14">
        <f t="shared" si="23"/>
        <v>20</v>
      </c>
    </row>
    <row r="45" spans="1:123" ht="16.5" x14ac:dyDescent="0.2">
      <c r="K45" s="15"/>
      <c r="L45" s="15"/>
      <c r="M45" s="15"/>
      <c r="N45" s="15"/>
      <c r="O45" s="137"/>
      <c r="P45" s="141"/>
      <c r="Q45" s="141"/>
      <c r="R45" s="141"/>
      <c r="S45" s="141"/>
      <c r="T45" s="139">
        <v>41</v>
      </c>
      <c r="U45" s="139">
        <f>ROUND(INDEX(挂机升级突破!$DJ$6:$DJ$57,卡牌消耗!$T45)*INDEX(卡牌消耗!$B$8:$F$8,卡牌消耗!U$2)/$Q$4/5,0)*5</f>
        <v>20685</v>
      </c>
      <c r="V45" s="139">
        <f>ROUND(INDEX(挂机升级突破!$DJ$6:$DJ$57,卡牌消耗!$T45)*INDEX(卡牌消耗!$B$8:$F$8,卡牌消耗!V$2)/$Q$4/5,0)*5</f>
        <v>29545</v>
      </c>
      <c r="W45" s="139">
        <f>ROUND(INDEX(挂机升级突破!$DJ$6:$DJ$57,卡牌消耗!$T45)*INDEX(卡牌消耗!$B$8:$F$8,卡牌消耗!W$2)/$Q$4/5,0)*5</f>
        <v>44320</v>
      </c>
      <c r="X45" s="139">
        <f>ROUND(INDEX(挂机升级突破!$DJ$6:$DJ$57,卡牌消耗!$T45)*INDEX(卡牌消耗!$B$8:$F$8,卡牌消耗!X$2)/$Q$4/5,0)*5</f>
        <v>59095</v>
      </c>
      <c r="Y45" s="141"/>
      <c r="Z45" s="196">
        <v>2</v>
      </c>
      <c r="AA45" s="196">
        <v>41</v>
      </c>
      <c r="AB45" s="14">
        <f>ROUND(INDEX(挂机升级突破!DT$6:DT$57,卡牌消耗!$AA45)*INDEX(卡牌消耗!$B$5:$F$5,卡牌消耗!$Z45)/卡牌消耗!$Q$4/AB$2,0)*AB$2</f>
        <v>0</v>
      </c>
      <c r="AC45" s="14">
        <f>ROUND(INDEX(挂机升级突破!DU$6:DU$57,卡牌消耗!$AA45)*INDEX(卡牌消耗!$B$5:$F$5,卡牌消耗!$Z45)/卡牌消耗!$Q$4/AC$2,0)*AC$2</f>
        <v>0</v>
      </c>
      <c r="AD45" s="14">
        <f>ROUND(INDEX(挂机升级突破!DV$6:DV$57,卡牌消耗!$AA45)*INDEX(卡牌消耗!$B$5:$F$5,卡牌消耗!$Z45)/卡牌消耗!$Q$4/AD$2,0)*AD$2</f>
        <v>0</v>
      </c>
      <c r="AE45" s="14">
        <f>ROUND(INDEX(挂机升级突破!DW$6:DW$57,卡牌消耗!$AA45)*INDEX(卡牌消耗!$B$5:$F$5,卡牌消耗!$Z45)/卡牌消耗!$Q$4/AE$2,0)*AE$2</f>
        <v>0</v>
      </c>
      <c r="AF45" s="14">
        <f>ROUND(INDEX(挂机升级突破!DX$6:DX$57,卡牌消耗!$AA45)*INDEX(卡牌消耗!$B$5:$F$5,卡牌消耗!$Z45)/卡牌消耗!$Q$4/AF$2,0)*AF$2</f>
        <v>10</v>
      </c>
      <c r="AG45" s="14">
        <f>ROUND(INDEX(挂机升级突破!EC$6:EC$57,卡牌消耗!$AA45)*INDEX(卡牌消耗!$B$7:$F$7,卡牌消耗!$Z45)/卡牌消耗!$Q$4/AG$2,0)*AG$2</f>
        <v>1</v>
      </c>
      <c r="AH45" s="14">
        <f>ROUND(INDEX(挂机升级突破!ED$6:ED$57,卡牌消耗!$AA45)*INDEX(卡牌消耗!$B$8:$F$8,卡牌消耗!$Z45)/卡牌消耗!$Q$4/AH$2,0)*AH$2</f>
        <v>20700</v>
      </c>
      <c r="AI45" s="194"/>
      <c r="AJ45" s="194"/>
      <c r="AK45" s="104">
        <v>41</v>
      </c>
      <c r="AL45" s="14">
        <f t="shared" si="6"/>
        <v>1</v>
      </c>
      <c r="AM45" s="14">
        <f>INDEX(挂机升级突破!DQ$6:DQ$57,卡牌消耗!$AT45)</f>
        <v>11</v>
      </c>
      <c r="AN45" s="14">
        <f>INDEX(挂机升级突破!DR$6:DR$57,卡牌消耗!$AT45)</f>
        <v>5</v>
      </c>
      <c r="AO45" s="14">
        <f>INDEX(挂机升级突破!DS$6:DS$57,卡牌消耗!$AT45)</f>
        <v>10</v>
      </c>
      <c r="AP45" s="14">
        <f>INDEX(挂机升级突破!$DP$6:$DP$57,卡牌消耗!AT45)</f>
        <v>120</v>
      </c>
      <c r="AQ45" s="14" t="str">
        <f t="shared" si="7"/>
        <v>关羽</v>
      </c>
      <c r="AR45" s="14">
        <f t="shared" si="8"/>
        <v>5</v>
      </c>
      <c r="AS45" s="14" t="str">
        <f t="shared" si="9"/>
        <v>关羽魂火-41</v>
      </c>
      <c r="AT45" s="14">
        <f t="shared" si="10"/>
        <v>41</v>
      </c>
      <c r="AU45" s="14" t="str">
        <f>IF(AM45&gt;0,INDEX(挂机升级突破!$DT$4:$ED$4,AM45),"")</f>
        <v>金币</v>
      </c>
      <c r="AV45" s="14">
        <f>ROUND(INDEX(挂机升级突破!$DJ$6:$DJ$57,卡牌消耗!AT45)*INDEX(卡牌消耗!$B$8:$F$8,AR45)/$Q$4/50,0)*50</f>
        <v>59100</v>
      </c>
      <c r="AW45" s="14" t="str">
        <f>IF(AN45&gt;0,INDEX(挂机升级突破!$DT$4:$ED$4,AN45),"")</f>
        <v>红色基础材料</v>
      </c>
      <c r="AX45" s="14">
        <f>ROUND(INDEX(挂机升级突破!$DT$6:$ED$57,卡牌消耗!AT45,AN45)*INDEX(卡牌消耗!$B$5:$F$5,AR45)/$Q$4/5,0)*5</f>
        <v>15</v>
      </c>
      <c r="AY45" s="14" t="str">
        <f>IF(AO45&gt;0,INDEX(挂机升级突破!$DT$4:$ED$4,AO45),"")</f>
        <v>灵玉</v>
      </c>
      <c r="AZ45" s="14">
        <f>IF(AO45&gt;0,ROUND(INDEX(挂机升级突破!$DT$6:$ED$57,卡牌消耗!AT45,AO45)*INDEX(卡牌消耗!$B$7:$F$7,AR45)/$Q$4,0),"")</f>
        <v>4</v>
      </c>
      <c r="BA45" s="106"/>
      <c r="BB45" s="197"/>
      <c r="BC45" s="196">
        <v>4</v>
      </c>
      <c r="BD45" s="196">
        <v>1</v>
      </c>
      <c r="BE45" s="14">
        <f>ROUND(INDEX(挂机升级突破!ER$7:ER$26,卡牌消耗!$BD45)*INDEX(卡牌消耗!$B$6:$F$6,$BC45)/$Q$4,0)</f>
        <v>0</v>
      </c>
      <c r="BF45" s="14">
        <f>ROUND(INDEX(挂机升级突破!ES$7:ES$26,卡牌消耗!$BD45)*INDEX(卡牌消耗!$B$6:$F$6,$BC45)/$Q$4,0)</f>
        <v>0</v>
      </c>
      <c r="BG45" s="14">
        <f>ROUND(INDEX(挂机升级突破!ET$7:ET$26,卡牌消耗!$BD45)*INDEX(卡牌消耗!$B$6:$F$6,$BC45)/$Q$4,0)</f>
        <v>0</v>
      </c>
      <c r="BH45" s="14">
        <f>ROUND(INDEX(挂机升级突破!EU$7:EU$26,卡牌消耗!$BD45)*INDEX(卡牌消耗!$B$6:$F$6,$BC45)/$Q$4,0)</f>
        <v>0</v>
      </c>
      <c r="BI45" s="14">
        <f>ROUND(INDEX(挂机升级突破!$EV$7:$EV$26,卡牌消耗!BD45)*INDEX(卡牌消耗!$B$8:$F$8,$BC45)/$Q$4/BI$2,0)*BI$2</f>
        <v>2000</v>
      </c>
      <c r="BJ45" s="197"/>
      <c r="BK45" s="197"/>
      <c r="BL45" s="104">
        <v>41</v>
      </c>
      <c r="BM45" s="14">
        <f t="shared" si="11"/>
        <v>3</v>
      </c>
      <c r="BN45" s="14">
        <f>INDEX(挂机升级突破!$EI$7:$EI$26,BS45)</f>
        <v>0</v>
      </c>
      <c r="BO45" s="14">
        <f>INDEX(挂机升级突破!$EJ$7:$EJ$26,BS45)</f>
        <v>0</v>
      </c>
      <c r="BP45" s="14">
        <f t="shared" si="12"/>
        <v>4</v>
      </c>
      <c r="BQ45" s="14">
        <f>INDEX(挂机升级突破!$EH$7:$EH$26,卡牌消耗!BS45)</f>
        <v>1</v>
      </c>
      <c r="BR45" s="14" t="str">
        <f t="shared" si="13"/>
        <v>典韦</v>
      </c>
      <c r="BS45" s="14">
        <f t="shared" si="14"/>
        <v>1</v>
      </c>
      <c r="BT45" s="14" t="str">
        <f t="shared" si="15"/>
        <v>典韦1突</v>
      </c>
      <c r="BU45" s="14" t="str">
        <f>IF(BN45&gt;0,INDEX(挂机升级突破!$ER$5:$EV$5,卡牌消耗!BN45),"")</f>
        <v/>
      </c>
      <c r="BV45" s="14" t="str">
        <f>IF(BN45&gt;0,ROUND(INDEX(挂机升级突破!$EV$7:$EV$26,卡牌消耗!BS45)*INDEX(卡牌消耗!$B$8:$F$8,BP45)/$Q$4/500,0)*500,"")</f>
        <v/>
      </c>
      <c r="BW45" s="14" t="str">
        <f>IF(BO45&gt;0,INDEX(挂机升级突破!$ER$5:$EV$5,卡牌消耗!BO45),"")</f>
        <v/>
      </c>
      <c r="BX45" s="14" t="str">
        <f>IF(BO45&gt;0,ROUND(INDEX(挂机升级突破!$ER$7:$EU$26,卡牌消耗!BS45,卡牌消耗!BO45)*INDEX($B$6:$F$6,BP45)/$Q$4/5,0)*5,"")</f>
        <v/>
      </c>
      <c r="BY45" s="193"/>
      <c r="BZ45" s="193"/>
      <c r="CA45" s="106"/>
      <c r="CS45" s="171"/>
      <c r="CT45" s="171"/>
      <c r="CU45" s="14">
        <f>INDEX($CP$5:$CP$32,CU44)</f>
        <v>50940</v>
      </c>
      <c r="CV45" s="169">
        <v>41</v>
      </c>
      <c r="CW45" s="169">
        <v>5.25</v>
      </c>
      <c r="CX45" s="21">
        <f t="shared" ref="CX45" si="47">CW45/$CU46</f>
        <v>0.19090909090909092</v>
      </c>
      <c r="CY45" s="169">
        <f t="shared" ref="CY45" si="48">INT($CU45*CX45/5)*5</f>
        <v>9720</v>
      </c>
      <c r="CZ45" s="169">
        <f>SUM(CY$5:CY45)</f>
        <v>168940</v>
      </c>
      <c r="DB45" s="188">
        <f t="shared" si="39"/>
        <v>4850</v>
      </c>
      <c r="DC45" s="188">
        <f t="shared" si="39"/>
        <v>7750</v>
      </c>
      <c r="DD45" s="188">
        <f t="shared" si="39"/>
        <v>9700</v>
      </c>
      <c r="DE45" s="188">
        <f t="shared" si="39"/>
        <v>11650</v>
      </c>
      <c r="DF45" s="188">
        <f t="shared" si="39"/>
        <v>14550</v>
      </c>
      <c r="DI45" s="186">
        <v>41</v>
      </c>
      <c r="DJ45" s="14">
        <f t="shared" si="21"/>
        <v>9</v>
      </c>
      <c r="DK45" s="14">
        <f t="shared" si="1"/>
        <v>3</v>
      </c>
      <c r="DL45" s="14">
        <f t="shared" si="2"/>
        <v>1101009</v>
      </c>
      <c r="DM45" s="136" t="s">
        <v>1097</v>
      </c>
      <c r="DN45" s="14">
        <f t="shared" si="3"/>
        <v>1</v>
      </c>
      <c r="DO45" s="14" t="str">
        <f t="shared" si="4"/>
        <v>北落师门-1星</v>
      </c>
      <c r="DP45" s="136" t="s">
        <v>1103</v>
      </c>
      <c r="DQ45" s="14">
        <f t="shared" si="22"/>
        <v>4000</v>
      </c>
      <c r="DR45" s="14" t="str">
        <f t="shared" si="5"/>
        <v>北落师门碎片</v>
      </c>
      <c r="DS45" s="14">
        <f t="shared" si="23"/>
        <v>40</v>
      </c>
    </row>
    <row r="46" spans="1:123" ht="16.5" x14ac:dyDescent="0.2">
      <c r="K46" s="15"/>
      <c r="L46" s="15"/>
      <c r="M46" s="15"/>
      <c r="N46" s="15"/>
      <c r="O46" s="137"/>
      <c r="P46" s="141"/>
      <c r="Q46" s="141"/>
      <c r="R46" s="141"/>
      <c r="S46" s="141"/>
      <c r="T46" s="139">
        <v>42</v>
      </c>
      <c r="U46" s="139">
        <f>ROUND(INDEX(挂机升级突破!$DJ$6:$DJ$57,卡牌消耗!$T46)*INDEX(卡牌消耗!$B$8:$F$8,卡牌消耗!U$2)/$Q$4/5,0)*5</f>
        <v>20685</v>
      </c>
      <c r="V46" s="139">
        <f>ROUND(INDEX(挂机升级突破!$DJ$6:$DJ$57,卡牌消耗!$T46)*INDEX(卡牌消耗!$B$8:$F$8,卡牌消耗!V$2)/$Q$4/5,0)*5</f>
        <v>29545</v>
      </c>
      <c r="W46" s="139">
        <f>ROUND(INDEX(挂机升级突破!$DJ$6:$DJ$57,卡牌消耗!$T46)*INDEX(卡牌消耗!$B$8:$F$8,卡牌消耗!W$2)/$Q$4/5,0)*5</f>
        <v>44320</v>
      </c>
      <c r="X46" s="139">
        <f>ROUND(INDEX(挂机升级突破!$DJ$6:$DJ$57,卡牌消耗!$T46)*INDEX(卡牌消耗!$B$8:$F$8,卡牌消耗!X$2)/$Q$4/5,0)*5</f>
        <v>59095</v>
      </c>
      <c r="Y46" s="141"/>
      <c r="Z46" s="196">
        <v>2</v>
      </c>
      <c r="AA46" s="196">
        <v>42</v>
      </c>
      <c r="AB46" s="14">
        <f>ROUND(INDEX(挂机升级突破!DT$6:DT$57,卡牌消耗!$AA46)*INDEX(卡牌消耗!$B$5:$F$5,卡牌消耗!$Z46)/卡牌消耗!$Q$4/AB$2,0)*AB$2</f>
        <v>0</v>
      </c>
      <c r="AC46" s="14">
        <f>ROUND(INDEX(挂机升级突破!DU$6:DU$57,卡牌消耗!$AA46)*INDEX(卡牌消耗!$B$5:$F$5,卡牌消耗!$Z46)/卡牌消耗!$Q$4/AC$2,0)*AC$2</f>
        <v>0</v>
      </c>
      <c r="AD46" s="14">
        <f>ROUND(INDEX(挂机升级突破!DV$6:DV$57,卡牌消耗!$AA46)*INDEX(卡牌消耗!$B$5:$F$5,卡牌消耗!$Z46)/卡牌消耗!$Q$4/AD$2,0)*AD$2</f>
        <v>0</v>
      </c>
      <c r="AE46" s="14">
        <f>ROUND(INDEX(挂机升级突破!DW$6:DW$57,卡牌消耗!$AA46)*INDEX(卡牌消耗!$B$5:$F$5,卡牌消耗!$Z46)/卡牌消耗!$Q$4/AE$2,0)*AE$2</f>
        <v>0</v>
      </c>
      <c r="AF46" s="14">
        <f>ROUND(INDEX(挂机升级突破!DX$6:DX$57,卡牌消耗!$AA46)*INDEX(卡牌消耗!$B$5:$F$5,卡牌消耗!$Z46)/卡牌消耗!$Q$4/AF$2,0)*AF$2</f>
        <v>10</v>
      </c>
      <c r="AG46" s="14">
        <f>ROUND(INDEX(挂机升级突破!EC$6:EC$57,卡牌消耗!$AA46)*INDEX(卡牌消耗!$B$7:$F$7,卡牌消耗!$Z46)/卡牌消耗!$Q$4/AG$2,0)*AG$2</f>
        <v>1</v>
      </c>
      <c r="AH46" s="14">
        <f>ROUND(INDEX(挂机升级突破!ED$6:ED$57,卡牌消耗!$AA46)*INDEX(卡牌消耗!$B$8:$F$8,卡牌消耗!$Z46)/卡牌消耗!$Q$4/AH$2,0)*AH$2</f>
        <v>20700</v>
      </c>
      <c r="AI46" s="194"/>
      <c r="AJ46" s="194"/>
      <c r="AK46" s="104">
        <v>42</v>
      </c>
      <c r="AL46" s="14">
        <f t="shared" si="6"/>
        <v>1</v>
      </c>
      <c r="AM46" s="14">
        <f>INDEX(挂机升级突破!DQ$6:DQ$57,卡牌消耗!$AT46)</f>
        <v>11</v>
      </c>
      <c r="AN46" s="14">
        <f>INDEX(挂机升级突破!DR$6:DR$57,卡牌消耗!$AT46)</f>
        <v>5</v>
      </c>
      <c r="AO46" s="14">
        <f>INDEX(挂机升级突破!DS$6:DS$57,卡牌消耗!$AT46)</f>
        <v>10</v>
      </c>
      <c r="AP46" s="14">
        <f>INDEX(挂机升级突破!$DP$6:$DP$57,卡牌消耗!AT46)</f>
        <v>123</v>
      </c>
      <c r="AQ46" s="14" t="str">
        <f t="shared" si="7"/>
        <v>关羽</v>
      </c>
      <c r="AR46" s="14">
        <f t="shared" si="8"/>
        <v>5</v>
      </c>
      <c r="AS46" s="14" t="str">
        <f t="shared" si="9"/>
        <v>关羽魂火-42</v>
      </c>
      <c r="AT46" s="14">
        <f t="shared" si="10"/>
        <v>42</v>
      </c>
      <c r="AU46" s="14" t="str">
        <f>IF(AM46&gt;0,INDEX(挂机升级突破!$DT$4:$ED$4,AM46),"")</f>
        <v>金币</v>
      </c>
      <c r="AV46" s="14">
        <f>ROUND(INDEX(挂机升级突破!$DJ$6:$DJ$57,卡牌消耗!AT46)*INDEX(卡牌消耗!$B$8:$F$8,AR46)/$Q$4/50,0)*50</f>
        <v>59100</v>
      </c>
      <c r="AW46" s="14" t="str">
        <f>IF(AN46&gt;0,INDEX(挂机升级突破!$DT$4:$ED$4,AN46),"")</f>
        <v>红色基础材料</v>
      </c>
      <c r="AX46" s="14">
        <f>ROUND(INDEX(挂机升级突破!$DT$6:$ED$57,卡牌消耗!AT46,AN46)*INDEX(卡牌消耗!$B$5:$F$5,AR46)/$Q$4/5,0)*5</f>
        <v>15</v>
      </c>
      <c r="AY46" s="14" t="str">
        <f>IF(AO46&gt;0,INDEX(挂机升级突破!$DT$4:$ED$4,AO46),"")</f>
        <v>灵玉</v>
      </c>
      <c r="AZ46" s="14">
        <f>IF(AO46&gt;0,ROUND(INDEX(挂机升级突破!$DT$6:$ED$57,卡牌消耗!AT46,AO46)*INDEX(卡牌消耗!$B$7:$F$7,AR46)/$Q$4,0),"")</f>
        <v>4</v>
      </c>
      <c r="BA46" s="106"/>
      <c r="BB46" s="197"/>
      <c r="BC46" s="196">
        <v>4</v>
      </c>
      <c r="BD46" s="196">
        <v>2</v>
      </c>
      <c r="BE46" s="14">
        <f>ROUND(INDEX(挂机升级突破!ER$7:ER$26,卡牌消耗!$BD46)*INDEX(卡牌消耗!$B$6:$F$6,$BC46)/$Q$4,0)</f>
        <v>2</v>
      </c>
      <c r="BF46" s="14">
        <f>ROUND(INDEX(挂机升级突破!ES$7:ES$26,卡牌消耗!$BD46)*INDEX(卡牌消耗!$B$6:$F$6,$BC46)/$Q$4,0)</f>
        <v>0</v>
      </c>
      <c r="BG46" s="14">
        <f>ROUND(INDEX(挂机升级突破!ET$7:ET$26,卡牌消耗!$BD46)*INDEX(卡牌消耗!$B$6:$F$6,$BC46)/$Q$4,0)</f>
        <v>0</v>
      </c>
      <c r="BH46" s="14">
        <f>ROUND(INDEX(挂机升级突破!EU$7:EU$26,卡牌消耗!$BD46)*INDEX(卡牌消耗!$B$6:$F$6,$BC46)/$Q$4,0)</f>
        <v>0</v>
      </c>
      <c r="BI46" s="14">
        <f>ROUND(INDEX(挂机升级突破!$EV$7:$EV$26,卡牌消耗!BD46)*INDEX(卡牌消耗!$B$8:$F$8,$BC46)/$Q$4/BI$2,0)*BI$2</f>
        <v>4500</v>
      </c>
      <c r="BJ46" s="197"/>
      <c r="BK46" s="197"/>
      <c r="BL46" s="104">
        <v>42</v>
      </c>
      <c r="BM46" s="14">
        <f t="shared" si="11"/>
        <v>3</v>
      </c>
      <c r="BN46" s="14">
        <f>INDEX(挂机升级突破!$EI$7:$EI$26,BS46)</f>
        <v>5</v>
      </c>
      <c r="BO46" s="14">
        <f>INDEX(挂机升级突破!$EJ$7:$EJ$26,BS46)</f>
        <v>1</v>
      </c>
      <c r="BP46" s="14">
        <f t="shared" si="12"/>
        <v>4</v>
      </c>
      <c r="BQ46" s="14">
        <f>INDEX(挂机升级突破!$EH$7:$EH$26,卡牌消耗!BS46)</f>
        <v>5</v>
      </c>
      <c r="BR46" s="14" t="str">
        <f t="shared" si="13"/>
        <v>典韦</v>
      </c>
      <c r="BS46" s="14">
        <f t="shared" si="14"/>
        <v>2</v>
      </c>
      <c r="BT46" s="14" t="str">
        <f t="shared" si="15"/>
        <v>典韦2突</v>
      </c>
      <c r="BU46" s="14" t="str">
        <f>IF(BN46&gt;0,INDEX(挂机升级突破!$ER$5:$EV$5,卡牌消耗!BN46),"")</f>
        <v>金币</v>
      </c>
      <c r="BV46" s="14">
        <f>IF(BN46&gt;0,ROUND(INDEX(挂机升级突破!$EV$7:$EV$26,卡牌消耗!BS46)*INDEX(卡牌消耗!$B$8:$F$8,BP46)/$Q$4/500,0)*500,"")</f>
        <v>4500</v>
      </c>
      <c r="BW46" s="14" t="str">
        <f>IF(BO46&gt;0,INDEX(挂机升级突破!$ER$5:$EV$5,卡牌消耗!BO46),"")</f>
        <v>玄铁</v>
      </c>
      <c r="BX46" s="14">
        <f>IF(BO46&gt;0,ROUND(INDEX(挂机升级突破!$ER$7:$EU$26,卡牌消耗!BS46,卡牌消耗!BO46)*INDEX($B$6:$F$6,BP46)/$Q$4,0),"")</f>
        <v>2</v>
      </c>
      <c r="BY46" s="193"/>
      <c r="BZ46" s="193"/>
      <c r="CA46" s="106"/>
      <c r="CS46" s="171"/>
      <c r="CT46" s="170"/>
      <c r="CU46" s="14">
        <f>SUMIFS($CW$5:$CW$154,$CV$5:$CV$154,"&gt;="&amp;INDEX($CE$5:$CE$32,CU44),$CV$5:$CV$154,"&lt;"&amp;INDEX($CF$5:$CF$32,CU44))</f>
        <v>27.5</v>
      </c>
      <c r="CV46" s="169">
        <v>42</v>
      </c>
      <c r="CW46" s="169">
        <v>5.5</v>
      </c>
      <c r="CX46" s="21">
        <f t="shared" ref="CX46" si="49">CW46/$CU46</f>
        <v>0.2</v>
      </c>
      <c r="CY46" s="169">
        <f t="shared" ref="CY46" si="50">INT($CU45*CX46/5)*5</f>
        <v>10185</v>
      </c>
      <c r="CZ46" s="169">
        <f>SUM(CY$5:CY46)</f>
        <v>179125</v>
      </c>
      <c r="DB46" s="188">
        <f t="shared" si="39"/>
        <v>5050</v>
      </c>
      <c r="DC46" s="188">
        <f t="shared" si="39"/>
        <v>8100</v>
      </c>
      <c r="DD46" s="188">
        <f t="shared" si="39"/>
        <v>10150</v>
      </c>
      <c r="DE46" s="188">
        <f t="shared" si="39"/>
        <v>12200</v>
      </c>
      <c r="DF46" s="188">
        <f t="shared" si="39"/>
        <v>15250</v>
      </c>
      <c r="DI46" s="186">
        <v>42</v>
      </c>
      <c r="DJ46" s="14">
        <f t="shared" si="21"/>
        <v>9</v>
      </c>
      <c r="DK46" s="14">
        <f t="shared" si="1"/>
        <v>3</v>
      </c>
      <c r="DL46" s="14">
        <f t="shared" si="2"/>
        <v>1101009</v>
      </c>
      <c r="DM46" s="136" t="s">
        <v>1097</v>
      </c>
      <c r="DN46" s="14">
        <f t="shared" si="3"/>
        <v>2</v>
      </c>
      <c r="DO46" s="14" t="str">
        <f t="shared" si="4"/>
        <v>北落师门-2星</v>
      </c>
      <c r="DP46" s="136" t="s">
        <v>1103</v>
      </c>
      <c r="DQ46" s="14">
        <f t="shared" si="22"/>
        <v>5000</v>
      </c>
      <c r="DR46" s="14" t="str">
        <f t="shared" si="5"/>
        <v>北落师门碎片</v>
      </c>
      <c r="DS46" s="14">
        <f t="shared" si="23"/>
        <v>40</v>
      </c>
    </row>
    <row r="47" spans="1:123" ht="16.5" x14ac:dyDescent="0.2">
      <c r="K47" s="15"/>
      <c r="L47" s="15"/>
      <c r="M47" s="15"/>
      <c r="N47" s="15"/>
      <c r="O47" s="137"/>
      <c r="P47" s="141"/>
      <c r="Q47" s="141"/>
      <c r="R47" s="141"/>
      <c r="S47" s="141"/>
      <c r="T47" s="139">
        <v>43</v>
      </c>
      <c r="U47" s="139">
        <f>ROUND(INDEX(挂机升级突破!$DJ$6:$DJ$57,卡牌消耗!$T47)*INDEX(卡牌消耗!$B$8:$F$8,卡牌消耗!U$2)/$Q$4/5,0)*5</f>
        <v>20685</v>
      </c>
      <c r="V47" s="139">
        <f>ROUND(INDEX(挂机升级突破!$DJ$6:$DJ$57,卡牌消耗!$T47)*INDEX(卡牌消耗!$B$8:$F$8,卡牌消耗!V$2)/$Q$4/5,0)*5</f>
        <v>29545</v>
      </c>
      <c r="W47" s="139">
        <f>ROUND(INDEX(挂机升级突破!$DJ$6:$DJ$57,卡牌消耗!$T47)*INDEX(卡牌消耗!$B$8:$F$8,卡牌消耗!W$2)/$Q$4/5,0)*5</f>
        <v>44320</v>
      </c>
      <c r="X47" s="139">
        <f>ROUND(INDEX(挂机升级突破!$DJ$6:$DJ$57,卡牌消耗!$T47)*INDEX(卡牌消耗!$B$8:$F$8,卡牌消耗!X$2)/$Q$4/5,0)*5</f>
        <v>59095</v>
      </c>
      <c r="Y47" s="141"/>
      <c r="Z47" s="196">
        <v>2</v>
      </c>
      <c r="AA47" s="196">
        <v>43</v>
      </c>
      <c r="AB47" s="14">
        <f>ROUND(INDEX(挂机升级突破!DT$6:DT$57,卡牌消耗!$AA47)*INDEX(卡牌消耗!$B$5:$F$5,卡牌消耗!$Z47)/卡牌消耗!$Q$4/AB$2,0)*AB$2</f>
        <v>0</v>
      </c>
      <c r="AC47" s="14">
        <f>ROUND(INDEX(挂机升级突破!DU$6:DU$57,卡牌消耗!$AA47)*INDEX(卡牌消耗!$B$5:$F$5,卡牌消耗!$Z47)/卡牌消耗!$Q$4/AC$2,0)*AC$2</f>
        <v>0</v>
      </c>
      <c r="AD47" s="14">
        <f>ROUND(INDEX(挂机升级突破!DV$6:DV$57,卡牌消耗!$AA47)*INDEX(卡牌消耗!$B$5:$F$5,卡牌消耗!$Z47)/卡牌消耗!$Q$4/AD$2,0)*AD$2</f>
        <v>0</v>
      </c>
      <c r="AE47" s="14">
        <f>ROUND(INDEX(挂机升级突破!DW$6:DW$57,卡牌消耗!$AA47)*INDEX(卡牌消耗!$B$5:$F$5,卡牌消耗!$Z47)/卡牌消耗!$Q$4/AE$2,0)*AE$2</f>
        <v>0</v>
      </c>
      <c r="AF47" s="14">
        <f>ROUND(INDEX(挂机升级突破!DX$6:DX$57,卡牌消耗!$AA47)*INDEX(卡牌消耗!$B$5:$F$5,卡牌消耗!$Z47)/卡牌消耗!$Q$4/AF$2,0)*AF$2</f>
        <v>10</v>
      </c>
      <c r="AG47" s="14">
        <f>ROUND(INDEX(挂机升级突破!EC$6:EC$57,卡牌消耗!$AA47)*INDEX(卡牌消耗!$B$7:$F$7,卡牌消耗!$Z47)/卡牌消耗!$Q$4/AG$2,0)*AG$2</f>
        <v>1</v>
      </c>
      <c r="AH47" s="14">
        <f>ROUND(INDEX(挂机升级突破!ED$6:ED$57,卡牌消耗!$AA47)*INDEX(卡牌消耗!$B$8:$F$8,卡牌消耗!$Z47)/卡牌消耗!$Q$4/AH$2,0)*AH$2</f>
        <v>20700</v>
      </c>
      <c r="AI47" s="194"/>
      <c r="AJ47" s="194"/>
      <c r="AK47" s="104">
        <v>43</v>
      </c>
      <c r="AL47" s="14">
        <f t="shared" si="6"/>
        <v>1</v>
      </c>
      <c r="AM47" s="14">
        <f>INDEX(挂机升级突破!DQ$6:DQ$57,卡牌消耗!$AT47)</f>
        <v>11</v>
      </c>
      <c r="AN47" s="14">
        <f>INDEX(挂机升级突破!DR$6:DR$57,卡牌消耗!$AT47)</f>
        <v>5</v>
      </c>
      <c r="AO47" s="14">
        <f>INDEX(挂机升级突破!DS$6:DS$57,卡牌消耗!$AT47)</f>
        <v>10</v>
      </c>
      <c r="AP47" s="14">
        <f>INDEX(挂机升级突破!$DP$6:$DP$57,卡牌消耗!AT47)</f>
        <v>125</v>
      </c>
      <c r="AQ47" s="14" t="str">
        <f t="shared" si="7"/>
        <v>关羽</v>
      </c>
      <c r="AR47" s="14">
        <f t="shared" si="8"/>
        <v>5</v>
      </c>
      <c r="AS47" s="14" t="str">
        <f t="shared" si="9"/>
        <v>关羽魂火-43</v>
      </c>
      <c r="AT47" s="14">
        <f t="shared" si="10"/>
        <v>43</v>
      </c>
      <c r="AU47" s="14" t="str">
        <f>IF(AM47&gt;0,INDEX(挂机升级突破!$DT$4:$ED$4,AM47),"")</f>
        <v>金币</v>
      </c>
      <c r="AV47" s="14">
        <f>ROUND(INDEX(挂机升级突破!$DJ$6:$DJ$57,卡牌消耗!AT47)*INDEX(卡牌消耗!$B$8:$F$8,AR47)/$Q$4/50,0)*50</f>
        <v>59100</v>
      </c>
      <c r="AW47" s="14" t="str">
        <f>IF(AN47&gt;0,INDEX(挂机升级突破!$DT$4:$ED$4,AN47),"")</f>
        <v>红色基础材料</v>
      </c>
      <c r="AX47" s="14">
        <f>ROUND(INDEX(挂机升级突破!$DT$6:$ED$57,卡牌消耗!AT47,AN47)*INDEX(卡牌消耗!$B$5:$F$5,AR47)/$Q$4/5,0)*5</f>
        <v>15</v>
      </c>
      <c r="AY47" s="14" t="str">
        <f>IF(AO47&gt;0,INDEX(挂机升级突破!$DT$4:$ED$4,AO47),"")</f>
        <v>灵玉</v>
      </c>
      <c r="AZ47" s="14">
        <f>IF(AO47&gt;0,ROUND(INDEX(挂机升级突破!$DT$6:$ED$57,卡牌消耗!AT47,AO47)*INDEX(卡牌消耗!$B$7:$F$7,AR47)/$Q$4,0),"")</f>
        <v>4</v>
      </c>
      <c r="BA47" s="106"/>
      <c r="BB47" s="197"/>
      <c r="BC47" s="196">
        <v>4</v>
      </c>
      <c r="BD47" s="196">
        <v>3</v>
      </c>
      <c r="BE47" s="14">
        <f>ROUND(INDEX(挂机升级突破!ER$7:ER$26,卡牌消耗!$BD47)*INDEX(卡牌消耗!$B$6:$F$6,$BC47)/$Q$4,0)</f>
        <v>6</v>
      </c>
      <c r="BF47" s="14">
        <f>ROUND(INDEX(挂机升级突破!ES$7:ES$26,卡牌消耗!$BD47)*INDEX(卡牌消耗!$B$6:$F$6,$BC47)/$Q$4,0)</f>
        <v>0</v>
      </c>
      <c r="BG47" s="14">
        <f>ROUND(INDEX(挂机升级突破!ET$7:ET$26,卡牌消耗!$BD47)*INDEX(卡牌消耗!$B$6:$F$6,$BC47)/$Q$4,0)</f>
        <v>0</v>
      </c>
      <c r="BH47" s="14">
        <f>ROUND(INDEX(挂机升级突破!EU$7:EU$26,卡牌消耗!$BD47)*INDEX(卡牌消耗!$B$6:$F$6,$BC47)/$Q$4,0)</f>
        <v>0</v>
      </c>
      <c r="BI47" s="14">
        <f>ROUND(INDEX(挂机升级突破!$EV$7:$EV$26,卡牌消耗!BD47)*INDEX(卡牌消耗!$B$8:$F$8,$BC47)/$Q$4/BI$2,0)*BI$2</f>
        <v>4500</v>
      </c>
      <c r="BJ47" s="197"/>
      <c r="BK47" s="197"/>
      <c r="BL47" s="104">
        <v>43</v>
      </c>
      <c r="BM47" s="14">
        <f t="shared" si="11"/>
        <v>3</v>
      </c>
      <c r="BN47" s="14">
        <f>INDEX(挂机升级突破!$EI$7:$EI$26,BS47)</f>
        <v>5</v>
      </c>
      <c r="BO47" s="14">
        <f>INDEX(挂机升级突破!$EJ$7:$EJ$26,BS47)</f>
        <v>1</v>
      </c>
      <c r="BP47" s="14">
        <f t="shared" si="12"/>
        <v>4</v>
      </c>
      <c r="BQ47" s="14">
        <f>INDEX(挂机升级突破!$EH$7:$EH$26,卡牌消耗!BS47)</f>
        <v>15</v>
      </c>
      <c r="BR47" s="14" t="str">
        <f t="shared" si="13"/>
        <v>典韦</v>
      </c>
      <c r="BS47" s="14">
        <f t="shared" si="14"/>
        <v>3</v>
      </c>
      <c r="BT47" s="14" t="str">
        <f t="shared" si="15"/>
        <v>典韦3突</v>
      </c>
      <c r="BU47" s="14" t="str">
        <f>IF(BN47&gt;0,INDEX(挂机升级突破!$ER$5:$EV$5,卡牌消耗!BN47),"")</f>
        <v>金币</v>
      </c>
      <c r="BV47" s="14">
        <f>IF(BN47&gt;0,ROUND(INDEX(挂机升级突破!$EV$7:$EV$26,卡牌消耗!BS47)*INDEX(卡牌消耗!$B$8:$F$8,BP47)/$Q$4/500,0)*500,"")</f>
        <v>4500</v>
      </c>
      <c r="BW47" s="14" t="str">
        <f>IF(BO47&gt;0,INDEX(挂机升级突破!$ER$5:$EV$5,卡牌消耗!BO47),"")</f>
        <v>玄铁</v>
      </c>
      <c r="BX47" s="14">
        <f>IF(BO47&gt;0,ROUND(INDEX(挂机升级突破!$ER$7:$EU$26,卡牌消耗!BS47,卡牌消耗!BO47)*INDEX($B$6:$F$6,BP47)/$Q$4,0),"")</f>
        <v>6</v>
      </c>
      <c r="BY47" s="193"/>
      <c r="BZ47" s="193"/>
      <c r="CA47" s="106"/>
      <c r="CS47" s="171"/>
      <c r="CT47" s="171"/>
      <c r="CU47" s="171"/>
      <c r="CV47" s="169">
        <v>43</v>
      </c>
      <c r="CW47" s="169">
        <v>5.75</v>
      </c>
      <c r="CX47" s="21">
        <f t="shared" ref="CX47" si="51">CW47/$CU46</f>
        <v>0.20909090909090908</v>
      </c>
      <c r="CY47" s="169">
        <f t="shared" ref="CY47" si="52">INT($CU45*CX47/5)*5</f>
        <v>10650</v>
      </c>
      <c r="CZ47" s="169">
        <f>SUM(CY$5:CY47)</f>
        <v>189775</v>
      </c>
      <c r="DB47" s="188">
        <f t="shared" si="39"/>
        <v>5300</v>
      </c>
      <c r="DC47" s="188">
        <f t="shared" si="39"/>
        <v>8500</v>
      </c>
      <c r="DD47" s="188">
        <f t="shared" si="39"/>
        <v>10650</v>
      </c>
      <c r="DE47" s="188">
        <f t="shared" si="39"/>
        <v>12750</v>
      </c>
      <c r="DF47" s="188">
        <f t="shared" si="39"/>
        <v>15950</v>
      </c>
      <c r="DI47" s="186">
        <v>43</v>
      </c>
      <c r="DJ47" s="14">
        <f t="shared" si="21"/>
        <v>9</v>
      </c>
      <c r="DK47" s="14">
        <f t="shared" si="1"/>
        <v>3</v>
      </c>
      <c r="DL47" s="14">
        <f t="shared" si="2"/>
        <v>1101009</v>
      </c>
      <c r="DM47" s="136" t="s">
        <v>1097</v>
      </c>
      <c r="DN47" s="14">
        <f t="shared" si="3"/>
        <v>3</v>
      </c>
      <c r="DO47" s="14" t="str">
        <f t="shared" si="4"/>
        <v>北落师门-3星</v>
      </c>
      <c r="DP47" s="136" t="s">
        <v>1103</v>
      </c>
      <c r="DQ47" s="14">
        <f t="shared" si="22"/>
        <v>10000</v>
      </c>
      <c r="DR47" s="14" t="str">
        <f t="shared" si="5"/>
        <v>北落师门碎片</v>
      </c>
      <c r="DS47" s="14">
        <f t="shared" si="23"/>
        <v>40</v>
      </c>
    </row>
    <row r="48" spans="1:123" ht="16.5" x14ac:dyDescent="0.2">
      <c r="K48" s="15"/>
      <c r="L48" s="15"/>
      <c r="M48" s="15"/>
      <c r="N48" s="15"/>
      <c r="O48" s="137"/>
      <c r="P48" s="141"/>
      <c r="Q48" s="141"/>
      <c r="R48" s="141"/>
      <c r="S48" s="141"/>
      <c r="T48" s="139">
        <v>44</v>
      </c>
      <c r="U48" s="139">
        <f>ROUND(INDEX(挂机升级突破!$DJ$6:$DJ$57,卡牌消耗!$T48)*INDEX(卡牌消耗!$B$8:$F$8,卡牌消耗!U$2)/$Q$4/5,0)*5</f>
        <v>26325</v>
      </c>
      <c r="V48" s="139">
        <f>ROUND(INDEX(挂机升级突破!$DJ$6:$DJ$57,卡牌消耗!$T48)*INDEX(卡牌消耗!$B$8:$F$8,卡牌消耗!V$2)/$Q$4/5,0)*5</f>
        <v>37605</v>
      </c>
      <c r="W48" s="139">
        <f>ROUND(INDEX(挂机升级突破!$DJ$6:$DJ$57,卡牌消耗!$T48)*INDEX(卡牌消耗!$B$8:$F$8,卡牌消耗!W$2)/$Q$4/5,0)*5</f>
        <v>56405</v>
      </c>
      <c r="X48" s="139">
        <f>ROUND(INDEX(挂机升级突破!$DJ$6:$DJ$57,卡牌消耗!$T48)*INDEX(卡牌消耗!$B$8:$F$8,卡牌消耗!X$2)/$Q$4/5,0)*5</f>
        <v>75210</v>
      </c>
      <c r="Y48" s="141"/>
      <c r="Z48" s="196">
        <v>2</v>
      </c>
      <c r="AA48" s="196">
        <v>44</v>
      </c>
      <c r="AB48" s="14">
        <f>ROUND(INDEX(挂机升级突破!DT$6:DT$57,卡牌消耗!$AA48)*INDEX(卡牌消耗!$B$5:$F$5,卡牌消耗!$Z48)/卡牌消耗!$Q$4/AB$2,0)*AB$2</f>
        <v>0</v>
      </c>
      <c r="AC48" s="14">
        <f>ROUND(INDEX(挂机升级突破!DU$6:DU$57,卡牌消耗!$AA48)*INDEX(卡牌消耗!$B$5:$F$5,卡牌消耗!$Z48)/卡牌消耗!$Q$4/AC$2,0)*AC$2</f>
        <v>0</v>
      </c>
      <c r="AD48" s="14">
        <f>ROUND(INDEX(挂机升级突破!DV$6:DV$57,卡牌消耗!$AA48)*INDEX(卡牌消耗!$B$5:$F$5,卡牌消耗!$Z48)/卡牌消耗!$Q$4/AD$2,0)*AD$2</f>
        <v>0</v>
      </c>
      <c r="AE48" s="14">
        <f>ROUND(INDEX(挂机升级突破!DW$6:DW$57,卡牌消耗!$AA48)*INDEX(卡牌消耗!$B$5:$F$5,卡牌消耗!$Z48)/卡牌消耗!$Q$4/AE$2,0)*AE$2</f>
        <v>0</v>
      </c>
      <c r="AF48" s="14">
        <f>ROUND(INDEX(挂机升级突破!DX$6:DX$57,卡牌消耗!$AA48)*INDEX(卡牌消耗!$B$5:$F$5,卡牌消耗!$Z48)/卡牌消耗!$Q$4/AF$2,0)*AF$2</f>
        <v>10</v>
      </c>
      <c r="AG48" s="14">
        <f>ROUND(INDEX(挂机升级突破!EC$6:EC$57,卡牌消耗!$AA48)*INDEX(卡牌消耗!$B$7:$F$7,卡牌消耗!$Z48)/卡牌消耗!$Q$4/AG$2,0)*AG$2</f>
        <v>1</v>
      </c>
      <c r="AH48" s="14">
        <f>ROUND(INDEX(挂机升级突破!ED$6:ED$57,卡牌消耗!$AA48)*INDEX(卡牌消耗!$B$8:$F$8,卡牌消耗!$Z48)/卡牌消耗!$Q$4/AH$2,0)*AH$2</f>
        <v>26300</v>
      </c>
      <c r="AI48" s="194"/>
      <c r="AJ48" s="194"/>
      <c r="AK48" s="104">
        <v>44</v>
      </c>
      <c r="AL48" s="14">
        <f t="shared" si="6"/>
        <v>1</v>
      </c>
      <c r="AM48" s="14">
        <f>INDEX(挂机升级突破!DQ$6:DQ$57,卡牌消耗!$AT48)</f>
        <v>11</v>
      </c>
      <c r="AN48" s="14">
        <f>INDEX(挂机升级突破!DR$6:DR$57,卡牌消耗!$AT48)</f>
        <v>5</v>
      </c>
      <c r="AO48" s="14">
        <f>INDEX(挂机升级突破!DS$6:DS$57,卡牌消耗!$AT48)</f>
        <v>10</v>
      </c>
      <c r="AP48" s="14">
        <f>INDEX(挂机升级突破!$DP$6:$DP$57,卡牌消耗!AT48)</f>
        <v>128</v>
      </c>
      <c r="AQ48" s="14" t="str">
        <f t="shared" si="7"/>
        <v>关羽</v>
      </c>
      <c r="AR48" s="14">
        <f t="shared" si="8"/>
        <v>5</v>
      </c>
      <c r="AS48" s="14" t="str">
        <f t="shared" si="9"/>
        <v>关羽魂火-44</v>
      </c>
      <c r="AT48" s="14">
        <f t="shared" si="10"/>
        <v>44</v>
      </c>
      <c r="AU48" s="14" t="str">
        <f>IF(AM48&gt;0,INDEX(挂机升级突破!$DT$4:$ED$4,AM48),"")</f>
        <v>金币</v>
      </c>
      <c r="AV48" s="14">
        <f>ROUND(INDEX(挂机升级突破!$DJ$6:$DJ$57,卡牌消耗!AT48)*INDEX(卡牌消耗!$B$8:$F$8,AR48)/$Q$4/50,0)*50</f>
        <v>75200</v>
      </c>
      <c r="AW48" s="14" t="str">
        <f>IF(AN48&gt;0,INDEX(挂机升级突破!$DT$4:$ED$4,AN48),"")</f>
        <v>红色基础材料</v>
      </c>
      <c r="AX48" s="14">
        <f>ROUND(INDEX(挂机升级突破!$DT$6:$ED$57,卡牌消耗!AT48,AN48)*INDEX(卡牌消耗!$B$5:$F$5,AR48)/$Q$4/5,0)*5</f>
        <v>15</v>
      </c>
      <c r="AY48" s="14" t="str">
        <f>IF(AO48&gt;0,INDEX(挂机升级突破!$DT$4:$ED$4,AO48),"")</f>
        <v>灵玉</v>
      </c>
      <c r="AZ48" s="14">
        <f>IF(AO48&gt;0,ROUND(INDEX(挂机升级突破!$DT$6:$ED$57,卡牌消耗!AT48,AO48)*INDEX(卡牌消耗!$B$7:$F$7,AR48)/$Q$4,0),"")</f>
        <v>4</v>
      </c>
      <c r="BA48" s="106"/>
      <c r="BB48" s="197"/>
      <c r="BC48" s="196">
        <v>4</v>
      </c>
      <c r="BD48" s="196">
        <v>4</v>
      </c>
      <c r="BE48" s="14">
        <f>ROUND(INDEX(挂机升级突破!ER$7:ER$26,卡牌消耗!$BD48)*INDEX(卡牌消耗!$B$6:$F$6,$BC48)/$Q$4,0)</f>
        <v>20</v>
      </c>
      <c r="BF48" s="14">
        <f>ROUND(INDEX(挂机升级突破!ES$7:ES$26,卡牌消耗!$BD48)*INDEX(卡牌消耗!$B$6:$F$6,$BC48)/$Q$4,0)</f>
        <v>0</v>
      </c>
      <c r="BG48" s="14">
        <f>ROUND(INDEX(挂机升级突破!ET$7:ET$26,卡牌消耗!$BD48)*INDEX(卡牌消耗!$B$6:$F$6,$BC48)/$Q$4,0)</f>
        <v>0</v>
      </c>
      <c r="BH48" s="14">
        <f>ROUND(INDEX(挂机升级突破!EU$7:EU$26,卡牌消耗!$BD48)*INDEX(卡牌消耗!$B$6:$F$6,$BC48)/$Q$4,0)</f>
        <v>0</v>
      </c>
      <c r="BI48" s="14">
        <f>ROUND(INDEX(挂机升级突破!$EV$7:$EV$26,卡牌消耗!BD48)*INDEX(卡牌消耗!$B$8:$F$8,$BC48)/$Q$4/BI$2,0)*BI$2</f>
        <v>5500</v>
      </c>
      <c r="BJ48" s="197"/>
      <c r="BK48" s="197"/>
      <c r="BL48" s="104">
        <v>44</v>
      </c>
      <c r="BM48" s="14">
        <f t="shared" si="11"/>
        <v>3</v>
      </c>
      <c r="BN48" s="14">
        <f>INDEX(挂机升级突破!$EI$7:$EI$26,BS48)</f>
        <v>5</v>
      </c>
      <c r="BO48" s="14">
        <f>INDEX(挂机升级突破!$EJ$7:$EJ$26,BS48)</f>
        <v>1</v>
      </c>
      <c r="BP48" s="14">
        <f t="shared" si="12"/>
        <v>4</v>
      </c>
      <c r="BQ48" s="14">
        <f>INDEX(挂机升级突破!$EH$7:$EH$26,卡牌消耗!BS48)</f>
        <v>25</v>
      </c>
      <c r="BR48" s="14" t="str">
        <f t="shared" si="13"/>
        <v>典韦</v>
      </c>
      <c r="BS48" s="14">
        <f t="shared" si="14"/>
        <v>4</v>
      </c>
      <c r="BT48" s="14" t="str">
        <f t="shared" si="15"/>
        <v>典韦4突</v>
      </c>
      <c r="BU48" s="14" t="str">
        <f>IF(BN48&gt;0,INDEX(挂机升级突破!$ER$5:$EV$5,卡牌消耗!BN48),"")</f>
        <v>金币</v>
      </c>
      <c r="BV48" s="14">
        <f>IF(BN48&gt;0,ROUND(INDEX(挂机升级突破!$EV$7:$EV$26,卡牌消耗!BS48)*INDEX(卡牌消耗!$B$8:$F$8,BP48)/$Q$4/500,0)*500,"")</f>
        <v>5500</v>
      </c>
      <c r="BW48" s="14" t="str">
        <f>IF(BO48&gt;0,INDEX(挂机升级突破!$ER$5:$EV$5,卡牌消耗!BO48),"")</f>
        <v>玄铁</v>
      </c>
      <c r="BX48" s="14">
        <f>IF(BO48&gt;0,ROUND(INDEX(挂机升级突破!$ER$7:$EU$26,卡牌消耗!BS48,卡牌消耗!BO48)*INDEX($B$6:$F$6,BP48)/$Q$4,0),"")</f>
        <v>20</v>
      </c>
      <c r="BY48" s="193"/>
      <c r="BZ48" s="193"/>
      <c r="CA48" s="106"/>
      <c r="CS48" s="171"/>
      <c r="CT48" s="171"/>
      <c r="CU48" s="171"/>
      <c r="CV48" s="169">
        <v>44</v>
      </c>
      <c r="CW48" s="169">
        <v>6</v>
      </c>
      <c r="CX48" s="21">
        <f t="shared" ref="CX48" si="53">CW48/$CU46</f>
        <v>0.21818181818181817</v>
      </c>
      <c r="CY48" s="169">
        <f t="shared" ref="CY48" si="54">INT($CU45*CX48/5)*5</f>
        <v>11110</v>
      </c>
      <c r="CZ48" s="169">
        <f>SUM(CY$5:CY48)</f>
        <v>200885</v>
      </c>
      <c r="DB48" s="188">
        <f t="shared" si="39"/>
        <v>5550</v>
      </c>
      <c r="DC48" s="188">
        <f t="shared" si="39"/>
        <v>8850</v>
      </c>
      <c r="DD48" s="188">
        <f t="shared" si="39"/>
        <v>11100</v>
      </c>
      <c r="DE48" s="188">
        <f t="shared" si="39"/>
        <v>13300</v>
      </c>
      <c r="DF48" s="188">
        <f t="shared" si="39"/>
        <v>16650</v>
      </c>
      <c r="DI48" s="186">
        <v>44</v>
      </c>
      <c r="DJ48" s="14">
        <f t="shared" si="21"/>
        <v>9</v>
      </c>
      <c r="DK48" s="14">
        <f t="shared" si="1"/>
        <v>3</v>
      </c>
      <c r="DL48" s="14">
        <f t="shared" si="2"/>
        <v>1101009</v>
      </c>
      <c r="DM48" s="136" t="s">
        <v>1097</v>
      </c>
      <c r="DN48" s="14">
        <f t="shared" si="3"/>
        <v>4</v>
      </c>
      <c r="DO48" s="14" t="str">
        <f t="shared" si="4"/>
        <v>北落师门-4星</v>
      </c>
      <c r="DP48" s="136" t="s">
        <v>1103</v>
      </c>
      <c r="DQ48" s="14">
        <f t="shared" si="22"/>
        <v>20000</v>
      </c>
      <c r="DR48" s="14" t="str">
        <f t="shared" si="5"/>
        <v>北落师门碎片</v>
      </c>
      <c r="DS48" s="14">
        <f t="shared" si="23"/>
        <v>40</v>
      </c>
    </row>
    <row r="49" spans="1:123" ht="16.5" x14ac:dyDescent="0.2">
      <c r="H49" s="43"/>
      <c r="I49" s="43"/>
      <c r="J49" s="43"/>
      <c r="K49" s="15"/>
      <c r="L49" s="15"/>
      <c r="M49" s="15"/>
      <c r="N49" s="15"/>
      <c r="O49" s="137"/>
      <c r="P49" s="141"/>
      <c r="Q49" s="141"/>
      <c r="R49" s="141"/>
      <c r="S49" s="141"/>
      <c r="T49" s="139">
        <v>45</v>
      </c>
      <c r="U49" s="139">
        <f>ROUND(INDEX(挂机升级突破!$DJ$6:$DJ$57,卡牌消耗!$T49)*INDEX(卡牌消耗!$B$8:$F$8,卡牌消耗!U$2)/$Q$4/5,0)*5</f>
        <v>26325</v>
      </c>
      <c r="V49" s="139">
        <f>ROUND(INDEX(挂机升级突破!$DJ$6:$DJ$57,卡牌消耗!$T49)*INDEX(卡牌消耗!$B$8:$F$8,卡牌消耗!V$2)/$Q$4/5,0)*5</f>
        <v>37605</v>
      </c>
      <c r="W49" s="139">
        <f>ROUND(INDEX(挂机升级突破!$DJ$6:$DJ$57,卡牌消耗!$T49)*INDEX(卡牌消耗!$B$8:$F$8,卡牌消耗!W$2)/$Q$4/5,0)*5</f>
        <v>56405</v>
      </c>
      <c r="X49" s="139">
        <f>ROUND(INDEX(挂机升级突破!$DJ$6:$DJ$57,卡牌消耗!$T49)*INDEX(卡牌消耗!$B$8:$F$8,卡牌消耗!X$2)/$Q$4/5,0)*5</f>
        <v>75210</v>
      </c>
      <c r="Y49" s="141"/>
      <c r="Z49" s="196">
        <v>2</v>
      </c>
      <c r="AA49" s="196">
        <v>45</v>
      </c>
      <c r="AB49" s="14">
        <f>ROUND(INDEX(挂机升级突破!DT$6:DT$57,卡牌消耗!$AA49)*INDEX(卡牌消耗!$B$5:$F$5,卡牌消耗!$Z49)/卡牌消耗!$Q$4/AB$2,0)*AB$2</f>
        <v>0</v>
      </c>
      <c r="AC49" s="14">
        <f>ROUND(INDEX(挂机升级突破!DU$6:DU$57,卡牌消耗!$AA49)*INDEX(卡牌消耗!$B$5:$F$5,卡牌消耗!$Z49)/卡牌消耗!$Q$4/AC$2,0)*AC$2</f>
        <v>0</v>
      </c>
      <c r="AD49" s="14">
        <f>ROUND(INDEX(挂机升级突破!DV$6:DV$57,卡牌消耗!$AA49)*INDEX(卡牌消耗!$B$5:$F$5,卡牌消耗!$Z49)/卡牌消耗!$Q$4/AD$2,0)*AD$2</f>
        <v>0</v>
      </c>
      <c r="AE49" s="14">
        <f>ROUND(INDEX(挂机升级突破!DW$6:DW$57,卡牌消耗!$AA49)*INDEX(卡牌消耗!$B$5:$F$5,卡牌消耗!$Z49)/卡牌消耗!$Q$4/AE$2,0)*AE$2</f>
        <v>0</v>
      </c>
      <c r="AF49" s="14">
        <f>ROUND(INDEX(挂机升级突破!DX$6:DX$57,卡牌消耗!$AA49)*INDEX(卡牌消耗!$B$5:$F$5,卡牌消耗!$Z49)/卡牌消耗!$Q$4/AF$2,0)*AF$2</f>
        <v>10</v>
      </c>
      <c r="AG49" s="14">
        <f>ROUND(INDEX(挂机升级突破!EC$6:EC$57,卡牌消耗!$AA49)*INDEX(卡牌消耗!$B$7:$F$7,卡牌消耗!$Z49)/卡牌消耗!$Q$4/AG$2,0)*AG$2</f>
        <v>1</v>
      </c>
      <c r="AH49" s="14">
        <f>ROUND(INDEX(挂机升级突破!ED$6:ED$57,卡牌消耗!$AA49)*INDEX(卡牌消耗!$B$8:$F$8,卡牌消耗!$Z49)/卡牌消耗!$Q$4/AH$2,0)*AH$2</f>
        <v>26300</v>
      </c>
      <c r="AI49" s="194"/>
      <c r="AJ49" s="194"/>
      <c r="AK49" s="104">
        <v>45</v>
      </c>
      <c r="AL49" s="14">
        <f t="shared" si="6"/>
        <v>1</v>
      </c>
      <c r="AM49" s="14">
        <f>INDEX(挂机升级突破!DQ$6:DQ$57,卡牌消耗!$AT49)</f>
        <v>11</v>
      </c>
      <c r="AN49" s="14">
        <f>INDEX(挂机升级突破!DR$6:DR$57,卡牌消耗!$AT49)</f>
        <v>5</v>
      </c>
      <c r="AO49" s="14">
        <f>INDEX(挂机升级突破!DS$6:DS$57,卡牌消耗!$AT49)</f>
        <v>10</v>
      </c>
      <c r="AP49" s="14">
        <f>INDEX(挂机升级突破!$DP$6:$DP$57,卡牌消耗!AT49)</f>
        <v>130</v>
      </c>
      <c r="AQ49" s="14" t="str">
        <f t="shared" si="7"/>
        <v>关羽</v>
      </c>
      <c r="AR49" s="14">
        <f t="shared" si="8"/>
        <v>5</v>
      </c>
      <c r="AS49" s="14" t="str">
        <f t="shared" si="9"/>
        <v>关羽魂火-45</v>
      </c>
      <c r="AT49" s="14">
        <f t="shared" si="10"/>
        <v>45</v>
      </c>
      <c r="AU49" s="14" t="str">
        <f>IF(AM49&gt;0,INDEX(挂机升级突破!$DT$4:$ED$4,AM49),"")</f>
        <v>金币</v>
      </c>
      <c r="AV49" s="14">
        <f>ROUND(INDEX(挂机升级突破!$DJ$6:$DJ$57,卡牌消耗!AT49)*INDEX(卡牌消耗!$B$8:$F$8,AR49)/$Q$4/50,0)*50</f>
        <v>75200</v>
      </c>
      <c r="AW49" s="14" t="str">
        <f>IF(AN49&gt;0,INDEX(挂机升级突破!$DT$4:$ED$4,AN49),"")</f>
        <v>红色基础材料</v>
      </c>
      <c r="AX49" s="14">
        <f>ROUND(INDEX(挂机升级突破!$DT$6:$ED$57,卡牌消耗!AT49,AN49)*INDEX(卡牌消耗!$B$5:$F$5,AR49)/$Q$4/5,0)*5</f>
        <v>15</v>
      </c>
      <c r="AY49" s="14" t="str">
        <f>IF(AO49&gt;0,INDEX(挂机升级突破!$DT$4:$ED$4,AO49),"")</f>
        <v>灵玉</v>
      </c>
      <c r="AZ49" s="14">
        <f>IF(AO49&gt;0,ROUND(INDEX(挂机升级突破!$DT$6:$ED$57,卡牌消耗!AT49,AO49)*INDEX(卡牌消耗!$B$7:$F$7,AR49)/$Q$4,0),"")</f>
        <v>4</v>
      </c>
      <c r="BA49" s="106"/>
      <c r="BB49" s="197"/>
      <c r="BC49" s="196">
        <v>4</v>
      </c>
      <c r="BD49" s="196">
        <v>5</v>
      </c>
      <c r="BE49" s="14">
        <f>ROUND(INDEX(挂机升级突破!ER$7:ER$26,卡牌消耗!$BD49)*INDEX(卡牌消耗!$B$6:$F$6,$BC49)/$Q$4,0)</f>
        <v>40</v>
      </c>
      <c r="BF49" s="14">
        <f>ROUND(INDEX(挂机升级突破!ES$7:ES$26,卡牌消耗!$BD49)*INDEX(卡牌消耗!$B$6:$F$6,$BC49)/$Q$4,0)</f>
        <v>0</v>
      </c>
      <c r="BG49" s="14">
        <f>ROUND(INDEX(挂机升级突破!ET$7:ET$26,卡牌消耗!$BD49)*INDEX(卡牌消耗!$B$6:$F$6,$BC49)/$Q$4,0)</f>
        <v>0</v>
      </c>
      <c r="BH49" s="14">
        <f>ROUND(INDEX(挂机升级突破!EU$7:EU$26,卡牌消耗!$BD49)*INDEX(卡牌消耗!$B$6:$F$6,$BC49)/$Q$4,0)</f>
        <v>0</v>
      </c>
      <c r="BI49" s="14">
        <f>ROUND(INDEX(挂机升级突破!$EV$7:$EV$26,卡牌消耗!BD49)*INDEX(卡牌消耗!$B$8:$F$8,$BC49)/$Q$4/BI$2,0)*BI$2</f>
        <v>5500</v>
      </c>
      <c r="BJ49" s="197"/>
      <c r="BK49" s="197"/>
      <c r="BL49" s="104">
        <v>45</v>
      </c>
      <c r="BM49" s="14">
        <f t="shared" si="11"/>
        <v>3</v>
      </c>
      <c r="BN49" s="14">
        <f>INDEX(挂机升级突破!$EI$7:$EI$26,BS49)</f>
        <v>5</v>
      </c>
      <c r="BO49" s="14">
        <f>INDEX(挂机升级突破!$EJ$7:$EJ$26,BS49)</f>
        <v>1</v>
      </c>
      <c r="BP49" s="14">
        <f t="shared" si="12"/>
        <v>4</v>
      </c>
      <c r="BQ49" s="14">
        <f>INDEX(挂机升级突破!$EH$7:$EH$26,卡牌消耗!BS49)</f>
        <v>35</v>
      </c>
      <c r="BR49" s="14" t="str">
        <f t="shared" si="13"/>
        <v>典韦</v>
      </c>
      <c r="BS49" s="14">
        <f t="shared" si="14"/>
        <v>5</v>
      </c>
      <c r="BT49" s="14" t="str">
        <f t="shared" si="15"/>
        <v>典韦5突</v>
      </c>
      <c r="BU49" s="14" t="str">
        <f>IF(BN49&gt;0,INDEX(挂机升级突破!$ER$5:$EV$5,卡牌消耗!BN49),"")</f>
        <v>金币</v>
      </c>
      <c r="BV49" s="14">
        <f>IF(BN49&gt;0,ROUND(INDEX(挂机升级突破!$EV$7:$EV$26,卡牌消耗!BS49)*INDEX(卡牌消耗!$B$8:$F$8,BP49)/$Q$4/500,0)*500,"")</f>
        <v>5500</v>
      </c>
      <c r="BW49" s="14" t="str">
        <f>IF(BO49&gt;0,INDEX(挂机升级突破!$ER$5:$EV$5,卡牌消耗!BO49),"")</f>
        <v>玄铁</v>
      </c>
      <c r="BX49" s="14">
        <f>IF(BO49&gt;0,ROUND(INDEX(挂机升级突破!$ER$7:$EU$26,卡牌消耗!BS49,卡牌消耗!BO49)*INDEX($B$6:$F$6,BP49)/$Q$4/5,0)*5,"")</f>
        <v>40</v>
      </c>
      <c r="BY49" s="193"/>
      <c r="BZ49" s="193"/>
      <c r="CA49" s="106"/>
      <c r="CS49" s="171"/>
      <c r="CT49" s="173" t="s">
        <v>120</v>
      </c>
      <c r="CU49" s="169">
        <v>8</v>
      </c>
      <c r="CV49" s="169">
        <v>45</v>
      </c>
      <c r="CW49" s="169">
        <v>5</v>
      </c>
      <c r="CX49" s="21">
        <f t="shared" ref="CX49" si="55">CW49/$CU51</f>
        <v>0.18181818181818182</v>
      </c>
      <c r="CY49" s="169">
        <f t="shared" ref="CY49" si="56">INT($CU50*CX49/5)*5</f>
        <v>10025</v>
      </c>
      <c r="CZ49" s="169">
        <f>SUM(CY$5:CY49)</f>
        <v>210910</v>
      </c>
      <c r="DB49" s="188">
        <f t="shared" si="39"/>
        <v>5000</v>
      </c>
      <c r="DC49" s="188">
        <f t="shared" si="39"/>
        <v>8000</v>
      </c>
      <c r="DD49" s="188">
        <f t="shared" si="39"/>
        <v>10000</v>
      </c>
      <c r="DE49" s="188">
        <f t="shared" si="39"/>
        <v>12000</v>
      </c>
      <c r="DF49" s="188">
        <f t="shared" si="39"/>
        <v>15000</v>
      </c>
      <c r="DI49" s="186">
        <v>45</v>
      </c>
      <c r="DJ49" s="14">
        <f t="shared" si="21"/>
        <v>9</v>
      </c>
      <c r="DK49" s="14">
        <f t="shared" si="1"/>
        <v>3</v>
      </c>
      <c r="DL49" s="14">
        <f t="shared" si="2"/>
        <v>1101009</v>
      </c>
      <c r="DM49" s="136" t="s">
        <v>1097</v>
      </c>
      <c r="DN49" s="14">
        <f t="shared" si="3"/>
        <v>5</v>
      </c>
      <c r="DO49" s="14" t="str">
        <f t="shared" si="4"/>
        <v>北落师门-5星</v>
      </c>
      <c r="DP49" s="136" t="s">
        <v>1103</v>
      </c>
      <c r="DQ49" s="14">
        <f t="shared" si="22"/>
        <v>40000</v>
      </c>
      <c r="DR49" s="14" t="str">
        <f t="shared" si="5"/>
        <v>北落师门碎片</v>
      </c>
      <c r="DS49" s="14">
        <f t="shared" si="23"/>
        <v>40</v>
      </c>
    </row>
    <row r="50" spans="1:123" ht="17.25" x14ac:dyDescent="0.2">
      <c r="A50" s="12" t="s">
        <v>1098</v>
      </c>
      <c r="B50" s="12" t="s">
        <v>1099</v>
      </c>
      <c r="C50" s="12" t="s">
        <v>1100</v>
      </c>
      <c r="D50" s="12" t="s">
        <v>1101</v>
      </c>
      <c r="E50" s="12" t="s">
        <v>1102</v>
      </c>
      <c r="H50" s="15"/>
      <c r="I50" s="15">
        <f>SUM(I51:I68)</f>
        <v>0.25003926397648585</v>
      </c>
      <c r="J50" s="15"/>
      <c r="K50" s="15"/>
      <c r="L50" s="15"/>
      <c r="M50" s="15"/>
      <c r="N50" s="15"/>
      <c r="O50" s="137"/>
      <c r="P50" s="141"/>
      <c r="Q50" s="141"/>
      <c r="R50" s="141"/>
      <c r="S50" s="141"/>
      <c r="T50" s="139">
        <v>46</v>
      </c>
      <c r="U50" s="139">
        <f>ROUND(INDEX(挂机升级突破!$DJ$6:$DJ$57,卡牌消耗!$T50)*INDEX(卡牌消耗!$B$8:$F$8,卡牌消耗!U$2)/$Q$4/5,0)*5</f>
        <v>28205</v>
      </c>
      <c r="V50" s="139">
        <f>ROUND(INDEX(挂机升级突破!$DJ$6:$DJ$57,卡牌消耗!$T50)*INDEX(卡牌消耗!$B$8:$F$8,卡牌消耗!V$2)/$Q$4/5,0)*5</f>
        <v>40290</v>
      </c>
      <c r="W50" s="139">
        <f>ROUND(INDEX(挂机升级突破!$DJ$6:$DJ$57,卡牌消耗!$T50)*INDEX(卡牌消耗!$B$8:$F$8,卡牌消耗!W$2)/$Q$4/5,0)*5</f>
        <v>60435</v>
      </c>
      <c r="X50" s="139">
        <f>ROUND(INDEX(挂机升级突破!$DJ$6:$DJ$57,卡牌消耗!$T50)*INDEX(卡牌消耗!$B$8:$F$8,卡牌消耗!X$2)/$Q$4/5,0)*5</f>
        <v>80580</v>
      </c>
      <c r="Y50" s="141"/>
      <c r="Z50" s="196">
        <v>2</v>
      </c>
      <c r="AA50" s="196">
        <v>46</v>
      </c>
      <c r="AB50" s="14">
        <f>ROUND(INDEX(挂机升级突破!DT$6:DT$57,卡牌消耗!$AA50)*INDEX(卡牌消耗!$B$5:$F$5,卡牌消耗!$Z50)/卡牌消耗!$Q$4/AB$2,0)*AB$2</f>
        <v>0</v>
      </c>
      <c r="AC50" s="14">
        <f>ROUND(INDEX(挂机升级突破!DU$6:DU$57,卡牌消耗!$AA50)*INDEX(卡牌消耗!$B$5:$F$5,卡牌消耗!$Z50)/卡牌消耗!$Q$4/AC$2,0)*AC$2</f>
        <v>0</v>
      </c>
      <c r="AD50" s="14">
        <f>ROUND(INDEX(挂机升级突破!DV$6:DV$57,卡牌消耗!$AA50)*INDEX(卡牌消耗!$B$5:$F$5,卡牌消耗!$Z50)/卡牌消耗!$Q$4/AD$2,0)*AD$2</f>
        <v>0</v>
      </c>
      <c r="AE50" s="14">
        <f>ROUND(INDEX(挂机升级突破!DW$6:DW$57,卡牌消耗!$AA50)*INDEX(卡牌消耗!$B$5:$F$5,卡牌消耗!$Z50)/卡牌消耗!$Q$4/AE$2,0)*AE$2</f>
        <v>0</v>
      </c>
      <c r="AF50" s="14">
        <f>ROUND(INDEX(挂机升级突破!DX$6:DX$57,卡牌消耗!$AA50)*INDEX(卡牌消耗!$B$5:$F$5,卡牌消耗!$Z50)/卡牌消耗!$Q$4/AF$2,0)*AF$2</f>
        <v>10</v>
      </c>
      <c r="AG50" s="14">
        <f>ROUND(INDEX(挂机升级突破!EC$6:EC$57,卡牌消耗!$AA50)*INDEX(卡牌消耗!$B$7:$F$7,卡牌消耗!$Z50)/卡牌消耗!$Q$4/AG$2,0)*AG$2</f>
        <v>1</v>
      </c>
      <c r="AH50" s="14">
        <f>ROUND(INDEX(挂机升级突破!ED$6:ED$57,卡牌消耗!$AA50)*INDEX(卡牌消耗!$B$8:$F$8,卡牌消耗!$Z50)/卡牌消耗!$Q$4/AH$2,0)*AH$2</f>
        <v>28200</v>
      </c>
      <c r="AI50" s="194"/>
      <c r="AJ50" s="194"/>
      <c r="AK50" s="104">
        <v>46</v>
      </c>
      <c r="AL50" s="14">
        <f t="shared" si="6"/>
        <v>1</v>
      </c>
      <c r="AM50" s="14">
        <f>INDEX(挂机升级突破!DQ$6:DQ$57,卡牌消耗!$AT50)</f>
        <v>11</v>
      </c>
      <c r="AN50" s="14">
        <f>INDEX(挂机升级突破!DR$6:DR$57,卡牌消耗!$AT50)</f>
        <v>5</v>
      </c>
      <c r="AO50" s="14">
        <f>INDEX(挂机升级突破!DS$6:DS$57,卡牌消耗!$AT50)</f>
        <v>10</v>
      </c>
      <c r="AP50" s="14">
        <f>INDEX(挂机升级突破!$DP$6:$DP$57,卡牌消耗!AT50)</f>
        <v>133</v>
      </c>
      <c r="AQ50" s="14" t="str">
        <f t="shared" si="7"/>
        <v>关羽</v>
      </c>
      <c r="AR50" s="14">
        <f t="shared" si="8"/>
        <v>5</v>
      </c>
      <c r="AS50" s="14" t="str">
        <f t="shared" si="9"/>
        <v>关羽魂火-46</v>
      </c>
      <c r="AT50" s="14">
        <f t="shared" si="10"/>
        <v>46</v>
      </c>
      <c r="AU50" s="14" t="str">
        <f>IF(AM50&gt;0,INDEX(挂机升级突破!$DT$4:$ED$4,AM50),"")</f>
        <v>金币</v>
      </c>
      <c r="AV50" s="14">
        <f>ROUND(INDEX(挂机升级突破!$DJ$6:$DJ$57,卡牌消耗!AT50)*INDEX(卡牌消耗!$B$8:$F$8,AR50)/$Q$4/50,0)*50</f>
        <v>80600</v>
      </c>
      <c r="AW50" s="14" t="str">
        <f>IF(AN50&gt;0,INDEX(挂机升级突破!$DT$4:$ED$4,AN50),"")</f>
        <v>红色基础材料</v>
      </c>
      <c r="AX50" s="14">
        <f>ROUND(INDEX(挂机升级突破!$DT$6:$ED$57,卡牌消耗!AT50,AN50)*INDEX(卡牌消耗!$B$5:$F$5,AR50)/$Q$4/5,0)*5</f>
        <v>15</v>
      </c>
      <c r="AY50" s="14" t="str">
        <f>IF(AO50&gt;0,INDEX(挂机升级突破!$DT$4:$ED$4,AO50),"")</f>
        <v>灵玉</v>
      </c>
      <c r="AZ50" s="14">
        <f>IF(AO50&gt;0,ROUND(INDEX(挂机升级突破!$DT$6:$ED$57,卡牌消耗!AT50,AO50)*INDEX(卡牌消耗!$B$7:$F$7,AR50)/$Q$4,0),"")</f>
        <v>4</v>
      </c>
      <c r="BA50" s="106"/>
      <c r="BB50" s="197"/>
      <c r="BC50" s="196">
        <v>4</v>
      </c>
      <c r="BD50" s="196">
        <v>6</v>
      </c>
      <c r="BE50" s="14">
        <f>ROUND(INDEX(挂机升级突破!ER$7:ER$26,卡牌消耗!$BD50)*INDEX(卡牌消耗!$B$6:$F$6,$BC50)/$Q$4,0)</f>
        <v>60</v>
      </c>
      <c r="BF50" s="14">
        <f>ROUND(INDEX(挂机升级突破!ES$7:ES$26,卡牌消耗!$BD50)*INDEX(卡牌消耗!$B$6:$F$6,$BC50)/$Q$4,0)</f>
        <v>0</v>
      </c>
      <c r="BG50" s="14">
        <f>ROUND(INDEX(挂机升级突破!ET$7:ET$26,卡牌消耗!$BD50)*INDEX(卡牌消耗!$B$6:$F$6,$BC50)/$Q$4,0)</f>
        <v>0</v>
      </c>
      <c r="BH50" s="14">
        <f>ROUND(INDEX(挂机升级突破!EU$7:EU$26,卡牌消耗!$BD50)*INDEX(卡牌消耗!$B$6:$F$6,$BC50)/$Q$4,0)</f>
        <v>0</v>
      </c>
      <c r="BI50" s="14">
        <f>ROUND(INDEX(挂机升级突破!$EV$7:$EV$26,卡牌消耗!BD50)*INDEX(卡牌消耗!$B$8:$F$8,$BC50)/$Q$4/BI$2,0)*BI$2</f>
        <v>7500</v>
      </c>
      <c r="BJ50" s="197"/>
      <c r="BK50" s="197"/>
      <c r="BL50" s="104">
        <v>46</v>
      </c>
      <c r="BM50" s="14">
        <f t="shared" si="11"/>
        <v>3</v>
      </c>
      <c r="BN50" s="14">
        <f>INDEX(挂机升级突破!$EI$7:$EI$26,BS50)</f>
        <v>5</v>
      </c>
      <c r="BO50" s="14">
        <f>INDEX(挂机升级突破!$EJ$7:$EJ$26,BS50)</f>
        <v>1</v>
      </c>
      <c r="BP50" s="14">
        <f t="shared" si="12"/>
        <v>4</v>
      </c>
      <c r="BQ50" s="14">
        <f>INDEX(挂机升级突破!$EH$7:$EH$26,卡牌消耗!BS50)</f>
        <v>42</v>
      </c>
      <c r="BR50" s="14" t="str">
        <f t="shared" si="13"/>
        <v>典韦</v>
      </c>
      <c r="BS50" s="14">
        <f t="shared" si="14"/>
        <v>6</v>
      </c>
      <c r="BT50" s="14" t="str">
        <f t="shared" si="15"/>
        <v>典韦6突</v>
      </c>
      <c r="BU50" s="14" t="str">
        <f>IF(BN50&gt;0,INDEX(挂机升级突破!$ER$5:$EV$5,卡牌消耗!BN50),"")</f>
        <v>金币</v>
      </c>
      <c r="BV50" s="14">
        <f>IF(BN50&gt;0,ROUND(INDEX(挂机升级突破!$EV$7:$EV$26,卡牌消耗!BS50)*INDEX(卡牌消耗!$B$8:$F$8,BP50)/$Q$4/500,0)*500,"")</f>
        <v>7500</v>
      </c>
      <c r="BW50" s="14" t="str">
        <f>IF(BO50&gt;0,INDEX(挂机升级突破!$ER$5:$EV$5,卡牌消耗!BO50),"")</f>
        <v>玄铁</v>
      </c>
      <c r="BX50" s="14">
        <f>IF(BO50&gt;0,ROUND(INDEX(挂机升级突破!$ER$7:$EU$26,卡牌消耗!BS50,卡牌消耗!BO50)*INDEX($B$6:$F$6,BP50)/$Q$4/5,0)*5,"")</f>
        <v>60</v>
      </c>
      <c r="BY50" s="193"/>
      <c r="BZ50" s="193"/>
      <c r="CA50" s="106"/>
      <c r="CS50" s="171"/>
      <c r="CT50" s="171"/>
      <c r="CU50" s="14">
        <f>INDEX($CP$5:$CP$32,CU49)</f>
        <v>55145</v>
      </c>
      <c r="CV50" s="169">
        <v>46</v>
      </c>
      <c r="CW50" s="169">
        <v>5.25</v>
      </c>
      <c r="CX50" s="21">
        <f t="shared" ref="CX50" si="57">CW50/$CU51</f>
        <v>0.19090909090909092</v>
      </c>
      <c r="CY50" s="169">
        <f t="shared" ref="CY50" si="58">INT($CU50*CX50/5)*5</f>
        <v>10525</v>
      </c>
      <c r="CZ50" s="169">
        <f>SUM(CY$5:CY50)</f>
        <v>221435</v>
      </c>
      <c r="DB50" s="188">
        <f t="shared" si="39"/>
        <v>5250</v>
      </c>
      <c r="DC50" s="188">
        <f t="shared" si="39"/>
        <v>8400</v>
      </c>
      <c r="DD50" s="188">
        <f t="shared" si="39"/>
        <v>10500</v>
      </c>
      <c r="DE50" s="188">
        <f t="shared" si="39"/>
        <v>12600</v>
      </c>
      <c r="DF50" s="188">
        <f t="shared" si="39"/>
        <v>15750</v>
      </c>
      <c r="DI50" s="186">
        <v>46</v>
      </c>
      <c r="DJ50" s="14">
        <f t="shared" si="21"/>
        <v>10</v>
      </c>
      <c r="DK50" s="14">
        <f t="shared" si="1"/>
        <v>4</v>
      </c>
      <c r="DL50" s="14">
        <f t="shared" si="2"/>
        <v>1101010</v>
      </c>
      <c r="DM50" s="136" t="s">
        <v>1097</v>
      </c>
      <c r="DN50" s="14">
        <f t="shared" si="3"/>
        <v>1</v>
      </c>
      <c r="DO50" s="14" t="str">
        <f t="shared" si="4"/>
        <v>盖文-1星</v>
      </c>
      <c r="DP50" s="136" t="s">
        <v>1103</v>
      </c>
      <c r="DQ50" s="14">
        <f t="shared" si="22"/>
        <v>6000</v>
      </c>
      <c r="DR50" s="14" t="str">
        <f t="shared" si="5"/>
        <v>盖文碎片</v>
      </c>
      <c r="DS50" s="14">
        <f t="shared" si="23"/>
        <v>80</v>
      </c>
    </row>
    <row r="51" spans="1:123" ht="16.5" x14ac:dyDescent="0.2">
      <c r="A51">
        <v>0</v>
      </c>
      <c r="B51" s="138">
        <v>0</v>
      </c>
      <c r="C51" s="138">
        <v>0</v>
      </c>
      <c r="D51" s="138">
        <v>0</v>
      </c>
      <c r="E51" s="138">
        <v>0</v>
      </c>
      <c r="G51" t="s">
        <v>1577</v>
      </c>
      <c r="H51" s="15">
        <v>3</v>
      </c>
      <c r="I51" s="15">
        <f>1/INDEX($B$11:$D$11,H51-1)^1.3</f>
        <v>1.2015514416811271E-2</v>
      </c>
      <c r="J51" s="15">
        <f t="shared" ref="J51:J68" si="59">ROUND(10000*I51/$I$50,0)</f>
        <v>481</v>
      </c>
      <c r="K51" s="15"/>
      <c r="L51" s="15"/>
      <c r="M51" s="15"/>
      <c r="N51" s="15"/>
      <c r="O51" s="137"/>
      <c r="P51" s="141"/>
      <c r="Q51" s="141"/>
      <c r="R51" s="141"/>
      <c r="S51" s="141"/>
      <c r="T51" s="139">
        <v>47</v>
      </c>
      <c r="U51" s="139">
        <f>ROUND(INDEX(挂机升级突破!$DJ$6:$DJ$57,卡牌消耗!$T51)*INDEX(卡牌消耗!$B$8:$F$8,卡牌消耗!U$2)/$Q$4/5,0)*5</f>
        <v>57445</v>
      </c>
      <c r="V51" s="139">
        <f>ROUND(INDEX(挂机升级突破!$DJ$6:$DJ$57,卡牌消耗!$T51)*INDEX(卡牌消耗!$B$8:$F$8,卡牌消耗!V$2)/$Q$4/5,0)*5</f>
        <v>82060</v>
      </c>
      <c r="W51" s="139">
        <f>ROUND(INDEX(挂机升级突破!$DJ$6:$DJ$57,卡牌消耗!$T51)*INDEX(卡牌消耗!$B$8:$F$8,卡牌消耗!W$2)/$Q$4/5,0)*5</f>
        <v>123090</v>
      </c>
      <c r="X51" s="139">
        <f>ROUND(INDEX(挂机升级突破!$DJ$6:$DJ$57,卡牌消耗!$T51)*INDEX(卡牌消耗!$B$8:$F$8,卡牌消耗!X$2)/$Q$4/5,0)*5</f>
        <v>164120</v>
      </c>
      <c r="Y51" s="141"/>
      <c r="Z51" s="196">
        <v>2</v>
      </c>
      <c r="AA51" s="196">
        <v>47</v>
      </c>
      <c r="AB51" s="14">
        <f>ROUND(INDEX(挂机升级突破!DT$6:DT$57,卡牌消耗!$AA51)*INDEX(卡牌消耗!$B$5:$F$5,卡牌消耗!$Z51)/卡牌消耗!$Q$4/AB$2,0)*AB$2</f>
        <v>0</v>
      </c>
      <c r="AC51" s="14">
        <f>ROUND(INDEX(挂机升级突破!DU$6:DU$57,卡牌消耗!$AA51)*INDEX(卡牌消耗!$B$5:$F$5,卡牌消耗!$Z51)/卡牌消耗!$Q$4/AC$2,0)*AC$2</f>
        <v>0</v>
      </c>
      <c r="AD51" s="14">
        <f>ROUND(INDEX(挂机升级突破!DV$6:DV$57,卡牌消耗!$AA51)*INDEX(卡牌消耗!$B$5:$F$5,卡牌消耗!$Z51)/卡牌消耗!$Q$4/AD$2,0)*AD$2</f>
        <v>0</v>
      </c>
      <c r="AE51" s="14">
        <f>ROUND(INDEX(挂机升级突破!DW$6:DW$57,卡牌消耗!$AA51)*INDEX(卡牌消耗!$B$5:$F$5,卡牌消耗!$Z51)/卡牌消耗!$Q$4/AE$2,0)*AE$2</f>
        <v>0</v>
      </c>
      <c r="AF51" s="14">
        <f>ROUND(INDEX(挂机升级突破!DX$6:DX$57,卡牌消耗!$AA51)*INDEX(卡牌消耗!$B$5:$F$5,卡牌消耗!$Z51)/卡牌消耗!$Q$4/AF$2,0)*AF$2</f>
        <v>10</v>
      </c>
      <c r="AG51" s="14">
        <f>ROUND(INDEX(挂机升级突破!EC$6:EC$57,卡牌消耗!$AA51)*INDEX(卡牌消耗!$B$7:$F$7,卡牌消耗!$Z51)/卡牌消耗!$Q$4/AG$2,0)*AG$2</f>
        <v>1</v>
      </c>
      <c r="AH51" s="14">
        <f>ROUND(INDEX(挂机升级突破!ED$6:ED$57,卡牌消耗!$AA51)*INDEX(卡牌消耗!$B$8:$F$8,卡牌消耗!$Z51)/卡牌消耗!$Q$4/AH$2,0)*AH$2</f>
        <v>57450</v>
      </c>
      <c r="AI51" s="194"/>
      <c r="AJ51" s="194"/>
      <c r="AK51" s="104">
        <v>47</v>
      </c>
      <c r="AL51" s="14">
        <f t="shared" si="6"/>
        <v>1</v>
      </c>
      <c r="AM51" s="14">
        <f>INDEX(挂机升级突破!DQ$6:DQ$57,卡牌消耗!$AT51)</f>
        <v>11</v>
      </c>
      <c r="AN51" s="14">
        <f>INDEX(挂机升级突破!DR$6:DR$57,卡牌消耗!$AT51)</f>
        <v>5</v>
      </c>
      <c r="AO51" s="14">
        <f>INDEX(挂机升级突破!DS$6:DS$57,卡牌消耗!$AT51)</f>
        <v>10</v>
      </c>
      <c r="AP51" s="14">
        <f>INDEX(挂机升级突破!$DP$6:$DP$57,卡牌消耗!AT51)</f>
        <v>135</v>
      </c>
      <c r="AQ51" s="14" t="str">
        <f t="shared" si="7"/>
        <v>关羽</v>
      </c>
      <c r="AR51" s="14">
        <f t="shared" si="8"/>
        <v>5</v>
      </c>
      <c r="AS51" s="14" t="str">
        <f t="shared" si="9"/>
        <v>关羽魂火-47</v>
      </c>
      <c r="AT51" s="14">
        <f t="shared" si="10"/>
        <v>47</v>
      </c>
      <c r="AU51" s="14" t="str">
        <f>IF(AM51&gt;0,INDEX(挂机升级突破!$DT$4:$ED$4,AM51),"")</f>
        <v>金币</v>
      </c>
      <c r="AV51" s="14">
        <f>ROUND(INDEX(挂机升级突破!$DJ$6:$DJ$57,卡牌消耗!AT51)*INDEX(卡牌消耗!$B$8:$F$8,AR51)/$Q$4/50,0)*50</f>
        <v>164100</v>
      </c>
      <c r="AW51" s="14" t="str">
        <f>IF(AN51&gt;0,INDEX(挂机升级突破!$DT$4:$ED$4,AN51),"")</f>
        <v>红色基础材料</v>
      </c>
      <c r="AX51" s="14">
        <f>ROUND(INDEX(挂机升级突破!$DT$6:$ED$57,卡牌消耗!AT51,AN51)*INDEX(卡牌消耗!$B$5:$F$5,AR51)/$Q$4/5,0)*5</f>
        <v>15</v>
      </c>
      <c r="AY51" s="14" t="str">
        <f>IF(AO51&gt;0,INDEX(挂机升级突破!$DT$4:$ED$4,AO51),"")</f>
        <v>灵玉</v>
      </c>
      <c r="AZ51" s="14">
        <f>IF(AO51&gt;0,ROUND(INDEX(挂机升级突破!$DT$6:$ED$57,卡牌消耗!AT51,AO51)*INDEX(卡牌消耗!$B$7:$F$7,AR51)/$Q$4,0),"")</f>
        <v>4</v>
      </c>
      <c r="BA51" s="106"/>
      <c r="BB51" s="197"/>
      <c r="BC51" s="196">
        <v>4</v>
      </c>
      <c r="BD51" s="196">
        <v>7</v>
      </c>
      <c r="BE51" s="14">
        <f>ROUND(INDEX(挂机升级突破!ER$7:ER$26,卡牌消耗!$BD51)*INDEX(卡牌消耗!$B$6:$F$6,$BC51)/$Q$4,0)</f>
        <v>101</v>
      </c>
      <c r="BF51" s="14">
        <f>ROUND(INDEX(挂机升级突破!ES$7:ES$26,卡牌消耗!$BD51)*INDEX(卡牌消耗!$B$6:$F$6,$BC51)/$Q$4,0)</f>
        <v>0</v>
      </c>
      <c r="BG51" s="14">
        <f>ROUND(INDEX(挂机升级突破!ET$7:ET$26,卡牌消耗!$BD51)*INDEX(卡牌消耗!$B$6:$F$6,$BC51)/$Q$4,0)</f>
        <v>0</v>
      </c>
      <c r="BH51" s="14">
        <f>ROUND(INDEX(挂机升级突破!EU$7:EU$26,卡牌消耗!$BD51)*INDEX(卡牌消耗!$B$6:$F$6,$BC51)/$Q$4,0)</f>
        <v>0</v>
      </c>
      <c r="BI51" s="14">
        <f>ROUND(INDEX(挂机升级突破!$EV$7:$EV$26,卡牌消耗!BD51)*INDEX(卡牌消耗!$B$8:$F$8,$BC51)/$Q$4/BI$2,0)*BI$2</f>
        <v>12500</v>
      </c>
      <c r="BJ51" s="197"/>
      <c r="BK51" s="197"/>
      <c r="BL51" s="104">
        <v>47</v>
      </c>
      <c r="BM51" s="14">
        <f t="shared" si="11"/>
        <v>3</v>
      </c>
      <c r="BN51" s="14">
        <f>INDEX(挂机升级突破!$EI$7:$EI$26,BS51)</f>
        <v>5</v>
      </c>
      <c r="BO51" s="14">
        <f>INDEX(挂机升级突破!$EJ$7:$EJ$26,BS51)</f>
        <v>1</v>
      </c>
      <c r="BP51" s="14">
        <f t="shared" si="12"/>
        <v>4</v>
      </c>
      <c r="BQ51" s="14">
        <f>INDEX(挂机升级突破!$EH$7:$EH$26,卡牌消耗!BS51)</f>
        <v>47</v>
      </c>
      <c r="BR51" s="14" t="str">
        <f t="shared" si="13"/>
        <v>典韦</v>
      </c>
      <c r="BS51" s="14">
        <f t="shared" si="14"/>
        <v>7</v>
      </c>
      <c r="BT51" s="14" t="str">
        <f t="shared" si="15"/>
        <v>典韦7突</v>
      </c>
      <c r="BU51" s="14" t="str">
        <f>IF(BN51&gt;0,INDEX(挂机升级突破!$ER$5:$EV$5,卡牌消耗!BN51),"")</f>
        <v>金币</v>
      </c>
      <c r="BV51" s="14">
        <f>IF(BN51&gt;0,ROUND(INDEX(挂机升级突破!$EV$7:$EV$26,卡牌消耗!BS51)*INDEX(卡牌消耗!$B$8:$F$8,BP51)/$Q$4/500,0)*500,"")</f>
        <v>12500</v>
      </c>
      <c r="BW51" s="14" t="str">
        <f>IF(BO51&gt;0,INDEX(挂机升级突破!$ER$5:$EV$5,卡牌消耗!BO51),"")</f>
        <v>玄铁</v>
      </c>
      <c r="BX51" s="14">
        <f>IF(BO51&gt;0,ROUND(INDEX(挂机升级突破!$ER$7:$EU$26,卡牌消耗!BS51,卡牌消耗!BO51)*INDEX($B$6:$F$6,BP51)/$Q$4/5,0)*5,"")</f>
        <v>100</v>
      </c>
      <c r="BY51" s="193"/>
      <c r="BZ51" s="193"/>
      <c r="CA51" s="106"/>
      <c r="CS51" s="171"/>
      <c r="CT51" s="170"/>
      <c r="CU51" s="14">
        <f>SUMIFS($CW$5:$CW$154,$CV$5:$CV$154,"&gt;="&amp;INDEX($CE$5:$CE$32,CU49),$CV$5:$CV$154,"&lt;"&amp;INDEX($CF$5:$CF$32,CU49))</f>
        <v>27.5</v>
      </c>
      <c r="CV51" s="169">
        <v>47</v>
      </c>
      <c r="CW51" s="169">
        <v>5.5</v>
      </c>
      <c r="CX51" s="21">
        <f t="shared" ref="CX51" si="60">CW51/$CU51</f>
        <v>0.2</v>
      </c>
      <c r="CY51" s="169">
        <f t="shared" ref="CY51" si="61">INT($CU50*CX51/5)*5</f>
        <v>11025</v>
      </c>
      <c r="CZ51" s="169">
        <f>SUM(CY$5:CY51)</f>
        <v>232460</v>
      </c>
      <c r="DB51" s="188">
        <f t="shared" si="39"/>
        <v>5500</v>
      </c>
      <c r="DC51" s="188">
        <f t="shared" si="39"/>
        <v>8800</v>
      </c>
      <c r="DD51" s="188">
        <f t="shared" si="39"/>
        <v>11000</v>
      </c>
      <c r="DE51" s="188">
        <f t="shared" si="39"/>
        <v>13200</v>
      </c>
      <c r="DF51" s="188">
        <f t="shared" si="39"/>
        <v>16500</v>
      </c>
      <c r="DI51" s="186">
        <v>47</v>
      </c>
      <c r="DJ51" s="14">
        <f t="shared" si="21"/>
        <v>10</v>
      </c>
      <c r="DK51" s="14">
        <f t="shared" si="1"/>
        <v>4</v>
      </c>
      <c r="DL51" s="14">
        <f t="shared" si="2"/>
        <v>1101010</v>
      </c>
      <c r="DM51" s="136" t="s">
        <v>1097</v>
      </c>
      <c r="DN51" s="14">
        <f t="shared" si="3"/>
        <v>2</v>
      </c>
      <c r="DO51" s="14" t="str">
        <f t="shared" si="4"/>
        <v>盖文-2星</v>
      </c>
      <c r="DP51" s="136" t="s">
        <v>1103</v>
      </c>
      <c r="DQ51" s="14">
        <f t="shared" si="22"/>
        <v>8000</v>
      </c>
      <c r="DR51" s="14" t="str">
        <f t="shared" si="5"/>
        <v>盖文碎片</v>
      </c>
      <c r="DS51" s="14">
        <f t="shared" si="23"/>
        <v>80</v>
      </c>
    </row>
    <row r="52" spans="1:123" ht="16.5" x14ac:dyDescent="0.2">
      <c r="A52" s="55">
        <v>1101001</v>
      </c>
      <c r="B52" s="55" t="s">
        <v>372</v>
      </c>
      <c r="C52" s="55">
        <v>3</v>
      </c>
      <c r="D52" s="136">
        <v>5</v>
      </c>
      <c r="E52" s="136">
        <f>SUM(D$52:D52)</f>
        <v>5</v>
      </c>
      <c r="G52" t="s">
        <v>373</v>
      </c>
      <c r="H52" s="15">
        <v>2</v>
      </c>
      <c r="I52" s="189">
        <f t="shared" ref="I52:I68" si="62">1/INDEX($B$11:$D$11,H52-1)^1.3</f>
        <v>2.0354526576845215E-2</v>
      </c>
      <c r="J52" s="189">
        <f t="shared" si="59"/>
        <v>814</v>
      </c>
      <c r="K52" s="15"/>
      <c r="L52" s="15"/>
      <c r="M52" s="15"/>
      <c r="N52" s="15"/>
      <c r="O52" s="137"/>
      <c r="P52" s="141"/>
      <c r="Q52" s="141"/>
      <c r="R52" s="141"/>
      <c r="S52" s="141"/>
      <c r="T52" s="139">
        <v>48</v>
      </c>
      <c r="U52" s="139">
        <f>ROUND(INDEX(挂机升级突破!$DJ$6:$DJ$57,卡牌消耗!$T52)*INDEX(卡牌消耗!$B$8:$F$8,卡牌消耗!U$2)/$Q$4/5,0)*5</f>
        <v>57445</v>
      </c>
      <c r="V52" s="139">
        <f>ROUND(INDEX(挂机升级突破!$DJ$6:$DJ$57,卡牌消耗!$T52)*INDEX(卡牌消耗!$B$8:$F$8,卡牌消耗!V$2)/$Q$4/5,0)*5</f>
        <v>82060</v>
      </c>
      <c r="W52" s="139">
        <f>ROUND(INDEX(挂机升级突破!$DJ$6:$DJ$57,卡牌消耗!$T52)*INDEX(卡牌消耗!$B$8:$F$8,卡牌消耗!W$2)/$Q$4/5,0)*5</f>
        <v>123090</v>
      </c>
      <c r="X52" s="139">
        <f>ROUND(INDEX(挂机升级突破!$DJ$6:$DJ$57,卡牌消耗!$T52)*INDEX(卡牌消耗!$B$8:$F$8,卡牌消耗!X$2)/$Q$4/5,0)*5</f>
        <v>164120</v>
      </c>
      <c r="Y52" s="141"/>
      <c r="Z52" s="196">
        <v>2</v>
      </c>
      <c r="AA52" s="196">
        <v>48</v>
      </c>
      <c r="AB52" s="14">
        <f>ROUND(INDEX(挂机升级突破!DT$6:DT$57,卡牌消耗!$AA52)*INDEX(卡牌消耗!$B$5:$F$5,卡牌消耗!$Z52)/卡牌消耗!$Q$4/AB$2,0)*AB$2</f>
        <v>0</v>
      </c>
      <c r="AC52" s="14">
        <f>ROUND(INDEX(挂机升级突破!DU$6:DU$57,卡牌消耗!$AA52)*INDEX(卡牌消耗!$B$5:$F$5,卡牌消耗!$Z52)/卡牌消耗!$Q$4/AC$2,0)*AC$2</f>
        <v>0</v>
      </c>
      <c r="AD52" s="14">
        <f>ROUND(INDEX(挂机升级突破!DV$6:DV$57,卡牌消耗!$AA52)*INDEX(卡牌消耗!$B$5:$F$5,卡牌消耗!$Z52)/卡牌消耗!$Q$4/AD$2,0)*AD$2</f>
        <v>0</v>
      </c>
      <c r="AE52" s="14">
        <f>ROUND(INDEX(挂机升级突破!DW$6:DW$57,卡牌消耗!$AA52)*INDEX(卡牌消耗!$B$5:$F$5,卡牌消耗!$Z52)/卡牌消耗!$Q$4/AE$2,0)*AE$2</f>
        <v>0</v>
      </c>
      <c r="AF52" s="14">
        <f>ROUND(INDEX(挂机升级突破!DX$6:DX$57,卡牌消耗!$AA52)*INDEX(卡牌消耗!$B$5:$F$5,卡牌消耗!$Z52)/卡牌消耗!$Q$4/AF$2,0)*AF$2</f>
        <v>10</v>
      </c>
      <c r="AG52" s="14">
        <f>ROUND(INDEX(挂机升级突破!EC$6:EC$57,卡牌消耗!$AA52)*INDEX(卡牌消耗!$B$7:$F$7,卡牌消耗!$Z52)/卡牌消耗!$Q$4/AG$2,0)*AG$2</f>
        <v>1</v>
      </c>
      <c r="AH52" s="14">
        <f>ROUND(INDEX(挂机升级突破!ED$6:ED$57,卡牌消耗!$AA52)*INDEX(卡牌消耗!$B$8:$F$8,卡牌消耗!$Z52)/卡牌消耗!$Q$4/AH$2,0)*AH$2</f>
        <v>57450</v>
      </c>
      <c r="AI52" s="194"/>
      <c r="AJ52" s="194"/>
      <c r="AK52" s="104">
        <v>48</v>
      </c>
      <c r="AL52" s="14">
        <f t="shared" si="6"/>
        <v>1</v>
      </c>
      <c r="AM52" s="14">
        <f>INDEX(挂机升级突破!DQ$6:DQ$57,卡牌消耗!$AT52)</f>
        <v>11</v>
      </c>
      <c r="AN52" s="14">
        <f>INDEX(挂机升级突破!DR$6:DR$57,卡牌消耗!$AT52)</f>
        <v>5</v>
      </c>
      <c r="AO52" s="14">
        <f>INDEX(挂机升级突破!DS$6:DS$57,卡牌消耗!$AT52)</f>
        <v>10</v>
      </c>
      <c r="AP52" s="14">
        <f>INDEX(挂机升级突破!$DP$6:$DP$57,卡牌消耗!AT52)</f>
        <v>138</v>
      </c>
      <c r="AQ52" s="14" t="str">
        <f t="shared" si="7"/>
        <v>关羽</v>
      </c>
      <c r="AR52" s="14">
        <f t="shared" si="8"/>
        <v>5</v>
      </c>
      <c r="AS52" s="14" t="str">
        <f t="shared" si="9"/>
        <v>关羽魂火-48</v>
      </c>
      <c r="AT52" s="14">
        <f t="shared" si="10"/>
        <v>48</v>
      </c>
      <c r="AU52" s="14" t="str">
        <f>IF(AM52&gt;0,INDEX(挂机升级突破!$DT$4:$ED$4,AM52),"")</f>
        <v>金币</v>
      </c>
      <c r="AV52" s="14">
        <f>ROUND(INDEX(挂机升级突破!$DJ$6:$DJ$57,卡牌消耗!AT52)*INDEX(卡牌消耗!$B$8:$F$8,AR52)/$Q$4/50,0)*50</f>
        <v>164100</v>
      </c>
      <c r="AW52" s="14" t="str">
        <f>IF(AN52&gt;0,INDEX(挂机升级突破!$DT$4:$ED$4,AN52),"")</f>
        <v>红色基础材料</v>
      </c>
      <c r="AX52" s="14">
        <f>ROUND(INDEX(挂机升级突破!$DT$6:$ED$57,卡牌消耗!AT52,AN52)*INDEX(卡牌消耗!$B$5:$F$5,AR52)/$Q$4/5,0)*5</f>
        <v>15</v>
      </c>
      <c r="AY52" s="14" t="str">
        <f>IF(AO52&gt;0,INDEX(挂机升级突破!$DT$4:$ED$4,AO52),"")</f>
        <v>灵玉</v>
      </c>
      <c r="AZ52" s="14">
        <f>IF(AO52&gt;0,ROUND(INDEX(挂机升级突破!$DT$6:$ED$57,卡牌消耗!AT52,AO52)*INDEX(卡牌消耗!$B$7:$F$7,AR52)/$Q$4,0),"")</f>
        <v>4</v>
      </c>
      <c r="BA52" s="106"/>
      <c r="BB52" s="197"/>
      <c r="BC52" s="196">
        <v>4</v>
      </c>
      <c r="BD52" s="196">
        <v>8</v>
      </c>
      <c r="BE52" s="14">
        <f>ROUND(INDEX(挂机升级突破!ER$7:ER$26,卡牌消耗!$BD52)*INDEX(卡牌消耗!$B$6:$F$6,$BC52)/$Q$4,0)</f>
        <v>181</v>
      </c>
      <c r="BF52" s="14">
        <f>ROUND(INDEX(挂机升级突破!ES$7:ES$26,卡牌消耗!$BD52)*INDEX(卡牌消耗!$B$6:$F$6,$BC52)/$Q$4,0)</f>
        <v>0</v>
      </c>
      <c r="BG52" s="14">
        <f>ROUND(INDEX(挂机升级突破!ET$7:ET$26,卡牌消耗!$BD52)*INDEX(卡牌消耗!$B$6:$F$6,$BC52)/$Q$4,0)</f>
        <v>0</v>
      </c>
      <c r="BH52" s="14">
        <f>ROUND(INDEX(挂机升级突破!EU$7:EU$26,卡牌消耗!$BD52)*INDEX(卡牌消耗!$B$6:$F$6,$BC52)/$Q$4,0)</f>
        <v>0</v>
      </c>
      <c r="BI52" s="14">
        <f>ROUND(INDEX(挂机升级突破!$EV$7:$EV$26,卡牌消耗!BD52)*INDEX(卡牌消耗!$B$8:$F$8,$BC52)/$Q$4/BI$2,0)*BI$2</f>
        <v>12500</v>
      </c>
      <c r="BJ52" s="197"/>
      <c r="BK52" s="197"/>
      <c r="BL52" s="104">
        <v>48</v>
      </c>
      <c r="BM52" s="14">
        <f t="shared" si="11"/>
        <v>3</v>
      </c>
      <c r="BN52" s="14">
        <f>INDEX(挂机升级突破!$EI$7:$EI$26,BS52)</f>
        <v>5</v>
      </c>
      <c r="BO52" s="14">
        <f>INDEX(挂机升级突破!$EJ$7:$EJ$26,BS52)</f>
        <v>1</v>
      </c>
      <c r="BP52" s="14">
        <f t="shared" si="12"/>
        <v>4</v>
      </c>
      <c r="BQ52" s="14">
        <f>INDEX(挂机升级突破!$EH$7:$EH$26,卡牌消耗!BS52)</f>
        <v>52</v>
      </c>
      <c r="BR52" s="14" t="str">
        <f t="shared" si="13"/>
        <v>典韦</v>
      </c>
      <c r="BS52" s="14">
        <f t="shared" si="14"/>
        <v>8</v>
      </c>
      <c r="BT52" s="14" t="str">
        <f t="shared" si="15"/>
        <v>典韦8突</v>
      </c>
      <c r="BU52" s="14" t="str">
        <f>IF(BN52&gt;0,INDEX(挂机升级突破!$ER$5:$EV$5,卡牌消耗!BN52),"")</f>
        <v>金币</v>
      </c>
      <c r="BV52" s="14">
        <f>IF(BN52&gt;0,ROUND(INDEX(挂机升级突破!$EV$7:$EV$26,卡牌消耗!BS52)*INDEX(卡牌消耗!$B$8:$F$8,BP52)/$Q$4/500,0)*500,"")</f>
        <v>12500</v>
      </c>
      <c r="BW52" s="14" t="str">
        <f>IF(BO52&gt;0,INDEX(挂机升级突破!$ER$5:$EV$5,卡牌消耗!BO52),"")</f>
        <v>玄铁</v>
      </c>
      <c r="BX52" s="14">
        <f>IF(BO52&gt;0,ROUND(INDEX(挂机升级突破!$ER$7:$EU$26,卡牌消耗!BS52,卡牌消耗!BO52)*INDEX($B$6:$F$6,BP52)/$Q$4/5,0)*5,"")</f>
        <v>180</v>
      </c>
      <c r="BY52" s="193"/>
      <c r="BZ52" s="193"/>
      <c r="CA52" s="106"/>
      <c r="CS52" s="171"/>
      <c r="CT52" s="171"/>
      <c r="CU52" s="171"/>
      <c r="CV52" s="169">
        <v>48</v>
      </c>
      <c r="CW52" s="169">
        <v>5.75</v>
      </c>
      <c r="CX52" s="21">
        <f t="shared" ref="CX52" si="63">CW52/$CU51</f>
        <v>0.20909090909090908</v>
      </c>
      <c r="CY52" s="169">
        <f t="shared" ref="CY52" si="64">INT($CU50*CX52/5)*5</f>
        <v>11530</v>
      </c>
      <c r="CZ52" s="169">
        <f>SUM(CY$5:CY52)</f>
        <v>243990</v>
      </c>
      <c r="DB52" s="188">
        <f t="shared" si="39"/>
        <v>5750</v>
      </c>
      <c r="DC52" s="188">
        <f t="shared" si="39"/>
        <v>9200</v>
      </c>
      <c r="DD52" s="188">
        <f t="shared" si="39"/>
        <v>11500</v>
      </c>
      <c r="DE52" s="188">
        <f t="shared" si="39"/>
        <v>13800</v>
      </c>
      <c r="DF52" s="188">
        <f t="shared" si="39"/>
        <v>17250</v>
      </c>
      <c r="DI52" s="186">
        <v>48</v>
      </c>
      <c r="DJ52" s="14">
        <f t="shared" si="21"/>
        <v>10</v>
      </c>
      <c r="DK52" s="14">
        <f t="shared" si="1"/>
        <v>4</v>
      </c>
      <c r="DL52" s="14">
        <f t="shared" si="2"/>
        <v>1101010</v>
      </c>
      <c r="DM52" s="136" t="s">
        <v>1097</v>
      </c>
      <c r="DN52" s="14">
        <f t="shared" si="3"/>
        <v>3</v>
      </c>
      <c r="DO52" s="14" t="str">
        <f t="shared" si="4"/>
        <v>盖文-3星</v>
      </c>
      <c r="DP52" s="136" t="s">
        <v>1103</v>
      </c>
      <c r="DQ52" s="14">
        <f t="shared" si="22"/>
        <v>14000</v>
      </c>
      <c r="DR52" s="14" t="str">
        <f t="shared" si="5"/>
        <v>盖文碎片</v>
      </c>
      <c r="DS52" s="14">
        <f t="shared" si="23"/>
        <v>80</v>
      </c>
    </row>
    <row r="53" spans="1:123" ht="16.5" x14ac:dyDescent="0.2">
      <c r="A53" s="55">
        <v>1101002</v>
      </c>
      <c r="B53" s="55" t="s">
        <v>373</v>
      </c>
      <c r="C53" s="55">
        <v>2</v>
      </c>
      <c r="D53" s="136">
        <v>5</v>
      </c>
      <c r="E53" s="136">
        <f>SUM(D$52:D53)</f>
        <v>10</v>
      </c>
      <c r="G53" t="s">
        <v>1579</v>
      </c>
      <c r="H53" s="15">
        <v>3</v>
      </c>
      <c r="I53" s="189">
        <f t="shared" si="62"/>
        <v>1.2015514416811271E-2</v>
      </c>
      <c r="J53" s="189">
        <f t="shared" si="59"/>
        <v>481</v>
      </c>
      <c r="K53" s="15"/>
      <c r="L53" s="15"/>
      <c r="M53" s="15"/>
      <c r="N53" s="15"/>
      <c r="O53" s="137"/>
      <c r="P53" s="141"/>
      <c r="Q53" s="141"/>
      <c r="R53" s="141"/>
      <c r="S53" s="141"/>
      <c r="T53" s="139">
        <v>49</v>
      </c>
      <c r="U53" s="139">
        <f>ROUND(INDEX(挂机升级突破!$DJ$6:$DJ$57,卡牌消耗!$T53)*INDEX(卡牌消耗!$B$8:$F$8,卡牌消耗!U$2)/$Q$4/5,0)*5</f>
        <v>57445</v>
      </c>
      <c r="V53" s="139">
        <f>ROUND(INDEX(挂机升级突破!$DJ$6:$DJ$57,卡牌消耗!$T53)*INDEX(卡牌消耗!$B$8:$F$8,卡牌消耗!V$2)/$Q$4/5,0)*5</f>
        <v>82060</v>
      </c>
      <c r="W53" s="139">
        <f>ROUND(INDEX(挂机升级突破!$DJ$6:$DJ$57,卡牌消耗!$T53)*INDEX(卡牌消耗!$B$8:$F$8,卡牌消耗!W$2)/$Q$4/5,0)*5</f>
        <v>123090</v>
      </c>
      <c r="X53" s="139">
        <f>ROUND(INDEX(挂机升级突破!$DJ$6:$DJ$57,卡牌消耗!$T53)*INDEX(卡牌消耗!$B$8:$F$8,卡牌消耗!X$2)/$Q$4/5,0)*5</f>
        <v>164120</v>
      </c>
      <c r="Y53" s="141"/>
      <c r="Z53" s="196">
        <v>2</v>
      </c>
      <c r="AA53" s="196">
        <v>49</v>
      </c>
      <c r="AB53" s="14">
        <f>ROUND(INDEX(挂机升级突破!DT$6:DT$57,卡牌消耗!$AA53)*INDEX(卡牌消耗!$B$5:$F$5,卡牌消耗!$Z53)/卡牌消耗!$Q$4/AB$2,0)*AB$2</f>
        <v>0</v>
      </c>
      <c r="AC53" s="14">
        <f>ROUND(INDEX(挂机升级突破!DU$6:DU$57,卡牌消耗!$AA53)*INDEX(卡牌消耗!$B$5:$F$5,卡牌消耗!$Z53)/卡牌消耗!$Q$4/AC$2,0)*AC$2</f>
        <v>0</v>
      </c>
      <c r="AD53" s="14">
        <f>ROUND(INDEX(挂机升级突破!DV$6:DV$57,卡牌消耗!$AA53)*INDEX(卡牌消耗!$B$5:$F$5,卡牌消耗!$Z53)/卡牌消耗!$Q$4/AD$2,0)*AD$2</f>
        <v>0</v>
      </c>
      <c r="AE53" s="14">
        <f>ROUND(INDEX(挂机升级突破!DW$6:DW$57,卡牌消耗!$AA53)*INDEX(卡牌消耗!$B$5:$F$5,卡牌消耗!$Z53)/卡牌消耗!$Q$4/AE$2,0)*AE$2</f>
        <v>0</v>
      </c>
      <c r="AF53" s="14">
        <f>ROUND(INDEX(挂机升级突破!DX$6:DX$57,卡牌消耗!$AA53)*INDEX(卡牌消耗!$B$5:$F$5,卡牌消耗!$Z53)/卡牌消耗!$Q$4/AF$2,0)*AF$2</f>
        <v>10</v>
      </c>
      <c r="AG53" s="14">
        <f>ROUND(INDEX(挂机升级突破!EC$6:EC$57,卡牌消耗!$AA53)*INDEX(卡牌消耗!$B$7:$F$7,卡牌消耗!$Z53)/卡牌消耗!$Q$4/AG$2,0)*AG$2</f>
        <v>1</v>
      </c>
      <c r="AH53" s="14">
        <f>ROUND(INDEX(挂机升级突破!ED$6:ED$57,卡牌消耗!$AA53)*INDEX(卡牌消耗!$B$8:$F$8,卡牌消耗!$Z53)/卡牌消耗!$Q$4/AH$2,0)*AH$2</f>
        <v>57450</v>
      </c>
      <c r="AI53" s="194"/>
      <c r="AJ53" s="194"/>
      <c r="AK53" s="104">
        <v>49</v>
      </c>
      <c r="AL53" s="14">
        <f t="shared" si="6"/>
        <v>1</v>
      </c>
      <c r="AM53" s="14">
        <f>INDEX(挂机升级突破!DQ$6:DQ$57,卡牌消耗!$AT53)</f>
        <v>11</v>
      </c>
      <c r="AN53" s="14">
        <f>INDEX(挂机升级突破!DR$6:DR$57,卡牌消耗!$AT53)</f>
        <v>5</v>
      </c>
      <c r="AO53" s="14">
        <f>INDEX(挂机升级突破!DS$6:DS$57,卡牌消耗!$AT53)</f>
        <v>10</v>
      </c>
      <c r="AP53" s="14">
        <f>INDEX(挂机升级突破!$DP$6:$DP$57,卡牌消耗!AT53)</f>
        <v>140</v>
      </c>
      <c r="AQ53" s="14" t="str">
        <f t="shared" si="7"/>
        <v>关羽</v>
      </c>
      <c r="AR53" s="14">
        <f t="shared" si="8"/>
        <v>5</v>
      </c>
      <c r="AS53" s="14" t="str">
        <f t="shared" si="9"/>
        <v>关羽魂火-49</v>
      </c>
      <c r="AT53" s="14">
        <f t="shared" si="10"/>
        <v>49</v>
      </c>
      <c r="AU53" s="14" t="str">
        <f>IF(AM53&gt;0,INDEX(挂机升级突破!$DT$4:$ED$4,AM53),"")</f>
        <v>金币</v>
      </c>
      <c r="AV53" s="14">
        <f>ROUND(INDEX(挂机升级突破!$DJ$6:$DJ$57,卡牌消耗!AT53)*INDEX(卡牌消耗!$B$8:$F$8,AR53)/$Q$4/50,0)*50</f>
        <v>164100</v>
      </c>
      <c r="AW53" s="14" t="str">
        <f>IF(AN53&gt;0,INDEX(挂机升级突破!$DT$4:$ED$4,AN53),"")</f>
        <v>红色基础材料</v>
      </c>
      <c r="AX53" s="14">
        <f>ROUND(INDEX(挂机升级突破!$DT$6:$ED$57,卡牌消耗!AT53,AN53)*INDEX(卡牌消耗!$B$5:$F$5,AR53)/$Q$4/5,0)*5</f>
        <v>20</v>
      </c>
      <c r="AY53" s="14" t="str">
        <f>IF(AO53&gt;0,INDEX(挂机升级突破!$DT$4:$ED$4,AO53),"")</f>
        <v>灵玉</v>
      </c>
      <c r="AZ53" s="14">
        <f>IF(AO53&gt;0,ROUND(INDEX(挂机升级突破!$DT$6:$ED$57,卡牌消耗!AT53,AO53)*INDEX(卡牌消耗!$B$7:$F$7,AR53)/$Q$4,0),"")</f>
        <v>4</v>
      </c>
      <c r="BA53" s="106"/>
      <c r="BB53" s="197"/>
      <c r="BC53" s="196">
        <v>4</v>
      </c>
      <c r="BD53" s="196">
        <v>9</v>
      </c>
      <c r="BE53" s="14">
        <f>ROUND(INDEX(挂机升级突破!ER$7:ER$26,卡牌消耗!$BD53)*INDEX(卡牌消耗!$B$6:$F$6,$BC53)/$Q$4,0)</f>
        <v>0</v>
      </c>
      <c r="BF53" s="14">
        <f>ROUND(INDEX(挂机升级突破!ES$7:ES$26,卡牌消耗!$BD53)*INDEX(卡牌消耗!$B$6:$F$6,$BC53)/$Q$4,0)</f>
        <v>59</v>
      </c>
      <c r="BG53" s="14">
        <f>ROUND(INDEX(挂机升级突破!ET$7:ET$26,卡牌消耗!$BD53)*INDEX(卡牌消耗!$B$6:$F$6,$BC53)/$Q$4,0)</f>
        <v>0</v>
      </c>
      <c r="BH53" s="14">
        <f>ROUND(INDEX(挂机升级突破!EU$7:EU$26,卡牌消耗!$BD53)*INDEX(卡牌消耗!$B$6:$F$6,$BC53)/$Q$4,0)</f>
        <v>0</v>
      </c>
      <c r="BI53" s="14">
        <f>ROUND(INDEX(挂机升级突破!$EV$7:$EV$26,卡牌消耗!BD53)*INDEX(卡牌消耗!$B$8:$F$8,$BC53)/$Q$4/BI$2,0)*BI$2</f>
        <v>16500</v>
      </c>
      <c r="BJ53" s="197"/>
      <c r="BK53" s="197"/>
      <c r="BL53" s="104">
        <v>49</v>
      </c>
      <c r="BM53" s="14">
        <f t="shared" si="11"/>
        <v>3</v>
      </c>
      <c r="BN53" s="14">
        <f>INDEX(挂机升级突破!$EI$7:$EI$26,BS53)</f>
        <v>5</v>
      </c>
      <c r="BO53" s="14">
        <f>INDEX(挂机升级突破!$EJ$7:$EJ$26,BS53)</f>
        <v>2</v>
      </c>
      <c r="BP53" s="14">
        <f t="shared" si="12"/>
        <v>4</v>
      </c>
      <c r="BQ53" s="14">
        <f>INDEX(挂机升级突破!$EH$7:$EH$26,卡牌消耗!BS53)</f>
        <v>57</v>
      </c>
      <c r="BR53" s="14" t="str">
        <f t="shared" si="13"/>
        <v>典韦</v>
      </c>
      <c r="BS53" s="14">
        <f t="shared" si="14"/>
        <v>9</v>
      </c>
      <c r="BT53" s="14" t="str">
        <f t="shared" si="15"/>
        <v>典韦9突</v>
      </c>
      <c r="BU53" s="14" t="str">
        <f>IF(BN53&gt;0,INDEX(挂机升级突破!$ER$5:$EV$5,卡牌消耗!BN53),"")</f>
        <v>金币</v>
      </c>
      <c r="BV53" s="14">
        <f>IF(BN53&gt;0,ROUND(INDEX(挂机升级突破!$EV$7:$EV$26,卡牌消耗!BS53)*INDEX(卡牌消耗!$B$8:$F$8,BP53)/$Q$4/500,0)*500,"")</f>
        <v>16500</v>
      </c>
      <c r="BW53" s="14" t="str">
        <f>IF(BO53&gt;0,INDEX(挂机升级突破!$ER$5:$EV$5,卡牌消耗!BO53),"")</f>
        <v>乌金</v>
      </c>
      <c r="BX53" s="14">
        <f>IF(BO53&gt;0,ROUND(INDEX(挂机升级突破!$ER$7:$EU$26,卡牌消耗!BS53,卡牌消耗!BO53)*INDEX($B$6:$F$6,BP53)/$Q$4/5,0)*5,"")</f>
        <v>60</v>
      </c>
      <c r="BY53" s="193"/>
      <c r="BZ53" s="193"/>
      <c r="CA53" s="106"/>
      <c r="CS53" s="171"/>
      <c r="CT53" s="171"/>
      <c r="CU53" s="171"/>
      <c r="CV53" s="169">
        <v>49</v>
      </c>
      <c r="CW53" s="169">
        <v>6</v>
      </c>
      <c r="CX53" s="21">
        <f t="shared" ref="CX53" si="65">CW53/$CU51</f>
        <v>0.21818181818181817</v>
      </c>
      <c r="CY53" s="169">
        <f t="shared" ref="CY53" si="66">INT($CU50*CX53/5)*5</f>
        <v>12030</v>
      </c>
      <c r="CZ53" s="169">
        <f>SUM(CY$5:CY53)</f>
        <v>256020</v>
      </c>
      <c r="DB53" s="188">
        <f t="shared" si="39"/>
        <v>6000</v>
      </c>
      <c r="DC53" s="188">
        <f t="shared" si="39"/>
        <v>9600</v>
      </c>
      <c r="DD53" s="188">
        <f t="shared" si="39"/>
        <v>12000</v>
      </c>
      <c r="DE53" s="188">
        <f t="shared" si="39"/>
        <v>14400</v>
      </c>
      <c r="DF53" s="188">
        <f t="shared" si="39"/>
        <v>18000</v>
      </c>
      <c r="DI53" s="186">
        <v>49</v>
      </c>
      <c r="DJ53" s="14">
        <f t="shared" si="21"/>
        <v>10</v>
      </c>
      <c r="DK53" s="14">
        <f t="shared" si="1"/>
        <v>4</v>
      </c>
      <c r="DL53" s="14">
        <f t="shared" si="2"/>
        <v>1101010</v>
      </c>
      <c r="DM53" s="136" t="s">
        <v>1097</v>
      </c>
      <c r="DN53" s="14">
        <f t="shared" si="3"/>
        <v>4</v>
      </c>
      <c r="DO53" s="14" t="str">
        <f t="shared" si="4"/>
        <v>盖文-4星</v>
      </c>
      <c r="DP53" s="136" t="s">
        <v>1103</v>
      </c>
      <c r="DQ53" s="14">
        <f t="shared" si="22"/>
        <v>32000</v>
      </c>
      <c r="DR53" s="14" t="str">
        <f t="shared" si="5"/>
        <v>盖文碎片</v>
      </c>
      <c r="DS53" s="14">
        <f t="shared" si="23"/>
        <v>80</v>
      </c>
    </row>
    <row r="54" spans="1:123" ht="16.5" x14ac:dyDescent="0.2">
      <c r="A54" s="55">
        <v>1101003</v>
      </c>
      <c r="B54" s="55" t="s">
        <v>374</v>
      </c>
      <c r="C54" s="55">
        <v>3</v>
      </c>
      <c r="D54" s="136">
        <v>5</v>
      </c>
      <c r="E54" s="136">
        <f>SUM(D$52:D54)</f>
        <v>15</v>
      </c>
      <c r="G54" t="s">
        <v>375</v>
      </c>
      <c r="H54" s="15">
        <v>4</v>
      </c>
      <c r="I54" s="189">
        <f t="shared" si="62"/>
        <v>7.0928982875403329E-3</v>
      </c>
      <c r="J54" s="189">
        <f t="shared" si="59"/>
        <v>284</v>
      </c>
      <c r="K54" s="15"/>
      <c r="L54" s="15"/>
      <c r="M54" s="15"/>
      <c r="N54" s="15"/>
      <c r="O54" s="137"/>
      <c r="P54" s="141"/>
      <c r="Q54" s="141"/>
      <c r="R54" s="141"/>
      <c r="S54" s="141"/>
      <c r="T54" s="139">
        <v>50</v>
      </c>
      <c r="U54" s="139">
        <f>ROUND(INDEX(挂机升级突破!$DJ$6:$DJ$57,卡牌消耗!$T54)*INDEX(卡牌消耗!$B$8:$F$8,卡牌消耗!U$2)/$Q$4/5,0)*5</f>
        <v>95740</v>
      </c>
      <c r="V54" s="139">
        <f>ROUND(INDEX(挂机升级突破!$DJ$6:$DJ$57,卡牌消耗!$T54)*INDEX(卡牌消耗!$B$8:$F$8,卡牌消耗!V$2)/$Q$4/5,0)*5</f>
        <v>136770</v>
      </c>
      <c r="W54" s="139">
        <f>ROUND(INDEX(挂机升级突破!$DJ$6:$DJ$57,卡牌消耗!$T54)*INDEX(卡牌消耗!$B$8:$F$8,卡牌消耗!W$2)/$Q$4/5,0)*5</f>
        <v>205155</v>
      </c>
      <c r="X54" s="139">
        <f>ROUND(INDEX(挂机升级突破!$DJ$6:$DJ$57,卡牌消耗!$T54)*INDEX(卡牌消耗!$B$8:$F$8,卡牌消耗!X$2)/$Q$4/5,0)*5</f>
        <v>273535</v>
      </c>
      <c r="Y54" s="141"/>
      <c r="Z54" s="196">
        <v>2</v>
      </c>
      <c r="AA54" s="196">
        <v>50</v>
      </c>
      <c r="AB54" s="14">
        <f>ROUND(INDEX(挂机升级突破!DT$6:DT$57,卡牌消耗!$AA54)*INDEX(卡牌消耗!$B$5:$F$5,卡牌消耗!$Z54)/卡牌消耗!$Q$4/AB$2,0)*AB$2</f>
        <v>0</v>
      </c>
      <c r="AC54" s="14">
        <f>ROUND(INDEX(挂机升级突破!DU$6:DU$57,卡牌消耗!$AA54)*INDEX(卡牌消耗!$B$5:$F$5,卡牌消耗!$Z54)/卡牌消耗!$Q$4/AC$2,0)*AC$2</f>
        <v>0</v>
      </c>
      <c r="AD54" s="14">
        <f>ROUND(INDEX(挂机升级突破!DV$6:DV$57,卡牌消耗!$AA54)*INDEX(卡牌消耗!$B$5:$F$5,卡牌消耗!$Z54)/卡牌消耗!$Q$4/AD$2,0)*AD$2</f>
        <v>0</v>
      </c>
      <c r="AE54" s="14">
        <f>ROUND(INDEX(挂机升级突破!DW$6:DW$57,卡牌消耗!$AA54)*INDEX(卡牌消耗!$B$5:$F$5,卡牌消耗!$Z54)/卡牌消耗!$Q$4/AE$2,0)*AE$2</f>
        <v>0</v>
      </c>
      <c r="AF54" s="14">
        <f>ROUND(INDEX(挂机升级突破!DX$6:DX$57,卡牌消耗!$AA54)*INDEX(卡牌消耗!$B$5:$F$5,卡牌消耗!$Z54)/卡牌消耗!$Q$4/AF$2,0)*AF$2</f>
        <v>10</v>
      </c>
      <c r="AG54" s="14">
        <f>ROUND(INDEX(挂机升级突破!EC$6:EC$57,卡牌消耗!$AA54)*INDEX(卡牌消耗!$B$7:$F$7,卡牌消耗!$Z54)/卡牌消耗!$Q$4/AG$2,0)*AG$2</f>
        <v>1</v>
      </c>
      <c r="AH54" s="14">
        <f>ROUND(INDEX(挂机升级突破!ED$6:ED$57,卡牌消耗!$AA54)*INDEX(卡牌消耗!$B$8:$F$8,卡牌消耗!$Z54)/卡牌消耗!$Q$4/AH$2,0)*AH$2</f>
        <v>95750</v>
      </c>
      <c r="AI54" s="194"/>
      <c r="AJ54" s="194"/>
      <c r="AK54" s="104">
        <v>50</v>
      </c>
      <c r="AL54" s="14">
        <f t="shared" si="6"/>
        <v>1</v>
      </c>
      <c r="AM54" s="14">
        <f>INDEX(挂机升级突破!DQ$6:DQ$57,卡牌消耗!$AT54)</f>
        <v>11</v>
      </c>
      <c r="AN54" s="14">
        <f>INDEX(挂机升级突破!DR$6:DR$57,卡牌消耗!$AT54)</f>
        <v>5</v>
      </c>
      <c r="AO54" s="14">
        <f>INDEX(挂机升级突破!DS$6:DS$57,卡牌消耗!$AT54)</f>
        <v>10</v>
      </c>
      <c r="AP54" s="14">
        <f>INDEX(挂机升级突破!$DP$6:$DP$57,卡牌消耗!AT54)</f>
        <v>143</v>
      </c>
      <c r="AQ54" s="14" t="str">
        <f t="shared" si="7"/>
        <v>关羽</v>
      </c>
      <c r="AR54" s="14">
        <f t="shared" si="8"/>
        <v>5</v>
      </c>
      <c r="AS54" s="14" t="str">
        <f t="shared" si="9"/>
        <v>关羽魂火-50</v>
      </c>
      <c r="AT54" s="14">
        <f t="shared" si="10"/>
        <v>50</v>
      </c>
      <c r="AU54" s="14" t="str">
        <f>IF(AM54&gt;0,INDEX(挂机升级突破!$DT$4:$ED$4,AM54),"")</f>
        <v>金币</v>
      </c>
      <c r="AV54" s="14">
        <f>ROUND(INDEX(挂机升级突破!$DJ$6:$DJ$57,卡牌消耗!AT54)*INDEX(卡牌消耗!$B$8:$F$8,AR54)/$Q$4/50,0)*50</f>
        <v>273550</v>
      </c>
      <c r="AW54" s="14" t="str">
        <f>IF(AN54&gt;0,INDEX(挂机升级突破!$DT$4:$ED$4,AN54),"")</f>
        <v>红色基础材料</v>
      </c>
      <c r="AX54" s="14">
        <f>ROUND(INDEX(挂机升级突破!$DT$6:$ED$57,卡牌消耗!AT54,AN54)*INDEX(卡牌消耗!$B$5:$F$5,AR54)/$Q$4/5,0)*5</f>
        <v>20</v>
      </c>
      <c r="AY54" s="14" t="str">
        <f>IF(AO54&gt;0,INDEX(挂机升级突破!$DT$4:$ED$4,AO54),"")</f>
        <v>灵玉</v>
      </c>
      <c r="AZ54" s="14">
        <f>IF(AO54&gt;0,ROUND(INDEX(挂机升级突破!$DT$6:$ED$57,卡牌消耗!AT54,AO54)*INDEX(卡牌消耗!$B$7:$F$7,AR54)/$Q$4,0),"")</f>
        <v>4</v>
      </c>
      <c r="BA54" s="106"/>
      <c r="BB54" s="197"/>
      <c r="BC54" s="196">
        <v>4</v>
      </c>
      <c r="BD54" s="196">
        <v>10</v>
      </c>
      <c r="BE54" s="14">
        <f>ROUND(INDEX(挂机升级突破!ER$7:ER$26,卡牌消耗!$BD54)*INDEX(卡牌消耗!$B$6:$F$6,$BC54)/$Q$4,0)</f>
        <v>0</v>
      </c>
      <c r="BF54" s="14">
        <f>ROUND(INDEX(挂机升级突破!ES$7:ES$26,卡牌消耗!$BD54)*INDEX(卡牌消耗!$B$6:$F$6,$BC54)/$Q$4,0)</f>
        <v>83</v>
      </c>
      <c r="BG54" s="14">
        <f>ROUND(INDEX(挂机升级突破!ET$7:ET$26,卡牌消耗!$BD54)*INDEX(卡牌消耗!$B$6:$F$6,$BC54)/$Q$4,0)</f>
        <v>0</v>
      </c>
      <c r="BH54" s="14">
        <f>ROUND(INDEX(挂机升级突破!EU$7:EU$26,卡牌消耗!$BD54)*INDEX(卡牌消耗!$B$6:$F$6,$BC54)/$Q$4,0)</f>
        <v>0</v>
      </c>
      <c r="BI54" s="14">
        <f>ROUND(INDEX(挂机升级突破!$EV$7:$EV$26,卡牌消耗!BD54)*INDEX(卡牌消耗!$B$8:$F$8,$BC54)/$Q$4/BI$2,0)*BI$2</f>
        <v>28000</v>
      </c>
      <c r="BJ54" s="197"/>
      <c r="BK54" s="197"/>
      <c r="BL54" s="104">
        <v>50</v>
      </c>
      <c r="BM54" s="14">
        <f t="shared" si="11"/>
        <v>3</v>
      </c>
      <c r="BN54" s="14">
        <f>INDEX(挂机升级突破!$EI$7:$EI$26,BS54)</f>
        <v>5</v>
      </c>
      <c r="BO54" s="14">
        <f>INDEX(挂机升级突破!$EJ$7:$EJ$26,BS54)</f>
        <v>2</v>
      </c>
      <c r="BP54" s="14">
        <f t="shared" si="12"/>
        <v>4</v>
      </c>
      <c r="BQ54" s="14">
        <f>INDEX(挂机升级突破!$EH$7:$EH$26,卡牌消耗!BS54)</f>
        <v>65</v>
      </c>
      <c r="BR54" s="14" t="str">
        <f t="shared" si="13"/>
        <v>典韦</v>
      </c>
      <c r="BS54" s="14">
        <f t="shared" si="14"/>
        <v>10</v>
      </c>
      <c r="BT54" s="14" t="str">
        <f t="shared" si="15"/>
        <v>典韦10突</v>
      </c>
      <c r="BU54" s="14" t="str">
        <f>IF(BN54&gt;0,INDEX(挂机升级突破!$ER$5:$EV$5,卡牌消耗!BN54),"")</f>
        <v>金币</v>
      </c>
      <c r="BV54" s="14">
        <f>IF(BN54&gt;0,ROUND(INDEX(挂机升级突破!$EV$7:$EV$26,卡牌消耗!BS54)*INDEX(卡牌消耗!$B$8:$F$8,BP54)/$Q$4/500,0)*500,"")</f>
        <v>28000</v>
      </c>
      <c r="BW54" s="14" t="str">
        <f>IF(BO54&gt;0,INDEX(挂机升级突破!$ER$5:$EV$5,卡牌消耗!BO54),"")</f>
        <v>乌金</v>
      </c>
      <c r="BX54" s="14">
        <f>IF(BO54&gt;0,ROUND(INDEX(挂机升级突破!$ER$7:$EU$26,卡牌消耗!BS54,卡牌消耗!BO54)*INDEX($B$6:$F$6,BP54)/$Q$4/5,0)*5,"")</f>
        <v>85</v>
      </c>
      <c r="BY54" s="193"/>
      <c r="BZ54" s="193"/>
      <c r="CA54" s="106"/>
      <c r="CS54" s="171"/>
      <c r="CT54" s="173" t="s">
        <v>120</v>
      </c>
      <c r="CU54" s="169">
        <v>9</v>
      </c>
      <c r="CV54" s="169">
        <v>50</v>
      </c>
      <c r="CW54" s="169">
        <v>5</v>
      </c>
      <c r="CX54" s="21">
        <f t="shared" ref="CX54" si="67">CW54/$CU56</f>
        <v>0.18181818181818182</v>
      </c>
      <c r="CY54" s="169">
        <f t="shared" ref="CY54" si="68">INT($CU55*CX54/5)*5</f>
        <v>11160</v>
      </c>
      <c r="CZ54" s="169">
        <f>SUM(CY$5:CY54)</f>
        <v>267180</v>
      </c>
      <c r="DB54" s="188">
        <f t="shared" si="39"/>
        <v>5550</v>
      </c>
      <c r="DC54" s="188">
        <f t="shared" si="39"/>
        <v>8900</v>
      </c>
      <c r="DD54" s="188">
        <f t="shared" si="39"/>
        <v>11150</v>
      </c>
      <c r="DE54" s="188">
        <f t="shared" si="39"/>
        <v>13350</v>
      </c>
      <c r="DF54" s="188">
        <f t="shared" si="39"/>
        <v>16700</v>
      </c>
      <c r="DI54" s="186">
        <v>50</v>
      </c>
      <c r="DJ54" s="14">
        <f t="shared" si="21"/>
        <v>10</v>
      </c>
      <c r="DK54" s="14">
        <f t="shared" si="1"/>
        <v>4</v>
      </c>
      <c r="DL54" s="14">
        <f t="shared" si="2"/>
        <v>1101010</v>
      </c>
      <c r="DM54" s="136" t="s">
        <v>1097</v>
      </c>
      <c r="DN54" s="14">
        <f t="shared" si="3"/>
        <v>5</v>
      </c>
      <c r="DO54" s="14" t="str">
        <f t="shared" si="4"/>
        <v>盖文-5星</v>
      </c>
      <c r="DP54" s="136" t="s">
        <v>1103</v>
      </c>
      <c r="DQ54" s="14">
        <f t="shared" si="22"/>
        <v>60000</v>
      </c>
      <c r="DR54" s="14" t="str">
        <f t="shared" si="5"/>
        <v>盖文碎片</v>
      </c>
      <c r="DS54" s="14">
        <f t="shared" si="23"/>
        <v>80</v>
      </c>
    </row>
    <row r="55" spans="1:123" ht="16.5" x14ac:dyDescent="0.2">
      <c r="A55" s="55">
        <v>1101004</v>
      </c>
      <c r="B55" s="55" t="s">
        <v>375</v>
      </c>
      <c r="C55" s="55">
        <v>4</v>
      </c>
      <c r="D55" s="136">
        <v>5</v>
      </c>
      <c r="E55" s="136">
        <f>SUM(D$52:D55)</f>
        <v>20</v>
      </c>
      <c r="G55" t="s">
        <v>376</v>
      </c>
      <c r="H55" s="15">
        <v>4</v>
      </c>
      <c r="I55" s="189">
        <f t="shared" si="62"/>
        <v>7.0928982875403329E-3</v>
      </c>
      <c r="J55" s="189">
        <f t="shared" si="59"/>
        <v>284</v>
      </c>
      <c r="K55" s="15"/>
      <c r="L55" s="15"/>
      <c r="M55" s="15"/>
      <c r="N55" s="15"/>
      <c r="O55" s="137"/>
      <c r="P55" s="141"/>
      <c r="Q55" s="141"/>
      <c r="R55" s="141"/>
      <c r="S55" s="141"/>
      <c r="T55" s="139">
        <v>51</v>
      </c>
      <c r="U55" s="139">
        <f>ROUND(INDEX(挂机升级突破!$DJ$6:$DJ$57,卡牌消耗!$T55)*INDEX(卡牌消耗!$B$8:$F$8,卡牌消耗!U$2)/$Q$4/5,0)*5</f>
        <v>105310</v>
      </c>
      <c r="V55" s="139">
        <f>ROUND(INDEX(挂机升级突破!$DJ$6:$DJ$57,卡牌消耗!$T55)*INDEX(卡牌消耗!$B$8:$F$8,卡牌消耗!V$2)/$Q$4/5,0)*5</f>
        <v>150445</v>
      </c>
      <c r="W55" s="139">
        <f>ROUND(INDEX(挂机升级突破!$DJ$6:$DJ$57,卡牌消耗!$T55)*INDEX(卡牌消耗!$B$8:$F$8,卡牌消耗!W$2)/$Q$4/5,0)*5</f>
        <v>225670</v>
      </c>
      <c r="X55" s="139">
        <f>ROUND(INDEX(挂机升级突破!$DJ$6:$DJ$57,卡牌消耗!$T55)*INDEX(卡牌消耗!$B$8:$F$8,卡牌消耗!X$2)/$Q$4/5,0)*5</f>
        <v>300890</v>
      </c>
      <c r="Y55" s="141"/>
      <c r="Z55" s="196">
        <v>2</v>
      </c>
      <c r="AA55" s="196">
        <v>51</v>
      </c>
      <c r="AB55" s="14">
        <f>ROUND(INDEX(挂机升级突破!DT$6:DT$57,卡牌消耗!$AA55)*INDEX(卡牌消耗!$B$5:$F$5,卡牌消耗!$Z55)/卡牌消耗!$Q$4/AB$2,0)*AB$2</f>
        <v>0</v>
      </c>
      <c r="AC55" s="14">
        <f>ROUND(INDEX(挂机升级突破!DU$6:DU$57,卡牌消耗!$AA55)*INDEX(卡牌消耗!$B$5:$F$5,卡牌消耗!$Z55)/卡牌消耗!$Q$4/AC$2,0)*AC$2</f>
        <v>0</v>
      </c>
      <c r="AD55" s="14">
        <f>ROUND(INDEX(挂机升级突破!DV$6:DV$57,卡牌消耗!$AA55)*INDEX(卡牌消耗!$B$5:$F$5,卡牌消耗!$Z55)/卡牌消耗!$Q$4/AD$2,0)*AD$2</f>
        <v>0</v>
      </c>
      <c r="AE55" s="14">
        <f>ROUND(INDEX(挂机升级突破!DW$6:DW$57,卡牌消耗!$AA55)*INDEX(卡牌消耗!$B$5:$F$5,卡牌消耗!$Z55)/卡牌消耗!$Q$4/AE$2,0)*AE$2</f>
        <v>0</v>
      </c>
      <c r="AF55" s="14">
        <f>ROUND(INDEX(挂机升级突破!DX$6:DX$57,卡牌消耗!$AA55)*INDEX(卡牌消耗!$B$5:$F$5,卡牌消耗!$Z55)/卡牌消耗!$Q$4/AF$2,0)*AF$2</f>
        <v>10</v>
      </c>
      <c r="AG55" s="14">
        <f>ROUND(INDEX(挂机升级突破!EC$6:EC$57,卡牌消耗!$AA55)*INDEX(卡牌消耗!$B$7:$F$7,卡牌消耗!$Z55)/卡牌消耗!$Q$4/AG$2,0)*AG$2</f>
        <v>1</v>
      </c>
      <c r="AH55" s="14">
        <f>ROUND(INDEX(挂机升级突破!ED$6:ED$57,卡牌消耗!$AA55)*INDEX(卡牌消耗!$B$8:$F$8,卡牌消耗!$Z55)/卡牌消耗!$Q$4/AH$2,0)*AH$2</f>
        <v>105300</v>
      </c>
      <c r="AI55" s="194"/>
      <c r="AJ55" s="194"/>
      <c r="AK55" s="104">
        <v>51</v>
      </c>
      <c r="AL55" s="14">
        <f t="shared" si="6"/>
        <v>1</v>
      </c>
      <c r="AM55" s="14">
        <f>INDEX(挂机升级突破!DQ$6:DQ$57,卡牌消耗!$AT55)</f>
        <v>11</v>
      </c>
      <c r="AN55" s="14">
        <f>INDEX(挂机升级突破!DR$6:DR$57,卡牌消耗!$AT55)</f>
        <v>5</v>
      </c>
      <c r="AO55" s="14">
        <f>INDEX(挂机升级突破!DS$6:DS$57,卡牌消耗!$AT55)</f>
        <v>10</v>
      </c>
      <c r="AP55" s="14">
        <f>INDEX(挂机升级突破!$DP$6:$DP$57,卡牌消耗!AT55)</f>
        <v>145</v>
      </c>
      <c r="AQ55" s="14" t="str">
        <f t="shared" si="7"/>
        <v>关羽</v>
      </c>
      <c r="AR55" s="14">
        <f t="shared" si="8"/>
        <v>5</v>
      </c>
      <c r="AS55" s="14" t="str">
        <f t="shared" si="9"/>
        <v>关羽魂火-51</v>
      </c>
      <c r="AT55" s="14">
        <f t="shared" si="10"/>
        <v>51</v>
      </c>
      <c r="AU55" s="14" t="str">
        <f>IF(AM55&gt;0,INDEX(挂机升级突破!$DT$4:$ED$4,AM55),"")</f>
        <v>金币</v>
      </c>
      <c r="AV55" s="14">
        <f>ROUND(INDEX(挂机升级突破!$DJ$6:$DJ$57,卡牌消耗!AT55)*INDEX(卡牌消耗!$B$8:$F$8,AR55)/$Q$4/50,0)*50</f>
        <v>300900</v>
      </c>
      <c r="AW55" s="14" t="str">
        <f>IF(AN55&gt;0,INDEX(挂机升级突破!$DT$4:$ED$4,AN55),"")</f>
        <v>红色基础材料</v>
      </c>
      <c r="AX55" s="14">
        <f>ROUND(INDEX(挂机升级突破!$DT$6:$ED$57,卡牌消耗!AT55,AN55)*INDEX(卡牌消耗!$B$5:$F$5,AR55)/$Q$4/5,0)*5</f>
        <v>20</v>
      </c>
      <c r="AY55" s="14" t="str">
        <f>IF(AO55&gt;0,INDEX(挂机升级突破!$DT$4:$ED$4,AO55),"")</f>
        <v>灵玉</v>
      </c>
      <c r="AZ55" s="14">
        <f>IF(AO55&gt;0,ROUND(INDEX(挂机升级突破!$DT$6:$ED$57,卡牌消耗!AT55,AO55)*INDEX(卡牌消耗!$B$7:$F$7,AR55)/$Q$4,0),"")</f>
        <v>4</v>
      </c>
      <c r="BA55" s="106"/>
      <c r="BB55" s="197"/>
      <c r="BC55" s="196">
        <v>4</v>
      </c>
      <c r="BD55" s="196">
        <v>11</v>
      </c>
      <c r="BE55" s="14">
        <f>ROUND(INDEX(挂机升级突破!ER$7:ER$26,卡牌消耗!$BD55)*INDEX(卡牌消耗!$B$6:$F$6,$BC55)/$Q$4,0)</f>
        <v>0</v>
      </c>
      <c r="BF55" s="14">
        <f>ROUND(INDEX(挂机升级突破!ES$7:ES$26,卡牌消耗!$BD55)*INDEX(卡牌消耗!$B$6:$F$6,$BC55)/$Q$4,0)</f>
        <v>111</v>
      </c>
      <c r="BG55" s="14">
        <f>ROUND(INDEX(挂机升级突破!ET$7:ET$26,卡牌消耗!$BD55)*INDEX(卡牌消耗!$B$6:$F$6,$BC55)/$Q$4,0)</f>
        <v>0</v>
      </c>
      <c r="BH55" s="14">
        <f>ROUND(INDEX(挂机升级突破!EU$7:EU$26,卡牌消耗!$BD55)*INDEX(卡牌消耗!$B$6:$F$6,$BC55)/$Q$4,0)</f>
        <v>0</v>
      </c>
      <c r="BI55" s="14">
        <f>ROUND(INDEX(挂机升级突破!$EV$7:$EV$26,卡牌消耗!BD55)*INDEX(卡牌消耗!$B$8:$F$8,$BC55)/$Q$4/BI$2,0)*BI$2</f>
        <v>28000</v>
      </c>
      <c r="BJ55" s="197"/>
      <c r="BK55" s="197"/>
      <c r="BL55" s="104">
        <v>51</v>
      </c>
      <c r="BM55" s="14">
        <f t="shared" si="11"/>
        <v>3</v>
      </c>
      <c r="BN55" s="14">
        <f>INDEX(挂机升级突破!$EI$7:$EI$26,BS55)</f>
        <v>5</v>
      </c>
      <c r="BO55" s="14">
        <f>INDEX(挂机升级突破!$EJ$7:$EJ$26,BS55)</f>
        <v>2</v>
      </c>
      <c r="BP55" s="14">
        <f t="shared" si="12"/>
        <v>4</v>
      </c>
      <c r="BQ55" s="14">
        <f>INDEX(挂机升级突破!$EH$7:$EH$26,卡牌消耗!BS55)</f>
        <v>72</v>
      </c>
      <c r="BR55" s="14" t="str">
        <f t="shared" si="13"/>
        <v>典韦</v>
      </c>
      <c r="BS55" s="14">
        <f t="shared" si="14"/>
        <v>11</v>
      </c>
      <c r="BT55" s="14" t="str">
        <f t="shared" si="15"/>
        <v>典韦11突</v>
      </c>
      <c r="BU55" s="14" t="str">
        <f>IF(BN55&gt;0,INDEX(挂机升级突破!$ER$5:$EV$5,卡牌消耗!BN55),"")</f>
        <v>金币</v>
      </c>
      <c r="BV55" s="14">
        <f>IF(BN55&gt;0,ROUND(INDEX(挂机升级突破!$EV$7:$EV$26,卡牌消耗!BS55)*INDEX(卡牌消耗!$B$8:$F$8,BP55)/$Q$4/500,0)*500,"")</f>
        <v>28000</v>
      </c>
      <c r="BW55" s="14" t="str">
        <f>IF(BO55&gt;0,INDEX(挂机升级突破!$ER$5:$EV$5,卡牌消耗!BO55),"")</f>
        <v>乌金</v>
      </c>
      <c r="BX55" s="14">
        <f>IF(BO55&gt;0,ROUND(INDEX(挂机升级突破!$ER$7:$EU$26,卡牌消耗!BS55,卡牌消耗!BO55)*INDEX($B$6:$F$6,BP55)/$Q$4/5,0)*5,"")</f>
        <v>110</v>
      </c>
      <c r="BY55" s="193"/>
      <c r="BZ55" s="193"/>
      <c r="CA55" s="106"/>
      <c r="CS55" s="171"/>
      <c r="CT55" s="171"/>
      <c r="CU55" s="14">
        <f>INDEX($CP$5:$CP$32,CU54)</f>
        <v>61400</v>
      </c>
      <c r="CV55" s="169">
        <v>51</v>
      </c>
      <c r="CW55" s="169">
        <v>5.25</v>
      </c>
      <c r="CX55" s="21">
        <f t="shared" ref="CX55" si="69">CW55/$CU56</f>
        <v>0.19090909090909092</v>
      </c>
      <c r="CY55" s="169">
        <f t="shared" ref="CY55" si="70">INT($CU55*CX55/5)*5</f>
        <v>11720</v>
      </c>
      <c r="CZ55" s="169">
        <f>SUM(CY$5:CY55)</f>
        <v>278900</v>
      </c>
      <c r="DB55" s="188">
        <f t="shared" si="39"/>
        <v>5850</v>
      </c>
      <c r="DC55" s="188">
        <f t="shared" si="39"/>
        <v>9350</v>
      </c>
      <c r="DD55" s="188">
        <f t="shared" si="39"/>
        <v>11700</v>
      </c>
      <c r="DE55" s="188">
        <f t="shared" si="39"/>
        <v>14050</v>
      </c>
      <c r="DF55" s="188">
        <f t="shared" si="39"/>
        <v>17550</v>
      </c>
      <c r="DI55" s="186">
        <v>51</v>
      </c>
      <c r="DJ55" s="14">
        <f t="shared" si="21"/>
        <v>11</v>
      </c>
      <c r="DK55" s="14">
        <f t="shared" si="1"/>
        <v>3</v>
      </c>
      <c r="DL55" s="14">
        <f t="shared" si="2"/>
        <v>1101011</v>
      </c>
      <c r="DM55" s="136" t="s">
        <v>1097</v>
      </c>
      <c r="DN55" s="14">
        <f t="shared" si="3"/>
        <v>1</v>
      </c>
      <c r="DO55" s="14" t="str">
        <f t="shared" si="4"/>
        <v>阎风吒-1星</v>
      </c>
      <c r="DP55" s="136" t="s">
        <v>1103</v>
      </c>
      <c r="DQ55" s="14">
        <f t="shared" si="22"/>
        <v>4000</v>
      </c>
      <c r="DR55" s="14" t="str">
        <f t="shared" si="5"/>
        <v>阎风吒碎片</v>
      </c>
      <c r="DS55" s="14">
        <f t="shared" si="23"/>
        <v>40</v>
      </c>
    </row>
    <row r="56" spans="1:123" ht="16.5" x14ac:dyDescent="0.2">
      <c r="A56" s="55">
        <v>1101005</v>
      </c>
      <c r="B56" s="55" t="s">
        <v>376</v>
      </c>
      <c r="C56" s="55">
        <v>4</v>
      </c>
      <c r="D56" s="136">
        <v>5</v>
      </c>
      <c r="E56" s="136">
        <f>SUM(D$52:D56)</f>
        <v>25</v>
      </c>
      <c r="G56" t="s">
        <v>377</v>
      </c>
      <c r="H56" s="15">
        <v>4</v>
      </c>
      <c r="I56" s="189">
        <f t="shared" si="62"/>
        <v>7.0928982875403329E-3</v>
      </c>
      <c r="J56" s="189">
        <f t="shared" si="59"/>
        <v>284</v>
      </c>
      <c r="K56" s="15"/>
      <c r="L56" s="15"/>
      <c r="M56" s="15"/>
      <c r="N56" s="15"/>
      <c r="O56" s="137"/>
      <c r="P56" s="141"/>
      <c r="Q56" s="141"/>
      <c r="R56" s="141"/>
      <c r="S56" s="141"/>
      <c r="T56" s="141"/>
      <c r="U56" s="141"/>
      <c r="V56" s="141"/>
      <c r="W56" s="141"/>
      <c r="X56" s="141"/>
      <c r="Y56" s="141"/>
      <c r="Z56" s="196">
        <v>2</v>
      </c>
      <c r="AA56" s="196">
        <v>52</v>
      </c>
      <c r="AB56" s="14">
        <f>ROUND(INDEX(挂机升级突破!DT$6:DT$57,卡牌消耗!$AA56)*INDEX(卡牌消耗!$B$5:$F$5,卡牌消耗!$Z56)/卡牌消耗!$Q$4/AB$2,0)*AB$2</f>
        <v>0</v>
      </c>
      <c r="AC56" s="14">
        <f>ROUND(INDEX(挂机升级突破!DU$6:DU$57,卡牌消耗!$AA56)*INDEX(卡牌消耗!$B$5:$F$5,卡牌消耗!$Z56)/卡牌消耗!$Q$4/AC$2,0)*AC$2</f>
        <v>0</v>
      </c>
      <c r="AD56" s="14">
        <f>ROUND(INDEX(挂机升级突破!DV$6:DV$57,卡牌消耗!$AA56)*INDEX(卡牌消耗!$B$5:$F$5,卡牌消耗!$Z56)/卡牌消耗!$Q$4/AD$2,0)*AD$2</f>
        <v>0</v>
      </c>
      <c r="AE56" s="14">
        <f>ROUND(INDEX(挂机升级突破!DW$6:DW$57,卡牌消耗!$AA56)*INDEX(卡牌消耗!$B$5:$F$5,卡牌消耗!$Z56)/卡牌消耗!$Q$4/AE$2,0)*AE$2</f>
        <v>0</v>
      </c>
      <c r="AF56" s="14">
        <f>ROUND(INDEX(挂机升级突破!DX$6:DX$57,卡牌消耗!$AA56)*INDEX(卡牌消耗!$B$5:$F$5,卡牌消耗!$Z56)/卡牌消耗!$Q$4/AF$2,0)*AF$2</f>
        <v>10</v>
      </c>
      <c r="AG56" s="14">
        <f>ROUND(INDEX(挂机升级突破!EC$6:EC$57,卡牌消耗!$AA56)*INDEX(卡牌消耗!$B$7:$F$7,卡牌消耗!$Z56)/卡牌消耗!$Q$4/AG$2,0)*AG$2</f>
        <v>1</v>
      </c>
      <c r="AH56" s="14">
        <f>ROUND(INDEX(挂机升级突破!ED$6:ED$57,卡牌消耗!$AA56)*INDEX(卡牌消耗!$B$8:$F$8,卡牌消耗!$Z56)/卡牌消耗!$Q$4/AH$2,0)*AH$2</f>
        <v>105300</v>
      </c>
      <c r="AI56" s="194"/>
      <c r="AJ56" s="194"/>
      <c r="AK56" s="104">
        <v>52</v>
      </c>
      <c r="AL56" s="14">
        <f t="shared" si="6"/>
        <v>1</v>
      </c>
      <c r="AM56" s="14">
        <f>INDEX(挂机升级突破!DQ$6:DQ$57,卡牌消耗!$AT56)</f>
        <v>11</v>
      </c>
      <c r="AN56" s="14">
        <f>INDEX(挂机升级突破!DR$6:DR$57,卡牌消耗!$AT56)</f>
        <v>5</v>
      </c>
      <c r="AO56" s="14">
        <f>INDEX(挂机升级突破!DS$6:DS$57,卡牌消耗!$AT56)</f>
        <v>10</v>
      </c>
      <c r="AP56" s="14">
        <f>INDEX(挂机升级突破!$DP$6:$DP$57,卡牌消耗!AT56)</f>
        <v>148</v>
      </c>
      <c r="AQ56" s="14" t="str">
        <f t="shared" si="7"/>
        <v>关羽</v>
      </c>
      <c r="AR56" s="14">
        <f t="shared" si="8"/>
        <v>5</v>
      </c>
      <c r="AS56" s="14" t="str">
        <f t="shared" si="9"/>
        <v>关羽魂火-52</v>
      </c>
      <c r="AT56" s="14">
        <f t="shared" si="10"/>
        <v>52</v>
      </c>
      <c r="AU56" s="14" t="str">
        <f>IF(AM56&gt;0,INDEX(挂机升级突破!$DT$4:$ED$4,AM56),"")</f>
        <v>金币</v>
      </c>
      <c r="AV56" s="14">
        <f>ROUND(INDEX(挂机升级突破!$DJ$6:$DJ$57,卡牌消耗!AT56)*INDEX(卡牌消耗!$B$8:$F$8,AR56)/$Q$4/50,0)*50</f>
        <v>300900</v>
      </c>
      <c r="AW56" s="14" t="str">
        <f>IF(AN56&gt;0,INDEX(挂机升级突破!$DT$4:$ED$4,AN56),"")</f>
        <v>红色基础材料</v>
      </c>
      <c r="AX56" s="14">
        <f>ROUND(INDEX(挂机升级突破!$DT$6:$ED$57,卡牌消耗!AT56,AN56)*INDEX(卡牌消耗!$B$5:$F$5,AR56)/$Q$4/5,0)*5</f>
        <v>20</v>
      </c>
      <c r="AY56" s="14" t="str">
        <f>IF(AO56&gt;0,INDEX(挂机升级突破!$DT$4:$ED$4,AO56),"")</f>
        <v>灵玉</v>
      </c>
      <c r="AZ56" s="14">
        <f>IF(AO56&gt;0,ROUND(INDEX(挂机升级突破!$DT$6:$ED$57,卡牌消耗!AT56,AO56)*INDEX(卡牌消耗!$B$7:$F$7,AR56)/$Q$4,0),"")</f>
        <v>4</v>
      </c>
      <c r="BA56" s="106"/>
      <c r="BB56" s="197"/>
      <c r="BC56" s="196">
        <v>4</v>
      </c>
      <c r="BD56" s="196">
        <v>12</v>
      </c>
      <c r="BE56" s="14">
        <f>ROUND(INDEX(挂机升级突破!ER$7:ER$26,卡牌消耗!$BD56)*INDEX(卡牌消耗!$B$6:$F$6,$BC56)/$Q$4,0)</f>
        <v>0</v>
      </c>
      <c r="BF56" s="14">
        <f>ROUND(INDEX(挂机升级突破!ES$7:ES$26,卡牌消耗!$BD56)*INDEX(卡牌消耗!$B$6:$F$6,$BC56)/$Q$4,0)</f>
        <v>142</v>
      </c>
      <c r="BG56" s="14">
        <f>ROUND(INDEX(挂机升级突破!ET$7:ET$26,卡牌消耗!$BD56)*INDEX(卡牌消耗!$B$6:$F$6,$BC56)/$Q$4,0)</f>
        <v>0</v>
      </c>
      <c r="BH56" s="14">
        <f>ROUND(INDEX(挂机升级突破!EU$7:EU$26,卡牌消耗!$BD56)*INDEX(卡牌消耗!$B$6:$F$6,$BC56)/$Q$4,0)</f>
        <v>0</v>
      </c>
      <c r="BI56" s="14">
        <f>ROUND(INDEX(挂机升级突破!$EV$7:$EV$26,卡牌消耗!BD56)*INDEX(卡牌消耗!$B$8:$F$8,$BC56)/$Q$4/BI$2,0)*BI$2</f>
        <v>37500</v>
      </c>
      <c r="BJ56" s="197"/>
      <c r="BK56" s="197"/>
      <c r="BL56" s="104">
        <v>52</v>
      </c>
      <c r="BM56" s="14">
        <f t="shared" si="11"/>
        <v>3</v>
      </c>
      <c r="BN56" s="14">
        <f>INDEX(挂机升级突破!$EI$7:$EI$26,BS56)</f>
        <v>5</v>
      </c>
      <c r="BO56" s="14">
        <f>INDEX(挂机升级突破!$EJ$7:$EJ$26,BS56)</f>
        <v>2</v>
      </c>
      <c r="BP56" s="14">
        <f t="shared" si="12"/>
        <v>4</v>
      </c>
      <c r="BQ56" s="14">
        <f>INDEX(挂机升级突破!$EH$7:$EH$26,卡牌消耗!BS56)</f>
        <v>80</v>
      </c>
      <c r="BR56" s="14" t="str">
        <f t="shared" si="13"/>
        <v>典韦</v>
      </c>
      <c r="BS56" s="14">
        <f t="shared" si="14"/>
        <v>12</v>
      </c>
      <c r="BT56" s="14" t="str">
        <f t="shared" si="15"/>
        <v>典韦12突</v>
      </c>
      <c r="BU56" s="14" t="str">
        <f>IF(BN56&gt;0,INDEX(挂机升级突破!$ER$5:$EV$5,卡牌消耗!BN56),"")</f>
        <v>金币</v>
      </c>
      <c r="BV56" s="14">
        <f>IF(BN56&gt;0,ROUND(INDEX(挂机升级突破!$EV$7:$EV$26,卡牌消耗!BS56)*INDEX(卡牌消耗!$B$8:$F$8,BP56)/$Q$4/500,0)*500,"")</f>
        <v>37500</v>
      </c>
      <c r="BW56" s="14" t="str">
        <f>IF(BO56&gt;0,INDEX(挂机升级突破!$ER$5:$EV$5,卡牌消耗!BO56),"")</f>
        <v>乌金</v>
      </c>
      <c r="BX56" s="14">
        <f>IF(BO56&gt;0,ROUND(INDEX(挂机升级突破!$ER$7:$EU$26,卡牌消耗!BS56,卡牌消耗!BO56)*INDEX($B$6:$F$6,BP56)/$Q$4/5,0)*5,"")</f>
        <v>140</v>
      </c>
      <c r="BY56" s="193"/>
      <c r="BZ56" s="193"/>
      <c r="CA56" s="106"/>
      <c r="CS56" s="171"/>
      <c r="CT56" s="170"/>
      <c r="CU56" s="14">
        <f>SUMIFS($CW$5:$CW$154,$CV$5:$CV$154,"&gt;="&amp;INDEX($CE$5:$CE$32,CU54),$CV$5:$CV$154,"&lt;"&amp;INDEX($CF$5:$CF$32,CU54))</f>
        <v>27.5</v>
      </c>
      <c r="CV56" s="169">
        <v>52</v>
      </c>
      <c r="CW56" s="169">
        <v>5.5</v>
      </c>
      <c r="CX56" s="21">
        <f t="shared" ref="CX56" si="71">CW56/$CU56</f>
        <v>0.2</v>
      </c>
      <c r="CY56" s="169">
        <f t="shared" ref="CY56" si="72">INT($CU55*CX56/5)*5</f>
        <v>12280</v>
      </c>
      <c r="CZ56" s="169">
        <f>SUM(CY$5:CY56)</f>
        <v>291180</v>
      </c>
      <c r="DB56" s="188">
        <f t="shared" si="39"/>
        <v>6100</v>
      </c>
      <c r="DC56" s="188">
        <f t="shared" si="39"/>
        <v>9800</v>
      </c>
      <c r="DD56" s="188">
        <f t="shared" si="39"/>
        <v>12250</v>
      </c>
      <c r="DE56" s="188">
        <f t="shared" si="39"/>
        <v>14700</v>
      </c>
      <c r="DF56" s="188">
        <f t="shared" si="39"/>
        <v>18400</v>
      </c>
      <c r="DI56" s="186">
        <v>52</v>
      </c>
      <c r="DJ56" s="14">
        <f t="shared" si="21"/>
        <v>11</v>
      </c>
      <c r="DK56" s="14">
        <f t="shared" si="1"/>
        <v>3</v>
      </c>
      <c r="DL56" s="14">
        <f t="shared" si="2"/>
        <v>1101011</v>
      </c>
      <c r="DM56" s="136" t="s">
        <v>1097</v>
      </c>
      <c r="DN56" s="14">
        <f t="shared" si="3"/>
        <v>2</v>
      </c>
      <c r="DO56" s="14" t="str">
        <f t="shared" si="4"/>
        <v>阎风吒-2星</v>
      </c>
      <c r="DP56" s="136" t="s">
        <v>1103</v>
      </c>
      <c r="DQ56" s="14">
        <f t="shared" si="22"/>
        <v>5000</v>
      </c>
      <c r="DR56" s="14" t="str">
        <f t="shared" si="5"/>
        <v>阎风吒碎片</v>
      </c>
      <c r="DS56" s="14">
        <f t="shared" si="23"/>
        <v>40</v>
      </c>
    </row>
    <row r="57" spans="1:123" ht="16.5" x14ac:dyDescent="0.2">
      <c r="A57" s="55">
        <v>1101006</v>
      </c>
      <c r="B57" s="55" t="s">
        <v>377</v>
      </c>
      <c r="C57" s="55">
        <v>4</v>
      </c>
      <c r="D57" s="136">
        <v>5</v>
      </c>
      <c r="E57" s="136">
        <f>SUM(D$52:D57)</f>
        <v>30</v>
      </c>
      <c r="G57" t="s">
        <v>1578</v>
      </c>
      <c r="H57" s="15">
        <v>4</v>
      </c>
      <c r="I57" s="189">
        <f t="shared" si="62"/>
        <v>7.0928982875403329E-3</v>
      </c>
      <c r="J57" s="189">
        <f t="shared" si="59"/>
        <v>284</v>
      </c>
      <c r="K57" s="15"/>
      <c r="L57" s="15"/>
      <c r="M57" s="15"/>
      <c r="N57" s="15"/>
      <c r="O57" s="137"/>
      <c r="P57" s="141"/>
      <c r="Q57" s="141"/>
      <c r="R57" s="141"/>
      <c r="S57" s="141"/>
      <c r="T57" s="141"/>
      <c r="U57" s="141"/>
      <c r="V57" s="141"/>
      <c r="W57" s="141"/>
      <c r="X57" s="141"/>
      <c r="Y57" s="141"/>
      <c r="Z57" s="196">
        <v>3</v>
      </c>
      <c r="AA57" s="196">
        <v>1</v>
      </c>
      <c r="AB57" s="14">
        <f>ROUND(INDEX(挂机升级突破!DT$6:DT$57,卡牌消耗!$AA57)*INDEX(卡牌消耗!$B$5:$F$5,卡牌消耗!$Z57)/卡牌消耗!$Q$4/AB$2,0)*AB$2</f>
        <v>25</v>
      </c>
      <c r="AC57" s="14">
        <f>ROUND(INDEX(挂机升级突破!DU$6:DU$57,卡牌消耗!$AA57)*INDEX(卡牌消耗!$B$5:$F$5,卡牌消耗!$Z57)/卡牌消耗!$Q$4/AC$2,0)*AC$2</f>
        <v>0</v>
      </c>
      <c r="AD57" s="14">
        <f>ROUND(INDEX(挂机升级突破!DV$6:DV$57,卡牌消耗!$AA57)*INDEX(卡牌消耗!$B$5:$F$5,卡牌消耗!$Z57)/卡牌消耗!$Q$4/AD$2,0)*AD$2</f>
        <v>0</v>
      </c>
      <c r="AE57" s="14">
        <f>ROUND(INDEX(挂机升级突破!DW$6:DW$57,卡牌消耗!$AA57)*INDEX(卡牌消耗!$B$5:$F$5,卡牌消耗!$Z57)/卡牌消耗!$Q$4/AE$2,0)*AE$2</f>
        <v>0</v>
      </c>
      <c r="AF57" s="14">
        <f>ROUND(INDEX(挂机升级突破!DX$6:DX$57,卡牌消耗!$AA57)*INDEX(卡牌消耗!$B$5:$F$5,卡牌消耗!$Z57)/卡牌消耗!$Q$4/AF$2,0)*AF$2</f>
        <v>0</v>
      </c>
      <c r="AG57" s="14">
        <f>ROUND(INDEX(挂机升级突破!EC$6:EC$57,卡牌消耗!$AA57)*INDEX(卡牌消耗!$B$7:$F$7,卡牌消耗!$Z57)/卡牌消耗!$Q$4/AG$2,0)*AG$2</f>
        <v>0</v>
      </c>
      <c r="AH57" s="14">
        <f>ROUND(INDEX(挂机升级突破!ED$6:ED$57,卡牌消耗!$AA57)*INDEX(卡牌消耗!$B$8:$F$8,卡牌消耗!$Z57)/卡牌消耗!$Q$4/AH$2,0)*AH$2</f>
        <v>850</v>
      </c>
      <c r="AI57" s="194"/>
      <c r="AJ57" s="194"/>
      <c r="AK57" s="104">
        <v>53</v>
      </c>
      <c r="AL57" s="14">
        <f t="shared" si="6"/>
        <v>2</v>
      </c>
      <c r="AM57" s="14">
        <f>INDEX(挂机升级突破!DQ$6:DQ$57,卡牌消耗!$AT57)</f>
        <v>11</v>
      </c>
      <c r="AN57" s="14">
        <f>INDEX(挂机升级突破!DR$6:DR$57,卡牌消耗!$AT57)</f>
        <v>1</v>
      </c>
      <c r="AO57" s="14">
        <f>INDEX(挂机升级突破!DS$6:DS$57,卡牌消耗!$AT57)</f>
        <v>0</v>
      </c>
      <c r="AP57" s="14">
        <f>INDEX(挂机升级突破!$DP$6:$DP$57,卡牌消耗!AT57)</f>
        <v>3</v>
      </c>
      <c r="AQ57" s="14" t="str">
        <f t="shared" si="7"/>
        <v>许褚</v>
      </c>
      <c r="AR57" s="14">
        <f t="shared" si="8"/>
        <v>3</v>
      </c>
      <c r="AS57" s="14" t="str">
        <f t="shared" si="9"/>
        <v>许褚魂火-1</v>
      </c>
      <c r="AT57" s="14">
        <f t="shared" si="10"/>
        <v>1</v>
      </c>
      <c r="AU57" s="14" t="str">
        <f>IF(AM57&gt;0,INDEX(挂机升级突破!$DT$4:$ED$4,AM57),"")</f>
        <v>金币</v>
      </c>
      <c r="AV57" s="14">
        <f>ROUND(INDEX(挂机升级突破!$DJ$6:$DJ$57,卡牌消耗!AT57)*INDEX(卡牌消耗!$B$8:$F$8,AR57)/$Q$4/50,0)*50</f>
        <v>850</v>
      </c>
      <c r="AW57" s="14" t="str">
        <f>IF(AN57&gt;0,INDEX(挂机升级突破!$DT$4:$ED$4,AN57),"")</f>
        <v>绿色基础材料</v>
      </c>
      <c r="AX57" s="14">
        <f>ROUND(INDEX(挂机升级突破!$DT$6:$ED$57,卡牌消耗!AT57,AN57)*INDEX(卡牌消耗!$B$5:$F$5,AR57)/$Q$4/5,0)*5</f>
        <v>25</v>
      </c>
      <c r="AY57" s="14" t="str">
        <f>IF(AO57&gt;0,INDEX(挂机升级突破!$DT$4:$ED$4,AO57),"")</f>
        <v/>
      </c>
      <c r="AZ57" s="14" t="str">
        <f>IF(AO57&gt;0,ROUND(INDEX(挂机升级突破!$DT$6:$ED$57,卡牌消耗!AT57,AO57)*INDEX(卡牌消耗!$B$7:$F$7,AR57)/$Q$4,0),"")</f>
        <v/>
      </c>
      <c r="BA57" s="106"/>
      <c r="BB57" s="197"/>
      <c r="BC57" s="196">
        <v>4</v>
      </c>
      <c r="BD57" s="196">
        <v>13</v>
      </c>
      <c r="BE57" s="14">
        <f>ROUND(INDEX(挂机升级突破!ER$7:ER$26,卡牌消耗!$BD57)*INDEX(卡牌消耗!$B$6:$F$6,$BC57)/$Q$4,0)</f>
        <v>0</v>
      </c>
      <c r="BF57" s="14">
        <f>ROUND(INDEX(挂机升级突破!ES$7:ES$26,卡牌消耗!$BD57)*INDEX(卡牌消耗!$B$6:$F$6,$BC57)/$Q$4,0)</f>
        <v>0</v>
      </c>
      <c r="BG57" s="14">
        <f>ROUND(INDEX(挂机升级突破!ET$7:ET$26,卡牌消耗!$BD57)*INDEX(卡牌消耗!$B$6:$F$6,$BC57)/$Q$4,0)</f>
        <v>46</v>
      </c>
      <c r="BH57" s="14">
        <f>ROUND(INDEX(挂机升级突破!EU$7:EU$26,卡牌消耗!$BD57)*INDEX(卡牌消耗!$B$6:$F$6,$BC57)/$Q$4,0)</f>
        <v>0</v>
      </c>
      <c r="BI57" s="14">
        <f>ROUND(INDEX(挂机升级突破!$EV$7:$EV$26,卡牌消耗!BD57)*INDEX(卡牌消耗!$B$8:$F$8,$BC57)/$Q$4/BI$2,0)*BI$2</f>
        <v>50000</v>
      </c>
      <c r="BJ57" s="197"/>
      <c r="BK57" s="197"/>
      <c r="BL57" s="104">
        <v>53</v>
      </c>
      <c r="BM57" s="14">
        <f t="shared" si="11"/>
        <v>3</v>
      </c>
      <c r="BN57" s="14">
        <f>INDEX(挂机升级突破!$EI$7:$EI$26,BS57)</f>
        <v>5</v>
      </c>
      <c r="BO57" s="14">
        <f>INDEX(挂机升级突破!$EJ$7:$EJ$26,BS57)</f>
        <v>3</v>
      </c>
      <c r="BP57" s="14">
        <f t="shared" si="12"/>
        <v>4</v>
      </c>
      <c r="BQ57" s="14">
        <f>INDEX(挂机升级突破!$EH$7:$EH$26,卡牌消耗!BS57)</f>
        <v>87</v>
      </c>
      <c r="BR57" s="14" t="str">
        <f t="shared" si="13"/>
        <v>典韦</v>
      </c>
      <c r="BS57" s="14">
        <f t="shared" si="14"/>
        <v>13</v>
      </c>
      <c r="BT57" s="14" t="str">
        <f t="shared" si="15"/>
        <v>典韦13突</v>
      </c>
      <c r="BU57" s="14" t="str">
        <f>IF(BN57&gt;0,INDEX(挂机升级突破!$ER$5:$EV$5,卡牌消耗!BN57),"")</f>
        <v>金币</v>
      </c>
      <c r="BV57" s="14">
        <f>IF(BN57&gt;0,ROUND(INDEX(挂机升级突破!$EV$7:$EV$26,卡牌消耗!BS57)*INDEX(卡牌消耗!$B$8:$F$8,BP57)/$Q$4/500,0)*500,"")</f>
        <v>50000</v>
      </c>
      <c r="BW57" s="14" t="str">
        <f>IF(BO57&gt;0,INDEX(挂机升级突破!$ER$5:$EV$5,卡牌消耗!BO57),"")</f>
        <v>银母</v>
      </c>
      <c r="BX57" s="14">
        <f>IF(BO57&gt;0,ROUND(INDEX(挂机升级突破!$ER$7:$EU$26,卡牌消耗!BS57,卡牌消耗!BO57)*INDEX($B$6:$F$6,BP57)/$Q$4/5,0)*5,"")</f>
        <v>45</v>
      </c>
      <c r="BY57" s="193"/>
      <c r="BZ57" s="193"/>
      <c r="CA57" s="106"/>
      <c r="CS57" s="171"/>
      <c r="CT57" s="171"/>
      <c r="CU57" s="171"/>
      <c r="CV57" s="169">
        <v>53</v>
      </c>
      <c r="CW57" s="169">
        <v>5.75</v>
      </c>
      <c r="CX57" s="21">
        <f t="shared" ref="CX57" si="73">CW57/$CU56</f>
        <v>0.20909090909090908</v>
      </c>
      <c r="CY57" s="169">
        <f t="shared" ref="CY57" si="74">INT($CU55*CX57/5)*5</f>
        <v>12835</v>
      </c>
      <c r="CZ57" s="169">
        <f>SUM(CY$5:CY57)</f>
        <v>304015</v>
      </c>
      <c r="DB57" s="188">
        <f t="shared" si="39"/>
        <v>6400</v>
      </c>
      <c r="DC57" s="188">
        <f t="shared" si="39"/>
        <v>10250</v>
      </c>
      <c r="DD57" s="188">
        <f t="shared" si="39"/>
        <v>12800</v>
      </c>
      <c r="DE57" s="188">
        <f t="shared" si="39"/>
        <v>15400</v>
      </c>
      <c r="DF57" s="188">
        <f t="shared" si="39"/>
        <v>19250</v>
      </c>
      <c r="DI57" s="186">
        <v>53</v>
      </c>
      <c r="DJ57" s="14">
        <f t="shared" si="21"/>
        <v>11</v>
      </c>
      <c r="DK57" s="14">
        <f t="shared" si="1"/>
        <v>3</v>
      </c>
      <c r="DL57" s="14">
        <f t="shared" si="2"/>
        <v>1101011</v>
      </c>
      <c r="DM57" s="136" t="s">
        <v>1097</v>
      </c>
      <c r="DN57" s="14">
        <f t="shared" si="3"/>
        <v>3</v>
      </c>
      <c r="DO57" s="14" t="str">
        <f t="shared" si="4"/>
        <v>阎风吒-3星</v>
      </c>
      <c r="DP57" s="136" t="s">
        <v>1103</v>
      </c>
      <c r="DQ57" s="14">
        <f t="shared" si="22"/>
        <v>10000</v>
      </c>
      <c r="DR57" s="14" t="str">
        <f t="shared" si="5"/>
        <v>阎风吒碎片</v>
      </c>
      <c r="DS57" s="14">
        <f t="shared" si="23"/>
        <v>40</v>
      </c>
    </row>
    <row r="58" spans="1:123" ht="16.5" x14ac:dyDescent="0.2">
      <c r="A58" s="55">
        <v>1101007</v>
      </c>
      <c r="B58" s="55" t="s">
        <v>378</v>
      </c>
      <c r="C58" s="55">
        <v>4</v>
      </c>
      <c r="D58" s="136">
        <v>5</v>
      </c>
      <c r="E58" s="136">
        <f>SUM(D$52:D58)</f>
        <v>35</v>
      </c>
      <c r="G58" t="s">
        <v>379</v>
      </c>
      <c r="H58" s="15">
        <v>2</v>
      </c>
      <c r="I58" s="189">
        <f t="shared" si="62"/>
        <v>2.0354526576845215E-2</v>
      </c>
      <c r="J58" s="189">
        <f t="shared" si="59"/>
        <v>814</v>
      </c>
      <c r="K58" s="15"/>
      <c r="L58" s="15"/>
      <c r="M58" s="15"/>
      <c r="N58" s="15"/>
      <c r="O58" s="137"/>
      <c r="P58" s="141"/>
      <c r="Q58" s="141"/>
      <c r="R58" s="141"/>
      <c r="S58" s="141"/>
      <c r="T58" s="141"/>
      <c r="U58" s="141"/>
      <c r="V58" s="141"/>
      <c r="W58" s="141"/>
      <c r="X58" s="141"/>
      <c r="Y58" s="141"/>
      <c r="Z58" s="196">
        <v>3</v>
      </c>
      <c r="AA58" s="196">
        <v>2</v>
      </c>
      <c r="AB58" s="14">
        <f>ROUND(INDEX(挂机升级突破!DT$6:DT$57,卡牌消耗!$AA58)*INDEX(卡牌消耗!$B$5:$F$5,卡牌消耗!$Z58)/卡牌消耗!$Q$4/AB$2,0)*AB$2</f>
        <v>85</v>
      </c>
      <c r="AC58" s="14">
        <f>ROUND(INDEX(挂机升级突破!DU$6:DU$57,卡牌消耗!$AA58)*INDEX(卡牌消耗!$B$5:$F$5,卡牌消耗!$Z58)/卡牌消耗!$Q$4/AC$2,0)*AC$2</f>
        <v>0</v>
      </c>
      <c r="AD58" s="14">
        <f>ROUND(INDEX(挂机升级突破!DV$6:DV$57,卡牌消耗!$AA58)*INDEX(卡牌消耗!$B$5:$F$5,卡牌消耗!$Z58)/卡牌消耗!$Q$4/AD$2,0)*AD$2</f>
        <v>0</v>
      </c>
      <c r="AE58" s="14">
        <f>ROUND(INDEX(挂机升级突破!DW$6:DW$57,卡牌消耗!$AA58)*INDEX(卡牌消耗!$B$5:$F$5,卡牌消耗!$Z58)/卡牌消耗!$Q$4/AE$2,0)*AE$2</f>
        <v>0</v>
      </c>
      <c r="AF58" s="14">
        <f>ROUND(INDEX(挂机升级突破!DX$6:DX$57,卡牌消耗!$AA58)*INDEX(卡牌消耗!$B$5:$F$5,卡牌消耗!$Z58)/卡牌消耗!$Q$4/AF$2,0)*AF$2</f>
        <v>0</v>
      </c>
      <c r="AG58" s="14">
        <f>ROUND(INDEX(挂机升级突破!EC$6:EC$57,卡牌消耗!$AA58)*INDEX(卡牌消耗!$B$7:$F$7,卡牌消耗!$Z58)/卡牌消耗!$Q$4/AG$2,0)*AG$2</f>
        <v>0</v>
      </c>
      <c r="AH58" s="14">
        <f>ROUND(INDEX(挂机升级突破!ED$6:ED$57,卡牌消耗!$AA58)*INDEX(卡牌消耗!$B$8:$F$8,卡牌消耗!$Z58)/卡牌消耗!$Q$4/AH$2,0)*AH$2</f>
        <v>1050</v>
      </c>
      <c r="AI58" s="194"/>
      <c r="AJ58" s="194"/>
      <c r="AK58" s="104">
        <v>54</v>
      </c>
      <c r="AL58" s="14">
        <f t="shared" si="6"/>
        <v>2</v>
      </c>
      <c r="AM58" s="14">
        <f>INDEX(挂机升级突破!DQ$6:DQ$57,卡牌消耗!$AT58)</f>
        <v>11</v>
      </c>
      <c r="AN58" s="14">
        <f>INDEX(挂机升级突破!DR$6:DR$57,卡牌消耗!$AT58)</f>
        <v>1</v>
      </c>
      <c r="AO58" s="14">
        <f>INDEX(挂机升级突破!DS$6:DS$57,卡牌消耗!$AT58)</f>
        <v>0</v>
      </c>
      <c r="AP58" s="14">
        <f>INDEX(挂机升级突破!$DP$6:$DP$57,卡牌消耗!AT58)</f>
        <v>8</v>
      </c>
      <c r="AQ58" s="14" t="str">
        <f t="shared" si="7"/>
        <v>许褚</v>
      </c>
      <c r="AR58" s="14">
        <f t="shared" si="8"/>
        <v>3</v>
      </c>
      <c r="AS58" s="14" t="str">
        <f t="shared" si="9"/>
        <v>许褚魂火-2</v>
      </c>
      <c r="AT58" s="14">
        <f t="shared" si="10"/>
        <v>2</v>
      </c>
      <c r="AU58" s="14" t="str">
        <f>IF(AM58&gt;0,INDEX(挂机升级突破!$DT$4:$ED$4,AM58),"")</f>
        <v>金币</v>
      </c>
      <c r="AV58" s="14">
        <f>ROUND(INDEX(挂机升级突破!$DJ$6:$DJ$57,卡牌消耗!AT58)*INDEX(卡牌消耗!$B$8:$F$8,AR58)/$Q$4/50,0)*50</f>
        <v>1050</v>
      </c>
      <c r="AW58" s="14" t="str">
        <f>IF(AN58&gt;0,INDEX(挂机升级突破!$DT$4:$ED$4,AN58),"")</f>
        <v>绿色基础材料</v>
      </c>
      <c r="AX58" s="14">
        <f>ROUND(INDEX(挂机升级突破!$DT$6:$ED$57,卡牌消耗!AT58,AN58)*INDEX(卡牌消耗!$B$5:$F$5,AR58)/$Q$4/5,0)*5</f>
        <v>85</v>
      </c>
      <c r="AY58" s="14" t="str">
        <f>IF(AO58&gt;0,INDEX(挂机升级突破!$DT$4:$ED$4,AO58),"")</f>
        <v/>
      </c>
      <c r="AZ58" s="14" t="str">
        <f>IF(AO58&gt;0,ROUND(INDEX(挂机升级突破!$DT$6:$ED$57,卡牌消耗!AT58,AO58)*INDEX(卡牌消耗!$B$7:$F$7,AR58)/$Q$4,0),"")</f>
        <v/>
      </c>
      <c r="BA58" s="106"/>
      <c r="BB58" s="197"/>
      <c r="BC58" s="196">
        <v>4</v>
      </c>
      <c r="BD58" s="196">
        <v>14</v>
      </c>
      <c r="BE58" s="14">
        <f>ROUND(INDEX(挂机升级突破!ER$7:ER$26,卡牌消耗!$BD58)*INDEX(卡牌消耗!$B$6:$F$6,$BC58)/$Q$4,0)</f>
        <v>0</v>
      </c>
      <c r="BF58" s="14">
        <f>ROUND(INDEX(挂机升级突破!ES$7:ES$26,卡牌消耗!$BD58)*INDEX(卡牌消耗!$B$6:$F$6,$BC58)/$Q$4,0)</f>
        <v>0</v>
      </c>
      <c r="BG58" s="14">
        <f>ROUND(INDEX(挂机升级突破!ET$7:ET$26,卡牌消耗!$BD58)*INDEX(卡牌消耗!$B$6:$F$6,$BC58)/$Q$4,0)</f>
        <v>64</v>
      </c>
      <c r="BH58" s="14">
        <f>ROUND(INDEX(挂机升级突破!EU$7:EU$26,卡牌消耗!$BD58)*INDEX(卡牌消耗!$B$6:$F$6,$BC58)/$Q$4,0)</f>
        <v>0</v>
      </c>
      <c r="BI58" s="14">
        <f>ROUND(INDEX(挂机升级突破!$EV$7:$EV$26,卡牌消耗!BD58)*INDEX(卡牌消耗!$B$8:$F$8,$BC58)/$Q$4/BI$2,0)*BI$2</f>
        <v>50000</v>
      </c>
      <c r="BJ58" s="197"/>
      <c r="BK58" s="197"/>
      <c r="BL58" s="104">
        <v>54</v>
      </c>
      <c r="BM58" s="14">
        <f t="shared" si="11"/>
        <v>3</v>
      </c>
      <c r="BN58" s="14">
        <f>INDEX(挂机升级突破!$EI$7:$EI$26,BS58)</f>
        <v>5</v>
      </c>
      <c r="BO58" s="14">
        <f>INDEX(挂机升级突破!$EJ$7:$EJ$26,BS58)</f>
        <v>3</v>
      </c>
      <c r="BP58" s="14">
        <f t="shared" si="12"/>
        <v>4</v>
      </c>
      <c r="BQ58" s="14">
        <f>INDEX(挂机升级突破!$EH$7:$EH$26,卡牌消耗!BS58)</f>
        <v>95</v>
      </c>
      <c r="BR58" s="14" t="str">
        <f t="shared" si="13"/>
        <v>典韦</v>
      </c>
      <c r="BS58" s="14">
        <f t="shared" si="14"/>
        <v>14</v>
      </c>
      <c r="BT58" s="14" t="str">
        <f t="shared" si="15"/>
        <v>典韦14突</v>
      </c>
      <c r="BU58" s="14" t="str">
        <f>IF(BN58&gt;0,INDEX(挂机升级突破!$ER$5:$EV$5,卡牌消耗!BN58),"")</f>
        <v>金币</v>
      </c>
      <c r="BV58" s="14">
        <f>IF(BN58&gt;0,ROUND(INDEX(挂机升级突破!$EV$7:$EV$26,卡牌消耗!BS58)*INDEX(卡牌消耗!$B$8:$F$8,BP58)/$Q$4/500,0)*500,"")</f>
        <v>50000</v>
      </c>
      <c r="BW58" s="14" t="str">
        <f>IF(BO58&gt;0,INDEX(挂机升级突破!$ER$5:$EV$5,卡牌消耗!BO58),"")</f>
        <v>银母</v>
      </c>
      <c r="BX58" s="14">
        <f>IF(BO58&gt;0,ROUND(INDEX(挂机升级突破!$ER$7:$EU$26,卡牌消耗!BS58,卡牌消耗!BO58)*INDEX($B$6:$F$6,BP58)/$Q$4/5,0)*5,"")</f>
        <v>65</v>
      </c>
      <c r="BY58" s="193"/>
      <c r="BZ58" s="193"/>
      <c r="CA58" s="106"/>
      <c r="CS58" s="171"/>
      <c r="CT58" s="171"/>
      <c r="CU58" s="171"/>
      <c r="CV58" s="169">
        <v>54</v>
      </c>
      <c r="CW58" s="169">
        <v>6</v>
      </c>
      <c r="CX58" s="21">
        <f t="shared" ref="CX58" si="75">CW58/$CU56</f>
        <v>0.21818181818181817</v>
      </c>
      <c r="CY58" s="169">
        <f t="shared" ref="CY58" si="76">INT($CU55*CX58/5)*5</f>
        <v>13395</v>
      </c>
      <c r="CZ58" s="169">
        <f>SUM(CY$5:CY58)</f>
        <v>317410</v>
      </c>
      <c r="DB58" s="188">
        <f t="shared" si="39"/>
        <v>6650</v>
      </c>
      <c r="DC58" s="188">
        <f t="shared" si="39"/>
        <v>10700</v>
      </c>
      <c r="DD58" s="188">
        <f t="shared" si="39"/>
        <v>13350</v>
      </c>
      <c r="DE58" s="188">
        <f t="shared" si="39"/>
        <v>16050</v>
      </c>
      <c r="DF58" s="188">
        <f t="shared" si="39"/>
        <v>20050</v>
      </c>
      <c r="DI58" s="186">
        <v>54</v>
      </c>
      <c r="DJ58" s="14">
        <f t="shared" si="21"/>
        <v>11</v>
      </c>
      <c r="DK58" s="14">
        <f t="shared" si="1"/>
        <v>3</v>
      </c>
      <c r="DL58" s="14">
        <f t="shared" si="2"/>
        <v>1101011</v>
      </c>
      <c r="DM58" s="136" t="s">
        <v>1097</v>
      </c>
      <c r="DN58" s="14">
        <f t="shared" si="3"/>
        <v>4</v>
      </c>
      <c r="DO58" s="14" t="str">
        <f t="shared" si="4"/>
        <v>阎风吒-4星</v>
      </c>
      <c r="DP58" s="136" t="s">
        <v>1103</v>
      </c>
      <c r="DQ58" s="14">
        <f t="shared" si="22"/>
        <v>20000</v>
      </c>
      <c r="DR58" s="14" t="str">
        <f t="shared" si="5"/>
        <v>阎风吒碎片</v>
      </c>
      <c r="DS58" s="14">
        <f t="shared" si="23"/>
        <v>40</v>
      </c>
    </row>
    <row r="59" spans="1:123" ht="16.5" x14ac:dyDescent="0.2">
      <c r="A59" s="55">
        <v>1101008</v>
      </c>
      <c r="B59" s="55" t="s">
        <v>379</v>
      </c>
      <c r="C59" s="55">
        <v>2</v>
      </c>
      <c r="D59" s="136">
        <v>5</v>
      </c>
      <c r="E59" s="136">
        <f>SUM(D$52:D59)</f>
        <v>40</v>
      </c>
      <c r="G59" t="s">
        <v>380</v>
      </c>
      <c r="H59" s="15">
        <v>3</v>
      </c>
      <c r="I59" s="189">
        <f t="shared" si="62"/>
        <v>1.2015514416811271E-2</v>
      </c>
      <c r="J59" s="189">
        <f t="shared" si="59"/>
        <v>481</v>
      </c>
      <c r="K59" s="15"/>
      <c r="L59" s="15"/>
      <c r="M59" s="15"/>
      <c r="N59" s="15"/>
      <c r="O59" s="137"/>
      <c r="P59" s="141"/>
      <c r="Q59" s="141"/>
      <c r="R59" s="141"/>
      <c r="S59" s="141"/>
      <c r="T59" s="141"/>
      <c r="U59" s="141"/>
      <c r="V59" s="141"/>
      <c r="W59" s="141"/>
      <c r="X59" s="141"/>
      <c r="Y59" s="141"/>
      <c r="Z59" s="196">
        <v>3</v>
      </c>
      <c r="AA59" s="196">
        <v>3</v>
      </c>
      <c r="AB59" s="14">
        <f>ROUND(INDEX(挂机升级突破!DT$6:DT$57,卡牌消耗!$AA59)*INDEX(卡牌消耗!$B$5:$F$5,卡牌消耗!$Z59)/卡牌消耗!$Q$4/AB$2,0)*AB$2</f>
        <v>100</v>
      </c>
      <c r="AC59" s="14">
        <f>ROUND(INDEX(挂机升级突破!DU$6:DU$57,卡牌消耗!$AA59)*INDEX(卡牌消耗!$B$5:$F$5,卡牌消耗!$Z59)/卡牌消耗!$Q$4/AC$2,0)*AC$2</f>
        <v>0</v>
      </c>
      <c r="AD59" s="14">
        <f>ROUND(INDEX(挂机升级突破!DV$6:DV$57,卡牌消耗!$AA59)*INDEX(卡牌消耗!$B$5:$F$5,卡牌消耗!$Z59)/卡牌消耗!$Q$4/AD$2,0)*AD$2</f>
        <v>0</v>
      </c>
      <c r="AE59" s="14">
        <f>ROUND(INDEX(挂机升级突破!DW$6:DW$57,卡牌消耗!$AA59)*INDEX(卡牌消耗!$B$5:$F$5,卡牌消耗!$Z59)/卡牌消耗!$Q$4/AE$2,0)*AE$2</f>
        <v>0</v>
      </c>
      <c r="AF59" s="14">
        <f>ROUND(INDEX(挂机升级突破!DX$6:DX$57,卡牌消耗!$AA59)*INDEX(卡牌消耗!$B$5:$F$5,卡牌消耗!$Z59)/卡牌消耗!$Q$4/AF$2,0)*AF$2</f>
        <v>0</v>
      </c>
      <c r="AG59" s="14">
        <f>ROUND(INDEX(挂机升级突破!EC$6:EC$57,卡牌消耗!$AA59)*INDEX(卡牌消耗!$B$7:$F$7,卡牌消耗!$Z59)/卡牌消耗!$Q$4/AG$2,0)*AG$2</f>
        <v>0</v>
      </c>
      <c r="AH59" s="14">
        <f>ROUND(INDEX(挂机升级突破!ED$6:ED$57,卡牌消耗!$AA59)*INDEX(卡牌消耗!$B$8:$F$8,卡牌消耗!$Z59)/卡牌消耗!$Q$4/AH$2,0)*AH$2</f>
        <v>1050</v>
      </c>
      <c r="AI59" s="194"/>
      <c r="AJ59" s="194"/>
      <c r="AK59" s="104">
        <v>55</v>
      </c>
      <c r="AL59" s="14">
        <f t="shared" si="6"/>
        <v>2</v>
      </c>
      <c r="AM59" s="14">
        <f>INDEX(挂机升级突破!DQ$6:DQ$57,卡牌消耗!$AT59)</f>
        <v>11</v>
      </c>
      <c r="AN59" s="14">
        <f>INDEX(挂机升级突破!DR$6:DR$57,卡牌消耗!$AT59)</f>
        <v>1</v>
      </c>
      <c r="AO59" s="14">
        <f>INDEX(挂机升级突破!DS$6:DS$57,卡牌消耗!$AT59)</f>
        <v>0</v>
      </c>
      <c r="AP59" s="14">
        <f>INDEX(挂机升级突破!$DP$6:$DP$57,卡牌消耗!AT59)</f>
        <v>13</v>
      </c>
      <c r="AQ59" s="14" t="str">
        <f t="shared" si="7"/>
        <v>许褚</v>
      </c>
      <c r="AR59" s="14">
        <f t="shared" si="8"/>
        <v>3</v>
      </c>
      <c r="AS59" s="14" t="str">
        <f t="shared" si="9"/>
        <v>许褚魂火-3</v>
      </c>
      <c r="AT59" s="14">
        <f t="shared" si="10"/>
        <v>3</v>
      </c>
      <c r="AU59" s="14" t="str">
        <f>IF(AM59&gt;0,INDEX(挂机升级突破!$DT$4:$ED$4,AM59),"")</f>
        <v>金币</v>
      </c>
      <c r="AV59" s="14">
        <f>ROUND(INDEX(挂机升级突破!$DJ$6:$DJ$57,卡牌消耗!AT59)*INDEX(卡牌消耗!$B$8:$F$8,AR59)/$Q$4/50,0)*50</f>
        <v>1050</v>
      </c>
      <c r="AW59" s="14" t="str">
        <f>IF(AN59&gt;0,INDEX(挂机升级突破!$DT$4:$ED$4,AN59),"")</f>
        <v>绿色基础材料</v>
      </c>
      <c r="AX59" s="14">
        <f>ROUND(INDEX(挂机升级突破!$DT$6:$ED$57,卡牌消耗!AT59,AN59)*INDEX(卡牌消耗!$B$5:$F$5,AR59)/$Q$4/5,0)*5</f>
        <v>100</v>
      </c>
      <c r="AY59" s="14" t="str">
        <f>IF(AO59&gt;0,INDEX(挂机升级突破!$DT$4:$ED$4,AO59),"")</f>
        <v/>
      </c>
      <c r="AZ59" s="14" t="str">
        <f>IF(AO59&gt;0,ROUND(INDEX(挂机升级突破!$DT$6:$ED$57,卡牌消耗!AT59,AO59)*INDEX(卡牌消耗!$B$7:$F$7,AR59)/$Q$4,0),"")</f>
        <v/>
      </c>
      <c r="BA59" s="106"/>
      <c r="BB59" s="197"/>
      <c r="BC59" s="196">
        <v>4</v>
      </c>
      <c r="BD59" s="196">
        <v>15</v>
      </c>
      <c r="BE59" s="14">
        <f>ROUND(INDEX(挂机升级突破!ER$7:ER$26,卡牌消耗!$BD59)*INDEX(卡牌消耗!$B$6:$F$6,$BC59)/$Q$4,0)</f>
        <v>0</v>
      </c>
      <c r="BF59" s="14">
        <f>ROUND(INDEX(挂机升级突破!ES$7:ES$26,卡牌消耗!$BD59)*INDEX(卡牌消耗!$B$6:$F$6,$BC59)/$Q$4,0)</f>
        <v>0</v>
      </c>
      <c r="BG59" s="14">
        <f>ROUND(INDEX(挂机升级突破!ET$7:ET$26,卡牌消耗!$BD59)*INDEX(卡牌消耗!$B$6:$F$6,$BC59)/$Q$4,0)</f>
        <v>85</v>
      </c>
      <c r="BH59" s="14">
        <f>ROUND(INDEX(挂机升级突破!EU$7:EU$26,卡牌消耗!$BD59)*INDEX(卡牌消耗!$B$6:$F$6,$BC59)/$Q$4,0)</f>
        <v>0</v>
      </c>
      <c r="BI59" s="14">
        <f>ROUND(INDEX(挂机升级突破!$EV$7:$EV$26,卡牌消耗!BD59)*INDEX(卡牌消耗!$B$8:$F$8,$BC59)/$Q$4/BI$2,0)*BI$2</f>
        <v>66500</v>
      </c>
      <c r="BJ59" s="197"/>
      <c r="BK59" s="197"/>
      <c r="BL59" s="104">
        <v>55</v>
      </c>
      <c r="BM59" s="14">
        <f t="shared" si="11"/>
        <v>3</v>
      </c>
      <c r="BN59" s="14">
        <f>INDEX(挂机升级突破!$EI$7:$EI$26,BS59)</f>
        <v>5</v>
      </c>
      <c r="BO59" s="14">
        <f>INDEX(挂机升级突破!$EJ$7:$EJ$26,BS59)</f>
        <v>3</v>
      </c>
      <c r="BP59" s="14">
        <f t="shared" si="12"/>
        <v>4</v>
      </c>
      <c r="BQ59" s="14">
        <f>INDEX(挂机升级突破!$EH$7:$EH$26,卡牌消耗!BS59)</f>
        <v>102</v>
      </c>
      <c r="BR59" s="14" t="str">
        <f t="shared" si="13"/>
        <v>典韦</v>
      </c>
      <c r="BS59" s="14">
        <f t="shared" si="14"/>
        <v>15</v>
      </c>
      <c r="BT59" s="14" t="str">
        <f t="shared" si="15"/>
        <v>典韦15突</v>
      </c>
      <c r="BU59" s="14" t="str">
        <f>IF(BN59&gt;0,INDEX(挂机升级突破!$ER$5:$EV$5,卡牌消耗!BN59),"")</f>
        <v>金币</v>
      </c>
      <c r="BV59" s="14">
        <f>IF(BN59&gt;0,ROUND(INDEX(挂机升级突破!$EV$7:$EV$26,卡牌消耗!BS59)*INDEX(卡牌消耗!$B$8:$F$8,BP59)/$Q$4/500,0)*500,"")</f>
        <v>66500</v>
      </c>
      <c r="BW59" s="14" t="str">
        <f>IF(BO59&gt;0,INDEX(挂机升级突破!$ER$5:$EV$5,卡牌消耗!BO59),"")</f>
        <v>银母</v>
      </c>
      <c r="BX59" s="14">
        <f>IF(BO59&gt;0,ROUND(INDEX(挂机升级突破!$ER$7:$EU$26,卡牌消耗!BS59,卡牌消耗!BO59)*INDEX($B$6:$F$6,BP59)/$Q$4/5,0)*5,"")</f>
        <v>85</v>
      </c>
      <c r="BY59" s="193"/>
      <c r="BZ59" s="193"/>
      <c r="CA59" s="106"/>
      <c r="CS59" s="171"/>
      <c r="CT59" s="173" t="s">
        <v>120</v>
      </c>
      <c r="CU59" s="169">
        <v>10</v>
      </c>
      <c r="CV59" s="169">
        <v>55</v>
      </c>
      <c r="CW59" s="169">
        <v>5</v>
      </c>
      <c r="CX59" s="21">
        <f t="shared" ref="CX59" si="77">CW59/$CU61</f>
        <v>0.18181818181818182</v>
      </c>
      <c r="CY59" s="169">
        <f t="shared" ref="CY59" si="78">INT($CU60*CX59/5)*5</f>
        <v>12560</v>
      </c>
      <c r="CZ59" s="169">
        <f>SUM(CY$5:CY59)</f>
        <v>329970</v>
      </c>
      <c r="DB59" s="188">
        <f t="shared" si="39"/>
        <v>6250</v>
      </c>
      <c r="DC59" s="188">
        <f t="shared" si="39"/>
        <v>10000</v>
      </c>
      <c r="DD59" s="188">
        <f t="shared" si="39"/>
        <v>12550</v>
      </c>
      <c r="DE59" s="188">
        <f t="shared" si="39"/>
        <v>15050</v>
      </c>
      <c r="DF59" s="188">
        <f t="shared" si="39"/>
        <v>18800</v>
      </c>
      <c r="DI59" s="186">
        <v>55</v>
      </c>
      <c r="DJ59" s="14">
        <f t="shared" si="21"/>
        <v>11</v>
      </c>
      <c r="DK59" s="14">
        <f t="shared" si="1"/>
        <v>3</v>
      </c>
      <c r="DL59" s="14">
        <f t="shared" si="2"/>
        <v>1101011</v>
      </c>
      <c r="DM59" s="136" t="s">
        <v>1097</v>
      </c>
      <c r="DN59" s="14">
        <f t="shared" si="3"/>
        <v>5</v>
      </c>
      <c r="DO59" s="14" t="str">
        <f t="shared" si="4"/>
        <v>阎风吒-5星</v>
      </c>
      <c r="DP59" s="136" t="s">
        <v>1103</v>
      </c>
      <c r="DQ59" s="14">
        <f t="shared" si="22"/>
        <v>40000</v>
      </c>
      <c r="DR59" s="14" t="str">
        <f t="shared" si="5"/>
        <v>阎风吒碎片</v>
      </c>
      <c r="DS59" s="14">
        <f t="shared" si="23"/>
        <v>40</v>
      </c>
    </row>
    <row r="60" spans="1:123" ht="16.5" x14ac:dyDescent="0.2">
      <c r="A60" s="55">
        <v>1101009</v>
      </c>
      <c r="B60" s="55" t="s">
        <v>380</v>
      </c>
      <c r="C60" s="55">
        <v>3</v>
      </c>
      <c r="D60" s="136">
        <v>5</v>
      </c>
      <c r="E60" s="136">
        <f>SUM(D$52:D60)</f>
        <v>45</v>
      </c>
      <c r="G60" t="s">
        <v>381</v>
      </c>
      <c r="H60" s="15">
        <v>4</v>
      </c>
      <c r="I60" s="189">
        <f t="shared" si="62"/>
        <v>7.0928982875403329E-3</v>
      </c>
      <c r="J60" s="189">
        <f t="shared" si="59"/>
        <v>284</v>
      </c>
      <c r="K60" s="15"/>
      <c r="L60" s="15"/>
      <c r="M60" s="15"/>
      <c r="N60" s="15"/>
      <c r="O60" s="137"/>
      <c r="P60" s="141"/>
      <c r="Q60" s="141"/>
      <c r="R60" s="141"/>
      <c r="S60" s="141"/>
      <c r="T60" s="141"/>
      <c r="U60" s="141"/>
      <c r="V60" s="141"/>
      <c r="W60" s="141"/>
      <c r="X60" s="141"/>
      <c r="Y60" s="141"/>
      <c r="Z60" s="196">
        <v>3</v>
      </c>
      <c r="AA60" s="196">
        <v>4</v>
      </c>
      <c r="AB60" s="14">
        <f>ROUND(INDEX(挂机升级突破!DT$6:DT$57,卡牌消耗!$AA60)*INDEX(卡牌消耗!$B$5:$F$5,卡牌消耗!$Z60)/卡牌消耗!$Q$4/AB$2,0)*AB$2</f>
        <v>145</v>
      </c>
      <c r="AC60" s="14">
        <f>ROUND(INDEX(挂机升级突破!DU$6:DU$57,卡牌消耗!$AA60)*INDEX(卡牌消耗!$B$5:$F$5,卡牌消耗!$Z60)/卡牌消耗!$Q$4/AC$2,0)*AC$2</f>
        <v>0</v>
      </c>
      <c r="AD60" s="14">
        <f>ROUND(INDEX(挂机升级突破!DV$6:DV$57,卡牌消耗!$AA60)*INDEX(卡牌消耗!$B$5:$F$5,卡牌消耗!$Z60)/卡牌消耗!$Q$4/AD$2,0)*AD$2</f>
        <v>0</v>
      </c>
      <c r="AE60" s="14">
        <f>ROUND(INDEX(挂机升级突破!DW$6:DW$57,卡牌消耗!$AA60)*INDEX(卡牌消耗!$B$5:$F$5,卡牌消耗!$Z60)/卡牌消耗!$Q$4/AE$2,0)*AE$2</f>
        <v>0</v>
      </c>
      <c r="AF60" s="14">
        <f>ROUND(INDEX(挂机升级突破!DX$6:DX$57,卡牌消耗!$AA60)*INDEX(卡牌消耗!$B$5:$F$5,卡牌消耗!$Z60)/卡牌消耗!$Q$4/AF$2,0)*AF$2</f>
        <v>0</v>
      </c>
      <c r="AG60" s="14">
        <f>ROUND(INDEX(挂机升级突破!EC$6:EC$57,卡牌消耗!$AA60)*INDEX(卡牌消耗!$B$7:$F$7,卡牌消耗!$Z60)/卡牌消耗!$Q$4/AG$2,0)*AG$2</f>
        <v>0</v>
      </c>
      <c r="AH60" s="14">
        <f>ROUND(INDEX(挂机升级突破!ED$6:ED$57,卡牌消耗!$AA60)*INDEX(卡牌消耗!$B$8:$F$8,卡牌消耗!$Z60)/卡牌消耗!$Q$4/AH$2,0)*AH$2</f>
        <v>1050</v>
      </c>
      <c r="AI60" s="194"/>
      <c r="AJ60" s="194"/>
      <c r="AK60" s="104">
        <v>56</v>
      </c>
      <c r="AL60" s="14">
        <f t="shared" si="6"/>
        <v>2</v>
      </c>
      <c r="AM60" s="14">
        <f>INDEX(挂机升级突破!DQ$6:DQ$57,卡牌消耗!$AT60)</f>
        <v>11</v>
      </c>
      <c r="AN60" s="14">
        <f>INDEX(挂机升级突破!DR$6:DR$57,卡牌消耗!$AT60)</f>
        <v>1</v>
      </c>
      <c r="AO60" s="14">
        <f>INDEX(挂机升级突破!DS$6:DS$57,卡牌消耗!$AT60)</f>
        <v>0</v>
      </c>
      <c r="AP60" s="14">
        <f>INDEX(挂机升级突破!$DP$6:$DP$57,卡牌消耗!AT60)</f>
        <v>18</v>
      </c>
      <c r="AQ60" s="14" t="str">
        <f t="shared" si="7"/>
        <v>许褚</v>
      </c>
      <c r="AR60" s="14">
        <f t="shared" si="8"/>
        <v>3</v>
      </c>
      <c r="AS60" s="14" t="str">
        <f t="shared" si="9"/>
        <v>许褚魂火-4</v>
      </c>
      <c r="AT60" s="14">
        <f t="shared" si="10"/>
        <v>4</v>
      </c>
      <c r="AU60" s="14" t="str">
        <f>IF(AM60&gt;0,INDEX(挂机升级突破!$DT$4:$ED$4,AM60),"")</f>
        <v>金币</v>
      </c>
      <c r="AV60" s="14">
        <f>ROUND(INDEX(挂机升级突破!$DJ$6:$DJ$57,卡牌消耗!AT60)*INDEX(卡牌消耗!$B$8:$F$8,AR60)/$Q$4/50,0)*50</f>
        <v>1050</v>
      </c>
      <c r="AW60" s="14" t="str">
        <f>IF(AN60&gt;0,INDEX(挂机升级突破!$DT$4:$ED$4,AN60),"")</f>
        <v>绿色基础材料</v>
      </c>
      <c r="AX60" s="14">
        <f>ROUND(INDEX(挂机升级突破!$DT$6:$ED$57,卡牌消耗!AT60,AN60)*INDEX(卡牌消耗!$B$5:$F$5,AR60)/$Q$4/5,0)*5</f>
        <v>145</v>
      </c>
      <c r="AY60" s="14" t="str">
        <f>IF(AO60&gt;0,INDEX(挂机升级突破!$DT$4:$ED$4,AO60),"")</f>
        <v/>
      </c>
      <c r="AZ60" s="14" t="str">
        <f>IF(AO60&gt;0,ROUND(INDEX(挂机升级突破!$DT$6:$ED$57,卡牌消耗!AT60,AO60)*INDEX(卡牌消耗!$B$7:$F$7,AR60)/$Q$4,0),"")</f>
        <v/>
      </c>
      <c r="BA60" s="106"/>
      <c r="BB60" s="197"/>
      <c r="BC60" s="196">
        <v>4</v>
      </c>
      <c r="BD60" s="196">
        <v>16</v>
      </c>
      <c r="BE60" s="14">
        <f>ROUND(INDEX(挂机升级突破!ER$7:ER$26,卡牌消耗!$BD60)*INDEX(卡牌消耗!$B$6:$F$6,$BC60)/$Q$4,0)</f>
        <v>0</v>
      </c>
      <c r="BF60" s="14">
        <f>ROUND(INDEX(挂机升级突破!ES$7:ES$26,卡牌消耗!$BD60)*INDEX(卡牌消耗!$B$6:$F$6,$BC60)/$Q$4,0)</f>
        <v>0</v>
      </c>
      <c r="BG60" s="14">
        <f>ROUND(INDEX(挂机升级突破!ET$7:ET$26,卡牌消耗!$BD60)*INDEX(卡牌消耗!$B$6:$F$6,$BC60)/$Q$4,0)</f>
        <v>110</v>
      </c>
      <c r="BH60" s="14">
        <f>ROUND(INDEX(挂机升级突破!EU$7:EU$26,卡牌消耗!$BD60)*INDEX(卡牌消耗!$B$6:$F$6,$BC60)/$Q$4,0)</f>
        <v>0</v>
      </c>
      <c r="BI60" s="14">
        <f>ROUND(INDEX(挂机升级突破!$EV$7:$EV$26,卡牌消耗!BD60)*INDEX(卡牌消耗!$B$8:$F$8,$BC60)/$Q$4/BI$2,0)*BI$2</f>
        <v>121000</v>
      </c>
      <c r="BJ60" s="197"/>
      <c r="BK60" s="197"/>
      <c r="BL60" s="104">
        <v>56</v>
      </c>
      <c r="BM60" s="14">
        <f t="shared" si="11"/>
        <v>3</v>
      </c>
      <c r="BN60" s="14">
        <f>INDEX(挂机升级突破!$EI$7:$EI$26,BS60)</f>
        <v>5</v>
      </c>
      <c r="BO60" s="14">
        <f>INDEX(挂机升级突破!$EJ$7:$EJ$26,BS60)</f>
        <v>3</v>
      </c>
      <c r="BP60" s="14">
        <f t="shared" si="12"/>
        <v>4</v>
      </c>
      <c r="BQ60" s="14">
        <f>INDEX(挂机升级突破!$EH$7:$EH$26,卡牌消耗!BS60)</f>
        <v>110</v>
      </c>
      <c r="BR60" s="14" t="str">
        <f t="shared" si="13"/>
        <v>典韦</v>
      </c>
      <c r="BS60" s="14">
        <f t="shared" si="14"/>
        <v>16</v>
      </c>
      <c r="BT60" s="14" t="str">
        <f t="shared" si="15"/>
        <v>典韦16突</v>
      </c>
      <c r="BU60" s="14" t="str">
        <f>IF(BN60&gt;0,INDEX(挂机升级突破!$ER$5:$EV$5,卡牌消耗!BN60),"")</f>
        <v>金币</v>
      </c>
      <c r="BV60" s="14">
        <f>IF(BN60&gt;0,ROUND(INDEX(挂机升级突破!$EV$7:$EV$26,卡牌消耗!BS60)*INDEX(卡牌消耗!$B$8:$F$8,BP60)/$Q$4/500,0)*500,"")</f>
        <v>121000</v>
      </c>
      <c r="BW60" s="14" t="str">
        <f>IF(BO60&gt;0,INDEX(挂机升级突破!$ER$5:$EV$5,卡牌消耗!BO60),"")</f>
        <v>银母</v>
      </c>
      <c r="BX60" s="14">
        <f>IF(BO60&gt;0,ROUND(INDEX(挂机升级突破!$ER$7:$EU$26,卡牌消耗!BS60,卡牌消耗!BO60)*INDEX($B$6:$F$6,BP60)/$Q$4/5,0)*5,"")</f>
        <v>110</v>
      </c>
      <c r="BY60" s="193"/>
      <c r="BZ60" s="193"/>
      <c r="CA60" s="106"/>
      <c r="CS60" s="171"/>
      <c r="CT60" s="171"/>
      <c r="CU60" s="14">
        <f>INDEX($CP$5:$CP$32,CU59)</f>
        <v>69092</v>
      </c>
      <c r="CV60" s="169">
        <v>56</v>
      </c>
      <c r="CW60" s="169">
        <v>5.25</v>
      </c>
      <c r="CX60" s="21">
        <f t="shared" ref="CX60" si="79">CW60/$CU61</f>
        <v>0.19090909090909092</v>
      </c>
      <c r="CY60" s="169">
        <f t="shared" ref="CY60" si="80">INT($CU60*CX60/5)*5</f>
        <v>13190</v>
      </c>
      <c r="CZ60" s="169">
        <f>SUM(CY$5:CY60)</f>
        <v>343160</v>
      </c>
      <c r="DB60" s="188">
        <f t="shared" si="39"/>
        <v>6550</v>
      </c>
      <c r="DC60" s="188">
        <f t="shared" si="39"/>
        <v>10550</v>
      </c>
      <c r="DD60" s="188">
        <f t="shared" si="39"/>
        <v>13150</v>
      </c>
      <c r="DE60" s="188">
        <f t="shared" si="39"/>
        <v>15800</v>
      </c>
      <c r="DF60" s="188">
        <f t="shared" si="39"/>
        <v>19750</v>
      </c>
      <c r="DI60" s="186">
        <v>56</v>
      </c>
      <c r="DJ60" s="14">
        <f t="shared" si="21"/>
        <v>12</v>
      </c>
      <c r="DK60" s="14">
        <f t="shared" si="1"/>
        <v>2</v>
      </c>
      <c r="DL60" s="14">
        <f t="shared" si="2"/>
        <v>1101012</v>
      </c>
      <c r="DM60" s="136" t="s">
        <v>1097</v>
      </c>
      <c r="DN60" s="14">
        <f t="shared" si="3"/>
        <v>1</v>
      </c>
      <c r="DO60" s="14" t="str">
        <f t="shared" si="4"/>
        <v>南御夫-1星</v>
      </c>
      <c r="DP60" s="136" t="s">
        <v>1103</v>
      </c>
      <c r="DQ60" s="14">
        <f t="shared" si="22"/>
        <v>3000</v>
      </c>
      <c r="DR60" s="14" t="str">
        <f t="shared" si="5"/>
        <v>南御夫碎片</v>
      </c>
      <c r="DS60" s="14">
        <f t="shared" si="23"/>
        <v>20</v>
      </c>
    </row>
    <row r="61" spans="1:123" ht="16.5" x14ac:dyDescent="0.2">
      <c r="A61" s="55">
        <v>1101010</v>
      </c>
      <c r="B61" s="55" t="s">
        <v>381</v>
      </c>
      <c r="C61" s="55">
        <v>4</v>
      </c>
      <c r="D61" s="136">
        <v>5</v>
      </c>
      <c r="E61" s="136">
        <f>SUM(D$52:D61)</f>
        <v>50</v>
      </c>
      <c r="G61" t="s">
        <v>368</v>
      </c>
      <c r="H61" s="15">
        <v>3</v>
      </c>
      <c r="I61" s="189">
        <f t="shared" si="62"/>
        <v>1.2015514416811271E-2</v>
      </c>
      <c r="J61" s="189">
        <f t="shared" si="59"/>
        <v>481</v>
      </c>
      <c r="K61" s="15"/>
      <c r="L61" s="15"/>
      <c r="M61" s="15"/>
      <c r="N61" s="15"/>
      <c r="O61" s="137"/>
      <c r="P61" s="141"/>
      <c r="Q61" s="141"/>
      <c r="R61" s="141"/>
      <c r="S61" s="141"/>
      <c r="T61" s="141"/>
      <c r="U61" s="141"/>
      <c r="V61" s="141"/>
      <c r="W61" s="141"/>
      <c r="X61" s="141"/>
      <c r="Y61" s="141"/>
      <c r="Z61" s="196">
        <v>3</v>
      </c>
      <c r="AA61" s="196">
        <v>5</v>
      </c>
      <c r="AB61" s="14">
        <f>ROUND(INDEX(挂机升级突破!DT$6:DT$57,卡牌消耗!$AA61)*INDEX(卡牌消耗!$B$5:$F$5,卡牌消耗!$Z61)/卡牌消耗!$Q$4/AB$2,0)*AB$2</f>
        <v>155</v>
      </c>
      <c r="AC61" s="14">
        <f>ROUND(INDEX(挂机升级突破!DU$6:DU$57,卡牌消耗!$AA61)*INDEX(卡牌消耗!$B$5:$F$5,卡牌消耗!$Z61)/卡牌消耗!$Q$4/AC$2,0)*AC$2</f>
        <v>0</v>
      </c>
      <c r="AD61" s="14">
        <f>ROUND(INDEX(挂机升级突破!DV$6:DV$57,卡牌消耗!$AA61)*INDEX(卡牌消耗!$B$5:$F$5,卡牌消耗!$Z61)/卡牌消耗!$Q$4/AD$2,0)*AD$2</f>
        <v>0</v>
      </c>
      <c r="AE61" s="14">
        <f>ROUND(INDEX(挂机升级突破!DW$6:DW$57,卡牌消耗!$AA61)*INDEX(卡牌消耗!$B$5:$F$5,卡牌消耗!$Z61)/卡牌消耗!$Q$4/AE$2,0)*AE$2</f>
        <v>0</v>
      </c>
      <c r="AF61" s="14">
        <f>ROUND(INDEX(挂机升级突破!DX$6:DX$57,卡牌消耗!$AA61)*INDEX(卡牌消耗!$B$5:$F$5,卡牌消耗!$Z61)/卡牌消耗!$Q$4/AF$2,0)*AF$2</f>
        <v>0</v>
      </c>
      <c r="AG61" s="14">
        <f>ROUND(INDEX(挂机升级突破!EC$6:EC$57,卡牌消耗!$AA61)*INDEX(卡牌消耗!$B$7:$F$7,卡牌消耗!$Z61)/卡牌消耗!$Q$4/AG$2,0)*AG$2</f>
        <v>0</v>
      </c>
      <c r="AH61" s="14">
        <f>ROUND(INDEX(挂机升级突破!ED$6:ED$57,卡牌消耗!$AA61)*INDEX(卡牌消耗!$B$8:$F$8,卡牌消耗!$Z61)/卡牌消耗!$Q$4/AH$2,0)*AH$2</f>
        <v>1050</v>
      </c>
      <c r="AI61" s="194"/>
      <c r="AJ61" s="194"/>
      <c r="AK61" s="104">
        <v>57</v>
      </c>
      <c r="AL61" s="14">
        <f t="shared" si="6"/>
        <v>2</v>
      </c>
      <c r="AM61" s="14">
        <f>INDEX(挂机升级突破!DQ$6:DQ$57,卡牌消耗!$AT61)</f>
        <v>11</v>
      </c>
      <c r="AN61" s="14">
        <f>INDEX(挂机升级突破!DR$6:DR$57,卡牌消耗!$AT61)</f>
        <v>1</v>
      </c>
      <c r="AO61" s="14">
        <f>INDEX(挂机升级突破!DS$6:DS$57,卡牌消耗!$AT61)</f>
        <v>0</v>
      </c>
      <c r="AP61" s="14">
        <f>INDEX(挂机升级突破!$DP$6:$DP$57,卡牌消耗!AT61)</f>
        <v>23</v>
      </c>
      <c r="AQ61" s="14" t="str">
        <f t="shared" si="7"/>
        <v>许褚</v>
      </c>
      <c r="AR61" s="14">
        <f t="shared" si="8"/>
        <v>3</v>
      </c>
      <c r="AS61" s="14" t="str">
        <f t="shared" si="9"/>
        <v>许褚魂火-5</v>
      </c>
      <c r="AT61" s="14">
        <f t="shared" si="10"/>
        <v>5</v>
      </c>
      <c r="AU61" s="14" t="str">
        <f>IF(AM61&gt;0,INDEX(挂机升级突破!$DT$4:$ED$4,AM61),"")</f>
        <v>金币</v>
      </c>
      <c r="AV61" s="14">
        <f>ROUND(INDEX(挂机升级突破!$DJ$6:$DJ$57,卡牌消耗!AT61)*INDEX(卡牌消耗!$B$8:$F$8,AR61)/$Q$4/50,0)*50</f>
        <v>1050</v>
      </c>
      <c r="AW61" s="14" t="str">
        <f>IF(AN61&gt;0,INDEX(挂机升级突破!$DT$4:$ED$4,AN61),"")</f>
        <v>绿色基础材料</v>
      </c>
      <c r="AX61" s="14">
        <f>ROUND(INDEX(挂机升级突破!$DT$6:$ED$57,卡牌消耗!AT61,AN61)*INDEX(卡牌消耗!$B$5:$F$5,AR61)/$Q$4/5,0)*5</f>
        <v>155</v>
      </c>
      <c r="AY61" s="14" t="str">
        <f>IF(AO61&gt;0,INDEX(挂机升级突破!$DT$4:$ED$4,AO61),"")</f>
        <v/>
      </c>
      <c r="AZ61" s="14" t="str">
        <f>IF(AO61&gt;0,ROUND(INDEX(挂机升级突破!$DT$6:$ED$57,卡牌消耗!AT61,AO61)*INDEX(卡牌消耗!$B$7:$F$7,AR61)/$Q$4,0),"")</f>
        <v/>
      </c>
      <c r="BA61" s="106"/>
      <c r="BB61" s="197"/>
      <c r="BC61" s="196">
        <v>4</v>
      </c>
      <c r="BD61" s="196">
        <v>17</v>
      </c>
      <c r="BE61" s="14">
        <f>ROUND(INDEX(挂机升级突破!ER$7:ER$26,卡牌消耗!$BD61)*INDEX(卡牌消耗!$B$6:$F$6,$BC61)/$Q$4,0)</f>
        <v>0</v>
      </c>
      <c r="BF61" s="14">
        <f>ROUND(INDEX(挂机升级突破!ES$7:ES$26,卡牌消耗!$BD61)*INDEX(卡牌消耗!$B$6:$F$6,$BC61)/$Q$4,0)</f>
        <v>0</v>
      </c>
      <c r="BG61" s="14">
        <f>ROUND(INDEX(挂机升级突破!ET$7:ET$26,卡牌消耗!$BD61)*INDEX(卡牌消耗!$B$6:$F$6,$BC61)/$Q$4,0)</f>
        <v>0</v>
      </c>
      <c r="BH61" s="14">
        <f>ROUND(INDEX(挂机升级突破!EU$7:EU$26,卡牌消耗!$BD61)*INDEX(卡牌消耗!$B$6:$F$6,$BC61)/$Q$4,0)</f>
        <v>21</v>
      </c>
      <c r="BI61" s="14">
        <f>ROUND(INDEX(挂机升级突破!$EV$7:$EV$26,卡牌消耗!BD61)*INDEX(卡牌消耗!$B$8:$F$8,$BC61)/$Q$4/BI$2,0)*BI$2</f>
        <v>121000</v>
      </c>
      <c r="BJ61" s="197"/>
      <c r="BK61" s="197"/>
      <c r="BL61" s="104">
        <v>57</v>
      </c>
      <c r="BM61" s="14">
        <f t="shared" si="11"/>
        <v>3</v>
      </c>
      <c r="BN61" s="14">
        <f>INDEX(挂机升级突破!$EI$7:$EI$26,BS61)</f>
        <v>5</v>
      </c>
      <c r="BO61" s="14">
        <f>INDEX(挂机升级突破!$EJ$7:$EJ$26,BS61)</f>
        <v>4</v>
      </c>
      <c r="BP61" s="14">
        <f t="shared" si="12"/>
        <v>4</v>
      </c>
      <c r="BQ61" s="14">
        <f>INDEX(挂机升级突破!$EH$7:$EH$26,卡牌消耗!BS61)</f>
        <v>117</v>
      </c>
      <c r="BR61" s="14" t="str">
        <f t="shared" si="13"/>
        <v>典韦</v>
      </c>
      <c r="BS61" s="14">
        <f t="shared" si="14"/>
        <v>17</v>
      </c>
      <c r="BT61" s="14" t="str">
        <f t="shared" si="15"/>
        <v>典韦17突</v>
      </c>
      <c r="BU61" s="14" t="str">
        <f>IF(BN61&gt;0,INDEX(挂机升级突破!$ER$5:$EV$5,卡牌消耗!BN61),"")</f>
        <v>金币</v>
      </c>
      <c r="BV61" s="14">
        <f>IF(BN61&gt;0,ROUND(INDEX(挂机升级突破!$EV$7:$EV$26,卡牌消耗!BS61)*INDEX(卡牌消耗!$B$8:$F$8,BP61)/$Q$4/500,0)*500,"")</f>
        <v>121000</v>
      </c>
      <c r="BW61" s="14" t="str">
        <f>IF(BO61&gt;0,INDEX(挂机升级突破!$ER$5:$EV$5,卡牌消耗!BO61),"")</f>
        <v>铀金</v>
      </c>
      <c r="BX61" s="14">
        <f>IF(BO61&gt;0,ROUND(INDEX(挂机升级突破!$ER$7:$EU$26,卡牌消耗!BS61,卡牌消耗!BO61)*INDEX($B$6:$F$6,BP61)/$Q$4/5,0)*5,"")</f>
        <v>20</v>
      </c>
      <c r="BY61" s="193"/>
      <c r="BZ61" s="193"/>
      <c r="CA61" s="106"/>
      <c r="CS61" s="171"/>
      <c r="CT61" s="170"/>
      <c r="CU61" s="14">
        <f>SUMIFS($CW$5:$CW$154,$CV$5:$CV$154,"&gt;="&amp;INDEX($CE$5:$CE$32,CU59),$CV$5:$CV$154,"&lt;"&amp;INDEX($CF$5:$CF$32,CU59))</f>
        <v>27.5</v>
      </c>
      <c r="CV61" s="169">
        <v>57</v>
      </c>
      <c r="CW61" s="169">
        <v>5.5</v>
      </c>
      <c r="CX61" s="21">
        <f t="shared" ref="CX61" si="81">CW61/$CU61</f>
        <v>0.2</v>
      </c>
      <c r="CY61" s="169">
        <f t="shared" ref="CY61" si="82">INT($CU60*CX61/5)*5</f>
        <v>13815</v>
      </c>
      <c r="CZ61" s="169">
        <f>SUM(CY$5:CY61)</f>
        <v>356975</v>
      </c>
      <c r="DB61" s="188">
        <f t="shared" si="39"/>
        <v>6900</v>
      </c>
      <c r="DC61" s="188">
        <f t="shared" si="39"/>
        <v>11050</v>
      </c>
      <c r="DD61" s="188">
        <f t="shared" si="39"/>
        <v>13800</v>
      </c>
      <c r="DE61" s="188">
        <f t="shared" si="39"/>
        <v>16550</v>
      </c>
      <c r="DF61" s="188">
        <f t="shared" si="39"/>
        <v>20700</v>
      </c>
      <c r="DI61" s="186">
        <v>57</v>
      </c>
      <c r="DJ61" s="14">
        <f t="shared" si="21"/>
        <v>12</v>
      </c>
      <c r="DK61" s="14">
        <f t="shared" si="1"/>
        <v>2</v>
      </c>
      <c r="DL61" s="14">
        <f t="shared" si="2"/>
        <v>1101012</v>
      </c>
      <c r="DM61" s="136" t="s">
        <v>1097</v>
      </c>
      <c r="DN61" s="14">
        <f t="shared" si="3"/>
        <v>2</v>
      </c>
      <c r="DO61" s="14" t="str">
        <f t="shared" si="4"/>
        <v>南御夫-2星</v>
      </c>
      <c r="DP61" s="136" t="s">
        <v>1103</v>
      </c>
      <c r="DQ61" s="14">
        <f t="shared" si="22"/>
        <v>3500</v>
      </c>
      <c r="DR61" s="14" t="str">
        <f t="shared" si="5"/>
        <v>南御夫碎片</v>
      </c>
      <c r="DS61" s="14">
        <f t="shared" si="23"/>
        <v>20</v>
      </c>
    </row>
    <row r="62" spans="1:123" ht="16.5" x14ac:dyDescent="0.2">
      <c r="A62" s="55">
        <v>1101011</v>
      </c>
      <c r="B62" s="55" t="s">
        <v>368</v>
      </c>
      <c r="C62" s="55">
        <v>3</v>
      </c>
      <c r="D62" s="136">
        <v>5</v>
      </c>
      <c r="E62" s="136">
        <f>SUM(D$52:D62)</f>
        <v>55</v>
      </c>
      <c r="G62" t="s">
        <v>382</v>
      </c>
      <c r="H62" s="15">
        <v>2</v>
      </c>
      <c r="I62" s="189">
        <f t="shared" si="62"/>
        <v>2.0354526576845215E-2</v>
      </c>
      <c r="J62" s="189">
        <f t="shared" si="59"/>
        <v>814</v>
      </c>
      <c r="K62" s="15"/>
      <c r="L62" s="15"/>
      <c r="M62" s="15"/>
      <c r="N62" s="15"/>
      <c r="O62" s="137"/>
      <c r="P62" s="141"/>
      <c r="Q62" s="141"/>
      <c r="R62" s="141"/>
      <c r="S62" s="141"/>
      <c r="T62" s="141"/>
      <c r="U62" s="141"/>
      <c r="V62" s="141"/>
      <c r="W62" s="141"/>
      <c r="X62" s="141"/>
      <c r="Y62" s="141"/>
      <c r="Z62" s="196">
        <v>3</v>
      </c>
      <c r="AA62" s="196">
        <v>6</v>
      </c>
      <c r="AB62" s="14">
        <f>ROUND(INDEX(挂机升级突破!DT$6:DT$57,卡牌消耗!$AA62)*INDEX(卡牌消耗!$B$5:$F$5,卡牌消耗!$Z62)/卡牌消耗!$Q$4/AB$2,0)*AB$2</f>
        <v>0</v>
      </c>
      <c r="AC62" s="14">
        <f>ROUND(INDEX(挂机升级突破!DU$6:DU$57,卡牌消耗!$AA62)*INDEX(卡牌消耗!$B$5:$F$5,卡牌消耗!$Z62)/卡牌消耗!$Q$4/AC$2,0)*AC$2</f>
        <v>30</v>
      </c>
      <c r="AD62" s="14">
        <f>ROUND(INDEX(挂机升级突破!DV$6:DV$57,卡牌消耗!$AA62)*INDEX(卡牌消耗!$B$5:$F$5,卡牌消耗!$Z62)/卡牌消耗!$Q$4/AD$2,0)*AD$2</f>
        <v>0</v>
      </c>
      <c r="AE62" s="14">
        <f>ROUND(INDEX(挂机升级突破!DW$6:DW$57,卡牌消耗!$AA62)*INDEX(卡牌消耗!$B$5:$F$5,卡牌消耗!$Z62)/卡牌消耗!$Q$4/AE$2,0)*AE$2</f>
        <v>0</v>
      </c>
      <c r="AF62" s="14">
        <f>ROUND(INDEX(挂机升级突破!DX$6:DX$57,卡牌消耗!$AA62)*INDEX(卡牌消耗!$B$5:$F$5,卡牌消耗!$Z62)/卡牌消耗!$Q$4/AF$2,0)*AF$2</f>
        <v>0</v>
      </c>
      <c r="AG62" s="14">
        <f>ROUND(INDEX(挂机升级突破!EC$6:EC$57,卡牌消耗!$AA62)*INDEX(卡牌消耗!$B$7:$F$7,卡牌消耗!$Z62)/卡牌消耗!$Q$4/AG$2,0)*AG$2</f>
        <v>0</v>
      </c>
      <c r="AH62" s="14">
        <f>ROUND(INDEX(挂机升级突破!ED$6:ED$57,卡牌消耗!$AA62)*INDEX(卡牌消耗!$B$8:$F$8,卡牌消耗!$Z62)/卡牌消耗!$Q$4/AH$2,0)*AH$2</f>
        <v>1250</v>
      </c>
      <c r="AI62" s="194"/>
      <c r="AJ62" s="194"/>
      <c r="AK62" s="104">
        <v>58</v>
      </c>
      <c r="AL62" s="14">
        <f t="shared" si="6"/>
        <v>2</v>
      </c>
      <c r="AM62" s="14">
        <f>INDEX(挂机升级突破!DQ$6:DQ$57,卡牌消耗!$AT62)</f>
        <v>11</v>
      </c>
      <c r="AN62" s="14">
        <f>INDEX(挂机升级突破!DR$6:DR$57,卡牌消耗!$AT62)</f>
        <v>2</v>
      </c>
      <c r="AO62" s="14">
        <f>INDEX(挂机升级突破!DS$6:DS$57,卡牌消耗!$AT62)</f>
        <v>0</v>
      </c>
      <c r="AP62" s="14">
        <f>INDEX(挂机升级突破!$DP$6:$DP$57,卡牌消耗!AT62)</f>
        <v>28</v>
      </c>
      <c r="AQ62" s="14" t="str">
        <f t="shared" si="7"/>
        <v>许褚</v>
      </c>
      <c r="AR62" s="14">
        <f t="shared" si="8"/>
        <v>3</v>
      </c>
      <c r="AS62" s="14" t="str">
        <f t="shared" si="9"/>
        <v>许褚魂火-6</v>
      </c>
      <c r="AT62" s="14">
        <f t="shared" si="10"/>
        <v>6</v>
      </c>
      <c r="AU62" s="14" t="str">
        <f>IF(AM62&gt;0,INDEX(挂机升级突破!$DT$4:$ED$4,AM62),"")</f>
        <v>金币</v>
      </c>
      <c r="AV62" s="14">
        <f>ROUND(INDEX(挂机升级突破!$DJ$6:$DJ$57,卡牌消耗!AT62)*INDEX(卡牌消耗!$B$8:$F$8,AR62)/$Q$4/50,0)*50</f>
        <v>1250</v>
      </c>
      <c r="AW62" s="14" t="str">
        <f>IF(AN62&gt;0,INDEX(挂机升级突破!$DT$4:$ED$4,AN62),"")</f>
        <v>蓝色基础材料</v>
      </c>
      <c r="AX62" s="14">
        <f>ROUND(INDEX(挂机升级突破!$DT$6:$ED$57,卡牌消耗!AT62,AN62)*INDEX(卡牌消耗!$B$5:$F$5,AR62)/$Q$4/5,0)*5</f>
        <v>30</v>
      </c>
      <c r="AY62" s="14" t="str">
        <f>IF(AO62&gt;0,INDEX(挂机升级突破!$DT$4:$ED$4,AO62),"")</f>
        <v/>
      </c>
      <c r="AZ62" s="14" t="str">
        <f>IF(AO62&gt;0,ROUND(INDEX(挂机升级突破!$DT$6:$ED$57,卡牌消耗!AT62,AO62)*INDEX(卡牌消耗!$B$7:$F$7,AR62)/$Q$4,0),"")</f>
        <v/>
      </c>
      <c r="BA62" s="106"/>
      <c r="BB62" s="197"/>
      <c r="BC62" s="196">
        <v>4</v>
      </c>
      <c r="BD62" s="196">
        <v>18</v>
      </c>
      <c r="BE62" s="14">
        <f>ROUND(INDEX(挂机升级突破!ER$7:ER$26,卡牌消耗!$BD62)*INDEX(卡牌消耗!$B$6:$F$6,$BC62)/$Q$4,0)</f>
        <v>0</v>
      </c>
      <c r="BF62" s="14">
        <f>ROUND(INDEX(挂机升级突破!ES$7:ES$26,卡牌消耗!$BD62)*INDEX(卡牌消耗!$B$6:$F$6,$BC62)/$Q$4,0)</f>
        <v>0</v>
      </c>
      <c r="BG62" s="14">
        <f>ROUND(INDEX(挂机升级突破!ET$7:ET$26,卡牌消耗!$BD62)*INDEX(卡牌消耗!$B$6:$F$6,$BC62)/$Q$4,0)</f>
        <v>0</v>
      </c>
      <c r="BH62" s="14">
        <f>ROUND(INDEX(挂机升级突破!EU$7:EU$26,卡牌消耗!$BD62)*INDEX(卡牌消耗!$B$6:$F$6,$BC62)/$Q$4,0)</f>
        <v>29</v>
      </c>
      <c r="BI62" s="14">
        <f>ROUND(INDEX(挂机升级突破!$EV$7:$EV$26,卡牌消耗!BD62)*INDEX(卡牌消耗!$B$8:$F$8,$BC62)/$Q$4/BI$2,0)*BI$2</f>
        <v>161000</v>
      </c>
      <c r="BJ62" s="197"/>
      <c r="BK62" s="197"/>
      <c r="BL62" s="104">
        <v>58</v>
      </c>
      <c r="BM62" s="14">
        <f t="shared" si="11"/>
        <v>3</v>
      </c>
      <c r="BN62" s="14">
        <f>INDEX(挂机升级突破!$EI$7:$EI$26,BS62)</f>
        <v>5</v>
      </c>
      <c r="BO62" s="14">
        <f>INDEX(挂机升级突破!$EJ$7:$EJ$26,BS62)</f>
        <v>4</v>
      </c>
      <c r="BP62" s="14">
        <f t="shared" si="12"/>
        <v>4</v>
      </c>
      <c r="BQ62" s="14">
        <f>INDEX(挂机升级突破!$EH$7:$EH$26,卡牌消耗!BS62)</f>
        <v>125</v>
      </c>
      <c r="BR62" s="14" t="str">
        <f t="shared" si="13"/>
        <v>典韦</v>
      </c>
      <c r="BS62" s="14">
        <f t="shared" si="14"/>
        <v>18</v>
      </c>
      <c r="BT62" s="14" t="str">
        <f t="shared" si="15"/>
        <v>典韦18突</v>
      </c>
      <c r="BU62" s="14" t="str">
        <f>IF(BN62&gt;0,INDEX(挂机升级突破!$ER$5:$EV$5,卡牌消耗!BN62),"")</f>
        <v>金币</v>
      </c>
      <c r="BV62" s="14">
        <f>IF(BN62&gt;0,ROUND(INDEX(挂机升级突破!$EV$7:$EV$26,卡牌消耗!BS62)*INDEX(卡牌消耗!$B$8:$F$8,BP62)/$Q$4/500,0)*500,"")</f>
        <v>161000</v>
      </c>
      <c r="BW62" s="14" t="str">
        <f>IF(BO62&gt;0,INDEX(挂机升级突破!$ER$5:$EV$5,卡牌消耗!BO62),"")</f>
        <v>铀金</v>
      </c>
      <c r="BX62" s="14">
        <f>IF(BO62&gt;0,ROUND(INDEX(挂机升级突破!$ER$7:$EU$26,卡牌消耗!BS62,卡牌消耗!BO62)*INDEX($B$6:$F$6,BP62)/$Q$4/5,0)*5,"")</f>
        <v>30</v>
      </c>
      <c r="BY62" s="193"/>
      <c r="BZ62" s="193"/>
      <c r="CA62" s="106"/>
      <c r="CS62" s="171"/>
      <c r="CT62" s="171"/>
      <c r="CU62" s="171"/>
      <c r="CV62" s="169">
        <v>58</v>
      </c>
      <c r="CW62" s="169">
        <v>5.75</v>
      </c>
      <c r="CX62" s="21">
        <f t="shared" ref="CX62" si="83">CW62/$CU61</f>
        <v>0.20909090909090908</v>
      </c>
      <c r="CY62" s="169">
        <f t="shared" ref="CY62" si="84">INT($CU60*CX62/5)*5</f>
        <v>14445</v>
      </c>
      <c r="CZ62" s="169">
        <f>SUM(CY$5:CY62)</f>
        <v>371420</v>
      </c>
      <c r="DB62" s="188">
        <f t="shared" si="39"/>
        <v>7200</v>
      </c>
      <c r="DC62" s="188">
        <f t="shared" si="39"/>
        <v>11550</v>
      </c>
      <c r="DD62" s="188">
        <f t="shared" si="39"/>
        <v>14400</v>
      </c>
      <c r="DE62" s="188">
        <f t="shared" si="39"/>
        <v>17300</v>
      </c>
      <c r="DF62" s="188">
        <f t="shared" si="39"/>
        <v>21650</v>
      </c>
      <c r="DI62" s="186">
        <v>58</v>
      </c>
      <c r="DJ62" s="14">
        <f t="shared" si="21"/>
        <v>12</v>
      </c>
      <c r="DK62" s="14">
        <f t="shared" si="1"/>
        <v>2</v>
      </c>
      <c r="DL62" s="14">
        <f t="shared" si="2"/>
        <v>1101012</v>
      </c>
      <c r="DM62" s="136" t="s">
        <v>1097</v>
      </c>
      <c r="DN62" s="14">
        <f t="shared" si="3"/>
        <v>3</v>
      </c>
      <c r="DO62" s="14" t="str">
        <f t="shared" si="4"/>
        <v>南御夫-3星</v>
      </c>
      <c r="DP62" s="136" t="s">
        <v>1103</v>
      </c>
      <c r="DQ62" s="14">
        <f t="shared" si="22"/>
        <v>7000</v>
      </c>
      <c r="DR62" s="14" t="str">
        <f t="shared" si="5"/>
        <v>南御夫碎片</v>
      </c>
      <c r="DS62" s="14">
        <f t="shared" si="23"/>
        <v>20</v>
      </c>
    </row>
    <row r="63" spans="1:123" ht="16.5" x14ac:dyDescent="0.2">
      <c r="A63" s="55">
        <v>1101012</v>
      </c>
      <c r="B63" s="55" t="s">
        <v>382</v>
      </c>
      <c r="C63" s="55">
        <v>2</v>
      </c>
      <c r="D63" s="136">
        <v>5</v>
      </c>
      <c r="E63" s="136">
        <f>SUM(D$52:D63)</f>
        <v>60</v>
      </c>
      <c r="G63" t="s">
        <v>383</v>
      </c>
      <c r="H63" s="15">
        <v>2</v>
      </c>
      <c r="I63" s="189">
        <f t="shared" si="62"/>
        <v>2.0354526576845215E-2</v>
      </c>
      <c r="J63" s="189">
        <f t="shared" si="59"/>
        <v>814</v>
      </c>
      <c r="K63" s="15"/>
      <c r="L63" s="15"/>
      <c r="M63" s="15"/>
      <c r="N63" s="15"/>
      <c r="O63" s="137"/>
      <c r="P63" s="141"/>
      <c r="Q63" s="141"/>
      <c r="R63" s="141"/>
      <c r="S63" s="141"/>
      <c r="T63" s="141"/>
      <c r="U63" s="141"/>
      <c r="V63" s="141"/>
      <c r="W63" s="141"/>
      <c r="X63" s="141"/>
      <c r="Y63" s="141"/>
      <c r="Z63" s="196">
        <v>3</v>
      </c>
      <c r="AA63" s="196">
        <v>7</v>
      </c>
      <c r="AB63" s="14">
        <f>ROUND(INDEX(挂机升级突破!DT$6:DT$57,卡牌消耗!$AA63)*INDEX(卡牌消耗!$B$5:$F$5,卡牌消耗!$Z63)/卡牌消耗!$Q$4/AB$2,0)*AB$2</f>
        <v>0</v>
      </c>
      <c r="AC63" s="14">
        <f>ROUND(INDEX(挂机升级突破!DU$6:DU$57,卡牌消耗!$AA63)*INDEX(卡牌消耗!$B$5:$F$5,卡牌消耗!$Z63)/卡牌消耗!$Q$4/AC$2,0)*AC$2</f>
        <v>30</v>
      </c>
      <c r="AD63" s="14">
        <f>ROUND(INDEX(挂机升级突破!DV$6:DV$57,卡牌消耗!$AA63)*INDEX(卡牌消耗!$B$5:$F$5,卡牌消耗!$Z63)/卡牌消耗!$Q$4/AD$2,0)*AD$2</f>
        <v>0</v>
      </c>
      <c r="AE63" s="14">
        <f>ROUND(INDEX(挂机升级突破!DW$6:DW$57,卡牌消耗!$AA63)*INDEX(卡牌消耗!$B$5:$F$5,卡牌消耗!$Z63)/卡牌消耗!$Q$4/AE$2,0)*AE$2</f>
        <v>0</v>
      </c>
      <c r="AF63" s="14">
        <f>ROUND(INDEX(挂机升级突破!DX$6:DX$57,卡牌消耗!$AA63)*INDEX(卡牌消耗!$B$5:$F$5,卡牌消耗!$Z63)/卡牌消耗!$Q$4/AF$2,0)*AF$2</f>
        <v>0</v>
      </c>
      <c r="AG63" s="14">
        <f>ROUND(INDEX(挂机升级突破!EC$6:EC$57,卡牌消耗!$AA63)*INDEX(卡牌消耗!$B$7:$F$7,卡牌消耗!$Z63)/卡牌消耗!$Q$4/AG$2,0)*AG$2</f>
        <v>0</v>
      </c>
      <c r="AH63" s="14">
        <f>ROUND(INDEX(挂机升级突破!ED$6:ED$57,卡牌消耗!$AA63)*INDEX(卡牌消耗!$B$8:$F$8,卡牌消耗!$Z63)/卡牌消耗!$Q$4/AH$2,0)*AH$2</f>
        <v>1250</v>
      </c>
      <c r="AI63" s="194"/>
      <c r="AJ63" s="194"/>
      <c r="AK63" s="104">
        <v>59</v>
      </c>
      <c r="AL63" s="14">
        <f t="shared" si="6"/>
        <v>2</v>
      </c>
      <c r="AM63" s="14">
        <f>INDEX(挂机升级突破!DQ$6:DQ$57,卡牌消耗!$AT63)</f>
        <v>11</v>
      </c>
      <c r="AN63" s="14">
        <f>INDEX(挂机升级突破!DR$6:DR$57,卡牌消耗!$AT63)</f>
        <v>2</v>
      </c>
      <c r="AO63" s="14">
        <f>INDEX(挂机升级突破!DS$6:DS$57,卡牌消耗!$AT63)</f>
        <v>0</v>
      </c>
      <c r="AP63" s="14">
        <f>INDEX(挂机升级突破!$DP$6:$DP$57,卡牌消耗!AT63)</f>
        <v>33</v>
      </c>
      <c r="AQ63" s="14" t="str">
        <f t="shared" si="7"/>
        <v>许褚</v>
      </c>
      <c r="AR63" s="14">
        <f t="shared" si="8"/>
        <v>3</v>
      </c>
      <c r="AS63" s="14" t="str">
        <f t="shared" si="9"/>
        <v>许褚魂火-7</v>
      </c>
      <c r="AT63" s="14">
        <f t="shared" si="10"/>
        <v>7</v>
      </c>
      <c r="AU63" s="14" t="str">
        <f>IF(AM63&gt;0,INDEX(挂机升级突破!$DT$4:$ED$4,AM63),"")</f>
        <v>金币</v>
      </c>
      <c r="AV63" s="14">
        <f>ROUND(INDEX(挂机升级突破!$DJ$6:$DJ$57,卡牌消耗!AT63)*INDEX(卡牌消耗!$B$8:$F$8,AR63)/$Q$4/50,0)*50</f>
        <v>1250</v>
      </c>
      <c r="AW63" s="14" t="str">
        <f>IF(AN63&gt;0,INDEX(挂机升级突破!$DT$4:$ED$4,AN63),"")</f>
        <v>蓝色基础材料</v>
      </c>
      <c r="AX63" s="14">
        <f>ROUND(INDEX(挂机升级突破!$DT$6:$ED$57,卡牌消耗!AT63,AN63)*INDEX(卡牌消耗!$B$5:$F$5,AR63)/$Q$4/5,0)*5</f>
        <v>30</v>
      </c>
      <c r="AY63" s="14" t="str">
        <f>IF(AO63&gt;0,INDEX(挂机升级突破!$DT$4:$ED$4,AO63),"")</f>
        <v/>
      </c>
      <c r="AZ63" s="14" t="str">
        <f>IF(AO63&gt;0,ROUND(INDEX(挂机升级突破!$DT$6:$ED$57,卡牌消耗!AT63,AO63)*INDEX(卡牌消耗!$B$7:$F$7,AR63)/$Q$4,0),"")</f>
        <v/>
      </c>
      <c r="BA63" s="106"/>
      <c r="BB63" s="197"/>
      <c r="BC63" s="196">
        <v>4</v>
      </c>
      <c r="BD63" s="196">
        <v>19</v>
      </c>
      <c r="BE63" s="14">
        <f>ROUND(INDEX(挂机升级突破!ER$7:ER$26,卡牌消耗!$BD63)*INDEX(卡牌消耗!$B$6:$F$6,$BC63)/$Q$4,0)</f>
        <v>0</v>
      </c>
      <c r="BF63" s="14">
        <f>ROUND(INDEX(挂机升级突破!ES$7:ES$26,卡牌消耗!$BD63)*INDEX(卡牌消耗!$B$6:$F$6,$BC63)/$Q$4,0)</f>
        <v>0</v>
      </c>
      <c r="BG63" s="14">
        <f>ROUND(INDEX(挂机升级突破!ET$7:ET$26,卡牌消耗!$BD63)*INDEX(卡牌消耗!$B$6:$F$6,$BC63)/$Q$4,0)</f>
        <v>0</v>
      </c>
      <c r="BH63" s="14">
        <f>ROUND(INDEX(挂机升级突破!EU$7:EU$26,卡牌消耗!$BD63)*INDEX(卡牌消耗!$B$6:$F$6,$BC63)/$Q$4,0)</f>
        <v>39</v>
      </c>
      <c r="BI63" s="14">
        <f>ROUND(INDEX(挂机升级突破!$EV$7:$EV$26,卡牌消耗!BD63)*INDEX(卡牌消耗!$B$8:$F$8,$BC63)/$Q$4/BI$2,0)*BI$2</f>
        <v>410500</v>
      </c>
      <c r="BJ63" s="197"/>
      <c r="BK63" s="197"/>
      <c r="BL63" s="104">
        <v>59</v>
      </c>
      <c r="BM63" s="14">
        <f t="shared" si="11"/>
        <v>3</v>
      </c>
      <c r="BN63" s="14">
        <f>INDEX(挂机升级突破!$EI$7:$EI$26,BS63)</f>
        <v>5</v>
      </c>
      <c r="BO63" s="14">
        <f>INDEX(挂机升级突破!$EJ$7:$EJ$26,BS63)</f>
        <v>4</v>
      </c>
      <c r="BP63" s="14">
        <f t="shared" si="12"/>
        <v>4</v>
      </c>
      <c r="BQ63" s="14">
        <f>INDEX(挂机升级突破!$EH$7:$EH$26,卡牌消耗!BS63)</f>
        <v>132</v>
      </c>
      <c r="BR63" s="14" t="str">
        <f t="shared" si="13"/>
        <v>典韦</v>
      </c>
      <c r="BS63" s="14">
        <f t="shared" si="14"/>
        <v>19</v>
      </c>
      <c r="BT63" s="14" t="str">
        <f t="shared" si="15"/>
        <v>典韦19突</v>
      </c>
      <c r="BU63" s="14" t="str">
        <f>IF(BN63&gt;0,INDEX(挂机升级突破!$ER$5:$EV$5,卡牌消耗!BN63),"")</f>
        <v>金币</v>
      </c>
      <c r="BV63" s="14">
        <f>IF(BN63&gt;0,ROUND(INDEX(挂机升级突破!$EV$7:$EV$26,卡牌消耗!BS63)*INDEX(卡牌消耗!$B$8:$F$8,BP63)/$Q$4/500,0)*500,"")</f>
        <v>410500</v>
      </c>
      <c r="BW63" s="14" t="str">
        <f>IF(BO63&gt;0,INDEX(挂机升级突破!$ER$5:$EV$5,卡牌消耗!BO63),"")</f>
        <v>铀金</v>
      </c>
      <c r="BX63" s="14">
        <f>IF(BO63&gt;0,ROUND(INDEX(挂机升级突破!$ER$7:$EU$26,卡牌消耗!BS63,卡牌消耗!BO63)*INDEX($B$6:$F$6,BP63)/$Q$4/5,0)*5,"")</f>
        <v>40</v>
      </c>
      <c r="BY63" s="193"/>
      <c r="BZ63" s="193"/>
      <c r="CA63" s="106"/>
      <c r="CS63" s="171"/>
      <c r="CT63" s="171"/>
      <c r="CU63" s="171"/>
      <c r="CV63" s="169">
        <v>59</v>
      </c>
      <c r="CW63" s="169">
        <v>6</v>
      </c>
      <c r="CX63" s="21">
        <f t="shared" ref="CX63" si="85">CW63/$CU61</f>
        <v>0.21818181818181817</v>
      </c>
      <c r="CY63" s="169">
        <f t="shared" ref="CY63" si="86">INT($CU60*CX63/5)*5</f>
        <v>15070</v>
      </c>
      <c r="CZ63" s="169">
        <f>SUM(CY$5:CY63)</f>
        <v>386490</v>
      </c>
      <c r="DB63" s="188">
        <f t="shared" si="39"/>
        <v>7500</v>
      </c>
      <c r="DC63" s="188">
        <f t="shared" si="39"/>
        <v>12050</v>
      </c>
      <c r="DD63" s="188">
        <f t="shared" si="39"/>
        <v>15050</v>
      </c>
      <c r="DE63" s="188">
        <f t="shared" si="39"/>
        <v>18050</v>
      </c>
      <c r="DF63" s="188">
        <f t="shared" si="39"/>
        <v>22600</v>
      </c>
      <c r="DI63" s="186">
        <v>59</v>
      </c>
      <c r="DJ63" s="14">
        <f t="shared" si="21"/>
        <v>12</v>
      </c>
      <c r="DK63" s="14">
        <f t="shared" si="1"/>
        <v>2</v>
      </c>
      <c r="DL63" s="14">
        <f t="shared" si="2"/>
        <v>1101012</v>
      </c>
      <c r="DM63" s="136" t="s">
        <v>1097</v>
      </c>
      <c r="DN63" s="14">
        <f t="shared" si="3"/>
        <v>4</v>
      </c>
      <c r="DO63" s="14" t="str">
        <f t="shared" si="4"/>
        <v>南御夫-4星</v>
      </c>
      <c r="DP63" s="136" t="s">
        <v>1103</v>
      </c>
      <c r="DQ63" s="14">
        <f t="shared" si="22"/>
        <v>16000</v>
      </c>
      <c r="DR63" s="14" t="str">
        <f t="shared" si="5"/>
        <v>南御夫碎片</v>
      </c>
      <c r="DS63" s="14">
        <f t="shared" si="23"/>
        <v>20</v>
      </c>
    </row>
    <row r="64" spans="1:123" ht="16.5" x14ac:dyDescent="0.2">
      <c r="A64" s="55">
        <v>1101013</v>
      </c>
      <c r="B64" s="55" t="s">
        <v>383</v>
      </c>
      <c r="C64" s="55">
        <v>2</v>
      </c>
      <c r="D64" s="136">
        <v>5</v>
      </c>
      <c r="E64" s="136">
        <f>SUM(D$52:D64)</f>
        <v>65</v>
      </c>
      <c r="G64" t="s">
        <v>384</v>
      </c>
      <c r="H64" s="15">
        <v>3</v>
      </c>
      <c r="I64" s="189">
        <f t="shared" si="62"/>
        <v>1.2015514416811271E-2</v>
      </c>
      <c r="J64" s="189">
        <f t="shared" si="59"/>
        <v>481</v>
      </c>
      <c r="K64" s="15"/>
      <c r="L64" s="15"/>
      <c r="M64" s="15"/>
      <c r="N64" s="15"/>
      <c r="O64" s="137"/>
      <c r="P64" s="141"/>
      <c r="Q64" s="141"/>
      <c r="R64" s="141"/>
      <c r="S64" s="141"/>
      <c r="T64" s="141"/>
      <c r="U64" s="141"/>
      <c r="V64" s="141"/>
      <c r="W64" s="141"/>
      <c r="X64" s="141"/>
      <c r="Y64" s="141"/>
      <c r="Z64" s="196">
        <v>3</v>
      </c>
      <c r="AA64" s="196">
        <v>8</v>
      </c>
      <c r="AB64" s="14">
        <f>ROUND(INDEX(挂机升级突破!DT$6:DT$57,卡牌消耗!$AA64)*INDEX(卡牌消耗!$B$5:$F$5,卡牌消耗!$Z64)/卡牌消耗!$Q$4/AB$2,0)*AB$2</f>
        <v>0</v>
      </c>
      <c r="AC64" s="14">
        <f>ROUND(INDEX(挂机升级突破!DU$6:DU$57,卡牌消耗!$AA64)*INDEX(卡牌消耗!$B$5:$F$5,卡牌消耗!$Z64)/卡牌消耗!$Q$4/AC$2,0)*AC$2</f>
        <v>60</v>
      </c>
      <c r="AD64" s="14">
        <f>ROUND(INDEX(挂机升级突破!DV$6:DV$57,卡牌消耗!$AA64)*INDEX(卡牌消耗!$B$5:$F$5,卡牌消耗!$Z64)/卡牌消耗!$Q$4/AD$2,0)*AD$2</f>
        <v>0</v>
      </c>
      <c r="AE64" s="14">
        <f>ROUND(INDEX(挂机升级突破!DW$6:DW$57,卡牌消耗!$AA64)*INDEX(卡牌消耗!$B$5:$F$5,卡牌消耗!$Z64)/卡牌消耗!$Q$4/AE$2,0)*AE$2</f>
        <v>0</v>
      </c>
      <c r="AF64" s="14">
        <f>ROUND(INDEX(挂机升级突破!DX$6:DX$57,卡牌消耗!$AA64)*INDEX(卡牌消耗!$B$5:$F$5,卡牌消耗!$Z64)/卡牌消耗!$Q$4/AF$2,0)*AF$2</f>
        <v>0</v>
      </c>
      <c r="AG64" s="14">
        <f>ROUND(INDEX(挂机升级突破!EC$6:EC$57,卡牌消耗!$AA64)*INDEX(卡牌消耗!$B$7:$F$7,卡牌消耗!$Z64)/卡牌消耗!$Q$4/AG$2,0)*AG$2</f>
        <v>0</v>
      </c>
      <c r="AH64" s="14">
        <f>ROUND(INDEX(挂机升级突破!ED$6:ED$57,卡牌消耗!$AA64)*INDEX(卡牌消耗!$B$8:$F$8,卡牌消耗!$Z64)/卡牌消耗!$Q$4/AH$2,0)*AH$2</f>
        <v>1900</v>
      </c>
      <c r="AI64" s="194"/>
      <c r="AJ64" s="194"/>
      <c r="AK64" s="104">
        <v>60</v>
      </c>
      <c r="AL64" s="14">
        <f t="shared" si="6"/>
        <v>2</v>
      </c>
      <c r="AM64" s="14">
        <f>INDEX(挂机升级突破!DQ$6:DQ$57,卡牌消耗!$AT64)</f>
        <v>11</v>
      </c>
      <c r="AN64" s="14">
        <f>INDEX(挂机升级突破!DR$6:DR$57,卡牌消耗!$AT64)</f>
        <v>2</v>
      </c>
      <c r="AO64" s="14">
        <f>INDEX(挂机升级突破!DS$6:DS$57,卡牌消耗!$AT64)</f>
        <v>0</v>
      </c>
      <c r="AP64" s="14">
        <f>INDEX(挂机升级突破!$DP$6:$DP$57,卡牌消耗!AT64)</f>
        <v>38</v>
      </c>
      <c r="AQ64" s="14" t="str">
        <f t="shared" si="7"/>
        <v>许褚</v>
      </c>
      <c r="AR64" s="14">
        <f t="shared" si="8"/>
        <v>3</v>
      </c>
      <c r="AS64" s="14" t="str">
        <f t="shared" si="9"/>
        <v>许褚魂火-8</v>
      </c>
      <c r="AT64" s="14">
        <f t="shared" si="10"/>
        <v>8</v>
      </c>
      <c r="AU64" s="14" t="str">
        <f>IF(AM64&gt;0,INDEX(挂机升级突破!$DT$4:$ED$4,AM64),"")</f>
        <v>金币</v>
      </c>
      <c r="AV64" s="14">
        <f>ROUND(INDEX(挂机升级突破!$DJ$6:$DJ$57,卡牌消耗!AT64)*INDEX(卡牌消耗!$B$8:$F$8,AR64)/$Q$4/50,0)*50</f>
        <v>1900</v>
      </c>
      <c r="AW64" s="14" t="str">
        <f>IF(AN64&gt;0,INDEX(挂机升级突破!$DT$4:$ED$4,AN64),"")</f>
        <v>蓝色基础材料</v>
      </c>
      <c r="AX64" s="14">
        <f>ROUND(INDEX(挂机升级突破!$DT$6:$ED$57,卡牌消耗!AT64,AN64)*INDEX(卡牌消耗!$B$5:$F$5,AR64)/$Q$4/5,0)*5</f>
        <v>60</v>
      </c>
      <c r="AY64" s="14" t="str">
        <f>IF(AO64&gt;0,INDEX(挂机升级突破!$DT$4:$ED$4,AO64),"")</f>
        <v/>
      </c>
      <c r="AZ64" s="14" t="str">
        <f>IF(AO64&gt;0,ROUND(INDEX(挂机升级突破!$DT$6:$ED$57,卡牌消耗!AT64,AO64)*INDEX(卡牌消耗!$B$7:$F$7,AR64)/$Q$4,0),"")</f>
        <v/>
      </c>
      <c r="BA64" s="106"/>
      <c r="BB64" s="197"/>
      <c r="BC64" s="196">
        <v>4</v>
      </c>
      <c r="BD64" s="196">
        <v>20</v>
      </c>
      <c r="BE64" s="14">
        <f>ROUND(INDEX(挂机升级突破!ER$7:ER$26,卡牌消耗!$BD64)*INDEX(卡牌消耗!$B$6:$F$6,$BC64)/$Q$4,0)</f>
        <v>0</v>
      </c>
      <c r="BF64" s="14">
        <f>ROUND(INDEX(挂机升级突破!ES$7:ES$26,卡牌消耗!$BD64)*INDEX(卡牌消耗!$B$6:$F$6,$BC64)/$Q$4,0)</f>
        <v>0</v>
      </c>
      <c r="BG64" s="14">
        <f>ROUND(INDEX(挂机升级突破!ET$7:ET$26,卡牌消耗!$BD64)*INDEX(卡牌消耗!$B$6:$F$6,$BC64)/$Q$4,0)</f>
        <v>0</v>
      </c>
      <c r="BH64" s="14">
        <f>ROUND(INDEX(挂机升级突破!EU$7:EU$26,卡牌消耗!$BD64)*INDEX(卡牌消耗!$B$6:$F$6,$BC64)/$Q$4,0)</f>
        <v>51</v>
      </c>
      <c r="BI64" s="14">
        <f>ROUND(INDEX(挂机升级突破!$EV$7:$EV$26,卡牌消耗!BD64)*INDEX(卡牌消耗!$B$8:$F$8,$BC64)/$Q$4/BI$2,0)*BI$2</f>
        <v>615500</v>
      </c>
      <c r="BJ64" s="197"/>
      <c r="BK64" s="197"/>
      <c r="BL64" s="104">
        <v>60</v>
      </c>
      <c r="BM64" s="14">
        <f t="shared" si="11"/>
        <v>3</v>
      </c>
      <c r="BN64" s="14">
        <f>INDEX(挂机升级突破!$EI$7:$EI$26,BS64)</f>
        <v>5</v>
      </c>
      <c r="BO64" s="14">
        <f>INDEX(挂机升级突破!$EJ$7:$EJ$26,BS64)</f>
        <v>4</v>
      </c>
      <c r="BP64" s="14">
        <f t="shared" si="12"/>
        <v>4</v>
      </c>
      <c r="BQ64" s="14">
        <f>INDEX(挂机升级突破!$EH$7:$EH$26,卡牌消耗!BS64)</f>
        <v>140</v>
      </c>
      <c r="BR64" s="14" t="str">
        <f t="shared" si="13"/>
        <v>典韦</v>
      </c>
      <c r="BS64" s="14">
        <f t="shared" si="14"/>
        <v>20</v>
      </c>
      <c r="BT64" s="14" t="str">
        <f t="shared" si="15"/>
        <v>典韦20突</v>
      </c>
      <c r="BU64" s="14" t="str">
        <f>IF(BN64&gt;0,INDEX(挂机升级突破!$ER$5:$EV$5,卡牌消耗!BN64),"")</f>
        <v>金币</v>
      </c>
      <c r="BV64" s="14">
        <f>IF(BN64&gt;0,ROUND(INDEX(挂机升级突破!$EV$7:$EV$26,卡牌消耗!BS64)*INDEX(卡牌消耗!$B$8:$F$8,BP64)/$Q$4/500,0)*500,"")</f>
        <v>615500</v>
      </c>
      <c r="BW64" s="14" t="str">
        <f>IF(BO64&gt;0,INDEX(挂机升级突破!$ER$5:$EV$5,卡牌消耗!BO64),"")</f>
        <v>铀金</v>
      </c>
      <c r="BX64" s="14">
        <f>IF(BO64&gt;0,ROUND(INDEX(挂机升级突破!$ER$7:$EU$26,卡牌消耗!BS64,卡牌消耗!BO64)*INDEX($B$6:$F$6,BP64)/$Q$4/5,0)*5,"")</f>
        <v>50</v>
      </c>
      <c r="BY64" s="193"/>
      <c r="BZ64" s="193"/>
      <c r="CA64" s="106"/>
      <c r="CS64" s="171"/>
      <c r="CT64" s="173" t="s">
        <v>120</v>
      </c>
      <c r="CU64" s="169">
        <v>11</v>
      </c>
      <c r="CV64" s="169">
        <v>60</v>
      </c>
      <c r="CW64" s="169">
        <v>5</v>
      </c>
      <c r="CX64" s="21">
        <f t="shared" ref="CX64" si="87">CW64/$CU66</f>
        <v>0.18181818181818182</v>
      </c>
      <c r="CY64" s="169">
        <f t="shared" ref="CY64" si="88">INT($CU65*CX64/5)*5</f>
        <v>13790</v>
      </c>
      <c r="CZ64" s="169">
        <f>SUM(CY$5:CY64)</f>
        <v>400280</v>
      </c>
      <c r="DB64" s="188">
        <f t="shared" si="39"/>
        <v>6850</v>
      </c>
      <c r="DC64" s="188">
        <f t="shared" si="39"/>
        <v>11000</v>
      </c>
      <c r="DD64" s="188">
        <f t="shared" si="39"/>
        <v>13750</v>
      </c>
      <c r="DE64" s="188">
        <f t="shared" si="39"/>
        <v>16500</v>
      </c>
      <c r="DF64" s="188">
        <f t="shared" si="39"/>
        <v>20650</v>
      </c>
      <c r="DI64" s="186">
        <v>60</v>
      </c>
      <c r="DJ64" s="14">
        <f t="shared" si="21"/>
        <v>12</v>
      </c>
      <c r="DK64" s="14">
        <f t="shared" si="1"/>
        <v>2</v>
      </c>
      <c r="DL64" s="14">
        <f t="shared" si="2"/>
        <v>1101012</v>
      </c>
      <c r="DM64" s="136" t="s">
        <v>1097</v>
      </c>
      <c r="DN64" s="14">
        <f t="shared" si="3"/>
        <v>5</v>
      </c>
      <c r="DO64" s="14" t="str">
        <f t="shared" si="4"/>
        <v>南御夫-5星</v>
      </c>
      <c r="DP64" s="136" t="s">
        <v>1103</v>
      </c>
      <c r="DQ64" s="14">
        <f t="shared" si="22"/>
        <v>30000</v>
      </c>
      <c r="DR64" s="14" t="str">
        <f t="shared" si="5"/>
        <v>南御夫碎片</v>
      </c>
      <c r="DS64" s="14">
        <f t="shared" si="23"/>
        <v>20</v>
      </c>
    </row>
    <row r="65" spans="1:123" ht="16.5" x14ac:dyDescent="0.2">
      <c r="A65" s="55">
        <v>1101014</v>
      </c>
      <c r="B65" s="55" t="s">
        <v>384</v>
      </c>
      <c r="C65" s="55">
        <v>3</v>
      </c>
      <c r="D65" s="136">
        <v>5</v>
      </c>
      <c r="E65" s="136">
        <f>SUM(D$52:D65)</f>
        <v>70</v>
      </c>
      <c r="G65" t="s">
        <v>385</v>
      </c>
      <c r="H65" s="15">
        <v>2</v>
      </c>
      <c r="I65" s="189">
        <f t="shared" si="62"/>
        <v>2.0354526576845215E-2</v>
      </c>
      <c r="J65" s="189">
        <f t="shared" si="59"/>
        <v>814</v>
      </c>
      <c r="K65" s="15"/>
      <c r="L65" s="15"/>
      <c r="M65" s="15"/>
      <c r="N65" s="15"/>
      <c r="O65" s="137"/>
      <c r="P65" s="141"/>
      <c r="Q65" s="141"/>
      <c r="R65" s="141"/>
      <c r="S65" s="141"/>
      <c r="T65" s="141"/>
      <c r="U65" s="141"/>
      <c r="V65" s="141"/>
      <c r="W65" s="141"/>
      <c r="X65" s="141"/>
      <c r="Y65" s="141"/>
      <c r="Z65" s="196">
        <v>3</v>
      </c>
      <c r="AA65" s="196">
        <v>9</v>
      </c>
      <c r="AB65" s="14">
        <f>ROUND(INDEX(挂机升级突破!DT$6:DT$57,卡牌消耗!$AA65)*INDEX(卡牌消耗!$B$5:$F$5,卡牌消耗!$Z65)/卡牌消耗!$Q$4/AB$2,0)*AB$2</f>
        <v>0</v>
      </c>
      <c r="AC65" s="14">
        <f>ROUND(INDEX(挂机升级突破!DU$6:DU$57,卡牌消耗!$AA65)*INDEX(卡牌消耗!$B$5:$F$5,卡牌消耗!$Z65)/卡牌消耗!$Q$4/AC$2,0)*AC$2</f>
        <v>60</v>
      </c>
      <c r="AD65" s="14">
        <f>ROUND(INDEX(挂机升级突破!DV$6:DV$57,卡牌消耗!$AA65)*INDEX(卡牌消耗!$B$5:$F$5,卡牌消耗!$Z65)/卡牌消耗!$Q$4/AD$2,0)*AD$2</f>
        <v>0</v>
      </c>
      <c r="AE65" s="14">
        <f>ROUND(INDEX(挂机升级突破!DW$6:DW$57,卡牌消耗!$AA65)*INDEX(卡牌消耗!$B$5:$F$5,卡牌消耗!$Z65)/卡牌消耗!$Q$4/AE$2,0)*AE$2</f>
        <v>0</v>
      </c>
      <c r="AF65" s="14">
        <f>ROUND(INDEX(挂机升级突破!DX$6:DX$57,卡牌消耗!$AA65)*INDEX(卡牌消耗!$B$5:$F$5,卡牌消耗!$Z65)/卡牌消耗!$Q$4/AF$2,0)*AF$2</f>
        <v>0</v>
      </c>
      <c r="AG65" s="14">
        <f>ROUND(INDEX(挂机升级突破!EC$6:EC$57,卡牌消耗!$AA65)*INDEX(卡牌消耗!$B$7:$F$7,卡牌消耗!$Z65)/卡牌消耗!$Q$4/AG$2,0)*AG$2</f>
        <v>0</v>
      </c>
      <c r="AH65" s="14">
        <f>ROUND(INDEX(挂机升级突破!ED$6:ED$57,卡牌消耗!$AA65)*INDEX(卡牌消耗!$B$8:$F$8,卡牌消耗!$Z65)/卡牌消耗!$Q$4/AH$2,0)*AH$2</f>
        <v>1900</v>
      </c>
      <c r="AI65" s="194"/>
      <c r="AJ65" s="194"/>
      <c r="AK65" s="104">
        <v>61</v>
      </c>
      <c r="AL65" s="14">
        <f t="shared" si="6"/>
        <v>2</v>
      </c>
      <c r="AM65" s="14">
        <f>INDEX(挂机升级突破!DQ$6:DQ$57,卡牌消耗!$AT65)</f>
        <v>11</v>
      </c>
      <c r="AN65" s="14">
        <f>INDEX(挂机升级突破!DR$6:DR$57,卡牌消耗!$AT65)</f>
        <v>2</v>
      </c>
      <c r="AO65" s="14">
        <f>INDEX(挂机升级突破!DS$6:DS$57,卡牌消耗!$AT65)</f>
        <v>0</v>
      </c>
      <c r="AP65" s="14">
        <f>INDEX(挂机升级突破!$DP$6:$DP$57,卡牌消耗!AT65)</f>
        <v>40</v>
      </c>
      <c r="AQ65" s="14" t="str">
        <f t="shared" si="7"/>
        <v>许褚</v>
      </c>
      <c r="AR65" s="14">
        <f t="shared" si="8"/>
        <v>3</v>
      </c>
      <c r="AS65" s="14" t="str">
        <f t="shared" si="9"/>
        <v>许褚魂火-9</v>
      </c>
      <c r="AT65" s="14">
        <f t="shared" si="10"/>
        <v>9</v>
      </c>
      <c r="AU65" s="14" t="str">
        <f>IF(AM65&gt;0,INDEX(挂机升级突破!$DT$4:$ED$4,AM65),"")</f>
        <v>金币</v>
      </c>
      <c r="AV65" s="14">
        <f>ROUND(INDEX(挂机升级突破!$DJ$6:$DJ$57,卡牌消耗!AT65)*INDEX(卡牌消耗!$B$8:$F$8,AR65)/$Q$4/50,0)*50</f>
        <v>1900</v>
      </c>
      <c r="AW65" s="14" t="str">
        <f>IF(AN65&gt;0,INDEX(挂机升级突破!$DT$4:$ED$4,AN65),"")</f>
        <v>蓝色基础材料</v>
      </c>
      <c r="AX65" s="14">
        <f>ROUND(INDEX(挂机升级突破!$DT$6:$ED$57,卡牌消耗!AT65,AN65)*INDEX(卡牌消耗!$B$5:$F$5,AR65)/$Q$4/5,0)*5</f>
        <v>60</v>
      </c>
      <c r="AY65" s="14" t="str">
        <f>IF(AO65&gt;0,INDEX(挂机升级突破!$DT$4:$ED$4,AO65),"")</f>
        <v/>
      </c>
      <c r="AZ65" s="14" t="str">
        <f>IF(AO65&gt;0,ROUND(INDEX(挂机升级突破!$DT$6:$ED$57,卡牌消耗!AT65,AO65)*INDEX(卡牌消耗!$B$7:$F$7,AR65)/$Q$4,0),"")</f>
        <v/>
      </c>
      <c r="BA65" s="106"/>
      <c r="BB65" s="197"/>
      <c r="BC65" s="196">
        <v>5</v>
      </c>
      <c r="BD65" s="196">
        <v>1</v>
      </c>
      <c r="BE65" s="14">
        <f>ROUND(INDEX(挂机升级突破!ER$7:ER$26,卡牌消耗!$BD65)*INDEX(卡牌消耗!$B$6:$F$6,$BC65)/$Q$4,0)</f>
        <v>0</v>
      </c>
      <c r="BF65" s="14">
        <f>ROUND(INDEX(挂机升级突破!ES$7:ES$26,卡牌消耗!$BD65)*INDEX(卡牌消耗!$B$6:$F$6,$BC65)/$Q$4,0)</f>
        <v>0</v>
      </c>
      <c r="BG65" s="14">
        <f>ROUND(INDEX(挂机升级突破!ET$7:ET$26,卡牌消耗!$BD65)*INDEX(卡牌消耗!$B$6:$F$6,$BC65)/$Q$4,0)</f>
        <v>0</v>
      </c>
      <c r="BH65" s="14">
        <f>ROUND(INDEX(挂机升级突破!EU$7:EU$26,卡牌消耗!$BD65)*INDEX(卡牌消耗!$B$6:$F$6,$BC65)/$Q$4,0)</f>
        <v>0</v>
      </c>
      <c r="BI65" s="14">
        <f>ROUND(INDEX(挂机升级突破!$EV$7:$EV$26,卡牌消耗!BD65)*INDEX(卡牌消耗!$B$8:$F$8,$BC65)/$Q$4/BI$2,0)*BI$2</f>
        <v>2500</v>
      </c>
      <c r="BJ65" s="197"/>
      <c r="BK65" s="197"/>
      <c r="BL65" s="104">
        <v>61</v>
      </c>
      <c r="BM65" s="14">
        <f t="shared" si="11"/>
        <v>4</v>
      </c>
      <c r="BN65" s="14">
        <f>INDEX(挂机升级突破!$EI$7:$EI$26,BS65)</f>
        <v>0</v>
      </c>
      <c r="BO65" s="14">
        <f>INDEX(挂机升级突破!$EJ$7:$EJ$26,BS65)</f>
        <v>0</v>
      </c>
      <c r="BP65" s="14">
        <f t="shared" si="12"/>
        <v>2</v>
      </c>
      <c r="BQ65" s="14">
        <f>INDEX(挂机升级突破!$EH$7:$EH$26,卡牌消耗!BS65)</f>
        <v>1</v>
      </c>
      <c r="BR65" s="14" t="str">
        <f t="shared" si="13"/>
        <v>唐流雨</v>
      </c>
      <c r="BS65" s="14">
        <f t="shared" si="14"/>
        <v>1</v>
      </c>
      <c r="BT65" s="14" t="str">
        <f t="shared" si="15"/>
        <v>唐流雨1突</v>
      </c>
      <c r="BU65" s="14" t="str">
        <f>IF(BN65&gt;0,INDEX(挂机升级突破!$ER$5:$EV$5,卡牌消耗!BN65),"")</f>
        <v/>
      </c>
      <c r="BV65" s="14" t="str">
        <f>IF(BN65&gt;0,ROUND(INDEX(挂机升级突破!$EV$7:$EV$26,卡牌消耗!BS65)*INDEX(卡牌消耗!$B$8:$F$8,BP65)/$Q$4/500,0)*500,"")</f>
        <v/>
      </c>
      <c r="BW65" s="14" t="str">
        <f>IF(BO65&gt;0,INDEX(挂机升级突破!$ER$5:$EV$5,卡牌消耗!BO65),"")</f>
        <v/>
      </c>
      <c r="BX65" s="14" t="str">
        <f>IF(BO65&gt;0,ROUND(INDEX(挂机升级突破!$ER$7:$EU$26,卡牌消耗!BS65,卡牌消耗!BO65)*INDEX($B$6:$F$6,BP65)/$Q$4/5,0)*5,"")</f>
        <v/>
      </c>
      <c r="BY65" s="193"/>
      <c r="BZ65" s="193"/>
      <c r="CA65" s="106"/>
      <c r="CS65" s="171"/>
      <c r="CT65" s="171"/>
      <c r="CU65" s="14">
        <f>INDEX($CP$5:$CP$32,CU64)</f>
        <v>75857</v>
      </c>
      <c r="CV65" s="169">
        <v>61</v>
      </c>
      <c r="CW65" s="169">
        <v>5.25</v>
      </c>
      <c r="CX65" s="21">
        <f t="shared" ref="CX65" si="89">CW65/$CU66</f>
        <v>0.19090909090909092</v>
      </c>
      <c r="CY65" s="169">
        <f t="shared" ref="CY65" si="90">INT($CU65*CX65/5)*5</f>
        <v>14480</v>
      </c>
      <c r="CZ65" s="169">
        <f>SUM(CY$5:CY65)</f>
        <v>414760</v>
      </c>
      <c r="DB65" s="188">
        <f t="shared" si="39"/>
        <v>7200</v>
      </c>
      <c r="DC65" s="188">
        <f t="shared" si="39"/>
        <v>11550</v>
      </c>
      <c r="DD65" s="188">
        <f t="shared" si="39"/>
        <v>14450</v>
      </c>
      <c r="DE65" s="188">
        <f t="shared" si="39"/>
        <v>17350</v>
      </c>
      <c r="DF65" s="188">
        <f t="shared" si="39"/>
        <v>21700</v>
      </c>
      <c r="DI65" s="186">
        <v>61</v>
      </c>
      <c r="DJ65" s="14">
        <f t="shared" si="21"/>
        <v>13</v>
      </c>
      <c r="DK65" s="14">
        <f t="shared" si="1"/>
        <v>2</v>
      </c>
      <c r="DL65" s="14">
        <f t="shared" si="2"/>
        <v>1101013</v>
      </c>
      <c r="DM65" s="136" t="s">
        <v>1097</v>
      </c>
      <c r="DN65" s="14">
        <f t="shared" si="3"/>
        <v>1</v>
      </c>
      <c r="DO65" s="14" t="str">
        <f t="shared" si="4"/>
        <v>吉拉-1星</v>
      </c>
      <c r="DP65" s="136" t="s">
        <v>1103</v>
      </c>
      <c r="DQ65" s="14">
        <f t="shared" si="22"/>
        <v>3000</v>
      </c>
      <c r="DR65" s="14" t="str">
        <f t="shared" si="5"/>
        <v>吉拉碎片</v>
      </c>
      <c r="DS65" s="14">
        <f t="shared" si="23"/>
        <v>20</v>
      </c>
    </row>
    <row r="66" spans="1:123" ht="16.5" x14ac:dyDescent="0.2">
      <c r="A66" s="55">
        <v>1101015</v>
      </c>
      <c r="B66" s="55" t="s">
        <v>385</v>
      </c>
      <c r="C66" s="55">
        <v>2</v>
      </c>
      <c r="D66" s="136">
        <v>5</v>
      </c>
      <c r="E66" s="136">
        <f>SUM(D$52:D66)</f>
        <v>75</v>
      </c>
      <c r="G66" t="s">
        <v>1580</v>
      </c>
      <c r="H66" s="15">
        <v>2</v>
      </c>
      <c r="I66" s="189">
        <f t="shared" si="62"/>
        <v>2.0354526576845215E-2</v>
      </c>
      <c r="J66" s="189">
        <f t="shared" si="59"/>
        <v>814</v>
      </c>
      <c r="K66" s="15"/>
      <c r="L66" s="15"/>
      <c r="M66" s="15"/>
      <c r="N66" s="15"/>
      <c r="O66" s="137"/>
      <c r="P66" s="141"/>
      <c r="Q66" s="141"/>
      <c r="R66" s="141"/>
      <c r="S66" s="141"/>
      <c r="T66" s="141"/>
      <c r="U66" s="141"/>
      <c r="V66" s="141"/>
      <c r="W66" s="141"/>
      <c r="X66" s="141"/>
      <c r="Y66" s="141"/>
      <c r="Z66" s="196">
        <v>3</v>
      </c>
      <c r="AA66" s="196">
        <v>10</v>
      </c>
      <c r="AB66" s="14">
        <f>ROUND(INDEX(挂机升级突破!DT$6:DT$57,卡牌消耗!$AA66)*INDEX(卡牌消耗!$B$5:$F$5,卡牌消耗!$Z66)/卡牌消耗!$Q$4/AB$2,0)*AB$2</f>
        <v>0</v>
      </c>
      <c r="AC66" s="14">
        <f>ROUND(INDEX(挂机升级突破!DU$6:DU$57,卡牌消耗!$AA66)*INDEX(卡牌消耗!$B$5:$F$5,卡牌消耗!$Z66)/卡牌消耗!$Q$4/AC$2,0)*AC$2</f>
        <v>85</v>
      </c>
      <c r="AD66" s="14">
        <f>ROUND(INDEX(挂机升级突破!DV$6:DV$57,卡牌消耗!$AA66)*INDEX(卡牌消耗!$B$5:$F$5,卡牌消耗!$Z66)/卡牌消耗!$Q$4/AD$2,0)*AD$2</f>
        <v>0</v>
      </c>
      <c r="AE66" s="14">
        <f>ROUND(INDEX(挂机升级突破!DW$6:DW$57,卡牌消耗!$AA66)*INDEX(卡牌消耗!$B$5:$F$5,卡牌消耗!$Z66)/卡牌消耗!$Q$4/AE$2,0)*AE$2</f>
        <v>0</v>
      </c>
      <c r="AF66" s="14">
        <f>ROUND(INDEX(挂机升级突破!DX$6:DX$57,卡牌消耗!$AA66)*INDEX(卡牌消耗!$B$5:$F$5,卡牌消耗!$Z66)/卡牌消耗!$Q$4/AF$2,0)*AF$2</f>
        <v>0</v>
      </c>
      <c r="AG66" s="14">
        <f>ROUND(INDEX(挂机升级突破!EC$6:EC$57,卡牌消耗!$AA66)*INDEX(卡牌消耗!$B$7:$F$7,卡牌消耗!$Z66)/卡牌消耗!$Q$4/AG$2,0)*AG$2</f>
        <v>0</v>
      </c>
      <c r="AH66" s="14">
        <f>ROUND(INDEX(挂机升级突破!ED$6:ED$57,卡牌消耗!$AA66)*INDEX(卡牌消耗!$B$8:$F$8,卡牌消耗!$Z66)/卡牌消耗!$Q$4/AH$2,0)*AH$2</f>
        <v>3200</v>
      </c>
      <c r="AI66" s="194"/>
      <c r="AJ66" s="194"/>
      <c r="AK66" s="104">
        <v>62</v>
      </c>
      <c r="AL66" s="14">
        <f t="shared" si="6"/>
        <v>2</v>
      </c>
      <c r="AM66" s="14">
        <f>INDEX(挂机升级突破!DQ$6:DQ$57,卡牌消耗!$AT66)</f>
        <v>11</v>
      </c>
      <c r="AN66" s="14">
        <f>INDEX(挂机升级突破!DR$6:DR$57,卡牌消耗!$AT66)</f>
        <v>2</v>
      </c>
      <c r="AO66" s="14">
        <f>INDEX(挂机升级突破!DS$6:DS$57,卡牌消耗!$AT66)</f>
        <v>0</v>
      </c>
      <c r="AP66" s="14">
        <f>INDEX(挂机升级突破!$DP$6:$DP$57,卡牌消耗!AT66)</f>
        <v>43</v>
      </c>
      <c r="AQ66" s="14" t="str">
        <f t="shared" si="7"/>
        <v>许褚</v>
      </c>
      <c r="AR66" s="14">
        <f t="shared" si="8"/>
        <v>3</v>
      </c>
      <c r="AS66" s="14" t="str">
        <f t="shared" si="9"/>
        <v>许褚魂火-10</v>
      </c>
      <c r="AT66" s="14">
        <f t="shared" si="10"/>
        <v>10</v>
      </c>
      <c r="AU66" s="14" t="str">
        <f>IF(AM66&gt;0,INDEX(挂机升级突破!$DT$4:$ED$4,AM66),"")</f>
        <v>金币</v>
      </c>
      <c r="AV66" s="14">
        <f>ROUND(INDEX(挂机升级突破!$DJ$6:$DJ$57,卡牌消耗!AT66)*INDEX(卡牌消耗!$B$8:$F$8,AR66)/$Q$4/50,0)*50</f>
        <v>3200</v>
      </c>
      <c r="AW66" s="14" t="str">
        <f>IF(AN66&gt;0,INDEX(挂机升级突破!$DT$4:$ED$4,AN66),"")</f>
        <v>蓝色基础材料</v>
      </c>
      <c r="AX66" s="14">
        <f>ROUND(INDEX(挂机升级突破!$DT$6:$ED$57,卡牌消耗!AT66,AN66)*INDEX(卡牌消耗!$B$5:$F$5,AR66)/$Q$4/5,0)*5</f>
        <v>85</v>
      </c>
      <c r="AY66" s="14" t="str">
        <f>IF(AO66&gt;0,INDEX(挂机升级突破!$DT$4:$ED$4,AO66),"")</f>
        <v/>
      </c>
      <c r="AZ66" s="14" t="str">
        <f>IF(AO66&gt;0,ROUND(INDEX(挂机升级突破!$DT$6:$ED$57,卡牌消耗!AT66,AO66)*INDEX(卡牌消耗!$B$7:$F$7,AR66)/$Q$4,0),"")</f>
        <v/>
      </c>
      <c r="BA66" s="106"/>
      <c r="BB66" s="197"/>
      <c r="BC66" s="196">
        <v>5</v>
      </c>
      <c r="BD66" s="196">
        <v>2</v>
      </c>
      <c r="BE66" s="14">
        <f>ROUND(INDEX(挂机升级突破!ER$7:ER$26,卡牌消耗!$BD66)*INDEX(卡牌消耗!$B$6:$F$6,$BC66)/$Q$4,0)</f>
        <v>2</v>
      </c>
      <c r="BF66" s="14">
        <f>ROUND(INDEX(挂机升级突破!ES$7:ES$26,卡牌消耗!$BD66)*INDEX(卡牌消耗!$B$6:$F$6,$BC66)/$Q$4,0)</f>
        <v>0</v>
      </c>
      <c r="BG66" s="14">
        <f>ROUND(INDEX(挂机升级突破!ET$7:ET$26,卡牌消耗!$BD66)*INDEX(卡牌消耗!$B$6:$F$6,$BC66)/$Q$4,0)</f>
        <v>0</v>
      </c>
      <c r="BH66" s="14">
        <f>ROUND(INDEX(挂机升级突破!EU$7:EU$26,卡牌消耗!$BD66)*INDEX(卡牌消耗!$B$6:$F$6,$BC66)/$Q$4,0)</f>
        <v>0</v>
      </c>
      <c r="BI66" s="14">
        <f>ROUND(INDEX(挂机升级突破!$EV$7:$EV$26,卡牌消耗!BD66)*INDEX(卡牌消耗!$B$8:$F$8,$BC66)/$Q$4/BI$2,0)*BI$2</f>
        <v>6500</v>
      </c>
      <c r="BJ66" s="197"/>
      <c r="BK66" s="197"/>
      <c r="BL66" s="104">
        <v>62</v>
      </c>
      <c r="BM66" s="14">
        <f t="shared" si="11"/>
        <v>4</v>
      </c>
      <c r="BN66" s="14">
        <f>INDEX(挂机升级突破!$EI$7:$EI$26,BS66)</f>
        <v>5</v>
      </c>
      <c r="BO66" s="14">
        <f>INDEX(挂机升级突破!$EJ$7:$EJ$26,BS66)</f>
        <v>1</v>
      </c>
      <c r="BP66" s="14">
        <f t="shared" si="12"/>
        <v>2</v>
      </c>
      <c r="BQ66" s="14">
        <f>INDEX(挂机升级突破!$EH$7:$EH$26,卡牌消耗!BS66)</f>
        <v>5</v>
      </c>
      <c r="BR66" s="14" t="str">
        <f t="shared" si="13"/>
        <v>唐流雨</v>
      </c>
      <c r="BS66" s="14">
        <f t="shared" si="14"/>
        <v>2</v>
      </c>
      <c r="BT66" s="14" t="str">
        <f t="shared" si="15"/>
        <v>唐流雨2突</v>
      </c>
      <c r="BU66" s="14" t="str">
        <f>IF(BN66&gt;0,INDEX(挂机升级突破!$ER$5:$EV$5,卡牌消耗!BN66),"")</f>
        <v>金币</v>
      </c>
      <c r="BV66" s="14">
        <f>IF(BN66&gt;0,ROUND(INDEX(挂机升级突破!$EV$7:$EV$26,卡牌消耗!BS66)*INDEX(卡牌消耗!$B$8:$F$8,BP66)/$Q$4/500,0)*500,"")</f>
        <v>2000</v>
      </c>
      <c r="BW66" s="14" t="str">
        <f>IF(BO66&gt;0,INDEX(挂机升级突破!$ER$5:$EV$5,卡牌消耗!BO66),"")</f>
        <v>玄铁</v>
      </c>
      <c r="BX66" s="14">
        <f>IF(BO66&gt;0,ROUND(INDEX(挂机升级突破!$ER$7:$EU$26,卡牌消耗!BS66,卡牌消耗!BO66)*INDEX($B$6:$F$6,BP66)/$Q$4,0),"")</f>
        <v>1</v>
      </c>
      <c r="BY66" s="193"/>
      <c r="BZ66" s="193"/>
      <c r="CA66" s="106"/>
      <c r="CS66" s="171"/>
      <c r="CT66" s="170"/>
      <c r="CU66" s="14">
        <f>SUMIFS($CW$5:$CW$154,$CV$5:$CV$154,"&gt;="&amp;INDEX($CE$5:$CE$32,CU64),$CV$5:$CV$154,"&lt;"&amp;INDEX($CF$5:$CF$32,CU64))</f>
        <v>27.5</v>
      </c>
      <c r="CV66" s="169">
        <v>62</v>
      </c>
      <c r="CW66" s="169">
        <v>5.5</v>
      </c>
      <c r="CX66" s="21">
        <f t="shared" ref="CX66" si="91">CW66/$CU66</f>
        <v>0.2</v>
      </c>
      <c r="CY66" s="169">
        <f t="shared" ref="CY66" si="92">INT($CU65*CX66/5)*5</f>
        <v>15170</v>
      </c>
      <c r="CZ66" s="169">
        <f>SUM(CY$5:CY66)</f>
        <v>429930</v>
      </c>
      <c r="DB66" s="188">
        <f t="shared" si="39"/>
        <v>7550</v>
      </c>
      <c r="DC66" s="188">
        <f t="shared" si="39"/>
        <v>12100</v>
      </c>
      <c r="DD66" s="188">
        <f t="shared" si="39"/>
        <v>15150</v>
      </c>
      <c r="DE66" s="188">
        <f t="shared" si="39"/>
        <v>18200</v>
      </c>
      <c r="DF66" s="188">
        <f t="shared" si="39"/>
        <v>22750</v>
      </c>
      <c r="DI66" s="186">
        <v>62</v>
      </c>
      <c r="DJ66" s="14">
        <f t="shared" si="21"/>
        <v>13</v>
      </c>
      <c r="DK66" s="14">
        <f t="shared" si="1"/>
        <v>2</v>
      </c>
      <c r="DL66" s="14">
        <f t="shared" si="2"/>
        <v>1101013</v>
      </c>
      <c r="DM66" s="136" t="s">
        <v>1097</v>
      </c>
      <c r="DN66" s="14">
        <f t="shared" si="3"/>
        <v>2</v>
      </c>
      <c r="DO66" s="14" t="str">
        <f t="shared" si="4"/>
        <v>吉拉-2星</v>
      </c>
      <c r="DP66" s="136" t="s">
        <v>1103</v>
      </c>
      <c r="DQ66" s="14">
        <f t="shared" si="22"/>
        <v>3500</v>
      </c>
      <c r="DR66" s="14" t="str">
        <f t="shared" si="5"/>
        <v>吉拉碎片</v>
      </c>
      <c r="DS66" s="14">
        <f t="shared" si="23"/>
        <v>20</v>
      </c>
    </row>
    <row r="67" spans="1:123" ht="16.5" x14ac:dyDescent="0.2">
      <c r="A67" s="55">
        <v>1101041</v>
      </c>
      <c r="B67" s="55" t="s">
        <v>386</v>
      </c>
      <c r="C67" s="55">
        <v>2</v>
      </c>
      <c r="D67" s="136">
        <v>5</v>
      </c>
      <c r="E67" s="136">
        <f>SUM(D$52:D67)</f>
        <v>80</v>
      </c>
      <c r="G67" t="s">
        <v>1090</v>
      </c>
      <c r="H67" s="15">
        <v>3</v>
      </c>
      <c r="I67" s="189">
        <f t="shared" si="62"/>
        <v>1.2015514416811271E-2</v>
      </c>
      <c r="J67" s="189">
        <f t="shared" si="59"/>
        <v>481</v>
      </c>
      <c r="K67" s="15"/>
      <c r="L67" s="15"/>
      <c r="M67" s="15"/>
      <c r="N67" s="15"/>
      <c r="O67" s="137"/>
      <c r="P67" s="141"/>
      <c r="Q67" s="141"/>
      <c r="R67" s="141"/>
      <c r="S67" s="141"/>
      <c r="T67" s="141"/>
      <c r="U67" s="141"/>
      <c r="V67" s="141"/>
      <c r="W67" s="141"/>
      <c r="X67" s="141"/>
      <c r="Y67" s="141"/>
      <c r="Z67" s="196">
        <v>3</v>
      </c>
      <c r="AA67" s="196">
        <v>11</v>
      </c>
      <c r="AB67" s="14">
        <f>ROUND(INDEX(挂机升级突破!DT$6:DT$57,卡牌消耗!$AA67)*INDEX(卡牌消耗!$B$5:$F$5,卡牌消耗!$Z67)/卡牌消耗!$Q$4/AB$2,0)*AB$2</f>
        <v>0</v>
      </c>
      <c r="AC67" s="14">
        <f>ROUND(INDEX(挂机升级突破!DU$6:DU$57,卡牌消耗!$AA67)*INDEX(卡牌消耗!$B$5:$F$5,卡牌消耗!$Z67)/卡牌消耗!$Q$4/AC$2,0)*AC$2</f>
        <v>85</v>
      </c>
      <c r="AD67" s="14">
        <f>ROUND(INDEX(挂机升级突破!DV$6:DV$57,卡牌消耗!$AA67)*INDEX(卡牌消耗!$B$5:$F$5,卡牌消耗!$Z67)/卡牌消耗!$Q$4/AD$2,0)*AD$2</f>
        <v>0</v>
      </c>
      <c r="AE67" s="14">
        <f>ROUND(INDEX(挂机升级突破!DW$6:DW$57,卡牌消耗!$AA67)*INDEX(卡牌消耗!$B$5:$F$5,卡牌消耗!$Z67)/卡牌消耗!$Q$4/AE$2,0)*AE$2</f>
        <v>0</v>
      </c>
      <c r="AF67" s="14">
        <f>ROUND(INDEX(挂机升级突破!DX$6:DX$57,卡牌消耗!$AA67)*INDEX(卡牌消耗!$B$5:$F$5,卡牌消耗!$Z67)/卡牌消耗!$Q$4/AF$2,0)*AF$2</f>
        <v>0</v>
      </c>
      <c r="AG67" s="14">
        <f>ROUND(INDEX(挂机升级突破!EC$6:EC$57,卡牌消耗!$AA67)*INDEX(卡牌消耗!$B$7:$F$7,卡牌消耗!$Z67)/卡牌消耗!$Q$4/AG$2,0)*AG$2</f>
        <v>0</v>
      </c>
      <c r="AH67" s="14">
        <f>ROUND(INDEX(挂机升级突破!ED$6:ED$57,卡牌消耗!$AA67)*INDEX(卡牌消耗!$B$8:$F$8,卡牌消耗!$Z67)/卡牌消耗!$Q$4/AH$2,0)*AH$2</f>
        <v>3200</v>
      </c>
      <c r="AI67" s="194"/>
      <c r="AJ67" s="194"/>
      <c r="AK67" s="104">
        <v>63</v>
      </c>
      <c r="AL67" s="14">
        <f t="shared" si="6"/>
        <v>2</v>
      </c>
      <c r="AM67" s="14">
        <f>INDEX(挂机升级突破!DQ$6:DQ$57,卡牌消耗!$AT67)</f>
        <v>11</v>
      </c>
      <c r="AN67" s="14">
        <f>INDEX(挂机升级突破!DR$6:DR$57,卡牌消耗!$AT67)</f>
        <v>2</v>
      </c>
      <c r="AO67" s="14">
        <f>INDEX(挂机升级突破!DS$6:DS$57,卡牌消耗!$AT67)</f>
        <v>0</v>
      </c>
      <c r="AP67" s="14">
        <f>INDEX(挂机升级突破!$DP$6:$DP$57,卡牌消耗!AT67)</f>
        <v>45</v>
      </c>
      <c r="AQ67" s="14" t="str">
        <f t="shared" si="7"/>
        <v>许褚</v>
      </c>
      <c r="AR67" s="14">
        <f t="shared" si="8"/>
        <v>3</v>
      </c>
      <c r="AS67" s="14" t="str">
        <f t="shared" si="9"/>
        <v>许褚魂火-11</v>
      </c>
      <c r="AT67" s="14">
        <f t="shared" si="10"/>
        <v>11</v>
      </c>
      <c r="AU67" s="14" t="str">
        <f>IF(AM67&gt;0,INDEX(挂机升级突破!$DT$4:$ED$4,AM67),"")</f>
        <v>金币</v>
      </c>
      <c r="AV67" s="14">
        <f>ROUND(INDEX(挂机升级突破!$DJ$6:$DJ$57,卡牌消耗!AT67)*INDEX(卡牌消耗!$B$8:$F$8,AR67)/$Q$4/50,0)*50</f>
        <v>3200</v>
      </c>
      <c r="AW67" s="14" t="str">
        <f>IF(AN67&gt;0,INDEX(挂机升级突破!$DT$4:$ED$4,AN67),"")</f>
        <v>蓝色基础材料</v>
      </c>
      <c r="AX67" s="14">
        <f>ROUND(INDEX(挂机升级突破!$DT$6:$ED$57,卡牌消耗!AT67,AN67)*INDEX(卡牌消耗!$B$5:$F$5,AR67)/$Q$4/5,0)*5</f>
        <v>85</v>
      </c>
      <c r="AY67" s="14" t="str">
        <f>IF(AO67&gt;0,INDEX(挂机升级突破!$DT$4:$ED$4,AO67),"")</f>
        <v/>
      </c>
      <c r="AZ67" s="14" t="str">
        <f>IF(AO67&gt;0,ROUND(INDEX(挂机升级突破!$DT$6:$ED$57,卡牌消耗!AT67,AO67)*INDEX(卡牌消耗!$B$7:$F$7,AR67)/$Q$4,0),"")</f>
        <v/>
      </c>
      <c r="BA67" s="106"/>
      <c r="BB67" s="197"/>
      <c r="BC67" s="196">
        <v>5</v>
      </c>
      <c r="BD67" s="196">
        <v>3</v>
      </c>
      <c r="BE67" s="14">
        <f>ROUND(INDEX(挂机升级突破!ER$7:ER$26,卡牌消耗!$BD67)*INDEX(卡牌消耗!$B$6:$F$6,$BC67)/$Q$4,0)</f>
        <v>8</v>
      </c>
      <c r="BF67" s="14">
        <f>ROUND(INDEX(挂机升级突破!ES$7:ES$26,卡牌消耗!$BD67)*INDEX(卡牌消耗!$B$6:$F$6,$BC67)/$Q$4,0)</f>
        <v>0</v>
      </c>
      <c r="BG67" s="14">
        <f>ROUND(INDEX(挂机升级突破!ET$7:ET$26,卡牌消耗!$BD67)*INDEX(卡牌消耗!$B$6:$F$6,$BC67)/$Q$4,0)</f>
        <v>0</v>
      </c>
      <c r="BH67" s="14">
        <f>ROUND(INDEX(挂机升级突破!EU$7:EU$26,卡牌消耗!$BD67)*INDEX(卡牌消耗!$B$6:$F$6,$BC67)/$Q$4,0)</f>
        <v>0</v>
      </c>
      <c r="BI67" s="14">
        <f>ROUND(INDEX(挂机升级突破!$EV$7:$EV$26,卡牌消耗!BD67)*INDEX(卡牌消耗!$B$8:$F$8,$BC67)/$Q$4/BI$2,0)*BI$2</f>
        <v>6500</v>
      </c>
      <c r="BJ67" s="197"/>
      <c r="BK67" s="197"/>
      <c r="BL67" s="104">
        <v>63</v>
      </c>
      <c r="BM67" s="14">
        <f t="shared" si="11"/>
        <v>4</v>
      </c>
      <c r="BN67" s="14">
        <f>INDEX(挂机升级突破!$EI$7:$EI$26,BS67)</f>
        <v>5</v>
      </c>
      <c r="BO67" s="14">
        <f>INDEX(挂机升级突破!$EJ$7:$EJ$26,BS67)</f>
        <v>1</v>
      </c>
      <c r="BP67" s="14">
        <f t="shared" si="12"/>
        <v>2</v>
      </c>
      <c r="BQ67" s="14">
        <f>INDEX(挂机升级突破!$EH$7:$EH$26,卡牌消耗!BS67)</f>
        <v>15</v>
      </c>
      <c r="BR67" s="14" t="str">
        <f t="shared" si="13"/>
        <v>唐流雨</v>
      </c>
      <c r="BS67" s="14">
        <f t="shared" si="14"/>
        <v>3</v>
      </c>
      <c r="BT67" s="14" t="str">
        <f t="shared" si="15"/>
        <v>唐流雨3突</v>
      </c>
      <c r="BU67" s="14" t="str">
        <f>IF(BN67&gt;0,INDEX(挂机升级突破!$ER$5:$EV$5,卡牌消耗!BN67),"")</f>
        <v>金币</v>
      </c>
      <c r="BV67" s="14">
        <f>IF(BN67&gt;0,ROUND(INDEX(挂机升级突破!$EV$7:$EV$26,卡牌消耗!BS67)*INDEX(卡牌消耗!$B$8:$F$8,BP67)/$Q$4/500,0)*500,"")</f>
        <v>2000</v>
      </c>
      <c r="BW67" s="14" t="str">
        <f>IF(BO67&gt;0,INDEX(挂机升级突破!$ER$5:$EV$5,卡牌消耗!BO67),"")</f>
        <v>玄铁</v>
      </c>
      <c r="BX67" s="14">
        <f>IF(BO67&gt;0,ROUND(INDEX(挂机升级突破!$ER$7:$EU$26,卡牌消耗!BS67,卡牌消耗!BO67)*INDEX($B$6:$F$6,BP67)/$Q$4,0),"")</f>
        <v>4</v>
      </c>
      <c r="BY67" s="193"/>
      <c r="BZ67" s="193"/>
      <c r="CA67" s="106"/>
      <c r="CS67" s="171"/>
      <c r="CT67" s="171"/>
      <c r="CU67" s="171"/>
      <c r="CV67" s="169">
        <v>63</v>
      </c>
      <c r="CW67" s="169">
        <v>5.75</v>
      </c>
      <c r="CX67" s="21">
        <f t="shared" ref="CX67" si="93">CW67/$CU66</f>
        <v>0.20909090909090908</v>
      </c>
      <c r="CY67" s="169">
        <f t="shared" ref="CY67" si="94">INT($CU65*CX67/5)*5</f>
        <v>15860</v>
      </c>
      <c r="CZ67" s="169">
        <f>SUM(CY$5:CY67)</f>
        <v>445790</v>
      </c>
      <c r="DB67" s="188">
        <f t="shared" si="39"/>
        <v>7900</v>
      </c>
      <c r="DC67" s="188">
        <f t="shared" si="39"/>
        <v>12650</v>
      </c>
      <c r="DD67" s="188">
        <f t="shared" si="39"/>
        <v>15850</v>
      </c>
      <c r="DE67" s="188">
        <f t="shared" si="39"/>
        <v>19000</v>
      </c>
      <c r="DF67" s="188">
        <f t="shared" si="39"/>
        <v>23750</v>
      </c>
      <c r="DI67" s="186">
        <v>63</v>
      </c>
      <c r="DJ67" s="14">
        <f t="shared" si="21"/>
        <v>13</v>
      </c>
      <c r="DK67" s="14">
        <f t="shared" si="1"/>
        <v>2</v>
      </c>
      <c r="DL67" s="14">
        <f t="shared" si="2"/>
        <v>1101013</v>
      </c>
      <c r="DM67" s="136" t="s">
        <v>1097</v>
      </c>
      <c r="DN67" s="14">
        <f t="shared" si="3"/>
        <v>3</v>
      </c>
      <c r="DO67" s="14" t="str">
        <f t="shared" si="4"/>
        <v>吉拉-3星</v>
      </c>
      <c r="DP67" s="136" t="s">
        <v>1103</v>
      </c>
      <c r="DQ67" s="14">
        <f t="shared" si="22"/>
        <v>7000</v>
      </c>
      <c r="DR67" s="14" t="str">
        <f t="shared" si="5"/>
        <v>吉拉碎片</v>
      </c>
      <c r="DS67" s="14">
        <f t="shared" si="23"/>
        <v>20</v>
      </c>
    </row>
    <row r="68" spans="1:123" ht="16.5" x14ac:dyDescent="0.2">
      <c r="A68" s="55">
        <v>1101016</v>
      </c>
      <c r="B68" s="55" t="s">
        <v>1089</v>
      </c>
      <c r="C68" s="55">
        <v>4</v>
      </c>
      <c r="D68" s="136">
        <v>5</v>
      </c>
      <c r="E68" s="136">
        <f>SUM(D$52:D68)</f>
        <v>85</v>
      </c>
      <c r="G68" t="s">
        <v>1091</v>
      </c>
      <c r="H68" s="15">
        <v>2</v>
      </c>
      <c r="I68" s="189">
        <f t="shared" si="62"/>
        <v>2.0354526576845215E-2</v>
      </c>
      <c r="J68" s="189">
        <f t="shared" si="59"/>
        <v>814</v>
      </c>
      <c r="K68" s="15"/>
      <c r="L68" s="15"/>
      <c r="M68" s="15"/>
      <c r="N68" s="15"/>
      <c r="O68" s="137"/>
      <c r="P68" s="141"/>
      <c r="Q68" s="141"/>
      <c r="R68" s="141"/>
      <c r="S68" s="141"/>
      <c r="T68" s="141"/>
      <c r="U68" s="141"/>
      <c r="V68" s="141"/>
      <c r="W68" s="141"/>
      <c r="X68" s="141"/>
      <c r="Y68" s="141"/>
      <c r="Z68" s="196">
        <v>3</v>
      </c>
      <c r="AA68" s="196">
        <v>12</v>
      </c>
      <c r="AB68" s="14">
        <f>ROUND(INDEX(挂机升级突破!DT$6:DT$57,卡牌消耗!$AA68)*INDEX(卡牌消耗!$B$5:$F$5,卡牌消耗!$Z68)/卡牌消耗!$Q$4/AB$2,0)*AB$2</f>
        <v>0</v>
      </c>
      <c r="AC68" s="14">
        <f>ROUND(INDEX(挂机升级突破!DU$6:DU$57,卡牌消耗!$AA68)*INDEX(卡牌消耗!$B$5:$F$5,卡牌消耗!$Z68)/卡牌消耗!$Q$4/AC$2,0)*AC$2</f>
        <v>115</v>
      </c>
      <c r="AD68" s="14">
        <f>ROUND(INDEX(挂机升级突破!DV$6:DV$57,卡牌消耗!$AA68)*INDEX(卡牌消耗!$B$5:$F$5,卡牌消耗!$Z68)/卡牌消耗!$Q$4/AD$2,0)*AD$2</f>
        <v>0</v>
      </c>
      <c r="AE68" s="14">
        <f>ROUND(INDEX(挂机升级突破!DW$6:DW$57,卡牌消耗!$AA68)*INDEX(卡牌消耗!$B$5:$F$5,卡牌消耗!$Z68)/卡牌消耗!$Q$4/AE$2,0)*AE$2</f>
        <v>0</v>
      </c>
      <c r="AF68" s="14">
        <f>ROUND(INDEX(挂机升级突破!DX$6:DX$57,卡牌消耗!$AA68)*INDEX(卡牌消耗!$B$5:$F$5,卡牌消耗!$Z68)/卡牌消耗!$Q$4/AF$2,0)*AF$2</f>
        <v>0</v>
      </c>
      <c r="AG68" s="14">
        <f>ROUND(INDEX(挂机升级突破!EC$6:EC$57,卡牌消耗!$AA68)*INDEX(卡牌消耗!$B$7:$F$7,卡牌消耗!$Z68)/卡牌消耗!$Q$4/AG$2,0)*AG$2</f>
        <v>0</v>
      </c>
      <c r="AH68" s="14">
        <f>ROUND(INDEX(挂机升级突破!ED$6:ED$57,卡牌消耗!$AA68)*INDEX(卡牌消耗!$B$8:$F$8,卡牌消耗!$Z68)/卡牌消耗!$Q$4/AH$2,0)*AH$2</f>
        <v>2750</v>
      </c>
      <c r="AI68" s="194"/>
      <c r="AJ68" s="194"/>
      <c r="AK68" s="104">
        <v>64</v>
      </c>
      <c r="AL68" s="14">
        <f t="shared" si="6"/>
        <v>2</v>
      </c>
      <c r="AM68" s="14">
        <f>INDEX(挂机升级突破!DQ$6:DQ$57,卡牌消耗!$AT68)</f>
        <v>11</v>
      </c>
      <c r="AN68" s="14">
        <f>INDEX(挂机升级突破!DR$6:DR$57,卡牌消耗!$AT68)</f>
        <v>2</v>
      </c>
      <c r="AO68" s="14">
        <f>INDEX(挂机升级突破!DS$6:DS$57,卡牌消耗!$AT68)</f>
        <v>0</v>
      </c>
      <c r="AP68" s="14">
        <f>INDEX(挂机升级突破!$DP$6:$DP$57,卡牌消耗!AT68)</f>
        <v>48</v>
      </c>
      <c r="AQ68" s="14" t="str">
        <f t="shared" si="7"/>
        <v>许褚</v>
      </c>
      <c r="AR68" s="14">
        <f t="shared" si="8"/>
        <v>3</v>
      </c>
      <c r="AS68" s="14" t="str">
        <f t="shared" si="9"/>
        <v>许褚魂火-12</v>
      </c>
      <c r="AT68" s="14">
        <f t="shared" si="10"/>
        <v>12</v>
      </c>
      <c r="AU68" s="14" t="str">
        <f>IF(AM68&gt;0,INDEX(挂机升级突破!$DT$4:$ED$4,AM68),"")</f>
        <v>金币</v>
      </c>
      <c r="AV68" s="14">
        <f>ROUND(INDEX(挂机升级突破!$DJ$6:$DJ$57,卡牌消耗!AT68)*INDEX(卡牌消耗!$B$8:$F$8,AR68)/$Q$4/50,0)*50</f>
        <v>2750</v>
      </c>
      <c r="AW68" s="14" t="str">
        <f>IF(AN68&gt;0,INDEX(挂机升级突破!$DT$4:$ED$4,AN68),"")</f>
        <v>蓝色基础材料</v>
      </c>
      <c r="AX68" s="14">
        <f>ROUND(INDEX(挂机升级突破!$DT$6:$ED$57,卡牌消耗!AT68,AN68)*INDEX(卡牌消耗!$B$5:$F$5,AR68)/$Q$4/5,0)*5</f>
        <v>115</v>
      </c>
      <c r="AY68" s="14" t="str">
        <f>IF(AO68&gt;0,INDEX(挂机升级突破!$DT$4:$ED$4,AO68),"")</f>
        <v/>
      </c>
      <c r="AZ68" s="14" t="str">
        <f>IF(AO68&gt;0,ROUND(INDEX(挂机升级突破!$DT$6:$ED$57,卡牌消耗!AT68,AO68)*INDEX(卡牌消耗!$B$7:$F$7,AR68)/$Q$4,0),"")</f>
        <v/>
      </c>
      <c r="BA68" s="106"/>
      <c r="BB68" s="197"/>
      <c r="BC68" s="196">
        <v>5</v>
      </c>
      <c r="BD68" s="196">
        <v>4</v>
      </c>
      <c r="BE68" s="14">
        <f>ROUND(INDEX(挂机升级突破!ER$7:ER$26,卡牌消耗!$BD68)*INDEX(卡牌消耗!$B$6:$F$6,$BC68)/$Q$4,0)</f>
        <v>25</v>
      </c>
      <c r="BF68" s="14">
        <f>ROUND(INDEX(挂机升级突破!ES$7:ES$26,卡牌消耗!$BD68)*INDEX(卡牌消耗!$B$6:$F$6,$BC68)/$Q$4,0)</f>
        <v>0</v>
      </c>
      <c r="BG68" s="14">
        <f>ROUND(INDEX(挂机升级突破!ET$7:ET$26,卡牌消耗!$BD68)*INDEX(卡牌消耗!$B$6:$F$6,$BC68)/$Q$4,0)</f>
        <v>0</v>
      </c>
      <c r="BH68" s="14">
        <f>ROUND(INDEX(挂机升级突破!EU$7:EU$26,卡牌消耗!$BD68)*INDEX(卡牌消耗!$B$6:$F$6,$BC68)/$Q$4,0)</f>
        <v>0</v>
      </c>
      <c r="BI68" s="14">
        <f>ROUND(INDEX(挂机升级突破!$EV$7:$EV$26,卡牌消耗!BD68)*INDEX(卡牌消耗!$B$8:$F$8,$BC68)/$Q$4/BI$2,0)*BI$2</f>
        <v>7500</v>
      </c>
      <c r="BJ68" s="197"/>
      <c r="BK68" s="197"/>
      <c r="BL68" s="104">
        <v>64</v>
      </c>
      <c r="BM68" s="14">
        <f t="shared" si="11"/>
        <v>4</v>
      </c>
      <c r="BN68" s="14">
        <f>INDEX(挂机升级突破!$EI$7:$EI$26,BS68)</f>
        <v>5</v>
      </c>
      <c r="BO68" s="14">
        <f>INDEX(挂机升级突破!$EJ$7:$EJ$26,BS68)</f>
        <v>1</v>
      </c>
      <c r="BP68" s="14">
        <f t="shared" si="12"/>
        <v>2</v>
      </c>
      <c r="BQ68" s="14">
        <f>INDEX(挂机升级突破!$EH$7:$EH$26,卡牌消耗!BS68)</f>
        <v>25</v>
      </c>
      <c r="BR68" s="14" t="str">
        <f t="shared" si="13"/>
        <v>唐流雨</v>
      </c>
      <c r="BS68" s="14">
        <f t="shared" si="14"/>
        <v>4</v>
      </c>
      <c r="BT68" s="14" t="str">
        <f t="shared" si="15"/>
        <v>唐流雨4突</v>
      </c>
      <c r="BU68" s="14" t="str">
        <f>IF(BN68&gt;0,INDEX(挂机升级突破!$ER$5:$EV$5,卡牌消耗!BN68),"")</f>
        <v>金币</v>
      </c>
      <c r="BV68" s="14">
        <f>IF(BN68&gt;0,ROUND(INDEX(挂机升级突破!$EV$7:$EV$26,卡牌消耗!BS68)*INDEX(卡牌消耗!$B$8:$F$8,BP68)/$Q$4/500,0)*500,"")</f>
        <v>2500</v>
      </c>
      <c r="BW68" s="14" t="str">
        <f>IF(BO68&gt;0,INDEX(挂机升级突破!$ER$5:$EV$5,卡牌消耗!BO68),"")</f>
        <v>玄铁</v>
      </c>
      <c r="BX68" s="14">
        <f>IF(BO68&gt;0,ROUND(INDEX(挂机升级突破!$ER$7:$EU$26,卡牌消耗!BS68,卡牌消耗!BO68)*INDEX($B$6:$F$6,BP68)/$Q$4,0),"")</f>
        <v>13</v>
      </c>
      <c r="BY68" s="193"/>
      <c r="BZ68" s="193"/>
      <c r="CA68" s="106"/>
      <c r="CS68" s="171"/>
      <c r="CT68" s="171"/>
      <c r="CU68" s="171"/>
      <c r="CV68" s="169">
        <v>64</v>
      </c>
      <c r="CW68" s="169">
        <v>6</v>
      </c>
      <c r="CX68" s="21">
        <f t="shared" ref="CX68" si="95">CW68/$CU66</f>
        <v>0.21818181818181817</v>
      </c>
      <c r="CY68" s="169">
        <f t="shared" ref="CY68" si="96">INT($CU65*CX68/5)*5</f>
        <v>16550</v>
      </c>
      <c r="CZ68" s="169">
        <f>SUM(CY$5:CY68)</f>
        <v>462340</v>
      </c>
      <c r="DB68" s="188">
        <f t="shared" si="39"/>
        <v>8250</v>
      </c>
      <c r="DC68" s="188">
        <f t="shared" si="39"/>
        <v>13200</v>
      </c>
      <c r="DD68" s="188">
        <f t="shared" si="39"/>
        <v>16550</v>
      </c>
      <c r="DE68" s="188">
        <f t="shared" si="39"/>
        <v>19850</v>
      </c>
      <c r="DF68" s="188">
        <f t="shared" si="39"/>
        <v>24800</v>
      </c>
      <c r="DI68" s="186">
        <v>64</v>
      </c>
      <c r="DJ68" s="14">
        <f t="shared" si="21"/>
        <v>13</v>
      </c>
      <c r="DK68" s="14">
        <f t="shared" si="1"/>
        <v>2</v>
      </c>
      <c r="DL68" s="14">
        <f t="shared" si="2"/>
        <v>1101013</v>
      </c>
      <c r="DM68" s="136" t="s">
        <v>1097</v>
      </c>
      <c r="DN68" s="14">
        <f t="shared" si="3"/>
        <v>4</v>
      </c>
      <c r="DO68" s="14" t="str">
        <f t="shared" si="4"/>
        <v>吉拉-4星</v>
      </c>
      <c r="DP68" s="136" t="s">
        <v>1103</v>
      </c>
      <c r="DQ68" s="14">
        <f t="shared" si="22"/>
        <v>16000</v>
      </c>
      <c r="DR68" s="14" t="str">
        <f t="shared" si="5"/>
        <v>吉拉碎片</v>
      </c>
      <c r="DS68" s="14">
        <f t="shared" si="23"/>
        <v>20</v>
      </c>
    </row>
    <row r="69" spans="1:123" ht="16.5" x14ac:dyDescent="0.2">
      <c r="A69" s="55">
        <v>1101020</v>
      </c>
      <c r="B69" s="55" t="s">
        <v>1090</v>
      </c>
      <c r="C69" s="55">
        <v>3</v>
      </c>
      <c r="D69" s="136">
        <v>5</v>
      </c>
      <c r="E69" s="136">
        <f>SUM(D$52:D69)</f>
        <v>90</v>
      </c>
      <c r="H69" s="15"/>
      <c r="I69" s="15"/>
      <c r="J69" s="15"/>
      <c r="K69" s="15"/>
      <c r="L69" s="15"/>
      <c r="M69" s="15"/>
      <c r="N69" s="15"/>
      <c r="O69" s="137"/>
      <c r="P69" s="141"/>
      <c r="Q69" s="141"/>
      <c r="R69" s="141"/>
      <c r="S69" s="141"/>
      <c r="T69" s="141"/>
      <c r="U69" s="141"/>
      <c r="V69" s="141"/>
      <c r="W69" s="141"/>
      <c r="X69" s="141"/>
      <c r="Y69" s="141"/>
      <c r="Z69" s="196">
        <v>3</v>
      </c>
      <c r="AA69" s="196">
        <v>13</v>
      </c>
      <c r="AB69" s="14">
        <f>ROUND(INDEX(挂机升级突破!DT$6:DT$57,卡牌消耗!$AA69)*INDEX(卡牌消耗!$B$5:$F$5,卡牌消耗!$Z69)/卡牌消耗!$Q$4/AB$2,0)*AB$2</f>
        <v>0</v>
      </c>
      <c r="AC69" s="14">
        <f>ROUND(INDEX(挂机升级突破!DU$6:DU$57,卡牌消耗!$AA69)*INDEX(卡牌消耗!$B$5:$F$5,卡牌消耗!$Z69)/卡牌消耗!$Q$4/AC$2,0)*AC$2</f>
        <v>115</v>
      </c>
      <c r="AD69" s="14">
        <f>ROUND(INDEX(挂机升级突破!DV$6:DV$57,卡牌消耗!$AA69)*INDEX(卡牌消耗!$B$5:$F$5,卡牌消耗!$Z69)/卡牌消耗!$Q$4/AD$2,0)*AD$2</f>
        <v>0</v>
      </c>
      <c r="AE69" s="14">
        <f>ROUND(INDEX(挂机升级突破!DW$6:DW$57,卡牌消耗!$AA69)*INDEX(卡牌消耗!$B$5:$F$5,卡牌消耗!$Z69)/卡牌消耗!$Q$4/AE$2,0)*AE$2</f>
        <v>0</v>
      </c>
      <c r="AF69" s="14">
        <f>ROUND(INDEX(挂机升级突破!DX$6:DX$57,卡牌消耗!$AA69)*INDEX(卡牌消耗!$B$5:$F$5,卡牌消耗!$Z69)/卡牌消耗!$Q$4/AF$2,0)*AF$2</f>
        <v>0</v>
      </c>
      <c r="AG69" s="14">
        <f>ROUND(INDEX(挂机升级突破!EC$6:EC$57,卡牌消耗!$AA69)*INDEX(卡牌消耗!$B$7:$F$7,卡牌消耗!$Z69)/卡牌消耗!$Q$4/AG$2,0)*AG$2</f>
        <v>0</v>
      </c>
      <c r="AH69" s="14">
        <f>ROUND(INDEX(挂机升级突破!ED$6:ED$57,卡牌消耗!$AA69)*INDEX(卡牌消耗!$B$8:$F$8,卡牌消耗!$Z69)/卡牌消耗!$Q$4/AH$2,0)*AH$2</f>
        <v>2750</v>
      </c>
      <c r="AI69" s="194"/>
      <c r="AJ69" s="194"/>
      <c r="AK69" s="104">
        <v>65</v>
      </c>
      <c r="AL69" s="14">
        <f t="shared" si="6"/>
        <v>2</v>
      </c>
      <c r="AM69" s="14">
        <f>INDEX(挂机升级突破!DQ$6:DQ$57,卡牌消耗!$AT69)</f>
        <v>11</v>
      </c>
      <c r="AN69" s="14">
        <f>INDEX(挂机升级突破!DR$6:DR$57,卡牌消耗!$AT69)</f>
        <v>2</v>
      </c>
      <c r="AO69" s="14">
        <f>INDEX(挂机升级突破!DS$6:DS$57,卡牌消耗!$AT69)</f>
        <v>0</v>
      </c>
      <c r="AP69" s="14">
        <f>INDEX(挂机升级突破!$DP$6:$DP$57,卡牌消耗!AT69)</f>
        <v>50</v>
      </c>
      <c r="AQ69" s="14" t="str">
        <f t="shared" si="7"/>
        <v>许褚</v>
      </c>
      <c r="AR69" s="14">
        <f t="shared" si="8"/>
        <v>3</v>
      </c>
      <c r="AS69" s="14" t="str">
        <f t="shared" si="9"/>
        <v>许褚魂火-13</v>
      </c>
      <c r="AT69" s="14">
        <f t="shared" si="10"/>
        <v>13</v>
      </c>
      <c r="AU69" s="14" t="str">
        <f>IF(AM69&gt;0,INDEX(挂机升级突破!$DT$4:$ED$4,AM69),"")</f>
        <v>金币</v>
      </c>
      <c r="AV69" s="14">
        <f>ROUND(INDEX(挂机升级突破!$DJ$6:$DJ$57,卡牌消耗!AT69)*INDEX(卡牌消耗!$B$8:$F$8,AR69)/$Q$4/50,0)*50</f>
        <v>2750</v>
      </c>
      <c r="AW69" s="14" t="str">
        <f>IF(AN69&gt;0,INDEX(挂机升级突破!$DT$4:$ED$4,AN69),"")</f>
        <v>蓝色基础材料</v>
      </c>
      <c r="AX69" s="14">
        <f>ROUND(INDEX(挂机升级突破!$DT$6:$ED$57,卡牌消耗!AT69,AN69)*INDEX(卡牌消耗!$B$5:$F$5,AR69)/$Q$4/5,0)*5</f>
        <v>115</v>
      </c>
      <c r="AY69" s="14" t="str">
        <f>IF(AO69&gt;0,INDEX(挂机升级突破!$DT$4:$ED$4,AO69),"")</f>
        <v/>
      </c>
      <c r="AZ69" s="14" t="str">
        <f>IF(AO69&gt;0,ROUND(INDEX(挂机升级突破!$DT$6:$ED$57,卡牌消耗!AT69,AO69)*INDEX(卡牌消耗!$B$7:$F$7,AR69)/$Q$4,0),"")</f>
        <v/>
      </c>
      <c r="BA69" s="106"/>
      <c r="BB69" s="197"/>
      <c r="BC69" s="196">
        <v>5</v>
      </c>
      <c r="BD69" s="196">
        <v>5</v>
      </c>
      <c r="BE69" s="14">
        <f>ROUND(INDEX(挂机升级突破!ER$7:ER$26,卡牌消耗!$BD69)*INDEX(卡牌消耗!$B$6:$F$6,$BC69)/$Q$4,0)</f>
        <v>50</v>
      </c>
      <c r="BF69" s="14">
        <f>ROUND(INDEX(挂机升级突破!ES$7:ES$26,卡牌消耗!$BD69)*INDEX(卡牌消耗!$B$6:$F$6,$BC69)/$Q$4,0)</f>
        <v>0</v>
      </c>
      <c r="BG69" s="14">
        <f>ROUND(INDEX(挂机升级突破!ET$7:ET$26,卡牌消耗!$BD69)*INDEX(卡牌消耗!$B$6:$F$6,$BC69)/$Q$4,0)</f>
        <v>0</v>
      </c>
      <c r="BH69" s="14">
        <f>ROUND(INDEX(挂机升级突破!EU$7:EU$26,卡牌消耗!$BD69)*INDEX(卡牌消耗!$B$6:$F$6,$BC69)/$Q$4,0)</f>
        <v>0</v>
      </c>
      <c r="BI69" s="14">
        <f>ROUND(INDEX(挂机升级突破!$EV$7:$EV$26,卡牌消耗!BD69)*INDEX(卡牌消耗!$B$8:$F$8,$BC69)/$Q$4/BI$2,0)*BI$2</f>
        <v>7500</v>
      </c>
      <c r="BJ69" s="197"/>
      <c r="BK69" s="197"/>
      <c r="BL69" s="104">
        <v>65</v>
      </c>
      <c r="BM69" s="14">
        <f t="shared" si="11"/>
        <v>4</v>
      </c>
      <c r="BN69" s="14">
        <f>INDEX(挂机升级突破!$EI$7:$EI$26,BS69)</f>
        <v>5</v>
      </c>
      <c r="BO69" s="14">
        <f>INDEX(挂机升级突破!$EJ$7:$EJ$26,BS69)</f>
        <v>1</v>
      </c>
      <c r="BP69" s="14">
        <f t="shared" si="12"/>
        <v>2</v>
      </c>
      <c r="BQ69" s="14">
        <f>INDEX(挂机升级突破!$EH$7:$EH$26,卡牌消耗!BS69)</f>
        <v>35</v>
      </c>
      <c r="BR69" s="14" t="str">
        <f t="shared" si="13"/>
        <v>唐流雨</v>
      </c>
      <c r="BS69" s="14">
        <f t="shared" si="14"/>
        <v>5</v>
      </c>
      <c r="BT69" s="14" t="str">
        <f t="shared" si="15"/>
        <v>唐流雨5突</v>
      </c>
      <c r="BU69" s="14" t="str">
        <f>IF(BN69&gt;0,INDEX(挂机升级突破!$ER$5:$EV$5,卡牌消耗!BN69),"")</f>
        <v>金币</v>
      </c>
      <c r="BV69" s="14">
        <f>IF(BN69&gt;0,ROUND(INDEX(挂机升级突破!$EV$7:$EV$26,卡牌消耗!BS69)*INDEX(卡牌消耗!$B$8:$F$8,BP69)/$Q$4/500,0)*500,"")</f>
        <v>2500</v>
      </c>
      <c r="BW69" s="14" t="str">
        <f>IF(BO69&gt;0,INDEX(挂机升级突破!$ER$5:$EV$5,卡牌消耗!BO69),"")</f>
        <v>玄铁</v>
      </c>
      <c r="BX69" s="14">
        <f>IF(BO69&gt;0,ROUND(INDEX(挂机升级突破!$ER$7:$EU$26,卡牌消耗!BS69,卡牌消耗!BO69)*INDEX($B$6:$F$6,BP69)/$Q$4/5,0)*5,"")</f>
        <v>25</v>
      </c>
      <c r="BY69" s="193"/>
      <c r="BZ69" s="193"/>
      <c r="CA69" s="106"/>
      <c r="CS69" s="171"/>
      <c r="CT69" s="173" t="s">
        <v>120</v>
      </c>
      <c r="CU69" s="169">
        <v>12</v>
      </c>
      <c r="CV69" s="169">
        <v>65</v>
      </c>
      <c r="CW69" s="169">
        <v>5</v>
      </c>
      <c r="CX69" s="21">
        <f t="shared" ref="CX69" si="97">CW69/$CU71</f>
        <v>0.18181818181818182</v>
      </c>
      <c r="CY69" s="169">
        <f t="shared" ref="CY69" si="98">INT($CU70*CX69/5)*5</f>
        <v>15160</v>
      </c>
      <c r="CZ69" s="169">
        <f>SUM(CY$5:CY69)</f>
        <v>477500</v>
      </c>
      <c r="DB69" s="188">
        <f t="shared" si="39"/>
        <v>7550</v>
      </c>
      <c r="DC69" s="188">
        <f t="shared" si="39"/>
        <v>12100</v>
      </c>
      <c r="DD69" s="188">
        <f t="shared" si="39"/>
        <v>15150</v>
      </c>
      <c r="DE69" s="188">
        <f t="shared" si="39"/>
        <v>18150</v>
      </c>
      <c r="DF69" s="188">
        <f t="shared" si="39"/>
        <v>22700</v>
      </c>
      <c r="DI69" s="186">
        <v>65</v>
      </c>
      <c r="DJ69" s="14">
        <f t="shared" si="21"/>
        <v>13</v>
      </c>
      <c r="DK69" s="14">
        <f t="shared" ref="DK69:DK132" si="99">INDEX($C$52:$C$120,DJ69)</f>
        <v>2</v>
      </c>
      <c r="DL69" s="14">
        <f t="shared" ref="DL69:DL132" si="100">INDEX($A$52:$A$120,DJ69)</f>
        <v>1101013</v>
      </c>
      <c r="DM69" s="136" t="s">
        <v>1097</v>
      </c>
      <c r="DN69" s="14">
        <f t="shared" ref="DN69:DN132" si="101">DI69-INDEX($E$51:$E$120,DJ69)</f>
        <v>5</v>
      </c>
      <c r="DO69" s="14" t="str">
        <f t="shared" ref="DO69:DO132" si="102">INDEX($B$52:$B$120,DJ69)&amp;"-"&amp;DN69&amp;"星"</f>
        <v>吉拉-5星</v>
      </c>
      <c r="DP69" s="136" t="s">
        <v>1103</v>
      </c>
      <c r="DQ69" s="14">
        <f t="shared" si="22"/>
        <v>30000</v>
      </c>
      <c r="DR69" s="14" t="str">
        <f t="shared" ref="DR69:DR132" si="103">INDEX($B$52:$B$120,DJ69)&amp;"碎片"</f>
        <v>吉拉碎片</v>
      </c>
      <c r="DS69" s="14">
        <f t="shared" si="23"/>
        <v>20</v>
      </c>
    </row>
    <row r="70" spans="1:123" ht="16.5" x14ac:dyDescent="0.2">
      <c r="A70" s="55">
        <v>1101022</v>
      </c>
      <c r="B70" s="55" t="s">
        <v>1091</v>
      </c>
      <c r="C70" s="55">
        <v>2</v>
      </c>
      <c r="D70" s="136">
        <v>5</v>
      </c>
      <c r="E70" s="136">
        <f>SUM(D$52:D70)</f>
        <v>95</v>
      </c>
      <c r="H70" s="15"/>
      <c r="I70" s="15"/>
      <c r="J70" s="15"/>
      <c r="K70" s="15"/>
      <c r="L70" s="15"/>
      <c r="M70" s="15"/>
      <c r="N70" s="15"/>
      <c r="O70" s="137"/>
      <c r="P70" s="141"/>
      <c r="Q70" s="141"/>
      <c r="R70" s="141"/>
      <c r="S70" s="141"/>
      <c r="T70" s="141"/>
      <c r="U70" s="141"/>
      <c r="V70" s="141"/>
      <c r="W70" s="141"/>
      <c r="X70" s="141"/>
      <c r="Y70" s="141"/>
      <c r="Z70" s="196">
        <v>3</v>
      </c>
      <c r="AA70" s="196">
        <v>14</v>
      </c>
      <c r="AB70" s="14">
        <f>ROUND(INDEX(挂机升级突破!DT$6:DT$57,卡牌消耗!$AA70)*INDEX(卡牌消耗!$B$5:$F$5,卡牌消耗!$Z70)/卡牌消耗!$Q$4/AB$2,0)*AB$2</f>
        <v>0</v>
      </c>
      <c r="AC70" s="14">
        <f>ROUND(INDEX(挂机升级突破!DU$6:DU$57,卡牌消耗!$AA70)*INDEX(卡牌消耗!$B$5:$F$5,卡牌消耗!$Z70)/卡牌消耗!$Q$4/AC$2,0)*AC$2</f>
        <v>0</v>
      </c>
      <c r="AD70" s="14">
        <f>ROUND(INDEX(挂机升级突破!DV$6:DV$57,卡牌消耗!$AA70)*INDEX(卡牌消耗!$B$5:$F$5,卡牌消耗!$Z70)/卡牌消耗!$Q$4/AD$2,0)*AD$2</f>
        <v>25</v>
      </c>
      <c r="AE70" s="14">
        <f>ROUND(INDEX(挂机升级突破!DW$6:DW$57,卡牌消耗!$AA70)*INDEX(卡牌消耗!$B$5:$F$5,卡牌消耗!$Z70)/卡牌消耗!$Q$4/AE$2,0)*AE$2</f>
        <v>0</v>
      </c>
      <c r="AF70" s="14">
        <f>ROUND(INDEX(挂机升级突破!DX$6:DX$57,卡牌消耗!$AA70)*INDEX(卡牌消耗!$B$5:$F$5,卡牌消耗!$Z70)/卡牌消耗!$Q$4/AF$2,0)*AF$2</f>
        <v>0</v>
      </c>
      <c r="AG70" s="14">
        <f>ROUND(INDEX(挂机升级突破!EC$6:EC$57,卡牌消耗!$AA70)*INDEX(卡牌消耗!$B$7:$F$7,卡牌消耗!$Z70)/卡牌消耗!$Q$4/AG$2,0)*AG$2</f>
        <v>0</v>
      </c>
      <c r="AH70" s="14">
        <f>ROUND(INDEX(挂机升级突破!ED$6:ED$57,卡牌消耗!$AA70)*INDEX(卡牌消耗!$B$8:$F$8,卡牌消耗!$Z70)/卡牌消耗!$Q$4/AH$2,0)*AH$2</f>
        <v>3000</v>
      </c>
      <c r="AI70" s="194"/>
      <c r="AJ70" s="194"/>
      <c r="AK70" s="104">
        <v>66</v>
      </c>
      <c r="AL70" s="14">
        <f t="shared" ref="AL70:AL133" si="104">INT((AK70-1)/52)+1</f>
        <v>2</v>
      </c>
      <c r="AM70" s="14">
        <f>INDEX(挂机升级突破!DQ$6:DQ$57,卡牌消耗!$AT70)</f>
        <v>11</v>
      </c>
      <c r="AN70" s="14">
        <f>INDEX(挂机升级突破!DR$6:DR$57,卡牌消耗!$AT70)</f>
        <v>3</v>
      </c>
      <c r="AO70" s="14">
        <f>INDEX(挂机升级突破!DS$6:DS$57,卡牌消耗!$AT70)</f>
        <v>0</v>
      </c>
      <c r="AP70" s="14">
        <f>INDEX(挂机升级突破!$DP$6:$DP$57,卡牌消耗!AT70)</f>
        <v>53</v>
      </c>
      <c r="AQ70" s="14" t="str">
        <f t="shared" ref="AQ70:AQ133" si="105">INDEX($B$13:$B$45,AL70)</f>
        <v>许褚</v>
      </c>
      <c r="AR70" s="14">
        <f t="shared" ref="AR70:AR133" si="106">INDEX($C$13:$C$45,AL70)</f>
        <v>3</v>
      </c>
      <c r="AS70" s="14" t="str">
        <f t="shared" ref="AS70:AS133" si="107">AQ70&amp;"魂火-"&amp;AT70</f>
        <v>许褚魂火-14</v>
      </c>
      <c r="AT70" s="14">
        <f t="shared" ref="AT70:AT133" si="108">AK70-(AL70-1)*52</f>
        <v>14</v>
      </c>
      <c r="AU70" s="14" t="str">
        <f>IF(AM70&gt;0,INDEX(挂机升级突破!$DT$4:$ED$4,AM70),"")</f>
        <v>金币</v>
      </c>
      <c r="AV70" s="14">
        <f>ROUND(INDEX(挂机升级突破!$DJ$6:$DJ$57,卡牌消耗!AT70)*INDEX(卡牌消耗!$B$8:$F$8,AR70)/$Q$4/50,0)*50</f>
        <v>3000</v>
      </c>
      <c r="AW70" s="14" t="str">
        <f>IF(AN70&gt;0,INDEX(挂机升级突破!$DT$4:$ED$4,AN70),"")</f>
        <v>紫色基础材料</v>
      </c>
      <c r="AX70" s="14">
        <f>ROUND(INDEX(挂机升级突破!$DT$6:$ED$57,卡牌消耗!AT70,AN70)*INDEX(卡牌消耗!$B$5:$F$5,AR70)/$Q$4/5,0)*5</f>
        <v>25</v>
      </c>
      <c r="AY70" s="14" t="str">
        <f>IF(AO70&gt;0,INDEX(挂机升级突破!$DT$4:$ED$4,AO70),"")</f>
        <v/>
      </c>
      <c r="AZ70" s="14" t="str">
        <f>IF(AO70&gt;0,ROUND(INDEX(挂机升级突破!$DT$6:$ED$57,卡牌消耗!AT70,AO70)*INDEX(卡牌消耗!$B$7:$F$7,AR70)/$Q$4,0),"")</f>
        <v/>
      </c>
      <c r="BA70" s="106"/>
      <c r="BB70" s="197"/>
      <c r="BC70" s="196">
        <v>5</v>
      </c>
      <c r="BD70" s="196">
        <v>6</v>
      </c>
      <c r="BE70" s="14">
        <f>ROUND(INDEX(挂机升级突破!ER$7:ER$26,卡牌消耗!$BD70)*INDEX(卡牌消耗!$B$6:$F$6,$BC70)/$Q$4,0)</f>
        <v>75</v>
      </c>
      <c r="BF70" s="14">
        <f>ROUND(INDEX(挂机升级突破!ES$7:ES$26,卡牌消耗!$BD70)*INDEX(卡牌消耗!$B$6:$F$6,$BC70)/$Q$4,0)</f>
        <v>0</v>
      </c>
      <c r="BG70" s="14">
        <f>ROUND(INDEX(挂机升级突破!ET$7:ET$26,卡牌消耗!$BD70)*INDEX(卡牌消耗!$B$6:$F$6,$BC70)/$Q$4,0)</f>
        <v>0</v>
      </c>
      <c r="BH70" s="14">
        <f>ROUND(INDEX(挂机升级突破!EU$7:EU$26,卡牌消耗!$BD70)*INDEX(卡牌消耗!$B$6:$F$6,$BC70)/$Q$4,0)</f>
        <v>0</v>
      </c>
      <c r="BI70" s="14">
        <f>ROUND(INDEX(挂机升级突破!$EV$7:$EV$26,卡牌消耗!BD70)*INDEX(卡牌消耗!$B$8:$F$8,$BC70)/$Q$4/BI$2,0)*BI$2</f>
        <v>10000</v>
      </c>
      <c r="BJ70" s="197"/>
      <c r="BK70" s="197"/>
      <c r="BL70" s="104">
        <v>66</v>
      </c>
      <c r="BM70" s="14">
        <f t="shared" ref="BM70:BM133" si="109">INT((BL70-1)/20)+1</f>
        <v>4</v>
      </c>
      <c r="BN70" s="14">
        <f>INDEX(挂机升级突破!$EI$7:$EI$26,BS70)</f>
        <v>5</v>
      </c>
      <c r="BO70" s="14">
        <f>INDEX(挂机升级突破!$EJ$7:$EJ$26,BS70)</f>
        <v>1</v>
      </c>
      <c r="BP70" s="14">
        <f t="shared" ref="BP70:BP133" si="110">INDEX($C$13:$C$45,BM70)</f>
        <v>2</v>
      </c>
      <c r="BQ70" s="14">
        <f>INDEX(挂机升级突破!$EH$7:$EH$26,卡牌消耗!BS70)</f>
        <v>42</v>
      </c>
      <c r="BR70" s="14" t="str">
        <f t="shared" ref="BR70:BR133" si="111">INDEX($B$13:$B$45,BM70)</f>
        <v>唐流雨</v>
      </c>
      <c r="BS70" s="14">
        <f t="shared" ref="BS70:BS133" si="112">BL70-(BM70-1)*20</f>
        <v>6</v>
      </c>
      <c r="BT70" s="14" t="str">
        <f t="shared" ref="BT70:BT133" si="113">BR70&amp;BS70&amp;"突"</f>
        <v>唐流雨6突</v>
      </c>
      <c r="BU70" s="14" t="str">
        <f>IF(BN70&gt;0,INDEX(挂机升级突破!$ER$5:$EV$5,卡牌消耗!BN70),"")</f>
        <v>金币</v>
      </c>
      <c r="BV70" s="14">
        <f>IF(BN70&gt;0,ROUND(INDEX(挂机升级突破!$EV$7:$EV$26,卡牌消耗!BS70)*INDEX(卡牌消耗!$B$8:$F$8,BP70)/$Q$4/500,0)*500,"")</f>
        <v>3500</v>
      </c>
      <c r="BW70" s="14" t="str">
        <f>IF(BO70&gt;0,INDEX(挂机升级突破!$ER$5:$EV$5,卡牌消耗!BO70),"")</f>
        <v>玄铁</v>
      </c>
      <c r="BX70" s="14">
        <f>IF(BO70&gt;0,ROUND(INDEX(挂机升级突破!$ER$7:$EU$26,卡牌消耗!BS70,卡牌消耗!BO70)*INDEX($B$6:$F$6,BP70)/$Q$4/5,0)*5,"")</f>
        <v>40</v>
      </c>
      <c r="BY70" s="193"/>
      <c r="BZ70" s="193"/>
      <c r="CA70" s="106"/>
      <c r="CS70" s="171"/>
      <c r="CT70" s="171"/>
      <c r="CU70" s="14">
        <f>INDEX($CP$5:$CP$32,CU69)</f>
        <v>83400</v>
      </c>
      <c r="CV70" s="169">
        <v>66</v>
      </c>
      <c r="CW70" s="169">
        <v>5.25</v>
      </c>
      <c r="CX70" s="21">
        <f t="shared" ref="CX70" si="114">CW70/$CU71</f>
        <v>0.19090909090909092</v>
      </c>
      <c r="CY70" s="169">
        <f t="shared" ref="CY70" si="115">INT($CU70*CX70/5)*5</f>
        <v>15920</v>
      </c>
      <c r="CZ70" s="169">
        <f>SUM(CY$5:CY70)</f>
        <v>493420</v>
      </c>
      <c r="DB70" s="188">
        <f t="shared" ref="DB70:DF101" si="116">INT($CY70*DB$3/50)*50</f>
        <v>7950</v>
      </c>
      <c r="DC70" s="188">
        <f t="shared" si="116"/>
        <v>12700</v>
      </c>
      <c r="DD70" s="188">
        <f t="shared" si="116"/>
        <v>15900</v>
      </c>
      <c r="DE70" s="188">
        <f t="shared" si="116"/>
        <v>19100</v>
      </c>
      <c r="DF70" s="188">
        <f t="shared" si="116"/>
        <v>23850</v>
      </c>
      <c r="DI70" s="186">
        <v>66</v>
      </c>
      <c r="DJ70" s="14">
        <f t="shared" ref="DJ70:DJ133" si="117">INT((DI70-1)/5)+1</f>
        <v>14</v>
      </c>
      <c r="DK70" s="14">
        <f t="shared" si="99"/>
        <v>3</v>
      </c>
      <c r="DL70" s="14">
        <f t="shared" si="100"/>
        <v>1101014</v>
      </c>
      <c r="DM70" s="136" t="s">
        <v>1097</v>
      </c>
      <c r="DN70" s="14">
        <f t="shared" si="101"/>
        <v>1</v>
      </c>
      <c r="DO70" s="14" t="str">
        <f t="shared" si="102"/>
        <v>吕仙宫-1星</v>
      </c>
      <c r="DP70" s="136" t="s">
        <v>1103</v>
      </c>
      <c r="DQ70" s="14">
        <f t="shared" ref="DQ70:DQ133" si="118">INDEX($K$21:$N$25,DN70,DK70-1)</f>
        <v>4000</v>
      </c>
      <c r="DR70" s="14" t="str">
        <f t="shared" si="103"/>
        <v>吕仙宫碎片</v>
      </c>
      <c r="DS70" s="14">
        <f t="shared" ref="DS70:DS133" si="119">INDEX($J$5:$M$9,DN70,DK70-1)</f>
        <v>40</v>
      </c>
    </row>
    <row r="71" spans="1:123" ht="16.5" x14ac:dyDescent="0.2">
      <c r="A71" s="55">
        <v>1101023</v>
      </c>
      <c r="B71" s="55" t="s">
        <v>1576</v>
      </c>
      <c r="C71" s="55">
        <v>3</v>
      </c>
      <c r="D71" s="136">
        <v>5</v>
      </c>
      <c r="E71" s="136">
        <f>SUM(D$52:D71)</f>
        <v>100</v>
      </c>
      <c r="H71" s="15"/>
      <c r="I71" s="15"/>
      <c r="J71" s="15"/>
      <c r="K71" s="15"/>
      <c r="L71" s="15"/>
      <c r="M71" s="15"/>
      <c r="N71" s="15"/>
      <c r="O71" s="137"/>
      <c r="P71" s="141"/>
      <c r="Q71" s="141"/>
      <c r="R71" s="141"/>
      <c r="S71" s="141"/>
      <c r="T71" s="141"/>
      <c r="U71" s="141"/>
      <c r="V71" s="141"/>
      <c r="W71" s="141"/>
      <c r="X71" s="141"/>
      <c r="Y71" s="141"/>
      <c r="Z71" s="196">
        <v>3</v>
      </c>
      <c r="AA71" s="196">
        <v>15</v>
      </c>
      <c r="AB71" s="14">
        <f>ROUND(INDEX(挂机升级突破!DT$6:DT$57,卡牌消耗!$AA71)*INDEX(卡牌消耗!$B$5:$F$5,卡牌消耗!$Z71)/卡牌消耗!$Q$4/AB$2,0)*AB$2</f>
        <v>0</v>
      </c>
      <c r="AC71" s="14">
        <f>ROUND(INDEX(挂机升级突破!DU$6:DU$57,卡牌消耗!$AA71)*INDEX(卡牌消耗!$B$5:$F$5,卡牌消耗!$Z71)/卡牌消耗!$Q$4/AC$2,0)*AC$2</f>
        <v>0</v>
      </c>
      <c r="AD71" s="14">
        <f>ROUND(INDEX(挂机升级突破!DV$6:DV$57,卡牌消耗!$AA71)*INDEX(卡牌消耗!$B$5:$F$5,卡牌消耗!$Z71)/卡牌消耗!$Q$4/AD$2,0)*AD$2</f>
        <v>25</v>
      </c>
      <c r="AE71" s="14">
        <f>ROUND(INDEX(挂机升级突破!DW$6:DW$57,卡牌消耗!$AA71)*INDEX(卡牌消耗!$B$5:$F$5,卡牌消耗!$Z71)/卡牌消耗!$Q$4/AE$2,0)*AE$2</f>
        <v>0</v>
      </c>
      <c r="AF71" s="14">
        <f>ROUND(INDEX(挂机升级突破!DX$6:DX$57,卡牌消耗!$AA71)*INDEX(卡牌消耗!$B$5:$F$5,卡牌消耗!$Z71)/卡牌消耗!$Q$4/AF$2,0)*AF$2</f>
        <v>0</v>
      </c>
      <c r="AG71" s="14">
        <f>ROUND(INDEX(挂机升级突破!EC$6:EC$57,卡牌消耗!$AA71)*INDEX(卡牌消耗!$B$7:$F$7,卡牌消耗!$Z71)/卡牌消耗!$Q$4/AG$2,0)*AG$2</f>
        <v>0</v>
      </c>
      <c r="AH71" s="14">
        <f>ROUND(INDEX(挂机升级突破!ED$6:ED$57,卡牌消耗!$AA71)*INDEX(卡牌消耗!$B$8:$F$8,卡牌消耗!$Z71)/卡牌消耗!$Q$4/AH$2,0)*AH$2</f>
        <v>3250</v>
      </c>
      <c r="AI71" s="194"/>
      <c r="AJ71" s="194"/>
      <c r="AK71" s="104">
        <v>67</v>
      </c>
      <c r="AL71" s="14">
        <f t="shared" si="104"/>
        <v>2</v>
      </c>
      <c r="AM71" s="14">
        <f>INDEX(挂机升级突破!DQ$6:DQ$57,卡牌消耗!$AT71)</f>
        <v>11</v>
      </c>
      <c r="AN71" s="14">
        <f>INDEX(挂机升级突破!DR$6:DR$57,卡牌消耗!$AT71)</f>
        <v>3</v>
      </c>
      <c r="AO71" s="14">
        <f>INDEX(挂机升级突破!DS$6:DS$57,卡牌消耗!$AT71)</f>
        <v>0</v>
      </c>
      <c r="AP71" s="14">
        <f>INDEX(挂机升级突破!$DP$6:$DP$57,卡牌消耗!AT71)</f>
        <v>55</v>
      </c>
      <c r="AQ71" s="14" t="str">
        <f t="shared" si="105"/>
        <v>许褚</v>
      </c>
      <c r="AR71" s="14">
        <f t="shared" si="106"/>
        <v>3</v>
      </c>
      <c r="AS71" s="14" t="str">
        <f t="shared" si="107"/>
        <v>许褚魂火-15</v>
      </c>
      <c r="AT71" s="14">
        <f t="shared" si="108"/>
        <v>15</v>
      </c>
      <c r="AU71" s="14" t="str">
        <f>IF(AM71&gt;0,INDEX(挂机升级突破!$DT$4:$ED$4,AM71),"")</f>
        <v>金币</v>
      </c>
      <c r="AV71" s="14">
        <f>ROUND(INDEX(挂机升级突破!$DJ$6:$DJ$57,卡牌消耗!AT71)*INDEX(卡牌消耗!$B$8:$F$8,AR71)/$Q$4/50,0)*50</f>
        <v>3250</v>
      </c>
      <c r="AW71" s="14" t="str">
        <f>IF(AN71&gt;0,INDEX(挂机升级突破!$DT$4:$ED$4,AN71),"")</f>
        <v>紫色基础材料</v>
      </c>
      <c r="AX71" s="14">
        <f>ROUND(INDEX(挂机升级突破!$DT$6:$ED$57,卡牌消耗!AT71,AN71)*INDEX(卡牌消耗!$B$5:$F$5,AR71)/$Q$4/5,0)*5</f>
        <v>25</v>
      </c>
      <c r="AY71" s="14" t="str">
        <f>IF(AO71&gt;0,INDEX(挂机升级突破!$DT$4:$ED$4,AO71),"")</f>
        <v/>
      </c>
      <c r="AZ71" s="14" t="str">
        <f>IF(AO71&gt;0,ROUND(INDEX(挂机升级突破!$DT$6:$ED$57,卡牌消耗!AT71,AO71)*INDEX(卡牌消耗!$B$7:$F$7,AR71)/$Q$4,0),"")</f>
        <v/>
      </c>
      <c r="BA71" s="106"/>
      <c r="BB71" s="197"/>
      <c r="BC71" s="196">
        <v>5</v>
      </c>
      <c r="BD71" s="196">
        <v>7</v>
      </c>
      <c r="BE71" s="14">
        <f>ROUND(INDEX(挂机升级突破!ER$7:ER$26,卡牌消耗!$BD71)*INDEX(卡牌消耗!$B$6:$F$6,$BC71)/$Q$4,0)</f>
        <v>126</v>
      </c>
      <c r="BF71" s="14">
        <f>ROUND(INDEX(挂机升级突破!ES$7:ES$26,卡牌消耗!$BD71)*INDEX(卡牌消耗!$B$6:$F$6,$BC71)/$Q$4,0)</f>
        <v>0</v>
      </c>
      <c r="BG71" s="14">
        <f>ROUND(INDEX(挂机升级突破!ET$7:ET$26,卡牌消耗!$BD71)*INDEX(卡牌消耗!$B$6:$F$6,$BC71)/$Q$4,0)</f>
        <v>0</v>
      </c>
      <c r="BH71" s="14">
        <f>ROUND(INDEX(挂机升级突破!EU$7:EU$26,卡牌消耗!$BD71)*INDEX(卡牌消耗!$B$6:$F$6,$BC71)/$Q$4,0)</f>
        <v>0</v>
      </c>
      <c r="BI71" s="14">
        <f>ROUND(INDEX(挂机升级突破!$EV$7:$EV$26,卡牌消耗!BD71)*INDEX(卡牌消耗!$B$8:$F$8,$BC71)/$Q$4/BI$2,0)*BI$2</f>
        <v>16500</v>
      </c>
      <c r="BJ71" s="197"/>
      <c r="BK71" s="197"/>
      <c r="BL71" s="104">
        <v>67</v>
      </c>
      <c r="BM71" s="14">
        <f t="shared" si="109"/>
        <v>4</v>
      </c>
      <c r="BN71" s="14">
        <f>INDEX(挂机升级突破!$EI$7:$EI$26,BS71)</f>
        <v>5</v>
      </c>
      <c r="BO71" s="14">
        <f>INDEX(挂机升级突破!$EJ$7:$EJ$26,BS71)</f>
        <v>1</v>
      </c>
      <c r="BP71" s="14">
        <f t="shared" si="110"/>
        <v>2</v>
      </c>
      <c r="BQ71" s="14">
        <f>INDEX(挂机升级突破!$EH$7:$EH$26,卡牌消耗!BS71)</f>
        <v>47</v>
      </c>
      <c r="BR71" s="14" t="str">
        <f t="shared" si="111"/>
        <v>唐流雨</v>
      </c>
      <c r="BS71" s="14">
        <f t="shared" si="112"/>
        <v>7</v>
      </c>
      <c r="BT71" s="14" t="str">
        <f t="shared" si="113"/>
        <v>唐流雨7突</v>
      </c>
      <c r="BU71" s="14" t="str">
        <f>IF(BN71&gt;0,INDEX(挂机升级突破!$ER$5:$EV$5,卡牌消耗!BN71),"")</f>
        <v>金币</v>
      </c>
      <c r="BV71" s="14">
        <f>IF(BN71&gt;0,ROUND(INDEX(挂机升级突破!$EV$7:$EV$26,卡牌消耗!BS71)*INDEX(卡牌消耗!$B$8:$F$8,BP71)/$Q$4/500,0)*500,"")</f>
        <v>5500</v>
      </c>
      <c r="BW71" s="14" t="str">
        <f>IF(BO71&gt;0,INDEX(挂机升级突破!$ER$5:$EV$5,卡牌消耗!BO71),"")</f>
        <v>玄铁</v>
      </c>
      <c r="BX71" s="14">
        <f>IF(BO71&gt;0,ROUND(INDEX(挂机升级突破!$ER$7:$EU$26,卡牌消耗!BS71,卡牌消耗!BO71)*INDEX($B$6:$F$6,BP71)/$Q$4/5,0)*5,"")</f>
        <v>65</v>
      </c>
      <c r="BY71" s="193"/>
      <c r="BZ71" s="193"/>
      <c r="CA71" s="106"/>
      <c r="CS71" s="171"/>
      <c r="CT71" s="170"/>
      <c r="CU71" s="14">
        <f>SUMIFS($CW$5:$CW$154,$CV$5:$CV$154,"&gt;="&amp;INDEX($CE$5:$CE$32,CU69),$CV$5:$CV$154,"&lt;"&amp;INDEX($CF$5:$CF$32,CU69))</f>
        <v>27.5</v>
      </c>
      <c r="CV71" s="169">
        <v>67</v>
      </c>
      <c r="CW71" s="169">
        <v>5.5</v>
      </c>
      <c r="CX71" s="21">
        <f t="shared" ref="CX71" si="120">CW71/$CU71</f>
        <v>0.2</v>
      </c>
      <c r="CY71" s="169">
        <f t="shared" ref="CY71" si="121">INT($CU70*CX71/5)*5</f>
        <v>16680</v>
      </c>
      <c r="CZ71" s="169">
        <f>SUM(CY$5:CY71)</f>
        <v>510100</v>
      </c>
      <c r="DB71" s="188">
        <f t="shared" si="116"/>
        <v>8300</v>
      </c>
      <c r="DC71" s="188">
        <f t="shared" si="116"/>
        <v>13300</v>
      </c>
      <c r="DD71" s="188">
        <f t="shared" si="116"/>
        <v>16650</v>
      </c>
      <c r="DE71" s="188">
        <f t="shared" si="116"/>
        <v>20000</v>
      </c>
      <c r="DF71" s="188">
        <f t="shared" si="116"/>
        <v>25000</v>
      </c>
      <c r="DI71" s="186">
        <v>67</v>
      </c>
      <c r="DJ71" s="14">
        <f t="shared" si="117"/>
        <v>14</v>
      </c>
      <c r="DK71" s="14">
        <f t="shared" si="99"/>
        <v>3</v>
      </c>
      <c r="DL71" s="14">
        <f t="shared" si="100"/>
        <v>1101014</v>
      </c>
      <c r="DM71" s="136" t="s">
        <v>1097</v>
      </c>
      <c r="DN71" s="14">
        <f t="shared" si="101"/>
        <v>2</v>
      </c>
      <c r="DO71" s="14" t="str">
        <f t="shared" si="102"/>
        <v>吕仙宫-2星</v>
      </c>
      <c r="DP71" s="136" t="s">
        <v>1103</v>
      </c>
      <c r="DQ71" s="14">
        <f t="shared" si="118"/>
        <v>5000</v>
      </c>
      <c r="DR71" s="14" t="str">
        <f t="shared" si="103"/>
        <v>吕仙宫碎片</v>
      </c>
      <c r="DS71" s="14">
        <f t="shared" si="119"/>
        <v>40</v>
      </c>
    </row>
    <row r="72" spans="1:123" ht="16.5" x14ac:dyDescent="0.2">
      <c r="A72" s="55">
        <v>1101026</v>
      </c>
      <c r="B72" s="55" t="s">
        <v>1092</v>
      </c>
      <c r="C72" s="55">
        <v>4</v>
      </c>
      <c r="D72" s="136">
        <v>5</v>
      </c>
      <c r="E72" s="136">
        <f>SUM(D$52:D72)</f>
        <v>105</v>
      </c>
      <c r="H72" s="15"/>
      <c r="I72" s="15"/>
      <c r="J72" s="15"/>
      <c r="K72" s="15"/>
      <c r="L72" s="15"/>
      <c r="M72" s="15"/>
      <c r="N72" s="15"/>
      <c r="O72" s="137"/>
      <c r="P72" s="141"/>
      <c r="Q72" s="141"/>
      <c r="R72" s="141"/>
      <c r="S72" s="141"/>
      <c r="T72" s="141"/>
      <c r="U72" s="141"/>
      <c r="V72" s="141"/>
      <c r="W72" s="141"/>
      <c r="X72" s="141"/>
      <c r="Y72" s="141"/>
      <c r="Z72" s="196">
        <v>3</v>
      </c>
      <c r="AA72" s="196">
        <v>16</v>
      </c>
      <c r="AB72" s="14">
        <f>ROUND(INDEX(挂机升级突破!DT$6:DT$57,卡牌消耗!$AA72)*INDEX(卡牌消耗!$B$5:$F$5,卡牌消耗!$Z72)/卡牌消耗!$Q$4/AB$2,0)*AB$2</f>
        <v>0</v>
      </c>
      <c r="AC72" s="14">
        <f>ROUND(INDEX(挂机升级突破!DU$6:DU$57,卡牌消耗!$AA72)*INDEX(卡牌消耗!$B$5:$F$5,卡牌消耗!$Z72)/卡牌消耗!$Q$4/AC$2,0)*AC$2</f>
        <v>0</v>
      </c>
      <c r="AD72" s="14">
        <f>ROUND(INDEX(挂机升级突破!DV$6:DV$57,卡牌消耗!$AA72)*INDEX(卡牌消耗!$B$5:$F$5,卡牌消耗!$Z72)/卡牌消耗!$Q$4/AD$2,0)*AD$2</f>
        <v>25</v>
      </c>
      <c r="AE72" s="14">
        <f>ROUND(INDEX(挂机升级突破!DW$6:DW$57,卡牌消耗!$AA72)*INDEX(卡牌消耗!$B$5:$F$5,卡牌消耗!$Z72)/卡牌消耗!$Q$4/AE$2,0)*AE$2</f>
        <v>0</v>
      </c>
      <c r="AF72" s="14">
        <f>ROUND(INDEX(挂机升级突破!DX$6:DX$57,卡牌消耗!$AA72)*INDEX(卡牌消耗!$B$5:$F$5,卡牌消耗!$Z72)/卡牌消耗!$Q$4/AF$2,0)*AF$2</f>
        <v>0</v>
      </c>
      <c r="AG72" s="14">
        <f>ROUND(INDEX(挂机升级突破!EC$6:EC$57,卡牌消耗!$AA72)*INDEX(卡牌消耗!$B$7:$F$7,卡牌消耗!$Z72)/卡牌消耗!$Q$4/AG$2,0)*AG$2</f>
        <v>0</v>
      </c>
      <c r="AH72" s="14">
        <f>ROUND(INDEX(挂机升级突破!ED$6:ED$57,卡牌消耗!$AA72)*INDEX(卡牌消耗!$B$8:$F$8,卡牌消耗!$Z72)/卡牌消耗!$Q$4/AH$2,0)*AH$2</f>
        <v>3250</v>
      </c>
      <c r="AI72" s="194"/>
      <c r="AJ72" s="194"/>
      <c r="AK72" s="104">
        <v>68</v>
      </c>
      <c r="AL72" s="14">
        <f t="shared" si="104"/>
        <v>2</v>
      </c>
      <c r="AM72" s="14">
        <f>INDEX(挂机升级突破!DQ$6:DQ$57,卡牌消耗!$AT72)</f>
        <v>11</v>
      </c>
      <c r="AN72" s="14">
        <f>INDEX(挂机升级突破!DR$6:DR$57,卡牌消耗!$AT72)</f>
        <v>3</v>
      </c>
      <c r="AO72" s="14">
        <f>INDEX(挂机升级突破!DS$6:DS$57,卡牌消耗!$AT72)</f>
        <v>0</v>
      </c>
      <c r="AP72" s="14">
        <f>INDEX(挂机升级突破!$DP$6:$DP$57,卡牌消耗!AT72)</f>
        <v>58</v>
      </c>
      <c r="AQ72" s="14" t="str">
        <f t="shared" si="105"/>
        <v>许褚</v>
      </c>
      <c r="AR72" s="14">
        <f t="shared" si="106"/>
        <v>3</v>
      </c>
      <c r="AS72" s="14" t="str">
        <f t="shared" si="107"/>
        <v>许褚魂火-16</v>
      </c>
      <c r="AT72" s="14">
        <f t="shared" si="108"/>
        <v>16</v>
      </c>
      <c r="AU72" s="14" t="str">
        <f>IF(AM72&gt;0,INDEX(挂机升级突破!$DT$4:$ED$4,AM72),"")</f>
        <v>金币</v>
      </c>
      <c r="AV72" s="14">
        <f>ROUND(INDEX(挂机升级突破!$DJ$6:$DJ$57,卡牌消耗!AT72)*INDEX(卡牌消耗!$B$8:$F$8,AR72)/$Q$4/50,0)*50</f>
        <v>3250</v>
      </c>
      <c r="AW72" s="14" t="str">
        <f>IF(AN72&gt;0,INDEX(挂机升级突破!$DT$4:$ED$4,AN72),"")</f>
        <v>紫色基础材料</v>
      </c>
      <c r="AX72" s="14">
        <f>ROUND(INDEX(挂机升级突破!$DT$6:$ED$57,卡牌消耗!AT72,AN72)*INDEX(卡牌消耗!$B$5:$F$5,AR72)/$Q$4/5,0)*5</f>
        <v>25</v>
      </c>
      <c r="AY72" s="14" t="str">
        <f>IF(AO72&gt;0,INDEX(挂机升级突破!$DT$4:$ED$4,AO72),"")</f>
        <v/>
      </c>
      <c r="AZ72" s="14" t="str">
        <f>IF(AO72&gt;0,ROUND(INDEX(挂机升级突破!$DT$6:$ED$57,卡牌消耗!AT72,AO72)*INDEX(卡牌消耗!$B$7:$F$7,AR72)/$Q$4,0),"")</f>
        <v/>
      </c>
      <c r="BA72" s="106"/>
      <c r="BB72" s="197"/>
      <c r="BC72" s="196">
        <v>5</v>
      </c>
      <c r="BD72" s="196">
        <v>8</v>
      </c>
      <c r="BE72" s="14">
        <f>ROUND(INDEX(挂机升级突破!ER$7:ER$26,卡牌消耗!$BD72)*INDEX(卡牌消耗!$B$6:$F$6,$BC72)/$Q$4,0)</f>
        <v>226</v>
      </c>
      <c r="BF72" s="14">
        <f>ROUND(INDEX(挂机升级突破!ES$7:ES$26,卡牌消耗!$BD72)*INDEX(卡牌消耗!$B$6:$F$6,$BC72)/$Q$4,0)</f>
        <v>0</v>
      </c>
      <c r="BG72" s="14">
        <f>ROUND(INDEX(挂机升级突破!ET$7:ET$26,卡牌消耗!$BD72)*INDEX(卡牌消耗!$B$6:$F$6,$BC72)/$Q$4,0)</f>
        <v>0</v>
      </c>
      <c r="BH72" s="14">
        <f>ROUND(INDEX(挂机升级突破!EU$7:EU$26,卡牌消耗!$BD72)*INDEX(卡牌消耗!$B$6:$F$6,$BC72)/$Q$4,0)</f>
        <v>0</v>
      </c>
      <c r="BI72" s="14">
        <f>ROUND(INDEX(挂机升级突破!$EV$7:$EV$26,卡牌消耗!BD72)*INDEX(卡牌消耗!$B$8:$F$8,$BC72)/$Q$4/BI$2,0)*BI$2</f>
        <v>16500</v>
      </c>
      <c r="BJ72" s="197"/>
      <c r="BK72" s="197"/>
      <c r="BL72" s="104">
        <v>68</v>
      </c>
      <c r="BM72" s="14">
        <f t="shared" si="109"/>
        <v>4</v>
      </c>
      <c r="BN72" s="14">
        <f>INDEX(挂机升级突破!$EI$7:$EI$26,BS72)</f>
        <v>5</v>
      </c>
      <c r="BO72" s="14">
        <f>INDEX(挂机升级突破!$EJ$7:$EJ$26,BS72)</f>
        <v>1</v>
      </c>
      <c r="BP72" s="14">
        <f t="shared" si="110"/>
        <v>2</v>
      </c>
      <c r="BQ72" s="14">
        <f>INDEX(挂机升级突破!$EH$7:$EH$26,卡牌消耗!BS72)</f>
        <v>52</v>
      </c>
      <c r="BR72" s="14" t="str">
        <f t="shared" si="111"/>
        <v>唐流雨</v>
      </c>
      <c r="BS72" s="14">
        <f t="shared" si="112"/>
        <v>8</v>
      </c>
      <c r="BT72" s="14" t="str">
        <f t="shared" si="113"/>
        <v>唐流雨8突</v>
      </c>
      <c r="BU72" s="14" t="str">
        <f>IF(BN72&gt;0,INDEX(挂机升级突破!$ER$5:$EV$5,卡牌消耗!BN72),"")</f>
        <v>金币</v>
      </c>
      <c r="BV72" s="14">
        <f>IF(BN72&gt;0,ROUND(INDEX(挂机升级突破!$EV$7:$EV$26,卡牌消耗!BS72)*INDEX(卡牌消耗!$B$8:$F$8,BP72)/$Q$4/500,0)*500,"")</f>
        <v>5500</v>
      </c>
      <c r="BW72" s="14" t="str">
        <f>IF(BO72&gt;0,INDEX(挂机升级突破!$ER$5:$EV$5,卡牌消耗!BO72),"")</f>
        <v>玄铁</v>
      </c>
      <c r="BX72" s="14">
        <f>IF(BO72&gt;0,ROUND(INDEX(挂机升级突破!$ER$7:$EU$26,卡牌消耗!BS72,卡牌消耗!BO72)*INDEX($B$6:$F$6,BP72)/$Q$4/5,0)*5,"")</f>
        <v>120</v>
      </c>
      <c r="BY72" s="193"/>
      <c r="BZ72" s="193"/>
      <c r="CA72" s="106"/>
      <c r="CS72" s="171"/>
      <c r="CT72" s="171"/>
      <c r="CU72" s="171"/>
      <c r="CV72" s="169">
        <v>68</v>
      </c>
      <c r="CW72" s="169">
        <v>5.75</v>
      </c>
      <c r="CX72" s="21">
        <f t="shared" ref="CX72" si="122">CW72/$CU71</f>
        <v>0.20909090909090908</v>
      </c>
      <c r="CY72" s="169">
        <f t="shared" ref="CY72" si="123">INT($CU70*CX72/5)*5</f>
        <v>17435</v>
      </c>
      <c r="CZ72" s="169">
        <f>SUM(CY$5:CY72)</f>
        <v>527535</v>
      </c>
      <c r="DB72" s="188">
        <f t="shared" si="116"/>
        <v>8700</v>
      </c>
      <c r="DC72" s="188">
        <f t="shared" si="116"/>
        <v>13900</v>
      </c>
      <c r="DD72" s="188">
        <f t="shared" si="116"/>
        <v>17400</v>
      </c>
      <c r="DE72" s="188">
        <f t="shared" si="116"/>
        <v>20900</v>
      </c>
      <c r="DF72" s="188">
        <f t="shared" si="116"/>
        <v>26150</v>
      </c>
      <c r="DI72" s="186">
        <v>68</v>
      </c>
      <c r="DJ72" s="14">
        <f t="shared" si="117"/>
        <v>14</v>
      </c>
      <c r="DK72" s="14">
        <f t="shared" si="99"/>
        <v>3</v>
      </c>
      <c r="DL72" s="14">
        <f t="shared" si="100"/>
        <v>1101014</v>
      </c>
      <c r="DM72" s="136" t="s">
        <v>1097</v>
      </c>
      <c r="DN72" s="14">
        <f t="shared" si="101"/>
        <v>3</v>
      </c>
      <c r="DO72" s="14" t="str">
        <f t="shared" si="102"/>
        <v>吕仙宫-3星</v>
      </c>
      <c r="DP72" s="136" t="s">
        <v>1103</v>
      </c>
      <c r="DQ72" s="14">
        <f t="shared" si="118"/>
        <v>10000</v>
      </c>
      <c r="DR72" s="14" t="str">
        <f t="shared" si="103"/>
        <v>吕仙宫碎片</v>
      </c>
      <c r="DS72" s="14">
        <f t="shared" si="119"/>
        <v>40</v>
      </c>
    </row>
    <row r="73" spans="1:123" ht="16.5" x14ac:dyDescent="0.2">
      <c r="A73" s="55">
        <v>1101030</v>
      </c>
      <c r="B73" s="55" t="s">
        <v>1093</v>
      </c>
      <c r="C73" s="55">
        <v>3</v>
      </c>
      <c r="D73" s="136">
        <v>5</v>
      </c>
      <c r="E73" s="136">
        <f>SUM(D$52:D73)</f>
        <v>110</v>
      </c>
      <c r="H73" s="15"/>
      <c r="I73" s="15"/>
      <c r="J73" s="15"/>
      <c r="K73" s="15"/>
      <c r="L73" s="15"/>
      <c r="M73" s="15"/>
      <c r="N73" s="15"/>
      <c r="O73" s="137"/>
      <c r="P73" s="141"/>
      <c r="Q73" s="141"/>
      <c r="R73" s="141"/>
      <c r="S73" s="141"/>
      <c r="T73" s="141"/>
      <c r="U73" s="141"/>
      <c r="V73" s="141"/>
      <c r="W73" s="141"/>
      <c r="X73" s="141"/>
      <c r="Y73" s="141"/>
      <c r="Z73" s="196">
        <v>3</v>
      </c>
      <c r="AA73" s="196">
        <v>17</v>
      </c>
      <c r="AB73" s="14">
        <f>ROUND(INDEX(挂机升级突破!DT$6:DT$57,卡牌消耗!$AA73)*INDEX(卡牌消耗!$B$5:$F$5,卡牌消耗!$Z73)/卡牌消耗!$Q$4/AB$2,0)*AB$2</f>
        <v>0</v>
      </c>
      <c r="AC73" s="14">
        <f>ROUND(INDEX(挂机升级突破!DU$6:DU$57,卡牌消耗!$AA73)*INDEX(卡牌消耗!$B$5:$F$5,卡牌消耗!$Z73)/卡牌消耗!$Q$4/AC$2,0)*AC$2</f>
        <v>0</v>
      </c>
      <c r="AD73" s="14">
        <f>ROUND(INDEX(挂机升级突破!DV$6:DV$57,卡牌消耗!$AA73)*INDEX(卡牌消耗!$B$5:$F$5,卡牌消耗!$Z73)/卡牌消耗!$Q$4/AD$2,0)*AD$2</f>
        <v>45</v>
      </c>
      <c r="AE73" s="14">
        <f>ROUND(INDEX(挂机升级突破!DW$6:DW$57,卡牌消耗!$AA73)*INDEX(卡牌消耗!$B$5:$F$5,卡牌消耗!$Z73)/卡牌消耗!$Q$4/AE$2,0)*AE$2</f>
        <v>0</v>
      </c>
      <c r="AF73" s="14">
        <f>ROUND(INDEX(挂机升级突破!DX$6:DX$57,卡牌消耗!$AA73)*INDEX(卡牌消耗!$B$5:$F$5,卡牌消耗!$Z73)/卡牌消耗!$Q$4/AF$2,0)*AF$2</f>
        <v>0</v>
      </c>
      <c r="AG73" s="14">
        <f>ROUND(INDEX(挂机升级突破!EC$6:EC$57,卡牌消耗!$AA73)*INDEX(卡牌消耗!$B$7:$F$7,卡牌消耗!$Z73)/卡牌消耗!$Q$4/AG$2,0)*AG$2</f>
        <v>0</v>
      </c>
      <c r="AH73" s="14">
        <f>ROUND(INDEX(挂机升级突破!ED$6:ED$57,卡牌消耗!$AA73)*INDEX(卡牌消耗!$B$8:$F$8,卡牌消耗!$Z73)/卡牌消耗!$Q$4/AH$2,0)*AH$2</f>
        <v>4100</v>
      </c>
      <c r="AI73" s="194"/>
      <c r="AJ73" s="194"/>
      <c r="AK73" s="104">
        <v>69</v>
      </c>
      <c r="AL73" s="14">
        <f t="shared" si="104"/>
        <v>2</v>
      </c>
      <c r="AM73" s="14">
        <f>INDEX(挂机升级突破!DQ$6:DQ$57,卡牌消耗!$AT73)</f>
        <v>11</v>
      </c>
      <c r="AN73" s="14">
        <f>INDEX(挂机升级突破!DR$6:DR$57,卡牌消耗!$AT73)</f>
        <v>3</v>
      </c>
      <c r="AO73" s="14">
        <f>INDEX(挂机升级突破!DS$6:DS$57,卡牌消耗!$AT73)</f>
        <v>0</v>
      </c>
      <c r="AP73" s="14">
        <f>INDEX(挂机升级突破!$DP$6:$DP$57,卡牌消耗!AT73)</f>
        <v>60</v>
      </c>
      <c r="AQ73" s="14" t="str">
        <f t="shared" si="105"/>
        <v>许褚</v>
      </c>
      <c r="AR73" s="14">
        <f t="shared" si="106"/>
        <v>3</v>
      </c>
      <c r="AS73" s="14" t="str">
        <f t="shared" si="107"/>
        <v>许褚魂火-17</v>
      </c>
      <c r="AT73" s="14">
        <f t="shared" si="108"/>
        <v>17</v>
      </c>
      <c r="AU73" s="14" t="str">
        <f>IF(AM73&gt;0,INDEX(挂机升级突破!$DT$4:$ED$4,AM73),"")</f>
        <v>金币</v>
      </c>
      <c r="AV73" s="14">
        <f>ROUND(INDEX(挂机升级突破!$DJ$6:$DJ$57,卡牌消耗!AT73)*INDEX(卡牌消耗!$B$8:$F$8,AR73)/$Q$4/50,0)*50</f>
        <v>4100</v>
      </c>
      <c r="AW73" s="14" t="str">
        <f>IF(AN73&gt;0,INDEX(挂机升级突破!$DT$4:$ED$4,AN73),"")</f>
        <v>紫色基础材料</v>
      </c>
      <c r="AX73" s="14">
        <f>ROUND(INDEX(挂机升级突破!$DT$6:$ED$57,卡牌消耗!AT73,AN73)*INDEX(卡牌消耗!$B$5:$F$5,AR73)/$Q$4/5,0)*5</f>
        <v>45</v>
      </c>
      <c r="AY73" s="14" t="str">
        <f>IF(AO73&gt;0,INDEX(挂机升级突破!$DT$4:$ED$4,AO73),"")</f>
        <v/>
      </c>
      <c r="AZ73" s="14" t="str">
        <f>IF(AO73&gt;0,ROUND(INDEX(挂机升级突破!$DT$6:$ED$57,卡牌消耗!AT73,AO73)*INDEX(卡牌消耗!$B$7:$F$7,AR73)/$Q$4,0),"")</f>
        <v/>
      </c>
      <c r="BA73" s="106"/>
      <c r="BB73" s="197"/>
      <c r="BC73" s="196">
        <v>5</v>
      </c>
      <c r="BD73" s="196">
        <v>9</v>
      </c>
      <c r="BE73" s="14">
        <f>ROUND(INDEX(挂机升级突破!ER$7:ER$26,卡牌消耗!$BD73)*INDEX(卡牌消耗!$B$6:$F$6,$BC73)/$Q$4,0)</f>
        <v>0</v>
      </c>
      <c r="BF73" s="14">
        <f>ROUND(INDEX(挂机升级突破!ES$7:ES$26,卡牌消耗!$BD73)*INDEX(卡牌消耗!$B$6:$F$6,$BC73)/$Q$4,0)</f>
        <v>74</v>
      </c>
      <c r="BG73" s="14">
        <f>ROUND(INDEX(挂机升级突破!ET$7:ET$26,卡牌消耗!$BD73)*INDEX(卡牌消耗!$B$6:$F$6,$BC73)/$Q$4,0)</f>
        <v>0</v>
      </c>
      <c r="BH73" s="14">
        <f>ROUND(INDEX(挂机升级突破!EU$7:EU$26,卡牌消耗!$BD73)*INDEX(卡牌消耗!$B$6:$F$6,$BC73)/$Q$4,0)</f>
        <v>0</v>
      </c>
      <c r="BI73" s="14">
        <f>ROUND(INDEX(挂机升级突破!$EV$7:$EV$26,卡牌消耗!BD73)*INDEX(卡牌消耗!$B$8:$F$8,$BC73)/$Q$4/BI$2,0)*BI$2</f>
        <v>22000</v>
      </c>
      <c r="BJ73" s="197"/>
      <c r="BK73" s="197"/>
      <c r="BL73" s="104">
        <v>69</v>
      </c>
      <c r="BM73" s="14">
        <f t="shared" si="109"/>
        <v>4</v>
      </c>
      <c r="BN73" s="14">
        <f>INDEX(挂机升级突破!$EI$7:$EI$26,BS73)</f>
        <v>5</v>
      </c>
      <c r="BO73" s="14">
        <f>INDEX(挂机升级突破!$EJ$7:$EJ$26,BS73)</f>
        <v>2</v>
      </c>
      <c r="BP73" s="14">
        <f t="shared" si="110"/>
        <v>2</v>
      </c>
      <c r="BQ73" s="14">
        <f>INDEX(挂机升级突破!$EH$7:$EH$26,卡牌消耗!BS73)</f>
        <v>57</v>
      </c>
      <c r="BR73" s="14" t="str">
        <f t="shared" si="111"/>
        <v>唐流雨</v>
      </c>
      <c r="BS73" s="14">
        <f t="shared" si="112"/>
        <v>9</v>
      </c>
      <c r="BT73" s="14" t="str">
        <f t="shared" si="113"/>
        <v>唐流雨9突</v>
      </c>
      <c r="BU73" s="14" t="str">
        <f>IF(BN73&gt;0,INDEX(挂机升级突破!$ER$5:$EV$5,卡牌消耗!BN73),"")</f>
        <v>金币</v>
      </c>
      <c r="BV73" s="14">
        <f>IF(BN73&gt;0,ROUND(INDEX(挂机升级突破!$EV$7:$EV$26,卡牌消耗!BS73)*INDEX(卡牌消耗!$B$8:$F$8,BP73)/$Q$4/500,0)*500,"")</f>
        <v>7500</v>
      </c>
      <c r="BW73" s="14" t="str">
        <f>IF(BO73&gt;0,INDEX(挂机升级突破!$ER$5:$EV$5,卡牌消耗!BO73),"")</f>
        <v>乌金</v>
      </c>
      <c r="BX73" s="14">
        <f>IF(BO73&gt;0,ROUND(INDEX(挂机升级突破!$ER$7:$EU$26,卡牌消耗!BS73,卡牌消耗!BO73)*INDEX($B$6:$F$6,BP73)/$Q$4/5,0)*5,"")</f>
        <v>40</v>
      </c>
      <c r="BY73" s="193"/>
      <c r="BZ73" s="193"/>
      <c r="CA73" s="106"/>
      <c r="CS73" s="171"/>
      <c r="CT73" s="171"/>
      <c r="CU73" s="171"/>
      <c r="CV73" s="169">
        <v>69</v>
      </c>
      <c r="CW73" s="169">
        <v>6</v>
      </c>
      <c r="CX73" s="21">
        <f t="shared" ref="CX73" si="124">CW73/$CU71</f>
        <v>0.21818181818181817</v>
      </c>
      <c r="CY73" s="169">
        <f t="shared" ref="CY73" si="125">INT($CU70*CX73/5)*5</f>
        <v>18195</v>
      </c>
      <c r="CZ73" s="169">
        <f>SUM(CY$5:CY73)</f>
        <v>545730</v>
      </c>
      <c r="DB73" s="188">
        <f t="shared" si="116"/>
        <v>9050</v>
      </c>
      <c r="DC73" s="188">
        <f t="shared" si="116"/>
        <v>14550</v>
      </c>
      <c r="DD73" s="188">
        <f t="shared" si="116"/>
        <v>18150</v>
      </c>
      <c r="DE73" s="188">
        <f t="shared" si="116"/>
        <v>21800</v>
      </c>
      <c r="DF73" s="188">
        <f t="shared" si="116"/>
        <v>27250</v>
      </c>
      <c r="DI73" s="186">
        <v>69</v>
      </c>
      <c r="DJ73" s="14">
        <f t="shared" si="117"/>
        <v>14</v>
      </c>
      <c r="DK73" s="14">
        <f t="shared" si="99"/>
        <v>3</v>
      </c>
      <c r="DL73" s="14">
        <f t="shared" si="100"/>
        <v>1101014</v>
      </c>
      <c r="DM73" s="136" t="s">
        <v>1097</v>
      </c>
      <c r="DN73" s="14">
        <f t="shared" si="101"/>
        <v>4</v>
      </c>
      <c r="DO73" s="14" t="str">
        <f t="shared" si="102"/>
        <v>吕仙宫-4星</v>
      </c>
      <c r="DP73" s="136" t="s">
        <v>1103</v>
      </c>
      <c r="DQ73" s="14">
        <f t="shared" si="118"/>
        <v>20000</v>
      </c>
      <c r="DR73" s="14" t="str">
        <f t="shared" si="103"/>
        <v>吕仙宫碎片</v>
      </c>
      <c r="DS73" s="14">
        <f t="shared" si="119"/>
        <v>40</v>
      </c>
    </row>
    <row r="74" spans="1:123" ht="16.5" x14ac:dyDescent="0.2">
      <c r="A74" s="139">
        <v>1101043</v>
      </c>
      <c r="B74" s="139" t="s">
        <v>1136</v>
      </c>
      <c r="C74" s="139">
        <v>4</v>
      </c>
      <c r="D74" s="139">
        <v>5</v>
      </c>
      <c r="E74" s="186">
        <f>SUM(D$52:D74)</f>
        <v>115</v>
      </c>
      <c r="H74" s="15"/>
      <c r="I74" s="15"/>
      <c r="J74" s="15"/>
      <c r="K74" s="15"/>
      <c r="L74" s="15"/>
      <c r="M74" s="15"/>
      <c r="N74" s="15"/>
      <c r="O74" s="137"/>
      <c r="P74" s="141"/>
      <c r="Q74" s="141"/>
      <c r="R74" s="141"/>
      <c r="S74" s="141"/>
      <c r="T74" s="141"/>
      <c r="U74" s="141"/>
      <c r="V74" s="141"/>
      <c r="W74" s="141"/>
      <c r="X74" s="141"/>
      <c r="Y74" s="141"/>
      <c r="Z74" s="196">
        <v>3</v>
      </c>
      <c r="AA74" s="196">
        <v>18</v>
      </c>
      <c r="AB74" s="14">
        <f>ROUND(INDEX(挂机升级突破!DT$6:DT$57,卡牌消耗!$AA74)*INDEX(卡牌消耗!$B$5:$F$5,卡牌消耗!$Z74)/卡牌消耗!$Q$4/AB$2,0)*AB$2</f>
        <v>0</v>
      </c>
      <c r="AC74" s="14">
        <f>ROUND(INDEX(挂机升级突破!DU$6:DU$57,卡牌消耗!$AA74)*INDEX(卡牌消耗!$B$5:$F$5,卡牌消耗!$Z74)/卡牌消耗!$Q$4/AC$2,0)*AC$2</f>
        <v>0</v>
      </c>
      <c r="AD74" s="14">
        <f>ROUND(INDEX(挂机升级突破!DV$6:DV$57,卡牌消耗!$AA74)*INDEX(卡牌消耗!$B$5:$F$5,卡牌消耗!$Z74)/卡牌消耗!$Q$4/AD$2,0)*AD$2</f>
        <v>45</v>
      </c>
      <c r="AE74" s="14">
        <f>ROUND(INDEX(挂机升级突破!DW$6:DW$57,卡牌消耗!$AA74)*INDEX(卡牌消耗!$B$5:$F$5,卡牌消耗!$Z74)/卡牌消耗!$Q$4/AE$2,0)*AE$2</f>
        <v>0</v>
      </c>
      <c r="AF74" s="14">
        <f>ROUND(INDEX(挂机升级突破!DX$6:DX$57,卡牌消耗!$AA74)*INDEX(卡牌消耗!$B$5:$F$5,卡牌消耗!$Z74)/卡牌消耗!$Q$4/AF$2,0)*AF$2</f>
        <v>0</v>
      </c>
      <c r="AG74" s="14">
        <f>ROUND(INDEX(挂机升级突破!EC$6:EC$57,卡牌消耗!$AA74)*INDEX(卡牌消耗!$B$7:$F$7,卡牌消耗!$Z74)/卡牌消耗!$Q$4/AG$2,0)*AG$2</f>
        <v>0</v>
      </c>
      <c r="AH74" s="14">
        <f>ROUND(INDEX(挂机升级突破!ED$6:ED$57,卡牌消耗!$AA74)*INDEX(卡牌消耗!$B$8:$F$8,卡牌消耗!$Z74)/卡牌消耗!$Q$4/AH$2,0)*AH$2</f>
        <v>4100</v>
      </c>
      <c r="AI74" s="194"/>
      <c r="AJ74" s="194"/>
      <c r="AK74" s="104">
        <v>70</v>
      </c>
      <c r="AL74" s="14">
        <f t="shared" si="104"/>
        <v>2</v>
      </c>
      <c r="AM74" s="14">
        <f>INDEX(挂机升级突破!DQ$6:DQ$57,卡牌消耗!$AT74)</f>
        <v>11</v>
      </c>
      <c r="AN74" s="14">
        <f>INDEX(挂机升级突破!DR$6:DR$57,卡牌消耗!$AT74)</f>
        <v>3</v>
      </c>
      <c r="AO74" s="14">
        <f>INDEX(挂机升级突破!DS$6:DS$57,卡牌消耗!$AT74)</f>
        <v>0</v>
      </c>
      <c r="AP74" s="14">
        <f>INDEX(挂机升级突破!$DP$6:$DP$57,卡牌消耗!AT74)</f>
        <v>63</v>
      </c>
      <c r="AQ74" s="14" t="str">
        <f t="shared" si="105"/>
        <v>许褚</v>
      </c>
      <c r="AR74" s="14">
        <f t="shared" si="106"/>
        <v>3</v>
      </c>
      <c r="AS74" s="14" t="str">
        <f t="shared" si="107"/>
        <v>许褚魂火-18</v>
      </c>
      <c r="AT74" s="14">
        <f t="shared" si="108"/>
        <v>18</v>
      </c>
      <c r="AU74" s="14" t="str">
        <f>IF(AM74&gt;0,INDEX(挂机升级突破!$DT$4:$ED$4,AM74),"")</f>
        <v>金币</v>
      </c>
      <c r="AV74" s="14">
        <f>ROUND(INDEX(挂机升级突破!$DJ$6:$DJ$57,卡牌消耗!AT74)*INDEX(卡牌消耗!$B$8:$F$8,AR74)/$Q$4/50,0)*50</f>
        <v>4100</v>
      </c>
      <c r="AW74" s="14" t="str">
        <f>IF(AN74&gt;0,INDEX(挂机升级突破!$DT$4:$ED$4,AN74),"")</f>
        <v>紫色基础材料</v>
      </c>
      <c r="AX74" s="14">
        <f>ROUND(INDEX(挂机升级突破!$DT$6:$ED$57,卡牌消耗!AT74,AN74)*INDEX(卡牌消耗!$B$5:$F$5,AR74)/$Q$4/5,0)*5</f>
        <v>45</v>
      </c>
      <c r="AY74" s="14" t="str">
        <f>IF(AO74&gt;0,INDEX(挂机升级突破!$DT$4:$ED$4,AO74),"")</f>
        <v/>
      </c>
      <c r="AZ74" s="14" t="str">
        <f>IF(AO74&gt;0,ROUND(INDEX(挂机升级突破!$DT$6:$ED$57,卡牌消耗!AT74,AO74)*INDEX(卡牌消耗!$B$7:$F$7,AR74)/$Q$4,0),"")</f>
        <v/>
      </c>
      <c r="BA74" s="106"/>
      <c r="BB74" s="197"/>
      <c r="BC74" s="196">
        <v>5</v>
      </c>
      <c r="BD74" s="196">
        <v>10</v>
      </c>
      <c r="BE74" s="14">
        <f>ROUND(INDEX(挂机升级突破!ER$7:ER$26,卡牌消耗!$BD74)*INDEX(卡牌消耗!$B$6:$F$6,$BC74)/$Q$4,0)</f>
        <v>0</v>
      </c>
      <c r="BF74" s="14">
        <f>ROUND(INDEX(挂机升级突破!ES$7:ES$26,卡牌消耗!$BD74)*INDEX(卡牌消耗!$B$6:$F$6,$BC74)/$Q$4,0)</f>
        <v>104</v>
      </c>
      <c r="BG74" s="14">
        <f>ROUND(INDEX(挂机升级突破!ET$7:ET$26,卡牌消耗!$BD74)*INDEX(卡牌消耗!$B$6:$F$6,$BC74)/$Q$4,0)</f>
        <v>0</v>
      </c>
      <c r="BH74" s="14">
        <f>ROUND(INDEX(挂机升级突破!EU$7:EU$26,卡牌消耗!$BD74)*INDEX(卡牌消耗!$B$6:$F$6,$BC74)/$Q$4,0)</f>
        <v>0</v>
      </c>
      <c r="BI74" s="14">
        <f>ROUND(INDEX(挂机升级突破!$EV$7:$EV$26,卡牌消耗!BD74)*INDEX(卡牌消耗!$B$8:$F$8,$BC74)/$Q$4/BI$2,0)*BI$2</f>
        <v>37500</v>
      </c>
      <c r="BJ74" s="197"/>
      <c r="BK74" s="197"/>
      <c r="BL74" s="104">
        <v>70</v>
      </c>
      <c r="BM74" s="14">
        <f t="shared" si="109"/>
        <v>4</v>
      </c>
      <c r="BN74" s="14">
        <f>INDEX(挂机升级突破!$EI$7:$EI$26,BS74)</f>
        <v>5</v>
      </c>
      <c r="BO74" s="14">
        <f>INDEX(挂机升级突破!$EJ$7:$EJ$26,BS74)</f>
        <v>2</v>
      </c>
      <c r="BP74" s="14">
        <f t="shared" si="110"/>
        <v>2</v>
      </c>
      <c r="BQ74" s="14">
        <f>INDEX(挂机升级突破!$EH$7:$EH$26,卡牌消耗!BS74)</f>
        <v>65</v>
      </c>
      <c r="BR74" s="14" t="str">
        <f t="shared" si="111"/>
        <v>唐流雨</v>
      </c>
      <c r="BS74" s="14">
        <f t="shared" si="112"/>
        <v>10</v>
      </c>
      <c r="BT74" s="14" t="str">
        <f t="shared" si="113"/>
        <v>唐流雨10突</v>
      </c>
      <c r="BU74" s="14" t="str">
        <f>IF(BN74&gt;0,INDEX(挂机升级突破!$ER$5:$EV$5,卡牌消耗!BN74),"")</f>
        <v>金币</v>
      </c>
      <c r="BV74" s="14">
        <f>IF(BN74&gt;0,ROUND(INDEX(挂机升级突破!$EV$7:$EV$26,卡牌消耗!BS74)*INDEX(卡牌消耗!$B$8:$F$8,BP74)/$Q$4/500,0)*500,"")</f>
        <v>13000</v>
      </c>
      <c r="BW74" s="14" t="str">
        <f>IF(BO74&gt;0,INDEX(挂机升级突破!$ER$5:$EV$5,卡牌消耗!BO74),"")</f>
        <v>乌金</v>
      </c>
      <c r="BX74" s="14">
        <f>IF(BO74&gt;0,ROUND(INDEX(挂机升级突破!$ER$7:$EU$26,卡牌消耗!BS74,卡牌消耗!BO74)*INDEX($B$6:$F$6,BP74)/$Q$4/5,0)*5,"")</f>
        <v>55</v>
      </c>
      <c r="BY74" s="193"/>
      <c r="BZ74" s="193"/>
      <c r="CA74" s="106"/>
      <c r="CS74" s="171"/>
      <c r="CT74" s="173" t="s">
        <v>120</v>
      </c>
      <c r="CU74" s="169">
        <v>13</v>
      </c>
      <c r="CV74" s="169">
        <v>70</v>
      </c>
      <c r="CW74" s="169">
        <v>5</v>
      </c>
      <c r="CX74" s="21">
        <f t="shared" ref="CX74" si="126">CW74/$CU76</f>
        <v>0.18181818181818182</v>
      </c>
      <c r="CY74" s="169">
        <f t="shared" ref="CY74" si="127">INT($CU75*CX74/5)*5</f>
        <v>18490</v>
      </c>
      <c r="CZ74" s="169">
        <f>SUM(CY$5:CY74)</f>
        <v>564220</v>
      </c>
      <c r="DB74" s="188">
        <f t="shared" si="116"/>
        <v>9200</v>
      </c>
      <c r="DC74" s="188">
        <f t="shared" si="116"/>
        <v>14750</v>
      </c>
      <c r="DD74" s="188">
        <f t="shared" si="116"/>
        <v>18450</v>
      </c>
      <c r="DE74" s="188">
        <f t="shared" si="116"/>
        <v>22150</v>
      </c>
      <c r="DF74" s="188">
        <f t="shared" si="116"/>
        <v>27700</v>
      </c>
      <c r="DI74" s="186">
        <v>70</v>
      </c>
      <c r="DJ74" s="14">
        <f t="shared" si="117"/>
        <v>14</v>
      </c>
      <c r="DK74" s="14">
        <f t="shared" si="99"/>
        <v>3</v>
      </c>
      <c r="DL74" s="14">
        <f t="shared" si="100"/>
        <v>1101014</v>
      </c>
      <c r="DM74" s="136" t="s">
        <v>1097</v>
      </c>
      <c r="DN74" s="14">
        <f t="shared" si="101"/>
        <v>5</v>
      </c>
      <c r="DO74" s="14" t="str">
        <f t="shared" si="102"/>
        <v>吕仙宫-5星</v>
      </c>
      <c r="DP74" s="136" t="s">
        <v>1103</v>
      </c>
      <c r="DQ74" s="14">
        <f t="shared" si="118"/>
        <v>40000</v>
      </c>
      <c r="DR74" s="14" t="str">
        <f t="shared" si="103"/>
        <v>吕仙宫碎片</v>
      </c>
      <c r="DS74" s="14">
        <f t="shared" si="119"/>
        <v>40</v>
      </c>
    </row>
    <row r="75" spans="1:123" ht="16.5" x14ac:dyDescent="0.2">
      <c r="A75" s="186">
        <v>1101999</v>
      </c>
      <c r="B75" s="186" t="s">
        <v>1562</v>
      </c>
      <c r="C75" s="186">
        <v>2</v>
      </c>
      <c r="D75" s="186">
        <v>5</v>
      </c>
      <c r="E75" s="186">
        <f>SUM(D$52:D75)</f>
        <v>120</v>
      </c>
      <c r="H75" s="15"/>
      <c r="I75" s="15"/>
      <c r="J75" s="15"/>
      <c r="K75" s="15"/>
      <c r="L75" s="15"/>
      <c r="M75" s="15"/>
      <c r="N75" s="15"/>
      <c r="O75" s="137"/>
      <c r="P75" s="141"/>
      <c r="Q75" s="141"/>
      <c r="R75" s="141"/>
      <c r="S75" s="141"/>
      <c r="T75" s="141"/>
      <c r="U75" s="141"/>
      <c r="V75" s="141"/>
      <c r="W75" s="141"/>
      <c r="X75" s="141"/>
      <c r="Y75" s="141"/>
      <c r="Z75" s="196">
        <v>3</v>
      </c>
      <c r="AA75" s="196">
        <v>19</v>
      </c>
      <c r="AB75" s="14">
        <f>ROUND(INDEX(挂机升级突破!DT$6:DT$57,卡牌消耗!$AA75)*INDEX(卡牌消耗!$B$5:$F$5,卡牌消耗!$Z75)/卡牌消耗!$Q$4/AB$2,0)*AB$2</f>
        <v>0</v>
      </c>
      <c r="AC75" s="14">
        <f>ROUND(INDEX(挂机升级突破!DU$6:DU$57,卡牌消耗!$AA75)*INDEX(卡牌消耗!$B$5:$F$5,卡牌消耗!$Z75)/卡牌消耗!$Q$4/AC$2,0)*AC$2</f>
        <v>0</v>
      </c>
      <c r="AD75" s="14">
        <f>ROUND(INDEX(挂机升级突破!DV$6:DV$57,卡牌消耗!$AA75)*INDEX(卡牌消耗!$B$5:$F$5,卡牌消耗!$Z75)/卡牌消耗!$Q$4/AD$2,0)*AD$2</f>
        <v>45</v>
      </c>
      <c r="AE75" s="14">
        <f>ROUND(INDEX(挂机升级突破!DW$6:DW$57,卡牌消耗!$AA75)*INDEX(卡牌消耗!$B$5:$F$5,卡牌消耗!$Z75)/卡牌消耗!$Q$4/AE$2,0)*AE$2</f>
        <v>0</v>
      </c>
      <c r="AF75" s="14">
        <f>ROUND(INDEX(挂机升级突破!DX$6:DX$57,卡牌消耗!$AA75)*INDEX(卡牌消耗!$B$5:$F$5,卡牌消耗!$Z75)/卡牌消耗!$Q$4/AF$2,0)*AF$2</f>
        <v>0</v>
      </c>
      <c r="AG75" s="14">
        <f>ROUND(INDEX(挂机升级突破!EC$6:EC$57,卡牌消耗!$AA75)*INDEX(卡牌消耗!$B$7:$F$7,卡牌消耗!$Z75)/卡牌消耗!$Q$4/AG$2,0)*AG$2</f>
        <v>0</v>
      </c>
      <c r="AH75" s="14">
        <f>ROUND(INDEX(挂机升级突破!ED$6:ED$57,卡牌消耗!$AA75)*INDEX(卡牌消耗!$B$8:$F$8,卡牌消耗!$Z75)/卡牌消耗!$Q$4/AH$2,0)*AH$2</f>
        <v>4100</v>
      </c>
      <c r="AI75" s="194"/>
      <c r="AJ75" s="194"/>
      <c r="AK75" s="104">
        <v>71</v>
      </c>
      <c r="AL75" s="14">
        <f t="shared" si="104"/>
        <v>2</v>
      </c>
      <c r="AM75" s="14">
        <f>INDEX(挂机升级突破!DQ$6:DQ$57,卡牌消耗!$AT75)</f>
        <v>11</v>
      </c>
      <c r="AN75" s="14">
        <f>INDEX(挂机升级突破!DR$6:DR$57,卡牌消耗!$AT75)</f>
        <v>3</v>
      </c>
      <c r="AO75" s="14">
        <f>INDEX(挂机升级突破!DS$6:DS$57,卡牌消耗!$AT75)</f>
        <v>0</v>
      </c>
      <c r="AP75" s="14">
        <f>INDEX(挂机升级突破!$DP$6:$DP$57,卡牌消耗!AT75)</f>
        <v>65</v>
      </c>
      <c r="AQ75" s="14" t="str">
        <f t="shared" si="105"/>
        <v>许褚</v>
      </c>
      <c r="AR75" s="14">
        <f t="shared" si="106"/>
        <v>3</v>
      </c>
      <c r="AS75" s="14" t="str">
        <f t="shared" si="107"/>
        <v>许褚魂火-19</v>
      </c>
      <c r="AT75" s="14">
        <f t="shared" si="108"/>
        <v>19</v>
      </c>
      <c r="AU75" s="14" t="str">
        <f>IF(AM75&gt;0,INDEX(挂机升级突破!$DT$4:$ED$4,AM75),"")</f>
        <v>金币</v>
      </c>
      <c r="AV75" s="14">
        <f>ROUND(INDEX(挂机升级突破!$DJ$6:$DJ$57,卡牌消耗!AT75)*INDEX(卡牌消耗!$B$8:$F$8,AR75)/$Q$4/50,0)*50</f>
        <v>4100</v>
      </c>
      <c r="AW75" s="14" t="str">
        <f>IF(AN75&gt;0,INDEX(挂机升级突破!$DT$4:$ED$4,AN75),"")</f>
        <v>紫色基础材料</v>
      </c>
      <c r="AX75" s="14">
        <f>ROUND(INDEX(挂机升级突破!$DT$6:$ED$57,卡牌消耗!AT75,AN75)*INDEX(卡牌消耗!$B$5:$F$5,AR75)/$Q$4/5,0)*5</f>
        <v>45</v>
      </c>
      <c r="AY75" s="14" t="str">
        <f>IF(AO75&gt;0,INDEX(挂机升级突破!$DT$4:$ED$4,AO75),"")</f>
        <v/>
      </c>
      <c r="AZ75" s="14" t="str">
        <f>IF(AO75&gt;0,ROUND(INDEX(挂机升级突破!$DT$6:$ED$57,卡牌消耗!AT75,AO75)*INDEX(卡牌消耗!$B$7:$F$7,AR75)/$Q$4,0),"")</f>
        <v/>
      </c>
      <c r="BA75" s="106"/>
      <c r="BB75" s="197"/>
      <c r="BC75" s="196">
        <v>5</v>
      </c>
      <c r="BD75" s="196">
        <v>11</v>
      </c>
      <c r="BE75" s="14">
        <f>ROUND(INDEX(挂机升级突破!ER$7:ER$26,卡牌消耗!$BD75)*INDEX(卡牌消耗!$B$6:$F$6,$BC75)/$Q$4,0)</f>
        <v>0</v>
      </c>
      <c r="BF75" s="14">
        <f>ROUND(INDEX(挂机升级突破!ES$7:ES$26,卡牌消耗!$BD75)*INDEX(卡牌消耗!$B$6:$F$6,$BC75)/$Q$4,0)</f>
        <v>138</v>
      </c>
      <c r="BG75" s="14">
        <f>ROUND(INDEX(挂机升级突破!ET$7:ET$26,卡牌消耗!$BD75)*INDEX(卡牌消耗!$B$6:$F$6,$BC75)/$Q$4,0)</f>
        <v>0</v>
      </c>
      <c r="BH75" s="14">
        <f>ROUND(INDEX(挂机升级突破!EU$7:EU$26,卡牌消耗!$BD75)*INDEX(卡牌消耗!$B$6:$F$6,$BC75)/$Q$4,0)</f>
        <v>0</v>
      </c>
      <c r="BI75" s="14">
        <f>ROUND(INDEX(挂机升级突破!$EV$7:$EV$26,卡牌消耗!BD75)*INDEX(卡牌消耗!$B$8:$F$8,$BC75)/$Q$4/BI$2,0)*BI$2</f>
        <v>37500</v>
      </c>
      <c r="BJ75" s="197"/>
      <c r="BK75" s="197"/>
      <c r="BL75" s="104">
        <v>71</v>
      </c>
      <c r="BM75" s="14">
        <f t="shared" si="109"/>
        <v>4</v>
      </c>
      <c r="BN75" s="14">
        <f>INDEX(挂机升级突破!$EI$7:$EI$26,BS75)</f>
        <v>5</v>
      </c>
      <c r="BO75" s="14">
        <f>INDEX(挂机升级突破!$EJ$7:$EJ$26,BS75)</f>
        <v>2</v>
      </c>
      <c r="BP75" s="14">
        <f t="shared" si="110"/>
        <v>2</v>
      </c>
      <c r="BQ75" s="14">
        <f>INDEX(挂机升级突破!$EH$7:$EH$26,卡牌消耗!BS75)</f>
        <v>72</v>
      </c>
      <c r="BR75" s="14" t="str">
        <f t="shared" si="111"/>
        <v>唐流雨</v>
      </c>
      <c r="BS75" s="14">
        <f t="shared" si="112"/>
        <v>11</v>
      </c>
      <c r="BT75" s="14" t="str">
        <f t="shared" si="113"/>
        <v>唐流雨11突</v>
      </c>
      <c r="BU75" s="14" t="str">
        <f>IF(BN75&gt;0,INDEX(挂机升级突破!$ER$5:$EV$5,卡牌消耗!BN75),"")</f>
        <v>金币</v>
      </c>
      <c r="BV75" s="14">
        <f>IF(BN75&gt;0,ROUND(INDEX(挂机升级突破!$EV$7:$EV$26,卡牌消耗!BS75)*INDEX(卡牌消耗!$B$8:$F$8,BP75)/$Q$4/500,0)*500,"")</f>
        <v>13000</v>
      </c>
      <c r="BW75" s="14" t="str">
        <f>IF(BO75&gt;0,INDEX(挂机升级突破!$ER$5:$EV$5,卡牌消耗!BO75),"")</f>
        <v>乌金</v>
      </c>
      <c r="BX75" s="14">
        <f>IF(BO75&gt;0,ROUND(INDEX(挂机升级突破!$ER$7:$EU$26,卡牌消耗!BS75,卡牌消耗!BO75)*INDEX($B$6:$F$6,BP75)/$Q$4/5,0)*5,"")</f>
        <v>75</v>
      </c>
      <c r="BY75" s="193"/>
      <c r="BZ75" s="193"/>
      <c r="CA75" s="106"/>
      <c r="CS75" s="171"/>
      <c r="CT75" s="171"/>
      <c r="CU75" s="14">
        <f>INDEX($CP$5:$CP$32,CU74)</f>
        <v>101718</v>
      </c>
      <c r="CV75" s="169">
        <v>71</v>
      </c>
      <c r="CW75" s="169">
        <v>5.25</v>
      </c>
      <c r="CX75" s="21">
        <f t="shared" ref="CX75" si="128">CW75/$CU76</f>
        <v>0.19090909090909092</v>
      </c>
      <c r="CY75" s="169">
        <f t="shared" ref="CY75" si="129">INT($CU75*CX75/5)*5</f>
        <v>19415</v>
      </c>
      <c r="CZ75" s="169">
        <f>SUM(CY$5:CY75)</f>
        <v>583635</v>
      </c>
      <c r="DB75" s="188">
        <f t="shared" si="116"/>
        <v>9700</v>
      </c>
      <c r="DC75" s="188">
        <f t="shared" si="116"/>
        <v>15500</v>
      </c>
      <c r="DD75" s="188">
        <f t="shared" si="116"/>
        <v>19400</v>
      </c>
      <c r="DE75" s="188">
        <f t="shared" si="116"/>
        <v>23250</v>
      </c>
      <c r="DF75" s="188">
        <f t="shared" si="116"/>
        <v>29100</v>
      </c>
      <c r="DI75" s="186">
        <v>71</v>
      </c>
      <c r="DJ75" s="14">
        <f t="shared" si="117"/>
        <v>15</v>
      </c>
      <c r="DK75" s="14">
        <f t="shared" si="99"/>
        <v>2</v>
      </c>
      <c r="DL75" s="14">
        <f t="shared" si="100"/>
        <v>1101015</v>
      </c>
      <c r="DM75" s="136" t="s">
        <v>1097</v>
      </c>
      <c r="DN75" s="14">
        <f t="shared" si="101"/>
        <v>1</v>
      </c>
      <c r="DO75" s="14" t="str">
        <f t="shared" si="102"/>
        <v>阎巧巧-1星</v>
      </c>
      <c r="DP75" s="136" t="s">
        <v>1103</v>
      </c>
      <c r="DQ75" s="14">
        <f t="shared" si="118"/>
        <v>3000</v>
      </c>
      <c r="DR75" s="14" t="str">
        <f t="shared" si="103"/>
        <v>阎巧巧碎片</v>
      </c>
      <c r="DS75" s="14">
        <f t="shared" si="119"/>
        <v>20</v>
      </c>
    </row>
    <row r="76" spans="1:123" ht="16.5" x14ac:dyDescent="0.2">
      <c r="A76" s="186">
        <v>1101998</v>
      </c>
      <c r="B76" s="186" t="s">
        <v>1563</v>
      </c>
      <c r="C76" s="186">
        <v>3</v>
      </c>
      <c r="D76" s="186">
        <v>5</v>
      </c>
      <c r="E76" s="186">
        <f>SUM(D$52:D76)</f>
        <v>125</v>
      </c>
      <c r="H76" s="15"/>
      <c r="I76" s="15"/>
      <c r="J76" s="15"/>
      <c r="K76" s="15"/>
      <c r="L76" s="15"/>
      <c r="M76" s="15"/>
      <c r="N76" s="15"/>
      <c r="O76" s="137"/>
      <c r="P76" s="141"/>
      <c r="Q76" s="141"/>
      <c r="R76" s="141"/>
      <c r="S76" s="141"/>
      <c r="T76" s="141"/>
      <c r="U76" s="141"/>
      <c r="V76" s="141"/>
      <c r="W76" s="141"/>
      <c r="X76" s="141"/>
      <c r="Y76" s="141"/>
      <c r="Z76" s="196">
        <v>3</v>
      </c>
      <c r="AA76" s="196">
        <v>20</v>
      </c>
      <c r="AB76" s="14">
        <f>ROUND(INDEX(挂机升级突破!DT$6:DT$57,卡牌消耗!$AA76)*INDEX(卡牌消耗!$B$5:$F$5,卡牌消耗!$Z76)/卡牌消耗!$Q$4/AB$2,0)*AB$2</f>
        <v>0</v>
      </c>
      <c r="AC76" s="14">
        <f>ROUND(INDEX(挂机升级突破!DU$6:DU$57,卡牌消耗!$AA76)*INDEX(卡牌消耗!$B$5:$F$5,卡牌消耗!$Z76)/卡牌消耗!$Q$4/AC$2,0)*AC$2</f>
        <v>0</v>
      </c>
      <c r="AD76" s="14">
        <f>ROUND(INDEX(挂机升级突破!DV$6:DV$57,卡牌消耗!$AA76)*INDEX(卡牌消耗!$B$5:$F$5,卡牌消耗!$Z76)/卡牌消耗!$Q$4/AD$2,0)*AD$2</f>
        <v>70</v>
      </c>
      <c r="AE76" s="14">
        <f>ROUND(INDEX(挂机升级突破!DW$6:DW$57,卡牌消耗!$AA76)*INDEX(卡牌消耗!$B$5:$F$5,卡牌消耗!$Z76)/卡牌消耗!$Q$4/AE$2,0)*AE$2</f>
        <v>0</v>
      </c>
      <c r="AF76" s="14">
        <f>ROUND(INDEX(挂机升级突破!DX$6:DX$57,卡牌消耗!$AA76)*INDEX(卡牌消耗!$B$5:$F$5,卡牌消耗!$Z76)/卡牌消耗!$Q$4/AF$2,0)*AF$2</f>
        <v>0</v>
      </c>
      <c r="AG76" s="14">
        <f>ROUND(INDEX(挂机升级突破!EC$6:EC$57,卡牌消耗!$AA76)*INDEX(卡牌消耗!$B$7:$F$7,卡牌消耗!$Z76)/卡牌消耗!$Q$4/AG$2,0)*AG$2</f>
        <v>0</v>
      </c>
      <c r="AH76" s="14">
        <f>ROUND(INDEX(挂机升级突破!ED$6:ED$57,卡牌消耗!$AA76)*INDEX(卡牌消耗!$B$8:$F$8,卡牌消耗!$Z76)/卡牌消耗!$Q$4/AH$2,0)*AH$2</f>
        <v>5000</v>
      </c>
      <c r="AI76" s="194"/>
      <c r="AJ76" s="194"/>
      <c r="AK76" s="104">
        <v>72</v>
      </c>
      <c r="AL76" s="14">
        <f t="shared" si="104"/>
        <v>2</v>
      </c>
      <c r="AM76" s="14">
        <f>INDEX(挂机升级突破!DQ$6:DQ$57,卡牌消耗!$AT76)</f>
        <v>11</v>
      </c>
      <c r="AN76" s="14">
        <f>INDEX(挂机升级突破!DR$6:DR$57,卡牌消耗!$AT76)</f>
        <v>3</v>
      </c>
      <c r="AO76" s="14">
        <f>INDEX(挂机升级突破!DS$6:DS$57,卡牌消耗!$AT76)</f>
        <v>0</v>
      </c>
      <c r="AP76" s="14">
        <f>INDEX(挂机升级突破!$DP$6:$DP$57,卡牌消耗!AT76)</f>
        <v>68</v>
      </c>
      <c r="AQ76" s="14" t="str">
        <f t="shared" si="105"/>
        <v>许褚</v>
      </c>
      <c r="AR76" s="14">
        <f t="shared" si="106"/>
        <v>3</v>
      </c>
      <c r="AS76" s="14" t="str">
        <f t="shared" si="107"/>
        <v>许褚魂火-20</v>
      </c>
      <c r="AT76" s="14">
        <f t="shared" si="108"/>
        <v>20</v>
      </c>
      <c r="AU76" s="14" t="str">
        <f>IF(AM76&gt;0,INDEX(挂机升级突破!$DT$4:$ED$4,AM76),"")</f>
        <v>金币</v>
      </c>
      <c r="AV76" s="14">
        <f>ROUND(INDEX(挂机升级突破!$DJ$6:$DJ$57,卡牌消耗!AT76)*INDEX(卡牌消耗!$B$8:$F$8,AR76)/$Q$4/50,0)*50</f>
        <v>5000</v>
      </c>
      <c r="AW76" s="14" t="str">
        <f>IF(AN76&gt;0,INDEX(挂机升级突破!$DT$4:$ED$4,AN76),"")</f>
        <v>紫色基础材料</v>
      </c>
      <c r="AX76" s="14">
        <f>ROUND(INDEX(挂机升级突破!$DT$6:$ED$57,卡牌消耗!AT76,AN76)*INDEX(卡牌消耗!$B$5:$F$5,AR76)/$Q$4/5,0)*5</f>
        <v>70</v>
      </c>
      <c r="AY76" s="14" t="str">
        <f>IF(AO76&gt;0,INDEX(挂机升级突破!$DT$4:$ED$4,AO76),"")</f>
        <v/>
      </c>
      <c r="AZ76" s="14" t="str">
        <f>IF(AO76&gt;0,ROUND(INDEX(挂机升级突破!$DT$6:$ED$57,卡牌消耗!AT76,AO76)*INDEX(卡牌消耗!$B$7:$F$7,AR76)/$Q$4,0),"")</f>
        <v/>
      </c>
      <c r="BA76" s="106"/>
      <c r="BB76" s="197"/>
      <c r="BC76" s="196">
        <v>5</v>
      </c>
      <c r="BD76" s="196">
        <v>12</v>
      </c>
      <c r="BE76" s="14">
        <f>ROUND(INDEX(挂机升级突破!ER$7:ER$26,卡牌消耗!$BD76)*INDEX(卡牌消耗!$B$6:$F$6,$BC76)/$Q$4,0)</f>
        <v>0</v>
      </c>
      <c r="BF76" s="14">
        <f>ROUND(INDEX(挂机升级突破!ES$7:ES$26,卡牌消耗!$BD76)*INDEX(卡牌消耗!$B$6:$F$6,$BC76)/$Q$4,0)</f>
        <v>178</v>
      </c>
      <c r="BG76" s="14">
        <f>ROUND(INDEX(挂机升级突破!ET$7:ET$26,卡牌消耗!$BD76)*INDEX(卡牌消耗!$B$6:$F$6,$BC76)/$Q$4,0)</f>
        <v>0</v>
      </c>
      <c r="BH76" s="14">
        <f>ROUND(INDEX(挂机升级突破!EU$7:EU$26,卡牌消耗!$BD76)*INDEX(卡牌消耗!$B$6:$F$6,$BC76)/$Q$4,0)</f>
        <v>0</v>
      </c>
      <c r="BI76" s="14">
        <f>ROUND(INDEX(挂机升级突破!$EV$7:$EV$26,卡牌消耗!BD76)*INDEX(卡牌消耗!$B$8:$F$8,$BC76)/$Q$4/BI$2,0)*BI$2</f>
        <v>50000</v>
      </c>
      <c r="BJ76" s="197"/>
      <c r="BK76" s="197"/>
      <c r="BL76" s="104">
        <v>72</v>
      </c>
      <c r="BM76" s="14">
        <f t="shared" si="109"/>
        <v>4</v>
      </c>
      <c r="BN76" s="14">
        <f>INDEX(挂机升级突破!$EI$7:$EI$26,BS76)</f>
        <v>5</v>
      </c>
      <c r="BO76" s="14">
        <f>INDEX(挂机升级突破!$EJ$7:$EJ$26,BS76)</f>
        <v>2</v>
      </c>
      <c r="BP76" s="14">
        <f t="shared" si="110"/>
        <v>2</v>
      </c>
      <c r="BQ76" s="14">
        <f>INDEX(挂机升级突破!$EH$7:$EH$26,卡牌消耗!BS76)</f>
        <v>80</v>
      </c>
      <c r="BR76" s="14" t="str">
        <f t="shared" si="111"/>
        <v>唐流雨</v>
      </c>
      <c r="BS76" s="14">
        <f t="shared" si="112"/>
        <v>12</v>
      </c>
      <c r="BT76" s="14" t="str">
        <f t="shared" si="113"/>
        <v>唐流雨12突</v>
      </c>
      <c r="BU76" s="14" t="str">
        <f>IF(BN76&gt;0,INDEX(挂机升级突破!$ER$5:$EV$5,卡牌消耗!BN76),"")</f>
        <v>金币</v>
      </c>
      <c r="BV76" s="14">
        <f>IF(BN76&gt;0,ROUND(INDEX(挂机升级突破!$EV$7:$EV$26,卡牌消耗!BS76)*INDEX(卡牌消耗!$B$8:$F$8,BP76)/$Q$4/500,0)*500,"")</f>
        <v>17500</v>
      </c>
      <c r="BW76" s="14" t="str">
        <f>IF(BO76&gt;0,INDEX(挂机升级突破!$ER$5:$EV$5,卡牌消耗!BO76),"")</f>
        <v>乌金</v>
      </c>
      <c r="BX76" s="14">
        <f>IF(BO76&gt;0,ROUND(INDEX(挂机升级突破!$ER$7:$EU$26,卡牌消耗!BS76,卡牌消耗!BO76)*INDEX($B$6:$F$6,BP76)/$Q$4/5,0)*5,"")</f>
        <v>95</v>
      </c>
      <c r="BY76" s="193"/>
      <c r="BZ76" s="193"/>
      <c r="CA76" s="106"/>
      <c r="CS76" s="171"/>
      <c r="CT76" s="170"/>
      <c r="CU76" s="14">
        <f>SUMIFS($CW$5:$CW$154,$CV$5:$CV$154,"&gt;="&amp;INDEX($CE$5:$CE$32,CU74),$CV$5:$CV$154,"&lt;"&amp;INDEX($CF$5:$CF$32,CU74))</f>
        <v>27.5</v>
      </c>
      <c r="CV76" s="169">
        <v>72</v>
      </c>
      <c r="CW76" s="169">
        <v>5.5</v>
      </c>
      <c r="CX76" s="21">
        <f t="shared" ref="CX76" si="130">CW76/$CU76</f>
        <v>0.2</v>
      </c>
      <c r="CY76" s="169">
        <f t="shared" ref="CY76" si="131">INT($CU75*CX76/5)*5</f>
        <v>20340</v>
      </c>
      <c r="CZ76" s="169">
        <f>SUM(CY$5:CY76)</f>
        <v>603975</v>
      </c>
      <c r="DB76" s="188">
        <f t="shared" si="116"/>
        <v>10150</v>
      </c>
      <c r="DC76" s="188">
        <f t="shared" si="116"/>
        <v>16250</v>
      </c>
      <c r="DD76" s="188">
        <f t="shared" si="116"/>
        <v>20300</v>
      </c>
      <c r="DE76" s="188">
        <f t="shared" si="116"/>
        <v>24400</v>
      </c>
      <c r="DF76" s="188">
        <f t="shared" si="116"/>
        <v>30500</v>
      </c>
      <c r="DI76" s="186">
        <v>72</v>
      </c>
      <c r="DJ76" s="14">
        <f t="shared" si="117"/>
        <v>15</v>
      </c>
      <c r="DK76" s="14">
        <f t="shared" si="99"/>
        <v>2</v>
      </c>
      <c r="DL76" s="14">
        <f t="shared" si="100"/>
        <v>1101015</v>
      </c>
      <c r="DM76" s="136" t="s">
        <v>1097</v>
      </c>
      <c r="DN76" s="14">
        <f t="shared" si="101"/>
        <v>2</v>
      </c>
      <c r="DO76" s="14" t="str">
        <f t="shared" si="102"/>
        <v>阎巧巧-2星</v>
      </c>
      <c r="DP76" s="136" t="s">
        <v>1103</v>
      </c>
      <c r="DQ76" s="14">
        <f t="shared" si="118"/>
        <v>3500</v>
      </c>
      <c r="DR76" s="14" t="str">
        <f t="shared" si="103"/>
        <v>阎巧巧碎片</v>
      </c>
      <c r="DS76" s="14">
        <f t="shared" si="119"/>
        <v>20</v>
      </c>
    </row>
    <row r="77" spans="1:123" ht="16.5" x14ac:dyDescent="0.2">
      <c r="A77" s="186">
        <v>1101997</v>
      </c>
      <c r="B77" s="186" t="s">
        <v>1564</v>
      </c>
      <c r="C77" s="186">
        <v>4</v>
      </c>
      <c r="D77" s="186">
        <v>5</v>
      </c>
      <c r="E77" s="186">
        <f>SUM(D$52:D77)</f>
        <v>130</v>
      </c>
      <c r="H77" s="15"/>
      <c r="I77" s="15"/>
      <c r="J77" s="15"/>
      <c r="K77" s="15"/>
      <c r="L77" s="15"/>
      <c r="M77" s="15"/>
      <c r="N77" s="15"/>
      <c r="O77" s="137"/>
      <c r="P77" s="141"/>
      <c r="Q77" s="141"/>
      <c r="R77" s="141"/>
      <c r="S77" s="141"/>
      <c r="T77" s="141"/>
      <c r="U77" s="141"/>
      <c r="V77" s="141"/>
      <c r="W77" s="141"/>
      <c r="X77" s="141"/>
      <c r="Y77" s="141"/>
      <c r="Z77" s="196">
        <v>3</v>
      </c>
      <c r="AA77" s="196">
        <v>21</v>
      </c>
      <c r="AB77" s="14">
        <f>ROUND(INDEX(挂机升级突破!DT$6:DT$57,卡牌消耗!$AA77)*INDEX(卡牌消耗!$B$5:$F$5,卡牌消耗!$Z77)/卡牌消耗!$Q$4/AB$2,0)*AB$2</f>
        <v>0</v>
      </c>
      <c r="AC77" s="14">
        <f>ROUND(INDEX(挂机升级突破!DU$6:DU$57,卡牌消耗!$AA77)*INDEX(卡牌消耗!$B$5:$F$5,卡牌消耗!$Z77)/卡牌消耗!$Q$4/AC$2,0)*AC$2</f>
        <v>0</v>
      </c>
      <c r="AD77" s="14">
        <f>ROUND(INDEX(挂机升级突破!DV$6:DV$57,卡牌消耗!$AA77)*INDEX(卡牌消耗!$B$5:$F$5,卡牌消耗!$Z77)/卡牌消耗!$Q$4/AD$2,0)*AD$2</f>
        <v>70</v>
      </c>
      <c r="AE77" s="14">
        <f>ROUND(INDEX(挂机升级突破!DW$6:DW$57,卡牌消耗!$AA77)*INDEX(卡牌消耗!$B$5:$F$5,卡牌消耗!$Z77)/卡牌消耗!$Q$4/AE$2,0)*AE$2</f>
        <v>0</v>
      </c>
      <c r="AF77" s="14">
        <f>ROUND(INDEX(挂机升级突破!DX$6:DX$57,卡牌消耗!$AA77)*INDEX(卡牌消耗!$B$5:$F$5,卡牌消耗!$Z77)/卡牌消耗!$Q$4/AF$2,0)*AF$2</f>
        <v>0</v>
      </c>
      <c r="AG77" s="14">
        <f>ROUND(INDEX(挂机升级突破!EC$6:EC$57,卡牌消耗!$AA77)*INDEX(卡牌消耗!$B$7:$F$7,卡牌消耗!$Z77)/卡牌消耗!$Q$4/AG$2,0)*AG$2</f>
        <v>0</v>
      </c>
      <c r="AH77" s="14">
        <f>ROUND(INDEX(挂机升级突破!ED$6:ED$57,卡牌消耗!$AA77)*INDEX(卡牌消耗!$B$8:$F$8,卡牌消耗!$Z77)/卡牌消耗!$Q$4/AH$2,0)*AH$2</f>
        <v>5000</v>
      </c>
      <c r="AI77" s="194"/>
      <c r="AJ77" s="194"/>
      <c r="AK77" s="104">
        <v>73</v>
      </c>
      <c r="AL77" s="14">
        <f t="shared" si="104"/>
        <v>2</v>
      </c>
      <c r="AM77" s="14">
        <f>INDEX(挂机升级突破!DQ$6:DQ$57,卡牌消耗!$AT77)</f>
        <v>11</v>
      </c>
      <c r="AN77" s="14">
        <f>INDEX(挂机升级突破!DR$6:DR$57,卡牌消耗!$AT77)</f>
        <v>3</v>
      </c>
      <c r="AO77" s="14">
        <f>INDEX(挂机升级突破!DS$6:DS$57,卡牌消耗!$AT77)</f>
        <v>0</v>
      </c>
      <c r="AP77" s="14">
        <f>INDEX(挂机升级突破!$DP$6:$DP$57,卡牌消耗!AT77)</f>
        <v>70</v>
      </c>
      <c r="AQ77" s="14" t="str">
        <f t="shared" si="105"/>
        <v>许褚</v>
      </c>
      <c r="AR77" s="14">
        <f t="shared" si="106"/>
        <v>3</v>
      </c>
      <c r="AS77" s="14" t="str">
        <f t="shared" si="107"/>
        <v>许褚魂火-21</v>
      </c>
      <c r="AT77" s="14">
        <f t="shared" si="108"/>
        <v>21</v>
      </c>
      <c r="AU77" s="14" t="str">
        <f>IF(AM77&gt;0,INDEX(挂机升级突破!$DT$4:$ED$4,AM77),"")</f>
        <v>金币</v>
      </c>
      <c r="AV77" s="14">
        <f>ROUND(INDEX(挂机升级突破!$DJ$6:$DJ$57,卡牌消耗!AT77)*INDEX(卡牌消耗!$B$8:$F$8,AR77)/$Q$4/50,0)*50</f>
        <v>5000</v>
      </c>
      <c r="AW77" s="14" t="str">
        <f>IF(AN77&gt;0,INDEX(挂机升级突破!$DT$4:$ED$4,AN77),"")</f>
        <v>紫色基础材料</v>
      </c>
      <c r="AX77" s="14">
        <f>ROUND(INDEX(挂机升级突破!$DT$6:$ED$57,卡牌消耗!AT77,AN77)*INDEX(卡牌消耗!$B$5:$F$5,AR77)/$Q$4/5,0)*5</f>
        <v>70</v>
      </c>
      <c r="AY77" s="14" t="str">
        <f>IF(AO77&gt;0,INDEX(挂机升级突破!$DT$4:$ED$4,AO77),"")</f>
        <v/>
      </c>
      <c r="AZ77" s="14" t="str">
        <f>IF(AO77&gt;0,ROUND(INDEX(挂机升级突破!$DT$6:$ED$57,卡牌消耗!AT77,AO77)*INDEX(卡牌消耗!$B$7:$F$7,AR77)/$Q$4,0),"")</f>
        <v/>
      </c>
      <c r="BA77" s="106"/>
      <c r="BB77" s="197"/>
      <c r="BC77" s="196">
        <v>5</v>
      </c>
      <c r="BD77" s="196">
        <v>13</v>
      </c>
      <c r="BE77" s="14">
        <f>ROUND(INDEX(挂机升级突破!ER$7:ER$26,卡牌消耗!$BD77)*INDEX(卡牌消耗!$B$6:$F$6,$BC77)/$Q$4,0)</f>
        <v>0</v>
      </c>
      <c r="BF77" s="14">
        <f>ROUND(INDEX(挂机升级突破!ES$7:ES$26,卡牌消耗!$BD77)*INDEX(卡牌消耗!$B$6:$F$6,$BC77)/$Q$4,0)</f>
        <v>0</v>
      </c>
      <c r="BG77" s="14">
        <f>ROUND(INDEX(挂机升级突破!ET$7:ET$26,卡牌消耗!$BD77)*INDEX(卡牌消耗!$B$6:$F$6,$BC77)/$Q$4,0)</f>
        <v>57</v>
      </c>
      <c r="BH77" s="14">
        <f>ROUND(INDEX(挂机升级突破!EU$7:EU$26,卡牌消耗!$BD77)*INDEX(卡牌消耗!$B$6:$F$6,$BC77)/$Q$4,0)</f>
        <v>0</v>
      </c>
      <c r="BI77" s="14">
        <f>ROUND(INDEX(挂机升级突破!$EV$7:$EV$26,卡牌消耗!BD77)*INDEX(卡牌消耗!$B$8:$F$8,$BC77)/$Q$4/BI$2,0)*BI$2</f>
        <v>66500</v>
      </c>
      <c r="BJ77" s="197"/>
      <c r="BK77" s="197"/>
      <c r="BL77" s="104">
        <v>73</v>
      </c>
      <c r="BM77" s="14">
        <f t="shared" si="109"/>
        <v>4</v>
      </c>
      <c r="BN77" s="14">
        <f>INDEX(挂机升级突破!$EI$7:$EI$26,BS77)</f>
        <v>5</v>
      </c>
      <c r="BO77" s="14">
        <f>INDEX(挂机升级突破!$EJ$7:$EJ$26,BS77)</f>
        <v>3</v>
      </c>
      <c r="BP77" s="14">
        <f t="shared" si="110"/>
        <v>2</v>
      </c>
      <c r="BQ77" s="14">
        <f>INDEX(挂机升级突破!$EH$7:$EH$26,卡牌消耗!BS77)</f>
        <v>87</v>
      </c>
      <c r="BR77" s="14" t="str">
        <f t="shared" si="111"/>
        <v>唐流雨</v>
      </c>
      <c r="BS77" s="14">
        <f t="shared" si="112"/>
        <v>13</v>
      </c>
      <c r="BT77" s="14" t="str">
        <f t="shared" si="113"/>
        <v>唐流雨13突</v>
      </c>
      <c r="BU77" s="14" t="str">
        <f>IF(BN77&gt;0,INDEX(挂机升级突破!$ER$5:$EV$5,卡牌消耗!BN77),"")</f>
        <v>金币</v>
      </c>
      <c r="BV77" s="14">
        <f>IF(BN77&gt;0,ROUND(INDEX(挂机升级突破!$EV$7:$EV$26,卡牌消耗!BS77)*INDEX(卡牌消耗!$B$8:$F$8,BP77)/$Q$4/500,0)*500,"")</f>
        <v>23500</v>
      </c>
      <c r="BW77" s="14" t="str">
        <f>IF(BO77&gt;0,INDEX(挂机升级突破!$ER$5:$EV$5,卡牌消耗!BO77),"")</f>
        <v>银母</v>
      </c>
      <c r="BX77" s="14">
        <f>IF(BO77&gt;0,ROUND(INDEX(挂机升级突破!$ER$7:$EU$26,卡牌消耗!BS77,卡牌消耗!BO77)*INDEX($B$6:$F$6,BP77)/$Q$4/5,0)*5,"")</f>
        <v>30</v>
      </c>
      <c r="BY77" s="193"/>
      <c r="BZ77" s="193"/>
      <c r="CA77" s="106"/>
      <c r="CS77" s="171"/>
      <c r="CT77" s="171"/>
      <c r="CU77" s="171"/>
      <c r="CV77" s="169">
        <v>73</v>
      </c>
      <c r="CW77" s="169">
        <v>5.75</v>
      </c>
      <c r="CX77" s="21">
        <f t="shared" ref="CX77" si="132">CW77/$CU76</f>
        <v>0.20909090909090908</v>
      </c>
      <c r="CY77" s="169">
        <f t="shared" ref="CY77" si="133">INT($CU75*CX77/5)*5</f>
        <v>21265</v>
      </c>
      <c r="CZ77" s="169">
        <f>SUM(CY$5:CY77)</f>
        <v>625240</v>
      </c>
      <c r="DB77" s="188">
        <f t="shared" si="116"/>
        <v>10600</v>
      </c>
      <c r="DC77" s="188">
        <f t="shared" si="116"/>
        <v>17000</v>
      </c>
      <c r="DD77" s="188">
        <f t="shared" si="116"/>
        <v>21250</v>
      </c>
      <c r="DE77" s="188">
        <f t="shared" si="116"/>
        <v>25500</v>
      </c>
      <c r="DF77" s="188">
        <f t="shared" si="116"/>
        <v>31850</v>
      </c>
      <c r="DI77" s="186">
        <v>73</v>
      </c>
      <c r="DJ77" s="14">
        <f t="shared" si="117"/>
        <v>15</v>
      </c>
      <c r="DK77" s="14">
        <f t="shared" si="99"/>
        <v>2</v>
      </c>
      <c r="DL77" s="14">
        <f t="shared" si="100"/>
        <v>1101015</v>
      </c>
      <c r="DM77" s="136" t="s">
        <v>1097</v>
      </c>
      <c r="DN77" s="14">
        <f t="shared" si="101"/>
        <v>3</v>
      </c>
      <c r="DO77" s="14" t="str">
        <f t="shared" si="102"/>
        <v>阎巧巧-3星</v>
      </c>
      <c r="DP77" s="136" t="s">
        <v>1103</v>
      </c>
      <c r="DQ77" s="14">
        <f t="shared" si="118"/>
        <v>7000</v>
      </c>
      <c r="DR77" s="14" t="str">
        <f t="shared" si="103"/>
        <v>阎巧巧碎片</v>
      </c>
      <c r="DS77" s="14">
        <f t="shared" si="119"/>
        <v>20</v>
      </c>
    </row>
    <row r="78" spans="1:123" ht="16.5" x14ac:dyDescent="0.2">
      <c r="A78" s="186">
        <v>1101996</v>
      </c>
      <c r="B78" s="186" t="s">
        <v>1565</v>
      </c>
      <c r="C78" s="186">
        <v>5</v>
      </c>
      <c r="D78" s="186">
        <v>5</v>
      </c>
      <c r="E78" s="186">
        <f>SUM(D$52:D78)</f>
        <v>135</v>
      </c>
      <c r="H78" s="15"/>
      <c r="I78" s="15"/>
      <c r="J78" s="15"/>
      <c r="K78" s="15"/>
      <c r="L78" s="15"/>
      <c r="M78" s="15"/>
      <c r="N78" s="15"/>
      <c r="O78" s="137"/>
      <c r="P78" s="141"/>
      <c r="Q78" s="141"/>
      <c r="R78" s="141"/>
      <c r="S78" s="141"/>
      <c r="T78" s="141"/>
      <c r="U78" s="141"/>
      <c r="V78" s="141"/>
      <c r="W78" s="141"/>
      <c r="X78" s="141"/>
      <c r="Y78" s="141"/>
      <c r="Z78" s="196">
        <v>3</v>
      </c>
      <c r="AA78" s="196">
        <v>22</v>
      </c>
      <c r="AB78" s="14">
        <f>ROUND(INDEX(挂机升级突破!DT$6:DT$57,卡牌消耗!$AA78)*INDEX(卡牌消耗!$B$5:$F$5,卡牌消耗!$Z78)/卡牌消耗!$Q$4/AB$2,0)*AB$2</f>
        <v>0</v>
      </c>
      <c r="AC78" s="14">
        <f>ROUND(INDEX(挂机升级突破!DU$6:DU$57,卡牌消耗!$AA78)*INDEX(卡牌消耗!$B$5:$F$5,卡牌消耗!$Z78)/卡牌消耗!$Q$4/AC$2,0)*AC$2</f>
        <v>0</v>
      </c>
      <c r="AD78" s="14">
        <f>ROUND(INDEX(挂机升级突破!DV$6:DV$57,卡牌消耗!$AA78)*INDEX(卡牌消耗!$B$5:$F$5,卡牌消耗!$Z78)/卡牌消耗!$Q$4/AD$2,0)*AD$2</f>
        <v>70</v>
      </c>
      <c r="AE78" s="14">
        <f>ROUND(INDEX(挂机升级突破!DW$6:DW$57,卡牌消耗!$AA78)*INDEX(卡牌消耗!$B$5:$F$5,卡牌消耗!$Z78)/卡牌消耗!$Q$4/AE$2,0)*AE$2</f>
        <v>0</v>
      </c>
      <c r="AF78" s="14">
        <f>ROUND(INDEX(挂机升级突破!DX$6:DX$57,卡牌消耗!$AA78)*INDEX(卡牌消耗!$B$5:$F$5,卡牌消耗!$Z78)/卡牌消耗!$Q$4/AF$2,0)*AF$2</f>
        <v>0</v>
      </c>
      <c r="AG78" s="14">
        <f>ROUND(INDEX(挂机升级突破!EC$6:EC$57,卡牌消耗!$AA78)*INDEX(卡牌消耗!$B$7:$F$7,卡牌消耗!$Z78)/卡牌消耗!$Q$4/AG$2,0)*AG$2</f>
        <v>0</v>
      </c>
      <c r="AH78" s="14">
        <f>ROUND(INDEX(挂机升级突破!ED$6:ED$57,卡牌消耗!$AA78)*INDEX(卡牌消耗!$B$8:$F$8,卡牌消耗!$Z78)/卡牌消耗!$Q$4/AH$2,0)*AH$2</f>
        <v>5000</v>
      </c>
      <c r="AI78" s="194"/>
      <c r="AJ78" s="194"/>
      <c r="AK78" s="104">
        <v>74</v>
      </c>
      <c r="AL78" s="14">
        <f t="shared" si="104"/>
        <v>2</v>
      </c>
      <c r="AM78" s="14">
        <f>INDEX(挂机升级突破!DQ$6:DQ$57,卡牌消耗!$AT78)</f>
        <v>11</v>
      </c>
      <c r="AN78" s="14">
        <f>INDEX(挂机升级突破!DR$6:DR$57,卡牌消耗!$AT78)</f>
        <v>3</v>
      </c>
      <c r="AO78" s="14">
        <f>INDEX(挂机升级突破!DS$6:DS$57,卡牌消耗!$AT78)</f>
        <v>0</v>
      </c>
      <c r="AP78" s="14">
        <f>INDEX(挂机升级突破!$DP$6:$DP$57,卡牌消耗!AT78)</f>
        <v>73</v>
      </c>
      <c r="AQ78" s="14" t="str">
        <f t="shared" si="105"/>
        <v>许褚</v>
      </c>
      <c r="AR78" s="14">
        <f t="shared" si="106"/>
        <v>3</v>
      </c>
      <c r="AS78" s="14" t="str">
        <f t="shared" si="107"/>
        <v>许褚魂火-22</v>
      </c>
      <c r="AT78" s="14">
        <f t="shared" si="108"/>
        <v>22</v>
      </c>
      <c r="AU78" s="14" t="str">
        <f>IF(AM78&gt;0,INDEX(挂机升级突破!$DT$4:$ED$4,AM78),"")</f>
        <v>金币</v>
      </c>
      <c r="AV78" s="14">
        <f>ROUND(INDEX(挂机升级突破!$DJ$6:$DJ$57,卡牌消耗!AT78)*INDEX(卡牌消耗!$B$8:$F$8,AR78)/$Q$4/50,0)*50</f>
        <v>5000</v>
      </c>
      <c r="AW78" s="14" t="str">
        <f>IF(AN78&gt;0,INDEX(挂机升级突破!$DT$4:$ED$4,AN78),"")</f>
        <v>紫色基础材料</v>
      </c>
      <c r="AX78" s="14">
        <f>ROUND(INDEX(挂机升级突破!$DT$6:$ED$57,卡牌消耗!AT78,AN78)*INDEX(卡牌消耗!$B$5:$F$5,AR78)/$Q$4/5,0)*5</f>
        <v>70</v>
      </c>
      <c r="AY78" s="14" t="str">
        <f>IF(AO78&gt;0,INDEX(挂机升级突破!$DT$4:$ED$4,AO78),"")</f>
        <v/>
      </c>
      <c r="AZ78" s="14" t="str">
        <f>IF(AO78&gt;0,ROUND(INDEX(挂机升级突破!$DT$6:$ED$57,卡牌消耗!AT78,AO78)*INDEX(卡牌消耗!$B$7:$F$7,AR78)/$Q$4,0),"")</f>
        <v/>
      </c>
      <c r="BA78" s="106"/>
      <c r="BB78" s="197"/>
      <c r="BC78" s="196">
        <v>5</v>
      </c>
      <c r="BD78" s="196">
        <v>14</v>
      </c>
      <c r="BE78" s="14">
        <f>ROUND(INDEX(挂机升级突破!ER$7:ER$26,卡牌消耗!$BD78)*INDEX(卡牌消耗!$B$6:$F$6,$BC78)/$Q$4,0)</f>
        <v>0</v>
      </c>
      <c r="BF78" s="14">
        <f>ROUND(INDEX(挂机升级突破!ES$7:ES$26,卡牌消耗!$BD78)*INDEX(卡牌消耗!$B$6:$F$6,$BC78)/$Q$4,0)</f>
        <v>0</v>
      </c>
      <c r="BG78" s="14">
        <f>ROUND(INDEX(挂机升级突破!ET$7:ET$26,卡牌消耗!$BD78)*INDEX(卡牌消耗!$B$6:$F$6,$BC78)/$Q$4,0)</f>
        <v>80</v>
      </c>
      <c r="BH78" s="14">
        <f>ROUND(INDEX(挂机升级突破!EU$7:EU$26,卡牌消耗!$BD78)*INDEX(卡牌消耗!$B$6:$F$6,$BC78)/$Q$4,0)</f>
        <v>0</v>
      </c>
      <c r="BI78" s="14">
        <f>ROUND(INDEX(挂机升级突破!$EV$7:$EV$26,卡牌消耗!BD78)*INDEX(卡牌消耗!$B$8:$F$8,$BC78)/$Q$4/BI$2,0)*BI$2</f>
        <v>66500</v>
      </c>
      <c r="BJ78" s="197"/>
      <c r="BK78" s="197"/>
      <c r="BL78" s="104">
        <v>74</v>
      </c>
      <c r="BM78" s="14">
        <f t="shared" si="109"/>
        <v>4</v>
      </c>
      <c r="BN78" s="14">
        <f>INDEX(挂机升级突破!$EI$7:$EI$26,BS78)</f>
        <v>5</v>
      </c>
      <c r="BO78" s="14">
        <f>INDEX(挂机升级突破!$EJ$7:$EJ$26,BS78)</f>
        <v>3</v>
      </c>
      <c r="BP78" s="14">
        <f t="shared" si="110"/>
        <v>2</v>
      </c>
      <c r="BQ78" s="14">
        <f>INDEX(挂机升级突破!$EH$7:$EH$26,卡牌消耗!BS78)</f>
        <v>95</v>
      </c>
      <c r="BR78" s="14" t="str">
        <f t="shared" si="111"/>
        <v>唐流雨</v>
      </c>
      <c r="BS78" s="14">
        <f t="shared" si="112"/>
        <v>14</v>
      </c>
      <c r="BT78" s="14" t="str">
        <f t="shared" si="113"/>
        <v>唐流雨14突</v>
      </c>
      <c r="BU78" s="14" t="str">
        <f>IF(BN78&gt;0,INDEX(挂机升级突破!$ER$5:$EV$5,卡牌消耗!BN78),"")</f>
        <v>金币</v>
      </c>
      <c r="BV78" s="14">
        <f>IF(BN78&gt;0,ROUND(INDEX(挂机升级突破!$EV$7:$EV$26,卡牌消耗!BS78)*INDEX(卡牌消耗!$B$8:$F$8,BP78)/$Q$4/500,0)*500,"")</f>
        <v>23500</v>
      </c>
      <c r="BW78" s="14" t="str">
        <f>IF(BO78&gt;0,INDEX(挂机升级突破!$ER$5:$EV$5,卡牌消耗!BO78),"")</f>
        <v>银母</v>
      </c>
      <c r="BX78" s="14">
        <f>IF(BO78&gt;0,ROUND(INDEX(挂机升级突破!$ER$7:$EU$26,卡牌消耗!BS78,卡牌消耗!BO78)*INDEX($B$6:$F$6,BP78)/$Q$4/5,0)*5,"")</f>
        <v>45</v>
      </c>
      <c r="BY78" s="193"/>
      <c r="BZ78" s="193"/>
      <c r="CA78" s="106"/>
      <c r="CS78" s="171"/>
      <c r="CT78" s="171"/>
      <c r="CU78" s="171"/>
      <c r="CV78" s="169">
        <v>74</v>
      </c>
      <c r="CW78" s="169">
        <v>6</v>
      </c>
      <c r="CX78" s="21">
        <f t="shared" ref="CX78" si="134">CW78/$CU76</f>
        <v>0.21818181818181817</v>
      </c>
      <c r="CY78" s="169">
        <f t="shared" ref="CY78" si="135">INT($CU75*CX78/5)*5</f>
        <v>22190</v>
      </c>
      <c r="CZ78" s="169">
        <f>SUM(CY$5:CY78)</f>
        <v>647430</v>
      </c>
      <c r="DB78" s="188">
        <f t="shared" si="116"/>
        <v>11050</v>
      </c>
      <c r="DC78" s="188">
        <f t="shared" si="116"/>
        <v>17750</v>
      </c>
      <c r="DD78" s="188">
        <f t="shared" si="116"/>
        <v>22150</v>
      </c>
      <c r="DE78" s="188">
        <f t="shared" si="116"/>
        <v>26600</v>
      </c>
      <c r="DF78" s="188">
        <f t="shared" si="116"/>
        <v>33250</v>
      </c>
      <c r="DI78" s="186">
        <v>74</v>
      </c>
      <c r="DJ78" s="14">
        <f t="shared" si="117"/>
        <v>15</v>
      </c>
      <c r="DK78" s="14">
        <f t="shared" si="99"/>
        <v>2</v>
      </c>
      <c r="DL78" s="14">
        <f t="shared" si="100"/>
        <v>1101015</v>
      </c>
      <c r="DM78" s="136" t="s">
        <v>1097</v>
      </c>
      <c r="DN78" s="14">
        <f t="shared" si="101"/>
        <v>4</v>
      </c>
      <c r="DO78" s="14" t="str">
        <f t="shared" si="102"/>
        <v>阎巧巧-4星</v>
      </c>
      <c r="DP78" s="136" t="s">
        <v>1103</v>
      </c>
      <c r="DQ78" s="14">
        <f t="shared" si="118"/>
        <v>16000</v>
      </c>
      <c r="DR78" s="14" t="str">
        <f t="shared" si="103"/>
        <v>阎巧巧碎片</v>
      </c>
      <c r="DS78" s="14">
        <f t="shared" si="119"/>
        <v>20</v>
      </c>
    </row>
    <row r="79" spans="1:123" ht="16.5" x14ac:dyDescent="0.2">
      <c r="A79" s="55">
        <v>1102001</v>
      </c>
      <c r="B79" s="55" t="s">
        <v>172</v>
      </c>
      <c r="C79" s="55">
        <v>4</v>
      </c>
      <c r="D79" s="136">
        <v>5</v>
      </c>
      <c r="E79" s="186">
        <f>SUM(D$52:D79)</f>
        <v>140</v>
      </c>
      <c r="H79" s="15"/>
      <c r="I79" s="15"/>
      <c r="J79" s="15"/>
      <c r="K79" s="15"/>
      <c r="L79" s="15"/>
      <c r="M79" s="15"/>
      <c r="N79" s="15"/>
      <c r="O79" s="137"/>
      <c r="P79" s="141"/>
      <c r="Q79" s="141"/>
      <c r="R79" s="141"/>
      <c r="S79" s="141"/>
      <c r="T79" s="141"/>
      <c r="U79" s="141"/>
      <c r="V79" s="141"/>
      <c r="W79" s="141"/>
      <c r="X79" s="141"/>
      <c r="Y79" s="141"/>
      <c r="Z79" s="196">
        <v>3</v>
      </c>
      <c r="AA79" s="196">
        <v>23</v>
      </c>
      <c r="AB79" s="14">
        <f>ROUND(INDEX(挂机升级突破!DT$6:DT$57,卡牌消耗!$AA79)*INDEX(卡牌消耗!$B$5:$F$5,卡牌消耗!$Z79)/卡牌消耗!$Q$4/AB$2,0)*AB$2</f>
        <v>0</v>
      </c>
      <c r="AC79" s="14">
        <f>ROUND(INDEX(挂机升级突破!DU$6:DU$57,卡牌消耗!$AA79)*INDEX(卡牌消耗!$B$5:$F$5,卡牌消耗!$Z79)/卡牌消耗!$Q$4/AC$2,0)*AC$2</f>
        <v>0</v>
      </c>
      <c r="AD79" s="14">
        <f>ROUND(INDEX(挂机升级突破!DV$6:DV$57,卡牌消耗!$AA79)*INDEX(卡牌消耗!$B$5:$F$5,卡牌消耗!$Z79)/卡牌消耗!$Q$4/AD$2,0)*AD$2</f>
        <v>0</v>
      </c>
      <c r="AE79" s="14">
        <f>ROUND(INDEX(挂机升级突破!DW$6:DW$57,卡牌消耗!$AA79)*INDEX(卡牌消耗!$B$5:$F$5,卡牌消耗!$Z79)/卡牌消耗!$Q$4/AE$2,0)*AE$2</f>
        <v>20</v>
      </c>
      <c r="AF79" s="14">
        <f>ROUND(INDEX(挂机升级突破!DX$6:DX$57,卡牌消耗!$AA79)*INDEX(卡牌消耗!$B$5:$F$5,卡牌消耗!$Z79)/卡牌消耗!$Q$4/AF$2,0)*AF$2</f>
        <v>0</v>
      </c>
      <c r="AG79" s="14">
        <f>ROUND(INDEX(挂机升级突破!EC$6:EC$57,卡牌消耗!$AA79)*INDEX(卡牌消耗!$B$7:$F$7,卡牌消耗!$Z79)/卡牌消耗!$Q$4/AG$2,0)*AG$2</f>
        <v>0</v>
      </c>
      <c r="AH79" s="14">
        <f>ROUND(INDEX(挂机升级突破!ED$6:ED$57,卡牌消耗!$AA79)*INDEX(卡牌消耗!$B$8:$F$8,卡牌消耗!$Z79)/卡牌消耗!$Q$4/AH$2,0)*AH$2</f>
        <v>6900</v>
      </c>
      <c r="AI79" s="194"/>
      <c r="AJ79" s="194"/>
      <c r="AK79" s="104">
        <v>75</v>
      </c>
      <c r="AL79" s="14">
        <f t="shared" si="104"/>
        <v>2</v>
      </c>
      <c r="AM79" s="14">
        <f>INDEX(挂机升级突破!DQ$6:DQ$57,卡牌消耗!$AT79)</f>
        <v>11</v>
      </c>
      <c r="AN79" s="14">
        <f>INDEX(挂机升级突破!DR$6:DR$57,卡牌消耗!$AT79)</f>
        <v>4</v>
      </c>
      <c r="AO79" s="14">
        <f>INDEX(挂机升级突破!DS$6:DS$57,卡牌消耗!$AT79)</f>
        <v>0</v>
      </c>
      <c r="AP79" s="14">
        <f>INDEX(挂机升级突破!$DP$6:$DP$57,卡牌消耗!AT79)</f>
        <v>75</v>
      </c>
      <c r="AQ79" s="14" t="str">
        <f t="shared" si="105"/>
        <v>许褚</v>
      </c>
      <c r="AR79" s="14">
        <f t="shared" si="106"/>
        <v>3</v>
      </c>
      <c r="AS79" s="14" t="str">
        <f t="shared" si="107"/>
        <v>许褚魂火-23</v>
      </c>
      <c r="AT79" s="14">
        <f t="shared" si="108"/>
        <v>23</v>
      </c>
      <c r="AU79" s="14" t="str">
        <f>IF(AM79&gt;0,INDEX(挂机升级突破!$DT$4:$ED$4,AM79),"")</f>
        <v>金币</v>
      </c>
      <c r="AV79" s="14">
        <f>ROUND(INDEX(挂机升级突破!$DJ$6:$DJ$57,卡牌消耗!AT79)*INDEX(卡牌消耗!$B$8:$F$8,AR79)/$Q$4/50,0)*50</f>
        <v>6900</v>
      </c>
      <c r="AW79" s="14" t="str">
        <f>IF(AN79&gt;0,INDEX(挂机升级突破!$DT$4:$ED$4,AN79),"")</f>
        <v>橙色基础材料</v>
      </c>
      <c r="AX79" s="14">
        <f>ROUND(INDEX(挂机升级突破!$DT$6:$ED$57,卡牌消耗!AT79,AN79)*INDEX(卡牌消耗!$B$5:$F$5,AR79)/$Q$4/5,0)*5</f>
        <v>20</v>
      </c>
      <c r="AY79" s="14" t="str">
        <f>IF(AO79&gt;0,INDEX(挂机升级突破!$DT$4:$ED$4,AO79),"")</f>
        <v/>
      </c>
      <c r="AZ79" s="14" t="str">
        <f>IF(AO79&gt;0,ROUND(INDEX(挂机升级突破!$DT$6:$ED$57,卡牌消耗!AT79,AO79)*INDEX(卡牌消耗!$B$7:$F$7,AR79)/$Q$4,0),"")</f>
        <v/>
      </c>
      <c r="BA79" s="106"/>
      <c r="BB79" s="197"/>
      <c r="BC79" s="196">
        <v>5</v>
      </c>
      <c r="BD79" s="196">
        <v>15</v>
      </c>
      <c r="BE79" s="14">
        <f>ROUND(INDEX(挂机升级突破!ER$7:ER$26,卡牌消耗!$BD79)*INDEX(卡牌消耗!$B$6:$F$6,$BC79)/$Q$4,0)</f>
        <v>0</v>
      </c>
      <c r="BF79" s="14">
        <f>ROUND(INDEX(挂机升级突破!ES$7:ES$26,卡牌消耗!$BD79)*INDEX(卡牌消耗!$B$6:$F$6,$BC79)/$Q$4,0)</f>
        <v>0</v>
      </c>
      <c r="BG79" s="14">
        <f>ROUND(INDEX(挂机升级突破!ET$7:ET$26,卡牌消耗!$BD79)*INDEX(卡牌消耗!$B$6:$F$6,$BC79)/$Q$4,0)</f>
        <v>107</v>
      </c>
      <c r="BH79" s="14">
        <f>ROUND(INDEX(挂机升级突破!EU$7:EU$26,卡牌消耗!$BD79)*INDEX(卡牌消耗!$B$6:$F$6,$BC79)/$Q$4,0)</f>
        <v>0</v>
      </c>
      <c r="BI79" s="14">
        <f>ROUND(INDEX(挂机升级突破!$EV$7:$EV$26,卡牌消耗!BD79)*INDEX(卡牌消耗!$B$8:$F$8,$BC79)/$Q$4/BI$2,0)*BI$2</f>
        <v>89000</v>
      </c>
      <c r="BJ79" s="197"/>
      <c r="BK79" s="197"/>
      <c r="BL79" s="104">
        <v>75</v>
      </c>
      <c r="BM79" s="14">
        <f t="shared" si="109"/>
        <v>4</v>
      </c>
      <c r="BN79" s="14">
        <f>INDEX(挂机升级突破!$EI$7:$EI$26,BS79)</f>
        <v>5</v>
      </c>
      <c r="BO79" s="14">
        <f>INDEX(挂机升级突破!$EJ$7:$EJ$26,BS79)</f>
        <v>3</v>
      </c>
      <c r="BP79" s="14">
        <f t="shared" si="110"/>
        <v>2</v>
      </c>
      <c r="BQ79" s="14">
        <f>INDEX(挂机升级突破!$EH$7:$EH$26,卡牌消耗!BS79)</f>
        <v>102</v>
      </c>
      <c r="BR79" s="14" t="str">
        <f t="shared" si="111"/>
        <v>唐流雨</v>
      </c>
      <c r="BS79" s="14">
        <f t="shared" si="112"/>
        <v>15</v>
      </c>
      <c r="BT79" s="14" t="str">
        <f t="shared" si="113"/>
        <v>唐流雨15突</v>
      </c>
      <c r="BU79" s="14" t="str">
        <f>IF(BN79&gt;0,INDEX(挂机升级突破!$ER$5:$EV$5,卡牌消耗!BN79),"")</f>
        <v>金币</v>
      </c>
      <c r="BV79" s="14">
        <f>IF(BN79&gt;0,ROUND(INDEX(挂机升级突破!$EV$7:$EV$26,卡牌消耗!BS79)*INDEX(卡牌消耗!$B$8:$F$8,BP79)/$Q$4/500,0)*500,"")</f>
        <v>31000</v>
      </c>
      <c r="BW79" s="14" t="str">
        <f>IF(BO79&gt;0,INDEX(挂机升级突破!$ER$5:$EV$5,卡牌消耗!BO79),"")</f>
        <v>银母</v>
      </c>
      <c r="BX79" s="14">
        <f>IF(BO79&gt;0,ROUND(INDEX(挂机升级突破!$ER$7:$EU$26,卡牌消耗!BS79,卡牌消耗!BO79)*INDEX($B$6:$F$6,BP79)/$Q$4/5,0)*5,"")</f>
        <v>55</v>
      </c>
      <c r="BY79" s="193"/>
      <c r="BZ79" s="193"/>
      <c r="CA79" s="106"/>
      <c r="CS79" s="171"/>
      <c r="CT79" s="173" t="s">
        <v>120</v>
      </c>
      <c r="CU79" s="169">
        <v>14</v>
      </c>
      <c r="CV79" s="169">
        <v>75</v>
      </c>
      <c r="CW79" s="169">
        <v>5</v>
      </c>
      <c r="CX79" s="21">
        <f t="shared" ref="CX79" si="136">CW79/$CU81</f>
        <v>0.18181818181818182</v>
      </c>
      <c r="CY79" s="169">
        <f t="shared" ref="CY79" si="137">INT($CU80*CX79/5)*5</f>
        <v>20740</v>
      </c>
      <c r="CZ79" s="169">
        <f>SUM(CY$5:CY79)</f>
        <v>668170</v>
      </c>
      <c r="DB79" s="188">
        <f t="shared" si="116"/>
        <v>10350</v>
      </c>
      <c r="DC79" s="188">
        <f t="shared" si="116"/>
        <v>16550</v>
      </c>
      <c r="DD79" s="188">
        <f t="shared" si="116"/>
        <v>20700</v>
      </c>
      <c r="DE79" s="188">
        <f t="shared" si="116"/>
        <v>24850</v>
      </c>
      <c r="DF79" s="188">
        <f t="shared" si="116"/>
        <v>31100</v>
      </c>
      <c r="DI79" s="186">
        <v>75</v>
      </c>
      <c r="DJ79" s="14">
        <f t="shared" si="117"/>
        <v>15</v>
      </c>
      <c r="DK79" s="14">
        <f t="shared" si="99"/>
        <v>2</v>
      </c>
      <c r="DL79" s="14">
        <f t="shared" si="100"/>
        <v>1101015</v>
      </c>
      <c r="DM79" s="136" t="s">
        <v>1097</v>
      </c>
      <c r="DN79" s="14">
        <f t="shared" si="101"/>
        <v>5</v>
      </c>
      <c r="DO79" s="14" t="str">
        <f t="shared" si="102"/>
        <v>阎巧巧-5星</v>
      </c>
      <c r="DP79" s="136" t="s">
        <v>1103</v>
      </c>
      <c r="DQ79" s="14">
        <f t="shared" si="118"/>
        <v>30000</v>
      </c>
      <c r="DR79" s="14" t="str">
        <f t="shared" si="103"/>
        <v>阎巧巧碎片</v>
      </c>
      <c r="DS79" s="14">
        <f t="shared" si="119"/>
        <v>20</v>
      </c>
    </row>
    <row r="80" spans="1:123" ht="16.5" x14ac:dyDescent="0.2">
      <c r="A80" s="55">
        <v>1102002</v>
      </c>
      <c r="B80" s="55" t="s">
        <v>173</v>
      </c>
      <c r="C80" s="55">
        <v>3</v>
      </c>
      <c r="D80" s="136">
        <v>5</v>
      </c>
      <c r="E80" s="186">
        <f>SUM(D$52:D80)</f>
        <v>145</v>
      </c>
      <c r="H80" s="15"/>
      <c r="I80" s="15"/>
      <c r="J80" s="15"/>
      <c r="K80" s="15"/>
      <c r="L80" s="15"/>
      <c r="M80" s="15"/>
      <c r="N80" s="15"/>
      <c r="O80" s="137"/>
      <c r="P80" s="141"/>
      <c r="Q80" s="141"/>
      <c r="R80" s="141"/>
      <c r="S80" s="141"/>
      <c r="T80" s="141"/>
      <c r="U80" s="141"/>
      <c r="V80" s="141"/>
      <c r="W80" s="141"/>
      <c r="X80" s="141"/>
      <c r="Y80" s="141"/>
      <c r="Z80" s="196">
        <v>3</v>
      </c>
      <c r="AA80" s="196">
        <v>24</v>
      </c>
      <c r="AB80" s="14">
        <f>ROUND(INDEX(挂机升级突破!DT$6:DT$57,卡牌消耗!$AA80)*INDEX(卡牌消耗!$B$5:$F$5,卡牌消耗!$Z80)/卡牌消耗!$Q$4/AB$2,0)*AB$2</f>
        <v>0</v>
      </c>
      <c r="AC80" s="14">
        <f>ROUND(INDEX(挂机升级突破!DU$6:DU$57,卡牌消耗!$AA80)*INDEX(卡牌消耗!$B$5:$F$5,卡牌消耗!$Z80)/卡牌消耗!$Q$4/AC$2,0)*AC$2</f>
        <v>0</v>
      </c>
      <c r="AD80" s="14">
        <f>ROUND(INDEX(挂机升级突破!DV$6:DV$57,卡牌消耗!$AA80)*INDEX(卡牌消耗!$B$5:$F$5,卡牌消耗!$Z80)/卡牌消耗!$Q$4/AD$2,0)*AD$2</f>
        <v>0</v>
      </c>
      <c r="AE80" s="14">
        <f>ROUND(INDEX(挂机升级突破!DW$6:DW$57,卡牌消耗!$AA80)*INDEX(卡牌消耗!$B$5:$F$5,卡牌消耗!$Z80)/卡牌消耗!$Q$4/AE$2,0)*AE$2</f>
        <v>20</v>
      </c>
      <c r="AF80" s="14">
        <f>ROUND(INDEX(挂机升级突破!DX$6:DX$57,卡牌消耗!$AA80)*INDEX(卡牌消耗!$B$5:$F$5,卡牌消耗!$Z80)/卡牌消耗!$Q$4/AF$2,0)*AF$2</f>
        <v>0</v>
      </c>
      <c r="AG80" s="14">
        <f>ROUND(INDEX(挂机升级突破!EC$6:EC$57,卡牌消耗!$AA80)*INDEX(卡牌消耗!$B$7:$F$7,卡牌消耗!$Z80)/卡牌消耗!$Q$4/AG$2,0)*AG$2</f>
        <v>0</v>
      </c>
      <c r="AH80" s="14">
        <f>ROUND(INDEX(挂机升级突破!ED$6:ED$57,卡牌消耗!$AA80)*INDEX(卡牌消耗!$B$8:$F$8,卡牌消耗!$Z80)/卡牌消耗!$Q$4/AH$2,0)*AH$2</f>
        <v>6900</v>
      </c>
      <c r="AI80" s="194"/>
      <c r="AJ80" s="194"/>
      <c r="AK80" s="104">
        <v>76</v>
      </c>
      <c r="AL80" s="14">
        <f t="shared" si="104"/>
        <v>2</v>
      </c>
      <c r="AM80" s="14">
        <f>INDEX(挂机升级突破!DQ$6:DQ$57,卡牌消耗!$AT80)</f>
        <v>11</v>
      </c>
      <c r="AN80" s="14">
        <f>INDEX(挂机升级突破!DR$6:DR$57,卡牌消耗!$AT80)</f>
        <v>4</v>
      </c>
      <c r="AO80" s="14">
        <f>INDEX(挂机升级突破!DS$6:DS$57,卡牌消耗!$AT80)</f>
        <v>0</v>
      </c>
      <c r="AP80" s="14">
        <f>INDEX(挂机升级突破!$DP$6:$DP$57,卡牌消耗!AT80)</f>
        <v>78</v>
      </c>
      <c r="AQ80" s="14" t="str">
        <f t="shared" si="105"/>
        <v>许褚</v>
      </c>
      <c r="AR80" s="14">
        <f t="shared" si="106"/>
        <v>3</v>
      </c>
      <c r="AS80" s="14" t="str">
        <f t="shared" si="107"/>
        <v>许褚魂火-24</v>
      </c>
      <c r="AT80" s="14">
        <f t="shared" si="108"/>
        <v>24</v>
      </c>
      <c r="AU80" s="14" t="str">
        <f>IF(AM80&gt;0,INDEX(挂机升级突破!$DT$4:$ED$4,AM80),"")</f>
        <v>金币</v>
      </c>
      <c r="AV80" s="14">
        <f>ROUND(INDEX(挂机升级突破!$DJ$6:$DJ$57,卡牌消耗!AT80)*INDEX(卡牌消耗!$B$8:$F$8,AR80)/$Q$4/50,0)*50</f>
        <v>6900</v>
      </c>
      <c r="AW80" s="14" t="str">
        <f>IF(AN80&gt;0,INDEX(挂机升级突破!$DT$4:$ED$4,AN80),"")</f>
        <v>橙色基础材料</v>
      </c>
      <c r="AX80" s="14">
        <f>ROUND(INDEX(挂机升级突破!$DT$6:$ED$57,卡牌消耗!AT80,AN80)*INDEX(卡牌消耗!$B$5:$F$5,AR80)/$Q$4/5,0)*5</f>
        <v>20</v>
      </c>
      <c r="AY80" s="14" t="str">
        <f>IF(AO80&gt;0,INDEX(挂机升级突破!$DT$4:$ED$4,AO80),"")</f>
        <v/>
      </c>
      <c r="AZ80" s="14" t="str">
        <f>IF(AO80&gt;0,ROUND(INDEX(挂机升级突破!$DT$6:$ED$57,卡牌消耗!AT80,AO80)*INDEX(卡牌消耗!$B$7:$F$7,AR80)/$Q$4,0),"")</f>
        <v/>
      </c>
      <c r="BA80" s="106"/>
      <c r="BB80" s="197"/>
      <c r="BC80" s="196">
        <v>5</v>
      </c>
      <c r="BD80" s="196">
        <v>16</v>
      </c>
      <c r="BE80" s="14">
        <f>ROUND(INDEX(挂机升级突破!ER$7:ER$26,卡牌消耗!$BD80)*INDEX(卡牌消耗!$B$6:$F$6,$BC80)/$Q$4,0)</f>
        <v>0</v>
      </c>
      <c r="BF80" s="14">
        <f>ROUND(INDEX(挂机升级突破!ES$7:ES$26,卡牌消耗!$BD80)*INDEX(卡牌消耗!$B$6:$F$6,$BC80)/$Q$4,0)</f>
        <v>0</v>
      </c>
      <c r="BG80" s="14">
        <f>ROUND(INDEX(挂机升级突破!ET$7:ET$26,卡牌消耗!$BD80)*INDEX(卡牌消耗!$B$6:$F$6,$BC80)/$Q$4,0)</f>
        <v>137</v>
      </c>
      <c r="BH80" s="14">
        <f>ROUND(INDEX(挂机升级突破!EU$7:EU$26,卡牌消耗!$BD80)*INDEX(卡牌消耗!$B$6:$F$6,$BC80)/$Q$4,0)</f>
        <v>0</v>
      </c>
      <c r="BI80" s="14">
        <f>ROUND(INDEX(挂机升级突破!$EV$7:$EV$26,卡牌消耗!BD80)*INDEX(卡牌消耗!$B$8:$F$8,$BC80)/$Q$4/BI$2,0)*BI$2</f>
        <v>161000</v>
      </c>
      <c r="BJ80" s="197"/>
      <c r="BK80" s="197"/>
      <c r="BL80" s="104">
        <v>76</v>
      </c>
      <c r="BM80" s="14">
        <f t="shared" si="109"/>
        <v>4</v>
      </c>
      <c r="BN80" s="14">
        <f>INDEX(挂机升级突破!$EI$7:$EI$26,BS80)</f>
        <v>5</v>
      </c>
      <c r="BO80" s="14">
        <f>INDEX(挂机升级突破!$EJ$7:$EJ$26,BS80)</f>
        <v>3</v>
      </c>
      <c r="BP80" s="14">
        <f t="shared" si="110"/>
        <v>2</v>
      </c>
      <c r="BQ80" s="14">
        <f>INDEX(挂机升级突破!$EH$7:$EH$26,卡牌消耗!BS80)</f>
        <v>110</v>
      </c>
      <c r="BR80" s="14" t="str">
        <f t="shared" si="111"/>
        <v>唐流雨</v>
      </c>
      <c r="BS80" s="14">
        <f t="shared" si="112"/>
        <v>16</v>
      </c>
      <c r="BT80" s="14" t="str">
        <f t="shared" si="113"/>
        <v>唐流雨16突</v>
      </c>
      <c r="BU80" s="14" t="str">
        <f>IF(BN80&gt;0,INDEX(挂机升级突破!$ER$5:$EV$5,卡牌消耗!BN80),"")</f>
        <v>金币</v>
      </c>
      <c r="BV80" s="14">
        <f>IF(BN80&gt;0,ROUND(INDEX(挂机升级突破!$EV$7:$EV$26,卡牌消耗!BS80)*INDEX(卡牌消耗!$B$8:$F$8,BP80)/$Q$4/500,0)*500,"")</f>
        <v>56500</v>
      </c>
      <c r="BW80" s="14" t="str">
        <f>IF(BO80&gt;0,INDEX(挂机升级突破!$ER$5:$EV$5,卡牌消耗!BO80),"")</f>
        <v>银母</v>
      </c>
      <c r="BX80" s="14">
        <f>IF(BO80&gt;0,ROUND(INDEX(挂机升级突破!$ER$7:$EU$26,卡牌消耗!BS80,卡牌消耗!BO80)*INDEX($B$6:$F$6,BP80)/$Q$4/5,0)*5,"")</f>
        <v>75</v>
      </c>
      <c r="BY80" s="193"/>
      <c r="BZ80" s="193"/>
      <c r="CA80" s="106"/>
      <c r="CS80" s="171"/>
      <c r="CT80" s="171"/>
      <c r="CU80" s="14">
        <f>INDEX($CP$5:$CP$32,CU79)</f>
        <v>114088</v>
      </c>
      <c r="CV80" s="169">
        <v>76</v>
      </c>
      <c r="CW80" s="169">
        <v>5.25</v>
      </c>
      <c r="CX80" s="21">
        <f t="shared" ref="CX80" si="138">CW80/$CU81</f>
        <v>0.19090909090909092</v>
      </c>
      <c r="CY80" s="169">
        <f t="shared" ref="CY80" si="139">INT($CU80*CX80/5)*5</f>
        <v>21780</v>
      </c>
      <c r="CZ80" s="169">
        <f>SUM(CY$5:CY80)</f>
        <v>689950</v>
      </c>
      <c r="DB80" s="188">
        <f t="shared" si="116"/>
        <v>10850</v>
      </c>
      <c r="DC80" s="188">
        <f t="shared" si="116"/>
        <v>17400</v>
      </c>
      <c r="DD80" s="188">
        <f t="shared" si="116"/>
        <v>21750</v>
      </c>
      <c r="DE80" s="188">
        <f t="shared" si="116"/>
        <v>26100</v>
      </c>
      <c r="DF80" s="188">
        <f t="shared" si="116"/>
        <v>32650</v>
      </c>
      <c r="DI80" s="186">
        <v>76</v>
      </c>
      <c r="DJ80" s="14">
        <f t="shared" si="117"/>
        <v>16</v>
      </c>
      <c r="DK80" s="14">
        <f t="shared" si="99"/>
        <v>2</v>
      </c>
      <c r="DL80" s="14">
        <f t="shared" si="100"/>
        <v>1101041</v>
      </c>
      <c r="DM80" s="136" t="s">
        <v>1097</v>
      </c>
      <c r="DN80" s="14">
        <f t="shared" si="101"/>
        <v>1</v>
      </c>
      <c r="DO80" s="14" t="str">
        <f t="shared" si="102"/>
        <v>常服夏铃-1星</v>
      </c>
      <c r="DP80" s="136" t="s">
        <v>1103</v>
      </c>
      <c r="DQ80" s="14">
        <f t="shared" si="118"/>
        <v>3000</v>
      </c>
      <c r="DR80" s="14" t="str">
        <f t="shared" si="103"/>
        <v>常服夏铃碎片</v>
      </c>
      <c r="DS80" s="14">
        <f t="shared" si="119"/>
        <v>20</v>
      </c>
    </row>
    <row r="81" spans="1:123" ht="16.5" x14ac:dyDescent="0.2">
      <c r="A81" s="55">
        <v>1102003</v>
      </c>
      <c r="B81" s="55" t="s">
        <v>174</v>
      </c>
      <c r="C81" s="55">
        <v>4</v>
      </c>
      <c r="D81" s="136">
        <v>5</v>
      </c>
      <c r="E81" s="186">
        <f>SUM(D$52:D81)</f>
        <v>150</v>
      </c>
      <c r="H81" s="15"/>
      <c r="I81" s="15"/>
      <c r="J81" s="15"/>
      <c r="K81" s="15"/>
      <c r="L81" s="15"/>
      <c r="M81" s="15"/>
      <c r="N81" s="15"/>
      <c r="O81" s="137"/>
      <c r="P81" s="141"/>
      <c r="Q81" s="141"/>
      <c r="R81" s="141"/>
      <c r="S81" s="141"/>
      <c r="T81" s="141"/>
      <c r="U81" s="141"/>
      <c r="V81" s="141"/>
      <c r="W81" s="141"/>
      <c r="X81" s="141"/>
      <c r="Y81" s="141"/>
      <c r="Z81" s="196">
        <v>3</v>
      </c>
      <c r="AA81" s="196">
        <v>25</v>
      </c>
      <c r="AB81" s="14">
        <f>ROUND(INDEX(挂机升级突破!DT$6:DT$57,卡牌消耗!$AA81)*INDEX(卡牌消耗!$B$5:$F$5,卡牌消耗!$Z81)/卡牌消耗!$Q$4/AB$2,0)*AB$2</f>
        <v>0</v>
      </c>
      <c r="AC81" s="14">
        <f>ROUND(INDEX(挂机升级突破!DU$6:DU$57,卡牌消耗!$AA81)*INDEX(卡牌消耗!$B$5:$F$5,卡牌消耗!$Z81)/卡牌消耗!$Q$4/AC$2,0)*AC$2</f>
        <v>0</v>
      </c>
      <c r="AD81" s="14">
        <f>ROUND(INDEX(挂机升级突破!DV$6:DV$57,卡牌消耗!$AA81)*INDEX(卡牌消耗!$B$5:$F$5,卡牌消耗!$Z81)/卡牌消耗!$Q$4/AD$2,0)*AD$2</f>
        <v>0</v>
      </c>
      <c r="AE81" s="14">
        <f>ROUND(INDEX(挂机升级突破!DW$6:DW$57,卡牌消耗!$AA81)*INDEX(卡牌消耗!$B$5:$F$5,卡牌消耗!$Z81)/卡牌消耗!$Q$4/AE$2,0)*AE$2</f>
        <v>20</v>
      </c>
      <c r="AF81" s="14">
        <f>ROUND(INDEX(挂机升级突破!DX$6:DX$57,卡牌消耗!$AA81)*INDEX(卡牌消耗!$B$5:$F$5,卡牌消耗!$Z81)/卡牌消耗!$Q$4/AF$2,0)*AF$2</f>
        <v>0</v>
      </c>
      <c r="AG81" s="14">
        <f>ROUND(INDEX(挂机升级突破!EC$6:EC$57,卡牌消耗!$AA81)*INDEX(卡牌消耗!$B$7:$F$7,卡牌消耗!$Z81)/卡牌消耗!$Q$4/AG$2,0)*AG$2</f>
        <v>0</v>
      </c>
      <c r="AH81" s="14">
        <f>ROUND(INDEX(挂机升级突破!ED$6:ED$57,卡牌消耗!$AA81)*INDEX(卡牌消耗!$B$8:$F$8,卡牌消耗!$Z81)/卡牌消耗!$Q$4/AH$2,0)*AH$2</f>
        <v>7550</v>
      </c>
      <c r="AI81" s="194"/>
      <c r="AJ81" s="194"/>
      <c r="AK81" s="104">
        <v>77</v>
      </c>
      <c r="AL81" s="14">
        <f t="shared" si="104"/>
        <v>2</v>
      </c>
      <c r="AM81" s="14">
        <f>INDEX(挂机升级突破!DQ$6:DQ$57,卡牌消耗!$AT81)</f>
        <v>11</v>
      </c>
      <c r="AN81" s="14">
        <f>INDEX(挂机升级突破!DR$6:DR$57,卡牌消耗!$AT81)</f>
        <v>4</v>
      </c>
      <c r="AO81" s="14">
        <f>INDEX(挂机升级突破!DS$6:DS$57,卡牌消耗!$AT81)</f>
        <v>0</v>
      </c>
      <c r="AP81" s="14">
        <f>INDEX(挂机升级突破!$DP$6:$DP$57,卡牌消耗!AT81)</f>
        <v>80</v>
      </c>
      <c r="AQ81" s="14" t="str">
        <f t="shared" si="105"/>
        <v>许褚</v>
      </c>
      <c r="AR81" s="14">
        <f t="shared" si="106"/>
        <v>3</v>
      </c>
      <c r="AS81" s="14" t="str">
        <f t="shared" si="107"/>
        <v>许褚魂火-25</v>
      </c>
      <c r="AT81" s="14">
        <f t="shared" si="108"/>
        <v>25</v>
      </c>
      <c r="AU81" s="14" t="str">
        <f>IF(AM81&gt;0,INDEX(挂机升级突破!$DT$4:$ED$4,AM81),"")</f>
        <v>金币</v>
      </c>
      <c r="AV81" s="14">
        <f>ROUND(INDEX(挂机升级突破!$DJ$6:$DJ$57,卡牌消耗!AT81)*INDEX(卡牌消耗!$B$8:$F$8,AR81)/$Q$4/50,0)*50</f>
        <v>7550</v>
      </c>
      <c r="AW81" s="14" t="str">
        <f>IF(AN81&gt;0,INDEX(挂机升级突破!$DT$4:$ED$4,AN81),"")</f>
        <v>橙色基础材料</v>
      </c>
      <c r="AX81" s="14">
        <f>ROUND(INDEX(挂机升级突破!$DT$6:$ED$57,卡牌消耗!AT81,AN81)*INDEX(卡牌消耗!$B$5:$F$5,AR81)/$Q$4/5,0)*5</f>
        <v>20</v>
      </c>
      <c r="AY81" s="14" t="str">
        <f>IF(AO81&gt;0,INDEX(挂机升级突破!$DT$4:$ED$4,AO81),"")</f>
        <v/>
      </c>
      <c r="AZ81" s="14" t="str">
        <f>IF(AO81&gt;0,ROUND(INDEX(挂机升级突破!$DT$6:$ED$57,卡牌消耗!AT81,AO81)*INDEX(卡牌消耗!$B$7:$F$7,AR81)/$Q$4,0),"")</f>
        <v/>
      </c>
      <c r="BA81" s="106"/>
      <c r="BB81" s="197"/>
      <c r="BC81" s="196">
        <v>5</v>
      </c>
      <c r="BD81" s="196">
        <v>17</v>
      </c>
      <c r="BE81" s="14">
        <f>ROUND(INDEX(挂机升级突破!ER$7:ER$26,卡牌消耗!$BD81)*INDEX(卡牌消耗!$B$6:$F$6,$BC81)/$Q$4,0)</f>
        <v>0</v>
      </c>
      <c r="BF81" s="14">
        <f>ROUND(INDEX(挂机升级突破!ES$7:ES$26,卡牌消耗!$BD81)*INDEX(卡牌消耗!$B$6:$F$6,$BC81)/$Q$4,0)</f>
        <v>0</v>
      </c>
      <c r="BG81" s="14">
        <f>ROUND(INDEX(挂机升级突破!ET$7:ET$26,卡牌消耗!$BD81)*INDEX(卡牌消耗!$B$6:$F$6,$BC81)/$Q$4,0)</f>
        <v>0</v>
      </c>
      <c r="BH81" s="14">
        <f>ROUND(INDEX(挂机升级突破!EU$7:EU$26,卡牌消耗!$BD81)*INDEX(卡牌消耗!$B$6:$F$6,$BC81)/$Q$4,0)</f>
        <v>26</v>
      </c>
      <c r="BI81" s="14">
        <f>ROUND(INDEX(挂机升级突破!$EV$7:$EV$26,卡牌消耗!BD81)*INDEX(卡牌消耗!$B$8:$F$8,$BC81)/$Q$4/BI$2,0)*BI$2</f>
        <v>161000</v>
      </c>
      <c r="BJ81" s="197"/>
      <c r="BK81" s="197"/>
      <c r="BL81" s="104">
        <v>77</v>
      </c>
      <c r="BM81" s="14">
        <f t="shared" si="109"/>
        <v>4</v>
      </c>
      <c r="BN81" s="14">
        <f>INDEX(挂机升级突破!$EI$7:$EI$26,BS81)</f>
        <v>5</v>
      </c>
      <c r="BO81" s="14">
        <f>INDEX(挂机升级突破!$EJ$7:$EJ$26,BS81)</f>
        <v>4</v>
      </c>
      <c r="BP81" s="14">
        <f t="shared" si="110"/>
        <v>2</v>
      </c>
      <c r="BQ81" s="14">
        <f>INDEX(挂机升级突破!$EH$7:$EH$26,卡牌消耗!BS81)</f>
        <v>117</v>
      </c>
      <c r="BR81" s="14" t="str">
        <f t="shared" si="111"/>
        <v>唐流雨</v>
      </c>
      <c r="BS81" s="14">
        <f t="shared" si="112"/>
        <v>17</v>
      </c>
      <c r="BT81" s="14" t="str">
        <f t="shared" si="113"/>
        <v>唐流雨17突</v>
      </c>
      <c r="BU81" s="14" t="str">
        <f>IF(BN81&gt;0,INDEX(挂机升级突破!$ER$5:$EV$5,卡牌消耗!BN81),"")</f>
        <v>金币</v>
      </c>
      <c r="BV81" s="14">
        <f>IF(BN81&gt;0,ROUND(INDEX(挂机升级突破!$EV$7:$EV$26,卡牌消耗!BS81)*INDEX(卡牌消耗!$B$8:$F$8,BP81)/$Q$4/500,0)*500,"")</f>
        <v>56500</v>
      </c>
      <c r="BW81" s="14" t="str">
        <f>IF(BO81&gt;0,INDEX(挂机升级突破!$ER$5:$EV$5,卡牌消耗!BO81),"")</f>
        <v>铀金</v>
      </c>
      <c r="BX81" s="14">
        <f>IF(BO81&gt;0,ROUND(INDEX(挂机升级突破!$ER$7:$EU$26,卡牌消耗!BS81,卡牌消耗!BO81)*INDEX($B$6:$F$6,BP81)/$Q$4/5,0)*5,"")</f>
        <v>15</v>
      </c>
      <c r="BY81" s="193"/>
      <c r="BZ81" s="193"/>
      <c r="CA81" s="106"/>
      <c r="CS81" s="171"/>
      <c r="CT81" s="170"/>
      <c r="CU81" s="14">
        <f>SUMIFS($CW$5:$CW$154,$CV$5:$CV$154,"&gt;="&amp;INDEX($CE$5:$CE$32,CU79),$CV$5:$CV$154,"&lt;"&amp;INDEX($CF$5:$CF$32,CU79))</f>
        <v>27.5</v>
      </c>
      <c r="CV81" s="169">
        <v>77</v>
      </c>
      <c r="CW81" s="169">
        <v>5.5</v>
      </c>
      <c r="CX81" s="21">
        <f t="shared" ref="CX81" si="140">CW81/$CU81</f>
        <v>0.2</v>
      </c>
      <c r="CY81" s="169">
        <f t="shared" ref="CY81" si="141">INT($CU80*CX81/5)*5</f>
        <v>22815</v>
      </c>
      <c r="CZ81" s="169">
        <f>SUM(CY$5:CY81)</f>
        <v>712765</v>
      </c>
      <c r="DB81" s="188">
        <f t="shared" si="116"/>
        <v>11400</v>
      </c>
      <c r="DC81" s="188">
        <f t="shared" si="116"/>
        <v>18250</v>
      </c>
      <c r="DD81" s="188">
        <f t="shared" si="116"/>
        <v>22800</v>
      </c>
      <c r="DE81" s="188">
        <f t="shared" si="116"/>
        <v>27350</v>
      </c>
      <c r="DF81" s="188">
        <f t="shared" si="116"/>
        <v>34200</v>
      </c>
      <c r="DI81" s="186">
        <v>77</v>
      </c>
      <c r="DJ81" s="14">
        <f t="shared" si="117"/>
        <v>16</v>
      </c>
      <c r="DK81" s="14">
        <f t="shared" si="99"/>
        <v>2</v>
      </c>
      <c r="DL81" s="14">
        <f t="shared" si="100"/>
        <v>1101041</v>
      </c>
      <c r="DM81" s="136" t="s">
        <v>1097</v>
      </c>
      <c r="DN81" s="14">
        <f t="shared" si="101"/>
        <v>2</v>
      </c>
      <c r="DO81" s="14" t="str">
        <f t="shared" si="102"/>
        <v>常服夏铃-2星</v>
      </c>
      <c r="DP81" s="136" t="s">
        <v>1103</v>
      </c>
      <c r="DQ81" s="14">
        <f t="shared" si="118"/>
        <v>3500</v>
      </c>
      <c r="DR81" s="14" t="str">
        <f t="shared" si="103"/>
        <v>常服夏铃碎片</v>
      </c>
      <c r="DS81" s="14">
        <f t="shared" si="119"/>
        <v>20</v>
      </c>
    </row>
    <row r="82" spans="1:123" ht="16.5" x14ac:dyDescent="0.2">
      <c r="A82" s="55">
        <v>1102004</v>
      </c>
      <c r="B82" s="55" t="s">
        <v>175</v>
      </c>
      <c r="C82" s="55">
        <v>2</v>
      </c>
      <c r="D82" s="136">
        <v>5</v>
      </c>
      <c r="E82" s="186">
        <f>SUM(D$52:D82)</f>
        <v>155</v>
      </c>
      <c r="H82" s="15"/>
      <c r="I82" s="15"/>
      <c r="J82" s="15"/>
      <c r="K82" s="15"/>
      <c r="L82" s="15"/>
      <c r="M82" s="15"/>
      <c r="N82" s="15"/>
      <c r="O82" s="137"/>
      <c r="P82" s="141"/>
      <c r="Q82" s="141"/>
      <c r="R82" s="141"/>
      <c r="S82" s="141"/>
      <c r="T82" s="141"/>
      <c r="U82" s="141"/>
      <c r="V82" s="141"/>
      <c r="W82" s="141"/>
      <c r="X82" s="141"/>
      <c r="Y82" s="141"/>
      <c r="Z82" s="196">
        <v>3</v>
      </c>
      <c r="AA82" s="196">
        <v>26</v>
      </c>
      <c r="AB82" s="14">
        <f>ROUND(INDEX(挂机升级突破!DT$6:DT$57,卡牌消耗!$AA82)*INDEX(卡牌消耗!$B$5:$F$5,卡牌消耗!$Z82)/卡牌消耗!$Q$4/AB$2,0)*AB$2</f>
        <v>0</v>
      </c>
      <c r="AC82" s="14">
        <f>ROUND(INDEX(挂机升级突破!DU$6:DU$57,卡牌消耗!$AA82)*INDEX(卡牌消耗!$B$5:$F$5,卡牌消耗!$Z82)/卡牌消耗!$Q$4/AC$2,0)*AC$2</f>
        <v>0</v>
      </c>
      <c r="AD82" s="14">
        <f>ROUND(INDEX(挂机升级突破!DV$6:DV$57,卡牌消耗!$AA82)*INDEX(卡牌消耗!$B$5:$F$5,卡牌消耗!$Z82)/卡牌消耗!$Q$4/AD$2,0)*AD$2</f>
        <v>0</v>
      </c>
      <c r="AE82" s="14">
        <f>ROUND(INDEX(挂机升级突破!DW$6:DW$57,卡牌消耗!$AA82)*INDEX(卡牌消耗!$B$5:$F$5,卡牌消耗!$Z82)/卡牌消耗!$Q$4/AE$2,0)*AE$2</f>
        <v>25</v>
      </c>
      <c r="AF82" s="14">
        <f>ROUND(INDEX(挂机升级突破!DX$6:DX$57,卡牌消耗!$AA82)*INDEX(卡牌消耗!$B$5:$F$5,卡牌消耗!$Z82)/卡牌消耗!$Q$4/AF$2,0)*AF$2</f>
        <v>0</v>
      </c>
      <c r="AG82" s="14">
        <f>ROUND(INDEX(挂机升级突破!EC$6:EC$57,卡牌消耗!$AA82)*INDEX(卡牌消耗!$B$7:$F$7,卡牌消耗!$Z82)/卡牌消耗!$Q$4/AG$2,0)*AG$2</f>
        <v>0</v>
      </c>
      <c r="AH82" s="14">
        <f>ROUND(INDEX(挂机升级突破!ED$6:ED$57,卡牌消耗!$AA82)*INDEX(卡牌消耗!$B$8:$F$8,卡牌消耗!$Z82)/卡牌消耗!$Q$4/AH$2,0)*AH$2</f>
        <v>8800</v>
      </c>
      <c r="AI82" s="194"/>
      <c r="AJ82" s="194"/>
      <c r="AK82" s="104">
        <v>78</v>
      </c>
      <c r="AL82" s="14">
        <f t="shared" si="104"/>
        <v>2</v>
      </c>
      <c r="AM82" s="14">
        <f>INDEX(挂机升级突破!DQ$6:DQ$57,卡牌消耗!$AT82)</f>
        <v>11</v>
      </c>
      <c r="AN82" s="14">
        <f>INDEX(挂机升级突破!DR$6:DR$57,卡牌消耗!$AT82)</f>
        <v>4</v>
      </c>
      <c r="AO82" s="14">
        <f>INDEX(挂机升级突破!DS$6:DS$57,卡牌消耗!$AT82)</f>
        <v>0</v>
      </c>
      <c r="AP82" s="14">
        <f>INDEX(挂机升级突破!$DP$6:$DP$57,卡牌消耗!AT82)</f>
        <v>83</v>
      </c>
      <c r="AQ82" s="14" t="str">
        <f t="shared" si="105"/>
        <v>许褚</v>
      </c>
      <c r="AR82" s="14">
        <f t="shared" si="106"/>
        <v>3</v>
      </c>
      <c r="AS82" s="14" t="str">
        <f t="shared" si="107"/>
        <v>许褚魂火-26</v>
      </c>
      <c r="AT82" s="14">
        <f t="shared" si="108"/>
        <v>26</v>
      </c>
      <c r="AU82" s="14" t="str">
        <f>IF(AM82&gt;0,INDEX(挂机升级突破!$DT$4:$ED$4,AM82),"")</f>
        <v>金币</v>
      </c>
      <c r="AV82" s="14">
        <f>ROUND(INDEX(挂机升级突破!$DJ$6:$DJ$57,卡牌消耗!AT82)*INDEX(卡牌消耗!$B$8:$F$8,AR82)/$Q$4/50,0)*50</f>
        <v>8800</v>
      </c>
      <c r="AW82" s="14" t="str">
        <f>IF(AN82&gt;0,INDEX(挂机升级突破!$DT$4:$ED$4,AN82),"")</f>
        <v>橙色基础材料</v>
      </c>
      <c r="AX82" s="14">
        <f>ROUND(INDEX(挂机升级突破!$DT$6:$ED$57,卡牌消耗!AT82,AN82)*INDEX(卡牌消耗!$B$5:$F$5,AR82)/$Q$4/5,0)*5</f>
        <v>25</v>
      </c>
      <c r="AY82" s="14" t="str">
        <f>IF(AO82&gt;0,INDEX(挂机升级突破!$DT$4:$ED$4,AO82),"")</f>
        <v/>
      </c>
      <c r="AZ82" s="14" t="str">
        <f>IF(AO82&gt;0,ROUND(INDEX(挂机升级突破!$DT$6:$ED$57,卡牌消耗!AT82,AO82)*INDEX(卡牌消耗!$B$7:$F$7,AR82)/$Q$4,0),"")</f>
        <v/>
      </c>
      <c r="BA82" s="106"/>
      <c r="BB82" s="197"/>
      <c r="BC82" s="196">
        <v>5</v>
      </c>
      <c r="BD82" s="196">
        <v>18</v>
      </c>
      <c r="BE82" s="14">
        <f>ROUND(INDEX(挂机升级突破!ER$7:ER$26,卡牌消耗!$BD82)*INDEX(卡牌消耗!$B$6:$F$6,$BC82)/$Q$4,0)</f>
        <v>0</v>
      </c>
      <c r="BF82" s="14">
        <f>ROUND(INDEX(挂机升级突破!ES$7:ES$26,卡牌消耗!$BD82)*INDEX(卡牌消耗!$B$6:$F$6,$BC82)/$Q$4,0)</f>
        <v>0</v>
      </c>
      <c r="BG82" s="14">
        <f>ROUND(INDEX(挂机升级突破!ET$7:ET$26,卡牌消耗!$BD82)*INDEX(卡牌消耗!$B$6:$F$6,$BC82)/$Q$4,0)</f>
        <v>0</v>
      </c>
      <c r="BH82" s="14">
        <f>ROUND(INDEX(挂机升级突破!EU$7:EU$26,卡牌消耗!$BD82)*INDEX(卡牌消耗!$B$6:$F$6,$BC82)/$Q$4,0)</f>
        <v>37</v>
      </c>
      <c r="BI82" s="14">
        <f>ROUND(INDEX(挂机升级突破!$EV$7:$EV$26,卡牌消耗!BD82)*INDEX(卡牌消耗!$B$8:$F$8,$BC82)/$Q$4/BI$2,0)*BI$2</f>
        <v>215000</v>
      </c>
      <c r="BJ82" s="197"/>
      <c r="BK82" s="197"/>
      <c r="BL82" s="104">
        <v>78</v>
      </c>
      <c r="BM82" s="14">
        <f t="shared" si="109"/>
        <v>4</v>
      </c>
      <c r="BN82" s="14">
        <f>INDEX(挂机升级突破!$EI$7:$EI$26,BS82)</f>
        <v>5</v>
      </c>
      <c r="BO82" s="14">
        <f>INDEX(挂机升级突破!$EJ$7:$EJ$26,BS82)</f>
        <v>4</v>
      </c>
      <c r="BP82" s="14">
        <f t="shared" si="110"/>
        <v>2</v>
      </c>
      <c r="BQ82" s="14">
        <f>INDEX(挂机升级突破!$EH$7:$EH$26,卡牌消耗!BS82)</f>
        <v>125</v>
      </c>
      <c r="BR82" s="14" t="str">
        <f t="shared" si="111"/>
        <v>唐流雨</v>
      </c>
      <c r="BS82" s="14">
        <f t="shared" si="112"/>
        <v>18</v>
      </c>
      <c r="BT82" s="14" t="str">
        <f t="shared" si="113"/>
        <v>唐流雨18突</v>
      </c>
      <c r="BU82" s="14" t="str">
        <f>IF(BN82&gt;0,INDEX(挂机升级突破!$ER$5:$EV$5,卡牌消耗!BN82),"")</f>
        <v>金币</v>
      </c>
      <c r="BV82" s="14">
        <f>IF(BN82&gt;0,ROUND(INDEX(挂机升级突破!$EV$7:$EV$26,卡牌消耗!BS82)*INDEX(卡牌消耗!$B$8:$F$8,BP82)/$Q$4/500,0)*500,"")</f>
        <v>75000</v>
      </c>
      <c r="BW82" s="14" t="str">
        <f>IF(BO82&gt;0,INDEX(挂机升级突破!$ER$5:$EV$5,卡牌消耗!BO82),"")</f>
        <v>铀金</v>
      </c>
      <c r="BX82" s="14">
        <f>IF(BO82&gt;0,ROUND(INDEX(挂机升级突破!$ER$7:$EU$26,卡牌消耗!BS82,卡牌消耗!BO82)*INDEX($B$6:$F$6,BP82)/$Q$4/5,0)*5,"")</f>
        <v>20</v>
      </c>
      <c r="BY82" s="193"/>
      <c r="BZ82" s="193"/>
      <c r="CA82" s="106"/>
      <c r="CS82" s="171"/>
      <c r="CT82" s="171"/>
      <c r="CU82" s="171"/>
      <c r="CV82" s="169">
        <v>78</v>
      </c>
      <c r="CW82" s="169">
        <v>5.75</v>
      </c>
      <c r="CX82" s="21">
        <f t="shared" ref="CX82" si="142">CW82/$CU81</f>
        <v>0.20909090909090908</v>
      </c>
      <c r="CY82" s="169">
        <f t="shared" ref="CY82" si="143">INT($CU80*CX82/5)*5</f>
        <v>23850</v>
      </c>
      <c r="CZ82" s="169">
        <f>SUM(CY$5:CY82)</f>
        <v>736615</v>
      </c>
      <c r="DB82" s="188">
        <f t="shared" si="116"/>
        <v>11900</v>
      </c>
      <c r="DC82" s="188">
        <f t="shared" si="116"/>
        <v>19050</v>
      </c>
      <c r="DD82" s="188">
        <f t="shared" si="116"/>
        <v>23850</v>
      </c>
      <c r="DE82" s="188">
        <f t="shared" si="116"/>
        <v>28600</v>
      </c>
      <c r="DF82" s="188">
        <f t="shared" si="116"/>
        <v>35750</v>
      </c>
      <c r="DI82" s="186">
        <v>78</v>
      </c>
      <c r="DJ82" s="14">
        <f t="shared" si="117"/>
        <v>16</v>
      </c>
      <c r="DK82" s="14">
        <f t="shared" si="99"/>
        <v>2</v>
      </c>
      <c r="DL82" s="14">
        <f t="shared" si="100"/>
        <v>1101041</v>
      </c>
      <c r="DM82" s="136" t="s">
        <v>1097</v>
      </c>
      <c r="DN82" s="14">
        <f t="shared" si="101"/>
        <v>3</v>
      </c>
      <c r="DO82" s="14" t="str">
        <f t="shared" si="102"/>
        <v>常服夏铃-3星</v>
      </c>
      <c r="DP82" s="136" t="s">
        <v>1103</v>
      </c>
      <c r="DQ82" s="14">
        <f t="shared" si="118"/>
        <v>7000</v>
      </c>
      <c r="DR82" s="14" t="str">
        <f t="shared" si="103"/>
        <v>常服夏铃碎片</v>
      </c>
      <c r="DS82" s="14">
        <f t="shared" si="119"/>
        <v>20</v>
      </c>
    </row>
    <row r="83" spans="1:123" ht="16.5" x14ac:dyDescent="0.2">
      <c r="A83" s="55">
        <v>1102005</v>
      </c>
      <c r="B83" s="55" t="s">
        <v>176</v>
      </c>
      <c r="C83" s="55">
        <v>3</v>
      </c>
      <c r="D83" s="136">
        <v>5</v>
      </c>
      <c r="E83" s="186">
        <f>SUM(D$52:D83)</f>
        <v>160</v>
      </c>
      <c r="H83" s="15"/>
      <c r="I83" s="15"/>
      <c r="J83" s="15"/>
      <c r="K83" s="15"/>
      <c r="L83" s="15"/>
      <c r="M83" s="15"/>
      <c r="N83" s="15"/>
      <c r="O83" s="137"/>
      <c r="P83" s="141"/>
      <c r="Q83" s="141"/>
      <c r="R83" s="141"/>
      <c r="S83" s="141"/>
      <c r="T83" s="141"/>
      <c r="U83" s="141"/>
      <c r="V83" s="141"/>
      <c r="W83" s="141"/>
      <c r="X83" s="141"/>
      <c r="Y83" s="141"/>
      <c r="Z83" s="196">
        <v>3</v>
      </c>
      <c r="AA83" s="196">
        <v>27</v>
      </c>
      <c r="AB83" s="14">
        <f>ROUND(INDEX(挂机升级突破!DT$6:DT$57,卡牌消耗!$AA83)*INDEX(卡牌消耗!$B$5:$F$5,卡牌消耗!$Z83)/卡牌消耗!$Q$4/AB$2,0)*AB$2</f>
        <v>0</v>
      </c>
      <c r="AC83" s="14">
        <f>ROUND(INDEX(挂机升级突破!DU$6:DU$57,卡牌消耗!$AA83)*INDEX(卡牌消耗!$B$5:$F$5,卡牌消耗!$Z83)/卡牌消耗!$Q$4/AC$2,0)*AC$2</f>
        <v>0</v>
      </c>
      <c r="AD83" s="14">
        <f>ROUND(INDEX(挂机升级突破!DV$6:DV$57,卡牌消耗!$AA83)*INDEX(卡牌消耗!$B$5:$F$5,卡牌消耗!$Z83)/卡牌消耗!$Q$4/AD$2,0)*AD$2</f>
        <v>0</v>
      </c>
      <c r="AE83" s="14">
        <f>ROUND(INDEX(挂机升级突破!DW$6:DW$57,卡牌消耗!$AA83)*INDEX(卡牌消耗!$B$5:$F$5,卡牌消耗!$Z83)/卡牌消耗!$Q$4/AE$2,0)*AE$2</f>
        <v>25</v>
      </c>
      <c r="AF83" s="14">
        <f>ROUND(INDEX(挂机升级突破!DX$6:DX$57,卡牌消耗!$AA83)*INDEX(卡牌消耗!$B$5:$F$5,卡牌消耗!$Z83)/卡牌消耗!$Q$4/AF$2,0)*AF$2</f>
        <v>0</v>
      </c>
      <c r="AG83" s="14">
        <f>ROUND(INDEX(挂机升级突破!EC$6:EC$57,卡牌消耗!$AA83)*INDEX(卡牌消耗!$B$7:$F$7,卡牌消耗!$Z83)/卡牌消耗!$Q$4/AG$2,0)*AG$2</f>
        <v>0</v>
      </c>
      <c r="AH83" s="14">
        <f>ROUND(INDEX(挂机升级突破!ED$6:ED$57,卡牌消耗!$AA83)*INDEX(卡牌消耗!$B$8:$F$8,卡牌消耗!$Z83)/卡牌消耗!$Q$4/AH$2,0)*AH$2</f>
        <v>8800</v>
      </c>
      <c r="AI83" s="194"/>
      <c r="AJ83" s="194"/>
      <c r="AK83" s="104">
        <v>79</v>
      </c>
      <c r="AL83" s="14">
        <f t="shared" si="104"/>
        <v>2</v>
      </c>
      <c r="AM83" s="14">
        <f>INDEX(挂机升级突破!DQ$6:DQ$57,卡牌消耗!$AT83)</f>
        <v>11</v>
      </c>
      <c r="AN83" s="14">
        <f>INDEX(挂机升级突破!DR$6:DR$57,卡牌消耗!$AT83)</f>
        <v>4</v>
      </c>
      <c r="AO83" s="14">
        <f>INDEX(挂机升级突破!DS$6:DS$57,卡牌消耗!$AT83)</f>
        <v>0</v>
      </c>
      <c r="AP83" s="14">
        <f>INDEX(挂机升级突破!$DP$6:$DP$57,卡牌消耗!AT83)</f>
        <v>85</v>
      </c>
      <c r="AQ83" s="14" t="str">
        <f t="shared" si="105"/>
        <v>许褚</v>
      </c>
      <c r="AR83" s="14">
        <f t="shared" si="106"/>
        <v>3</v>
      </c>
      <c r="AS83" s="14" t="str">
        <f t="shared" si="107"/>
        <v>许褚魂火-27</v>
      </c>
      <c r="AT83" s="14">
        <f t="shared" si="108"/>
        <v>27</v>
      </c>
      <c r="AU83" s="14" t="str">
        <f>IF(AM83&gt;0,INDEX(挂机升级突破!$DT$4:$ED$4,AM83),"")</f>
        <v>金币</v>
      </c>
      <c r="AV83" s="14">
        <f>ROUND(INDEX(挂机升级突破!$DJ$6:$DJ$57,卡牌消耗!AT83)*INDEX(卡牌消耗!$B$8:$F$8,AR83)/$Q$4/50,0)*50</f>
        <v>8800</v>
      </c>
      <c r="AW83" s="14" t="str">
        <f>IF(AN83&gt;0,INDEX(挂机升级突破!$DT$4:$ED$4,AN83),"")</f>
        <v>橙色基础材料</v>
      </c>
      <c r="AX83" s="14">
        <f>ROUND(INDEX(挂机升级突破!$DT$6:$ED$57,卡牌消耗!AT83,AN83)*INDEX(卡牌消耗!$B$5:$F$5,AR83)/$Q$4/5,0)*5</f>
        <v>25</v>
      </c>
      <c r="AY83" s="14" t="str">
        <f>IF(AO83&gt;0,INDEX(挂机升级突破!$DT$4:$ED$4,AO83),"")</f>
        <v/>
      </c>
      <c r="AZ83" s="14" t="str">
        <f>IF(AO83&gt;0,ROUND(INDEX(挂机升级突破!$DT$6:$ED$57,卡牌消耗!AT83,AO83)*INDEX(卡牌消耗!$B$7:$F$7,AR83)/$Q$4,0),"")</f>
        <v/>
      </c>
      <c r="BA83" s="106"/>
      <c r="BB83" s="197"/>
      <c r="BC83" s="196">
        <v>5</v>
      </c>
      <c r="BD83" s="196">
        <v>19</v>
      </c>
      <c r="BE83" s="14">
        <f>ROUND(INDEX(挂机升级突破!ER$7:ER$26,卡牌消耗!$BD83)*INDEX(卡牌消耗!$B$6:$F$6,$BC83)/$Q$4,0)</f>
        <v>0</v>
      </c>
      <c r="BF83" s="14">
        <f>ROUND(INDEX(挂机升级突破!ES$7:ES$26,卡牌消耗!$BD83)*INDEX(卡牌消耗!$B$6:$F$6,$BC83)/$Q$4,0)</f>
        <v>0</v>
      </c>
      <c r="BG83" s="14">
        <f>ROUND(INDEX(挂机升级突破!ET$7:ET$26,卡牌消耗!$BD83)*INDEX(卡牌消耗!$B$6:$F$6,$BC83)/$Q$4,0)</f>
        <v>0</v>
      </c>
      <c r="BH83" s="14">
        <f>ROUND(INDEX(挂机升级突破!EU$7:EU$26,卡牌消耗!$BD83)*INDEX(卡牌消耗!$B$6:$F$6,$BC83)/$Q$4,0)</f>
        <v>49</v>
      </c>
      <c r="BI83" s="14">
        <f>ROUND(INDEX(挂机升级突破!$EV$7:$EV$26,卡牌消耗!BD83)*INDEX(卡牌消耗!$B$8:$F$8,$BC83)/$Q$4/BI$2,0)*BI$2</f>
        <v>547000</v>
      </c>
      <c r="BJ83" s="197"/>
      <c r="BK83" s="197"/>
      <c r="BL83" s="104">
        <v>79</v>
      </c>
      <c r="BM83" s="14">
        <f t="shared" si="109"/>
        <v>4</v>
      </c>
      <c r="BN83" s="14">
        <f>INDEX(挂机升级突破!$EI$7:$EI$26,BS83)</f>
        <v>5</v>
      </c>
      <c r="BO83" s="14">
        <f>INDEX(挂机升级突破!$EJ$7:$EJ$26,BS83)</f>
        <v>4</v>
      </c>
      <c r="BP83" s="14">
        <f t="shared" si="110"/>
        <v>2</v>
      </c>
      <c r="BQ83" s="14">
        <f>INDEX(挂机升级突破!$EH$7:$EH$26,卡牌消耗!BS83)</f>
        <v>132</v>
      </c>
      <c r="BR83" s="14" t="str">
        <f t="shared" si="111"/>
        <v>唐流雨</v>
      </c>
      <c r="BS83" s="14">
        <f t="shared" si="112"/>
        <v>19</v>
      </c>
      <c r="BT83" s="14" t="str">
        <f t="shared" si="113"/>
        <v>唐流雨19突</v>
      </c>
      <c r="BU83" s="14" t="str">
        <f>IF(BN83&gt;0,INDEX(挂机升级突破!$ER$5:$EV$5,卡牌消耗!BN83),"")</f>
        <v>金币</v>
      </c>
      <c r="BV83" s="14">
        <f>IF(BN83&gt;0,ROUND(INDEX(挂机升级突破!$EV$7:$EV$26,卡牌消耗!BS83)*INDEX(卡牌消耗!$B$8:$F$8,BP83)/$Q$4/500,0)*500,"")</f>
        <v>191500</v>
      </c>
      <c r="BW83" s="14" t="str">
        <f>IF(BO83&gt;0,INDEX(挂机升级突破!$ER$5:$EV$5,卡牌消耗!BO83),"")</f>
        <v>铀金</v>
      </c>
      <c r="BX83" s="14">
        <f>IF(BO83&gt;0,ROUND(INDEX(挂机升级突破!$ER$7:$EU$26,卡牌消耗!BS83,卡牌消耗!BO83)*INDEX($B$6:$F$6,BP83)/$Q$4/5,0)*5,"")</f>
        <v>25</v>
      </c>
      <c r="BY83" s="193"/>
      <c r="BZ83" s="193"/>
      <c r="CA83" s="106"/>
      <c r="CS83" s="171"/>
      <c r="CT83" s="171"/>
      <c r="CU83" s="171"/>
      <c r="CV83" s="169">
        <v>79</v>
      </c>
      <c r="CW83" s="169">
        <v>6</v>
      </c>
      <c r="CX83" s="21">
        <f t="shared" ref="CX83" si="144">CW83/$CU81</f>
        <v>0.21818181818181817</v>
      </c>
      <c r="CY83" s="169">
        <f t="shared" ref="CY83" si="145">INT($CU80*CX83/5)*5</f>
        <v>24890</v>
      </c>
      <c r="CZ83" s="169">
        <f>SUM(CY$5:CY83)</f>
        <v>761505</v>
      </c>
      <c r="DB83" s="188">
        <f t="shared" si="116"/>
        <v>12400</v>
      </c>
      <c r="DC83" s="188">
        <f t="shared" si="116"/>
        <v>19900</v>
      </c>
      <c r="DD83" s="188">
        <f t="shared" si="116"/>
        <v>24850</v>
      </c>
      <c r="DE83" s="188">
        <f t="shared" si="116"/>
        <v>29850</v>
      </c>
      <c r="DF83" s="188">
        <f t="shared" si="116"/>
        <v>37300</v>
      </c>
      <c r="DI83" s="186">
        <v>79</v>
      </c>
      <c r="DJ83" s="14">
        <f t="shared" si="117"/>
        <v>16</v>
      </c>
      <c r="DK83" s="14">
        <f t="shared" si="99"/>
        <v>2</v>
      </c>
      <c r="DL83" s="14">
        <f t="shared" si="100"/>
        <v>1101041</v>
      </c>
      <c r="DM83" s="136" t="s">
        <v>1097</v>
      </c>
      <c r="DN83" s="14">
        <f t="shared" si="101"/>
        <v>4</v>
      </c>
      <c r="DO83" s="14" t="str">
        <f t="shared" si="102"/>
        <v>常服夏铃-4星</v>
      </c>
      <c r="DP83" s="136" t="s">
        <v>1103</v>
      </c>
      <c r="DQ83" s="14">
        <f t="shared" si="118"/>
        <v>16000</v>
      </c>
      <c r="DR83" s="14" t="str">
        <f t="shared" si="103"/>
        <v>常服夏铃碎片</v>
      </c>
      <c r="DS83" s="14">
        <f t="shared" si="119"/>
        <v>20</v>
      </c>
    </row>
    <row r="84" spans="1:123" ht="16.5" x14ac:dyDescent="0.2">
      <c r="A84" s="55">
        <v>1102006</v>
      </c>
      <c r="B84" s="55" t="s">
        <v>177</v>
      </c>
      <c r="C84" s="55">
        <v>4</v>
      </c>
      <c r="D84" s="136">
        <v>5</v>
      </c>
      <c r="E84" s="186">
        <f>SUM(D$52:D84)</f>
        <v>165</v>
      </c>
      <c r="H84" s="15"/>
      <c r="I84" s="15"/>
      <c r="J84" s="15"/>
      <c r="K84" s="15"/>
      <c r="L84" s="15"/>
      <c r="M84" s="15"/>
      <c r="N84" s="15"/>
      <c r="O84" s="137"/>
      <c r="P84" s="141"/>
      <c r="Q84" s="141"/>
      <c r="R84" s="141"/>
      <c r="S84" s="141"/>
      <c r="T84" s="141"/>
      <c r="U84" s="141"/>
      <c r="V84" s="141"/>
      <c r="W84" s="141"/>
      <c r="X84" s="141"/>
      <c r="Y84" s="141"/>
      <c r="Z84" s="196">
        <v>3</v>
      </c>
      <c r="AA84" s="196">
        <v>28</v>
      </c>
      <c r="AB84" s="14">
        <f>ROUND(INDEX(挂机升级突破!DT$6:DT$57,卡牌消耗!$AA84)*INDEX(卡牌消耗!$B$5:$F$5,卡牌消耗!$Z84)/卡牌消耗!$Q$4/AB$2,0)*AB$2</f>
        <v>0</v>
      </c>
      <c r="AC84" s="14">
        <f>ROUND(INDEX(挂机升级突破!DU$6:DU$57,卡牌消耗!$AA84)*INDEX(卡牌消耗!$B$5:$F$5,卡牌消耗!$Z84)/卡牌消耗!$Q$4/AC$2,0)*AC$2</f>
        <v>0</v>
      </c>
      <c r="AD84" s="14">
        <f>ROUND(INDEX(挂机升级突破!DV$6:DV$57,卡牌消耗!$AA84)*INDEX(卡牌消耗!$B$5:$F$5,卡牌消耗!$Z84)/卡牌消耗!$Q$4/AD$2,0)*AD$2</f>
        <v>0</v>
      </c>
      <c r="AE84" s="14">
        <f>ROUND(INDEX(挂机升级突破!DW$6:DW$57,卡牌消耗!$AA84)*INDEX(卡牌消耗!$B$5:$F$5,卡牌消耗!$Z84)/卡牌消耗!$Q$4/AE$2,0)*AE$2</f>
        <v>25</v>
      </c>
      <c r="AF84" s="14">
        <f>ROUND(INDEX(挂机升级突破!DX$6:DX$57,卡牌消耗!$AA84)*INDEX(卡牌消耗!$B$5:$F$5,卡牌消耗!$Z84)/卡牌消耗!$Q$4/AF$2,0)*AF$2</f>
        <v>0</v>
      </c>
      <c r="AG84" s="14">
        <f>ROUND(INDEX(挂机升级突破!EC$6:EC$57,卡牌消耗!$AA84)*INDEX(卡牌消耗!$B$7:$F$7,卡牌消耗!$Z84)/卡牌消耗!$Q$4/AG$2,0)*AG$2</f>
        <v>0</v>
      </c>
      <c r="AH84" s="14">
        <f>ROUND(INDEX(挂机升级突破!ED$6:ED$57,卡牌消耗!$AA84)*INDEX(卡牌消耗!$B$8:$F$8,卡牌消耗!$Z84)/卡牌消耗!$Q$4/AH$2,0)*AH$2</f>
        <v>8800</v>
      </c>
      <c r="AI84" s="194"/>
      <c r="AJ84" s="194"/>
      <c r="AK84" s="104">
        <v>80</v>
      </c>
      <c r="AL84" s="14">
        <f t="shared" si="104"/>
        <v>2</v>
      </c>
      <c r="AM84" s="14">
        <f>INDEX(挂机升级突破!DQ$6:DQ$57,卡牌消耗!$AT84)</f>
        <v>11</v>
      </c>
      <c r="AN84" s="14">
        <f>INDEX(挂机升级突破!DR$6:DR$57,卡牌消耗!$AT84)</f>
        <v>4</v>
      </c>
      <c r="AO84" s="14">
        <f>INDEX(挂机升级突破!DS$6:DS$57,卡牌消耗!$AT84)</f>
        <v>0</v>
      </c>
      <c r="AP84" s="14">
        <f>INDEX(挂机升级突破!$DP$6:$DP$57,卡牌消耗!AT84)</f>
        <v>88</v>
      </c>
      <c r="AQ84" s="14" t="str">
        <f t="shared" si="105"/>
        <v>许褚</v>
      </c>
      <c r="AR84" s="14">
        <f t="shared" si="106"/>
        <v>3</v>
      </c>
      <c r="AS84" s="14" t="str">
        <f t="shared" si="107"/>
        <v>许褚魂火-28</v>
      </c>
      <c r="AT84" s="14">
        <f t="shared" si="108"/>
        <v>28</v>
      </c>
      <c r="AU84" s="14" t="str">
        <f>IF(AM84&gt;0,INDEX(挂机升级突破!$DT$4:$ED$4,AM84),"")</f>
        <v>金币</v>
      </c>
      <c r="AV84" s="14">
        <f>ROUND(INDEX(挂机升级突破!$DJ$6:$DJ$57,卡牌消耗!AT84)*INDEX(卡牌消耗!$B$8:$F$8,AR84)/$Q$4/50,0)*50</f>
        <v>8800</v>
      </c>
      <c r="AW84" s="14" t="str">
        <f>IF(AN84&gt;0,INDEX(挂机升级突破!$DT$4:$ED$4,AN84),"")</f>
        <v>橙色基础材料</v>
      </c>
      <c r="AX84" s="14">
        <f>ROUND(INDEX(挂机升级突破!$DT$6:$ED$57,卡牌消耗!AT84,AN84)*INDEX(卡牌消耗!$B$5:$F$5,AR84)/$Q$4/5,0)*5</f>
        <v>25</v>
      </c>
      <c r="AY84" s="14" t="str">
        <f>IF(AO84&gt;0,INDEX(挂机升级突破!$DT$4:$ED$4,AO84),"")</f>
        <v/>
      </c>
      <c r="AZ84" s="14" t="str">
        <f>IF(AO84&gt;0,ROUND(INDEX(挂机升级突破!$DT$6:$ED$57,卡牌消耗!AT84,AO84)*INDEX(卡牌消耗!$B$7:$F$7,AR84)/$Q$4,0),"")</f>
        <v/>
      </c>
      <c r="BA84" s="106"/>
      <c r="BB84" s="197"/>
      <c r="BC84" s="196">
        <v>5</v>
      </c>
      <c r="BD84" s="196">
        <v>20</v>
      </c>
      <c r="BE84" s="14">
        <f>ROUND(INDEX(挂机升级突破!ER$7:ER$26,卡牌消耗!$BD84)*INDEX(卡牌消耗!$B$6:$F$6,$BC84)/$Q$4,0)</f>
        <v>0</v>
      </c>
      <c r="BF84" s="14">
        <f>ROUND(INDEX(挂机升级突破!ES$7:ES$26,卡牌消耗!$BD84)*INDEX(卡牌消耗!$B$6:$F$6,$BC84)/$Q$4,0)</f>
        <v>0</v>
      </c>
      <c r="BG84" s="14">
        <f>ROUND(INDEX(挂机升级突破!ET$7:ET$26,卡牌消耗!$BD84)*INDEX(卡牌消耗!$B$6:$F$6,$BC84)/$Q$4,0)</f>
        <v>0</v>
      </c>
      <c r="BH84" s="14">
        <f>ROUND(INDEX(挂机升级突破!EU$7:EU$26,卡牌消耗!$BD84)*INDEX(卡牌消耗!$B$6:$F$6,$BC84)/$Q$4,0)</f>
        <v>63</v>
      </c>
      <c r="BI84" s="14">
        <f>ROUND(INDEX(挂机升级突破!$EV$7:$EV$26,卡牌消耗!BD84)*INDEX(卡牌消耗!$B$8:$F$8,$BC84)/$Q$4/BI$2,0)*BI$2</f>
        <v>820500</v>
      </c>
      <c r="BJ84" s="197"/>
      <c r="BK84" s="197"/>
      <c r="BL84" s="104">
        <v>80</v>
      </c>
      <c r="BM84" s="14">
        <f t="shared" si="109"/>
        <v>4</v>
      </c>
      <c r="BN84" s="14">
        <f>INDEX(挂机升级突破!$EI$7:$EI$26,BS84)</f>
        <v>5</v>
      </c>
      <c r="BO84" s="14">
        <f>INDEX(挂机升级突破!$EJ$7:$EJ$26,BS84)</f>
        <v>4</v>
      </c>
      <c r="BP84" s="14">
        <f t="shared" si="110"/>
        <v>2</v>
      </c>
      <c r="BQ84" s="14">
        <f>INDEX(挂机升级突破!$EH$7:$EH$26,卡牌消耗!BS84)</f>
        <v>140</v>
      </c>
      <c r="BR84" s="14" t="str">
        <f t="shared" si="111"/>
        <v>唐流雨</v>
      </c>
      <c r="BS84" s="14">
        <f t="shared" si="112"/>
        <v>20</v>
      </c>
      <c r="BT84" s="14" t="str">
        <f t="shared" si="113"/>
        <v>唐流雨20突</v>
      </c>
      <c r="BU84" s="14" t="str">
        <f>IF(BN84&gt;0,INDEX(挂机升级突破!$ER$5:$EV$5,卡牌消耗!BN84),"")</f>
        <v>金币</v>
      </c>
      <c r="BV84" s="14">
        <f>IF(BN84&gt;0,ROUND(INDEX(挂机升级突破!$EV$7:$EV$26,卡牌消耗!BS84)*INDEX(卡牌消耗!$B$8:$F$8,BP84)/$Q$4/500,0)*500,"")</f>
        <v>287000</v>
      </c>
      <c r="BW84" s="14" t="str">
        <f>IF(BO84&gt;0,INDEX(挂机升级突破!$ER$5:$EV$5,卡牌消耗!BO84),"")</f>
        <v>铀金</v>
      </c>
      <c r="BX84" s="14">
        <f>IF(BO84&gt;0,ROUND(INDEX(挂机升级突破!$ER$7:$EU$26,卡牌消耗!BS84,卡牌消耗!BO84)*INDEX($B$6:$F$6,BP84)/$Q$4/5,0)*5,"")</f>
        <v>35</v>
      </c>
      <c r="BY84" s="193"/>
      <c r="BZ84" s="193"/>
      <c r="CA84" s="106"/>
      <c r="CS84" s="171"/>
      <c r="CT84" s="173" t="s">
        <v>120</v>
      </c>
      <c r="CU84" s="169">
        <v>15</v>
      </c>
      <c r="CV84" s="169">
        <v>80</v>
      </c>
      <c r="CW84" s="169">
        <v>5</v>
      </c>
      <c r="CX84" s="21">
        <f t="shared" ref="CX84" si="146">CW84/$CU86</f>
        <v>0.18181818181818182</v>
      </c>
      <c r="CY84" s="169">
        <f t="shared" ref="CY84" si="147">INT($CU85*CX84/5)*5</f>
        <v>24360</v>
      </c>
      <c r="CZ84" s="169">
        <f>SUM(CY$5:CY84)</f>
        <v>785865</v>
      </c>
      <c r="DB84" s="188">
        <f t="shared" si="116"/>
        <v>12150</v>
      </c>
      <c r="DC84" s="188">
        <f t="shared" si="116"/>
        <v>19450</v>
      </c>
      <c r="DD84" s="188">
        <f t="shared" si="116"/>
        <v>24350</v>
      </c>
      <c r="DE84" s="188">
        <f t="shared" si="116"/>
        <v>29200</v>
      </c>
      <c r="DF84" s="188">
        <f t="shared" si="116"/>
        <v>36500</v>
      </c>
      <c r="DI84" s="186">
        <v>80</v>
      </c>
      <c r="DJ84" s="14">
        <f t="shared" si="117"/>
        <v>16</v>
      </c>
      <c r="DK84" s="14">
        <f t="shared" si="99"/>
        <v>2</v>
      </c>
      <c r="DL84" s="14">
        <f t="shared" si="100"/>
        <v>1101041</v>
      </c>
      <c r="DM84" s="136" t="s">
        <v>1097</v>
      </c>
      <c r="DN84" s="14">
        <f t="shared" si="101"/>
        <v>5</v>
      </c>
      <c r="DO84" s="14" t="str">
        <f t="shared" si="102"/>
        <v>常服夏铃-5星</v>
      </c>
      <c r="DP84" s="136" t="s">
        <v>1103</v>
      </c>
      <c r="DQ84" s="14">
        <f t="shared" si="118"/>
        <v>30000</v>
      </c>
      <c r="DR84" s="14" t="str">
        <f t="shared" si="103"/>
        <v>常服夏铃碎片</v>
      </c>
      <c r="DS84" s="14">
        <f t="shared" si="119"/>
        <v>20</v>
      </c>
    </row>
    <row r="85" spans="1:123" ht="16.5" x14ac:dyDescent="0.2">
      <c r="A85" s="55">
        <v>1102007</v>
      </c>
      <c r="B85" s="55" t="s">
        <v>178</v>
      </c>
      <c r="C85" s="55">
        <v>4</v>
      </c>
      <c r="D85" s="136">
        <v>5</v>
      </c>
      <c r="E85" s="186">
        <f>SUM(D$52:D85)</f>
        <v>170</v>
      </c>
      <c r="H85" s="15"/>
      <c r="I85" s="15"/>
      <c r="J85" s="15"/>
      <c r="K85" s="15"/>
      <c r="L85" s="15"/>
      <c r="M85" s="15"/>
      <c r="N85" s="15"/>
      <c r="O85" s="137"/>
      <c r="P85" s="141"/>
      <c r="Q85" s="141"/>
      <c r="R85" s="141"/>
      <c r="S85" s="141"/>
      <c r="T85" s="141"/>
      <c r="U85" s="141"/>
      <c r="V85" s="141"/>
      <c r="W85" s="141"/>
      <c r="X85" s="141"/>
      <c r="Y85" s="141"/>
      <c r="Z85" s="196">
        <v>3</v>
      </c>
      <c r="AA85" s="196">
        <v>29</v>
      </c>
      <c r="AB85" s="14">
        <f>ROUND(INDEX(挂机升级突破!DT$6:DT$57,卡牌消耗!$AA85)*INDEX(卡牌消耗!$B$5:$F$5,卡牌消耗!$Z85)/卡牌消耗!$Q$4/AB$2,0)*AB$2</f>
        <v>0</v>
      </c>
      <c r="AC85" s="14">
        <f>ROUND(INDEX(挂机升级突破!DU$6:DU$57,卡牌消耗!$AA85)*INDEX(卡牌消耗!$B$5:$F$5,卡牌消耗!$Z85)/卡牌消耗!$Q$4/AC$2,0)*AC$2</f>
        <v>0</v>
      </c>
      <c r="AD85" s="14">
        <f>ROUND(INDEX(挂机升级突破!DV$6:DV$57,卡牌消耗!$AA85)*INDEX(卡牌消耗!$B$5:$F$5,卡牌消耗!$Z85)/卡牌消耗!$Q$4/AD$2,0)*AD$2</f>
        <v>0</v>
      </c>
      <c r="AE85" s="14">
        <f>ROUND(INDEX(挂机升级突破!DW$6:DW$57,卡牌消耗!$AA85)*INDEX(卡牌消耗!$B$5:$F$5,卡牌消耗!$Z85)/卡牌消耗!$Q$4/AE$2,0)*AE$2</f>
        <v>25</v>
      </c>
      <c r="AF85" s="14">
        <f>ROUND(INDEX(挂机升级突破!DX$6:DX$57,卡牌消耗!$AA85)*INDEX(卡牌消耗!$B$5:$F$5,卡牌消耗!$Z85)/卡牌消耗!$Q$4/AF$2,0)*AF$2</f>
        <v>0</v>
      </c>
      <c r="AG85" s="14">
        <f>ROUND(INDEX(挂机升级突破!EC$6:EC$57,卡牌消耗!$AA85)*INDEX(卡牌消耗!$B$7:$F$7,卡牌消耗!$Z85)/卡牌消耗!$Q$4/AG$2,0)*AG$2</f>
        <v>0</v>
      </c>
      <c r="AH85" s="14">
        <f>ROUND(INDEX(挂机升级突破!ED$6:ED$57,卡牌消耗!$AA85)*INDEX(卡牌消耗!$B$8:$F$8,卡牌消耗!$Z85)/卡牌消耗!$Q$4/AH$2,0)*AH$2</f>
        <v>8900</v>
      </c>
      <c r="AI85" s="194"/>
      <c r="AJ85" s="194"/>
      <c r="AK85" s="104">
        <v>81</v>
      </c>
      <c r="AL85" s="14">
        <f t="shared" si="104"/>
        <v>2</v>
      </c>
      <c r="AM85" s="14">
        <f>INDEX(挂机升级突破!DQ$6:DQ$57,卡牌消耗!$AT85)</f>
        <v>11</v>
      </c>
      <c r="AN85" s="14">
        <f>INDEX(挂机升级突破!DR$6:DR$57,卡牌消耗!$AT85)</f>
        <v>4</v>
      </c>
      <c r="AO85" s="14">
        <f>INDEX(挂机升级突破!DS$6:DS$57,卡牌消耗!$AT85)</f>
        <v>0</v>
      </c>
      <c r="AP85" s="14">
        <f>INDEX(挂机升级突破!$DP$6:$DP$57,卡牌消耗!AT85)</f>
        <v>90</v>
      </c>
      <c r="AQ85" s="14" t="str">
        <f t="shared" si="105"/>
        <v>许褚</v>
      </c>
      <c r="AR85" s="14">
        <f t="shared" si="106"/>
        <v>3</v>
      </c>
      <c r="AS85" s="14" t="str">
        <f t="shared" si="107"/>
        <v>许褚魂火-29</v>
      </c>
      <c r="AT85" s="14">
        <f t="shared" si="108"/>
        <v>29</v>
      </c>
      <c r="AU85" s="14" t="str">
        <f>IF(AM85&gt;0,INDEX(挂机升级突破!$DT$4:$ED$4,AM85),"")</f>
        <v>金币</v>
      </c>
      <c r="AV85" s="14">
        <f>ROUND(INDEX(挂机升级突破!$DJ$6:$DJ$57,卡牌消耗!AT85)*INDEX(卡牌消耗!$B$8:$F$8,AR85)/$Q$4/50,0)*50</f>
        <v>8900</v>
      </c>
      <c r="AW85" s="14" t="str">
        <f>IF(AN85&gt;0,INDEX(挂机升级突破!$DT$4:$ED$4,AN85),"")</f>
        <v>橙色基础材料</v>
      </c>
      <c r="AX85" s="14">
        <f>ROUND(INDEX(挂机升级突破!$DT$6:$ED$57,卡牌消耗!AT85,AN85)*INDEX(卡牌消耗!$B$5:$F$5,AR85)/$Q$4/5,0)*5</f>
        <v>25</v>
      </c>
      <c r="AY85" s="14" t="str">
        <f>IF(AO85&gt;0,INDEX(挂机升级突破!$DT$4:$ED$4,AO85),"")</f>
        <v/>
      </c>
      <c r="AZ85" s="14" t="str">
        <f>IF(AO85&gt;0,ROUND(INDEX(挂机升级突破!$DT$6:$ED$57,卡牌消耗!AT85,AO85)*INDEX(卡牌消耗!$B$7:$F$7,AR85)/$Q$4,0),"")</f>
        <v/>
      </c>
      <c r="BA85" s="106"/>
      <c r="BB85" s="197"/>
      <c r="BC85" s="197"/>
      <c r="BD85" s="197"/>
      <c r="BE85" s="197"/>
      <c r="BF85" s="197"/>
      <c r="BG85" s="197"/>
      <c r="BH85" s="197"/>
      <c r="BI85" s="197"/>
      <c r="BJ85" s="197"/>
      <c r="BK85" s="197"/>
      <c r="BL85" s="104">
        <v>81</v>
      </c>
      <c r="BM85" s="14">
        <f t="shared" si="109"/>
        <v>5</v>
      </c>
      <c r="BN85" s="14">
        <f>INDEX(挂机升级突破!$EI$7:$EI$26,BS85)</f>
        <v>0</v>
      </c>
      <c r="BO85" s="14">
        <f>INDEX(挂机升级突破!$EJ$7:$EJ$26,BS85)</f>
        <v>0</v>
      </c>
      <c r="BP85" s="14">
        <f t="shared" si="110"/>
        <v>3</v>
      </c>
      <c r="BQ85" s="14">
        <f>INDEX(挂机升级突破!$EH$7:$EH$26,卡牌消耗!BS85)</f>
        <v>1</v>
      </c>
      <c r="BR85" s="14" t="str">
        <f t="shared" si="111"/>
        <v>李轩辕</v>
      </c>
      <c r="BS85" s="14">
        <f t="shared" si="112"/>
        <v>1</v>
      </c>
      <c r="BT85" s="14" t="str">
        <f t="shared" si="113"/>
        <v>李轩辕1突</v>
      </c>
      <c r="BU85" s="14" t="str">
        <f>IF(BN85&gt;0,INDEX(挂机升级突破!$ER$5:$EV$5,卡牌消耗!BN85),"")</f>
        <v/>
      </c>
      <c r="BV85" s="14" t="str">
        <f>IF(BN85&gt;0,ROUND(INDEX(挂机升级突破!$EV$7:$EV$26,卡牌消耗!BS85)*INDEX(卡牌消耗!$B$8:$F$8,BP85)/$Q$4/500,0)*500,"")</f>
        <v/>
      </c>
      <c r="BW85" s="14" t="str">
        <f>IF(BO85&gt;0,INDEX(挂机升级突破!$ER$5:$EV$5,卡牌消耗!BO85),"")</f>
        <v/>
      </c>
      <c r="BX85" s="14" t="str">
        <f>IF(BO85&gt;0,ROUND(INDEX(挂机升级突破!$ER$7:$EU$26,卡牌消耗!BS85,卡牌消耗!BO85)*INDEX($B$6:$F$6,BP85)/$Q$4/5,0)*5,"")</f>
        <v/>
      </c>
      <c r="BY85" s="193"/>
      <c r="BZ85" s="193"/>
      <c r="CA85" s="106"/>
      <c r="CS85" s="171"/>
      <c r="CT85" s="171"/>
      <c r="CU85" s="14">
        <f>INDEX($CP$5:$CP$32,CU84)</f>
        <v>134000</v>
      </c>
      <c r="CV85" s="169">
        <v>81</v>
      </c>
      <c r="CW85" s="169">
        <v>5.25</v>
      </c>
      <c r="CX85" s="21">
        <f t="shared" ref="CX85" si="148">CW85/$CU86</f>
        <v>0.19090909090909092</v>
      </c>
      <c r="CY85" s="169">
        <f t="shared" ref="CY85" si="149">INT($CU85*CX85/5)*5</f>
        <v>25580</v>
      </c>
      <c r="CZ85" s="169">
        <f>SUM(CY$5:CY85)</f>
        <v>811445</v>
      </c>
      <c r="DB85" s="188">
        <f t="shared" si="116"/>
        <v>12750</v>
      </c>
      <c r="DC85" s="188">
        <f t="shared" si="116"/>
        <v>20450</v>
      </c>
      <c r="DD85" s="188">
        <f t="shared" si="116"/>
        <v>25550</v>
      </c>
      <c r="DE85" s="188">
        <f t="shared" si="116"/>
        <v>30650</v>
      </c>
      <c r="DF85" s="188">
        <f t="shared" si="116"/>
        <v>38350</v>
      </c>
      <c r="DI85" s="186">
        <v>81</v>
      </c>
      <c r="DJ85" s="14">
        <f t="shared" si="117"/>
        <v>17</v>
      </c>
      <c r="DK85" s="14">
        <f t="shared" si="99"/>
        <v>4</v>
      </c>
      <c r="DL85" s="14">
        <f t="shared" si="100"/>
        <v>1101016</v>
      </c>
      <c r="DM85" s="136" t="s">
        <v>1097</v>
      </c>
      <c r="DN85" s="14">
        <f t="shared" si="101"/>
        <v>1</v>
      </c>
      <c r="DO85" s="14" t="str">
        <f t="shared" si="102"/>
        <v>秦王攻-1星</v>
      </c>
      <c r="DP85" s="136" t="s">
        <v>1103</v>
      </c>
      <c r="DQ85" s="14">
        <f t="shared" si="118"/>
        <v>6000</v>
      </c>
      <c r="DR85" s="14" t="str">
        <f t="shared" si="103"/>
        <v>秦王攻碎片</v>
      </c>
      <c r="DS85" s="14">
        <f t="shared" si="119"/>
        <v>80</v>
      </c>
    </row>
    <row r="86" spans="1:123" ht="16.5" x14ac:dyDescent="0.2">
      <c r="A86" s="55">
        <v>1102008</v>
      </c>
      <c r="B86" s="55" t="s">
        <v>179</v>
      </c>
      <c r="C86" s="55">
        <v>4</v>
      </c>
      <c r="D86" s="136">
        <v>5</v>
      </c>
      <c r="E86" s="186">
        <f>SUM(D$52:D86)</f>
        <v>175</v>
      </c>
      <c r="H86" s="15"/>
      <c r="I86" s="15"/>
      <c r="J86" s="15"/>
      <c r="K86" s="15"/>
      <c r="L86" s="15"/>
      <c r="M86" s="15"/>
      <c r="N86" s="15"/>
      <c r="O86" s="137"/>
      <c r="P86" s="141"/>
      <c r="Q86" s="141"/>
      <c r="R86" s="141"/>
      <c r="S86" s="141"/>
      <c r="T86" s="141"/>
      <c r="U86" s="141"/>
      <c r="V86" s="141"/>
      <c r="W86" s="141"/>
      <c r="X86" s="141"/>
      <c r="Y86" s="141"/>
      <c r="Z86" s="196">
        <v>3</v>
      </c>
      <c r="AA86" s="196">
        <v>30</v>
      </c>
      <c r="AB86" s="14">
        <f>ROUND(INDEX(挂机升级突破!DT$6:DT$57,卡牌消耗!$AA86)*INDEX(卡牌消耗!$B$5:$F$5,卡牌消耗!$Z86)/卡牌消耗!$Q$4/AB$2,0)*AB$2</f>
        <v>0</v>
      </c>
      <c r="AC86" s="14">
        <f>ROUND(INDEX(挂机升级突破!DU$6:DU$57,卡牌消耗!$AA86)*INDEX(卡牌消耗!$B$5:$F$5,卡牌消耗!$Z86)/卡牌消耗!$Q$4/AC$2,0)*AC$2</f>
        <v>0</v>
      </c>
      <c r="AD86" s="14">
        <f>ROUND(INDEX(挂机升级突破!DV$6:DV$57,卡牌消耗!$AA86)*INDEX(卡牌消耗!$B$5:$F$5,卡牌消耗!$Z86)/卡牌消耗!$Q$4/AD$2,0)*AD$2</f>
        <v>0</v>
      </c>
      <c r="AE86" s="14">
        <f>ROUND(INDEX(挂机升级突破!DW$6:DW$57,卡牌消耗!$AA86)*INDEX(卡牌消耗!$B$5:$F$5,卡牌消耗!$Z86)/卡牌消耗!$Q$4/AE$2,0)*AE$2</f>
        <v>25</v>
      </c>
      <c r="AF86" s="14">
        <f>ROUND(INDEX(挂机升级突破!DX$6:DX$57,卡牌消耗!$AA86)*INDEX(卡牌消耗!$B$5:$F$5,卡牌消耗!$Z86)/卡牌消耗!$Q$4/AF$2,0)*AF$2</f>
        <v>0</v>
      </c>
      <c r="AG86" s="14">
        <f>ROUND(INDEX(挂机升级突破!EC$6:EC$57,卡牌消耗!$AA86)*INDEX(卡牌消耗!$B$7:$F$7,卡牌消耗!$Z86)/卡牌消耗!$Q$4/AG$2,0)*AG$2</f>
        <v>0</v>
      </c>
      <c r="AH86" s="14">
        <f>ROUND(INDEX(挂机升级突破!ED$6:ED$57,卡牌消耗!$AA86)*INDEX(卡牌消耗!$B$8:$F$8,卡牌消耗!$Z86)/卡牌消耗!$Q$4/AH$2,0)*AH$2</f>
        <v>8900</v>
      </c>
      <c r="AI86" s="194"/>
      <c r="AJ86" s="194"/>
      <c r="AK86" s="104">
        <v>82</v>
      </c>
      <c r="AL86" s="14">
        <f t="shared" si="104"/>
        <v>2</v>
      </c>
      <c r="AM86" s="14">
        <f>INDEX(挂机升级突破!DQ$6:DQ$57,卡牌消耗!$AT86)</f>
        <v>11</v>
      </c>
      <c r="AN86" s="14">
        <f>INDEX(挂机升级突破!DR$6:DR$57,卡牌消耗!$AT86)</f>
        <v>4</v>
      </c>
      <c r="AO86" s="14">
        <f>INDEX(挂机升级突破!DS$6:DS$57,卡牌消耗!$AT86)</f>
        <v>0</v>
      </c>
      <c r="AP86" s="14">
        <f>INDEX(挂机升级突破!$DP$6:$DP$57,卡牌消耗!AT86)</f>
        <v>93</v>
      </c>
      <c r="AQ86" s="14" t="str">
        <f t="shared" si="105"/>
        <v>许褚</v>
      </c>
      <c r="AR86" s="14">
        <f t="shared" si="106"/>
        <v>3</v>
      </c>
      <c r="AS86" s="14" t="str">
        <f t="shared" si="107"/>
        <v>许褚魂火-30</v>
      </c>
      <c r="AT86" s="14">
        <f t="shared" si="108"/>
        <v>30</v>
      </c>
      <c r="AU86" s="14" t="str">
        <f>IF(AM86&gt;0,INDEX(挂机升级突破!$DT$4:$ED$4,AM86),"")</f>
        <v>金币</v>
      </c>
      <c r="AV86" s="14">
        <f>ROUND(INDEX(挂机升级突破!$DJ$6:$DJ$57,卡牌消耗!AT86)*INDEX(卡牌消耗!$B$8:$F$8,AR86)/$Q$4/50,0)*50</f>
        <v>8900</v>
      </c>
      <c r="AW86" s="14" t="str">
        <f>IF(AN86&gt;0,INDEX(挂机升级突破!$DT$4:$ED$4,AN86),"")</f>
        <v>橙色基础材料</v>
      </c>
      <c r="AX86" s="14">
        <f>ROUND(INDEX(挂机升级突破!$DT$6:$ED$57,卡牌消耗!AT86,AN86)*INDEX(卡牌消耗!$B$5:$F$5,AR86)/$Q$4/5,0)*5</f>
        <v>25</v>
      </c>
      <c r="AY86" s="14" t="str">
        <f>IF(AO86&gt;0,INDEX(挂机升级突破!$DT$4:$ED$4,AO86),"")</f>
        <v/>
      </c>
      <c r="AZ86" s="14" t="str">
        <f>IF(AO86&gt;0,ROUND(INDEX(挂机升级突破!$DT$6:$ED$57,卡牌消耗!AT86,AO86)*INDEX(卡牌消耗!$B$7:$F$7,AR86)/$Q$4,0),"")</f>
        <v/>
      </c>
      <c r="BA86" s="106"/>
      <c r="BB86" s="197"/>
      <c r="BC86" s="197"/>
      <c r="BD86" s="197"/>
      <c r="BE86" s="197"/>
      <c r="BF86" s="197"/>
      <c r="BG86" s="197"/>
      <c r="BH86" s="197"/>
      <c r="BI86" s="197"/>
      <c r="BJ86" s="197"/>
      <c r="BK86" s="197"/>
      <c r="BL86" s="104">
        <v>82</v>
      </c>
      <c r="BM86" s="14">
        <f t="shared" si="109"/>
        <v>5</v>
      </c>
      <c r="BN86" s="14">
        <f>INDEX(挂机升级突破!$EI$7:$EI$26,BS86)</f>
        <v>5</v>
      </c>
      <c r="BO86" s="14">
        <f>INDEX(挂机升级突破!$EJ$7:$EJ$26,BS86)</f>
        <v>1</v>
      </c>
      <c r="BP86" s="14">
        <f t="shared" si="110"/>
        <v>3</v>
      </c>
      <c r="BQ86" s="14">
        <f>INDEX(挂机升级突破!$EH$7:$EH$26,卡牌消耗!BS86)</f>
        <v>5</v>
      </c>
      <c r="BR86" s="14" t="str">
        <f t="shared" si="111"/>
        <v>李轩辕</v>
      </c>
      <c r="BS86" s="14">
        <f t="shared" si="112"/>
        <v>2</v>
      </c>
      <c r="BT86" s="14" t="str">
        <f t="shared" si="113"/>
        <v>李轩辕2突</v>
      </c>
      <c r="BU86" s="14" t="str">
        <f>IF(BN86&gt;0,INDEX(挂机升级突破!$ER$5:$EV$5,卡牌消耗!BN86),"")</f>
        <v>金币</v>
      </c>
      <c r="BV86" s="14">
        <f>IF(BN86&gt;0,ROUND(INDEX(挂机升级突破!$EV$7:$EV$26,卡牌消耗!BS86)*INDEX(卡牌消耗!$B$8:$F$8,BP86)/$Q$4/500,0)*500,"")</f>
        <v>3000</v>
      </c>
      <c r="BW86" s="14" t="str">
        <f>IF(BO86&gt;0,INDEX(挂机升级突破!$ER$5:$EV$5,卡牌消耗!BO86),"")</f>
        <v>玄铁</v>
      </c>
      <c r="BX86" s="14">
        <f>IF(BO86&gt;0,ROUND(INDEX(挂机升级突破!$ER$7:$EU$26,卡牌消耗!BS86,卡牌消耗!BO86)*INDEX($B$6:$F$6,BP86)/$Q$4,0),"")</f>
        <v>2</v>
      </c>
      <c r="BY86" s="193"/>
      <c r="BZ86" s="193"/>
      <c r="CA86" s="106"/>
      <c r="CS86" s="171"/>
      <c r="CT86" s="170"/>
      <c r="CU86" s="14">
        <f>SUMIFS($CW$5:$CW$154,$CV$5:$CV$154,"&gt;="&amp;INDEX($CE$5:$CE$32,CU84),$CV$5:$CV$154,"&lt;"&amp;INDEX($CF$5:$CF$32,CU84))</f>
        <v>27.5</v>
      </c>
      <c r="CV86" s="169">
        <v>82</v>
      </c>
      <c r="CW86" s="169">
        <v>5.5</v>
      </c>
      <c r="CX86" s="21">
        <f t="shared" ref="CX86" si="150">CW86/$CU86</f>
        <v>0.2</v>
      </c>
      <c r="CY86" s="169">
        <f t="shared" ref="CY86" si="151">INT($CU85*CX86/5)*5</f>
        <v>26800</v>
      </c>
      <c r="CZ86" s="169">
        <f>SUM(CY$5:CY86)</f>
        <v>838245</v>
      </c>
      <c r="DB86" s="188">
        <f t="shared" si="116"/>
        <v>13400</v>
      </c>
      <c r="DC86" s="188">
        <f t="shared" si="116"/>
        <v>21400</v>
      </c>
      <c r="DD86" s="188">
        <f t="shared" si="116"/>
        <v>26800</v>
      </c>
      <c r="DE86" s="188">
        <f t="shared" si="116"/>
        <v>32150</v>
      </c>
      <c r="DF86" s="188">
        <f t="shared" si="116"/>
        <v>40200</v>
      </c>
      <c r="DI86" s="186">
        <v>82</v>
      </c>
      <c r="DJ86" s="14">
        <f t="shared" si="117"/>
        <v>17</v>
      </c>
      <c r="DK86" s="14">
        <f t="shared" si="99"/>
        <v>4</v>
      </c>
      <c r="DL86" s="14">
        <f t="shared" si="100"/>
        <v>1101016</v>
      </c>
      <c r="DM86" s="136" t="s">
        <v>1097</v>
      </c>
      <c r="DN86" s="14">
        <f t="shared" si="101"/>
        <v>2</v>
      </c>
      <c r="DO86" s="14" t="str">
        <f t="shared" si="102"/>
        <v>秦王攻-2星</v>
      </c>
      <c r="DP86" s="136" t="s">
        <v>1103</v>
      </c>
      <c r="DQ86" s="14">
        <f t="shared" si="118"/>
        <v>8000</v>
      </c>
      <c r="DR86" s="14" t="str">
        <f t="shared" si="103"/>
        <v>秦王攻碎片</v>
      </c>
      <c r="DS86" s="14">
        <f t="shared" si="119"/>
        <v>80</v>
      </c>
    </row>
    <row r="87" spans="1:123" ht="16.5" x14ac:dyDescent="0.2">
      <c r="A87" s="55">
        <v>1102009</v>
      </c>
      <c r="B87" s="55" t="s">
        <v>180</v>
      </c>
      <c r="C87" s="55">
        <v>3</v>
      </c>
      <c r="D87" s="136">
        <v>5</v>
      </c>
      <c r="E87" s="186">
        <f>SUM(D$52:D87)</f>
        <v>180</v>
      </c>
      <c r="H87" s="15"/>
      <c r="I87" s="15"/>
      <c r="J87" s="15"/>
      <c r="K87" s="15"/>
      <c r="L87" s="15"/>
      <c r="M87" s="15"/>
      <c r="N87" s="15"/>
      <c r="O87" s="137"/>
      <c r="P87" s="141"/>
      <c r="Q87" s="141"/>
      <c r="R87" s="141"/>
      <c r="S87" s="141"/>
      <c r="T87" s="141"/>
      <c r="U87" s="141"/>
      <c r="V87" s="141"/>
      <c r="W87" s="141"/>
      <c r="X87" s="141"/>
      <c r="Y87" s="141"/>
      <c r="Z87" s="196">
        <v>3</v>
      </c>
      <c r="AA87" s="196">
        <v>31</v>
      </c>
      <c r="AB87" s="14">
        <f>ROUND(INDEX(挂机升级突破!DT$6:DT$57,卡牌消耗!$AA87)*INDEX(卡牌消耗!$B$5:$F$5,卡牌消耗!$Z87)/卡牌消耗!$Q$4/AB$2,0)*AB$2</f>
        <v>0</v>
      </c>
      <c r="AC87" s="14">
        <f>ROUND(INDEX(挂机升级突破!DU$6:DU$57,卡牌消耗!$AA87)*INDEX(卡牌消耗!$B$5:$F$5,卡牌消耗!$Z87)/卡牌消耗!$Q$4/AC$2,0)*AC$2</f>
        <v>0</v>
      </c>
      <c r="AD87" s="14">
        <f>ROUND(INDEX(挂机升级突破!DV$6:DV$57,卡牌消耗!$AA87)*INDEX(卡牌消耗!$B$5:$F$5,卡牌消耗!$Z87)/卡牌消耗!$Q$4/AD$2,0)*AD$2</f>
        <v>0</v>
      </c>
      <c r="AE87" s="14">
        <f>ROUND(INDEX(挂机升级突破!DW$6:DW$57,卡牌消耗!$AA87)*INDEX(卡牌消耗!$B$5:$F$5,卡牌消耗!$Z87)/卡牌消耗!$Q$4/AE$2,0)*AE$2</f>
        <v>25</v>
      </c>
      <c r="AF87" s="14">
        <f>ROUND(INDEX(挂机升级突破!DX$6:DX$57,卡牌消耗!$AA87)*INDEX(卡牌消耗!$B$5:$F$5,卡牌消耗!$Z87)/卡牌消耗!$Q$4/AF$2,0)*AF$2</f>
        <v>0</v>
      </c>
      <c r="AG87" s="14">
        <f>ROUND(INDEX(挂机升级突破!EC$6:EC$57,卡牌消耗!$AA87)*INDEX(卡牌消耗!$B$7:$F$7,卡牌消耗!$Z87)/卡牌消耗!$Q$4/AG$2,0)*AG$2</f>
        <v>0</v>
      </c>
      <c r="AH87" s="14">
        <f>ROUND(INDEX(挂机升级突破!ED$6:ED$57,卡牌消耗!$AA87)*INDEX(卡牌消耗!$B$8:$F$8,卡牌消耗!$Z87)/卡牌消耗!$Q$4/AH$2,0)*AH$2</f>
        <v>8900</v>
      </c>
      <c r="AI87" s="194"/>
      <c r="AJ87" s="194"/>
      <c r="AK87" s="104">
        <v>83</v>
      </c>
      <c r="AL87" s="14">
        <f t="shared" si="104"/>
        <v>2</v>
      </c>
      <c r="AM87" s="14">
        <f>INDEX(挂机升级突破!DQ$6:DQ$57,卡牌消耗!$AT87)</f>
        <v>11</v>
      </c>
      <c r="AN87" s="14">
        <f>INDEX(挂机升级突破!DR$6:DR$57,卡牌消耗!$AT87)</f>
        <v>4</v>
      </c>
      <c r="AO87" s="14">
        <f>INDEX(挂机升级突破!DS$6:DS$57,卡牌消耗!$AT87)</f>
        <v>0</v>
      </c>
      <c r="AP87" s="14">
        <f>INDEX(挂机升级突破!$DP$6:$DP$57,卡牌消耗!AT87)</f>
        <v>95</v>
      </c>
      <c r="AQ87" s="14" t="str">
        <f t="shared" si="105"/>
        <v>许褚</v>
      </c>
      <c r="AR87" s="14">
        <f t="shared" si="106"/>
        <v>3</v>
      </c>
      <c r="AS87" s="14" t="str">
        <f t="shared" si="107"/>
        <v>许褚魂火-31</v>
      </c>
      <c r="AT87" s="14">
        <f t="shared" si="108"/>
        <v>31</v>
      </c>
      <c r="AU87" s="14" t="str">
        <f>IF(AM87&gt;0,INDEX(挂机升级突破!$DT$4:$ED$4,AM87),"")</f>
        <v>金币</v>
      </c>
      <c r="AV87" s="14">
        <f>ROUND(INDEX(挂机升级突破!$DJ$6:$DJ$57,卡牌消耗!AT87)*INDEX(卡牌消耗!$B$8:$F$8,AR87)/$Q$4/50,0)*50</f>
        <v>8900</v>
      </c>
      <c r="AW87" s="14" t="str">
        <f>IF(AN87&gt;0,INDEX(挂机升级突破!$DT$4:$ED$4,AN87),"")</f>
        <v>橙色基础材料</v>
      </c>
      <c r="AX87" s="14">
        <f>ROUND(INDEX(挂机升级突破!$DT$6:$ED$57,卡牌消耗!AT87,AN87)*INDEX(卡牌消耗!$B$5:$F$5,AR87)/$Q$4/5,0)*5</f>
        <v>25</v>
      </c>
      <c r="AY87" s="14" t="str">
        <f>IF(AO87&gt;0,INDEX(挂机升级突破!$DT$4:$ED$4,AO87),"")</f>
        <v/>
      </c>
      <c r="AZ87" s="14" t="str">
        <f>IF(AO87&gt;0,ROUND(INDEX(挂机升级突破!$DT$6:$ED$57,卡牌消耗!AT87,AO87)*INDEX(卡牌消耗!$B$7:$F$7,AR87)/$Q$4,0),"")</f>
        <v/>
      </c>
      <c r="BA87" s="106"/>
      <c r="BB87" s="197"/>
      <c r="BC87" s="197"/>
      <c r="BD87" s="197"/>
      <c r="BE87" s="197"/>
      <c r="BF87" s="197"/>
      <c r="BG87" s="197"/>
      <c r="BH87" s="197"/>
      <c r="BI87" s="197"/>
      <c r="BJ87" s="197"/>
      <c r="BK87" s="197"/>
      <c r="BL87" s="104">
        <v>83</v>
      </c>
      <c r="BM87" s="14">
        <f t="shared" si="109"/>
        <v>5</v>
      </c>
      <c r="BN87" s="14">
        <f>INDEX(挂机升级突破!$EI$7:$EI$26,BS87)</f>
        <v>5</v>
      </c>
      <c r="BO87" s="14">
        <f>INDEX(挂机升级突破!$EJ$7:$EJ$26,BS87)</f>
        <v>1</v>
      </c>
      <c r="BP87" s="14">
        <f t="shared" si="110"/>
        <v>3</v>
      </c>
      <c r="BQ87" s="14">
        <f>INDEX(挂机升级突破!$EH$7:$EH$26,卡牌消耗!BS87)</f>
        <v>15</v>
      </c>
      <c r="BR87" s="14" t="str">
        <f t="shared" si="111"/>
        <v>李轩辕</v>
      </c>
      <c r="BS87" s="14">
        <f t="shared" si="112"/>
        <v>3</v>
      </c>
      <c r="BT87" s="14" t="str">
        <f t="shared" si="113"/>
        <v>李轩辕3突</v>
      </c>
      <c r="BU87" s="14" t="str">
        <f>IF(BN87&gt;0,INDEX(挂机升级突破!$ER$5:$EV$5,卡牌消耗!BN87),"")</f>
        <v>金币</v>
      </c>
      <c r="BV87" s="14">
        <f>IF(BN87&gt;0,ROUND(INDEX(挂机升级突破!$EV$7:$EV$26,卡牌消耗!BS87)*INDEX(卡牌消耗!$B$8:$F$8,BP87)/$Q$4/500,0)*500,"")</f>
        <v>3000</v>
      </c>
      <c r="BW87" s="14" t="str">
        <f>IF(BO87&gt;0,INDEX(挂机升级突破!$ER$5:$EV$5,卡牌消耗!BO87),"")</f>
        <v>玄铁</v>
      </c>
      <c r="BX87" s="14">
        <f>IF(BO87&gt;0,ROUND(INDEX(挂机升级突破!$ER$7:$EU$26,卡牌消耗!BS87,卡牌消耗!BO87)*INDEX($B$6:$F$6,BP87)/$Q$4,0),"")</f>
        <v>5</v>
      </c>
      <c r="BY87" s="193"/>
      <c r="BZ87" s="193"/>
      <c r="CA87" s="106"/>
      <c r="CS87" s="171"/>
      <c r="CT87" s="171"/>
      <c r="CU87" s="171"/>
      <c r="CV87" s="169">
        <v>83</v>
      </c>
      <c r="CW87" s="169">
        <v>5.75</v>
      </c>
      <c r="CX87" s="21">
        <f t="shared" ref="CX87" si="152">CW87/$CU86</f>
        <v>0.20909090909090908</v>
      </c>
      <c r="CY87" s="169">
        <f t="shared" ref="CY87" si="153">INT($CU85*CX87/5)*5</f>
        <v>28015</v>
      </c>
      <c r="CZ87" s="169">
        <f>SUM(CY$5:CY87)</f>
        <v>866260</v>
      </c>
      <c r="DB87" s="188">
        <f t="shared" si="116"/>
        <v>14000</v>
      </c>
      <c r="DC87" s="188">
        <f t="shared" si="116"/>
        <v>22400</v>
      </c>
      <c r="DD87" s="188">
        <f t="shared" si="116"/>
        <v>28000</v>
      </c>
      <c r="DE87" s="188">
        <f t="shared" si="116"/>
        <v>33600</v>
      </c>
      <c r="DF87" s="188">
        <f t="shared" si="116"/>
        <v>42000</v>
      </c>
      <c r="DI87" s="186">
        <v>83</v>
      </c>
      <c r="DJ87" s="14">
        <f t="shared" si="117"/>
        <v>17</v>
      </c>
      <c r="DK87" s="14">
        <f t="shared" si="99"/>
        <v>4</v>
      </c>
      <c r="DL87" s="14">
        <f t="shared" si="100"/>
        <v>1101016</v>
      </c>
      <c r="DM87" s="136" t="s">
        <v>1097</v>
      </c>
      <c r="DN87" s="14">
        <f t="shared" si="101"/>
        <v>3</v>
      </c>
      <c r="DO87" s="14" t="str">
        <f t="shared" si="102"/>
        <v>秦王攻-3星</v>
      </c>
      <c r="DP87" s="136" t="s">
        <v>1103</v>
      </c>
      <c r="DQ87" s="14">
        <f t="shared" si="118"/>
        <v>14000</v>
      </c>
      <c r="DR87" s="14" t="str">
        <f t="shared" si="103"/>
        <v>秦王攻碎片</v>
      </c>
      <c r="DS87" s="14">
        <f t="shared" si="119"/>
        <v>80</v>
      </c>
    </row>
    <row r="88" spans="1:123" ht="16.5" x14ac:dyDescent="0.2">
      <c r="A88" s="55">
        <v>1102010</v>
      </c>
      <c r="B88" s="55" t="s">
        <v>181</v>
      </c>
      <c r="C88" s="55">
        <v>4</v>
      </c>
      <c r="D88" s="136">
        <v>5</v>
      </c>
      <c r="E88" s="186">
        <f>SUM(D$52:D88)</f>
        <v>185</v>
      </c>
      <c r="H88" s="15"/>
      <c r="I88" s="15"/>
      <c r="J88" s="15"/>
      <c r="K88" s="15"/>
      <c r="L88" s="15"/>
      <c r="M88" s="15"/>
      <c r="N88" s="15"/>
      <c r="O88" s="137"/>
      <c r="P88" s="141"/>
      <c r="Q88" s="141"/>
      <c r="R88" s="141"/>
      <c r="S88" s="141"/>
      <c r="T88" s="141"/>
      <c r="U88" s="141"/>
      <c r="V88" s="141"/>
      <c r="W88" s="141"/>
      <c r="X88" s="141"/>
      <c r="Y88" s="141"/>
      <c r="Z88" s="196">
        <v>3</v>
      </c>
      <c r="AA88" s="196">
        <v>32</v>
      </c>
      <c r="AB88" s="14">
        <f>ROUND(INDEX(挂机升级突破!DT$6:DT$57,卡牌消耗!$AA88)*INDEX(卡牌消耗!$B$5:$F$5,卡牌消耗!$Z88)/卡牌消耗!$Q$4/AB$2,0)*AB$2</f>
        <v>0</v>
      </c>
      <c r="AC88" s="14">
        <f>ROUND(INDEX(挂机升级突破!DU$6:DU$57,卡牌消耗!$AA88)*INDEX(卡牌消耗!$B$5:$F$5,卡牌消耗!$Z88)/卡牌消耗!$Q$4/AC$2,0)*AC$2</f>
        <v>0</v>
      </c>
      <c r="AD88" s="14">
        <f>ROUND(INDEX(挂机升级突破!DV$6:DV$57,卡牌消耗!$AA88)*INDEX(卡牌消耗!$B$5:$F$5,卡牌消耗!$Z88)/卡牌消耗!$Q$4/AD$2,0)*AD$2</f>
        <v>0</v>
      </c>
      <c r="AE88" s="14">
        <f>ROUND(INDEX(挂机升级突破!DW$6:DW$57,卡牌消耗!$AA88)*INDEX(卡牌消耗!$B$5:$F$5,卡牌消耗!$Z88)/卡牌消耗!$Q$4/AE$2,0)*AE$2</f>
        <v>25</v>
      </c>
      <c r="AF88" s="14">
        <f>ROUND(INDEX(挂机升级突破!DX$6:DX$57,卡牌消耗!$AA88)*INDEX(卡牌消耗!$B$5:$F$5,卡牌消耗!$Z88)/卡牌消耗!$Q$4/AF$2,0)*AF$2</f>
        <v>0</v>
      </c>
      <c r="AG88" s="14">
        <f>ROUND(INDEX(挂机升级突破!EC$6:EC$57,卡牌消耗!$AA88)*INDEX(卡牌消耗!$B$7:$F$7,卡牌消耗!$Z88)/卡牌消耗!$Q$4/AG$2,0)*AG$2</f>
        <v>2</v>
      </c>
      <c r="AH88" s="14">
        <f>ROUND(INDEX(挂机升级突破!ED$6:ED$57,卡牌消耗!$AA88)*INDEX(卡牌消耗!$B$8:$F$8,卡牌消耗!$Z88)/卡牌消耗!$Q$4/AH$2,0)*AH$2</f>
        <v>12200</v>
      </c>
      <c r="AI88" s="194"/>
      <c r="AJ88" s="194"/>
      <c r="AK88" s="104">
        <v>84</v>
      </c>
      <c r="AL88" s="14">
        <f t="shared" si="104"/>
        <v>2</v>
      </c>
      <c r="AM88" s="14">
        <f>INDEX(挂机升级突破!DQ$6:DQ$57,卡牌消耗!$AT88)</f>
        <v>11</v>
      </c>
      <c r="AN88" s="14">
        <f>INDEX(挂机升级突破!DR$6:DR$57,卡牌消耗!$AT88)</f>
        <v>4</v>
      </c>
      <c r="AO88" s="14">
        <f>INDEX(挂机升级突破!DS$6:DS$57,卡牌消耗!$AT88)</f>
        <v>0</v>
      </c>
      <c r="AP88" s="14">
        <f>INDEX(挂机升级突破!$DP$6:$DP$57,卡牌消耗!AT88)</f>
        <v>98</v>
      </c>
      <c r="AQ88" s="14" t="str">
        <f t="shared" si="105"/>
        <v>许褚</v>
      </c>
      <c r="AR88" s="14">
        <f t="shared" si="106"/>
        <v>3</v>
      </c>
      <c r="AS88" s="14" t="str">
        <f t="shared" si="107"/>
        <v>许褚魂火-32</v>
      </c>
      <c r="AT88" s="14">
        <f t="shared" si="108"/>
        <v>32</v>
      </c>
      <c r="AU88" s="14" t="str">
        <f>IF(AM88&gt;0,INDEX(挂机升级突破!$DT$4:$ED$4,AM88),"")</f>
        <v>金币</v>
      </c>
      <c r="AV88" s="14">
        <f>ROUND(INDEX(挂机升级突破!$DJ$6:$DJ$57,卡牌消耗!AT88)*INDEX(卡牌消耗!$B$8:$F$8,AR88)/$Q$4/50,0)*50</f>
        <v>12200</v>
      </c>
      <c r="AW88" s="14" t="str">
        <f>IF(AN88&gt;0,INDEX(挂机升级突破!$DT$4:$ED$4,AN88),"")</f>
        <v>橙色基础材料</v>
      </c>
      <c r="AX88" s="14">
        <f>ROUND(INDEX(挂机升级突破!$DT$6:$ED$57,卡牌消耗!AT88,AN88)*INDEX(卡牌消耗!$B$5:$F$5,AR88)/$Q$4/5,0)*5</f>
        <v>25</v>
      </c>
      <c r="AY88" s="14" t="str">
        <f>IF(AO88&gt;0,INDEX(挂机升级突破!$DT$4:$ED$4,AO88),"")</f>
        <v/>
      </c>
      <c r="AZ88" s="14" t="str">
        <f>IF(AO88&gt;0,ROUND(INDEX(挂机升级突破!$DT$6:$ED$57,卡牌消耗!AT88,AO88)*INDEX(卡牌消耗!$B$7:$F$7,AR88)/$Q$4,0),"")</f>
        <v/>
      </c>
      <c r="BA88" s="106"/>
      <c r="BB88" s="197"/>
      <c r="BC88" s="197"/>
      <c r="BD88" s="197"/>
      <c r="BE88" s="197"/>
      <c r="BF88" s="197"/>
      <c r="BG88" s="197"/>
      <c r="BH88" s="197"/>
      <c r="BI88" s="197"/>
      <c r="BJ88" s="197"/>
      <c r="BK88" s="197"/>
      <c r="BL88" s="104">
        <v>84</v>
      </c>
      <c r="BM88" s="14">
        <f t="shared" si="109"/>
        <v>5</v>
      </c>
      <c r="BN88" s="14">
        <f>INDEX(挂机升级突破!$EI$7:$EI$26,BS88)</f>
        <v>5</v>
      </c>
      <c r="BO88" s="14">
        <f>INDEX(挂机升级突破!$EJ$7:$EJ$26,BS88)</f>
        <v>1</v>
      </c>
      <c r="BP88" s="14">
        <f t="shared" si="110"/>
        <v>3</v>
      </c>
      <c r="BQ88" s="14">
        <f>INDEX(挂机升级突破!$EH$7:$EH$26,卡牌消耗!BS88)</f>
        <v>25</v>
      </c>
      <c r="BR88" s="14" t="str">
        <f t="shared" si="111"/>
        <v>李轩辕</v>
      </c>
      <c r="BS88" s="14">
        <f t="shared" si="112"/>
        <v>4</v>
      </c>
      <c r="BT88" s="14" t="str">
        <f t="shared" si="113"/>
        <v>李轩辕4突</v>
      </c>
      <c r="BU88" s="14" t="str">
        <f>IF(BN88&gt;0,INDEX(挂机升级突破!$ER$5:$EV$5,卡牌消耗!BN88),"")</f>
        <v>金币</v>
      </c>
      <c r="BV88" s="14">
        <f>IF(BN88&gt;0,ROUND(INDEX(挂机升级突破!$EV$7:$EV$26,卡牌消耗!BS88)*INDEX(卡牌消耗!$B$8:$F$8,BP88)/$Q$4/500,0)*500,"")</f>
        <v>4000</v>
      </c>
      <c r="BW88" s="14" t="str">
        <f>IF(BO88&gt;0,INDEX(挂机升级突破!$ER$5:$EV$5,卡牌消耗!BO88),"")</f>
        <v>玄铁</v>
      </c>
      <c r="BX88" s="14">
        <f>IF(BO88&gt;0,ROUND(INDEX(挂机升级突破!$ER$7:$EU$26,卡牌消耗!BS88,卡牌消耗!BO88)*INDEX($B$6:$F$6,BP88)/$Q$4,0),"")</f>
        <v>17</v>
      </c>
      <c r="BY88" s="193"/>
      <c r="BZ88" s="193"/>
      <c r="CA88" s="106"/>
      <c r="CS88" s="171"/>
      <c r="CT88" s="171"/>
      <c r="CU88" s="171"/>
      <c r="CV88" s="169">
        <v>84</v>
      </c>
      <c r="CW88" s="169">
        <v>6</v>
      </c>
      <c r="CX88" s="21">
        <f t="shared" ref="CX88" si="154">CW88/$CU86</f>
        <v>0.21818181818181817</v>
      </c>
      <c r="CY88" s="169">
        <f t="shared" ref="CY88" si="155">INT($CU85*CX88/5)*5</f>
        <v>29235</v>
      </c>
      <c r="CZ88" s="169">
        <f>SUM(CY$5:CY88)</f>
        <v>895495</v>
      </c>
      <c r="DB88" s="188">
        <f t="shared" si="116"/>
        <v>14600</v>
      </c>
      <c r="DC88" s="188">
        <f t="shared" si="116"/>
        <v>23350</v>
      </c>
      <c r="DD88" s="188">
        <f t="shared" si="116"/>
        <v>29200</v>
      </c>
      <c r="DE88" s="188">
        <f t="shared" si="116"/>
        <v>35050</v>
      </c>
      <c r="DF88" s="188">
        <f t="shared" si="116"/>
        <v>43850</v>
      </c>
      <c r="DI88" s="186">
        <v>84</v>
      </c>
      <c r="DJ88" s="14">
        <f t="shared" si="117"/>
        <v>17</v>
      </c>
      <c r="DK88" s="14">
        <f t="shared" si="99"/>
        <v>4</v>
      </c>
      <c r="DL88" s="14">
        <f t="shared" si="100"/>
        <v>1101016</v>
      </c>
      <c r="DM88" s="136" t="s">
        <v>1097</v>
      </c>
      <c r="DN88" s="14">
        <f t="shared" si="101"/>
        <v>4</v>
      </c>
      <c r="DO88" s="14" t="str">
        <f t="shared" si="102"/>
        <v>秦王攻-4星</v>
      </c>
      <c r="DP88" s="136" t="s">
        <v>1103</v>
      </c>
      <c r="DQ88" s="14">
        <f t="shared" si="118"/>
        <v>32000</v>
      </c>
      <c r="DR88" s="14" t="str">
        <f t="shared" si="103"/>
        <v>秦王攻碎片</v>
      </c>
      <c r="DS88" s="14">
        <f t="shared" si="119"/>
        <v>80</v>
      </c>
    </row>
    <row r="89" spans="1:123" ht="16.5" x14ac:dyDescent="0.2">
      <c r="A89" s="55">
        <v>1102011</v>
      </c>
      <c r="B89" s="55" t="s">
        <v>182</v>
      </c>
      <c r="C89" s="55">
        <v>4</v>
      </c>
      <c r="D89" s="136">
        <v>5</v>
      </c>
      <c r="E89" s="186">
        <f>SUM(D$52:D89)</f>
        <v>190</v>
      </c>
      <c r="H89" s="15"/>
      <c r="I89" s="15"/>
      <c r="J89" s="15"/>
      <c r="K89" s="15"/>
      <c r="L89" s="15"/>
      <c r="M89" s="15"/>
      <c r="N89" s="15"/>
      <c r="O89" s="137"/>
      <c r="P89" s="141"/>
      <c r="Q89" s="141"/>
      <c r="R89" s="141"/>
      <c r="S89" s="141"/>
      <c r="T89" s="141"/>
      <c r="U89" s="141"/>
      <c r="V89" s="141"/>
      <c r="W89" s="141"/>
      <c r="X89" s="141"/>
      <c r="Y89" s="141"/>
      <c r="Z89" s="196">
        <v>3</v>
      </c>
      <c r="AA89" s="196">
        <v>33</v>
      </c>
      <c r="AB89" s="14">
        <f>ROUND(INDEX(挂机升级突破!DT$6:DT$57,卡牌消耗!$AA89)*INDEX(卡牌消耗!$B$5:$F$5,卡牌消耗!$Z89)/卡牌消耗!$Q$4/AB$2,0)*AB$2</f>
        <v>0</v>
      </c>
      <c r="AC89" s="14">
        <f>ROUND(INDEX(挂机升级突破!DU$6:DU$57,卡牌消耗!$AA89)*INDEX(卡牌消耗!$B$5:$F$5,卡牌消耗!$Z89)/卡牌消耗!$Q$4/AC$2,0)*AC$2</f>
        <v>0</v>
      </c>
      <c r="AD89" s="14">
        <f>ROUND(INDEX(挂机升级突破!DV$6:DV$57,卡牌消耗!$AA89)*INDEX(卡牌消耗!$B$5:$F$5,卡牌消耗!$Z89)/卡牌消耗!$Q$4/AD$2,0)*AD$2</f>
        <v>0</v>
      </c>
      <c r="AE89" s="14">
        <f>ROUND(INDEX(挂机升级突破!DW$6:DW$57,卡牌消耗!$AA89)*INDEX(卡牌消耗!$B$5:$F$5,卡牌消耗!$Z89)/卡牌消耗!$Q$4/AE$2,0)*AE$2</f>
        <v>25</v>
      </c>
      <c r="AF89" s="14">
        <f>ROUND(INDEX(挂机升级突破!DX$6:DX$57,卡牌消耗!$AA89)*INDEX(卡牌消耗!$B$5:$F$5,卡牌消耗!$Z89)/卡牌消耗!$Q$4/AF$2,0)*AF$2</f>
        <v>0</v>
      </c>
      <c r="AG89" s="14">
        <f>ROUND(INDEX(挂机升级突破!EC$6:EC$57,卡牌消耗!$AA89)*INDEX(卡牌消耗!$B$7:$F$7,卡牌消耗!$Z89)/卡牌消耗!$Q$4/AG$2,0)*AG$2</f>
        <v>2</v>
      </c>
      <c r="AH89" s="14">
        <f>ROUND(INDEX(挂机升级突破!ED$6:ED$57,卡牌消耗!$AA89)*INDEX(卡牌消耗!$B$8:$F$8,卡牌消耗!$Z89)/卡牌消耗!$Q$4/AH$2,0)*AH$2</f>
        <v>12200</v>
      </c>
      <c r="AI89" s="194"/>
      <c r="AJ89" s="194"/>
      <c r="AK89" s="104">
        <v>85</v>
      </c>
      <c r="AL89" s="14">
        <f t="shared" si="104"/>
        <v>2</v>
      </c>
      <c r="AM89" s="14">
        <f>INDEX(挂机升级突破!DQ$6:DQ$57,卡牌消耗!$AT89)</f>
        <v>11</v>
      </c>
      <c r="AN89" s="14">
        <f>INDEX(挂机升级突破!DR$6:DR$57,卡牌消耗!$AT89)</f>
        <v>4</v>
      </c>
      <c r="AO89" s="14">
        <f>INDEX(挂机升级突破!DS$6:DS$57,卡牌消耗!$AT89)</f>
        <v>0</v>
      </c>
      <c r="AP89" s="14">
        <f>INDEX(挂机升级突破!$DP$6:$DP$57,卡牌消耗!AT89)</f>
        <v>100</v>
      </c>
      <c r="AQ89" s="14" t="str">
        <f t="shared" si="105"/>
        <v>许褚</v>
      </c>
      <c r="AR89" s="14">
        <f t="shared" si="106"/>
        <v>3</v>
      </c>
      <c r="AS89" s="14" t="str">
        <f t="shared" si="107"/>
        <v>许褚魂火-33</v>
      </c>
      <c r="AT89" s="14">
        <f t="shared" si="108"/>
        <v>33</v>
      </c>
      <c r="AU89" s="14" t="str">
        <f>IF(AM89&gt;0,INDEX(挂机升级突破!$DT$4:$ED$4,AM89),"")</f>
        <v>金币</v>
      </c>
      <c r="AV89" s="14">
        <f>ROUND(INDEX(挂机升级突破!$DJ$6:$DJ$57,卡牌消耗!AT89)*INDEX(卡牌消耗!$B$8:$F$8,AR89)/$Q$4/50,0)*50</f>
        <v>12200</v>
      </c>
      <c r="AW89" s="14" t="str">
        <f>IF(AN89&gt;0,INDEX(挂机升级突破!$DT$4:$ED$4,AN89),"")</f>
        <v>橙色基础材料</v>
      </c>
      <c r="AX89" s="14">
        <f>ROUND(INDEX(挂机升级突破!$DT$6:$ED$57,卡牌消耗!AT89,AN89)*INDEX(卡牌消耗!$B$5:$F$5,AR89)/$Q$4/5,0)*5</f>
        <v>25</v>
      </c>
      <c r="AY89" s="14" t="str">
        <f>IF(AO89&gt;0,INDEX(挂机升级突破!$DT$4:$ED$4,AO89),"")</f>
        <v/>
      </c>
      <c r="AZ89" s="14" t="str">
        <f>IF(AO89&gt;0,ROUND(INDEX(挂机升级突破!$DT$6:$ED$57,卡牌消耗!AT89,AO89)*INDEX(卡牌消耗!$B$7:$F$7,AR89)/$Q$4,0),"")</f>
        <v/>
      </c>
      <c r="BA89" s="106"/>
      <c r="BB89" s="197"/>
      <c r="BC89" s="197"/>
      <c r="BD89" s="197"/>
      <c r="BE89" s="197"/>
      <c r="BF89" s="197"/>
      <c r="BG89" s="197"/>
      <c r="BH89" s="197"/>
      <c r="BI89" s="197"/>
      <c r="BJ89" s="197"/>
      <c r="BK89" s="197"/>
      <c r="BL89" s="104">
        <v>85</v>
      </c>
      <c r="BM89" s="14">
        <f t="shared" si="109"/>
        <v>5</v>
      </c>
      <c r="BN89" s="14">
        <f>INDEX(挂机升级突破!$EI$7:$EI$26,BS89)</f>
        <v>5</v>
      </c>
      <c r="BO89" s="14">
        <f>INDEX(挂机升级突破!$EJ$7:$EJ$26,BS89)</f>
        <v>1</v>
      </c>
      <c r="BP89" s="14">
        <f t="shared" si="110"/>
        <v>3</v>
      </c>
      <c r="BQ89" s="14">
        <f>INDEX(挂机升级突破!$EH$7:$EH$26,卡牌消耗!BS89)</f>
        <v>35</v>
      </c>
      <c r="BR89" s="14" t="str">
        <f t="shared" si="111"/>
        <v>李轩辕</v>
      </c>
      <c r="BS89" s="14">
        <f t="shared" si="112"/>
        <v>5</v>
      </c>
      <c r="BT89" s="14" t="str">
        <f t="shared" si="113"/>
        <v>李轩辕5突</v>
      </c>
      <c r="BU89" s="14" t="str">
        <f>IF(BN89&gt;0,INDEX(挂机升级突破!$ER$5:$EV$5,卡牌消耗!BN89),"")</f>
        <v>金币</v>
      </c>
      <c r="BV89" s="14">
        <f>IF(BN89&gt;0,ROUND(INDEX(挂机升级突破!$EV$7:$EV$26,卡牌消耗!BS89)*INDEX(卡牌消耗!$B$8:$F$8,BP89)/$Q$4/500,0)*500,"")</f>
        <v>4000</v>
      </c>
      <c r="BW89" s="14" t="str">
        <f>IF(BO89&gt;0,INDEX(挂机升级突破!$ER$5:$EV$5,卡牌消耗!BO89),"")</f>
        <v>玄铁</v>
      </c>
      <c r="BX89" s="14">
        <f>IF(BO89&gt;0,ROUND(INDEX(挂机升级突破!$ER$7:$EU$26,卡牌消耗!BS89,卡牌消耗!BO89)*INDEX($B$6:$F$6,BP89)/$Q$4/5,0)*5,"")</f>
        <v>35</v>
      </c>
      <c r="BY89" s="193"/>
      <c r="BZ89" s="193"/>
      <c r="CA89" s="106"/>
      <c r="CS89" s="171"/>
      <c r="CT89" s="173" t="s">
        <v>120</v>
      </c>
      <c r="CU89" s="169">
        <v>16</v>
      </c>
      <c r="CV89" s="169">
        <v>85</v>
      </c>
      <c r="CW89" s="169">
        <v>5</v>
      </c>
      <c r="CX89" s="21">
        <f t="shared" ref="CX89" si="156">CW89/$CU91</f>
        <v>0.18181818181818182</v>
      </c>
      <c r="CY89" s="169">
        <f t="shared" ref="CY89" si="157">INT($CU90*CX89/5)*5</f>
        <v>28925</v>
      </c>
      <c r="CZ89" s="169">
        <f>SUM(CY$5:CY89)</f>
        <v>924420</v>
      </c>
      <c r="DB89" s="188">
        <f t="shared" si="116"/>
        <v>14450</v>
      </c>
      <c r="DC89" s="188">
        <f t="shared" si="116"/>
        <v>23100</v>
      </c>
      <c r="DD89" s="188">
        <f t="shared" si="116"/>
        <v>28900</v>
      </c>
      <c r="DE89" s="188">
        <f t="shared" si="116"/>
        <v>34700</v>
      </c>
      <c r="DF89" s="188">
        <f t="shared" si="116"/>
        <v>43350</v>
      </c>
      <c r="DI89" s="186">
        <v>85</v>
      </c>
      <c r="DJ89" s="14">
        <f t="shared" si="117"/>
        <v>17</v>
      </c>
      <c r="DK89" s="14">
        <f t="shared" si="99"/>
        <v>4</v>
      </c>
      <c r="DL89" s="14">
        <f t="shared" si="100"/>
        <v>1101016</v>
      </c>
      <c r="DM89" s="136" t="s">
        <v>1097</v>
      </c>
      <c r="DN89" s="14">
        <f t="shared" si="101"/>
        <v>5</v>
      </c>
      <c r="DO89" s="14" t="str">
        <f t="shared" si="102"/>
        <v>秦王攻-5星</v>
      </c>
      <c r="DP89" s="136" t="s">
        <v>1103</v>
      </c>
      <c r="DQ89" s="14">
        <f t="shared" si="118"/>
        <v>60000</v>
      </c>
      <c r="DR89" s="14" t="str">
        <f t="shared" si="103"/>
        <v>秦王攻碎片</v>
      </c>
      <c r="DS89" s="14">
        <f t="shared" si="119"/>
        <v>80</v>
      </c>
    </row>
    <row r="90" spans="1:123" ht="16.5" x14ac:dyDescent="0.2">
      <c r="A90" s="55">
        <v>1102012</v>
      </c>
      <c r="B90" s="55" t="s">
        <v>183</v>
      </c>
      <c r="C90" s="55">
        <v>4</v>
      </c>
      <c r="D90" s="136">
        <v>5</v>
      </c>
      <c r="E90" s="186">
        <f>SUM(D$52:D90)</f>
        <v>195</v>
      </c>
      <c r="H90" s="15"/>
      <c r="I90" s="15"/>
      <c r="J90" s="15"/>
      <c r="K90" s="15"/>
      <c r="L90" s="15"/>
      <c r="M90" s="15"/>
      <c r="N90" s="15"/>
      <c r="O90" s="137"/>
      <c r="P90" s="141"/>
      <c r="Q90" s="141"/>
      <c r="R90" s="141"/>
      <c r="S90" s="141"/>
      <c r="T90" s="141"/>
      <c r="U90" s="141"/>
      <c r="V90" s="141"/>
      <c r="W90" s="141"/>
      <c r="X90" s="141"/>
      <c r="Y90" s="141"/>
      <c r="Z90" s="196">
        <v>3</v>
      </c>
      <c r="AA90" s="196">
        <v>34</v>
      </c>
      <c r="AB90" s="14">
        <f>ROUND(INDEX(挂机升级突破!DT$6:DT$57,卡牌消耗!$AA90)*INDEX(卡牌消耗!$B$5:$F$5,卡牌消耗!$Z90)/卡牌消耗!$Q$4/AB$2,0)*AB$2</f>
        <v>0</v>
      </c>
      <c r="AC90" s="14">
        <f>ROUND(INDEX(挂机升级突破!DU$6:DU$57,卡牌消耗!$AA90)*INDEX(卡牌消耗!$B$5:$F$5,卡牌消耗!$Z90)/卡牌消耗!$Q$4/AC$2,0)*AC$2</f>
        <v>0</v>
      </c>
      <c r="AD90" s="14">
        <f>ROUND(INDEX(挂机升级突破!DV$6:DV$57,卡牌消耗!$AA90)*INDEX(卡牌消耗!$B$5:$F$5,卡牌消耗!$Z90)/卡牌消耗!$Q$4/AD$2,0)*AD$2</f>
        <v>0</v>
      </c>
      <c r="AE90" s="14">
        <f>ROUND(INDEX(挂机升级突破!DW$6:DW$57,卡牌消耗!$AA90)*INDEX(卡牌消耗!$B$5:$F$5,卡牌消耗!$Z90)/卡牌消耗!$Q$4/AE$2,0)*AE$2</f>
        <v>30</v>
      </c>
      <c r="AF90" s="14">
        <f>ROUND(INDEX(挂机升级突破!DX$6:DX$57,卡牌消耗!$AA90)*INDEX(卡牌消耗!$B$5:$F$5,卡牌消耗!$Z90)/卡牌消耗!$Q$4/AF$2,0)*AF$2</f>
        <v>0</v>
      </c>
      <c r="AG90" s="14">
        <f>ROUND(INDEX(挂机升级突破!EC$6:EC$57,卡牌消耗!$AA90)*INDEX(卡牌消耗!$B$7:$F$7,卡牌消耗!$Z90)/卡牌消耗!$Q$4/AG$2,0)*AG$2</f>
        <v>2</v>
      </c>
      <c r="AH90" s="14">
        <f>ROUND(INDEX(挂机升级突破!ED$6:ED$57,卡牌消耗!$AA90)*INDEX(卡牌消耗!$B$8:$F$8,卡牌消耗!$Z90)/卡牌消耗!$Q$4/AH$2,0)*AH$2</f>
        <v>12200</v>
      </c>
      <c r="AI90" s="194"/>
      <c r="AJ90" s="194"/>
      <c r="AK90" s="104">
        <v>86</v>
      </c>
      <c r="AL90" s="14">
        <f t="shared" si="104"/>
        <v>2</v>
      </c>
      <c r="AM90" s="14">
        <f>INDEX(挂机升级突破!DQ$6:DQ$57,卡牌消耗!$AT90)</f>
        <v>11</v>
      </c>
      <c r="AN90" s="14">
        <f>INDEX(挂机升级突破!DR$6:DR$57,卡牌消耗!$AT90)</f>
        <v>4</v>
      </c>
      <c r="AO90" s="14">
        <f>INDEX(挂机升级突破!DS$6:DS$57,卡牌消耗!$AT90)</f>
        <v>0</v>
      </c>
      <c r="AP90" s="14">
        <f>INDEX(挂机升级突破!$DP$6:$DP$57,卡牌消耗!AT90)</f>
        <v>103</v>
      </c>
      <c r="AQ90" s="14" t="str">
        <f t="shared" si="105"/>
        <v>许褚</v>
      </c>
      <c r="AR90" s="14">
        <f t="shared" si="106"/>
        <v>3</v>
      </c>
      <c r="AS90" s="14" t="str">
        <f t="shared" si="107"/>
        <v>许褚魂火-34</v>
      </c>
      <c r="AT90" s="14">
        <f t="shared" si="108"/>
        <v>34</v>
      </c>
      <c r="AU90" s="14" t="str">
        <f>IF(AM90&gt;0,INDEX(挂机升级突破!$DT$4:$ED$4,AM90),"")</f>
        <v>金币</v>
      </c>
      <c r="AV90" s="14">
        <f>ROUND(INDEX(挂机升级突破!$DJ$6:$DJ$57,卡牌消耗!AT90)*INDEX(卡牌消耗!$B$8:$F$8,AR90)/$Q$4/50,0)*50</f>
        <v>12200</v>
      </c>
      <c r="AW90" s="14" t="str">
        <f>IF(AN90&gt;0,INDEX(挂机升级突破!$DT$4:$ED$4,AN90),"")</f>
        <v>橙色基础材料</v>
      </c>
      <c r="AX90" s="14">
        <f>ROUND(INDEX(挂机升级突破!$DT$6:$ED$57,卡牌消耗!AT90,AN90)*INDEX(卡牌消耗!$B$5:$F$5,AR90)/$Q$4/5,0)*5</f>
        <v>30</v>
      </c>
      <c r="AY90" s="14" t="str">
        <f>IF(AO90&gt;0,INDEX(挂机升级突破!$DT$4:$ED$4,AO90),"")</f>
        <v/>
      </c>
      <c r="AZ90" s="14" t="str">
        <f>IF(AO90&gt;0,ROUND(INDEX(挂机升级突破!$DT$6:$ED$57,卡牌消耗!AT90,AO90)*INDEX(卡牌消耗!$B$7:$F$7,AR90)/$Q$4,0),"")</f>
        <v/>
      </c>
      <c r="BA90" s="106"/>
      <c r="BB90" s="197"/>
      <c r="BC90" s="197"/>
      <c r="BD90" s="197"/>
      <c r="BE90" s="197"/>
      <c r="BF90" s="197"/>
      <c r="BG90" s="197"/>
      <c r="BH90" s="197"/>
      <c r="BI90" s="197"/>
      <c r="BJ90" s="197"/>
      <c r="BK90" s="197"/>
      <c r="BL90" s="104">
        <v>86</v>
      </c>
      <c r="BM90" s="14">
        <f t="shared" si="109"/>
        <v>5</v>
      </c>
      <c r="BN90" s="14">
        <f>INDEX(挂机升级突破!$EI$7:$EI$26,BS90)</f>
        <v>5</v>
      </c>
      <c r="BO90" s="14">
        <f>INDEX(挂机升级突破!$EJ$7:$EJ$26,BS90)</f>
        <v>1</v>
      </c>
      <c r="BP90" s="14">
        <f t="shared" si="110"/>
        <v>3</v>
      </c>
      <c r="BQ90" s="14">
        <f>INDEX(挂机升级突破!$EH$7:$EH$26,卡牌消耗!BS90)</f>
        <v>42</v>
      </c>
      <c r="BR90" s="14" t="str">
        <f t="shared" si="111"/>
        <v>李轩辕</v>
      </c>
      <c r="BS90" s="14">
        <f t="shared" si="112"/>
        <v>6</v>
      </c>
      <c r="BT90" s="14" t="str">
        <f t="shared" si="113"/>
        <v>李轩辕6突</v>
      </c>
      <c r="BU90" s="14" t="str">
        <f>IF(BN90&gt;0,INDEX(挂机升级突破!$ER$5:$EV$5,卡牌消耗!BN90),"")</f>
        <v>金币</v>
      </c>
      <c r="BV90" s="14">
        <f>IF(BN90&gt;0,ROUND(INDEX(挂机升级突破!$EV$7:$EV$26,卡牌消耗!BS90)*INDEX(卡牌消耗!$B$8:$F$8,BP90)/$Q$4/500,0)*500,"")</f>
        <v>5000</v>
      </c>
      <c r="BW90" s="14" t="str">
        <f>IF(BO90&gt;0,INDEX(挂机升级突破!$ER$5:$EV$5,卡牌消耗!BO90),"")</f>
        <v>玄铁</v>
      </c>
      <c r="BX90" s="14">
        <f>IF(BO90&gt;0,ROUND(INDEX(挂机升级突破!$ER$7:$EU$26,卡牌消耗!BS90,卡牌消耗!BO90)*INDEX($B$6:$F$6,BP90)/$Q$4/5,0)*5,"")</f>
        <v>50</v>
      </c>
      <c r="BY90" s="193"/>
      <c r="BZ90" s="193"/>
      <c r="CA90" s="106"/>
      <c r="CS90" s="171"/>
      <c r="CT90" s="171"/>
      <c r="CU90" s="14">
        <f>INDEX($CP$5:$CP$32,CU89)</f>
        <v>159100</v>
      </c>
      <c r="CV90" s="169">
        <v>86</v>
      </c>
      <c r="CW90" s="169">
        <v>5.25</v>
      </c>
      <c r="CX90" s="21">
        <f t="shared" ref="CX90" si="158">CW90/$CU91</f>
        <v>0.19090909090909092</v>
      </c>
      <c r="CY90" s="169">
        <f t="shared" ref="CY90" si="159">INT($CU90*CX90/5)*5</f>
        <v>30370</v>
      </c>
      <c r="CZ90" s="169">
        <f>SUM(CY$5:CY90)</f>
        <v>954790</v>
      </c>
      <c r="DB90" s="188">
        <f t="shared" si="116"/>
        <v>15150</v>
      </c>
      <c r="DC90" s="188">
        <f t="shared" si="116"/>
        <v>24250</v>
      </c>
      <c r="DD90" s="188">
        <f t="shared" si="116"/>
        <v>30350</v>
      </c>
      <c r="DE90" s="188">
        <f t="shared" si="116"/>
        <v>36400</v>
      </c>
      <c r="DF90" s="188">
        <f t="shared" si="116"/>
        <v>45550</v>
      </c>
      <c r="DI90" s="186">
        <v>86</v>
      </c>
      <c r="DJ90" s="14">
        <f t="shared" si="117"/>
        <v>18</v>
      </c>
      <c r="DK90" s="14">
        <f t="shared" si="99"/>
        <v>3</v>
      </c>
      <c r="DL90" s="14">
        <f t="shared" si="100"/>
        <v>1101020</v>
      </c>
      <c r="DM90" s="136" t="s">
        <v>1097</v>
      </c>
      <c r="DN90" s="14">
        <f t="shared" si="101"/>
        <v>1</v>
      </c>
      <c r="DO90" s="14" t="str">
        <f t="shared" si="102"/>
        <v>姬烟华-1星</v>
      </c>
      <c r="DP90" s="136" t="s">
        <v>1103</v>
      </c>
      <c r="DQ90" s="14">
        <f t="shared" si="118"/>
        <v>4000</v>
      </c>
      <c r="DR90" s="14" t="str">
        <f t="shared" si="103"/>
        <v>姬烟华碎片</v>
      </c>
      <c r="DS90" s="14">
        <f t="shared" si="119"/>
        <v>40</v>
      </c>
    </row>
    <row r="91" spans="1:123" ht="16.5" x14ac:dyDescent="0.2">
      <c r="A91" s="55">
        <v>1102013</v>
      </c>
      <c r="B91" s="55" t="s">
        <v>184</v>
      </c>
      <c r="C91" s="55">
        <v>2</v>
      </c>
      <c r="D91" s="136">
        <v>5</v>
      </c>
      <c r="E91" s="186">
        <f>SUM(D$52:D91)</f>
        <v>200</v>
      </c>
      <c r="H91" s="15"/>
      <c r="I91" s="15"/>
      <c r="J91" s="15"/>
      <c r="K91" s="15"/>
      <c r="L91" s="15"/>
      <c r="M91" s="15"/>
      <c r="N91" s="15"/>
      <c r="O91" s="137"/>
      <c r="P91" s="141"/>
      <c r="Q91" s="141"/>
      <c r="R91" s="141"/>
      <c r="S91" s="141"/>
      <c r="T91" s="141"/>
      <c r="U91" s="141"/>
      <c r="V91" s="141"/>
      <c r="W91" s="141"/>
      <c r="X91" s="141"/>
      <c r="Y91" s="141"/>
      <c r="Z91" s="196">
        <v>3</v>
      </c>
      <c r="AA91" s="196">
        <v>35</v>
      </c>
      <c r="AB91" s="14">
        <f>ROUND(INDEX(挂机升级突破!DT$6:DT$57,卡牌消耗!$AA91)*INDEX(卡牌消耗!$B$5:$F$5,卡牌消耗!$Z91)/卡牌消耗!$Q$4/AB$2,0)*AB$2</f>
        <v>0</v>
      </c>
      <c r="AC91" s="14">
        <f>ROUND(INDEX(挂机升级突破!DU$6:DU$57,卡牌消耗!$AA91)*INDEX(卡牌消耗!$B$5:$F$5,卡牌消耗!$Z91)/卡牌消耗!$Q$4/AC$2,0)*AC$2</f>
        <v>0</v>
      </c>
      <c r="AD91" s="14">
        <f>ROUND(INDEX(挂机升级突破!DV$6:DV$57,卡牌消耗!$AA91)*INDEX(卡牌消耗!$B$5:$F$5,卡牌消耗!$Z91)/卡牌消耗!$Q$4/AD$2,0)*AD$2</f>
        <v>0</v>
      </c>
      <c r="AE91" s="14">
        <f>ROUND(INDEX(挂机升级突破!DW$6:DW$57,卡牌消耗!$AA91)*INDEX(卡牌消耗!$B$5:$F$5,卡牌消耗!$Z91)/卡牌消耗!$Q$4/AE$2,0)*AE$2</f>
        <v>30</v>
      </c>
      <c r="AF91" s="14">
        <f>ROUND(INDEX(挂机升级突破!DX$6:DX$57,卡牌消耗!$AA91)*INDEX(卡牌消耗!$B$5:$F$5,卡牌消耗!$Z91)/卡牌消耗!$Q$4/AF$2,0)*AF$2</f>
        <v>0</v>
      </c>
      <c r="AG91" s="14">
        <f>ROUND(INDEX(挂机升级突破!EC$6:EC$57,卡牌消耗!$AA91)*INDEX(卡牌消耗!$B$7:$F$7,卡牌消耗!$Z91)/卡牌消耗!$Q$4/AG$2,0)*AG$2</f>
        <v>2</v>
      </c>
      <c r="AH91" s="14">
        <f>ROUND(INDEX(挂机升级突破!ED$6:ED$57,卡牌消耗!$AA91)*INDEX(卡牌消耗!$B$8:$F$8,卡牌消耗!$Z91)/卡牌消耗!$Q$4/AH$2,0)*AH$2</f>
        <v>15550</v>
      </c>
      <c r="AI91" s="194"/>
      <c r="AJ91" s="194"/>
      <c r="AK91" s="104">
        <v>87</v>
      </c>
      <c r="AL91" s="14">
        <f t="shared" si="104"/>
        <v>2</v>
      </c>
      <c r="AM91" s="14">
        <f>INDEX(挂机升级突破!DQ$6:DQ$57,卡牌消耗!$AT91)</f>
        <v>11</v>
      </c>
      <c r="AN91" s="14">
        <f>INDEX(挂机升级突破!DR$6:DR$57,卡牌消耗!$AT91)</f>
        <v>4</v>
      </c>
      <c r="AO91" s="14">
        <f>INDEX(挂机升级突破!DS$6:DS$57,卡牌消耗!$AT91)</f>
        <v>0</v>
      </c>
      <c r="AP91" s="14">
        <f>INDEX(挂机升级突破!$DP$6:$DP$57,卡牌消耗!AT91)</f>
        <v>105</v>
      </c>
      <c r="AQ91" s="14" t="str">
        <f t="shared" si="105"/>
        <v>许褚</v>
      </c>
      <c r="AR91" s="14">
        <f t="shared" si="106"/>
        <v>3</v>
      </c>
      <c r="AS91" s="14" t="str">
        <f t="shared" si="107"/>
        <v>许褚魂火-35</v>
      </c>
      <c r="AT91" s="14">
        <f t="shared" si="108"/>
        <v>35</v>
      </c>
      <c r="AU91" s="14" t="str">
        <f>IF(AM91&gt;0,INDEX(挂机升级突破!$DT$4:$ED$4,AM91),"")</f>
        <v>金币</v>
      </c>
      <c r="AV91" s="14">
        <f>ROUND(INDEX(挂机升级突破!$DJ$6:$DJ$57,卡牌消耗!AT91)*INDEX(卡牌消耗!$B$8:$F$8,AR91)/$Q$4/50,0)*50</f>
        <v>15550</v>
      </c>
      <c r="AW91" s="14" t="str">
        <f>IF(AN91&gt;0,INDEX(挂机升级突破!$DT$4:$ED$4,AN91),"")</f>
        <v>橙色基础材料</v>
      </c>
      <c r="AX91" s="14">
        <f>ROUND(INDEX(挂机升级突破!$DT$6:$ED$57,卡牌消耗!AT91,AN91)*INDEX(卡牌消耗!$B$5:$F$5,AR91)/$Q$4/5,0)*5</f>
        <v>30</v>
      </c>
      <c r="AY91" s="14" t="str">
        <f>IF(AO91&gt;0,INDEX(挂机升级突破!$DT$4:$ED$4,AO91),"")</f>
        <v/>
      </c>
      <c r="AZ91" s="14" t="str">
        <f>IF(AO91&gt;0,ROUND(INDEX(挂机升级突破!$DT$6:$ED$57,卡牌消耗!AT91,AO91)*INDEX(卡牌消耗!$B$7:$F$7,AR91)/$Q$4,0),"")</f>
        <v/>
      </c>
      <c r="BA91" s="106"/>
      <c r="BB91" s="197"/>
      <c r="BC91" s="197"/>
      <c r="BD91" s="197"/>
      <c r="BE91" s="197"/>
      <c r="BF91" s="197"/>
      <c r="BG91" s="197"/>
      <c r="BH91" s="197"/>
      <c r="BI91" s="197"/>
      <c r="BJ91" s="197"/>
      <c r="BK91" s="197"/>
      <c r="BL91" s="104">
        <v>87</v>
      </c>
      <c r="BM91" s="14">
        <f t="shared" si="109"/>
        <v>5</v>
      </c>
      <c r="BN91" s="14">
        <f>INDEX(挂机升级突破!$EI$7:$EI$26,BS91)</f>
        <v>5</v>
      </c>
      <c r="BO91" s="14">
        <f>INDEX(挂机升级突破!$EJ$7:$EJ$26,BS91)</f>
        <v>1</v>
      </c>
      <c r="BP91" s="14">
        <f t="shared" si="110"/>
        <v>3</v>
      </c>
      <c r="BQ91" s="14">
        <f>INDEX(挂机升级突破!$EH$7:$EH$26,卡牌消耗!BS91)</f>
        <v>47</v>
      </c>
      <c r="BR91" s="14" t="str">
        <f t="shared" si="111"/>
        <v>李轩辕</v>
      </c>
      <c r="BS91" s="14">
        <f t="shared" si="112"/>
        <v>7</v>
      </c>
      <c r="BT91" s="14" t="str">
        <f t="shared" si="113"/>
        <v>李轩辕7突</v>
      </c>
      <c r="BU91" s="14" t="str">
        <f>IF(BN91&gt;0,INDEX(挂机升级突破!$ER$5:$EV$5,卡牌消耗!BN91),"")</f>
        <v>金币</v>
      </c>
      <c r="BV91" s="14">
        <f>IF(BN91&gt;0,ROUND(INDEX(挂机升级突破!$EV$7:$EV$26,卡牌消耗!BS91)*INDEX(卡牌消耗!$B$8:$F$8,BP91)/$Q$4/500,0)*500,"")</f>
        <v>8000</v>
      </c>
      <c r="BW91" s="14" t="str">
        <f>IF(BO91&gt;0,INDEX(挂机升级突破!$ER$5:$EV$5,卡牌消耗!BO91),"")</f>
        <v>玄铁</v>
      </c>
      <c r="BX91" s="14">
        <f>IF(BO91&gt;0,ROUND(INDEX(挂机升级突破!$ER$7:$EU$26,卡牌消耗!BS91,卡牌消耗!BO91)*INDEX($B$6:$F$6,BP91)/$Q$4/5,0)*5,"")</f>
        <v>85</v>
      </c>
      <c r="BY91" s="193"/>
      <c r="BZ91" s="193"/>
      <c r="CA91" s="106"/>
      <c r="CS91" s="171"/>
      <c r="CT91" s="170"/>
      <c r="CU91" s="14">
        <f>SUMIFS($CW$5:$CW$154,$CV$5:$CV$154,"&gt;="&amp;INDEX($CE$5:$CE$32,CU89),$CV$5:$CV$154,"&lt;"&amp;INDEX($CF$5:$CF$32,CU89))</f>
        <v>27.5</v>
      </c>
      <c r="CV91" s="169">
        <v>87</v>
      </c>
      <c r="CW91" s="169">
        <v>5.5</v>
      </c>
      <c r="CX91" s="21">
        <f t="shared" ref="CX91" si="160">CW91/$CU91</f>
        <v>0.2</v>
      </c>
      <c r="CY91" s="169">
        <f t="shared" ref="CY91" si="161">INT($CU90*CX91/5)*5</f>
        <v>31820</v>
      </c>
      <c r="CZ91" s="169">
        <f>SUM(CY$5:CY91)</f>
        <v>986610</v>
      </c>
      <c r="DB91" s="188">
        <f t="shared" si="116"/>
        <v>15900</v>
      </c>
      <c r="DC91" s="188">
        <f t="shared" si="116"/>
        <v>25450</v>
      </c>
      <c r="DD91" s="188">
        <f t="shared" si="116"/>
        <v>31800</v>
      </c>
      <c r="DE91" s="188">
        <f t="shared" si="116"/>
        <v>38150</v>
      </c>
      <c r="DF91" s="188">
        <f t="shared" si="116"/>
        <v>47700</v>
      </c>
      <c r="DI91" s="186">
        <v>87</v>
      </c>
      <c r="DJ91" s="14">
        <f t="shared" si="117"/>
        <v>18</v>
      </c>
      <c r="DK91" s="14">
        <f t="shared" si="99"/>
        <v>3</v>
      </c>
      <c r="DL91" s="14">
        <f t="shared" si="100"/>
        <v>1101020</v>
      </c>
      <c r="DM91" s="136" t="s">
        <v>1097</v>
      </c>
      <c r="DN91" s="14">
        <f t="shared" si="101"/>
        <v>2</v>
      </c>
      <c r="DO91" s="14" t="str">
        <f t="shared" si="102"/>
        <v>姬烟华-2星</v>
      </c>
      <c r="DP91" s="136" t="s">
        <v>1103</v>
      </c>
      <c r="DQ91" s="14">
        <f t="shared" si="118"/>
        <v>5000</v>
      </c>
      <c r="DR91" s="14" t="str">
        <f t="shared" si="103"/>
        <v>姬烟华碎片</v>
      </c>
      <c r="DS91" s="14">
        <f t="shared" si="119"/>
        <v>40</v>
      </c>
    </row>
    <row r="92" spans="1:123" ht="16.5" x14ac:dyDescent="0.2">
      <c r="A92" s="55">
        <v>1102014</v>
      </c>
      <c r="B92" s="55" t="s">
        <v>185</v>
      </c>
      <c r="C92" s="55">
        <v>3</v>
      </c>
      <c r="D92" s="136">
        <v>5</v>
      </c>
      <c r="E92" s="186">
        <f>SUM(D$52:D92)</f>
        <v>205</v>
      </c>
      <c r="H92" s="15"/>
      <c r="I92" s="15"/>
      <c r="J92" s="15"/>
      <c r="K92" s="15"/>
      <c r="L92" s="15"/>
      <c r="M92" s="15"/>
      <c r="N92" s="15"/>
      <c r="O92" s="137"/>
      <c r="P92" s="141"/>
      <c r="Q92" s="141"/>
      <c r="R92" s="141"/>
      <c r="S92" s="141"/>
      <c r="T92" s="141"/>
      <c r="U92" s="141"/>
      <c r="V92" s="141"/>
      <c r="W92" s="141"/>
      <c r="X92" s="141"/>
      <c r="Y92" s="141"/>
      <c r="Z92" s="196">
        <v>3</v>
      </c>
      <c r="AA92" s="196">
        <v>36</v>
      </c>
      <c r="AB92" s="14">
        <f>ROUND(INDEX(挂机升级突破!DT$6:DT$57,卡牌消耗!$AA92)*INDEX(卡牌消耗!$B$5:$F$5,卡牌消耗!$Z92)/卡牌消耗!$Q$4/AB$2,0)*AB$2</f>
        <v>0</v>
      </c>
      <c r="AC92" s="14">
        <f>ROUND(INDEX(挂机升级突破!DU$6:DU$57,卡牌消耗!$AA92)*INDEX(卡牌消耗!$B$5:$F$5,卡牌消耗!$Z92)/卡牌消耗!$Q$4/AC$2,0)*AC$2</f>
        <v>0</v>
      </c>
      <c r="AD92" s="14">
        <f>ROUND(INDEX(挂机升级突破!DV$6:DV$57,卡牌消耗!$AA92)*INDEX(卡牌消耗!$B$5:$F$5,卡牌消耗!$Z92)/卡牌消耗!$Q$4/AD$2,0)*AD$2</f>
        <v>0</v>
      </c>
      <c r="AE92" s="14">
        <f>ROUND(INDEX(挂机升级突破!DW$6:DW$57,卡牌消耗!$AA92)*INDEX(卡牌消耗!$B$5:$F$5,卡牌消耗!$Z92)/卡牌消耗!$Q$4/AE$2,0)*AE$2</f>
        <v>30</v>
      </c>
      <c r="AF92" s="14">
        <f>ROUND(INDEX(挂机升级突破!DX$6:DX$57,卡牌消耗!$AA92)*INDEX(卡牌消耗!$B$5:$F$5,卡牌消耗!$Z92)/卡牌消耗!$Q$4/AF$2,0)*AF$2</f>
        <v>0</v>
      </c>
      <c r="AG92" s="14">
        <f>ROUND(INDEX(挂机升级突破!EC$6:EC$57,卡牌消耗!$AA92)*INDEX(卡牌消耗!$B$7:$F$7,卡牌消耗!$Z92)/卡牌消耗!$Q$4/AG$2,0)*AG$2</f>
        <v>2</v>
      </c>
      <c r="AH92" s="14">
        <f>ROUND(INDEX(挂机升级突破!ED$6:ED$57,卡牌消耗!$AA92)*INDEX(卡牌消耗!$B$8:$F$8,卡牌消耗!$Z92)/卡牌消耗!$Q$4/AH$2,0)*AH$2</f>
        <v>15550</v>
      </c>
      <c r="AI92" s="194"/>
      <c r="AJ92" s="194"/>
      <c r="AK92" s="104">
        <v>88</v>
      </c>
      <c r="AL92" s="14">
        <f t="shared" si="104"/>
        <v>2</v>
      </c>
      <c r="AM92" s="14">
        <f>INDEX(挂机升级突破!DQ$6:DQ$57,卡牌消耗!$AT92)</f>
        <v>11</v>
      </c>
      <c r="AN92" s="14">
        <f>INDEX(挂机升级突破!DR$6:DR$57,卡牌消耗!$AT92)</f>
        <v>4</v>
      </c>
      <c r="AO92" s="14">
        <f>INDEX(挂机升级突破!DS$6:DS$57,卡牌消耗!$AT92)</f>
        <v>0</v>
      </c>
      <c r="AP92" s="14">
        <f>INDEX(挂机升级突破!$DP$6:$DP$57,卡牌消耗!AT92)</f>
        <v>108</v>
      </c>
      <c r="AQ92" s="14" t="str">
        <f t="shared" si="105"/>
        <v>许褚</v>
      </c>
      <c r="AR92" s="14">
        <f t="shared" si="106"/>
        <v>3</v>
      </c>
      <c r="AS92" s="14" t="str">
        <f t="shared" si="107"/>
        <v>许褚魂火-36</v>
      </c>
      <c r="AT92" s="14">
        <f t="shared" si="108"/>
        <v>36</v>
      </c>
      <c r="AU92" s="14" t="str">
        <f>IF(AM92&gt;0,INDEX(挂机升级突破!$DT$4:$ED$4,AM92),"")</f>
        <v>金币</v>
      </c>
      <c r="AV92" s="14">
        <f>ROUND(INDEX(挂机升级突破!$DJ$6:$DJ$57,卡牌消耗!AT92)*INDEX(卡牌消耗!$B$8:$F$8,AR92)/$Q$4/50,0)*50</f>
        <v>15550</v>
      </c>
      <c r="AW92" s="14" t="str">
        <f>IF(AN92&gt;0,INDEX(挂机升级突破!$DT$4:$ED$4,AN92),"")</f>
        <v>橙色基础材料</v>
      </c>
      <c r="AX92" s="14">
        <f>ROUND(INDEX(挂机升级突破!$DT$6:$ED$57,卡牌消耗!AT92,AN92)*INDEX(卡牌消耗!$B$5:$F$5,AR92)/$Q$4/5,0)*5</f>
        <v>30</v>
      </c>
      <c r="AY92" s="14" t="str">
        <f>IF(AO92&gt;0,INDEX(挂机升级突破!$DT$4:$ED$4,AO92),"")</f>
        <v/>
      </c>
      <c r="AZ92" s="14" t="str">
        <f>IF(AO92&gt;0,ROUND(INDEX(挂机升级突破!$DT$6:$ED$57,卡牌消耗!AT92,AO92)*INDEX(卡牌消耗!$B$7:$F$7,AR92)/$Q$4,0),"")</f>
        <v/>
      </c>
      <c r="BA92" s="106"/>
      <c r="BB92" s="197"/>
      <c r="BC92" s="197"/>
      <c r="BD92" s="197"/>
      <c r="BE92" s="197"/>
      <c r="BF92" s="197"/>
      <c r="BG92" s="197"/>
      <c r="BH92" s="197"/>
      <c r="BI92" s="197"/>
      <c r="BJ92" s="197"/>
      <c r="BK92" s="197"/>
      <c r="BL92" s="104">
        <v>88</v>
      </c>
      <c r="BM92" s="14">
        <f t="shared" si="109"/>
        <v>5</v>
      </c>
      <c r="BN92" s="14">
        <f>INDEX(挂机升级突破!$EI$7:$EI$26,BS92)</f>
        <v>5</v>
      </c>
      <c r="BO92" s="14">
        <f>INDEX(挂机升级突破!$EJ$7:$EJ$26,BS92)</f>
        <v>1</v>
      </c>
      <c r="BP92" s="14">
        <f t="shared" si="110"/>
        <v>3</v>
      </c>
      <c r="BQ92" s="14">
        <f>INDEX(挂机升级突破!$EH$7:$EH$26,卡牌消耗!BS92)</f>
        <v>52</v>
      </c>
      <c r="BR92" s="14" t="str">
        <f t="shared" si="111"/>
        <v>李轩辕</v>
      </c>
      <c r="BS92" s="14">
        <f t="shared" si="112"/>
        <v>8</v>
      </c>
      <c r="BT92" s="14" t="str">
        <f t="shared" si="113"/>
        <v>李轩辕8突</v>
      </c>
      <c r="BU92" s="14" t="str">
        <f>IF(BN92&gt;0,INDEX(挂机升级突破!$ER$5:$EV$5,卡牌消耗!BN92),"")</f>
        <v>金币</v>
      </c>
      <c r="BV92" s="14">
        <f>IF(BN92&gt;0,ROUND(INDEX(挂机升级突破!$EV$7:$EV$26,卡牌消耗!BS92)*INDEX(卡牌消耗!$B$8:$F$8,BP92)/$Q$4/500,0)*500,"")</f>
        <v>8000</v>
      </c>
      <c r="BW92" s="14" t="str">
        <f>IF(BO92&gt;0,INDEX(挂机升级突破!$ER$5:$EV$5,卡牌消耗!BO92),"")</f>
        <v>玄铁</v>
      </c>
      <c r="BX92" s="14">
        <f>IF(BO92&gt;0,ROUND(INDEX(挂机升级突破!$ER$7:$EU$26,卡牌消耗!BS92,卡牌消耗!BO92)*INDEX($B$6:$F$6,BP92)/$Q$4/5,0)*5,"")</f>
        <v>150</v>
      </c>
      <c r="BY92" s="193"/>
      <c r="BZ92" s="193"/>
      <c r="CA92" s="106"/>
      <c r="CS92" s="171"/>
      <c r="CT92" s="171"/>
      <c r="CU92" s="171"/>
      <c r="CV92" s="169">
        <v>88</v>
      </c>
      <c r="CW92" s="169">
        <v>5.75</v>
      </c>
      <c r="CX92" s="21">
        <f t="shared" ref="CX92" si="162">CW92/$CU91</f>
        <v>0.20909090909090908</v>
      </c>
      <c r="CY92" s="169">
        <f t="shared" ref="CY92" si="163">INT($CU90*CX92/5)*5</f>
        <v>33265</v>
      </c>
      <c r="CZ92" s="169">
        <f>SUM(CY$5:CY92)</f>
        <v>1019875</v>
      </c>
      <c r="DB92" s="188">
        <f t="shared" si="116"/>
        <v>16600</v>
      </c>
      <c r="DC92" s="188">
        <f t="shared" si="116"/>
        <v>26600</v>
      </c>
      <c r="DD92" s="188">
        <f t="shared" si="116"/>
        <v>33250</v>
      </c>
      <c r="DE92" s="188">
        <f t="shared" si="116"/>
        <v>39900</v>
      </c>
      <c r="DF92" s="188">
        <f t="shared" si="116"/>
        <v>49850</v>
      </c>
      <c r="DI92" s="186">
        <v>88</v>
      </c>
      <c r="DJ92" s="14">
        <f t="shared" si="117"/>
        <v>18</v>
      </c>
      <c r="DK92" s="14">
        <f t="shared" si="99"/>
        <v>3</v>
      </c>
      <c r="DL92" s="14">
        <f t="shared" si="100"/>
        <v>1101020</v>
      </c>
      <c r="DM92" s="136" t="s">
        <v>1097</v>
      </c>
      <c r="DN92" s="14">
        <f t="shared" si="101"/>
        <v>3</v>
      </c>
      <c r="DO92" s="14" t="str">
        <f t="shared" si="102"/>
        <v>姬烟华-3星</v>
      </c>
      <c r="DP92" s="136" t="s">
        <v>1103</v>
      </c>
      <c r="DQ92" s="14">
        <f t="shared" si="118"/>
        <v>10000</v>
      </c>
      <c r="DR92" s="14" t="str">
        <f t="shared" si="103"/>
        <v>姬烟华碎片</v>
      </c>
      <c r="DS92" s="14">
        <f t="shared" si="119"/>
        <v>40</v>
      </c>
    </row>
    <row r="93" spans="1:123" ht="16.5" x14ac:dyDescent="0.2">
      <c r="A93" s="55">
        <v>1102015</v>
      </c>
      <c r="B93" s="55" t="s">
        <v>186</v>
      </c>
      <c r="C93" s="55">
        <v>2</v>
      </c>
      <c r="D93" s="136">
        <v>5</v>
      </c>
      <c r="E93" s="186">
        <f>SUM(D$52:D93)</f>
        <v>210</v>
      </c>
      <c r="H93" s="15"/>
      <c r="I93" s="15"/>
      <c r="J93" s="15"/>
      <c r="K93" s="15"/>
      <c r="L93" s="15"/>
      <c r="M93" s="15"/>
      <c r="N93" s="15"/>
      <c r="O93" s="137"/>
      <c r="P93" s="141"/>
      <c r="Q93" s="141"/>
      <c r="R93" s="141"/>
      <c r="S93" s="141"/>
      <c r="T93" s="141"/>
      <c r="U93" s="141"/>
      <c r="V93" s="141"/>
      <c r="W93" s="141"/>
      <c r="X93" s="141"/>
      <c r="Y93" s="141"/>
      <c r="Z93" s="196">
        <v>3</v>
      </c>
      <c r="AA93" s="196">
        <v>37</v>
      </c>
      <c r="AB93" s="14">
        <f>ROUND(INDEX(挂机升级突破!DT$6:DT$57,卡牌消耗!$AA93)*INDEX(卡牌消耗!$B$5:$F$5,卡牌消耗!$Z93)/卡牌消耗!$Q$4/AB$2,0)*AB$2</f>
        <v>0</v>
      </c>
      <c r="AC93" s="14">
        <f>ROUND(INDEX(挂机升级突破!DU$6:DU$57,卡牌消耗!$AA93)*INDEX(卡牌消耗!$B$5:$F$5,卡牌消耗!$Z93)/卡牌消耗!$Q$4/AC$2,0)*AC$2</f>
        <v>0</v>
      </c>
      <c r="AD93" s="14">
        <f>ROUND(INDEX(挂机升级突破!DV$6:DV$57,卡牌消耗!$AA93)*INDEX(卡牌消耗!$B$5:$F$5,卡牌消耗!$Z93)/卡牌消耗!$Q$4/AD$2,0)*AD$2</f>
        <v>0</v>
      </c>
      <c r="AE93" s="14">
        <f>ROUND(INDEX(挂机升级突破!DW$6:DW$57,卡牌消耗!$AA93)*INDEX(卡牌消耗!$B$5:$F$5,卡牌消耗!$Z93)/卡牌消耗!$Q$4/AE$2,0)*AE$2</f>
        <v>30</v>
      </c>
      <c r="AF93" s="14">
        <f>ROUND(INDEX(挂机升级突破!DX$6:DX$57,卡牌消耗!$AA93)*INDEX(卡牌消耗!$B$5:$F$5,卡牌消耗!$Z93)/卡牌消耗!$Q$4/AF$2,0)*AF$2</f>
        <v>0</v>
      </c>
      <c r="AG93" s="14">
        <f>ROUND(INDEX(挂机升级突破!EC$6:EC$57,卡牌消耗!$AA93)*INDEX(卡牌消耗!$B$7:$F$7,卡牌消耗!$Z93)/卡牌消耗!$Q$4/AG$2,0)*AG$2</f>
        <v>2</v>
      </c>
      <c r="AH93" s="14">
        <f>ROUND(INDEX(挂机升级突破!ED$6:ED$57,卡牌消耗!$AA93)*INDEX(卡牌消耗!$B$8:$F$8,卡牌消耗!$Z93)/卡牌消耗!$Q$4/AH$2,0)*AH$2</f>
        <v>16650</v>
      </c>
      <c r="AI93" s="194"/>
      <c r="AJ93" s="194"/>
      <c r="AK93" s="104">
        <v>89</v>
      </c>
      <c r="AL93" s="14">
        <f t="shared" si="104"/>
        <v>2</v>
      </c>
      <c r="AM93" s="14">
        <f>INDEX(挂机升级突破!DQ$6:DQ$57,卡牌消耗!$AT93)</f>
        <v>11</v>
      </c>
      <c r="AN93" s="14">
        <f>INDEX(挂机升级突破!DR$6:DR$57,卡牌消耗!$AT93)</f>
        <v>4</v>
      </c>
      <c r="AO93" s="14">
        <f>INDEX(挂机升级突破!DS$6:DS$57,卡牌消耗!$AT93)</f>
        <v>0</v>
      </c>
      <c r="AP93" s="14">
        <f>INDEX(挂机升级突破!$DP$6:$DP$57,卡牌消耗!AT93)</f>
        <v>110</v>
      </c>
      <c r="AQ93" s="14" t="str">
        <f t="shared" si="105"/>
        <v>许褚</v>
      </c>
      <c r="AR93" s="14">
        <f t="shared" si="106"/>
        <v>3</v>
      </c>
      <c r="AS93" s="14" t="str">
        <f t="shared" si="107"/>
        <v>许褚魂火-37</v>
      </c>
      <c r="AT93" s="14">
        <f t="shared" si="108"/>
        <v>37</v>
      </c>
      <c r="AU93" s="14" t="str">
        <f>IF(AM93&gt;0,INDEX(挂机升级突破!$DT$4:$ED$4,AM93),"")</f>
        <v>金币</v>
      </c>
      <c r="AV93" s="14">
        <f>ROUND(INDEX(挂机升级突破!$DJ$6:$DJ$57,卡牌消耗!AT93)*INDEX(卡牌消耗!$B$8:$F$8,AR93)/$Q$4/50,0)*50</f>
        <v>16650</v>
      </c>
      <c r="AW93" s="14" t="str">
        <f>IF(AN93&gt;0,INDEX(挂机升级突破!$DT$4:$ED$4,AN93),"")</f>
        <v>橙色基础材料</v>
      </c>
      <c r="AX93" s="14">
        <f>ROUND(INDEX(挂机升级突破!$DT$6:$ED$57,卡牌消耗!AT93,AN93)*INDEX(卡牌消耗!$B$5:$F$5,AR93)/$Q$4/5,0)*5</f>
        <v>30</v>
      </c>
      <c r="AY93" s="14" t="str">
        <f>IF(AO93&gt;0,INDEX(挂机升级突破!$DT$4:$ED$4,AO93),"")</f>
        <v/>
      </c>
      <c r="AZ93" s="14" t="str">
        <f>IF(AO93&gt;0,ROUND(INDEX(挂机升级突破!$DT$6:$ED$57,卡牌消耗!AT93,AO93)*INDEX(卡牌消耗!$B$7:$F$7,AR93)/$Q$4,0),"")</f>
        <v/>
      </c>
      <c r="BA93" s="106"/>
      <c r="BB93" s="197"/>
      <c r="BC93" s="197"/>
      <c r="BD93" s="197"/>
      <c r="BE93" s="197"/>
      <c r="BF93" s="197"/>
      <c r="BG93" s="197"/>
      <c r="BH93" s="197"/>
      <c r="BI93" s="197"/>
      <c r="BJ93" s="197"/>
      <c r="BK93" s="197"/>
      <c r="BL93" s="104">
        <v>89</v>
      </c>
      <c r="BM93" s="14">
        <f t="shared" si="109"/>
        <v>5</v>
      </c>
      <c r="BN93" s="14">
        <f>INDEX(挂机升级突破!$EI$7:$EI$26,BS93)</f>
        <v>5</v>
      </c>
      <c r="BO93" s="14">
        <f>INDEX(挂机升级突破!$EJ$7:$EJ$26,BS93)</f>
        <v>2</v>
      </c>
      <c r="BP93" s="14">
        <f t="shared" si="110"/>
        <v>3</v>
      </c>
      <c r="BQ93" s="14">
        <f>INDEX(挂机升级突破!$EH$7:$EH$26,卡牌消耗!BS93)</f>
        <v>57</v>
      </c>
      <c r="BR93" s="14" t="str">
        <f t="shared" si="111"/>
        <v>李轩辕</v>
      </c>
      <c r="BS93" s="14">
        <f t="shared" si="112"/>
        <v>9</v>
      </c>
      <c r="BT93" s="14" t="str">
        <f t="shared" si="113"/>
        <v>李轩辕9突</v>
      </c>
      <c r="BU93" s="14" t="str">
        <f>IF(BN93&gt;0,INDEX(挂机升级突破!$ER$5:$EV$5,卡牌消耗!BN93),"")</f>
        <v>金币</v>
      </c>
      <c r="BV93" s="14">
        <f>IF(BN93&gt;0,ROUND(INDEX(挂机升级突破!$EV$7:$EV$26,卡牌消耗!BS93)*INDEX(卡牌消耗!$B$8:$F$8,BP93)/$Q$4/500,0)*500,"")</f>
        <v>11000</v>
      </c>
      <c r="BW93" s="14" t="str">
        <f>IF(BO93&gt;0,INDEX(挂机升级突破!$ER$5:$EV$5,卡牌消耗!BO93),"")</f>
        <v>乌金</v>
      </c>
      <c r="BX93" s="14">
        <f>IF(BO93&gt;0,ROUND(INDEX(挂机升级突破!$ER$7:$EU$26,卡牌消耗!BS93,卡牌消耗!BO93)*INDEX($B$6:$F$6,BP93)/$Q$4/5,0)*5,"")</f>
        <v>50</v>
      </c>
      <c r="BY93" s="193"/>
      <c r="BZ93" s="193"/>
      <c r="CA93" s="106"/>
      <c r="CS93" s="171"/>
      <c r="CT93" s="171"/>
      <c r="CU93" s="171"/>
      <c r="CV93" s="169">
        <v>89</v>
      </c>
      <c r="CW93" s="169">
        <v>6</v>
      </c>
      <c r="CX93" s="21">
        <f t="shared" ref="CX93" si="164">CW93/$CU91</f>
        <v>0.21818181818181817</v>
      </c>
      <c r="CY93" s="169">
        <f t="shared" ref="CY93" si="165">INT($CU90*CX93/5)*5</f>
        <v>34710</v>
      </c>
      <c r="CZ93" s="169">
        <f>SUM(CY$5:CY93)</f>
        <v>1054585</v>
      </c>
      <c r="DB93" s="188">
        <f t="shared" si="116"/>
        <v>17350</v>
      </c>
      <c r="DC93" s="188">
        <f t="shared" si="116"/>
        <v>27750</v>
      </c>
      <c r="DD93" s="188">
        <f t="shared" si="116"/>
        <v>34700</v>
      </c>
      <c r="DE93" s="188">
        <f t="shared" si="116"/>
        <v>41650</v>
      </c>
      <c r="DF93" s="188">
        <f t="shared" si="116"/>
        <v>52050</v>
      </c>
      <c r="DI93" s="186">
        <v>89</v>
      </c>
      <c r="DJ93" s="14">
        <f t="shared" si="117"/>
        <v>18</v>
      </c>
      <c r="DK93" s="14">
        <f t="shared" si="99"/>
        <v>3</v>
      </c>
      <c r="DL93" s="14">
        <f t="shared" si="100"/>
        <v>1101020</v>
      </c>
      <c r="DM93" s="136" t="s">
        <v>1097</v>
      </c>
      <c r="DN93" s="14">
        <f t="shared" si="101"/>
        <v>4</v>
      </c>
      <c r="DO93" s="14" t="str">
        <f t="shared" si="102"/>
        <v>姬烟华-4星</v>
      </c>
      <c r="DP93" s="136" t="s">
        <v>1103</v>
      </c>
      <c r="DQ93" s="14">
        <f t="shared" si="118"/>
        <v>20000</v>
      </c>
      <c r="DR93" s="14" t="str">
        <f t="shared" si="103"/>
        <v>姬烟华碎片</v>
      </c>
      <c r="DS93" s="14">
        <f t="shared" si="119"/>
        <v>40</v>
      </c>
    </row>
    <row r="94" spans="1:123" ht="16.5" x14ac:dyDescent="0.2">
      <c r="A94" s="55">
        <v>1102016</v>
      </c>
      <c r="B94" s="55" t="s">
        <v>187</v>
      </c>
      <c r="C94" s="55">
        <v>4</v>
      </c>
      <c r="D94" s="136">
        <v>5</v>
      </c>
      <c r="E94" s="186">
        <f>SUM(D$52:D94)</f>
        <v>215</v>
      </c>
      <c r="H94" s="15"/>
      <c r="I94" s="15"/>
      <c r="J94" s="15"/>
      <c r="K94" s="15"/>
      <c r="L94" s="15"/>
      <c r="M94" s="15"/>
      <c r="N94" s="15"/>
      <c r="O94" s="137"/>
      <c r="P94" s="141"/>
      <c r="Q94" s="141"/>
      <c r="R94" s="141"/>
      <c r="S94" s="141"/>
      <c r="T94" s="141"/>
      <c r="U94" s="141"/>
      <c r="V94" s="141"/>
      <c r="W94" s="141"/>
      <c r="X94" s="141"/>
      <c r="Y94" s="141"/>
      <c r="Z94" s="196">
        <v>3</v>
      </c>
      <c r="AA94" s="196">
        <v>38</v>
      </c>
      <c r="AB94" s="14">
        <f>ROUND(INDEX(挂机升级突破!DT$6:DT$57,卡牌消耗!$AA94)*INDEX(卡牌消耗!$B$5:$F$5,卡牌消耗!$Z94)/卡牌消耗!$Q$4/AB$2,0)*AB$2</f>
        <v>0</v>
      </c>
      <c r="AC94" s="14">
        <f>ROUND(INDEX(挂机升级突破!DU$6:DU$57,卡牌消耗!$AA94)*INDEX(卡牌消耗!$B$5:$F$5,卡牌消耗!$Z94)/卡牌消耗!$Q$4/AC$2,0)*AC$2</f>
        <v>0</v>
      </c>
      <c r="AD94" s="14">
        <f>ROUND(INDEX(挂机升级突破!DV$6:DV$57,卡牌消耗!$AA94)*INDEX(卡牌消耗!$B$5:$F$5,卡牌消耗!$Z94)/卡牌消耗!$Q$4/AD$2,0)*AD$2</f>
        <v>0</v>
      </c>
      <c r="AE94" s="14">
        <f>ROUND(INDEX(挂机升级突破!DW$6:DW$57,卡牌消耗!$AA94)*INDEX(卡牌消耗!$B$5:$F$5,卡牌消耗!$Z94)/卡牌消耗!$Q$4/AE$2,0)*AE$2</f>
        <v>0</v>
      </c>
      <c r="AF94" s="14">
        <f>ROUND(INDEX(挂机升级突破!DX$6:DX$57,卡牌消耗!$AA94)*INDEX(卡牌消耗!$B$5:$F$5,卡牌消耗!$Z94)/卡牌消耗!$Q$4/AF$2,0)*AF$2</f>
        <v>10</v>
      </c>
      <c r="AG94" s="14">
        <f>ROUND(INDEX(挂机升级突破!EC$6:EC$57,卡牌消耗!$AA94)*INDEX(卡牌消耗!$B$7:$F$7,卡牌消耗!$Z94)/卡牌消耗!$Q$4/AG$2,0)*AG$2</f>
        <v>2</v>
      </c>
      <c r="AH94" s="14">
        <f>ROUND(INDEX(挂机升级突破!ED$6:ED$57,卡牌消耗!$AA94)*INDEX(卡牌消耗!$B$8:$F$8,卡牌消耗!$Z94)/卡牌消耗!$Q$4/AH$2,0)*AH$2</f>
        <v>21500</v>
      </c>
      <c r="AI94" s="194"/>
      <c r="AJ94" s="194"/>
      <c r="AK94" s="104">
        <v>90</v>
      </c>
      <c r="AL94" s="14">
        <f t="shared" si="104"/>
        <v>2</v>
      </c>
      <c r="AM94" s="14">
        <f>INDEX(挂机升级突破!DQ$6:DQ$57,卡牌消耗!$AT94)</f>
        <v>11</v>
      </c>
      <c r="AN94" s="14">
        <f>INDEX(挂机升级突破!DR$6:DR$57,卡牌消耗!$AT94)</f>
        <v>5</v>
      </c>
      <c r="AO94" s="14">
        <f>INDEX(挂机升级突破!DS$6:DS$57,卡牌消耗!$AT94)</f>
        <v>0</v>
      </c>
      <c r="AP94" s="14">
        <f>INDEX(挂机升级突破!$DP$6:$DP$57,卡牌消耗!AT94)</f>
        <v>113</v>
      </c>
      <c r="AQ94" s="14" t="str">
        <f t="shared" si="105"/>
        <v>许褚</v>
      </c>
      <c r="AR94" s="14">
        <f t="shared" si="106"/>
        <v>3</v>
      </c>
      <c r="AS94" s="14" t="str">
        <f t="shared" si="107"/>
        <v>许褚魂火-38</v>
      </c>
      <c r="AT94" s="14">
        <f t="shared" si="108"/>
        <v>38</v>
      </c>
      <c r="AU94" s="14" t="str">
        <f>IF(AM94&gt;0,INDEX(挂机升级突破!$DT$4:$ED$4,AM94),"")</f>
        <v>金币</v>
      </c>
      <c r="AV94" s="14">
        <f>ROUND(INDEX(挂机升级突破!$DJ$6:$DJ$57,卡牌消耗!AT94)*INDEX(卡牌消耗!$B$8:$F$8,AR94)/$Q$4/50,0)*50</f>
        <v>21500</v>
      </c>
      <c r="AW94" s="14" t="str">
        <f>IF(AN94&gt;0,INDEX(挂机升级突破!$DT$4:$ED$4,AN94),"")</f>
        <v>红色基础材料</v>
      </c>
      <c r="AX94" s="14">
        <f>ROUND(INDEX(挂机升级突破!$DT$6:$ED$57,卡牌消耗!AT94,AN94)*INDEX(卡牌消耗!$B$5:$F$5,AR94)/$Q$4/5,0)*5</f>
        <v>10</v>
      </c>
      <c r="AY94" s="14" t="str">
        <f>IF(AO94&gt;0,INDEX(挂机升级突破!$DT$4:$ED$4,AO94),"")</f>
        <v/>
      </c>
      <c r="AZ94" s="14" t="str">
        <f>IF(AO94&gt;0,ROUND(INDEX(挂机升级突破!$DT$6:$ED$57,卡牌消耗!AT94,AO94)*INDEX(卡牌消耗!$B$7:$F$7,AR94)/$Q$4,0),"")</f>
        <v/>
      </c>
      <c r="BA94" s="106"/>
      <c r="BB94" s="197"/>
      <c r="BC94" s="197"/>
      <c r="BD94" s="197"/>
      <c r="BE94" s="197"/>
      <c r="BF94" s="197"/>
      <c r="BG94" s="197"/>
      <c r="BH94" s="197"/>
      <c r="BI94" s="197"/>
      <c r="BJ94" s="197"/>
      <c r="BK94" s="197"/>
      <c r="BL94" s="104">
        <v>90</v>
      </c>
      <c r="BM94" s="14">
        <f t="shared" si="109"/>
        <v>5</v>
      </c>
      <c r="BN94" s="14">
        <f>INDEX(挂机升级突破!$EI$7:$EI$26,BS94)</f>
        <v>5</v>
      </c>
      <c r="BO94" s="14">
        <f>INDEX(挂机升级突破!$EJ$7:$EJ$26,BS94)</f>
        <v>2</v>
      </c>
      <c r="BP94" s="14">
        <f t="shared" si="110"/>
        <v>3</v>
      </c>
      <c r="BQ94" s="14">
        <f>INDEX(挂机升级突破!$EH$7:$EH$26,卡牌消耗!BS94)</f>
        <v>65</v>
      </c>
      <c r="BR94" s="14" t="str">
        <f t="shared" si="111"/>
        <v>李轩辕</v>
      </c>
      <c r="BS94" s="14">
        <f t="shared" si="112"/>
        <v>10</v>
      </c>
      <c r="BT94" s="14" t="str">
        <f t="shared" si="113"/>
        <v>李轩辕10突</v>
      </c>
      <c r="BU94" s="14" t="str">
        <f>IF(BN94&gt;0,INDEX(挂机升级突破!$ER$5:$EV$5,卡牌消耗!BN94),"")</f>
        <v>金币</v>
      </c>
      <c r="BV94" s="14">
        <f>IF(BN94&gt;0,ROUND(INDEX(挂机升级突破!$EV$7:$EV$26,卡牌消耗!BS94)*INDEX(卡牌消耗!$B$8:$F$8,BP94)/$Q$4/500,0)*500,"")</f>
        <v>19000</v>
      </c>
      <c r="BW94" s="14" t="str">
        <f>IF(BO94&gt;0,INDEX(挂机升级突破!$ER$5:$EV$5,卡牌消耗!BO94),"")</f>
        <v>乌金</v>
      </c>
      <c r="BX94" s="14">
        <f>IF(BO94&gt;0,ROUND(INDEX(挂机升级突破!$ER$7:$EU$26,卡牌消耗!BS94,卡牌消耗!BO94)*INDEX($B$6:$F$6,BP94)/$Q$4/5,0)*5,"")</f>
        <v>70</v>
      </c>
      <c r="BY94" s="193"/>
      <c r="BZ94" s="193"/>
      <c r="CA94" s="106"/>
      <c r="CS94" s="171"/>
      <c r="CT94" s="173" t="s">
        <v>120</v>
      </c>
      <c r="CU94" s="169">
        <v>17</v>
      </c>
      <c r="CV94" s="169">
        <v>90</v>
      </c>
      <c r="CW94" s="169">
        <v>5</v>
      </c>
      <c r="CX94" s="21">
        <f t="shared" ref="CX94" si="166">CW94/$CU96</f>
        <v>0.18181818181818182</v>
      </c>
      <c r="CY94" s="169">
        <f t="shared" ref="CY94" si="167">INT($CU95*CX94/5)*5</f>
        <v>33165</v>
      </c>
      <c r="CZ94" s="169">
        <f>SUM(CY$5:CY94)</f>
        <v>1087750</v>
      </c>
      <c r="DB94" s="188">
        <f t="shared" si="116"/>
        <v>16550</v>
      </c>
      <c r="DC94" s="188">
        <f t="shared" si="116"/>
        <v>26500</v>
      </c>
      <c r="DD94" s="188">
        <f t="shared" si="116"/>
        <v>33150</v>
      </c>
      <c r="DE94" s="188">
        <f t="shared" si="116"/>
        <v>39750</v>
      </c>
      <c r="DF94" s="188">
        <f t="shared" si="116"/>
        <v>49700</v>
      </c>
      <c r="DI94" s="186">
        <v>90</v>
      </c>
      <c r="DJ94" s="14">
        <f t="shared" si="117"/>
        <v>18</v>
      </c>
      <c r="DK94" s="14">
        <f t="shared" si="99"/>
        <v>3</v>
      </c>
      <c r="DL94" s="14">
        <f t="shared" si="100"/>
        <v>1101020</v>
      </c>
      <c r="DM94" s="136" t="s">
        <v>1097</v>
      </c>
      <c r="DN94" s="14">
        <f t="shared" si="101"/>
        <v>5</v>
      </c>
      <c r="DO94" s="14" t="str">
        <f t="shared" si="102"/>
        <v>姬烟华-5星</v>
      </c>
      <c r="DP94" s="136" t="s">
        <v>1103</v>
      </c>
      <c r="DQ94" s="14">
        <f t="shared" si="118"/>
        <v>40000</v>
      </c>
      <c r="DR94" s="14" t="str">
        <f t="shared" si="103"/>
        <v>姬烟华碎片</v>
      </c>
      <c r="DS94" s="14">
        <f t="shared" si="119"/>
        <v>40</v>
      </c>
    </row>
    <row r="95" spans="1:123" ht="16.5" x14ac:dyDescent="0.2">
      <c r="A95" s="136">
        <v>1102017</v>
      </c>
      <c r="B95" s="136" t="s">
        <v>188</v>
      </c>
      <c r="C95" s="136">
        <v>3</v>
      </c>
      <c r="D95" s="136">
        <v>5</v>
      </c>
      <c r="E95" s="186">
        <f>SUM(D$52:D95)</f>
        <v>220</v>
      </c>
      <c r="H95" s="15"/>
      <c r="I95" s="15"/>
      <c r="J95" s="15"/>
      <c r="K95" s="15"/>
      <c r="L95" s="15"/>
      <c r="M95" s="15"/>
      <c r="N95" s="15"/>
      <c r="O95" s="137"/>
      <c r="P95" s="141"/>
      <c r="Q95" s="141"/>
      <c r="R95" s="141"/>
      <c r="S95" s="141"/>
      <c r="T95" s="141"/>
      <c r="U95" s="141"/>
      <c r="V95" s="141"/>
      <c r="W95" s="141"/>
      <c r="X95" s="141"/>
      <c r="Y95" s="141"/>
      <c r="Z95" s="196">
        <v>3</v>
      </c>
      <c r="AA95" s="196">
        <v>39</v>
      </c>
      <c r="AB95" s="14">
        <f>ROUND(INDEX(挂机升级突破!DT$6:DT$57,卡牌消耗!$AA95)*INDEX(卡牌消耗!$B$5:$F$5,卡牌消耗!$Z95)/卡牌消耗!$Q$4/AB$2,0)*AB$2</f>
        <v>0</v>
      </c>
      <c r="AC95" s="14">
        <f>ROUND(INDEX(挂机升级突破!DU$6:DU$57,卡牌消耗!$AA95)*INDEX(卡牌消耗!$B$5:$F$5,卡牌消耗!$Z95)/卡牌消耗!$Q$4/AC$2,0)*AC$2</f>
        <v>0</v>
      </c>
      <c r="AD95" s="14">
        <f>ROUND(INDEX(挂机升级突破!DV$6:DV$57,卡牌消耗!$AA95)*INDEX(卡牌消耗!$B$5:$F$5,卡牌消耗!$Z95)/卡牌消耗!$Q$4/AD$2,0)*AD$2</f>
        <v>0</v>
      </c>
      <c r="AE95" s="14">
        <f>ROUND(INDEX(挂机升级突破!DW$6:DW$57,卡牌消耗!$AA95)*INDEX(卡牌消耗!$B$5:$F$5,卡牌消耗!$Z95)/卡牌消耗!$Q$4/AE$2,0)*AE$2</f>
        <v>0</v>
      </c>
      <c r="AF95" s="14">
        <f>ROUND(INDEX(挂机升级突破!DX$6:DX$57,卡牌消耗!$AA95)*INDEX(卡牌消耗!$B$5:$F$5,卡牌消耗!$Z95)/卡牌消耗!$Q$4/AF$2,0)*AF$2</f>
        <v>10</v>
      </c>
      <c r="AG95" s="14">
        <f>ROUND(INDEX(挂机升级突破!EC$6:EC$57,卡牌消耗!$AA95)*INDEX(卡牌消耗!$B$7:$F$7,卡牌消耗!$Z95)/卡牌消耗!$Q$4/AG$2,0)*AG$2</f>
        <v>2</v>
      </c>
      <c r="AH95" s="14">
        <f>ROUND(INDEX(挂机升级突破!ED$6:ED$57,卡牌消耗!$AA95)*INDEX(卡牌消耗!$B$8:$F$8,卡牌消耗!$Z95)/卡牌消耗!$Q$4/AH$2,0)*AH$2</f>
        <v>21500</v>
      </c>
      <c r="AI95" s="194"/>
      <c r="AJ95" s="194"/>
      <c r="AK95" s="104">
        <v>91</v>
      </c>
      <c r="AL95" s="14">
        <f t="shared" si="104"/>
        <v>2</v>
      </c>
      <c r="AM95" s="14">
        <f>INDEX(挂机升级突破!DQ$6:DQ$57,卡牌消耗!$AT95)</f>
        <v>11</v>
      </c>
      <c r="AN95" s="14">
        <f>INDEX(挂机升级突破!DR$6:DR$57,卡牌消耗!$AT95)</f>
        <v>5</v>
      </c>
      <c r="AO95" s="14">
        <f>INDEX(挂机升级突破!DS$6:DS$57,卡牌消耗!$AT95)</f>
        <v>0</v>
      </c>
      <c r="AP95" s="14">
        <f>INDEX(挂机升级突破!$DP$6:$DP$57,卡牌消耗!AT95)</f>
        <v>115</v>
      </c>
      <c r="AQ95" s="14" t="str">
        <f t="shared" si="105"/>
        <v>许褚</v>
      </c>
      <c r="AR95" s="14">
        <f t="shared" si="106"/>
        <v>3</v>
      </c>
      <c r="AS95" s="14" t="str">
        <f t="shared" si="107"/>
        <v>许褚魂火-39</v>
      </c>
      <c r="AT95" s="14">
        <f t="shared" si="108"/>
        <v>39</v>
      </c>
      <c r="AU95" s="14" t="str">
        <f>IF(AM95&gt;0,INDEX(挂机升级突破!$DT$4:$ED$4,AM95),"")</f>
        <v>金币</v>
      </c>
      <c r="AV95" s="14">
        <f>ROUND(INDEX(挂机升级突破!$DJ$6:$DJ$57,卡牌消耗!AT95)*INDEX(卡牌消耗!$B$8:$F$8,AR95)/$Q$4/50,0)*50</f>
        <v>21500</v>
      </c>
      <c r="AW95" s="14" t="str">
        <f>IF(AN95&gt;0,INDEX(挂机升级突破!$DT$4:$ED$4,AN95),"")</f>
        <v>红色基础材料</v>
      </c>
      <c r="AX95" s="14">
        <f>ROUND(INDEX(挂机升级突破!$DT$6:$ED$57,卡牌消耗!AT95,AN95)*INDEX(卡牌消耗!$B$5:$F$5,AR95)/$Q$4/5,0)*5</f>
        <v>10</v>
      </c>
      <c r="AY95" s="14" t="str">
        <f>IF(AO95&gt;0,INDEX(挂机升级突破!$DT$4:$ED$4,AO95),"")</f>
        <v/>
      </c>
      <c r="AZ95" s="14" t="str">
        <f>IF(AO95&gt;0,ROUND(INDEX(挂机升级突破!$DT$6:$ED$57,卡牌消耗!AT95,AO95)*INDEX(卡牌消耗!$B$7:$F$7,AR95)/$Q$4,0),"")</f>
        <v/>
      </c>
      <c r="BA95" s="106"/>
      <c r="BB95" s="197"/>
      <c r="BC95" s="197"/>
      <c r="BD95" s="197"/>
      <c r="BE95" s="197"/>
      <c r="BF95" s="197"/>
      <c r="BG95" s="197"/>
      <c r="BH95" s="197"/>
      <c r="BI95" s="197"/>
      <c r="BJ95" s="197"/>
      <c r="BK95" s="197"/>
      <c r="BL95" s="104">
        <v>91</v>
      </c>
      <c r="BM95" s="14">
        <f t="shared" si="109"/>
        <v>5</v>
      </c>
      <c r="BN95" s="14">
        <f>INDEX(挂机升级突破!$EI$7:$EI$26,BS95)</f>
        <v>5</v>
      </c>
      <c r="BO95" s="14">
        <f>INDEX(挂机升级突破!$EJ$7:$EJ$26,BS95)</f>
        <v>2</v>
      </c>
      <c r="BP95" s="14">
        <f t="shared" si="110"/>
        <v>3</v>
      </c>
      <c r="BQ95" s="14">
        <f>INDEX(挂机升级突破!$EH$7:$EH$26,卡牌消耗!BS95)</f>
        <v>72</v>
      </c>
      <c r="BR95" s="14" t="str">
        <f t="shared" si="111"/>
        <v>李轩辕</v>
      </c>
      <c r="BS95" s="14">
        <f t="shared" si="112"/>
        <v>11</v>
      </c>
      <c r="BT95" s="14" t="str">
        <f t="shared" si="113"/>
        <v>李轩辕11突</v>
      </c>
      <c r="BU95" s="14" t="str">
        <f>IF(BN95&gt;0,INDEX(挂机升级突破!$ER$5:$EV$5,卡牌消耗!BN95),"")</f>
        <v>金币</v>
      </c>
      <c r="BV95" s="14">
        <f>IF(BN95&gt;0,ROUND(INDEX(挂机升级突破!$EV$7:$EV$26,卡牌消耗!BS95)*INDEX(卡牌消耗!$B$8:$F$8,BP95)/$Q$4/500,0)*500,"")</f>
        <v>19000</v>
      </c>
      <c r="BW95" s="14" t="str">
        <f>IF(BO95&gt;0,INDEX(挂机升级突破!$ER$5:$EV$5,卡牌消耗!BO95),"")</f>
        <v>乌金</v>
      </c>
      <c r="BX95" s="14">
        <f>IF(BO95&gt;0,ROUND(INDEX(挂机升级突破!$ER$7:$EU$26,卡牌消耗!BS95,卡牌消耗!BO95)*INDEX($B$6:$F$6,BP95)/$Q$4/5,0)*5,"")</f>
        <v>90</v>
      </c>
      <c r="BY95" s="193"/>
      <c r="BZ95" s="193"/>
      <c r="CA95" s="106"/>
      <c r="CS95" s="171"/>
      <c r="CT95" s="171"/>
      <c r="CU95" s="14">
        <f>INDEX($CP$5:$CP$32,CU94)</f>
        <v>182416</v>
      </c>
      <c r="CV95" s="169">
        <v>91</v>
      </c>
      <c r="CW95" s="169">
        <v>5.25</v>
      </c>
      <c r="CX95" s="21">
        <f t="shared" ref="CX95" si="168">CW95/$CU96</f>
        <v>0.19090909090909092</v>
      </c>
      <c r="CY95" s="169">
        <f t="shared" ref="CY95" si="169">INT($CU95*CX95/5)*5</f>
        <v>34820</v>
      </c>
      <c r="CZ95" s="169">
        <f>SUM(CY$5:CY95)</f>
        <v>1122570</v>
      </c>
      <c r="DB95" s="188">
        <f t="shared" si="116"/>
        <v>17400</v>
      </c>
      <c r="DC95" s="188">
        <f t="shared" si="116"/>
        <v>27850</v>
      </c>
      <c r="DD95" s="188">
        <f t="shared" si="116"/>
        <v>34800</v>
      </c>
      <c r="DE95" s="188">
        <f t="shared" si="116"/>
        <v>41750</v>
      </c>
      <c r="DF95" s="188">
        <f t="shared" si="116"/>
        <v>52200</v>
      </c>
      <c r="DI95" s="186">
        <v>91</v>
      </c>
      <c r="DJ95" s="14">
        <f t="shared" si="117"/>
        <v>19</v>
      </c>
      <c r="DK95" s="14">
        <f t="shared" si="99"/>
        <v>2</v>
      </c>
      <c r="DL95" s="14">
        <f t="shared" si="100"/>
        <v>1101022</v>
      </c>
      <c r="DM95" s="136" t="s">
        <v>1097</v>
      </c>
      <c r="DN95" s="14">
        <f t="shared" si="101"/>
        <v>1</v>
      </c>
      <c r="DO95" s="14" t="str">
        <f t="shared" si="102"/>
        <v>幻-1星</v>
      </c>
      <c r="DP95" s="136" t="s">
        <v>1103</v>
      </c>
      <c r="DQ95" s="14">
        <f t="shared" si="118"/>
        <v>3000</v>
      </c>
      <c r="DR95" s="14" t="str">
        <f t="shared" si="103"/>
        <v>幻碎片</v>
      </c>
      <c r="DS95" s="14">
        <f t="shared" si="119"/>
        <v>20</v>
      </c>
    </row>
    <row r="96" spans="1:123" ht="16.5" x14ac:dyDescent="0.2">
      <c r="A96" s="136">
        <v>1102018</v>
      </c>
      <c r="B96" s="136" t="s">
        <v>189</v>
      </c>
      <c r="C96" s="136">
        <v>2</v>
      </c>
      <c r="D96" s="136">
        <v>5</v>
      </c>
      <c r="E96" s="186">
        <f>SUM(D$52:D96)</f>
        <v>225</v>
      </c>
      <c r="H96" s="15"/>
      <c r="I96" s="15"/>
      <c r="J96" s="15"/>
      <c r="K96" s="15"/>
      <c r="L96" s="15"/>
      <c r="M96" s="15"/>
      <c r="N96" s="15"/>
      <c r="O96" s="137"/>
      <c r="P96" s="141"/>
      <c r="Q96" s="141"/>
      <c r="R96" s="141"/>
      <c r="S96" s="141"/>
      <c r="T96" s="141"/>
      <c r="U96" s="141"/>
      <c r="V96" s="141"/>
      <c r="W96" s="141"/>
      <c r="X96" s="141"/>
      <c r="Y96" s="141"/>
      <c r="Z96" s="196">
        <v>3</v>
      </c>
      <c r="AA96" s="196">
        <v>40</v>
      </c>
      <c r="AB96" s="14">
        <f>ROUND(INDEX(挂机升级突破!DT$6:DT$57,卡牌消耗!$AA96)*INDEX(卡牌消耗!$B$5:$F$5,卡牌消耗!$Z96)/卡牌消耗!$Q$4/AB$2,0)*AB$2</f>
        <v>0</v>
      </c>
      <c r="AC96" s="14">
        <f>ROUND(INDEX(挂机升级突破!DU$6:DU$57,卡牌消耗!$AA96)*INDEX(卡牌消耗!$B$5:$F$5,卡牌消耗!$Z96)/卡牌消耗!$Q$4/AC$2,0)*AC$2</f>
        <v>0</v>
      </c>
      <c r="AD96" s="14">
        <f>ROUND(INDEX(挂机升级突破!DV$6:DV$57,卡牌消耗!$AA96)*INDEX(卡牌消耗!$B$5:$F$5,卡牌消耗!$Z96)/卡牌消耗!$Q$4/AD$2,0)*AD$2</f>
        <v>0</v>
      </c>
      <c r="AE96" s="14">
        <f>ROUND(INDEX(挂机升级突破!DW$6:DW$57,卡牌消耗!$AA96)*INDEX(卡牌消耗!$B$5:$F$5,卡牌消耗!$Z96)/卡牌消耗!$Q$4/AE$2,0)*AE$2</f>
        <v>0</v>
      </c>
      <c r="AF96" s="14">
        <f>ROUND(INDEX(挂机升级突破!DX$6:DX$57,卡牌消耗!$AA96)*INDEX(卡牌消耗!$B$5:$F$5,卡牌消耗!$Z96)/卡牌消耗!$Q$4/AF$2,0)*AF$2</f>
        <v>10</v>
      </c>
      <c r="AG96" s="14">
        <f>ROUND(INDEX(挂机升级突破!EC$6:EC$57,卡牌消耗!$AA96)*INDEX(卡牌消耗!$B$7:$F$7,卡牌消耗!$Z96)/卡牌消耗!$Q$4/AG$2,0)*AG$2</f>
        <v>2</v>
      </c>
      <c r="AH96" s="14">
        <f>ROUND(INDEX(挂机升级突破!ED$6:ED$57,卡牌消耗!$AA96)*INDEX(卡牌消耗!$B$8:$F$8,卡牌消耗!$Z96)/卡牌消耗!$Q$4/AH$2,0)*AH$2</f>
        <v>21500</v>
      </c>
      <c r="AI96" s="194"/>
      <c r="AJ96" s="194"/>
      <c r="AK96" s="104">
        <v>92</v>
      </c>
      <c r="AL96" s="14">
        <f t="shared" si="104"/>
        <v>2</v>
      </c>
      <c r="AM96" s="14">
        <f>INDEX(挂机升级突破!DQ$6:DQ$57,卡牌消耗!$AT96)</f>
        <v>11</v>
      </c>
      <c r="AN96" s="14">
        <f>INDEX(挂机升级突破!DR$6:DR$57,卡牌消耗!$AT96)</f>
        <v>5</v>
      </c>
      <c r="AO96" s="14">
        <f>INDEX(挂机升级突破!DS$6:DS$57,卡牌消耗!$AT96)</f>
        <v>0</v>
      </c>
      <c r="AP96" s="14">
        <f>INDEX(挂机升级突破!$DP$6:$DP$57,卡牌消耗!AT96)</f>
        <v>118</v>
      </c>
      <c r="AQ96" s="14" t="str">
        <f t="shared" si="105"/>
        <v>许褚</v>
      </c>
      <c r="AR96" s="14">
        <f t="shared" si="106"/>
        <v>3</v>
      </c>
      <c r="AS96" s="14" t="str">
        <f t="shared" si="107"/>
        <v>许褚魂火-40</v>
      </c>
      <c r="AT96" s="14">
        <f t="shared" si="108"/>
        <v>40</v>
      </c>
      <c r="AU96" s="14" t="str">
        <f>IF(AM96&gt;0,INDEX(挂机升级突破!$DT$4:$ED$4,AM96),"")</f>
        <v>金币</v>
      </c>
      <c r="AV96" s="14">
        <f>ROUND(INDEX(挂机升级突破!$DJ$6:$DJ$57,卡牌消耗!AT96)*INDEX(卡牌消耗!$B$8:$F$8,AR96)/$Q$4/50,0)*50</f>
        <v>21500</v>
      </c>
      <c r="AW96" s="14" t="str">
        <f>IF(AN96&gt;0,INDEX(挂机升级突破!$DT$4:$ED$4,AN96),"")</f>
        <v>红色基础材料</v>
      </c>
      <c r="AX96" s="14">
        <f>ROUND(INDEX(挂机升级突破!$DT$6:$ED$57,卡牌消耗!AT96,AN96)*INDEX(卡牌消耗!$B$5:$F$5,AR96)/$Q$4/5,0)*5</f>
        <v>10</v>
      </c>
      <c r="AY96" s="14" t="str">
        <f>IF(AO96&gt;0,INDEX(挂机升级突破!$DT$4:$ED$4,AO96),"")</f>
        <v/>
      </c>
      <c r="AZ96" s="14" t="str">
        <f>IF(AO96&gt;0,ROUND(INDEX(挂机升级突破!$DT$6:$ED$57,卡牌消耗!AT96,AO96)*INDEX(卡牌消耗!$B$7:$F$7,AR96)/$Q$4,0),"")</f>
        <v/>
      </c>
      <c r="BA96" s="106"/>
      <c r="BB96" s="197"/>
      <c r="BC96" s="197"/>
      <c r="BD96" s="197"/>
      <c r="BE96" s="197"/>
      <c r="BF96" s="197"/>
      <c r="BG96" s="197"/>
      <c r="BH96" s="197"/>
      <c r="BI96" s="197"/>
      <c r="BJ96" s="197"/>
      <c r="BK96" s="197"/>
      <c r="BL96" s="104">
        <v>92</v>
      </c>
      <c r="BM96" s="14">
        <f t="shared" si="109"/>
        <v>5</v>
      </c>
      <c r="BN96" s="14">
        <f>INDEX(挂机升级突破!$EI$7:$EI$26,BS96)</f>
        <v>5</v>
      </c>
      <c r="BO96" s="14">
        <f>INDEX(挂机升级突破!$EJ$7:$EJ$26,BS96)</f>
        <v>2</v>
      </c>
      <c r="BP96" s="14">
        <f t="shared" si="110"/>
        <v>3</v>
      </c>
      <c r="BQ96" s="14">
        <f>INDEX(挂机升级突破!$EH$7:$EH$26,卡牌消耗!BS96)</f>
        <v>80</v>
      </c>
      <c r="BR96" s="14" t="str">
        <f t="shared" si="111"/>
        <v>李轩辕</v>
      </c>
      <c r="BS96" s="14">
        <f t="shared" si="112"/>
        <v>12</v>
      </c>
      <c r="BT96" s="14" t="str">
        <f t="shared" si="113"/>
        <v>李轩辕12突</v>
      </c>
      <c r="BU96" s="14" t="str">
        <f>IF(BN96&gt;0,INDEX(挂机升级突破!$ER$5:$EV$5,卡牌消耗!BN96),"")</f>
        <v>金币</v>
      </c>
      <c r="BV96" s="14">
        <f>IF(BN96&gt;0,ROUND(INDEX(挂机升级突破!$EV$7:$EV$26,卡牌消耗!BS96)*INDEX(卡牌消耗!$B$8:$F$8,BP96)/$Q$4/500,0)*500,"")</f>
        <v>25000</v>
      </c>
      <c r="BW96" s="14" t="str">
        <f>IF(BO96&gt;0,INDEX(挂机升级突破!$ER$5:$EV$5,卡牌消耗!BO96),"")</f>
        <v>乌金</v>
      </c>
      <c r="BX96" s="14">
        <f>IF(BO96&gt;0,ROUND(INDEX(挂机升级突破!$ER$7:$EU$26,卡牌消耗!BS96,卡牌消耗!BO96)*INDEX($B$6:$F$6,BP96)/$Q$4/5,0)*5,"")</f>
        <v>120</v>
      </c>
      <c r="BY96" s="193"/>
      <c r="BZ96" s="193"/>
      <c r="CA96" s="106"/>
      <c r="CS96" s="171"/>
      <c r="CT96" s="170"/>
      <c r="CU96" s="14">
        <f>SUMIFS($CW$5:$CW$154,$CV$5:$CV$154,"&gt;="&amp;INDEX($CE$5:$CE$32,CU94),$CV$5:$CV$154,"&lt;"&amp;INDEX($CF$5:$CF$32,CU94))</f>
        <v>27.5</v>
      </c>
      <c r="CV96" s="169">
        <v>92</v>
      </c>
      <c r="CW96" s="169">
        <v>5.5</v>
      </c>
      <c r="CX96" s="21">
        <f t="shared" ref="CX96" si="170">CW96/$CU96</f>
        <v>0.2</v>
      </c>
      <c r="CY96" s="169">
        <f t="shared" ref="CY96" si="171">INT($CU95*CX96/5)*5</f>
        <v>36480</v>
      </c>
      <c r="CZ96" s="169">
        <f>SUM(CY$5:CY96)</f>
        <v>1159050</v>
      </c>
      <c r="DB96" s="188">
        <f t="shared" si="116"/>
        <v>18200</v>
      </c>
      <c r="DC96" s="188">
        <f t="shared" si="116"/>
        <v>29150</v>
      </c>
      <c r="DD96" s="188">
        <f t="shared" si="116"/>
        <v>36450</v>
      </c>
      <c r="DE96" s="188">
        <f t="shared" si="116"/>
        <v>43750</v>
      </c>
      <c r="DF96" s="188">
        <f t="shared" si="116"/>
        <v>54700</v>
      </c>
      <c r="DI96" s="186">
        <v>92</v>
      </c>
      <c r="DJ96" s="14">
        <f t="shared" si="117"/>
        <v>19</v>
      </c>
      <c r="DK96" s="14">
        <f t="shared" si="99"/>
        <v>2</v>
      </c>
      <c r="DL96" s="14">
        <f t="shared" si="100"/>
        <v>1101022</v>
      </c>
      <c r="DM96" s="136" t="s">
        <v>1097</v>
      </c>
      <c r="DN96" s="14">
        <f t="shared" si="101"/>
        <v>2</v>
      </c>
      <c r="DO96" s="14" t="str">
        <f t="shared" si="102"/>
        <v>幻-2星</v>
      </c>
      <c r="DP96" s="136" t="s">
        <v>1103</v>
      </c>
      <c r="DQ96" s="14">
        <f t="shared" si="118"/>
        <v>3500</v>
      </c>
      <c r="DR96" s="14" t="str">
        <f t="shared" si="103"/>
        <v>幻碎片</v>
      </c>
      <c r="DS96" s="14">
        <f t="shared" si="119"/>
        <v>20</v>
      </c>
    </row>
    <row r="97" spans="1:123" ht="16.5" x14ac:dyDescent="0.2">
      <c r="A97" s="136">
        <v>1102019</v>
      </c>
      <c r="B97" s="136" t="s">
        <v>190</v>
      </c>
      <c r="C97" s="136">
        <v>2</v>
      </c>
      <c r="D97" s="136">
        <v>5</v>
      </c>
      <c r="E97" s="186">
        <f>SUM(D$52:D97)</f>
        <v>230</v>
      </c>
      <c r="H97" s="15"/>
      <c r="I97" s="15"/>
      <c r="J97" s="15"/>
      <c r="K97" s="15"/>
      <c r="L97" s="15"/>
      <c r="M97" s="15"/>
      <c r="N97" s="15"/>
      <c r="O97" s="137"/>
      <c r="P97" s="141"/>
      <c r="Q97" s="141"/>
      <c r="R97" s="141"/>
      <c r="S97" s="141"/>
      <c r="T97" s="141"/>
      <c r="U97" s="141"/>
      <c r="V97" s="141"/>
      <c r="W97" s="141"/>
      <c r="X97" s="141"/>
      <c r="Y97" s="141"/>
      <c r="Z97" s="196">
        <v>3</v>
      </c>
      <c r="AA97" s="196">
        <v>41</v>
      </c>
      <c r="AB97" s="14">
        <f>ROUND(INDEX(挂机升级突破!DT$6:DT$57,卡牌消耗!$AA97)*INDEX(卡牌消耗!$B$5:$F$5,卡牌消耗!$Z97)/卡牌消耗!$Q$4/AB$2,0)*AB$2</f>
        <v>0</v>
      </c>
      <c r="AC97" s="14">
        <f>ROUND(INDEX(挂机升级突破!DU$6:DU$57,卡牌消耗!$AA97)*INDEX(卡牌消耗!$B$5:$F$5,卡牌消耗!$Z97)/卡牌消耗!$Q$4/AC$2,0)*AC$2</f>
        <v>0</v>
      </c>
      <c r="AD97" s="14">
        <f>ROUND(INDEX(挂机升级突破!DV$6:DV$57,卡牌消耗!$AA97)*INDEX(卡牌消耗!$B$5:$F$5,卡牌消耗!$Z97)/卡牌消耗!$Q$4/AD$2,0)*AD$2</f>
        <v>0</v>
      </c>
      <c r="AE97" s="14">
        <f>ROUND(INDEX(挂机升级突破!DW$6:DW$57,卡牌消耗!$AA97)*INDEX(卡牌消耗!$B$5:$F$5,卡牌消耗!$Z97)/卡牌消耗!$Q$4/AE$2,0)*AE$2</f>
        <v>0</v>
      </c>
      <c r="AF97" s="14">
        <f>ROUND(INDEX(挂机升级突破!DX$6:DX$57,卡牌消耗!$AA97)*INDEX(卡牌消耗!$B$5:$F$5,卡牌消耗!$Z97)/卡牌消耗!$Q$4/AF$2,0)*AF$2</f>
        <v>10</v>
      </c>
      <c r="AG97" s="14">
        <f>ROUND(INDEX(挂机升级突破!EC$6:EC$57,卡牌消耗!$AA97)*INDEX(卡牌消耗!$B$7:$F$7,卡牌消耗!$Z97)/卡牌消耗!$Q$4/AG$2,0)*AG$2</f>
        <v>2</v>
      </c>
      <c r="AH97" s="14">
        <f>ROUND(INDEX(挂机升级突破!ED$6:ED$57,卡牌消耗!$AA97)*INDEX(卡牌消耗!$B$8:$F$8,卡牌消耗!$Z97)/卡牌消耗!$Q$4/AH$2,0)*AH$2</f>
        <v>29550</v>
      </c>
      <c r="AI97" s="194"/>
      <c r="AJ97" s="194"/>
      <c r="AK97" s="104">
        <v>93</v>
      </c>
      <c r="AL97" s="14">
        <f t="shared" si="104"/>
        <v>2</v>
      </c>
      <c r="AM97" s="14">
        <f>INDEX(挂机升级突破!DQ$6:DQ$57,卡牌消耗!$AT97)</f>
        <v>11</v>
      </c>
      <c r="AN97" s="14">
        <f>INDEX(挂机升级突破!DR$6:DR$57,卡牌消耗!$AT97)</f>
        <v>5</v>
      </c>
      <c r="AO97" s="14">
        <f>INDEX(挂机升级突破!DS$6:DS$57,卡牌消耗!$AT97)</f>
        <v>10</v>
      </c>
      <c r="AP97" s="14">
        <f>INDEX(挂机升级突破!$DP$6:$DP$57,卡牌消耗!AT97)</f>
        <v>120</v>
      </c>
      <c r="AQ97" s="14" t="str">
        <f t="shared" si="105"/>
        <v>许褚</v>
      </c>
      <c r="AR97" s="14">
        <f t="shared" si="106"/>
        <v>3</v>
      </c>
      <c r="AS97" s="14" t="str">
        <f t="shared" si="107"/>
        <v>许褚魂火-41</v>
      </c>
      <c r="AT97" s="14">
        <f t="shared" si="108"/>
        <v>41</v>
      </c>
      <c r="AU97" s="14" t="str">
        <f>IF(AM97&gt;0,INDEX(挂机升级突破!$DT$4:$ED$4,AM97),"")</f>
        <v>金币</v>
      </c>
      <c r="AV97" s="14">
        <f>ROUND(INDEX(挂机升级突破!$DJ$6:$DJ$57,卡牌消耗!AT97)*INDEX(卡牌消耗!$B$8:$F$8,AR97)/$Q$4/50,0)*50</f>
        <v>29550</v>
      </c>
      <c r="AW97" s="14" t="str">
        <f>IF(AN97&gt;0,INDEX(挂机升级突破!$DT$4:$ED$4,AN97),"")</f>
        <v>红色基础材料</v>
      </c>
      <c r="AX97" s="14">
        <f>ROUND(INDEX(挂机升级突破!$DT$6:$ED$57,卡牌消耗!AT97,AN97)*INDEX(卡牌消耗!$B$5:$F$5,AR97)/$Q$4/5,0)*5</f>
        <v>10</v>
      </c>
      <c r="AY97" s="14" t="str">
        <f>IF(AO97&gt;0,INDEX(挂机升级突破!$DT$4:$ED$4,AO97),"")</f>
        <v>灵玉</v>
      </c>
      <c r="AZ97" s="14">
        <f>IF(AO97&gt;0,ROUND(INDEX(挂机升级突破!$DT$6:$ED$57,卡牌消耗!AT97,AO97)*INDEX(卡牌消耗!$B$7:$F$7,AR97)/$Q$4,0),"")</f>
        <v>2</v>
      </c>
      <c r="BA97" s="106"/>
      <c r="BB97" s="197"/>
      <c r="BC97" s="197"/>
      <c r="BD97" s="197"/>
      <c r="BE97" s="197"/>
      <c r="BF97" s="197"/>
      <c r="BG97" s="197"/>
      <c r="BH97" s="197"/>
      <c r="BI97" s="197"/>
      <c r="BJ97" s="197"/>
      <c r="BK97" s="197"/>
      <c r="BL97" s="104">
        <v>93</v>
      </c>
      <c r="BM97" s="14">
        <f t="shared" si="109"/>
        <v>5</v>
      </c>
      <c r="BN97" s="14">
        <f>INDEX(挂机升级突破!$EI$7:$EI$26,BS97)</f>
        <v>5</v>
      </c>
      <c r="BO97" s="14">
        <f>INDEX(挂机升级突破!$EJ$7:$EJ$26,BS97)</f>
        <v>3</v>
      </c>
      <c r="BP97" s="14">
        <f t="shared" si="110"/>
        <v>3</v>
      </c>
      <c r="BQ97" s="14">
        <f>INDEX(挂机升级突破!$EH$7:$EH$26,卡牌消耗!BS97)</f>
        <v>87</v>
      </c>
      <c r="BR97" s="14" t="str">
        <f t="shared" si="111"/>
        <v>李轩辕</v>
      </c>
      <c r="BS97" s="14">
        <f t="shared" si="112"/>
        <v>13</v>
      </c>
      <c r="BT97" s="14" t="str">
        <f t="shared" si="113"/>
        <v>李轩辕13突</v>
      </c>
      <c r="BU97" s="14" t="str">
        <f>IF(BN97&gt;0,INDEX(挂机升级突破!$ER$5:$EV$5,卡牌消耗!BN97),"")</f>
        <v>金币</v>
      </c>
      <c r="BV97" s="14">
        <f>IF(BN97&gt;0,ROUND(INDEX(挂机升级突破!$EV$7:$EV$26,卡牌消耗!BS97)*INDEX(卡牌消耗!$B$8:$F$8,BP97)/$Q$4/500,0)*500,"")</f>
        <v>33500</v>
      </c>
      <c r="BW97" s="14" t="str">
        <f>IF(BO97&gt;0,INDEX(挂机升级突破!$ER$5:$EV$5,卡牌消耗!BO97),"")</f>
        <v>银母</v>
      </c>
      <c r="BX97" s="14">
        <f>IF(BO97&gt;0,ROUND(INDEX(挂机升级突破!$ER$7:$EU$26,卡牌消耗!BS97,卡牌消耗!BO97)*INDEX($B$6:$F$6,BP97)/$Q$4/5,0)*5,"")</f>
        <v>40</v>
      </c>
      <c r="BY97" s="193"/>
      <c r="BZ97" s="193"/>
      <c r="CA97" s="106"/>
      <c r="CS97" s="171"/>
      <c r="CT97" s="171"/>
      <c r="CU97" s="171"/>
      <c r="CV97" s="169">
        <v>93</v>
      </c>
      <c r="CW97" s="169">
        <v>5.75</v>
      </c>
      <c r="CX97" s="21">
        <f t="shared" ref="CX97" si="172">CW97/$CU96</f>
        <v>0.20909090909090908</v>
      </c>
      <c r="CY97" s="169">
        <f t="shared" ref="CY97" si="173">INT($CU95*CX97/5)*5</f>
        <v>38140</v>
      </c>
      <c r="CZ97" s="169">
        <f>SUM(CY$5:CY97)</f>
        <v>1197190</v>
      </c>
      <c r="DB97" s="188">
        <f t="shared" si="116"/>
        <v>19050</v>
      </c>
      <c r="DC97" s="188">
        <f t="shared" si="116"/>
        <v>30500</v>
      </c>
      <c r="DD97" s="188">
        <f t="shared" si="116"/>
        <v>38100</v>
      </c>
      <c r="DE97" s="188">
        <f t="shared" si="116"/>
        <v>45750</v>
      </c>
      <c r="DF97" s="188">
        <f t="shared" si="116"/>
        <v>57200</v>
      </c>
      <c r="DI97" s="186">
        <v>93</v>
      </c>
      <c r="DJ97" s="14">
        <f t="shared" si="117"/>
        <v>19</v>
      </c>
      <c r="DK97" s="14">
        <f t="shared" si="99"/>
        <v>2</v>
      </c>
      <c r="DL97" s="14">
        <f t="shared" si="100"/>
        <v>1101022</v>
      </c>
      <c r="DM97" s="136" t="s">
        <v>1097</v>
      </c>
      <c r="DN97" s="14">
        <f t="shared" si="101"/>
        <v>3</v>
      </c>
      <c r="DO97" s="14" t="str">
        <f t="shared" si="102"/>
        <v>幻-3星</v>
      </c>
      <c r="DP97" s="136" t="s">
        <v>1103</v>
      </c>
      <c r="DQ97" s="14">
        <f t="shared" si="118"/>
        <v>7000</v>
      </c>
      <c r="DR97" s="14" t="str">
        <f t="shared" si="103"/>
        <v>幻碎片</v>
      </c>
      <c r="DS97" s="14">
        <f t="shared" si="119"/>
        <v>20</v>
      </c>
    </row>
    <row r="98" spans="1:123" ht="16.5" x14ac:dyDescent="0.2">
      <c r="A98" s="136">
        <v>1102020</v>
      </c>
      <c r="B98" s="136" t="s">
        <v>191</v>
      </c>
      <c r="C98" s="136">
        <v>3</v>
      </c>
      <c r="D98" s="136">
        <v>5</v>
      </c>
      <c r="E98" s="186">
        <f>SUM(D$52:D98)</f>
        <v>235</v>
      </c>
      <c r="H98" s="15"/>
      <c r="I98" s="15"/>
      <c r="J98" s="15"/>
      <c r="K98" s="15"/>
      <c r="L98" s="15"/>
      <c r="M98" s="15"/>
      <c r="N98" s="15"/>
      <c r="O98" s="137"/>
      <c r="P98" s="141"/>
      <c r="Q98" s="141"/>
      <c r="R98" s="141"/>
      <c r="S98" s="141"/>
      <c r="T98" s="141"/>
      <c r="U98" s="141"/>
      <c r="V98" s="141"/>
      <c r="W98" s="141"/>
      <c r="X98" s="141"/>
      <c r="Y98" s="141"/>
      <c r="Z98" s="196">
        <v>3</v>
      </c>
      <c r="AA98" s="196">
        <v>42</v>
      </c>
      <c r="AB98" s="14">
        <f>ROUND(INDEX(挂机升级突破!DT$6:DT$57,卡牌消耗!$AA98)*INDEX(卡牌消耗!$B$5:$F$5,卡牌消耗!$Z98)/卡牌消耗!$Q$4/AB$2,0)*AB$2</f>
        <v>0</v>
      </c>
      <c r="AC98" s="14">
        <f>ROUND(INDEX(挂机升级突破!DU$6:DU$57,卡牌消耗!$AA98)*INDEX(卡牌消耗!$B$5:$F$5,卡牌消耗!$Z98)/卡牌消耗!$Q$4/AC$2,0)*AC$2</f>
        <v>0</v>
      </c>
      <c r="AD98" s="14">
        <f>ROUND(INDEX(挂机升级突破!DV$6:DV$57,卡牌消耗!$AA98)*INDEX(卡牌消耗!$B$5:$F$5,卡牌消耗!$Z98)/卡牌消耗!$Q$4/AD$2,0)*AD$2</f>
        <v>0</v>
      </c>
      <c r="AE98" s="14">
        <f>ROUND(INDEX(挂机升级突破!DW$6:DW$57,卡牌消耗!$AA98)*INDEX(卡牌消耗!$B$5:$F$5,卡牌消耗!$Z98)/卡牌消耗!$Q$4/AE$2,0)*AE$2</f>
        <v>0</v>
      </c>
      <c r="AF98" s="14">
        <f>ROUND(INDEX(挂机升级突破!DX$6:DX$57,卡牌消耗!$AA98)*INDEX(卡牌消耗!$B$5:$F$5,卡牌消耗!$Z98)/卡牌消耗!$Q$4/AF$2,0)*AF$2</f>
        <v>10</v>
      </c>
      <c r="AG98" s="14">
        <f>ROUND(INDEX(挂机升级突破!EC$6:EC$57,卡牌消耗!$AA98)*INDEX(卡牌消耗!$B$7:$F$7,卡牌消耗!$Z98)/卡牌消耗!$Q$4/AG$2,0)*AG$2</f>
        <v>2</v>
      </c>
      <c r="AH98" s="14">
        <f>ROUND(INDEX(挂机升级突破!ED$6:ED$57,卡牌消耗!$AA98)*INDEX(卡牌消耗!$B$8:$F$8,卡牌消耗!$Z98)/卡牌消耗!$Q$4/AH$2,0)*AH$2</f>
        <v>29550</v>
      </c>
      <c r="AI98" s="194"/>
      <c r="AJ98" s="194"/>
      <c r="AK98" s="104">
        <v>94</v>
      </c>
      <c r="AL98" s="14">
        <f t="shared" si="104"/>
        <v>2</v>
      </c>
      <c r="AM98" s="14">
        <f>INDEX(挂机升级突破!DQ$6:DQ$57,卡牌消耗!$AT98)</f>
        <v>11</v>
      </c>
      <c r="AN98" s="14">
        <f>INDEX(挂机升级突破!DR$6:DR$57,卡牌消耗!$AT98)</f>
        <v>5</v>
      </c>
      <c r="AO98" s="14">
        <f>INDEX(挂机升级突破!DS$6:DS$57,卡牌消耗!$AT98)</f>
        <v>10</v>
      </c>
      <c r="AP98" s="14">
        <f>INDEX(挂机升级突破!$DP$6:$DP$57,卡牌消耗!AT98)</f>
        <v>123</v>
      </c>
      <c r="AQ98" s="14" t="str">
        <f t="shared" si="105"/>
        <v>许褚</v>
      </c>
      <c r="AR98" s="14">
        <f t="shared" si="106"/>
        <v>3</v>
      </c>
      <c r="AS98" s="14" t="str">
        <f t="shared" si="107"/>
        <v>许褚魂火-42</v>
      </c>
      <c r="AT98" s="14">
        <f t="shared" si="108"/>
        <v>42</v>
      </c>
      <c r="AU98" s="14" t="str">
        <f>IF(AM98&gt;0,INDEX(挂机升级突破!$DT$4:$ED$4,AM98),"")</f>
        <v>金币</v>
      </c>
      <c r="AV98" s="14">
        <f>ROUND(INDEX(挂机升级突破!$DJ$6:$DJ$57,卡牌消耗!AT98)*INDEX(卡牌消耗!$B$8:$F$8,AR98)/$Q$4/50,0)*50</f>
        <v>29550</v>
      </c>
      <c r="AW98" s="14" t="str">
        <f>IF(AN98&gt;0,INDEX(挂机升级突破!$DT$4:$ED$4,AN98),"")</f>
        <v>红色基础材料</v>
      </c>
      <c r="AX98" s="14">
        <f>ROUND(INDEX(挂机升级突破!$DT$6:$ED$57,卡牌消耗!AT98,AN98)*INDEX(卡牌消耗!$B$5:$F$5,AR98)/$Q$4/5,0)*5</f>
        <v>10</v>
      </c>
      <c r="AY98" s="14" t="str">
        <f>IF(AO98&gt;0,INDEX(挂机升级突破!$DT$4:$ED$4,AO98),"")</f>
        <v>灵玉</v>
      </c>
      <c r="AZ98" s="14">
        <f>IF(AO98&gt;0,ROUND(INDEX(挂机升级突破!$DT$6:$ED$57,卡牌消耗!AT98,AO98)*INDEX(卡牌消耗!$B$7:$F$7,AR98)/$Q$4,0),"")</f>
        <v>2</v>
      </c>
      <c r="BA98" s="106"/>
      <c r="BB98" s="197"/>
      <c r="BC98" s="197"/>
      <c r="BD98" s="197"/>
      <c r="BE98" s="197"/>
      <c r="BF98" s="197"/>
      <c r="BG98" s="197"/>
      <c r="BH98" s="197"/>
      <c r="BI98" s="197"/>
      <c r="BJ98" s="197"/>
      <c r="BK98" s="197"/>
      <c r="BL98" s="104">
        <v>94</v>
      </c>
      <c r="BM98" s="14">
        <f t="shared" si="109"/>
        <v>5</v>
      </c>
      <c r="BN98" s="14">
        <f>INDEX(挂机升级突破!$EI$7:$EI$26,BS98)</f>
        <v>5</v>
      </c>
      <c r="BO98" s="14">
        <f>INDEX(挂机升级突破!$EJ$7:$EJ$26,BS98)</f>
        <v>3</v>
      </c>
      <c r="BP98" s="14">
        <f t="shared" si="110"/>
        <v>3</v>
      </c>
      <c r="BQ98" s="14">
        <f>INDEX(挂机升级突破!$EH$7:$EH$26,卡牌消耗!BS98)</f>
        <v>95</v>
      </c>
      <c r="BR98" s="14" t="str">
        <f t="shared" si="111"/>
        <v>李轩辕</v>
      </c>
      <c r="BS98" s="14">
        <f t="shared" si="112"/>
        <v>14</v>
      </c>
      <c r="BT98" s="14" t="str">
        <f t="shared" si="113"/>
        <v>李轩辕14突</v>
      </c>
      <c r="BU98" s="14" t="str">
        <f>IF(BN98&gt;0,INDEX(挂机升级突破!$ER$5:$EV$5,卡牌消耗!BN98),"")</f>
        <v>金币</v>
      </c>
      <c r="BV98" s="14">
        <f>IF(BN98&gt;0,ROUND(INDEX(挂机升级突破!$EV$7:$EV$26,卡牌消耗!BS98)*INDEX(卡牌消耗!$B$8:$F$8,BP98)/$Q$4/500,0)*500,"")</f>
        <v>33500</v>
      </c>
      <c r="BW98" s="14" t="str">
        <f>IF(BO98&gt;0,INDEX(挂机升级突破!$ER$5:$EV$5,卡牌消耗!BO98),"")</f>
        <v>银母</v>
      </c>
      <c r="BX98" s="14">
        <f>IF(BO98&gt;0,ROUND(INDEX(挂机升级突破!$ER$7:$EU$26,卡牌消耗!BS98,卡牌消耗!BO98)*INDEX($B$6:$F$6,BP98)/$Q$4/5,0)*5,"")</f>
        <v>55</v>
      </c>
      <c r="BY98" s="193"/>
      <c r="BZ98" s="193"/>
      <c r="CA98" s="106"/>
      <c r="CS98" s="171"/>
      <c r="CT98" s="171"/>
      <c r="CU98" s="171"/>
      <c r="CV98" s="169">
        <v>94</v>
      </c>
      <c r="CW98" s="169">
        <v>6</v>
      </c>
      <c r="CX98" s="21">
        <f t="shared" ref="CX98" si="174">CW98/$CU96</f>
        <v>0.21818181818181817</v>
      </c>
      <c r="CY98" s="169">
        <f t="shared" ref="CY98" si="175">INT($CU95*CX98/5)*5</f>
        <v>39795</v>
      </c>
      <c r="CZ98" s="169">
        <f>SUM(CY$5:CY98)</f>
        <v>1236985</v>
      </c>
      <c r="DB98" s="188">
        <f t="shared" si="116"/>
        <v>19850</v>
      </c>
      <c r="DC98" s="188">
        <f t="shared" si="116"/>
        <v>31800</v>
      </c>
      <c r="DD98" s="188">
        <f t="shared" si="116"/>
        <v>39750</v>
      </c>
      <c r="DE98" s="188">
        <f t="shared" si="116"/>
        <v>47750</v>
      </c>
      <c r="DF98" s="188">
        <f t="shared" si="116"/>
        <v>59650</v>
      </c>
      <c r="DI98" s="186">
        <v>94</v>
      </c>
      <c r="DJ98" s="14">
        <f t="shared" si="117"/>
        <v>19</v>
      </c>
      <c r="DK98" s="14">
        <f t="shared" si="99"/>
        <v>2</v>
      </c>
      <c r="DL98" s="14">
        <f t="shared" si="100"/>
        <v>1101022</v>
      </c>
      <c r="DM98" s="136" t="s">
        <v>1097</v>
      </c>
      <c r="DN98" s="14">
        <f t="shared" si="101"/>
        <v>4</v>
      </c>
      <c r="DO98" s="14" t="str">
        <f t="shared" si="102"/>
        <v>幻-4星</v>
      </c>
      <c r="DP98" s="136" t="s">
        <v>1103</v>
      </c>
      <c r="DQ98" s="14">
        <f t="shared" si="118"/>
        <v>16000</v>
      </c>
      <c r="DR98" s="14" t="str">
        <f t="shared" si="103"/>
        <v>幻碎片</v>
      </c>
      <c r="DS98" s="14">
        <f t="shared" si="119"/>
        <v>20</v>
      </c>
    </row>
    <row r="99" spans="1:123" ht="16.5" x14ac:dyDescent="0.2">
      <c r="A99" s="136">
        <v>1102021</v>
      </c>
      <c r="B99" s="136" t="s">
        <v>192</v>
      </c>
      <c r="C99" s="136">
        <v>3</v>
      </c>
      <c r="D99" s="136">
        <v>5</v>
      </c>
      <c r="E99" s="186">
        <f>SUM(D$52:D99)</f>
        <v>240</v>
      </c>
      <c r="H99" s="15"/>
      <c r="I99" s="15"/>
      <c r="J99" s="15"/>
      <c r="K99" s="15"/>
      <c r="L99" s="15"/>
      <c r="M99" s="15"/>
      <c r="N99" s="15"/>
      <c r="O99" s="137"/>
      <c r="P99" s="141"/>
      <c r="Q99" s="141"/>
      <c r="R99" s="141"/>
      <c r="S99" s="141"/>
      <c r="T99" s="141"/>
      <c r="U99" s="141"/>
      <c r="V99" s="141"/>
      <c r="W99" s="141"/>
      <c r="X99" s="141"/>
      <c r="Y99" s="141"/>
      <c r="Z99" s="196">
        <v>3</v>
      </c>
      <c r="AA99" s="196">
        <v>43</v>
      </c>
      <c r="AB99" s="14">
        <f>ROUND(INDEX(挂机升级突破!DT$6:DT$57,卡牌消耗!$AA99)*INDEX(卡牌消耗!$B$5:$F$5,卡牌消耗!$Z99)/卡牌消耗!$Q$4/AB$2,0)*AB$2</f>
        <v>0</v>
      </c>
      <c r="AC99" s="14">
        <f>ROUND(INDEX(挂机升级突破!DU$6:DU$57,卡牌消耗!$AA99)*INDEX(卡牌消耗!$B$5:$F$5,卡牌消耗!$Z99)/卡牌消耗!$Q$4/AC$2,0)*AC$2</f>
        <v>0</v>
      </c>
      <c r="AD99" s="14">
        <f>ROUND(INDEX(挂机升级突破!DV$6:DV$57,卡牌消耗!$AA99)*INDEX(卡牌消耗!$B$5:$F$5,卡牌消耗!$Z99)/卡牌消耗!$Q$4/AD$2,0)*AD$2</f>
        <v>0</v>
      </c>
      <c r="AE99" s="14">
        <f>ROUND(INDEX(挂机升级突破!DW$6:DW$57,卡牌消耗!$AA99)*INDEX(卡牌消耗!$B$5:$F$5,卡牌消耗!$Z99)/卡牌消耗!$Q$4/AE$2,0)*AE$2</f>
        <v>0</v>
      </c>
      <c r="AF99" s="14">
        <f>ROUND(INDEX(挂机升级突破!DX$6:DX$57,卡牌消耗!$AA99)*INDEX(卡牌消耗!$B$5:$F$5,卡牌消耗!$Z99)/卡牌消耗!$Q$4/AF$2,0)*AF$2</f>
        <v>10</v>
      </c>
      <c r="AG99" s="14">
        <f>ROUND(INDEX(挂机升级突破!EC$6:EC$57,卡牌消耗!$AA99)*INDEX(卡牌消耗!$B$7:$F$7,卡牌消耗!$Z99)/卡牌消耗!$Q$4/AG$2,0)*AG$2</f>
        <v>2</v>
      </c>
      <c r="AH99" s="14">
        <f>ROUND(INDEX(挂机升级突破!ED$6:ED$57,卡牌消耗!$AA99)*INDEX(卡牌消耗!$B$8:$F$8,卡牌消耗!$Z99)/卡牌消耗!$Q$4/AH$2,0)*AH$2</f>
        <v>29550</v>
      </c>
      <c r="AI99" s="194"/>
      <c r="AJ99" s="194"/>
      <c r="AK99" s="104">
        <v>95</v>
      </c>
      <c r="AL99" s="14">
        <f t="shared" si="104"/>
        <v>2</v>
      </c>
      <c r="AM99" s="14">
        <f>INDEX(挂机升级突破!DQ$6:DQ$57,卡牌消耗!$AT99)</f>
        <v>11</v>
      </c>
      <c r="AN99" s="14">
        <f>INDEX(挂机升级突破!DR$6:DR$57,卡牌消耗!$AT99)</f>
        <v>5</v>
      </c>
      <c r="AO99" s="14">
        <f>INDEX(挂机升级突破!DS$6:DS$57,卡牌消耗!$AT99)</f>
        <v>10</v>
      </c>
      <c r="AP99" s="14">
        <f>INDEX(挂机升级突破!$DP$6:$DP$57,卡牌消耗!AT99)</f>
        <v>125</v>
      </c>
      <c r="AQ99" s="14" t="str">
        <f t="shared" si="105"/>
        <v>许褚</v>
      </c>
      <c r="AR99" s="14">
        <f t="shared" si="106"/>
        <v>3</v>
      </c>
      <c r="AS99" s="14" t="str">
        <f t="shared" si="107"/>
        <v>许褚魂火-43</v>
      </c>
      <c r="AT99" s="14">
        <f t="shared" si="108"/>
        <v>43</v>
      </c>
      <c r="AU99" s="14" t="str">
        <f>IF(AM99&gt;0,INDEX(挂机升级突破!$DT$4:$ED$4,AM99),"")</f>
        <v>金币</v>
      </c>
      <c r="AV99" s="14">
        <f>ROUND(INDEX(挂机升级突破!$DJ$6:$DJ$57,卡牌消耗!AT99)*INDEX(卡牌消耗!$B$8:$F$8,AR99)/$Q$4/50,0)*50</f>
        <v>29550</v>
      </c>
      <c r="AW99" s="14" t="str">
        <f>IF(AN99&gt;0,INDEX(挂机升级突破!$DT$4:$ED$4,AN99),"")</f>
        <v>红色基础材料</v>
      </c>
      <c r="AX99" s="14">
        <f>ROUND(INDEX(挂机升级突破!$DT$6:$ED$57,卡牌消耗!AT99,AN99)*INDEX(卡牌消耗!$B$5:$F$5,AR99)/$Q$4/5,0)*5</f>
        <v>10</v>
      </c>
      <c r="AY99" s="14" t="str">
        <f>IF(AO99&gt;0,INDEX(挂机升级突破!$DT$4:$ED$4,AO99),"")</f>
        <v>灵玉</v>
      </c>
      <c r="AZ99" s="14">
        <f>IF(AO99&gt;0,ROUND(INDEX(挂机升级突破!$DT$6:$ED$57,卡牌消耗!AT99,AO99)*INDEX(卡牌消耗!$B$7:$F$7,AR99)/$Q$4,0),"")</f>
        <v>2</v>
      </c>
      <c r="BA99" s="106"/>
      <c r="BB99" s="197"/>
      <c r="BC99" s="197"/>
      <c r="BD99" s="197"/>
      <c r="BE99" s="197"/>
      <c r="BF99" s="197"/>
      <c r="BG99" s="197"/>
      <c r="BH99" s="197"/>
      <c r="BI99" s="197"/>
      <c r="BJ99" s="197"/>
      <c r="BK99" s="197"/>
      <c r="BL99" s="104">
        <v>95</v>
      </c>
      <c r="BM99" s="14">
        <f t="shared" si="109"/>
        <v>5</v>
      </c>
      <c r="BN99" s="14">
        <f>INDEX(挂机升级突破!$EI$7:$EI$26,BS99)</f>
        <v>5</v>
      </c>
      <c r="BO99" s="14">
        <f>INDEX(挂机升级突破!$EJ$7:$EJ$26,BS99)</f>
        <v>3</v>
      </c>
      <c r="BP99" s="14">
        <f t="shared" si="110"/>
        <v>3</v>
      </c>
      <c r="BQ99" s="14">
        <f>INDEX(挂机升级突破!$EH$7:$EH$26,卡牌消耗!BS99)</f>
        <v>102</v>
      </c>
      <c r="BR99" s="14" t="str">
        <f t="shared" si="111"/>
        <v>李轩辕</v>
      </c>
      <c r="BS99" s="14">
        <f t="shared" si="112"/>
        <v>15</v>
      </c>
      <c r="BT99" s="14" t="str">
        <f t="shared" si="113"/>
        <v>李轩辕15突</v>
      </c>
      <c r="BU99" s="14" t="str">
        <f>IF(BN99&gt;0,INDEX(挂机升级突破!$ER$5:$EV$5,卡牌消耗!BN99),"")</f>
        <v>金币</v>
      </c>
      <c r="BV99" s="14">
        <f>IF(BN99&gt;0,ROUND(INDEX(挂机升级突破!$EV$7:$EV$26,卡牌消耗!BS99)*INDEX(卡牌消耗!$B$8:$F$8,BP99)/$Q$4/500,0)*500,"")</f>
        <v>44500</v>
      </c>
      <c r="BW99" s="14" t="str">
        <f>IF(BO99&gt;0,INDEX(挂机升级突破!$ER$5:$EV$5,卡牌消耗!BO99),"")</f>
        <v>银母</v>
      </c>
      <c r="BX99" s="14">
        <f>IF(BO99&gt;0,ROUND(INDEX(挂机升级突破!$ER$7:$EU$26,卡牌消耗!BS99,卡牌消耗!BO99)*INDEX($B$6:$F$6,BP99)/$Q$4/5,0)*5,"")</f>
        <v>70</v>
      </c>
      <c r="BY99" s="193"/>
      <c r="BZ99" s="193"/>
      <c r="CA99" s="106"/>
      <c r="CS99" s="171"/>
      <c r="CT99" s="173" t="s">
        <v>120</v>
      </c>
      <c r="CU99" s="169">
        <v>18</v>
      </c>
      <c r="CV99" s="169">
        <v>95</v>
      </c>
      <c r="CW99" s="169">
        <v>5</v>
      </c>
      <c r="CX99" s="21">
        <f t="shared" ref="CX99" si="176">CW99/$CU101</f>
        <v>0.18181818181818182</v>
      </c>
      <c r="CY99" s="169">
        <f t="shared" ref="CY99" si="177">INT($CU100*CX99/5)*5</f>
        <v>36880</v>
      </c>
      <c r="CZ99" s="169">
        <f>SUM(CY$5:CY99)</f>
        <v>1273865</v>
      </c>
      <c r="DB99" s="188">
        <f t="shared" si="116"/>
        <v>18400</v>
      </c>
      <c r="DC99" s="188">
        <f t="shared" si="116"/>
        <v>29500</v>
      </c>
      <c r="DD99" s="188">
        <f t="shared" si="116"/>
        <v>36850</v>
      </c>
      <c r="DE99" s="188">
        <f t="shared" si="116"/>
        <v>44250</v>
      </c>
      <c r="DF99" s="188">
        <f t="shared" si="116"/>
        <v>55300</v>
      </c>
      <c r="DI99" s="186">
        <v>95</v>
      </c>
      <c r="DJ99" s="14">
        <f t="shared" si="117"/>
        <v>19</v>
      </c>
      <c r="DK99" s="14">
        <f t="shared" si="99"/>
        <v>2</v>
      </c>
      <c r="DL99" s="14">
        <f t="shared" si="100"/>
        <v>1101022</v>
      </c>
      <c r="DM99" s="136" t="s">
        <v>1097</v>
      </c>
      <c r="DN99" s="14">
        <f t="shared" si="101"/>
        <v>5</v>
      </c>
      <c r="DO99" s="14" t="str">
        <f t="shared" si="102"/>
        <v>幻-5星</v>
      </c>
      <c r="DP99" s="136" t="s">
        <v>1103</v>
      </c>
      <c r="DQ99" s="14">
        <f t="shared" si="118"/>
        <v>30000</v>
      </c>
      <c r="DR99" s="14" t="str">
        <f t="shared" si="103"/>
        <v>幻碎片</v>
      </c>
      <c r="DS99" s="14">
        <f t="shared" si="119"/>
        <v>20</v>
      </c>
    </row>
    <row r="100" spans="1:123" ht="16.5" x14ac:dyDescent="0.2">
      <c r="A100" s="136">
        <v>1102050</v>
      </c>
      <c r="B100" s="136" t="s">
        <v>387</v>
      </c>
      <c r="C100" s="136">
        <v>2</v>
      </c>
      <c r="D100" s="136">
        <v>5</v>
      </c>
      <c r="E100" s="186">
        <f>SUM(D$52:D100)</f>
        <v>245</v>
      </c>
      <c r="H100" s="15"/>
      <c r="I100" s="15"/>
      <c r="J100" s="15"/>
      <c r="K100" s="15"/>
      <c r="L100" s="15"/>
      <c r="M100" s="15"/>
      <c r="N100" s="15"/>
      <c r="O100" s="137"/>
      <c r="P100" s="141"/>
      <c r="Q100" s="141"/>
      <c r="R100" s="141"/>
      <c r="S100" s="141"/>
      <c r="T100" s="141"/>
      <c r="U100" s="141"/>
      <c r="V100" s="141"/>
      <c r="W100" s="141"/>
      <c r="X100" s="141"/>
      <c r="Y100" s="141"/>
      <c r="Z100" s="196">
        <v>3</v>
      </c>
      <c r="AA100" s="196">
        <v>44</v>
      </c>
      <c r="AB100" s="14">
        <f>ROUND(INDEX(挂机升级突破!DT$6:DT$57,卡牌消耗!$AA100)*INDEX(卡牌消耗!$B$5:$F$5,卡牌消耗!$Z100)/卡牌消耗!$Q$4/AB$2,0)*AB$2</f>
        <v>0</v>
      </c>
      <c r="AC100" s="14">
        <f>ROUND(INDEX(挂机升级突破!DU$6:DU$57,卡牌消耗!$AA100)*INDEX(卡牌消耗!$B$5:$F$5,卡牌消耗!$Z100)/卡牌消耗!$Q$4/AC$2,0)*AC$2</f>
        <v>0</v>
      </c>
      <c r="AD100" s="14">
        <f>ROUND(INDEX(挂机升级突破!DV$6:DV$57,卡牌消耗!$AA100)*INDEX(卡牌消耗!$B$5:$F$5,卡牌消耗!$Z100)/卡牌消耗!$Q$4/AD$2,0)*AD$2</f>
        <v>0</v>
      </c>
      <c r="AE100" s="14">
        <f>ROUND(INDEX(挂机升级突破!DW$6:DW$57,卡牌消耗!$AA100)*INDEX(卡牌消耗!$B$5:$F$5,卡牌消耗!$Z100)/卡牌消耗!$Q$4/AE$2,0)*AE$2</f>
        <v>0</v>
      </c>
      <c r="AF100" s="14">
        <f>ROUND(INDEX(挂机升级突破!DX$6:DX$57,卡牌消耗!$AA100)*INDEX(卡牌消耗!$B$5:$F$5,卡牌消耗!$Z100)/卡牌消耗!$Q$4/AF$2,0)*AF$2</f>
        <v>10</v>
      </c>
      <c r="AG100" s="14">
        <f>ROUND(INDEX(挂机升级突破!EC$6:EC$57,卡牌消耗!$AA100)*INDEX(卡牌消耗!$B$7:$F$7,卡牌消耗!$Z100)/卡牌消耗!$Q$4/AG$2,0)*AG$2</f>
        <v>2</v>
      </c>
      <c r="AH100" s="14">
        <f>ROUND(INDEX(挂机升级突破!ED$6:ED$57,卡牌消耗!$AA100)*INDEX(卡牌消耗!$B$8:$F$8,卡牌消耗!$Z100)/卡牌消耗!$Q$4/AH$2,0)*AH$2</f>
        <v>37600</v>
      </c>
      <c r="AI100" s="194"/>
      <c r="AJ100" s="194"/>
      <c r="AK100" s="104">
        <v>96</v>
      </c>
      <c r="AL100" s="14">
        <f t="shared" si="104"/>
        <v>2</v>
      </c>
      <c r="AM100" s="14">
        <f>INDEX(挂机升级突破!DQ$6:DQ$57,卡牌消耗!$AT100)</f>
        <v>11</v>
      </c>
      <c r="AN100" s="14">
        <f>INDEX(挂机升级突破!DR$6:DR$57,卡牌消耗!$AT100)</f>
        <v>5</v>
      </c>
      <c r="AO100" s="14">
        <f>INDEX(挂机升级突破!DS$6:DS$57,卡牌消耗!$AT100)</f>
        <v>10</v>
      </c>
      <c r="AP100" s="14">
        <f>INDEX(挂机升级突破!$DP$6:$DP$57,卡牌消耗!AT100)</f>
        <v>128</v>
      </c>
      <c r="AQ100" s="14" t="str">
        <f t="shared" si="105"/>
        <v>许褚</v>
      </c>
      <c r="AR100" s="14">
        <f t="shared" si="106"/>
        <v>3</v>
      </c>
      <c r="AS100" s="14" t="str">
        <f t="shared" si="107"/>
        <v>许褚魂火-44</v>
      </c>
      <c r="AT100" s="14">
        <f t="shared" si="108"/>
        <v>44</v>
      </c>
      <c r="AU100" s="14" t="str">
        <f>IF(AM100&gt;0,INDEX(挂机升级突破!$DT$4:$ED$4,AM100),"")</f>
        <v>金币</v>
      </c>
      <c r="AV100" s="14">
        <f>ROUND(INDEX(挂机升级突破!$DJ$6:$DJ$57,卡牌消耗!AT100)*INDEX(卡牌消耗!$B$8:$F$8,AR100)/$Q$4/50,0)*50</f>
        <v>37600</v>
      </c>
      <c r="AW100" s="14" t="str">
        <f>IF(AN100&gt;0,INDEX(挂机升级突破!$DT$4:$ED$4,AN100),"")</f>
        <v>红色基础材料</v>
      </c>
      <c r="AX100" s="14">
        <f>ROUND(INDEX(挂机升级突破!$DT$6:$ED$57,卡牌消耗!AT100,AN100)*INDEX(卡牌消耗!$B$5:$F$5,AR100)/$Q$4/5,0)*5</f>
        <v>10</v>
      </c>
      <c r="AY100" s="14" t="str">
        <f>IF(AO100&gt;0,INDEX(挂机升级突破!$DT$4:$ED$4,AO100),"")</f>
        <v>灵玉</v>
      </c>
      <c r="AZ100" s="14">
        <f>IF(AO100&gt;0,ROUND(INDEX(挂机升级突破!$DT$6:$ED$57,卡牌消耗!AT100,AO100)*INDEX(卡牌消耗!$B$7:$F$7,AR100)/$Q$4,0),"")</f>
        <v>2</v>
      </c>
      <c r="BA100" s="106"/>
      <c r="BB100" s="197"/>
      <c r="BC100" s="197"/>
      <c r="BD100" s="197"/>
      <c r="BE100" s="197"/>
      <c r="BF100" s="197"/>
      <c r="BG100" s="197"/>
      <c r="BH100" s="197"/>
      <c r="BI100" s="197"/>
      <c r="BJ100" s="197"/>
      <c r="BK100" s="197"/>
      <c r="BL100" s="104">
        <v>96</v>
      </c>
      <c r="BM100" s="14">
        <f t="shared" si="109"/>
        <v>5</v>
      </c>
      <c r="BN100" s="14">
        <f>INDEX(挂机升级突破!$EI$7:$EI$26,BS100)</f>
        <v>5</v>
      </c>
      <c r="BO100" s="14">
        <f>INDEX(挂机升级突破!$EJ$7:$EJ$26,BS100)</f>
        <v>3</v>
      </c>
      <c r="BP100" s="14">
        <f t="shared" si="110"/>
        <v>3</v>
      </c>
      <c r="BQ100" s="14">
        <f>INDEX(挂机升级突破!$EH$7:$EH$26,卡牌消耗!BS100)</f>
        <v>110</v>
      </c>
      <c r="BR100" s="14" t="str">
        <f t="shared" si="111"/>
        <v>李轩辕</v>
      </c>
      <c r="BS100" s="14">
        <f t="shared" si="112"/>
        <v>16</v>
      </c>
      <c r="BT100" s="14" t="str">
        <f t="shared" si="113"/>
        <v>李轩辕16突</v>
      </c>
      <c r="BU100" s="14" t="str">
        <f>IF(BN100&gt;0,INDEX(挂机升级突破!$ER$5:$EV$5,卡牌消耗!BN100),"")</f>
        <v>金币</v>
      </c>
      <c r="BV100" s="14">
        <f>IF(BN100&gt;0,ROUND(INDEX(挂机升级突破!$EV$7:$EV$26,卡牌消耗!BS100)*INDEX(卡牌消耗!$B$8:$F$8,BP100)/$Q$4/500,0)*500,"")</f>
        <v>80500</v>
      </c>
      <c r="BW100" s="14" t="str">
        <f>IF(BO100&gt;0,INDEX(挂机升级突破!$ER$5:$EV$5,卡牌消耗!BO100),"")</f>
        <v>银母</v>
      </c>
      <c r="BX100" s="14">
        <f>IF(BO100&gt;0,ROUND(INDEX(挂机升级突破!$ER$7:$EU$26,卡牌消耗!BS100,卡牌消耗!BO100)*INDEX($B$6:$F$6,BP100)/$Q$4/5,0)*5,"")</f>
        <v>90</v>
      </c>
      <c r="BY100" s="193"/>
      <c r="BZ100" s="193"/>
      <c r="CA100" s="106"/>
      <c r="CS100" s="171"/>
      <c r="CT100" s="171"/>
      <c r="CU100" s="14">
        <f>INDEX($CP$5:$CP$32,CU99)</f>
        <v>202850</v>
      </c>
      <c r="CV100" s="169">
        <v>96</v>
      </c>
      <c r="CW100" s="169">
        <v>5.25</v>
      </c>
      <c r="CX100" s="21">
        <f t="shared" ref="CX100" si="178">CW100/$CU101</f>
        <v>0.19090909090909092</v>
      </c>
      <c r="CY100" s="169">
        <f t="shared" ref="CY100" si="179">INT($CU100*CX100/5)*5</f>
        <v>38725</v>
      </c>
      <c r="CZ100" s="169">
        <f>SUM(CY$5:CY100)</f>
        <v>1312590</v>
      </c>
      <c r="DB100" s="188">
        <f t="shared" si="116"/>
        <v>19350</v>
      </c>
      <c r="DC100" s="188">
        <f t="shared" si="116"/>
        <v>30950</v>
      </c>
      <c r="DD100" s="188">
        <f t="shared" si="116"/>
        <v>38700</v>
      </c>
      <c r="DE100" s="188">
        <f t="shared" si="116"/>
        <v>46450</v>
      </c>
      <c r="DF100" s="188">
        <f t="shared" si="116"/>
        <v>58050</v>
      </c>
      <c r="DI100" s="186">
        <v>96</v>
      </c>
      <c r="DJ100" s="14">
        <f t="shared" si="117"/>
        <v>20</v>
      </c>
      <c r="DK100" s="14">
        <f t="shared" si="99"/>
        <v>3</v>
      </c>
      <c r="DL100" s="14">
        <f t="shared" si="100"/>
        <v>1101023</v>
      </c>
      <c r="DM100" s="136" t="s">
        <v>1097</v>
      </c>
      <c r="DN100" s="14">
        <f t="shared" si="101"/>
        <v>1</v>
      </c>
      <c r="DO100" s="14" t="str">
        <f t="shared" si="102"/>
        <v>朱童-1星</v>
      </c>
      <c r="DP100" s="136" t="s">
        <v>1103</v>
      </c>
      <c r="DQ100" s="14">
        <f t="shared" si="118"/>
        <v>4000</v>
      </c>
      <c r="DR100" s="14" t="str">
        <f t="shared" si="103"/>
        <v>朱童碎片</v>
      </c>
      <c r="DS100" s="14">
        <f t="shared" si="119"/>
        <v>40</v>
      </c>
    </row>
    <row r="101" spans="1:123" ht="16.5" x14ac:dyDescent="0.2">
      <c r="A101" s="136">
        <v>1102023</v>
      </c>
      <c r="B101" s="136" t="s">
        <v>959</v>
      </c>
      <c r="C101" s="136">
        <v>2</v>
      </c>
      <c r="D101" s="136">
        <v>5</v>
      </c>
      <c r="E101" s="186">
        <f>SUM(D$52:D101)</f>
        <v>250</v>
      </c>
      <c r="H101" s="15"/>
      <c r="I101" s="15"/>
      <c r="J101" s="15"/>
      <c r="K101" s="15"/>
      <c r="L101" s="15"/>
      <c r="M101" s="15"/>
      <c r="N101" s="15"/>
      <c r="O101" s="137"/>
      <c r="P101" s="141"/>
      <c r="Q101" s="141"/>
      <c r="R101" s="141"/>
      <c r="S101" s="141"/>
      <c r="T101" s="141"/>
      <c r="U101" s="141"/>
      <c r="V101" s="141"/>
      <c r="W101" s="141"/>
      <c r="X101" s="141"/>
      <c r="Y101" s="141"/>
      <c r="Z101" s="196">
        <v>3</v>
      </c>
      <c r="AA101" s="196">
        <v>45</v>
      </c>
      <c r="AB101" s="14">
        <f>ROUND(INDEX(挂机升级突破!DT$6:DT$57,卡牌消耗!$AA101)*INDEX(卡牌消耗!$B$5:$F$5,卡牌消耗!$Z101)/卡牌消耗!$Q$4/AB$2,0)*AB$2</f>
        <v>0</v>
      </c>
      <c r="AC101" s="14">
        <f>ROUND(INDEX(挂机升级突破!DU$6:DU$57,卡牌消耗!$AA101)*INDEX(卡牌消耗!$B$5:$F$5,卡牌消耗!$Z101)/卡牌消耗!$Q$4/AC$2,0)*AC$2</f>
        <v>0</v>
      </c>
      <c r="AD101" s="14">
        <f>ROUND(INDEX(挂机升级突破!DV$6:DV$57,卡牌消耗!$AA101)*INDEX(卡牌消耗!$B$5:$F$5,卡牌消耗!$Z101)/卡牌消耗!$Q$4/AD$2,0)*AD$2</f>
        <v>0</v>
      </c>
      <c r="AE101" s="14">
        <f>ROUND(INDEX(挂机升级突破!DW$6:DW$57,卡牌消耗!$AA101)*INDEX(卡牌消耗!$B$5:$F$5,卡牌消耗!$Z101)/卡牌消耗!$Q$4/AE$2,0)*AE$2</f>
        <v>0</v>
      </c>
      <c r="AF101" s="14">
        <f>ROUND(INDEX(挂机升级突破!DX$6:DX$57,卡牌消耗!$AA101)*INDEX(卡牌消耗!$B$5:$F$5,卡牌消耗!$Z101)/卡牌消耗!$Q$4/AF$2,0)*AF$2</f>
        <v>10</v>
      </c>
      <c r="AG101" s="14">
        <f>ROUND(INDEX(挂机升级突破!EC$6:EC$57,卡牌消耗!$AA101)*INDEX(卡牌消耗!$B$7:$F$7,卡牌消耗!$Z101)/卡牌消耗!$Q$4/AG$2,0)*AG$2</f>
        <v>2</v>
      </c>
      <c r="AH101" s="14">
        <f>ROUND(INDEX(挂机升级突破!ED$6:ED$57,卡牌消耗!$AA101)*INDEX(卡牌消耗!$B$8:$F$8,卡牌消耗!$Z101)/卡牌消耗!$Q$4/AH$2,0)*AH$2</f>
        <v>37600</v>
      </c>
      <c r="AI101" s="194"/>
      <c r="AJ101" s="194"/>
      <c r="AK101" s="104">
        <v>97</v>
      </c>
      <c r="AL101" s="14">
        <f t="shared" si="104"/>
        <v>2</v>
      </c>
      <c r="AM101" s="14">
        <f>INDEX(挂机升级突破!DQ$6:DQ$57,卡牌消耗!$AT101)</f>
        <v>11</v>
      </c>
      <c r="AN101" s="14">
        <f>INDEX(挂机升级突破!DR$6:DR$57,卡牌消耗!$AT101)</f>
        <v>5</v>
      </c>
      <c r="AO101" s="14">
        <f>INDEX(挂机升级突破!DS$6:DS$57,卡牌消耗!$AT101)</f>
        <v>10</v>
      </c>
      <c r="AP101" s="14">
        <f>INDEX(挂机升级突破!$DP$6:$DP$57,卡牌消耗!AT101)</f>
        <v>130</v>
      </c>
      <c r="AQ101" s="14" t="str">
        <f t="shared" si="105"/>
        <v>许褚</v>
      </c>
      <c r="AR101" s="14">
        <f t="shared" si="106"/>
        <v>3</v>
      </c>
      <c r="AS101" s="14" t="str">
        <f t="shared" si="107"/>
        <v>许褚魂火-45</v>
      </c>
      <c r="AT101" s="14">
        <f t="shared" si="108"/>
        <v>45</v>
      </c>
      <c r="AU101" s="14" t="str">
        <f>IF(AM101&gt;0,INDEX(挂机升级突破!$DT$4:$ED$4,AM101),"")</f>
        <v>金币</v>
      </c>
      <c r="AV101" s="14">
        <f>ROUND(INDEX(挂机升级突破!$DJ$6:$DJ$57,卡牌消耗!AT101)*INDEX(卡牌消耗!$B$8:$F$8,AR101)/$Q$4/50,0)*50</f>
        <v>37600</v>
      </c>
      <c r="AW101" s="14" t="str">
        <f>IF(AN101&gt;0,INDEX(挂机升级突破!$DT$4:$ED$4,AN101),"")</f>
        <v>红色基础材料</v>
      </c>
      <c r="AX101" s="14">
        <f>ROUND(INDEX(挂机升级突破!$DT$6:$ED$57,卡牌消耗!AT101,AN101)*INDEX(卡牌消耗!$B$5:$F$5,AR101)/$Q$4/5,0)*5</f>
        <v>10</v>
      </c>
      <c r="AY101" s="14" t="str">
        <f>IF(AO101&gt;0,INDEX(挂机升级突破!$DT$4:$ED$4,AO101),"")</f>
        <v>灵玉</v>
      </c>
      <c r="AZ101" s="14">
        <f>IF(AO101&gt;0,ROUND(INDEX(挂机升级突破!$DT$6:$ED$57,卡牌消耗!AT101,AO101)*INDEX(卡牌消耗!$B$7:$F$7,AR101)/$Q$4,0),"")</f>
        <v>2</v>
      </c>
      <c r="BA101" s="106"/>
      <c r="BB101" s="197"/>
      <c r="BC101" s="197"/>
      <c r="BD101" s="197"/>
      <c r="BE101" s="197"/>
      <c r="BF101" s="197"/>
      <c r="BG101" s="197"/>
      <c r="BH101" s="197"/>
      <c r="BI101" s="197"/>
      <c r="BJ101" s="197"/>
      <c r="BK101" s="197"/>
      <c r="BL101" s="104">
        <v>97</v>
      </c>
      <c r="BM101" s="14">
        <f t="shared" si="109"/>
        <v>5</v>
      </c>
      <c r="BN101" s="14">
        <f>INDEX(挂机升级突破!$EI$7:$EI$26,BS101)</f>
        <v>5</v>
      </c>
      <c r="BO101" s="14">
        <f>INDEX(挂机升级突破!$EJ$7:$EJ$26,BS101)</f>
        <v>4</v>
      </c>
      <c r="BP101" s="14">
        <f t="shared" si="110"/>
        <v>3</v>
      </c>
      <c r="BQ101" s="14">
        <f>INDEX(挂机升级突破!$EH$7:$EH$26,卡牌消耗!BS101)</f>
        <v>117</v>
      </c>
      <c r="BR101" s="14" t="str">
        <f t="shared" si="111"/>
        <v>李轩辕</v>
      </c>
      <c r="BS101" s="14">
        <f t="shared" si="112"/>
        <v>17</v>
      </c>
      <c r="BT101" s="14" t="str">
        <f t="shared" si="113"/>
        <v>李轩辕17突</v>
      </c>
      <c r="BU101" s="14" t="str">
        <f>IF(BN101&gt;0,INDEX(挂机升级突破!$ER$5:$EV$5,卡牌消耗!BN101),"")</f>
        <v>金币</v>
      </c>
      <c r="BV101" s="14">
        <f>IF(BN101&gt;0,ROUND(INDEX(挂机升级突破!$EV$7:$EV$26,卡牌消耗!BS101)*INDEX(卡牌消耗!$B$8:$F$8,BP101)/$Q$4/500,0)*500,"")</f>
        <v>80500</v>
      </c>
      <c r="BW101" s="14" t="str">
        <f>IF(BO101&gt;0,INDEX(挂机升级突破!$ER$5:$EV$5,卡牌消耗!BO101),"")</f>
        <v>铀金</v>
      </c>
      <c r="BX101" s="14">
        <f>IF(BO101&gt;0,ROUND(INDEX(挂机升级突破!$ER$7:$EU$26,卡牌消耗!BS101,卡牌消耗!BO101)*INDEX($B$6:$F$6,BP101)/$Q$4/5,0)*5,"")</f>
        <v>20</v>
      </c>
      <c r="BY101" s="193"/>
      <c r="BZ101" s="193"/>
      <c r="CA101" s="106"/>
      <c r="CS101" s="171"/>
      <c r="CT101" s="170"/>
      <c r="CU101" s="14">
        <f>SUMIFS($CW$5:$CW$154,$CV$5:$CV$154,"&gt;="&amp;INDEX($CE$5:$CE$32,CU99),$CV$5:$CV$154,"&lt;"&amp;INDEX($CF$5:$CF$32,CU99))</f>
        <v>27.5</v>
      </c>
      <c r="CV101" s="169">
        <v>97</v>
      </c>
      <c r="CW101" s="169">
        <v>5.5</v>
      </c>
      <c r="CX101" s="21">
        <f t="shared" ref="CX101" si="180">CW101/$CU101</f>
        <v>0.2</v>
      </c>
      <c r="CY101" s="169">
        <f t="shared" ref="CY101" si="181">INT($CU100*CX101/5)*5</f>
        <v>40570</v>
      </c>
      <c r="CZ101" s="169">
        <f>SUM(CY$5:CY101)</f>
        <v>1353160</v>
      </c>
      <c r="DB101" s="188">
        <f t="shared" si="116"/>
        <v>20250</v>
      </c>
      <c r="DC101" s="188">
        <f t="shared" si="116"/>
        <v>32450</v>
      </c>
      <c r="DD101" s="188">
        <f t="shared" si="116"/>
        <v>40550</v>
      </c>
      <c r="DE101" s="188">
        <f t="shared" si="116"/>
        <v>48650</v>
      </c>
      <c r="DF101" s="188">
        <f t="shared" si="116"/>
        <v>60850</v>
      </c>
      <c r="DI101" s="186">
        <v>97</v>
      </c>
      <c r="DJ101" s="14">
        <f t="shared" si="117"/>
        <v>20</v>
      </c>
      <c r="DK101" s="14">
        <f t="shared" si="99"/>
        <v>3</v>
      </c>
      <c r="DL101" s="14">
        <f t="shared" si="100"/>
        <v>1101023</v>
      </c>
      <c r="DM101" s="136" t="s">
        <v>1097</v>
      </c>
      <c r="DN101" s="14">
        <f t="shared" si="101"/>
        <v>2</v>
      </c>
      <c r="DO101" s="14" t="str">
        <f t="shared" si="102"/>
        <v>朱童-2星</v>
      </c>
      <c r="DP101" s="136" t="s">
        <v>1103</v>
      </c>
      <c r="DQ101" s="14">
        <f t="shared" si="118"/>
        <v>5000</v>
      </c>
      <c r="DR101" s="14" t="str">
        <f t="shared" si="103"/>
        <v>朱童碎片</v>
      </c>
      <c r="DS101" s="14">
        <f t="shared" si="119"/>
        <v>40</v>
      </c>
    </row>
    <row r="102" spans="1:123" ht="16.5" x14ac:dyDescent="0.2">
      <c r="A102" s="136">
        <v>1102024</v>
      </c>
      <c r="B102" s="136" t="s">
        <v>954</v>
      </c>
      <c r="C102" s="136">
        <v>3</v>
      </c>
      <c r="D102" s="136">
        <v>5</v>
      </c>
      <c r="E102" s="186">
        <f>SUM(D$52:D102)</f>
        <v>255</v>
      </c>
      <c r="H102" s="15"/>
      <c r="I102" s="15"/>
      <c r="J102" s="15"/>
      <c r="K102" s="15"/>
      <c r="L102" s="15"/>
      <c r="M102" s="15"/>
      <c r="N102" s="15"/>
      <c r="O102" s="137"/>
      <c r="P102" s="141"/>
      <c r="Q102" s="141"/>
      <c r="R102" s="141"/>
      <c r="S102" s="141"/>
      <c r="T102" s="141"/>
      <c r="U102" s="141"/>
      <c r="V102" s="141"/>
      <c r="W102" s="141"/>
      <c r="X102" s="141"/>
      <c r="Y102" s="141"/>
      <c r="Z102" s="196">
        <v>3</v>
      </c>
      <c r="AA102" s="196">
        <v>46</v>
      </c>
      <c r="AB102" s="14">
        <f>ROUND(INDEX(挂机升级突破!DT$6:DT$57,卡牌消耗!$AA102)*INDEX(卡牌消耗!$B$5:$F$5,卡牌消耗!$Z102)/卡牌消耗!$Q$4/AB$2,0)*AB$2</f>
        <v>0</v>
      </c>
      <c r="AC102" s="14">
        <f>ROUND(INDEX(挂机升级突破!DU$6:DU$57,卡牌消耗!$AA102)*INDEX(卡牌消耗!$B$5:$F$5,卡牌消耗!$Z102)/卡牌消耗!$Q$4/AC$2,0)*AC$2</f>
        <v>0</v>
      </c>
      <c r="AD102" s="14">
        <f>ROUND(INDEX(挂机升级突破!DV$6:DV$57,卡牌消耗!$AA102)*INDEX(卡牌消耗!$B$5:$F$5,卡牌消耗!$Z102)/卡牌消耗!$Q$4/AD$2,0)*AD$2</f>
        <v>0</v>
      </c>
      <c r="AE102" s="14">
        <f>ROUND(INDEX(挂机升级突破!DW$6:DW$57,卡牌消耗!$AA102)*INDEX(卡牌消耗!$B$5:$F$5,卡牌消耗!$Z102)/卡牌消耗!$Q$4/AE$2,0)*AE$2</f>
        <v>0</v>
      </c>
      <c r="AF102" s="14">
        <f>ROUND(INDEX(挂机升级突破!DX$6:DX$57,卡牌消耗!$AA102)*INDEX(卡牌消耗!$B$5:$F$5,卡牌消耗!$Z102)/卡牌消耗!$Q$4/AF$2,0)*AF$2</f>
        <v>10</v>
      </c>
      <c r="AG102" s="14">
        <f>ROUND(INDEX(挂机升级突破!EC$6:EC$57,卡牌消耗!$AA102)*INDEX(卡牌消耗!$B$7:$F$7,卡牌消耗!$Z102)/卡牌消耗!$Q$4/AG$2,0)*AG$2</f>
        <v>2</v>
      </c>
      <c r="AH102" s="14">
        <f>ROUND(INDEX(挂机升级突破!ED$6:ED$57,卡牌消耗!$AA102)*INDEX(卡牌消耗!$B$8:$F$8,卡牌消耗!$Z102)/卡牌消耗!$Q$4/AH$2,0)*AH$2</f>
        <v>40300</v>
      </c>
      <c r="AI102" s="194"/>
      <c r="AJ102" s="194"/>
      <c r="AK102" s="104">
        <v>98</v>
      </c>
      <c r="AL102" s="14">
        <f t="shared" si="104"/>
        <v>2</v>
      </c>
      <c r="AM102" s="14">
        <f>INDEX(挂机升级突破!DQ$6:DQ$57,卡牌消耗!$AT102)</f>
        <v>11</v>
      </c>
      <c r="AN102" s="14">
        <f>INDEX(挂机升级突破!DR$6:DR$57,卡牌消耗!$AT102)</f>
        <v>5</v>
      </c>
      <c r="AO102" s="14">
        <f>INDEX(挂机升级突破!DS$6:DS$57,卡牌消耗!$AT102)</f>
        <v>10</v>
      </c>
      <c r="AP102" s="14">
        <f>INDEX(挂机升级突破!$DP$6:$DP$57,卡牌消耗!AT102)</f>
        <v>133</v>
      </c>
      <c r="AQ102" s="14" t="str">
        <f t="shared" si="105"/>
        <v>许褚</v>
      </c>
      <c r="AR102" s="14">
        <f t="shared" si="106"/>
        <v>3</v>
      </c>
      <c r="AS102" s="14" t="str">
        <f t="shared" si="107"/>
        <v>许褚魂火-46</v>
      </c>
      <c r="AT102" s="14">
        <f t="shared" si="108"/>
        <v>46</v>
      </c>
      <c r="AU102" s="14" t="str">
        <f>IF(AM102&gt;0,INDEX(挂机升级突破!$DT$4:$ED$4,AM102),"")</f>
        <v>金币</v>
      </c>
      <c r="AV102" s="14">
        <f>ROUND(INDEX(挂机升级突破!$DJ$6:$DJ$57,卡牌消耗!AT102)*INDEX(卡牌消耗!$B$8:$F$8,AR102)/$Q$4/50,0)*50</f>
        <v>40300</v>
      </c>
      <c r="AW102" s="14" t="str">
        <f>IF(AN102&gt;0,INDEX(挂机升级突破!$DT$4:$ED$4,AN102),"")</f>
        <v>红色基础材料</v>
      </c>
      <c r="AX102" s="14">
        <f>ROUND(INDEX(挂机升级突破!$DT$6:$ED$57,卡牌消耗!AT102,AN102)*INDEX(卡牌消耗!$B$5:$F$5,AR102)/$Q$4/5,0)*5</f>
        <v>10</v>
      </c>
      <c r="AY102" s="14" t="str">
        <f>IF(AO102&gt;0,INDEX(挂机升级突破!$DT$4:$ED$4,AO102),"")</f>
        <v>灵玉</v>
      </c>
      <c r="AZ102" s="14">
        <f>IF(AO102&gt;0,ROUND(INDEX(挂机升级突破!$DT$6:$ED$57,卡牌消耗!AT102,AO102)*INDEX(卡牌消耗!$B$7:$F$7,AR102)/$Q$4,0),"")</f>
        <v>2</v>
      </c>
      <c r="BA102" s="106"/>
      <c r="BB102" s="197"/>
      <c r="BC102" s="197"/>
      <c r="BD102" s="197"/>
      <c r="BE102" s="197"/>
      <c r="BF102" s="197"/>
      <c r="BG102" s="197"/>
      <c r="BH102" s="197"/>
      <c r="BI102" s="197"/>
      <c r="BJ102" s="197"/>
      <c r="BK102" s="197"/>
      <c r="BL102" s="104">
        <v>98</v>
      </c>
      <c r="BM102" s="14">
        <f t="shared" si="109"/>
        <v>5</v>
      </c>
      <c r="BN102" s="14">
        <f>INDEX(挂机升级突破!$EI$7:$EI$26,BS102)</f>
        <v>5</v>
      </c>
      <c r="BO102" s="14">
        <f>INDEX(挂机升级突破!$EJ$7:$EJ$26,BS102)</f>
        <v>4</v>
      </c>
      <c r="BP102" s="14">
        <f t="shared" si="110"/>
        <v>3</v>
      </c>
      <c r="BQ102" s="14">
        <f>INDEX(挂机升级突破!$EH$7:$EH$26,卡牌消耗!BS102)</f>
        <v>125</v>
      </c>
      <c r="BR102" s="14" t="str">
        <f t="shared" si="111"/>
        <v>李轩辕</v>
      </c>
      <c r="BS102" s="14">
        <f t="shared" si="112"/>
        <v>18</v>
      </c>
      <c r="BT102" s="14" t="str">
        <f t="shared" si="113"/>
        <v>李轩辕18突</v>
      </c>
      <c r="BU102" s="14" t="str">
        <f>IF(BN102&gt;0,INDEX(挂机升级突破!$ER$5:$EV$5,卡牌消耗!BN102),"")</f>
        <v>金币</v>
      </c>
      <c r="BV102" s="14">
        <f>IF(BN102&gt;0,ROUND(INDEX(挂机升级突破!$EV$7:$EV$26,卡牌消耗!BS102)*INDEX(卡牌消耗!$B$8:$F$8,BP102)/$Q$4/500,0)*500,"")</f>
        <v>107500</v>
      </c>
      <c r="BW102" s="14" t="str">
        <f>IF(BO102&gt;0,INDEX(挂机升级突破!$ER$5:$EV$5,卡牌消耗!BO102),"")</f>
        <v>铀金</v>
      </c>
      <c r="BX102" s="14">
        <f>IF(BO102&gt;0,ROUND(INDEX(挂机升级突破!$ER$7:$EU$26,卡牌消耗!BS102,卡牌消耗!BO102)*INDEX($B$6:$F$6,BP102)/$Q$4/5,0)*5,"")</f>
        <v>25</v>
      </c>
      <c r="BY102" s="193"/>
      <c r="BZ102" s="193"/>
      <c r="CA102" s="106"/>
      <c r="CS102" s="171"/>
      <c r="CT102" s="171"/>
      <c r="CU102" s="171"/>
      <c r="CV102" s="169">
        <v>98</v>
      </c>
      <c r="CW102" s="169">
        <v>5.75</v>
      </c>
      <c r="CX102" s="21">
        <f t="shared" ref="CX102" si="182">CW102/$CU101</f>
        <v>0.20909090909090908</v>
      </c>
      <c r="CY102" s="169">
        <f t="shared" ref="CY102" si="183">INT($CU100*CX102/5)*5</f>
        <v>42410</v>
      </c>
      <c r="CZ102" s="169">
        <f>SUM(CY$5:CY102)</f>
        <v>1395570</v>
      </c>
      <c r="DB102" s="188">
        <f t="shared" ref="DB102:DF133" si="184">INT($CY102*DB$3/50)*50</f>
        <v>21200</v>
      </c>
      <c r="DC102" s="188">
        <f t="shared" si="184"/>
        <v>33900</v>
      </c>
      <c r="DD102" s="188">
        <f t="shared" si="184"/>
        <v>42400</v>
      </c>
      <c r="DE102" s="188">
        <f t="shared" si="184"/>
        <v>50850</v>
      </c>
      <c r="DF102" s="188">
        <f t="shared" si="184"/>
        <v>63600</v>
      </c>
      <c r="DI102" s="186">
        <v>98</v>
      </c>
      <c r="DJ102" s="14">
        <f t="shared" si="117"/>
        <v>20</v>
      </c>
      <c r="DK102" s="14">
        <f t="shared" si="99"/>
        <v>3</v>
      </c>
      <c r="DL102" s="14">
        <f t="shared" si="100"/>
        <v>1101023</v>
      </c>
      <c r="DM102" s="136" t="s">
        <v>1097</v>
      </c>
      <c r="DN102" s="14">
        <f t="shared" si="101"/>
        <v>3</v>
      </c>
      <c r="DO102" s="14" t="str">
        <f t="shared" si="102"/>
        <v>朱童-3星</v>
      </c>
      <c r="DP102" s="136" t="s">
        <v>1103</v>
      </c>
      <c r="DQ102" s="14">
        <f t="shared" si="118"/>
        <v>10000</v>
      </c>
      <c r="DR102" s="14" t="str">
        <f t="shared" si="103"/>
        <v>朱童碎片</v>
      </c>
      <c r="DS102" s="14">
        <f t="shared" si="119"/>
        <v>40</v>
      </c>
    </row>
    <row r="103" spans="1:123" ht="16.5" x14ac:dyDescent="0.2">
      <c r="A103" s="136">
        <v>1102026</v>
      </c>
      <c r="B103" s="136" t="s">
        <v>955</v>
      </c>
      <c r="C103" s="136">
        <v>3</v>
      </c>
      <c r="D103" s="136">
        <v>5</v>
      </c>
      <c r="E103" s="186">
        <f>SUM(D$52:D103)</f>
        <v>260</v>
      </c>
      <c r="H103" s="15"/>
      <c r="I103" s="15"/>
      <c r="J103" s="15"/>
      <c r="K103" s="15"/>
      <c r="L103" s="15"/>
      <c r="M103" s="15"/>
      <c r="N103" s="15"/>
      <c r="O103" s="137"/>
      <c r="P103" s="141"/>
      <c r="Q103" s="141"/>
      <c r="R103" s="141"/>
      <c r="S103" s="141"/>
      <c r="T103" s="141"/>
      <c r="U103" s="141"/>
      <c r="V103" s="141"/>
      <c r="W103" s="141"/>
      <c r="X103" s="141"/>
      <c r="Y103" s="141"/>
      <c r="Z103" s="196">
        <v>3</v>
      </c>
      <c r="AA103" s="196">
        <v>47</v>
      </c>
      <c r="AB103" s="14">
        <f>ROUND(INDEX(挂机升级突破!DT$6:DT$57,卡牌消耗!$AA103)*INDEX(卡牌消耗!$B$5:$F$5,卡牌消耗!$Z103)/卡牌消耗!$Q$4/AB$2,0)*AB$2</f>
        <v>0</v>
      </c>
      <c r="AC103" s="14">
        <f>ROUND(INDEX(挂机升级突破!DU$6:DU$57,卡牌消耗!$AA103)*INDEX(卡牌消耗!$B$5:$F$5,卡牌消耗!$Z103)/卡牌消耗!$Q$4/AC$2,0)*AC$2</f>
        <v>0</v>
      </c>
      <c r="AD103" s="14">
        <f>ROUND(INDEX(挂机升级突破!DV$6:DV$57,卡牌消耗!$AA103)*INDEX(卡牌消耗!$B$5:$F$5,卡牌消耗!$Z103)/卡牌消耗!$Q$4/AD$2,0)*AD$2</f>
        <v>0</v>
      </c>
      <c r="AE103" s="14">
        <f>ROUND(INDEX(挂机升级突破!DW$6:DW$57,卡牌消耗!$AA103)*INDEX(卡牌消耗!$B$5:$F$5,卡牌消耗!$Z103)/卡牌消耗!$Q$4/AE$2,0)*AE$2</f>
        <v>0</v>
      </c>
      <c r="AF103" s="14">
        <f>ROUND(INDEX(挂机升级突破!DX$6:DX$57,卡牌消耗!$AA103)*INDEX(卡牌消耗!$B$5:$F$5,卡牌消耗!$Z103)/卡牌消耗!$Q$4/AF$2,0)*AF$2</f>
        <v>10</v>
      </c>
      <c r="AG103" s="14">
        <f>ROUND(INDEX(挂机升级突破!EC$6:EC$57,卡牌消耗!$AA103)*INDEX(卡牌消耗!$B$7:$F$7,卡牌消耗!$Z103)/卡牌消耗!$Q$4/AG$2,0)*AG$2</f>
        <v>2</v>
      </c>
      <c r="AH103" s="14">
        <f>ROUND(INDEX(挂机升级突破!ED$6:ED$57,卡牌消耗!$AA103)*INDEX(卡牌消耗!$B$8:$F$8,卡牌消耗!$Z103)/卡牌消耗!$Q$4/AH$2,0)*AH$2</f>
        <v>82050</v>
      </c>
      <c r="AI103" s="194"/>
      <c r="AJ103" s="194"/>
      <c r="AK103" s="104">
        <v>99</v>
      </c>
      <c r="AL103" s="14">
        <f t="shared" si="104"/>
        <v>2</v>
      </c>
      <c r="AM103" s="14">
        <f>INDEX(挂机升级突破!DQ$6:DQ$57,卡牌消耗!$AT103)</f>
        <v>11</v>
      </c>
      <c r="AN103" s="14">
        <f>INDEX(挂机升级突破!DR$6:DR$57,卡牌消耗!$AT103)</f>
        <v>5</v>
      </c>
      <c r="AO103" s="14">
        <f>INDEX(挂机升级突破!DS$6:DS$57,卡牌消耗!$AT103)</f>
        <v>10</v>
      </c>
      <c r="AP103" s="14">
        <f>INDEX(挂机升级突破!$DP$6:$DP$57,卡牌消耗!AT103)</f>
        <v>135</v>
      </c>
      <c r="AQ103" s="14" t="str">
        <f t="shared" si="105"/>
        <v>许褚</v>
      </c>
      <c r="AR103" s="14">
        <f t="shared" si="106"/>
        <v>3</v>
      </c>
      <c r="AS103" s="14" t="str">
        <f t="shared" si="107"/>
        <v>许褚魂火-47</v>
      </c>
      <c r="AT103" s="14">
        <f t="shared" si="108"/>
        <v>47</v>
      </c>
      <c r="AU103" s="14" t="str">
        <f>IF(AM103&gt;0,INDEX(挂机升级突破!$DT$4:$ED$4,AM103),"")</f>
        <v>金币</v>
      </c>
      <c r="AV103" s="14">
        <f>ROUND(INDEX(挂机升级突破!$DJ$6:$DJ$57,卡牌消耗!AT103)*INDEX(卡牌消耗!$B$8:$F$8,AR103)/$Q$4/50,0)*50</f>
        <v>82050</v>
      </c>
      <c r="AW103" s="14" t="str">
        <f>IF(AN103&gt;0,INDEX(挂机升级突破!$DT$4:$ED$4,AN103),"")</f>
        <v>红色基础材料</v>
      </c>
      <c r="AX103" s="14">
        <f>ROUND(INDEX(挂机升级突破!$DT$6:$ED$57,卡牌消耗!AT103,AN103)*INDEX(卡牌消耗!$B$5:$F$5,AR103)/$Q$4/5,0)*5</f>
        <v>10</v>
      </c>
      <c r="AY103" s="14" t="str">
        <f>IF(AO103&gt;0,INDEX(挂机升级突破!$DT$4:$ED$4,AO103),"")</f>
        <v>灵玉</v>
      </c>
      <c r="AZ103" s="14">
        <f>IF(AO103&gt;0,ROUND(INDEX(挂机升级突破!$DT$6:$ED$57,卡牌消耗!AT103,AO103)*INDEX(卡牌消耗!$B$7:$F$7,AR103)/$Q$4,0),"")</f>
        <v>2</v>
      </c>
      <c r="BA103" s="106"/>
      <c r="BB103" s="197"/>
      <c r="BC103" s="197"/>
      <c r="BD103" s="197"/>
      <c r="BE103" s="197"/>
      <c r="BF103" s="197"/>
      <c r="BG103" s="197"/>
      <c r="BH103" s="197"/>
      <c r="BI103" s="197"/>
      <c r="BJ103" s="197"/>
      <c r="BK103" s="197"/>
      <c r="BL103" s="104">
        <v>99</v>
      </c>
      <c r="BM103" s="14">
        <f t="shared" si="109"/>
        <v>5</v>
      </c>
      <c r="BN103" s="14">
        <f>INDEX(挂机升级突破!$EI$7:$EI$26,BS103)</f>
        <v>5</v>
      </c>
      <c r="BO103" s="14">
        <f>INDEX(挂机升级突破!$EJ$7:$EJ$26,BS103)</f>
        <v>4</v>
      </c>
      <c r="BP103" s="14">
        <f t="shared" si="110"/>
        <v>3</v>
      </c>
      <c r="BQ103" s="14">
        <f>INDEX(挂机升级突破!$EH$7:$EH$26,卡牌消耗!BS103)</f>
        <v>132</v>
      </c>
      <c r="BR103" s="14" t="str">
        <f t="shared" si="111"/>
        <v>李轩辕</v>
      </c>
      <c r="BS103" s="14">
        <f t="shared" si="112"/>
        <v>19</v>
      </c>
      <c r="BT103" s="14" t="str">
        <f t="shared" si="113"/>
        <v>李轩辕19突</v>
      </c>
      <c r="BU103" s="14" t="str">
        <f>IF(BN103&gt;0,INDEX(挂机升级突破!$ER$5:$EV$5,卡牌消耗!BN103),"")</f>
        <v>金币</v>
      </c>
      <c r="BV103" s="14">
        <f>IF(BN103&gt;0,ROUND(INDEX(挂机升级突破!$EV$7:$EV$26,卡牌消耗!BS103)*INDEX(卡牌消耗!$B$8:$F$8,BP103)/$Q$4/500,0)*500,"")</f>
        <v>273500</v>
      </c>
      <c r="BW103" s="14" t="str">
        <f>IF(BO103&gt;0,INDEX(挂机升级突破!$ER$5:$EV$5,卡牌消耗!BO103),"")</f>
        <v>铀金</v>
      </c>
      <c r="BX103" s="14">
        <f>IF(BO103&gt;0,ROUND(INDEX(挂机升级突破!$ER$7:$EU$26,卡牌消耗!BS103,卡牌消耗!BO103)*INDEX($B$6:$F$6,BP103)/$Q$4/5,0)*5,"")</f>
        <v>35</v>
      </c>
      <c r="BY103" s="193"/>
      <c r="BZ103" s="193"/>
      <c r="CA103" s="106"/>
      <c r="CS103" s="171"/>
      <c r="CT103" s="171"/>
      <c r="CU103" s="171"/>
      <c r="CV103" s="169">
        <v>99</v>
      </c>
      <c r="CW103" s="169">
        <v>6</v>
      </c>
      <c r="CX103" s="21">
        <f t="shared" ref="CX103" si="185">CW103/$CU101</f>
        <v>0.21818181818181817</v>
      </c>
      <c r="CY103" s="169">
        <f t="shared" ref="CY103" si="186">INT($CU100*CX103/5)*5</f>
        <v>44255</v>
      </c>
      <c r="CZ103" s="169">
        <f>SUM(CY$5:CY103)</f>
        <v>1439825</v>
      </c>
      <c r="DB103" s="188">
        <f t="shared" si="184"/>
        <v>22100</v>
      </c>
      <c r="DC103" s="188">
        <f t="shared" si="184"/>
        <v>35400</v>
      </c>
      <c r="DD103" s="188">
        <f t="shared" si="184"/>
        <v>44250</v>
      </c>
      <c r="DE103" s="188">
        <f t="shared" si="184"/>
        <v>53100</v>
      </c>
      <c r="DF103" s="188">
        <f t="shared" si="184"/>
        <v>66350</v>
      </c>
      <c r="DI103" s="186">
        <v>99</v>
      </c>
      <c r="DJ103" s="14">
        <f t="shared" si="117"/>
        <v>20</v>
      </c>
      <c r="DK103" s="14">
        <f t="shared" si="99"/>
        <v>3</v>
      </c>
      <c r="DL103" s="14">
        <f t="shared" si="100"/>
        <v>1101023</v>
      </c>
      <c r="DM103" s="136" t="s">
        <v>1097</v>
      </c>
      <c r="DN103" s="14">
        <f t="shared" si="101"/>
        <v>4</v>
      </c>
      <c r="DO103" s="14" t="str">
        <f t="shared" si="102"/>
        <v>朱童-4星</v>
      </c>
      <c r="DP103" s="136" t="s">
        <v>1103</v>
      </c>
      <c r="DQ103" s="14">
        <f t="shared" si="118"/>
        <v>20000</v>
      </c>
      <c r="DR103" s="14" t="str">
        <f t="shared" si="103"/>
        <v>朱童碎片</v>
      </c>
      <c r="DS103" s="14">
        <f t="shared" si="119"/>
        <v>40</v>
      </c>
    </row>
    <row r="104" spans="1:123" ht="16.5" x14ac:dyDescent="0.2">
      <c r="A104" s="136">
        <v>1102028</v>
      </c>
      <c r="B104" s="136" t="s">
        <v>956</v>
      </c>
      <c r="C104" s="136">
        <v>5</v>
      </c>
      <c r="D104" s="136">
        <v>5</v>
      </c>
      <c r="E104" s="186">
        <f>SUM(D$52:D104)</f>
        <v>265</v>
      </c>
      <c r="H104" s="15"/>
      <c r="I104" s="15"/>
      <c r="J104" s="15"/>
      <c r="K104" s="15"/>
      <c r="L104" s="15"/>
      <c r="M104" s="15"/>
      <c r="N104" s="15"/>
      <c r="O104" s="137"/>
      <c r="P104" s="141"/>
      <c r="Q104" s="141"/>
      <c r="R104" s="141"/>
      <c r="S104" s="141"/>
      <c r="T104" s="141"/>
      <c r="U104" s="141"/>
      <c r="V104" s="141"/>
      <c r="W104" s="141"/>
      <c r="X104" s="141"/>
      <c r="Y104" s="141"/>
      <c r="Z104" s="196">
        <v>3</v>
      </c>
      <c r="AA104" s="196">
        <v>48</v>
      </c>
      <c r="AB104" s="14">
        <f>ROUND(INDEX(挂机升级突破!DT$6:DT$57,卡牌消耗!$AA104)*INDEX(卡牌消耗!$B$5:$F$5,卡牌消耗!$Z104)/卡牌消耗!$Q$4/AB$2,0)*AB$2</f>
        <v>0</v>
      </c>
      <c r="AC104" s="14">
        <f>ROUND(INDEX(挂机升级突破!DU$6:DU$57,卡牌消耗!$AA104)*INDEX(卡牌消耗!$B$5:$F$5,卡牌消耗!$Z104)/卡牌消耗!$Q$4/AC$2,0)*AC$2</f>
        <v>0</v>
      </c>
      <c r="AD104" s="14">
        <f>ROUND(INDEX(挂机升级突破!DV$6:DV$57,卡牌消耗!$AA104)*INDEX(卡牌消耗!$B$5:$F$5,卡牌消耗!$Z104)/卡牌消耗!$Q$4/AD$2,0)*AD$2</f>
        <v>0</v>
      </c>
      <c r="AE104" s="14">
        <f>ROUND(INDEX(挂机升级突破!DW$6:DW$57,卡牌消耗!$AA104)*INDEX(卡牌消耗!$B$5:$F$5,卡牌消耗!$Z104)/卡牌消耗!$Q$4/AE$2,0)*AE$2</f>
        <v>0</v>
      </c>
      <c r="AF104" s="14">
        <f>ROUND(INDEX(挂机升级突破!DX$6:DX$57,卡牌消耗!$AA104)*INDEX(卡牌消耗!$B$5:$F$5,卡牌消耗!$Z104)/卡牌消耗!$Q$4/AF$2,0)*AF$2</f>
        <v>10</v>
      </c>
      <c r="AG104" s="14">
        <f>ROUND(INDEX(挂机升级突破!EC$6:EC$57,卡牌消耗!$AA104)*INDEX(卡牌消耗!$B$7:$F$7,卡牌消耗!$Z104)/卡牌消耗!$Q$4/AG$2,0)*AG$2</f>
        <v>2</v>
      </c>
      <c r="AH104" s="14">
        <f>ROUND(INDEX(挂机升级突破!ED$6:ED$57,卡牌消耗!$AA104)*INDEX(卡牌消耗!$B$8:$F$8,卡牌消耗!$Z104)/卡牌消耗!$Q$4/AH$2,0)*AH$2</f>
        <v>82050</v>
      </c>
      <c r="AI104" s="194"/>
      <c r="AJ104" s="194"/>
      <c r="AK104" s="104">
        <v>100</v>
      </c>
      <c r="AL104" s="14">
        <f t="shared" si="104"/>
        <v>2</v>
      </c>
      <c r="AM104" s="14">
        <f>INDEX(挂机升级突破!DQ$6:DQ$57,卡牌消耗!$AT104)</f>
        <v>11</v>
      </c>
      <c r="AN104" s="14">
        <f>INDEX(挂机升级突破!DR$6:DR$57,卡牌消耗!$AT104)</f>
        <v>5</v>
      </c>
      <c r="AO104" s="14">
        <f>INDEX(挂机升级突破!DS$6:DS$57,卡牌消耗!$AT104)</f>
        <v>10</v>
      </c>
      <c r="AP104" s="14">
        <f>INDEX(挂机升级突破!$DP$6:$DP$57,卡牌消耗!AT104)</f>
        <v>138</v>
      </c>
      <c r="AQ104" s="14" t="str">
        <f t="shared" si="105"/>
        <v>许褚</v>
      </c>
      <c r="AR104" s="14">
        <f t="shared" si="106"/>
        <v>3</v>
      </c>
      <c r="AS104" s="14" t="str">
        <f t="shared" si="107"/>
        <v>许褚魂火-48</v>
      </c>
      <c r="AT104" s="14">
        <f t="shared" si="108"/>
        <v>48</v>
      </c>
      <c r="AU104" s="14" t="str">
        <f>IF(AM104&gt;0,INDEX(挂机升级突破!$DT$4:$ED$4,AM104),"")</f>
        <v>金币</v>
      </c>
      <c r="AV104" s="14">
        <f>ROUND(INDEX(挂机升级突破!$DJ$6:$DJ$57,卡牌消耗!AT104)*INDEX(卡牌消耗!$B$8:$F$8,AR104)/$Q$4/50,0)*50</f>
        <v>82050</v>
      </c>
      <c r="AW104" s="14" t="str">
        <f>IF(AN104&gt;0,INDEX(挂机升级突破!$DT$4:$ED$4,AN104),"")</f>
        <v>红色基础材料</v>
      </c>
      <c r="AX104" s="14">
        <f>ROUND(INDEX(挂机升级突破!$DT$6:$ED$57,卡牌消耗!AT104,AN104)*INDEX(卡牌消耗!$B$5:$F$5,AR104)/$Q$4/5,0)*5</f>
        <v>10</v>
      </c>
      <c r="AY104" s="14" t="str">
        <f>IF(AO104&gt;0,INDEX(挂机升级突破!$DT$4:$ED$4,AO104),"")</f>
        <v>灵玉</v>
      </c>
      <c r="AZ104" s="14">
        <f>IF(AO104&gt;0,ROUND(INDEX(挂机升级突破!$DT$6:$ED$57,卡牌消耗!AT104,AO104)*INDEX(卡牌消耗!$B$7:$F$7,AR104)/$Q$4,0),"")</f>
        <v>2</v>
      </c>
      <c r="BA104" s="106"/>
      <c r="BB104" s="197"/>
      <c r="BC104" s="197"/>
      <c r="BD104" s="197"/>
      <c r="BE104" s="197"/>
      <c r="BF104" s="197"/>
      <c r="BG104" s="197"/>
      <c r="BH104" s="197"/>
      <c r="BI104" s="197"/>
      <c r="BJ104" s="197"/>
      <c r="BK104" s="197"/>
      <c r="BL104" s="104">
        <v>100</v>
      </c>
      <c r="BM104" s="14">
        <f t="shared" si="109"/>
        <v>5</v>
      </c>
      <c r="BN104" s="14">
        <f>INDEX(挂机升级突破!$EI$7:$EI$26,BS104)</f>
        <v>5</v>
      </c>
      <c r="BO104" s="14">
        <f>INDEX(挂机升级突破!$EJ$7:$EJ$26,BS104)</f>
        <v>4</v>
      </c>
      <c r="BP104" s="14">
        <f t="shared" si="110"/>
        <v>3</v>
      </c>
      <c r="BQ104" s="14">
        <f>INDEX(挂机升级突破!$EH$7:$EH$26,卡牌消耗!BS104)</f>
        <v>140</v>
      </c>
      <c r="BR104" s="14" t="str">
        <f t="shared" si="111"/>
        <v>李轩辕</v>
      </c>
      <c r="BS104" s="14">
        <f t="shared" si="112"/>
        <v>20</v>
      </c>
      <c r="BT104" s="14" t="str">
        <f t="shared" si="113"/>
        <v>李轩辕20突</v>
      </c>
      <c r="BU104" s="14" t="str">
        <f>IF(BN104&gt;0,INDEX(挂机升级突破!$ER$5:$EV$5,卡牌消耗!BN104),"")</f>
        <v>金币</v>
      </c>
      <c r="BV104" s="14">
        <f>IF(BN104&gt;0,ROUND(INDEX(挂机升级突破!$EV$7:$EV$26,卡牌消耗!BS104)*INDEX(卡牌消耗!$B$8:$F$8,BP104)/$Q$4/500,0)*500,"")</f>
        <v>410500</v>
      </c>
      <c r="BW104" s="14" t="str">
        <f>IF(BO104&gt;0,INDEX(挂机升级突破!$ER$5:$EV$5,卡牌消耗!BO104),"")</f>
        <v>铀金</v>
      </c>
      <c r="BX104" s="14">
        <f>IF(BO104&gt;0,ROUND(INDEX(挂机升级突破!$ER$7:$EU$26,卡牌消耗!BS104,卡牌消耗!BO104)*INDEX($B$6:$F$6,BP104)/$Q$4/5,0)*5,"")</f>
        <v>40</v>
      </c>
      <c r="BY104" s="193"/>
      <c r="BZ104" s="193"/>
      <c r="CA104" s="106"/>
      <c r="CS104" s="171"/>
      <c r="CT104" s="173" t="s">
        <v>120</v>
      </c>
      <c r="CU104" s="169">
        <v>19</v>
      </c>
      <c r="CV104" s="169">
        <v>100</v>
      </c>
      <c r="CW104" s="169">
        <v>5</v>
      </c>
      <c r="CX104" s="21">
        <f t="shared" ref="CX104" si="187">CW104/$CU106</f>
        <v>0.18181818181818182</v>
      </c>
      <c r="CY104" s="169">
        <f t="shared" ref="CY104" si="188">INT($CU105*CX104/5)*5</f>
        <v>41120</v>
      </c>
      <c r="CZ104" s="169">
        <f>SUM(CY$5:CY104)</f>
        <v>1480945</v>
      </c>
      <c r="DB104" s="188">
        <f t="shared" si="184"/>
        <v>20550</v>
      </c>
      <c r="DC104" s="188">
        <f t="shared" si="184"/>
        <v>32850</v>
      </c>
      <c r="DD104" s="188">
        <f t="shared" si="184"/>
        <v>41100</v>
      </c>
      <c r="DE104" s="188">
        <f t="shared" si="184"/>
        <v>49300</v>
      </c>
      <c r="DF104" s="188">
        <f t="shared" si="184"/>
        <v>61650</v>
      </c>
      <c r="DI104" s="186">
        <v>100</v>
      </c>
      <c r="DJ104" s="14">
        <f t="shared" si="117"/>
        <v>20</v>
      </c>
      <c r="DK104" s="14">
        <f t="shared" si="99"/>
        <v>3</v>
      </c>
      <c r="DL104" s="14">
        <f t="shared" si="100"/>
        <v>1101023</v>
      </c>
      <c r="DM104" s="136" t="s">
        <v>1097</v>
      </c>
      <c r="DN104" s="14">
        <f t="shared" si="101"/>
        <v>5</v>
      </c>
      <c r="DO104" s="14" t="str">
        <f t="shared" si="102"/>
        <v>朱童-5星</v>
      </c>
      <c r="DP104" s="136" t="s">
        <v>1103</v>
      </c>
      <c r="DQ104" s="14">
        <f t="shared" si="118"/>
        <v>40000</v>
      </c>
      <c r="DR104" s="14" t="str">
        <f t="shared" si="103"/>
        <v>朱童碎片</v>
      </c>
      <c r="DS104" s="14">
        <f t="shared" si="119"/>
        <v>40</v>
      </c>
    </row>
    <row r="105" spans="1:123" ht="16.5" x14ac:dyDescent="0.2">
      <c r="A105" s="136">
        <v>1102030</v>
      </c>
      <c r="B105" s="136" t="s">
        <v>957</v>
      </c>
      <c r="C105" s="136">
        <v>3</v>
      </c>
      <c r="D105" s="136">
        <v>5</v>
      </c>
      <c r="E105" s="186">
        <f>SUM(D$52:D105)</f>
        <v>270</v>
      </c>
      <c r="H105" s="15"/>
      <c r="I105" s="15"/>
      <c r="J105" s="15"/>
      <c r="K105" s="15"/>
      <c r="L105" s="15"/>
      <c r="M105" s="15"/>
      <c r="N105" s="15"/>
      <c r="O105" s="137"/>
      <c r="P105" s="141"/>
      <c r="Q105" s="141"/>
      <c r="R105" s="141"/>
      <c r="S105" s="141"/>
      <c r="T105" s="141"/>
      <c r="U105" s="141"/>
      <c r="V105" s="141"/>
      <c r="W105" s="141"/>
      <c r="X105" s="141"/>
      <c r="Y105" s="141"/>
      <c r="Z105" s="196">
        <v>3</v>
      </c>
      <c r="AA105" s="196">
        <v>49</v>
      </c>
      <c r="AB105" s="14">
        <f>ROUND(INDEX(挂机升级突破!DT$6:DT$57,卡牌消耗!$AA105)*INDEX(卡牌消耗!$B$5:$F$5,卡牌消耗!$Z105)/卡牌消耗!$Q$4/AB$2,0)*AB$2</f>
        <v>0</v>
      </c>
      <c r="AC105" s="14">
        <f>ROUND(INDEX(挂机升级突破!DU$6:DU$57,卡牌消耗!$AA105)*INDEX(卡牌消耗!$B$5:$F$5,卡牌消耗!$Z105)/卡牌消耗!$Q$4/AC$2,0)*AC$2</f>
        <v>0</v>
      </c>
      <c r="AD105" s="14">
        <f>ROUND(INDEX(挂机升级突破!DV$6:DV$57,卡牌消耗!$AA105)*INDEX(卡牌消耗!$B$5:$F$5,卡牌消耗!$Z105)/卡牌消耗!$Q$4/AD$2,0)*AD$2</f>
        <v>0</v>
      </c>
      <c r="AE105" s="14">
        <f>ROUND(INDEX(挂机升级突破!DW$6:DW$57,卡牌消耗!$AA105)*INDEX(卡牌消耗!$B$5:$F$5,卡牌消耗!$Z105)/卡牌消耗!$Q$4/AE$2,0)*AE$2</f>
        <v>0</v>
      </c>
      <c r="AF105" s="14">
        <f>ROUND(INDEX(挂机升级突破!DX$6:DX$57,卡牌消耗!$AA105)*INDEX(卡牌消耗!$B$5:$F$5,卡牌消耗!$Z105)/卡牌消耗!$Q$4/AF$2,0)*AF$2</f>
        <v>15</v>
      </c>
      <c r="AG105" s="14">
        <f>ROUND(INDEX(挂机升级突破!EC$6:EC$57,卡牌消耗!$AA105)*INDEX(卡牌消耗!$B$7:$F$7,卡牌消耗!$Z105)/卡牌消耗!$Q$4/AG$2,0)*AG$2</f>
        <v>2</v>
      </c>
      <c r="AH105" s="14">
        <f>ROUND(INDEX(挂机升级突破!ED$6:ED$57,卡牌消耗!$AA105)*INDEX(卡牌消耗!$B$8:$F$8,卡牌消耗!$Z105)/卡牌消耗!$Q$4/AH$2,0)*AH$2</f>
        <v>82050</v>
      </c>
      <c r="AI105" s="194"/>
      <c r="AJ105" s="194"/>
      <c r="AK105" s="104">
        <v>101</v>
      </c>
      <c r="AL105" s="14">
        <f t="shared" si="104"/>
        <v>2</v>
      </c>
      <c r="AM105" s="14">
        <f>INDEX(挂机升级突破!DQ$6:DQ$57,卡牌消耗!$AT105)</f>
        <v>11</v>
      </c>
      <c r="AN105" s="14">
        <f>INDEX(挂机升级突破!DR$6:DR$57,卡牌消耗!$AT105)</f>
        <v>5</v>
      </c>
      <c r="AO105" s="14">
        <f>INDEX(挂机升级突破!DS$6:DS$57,卡牌消耗!$AT105)</f>
        <v>10</v>
      </c>
      <c r="AP105" s="14">
        <f>INDEX(挂机升级突破!$DP$6:$DP$57,卡牌消耗!AT105)</f>
        <v>140</v>
      </c>
      <c r="AQ105" s="14" t="str">
        <f t="shared" si="105"/>
        <v>许褚</v>
      </c>
      <c r="AR105" s="14">
        <f t="shared" si="106"/>
        <v>3</v>
      </c>
      <c r="AS105" s="14" t="str">
        <f t="shared" si="107"/>
        <v>许褚魂火-49</v>
      </c>
      <c r="AT105" s="14">
        <f t="shared" si="108"/>
        <v>49</v>
      </c>
      <c r="AU105" s="14" t="str">
        <f>IF(AM105&gt;0,INDEX(挂机升级突破!$DT$4:$ED$4,AM105),"")</f>
        <v>金币</v>
      </c>
      <c r="AV105" s="14">
        <f>ROUND(INDEX(挂机升级突破!$DJ$6:$DJ$57,卡牌消耗!AT105)*INDEX(卡牌消耗!$B$8:$F$8,AR105)/$Q$4/50,0)*50</f>
        <v>82050</v>
      </c>
      <c r="AW105" s="14" t="str">
        <f>IF(AN105&gt;0,INDEX(挂机升级突破!$DT$4:$ED$4,AN105),"")</f>
        <v>红色基础材料</v>
      </c>
      <c r="AX105" s="14">
        <f>ROUND(INDEX(挂机升级突破!$DT$6:$ED$57,卡牌消耗!AT105,AN105)*INDEX(卡牌消耗!$B$5:$F$5,AR105)/$Q$4/5,0)*5</f>
        <v>15</v>
      </c>
      <c r="AY105" s="14" t="str">
        <f>IF(AO105&gt;0,INDEX(挂机升级突破!$DT$4:$ED$4,AO105),"")</f>
        <v>灵玉</v>
      </c>
      <c r="AZ105" s="14">
        <f>IF(AO105&gt;0,ROUND(INDEX(挂机升级突破!$DT$6:$ED$57,卡牌消耗!AT105,AO105)*INDEX(卡牌消耗!$B$7:$F$7,AR105)/$Q$4,0),"")</f>
        <v>2</v>
      </c>
      <c r="BA105" s="106"/>
      <c r="BB105" s="197"/>
      <c r="BC105" s="197"/>
      <c r="BD105" s="197"/>
      <c r="BE105" s="197"/>
      <c r="BF105" s="197"/>
      <c r="BG105" s="197"/>
      <c r="BH105" s="197"/>
      <c r="BI105" s="197"/>
      <c r="BJ105" s="197"/>
      <c r="BK105" s="197"/>
      <c r="BL105" s="104">
        <v>101</v>
      </c>
      <c r="BM105" s="14">
        <f t="shared" si="109"/>
        <v>6</v>
      </c>
      <c r="BN105" s="14">
        <f>INDEX(挂机升级突破!$EI$7:$EI$26,BS105)</f>
        <v>0</v>
      </c>
      <c r="BO105" s="14">
        <f>INDEX(挂机升级突破!$EJ$7:$EJ$26,BS105)</f>
        <v>0</v>
      </c>
      <c r="BP105" s="14">
        <f t="shared" si="110"/>
        <v>5</v>
      </c>
      <c r="BQ105" s="14">
        <f>INDEX(挂机升级突破!$EH$7:$EH$26,卡牌消耗!BS105)</f>
        <v>1</v>
      </c>
      <c r="BR105" s="14" t="str">
        <f t="shared" si="111"/>
        <v>项羽</v>
      </c>
      <c r="BS105" s="14">
        <f t="shared" si="112"/>
        <v>1</v>
      </c>
      <c r="BT105" s="14" t="str">
        <f t="shared" si="113"/>
        <v>项羽1突</v>
      </c>
      <c r="BU105" s="14" t="str">
        <f>IF(BN105&gt;0,INDEX(挂机升级突破!$ER$5:$EV$5,卡牌消耗!BN105),"")</f>
        <v/>
      </c>
      <c r="BV105" s="14" t="str">
        <f>IF(BN105&gt;0,ROUND(INDEX(挂机升级突破!$EV$7:$EV$26,卡牌消耗!BS105)*INDEX(卡牌消耗!$B$8:$F$8,BP105)/$Q$4/500,0)*500,"")</f>
        <v/>
      </c>
      <c r="BW105" s="14" t="str">
        <f>IF(BO105&gt;0,INDEX(挂机升级突破!$ER$5:$EV$5,卡牌消耗!BO105),"")</f>
        <v/>
      </c>
      <c r="BX105" s="14" t="str">
        <f>IF(BO105&gt;0,ROUND(INDEX(挂机升级突破!$ER$7:$EU$26,卡牌消耗!BS105,卡牌消耗!BO105)*INDEX($B$6:$F$6,BP105)/$Q$4/5,0)*5,"")</f>
        <v/>
      </c>
      <c r="BY105" s="193"/>
      <c r="BZ105" s="193"/>
      <c r="CA105" s="106"/>
      <c r="CS105" s="171"/>
      <c r="CT105" s="171"/>
      <c r="CU105" s="14">
        <f>INDEX($CP$5:$CP$32,CU104)</f>
        <v>226166</v>
      </c>
      <c r="CV105" s="169">
        <v>101</v>
      </c>
      <c r="CW105" s="169">
        <v>5.25</v>
      </c>
      <c r="CX105" s="21">
        <f t="shared" ref="CX105" si="189">CW105/$CU106</f>
        <v>0.19090909090909092</v>
      </c>
      <c r="CY105" s="169">
        <f t="shared" ref="CY105" si="190">INT($CU105*CX105/5)*5</f>
        <v>43175</v>
      </c>
      <c r="CZ105" s="169">
        <f>SUM(CY$5:CY105)</f>
        <v>1524120</v>
      </c>
      <c r="DB105" s="188">
        <f t="shared" si="184"/>
        <v>21550</v>
      </c>
      <c r="DC105" s="188">
        <f t="shared" si="184"/>
        <v>34500</v>
      </c>
      <c r="DD105" s="188">
        <f t="shared" si="184"/>
        <v>43150</v>
      </c>
      <c r="DE105" s="188">
        <f t="shared" si="184"/>
        <v>51800</v>
      </c>
      <c r="DF105" s="188">
        <f t="shared" si="184"/>
        <v>64750</v>
      </c>
      <c r="DI105" s="186">
        <v>101</v>
      </c>
      <c r="DJ105" s="14">
        <f t="shared" si="117"/>
        <v>21</v>
      </c>
      <c r="DK105" s="14">
        <f t="shared" si="99"/>
        <v>4</v>
      </c>
      <c r="DL105" s="14">
        <f t="shared" si="100"/>
        <v>1101026</v>
      </c>
      <c r="DM105" s="136" t="s">
        <v>1097</v>
      </c>
      <c r="DN105" s="14">
        <f t="shared" si="101"/>
        <v>1</v>
      </c>
      <c r="DO105" s="14" t="str">
        <f t="shared" si="102"/>
        <v>貂灵芸-1星</v>
      </c>
      <c r="DP105" s="136" t="s">
        <v>1103</v>
      </c>
      <c r="DQ105" s="14">
        <f t="shared" si="118"/>
        <v>6000</v>
      </c>
      <c r="DR105" s="14" t="str">
        <f t="shared" si="103"/>
        <v>貂灵芸碎片</v>
      </c>
      <c r="DS105" s="14">
        <f t="shared" si="119"/>
        <v>80</v>
      </c>
    </row>
    <row r="106" spans="1:123" ht="16.5" x14ac:dyDescent="0.2">
      <c r="A106" s="136">
        <v>1102031</v>
      </c>
      <c r="B106" s="136" t="s">
        <v>958</v>
      </c>
      <c r="C106" s="136">
        <v>4</v>
      </c>
      <c r="D106" s="136">
        <v>5</v>
      </c>
      <c r="E106" s="186">
        <f>SUM(D$52:D106)</f>
        <v>275</v>
      </c>
      <c r="H106" s="15"/>
      <c r="I106" s="15"/>
      <c r="J106" s="15"/>
      <c r="K106" s="15"/>
      <c r="L106" s="15"/>
      <c r="M106" s="15"/>
      <c r="N106" s="15"/>
      <c r="O106" s="137"/>
      <c r="P106" s="141"/>
      <c r="Q106" s="141"/>
      <c r="R106" s="141"/>
      <c r="S106" s="141"/>
      <c r="T106" s="141"/>
      <c r="U106" s="141"/>
      <c r="V106" s="141"/>
      <c r="W106" s="141"/>
      <c r="X106" s="141"/>
      <c r="Y106" s="141"/>
      <c r="Z106" s="196">
        <v>3</v>
      </c>
      <c r="AA106" s="196">
        <v>50</v>
      </c>
      <c r="AB106" s="14">
        <f>ROUND(INDEX(挂机升级突破!DT$6:DT$57,卡牌消耗!$AA106)*INDEX(卡牌消耗!$B$5:$F$5,卡牌消耗!$Z106)/卡牌消耗!$Q$4/AB$2,0)*AB$2</f>
        <v>0</v>
      </c>
      <c r="AC106" s="14">
        <f>ROUND(INDEX(挂机升级突破!DU$6:DU$57,卡牌消耗!$AA106)*INDEX(卡牌消耗!$B$5:$F$5,卡牌消耗!$Z106)/卡牌消耗!$Q$4/AC$2,0)*AC$2</f>
        <v>0</v>
      </c>
      <c r="AD106" s="14">
        <f>ROUND(INDEX(挂机升级突破!DV$6:DV$57,卡牌消耗!$AA106)*INDEX(卡牌消耗!$B$5:$F$5,卡牌消耗!$Z106)/卡牌消耗!$Q$4/AD$2,0)*AD$2</f>
        <v>0</v>
      </c>
      <c r="AE106" s="14">
        <f>ROUND(INDEX(挂机升级突破!DW$6:DW$57,卡牌消耗!$AA106)*INDEX(卡牌消耗!$B$5:$F$5,卡牌消耗!$Z106)/卡牌消耗!$Q$4/AE$2,0)*AE$2</f>
        <v>0</v>
      </c>
      <c r="AF106" s="14">
        <f>ROUND(INDEX(挂机升级突破!DX$6:DX$57,卡牌消耗!$AA106)*INDEX(卡牌消耗!$B$5:$F$5,卡牌消耗!$Z106)/卡牌消耗!$Q$4/AF$2,0)*AF$2</f>
        <v>15</v>
      </c>
      <c r="AG106" s="14">
        <f>ROUND(INDEX(挂机升级突破!EC$6:EC$57,卡牌消耗!$AA106)*INDEX(卡牌消耗!$B$7:$F$7,卡牌消耗!$Z106)/卡牌消耗!$Q$4/AG$2,0)*AG$2</f>
        <v>2</v>
      </c>
      <c r="AH106" s="14">
        <f>ROUND(INDEX(挂机升级突破!ED$6:ED$57,卡牌消耗!$AA106)*INDEX(卡牌消耗!$B$8:$F$8,卡牌消耗!$Z106)/卡牌消耗!$Q$4/AH$2,0)*AH$2</f>
        <v>136750</v>
      </c>
      <c r="AI106" s="194"/>
      <c r="AJ106" s="194"/>
      <c r="AK106" s="104">
        <v>102</v>
      </c>
      <c r="AL106" s="14">
        <f t="shared" si="104"/>
        <v>2</v>
      </c>
      <c r="AM106" s="14">
        <f>INDEX(挂机升级突破!DQ$6:DQ$57,卡牌消耗!$AT106)</f>
        <v>11</v>
      </c>
      <c r="AN106" s="14">
        <f>INDEX(挂机升级突破!DR$6:DR$57,卡牌消耗!$AT106)</f>
        <v>5</v>
      </c>
      <c r="AO106" s="14">
        <f>INDEX(挂机升级突破!DS$6:DS$57,卡牌消耗!$AT106)</f>
        <v>10</v>
      </c>
      <c r="AP106" s="14">
        <f>INDEX(挂机升级突破!$DP$6:$DP$57,卡牌消耗!AT106)</f>
        <v>143</v>
      </c>
      <c r="AQ106" s="14" t="str">
        <f t="shared" si="105"/>
        <v>许褚</v>
      </c>
      <c r="AR106" s="14">
        <f t="shared" si="106"/>
        <v>3</v>
      </c>
      <c r="AS106" s="14" t="str">
        <f t="shared" si="107"/>
        <v>许褚魂火-50</v>
      </c>
      <c r="AT106" s="14">
        <f t="shared" si="108"/>
        <v>50</v>
      </c>
      <c r="AU106" s="14" t="str">
        <f>IF(AM106&gt;0,INDEX(挂机升级突破!$DT$4:$ED$4,AM106),"")</f>
        <v>金币</v>
      </c>
      <c r="AV106" s="14">
        <f>ROUND(INDEX(挂机升级突破!$DJ$6:$DJ$57,卡牌消耗!AT106)*INDEX(卡牌消耗!$B$8:$F$8,AR106)/$Q$4/50,0)*50</f>
        <v>136750</v>
      </c>
      <c r="AW106" s="14" t="str">
        <f>IF(AN106&gt;0,INDEX(挂机升级突破!$DT$4:$ED$4,AN106),"")</f>
        <v>红色基础材料</v>
      </c>
      <c r="AX106" s="14">
        <f>ROUND(INDEX(挂机升级突破!$DT$6:$ED$57,卡牌消耗!AT106,AN106)*INDEX(卡牌消耗!$B$5:$F$5,AR106)/$Q$4/5,0)*5</f>
        <v>15</v>
      </c>
      <c r="AY106" s="14" t="str">
        <f>IF(AO106&gt;0,INDEX(挂机升级突破!$DT$4:$ED$4,AO106),"")</f>
        <v>灵玉</v>
      </c>
      <c r="AZ106" s="14">
        <f>IF(AO106&gt;0,ROUND(INDEX(挂机升级突破!$DT$6:$ED$57,卡牌消耗!AT106,AO106)*INDEX(卡牌消耗!$B$7:$F$7,AR106)/$Q$4,0),"")</f>
        <v>2</v>
      </c>
      <c r="BA106" s="106"/>
      <c r="BB106" s="197"/>
      <c r="BC106" s="197"/>
      <c r="BD106" s="197"/>
      <c r="BE106" s="197"/>
      <c r="BF106" s="197"/>
      <c r="BG106" s="197"/>
      <c r="BH106" s="197"/>
      <c r="BI106" s="197"/>
      <c r="BJ106" s="197"/>
      <c r="BK106" s="197"/>
      <c r="BL106" s="104">
        <v>102</v>
      </c>
      <c r="BM106" s="14">
        <f t="shared" si="109"/>
        <v>6</v>
      </c>
      <c r="BN106" s="14">
        <f>INDEX(挂机升级突破!$EI$7:$EI$26,BS106)</f>
        <v>5</v>
      </c>
      <c r="BO106" s="14">
        <f>INDEX(挂机升级突破!$EJ$7:$EJ$26,BS106)</f>
        <v>1</v>
      </c>
      <c r="BP106" s="14">
        <f t="shared" si="110"/>
        <v>5</v>
      </c>
      <c r="BQ106" s="14">
        <f>INDEX(挂机升级突破!$EH$7:$EH$26,卡牌消耗!BS106)</f>
        <v>5</v>
      </c>
      <c r="BR106" s="14" t="str">
        <f t="shared" si="111"/>
        <v>项羽</v>
      </c>
      <c r="BS106" s="14">
        <f t="shared" si="112"/>
        <v>2</v>
      </c>
      <c r="BT106" s="14" t="str">
        <f t="shared" si="113"/>
        <v>项羽2突</v>
      </c>
      <c r="BU106" s="14" t="str">
        <f>IF(BN106&gt;0,INDEX(挂机升级突破!$ER$5:$EV$5,卡牌消耗!BN106),"")</f>
        <v>金币</v>
      </c>
      <c r="BV106" s="14">
        <f>IF(BN106&gt;0,ROUND(INDEX(挂机升级突破!$EV$7:$EV$26,卡牌消耗!BS106)*INDEX(卡牌消耗!$B$8:$F$8,BP106)/$Q$4/500,0)*500,"")</f>
        <v>6500</v>
      </c>
      <c r="BW106" s="14" t="str">
        <f>IF(BO106&gt;0,INDEX(挂机升级突破!$ER$5:$EV$5,卡牌消耗!BO106),"")</f>
        <v>玄铁</v>
      </c>
      <c r="BX106" s="14">
        <f>IF(BO106&gt;0,ROUND(INDEX(挂机升级突破!$ER$7:$EU$26,卡牌消耗!BS106,卡牌消耗!BO106)*INDEX($B$6:$F$6,BP106)/$Q$4,0),"")</f>
        <v>2</v>
      </c>
      <c r="BY106" s="193"/>
      <c r="BZ106" s="193"/>
      <c r="CA106" s="106"/>
      <c r="CS106" s="171"/>
      <c r="CT106" s="170"/>
      <c r="CU106" s="14">
        <f>SUMIFS($CW$5:$CW$154,$CV$5:$CV$154,"&gt;="&amp;INDEX($CE$5:$CE$32,CU104),$CV$5:$CV$154,"&lt;"&amp;INDEX($CF$5:$CF$32,CU104))</f>
        <v>27.5</v>
      </c>
      <c r="CV106" s="169">
        <v>102</v>
      </c>
      <c r="CW106" s="169">
        <v>5.5</v>
      </c>
      <c r="CX106" s="21">
        <f t="shared" ref="CX106" si="191">CW106/$CU106</f>
        <v>0.2</v>
      </c>
      <c r="CY106" s="169">
        <f t="shared" ref="CY106" si="192">INT($CU105*CX106/5)*5</f>
        <v>45230</v>
      </c>
      <c r="CZ106" s="169">
        <f>SUM(CY$5:CY106)</f>
        <v>1569350</v>
      </c>
      <c r="DB106" s="188">
        <f t="shared" si="184"/>
        <v>22600</v>
      </c>
      <c r="DC106" s="188">
        <f t="shared" si="184"/>
        <v>36150</v>
      </c>
      <c r="DD106" s="188">
        <f t="shared" si="184"/>
        <v>45200</v>
      </c>
      <c r="DE106" s="188">
        <f t="shared" si="184"/>
        <v>54250</v>
      </c>
      <c r="DF106" s="188">
        <f t="shared" si="184"/>
        <v>67800</v>
      </c>
      <c r="DI106" s="186">
        <v>102</v>
      </c>
      <c r="DJ106" s="14">
        <f t="shared" si="117"/>
        <v>21</v>
      </c>
      <c r="DK106" s="14">
        <f t="shared" si="99"/>
        <v>4</v>
      </c>
      <c r="DL106" s="14">
        <f t="shared" si="100"/>
        <v>1101026</v>
      </c>
      <c r="DM106" s="136" t="s">
        <v>1097</v>
      </c>
      <c r="DN106" s="14">
        <f t="shared" si="101"/>
        <v>2</v>
      </c>
      <c r="DO106" s="14" t="str">
        <f t="shared" si="102"/>
        <v>貂灵芸-2星</v>
      </c>
      <c r="DP106" s="136" t="s">
        <v>1103</v>
      </c>
      <c r="DQ106" s="14">
        <f t="shared" si="118"/>
        <v>8000</v>
      </c>
      <c r="DR106" s="14" t="str">
        <f t="shared" si="103"/>
        <v>貂灵芸碎片</v>
      </c>
      <c r="DS106" s="14">
        <f t="shared" si="119"/>
        <v>80</v>
      </c>
    </row>
    <row r="107" spans="1:123" ht="16.5" x14ac:dyDescent="0.2">
      <c r="A107" s="186">
        <v>1102999</v>
      </c>
      <c r="B107" s="186" t="s">
        <v>1566</v>
      </c>
      <c r="C107" s="186">
        <v>2</v>
      </c>
      <c r="D107" s="186">
        <v>5</v>
      </c>
      <c r="E107" s="186">
        <f>SUM(D$52:D107)</f>
        <v>280</v>
      </c>
      <c r="H107" s="15"/>
      <c r="I107" s="15"/>
      <c r="J107" s="15"/>
      <c r="K107" s="15"/>
      <c r="L107" s="15"/>
      <c r="M107" s="15"/>
      <c r="N107" s="15"/>
      <c r="O107" s="137"/>
      <c r="P107" s="141"/>
      <c r="Q107" s="141"/>
      <c r="R107" s="141"/>
      <c r="S107" s="141"/>
      <c r="T107" s="141"/>
      <c r="U107" s="141"/>
      <c r="V107" s="141"/>
      <c r="W107" s="141"/>
      <c r="X107" s="141"/>
      <c r="Y107" s="141"/>
      <c r="Z107" s="196">
        <v>3</v>
      </c>
      <c r="AA107" s="196">
        <v>51</v>
      </c>
      <c r="AB107" s="14">
        <f>ROUND(INDEX(挂机升级突破!DT$6:DT$57,卡牌消耗!$AA107)*INDEX(卡牌消耗!$B$5:$F$5,卡牌消耗!$Z107)/卡牌消耗!$Q$4/AB$2,0)*AB$2</f>
        <v>0</v>
      </c>
      <c r="AC107" s="14">
        <f>ROUND(INDEX(挂机升级突破!DU$6:DU$57,卡牌消耗!$AA107)*INDEX(卡牌消耗!$B$5:$F$5,卡牌消耗!$Z107)/卡牌消耗!$Q$4/AC$2,0)*AC$2</f>
        <v>0</v>
      </c>
      <c r="AD107" s="14">
        <f>ROUND(INDEX(挂机升级突破!DV$6:DV$57,卡牌消耗!$AA107)*INDEX(卡牌消耗!$B$5:$F$5,卡牌消耗!$Z107)/卡牌消耗!$Q$4/AD$2,0)*AD$2</f>
        <v>0</v>
      </c>
      <c r="AE107" s="14">
        <f>ROUND(INDEX(挂机升级突破!DW$6:DW$57,卡牌消耗!$AA107)*INDEX(卡牌消耗!$B$5:$F$5,卡牌消耗!$Z107)/卡牌消耗!$Q$4/AE$2,0)*AE$2</f>
        <v>0</v>
      </c>
      <c r="AF107" s="14">
        <f>ROUND(INDEX(挂机升级突破!DX$6:DX$57,卡牌消耗!$AA107)*INDEX(卡牌消耗!$B$5:$F$5,卡牌消耗!$Z107)/卡牌消耗!$Q$4/AF$2,0)*AF$2</f>
        <v>15</v>
      </c>
      <c r="AG107" s="14">
        <f>ROUND(INDEX(挂机升级突破!EC$6:EC$57,卡牌消耗!$AA107)*INDEX(卡牌消耗!$B$7:$F$7,卡牌消耗!$Z107)/卡牌消耗!$Q$4/AG$2,0)*AG$2</f>
        <v>2</v>
      </c>
      <c r="AH107" s="14">
        <f>ROUND(INDEX(挂机升级突破!ED$6:ED$57,卡牌消耗!$AA107)*INDEX(卡牌消耗!$B$8:$F$8,卡牌消耗!$Z107)/卡牌消耗!$Q$4/AH$2,0)*AH$2</f>
        <v>150450</v>
      </c>
      <c r="AI107" s="194"/>
      <c r="AJ107" s="194"/>
      <c r="AK107" s="104">
        <v>103</v>
      </c>
      <c r="AL107" s="14">
        <f t="shared" si="104"/>
        <v>2</v>
      </c>
      <c r="AM107" s="14">
        <f>INDEX(挂机升级突破!DQ$6:DQ$57,卡牌消耗!$AT107)</f>
        <v>11</v>
      </c>
      <c r="AN107" s="14">
        <f>INDEX(挂机升级突破!DR$6:DR$57,卡牌消耗!$AT107)</f>
        <v>5</v>
      </c>
      <c r="AO107" s="14">
        <f>INDEX(挂机升级突破!DS$6:DS$57,卡牌消耗!$AT107)</f>
        <v>10</v>
      </c>
      <c r="AP107" s="14">
        <f>INDEX(挂机升级突破!$DP$6:$DP$57,卡牌消耗!AT107)</f>
        <v>145</v>
      </c>
      <c r="AQ107" s="14" t="str">
        <f t="shared" si="105"/>
        <v>许褚</v>
      </c>
      <c r="AR107" s="14">
        <f t="shared" si="106"/>
        <v>3</v>
      </c>
      <c r="AS107" s="14" t="str">
        <f t="shared" si="107"/>
        <v>许褚魂火-51</v>
      </c>
      <c r="AT107" s="14">
        <f t="shared" si="108"/>
        <v>51</v>
      </c>
      <c r="AU107" s="14" t="str">
        <f>IF(AM107&gt;0,INDEX(挂机升级突破!$DT$4:$ED$4,AM107),"")</f>
        <v>金币</v>
      </c>
      <c r="AV107" s="14">
        <f>ROUND(INDEX(挂机升级突破!$DJ$6:$DJ$57,卡牌消耗!AT107)*INDEX(卡牌消耗!$B$8:$F$8,AR107)/$Q$4/50,0)*50</f>
        <v>150450</v>
      </c>
      <c r="AW107" s="14" t="str">
        <f>IF(AN107&gt;0,INDEX(挂机升级突破!$DT$4:$ED$4,AN107),"")</f>
        <v>红色基础材料</v>
      </c>
      <c r="AX107" s="14">
        <f>ROUND(INDEX(挂机升级突破!$DT$6:$ED$57,卡牌消耗!AT107,AN107)*INDEX(卡牌消耗!$B$5:$F$5,AR107)/$Q$4/5,0)*5</f>
        <v>15</v>
      </c>
      <c r="AY107" s="14" t="str">
        <f>IF(AO107&gt;0,INDEX(挂机升级突破!$DT$4:$ED$4,AO107),"")</f>
        <v>灵玉</v>
      </c>
      <c r="AZ107" s="14">
        <f>IF(AO107&gt;0,ROUND(INDEX(挂机升级突破!$DT$6:$ED$57,卡牌消耗!AT107,AO107)*INDEX(卡牌消耗!$B$7:$F$7,AR107)/$Q$4,0),"")</f>
        <v>2</v>
      </c>
      <c r="BA107" s="106"/>
      <c r="BB107" s="197"/>
      <c r="BC107" s="197"/>
      <c r="BD107" s="197"/>
      <c r="BE107" s="197"/>
      <c r="BF107" s="197"/>
      <c r="BG107" s="197"/>
      <c r="BH107" s="197"/>
      <c r="BI107" s="197"/>
      <c r="BJ107" s="197"/>
      <c r="BK107" s="197"/>
      <c r="BL107" s="104">
        <v>103</v>
      </c>
      <c r="BM107" s="14">
        <f t="shared" si="109"/>
        <v>6</v>
      </c>
      <c r="BN107" s="14">
        <f>INDEX(挂机升级突破!$EI$7:$EI$26,BS107)</f>
        <v>5</v>
      </c>
      <c r="BO107" s="14">
        <f>INDEX(挂机升级突破!$EJ$7:$EJ$26,BS107)</f>
        <v>1</v>
      </c>
      <c r="BP107" s="14">
        <f t="shared" si="110"/>
        <v>5</v>
      </c>
      <c r="BQ107" s="14">
        <f>INDEX(挂机升级突破!$EH$7:$EH$26,卡牌消耗!BS107)</f>
        <v>15</v>
      </c>
      <c r="BR107" s="14" t="str">
        <f t="shared" si="111"/>
        <v>项羽</v>
      </c>
      <c r="BS107" s="14">
        <f t="shared" si="112"/>
        <v>3</v>
      </c>
      <c r="BT107" s="14" t="str">
        <f t="shared" si="113"/>
        <v>项羽3突</v>
      </c>
      <c r="BU107" s="14" t="str">
        <f>IF(BN107&gt;0,INDEX(挂机升级突破!$ER$5:$EV$5,卡牌消耗!BN107),"")</f>
        <v>金币</v>
      </c>
      <c r="BV107" s="14">
        <f>IF(BN107&gt;0,ROUND(INDEX(挂机升级突破!$EV$7:$EV$26,卡牌消耗!BS107)*INDEX(卡牌消耗!$B$8:$F$8,BP107)/$Q$4/500,0)*500,"")</f>
        <v>6500</v>
      </c>
      <c r="BW107" s="14" t="str">
        <f>IF(BO107&gt;0,INDEX(挂机升级突破!$ER$5:$EV$5,卡牌消耗!BO107),"")</f>
        <v>玄铁</v>
      </c>
      <c r="BX107" s="14">
        <f>IF(BO107&gt;0,ROUND(INDEX(挂机升级突破!$ER$7:$EU$26,卡牌消耗!BS107,卡牌消耗!BO107)*INDEX($B$6:$F$6,BP107)/$Q$4,0),"")</f>
        <v>8</v>
      </c>
      <c r="BY107" s="193"/>
      <c r="BZ107" s="193"/>
      <c r="CA107" s="106"/>
      <c r="CS107" s="171"/>
      <c r="CT107" s="171"/>
      <c r="CU107" s="171"/>
      <c r="CV107" s="169">
        <v>103</v>
      </c>
      <c r="CW107" s="169">
        <v>5.75</v>
      </c>
      <c r="CX107" s="21">
        <f t="shared" ref="CX107" si="193">CW107/$CU106</f>
        <v>0.20909090909090908</v>
      </c>
      <c r="CY107" s="169">
        <f t="shared" ref="CY107" si="194">INT($CU105*CX107/5)*5</f>
        <v>47285</v>
      </c>
      <c r="CZ107" s="169">
        <f>SUM(CY$5:CY107)</f>
        <v>1616635</v>
      </c>
      <c r="DB107" s="188">
        <f t="shared" si="184"/>
        <v>23600</v>
      </c>
      <c r="DC107" s="188">
        <f t="shared" si="184"/>
        <v>37800</v>
      </c>
      <c r="DD107" s="188">
        <f t="shared" si="184"/>
        <v>47250</v>
      </c>
      <c r="DE107" s="188">
        <f t="shared" si="184"/>
        <v>56700</v>
      </c>
      <c r="DF107" s="188">
        <f t="shared" si="184"/>
        <v>70900</v>
      </c>
      <c r="DI107" s="186">
        <v>103</v>
      </c>
      <c r="DJ107" s="14">
        <f t="shared" si="117"/>
        <v>21</v>
      </c>
      <c r="DK107" s="14">
        <f t="shared" si="99"/>
        <v>4</v>
      </c>
      <c r="DL107" s="14">
        <f t="shared" si="100"/>
        <v>1101026</v>
      </c>
      <c r="DM107" s="136" t="s">
        <v>1097</v>
      </c>
      <c r="DN107" s="14">
        <f t="shared" si="101"/>
        <v>3</v>
      </c>
      <c r="DO107" s="14" t="str">
        <f t="shared" si="102"/>
        <v>貂灵芸-3星</v>
      </c>
      <c r="DP107" s="136" t="s">
        <v>1103</v>
      </c>
      <c r="DQ107" s="14">
        <f t="shared" si="118"/>
        <v>14000</v>
      </c>
      <c r="DR107" s="14" t="str">
        <f t="shared" si="103"/>
        <v>貂灵芸碎片</v>
      </c>
      <c r="DS107" s="14">
        <f t="shared" si="119"/>
        <v>80</v>
      </c>
    </row>
    <row r="108" spans="1:123" ht="16.5" x14ac:dyDescent="0.2">
      <c r="A108" s="186">
        <v>1102998</v>
      </c>
      <c r="B108" s="186" t="s">
        <v>1567</v>
      </c>
      <c r="C108" s="186">
        <v>3</v>
      </c>
      <c r="D108" s="186">
        <v>5</v>
      </c>
      <c r="E108" s="186">
        <f>SUM(D$52:D108)</f>
        <v>285</v>
      </c>
      <c r="H108" s="15"/>
      <c r="I108" s="15"/>
      <c r="J108" s="15"/>
      <c r="K108" s="15"/>
      <c r="L108" s="15"/>
      <c r="M108" s="15"/>
      <c r="N108" s="15"/>
      <c r="O108" s="137"/>
      <c r="P108" s="141"/>
      <c r="Q108" s="141"/>
      <c r="R108" s="141"/>
      <c r="S108" s="141"/>
      <c r="T108" s="141"/>
      <c r="U108" s="141"/>
      <c r="V108" s="141"/>
      <c r="W108" s="141"/>
      <c r="X108" s="141"/>
      <c r="Y108" s="141"/>
      <c r="Z108" s="196">
        <v>3</v>
      </c>
      <c r="AA108" s="196">
        <v>52</v>
      </c>
      <c r="AB108" s="14">
        <f>ROUND(INDEX(挂机升级突破!DT$6:DT$57,卡牌消耗!$AA108)*INDEX(卡牌消耗!$B$5:$F$5,卡牌消耗!$Z108)/卡牌消耗!$Q$4/AB$2,0)*AB$2</f>
        <v>0</v>
      </c>
      <c r="AC108" s="14">
        <f>ROUND(INDEX(挂机升级突破!DU$6:DU$57,卡牌消耗!$AA108)*INDEX(卡牌消耗!$B$5:$F$5,卡牌消耗!$Z108)/卡牌消耗!$Q$4/AC$2,0)*AC$2</f>
        <v>0</v>
      </c>
      <c r="AD108" s="14">
        <f>ROUND(INDEX(挂机升级突破!DV$6:DV$57,卡牌消耗!$AA108)*INDEX(卡牌消耗!$B$5:$F$5,卡牌消耗!$Z108)/卡牌消耗!$Q$4/AD$2,0)*AD$2</f>
        <v>0</v>
      </c>
      <c r="AE108" s="14">
        <f>ROUND(INDEX(挂机升级突破!DW$6:DW$57,卡牌消耗!$AA108)*INDEX(卡牌消耗!$B$5:$F$5,卡牌消耗!$Z108)/卡牌消耗!$Q$4/AE$2,0)*AE$2</f>
        <v>0</v>
      </c>
      <c r="AF108" s="14">
        <f>ROUND(INDEX(挂机升级突破!DX$6:DX$57,卡牌消耗!$AA108)*INDEX(卡牌消耗!$B$5:$F$5,卡牌消耗!$Z108)/卡牌消耗!$Q$4/AF$2,0)*AF$2</f>
        <v>15</v>
      </c>
      <c r="AG108" s="14">
        <f>ROUND(INDEX(挂机升级突破!EC$6:EC$57,卡牌消耗!$AA108)*INDEX(卡牌消耗!$B$7:$F$7,卡牌消耗!$Z108)/卡牌消耗!$Q$4/AG$2,0)*AG$2</f>
        <v>2</v>
      </c>
      <c r="AH108" s="14">
        <f>ROUND(INDEX(挂机升级突破!ED$6:ED$57,卡牌消耗!$AA108)*INDEX(卡牌消耗!$B$8:$F$8,卡牌消耗!$Z108)/卡牌消耗!$Q$4/AH$2,0)*AH$2</f>
        <v>150450</v>
      </c>
      <c r="AI108" s="194"/>
      <c r="AJ108" s="194"/>
      <c r="AK108" s="104">
        <v>104</v>
      </c>
      <c r="AL108" s="14">
        <f t="shared" si="104"/>
        <v>2</v>
      </c>
      <c r="AM108" s="14">
        <f>INDEX(挂机升级突破!DQ$6:DQ$57,卡牌消耗!$AT108)</f>
        <v>11</v>
      </c>
      <c r="AN108" s="14">
        <f>INDEX(挂机升级突破!DR$6:DR$57,卡牌消耗!$AT108)</f>
        <v>5</v>
      </c>
      <c r="AO108" s="14">
        <f>INDEX(挂机升级突破!DS$6:DS$57,卡牌消耗!$AT108)</f>
        <v>10</v>
      </c>
      <c r="AP108" s="14">
        <f>INDEX(挂机升级突破!$DP$6:$DP$57,卡牌消耗!AT108)</f>
        <v>148</v>
      </c>
      <c r="AQ108" s="14" t="str">
        <f t="shared" si="105"/>
        <v>许褚</v>
      </c>
      <c r="AR108" s="14">
        <f t="shared" si="106"/>
        <v>3</v>
      </c>
      <c r="AS108" s="14" t="str">
        <f t="shared" si="107"/>
        <v>许褚魂火-52</v>
      </c>
      <c r="AT108" s="14">
        <f t="shared" si="108"/>
        <v>52</v>
      </c>
      <c r="AU108" s="14" t="str">
        <f>IF(AM108&gt;0,INDEX(挂机升级突破!$DT$4:$ED$4,AM108),"")</f>
        <v>金币</v>
      </c>
      <c r="AV108" s="14">
        <f>ROUND(INDEX(挂机升级突破!$DJ$6:$DJ$57,卡牌消耗!AT108)*INDEX(卡牌消耗!$B$8:$F$8,AR108)/$Q$4/50,0)*50</f>
        <v>150450</v>
      </c>
      <c r="AW108" s="14" t="str">
        <f>IF(AN108&gt;0,INDEX(挂机升级突破!$DT$4:$ED$4,AN108),"")</f>
        <v>红色基础材料</v>
      </c>
      <c r="AX108" s="14">
        <f>ROUND(INDEX(挂机升级突破!$DT$6:$ED$57,卡牌消耗!AT108,AN108)*INDEX(卡牌消耗!$B$5:$F$5,AR108)/$Q$4/5,0)*5</f>
        <v>15</v>
      </c>
      <c r="AY108" s="14" t="str">
        <f>IF(AO108&gt;0,INDEX(挂机升级突破!$DT$4:$ED$4,AO108),"")</f>
        <v>灵玉</v>
      </c>
      <c r="AZ108" s="14">
        <f>IF(AO108&gt;0,ROUND(INDEX(挂机升级突破!$DT$6:$ED$57,卡牌消耗!AT108,AO108)*INDEX(卡牌消耗!$B$7:$F$7,AR108)/$Q$4,0),"")</f>
        <v>2</v>
      </c>
      <c r="BA108" s="106"/>
      <c r="BB108" s="197"/>
      <c r="BC108" s="197"/>
      <c r="BD108" s="197"/>
      <c r="BE108" s="197"/>
      <c r="BF108" s="197"/>
      <c r="BG108" s="197"/>
      <c r="BH108" s="197"/>
      <c r="BI108" s="197"/>
      <c r="BJ108" s="197"/>
      <c r="BK108" s="197"/>
      <c r="BL108" s="104">
        <v>104</v>
      </c>
      <c r="BM108" s="14">
        <f t="shared" si="109"/>
        <v>6</v>
      </c>
      <c r="BN108" s="14">
        <f>INDEX(挂机升级突破!$EI$7:$EI$26,BS108)</f>
        <v>5</v>
      </c>
      <c r="BO108" s="14">
        <f>INDEX(挂机升级突破!$EJ$7:$EJ$26,BS108)</f>
        <v>1</v>
      </c>
      <c r="BP108" s="14">
        <f t="shared" si="110"/>
        <v>5</v>
      </c>
      <c r="BQ108" s="14">
        <f>INDEX(挂机升级突破!$EH$7:$EH$26,卡牌消耗!BS108)</f>
        <v>25</v>
      </c>
      <c r="BR108" s="14" t="str">
        <f t="shared" si="111"/>
        <v>项羽</v>
      </c>
      <c r="BS108" s="14">
        <f t="shared" si="112"/>
        <v>4</v>
      </c>
      <c r="BT108" s="14" t="str">
        <f t="shared" si="113"/>
        <v>项羽4突</v>
      </c>
      <c r="BU108" s="14" t="str">
        <f>IF(BN108&gt;0,INDEX(挂机升级突破!$ER$5:$EV$5,卡牌消耗!BN108),"")</f>
        <v>金币</v>
      </c>
      <c r="BV108" s="14">
        <f>IF(BN108&gt;0,ROUND(INDEX(挂机升级突破!$EV$7:$EV$26,卡牌消耗!BS108)*INDEX(卡牌消耗!$B$8:$F$8,BP108)/$Q$4/500,0)*500,"")</f>
        <v>7500</v>
      </c>
      <c r="BW108" s="14" t="str">
        <f>IF(BO108&gt;0,INDEX(挂机升级突破!$ER$5:$EV$5,卡牌消耗!BO108),"")</f>
        <v>玄铁</v>
      </c>
      <c r="BX108" s="14">
        <f>IF(BO108&gt;0,ROUND(INDEX(挂机升级突破!$ER$7:$EU$26,卡牌消耗!BS108,卡牌消耗!BO108)*INDEX($B$6:$F$6,BP108)/$Q$4,0),"")</f>
        <v>25</v>
      </c>
      <c r="BY108" s="193"/>
      <c r="BZ108" s="193"/>
      <c r="CA108" s="106"/>
      <c r="CS108" s="171"/>
      <c r="CT108" s="171"/>
      <c r="CU108" s="171"/>
      <c r="CV108" s="169">
        <v>104</v>
      </c>
      <c r="CW108" s="169">
        <v>6</v>
      </c>
      <c r="CX108" s="21">
        <f t="shared" ref="CX108" si="195">CW108/$CU106</f>
        <v>0.21818181818181817</v>
      </c>
      <c r="CY108" s="169">
        <f t="shared" ref="CY108" si="196">INT($CU105*CX108/5)*5</f>
        <v>49345</v>
      </c>
      <c r="CZ108" s="169">
        <f>SUM(CY$5:CY108)</f>
        <v>1665980</v>
      </c>
      <c r="DB108" s="188">
        <f t="shared" si="184"/>
        <v>24650</v>
      </c>
      <c r="DC108" s="188">
        <f t="shared" si="184"/>
        <v>39450</v>
      </c>
      <c r="DD108" s="188">
        <f t="shared" si="184"/>
        <v>49300</v>
      </c>
      <c r="DE108" s="188">
        <f t="shared" si="184"/>
        <v>59200</v>
      </c>
      <c r="DF108" s="188">
        <f t="shared" si="184"/>
        <v>74000</v>
      </c>
      <c r="DI108" s="186">
        <v>104</v>
      </c>
      <c r="DJ108" s="14">
        <f t="shared" si="117"/>
        <v>21</v>
      </c>
      <c r="DK108" s="14">
        <f t="shared" si="99"/>
        <v>4</v>
      </c>
      <c r="DL108" s="14">
        <f t="shared" si="100"/>
        <v>1101026</v>
      </c>
      <c r="DM108" s="136" t="s">
        <v>1097</v>
      </c>
      <c r="DN108" s="14">
        <f t="shared" si="101"/>
        <v>4</v>
      </c>
      <c r="DO108" s="14" t="str">
        <f t="shared" si="102"/>
        <v>貂灵芸-4星</v>
      </c>
      <c r="DP108" s="136" t="s">
        <v>1103</v>
      </c>
      <c r="DQ108" s="14">
        <f t="shared" si="118"/>
        <v>32000</v>
      </c>
      <c r="DR108" s="14" t="str">
        <f t="shared" si="103"/>
        <v>貂灵芸碎片</v>
      </c>
      <c r="DS108" s="14">
        <f t="shared" si="119"/>
        <v>80</v>
      </c>
    </row>
    <row r="109" spans="1:123" ht="16.5" x14ac:dyDescent="0.2">
      <c r="A109" s="186">
        <v>1102997</v>
      </c>
      <c r="B109" s="186" t="s">
        <v>1568</v>
      </c>
      <c r="C109" s="186">
        <v>4</v>
      </c>
      <c r="D109" s="186">
        <v>5</v>
      </c>
      <c r="E109" s="186">
        <f>SUM(D$52:D109)</f>
        <v>290</v>
      </c>
      <c r="H109" s="15"/>
      <c r="I109" s="15"/>
      <c r="J109" s="15"/>
      <c r="K109" s="15"/>
      <c r="L109" s="15"/>
      <c r="M109" s="15"/>
      <c r="N109" s="15"/>
      <c r="O109" s="137"/>
      <c r="P109" s="141"/>
      <c r="Q109" s="141"/>
      <c r="R109" s="141"/>
      <c r="S109" s="141"/>
      <c r="T109" s="141"/>
      <c r="U109" s="141"/>
      <c r="V109" s="141"/>
      <c r="W109" s="141"/>
      <c r="X109" s="141"/>
      <c r="Y109" s="141"/>
      <c r="Z109" s="196">
        <v>4</v>
      </c>
      <c r="AA109" s="196">
        <v>1</v>
      </c>
      <c r="AB109" s="14">
        <f>ROUND(INDEX(挂机升级突破!DT$6:DT$57,卡牌消耗!$AA109)*INDEX(卡牌消耗!$B$5:$F$5,卡牌消耗!$Z109)/卡牌消耗!$Q$4/AB$2,0)*AB$2</f>
        <v>30</v>
      </c>
      <c r="AC109" s="14">
        <f>ROUND(INDEX(挂机升级突破!DU$6:DU$57,卡牌消耗!$AA109)*INDEX(卡牌消耗!$B$5:$F$5,卡牌消耗!$Z109)/卡牌消耗!$Q$4/AC$2,0)*AC$2</f>
        <v>0</v>
      </c>
      <c r="AD109" s="14">
        <f>ROUND(INDEX(挂机升级突破!DV$6:DV$57,卡牌消耗!$AA109)*INDEX(卡牌消耗!$B$5:$F$5,卡牌消耗!$Z109)/卡牌消耗!$Q$4/AD$2,0)*AD$2</f>
        <v>0</v>
      </c>
      <c r="AE109" s="14">
        <f>ROUND(INDEX(挂机升级突破!DW$6:DW$57,卡牌消耗!$AA109)*INDEX(卡牌消耗!$B$5:$F$5,卡牌消耗!$Z109)/卡牌消耗!$Q$4/AE$2,0)*AE$2</f>
        <v>0</v>
      </c>
      <c r="AF109" s="14">
        <f>ROUND(INDEX(挂机升级突破!DX$6:DX$57,卡牌消耗!$AA109)*INDEX(卡牌消耗!$B$5:$F$5,卡牌消耗!$Z109)/卡牌消耗!$Q$4/AF$2,0)*AF$2</f>
        <v>0</v>
      </c>
      <c r="AG109" s="14">
        <f>ROUND(INDEX(挂机升级突破!EC$6:EC$57,卡牌消耗!$AA109)*INDEX(卡牌消耗!$B$7:$F$7,卡牌消耗!$Z109)/卡牌消耗!$Q$4/AG$2,0)*AG$2</f>
        <v>0</v>
      </c>
      <c r="AH109" s="14">
        <f>ROUND(INDEX(挂机升级突破!ED$6:ED$57,卡牌消耗!$AA109)*INDEX(卡牌消耗!$B$8:$F$8,卡牌消耗!$Z109)/卡牌消耗!$Q$4/AH$2,0)*AH$2</f>
        <v>1300</v>
      </c>
      <c r="AI109" s="194"/>
      <c r="AJ109" s="194"/>
      <c r="AK109" s="104">
        <v>105</v>
      </c>
      <c r="AL109" s="14">
        <f t="shared" si="104"/>
        <v>3</v>
      </c>
      <c r="AM109" s="14">
        <f>INDEX(挂机升级突破!DQ$6:DQ$57,卡牌消耗!$AT109)</f>
        <v>11</v>
      </c>
      <c r="AN109" s="14">
        <f>INDEX(挂机升级突破!DR$6:DR$57,卡牌消耗!$AT109)</f>
        <v>1</v>
      </c>
      <c r="AO109" s="14">
        <f>INDEX(挂机升级突破!DS$6:DS$57,卡牌消耗!$AT109)</f>
        <v>0</v>
      </c>
      <c r="AP109" s="14">
        <f>INDEX(挂机升级突破!$DP$6:$DP$57,卡牌消耗!AT109)</f>
        <v>3</v>
      </c>
      <c r="AQ109" s="14" t="str">
        <f t="shared" si="105"/>
        <v>典韦</v>
      </c>
      <c r="AR109" s="14">
        <f t="shared" si="106"/>
        <v>4</v>
      </c>
      <c r="AS109" s="14" t="str">
        <f t="shared" si="107"/>
        <v>典韦魂火-1</v>
      </c>
      <c r="AT109" s="14">
        <f t="shared" si="108"/>
        <v>1</v>
      </c>
      <c r="AU109" s="14" t="str">
        <f>IF(AM109&gt;0,INDEX(挂机升级突破!$DT$4:$ED$4,AM109),"")</f>
        <v>金币</v>
      </c>
      <c r="AV109" s="14">
        <f>ROUND(INDEX(挂机升级突破!$DJ$6:$DJ$57,卡牌消耗!AT109)*INDEX(卡牌消耗!$B$8:$F$8,AR109)/$Q$4/50,0)*50</f>
        <v>1300</v>
      </c>
      <c r="AW109" s="14" t="str">
        <f>IF(AN109&gt;0,INDEX(挂机升级突破!$DT$4:$ED$4,AN109),"")</f>
        <v>绿色基础材料</v>
      </c>
      <c r="AX109" s="14">
        <f>ROUND(INDEX(挂机升级突破!$DT$6:$ED$57,卡牌消耗!AT109,AN109)*INDEX(卡牌消耗!$B$5:$F$5,AR109)/$Q$4/5,0)*5</f>
        <v>30</v>
      </c>
      <c r="AY109" s="14" t="str">
        <f>IF(AO109&gt;0,INDEX(挂机升级突破!$DT$4:$ED$4,AO109),"")</f>
        <v/>
      </c>
      <c r="AZ109" s="14" t="str">
        <f>IF(AO109&gt;0,ROUND(INDEX(挂机升级突破!$DT$6:$ED$57,卡牌消耗!AT109,AO109)*INDEX(卡牌消耗!$B$7:$F$7,AR109)/$Q$4,0),"")</f>
        <v/>
      </c>
      <c r="BA109" s="106"/>
      <c r="BB109" s="197"/>
      <c r="BC109" s="197"/>
      <c r="BD109" s="197"/>
      <c r="BE109" s="197"/>
      <c r="BF109" s="197"/>
      <c r="BG109" s="197"/>
      <c r="BH109" s="197"/>
      <c r="BI109" s="197"/>
      <c r="BJ109" s="197"/>
      <c r="BK109" s="197"/>
      <c r="BL109" s="104">
        <v>105</v>
      </c>
      <c r="BM109" s="14">
        <f t="shared" si="109"/>
        <v>6</v>
      </c>
      <c r="BN109" s="14">
        <f>INDEX(挂机升级突破!$EI$7:$EI$26,BS109)</f>
        <v>5</v>
      </c>
      <c r="BO109" s="14">
        <f>INDEX(挂机升级突破!$EJ$7:$EJ$26,BS109)</f>
        <v>1</v>
      </c>
      <c r="BP109" s="14">
        <f t="shared" si="110"/>
        <v>5</v>
      </c>
      <c r="BQ109" s="14">
        <f>INDEX(挂机升级突破!$EH$7:$EH$26,卡牌消耗!BS109)</f>
        <v>35</v>
      </c>
      <c r="BR109" s="14" t="str">
        <f t="shared" si="111"/>
        <v>项羽</v>
      </c>
      <c r="BS109" s="14">
        <f t="shared" si="112"/>
        <v>5</v>
      </c>
      <c r="BT109" s="14" t="str">
        <f t="shared" si="113"/>
        <v>项羽5突</v>
      </c>
      <c r="BU109" s="14" t="str">
        <f>IF(BN109&gt;0,INDEX(挂机升级突破!$ER$5:$EV$5,卡牌消耗!BN109),"")</f>
        <v>金币</v>
      </c>
      <c r="BV109" s="14">
        <f>IF(BN109&gt;0,ROUND(INDEX(挂机升级突破!$EV$7:$EV$26,卡牌消耗!BS109)*INDEX(卡牌消耗!$B$8:$F$8,BP109)/$Q$4/500,0)*500,"")</f>
        <v>7500</v>
      </c>
      <c r="BW109" s="14" t="str">
        <f>IF(BO109&gt;0,INDEX(挂机升级突破!$ER$5:$EV$5,卡牌消耗!BO109),"")</f>
        <v>玄铁</v>
      </c>
      <c r="BX109" s="14">
        <f>IF(BO109&gt;0,ROUND(INDEX(挂机升级突破!$ER$7:$EU$26,卡牌消耗!BS109,卡牌消耗!BO109)*INDEX($B$6:$F$6,BP109)/$Q$4/5,0)*5,"")</f>
        <v>50</v>
      </c>
      <c r="BY109" s="193"/>
      <c r="BZ109" s="193"/>
      <c r="CA109" s="106"/>
      <c r="CS109" s="171"/>
      <c r="CT109" s="173" t="s">
        <v>120</v>
      </c>
      <c r="CU109" s="169">
        <v>20</v>
      </c>
      <c r="CV109" s="169">
        <v>105</v>
      </c>
      <c r="CW109" s="169">
        <v>5</v>
      </c>
      <c r="CX109" s="21">
        <f t="shared" ref="CX109" si="197">CW109/$CU111</f>
        <v>0.18181818181818182</v>
      </c>
      <c r="CY109" s="169">
        <f t="shared" ref="CY109" si="198">INT($CU110*CX109/5)*5</f>
        <v>44470</v>
      </c>
      <c r="CZ109" s="169">
        <f>SUM(CY$5:CY109)</f>
        <v>1710450</v>
      </c>
      <c r="DB109" s="188">
        <f t="shared" si="184"/>
        <v>22200</v>
      </c>
      <c r="DC109" s="188">
        <f t="shared" si="184"/>
        <v>35550</v>
      </c>
      <c r="DD109" s="188">
        <f t="shared" si="184"/>
        <v>44450</v>
      </c>
      <c r="DE109" s="188">
        <f t="shared" si="184"/>
        <v>53350</v>
      </c>
      <c r="DF109" s="188">
        <f t="shared" si="184"/>
        <v>66700</v>
      </c>
      <c r="DI109" s="186">
        <v>105</v>
      </c>
      <c r="DJ109" s="14">
        <f t="shared" si="117"/>
        <v>21</v>
      </c>
      <c r="DK109" s="14">
        <f t="shared" si="99"/>
        <v>4</v>
      </c>
      <c r="DL109" s="14">
        <f t="shared" si="100"/>
        <v>1101026</v>
      </c>
      <c r="DM109" s="136" t="s">
        <v>1097</v>
      </c>
      <c r="DN109" s="14">
        <f t="shared" si="101"/>
        <v>5</v>
      </c>
      <c r="DO109" s="14" t="str">
        <f t="shared" si="102"/>
        <v>貂灵芸-5星</v>
      </c>
      <c r="DP109" s="136" t="s">
        <v>1103</v>
      </c>
      <c r="DQ109" s="14">
        <f t="shared" si="118"/>
        <v>60000</v>
      </c>
      <c r="DR109" s="14" t="str">
        <f t="shared" si="103"/>
        <v>貂灵芸碎片</v>
      </c>
      <c r="DS109" s="14">
        <f t="shared" si="119"/>
        <v>80</v>
      </c>
    </row>
    <row r="110" spans="1:123" ht="16.5" x14ac:dyDescent="0.2">
      <c r="A110" s="186">
        <v>1102996</v>
      </c>
      <c r="B110" s="186" t="s">
        <v>1569</v>
      </c>
      <c r="C110" s="186">
        <v>5</v>
      </c>
      <c r="D110" s="186">
        <v>5</v>
      </c>
      <c r="E110" s="186">
        <f>SUM(D$52:D110)</f>
        <v>295</v>
      </c>
      <c r="H110" s="15"/>
      <c r="I110" s="15"/>
      <c r="J110" s="15"/>
      <c r="K110" s="15"/>
      <c r="L110" s="15"/>
      <c r="M110" s="15"/>
      <c r="N110" s="15"/>
      <c r="O110" s="137"/>
      <c r="P110" s="141"/>
      <c r="Q110" s="141"/>
      <c r="R110" s="141"/>
      <c r="S110" s="141"/>
      <c r="T110" s="141"/>
      <c r="U110" s="141"/>
      <c r="V110" s="141"/>
      <c r="W110" s="141"/>
      <c r="X110" s="141"/>
      <c r="Y110" s="141"/>
      <c r="Z110" s="196">
        <v>4</v>
      </c>
      <c r="AA110" s="196">
        <v>2</v>
      </c>
      <c r="AB110" s="14">
        <f>ROUND(INDEX(挂机升级突破!DT$6:DT$57,卡牌消耗!$AA110)*INDEX(卡牌消耗!$B$5:$F$5,卡牌消耗!$Z110)/卡牌消耗!$Q$4/AB$2,0)*AB$2</f>
        <v>105</v>
      </c>
      <c r="AC110" s="14">
        <f>ROUND(INDEX(挂机升级突破!DU$6:DU$57,卡牌消耗!$AA110)*INDEX(卡牌消耗!$B$5:$F$5,卡牌消耗!$Z110)/卡牌消耗!$Q$4/AC$2,0)*AC$2</f>
        <v>0</v>
      </c>
      <c r="AD110" s="14">
        <f>ROUND(INDEX(挂机升级突破!DV$6:DV$57,卡牌消耗!$AA110)*INDEX(卡牌消耗!$B$5:$F$5,卡牌消耗!$Z110)/卡牌消耗!$Q$4/AD$2,0)*AD$2</f>
        <v>0</v>
      </c>
      <c r="AE110" s="14">
        <f>ROUND(INDEX(挂机升级突破!DW$6:DW$57,卡牌消耗!$AA110)*INDEX(卡牌消耗!$B$5:$F$5,卡牌消耗!$Z110)/卡牌消耗!$Q$4/AE$2,0)*AE$2</f>
        <v>0</v>
      </c>
      <c r="AF110" s="14">
        <f>ROUND(INDEX(挂机升级突破!DX$6:DX$57,卡牌消耗!$AA110)*INDEX(卡牌消耗!$B$5:$F$5,卡牌消耗!$Z110)/卡牌消耗!$Q$4/AF$2,0)*AF$2</f>
        <v>0</v>
      </c>
      <c r="AG110" s="14">
        <f>ROUND(INDEX(挂机升级突破!EC$6:EC$57,卡牌消耗!$AA110)*INDEX(卡牌消耗!$B$7:$F$7,卡牌消耗!$Z110)/卡牌消耗!$Q$4/AG$2,0)*AG$2</f>
        <v>0</v>
      </c>
      <c r="AH110" s="14">
        <f>ROUND(INDEX(挂机升级突破!ED$6:ED$57,卡牌消耗!$AA110)*INDEX(卡牌消耗!$B$8:$F$8,卡牌消耗!$Z110)/卡牌消耗!$Q$4/AH$2,0)*AH$2</f>
        <v>1550</v>
      </c>
      <c r="AI110" s="194"/>
      <c r="AJ110" s="194"/>
      <c r="AK110" s="104">
        <v>106</v>
      </c>
      <c r="AL110" s="14">
        <f t="shared" si="104"/>
        <v>3</v>
      </c>
      <c r="AM110" s="14">
        <f>INDEX(挂机升级突破!DQ$6:DQ$57,卡牌消耗!$AT110)</f>
        <v>11</v>
      </c>
      <c r="AN110" s="14">
        <f>INDEX(挂机升级突破!DR$6:DR$57,卡牌消耗!$AT110)</f>
        <v>1</v>
      </c>
      <c r="AO110" s="14">
        <f>INDEX(挂机升级突破!DS$6:DS$57,卡牌消耗!$AT110)</f>
        <v>0</v>
      </c>
      <c r="AP110" s="14">
        <f>INDEX(挂机升级突破!$DP$6:$DP$57,卡牌消耗!AT110)</f>
        <v>8</v>
      </c>
      <c r="AQ110" s="14" t="str">
        <f t="shared" si="105"/>
        <v>典韦</v>
      </c>
      <c r="AR110" s="14">
        <f t="shared" si="106"/>
        <v>4</v>
      </c>
      <c r="AS110" s="14" t="str">
        <f t="shared" si="107"/>
        <v>典韦魂火-2</v>
      </c>
      <c r="AT110" s="14">
        <f t="shared" si="108"/>
        <v>2</v>
      </c>
      <c r="AU110" s="14" t="str">
        <f>IF(AM110&gt;0,INDEX(挂机升级突破!$DT$4:$ED$4,AM110),"")</f>
        <v>金币</v>
      </c>
      <c r="AV110" s="14">
        <f>ROUND(INDEX(挂机升级突破!$DJ$6:$DJ$57,卡牌消耗!AT110)*INDEX(卡牌消耗!$B$8:$F$8,AR110)/$Q$4/50,0)*50</f>
        <v>1550</v>
      </c>
      <c r="AW110" s="14" t="str">
        <f>IF(AN110&gt;0,INDEX(挂机升级突破!$DT$4:$ED$4,AN110),"")</f>
        <v>绿色基础材料</v>
      </c>
      <c r="AX110" s="14">
        <f>ROUND(INDEX(挂机升级突破!$DT$6:$ED$57,卡牌消耗!AT110,AN110)*INDEX(卡牌消耗!$B$5:$F$5,AR110)/$Q$4/5,0)*5</f>
        <v>105</v>
      </c>
      <c r="AY110" s="14" t="str">
        <f>IF(AO110&gt;0,INDEX(挂机升级突破!$DT$4:$ED$4,AO110),"")</f>
        <v/>
      </c>
      <c r="AZ110" s="14" t="str">
        <f>IF(AO110&gt;0,ROUND(INDEX(挂机升级突破!$DT$6:$ED$57,卡牌消耗!AT110,AO110)*INDEX(卡牌消耗!$B$7:$F$7,AR110)/$Q$4,0),"")</f>
        <v/>
      </c>
      <c r="BA110" s="106"/>
      <c r="BB110" s="197"/>
      <c r="BC110" s="197"/>
      <c r="BD110" s="197"/>
      <c r="BE110" s="197"/>
      <c r="BF110" s="197"/>
      <c r="BG110" s="197"/>
      <c r="BH110" s="197"/>
      <c r="BI110" s="197"/>
      <c r="BJ110" s="197"/>
      <c r="BK110" s="197"/>
      <c r="BL110" s="104">
        <v>106</v>
      </c>
      <c r="BM110" s="14">
        <f t="shared" si="109"/>
        <v>6</v>
      </c>
      <c r="BN110" s="14">
        <f>INDEX(挂机升级突破!$EI$7:$EI$26,BS110)</f>
        <v>5</v>
      </c>
      <c r="BO110" s="14">
        <f>INDEX(挂机升级突破!$EJ$7:$EJ$26,BS110)</f>
        <v>1</v>
      </c>
      <c r="BP110" s="14">
        <f t="shared" si="110"/>
        <v>5</v>
      </c>
      <c r="BQ110" s="14">
        <f>INDEX(挂机升级突破!$EH$7:$EH$26,卡牌消耗!BS110)</f>
        <v>42</v>
      </c>
      <c r="BR110" s="14" t="str">
        <f t="shared" si="111"/>
        <v>项羽</v>
      </c>
      <c r="BS110" s="14">
        <f t="shared" si="112"/>
        <v>6</v>
      </c>
      <c r="BT110" s="14" t="str">
        <f t="shared" si="113"/>
        <v>项羽6突</v>
      </c>
      <c r="BU110" s="14" t="str">
        <f>IF(BN110&gt;0,INDEX(挂机升级突破!$ER$5:$EV$5,卡牌消耗!BN110),"")</f>
        <v>金币</v>
      </c>
      <c r="BV110" s="14">
        <f>IF(BN110&gt;0,ROUND(INDEX(挂机升级突破!$EV$7:$EV$26,卡牌消耗!BS110)*INDEX(卡牌消耗!$B$8:$F$8,BP110)/$Q$4/500,0)*500,"")</f>
        <v>10000</v>
      </c>
      <c r="BW110" s="14" t="str">
        <f>IF(BO110&gt;0,INDEX(挂机升级突破!$ER$5:$EV$5,卡牌消耗!BO110),"")</f>
        <v>玄铁</v>
      </c>
      <c r="BX110" s="14">
        <f>IF(BO110&gt;0,ROUND(INDEX(挂机升级突破!$ER$7:$EU$26,卡牌消耗!BS110,卡牌消耗!BO110)*INDEX($B$6:$F$6,BP110)/$Q$4/5,0)*5,"")</f>
        <v>75</v>
      </c>
      <c r="BY110" s="193"/>
      <c r="BZ110" s="193"/>
      <c r="CA110" s="106"/>
      <c r="CS110" s="171"/>
      <c r="CT110" s="171"/>
      <c r="CU110" s="14">
        <f>INDEX($CP$5:$CP$32,CU109)</f>
        <v>244600</v>
      </c>
      <c r="CV110" s="169">
        <v>106</v>
      </c>
      <c r="CW110" s="169">
        <v>5.25</v>
      </c>
      <c r="CX110" s="21">
        <f t="shared" ref="CX110" si="199">CW110/$CU111</f>
        <v>0.19090909090909092</v>
      </c>
      <c r="CY110" s="169">
        <f t="shared" ref="CY110" si="200">INT($CU110*CX110/5)*5</f>
        <v>46695</v>
      </c>
      <c r="CZ110" s="169">
        <f>SUM(CY$5:CY110)</f>
        <v>1757145</v>
      </c>
      <c r="DB110" s="188">
        <f t="shared" si="184"/>
        <v>23300</v>
      </c>
      <c r="DC110" s="188">
        <f t="shared" si="184"/>
        <v>37350</v>
      </c>
      <c r="DD110" s="188">
        <f t="shared" si="184"/>
        <v>46650</v>
      </c>
      <c r="DE110" s="188">
        <f t="shared" si="184"/>
        <v>56000</v>
      </c>
      <c r="DF110" s="188">
        <f t="shared" si="184"/>
        <v>70000</v>
      </c>
      <c r="DI110" s="186">
        <v>106</v>
      </c>
      <c r="DJ110" s="14">
        <f t="shared" si="117"/>
        <v>22</v>
      </c>
      <c r="DK110" s="14">
        <f t="shared" si="99"/>
        <v>3</v>
      </c>
      <c r="DL110" s="14">
        <f t="shared" si="100"/>
        <v>1101030</v>
      </c>
      <c r="DM110" s="136" t="s">
        <v>1097</v>
      </c>
      <c r="DN110" s="14">
        <f t="shared" si="101"/>
        <v>1</v>
      </c>
      <c r="DO110" s="14" t="str">
        <f t="shared" si="102"/>
        <v>卢天佑-1星</v>
      </c>
      <c r="DP110" s="136" t="s">
        <v>1103</v>
      </c>
      <c r="DQ110" s="14">
        <f t="shared" si="118"/>
        <v>4000</v>
      </c>
      <c r="DR110" s="14" t="str">
        <f t="shared" si="103"/>
        <v>卢天佑碎片</v>
      </c>
      <c r="DS110" s="14">
        <f t="shared" si="119"/>
        <v>40</v>
      </c>
    </row>
    <row r="111" spans="1:123" ht="16.5" x14ac:dyDescent="0.2">
      <c r="H111" s="15"/>
      <c r="I111" s="15"/>
      <c r="J111" s="15"/>
      <c r="K111" s="15"/>
      <c r="L111" s="15"/>
      <c r="M111" s="15"/>
      <c r="N111" s="15"/>
      <c r="O111" s="137"/>
      <c r="P111" s="141"/>
      <c r="Q111" s="141"/>
      <c r="R111" s="141"/>
      <c r="S111" s="141"/>
      <c r="T111" s="141"/>
      <c r="U111" s="141"/>
      <c r="V111" s="141"/>
      <c r="W111" s="141"/>
      <c r="X111" s="141"/>
      <c r="Y111" s="141"/>
      <c r="Z111" s="196">
        <v>4</v>
      </c>
      <c r="AA111" s="196">
        <v>3</v>
      </c>
      <c r="AB111" s="14">
        <f>ROUND(INDEX(挂机升级突破!DT$6:DT$57,卡牌消耗!$AA111)*INDEX(卡牌消耗!$B$5:$F$5,卡牌消耗!$Z111)/卡牌消耗!$Q$4/AB$2,0)*AB$2</f>
        <v>125</v>
      </c>
      <c r="AC111" s="14">
        <f>ROUND(INDEX(挂机升级突破!DU$6:DU$57,卡牌消耗!$AA111)*INDEX(卡牌消耗!$B$5:$F$5,卡牌消耗!$Z111)/卡牌消耗!$Q$4/AC$2,0)*AC$2</f>
        <v>0</v>
      </c>
      <c r="AD111" s="14">
        <f>ROUND(INDEX(挂机升级突破!DV$6:DV$57,卡牌消耗!$AA111)*INDEX(卡牌消耗!$B$5:$F$5,卡牌消耗!$Z111)/卡牌消耗!$Q$4/AD$2,0)*AD$2</f>
        <v>0</v>
      </c>
      <c r="AE111" s="14">
        <f>ROUND(INDEX(挂机升级突破!DW$6:DW$57,卡牌消耗!$AA111)*INDEX(卡牌消耗!$B$5:$F$5,卡牌消耗!$Z111)/卡牌消耗!$Q$4/AE$2,0)*AE$2</f>
        <v>0</v>
      </c>
      <c r="AF111" s="14">
        <f>ROUND(INDEX(挂机升级突破!DX$6:DX$57,卡牌消耗!$AA111)*INDEX(卡牌消耗!$B$5:$F$5,卡牌消耗!$Z111)/卡牌消耗!$Q$4/AF$2,0)*AF$2</f>
        <v>0</v>
      </c>
      <c r="AG111" s="14">
        <f>ROUND(INDEX(挂机升级突破!EC$6:EC$57,卡牌消耗!$AA111)*INDEX(卡牌消耗!$B$7:$F$7,卡牌消耗!$Z111)/卡牌消耗!$Q$4/AG$2,0)*AG$2</f>
        <v>0</v>
      </c>
      <c r="AH111" s="14">
        <f>ROUND(INDEX(挂机升级突破!ED$6:ED$57,卡牌消耗!$AA111)*INDEX(卡牌消耗!$B$8:$F$8,卡牌消耗!$Z111)/卡牌消耗!$Q$4/AH$2,0)*AH$2</f>
        <v>1550</v>
      </c>
      <c r="AI111" s="194"/>
      <c r="AJ111" s="194"/>
      <c r="AK111" s="104">
        <v>107</v>
      </c>
      <c r="AL111" s="14">
        <f t="shared" si="104"/>
        <v>3</v>
      </c>
      <c r="AM111" s="14">
        <f>INDEX(挂机升级突破!DQ$6:DQ$57,卡牌消耗!$AT111)</f>
        <v>11</v>
      </c>
      <c r="AN111" s="14">
        <f>INDEX(挂机升级突破!DR$6:DR$57,卡牌消耗!$AT111)</f>
        <v>1</v>
      </c>
      <c r="AO111" s="14">
        <f>INDEX(挂机升级突破!DS$6:DS$57,卡牌消耗!$AT111)</f>
        <v>0</v>
      </c>
      <c r="AP111" s="14">
        <f>INDEX(挂机升级突破!$DP$6:$DP$57,卡牌消耗!AT111)</f>
        <v>13</v>
      </c>
      <c r="AQ111" s="14" t="str">
        <f t="shared" si="105"/>
        <v>典韦</v>
      </c>
      <c r="AR111" s="14">
        <f t="shared" si="106"/>
        <v>4</v>
      </c>
      <c r="AS111" s="14" t="str">
        <f t="shared" si="107"/>
        <v>典韦魂火-3</v>
      </c>
      <c r="AT111" s="14">
        <f t="shared" si="108"/>
        <v>3</v>
      </c>
      <c r="AU111" s="14" t="str">
        <f>IF(AM111&gt;0,INDEX(挂机升级突破!$DT$4:$ED$4,AM111),"")</f>
        <v>金币</v>
      </c>
      <c r="AV111" s="14">
        <f>ROUND(INDEX(挂机升级突破!$DJ$6:$DJ$57,卡牌消耗!AT111)*INDEX(卡牌消耗!$B$8:$F$8,AR111)/$Q$4/50,0)*50</f>
        <v>1550</v>
      </c>
      <c r="AW111" s="14" t="str">
        <f>IF(AN111&gt;0,INDEX(挂机升级突破!$DT$4:$ED$4,AN111),"")</f>
        <v>绿色基础材料</v>
      </c>
      <c r="AX111" s="14">
        <f>ROUND(INDEX(挂机升级突破!$DT$6:$ED$57,卡牌消耗!AT111,AN111)*INDEX(卡牌消耗!$B$5:$F$5,AR111)/$Q$4/5,0)*5</f>
        <v>125</v>
      </c>
      <c r="AY111" s="14" t="str">
        <f>IF(AO111&gt;0,INDEX(挂机升级突破!$DT$4:$ED$4,AO111),"")</f>
        <v/>
      </c>
      <c r="AZ111" s="14" t="str">
        <f>IF(AO111&gt;0,ROUND(INDEX(挂机升级突破!$DT$6:$ED$57,卡牌消耗!AT111,AO111)*INDEX(卡牌消耗!$B$7:$F$7,AR111)/$Q$4,0),"")</f>
        <v/>
      </c>
      <c r="BA111" s="106"/>
      <c r="BB111" s="197"/>
      <c r="BC111" s="197"/>
      <c r="BD111" s="197"/>
      <c r="BE111" s="197"/>
      <c r="BF111" s="197"/>
      <c r="BG111" s="197"/>
      <c r="BH111" s="197"/>
      <c r="BI111" s="197"/>
      <c r="BJ111" s="197"/>
      <c r="BK111" s="197"/>
      <c r="BL111" s="104">
        <v>107</v>
      </c>
      <c r="BM111" s="14">
        <f t="shared" si="109"/>
        <v>6</v>
      </c>
      <c r="BN111" s="14">
        <f>INDEX(挂机升级突破!$EI$7:$EI$26,BS111)</f>
        <v>5</v>
      </c>
      <c r="BO111" s="14">
        <f>INDEX(挂机升级突破!$EJ$7:$EJ$26,BS111)</f>
        <v>1</v>
      </c>
      <c r="BP111" s="14">
        <f t="shared" si="110"/>
        <v>5</v>
      </c>
      <c r="BQ111" s="14">
        <f>INDEX(挂机升级突破!$EH$7:$EH$26,卡牌消耗!BS111)</f>
        <v>47</v>
      </c>
      <c r="BR111" s="14" t="str">
        <f t="shared" si="111"/>
        <v>项羽</v>
      </c>
      <c r="BS111" s="14">
        <f t="shared" si="112"/>
        <v>7</v>
      </c>
      <c r="BT111" s="14" t="str">
        <f t="shared" si="113"/>
        <v>项羽7突</v>
      </c>
      <c r="BU111" s="14" t="str">
        <f>IF(BN111&gt;0,INDEX(挂机升级突破!$ER$5:$EV$5,卡牌消耗!BN111),"")</f>
        <v>金币</v>
      </c>
      <c r="BV111" s="14">
        <f>IF(BN111&gt;0,ROUND(INDEX(挂机升级突破!$EV$7:$EV$26,卡牌消耗!BS111)*INDEX(卡牌消耗!$B$8:$F$8,BP111)/$Q$4/500,0)*500,"")</f>
        <v>16500</v>
      </c>
      <c r="BW111" s="14" t="str">
        <f>IF(BO111&gt;0,INDEX(挂机升级突破!$ER$5:$EV$5,卡牌消耗!BO111),"")</f>
        <v>玄铁</v>
      </c>
      <c r="BX111" s="14">
        <f>IF(BO111&gt;0,ROUND(INDEX(挂机升级突破!$ER$7:$EU$26,卡牌消耗!BS111,卡牌消耗!BO111)*INDEX($B$6:$F$6,BP111)/$Q$4/5,0)*5,"")</f>
        <v>125</v>
      </c>
      <c r="BY111" s="193"/>
      <c r="BZ111" s="193"/>
      <c r="CA111" s="106"/>
      <c r="CS111" s="171"/>
      <c r="CT111" s="170"/>
      <c r="CU111" s="14">
        <f>SUMIFS($CW$5:$CW$154,$CV$5:$CV$154,"&gt;="&amp;INDEX($CE$5:$CE$32,CU109),$CV$5:$CV$154,"&lt;"&amp;INDEX($CF$5:$CF$32,CU109))</f>
        <v>27.5</v>
      </c>
      <c r="CV111" s="169">
        <v>107</v>
      </c>
      <c r="CW111" s="169">
        <v>5.5</v>
      </c>
      <c r="CX111" s="21">
        <f t="shared" ref="CX111" si="201">CW111/$CU111</f>
        <v>0.2</v>
      </c>
      <c r="CY111" s="169">
        <f t="shared" ref="CY111" si="202">INT($CU110*CX111/5)*5</f>
        <v>48920</v>
      </c>
      <c r="CZ111" s="169">
        <f>SUM(CY$5:CY111)</f>
        <v>1806065</v>
      </c>
      <c r="DB111" s="188">
        <f t="shared" si="184"/>
        <v>24450</v>
      </c>
      <c r="DC111" s="188">
        <f t="shared" si="184"/>
        <v>39100</v>
      </c>
      <c r="DD111" s="188">
        <f t="shared" si="184"/>
        <v>48900</v>
      </c>
      <c r="DE111" s="188">
        <f t="shared" si="184"/>
        <v>58700</v>
      </c>
      <c r="DF111" s="188">
        <f t="shared" si="184"/>
        <v>73350</v>
      </c>
      <c r="DI111" s="186">
        <v>107</v>
      </c>
      <c r="DJ111" s="14">
        <f t="shared" si="117"/>
        <v>22</v>
      </c>
      <c r="DK111" s="14">
        <f t="shared" si="99"/>
        <v>3</v>
      </c>
      <c r="DL111" s="14">
        <f t="shared" si="100"/>
        <v>1101030</v>
      </c>
      <c r="DM111" s="136" t="s">
        <v>1097</v>
      </c>
      <c r="DN111" s="14">
        <f t="shared" si="101"/>
        <v>2</v>
      </c>
      <c r="DO111" s="14" t="str">
        <f t="shared" si="102"/>
        <v>卢天佑-2星</v>
      </c>
      <c r="DP111" s="136" t="s">
        <v>1103</v>
      </c>
      <c r="DQ111" s="14">
        <f t="shared" si="118"/>
        <v>5000</v>
      </c>
      <c r="DR111" s="14" t="str">
        <f t="shared" si="103"/>
        <v>卢天佑碎片</v>
      </c>
      <c r="DS111" s="14">
        <f t="shared" si="119"/>
        <v>40</v>
      </c>
    </row>
    <row r="112" spans="1:123" ht="16.5" x14ac:dyDescent="0.2">
      <c r="H112" s="15"/>
      <c r="I112" s="15"/>
      <c r="J112" s="15"/>
      <c r="K112" s="15"/>
      <c r="L112" s="15"/>
      <c r="M112" s="15"/>
      <c r="N112" s="15"/>
      <c r="O112" s="137"/>
      <c r="P112" s="141"/>
      <c r="Q112" s="141"/>
      <c r="R112" s="141"/>
      <c r="S112" s="141"/>
      <c r="T112" s="141"/>
      <c r="U112" s="141"/>
      <c r="V112" s="141"/>
      <c r="W112" s="141"/>
      <c r="X112" s="141"/>
      <c r="Y112" s="141"/>
      <c r="Z112" s="196">
        <v>4</v>
      </c>
      <c r="AA112" s="196">
        <v>4</v>
      </c>
      <c r="AB112" s="14">
        <f>ROUND(INDEX(挂机升级突破!DT$6:DT$57,卡牌消耗!$AA112)*INDEX(卡牌消耗!$B$5:$F$5,卡牌消耗!$Z112)/卡牌消耗!$Q$4/AB$2,0)*AB$2</f>
        <v>170</v>
      </c>
      <c r="AC112" s="14">
        <f>ROUND(INDEX(挂机升级突破!DU$6:DU$57,卡牌消耗!$AA112)*INDEX(卡牌消耗!$B$5:$F$5,卡牌消耗!$Z112)/卡牌消耗!$Q$4/AC$2,0)*AC$2</f>
        <v>0</v>
      </c>
      <c r="AD112" s="14">
        <f>ROUND(INDEX(挂机升级突破!DV$6:DV$57,卡牌消耗!$AA112)*INDEX(卡牌消耗!$B$5:$F$5,卡牌消耗!$Z112)/卡牌消耗!$Q$4/AD$2,0)*AD$2</f>
        <v>0</v>
      </c>
      <c r="AE112" s="14">
        <f>ROUND(INDEX(挂机升级突破!DW$6:DW$57,卡牌消耗!$AA112)*INDEX(卡牌消耗!$B$5:$F$5,卡牌消耗!$Z112)/卡牌消耗!$Q$4/AE$2,0)*AE$2</f>
        <v>0</v>
      </c>
      <c r="AF112" s="14">
        <f>ROUND(INDEX(挂机升级突破!DX$6:DX$57,卡牌消耗!$AA112)*INDEX(卡牌消耗!$B$5:$F$5,卡牌消耗!$Z112)/卡牌消耗!$Q$4/AF$2,0)*AF$2</f>
        <v>0</v>
      </c>
      <c r="AG112" s="14">
        <f>ROUND(INDEX(挂机升级突破!EC$6:EC$57,卡牌消耗!$AA112)*INDEX(卡牌消耗!$B$7:$F$7,卡牌消耗!$Z112)/卡牌消耗!$Q$4/AG$2,0)*AG$2</f>
        <v>0</v>
      </c>
      <c r="AH112" s="14">
        <f>ROUND(INDEX(挂机升级突破!ED$6:ED$57,卡牌消耗!$AA112)*INDEX(卡牌消耗!$B$8:$F$8,卡牌消耗!$Z112)/卡牌消耗!$Q$4/AH$2,0)*AH$2</f>
        <v>1550</v>
      </c>
      <c r="AI112" s="194"/>
      <c r="AJ112" s="194"/>
      <c r="AK112" s="104">
        <v>108</v>
      </c>
      <c r="AL112" s="14">
        <f t="shared" si="104"/>
        <v>3</v>
      </c>
      <c r="AM112" s="14">
        <f>INDEX(挂机升级突破!DQ$6:DQ$57,卡牌消耗!$AT112)</f>
        <v>11</v>
      </c>
      <c r="AN112" s="14">
        <f>INDEX(挂机升级突破!DR$6:DR$57,卡牌消耗!$AT112)</f>
        <v>1</v>
      </c>
      <c r="AO112" s="14">
        <f>INDEX(挂机升级突破!DS$6:DS$57,卡牌消耗!$AT112)</f>
        <v>0</v>
      </c>
      <c r="AP112" s="14">
        <f>INDEX(挂机升级突破!$DP$6:$DP$57,卡牌消耗!AT112)</f>
        <v>18</v>
      </c>
      <c r="AQ112" s="14" t="str">
        <f t="shared" si="105"/>
        <v>典韦</v>
      </c>
      <c r="AR112" s="14">
        <f t="shared" si="106"/>
        <v>4</v>
      </c>
      <c r="AS112" s="14" t="str">
        <f t="shared" si="107"/>
        <v>典韦魂火-4</v>
      </c>
      <c r="AT112" s="14">
        <f t="shared" si="108"/>
        <v>4</v>
      </c>
      <c r="AU112" s="14" t="str">
        <f>IF(AM112&gt;0,INDEX(挂机升级突破!$DT$4:$ED$4,AM112),"")</f>
        <v>金币</v>
      </c>
      <c r="AV112" s="14">
        <f>ROUND(INDEX(挂机升级突破!$DJ$6:$DJ$57,卡牌消耗!AT112)*INDEX(卡牌消耗!$B$8:$F$8,AR112)/$Q$4/50,0)*50</f>
        <v>1550</v>
      </c>
      <c r="AW112" s="14" t="str">
        <f>IF(AN112&gt;0,INDEX(挂机升级突破!$DT$4:$ED$4,AN112),"")</f>
        <v>绿色基础材料</v>
      </c>
      <c r="AX112" s="14">
        <f>ROUND(INDEX(挂机升级突破!$DT$6:$ED$57,卡牌消耗!AT112,AN112)*INDEX(卡牌消耗!$B$5:$F$5,AR112)/$Q$4/5,0)*5</f>
        <v>170</v>
      </c>
      <c r="AY112" s="14" t="str">
        <f>IF(AO112&gt;0,INDEX(挂机升级突破!$DT$4:$ED$4,AO112),"")</f>
        <v/>
      </c>
      <c r="AZ112" s="14" t="str">
        <f>IF(AO112&gt;0,ROUND(INDEX(挂机升级突破!$DT$6:$ED$57,卡牌消耗!AT112,AO112)*INDEX(卡牌消耗!$B$7:$F$7,AR112)/$Q$4,0),"")</f>
        <v/>
      </c>
      <c r="BA112" s="106"/>
      <c r="BB112" s="197"/>
      <c r="BC112" s="197"/>
      <c r="BD112" s="197"/>
      <c r="BE112" s="197"/>
      <c r="BF112" s="197"/>
      <c r="BG112" s="197"/>
      <c r="BH112" s="197"/>
      <c r="BI112" s="197"/>
      <c r="BJ112" s="197"/>
      <c r="BK112" s="197"/>
      <c r="BL112" s="104">
        <v>108</v>
      </c>
      <c r="BM112" s="14">
        <f t="shared" si="109"/>
        <v>6</v>
      </c>
      <c r="BN112" s="14">
        <f>INDEX(挂机升级突破!$EI$7:$EI$26,BS112)</f>
        <v>5</v>
      </c>
      <c r="BO112" s="14">
        <f>INDEX(挂机升级突破!$EJ$7:$EJ$26,BS112)</f>
        <v>1</v>
      </c>
      <c r="BP112" s="14">
        <f t="shared" si="110"/>
        <v>5</v>
      </c>
      <c r="BQ112" s="14">
        <f>INDEX(挂机升级突破!$EH$7:$EH$26,卡牌消耗!BS112)</f>
        <v>52</v>
      </c>
      <c r="BR112" s="14" t="str">
        <f t="shared" si="111"/>
        <v>项羽</v>
      </c>
      <c r="BS112" s="14">
        <f t="shared" si="112"/>
        <v>8</v>
      </c>
      <c r="BT112" s="14" t="str">
        <f t="shared" si="113"/>
        <v>项羽8突</v>
      </c>
      <c r="BU112" s="14" t="str">
        <f>IF(BN112&gt;0,INDEX(挂机升级突破!$ER$5:$EV$5,卡牌消耗!BN112),"")</f>
        <v>金币</v>
      </c>
      <c r="BV112" s="14">
        <f>IF(BN112&gt;0,ROUND(INDEX(挂机升级突破!$EV$7:$EV$26,卡牌消耗!BS112)*INDEX(卡牌消耗!$B$8:$F$8,BP112)/$Q$4/500,0)*500,"")</f>
        <v>16500</v>
      </c>
      <c r="BW112" s="14" t="str">
        <f>IF(BO112&gt;0,INDEX(挂机升级突破!$ER$5:$EV$5,卡牌消耗!BO112),"")</f>
        <v>玄铁</v>
      </c>
      <c r="BX112" s="14">
        <f>IF(BO112&gt;0,ROUND(INDEX(挂机升级突破!$ER$7:$EU$26,卡牌消耗!BS112,卡牌消耗!BO112)*INDEX($B$6:$F$6,BP112)/$Q$4/5,0)*5,"")</f>
        <v>225</v>
      </c>
      <c r="BY112" s="193"/>
      <c r="BZ112" s="193"/>
      <c r="CA112" s="106"/>
      <c r="CS112" s="171"/>
      <c r="CT112" s="171"/>
      <c r="CU112" s="171"/>
      <c r="CV112" s="169">
        <v>108</v>
      </c>
      <c r="CW112" s="169">
        <v>5.75</v>
      </c>
      <c r="CX112" s="21">
        <f t="shared" ref="CX112" si="203">CW112/$CU111</f>
        <v>0.20909090909090908</v>
      </c>
      <c r="CY112" s="169">
        <f t="shared" ref="CY112" si="204">INT($CU110*CX112/5)*5</f>
        <v>51140</v>
      </c>
      <c r="CZ112" s="169">
        <f>SUM(CY$5:CY112)</f>
        <v>1857205</v>
      </c>
      <c r="DB112" s="188">
        <f t="shared" si="184"/>
        <v>25550</v>
      </c>
      <c r="DC112" s="188">
        <f t="shared" si="184"/>
        <v>40900</v>
      </c>
      <c r="DD112" s="188">
        <f t="shared" si="184"/>
        <v>51100</v>
      </c>
      <c r="DE112" s="188">
        <f t="shared" si="184"/>
        <v>61350</v>
      </c>
      <c r="DF112" s="188">
        <f t="shared" si="184"/>
        <v>76700</v>
      </c>
      <c r="DI112" s="186">
        <v>108</v>
      </c>
      <c r="DJ112" s="14">
        <f t="shared" si="117"/>
        <v>22</v>
      </c>
      <c r="DK112" s="14">
        <f t="shared" si="99"/>
        <v>3</v>
      </c>
      <c r="DL112" s="14">
        <f t="shared" si="100"/>
        <v>1101030</v>
      </c>
      <c r="DM112" s="136" t="s">
        <v>1097</v>
      </c>
      <c r="DN112" s="14">
        <f t="shared" si="101"/>
        <v>3</v>
      </c>
      <c r="DO112" s="14" t="str">
        <f t="shared" si="102"/>
        <v>卢天佑-3星</v>
      </c>
      <c r="DP112" s="136" t="s">
        <v>1103</v>
      </c>
      <c r="DQ112" s="14">
        <f t="shared" si="118"/>
        <v>10000</v>
      </c>
      <c r="DR112" s="14" t="str">
        <f t="shared" si="103"/>
        <v>卢天佑碎片</v>
      </c>
      <c r="DS112" s="14">
        <f t="shared" si="119"/>
        <v>40</v>
      </c>
    </row>
    <row r="113" spans="8:123" ht="16.5" x14ac:dyDescent="0.2">
      <c r="H113" s="15"/>
      <c r="I113" s="15"/>
      <c r="J113" s="15"/>
      <c r="K113" s="15"/>
      <c r="L113" s="15"/>
      <c r="M113" s="15"/>
      <c r="N113" s="15"/>
      <c r="O113" s="137"/>
      <c r="P113" s="141"/>
      <c r="Q113" s="141"/>
      <c r="R113" s="141"/>
      <c r="S113" s="141"/>
      <c r="T113" s="141"/>
      <c r="U113" s="141"/>
      <c r="V113" s="141"/>
      <c r="W113" s="141"/>
      <c r="X113" s="141"/>
      <c r="Y113" s="141"/>
      <c r="Z113" s="196">
        <v>4</v>
      </c>
      <c r="AA113" s="196">
        <v>5</v>
      </c>
      <c r="AB113" s="14">
        <f>ROUND(INDEX(挂机升级突破!DT$6:DT$57,卡牌消耗!$AA113)*INDEX(卡牌消耗!$B$5:$F$5,卡牌消耗!$Z113)/卡牌消耗!$Q$4/AB$2,0)*AB$2</f>
        <v>185</v>
      </c>
      <c r="AC113" s="14">
        <f>ROUND(INDEX(挂机升级突破!DU$6:DU$57,卡牌消耗!$AA113)*INDEX(卡牌消耗!$B$5:$F$5,卡牌消耗!$Z113)/卡牌消耗!$Q$4/AC$2,0)*AC$2</f>
        <v>0</v>
      </c>
      <c r="AD113" s="14">
        <f>ROUND(INDEX(挂机升级突破!DV$6:DV$57,卡牌消耗!$AA113)*INDEX(卡牌消耗!$B$5:$F$5,卡牌消耗!$Z113)/卡牌消耗!$Q$4/AD$2,0)*AD$2</f>
        <v>0</v>
      </c>
      <c r="AE113" s="14">
        <f>ROUND(INDEX(挂机升级突破!DW$6:DW$57,卡牌消耗!$AA113)*INDEX(卡牌消耗!$B$5:$F$5,卡牌消耗!$Z113)/卡牌消耗!$Q$4/AE$2,0)*AE$2</f>
        <v>0</v>
      </c>
      <c r="AF113" s="14">
        <f>ROUND(INDEX(挂机升级突破!DX$6:DX$57,卡牌消耗!$AA113)*INDEX(卡牌消耗!$B$5:$F$5,卡牌消耗!$Z113)/卡牌消耗!$Q$4/AF$2,0)*AF$2</f>
        <v>0</v>
      </c>
      <c r="AG113" s="14">
        <f>ROUND(INDEX(挂机升级突破!EC$6:EC$57,卡牌消耗!$AA113)*INDEX(卡牌消耗!$B$7:$F$7,卡牌消耗!$Z113)/卡牌消耗!$Q$4/AG$2,0)*AG$2</f>
        <v>0</v>
      </c>
      <c r="AH113" s="14">
        <f>ROUND(INDEX(挂机升级突破!ED$6:ED$57,卡牌消耗!$AA113)*INDEX(卡牌消耗!$B$8:$F$8,卡牌消耗!$Z113)/卡牌消耗!$Q$4/AH$2,0)*AH$2</f>
        <v>1550</v>
      </c>
      <c r="AI113" s="194"/>
      <c r="AJ113" s="194"/>
      <c r="AK113" s="104">
        <v>109</v>
      </c>
      <c r="AL113" s="14">
        <f t="shared" si="104"/>
        <v>3</v>
      </c>
      <c r="AM113" s="14">
        <f>INDEX(挂机升级突破!DQ$6:DQ$57,卡牌消耗!$AT113)</f>
        <v>11</v>
      </c>
      <c r="AN113" s="14">
        <f>INDEX(挂机升级突破!DR$6:DR$57,卡牌消耗!$AT113)</f>
        <v>1</v>
      </c>
      <c r="AO113" s="14">
        <f>INDEX(挂机升级突破!DS$6:DS$57,卡牌消耗!$AT113)</f>
        <v>0</v>
      </c>
      <c r="AP113" s="14">
        <f>INDEX(挂机升级突破!$DP$6:$DP$57,卡牌消耗!AT113)</f>
        <v>23</v>
      </c>
      <c r="AQ113" s="14" t="str">
        <f t="shared" si="105"/>
        <v>典韦</v>
      </c>
      <c r="AR113" s="14">
        <f t="shared" si="106"/>
        <v>4</v>
      </c>
      <c r="AS113" s="14" t="str">
        <f t="shared" si="107"/>
        <v>典韦魂火-5</v>
      </c>
      <c r="AT113" s="14">
        <f t="shared" si="108"/>
        <v>5</v>
      </c>
      <c r="AU113" s="14" t="str">
        <f>IF(AM113&gt;0,INDEX(挂机升级突破!$DT$4:$ED$4,AM113),"")</f>
        <v>金币</v>
      </c>
      <c r="AV113" s="14">
        <f>ROUND(INDEX(挂机升级突破!$DJ$6:$DJ$57,卡牌消耗!AT113)*INDEX(卡牌消耗!$B$8:$F$8,AR113)/$Q$4/50,0)*50</f>
        <v>1550</v>
      </c>
      <c r="AW113" s="14" t="str">
        <f>IF(AN113&gt;0,INDEX(挂机升级突破!$DT$4:$ED$4,AN113),"")</f>
        <v>绿色基础材料</v>
      </c>
      <c r="AX113" s="14">
        <f>ROUND(INDEX(挂机升级突破!$DT$6:$ED$57,卡牌消耗!AT113,AN113)*INDEX(卡牌消耗!$B$5:$F$5,AR113)/$Q$4/5,0)*5</f>
        <v>185</v>
      </c>
      <c r="AY113" s="14" t="str">
        <f>IF(AO113&gt;0,INDEX(挂机升级突破!$DT$4:$ED$4,AO113),"")</f>
        <v/>
      </c>
      <c r="AZ113" s="14" t="str">
        <f>IF(AO113&gt;0,ROUND(INDEX(挂机升级突破!$DT$6:$ED$57,卡牌消耗!AT113,AO113)*INDEX(卡牌消耗!$B$7:$F$7,AR113)/$Q$4,0),"")</f>
        <v/>
      </c>
      <c r="BA113" s="106"/>
      <c r="BB113" s="197"/>
      <c r="BC113" s="197"/>
      <c r="BD113" s="197"/>
      <c r="BE113" s="197"/>
      <c r="BF113" s="197"/>
      <c r="BG113" s="197"/>
      <c r="BH113" s="197"/>
      <c r="BI113" s="197"/>
      <c r="BJ113" s="197"/>
      <c r="BK113" s="197"/>
      <c r="BL113" s="104">
        <v>109</v>
      </c>
      <c r="BM113" s="14">
        <f t="shared" si="109"/>
        <v>6</v>
      </c>
      <c r="BN113" s="14">
        <f>INDEX(挂机升级突破!$EI$7:$EI$26,BS113)</f>
        <v>5</v>
      </c>
      <c r="BO113" s="14">
        <f>INDEX(挂机升级突破!$EJ$7:$EJ$26,BS113)</f>
        <v>2</v>
      </c>
      <c r="BP113" s="14">
        <f t="shared" si="110"/>
        <v>5</v>
      </c>
      <c r="BQ113" s="14">
        <f>INDEX(挂机升级突破!$EH$7:$EH$26,卡牌消耗!BS113)</f>
        <v>57</v>
      </c>
      <c r="BR113" s="14" t="str">
        <f t="shared" si="111"/>
        <v>项羽</v>
      </c>
      <c r="BS113" s="14">
        <f t="shared" si="112"/>
        <v>9</v>
      </c>
      <c r="BT113" s="14" t="str">
        <f t="shared" si="113"/>
        <v>项羽9突</v>
      </c>
      <c r="BU113" s="14" t="str">
        <f>IF(BN113&gt;0,INDEX(挂机升级突破!$ER$5:$EV$5,卡牌消耗!BN113),"")</f>
        <v>金币</v>
      </c>
      <c r="BV113" s="14">
        <f>IF(BN113&gt;0,ROUND(INDEX(挂机升级突破!$EV$7:$EV$26,卡牌消耗!BS113)*INDEX(卡牌消耗!$B$8:$F$8,BP113)/$Q$4/500,0)*500,"")</f>
        <v>22000</v>
      </c>
      <c r="BW113" s="14" t="str">
        <f>IF(BO113&gt;0,INDEX(挂机升级突破!$ER$5:$EV$5,卡牌消耗!BO113),"")</f>
        <v>乌金</v>
      </c>
      <c r="BX113" s="14">
        <f>IF(BO113&gt;0,ROUND(INDEX(挂机升级突破!$ER$7:$EU$26,卡牌消耗!BS113,卡牌消耗!BO113)*INDEX($B$6:$F$6,BP113)/$Q$4/5,0)*5,"")</f>
        <v>75</v>
      </c>
      <c r="BY113" s="193"/>
      <c r="BZ113" s="193"/>
      <c r="CA113" s="106"/>
      <c r="CS113" s="171"/>
      <c r="CT113" s="171"/>
      <c r="CU113" s="171"/>
      <c r="CV113" s="169">
        <v>109</v>
      </c>
      <c r="CW113" s="169">
        <v>6</v>
      </c>
      <c r="CX113" s="21">
        <f t="shared" ref="CX113" si="205">CW113/$CU111</f>
        <v>0.21818181818181817</v>
      </c>
      <c r="CY113" s="169">
        <f t="shared" ref="CY113" si="206">INT($CU110*CX113/5)*5</f>
        <v>53365</v>
      </c>
      <c r="CZ113" s="169">
        <f>SUM(CY$5:CY113)</f>
        <v>1910570</v>
      </c>
      <c r="DB113" s="188">
        <f t="shared" si="184"/>
        <v>26650</v>
      </c>
      <c r="DC113" s="188">
        <f t="shared" si="184"/>
        <v>42650</v>
      </c>
      <c r="DD113" s="188">
        <f t="shared" si="184"/>
        <v>53350</v>
      </c>
      <c r="DE113" s="188">
        <f t="shared" si="184"/>
        <v>64000</v>
      </c>
      <c r="DF113" s="188">
        <f t="shared" si="184"/>
        <v>80000</v>
      </c>
      <c r="DI113" s="186">
        <v>109</v>
      </c>
      <c r="DJ113" s="14">
        <f t="shared" si="117"/>
        <v>22</v>
      </c>
      <c r="DK113" s="14">
        <f t="shared" si="99"/>
        <v>3</v>
      </c>
      <c r="DL113" s="14">
        <f t="shared" si="100"/>
        <v>1101030</v>
      </c>
      <c r="DM113" s="136" t="s">
        <v>1097</v>
      </c>
      <c r="DN113" s="14">
        <f t="shared" si="101"/>
        <v>4</v>
      </c>
      <c r="DO113" s="14" t="str">
        <f t="shared" si="102"/>
        <v>卢天佑-4星</v>
      </c>
      <c r="DP113" s="136" t="s">
        <v>1103</v>
      </c>
      <c r="DQ113" s="14">
        <f t="shared" si="118"/>
        <v>20000</v>
      </c>
      <c r="DR113" s="14" t="str">
        <f t="shared" si="103"/>
        <v>卢天佑碎片</v>
      </c>
      <c r="DS113" s="14">
        <f t="shared" si="119"/>
        <v>40</v>
      </c>
    </row>
    <row r="114" spans="8:123" ht="16.5" x14ac:dyDescent="0.2">
      <c r="H114" s="15"/>
      <c r="I114" s="15"/>
      <c r="J114" s="15"/>
      <c r="K114" s="15"/>
      <c r="L114" s="15"/>
      <c r="M114" s="15"/>
      <c r="N114" s="15"/>
      <c r="O114" s="137"/>
      <c r="P114" s="141"/>
      <c r="Q114" s="141"/>
      <c r="R114" s="141"/>
      <c r="S114" s="141"/>
      <c r="T114" s="141"/>
      <c r="U114" s="141"/>
      <c r="V114" s="141"/>
      <c r="W114" s="141"/>
      <c r="X114" s="141"/>
      <c r="Y114" s="141"/>
      <c r="Z114" s="196">
        <v>4</v>
      </c>
      <c r="AA114" s="196">
        <v>6</v>
      </c>
      <c r="AB114" s="14">
        <f>ROUND(INDEX(挂机升级突破!DT$6:DT$57,卡牌消耗!$AA114)*INDEX(卡牌消耗!$B$5:$F$5,卡牌消耗!$Z114)/卡牌消耗!$Q$4/AB$2,0)*AB$2</f>
        <v>0</v>
      </c>
      <c r="AC114" s="14">
        <f>ROUND(INDEX(挂机升级突破!DU$6:DU$57,卡牌消耗!$AA114)*INDEX(卡牌消耗!$B$5:$F$5,卡牌消耗!$Z114)/卡牌消耗!$Q$4/AC$2,0)*AC$2</f>
        <v>35</v>
      </c>
      <c r="AD114" s="14">
        <f>ROUND(INDEX(挂机升级突破!DV$6:DV$57,卡牌消耗!$AA114)*INDEX(卡牌消耗!$B$5:$F$5,卡牌消耗!$Z114)/卡牌消耗!$Q$4/AD$2,0)*AD$2</f>
        <v>0</v>
      </c>
      <c r="AE114" s="14">
        <f>ROUND(INDEX(挂机升级突破!DW$6:DW$57,卡牌消耗!$AA114)*INDEX(卡牌消耗!$B$5:$F$5,卡牌消耗!$Z114)/卡牌消耗!$Q$4/AE$2,0)*AE$2</f>
        <v>0</v>
      </c>
      <c r="AF114" s="14">
        <f>ROUND(INDEX(挂机升级突破!DX$6:DX$57,卡牌消耗!$AA114)*INDEX(卡牌消耗!$B$5:$F$5,卡牌消耗!$Z114)/卡牌消耗!$Q$4/AF$2,0)*AF$2</f>
        <v>0</v>
      </c>
      <c r="AG114" s="14">
        <f>ROUND(INDEX(挂机升级突破!EC$6:EC$57,卡牌消耗!$AA114)*INDEX(卡牌消耗!$B$7:$F$7,卡牌消耗!$Z114)/卡牌消耗!$Q$4/AG$2,0)*AG$2</f>
        <v>0</v>
      </c>
      <c r="AH114" s="14">
        <f>ROUND(INDEX(挂机升级突破!ED$6:ED$57,卡牌消耗!$AA114)*INDEX(卡牌消耗!$B$8:$F$8,卡牌消耗!$Z114)/卡牌消耗!$Q$4/AH$2,0)*AH$2</f>
        <v>1900</v>
      </c>
      <c r="AI114" s="194"/>
      <c r="AJ114" s="194"/>
      <c r="AK114" s="104">
        <v>110</v>
      </c>
      <c r="AL114" s="14">
        <f t="shared" si="104"/>
        <v>3</v>
      </c>
      <c r="AM114" s="14">
        <f>INDEX(挂机升级突破!DQ$6:DQ$57,卡牌消耗!$AT114)</f>
        <v>11</v>
      </c>
      <c r="AN114" s="14">
        <f>INDEX(挂机升级突破!DR$6:DR$57,卡牌消耗!$AT114)</f>
        <v>2</v>
      </c>
      <c r="AO114" s="14">
        <f>INDEX(挂机升级突破!DS$6:DS$57,卡牌消耗!$AT114)</f>
        <v>0</v>
      </c>
      <c r="AP114" s="14">
        <f>INDEX(挂机升级突破!$DP$6:$DP$57,卡牌消耗!AT114)</f>
        <v>28</v>
      </c>
      <c r="AQ114" s="14" t="str">
        <f t="shared" si="105"/>
        <v>典韦</v>
      </c>
      <c r="AR114" s="14">
        <f t="shared" si="106"/>
        <v>4</v>
      </c>
      <c r="AS114" s="14" t="str">
        <f t="shared" si="107"/>
        <v>典韦魂火-6</v>
      </c>
      <c r="AT114" s="14">
        <f t="shared" si="108"/>
        <v>6</v>
      </c>
      <c r="AU114" s="14" t="str">
        <f>IF(AM114&gt;0,INDEX(挂机升级突破!$DT$4:$ED$4,AM114),"")</f>
        <v>金币</v>
      </c>
      <c r="AV114" s="14">
        <f>ROUND(INDEX(挂机升级突破!$DJ$6:$DJ$57,卡牌消耗!AT114)*INDEX(卡牌消耗!$B$8:$F$8,AR114)/$Q$4/50,0)*50</f>
        <v>1900</v>
      </c>
      <c r="AW114" s="14" t="str">
        <f>IF(AN114&gt;0,INDEX(挂机升级突破!$DT$4:$ED$4,AN114),"")</f>
        <v>蓝色基础材料</v>
      </c>
      <c r="AX114" s="14">
        <f>ROUND(INDEX(挂机升级突破!$DT$6:$ED$57,卡牌消耗!AT114,AN114)*INDEX(卡牌消耗!$B$5:$F$5,AR114)/$Q$4/5,0)*5</f>
        <v>35</v>
      </c>
      <c r="AY114" s="14" t="str">
        <f>IF(AO114&gt;0,INDEX(挂机升级突破!$DT$4:$ED$4,AO114),"")</f>
        <v/>
      </c>
      <c r="AZ114" s="14" t="str">
        <f>IF(AO114&gt;0,ROUND(INDEX(挂机升级突破!$DT$6:$ED$57,卡牌消耗!AT114,AO114)*INDEX(卡牌消耗!$B$7:$F$7,AR114)/$Q$4,0),"")</f>
        <v/>
      </c>
      <c r="BA114" s="106"/>
      <c r="BB114" s="197"/>
      <c r="BC114" s="197"/>
      <c r="BD114" s="197"/>
      <c r="BE114" s="197"/>
      <c r="BF114" s="197"/>
      <c r="BG114" s="197"/>
      <c r="BH114" s="197"/>
      <c r="BI114" s="197"/>
      <c r="BJ114" s="197"/>
      <c r="BK114" s="197"/>
      <c r="BL114" s="104">
        <v>110</v>
      </c>
      <c r="BM114" s="14">
        <f t="shared" si="109"/>
        <v>6</v>
      </c>
      <c r="BN114" s="14">
        <f>INDEX(挂机升级突破!$EI$7:$EI$26,BS114)</f>
        <v>5</v>
      </c>
      <c r="BO114" s="14">
        <f>INDEX(挂机升级突破!$EJ$7:$EJ$26,BS114)</f>
        <v>2</v>
      </c>
      <c r="BP114" s="14">
        <f t="shared" si="110"/>
        <v>5</v>
      </c>
      <c r="BQ114" s="14">
        <f>INDEX(挂机升级突破!$EH$7:$EH$26,卡牌消耗!BS114)</f>
        <v>65</v>
      </c>
      <c r="BR114" s="14" t="str">
        <f t="shared" si="111"/>
        <v>项羽</v>
      </c>
      <c r="BS114" s="14">
        <f t="shared" si="112"/>
        <v>10</v>
      </c>
      <c r="BT114" s="14" t="str">
        <f t="shared" si="113"/>
        <v>项羽10突</v>
      </c>
      <c r="BU114" s="14" t="str">
        <f>IF(BN114&gt;0,INDEX(挂机升级突破!$ER$5:$EV$5,卡牌消耗!BN114),"")</f>
        <v>金币</v>
      </c>
      <c r="BV114" s="14">
        <f>IF(BN114&gt;0,ROUND(INDEX(挂机升级突破!$EV$7:$EV$26,卡牌消耗!BS114)*INDEX(卡牌消耗!$B$8:$F$8,BP114)/$Q$4/500,0)*500,"")</f>
        <v>37500</v>
      </c>
      <c r="BW114" s="14" t="str">
        <f>IF(BO114&gt;0,INDEX(挂机升级突破!$ER$5:$EV$5,卡牌消耗!BO114),"")</f>
        <v>乌金</v>
      </c>
      <c r="BX114" s="14">
        <f>IF(BO114&gt;0,ROUND(INDEX(挂机升级突破!$ER$7:$EU$26,卡牌消耗!BS114,卡牌消耗!BO114)*INDEX($B$6:$F$6,BP114)/$Q$4/5,0)*5,"")</f>
        <v>105</v>
      </c>
      <c r="BY114" s="193"/>
      <c r="BZ114" s="193"/>
      <c r="CA114" s="106"/>
      <c r="CS114" s="171"/>
      <c r="CT114" s="173" t="s">
        <v>120</v>
      </c>
      <c r="CU114" s="169">
        <v>21</v>
      </c>
      <c r="CV114" s="169">
        <v>110</v>
      </c>
      <c r="CW114" s="169">
        <v>5</v>
      </c>
      <c r="CX114" s="21">
        <f t="shared" ref="CX114" si="207">CW114/$CU116</f>
        <v>0.18181818181818182</v>
      </c>
      <c r="CY114" s="169">
        <f t="shared" ref="CY114" si="208">INT($CU115*CX114/5)*5</f>
        <v>49590</v>
      </c>
      <c r="CZ114" s="169">
        <f>SUM(CY$5:CY114)</f>
        <v>1960160</v>
      </c>
      <c r="DB114" s="188">
        <f t="shared" si="184"/>
        <v>24750</v>
      </c>
      <c r="DC114" s="188">
        <f t="shared" si="184"/>
        <v>39650</v>
      </c>
      <c r="DD114" s="188">
        <f t="shared" si="184"/>
        <v>49550</v>
      </c>
      <c r="DE114" s="188">
        <f t="shared" si="184"/>
        <v>59500</v>
      </c>
      <c r="DF114" s="188">
        <f t="shared" si="184"/>
        <v>74350</v>
      </c>
      <c r="DI114" s="186">
        <v>110</v>
      </c>
      <c r="DJ114" s="14">
        <f t="shared" si="117"/>
        <v>22</v>
      </c>
      <c r="DK114" s="14">
        <f t="shared" si="99"/>
        <v>3</v>
      </c>
      <c r="DL114" s="14">
        <f t="shared" si="100"/>
        <v>1101030</v>
      </c>
      <c r="DM114" s="136" t="s">
        <v>1097</v>
      </c>
      <c r="DN114" s="14">
        <f t="shared" si="101"/>
        <v>5</v>
      </c>
      <c r="DO114" s="14" t="str">
        <f t="shared" si="102"/>
        <v>卢天佑-5星</v>
      </c>
      <c r="DP114" s="136" t="s">
        <v>1103</v>
      </c>
      <c r="DQ114" s="14">
        <f t="shared" si="118"/>
        <v>40000</v>
      </c>
      <c r="DR114" s="14" t="str">
        <f t="shared" si="103"/>
        <v>卢天佑碎片</v>
      </c>
      <c r="DS114" s="14">
        <f t="shared" si="119"/>
        <v>40</v>
      </c>
    </row>
    <row r="115" spans="8:123" ht="16.5" x14ac:dyDescent="0.2">
      <c r="H115" s="15"/>
      <c r="I115" s="15"/>
      <c r="J115" s="15"/>
      <c r="K115" s="15"/>
      <c r="L115" s="15"/>
      <c r="M115" s="15"/>
      <c r="N115" s="15"/>
      <c r="O115" s="137"/>
      <c r="P115" s="141"/>
      <c r="Q115" s="141"/>
      <c r="R115" s="141"/>
      <c r="S115" s="141"/>
      <c r="T115" s="141"/>
      <c r="U115" s="141"/>
      <c r="V115" s="141"/>
      <c r="W115" s="141"/>
      <c r="X115" s="141"/>
      <c r="Y115" s="141"/>
      <c r="Z115" s="196">
        <v>4</v>
      </c>
      <c r="AA115" s="196">
        <v>7</v>
      </c>
      <c r="AB115" s="14">
        <f>ROUND(INDEX(挂机升级突破!DT$6:DT$57,卡牌消耗!$AA115)*INDEX(卡牌消耗!$B$5:$F$5,卡牌消耗!$Z115)/卡牌消耗!$Q$4/AB$2,0)*AB$2</f>
        <v>0</v>
      </c>
      <c r="AC115" s="14">
        <f>ROUND(INDEX(挂机升级突破!DU$6:DU$57,卡牌消耗!$AA115)*INDEX(卡牌消耗!$B$5:$F$5,卡牌消耗!$Z115)/卡牌消耗!$Q$4/AC$2,0)*AC$2</f>
        <v>35</v>
      </c>
      <c r="AD115" s="14">
        <f>ROUND(INDEX(挂机升级突破!DV$6:DV$57,卡牌消耗!$AA115)*INDEX(卡牌消耗!$B$5:$F$5,卡牌消耗!$Z115)/卡牌消耗!$Q$4/AD$2,0)*AD$2</f>
        <v>0</v>
      </c>
      <c r="AE115" s="14">
        <f>ROUND(INDEX(挂机升级突破!DW$6:DW$57,卡牌消耗!$AA115)*INDEX(卡牌消耗!$B$5:$F$5,卡牌消耗!$Z115)/卡牌消耗!$Q$4/AE$2,0)*AE$2</f>
        <v>0</v>
      </c>
      <c r="AF115" s="14">
        <f>ROUND(INDEX(挂机升级突破!DX$6:DX$57,卡牌消耗!$AA115)*INDEX(卡牌消耗!$B$5:$F$5,卡牌消耗!$Z115)/卡牌消耗!$Q$4/AF$2,0)*AF$2</f>
        <v>0</v>
      </c>
      <c r="AG115" s="14">
        <f>ROUND(INDEX(挂机升级突破!EC$6:EC$57,卡牌消耗!$AA115)*INDEX(卡牌消耗!$B$7:$F$7,卡牌消耗!$Z115)/卡牌消耗!$Q$4/AG$2,0)*AG$2</f>
        <v>0</v>
      </c>
      <c r="AH115" s="14">
        <f>ROUND(INDEX(挂机升级突破!ED$6:ED$57,卡牌消耗!$AA115)*INDEX(卡牌消耗!$B$8:$F$8,卡牌消耗!$Z115)/卡牌消耗!$Q$4/AH$2,0)*AH$2</f>
        <v>1900</v>
      </c>
      <c r="AI115" s="194"/>
      <c r="AJ115" s="194"/>
      <c r="AK115" s="104">
        <v>111</v>
      </c>
      <c r="AL115" s="14">
        <f t="shared" si="104"/>
        <v>3</v>
      </c>
      <c r="AM115" s="14">
        <f>INDEX(挂机升级突破!DQ$6:DQ$57,卡牌消耗!$AT115)</f>
        <v>11</v>
      </c>
      <c r="AN115" s="14">
        <f>INDEX(挂机升级突破!DR$6:DR$57,卡牌消耗!$AT115)</f>
        <v>2</v>
      </c>
      <c r="AO115" s="14">
        <f>INDEX(挂机升级突破!DS$6:DS$57,卡牌消耗!$AT115)</f>
        <v>0</v>
      </c>
      <c r="AP115" s="14">
        <f>INDEX(挂机升级突破!$DP$6:$DP$57,卡牌消耗!AT115)</f>
        <v>33</v>
      </c>
      <c r="AQ115" s="14" t="str">
        <f t="shared" si="105"/>
        <v>典韦</v>
      </c>
      <c r="AR115" s="14">
        <f t="shared" si="106"/>
        <v>4</v>
      </c>
      <c r="AS115" s="14" t="str">
        <f t="shared" si="107"/>
        <v>典韦魂火-7</v>
      </c>
      <c r="AT115" s="14">
        <f t="shared" si="108"/>
        <v>7</v>
      </c>
      <c r="AU115" s="14" t="str">
        <f>IF(AM115&gt;0,INDEX(挂机升级突破!$DT$4:$ED$4,AM115),"")</f>
        <v>金币</v>
      </c>
      <c r="AV115" s="14">
        <f>ROUND(INDEX(挂机升级突破!$DJ$6:$DJ$57,卡牌消耗!AT115)*INDEX(卡牌消耗!$B$8:$F$8,AR115)/$Q$4/50,0)*50</f>
        <v>1900</v>
      </c>
      <c r="AW115" s="14" t="str">
        <f>IF(AN115&gt;0,INDEX(挂机升级突破!$DT$4:$ED$4,AN115),"")</f>
        <v>蓝色基础材料</v>
      </c>
      <c r="AX115" s="14">
        <f>ROUND(INDEX(挂机升级突破!$DT$6:$ED$57,卡牌消耗!AT115,AN115)*INDEX(卡牌消耗!$B$5:$F$5,AR115)/$Q$4/5,0)*5</f>
        <v>35</v>
      </c>
      <c r="AY115" s="14" t="str">
        <f>IF(AO115&gt;0,INDEX(挂机升级突破!$DT$4:$ED$4,AO115),"")</f>
        <v/>
      </c>
      <c r="AZ115" s="14" t="str">
        <f>IF(AO115&gt;0,ROUND(INDEX(挂机升级突破!$DT$6:$ED$57,卡牌消耗!AT115,AO115)*INDEX(卡牌消耗!$B$7:$F$7,AR115)/$Q$4,0),"")</f>
        <v/>
      </c>
      <c r="BA115" s="106"/>
      <c r="BB115" s="197"/>
      <c r="BC115" s="197"/>
      <c r="BD115" s="197"/>
      <c r="BE115" s="197"/>
      <c r="BF115" s="197"/>
      <c r="BG115" s="197"/>
      <c r="BH115" s="197"/>
      <c r="BI115" s="197"/>
      <c r="BJ115" s="197"/>
      <c r="BK115" s="197"/>
      <c r="BL115" s="104">
        <v>111</v>
      </c>
      <c r="BM115" s="14">
        <f t="shared" si="109"/>
        <v>6</v>
      </c>
      <c r="BN115" s="14">
        <f>INDEX(挂机升级突破!$EI$7:$EI$26,BS115)</f>
        <v>5</v>
      </c>
      <c r="BO115" s="14">
        <f>INDEX(挂机升级突破!$EJ$7:$EJ$26,BS115)</f>
        <v>2</v>
      </c>
      <c r="BP115" s="14">
        <f t="shared" si="110"/>
        <v>5</v>
      </c>
      <c r="BQ115" s="14">
        <f>INDEX(挂机升级突破!$EH$7:$EH$26,卡牌消耗!BS115)</f>
        <v>72</v>
      </c>
      <c r="BR115" s="14" t="str">
        <f t="shared" si="111"/>
        <v>项羽</v>
      </c>
      <c r="BS115" s="14">
        <f t="shared" si="112"/>
        <v>11</v>
      </c>
      <c r="BT115" s="14" t="str">
        <f t="shared" si="113"/>
        <v>项羽11突</v>
      </c>
      <c r="BU115" s="14" t="str">
        <f>IF(BN115&gt;0,INDEX(挂机升级突破!$ER$5:$EV$5,卡牌消耗!BN115),"")</f>
        <v>金币</v>
      </c>
      <c r="BV115" s="14">
        <f>IF(BN115&gt;0,ROUND(INDEX(挂机升级突破!$EV$7:$EV$26,卡牌消耗!BS115)*INDEX(卡牌消耗!$B$8:$F$8,BP115)/$Q$4/500,0)*500,"")</f>
        <v>37500</v>
      </c>
      <c r="BW115" s="14" t="str">
        <f>IF(BO115&gt;0,INDEX(挂机升级突破!$ER$5:$EV$5,卡牌消耗!BO115),"")</f>
        <v>乌金</v>
      </c>
      <c r="BX115" s="14">
        <f>IF(BO115&gt;0,ROUND(INDEX(挂机升级突破!$ER$7:$EU$26,卡牌消耗!BS115,卡牌消耗!BO115)*INDEX($B$6:$F$6,BP115)/$Q$4/5,0)*5,"")</f>
        <v>140</v>
      </c>
      <c r="BY115" s="193"/>
      <c r="BZ115" s="193"/>
      <c r="CA115" s="106"/>
      <c r="CS115" s="171"/>
      <c r="CT115" s="171"/>
      <c r="CU115" s="14">
        <f>INDEX($CP$5:$CP$32,CU114)</f>
        <v>272750</v>
      </c>
      <c r="CV115" s="169">
        <v>111</v>
      </c>
      <c r="CW115" s="169">
        <v>5.25</v>
      </c>
      <c r="CX115" s="21">
        <f t="shared" ref="CX115" si="209">CW115/$CU116</f>
        <v>0.19090909090909092</v>
      </c>
      <c r="CY115" s="169">
        <f t="shared" ref="CY115" si="210">INT($CU115*CX115/5)*5</f>
        <v>52070</v>
      </c>
      <c r="CZ115" s="169">
        <f>SUM(CY$5:CY115)</f>
        <v>2012230</v>
      </c>
      <c r="DB115" s="188">
        <f t="shared" si="184"/>
        <v>26000</v>
      </c>
      <c r="DC115" s="188">
        <f t="shared" si="184"/>
        <v>41650</v>
      </c>
      <c r="DD115" s="188">
        <f t="shared" si="184"/>
        <v>52050</v>
      </c>
      <c r="DE115" s="188">
        <f t="shared" si="184"/>
        <v>62450</v>
      </c>
      <c r="DF115" s="188">
        <f t="shared" si="184"/>
        <v>78100</v>
      </c>
      <c r="DI115" s="186">
        <v>111</v>
      </c>
      <c r="DJ115" s="14">
        <f t="shared" si="117"/>
        <v>23</v>
      </c>
      <c r="DK115" s="14">
        <f t="shared" si="99"/>
        <v>4</v>
      </c>
      <c r="DL115" s="14">
        <f t="shared" si="100"/>
        <v>1101043</v>
      </c>
      <c r="DM115" s="136" t="s">
        <v>1097</v>
      </c>
      <c r="DN115" s="14">
        <f t="shared" si="101"/>
        <v>1</v>
      </c>
      <c r="DO115" s="14" t="str">
        <f t="shared" si="102"/>
        <v>少年曹玄亮-1星</v>
      </c>
      <c r="DP115" s="136" t="s">
        <v>1103</v>
      </c>
      <c r="DQ115" s="14">
        <f t="shared" si="118"/>
        <v>6000</v>
      </c>
      <c r="DR115" s="14" t="str">
        <f t="shared" si="103"/>
        <v>少年曹玄亮碎片</v>
      </c>
      <c r="DS115" s="14">
        <f t="shared" si="119"/>
        <v>80</v>
      </c>
    </row>
    <row r="116" spans="8:123" ht="16.5" x14ac:dyDescent="0.2">
      <c r="H116" s="15"/>
      <c r="I116" s="15"/>
      <c r="J116" s="15"/>
      <c r="K116" s="15"/>
      <c r="L116" s="15"/>
      <c r="M116" s="15"/>
      <c r="N116" s="15"/>
      <c r="O116" s="137"/>
      <c r="P116" s="141"/>
      <c r="Q116" s="141"/>
      <c r="R116" s="141"/>
      <c r="S116" s="141"/>
      <c r="T116" s="141"/>
      <c r="U116" s="141"/>
      <c r="V116" s="141"/>
      <c r="W116" s="141"/>
      <c r="X116" s="141"/>
      <c r="Y116" s="141"/>
      <c r="Z116" s="196">
        <v>4</v>
      </c>
      <c r="AA116" s="196">
        <v>8</v>
      </c>
      <c r="AB116" s="14">
        <f>ROUND(INDEX(挂机升级突破!DT$6:DT$57,卡牌消耗!$AA116)*INDEX(卡牌消耗!$B$5:$F$5,卡牌消耗!$Z116)/卡牌消耗!$Q$4/AB$2,0)*AB$2</f>
        <v>0</v>
      </c>
      <c r="AC116" s="14">
        <f>ROUND(INDEX(挂机升级突破!DU$6:DU$57,卡牌消耗!$AA116)*INDEX(卡牌消耗!$B$5:$F$5,卡牌消耗!$Z116)/卡牌消耗!$Q$4/AC$2,0)*AC$2</f>
        <v>70</v>
      </c>
      <c r="AD116" s="14">
        <f>ROUND(INDEX(挂机升级突破!DV$6:DV$57,卡牌消耗!$AA116)*INDEX(卡牌消耗!$B$5:$F$5,卡牌消耗!$Z116)/卡牌消耗!$Q$4/AD$2,0)*AD$2</f>
        <v>0</v>
      </c>
      <c r="AE116" s="14">
        <f>ROUND(INDEX(挂机升级突破!DW$6:DW$57,卡牌消耗!$AA116)*INDEX(卡牌消耗!$B$5:$F$5,卡牌消耗!$Z116)/卡牌消耗!$Q$4/AE$2,0)*AE$2</f>
        <v>0</v>
      </c>
      <c r="AF116" s="14">
        <f>ROUND(INDEX(挂机升级突破!DX$6:DX$57,卡牌消耗!$AA116)*INDEX(卡牌消耗!$B$5:$F$5,卡牌消耗!$Z116)/卡牌消耗!$Q$4/AF$2,0)*AF$2</f>
        <v>0</v>
      </c>
      <c r="AG116" s="14">
        <f>ROUND(INDEX(挂机升级突破!EC$6:EC$57,卡牌消耗!$AA116)*INDEX(卡牌消耗!$B$7:$F$7,卡牌消耗!$Z116)/卡牌消耗!$Q$4/AG$2,0)*AG$2</f>
        <v>0</v>
      </c>
      <c r="AH116" s="14">
        <f>ROUND(INDEX(挂机升级突破!ED$6:ED$57,卡牌消耗!$AA116)*INDEX(卡牌消耗!$B$8:$F$8,卡牌消耗!$Z116)/卡牌消耗!$Q$4/AH$2,0)*AH$2</f>
        <v>2850</v>
      </c>
      <c r="AI116" s="194"/>
      <c r="AJ116" s="194"/>
      <c r="AK116" s="104">
        <v>112</v>
      </c>
      <c r="AL116" s="14">
        <f t="shared" si="104"/>
        <v>3</v>
      </c>
      <c r="AM116" s="14">
        <f>INDEX(挂机升级突破!DQ$6:DQ$57,卡牌消耗!$AT116)</f>
        <v>11</v>
      </c>
      <c r="AN116" s="14">
        <f>INDEX(挂机升级突破!DR$6:DR$57,卡牌消耗!$AT116)</f>
        <v>2</v>
      </c>
      <c r="AO116" s="14">
        <f>INDEX(挂机升级突破!DS$6:DS$57,卡牌消耗!$AT116)</f>
        <v>0</v>
      </c>
      <c r="AP116" s="14">
        <f>INDEX(挂机升级突破!$DP$6:$DP$57,卡牌消耗!AT116)</f>
        <v>38</v>
      </c>
      <c r="AQ116" s="14" t="str">
        <f t="shared" si="105"/>
        <v>典韦</v>
      </c>
      <c r="AR116" s="14">
        <f t="shared" si="106"/>
        <v>4</v>
      </c>
      <c r="AS116" s="14" t="str">
        <f t="shared" si="107"/>
        <v>典韦魂火-8</v>
      </c>
      <c r="AT116" s="14">
        <f t="shared" si="108"/>
        <v>8</v>
      </c>
      <c r="AU116" s="14" t="str">
        <f>IF(AM116&gt;0,INDEX(挂机升级突破!$DT$4:$ED$4,AM116),"")</f>
        <v>金币</v>
      </c>
      <c r="AV116" s="14">
        <f>ROUND(INDEX(挂机升级突破!$DJ$6:$DJ$57,卡牌消耗!AT116)*INDEX(卡牌消耗!$B$8:$F$8,AR116)/$Q$4/50,0)*50</f>
        <v>2850</v>
      </c>
      <c r="AW116" s="14" t="str">
        <f>IF(AN116&gt;0,INDEX(挂机升级突破!$DT$4:$ED$4,AN116),"")</f>
        <v>蓝色基础材料</v>
      </c>
      <c r="AX116" s="14">
        <f>ROUND(INDEX(挂机升级突破!$DT$6:$ED$57,卡牌消耗!AT116,AN116)*INDEX(卡牌消耗!$B$5:$F$5,AR116)/$Q$4/5,0)*5</f>
        <v>70</v>
      </c>
      <c r="AY116" s="14" t="str">
        <f>IF(AO116&gt;0,INDEX(挂机升级突破!$DT$4:$ED$4,AO116),"")</f>
        <v/>
      </c>
      <c r="AZ116" s="14" t="str">
        <f>IF(AO116&gt;0,ROUND(INDEX(挂机升级突破!$DT$6:$ED$57,卡牌消耗!AT116,AO116)*INDEX(卡牌消耗!$B$7:$F$7,AR116)/$Q$4,0),"")</f>
        <v/>
      </c>
      <c r="BA116" s="106"/>
      <c r="BB116" s="197"/>
      <c r="BC116" s="197"/>
      <c r="BD116" s="197"/>
      <c r="BE116" s="197"/>
      <c r="BF116" s="197"/>
      <c r="BG116" s="197"/>
      <c r="BH116" s="197"/>
      <c r="BI116" s="197"/>
      <c r="BJ116" s="197"/>
      <c r="BK116" s="197"/>
      <c r="BL116" s="104">
        <v>112</v>
      </c>
      <c r="BM116" s="14">
        <f t="shared" si="109"/>
        <v>6</v>
      </c>
      <c r="BN116" s="14">
        <f>INDEX(挂机升级突破!$EI$7:$EI$26,BS116)</f>
        <v>5</v>
      </c>
      <c r="BO116" s="14">
        <f>INDEX(挂机升级突破!$EJ$7:$EJ$26,BS116)</f>
        <v>2</v>
      </c>
      <c r="BP116" s="14">
        <f t="shared" si="110"/>
        <v>5</v>
      </c>
      <c r="BQ116" s="14">
        <f>INDEX(挂机升级突破!$EH$7:$EH$26,卡牌消耗!BS116)</f>
        <v>80</v>
      </c>
      <c r="BR116" s="14" t="str">
        <f t="shared" si="111"/>
        <v>项羽</v>
      </c>
      <c r="BS116" s="14">
        <f t="shared" si="112"/>
        <v>12</v>
      </c>
      <c r="BT116" s="14" t="str">
        <f t="shared" si="113"/>
        <v>项羽12突</v>
      </c>
      <c r="BU116" s="14" t="str">
        <f>IF(BN116&gt;0,INDEX(挂机升级突破!$ER$5:$EV$5,卡牌消耗!BN116),"")</f>
        <v>金币</v>
      </c>
      <c r="BV116" s="14">
        <f>IF(BN116&gt;0,ROUND(INDEX(挂机升级突破!$EV$7:$EV$26,卡牌消耗!BS116)*INDEX(卡牌消耗!$B$8:$F$8,BP116)/$Q$4/500,0)*500,"")</f>
        <v>50000</v>
      </c>
      <c r="BW116" s="14" t="str">
        <f>IF(BO116&gt;0,INDEX(挂机升级突破!$ER$5:$EV$5,卡牌消耗!BO116),"")</f>
        <v>乌金</v>
      </c>
      <c r="BX116" s="14">
        <f>IF(BO116&gt;0,ROUND(INDEX(挂机升级突破!$ER$7:$EU$26,卡牌消耗!BS116,卡牌消耗!BO116)*INDEX($B$6:$F$6,BP116)/$Q$4/5,0)*5,"")</f>
        <v>180</v>
      </c>
      <c r="BY116" s="193"/>
      <c r="BZ116" s="193"/>
      <c r="CA116" s="106"/>
      <c r="CS116" s="171"/>
      <c r="CT116" s="170"/>
      <c r="CU116" s="14">
        <f>SUMIFS($CW$5:$CW$154,$CV$5:$CV$154,"&gt;="&amp;INDEX($CE$5:$CE$32,CU114),$CV$5:$CV$154,"&lt;"&amp;INDEX($CF$5:$CF$32,CU114))</f>
        <v>27.5</v>
      </c>
      <c r="CV116" s="169">
        <v>112</v>
      </c>
      <c r="CW116" s="169">
        <v>5.5</v>
      </c>
      <c r="CX116" s="21">
        <f t="shared" ref="CX116" si="211">CW116/$CU116</f>
        <v>0.2</v>
      </c>
      <c r="CY116" s="169">
        <f t="shared" ref="CY116" si="212">INT($CU115*CX116/5)*5</f>
        <v>54550</v>
      </c>
      <c r="CZ116" s="169">
        <f>SUM(CY$5:CY116)</f>
        <v>2066780</v>
      </c>
      <c r="DB116" s="188">
        <f t="shared" si="184"/>
        <v>27250</v>
      </c>
      <c r="DC116" s="188">
        <f t="shared" si="184"/>
        <v>43600</v>
      </c>
      <c r="DD116" s="188">
        <f t="shared" si="184"/>
        <v>54550</v>
      </c>
      <c r="DE116" s="188">
        <f t="shared" si="184"/>
        <v>65450</v>
      </c>
      <c r="DF116" s="188">
        <f t="shared" si="184"/>
        <v>81800</v>
      </c>
      <c r="DI116" s="186">
        <v>112</v>
      </c>
      <c r="DJ116" s="14">
        <f t="shared" si="117"/>
        <v>23</v>
      </c>
      <c r="DK116" s="14">
        <f t="shared" si="99"/>
        <v>4</v>
      </c>
      <c r="DL116" s="14">
        <f t="shared" si="100"/>
        <v>1101043</v>
      </c>
      <c r="DM116" s="136" t="s">
        <v>1097</v>
      </c>
      <c r="DN116" s="14">
        <f t="shared" si="101"/>
        <v>2</v>
      </c>
      <c r="DO116" s="14" t="str">
        <f t="shared" si="102"/>
        <v>少年曹玄亮-2星</v>
      </c>
      <c r="DP116" s="136" t="s">
        <v>1103</v>
      </c>
      <c r="DQ116" s="14">
        <f t="shared" si="118"/>
        <v>8000</v>
      </c>
      <c r="DR116" s="14" t="str">
        <f t="shared" si="103"/>
        <v>少年曹玄亮碎片</v>
      </c>
      <c r="DS116" s="14">
        <f t="shared" si="119"/>
        <v>80</v>
      </c>
    </row>
    <row r="117" spans="8:123" ht="16.5" x14ac:dyDescent="0.2">
      <c r="H117" s="15"/>
      <c r="I117" s="15"/>
      <c r="J117" s="15"/>
      <c r="K117" s="15"/>
      <c r="L117" s="15"/>
      <c r="M117" s="15"/>
      <c r="N117" s="15"/>
      <c r="O117" s="137"/>
      <c r="P117" s="141"/>
      <c r="Q117" s="141"/>
      <c r="R117" s="141"/>
      <c r="S117" s="141"/>
      <c r="T117" s="141"/>
      <c r="U117" s="141"/>
      <c r="V117" s="141"/>
      <c r="W117" s="141"/>
      <c r="X117" s="141"/>
      <c r="Y117" s="141"/>
      <c r="Z117" s="196">
        <v>4</v>
      </c>
      <c r="AA117" s="196">
        <v>9</v>
      </c>
      <c r="AB117" s="14">
        <f>ROUND(INDEX(挂机升级突破!DT$6:DT$57,卡牌消耗!$AA117)*INDEX(卡牌消耗!$B$5:$F$5,卡牌消耗!$Z117)/卡牌消耗!$Q$4/AB$2,0)*AB$2</f>
        <v>0</v>
      </c>
      <c r="AC117" s="14">
        <f>ROUND(INDEX(挂机升级突破!DU$6:DU$57,卡牌消耗!$AA117)*INDEX(卡牌消耗!$B$5:$F$5,卡牌消耗!$Z117)/卡牌消耗!$Q$4/AC$2,0)*AC$2</f>
        <v>70</v>
      </c>
      <c r="AD117" s="14">
        <f>ROUND(INDEX(挂机升级突破!DV$6:DV$57,卡牌消耗!$AA117)*INDEX(卡牌消耗!$B$5:$F$5,卡牌消耗!$Z117)/卡牌消耗!$Q$4/AD$2,0)*AD$2</f>
        <v>0</v>
      </c>
      <c r="AE117" s="14">
        <f>ROUND(INDEX(挂机升级突破!DW$6:DW$57,卡牌消耗!$AA117)*INDEX(卡牌消耗!$B$5:$F$5,卡牌消耗!$Z117)/卡牌消耗!$Q$4/AE$2,0)*AE$2</f>
        <v>0</v>
      </c>
      <c r="AF117" s="14">
        <f>ROUND(INDEX(挂机升级突破!DX$6:DX$57,卡牌消耗!$AA117)*INDEX(卡牌消耗!$B$5:$F$5,卡牌消耗!$Z117)/卡牌消耗!$Q$4/AF$2,0)*AF$2</f>
        <v>0</v>
      </c>
      <c r="AG117" s="14">
        <f>ROUND(INDEX(挂机升级突破!EC$6:EC$57,卡牌消耗!$AA117)*INDEX(卡牌消耗!$B$7:$F$7,卡牌消耗!$Z117)/卡牌消耗!$Q$4/AG$2,0)*AG$2</f>
        <v>0</v>
      </c>
      <c r="AH117" s="14">
        <f>ROUND(INDEX(挂机升级突破!ED$6:ED$57,卡牌消耗!$AA117)*INDEX(卡牌消耗!$B$8:$F$8,卡牌消耗!$Z117)/卡牌消耗!$Q$4/AH$2,0)*AH$2</f>
        <v>2850</v>
      </c>
      <c r="AI117" s="194"/>
      <c r="AJ117" s="194"/>
      <c r="AK117" s="104">
        <v>113</v>
      </c>
      <c r="AL117" s="14">
        <f t="shared" si="104"/>
        <v>3</v>
      </c>
      <c r="AM117" s="14">
        <f>INDEX(挂机升级突破!DQ$6:DQ$57,卡牌消耗!$AT117)</f>
        <v>11</v>
      </c>
      <c r="AN117" s="14">
        <f>INDEX(挂机升级突破!DR$6:DR$57,卡牌消耗!$AT117)</f>
        <v>2</v>
      </c>
      <c r="AO117" s="14">
        <f>INDEX(挂机升级突破!DS$6:DS$57,卡牌消耗!$AT117)</f>
        <v>0</v>
      </c>
      <c r="AP117" s="14">
        <f>INDEX(挂机升级突破!$DP$6:$DP$57,卡牌消耗!AT117)</f>
        <v>40</v>
      </c>
      <c r="AQ117" s="14" t="str">
        <f t="shared" si="105"/>
        <v>典韦</v>
      </c>
      <c r="AR117" s="14">
        <f t="shared" si="106"/>
        <v>4</v>
      </c>
      <c r="AS117" s="14" t="str">
        <f t="shared" si="107"/>
        <v>典韦魂火-9</v>
      </c>
      <c r="AT117" s="14">
        <f t="shared" si="108"/>
        <v>9</v>
      </c>
      <c r="AU117" s="14" t="str">
        <f>IF(AM117&gt;0,INDEX(挂机升级突破!$DT$4:$ED$4,AM117),"")</f>
        <v>金币</v>
      </c>
      <c r="AV117" s="14">
        <f>ROUND(INDEX(挂机升级突破!$DJ$6:$DJ$57,卡牌消耗!AT117)*INDEX(卡牌消耗!$B$8:$F$8,AR117)/$Q$4/50,0)*50</f>
        <v>2850</v>
      </c>
      <c r="AW117" s="14" t="str">
        <f>IF(AN117&gt;0,INDEX(挂机升级突破!$DT$4:$ED$4,AN117),"")</f>
        <v>蓝色基础材料</v>
      </c>
      <c r="AX117" s="14">
        <f>ROUND(INDEX(挂机升级突破!$DT$6:$ED$57,卡牌消耗!AT117,AN117)*INDEX(卡牌消耗!$B$5:$F$5,AR117)/$Q$4/5,0)*5</f>
        <v>70</v>
      </c>
      <c r="AY117" s="14" t="str">
        <f>IF(AO117&gt;0,INDEX(挂机升级突破!$DT$4:$ED$4,AO117),"")</f>
        <v/>
      </c>
      <c r="AZ117" s="14" t="str">
        <f>IF(AO117&gt;0,ROUND(INDEX(挂机升级突破!$DT$6:$ED$57,卡牌消耗!AT117,AO117)*INDEX(卡牌消耗!$B$7:$F$7,AR117)/$Q$4,0),"")</f>
        <v/>
      </c>
      <c r="BA117" s="106"/>
      <c r="BB117" s="197"/>
      <c r="BC117" s="197"/>
      <c r="BD117" s="197"/>
      <c r="BE117" s="197"/>
      <c r="BF117" s="197"/>
      <c r="BG117" s="197"/>
      <c r="BH117" s="197"/>
      <c r="BI117" s="197"/>
      <c r="BJ117" s="197"/>
      <c r="BK117" s="197"/>
      <c r="BL117" s="104">
        <v>113</v>
      </c>
      <c r="BM117" s="14">
        <f t="shared" si="109"/>
        <v>6</v>
      </c>
      <c r="BN117" s="14">
        <f>INDEX(挂机升级突破!$EI$7:$EI$26,BS117)</f>
        <v>5</v>
      </c>
      <c r="BO117" s="14">
        <f>INDEX(挂机升级突破!$EJ$7:$EJ$26,BS117)</f>
        <v>3</v>
      </c>
      <c r="BP117" s="14">
        <f t="shared" si="110"/>
        <v>5</v>
      </c>
      <c r="BQ117" s="14">
        <f>INDEX(挂机升级突破!$EH$7:$EH$26,卡牌消耗!BS117)</f>
        <v>87</v>
      </c>
      <c r="BR117" s="14" t="str">
        <f t="shared" si="111"/>
        <v>项羽</v>
      </c>
      <c r="BS117" s="14">
        <f t="shared" si="112"/>
        <v>13</v>
      </c>
      <c r="BT117" s="14" t="str">
        <f t="shared" si="113"/>
        <v>项羽13突</v>
      </c>
      <c r="BU117" s="14" t="str">
        <f>IF(BN117&gt;0,INDEX(挂机升级突破!$ER$5:$EV$5,卡牌消耗!BN117),"")</f>
        <v>金币</v>
      </c>
      <c r="BV117" s="14">
        <f>IF(BN117&gt;0,ROUND(INDEX(挂机升级突破!$EV$7:$EV$26,卡牌消耗!BS117)*INDEX(卡牌消耗!$B$8:$F$8,BP117)/$Q$4/500,0)*500,"")</f>
        <v>66500</v>
      </c>
      <c r="BW117" s="14" t="str">
        <f>IF(BO117&gt;0,INDEX(挂机升级突破!$ER$5:$EV$5,卡牌消耗!BO117),"")</f>
        <v>银母</v>
      </c>
      <c r="BX117" s="14">
        <f>IF(BO117&gt;0,ROUND(INDEX(挂机升级突破!$ER$7:$EU$26,卡牌消耗!BS117,卡牌消耗!BO117)*INDEX($B$6:$F$6,BP117)/$Q$4/5,0)*5,"")</f>
        <v>55</v>
      </c>
      <c r="BY117" s="193"/>
      <c r="BZ117" s="193"/>
      <c r="CA117" s="106"/>
      <c r="CS117" s="171"/>
      <c r="CT117" s="171"/>
      <c r="CU117" s="171"/>
      <c r="CV117" s="169">
        <v>113</v>
      </c>
      <c r="CW117" s="169">
        <v>5.75</v>
      </c>
      <c r="CX117" s="21">
        <f t="shared" ref="CX117" si="213">CW117/$CU116</f>
        <v>0.20909090909090908</v>
      </c>
      <c r="CY117" s="169">
        <f t="shared" ref="CY117" si="214">INT($CU115*CX117/5)*5</f>
        <v>57025</v>
      </c>
      <c r="CZ117" s="169">
        <f>SUM(CY$5:CY117)</f>
        <v>2123805</v>
      </c>
      <c r="DB117" s="188">
        <f t="shared" si="184"/>
        <v>28500</v>
      </c>
      <c r="DC117" s="188">
        <f t="shared" si="184"/>
        <v>45600</v>
      </c>
      <c r="DD117" s="188">
        <f t="shared" si="184"/>
        <v>57000</v>
      </c>
      <c r="DE117" s="188">
        <f t="shared" si="184"/>
        <v>68400</v>
      </c>
      <c r="DF117" s="188">
        <f t="shared" si="184"/>
        <v>85500</v>
      </c>
      <c r="DI117" s="186">
        <v>113</v>
      </c>
      <c r="DJ117" s="14">
        <f t="shared" si="117"/>
        <v>23</v>
      </c>
      <c r="DK117" s="14">
        <f t="shared" si="99"/>
        <v>4</v>
      </c>
      <c r="DL117" s="14">
        <f t="shared" si="100"/>
        <v>1101043</v>
      </c>
      <c r="DM117" s="136" t="s">
        <v>1097</v>
      </c>
      <c r="DN117" s="14">
        <f t="shared" si="101"/>
        <v>3</v>
      </c>
      <c r="DO117" s="14" t="str">
        <f t="shared" si="102"/>
        <v>少年曹玄亮-3星</v>
      </c>
      <c r="DP117" s="136" t="s">
        <v>1103</v>
      </c>
      <c r="DQ117" s="14">
        <f t="shared" si="118"/>
        <v>14000</v>
      </c>
      <c r="DR117" s="14" t="str">
        <f t="shared" si="103"/>
        <v>少年曹玄亮碎片</v>
      </c>
      <c r="DS117" s="14">
        <f t="shared" si="119"/>
        <v>80</v>
      </c>
    </row>
    <row r="118" spans="8:123" ht="16.5" x14ac:dyDescent="0.2">
      <c r="H118" s="15"/>
      <c r="I118" s="15"/>
      <c r="J118" s="15"/>
      <c r="K118" s="15"/>
      <c r="L118" s="15"/>
      <c r="M118" s="15"/>
      <c r="N118" s="15"/>
      <c r="O118" s="137"/>
      <c r="P118" s="141"/>
      <c r="Q118" s="141"/>
      <c r="R118" s="141"/>
      <c r="S118" s="141"/>
      <c r="T118" s="141"/>
      <c r="U118" s="141"/>
      <c r="V118" s="141"/>
      <c r="W118" s="141"/>
      <c r="X118" s="141"/>
      <c r="Y118" s="141"/>
      <c r="Z118" s="196">
        <v>4</v>
      </c>
      <c r="AA118" s="196">
        <v>10</v>
      </c>
      <c r="AB118" s="14">
        <f>ROUND(INDEX(挂机升级突破!DT$6:DT$57,卡牌消耗!$AA118)*INDEX(卡牌消耗!$B$5:$F$5,卡牌消耗!$Z118)/卡牌消耗!$Q$4/AB$2,0)*AB$2</f>
        <v>0</v>
      </c>
      <c r="AC118" s="14">
        <f>ROUND(INDEX(挂机升级突破!DU$6:DU$57,卡牌消耗!$AA118)*INDEX(卡牌消耗!$B$5:$F$5,卡牌消耗!$Z118)/卡牌消耗!$Q$4/AC$2,0)*AC$2</f>
        <v>105</v>
      </c>
      <c r="AD118" s="14">
        <f>ROUND(INDEX(挂机升级突破!DV$6:DV$57,卡牌消耗!$AA118)*INDEX(卡牌消耗!$B$5:$F$5,卡牌消耗!$Z118)/卡牌消耗!$Q$4/AD$2,0)*AD$2</f>
        <v>0</v>
      </c>
      <c r="AE118" s="14">
        <f>ROUND(INDEX(挂机升级突破!DW$6:DW$57,卡牌消耗!$AA118)*INDEX(卡牌消耗!$B$5:$F$5,卡牌消耗!$Z118)/卡牌消耗!$Q$4/AE$2,0)*AE$2</f>
        <v>0</v>
      </c>
      <c r="AF118" s="14">
        <f>ROUND(INDEX(挂机升级突破!DX$6:DX$57,卡牌消耗!$AA118)*INDEX(卡牌消耗!$B$5:$F$5,卡牌消耗!$Z118)/卡牌消耗!$Q$4/AF$2,0)*AF$2</f>
        <v>0</v>
      </c>
      <c r="AG118" s="14">
        <f>ROUND(INDEX(挂机升级突破!EC$6:EC$57,卡牌消耗!$AA118)*INDEX(卡牌消耗!$B$7:$F$7,卡牌消耗!$Z118)/卡牌消耗!$Q$4/AG$2,0)*AG$2</f>
        <v>0</v>
      </c>
      <c r="AH118" s="14">
        <f>ROUND(INDEX(挂机升级突破!ED$6:ED$57,卡牌消耗!$AA118)*INDEX(卡牌消耗!$B$8:$F$8,卡牌消耗!$Z118)/卡牌消耗!$Q$4/AH$2,0)*AH$2</f>
        <v>4750</v>
      </c>
      <c r="AI118" s="194"/>
      <c r="AJ118" s="194"/>
      <c r="AK118" s="104">
        <v>114</v>
      </c>
      <c r="AL118" s="14">
        <f t="shared" si="104"/>
        <v>3</v>
      </c>
      <c r="AM118" s="14">
        <f>INDEX(挂机升级突破!DQ$6:DQ$57,卡牌消耗!$AT118)</f>
        <v>11</v>
      </c>
      <c r="AN118" s="14">
        <f>INDEX(挂机升级突破!DR$6:DR$57,卡牌消耗!$AT118)</f>
        <v>2</v>
      </c>
      <c r="AO118" s="14">
        <f>INDEX(挂机升级突破!DS$6:DS$57,卡牌消耗!$AT118)</f>
        <v>0</v>
      </c>
      <c r="AP118" s="14">
        <f>INDEX(挂机升级突破!$DP$6:$DP$57,卡牌消耗!AT118)</f>
        <v>43</v>
      </c>
      <c r="AQ118" s="14" t="str">
        <f t="shared" si="105"/>
        <v>典韦</v>
      </c>
      <c r="AR118" s="14">
        <f t="shared" si="106"/>
        <v>4</v>
      </c>
      <c r="AS118" s="14" t="str">
        <f t="shared" si="107"/>
        <v>典韦魂火-10</v>
      </c>
      <c r="AT118" s="14">
        <f t="shared" si="108"/>
        <v>10</v>
      </c>
      <c r="AU118" s="14" t="str">
        <f>IF(AM118&gt;0,INDEX(挂机升级突破!$DT$4:$ED$4,AM118),"")</f>
        <v>金币</v>
      </c>
      <c r="AV118" s="14">
        <f>ROUND(INDEX(挂机升级突破!$DJ$6:$DJ$57,卡牌消耗!AT118)*INDEX(卡牌消耗!$B$8:$F$8,AR118)/$Q$4/50,0)*50</f>
        <v>4750</v>
      </c>
      <c r="AW118" s="14" t="str">
        <f>IF(AN118&gt;0,INDEX(挂机升级突破!$DT$4:$ED$4,AN118),"")</f>
        <v>蓝色基础材料</v>
      </c>
      <c r="AX118" s="14">
        <f>ROUND(INDEX(挂机升级突破!$DT$6:$ED$57,卡牌消耗!AT118,AN118)*INDEX(卡牌消耗!$B$5:$F$5,AR118)/$Q$4/5,0)*5</f>
        <v>105</v>
      </c>
      <c r="AY118" s="14" t="str">
        <f>IF(AO118&gt;0,INDEX(挂机升级突破!$DT$4:$ED$4,AO118),"")</f>
        <v/>
      </c>
      <c r="AZ118" s="14" t="str">
        <f>IF(AO118&gt;0,ROUND(INDEX(挂机升级突破!$DT$6:$ED$57,卡牌消耗!AT118,AO118)*INDEX(卡牌消耗!$B$7:$F$7,AR118)/$Q$4,0),"")</f>
        <v/>
      </c>
      <c r="BA118" s="106"/>
      <c r="BB118" s="197"/>
      <c r="BC118" s="197"/>
      <c r="BD118" s="197"/>
      <c r="BE118" s="197"/>
      <c r="BF118" s="197"/>
      <c r="BG118" s="197"/>
      <c r="BH118" s="197"/>
      <c r="BI118" s="197"/>
      <c r="BJ118" s="197"/>
      <c r="BK118" s="197"/>
      <c r="BL118" s="104">
        <v>114</v>
      </c>
      <c r="BM118" s="14">
        <f t="shared" si="109"/>
        <v>6</v>
      </c>
      <c r="BN118" s="14">
        <f>INDEX(挂机升级突破!$EI$7:$EI$26,BS118)</f>
        <v>5</v>
      </c>
      <c r="BO118" s="14">
        <f>INDEX(挂机升级突破!$EJ$7:$EJ$26,BS118)</f>
        <v>3</v>
      </c>
      <c r="BP118" s="14">
        <f t="shared" si="110"/>
        <v>5</v>
      </c>
      <c r="BQ118" s="14">
        <f>INDEX(挂机升级突破!$EH$7:$EH$26,卡牌消耗!BS118)</f>
        <v>95</v>
      </c>
      <c r="BR118" s="14" t="str">
        <f t="shared" si="111"/>
        <v>项羽</v>
      </c>
      <c r="BS118" s="14">
        <f t="shared" si="112"/>
        <v>14</v>
      </c>
      <c r="BT118" s="14" t="str">
        <f t="shared" si="113"/>
        <v>项羽14突</v>
      </c>
      <c r="BU118" s="14" t="str">
        <f>IF(BN118&gt;0,INDEX(挂机升级突破!$ER$5:$EV$5,卡牌消耗!BN118),"")</f>
        <v>金币</v>
      </c>
      <c r="BV118" s="14">
        <f>IF(BN118&gt;0,ROUND(INDEX(挂机升级突破!$EV$7:$EV$26,卡牌消耗!BS118)*INDEX(卡牌消耗!$B$8:$F$8,BP118)/$Q$4/500,0)*500,"")</f>
        <v>66500</v>
      </c>
      <c r="BW118" s="14" t="str">
        <f>IF(BO118&gt;0,INDEX(挂机升级突破!$ER$5:$EV$5,卡牌消耗!BO118),"")</f>
        <v>银母</v>
      </c>
      <c r="BX118" s="14">
        <f>IF(BO118&gt;0,ROUND(INDEX(挂机升级突破!$ER$7:$EU$26,卡牌消耗!BS118,卡牌消耗!BO118)*INDEX($B$6:$F$6,BP118)/$Q$4/5,0)*5,"")</f>
        <v>80</v>
      </c>
      <c r="BY118" s="193"/>
      <c r="BZ118" s="193"/>
      <c r="CA118" s="106"/>
      <c r="CS118" s="171"/>
      <c r="CT118" s="171"/>
      <c r="CU118" s="171"/>
      <c r="CV118" s="169">
        <v>114</v>
      </c>
      <c r="CW118" s="169">
        <v>6</v>
      </c>
      <c r="CX118" s="21">
        <f t="shared" ref="CX118" si="215">CW118/$CU116</f>
        <v>0.21818181818181817</v>
      </c>
      <c r="CY118" s="169">
        <f t="shared" ref="CY118" si="216">INT($CU115*CX118/5)*5</f>
        <v>59505</v>
      </c>
      <c r="CZ118" s="169">
        <f>SUM(CY$5:CY118)</f>
        <v>2183310</v>
      </c>
      <c r="DB118" s="188">
        <f t="shared" si="184"/>
        <v>29750</v>
      </c>
      <c r="DC118" s="188">
        <f t="shared" si="184"/>
        <v>47600</v>
      </c>
      <c r="DD118" s="188">
        <f t="shared" si="184"/>
        <v>59500</v>
      </c>
      <c r="DE118" s="188">
        <f t="shared" si="184"/>
        <v>71400</v>
      </c>
      <c r="DF118" s="188">
        <f t="shared" si="184"/>
        <v>89250</v>
      </c>
      <c r="DI118" s="186">
        <v>114</v>
      </c>
      <c r="DJ118" s="14">
        <f t="shared" si="117"/>
        <v>23</v>
      </c>
      <c r="DK118" s="14">
        <f t="shared" si="99"/>
        <v>4</v>
      </c>
      <c r="DL118" s="14">
        <f t="shared" si="100"/>
        <v>1101043</v>
      </c>
      <c r="DM118" s="136" t="s">
        <v>1097</v>
      </c>
      <c r="DN118" s="14">
        <f t="shared" si="101"/>
        <v>4</v>
      </c>
      <c r="DO118" s="14" t="str">
        <f t="shared" si="102"/>
        <v>少年曹玄亮-4星</v>
      </c>
      <c r="DP118" s="136" t="s">
        <v>1103</v>
      </c>
      <c r="DQ118" s="14">
        <f t="shared" si="118"/>
        <v>32000</v>
      </c>
      <c r="DR118" s="14" t="str">
        <f t="shared" si="103"/>
        <v>少年曹玄亮碎片</v>
      </c>
      <c r="DS118" s="14">
        <f t="shared" si="119"/>
        <v>80</v>
      </c>
    </row>
    <row r="119" spans="8:123" ht="16.5" x14ac:dyDescent="0.2">
      <c r="H119" s="15"/>
      <c r="I119" s="15"/>
      <c r="J119" s="15"/>
      <c r="K119" s="15"/>
      <c r="L119" s="15"/>
      <c r="M119" s="15"/>
      <c r="N119" s="15"/>
      <c r="O119" s="137"/>
      <c r="P119" s="141"/>
      <c r="Q119" s="141"/>
      <c r="R119" s="141"/>
      <c r="S119" s="141"/>
      <c r="T119" s="141"/>
      <c r="U119" s="141"/>
      <c r="V119" s="141"/>
      <c r="W119" s="141"/>
      <c r="X119" s="141"/>
      <c r="Y119" s="141"/>
      <c r="Z119" s="196">
        <v>4</v>
      </c>
      <c r="AA119" s="196">
        <v>11</v>
      </c>
      <c r="AB119" s="14">
        <f>ROUND(INDEX(挂机升级突破!DT$6:DT$57,卡牌消耗!$AA119)*INDEX(卡牌消耗!$B$5:$F$5,卡牌消耗!$Z119)/卡牌消耗!$Q$4/AB$2,0)*AB$2</f>
        <v>0</v>
      </c>
      <c r="AC119" s="14">
        <f>ROUND(INDEX(挂机升级突破!DU$6:DU$57,卡牌消耗!$AA119)*INDEX(卡牌消耗!$B$5:$F$5,卡牌消耗!$Z119)/卡牌消耗!$Q$4/AC$2,0)*AC$2</f>
        <v>105</v>
      </c>
      <c r="AD119" s="14">
        <f>ROUND(INDEX(挂机升级突破!DV$6:DV$57,卡牌消耗!$AA119)*INDEX(卡牌消耗!$B$5:$F$5,卡牌消耗!$Z119)/卡牌消耗!$Q$4/AD$2,0)*AD$2</f>
        <v>0</v>
      </c>
      <c r="AE119" s="14">
        <f>ROUND(INDEX(挂机升级突破!DW$6:DW$57,卡牌消耗!$AA119)*INDEX(卡牌消耗!$B$5:$F$5,卡牌消耗!$Z119)/卡牌消耗!$Q$4/AE$2,0)*AE$2</f>
        <v>0</v>
      </c>
      <c r="AF119" s="14">
        <f>ROUND(INDEX(挂机升级突破!DX$6:DX$57,卡牌消耗!$AA119)*INDEX(卡牌消耗!$B$5:$F$5,卡牌消耗!$Z119)/卡牌消耗!$Q$4/AF$2,0)*AF$2</f>
        <v>0</v>
      </c>
      <c r="AG119" s="14">
        <f>ROUND(INDEX(挂机升级突破!EC$6:EC$57,卡牌消耗!$AA119)*INDEX(卡牌消耗!$B$7:$F$7,卡牌消耗!$Z119)/卡牌消耗!$Q$4/AG$2,0)*AG$2</f>
        <v>0</v>
      </c>
      <c r="AH119" s="14">
        <f>ROUND(INDEX(挂机升级突破!ED$6:ED$57,卡牌消耗!$AA119)*INDEX(卡牌消耗!$B$8:$F$8,卡牌消耗!$Z119)/卡牌消耗!$Q$4/AH$2,0)*AH$2</f>
        <v>4750</v>
      </c>
      <c r="AI119" s="194"/>
      <c r="AJ119" s="194"/>
      <c r="AK119" s="104">
        <v>115</v>
      </c>
      <c r="AL119" s="14">
        <f t="shared" si="104"/>
        <v>3</v>
      </c>
      <c r="AM119" s="14">
        <f>INDEX(挂机升级突破!DQ$6:DQ$57,卡牌消耗!$AT119)</f>
        <v>11</v>
      </c>
      <c r="AN119" s="14">
        <f>INDEX(挂机升级突破!DR$6:DR$57,卡牌消耗!$AT119)</f>
        <v>2</v>
      </c>
      <c r="AO119" s="14">
        <f>INDEX(挂机升级突破!DS$6:DS$57,卡牌消耗!$AT119)</f>
        <v>0</v>
      </c>
      <c r="AP119" s="14">
        <f>INDEX(挂机升级突破!$DP$6:$DP$57,卡牌消耗!AT119)</f>
        <v>45</v>
      </c>
      <c r="AQ119" s="14" t="str">
        <f t="shared" si="105"/>
        <v>典韦</v>
      </c>
      <c r="AR119" s="14">
        <f t="shared" si="106"/>
        <v>4</v>
      </c>
      <c r="AS119" s="14" t="str">
        <f t="shared" si="107"/>
        <v>典韦魂火-11</v>
      </c>
      <c r="AT119" s="14">
        <f t="shared" si="108"/>
        <v>11</v>
      </c>
      <c r="AU119" s="14" t="str">
        <f>IF(AM119&gt;0,INDEX(挂机升级突破!$DT$4:$ED$4,AM119),"")</f>
        <v>金币</v>
      </c>
      <c r="AV119" s="14">
        <f>ROUND(INDEX(挂机升级突破!$DJ$6:$DJ$57,卡牌消耗!AT119)*INDEX(卡牌消耗!$B$8:$F$8,AR119)/$Q$4/50,0)*50</f>
        <v>4750</v>
      </c>
      <c r="AW119" s="14" t="str">
        <f>IF(AN119&gt;0,INDEX(挂机升级突破!$DT$4:$ED$4,AN119),"")</f>
        <v>蓝色基础材料</v>
      </c>
      <c r="AX119" s="14">
        <f>ROUND(INDEX(挂机升级突破!$DT$6:$ED$57,卡牌消耗!AT119,AN119)*INDEX(卡牌消耗!$B$5:$F$5,AR119)/$Q$4/5,0)*5</f>
        <v>105</v>
      </c>
      <c r="AY119" s="14" t="str">
        <f>IF(AO119&gt;0,INDEX(挂机升级突破!$DT$4:$ED$4,AO119),"")</f>
        <v/>
      </c>
      <c r="AZ119" s="14" t="str">
        <f>IF(AO119&gt;0,ROUND(INDEX(挂机升级突破!$DT$6:$ED$57,卡牌消耗!AT119,AO119)*INDEX(卡牌消耗!$B$7:$F$7,AR119)/$Q$4,0),"")</f>
        <v/>
      </c>
      <c r="BA119" s="106"/>
      <c r="BB119" s="197"/>
      <c r="BC119" s="197"/>
      <c r="BD119" s="197"/>
      <c r="BE119" s="197"/>
      <c r="BF119" s="197"/>
      <c r="BG119" s="197"/>
      <c r="BH119" s="197"/>
      <c r="BI119" s="197"/>
      <c r="BJ119" s="197"/>
      <c r="BK119" s="197"/>
      <c r="BL119" s="104">
        <v>115</v>
      </c>
      <c r="BM119" s="14">
        <f t="shared" si="109"/>
        <v>6</v>
      </c>
      <c r="BN119" s="14">
        <f>INDEX(挂机升级突破!$EI$7:$EI$26,BS119)</f>
        <v>5</v>
      </c>
      <c r="BO119" s="14">
        <f>INDEX(挂机升级突破!$EJ$7:$EJ$26,BS119)</f>
        <v>3</v>
      </c>
      <c r="BP119" s="14">
        <f t="shared" si="110"/>
        <v>5</v>
      </c>
      <c r="BQ119" s="14">
        <f>INDEX(挂机升级突破!$EH$7:$EH$26,卡牌消耗!BS119)</f>
        <v>102</v>
      </c>
      <c r="BR119" s="14" t="str">
        <f t="shared" si="111"/>
        <v>项羽</v>
      </c>
      <c r="BS119" s="14">
        <f t="shared" si="112"/>
        <v>15</v>
      </c>
      <c r="BT119" s="14" t="str">
        <f t="shared" si="113"/>
        <v>项羽15突</v>
      </c>
      <c r="BU119" s="14" t="str">
        <f>IF(BN119&gt;0,INDEX(挂机升级突破!$ER$5:$EV$5,卡牌消耗!BN119),"")</f>
        <v>金币</v>
      </c>
      <c r="BV119" s="14">
        <f>IF(BN119&gt;0,ROUND(INDEX(挂机升级突破!$EV$7:$EV$26,卡牌消耗!BS119)*INDEX(卡牌消耗!$B$8:$F$8,BP119)/$Q$4/500,0)*500,"")</f>
        <v>89000</v>
      </c>
      <c r="BW119" s="14" t="str">
        <f>IF(BO119&gt;0,INDEX(挂机升级突破!$ER$5:$EV$5,卡牌消耗!BO119),"")</f>
        <v>银母</v>
      </c>
      <c r="BX119" s="14">
        <f>IF(BO119&gt;0,ROUND(INDEX(挂机升级突破!$ER$7:$EU$26,卡牌消耗!BS119,卡牌消耗!BO119)*INDEX($B$6:$F$6,BP119)/$Q$4/5,0)*5,"")</f>
        <v>105</v>
      </c>
      <c r="BY119" s="193"/>
      <c r="BZ119" s="193"/>
      <c r="CA119" s="106"/>
      <c r="CS119" s="171"/>
      <c r="CT119" s="173" t="s">
        <v>120</v>
      </c>
      <c r="CU119" s="169">
        <v>22</v>
      </c>
      <c r="CV119" s="169">
        <v>115</v>
      </c>
      <c r="CW119" s="169">
        <v>5</v>
      </c>
      <c r="CX119" s="21">
        <f t="shared" ref="CX119" si="217">CW119/$CU121</f>
        <v>0.18181818181818182</v>
      </c>
      <c r="CY119" s="169">
        <f t="shared" ref="CY119" si="218">INT($CU120*CX119/5)*5</f>
        <v>53805</v>
      </c>
      <c r="CZ119" s="169">
        <f>SUM(CY$5:CY119)</f>
        <v>2237115</v>
      </c>
      <c r="DB119" s="188">
        <f t="shared" si="184"/>
        <v>26900</v>
      </c>
      <c r="DC119" s="188">
        <f t="shared" si="184"/>
        <v>43000</v>
      </c>
      <c r="DD119" s="188">
        <f t="shared" si="184"/>
        <v>53800</v>
      </c>
      <c r="DE119" s="188">
        <f t="shared" si="184"/>
        <v>64550</v>
      </c>
      <c r="DF119" s="188">
        <f t="shared" si="184"/>
        <v>80700</v>
      </c>
      <c r="DI119" s="186">
        <v>115</v>
      </c>
      <c r="DJ119" s="14">
        <f t="shared" si="117"/>
        <v>23</v>
      </c>
      <c r="DK119" s="14">
        <f t="shared" si="99"/>
        <v>4</v>
      </c>
      <c r="DL119" s="14">
        <f t="shared" si="100"/>
        <v>1101043</v>
      </c>
      <c r="DM119" s="136" t="s">
        <v>1097</v>
      </c>
      <c r="DN119" s="14">
        <f t="shared" si="101"/>
        <v>5</v>
      </c>
      <c r="DO119" s="14" t="str">
        <f t="shared" si="102"/>
        <v>少年曹玄亮-5星</v>
      </c>
      <c r="DP119" s="136" t="s">
        <v>1103</v>
      </c>
      <c r="DQ119" s="14">
        <f t="shared" si="118"/>
        <v>60000</v>
      </c>
      <c r="DR119" s="14" t="str">
        <f t="shared" si="103"/>
        <v>少年曹玄亮碎片</v>
      </c>
      <c r="DS119" s="14">
        <f t="shared" si="119"/>
        <v>80</v>
      </c>
    </row>
    <row r="120" spans="8:123" ht="16.5" x14ac:dyDescent="0.2">
      <c r="H120" s="15"/>
      <c r="I120" s="15"/>
      <c r="J120" s="15"/>
      <c r="K120" s="15"/>
      <c r="L120" s="15"/>
      <c r="M120" s="15"/>
      <c r="N120" s="15"/>
      <c r="O120" s="137"/>
      <c r="P120" s="141"/>
      <c r="Q120" s="141"/>
      <c r="R120" s="141"/>
      <c r="S120" s="141"/>
      <c r="T120" s="141"/>
      <c r="U120" s="141"/>
      <c r="V120" s="141"/>
      <c r="W120" s="141"/>
      <c r="X120" s="141"/>
      <c r="Y120" s="141"/>
      <c r="Z120" s="196">
        <v>4</v>
      </c>
      <c r="AA120" s="196">
        <v>12</v>
      </c>
      <c r="AB120" s="14">
        <f>ROUND(INDEX(挂机升级突破!DT$6:DT$57,卡牌消耗!$AA120)*INDEX(卡牌消耗!$B$5:$F$5,卡牌消耗!$Z120)/卡牌消耗!$Q$4/AB$2,0)*AB$2</f>
        <v>0</v>
      </c>
      <c r="AC120" s="14">
        <f>ROUND(INDEX(挂机升级突破!DU$6:DU$57,卡牌消耗!$AA120)*INDEX(卡牌消耗!$B$5:$F$5,卡牌消耗!$Z120)/卡牌消耗!$Q$4/AC$2,0)*AC$2</f>
        <v>140</v>
      </c>
      <c r="AD120" s="14">
        <f>ROUND(INDEX(挂机升级突破!DV$6:DV$57,卡牌消耗!$AA120)*INDEX(卡牌消耗!$B$5:$F$5,卡牌消耗!$Z120)/卡牌消耗!$Q$4/AD$2,0)*AD$2</f>
        <v>0</v>
      </c>
      <c r="AE120" s="14">
        <f>ROUND(INDEX(挂机升级突破!DW$6:DW$57,卡牌消耗!$AA120)*INDEX(卡牌消耗!$B$5:$F$5,卡牌消耗!$Z120)/卡牌消耗!$Q$4/AE$2,0)*AE$2</f>
        <v>0</v>
      </c>
      <c r="AF120" s="14">
        <f>ROUND(INDEX(挂机升级突破!DX$6:DX$57,卡牌消耗!$AA120)*INDEX(卡牌消耗!$B$5:$F$5,卡牌消耗!$Z120)/卡牌消耗!$Q$4/AF$2,0)*AF$2</f>
        <v>0</v>
      </c>
      <c r="AG120" s="14">
        <f>ROUND(INDEX(挂机升级突破!EC$6:EC$57,卡牌消耗!$AA120)*INDEX(卡牌消耗!$B$7:$F$7,卡牌消耗!$Z120)/卡牌消耗!$Q$4/AG$2,0)*AG$2</f>
        <v>0</v>
      </c>
      <c r="AH120" s="14">
        <f>ROUND(INDEX(挂机升级突破!ED$6:ED$57,卡牌消耗!$AA120)*INDEX(卡牌消耗!$B$8:$F$8,卡牌消耗!$Z120)/卡牌消耗!$Q$4/AH$2,0)*AH$2</f>
        <v>4100</v>
      </c>
      <c r="AI120" s="194"/>
      <c r="AJ120" s="194"/>
      <c r="AK120" s="104">
        <v>116</v>
      </c>
      <c r="AL120" s="14">
        <f t="shared" si="104"/>
        <v>3</v>
      </c>
      <c r="AM120" s="14">
        <f>INDEX(挂机升级突破!DQ$6:DQ$57,卡牌消耗!$AT120)</f>
        <v>11</v>
      </c>
      <c r="AN120" s="14">
        <f>INDEX(挂机升级突破!DR$6:DR$57,卡牌消耗!$AT120)</f>
        <v>2</v>
      </c>
      <c r="AO120" s="14">
        <f>INDEX(挂机升级突破!DS$6:DS$57,卡牌消耗!$AT120)</f>
        <v>0</v>
      </c>
      <c r="AP120" s="14">
        <f>INDEX(挂机升级突破!$DP$6:$DP$57,卡牌消耗!AT120)</f>
        <v>48</v>
      </c>
      <c r="AQ120" s="14" t="str">
        <f t="shared" si="105"/>
        <v>典韦</v>
      </c>
      <c r="AR120" s="14">
        <f t="shared" si="106"/>
        <v>4</v>
      </c>
      <c r="AS120" s="14" t="str">
        <f t="shared" si="107"/>
        <v>典韦魂火-12</v>
      </c>
      <c r="AT120" s="14">
        <f t="shared" si="108"/>
        <v>12</v>
      </c>
      <c r="AU120" s="14" t="str">
        <f>IF(AM120&gt;0,INDEX(挂机升级突破!$DT$4:$ED$4,AM120),"")</f>
        <v>金币</v>
      </c>
      <c r="AV120" s="14">
        <f>ROUND(INDEX(挂机升级突破!$DJ$6:$DJ$57,卡牌消耗!AT120)*INDEX(卡牌消耗!$B$8:$F$8,AR120)/$Q$4/50,0)*50</f>
        <v>4100</v>
      </c>
      <c r="AW120" s="14" t="str">
        <f>IF(AN120&gt;0,INDEX(挂机升级突破!$DT$4:$ED$4,AN120),"")</f>
        <v>蓝色基础材料</v>
      </c>
      <c r="AX120" s="14">
        <f>ROUND(INDEX(挂机升级突破!$DT$6:$ED$57,卡牌消耗!AT120,AN120)*INDEX(卡牌消耗!$B$5:$F$5,AR120)/$Q$4/5,0)*5</f>
        <v>140</v>
      </c>
      <c r="AY120" s="14" t="str">
        <f>IF(AO120&gt;0,INDEX(挂机升级突破!$DT$4:$ED$4,AO120),"")</f>
        <v/>
      </c>
      <c r="AZ120" s="14" t="str">
        <f>IF(AO120&gt;0,ROUND(INDEX(挂机升级突破!$DT$6:$ED$57,卡牌消耗!AT120,AO120)*INDEX(卡牌消耗!$B$7:$F$7,AR120)/$Q$4,0),"")</f>
        <v/>
      </c>
      <c r="BA120" s="106"/>
      <c r="BB120" s="197"/>
      <c r="BC120" s="197"/>
      <c r="BD120" s="197"/>
      <c r="BE120" s="197"/>
      <c r="BF120" s="197"/>
      <c r="BG120" s="197"/>
      <c r="BH120" s="197"/>
      <c r="BI120" s="197"/>
      <c r="BJ120" s="197"/>
      <c r="BK120" s="197"/>
      <c r="BL120" s="104">
        <v>116</v>
      </c>
      <c r="BM120" s="14">
        <f t="shared" si="109"/>
        <v>6</v>
      </c>
      <c r="BN120" s="14">
        <f>INDEX(挂机升级突破!$EI$7:$EI$26,BS120)</f>
        <v>5</v>
      </c>
      <c r="BO120" s="14">
        <f>INDEX(挂机升级突破!$EJ$7:$EJ$26,BS120)</f>
        <v>3</v>
      </c>
      <c r="BP120" s="14">
        <f t="shared" si="110"/>
        <v>5</v>
      </c>
      <c r="BQ120" s="14">
        <f>INDEX(挂机升级突破!$EH$7:$EH$26,卡牌消耗!BS120)</f>
        <v>110</v>
      </c>
      <c r="BR120" s="14" t="str">
        <f t="shared" si="111"/>
        <v>项羽</v>
      </c>
      <c r="BS120" s="14">
        <f t="shared" si="112"/>
        <v>16</v>
      </c>
      <c r="BT120" s="14" t="str">
        <f t="shared" si="113"/>
        <v>项羽16突</v>
      </c>
      <c r="BU120" s="14" t="str">
        <f>IF(BN120&gt;0,INDEX(挂机升级突破!$ER$5:$EV$5,卡牌消耗!BN120),"")</f>
        <v>金币</v>
      </c>
      <c r="BV120" s="14">
        <f>IF(BN120&gt;0,ROUND(INDEX(挂机升级突破!$EV$7:$EV$26,卡牌消耗!BS120)*INDEX(卡牌消耗!$B$8:$F$8,BP120)/$Q$4/500,0)*500,"")</f>
        <v>161000</v>
      </c>
      <c r="BW120" s="14" t="str">
        <f>IF(BO120&gt;0,INDEX(挂机升级突破!$ER$5:$EV$5,卡牌消耗!BO120),"")</f>
        <v>银母</v>
      </c>
      <c r="BX120" s="14">
        <f>IF(BO120&gt;0,ROUND(INDEX(挂机升级突破!$ER$7:$EU$26,卡牌消耗!BS120,卡牌消耗!BO120)*INDEX($B$6:$F$6,BP120)/$Q$4/5,0)*5,"")</f>
        <v>135</v>
      </c>
      <c r="BY120" s="193"/>
      <c r="BZ120" s="193"/>
      <c r="CA120" s="106"/>
      <c r="CS120" s="171"/>
      <c r="CT120" s="171"/>
      <c r="CU120" s="14">
        <f>INDEX($CP$5:$CP$32,CU119)</f>
        <v>295950</v>
      </c>
      <c r="CV120" s="169">
        <v>116</v>
      </c>
      <c r="CW120" s="169">
        <v>5.25</v>
      </c>
      <c r="CX120" s="21">
        <f t="shared" ref="CX120" si="219">CW120/$CU121</f>
        <v>0.19090909090909092</v>
      </c>
      <c r="CY120" s="169">
        <f t="shared" ref="CY120" si="220">INT($CU120*CX120/5)*5</f>
        <v>56495</v>
      </c>
      <c r="CZ120" s="169">
        <f>SUM(CY$5:CY120)</f>
        <v>2293610</v>
      </c>
      <c r="DB120" s="188">
        <f t="shared" si="184"/>
        <v>28200</v>
      </c>
      <c r="DC120" s="188">
        <f t="shared" si="184"/>
        <v>45150</v>
      </c>
      <c r="DD120" s="188">
        <f t="shared" si="184"/>
        <v>56450</v>
      </c>
      <c r="DE120" s="188">
        <f t="shared" si="184"/>
        <v>67750</v>
      </c>
      <c r="DF120" s="188">
        <f t="shared" si="184"/>
        <v>84700</v>
      </c>
      <c r="DI120" s="186">
        <v>116</v>
      </c>
      <c r="DJ120" s="14">
        <f t="shared" si="117"/>
        <v>24</v>
      </c>
      <c r="DK120" s="14">
        <f t="shared" si="99"/>
        <v>2</v>
      </c>
      <c r="DL120" s="14">
        <f t="shared" si="100"/>
        <v>1101999</v>
      </c>
      <c r="DM120" s="136" t="s">
        <v>1097</v>
      </c>
      <c r="DN120" s="14">
        <f t="shared" si="101"/>
        <v>1</v>
      </c>
      <c r="DO120" s="14" t="str">
        <f t="shared" si="102"/>
        <v>R寄灵人-1星</v>
      </c>
      <c r="DP120" s="136" t="s">
        <v>1103</v>
      </c>
      <c r="DQ120" s="14">
        <f t="shared" si="118"/>
        <v>3000</v>
      </c>
      <c r="DR120" s="14" t="str">
        <f t="shared" si="103"/>
        <v>R寄灵人碎片</v>
      </c>
      <c r="DS120" s="14">
        <f t="shared" si="119"/>
        <v>20</v>
      </c>
    </row>
    <row r="121" spans="8:123" ht="16.5" x14ac:dyDescent="0.2">
      <c r="H121" s="15"/>
      <c r="I121" s="15"/>
      <c r="J121" s="15"/>
      <c r="K121" s="15"/>
      <c r="L121" s="15"/>
      <c r="M121" s="15"/>
      <c r="N121" s="15"/>
      <c r="O121" s="137"/>
      <c r="P121" s="141"/>
      <c r="Q121" s="141"/>
      <c r="R121" s="141"/>
      <c r="S121" s="141"/>
      <c r="T121" s="141"/>
      <c r="U121" s="141"/>
      <c r="V121" s="141"/>
      <c r="W121" s="141"/>
      <c r="X121" s="141"/>
      <c r="Y121" s="141"/>
      <c r="Z121" s="196">
        <v>4</v>
      </c>
      <c r="AA121" s="196">
        <v>13</v>
      </c>
      <c r="AB121" s="14">
        <f>ROUND(INDEX(挂机升级突破!DT$6:DT$57,卡牌消耗!$AA121)*INDEX(卡牌消耗!$B$5:$F$5,卡牌消耗!$Z121)/卡牌消耗!$Q$4/AB$2,0)*AB$2</f>
        <v>0</v>
      </c>
      <c r="AC121" s="14">
        <f>ROUND(INDEX(挂机升级突破!DU$6:DU$57,卡牌消耗!$AA121)*INDEX(卡牌消耗!$B$5:$F$5,卡牌消耗!$Z121)/卡牌消耗!$Q$4/AC$2,0)*AC$2</f>
        <v>140</v>
      </c>
      <c r="AD121" s="14">
        <f>ROUND(INDEX(挂机升级突破!DV$6:DV$57,卡牌消耗!$AA121)*INDEX(卡牌消耗!$B$5:$F$5,卡牌消耗!$Z121)/卡牌消耗!$Q$4/AD$2,0)*AD$2</f>
        <v>0</v>
      </c>
      <c r="AE121" s="14">
        <f>ROUND(INDEX(挂机升级突破!DW$6:DW$57,卡牌消耗!$AA121)*INDEX(卡牌消耗!$B$5:$F$5,卡牌消耗!$Z121)/卡牌消耗!$Q$4/AE$2,0)*AE$2</f>
        <v>0</v>
      </c>
      <c r="AF121" s="14">
        <f>ROUND(INDEX(挂机升级突破!DX$6:DX$57,卡牌消耗!$AA121)*INDEX(卡牌消耗!$B$5:$F$5,卡牌消耗!$Z121)/卡牌消耗!$Q$4/AF$2,0)*AF$2</f>
        <v>0</v>
      </c>
      <c r="AG121" s="14">
        <f>ROUND(INDEX(挂机升级突破!EC$6:EC$57,卡牌消耗!$AA121)*INDEX(卡牌消耗!$B$7:$F$7,卡牌消耗!$Z121)/卡牌消耗!$Q$4/AG$2,0)*AG$2</f>
        <v>0</v>
      </c>
      <c r="AH121" s="14">
        <f>ROUND(INDEX(挂机升级突破!ED$6:ED$57,卡牌消耗!$AA121)*INDEX(卡牌消耗!$B$8:$F$8,卡牌消耗!$Z121)/卡牌消耗!$Q$4/AH$2,0)*AH$2</f>
        <v>4100</v>
      </c>
      <c r="AI121" s="194"/>
      <c r="AJ121" s="194"/>
      <c r="AK121" s="104">
        <v>117</v>
      </c>
      <c r="AL121" s="14">
        <f t="shared" si="104"/>
        <v>3</v>
      </c>
      <c r="AM121" s="14">
        <f>INDEX(挂机升级突破!DQ$6:DQ$57,卡牌消耗!$AT121)</f>
        <v>11</v>
      </c>
      <c r="AN121" s="14">
        <f>INDEX(挂机升级突破!DR$6:DR$57,卡牌消耗!$AT121)</f>
        <v>2</v>
      </c>
      <c r="AO121" s="14">
        <f>INDEX(挂机升级突破!DS$6:DS$57,卡牌消耗!$AT121)</f>
        <v>0</v>
      </c>
      <c r="AP121" s="14">
        <f>INDEX(挂机升级突破!$DP$6:$DP$57,卡牌消耗!AT121)</f>
        <v>50</v>
      </c>
      <c r="AQ121" s="14" t="str">
        <f t="shared" si="105"/>
        <v>典韦</v>
      </c>
      <c r="AR121" s="14">
        <f t="shared" si="106"/>
        <v>4</v>
      </c>
      <c r="AS121" s="14" t="str">
        <f t="shared" si="107"/>
        <v>典韦魂火-13</v>
      </c>
      <c r="AT121" s="14">
        <f t="shared" si="108"/>
        <v>13</v>
      </c>
      <c r="AU121" s="14" t="str">
        <f>IF(AM121&gt;0,INDEX(挂机升级突破!$DT$4:$ED$4,AM121),"")</f>
        <v>金币</v>
      </c>
      <c r="AV121" s="14">
        <f>ROUND(INDEX(挂机升级突破!$DJ$6:$DJ$57,卡牌消耗!AT121)*INDEX(卡牌消耗!$B$8:$F$8,AR121)/$Q$4/50,0)*50</f>
        <v>4100</v>
      </c>
      <c r="AW121" s="14" t="str">
        <f>IF(AN121&gt;0,INDEX(挂机升级突破!$DT$4:$ED$4,AN121),"")</f>
        <v>蓝色基础材料</v>
      </c>
      <c r="AX121" s="14">
        <f>ROUND(INDEX(挂机升级突破!$DT$6:$ED$57,卡牌消耗!AT121,AN121)*INDEX(卡牌消耗!$B$5:$F$5,AR121)/$Q$4/5,0)*5</f>
        <v>140</v>
      </c>
      <c r="AY121" s="14" t="str">
        <f>IF(AO121&gt;0,INDEX(挂机升级突破!$DT$4:$ED$4,AO121),"")</f>
        <v/>
      </c>
      <c r="AZ121" s="14" t="str">
        <f>IF(AO121&gt;0,ROUND(INDEX(挂机升级突破!$DT$6:$ED$57,卡牌消耗!AT121,AO121)*INDEX(卡牌消耗!$B$7:$F$7,AR121)/$Q$4,0),"")</f>
        <v/>
      </c>
      <c r="BA121" s="106"/>
      <c r="BB121" s="197"/>
      <c r="BC121" s="197"/>
      <c r="BD121" s="197"/>
      <c r="BE121" s="197"/>
      <c r="BF121" s="197"/>
      <c r="BG121" s="197"/>
      <c r="BH121" s="197"/>
      <c r="BI121" s="197"/>
      <c r="BJ121" s="197"/>
      <c r="BK121" s="197"/>
      <c r="BL121" s="104">
        <v>117</v>
      </c>
      <c r="BM121" s="14">
        <f t="shared" si="109"/>
        <v>6</v>
      </c>
      <c r="BN121" s="14">
        <f>INDEX(挂机升级突破!$EI$7:$EI$26,BS121)</f>
        <v>5</v>
      </c>
      <c r="BO121" s="14">
        <f>INDEX(挂机升级突破!$EJ$7:$EJ$26,BS121)</f>
        <v>4</v>
      </c>
      <c r="BP121" s="14">
        <f t="shared" si="110"/>
        <v>5</v>
      </c>
      <c r="BQ121" s="14">
        <f>INDEX(挂机升级突破!$EH$7:$EH$26,卡牌消耗!BS121)</f>
        <v>117</v>
      </c>
      <c r="BR121" s="14" t="str">
        <f t="shared" si="111"/>
        <v>项羽</v>
      </c>
      <c r="BS121" s="14">
        <f t="shared" si="112"/>
        <v>17</v>
      </c>
      <c r="BT121" s="14" t="str">
        <f t="shared" si="113"/>
        <v>项羽17突</v>
      </c>
      <c r="BU121" s="14" t="str">
        <f>IF(BN121&gt;0,INDEX(挂机升级突破!$ER$5:$EV$5,卡牌消耗!BN121),"")</f>
        <v>金币</v>
      </c>
      <c r="BV121" s="14">
        <f>IF(BN121&gt;0,ROUND(INDEX(挂机升级突破!$EV$7:$EV$26,卡牌消耗!BS121)*INDEX(卡牌消耗!$B$8:$F$8,BP121)/$Q$4/500,0)*500,"")</f>
        <v>161000</v>
      </c>
      <c r="BW121" s="14" t="str">
        <f>IF(BO121&gt;0,INDEX(挂机升级突破!$ER$5:$EV$5,卡牌消耗!BO121),"")</f>
        <v>铀金</v>
      </c>
      <c r="BX121" s="14">
        <f>IF(BO121&gt;0,ROUND(INDEX(挂机升级突破!$ER$7:$EU$26,卡牌消耗!BS121,卡牌消耗!BO121)*INDEX($B$6:$F$6,BP121)/$Q$4/5,0)*5,"")</f>
        <v>25</v>
      </c>
      <c r="BY121" s="193"/>
      <c r="BZ121" s="193"/>
      <c r="CA121" s="106"/>
      <c r="CS121" s="171"/>
      <c r="CT121" s="170"/>
      <c r="CU121" s="14">
        <f>SUMIFS($CW$5:$CW$154,$CV$5:$CV$154,"&gt;="&amp;INDEX($CE$5:$CE$32,CU119),$CV$5:$CV$154,"&lt;"&amp;INDEX($CF$5:$CF$32,CU119))</f>
        <v>27.5</v>
      </c>
      <c r="CV121" s="169">
        <v>117</v>
      </c>
      <c r="CW121" s="169">
        <v>5.5</v>
      </c>
      <c r="CX121" s="21">
        <f t="shared" ref="CX121" si="221">CW121/$CU121</f>
        <v>0.2</v>
      </c>
      <c r="CY121" s="169">
        <f t="shared" ref="CY121" si="222">INT($CU120*CX121/5)*5</f>
        <v>59190</v>
      </c>
      <c r="CZ121" s="169">
        <f>SUM(CY$5:CY121)</f>
        <v>2352800</v>
      </c>
      <c r="DB121" s="188">
        <f t="shared" si="184"/>
        <v>29550</v>
      </c>
      <c r="DC121" s="188">
        <f t="shared" si="184"/>
        <v>47350</v>
      </c>
      <c r="DD121" s="188">
        <f t="shared" si="184"/>
        <v>59150</v>
      </c>
      <c r="DE121" s="188">
        <f t="shared" si="184"/>
        <v>71000</v>
      </c>
      <c r="DF121" s="188">
        <f t="shared" si="184"/>
        <v>88750</v>
      </c>
      <c r="DI121" s="186">
        <v>117</v>
      </c>
      <c r="DJ121" s="14">
        <f t="shared" si="117"/>
        <v>24</v>
      </c>
      <c r="DK121" s="14">
        <f t="shared" si="99"/>
        <v>2</v>
      </c>
      <c r="DL121" s="14">
        <f t="shared" si="100"/>
        <v>1101999</v>
      </c>
      <c r="DM121" s="136" t="s">
        <v>1097</v>
      </c>
      <c r="DN121" s="14">
        <f t="shared" si="101"/>
        <v>2</v>
      </c>
      <c r="DO121" s="14" t="str">
        <f t="shared" si="102"/>
        <v>R寄灵人-2星</v>
      </c>
      <c r="DP121" s="136" t="s">
        <v>1103</v>
      </c>
      <c r="DQ121" s="14">
        <f t="shared" si="118"/>
        <v>3500</v>
      </c>
      <c r="DR121" s="14" t="str">
        <f t="shared" si="103"/>
        <v>R寄灵人碎片</v>
      </c>
      <c r="DS121" s="14">
        <f t="shared" si="119"/>
        <v>20</v>
      </c>
    </row>
    <row r="122" spans="8:123" ht="16.5" x14ac:dyDescent="0.2">
      <c r="H122" s="15"/>
      <c r="I122" s="15"/>
      <c r="J122" s="15"/>
      <c r="K122" s="15"/>
      <c r="L122" s="15"/>
      <c r="M122" s="15"/>
      <c r="N122" s="15"/>
      <c r="O122" s="137"/>
      <c r="P122" s="141"/>
      <c r="Q122" s="141"/>
      <c r="R122" s="141"/>
      <c r="S122" s="141"/>
      <c r="T122" s="141"/>
      <c r="U122" s="141"/>
      <c r="V122" s="141"/>
      <c r="W122" s="141"/>
      <c r="X122" s="141"/>
      <c r="Y122" s="141"/>
      <c r="Z122" s="196">
        <v>4</v>
      </c>
      <c r="AA122" s="196">
        <v>14</v>
      </c>
      <c r="AB122" s="14">
        <f>ROUND(INDEX(挂机升级突破!DT$6:DT$57,卡牌消耗!$AA122)*INDEX(卡牌消耗!$B$5:$F$5,卡牌消耗!$Z122)/卡牌消耗!$Q$4/AB$2,0)*AB$2</f>
        <v>0</v>
      </c>
      <c r="AC122" s="14">
        <f>ROUND(INDEX(挂机升级突破!DU$6:DU$57,卡牌消耗!$AA122)*INDEX(卡牌消耗!$B$5:$F$5,卡牌消耗!$Z122)/卡牌消耗!$Q$4/AC$2,0)*AC$2</f>
        <v>0</v>
      </c>
      <c r="AD122" s="14">
        <f>ROUND(INDEX(挂机升级突破!DV$6:DV$57,卡牌消耗!$AA122)*INDEX(卡牌消耗!$B$5:$F$5,卡牌消耗!$Z122)/卡牌消耗!$Q$4/AD$2,0)*AD$2</f>
        <v>30</v>
      </c>
      <c r="AE122" s="14">
        <f>ROUND(INDEX(挂机升级突破!DW$6:DW$57,卡牌消耗!$AA122)*INDEX(卡牌消耗!$B$5:$F$5,卡牌消耗!$Z122)/卡牌消耗!$Q$4/AE$2,0)*AE$2</f>
        <v>0</v>
      </c>
      <c r="AF122" s="14">
        <f>ROUND(INDEX(挂机升级突破!DX$6:DX$57,卡牌消耗!$AA122)*INDEX(卡牌消耗!$B$5:$F$5,卡牌消耗!$Z122)/卡牌消耗!$Q$4/AF$2,0)*AF$2</f>
        <v>0</v>
      </c>
      <c r="AG122" s="14">
        <f>ROUND(INDEX(挂机升级突破!EC$6:EC$57,卡牌消耗!$AA122)*INDEX(卡牌消耗!$B$7:$F$7,卡牌消耗!$Z122)/卡牌消耗!$Q$4/AG$2,0)*AG$2</f>
        <v>0</v>
      </c>
      <c r="AH122" s="14">
        <f>ROUND(INDEX(挂机升级突破!ED$6:ED$57,卡牌消耗!$AA122)*INDEX(卡牌消耗!$B$8:$F$8,卡牌消耗!$Z122)/卡牌消耗!$Q$4/AH$2,0)*AH$2</f>
        <v>4500</v>
      </c>
      <c r="AI122" s="194"/>
      <c r="AJ122" s="194"/>
      <c r="AK122" s="104">
        <v>118</v>
      </c>
      <c r="AL122" s="14">
        <f t="shared" si="104"/>
        <v>3</v>
      </c>
      <c r="AM122" s="14">
        <f>INDEX(挂机升级突破!DQ$6:DQ$57,卡牌消耗!$AT122)</f>
        <v>11</v>
      </c>
      <c r="AN122" s="14">
        <f>INDEX(挂机升级突破!DR$6:DR$57,卡牌消耗!$AT122)</f>
        <v>3</v>
      </c>
      <c r="AO122" s="14">
        <f>INDEX(挂机升级突破!DS$6:DS$57,卡牌消耗!$AT122)</f>
        <v>0</v>
      </c>
      <c r="AP122" s="14">
        <f>INDEX(挂机升级突破!$DP$6:$DP$57,卡牌消耗!AT122)</f>
        <v>53</v>
      </c>
      <c r="AQ122" s="14" t="str">
        <f t="shared" si="105"/>
        <v>典韦</v>
      </c>
      <c r="AR122" s="14">
        <f t="shared" si="106"/>
        <v>4</v>
      </c>
      <c r="AS122" s="14" t="str">
        <f t="shared" si="107"/>
        <v>典韦魂火-14</v>
      </c>
      <c r="AT122" s="14">
        <f t="shared" si="108"/>
        <v>14</v>
      </c>
      <c r="AU122" s="14" t="str">
        <f>IF(AM122&gt;0,INDEX(挂机升级突破!$DT$4:$ED$4,AM122),"")</f>
        <v>金币</v>
      </c>
      <c r="AV122" s="14">
        <f>ROUND(INDEX(挂机升级突破!$DJ$6:$DJ$57,卡牌消耗!AT122)*INDEX(卡牌消耗!$B$8:$F$8,AR122)/$Q$4/50,0)*50</f>
        <v>4500</v>
      </c>
      <c r="AW122" s="14" t="str">
        <f>IF(AN122&gt;0,INDEX(挂机升级突破!$DT$4:$ED$4,AN122),"")</f>
        <v>紫色基础材料</v>
      </c>
      <c r="AX122" s="14">
        <f>ROUND(INDEX(挂机升级突破!$DT$6:$ED$57,卡牌消耗!AT122,AN122)*INDEX(卡牌消耗!$B$5:$F$5,AR122)/$Q$4/5,0)*5</f>
        <v>30</v>
      </c>
      <c r="AY122" s="14" t="str">
        <f>IF(AO122&gt;0,INDEX(挂机升级突破!$DT$4:$ED$4,AO122),"")</f>
        <v/>
      </c>
      <c r="AZ122" s="14" t="str">
        <f>IF(AO122&gt;0,ROUND(INDEX(挂机升级突破!$DT$6:$ED$57,卡牌消耗!AT122,AO122)*INDEX(卡牌消耗!$B$7:$F$7,AR122)/$Q$4,0),"")</f>
        <v/>
      </c>
      <c r="BA122" s="106"/>
      <c r="BB122" s="197"/>
      <c r="BC122" s="197"/>
      <c r="BD122" s="197"/>
      <c r="BE122" s="197"/>
      <c r="BF122" s="197"/>
      <c r="BG122" s="197"/>
      <c r="BH122" s="197"/>
      <c r="BI122" s="197"/>
      <c r="BJ122" s="197"/>
      <c r="BK122" s="197"/>
      <c r="BL122" s="104">
        <v>118</v>
      </c>
      <c r="BM122" s="14">
        <f t="shared" si="109"/>
        <v>6</v>
      </c>
      <c r="BN122" s="14">
        <f>INDEX(挂机升级突破!$EI$7:$EI$26,BS122)</f>
        <v>5</v>
      </c>
      <c r="BO122" s="14">
        <f>INDEX(挂机升级突破!$EJ$7:$EJ$26,BS122)</f>
        <v>4</v>
      </c>
      <c r="BP122" s="14">
        <f t="shared" si="110"/>
        <v>5</v>
      </c>
      <c r="BQ122" s="14">
        <f>INDEX(挂机升级突破!$EH$7:$EH$26,卡牌消耗!BS122)</f>
        <v>125</v>
      </c>
      <c r="BR122" s="14" t="str">
        <f t="shared" si="111"/>
        <v>项羽</v>
      </c>
      <c r="BS122" s="14">
        <f t="shared" si="112"/>
        <v>18</v>
      </c>
      <c r="BT122" s="14" t="str">
        <f t="shared" si="113"/>
        <v>项羽18突</v>
      </c>
      <c r="BU122" s="14" t="str">
        <f>IF(BN122&gt;0,INDEX(挂机升级突破!$ER$5:$EV$5,卡牌消耗!BN122),"")</f>
        <v>金币</v>
      </c>
      <c r="BV122" s="14">
        <f>IF(BN122&gt;0,ROUND(INDEX(挂机升级突破!$EV$7:$EV$26,卡牌消耗!BS122)*INDEX(卡牌消耗!$B$8:$F$8,BP122)/$Q$4/500,0)*500,"")</f>
        <v>215000</v>
      </c>
      <c r="BW122" s="14" t="str">
        <f>IF(BO122&gt;0,INDEX(挂机升级突破!$ER$5:$EV$5,卡牌消耗!BO122),"")</f>
        <v>铀金</v>
      </c>
      <c r="BX122" s="14">
        <f>IF(BO122&gt;0,ROUND(INDEX(挂机升级突破!$ER$7:$EU$26,卡牌消耗!BS122,卡牌消耗!BO122)*INDEX($B$6:$F$6,BP122)/$Q$4/5,0)*5,"")</f>
        <v>35</v>
      </c>
      <c r="BY122" s="193"/>
      <c r="BZ122" s="193"/>
      <c r="CA122" s="106"/>
      <c r="CS122" s="171"/>
      <c r="CT122" s="171"/>
      <c r="CU122" s="171"/>
      <c r="CV122" s="169">
        <v>118</v>
      </c>
      <c r="CW122" s="169">
        <v>5.75</v>
      </c>
      <c r="CX122" s="21">
        <f t="shared" ref="CX122" si="223">CW122/$CU121</f>
        <v>0.20909090909090908</v>
      </c>
      <c r="CY122" s="169">
        <f t="shared" ref="CY122" si="224">INT($CU120*CX122/5)*5</f>
        <v>61880</v>
      </c>
      <c r="CZ122" s="169">
        <f>SUM(CY$5:CY122)</f>
        <v>2414680</v>
      </c>
      <c r="DB122" s="188">
        <f t="shared" si="184"/>
        <v>30900</v>
      </c>
      <c r="DC122" s="188">
        <f t="shared" si="184"/>
        <v>49500</v>
      </c>
      <c r="DD122" s="188">
        <f t="shared" si="184"/>
        <v>61850</v>
      </c>
      <c r="DE122" s="188">
        <f t="shared" si="184"/>
        <v>74250</v>
      </c>
      <c r="DF122" s="188">
        <f t="shared" si="184"/>
        <v>92800</v>
      </c>
      <c r="DI122" s="186">
        <v>118</v>
      </c>
      <c r="DJ122" s="14">
        <f t="shared" si="117"/>
        <v>24</v>
      </c>
      <c r="DK122" s="14">
        <f t="shared" si="99"/>
        <v>2</v>
      </c>
      <c r="DL122" s="14">
        <f t="shared" si="100"/>
        <v>1101999</v>
      </c>
      <c r="DM122" s="136" t="s">
        <v>1097</v>
      </c>
      <c r="DN122" s="14">
        <f t="shared" si="101"/>
        <v>3</v>
      </c>
      <c r="DO122" s="14" t="str">
        <f t="shared" si="102"/>
        <v>R寄灵人-3星</v>
      </c>
      <c r="DP122" s="136" t="s">
        <v>1103</v>
      </c>
      <c r="DQ122" s="14">
        <f t="shared" si="118"/>
        <v>7000</v>
      </c>
      <c r="DR122" s="14" t="str">
        <f t="shared" si="103"/>
        <v>R寄灵人碎片</v>
      </c>
      <c r="DS122" s="14">
        <f t="shared" si="119"/>
        <v>20</v>
      </c>
    </row>
    <row r="123" spans="8:123" ht="16.5" x14ac:dyDescent="0.2">
      <c r="H123" s="15"/>
      <c r="I123" s="15"/>
      <c r="J123" s="15"/>
      <c r="K123" s="15"/>
      <c r="L123" s="15"/>
      <c r="M123" s="15"/>
      <c r="N123" s="15"/>
      <c r="O123" s="137"/>
      <c r="P123" s="141"/>
      <c r="Q123" s="141"/>
      <c r="R123" s="141"/>
      <c r="S123" s="141"/>
      <c r="T123" s="141"/>
      <c r="U123" s="141"/>
      <c r="V123" s="141"/>
      <c r="W123" s="141"/>
      <c r="X123" s="141"/>
      <c r="Y123" s="141"/>
      <c r="Z123" s="196">
        <v>4</v>
      </c>
      <c r="AA123" s="196">
        <v>15</v>
      </c>
      <c r="AB123" s="14">
        <f>ROUND(INDEX(挂机升级突破!DT$6:DT$57,卡牌消耗!$AA123)*INDEX(卡牌消耗!$B$5:$F$5,卡牌消耗!$Z123)/卡牌消耗!$Q$4/AB$2,0)*AB$2</f>
        <v>0</v>
      </c>
      <c r="AC123" s="14">
        <f>ROUND(INDEX(挂机升级突破!DU$6:DU$57,卡牌消耗!$AA123)*INDEX(卡牌消耗!$B$5:$F$5,卡牌消耗!$Z123)/卡牌消耗!$Q$4/AC$2,0)*AC$2</f>
        <v>0</v>
      </c>
      <c r="AD123" s="14">
        <f>ROUND(INDEX(挂机升级突破!DV$6:DV$57,卡牌消耗!$AA123)*INDEX(卡牌消耗!$B$5:$F$5,卡牌消耗!$Z123)/卡牌消耗!$Q$4/AD$2,0)*AD$2</f>
        <v>30</v>
      </c>
      <c r="AE123" s="14">
        <f>ROUND(INDEX(挂机升级突破!DW$6:DW$57,卡牌消耗!$AA123)*INDEX(卡牌消耗!$B$5:$F$5,卡牌消耗!$Z123)/卡牌消耗!$Q$4/AE$2,0)*AE$2</f>
        <v>0</v>
      </c>
      <c r="AF123" s="14">
        <f>ROUND(INDEX(挂机升级突破!DX$6:DX$57,卡牌消耗!$AA123)*INDEX(卡牌消耗!$B$5:$F$5,卡牌消耗!$Z123)/卡牌消耗!$Q$4/AF$2,0)*AF$2</f>
        <v>0</v>
      </c>
      <c r="AG123" s="14">
        <f>ROUND(INDEX(挂机升级突破!EC$6:EC$57,卡牌消耗!$AA123)*INDEX(卡牌消耗!$B$7:$F$7,卡牌消耗!$Z123)/卡牌消耗!$Q$4/AG$2,0)*AG$2</f>
        <v>0</v>
      </c>
      <c r="AH123" s="14">
        <f>ROUND(INDEX(挂机升级突破!ED$6:ED$57,卡牌消耗!$AA123)*INDEX(卡牌消耗!$B$8:$F$8,卡牌消耗!$Z123)/卡牌消耗!$Q$4/AH$2,0)*AH$2</f>
        <v>4900</v>
      </c>
      <c r="AI123" s="194"/>
      <c r="AJ123" s="194"/>
      <c r="AK123" s="104">
        <v>119</v>
      </c>
      <c r="AL123" s="14">
        <f t="shared" si="104"/>
        <v>3</v>
      </c>
      <c r="AM123" s="14">
        <f>INDEX(挂机升级突破!DQ$6:DQ$57,卡牌消耗!$AT123)</f>
        <v>11</v>
      </c>
      <c r="AN123" s="14">
        <f>INDEX(挂机升级突破!DR$6:DR$57,卡牌消耗!$AT123)</f>
        <v>3</v>
      </c>
      <c r="AO123" s="14">
        <f>INDEX(挂机升级突破!DS$6:DS$57,卡牌消耗!$AT123)</f>
        <v>0</v>
      </c>
      <c r="AP123" s="14">
        <f>INDEX(挂机升级突破!$DP$6:$DP$57,卡牌消耗!AT123)</f>
        <v>55</v>
      </c>
      <c r="AQ123" s="14" t="str">
        <f t="shared" si="105"/>
        <v>典韦</v>
      </c>
      <c r="AR123" s="14">
        <f t="shared" si="106"/>
        <v>4</v>
      </c>
      <c r="AS123" s="14" t="str">
        <f t="shared" si="107"/>
        <v>典韦魂火-15</v>
      </c>
      <c r="AT123" s="14">
        <f t="shared" si="108"/>
        <v>15</v>
      </c>
      <c r="AU123" s="14" t="str">
        <f>IF(AM123&gt;0,INDEX(挂机升级突破!$DT$4:$ED$4,AM123),"")</f>
        <v>金币</v>
      </c>
      <c r="AV123" s="14">
        <f>ROUND(INDEX(挂机升级突破!$DJ$6:$DJ$57,卡牌消耗!AT123)*INDEX(卡牌消耗!$B$8:$F$8,AR123)/$Q$4/50,0)*50</f>
        <v>4900</v>
      </c>
      <c r="AW123" s="14" t="str">
        <f>IF(AN123&gt;0,INDEX(挂机升级突破!$DT$4:$ED$4,AN123),"")</f>
        <v>紫色基础材料</v>
      </c>
      <c r="AX123" s="14">
        <f>ROUND(INDEX(挂机升级突破!$DT$6:$ED$57,卡牌消耗!AT123,AN123)*INDEX(卡牌消耗!$B$5:$F$5,AR123)/$Q$4/5,0)*5</f>
        <v>30</v>
      </c>
      <c r="AY123" s="14" t="str">
        <f>IF(AO123&gt;0,INDEX(挂机升级突破!$DT$4:$ED$4,AO123),"")</f>
        <v/>
      </c>
      <c r="AZ123" s="14" t="str">
        <f>IF(AO123&gt;0,ROUND(INDEX(挂机升级突破!$DT$6:$ED$57,卡牌消耗!AT123,AO123)*INDEX(卡牌消耗!$B$7:$F$7,AR123)/$Q$4,0),"")</f>
        <v/>
      </c>
      <c r="BA123" s="106"/>
      <c r="BB123" s="197"/>
      <c r="BC123" s="197"/>
      <c r="BD123" s="197"/>
      <c r="BE123" s="197"/>
      <c r="BF123" s="197"/>
      <c r="BG123" s="197"/>
      <c r="BH123" s="197"/>
      <c r="BI123" s="197"/>
      <c r="BJ123" s="197"/>
      <c r="BK123" s="197"/>
      <c r="BL123" s="104">
        <v>119</v>
      </c>
      <c r="BM123" s="14">
        <f t="shared" si="109"/>
        <v>6</v>
      </c>
      <c r="BN123" s="14">
        <f>INDEX(挂机升级突破!$EI$7:$EI$26,BS123)</f>
        <v>5</v>
      </c>
      <c r="BO123" s="14">
        <f>INDEX(挂机升级突破!$EJ$7:$EJ$26,BS123)</f>
        <v>4</v>
      </c>
      <c r="BP123" s="14">
        <f t="shared" si="110"/>
        <v>5</v>
      </c>
      <c r="BQ123" s="14">
        <f>INDEX(挂机升级突破!$EH$7:$EH$26,卡牌消耗!BS123)</f>
        <v>132</v>
      </c>
      <c r="BR123" s="14" t="str">
        <f t="shared" si="111"/>
        <v>项羽</v>
      </c>
      <c r="BS123" s="14">
        <f t="shared" si="112"/>
        <v>19</v>
      </c>
      <c r="BT123" s="14" t="str">
        <f t="shared" si="113"/>
        <v>项羽19突</v>
      </c>
      <c r="BU123" s="14" t="str">
        <f>IF(BN123&gt;0,INDEX(挂机升级突破!$ER$5:$EV$5,卡牌消耗!BN123),"")</f>
        <v>金币</v>
      </c>
      <c r="BV123" s="14">
        <f>IF(BN123&gt;0,ROUND(INDEX(挂机升级突破!$EV$7:$EV$26,卡牌消耗!BS123)*INDEX(卡牌消耗!$B$8:$F$8,BP123)/$Q$4/500,0)*500,"")</f>
        <v>547000</v>
      </c>
      <c r="BW123" s="14" t="str">
        <f>IF(BO123&gt;0,INDEX(挂机升级突破!$ER$5:$EV$5,卡牌消耗!BO123),"")</f>
        <v>铀金</v>
      </c>
      <c r="BX123" s="14">
        <f>IF(BO123&gt;0,ROUND(INDEX(挂机升级突破!$ER$7:$EU$26,卡牌消耗!BS123,卡牌消耗!BO123)*INDEX($B$6:$F$6,BP123)/$Q$4/5,0)*5,"")</f>
        <v>50</v>
      </c>
      <c r="BY123" s="193"/>
      <c r="BZ123" s="193"/>
      <c r="CA123" s="106"/>
      <c r="CS123" s="171"/>
      <c r="CT123" s="171"/>
      <c r="CU123" s="171"/>
      <c r="CV123" s="169">
        <v>119</v>
      </c>
      <c r="CW123" s="169">
        <v>6</v>
      </c>
      <c r="CX123" s="21">
        <f t="shared" ref="CX123" si="225">CW123/$CU121</f>
        <v>0.21818181818181817</v>
      </c>
      <c r="CY123" s="169">
        <f t="shared" ref="CY123" si="226">INT($CU120*CX123/5)*5</f>
        <v>64570</v>
      </c>
      <c r="CZ123" s="169">
        <f>SUM(CY$5:CY123)</f>
        <v>2479250</v>
      </c>
      <c r="DB123" s="188">
        <f t="shared" si="184"/>
        <v>32250</v>
      </c>
      <c r="DC123" s="188">
        <f t="shared" si="184"/>
        <v>51650</v>
      </c>
      <c r="DD123" s="188">
        <f t="shared" si="184"/>
        <v>64550</v>
      </c>
      <c r="DE123" s="188">
        <f t="shared" si="184"/>
        <v>77450</v>
      </c>
      <c r="DF123" s="188">
        <f t="shared" si="184"/>
        <v>96850</v>
      </c>
      <c r="DI123" s="186">
        <v>119</v>
      </c>
      <c r="DJ123" s="14">
        <f t="shared" si="117"/>
        <v>24</v>
      </c>
      <c r="DK123" s="14">
        <f t="shared" si="99"/>
        <v>2</v>
      </c>
      <c r="DL123" s="14">
        <f t="shared" si="100"/>
        <v>1101999</v>
      </c>
      <c r="DM123" s="136" t="s">
        <v>1097</v>
      </c>
      <c r="DN123" s="14">
        <f t="shared" si="101"/>
        <v>4</v>
      </c>
      <c r="DO123" s="14" t="str">
        <f t="shared" si="102"/>
        <v>R寄灵人-4星</v>
      </c>
      <c r="DP123" s="136" t="s">
        <v>1103</v>
      </c>
      <c r="DQ123" s="14">
        <f t="shared" si="118"/>
        <v>16000</v>
      </c>
      <c r="DR123" s="14" t="str">
        <f t="shared" si="103"/>
        <v>R寄灵人碎片</v>
      </c>
      <c r="DS123" s="14">
        <f t="shared" si="119"/>
        <v>20</v>
      </c>
    </row>
    <row r="124" spans="8:123" ht="16.5" x14ac:dyDescent="0.2">
      <c r="H124" s="15"/>
      <c r="I124" s="15"/>
      <c r="J124" s="15"/>
      <c r="K124" s="15"/>
      <c r="L124" s="15"/>
      <c r="M124" s="15"/>
      <c r="N124" s="15"/>
      <c r="O124" s="137"/>
      <c r="P124" s="141"/>
      <c r="Q124" s="141"/>
      <c r="R124" s="141"/>
      <c r="S124" s="141"/>
      <c r="T124" s="141"/>
      <c r="U124" s="141"/>
      <c r="V124" s="141"/>
      <c r="W124" s="141"/>
      <c r="X124" s="141"/>
      <c r="Y124" s="141"/>
      <c r="Z124" s="196">
        <v>4</v>
      </c>
      <c r="AA124" s="196">
        <v>16</v>
      </c>
      <c r="AB124" s="14">
        <f>ROUND(INDEX(挂机升级突破!DT$6:DT$57,卡牌消耗!$AA124)*INDEX(卡牌消耗!$B$5:$F$5,卡牌消耗!$Z124)/卡牌消耗!$Q$4/AB$2,0)*AB$2</f>
        <v>0</v>
      </c>
      <c r="AC124" s="14">
        <f>ROUND(INDEX(挂机升级突破!DU$6:DU$57,卡牌消耗!$AA124)*INDEX(卡牌消耗!$B$5:$F$5,卡牌消耗!$Z124)/卡牌消耗!$Q$4/AC$2,0)*AC$2</f>
        <v>0</v>
      </c>
      <c r="AD124" s="14">
        <f>ROUND(INDEX(挂机升级突破!DV$6:DV$57,卡牌消耗!$AA124)*INDEX(卡牌消耗!$B$5:$F$5,卡牌消耗!$Z124)/卡牌消耗!$Q$4/AD$2,0)*AD$2</f>
        <v>30</v>
      </c>
      <c r="AE124" s="14">
        <f>ROUND(INDEX(挂机升级突破!DW$6:DW$57,卡牌消耗!$AA124)*INDEX(卡牌消耗!$B$5:$F$5,卡牌消耗!$Z124)/卡牌消耗!$Q$4/AE$2,0)*AE$2</f>
        <v>0</v>
      </c>
      <c r="AF124" s="14">
        <f>ROUND(INDEX(挂机升级突破!DX$6:DX$57,卡牌消耗!$AA124)*INDEX(卡牌消耗!$B$5:$F$5,卡牌消耗!$Z124)/卡牌消耗!$Q$4/AF$2,0)*AF$2</f>
        <v>0</v>
      </c>
      <c r="AG124" s="14">
        <f>ROUND(INDEX(挂机升级突破!EC$6:EC$57,卡牌消耗!$AA124)*INDEX(卡牌消耗!$B$7:$F$7,卡牌消耗!$Z124)/卡牌消耗!$Q$4/AG$2,0)*AG$2</f>
        <v>0</v>
      </c>
      <c r="AH124" s="14">
        <f>ROUND(INDEX(挂机升级突破!ED$6:ED$57,卡牌消耗!$AA124)*INDEX(卡牌消耗!$B$8:$F$8,卡牌消耗!$Z124)/卡牌消耗!$Q$4/AH$2,0)*AH$2</f>
        <v>4900</v>
      </c>
      <c r="AI124" s="194"/>
      <c r="AJ124" s="194"/>
      <c r="AK124" s="104">
        <v>120</v>
      </c>
      <c r="AL124" s="14">
        <f t="shared" si="104"/>
        <v>3</v>
      </c>
      <c r="AM124" s="14">
        <f>INDEX(挂机升级突破!DQ$6:DQ$57,卡牌消耗!$AT124)</f>
        <v>11</v>
      </c>
      <c r="AN124" s="14">
        <f>INDEX(挂机升级突破!DR$6:DR$57,卡牌消耗!$AT124)</f>
        <v>3</v>
      </c>
      <c r="AO124" s="14">
        <f>INDEX(挂机升级突破!DS$6:DS$57,卡牌消耗!$AT124)</f>
        <v>0</v>
      </c>
      <c r="AP124" s="14">
        <f>INDEX(挂机升级突破!$DP$6:$DP$57,卡牌消耗!AT124)</f>
        <v>58</v>
      </c>
      <c r="AQ124" s="14" t="str">
        <f t="shared" si="105"/>
        <v>典韦</v>
      </c>
      <c r="AR124" s="14">
        <f t="shared" si="106"/>
        <v>4</v>
      </c>
      <c r="AS124" s="14" t="str">
        <f t="shared" si="107"/>
        <v>典韦魂火-16</v>
      </c>
      <c r="AT124" s="14">
        <f t="shared" si="108"/>
        <v>16</v>
      </c>
      <c r="AU124" s="14" t="str">
        <f>IF(AM124&gt;0,INDEX(挂机升级突破!$DT$4:$ED$4,AM124),"")</f>
        <v>金币</v>
      </c>
      <c r="AV124" s="14">
        <f>ROUND(INDEX(挂机升级突破!$DJ$6:$DJ$57,卡牌消耗!AT124)*INDEX(卡牌消耗!$B$8:$F$8,AR124)/$Q$4/50,0)*50</f>
        <v>4900</v>
      </c>
      <c r="AW124" s="14" t="str">
        <f>IF(AN124&gt;0,INDEX(挂机升级突破!$DT$4:$ED$4,AN124),"")</f>
        <v>紫色基础材料</v>
      </c>
      <c r="AX124" s="14">
        <f>ROUND(INDEX(挂机升级突破!$DT$6:$ED$57,卡牌消耗!AT124,AN124)*INDEX(卡牌消耗!$B$5:$F$5,AR124)/$Q$4/5,0)*5</f>
        <v>30</v>
      </c>
      <c r="AY124" s="14" t="str">
        <f>IF(AO124&gt;0,INDEX(挂机升级突破!$DT$4:$ED$4,AO124),"")</f>
        <v/>
      </c>
      <c r="AZ124" s="14" t="str">
        <f>IF(AO124&gt;0,ROUND(INDEX(挂机升级突破!$DT$6:$ED$57,卡牌消耗!AT124,AO124)*INDEX(卡牌消耗!$B$7:$F$7,AR124)/$Q$4,0),"")</f>
        <v/>
      </c>
      <c r="BA124" s="106"/>
      <c r="BB124" s="197"/>
      <c r="BC124" s="197"/>
      <c r="BD124" s="197"/>
      <c r="BE124" s="197"/>
      <c r="BF124" s="197"/>
      <c r="BG124" s="197"/>
      <c r="BH124" s="197"/>
      <c r="BI124" s="197"/>
      <c r="BJ124" s="197"/>
      <c r="BK124" s="197"/>
      <c r="BL124" s="104">
        <v>120</v>
      </c>
      <c r="BM124" s="14">
        <f t="shared" si="109"/>
        <v>6</v>
      </c>
      <c r="BN124" s="14">
        <f>INDEX(挂机升级突破!$EI$7:$EI$26,BS124)</f>
        <v>5</v>
      </c>
      <c r="BO124" s="14">
        <f>INDEX(挂机升级突破!$EJ$7:$EJ$26,BS124)</f>
        <v>4</v>
      </c>
      <c r="BP124" s="14">
        <f t="shared" si="110"/>
        <v>5</v>
      </c>
      <c r="BQ124" s="14">
        <f>INDEX(挂机升级突破!$EH$7:$EH$26,卡牌消耗!BS124)</f>
        <v>140</v>
      </c>
      <c r="BR124" s="14" t="str">
        <f t="shared" si="111"/>
        <v>项羽</v>
      </c>
      <c r="BS124" s="14">
        <f t="shared" si="112"/>
        <v>20</v>
      </c>
      <c r="BT124" s="14" t="str">
        <f t="shared" si="113"/>
        <v>项羽20突</v>
      </c>
      <c r="BU124" s="14" t="str">
        <f>IF(BN124&gt;0,INDEX(挂机升级突破!$ER$5:$EV$5,卡牌消耗!BN124),"")</f>
        <v>金币</v>
      </c>
      <c r="BV124" s="14">
        <f>IF(BN124&gt;0,ROUND(INDEX(挂机升级突破!$EV$7:$EV$26,卡牌消耗!BS124)*INDEX(卡牌消耗!$B$8:$F$8,BP124)/$Q$4/500,0)*500,"")</f>
        <v>820500</v>
      </c>
      <c r="BW124" s="14" t="str">
        <f>IF(BO124&gt;0,INDEX(挂机升级突破!$ER$5:$EV$5,卡牌消耗!BO124),"")</f>
        <v>铀金</v>
      </c>
      <c r="BX124" s="14">
        <f>IF(BO124&gt;0,ROUND(INDEX(挂机升级突破!$ER$7:$EU$26,卡牌消耗!BS124,卡牌消耗!BO124)*INDEX($B$6:$F$6,BP124)/$Q$4/5,0)*5,"")</f>
        <v>65</v>
      </c>
      <c r="BY124" s="193"/>
      <c r="BZ124" s="193"/>
      <c r="CA124" s="106"/>
      <c r="CS124" s="171"/>
      <c r="CT124" s="173" t="s">
        <v>120</v>
      </c>
      <c r="CU124" s="169">
        <v>23</v>
      </c>
      <c r="CV124" s="169">
        <v>120</v>
      </c>
      <c r="CW124" s="169">
        <v>5</v>
      </c>
      <c r="CX124" s="21">
        <f t="shared" ref="CX124" si="227">CW124/$CU126</f>
        <v>0.18181818181818182</v>
      </c>
      <c r="CY124" s="169">
        <f t="shared" ref="CY124" si="228">INT($CU125*CX124/5)*5</f>
        <v>62120</v>
      </c>
      <c r="CZ124" s="169">
        <f>SUM(CY$5:CY124)</f>
        <v>2541370</v>
      </c>
      <c r="DB124" s="188">
        <f t="shared" si="184"/>
        <v>31050</v>
      </c>
      <c r="DC124" s="188">
        <f t="shared" si="184"/>
        <v>49650</v>
      </c>
      <c r="DD124" s="188">
        <f t="shared" si="184"/>
        <v>62100</v>
      </c>
      <c r="DE124" s="188">
        <f t="shared" si="184"/>
        <v>74500</v>
      </c>
      <c r="DF124" s="188">
        <f t="shared" si="184"/>
        <v>93150</v>
      </c>
      <c r="DI124" s="186">
        <v>120</v>
      </c>
      <c r="DJ124" s="14">
        <f t="shared" si="117"/>
        <v>24</v>
      </c>
      <c r="DK124" s="14">
        <f t="shared" si="99"/>
        <v>2</v>
      </c>
      <c r="DL124" s="14">
        <f t="shared" si="100"/>
        <v>1101999</v>
      </c>
      <c r="DM124" s="136" t="s">
        <v>1097</v>
      </c>
      <c r="DN124" s="14">
        <f t="shared" si="101"/>
        <v>5</v>
      </c>
      <c r="DO124" s="14" t="str">
        <f t="shared" si="102"/>
        <v>R寄灵人-5星</v>
      </c>
      <c r="DP124" s="136" t="s">
        <v>1103</v>
      </c>
      <c r="DQ124" s="14">
        <f t="shared" si="118"/>
        <v>30000</v>
      </c>
      <c r="DR124" s="14" t="str">
        <f t="shared" si="103"/>
        <v>R寄灵人碎片</v>
      </c>
      <c r="DS124" s="14">
        <f t="shared" si="119"/>
        <v>20</v>
      </c>
    </row>
    <row r="125" spans="8:123" ht="16.5" x14ac:dyDescent="0.2">
      <c r="H125" s="15"/>
      <c r="I125" s="15"/>
      <c r="J125" s="15"/>
      <c r="K125" s="15"/>
      <c r="L125" s="15"/>
      <c r="M125" s="15"/>
      <c r="N125" s="15"/>
      <c r="O125" s="137"/>
      <c r="P125" s="141"/>
      <c r="Q125" s="141"/>
      <c r="R125" s="141"/>
      <c r="S125" s="141"/>
      <c r="T125" s="141"/>
      <c r="U125" s="141"/>
      <c r="V125" s="141"/>
      <c r="W125" s="141"/>
      <c r="X125" s="141"/>
      <c r="Y125" s="141"/>
      <c r="Z125" s="196">
        <v>4</v>
      </c>
      <c r="AA125" s="196">
        <v>17</v>
      </c>
      <c r="AB125" s="14">
        <f>ROUND(INDEX(挂机升级突破!DT$6:DT$57,卡牌消耗!$AA125)*INDEX(卡牌消耗!$B$5:$F$5,卡牌消耗!$Z125)/卡牌消耗!$Q$4/AB$2,0)*AB$2</f>
        <v>0</v>
      </c>
      <c r="AC125" s="14">
        <f>ROUND(INDEX(挂机升级突破!DU$6:DU$57,卡牌消耗!$AA125)*INDEX(卡牌消耗!$B$5:$F$5,卡牌消耗!$Z125)/卡牌消耗!$Q$4/AC$2,0)*AC$2</f>
        <v>0</v>
      </c>
      <c r="AD125" s="14">
        <f>ROUND(INDEX(挂机升级突破!DV$6:DV$57,卡牌消耗!$AA125)*INDEX(卡牌消耗!$B$5:$F$5,卡牌消耗!$Z125)/卡牌消耗!$Q$4/AD$2,0)*AD$2</f>
        <v>55</v>
      </c>
      <c r="AE125" s="14">
        <f>ROUND(INDEX(挂机升级突破!DW$6:DW$57,卡牌消耗!$AA125)*INDEX(卡牌消耗!$B$5:$F$5,卡牌消耗!$Z125)/卡牌消耗!$Q$4/AE$2,0)*AE$2</f>
        <v>0</v>
      </c>
      <c r="AF125" s="14">
        <f>ROUND(INDEX(挂机升级突破!DX$6:DX$57,卡牌消耗!$AA125)*INDEX(卡牌消耗!$B$5:$F$5,卡牌消耗!$Z125)/卡牌消耗!$Q$4/AF$2,0)*AF$2</f>
        <v>0</v>
      </c>
      <c r="AG125" s="14">
        <f>ROUND(INDEX(挂机升级突破!EC$6:EC$57,卡牌消耗!$AA125)*INDEX(卡牌消耗!$B$7:$F$7,卡牌消耗!$Z125)/卡牌消耗!$Q$4/AG$2,0)*AG$2</f>
        <v>0</v>
      </c>
      <c r="AH125" s="14">
        <f>ROUND(INDEX(挂机升级突破!ED$6:ED$57,卡牌消耗!$AA125)*INDEX(卡牌消耗!$B$8:$F$8,卡牌消耗!$Z125)/卡牌消耗!$Q$4/AH$2,0)*AH$2</f>
        <v>6150</v>
      </c>
      <c r="AI125" s="194"/>
      <c r="AJ125" s="194"/>
      <c r="AK125" s="104">
        <v>121</v>
      </c>
      <c r="AL125" s="14">
        <f t="shared" si="104"/>
        <v>3</v>
      </c>
      <c r="AM125" s="14">
        <f>INDEX(挂机升级突破!DQ$6:DQ$57,卡牌消耗!$AT125)</f>
        <v>11</v>
      </c>
      <c r="AN125" s="14">
        <f>INDEX(挂机升级突破!DR$6:DR$57,卡牌消耗!$AT125)</f>
        <v>3</v>
      </c>
      <c r="AO125" s="14">
        <f>INDEX(挂机升级突破!DS$6:DS$57,卡牌消耗!$AT125)</f>
        <v>0</v>
      </c>
      <c r="AP125" s="14">
        <f>INDEX(挂机升级突破!$DP$6:$DP$57,卡牌消耗!AT125)</f>
        <v>60</v>
      </c>
      <c r="AQ125" s="14" t="str">
        <f t="shared" si="105"/>
        <v>典韦</v>
      </c>
      <c r="AR125" s="14">
        <f t="shared" si="106"/>
        <v>4</v>
      </c>
      <c r="AS125" s="14" t="str">
        <f t="shared" si="107"/>
        <v>典韦魂火-17</v>
      </c>
      <c r="AT125" s="14">
        <f t="shared" si="108"/>
        <v>17</v>
      </c>
      <c r="AU125" s="14" t="str">
        <f>IF(AM125&gt;0,INDEX(挂机升级突破!$DT$4:$ED$4,AM125),"")</f>
        <v>金币</v>
      </c>
      <c r="AV125" s="14">
        <f>ROUND(INDEX(挂机升级突破!$DJ$6:$DJ$57,卡牌消耗!AT125)*INDEX(卡牌消耗!$B$8:$F$8,AR125)/$Q$4/50,0)*50</f>
        <v>6150</v>
      </c>
      <c r="AW125" s="14" t="str">
        <f>IF(AN125&gt;0,INDEX(挂机升级突破!$DT$4:$ED$4,AN125),"")</f>
        <v>紫色基础材料</v>
      </c>
      <c r="AX125" s="14">
        <f>ROUND(INDEX(挂机升级突破!$DT$6:$ED$57,卡牌消耗!AT125,AN125)*INDEX(卡牌消耗!$B$5:$F$5,AR125)/$Q$4/5,0)*5</f>
        <v>55</v>
      </c>
      <c r="AY125" s="14" t="str">
        <f>IF(AO125&gt;0,INDEX(挂机升级突破!$DT$4:$ED$4,AO125),"")</f>
        <v/>
      </c>
      <c r="AZ125" s="14" t="str">
        <f>IF(AO125&gt;0,ROUND(INDEX(挂机升级突破!$DT$6:$ED$57,卡牌消耗!AT125,AO125)*INDEX(卡牌消耗!$B$7:$F$7,AR125)/$Q$4,0),"")</f>
        <v/>
      </c>
      <c r="BA125" s="106"/>
      <c r="BB125" s="197"/>
      <c r="BC125" s="197"/>
      <c r="BD125" s="197"/>
      <c r="BE125" s="197"/>
      <c r="BF125" s="197"/>
      <c r="BG125" s="197"/>
      <c r="BH125" s="197"/>
      <c r="BI125" s="197"/>
      <c r="BJ125" s="197"/>
      <c r="BK125" s="197"/>
      <c r="BL125" s="104">
        <v>121</v>
      </c>
      <c r="BM125" s="14">
        <f t="shared" si="109"/>
        <v>7</v>
      </c>
      <c r="BN125" s="14">
        <f>INDEX(挂机升级突破!$EI$7:$EI$26,BS125)</f>
        <v>0</v>
      </c>
      <c r="BO125" s="14">
        <f>INDEX(挂机升级突破!$EJ$7:$EJ$26,BS125)</f>
        <v>0</v>
      </c>
      <c r="BP125" s="14">
        <f t="shared" si="110"/>
        <v>4</v>
      </c>
      <c r="BQ125" s="14">
        <f>INDEX(挂机升级突破!$EH$7:$EH$26,卡牌消耗!BS125)</f>
        <v>1</v>
      </c>
      <c r="BR125" s="14" t="str">
        <f t="shared" si="111"/>
        <v>天使缇娜</v>
      </c>
      <c r="BS125" s="14">
        <f t="shared" si="112"/>
        <v>1</v>
      </c>
      <c r="BT125" s="14" t="str">
        <f t="shared" si="113"/>
        <v>天使缇娜1突</v>
      </c>
      <c r="BU125" s="14" t="str">
        <f>IF(BN125&gt;0,INDEX(挂机升级突破!$ER$5:$EV$5,卡牌消耗!BN125),"")</f>
        <v/>
      </c>
      <c r="BV125" s="14" t="str">
        <f>IF(BN125&gt;0,ROUND(INDEX(挂机升级突破!$EV$7:$EV$26,卡牌消耗!BS125)*INDEX(卡牌消耗!$B$8:$F$8,BP125)/$Q$4/500,0)*500,"")</f>
        <v/>
      </c>
      <c r="BW125" s="14" t="str">
        <f>IF(BO125&gt;0,INDEX(挂机升级突破!$ER$5:$EV$5,卡牌消耗!BO125),"")</f>
        <v/>
      </c>
      <c r="BX125" s="14" t="str">
        <f>IF(BO125&gt;0,ROUND(INDEX(挂机升级突破!$ER$7:$EU$26,卡牌消耗!BS125,卡牌消耗!BO125)*INDEX($B$6:$F$6,BP125)/$Q$4/5,0)*5,"")</f>
        <v/>
      </c>
      <c r="BY125" s="193"/>
      <c r="BZ125" s="193"/>
      <c r="CA125" s="106"/>
      <c r="CS125" s="171"/>
      <c r="CT125" s="171"/>
      <c r="CU125" s="14">
        <f>INDEX($CP$5:$CP$32,CU124)</f>
        <v>341666</v>
      </c>
      <c r="CV125" s="169">
        <v>121</v>
      </c>
      <c r="CW125" s="169">
        <v>5.25</v>
      </c>
      <c r="CX125" s="21">
        <f t="shared" ref="CX125" si="229">CW125/$CU126</f>
        <v>0.19090909090909092</v>
      </c>
      <c r="CY125" s="169">
        <f t="shared" ref="CY125" si="230">INT($CU125*CX125/5)*5</f>
        <v>65225</v>
      </c>
      <c r="CZ125" s="169">
        <f>SUM(CY$5:CY125)</f>
        <v>2606595</v>
      </c>
      <c r="DB125" s="188">
        <f t="shared" si="184"/>
        <v>32600</v>
      </c>
      <c r="DC125" s="188">
        <f t="shared" si="184"/>
        <v>52150</v>
      </c>
      <c r="DD125" s="188">
        <f t="shared" si="184"/>
        <v>65200</v>
      </c>
      <c r="DE125" s="188">
        <f t="shared" si="184"/>
        <v>78250</v>
      </c>
      <c r="DF125" s="188">
        <f t="shared" si="184"/>
        <v>97800</v>
      </c>
      <c r="DI125" s="186">
        <v>121</v>
      </c>
      <c r="DJ125" s="14">
        <f t="shared" si="117"/>
        <v>25</v>
      </c>
      <c r="DK125" s="14">
        <f t="shared" si="99"/>
        <v>3</v>
      </c>
      <c r="DL125" s="14">
        <f t="shared" si="100"/>
        <v>1101998</v>
      </c>
      <c r="DM125" s="136" t="s">
        <v>1097</v>
      </c>
      <c r="DN125" s="14">
        <f t="shared" si="101"/>
        <v>1</v>
      </c>
      <c r="DO125" s="14" t="str">
        <f t="shared" si="102"/>
        <v>SR寄灵人-1星</v>
      </c>
      <c r="DP125" s="136" t="s">
        <v>1103</v>
      </c>
      <c r="DQ125" s="14">
        <f t="shared" si="118"/>
        <v>4000</v>
      </c>
      <c r="DR125" s="14" t="str">
        <f t="shared" si="103"/>
        <v>SR寄灵人碎片</v>
      </c>
      <c r="DS125" s="14">
        <f t="shared" si="119"/>
        <v>40</v>
      </c>
    </row>
    <row r="126" spans="8:123" ht="16.5" x14ac:dyDescent="0.2">
      <c r="H126" s="15"/>
      <c r="I126" s="15"/>
      <c r="J126" s="15"/>
      <c r="K126" s="15"/>
      <c r="L126" s="15"/>
      <c r="M126" s="15"/>
      <c r="N126" s="15"/>
      <c r="O126" s="137"/>
      <c r="P126" s="141"/>
      <c r="Q126" s="141"/>
      <c r="R126" s="141"/>
      <c r="S126" s="141"/>
      <c r="T126" s="141"/>
      <c r="U126" s="141"/>
      <c r="V126" s="141"/>
      <c r="W126" s="141"/>
      <c r="X126" s="141"/>
      <c r="Y126" s="141"/>
      <c r="Z126" s="196">
        <v>4</v>
      </c>
      <c r="AA126" s="196">
        <v>18</v>
      </c>
      <c r="AB126" s="14">
        <f>ROUND(INDEX(挂机升级突破!DT$6:DT$57,卡牌消耗!$AA126)*INDEX(卡牌消耗!$B$5:$F$5,卡牌消耗!$Z126)/卡牌消耗!$Q$4/AB$2,0)*AB$2</f>
        <v>0</v>
      </c>
      <c r="AC126" s="14">
        <f>ROUND(INDEX(挂机升级突破!DU$6:DU$57,卡牌消耗!$AA126)*INDEX(卡牌消耗!$B$5:$F$5,卡牌消耗!$Z126)/卡牌消耗!$Q$4/AC$2,0)*AC$2</f>
        <v>0</v>
      </c>
      <c r="AD126" s="14">
        <f>ROUND(INDEX(挂机升级突破!DV$6:DV$57,卡牌消耗!$AA126)*INDEX(卡牌消耗!$B$5:$F$5,卡牌消耗!$Z126)/卡牌消耗!$Q$4/AD$2,0)*AD$2</f>
        <v>55</v>
      </c>
      <c r="AE126" s="14">
        <f>ROUND(INDEX(挂机升级突破!DW$6:DW$57,卡牌消耗!$AA126)*INDEX(卡牌消耗!$B$5:$F$5,卡牌消耗!$Z126)/卡牌消耗!$Q$4/AE$2,0)*AE$2</f>
        <v>0</v>
      </c>
      <c r="AF126" s="14">
        <f>ROUND(INDEX(挂机升级突破!DX$6:DX$57,卡牌消耗!$AA126)*INDEX(卡牌消耗!$B$5:$F$5,卡牌消耗!$Z126)/卡牌消耗!$Q$4/AF$2,0)*AF$2</f>
        <v>0</v>
      </c>
      <c r="AG126" s="14">
        <f>ROUND(INDEX(挂机升级突破!EC$6:EC$57,卡牌消耗!$AA126)*INDEX(卡牌消耗!$B$7:$F$7,卡牌消耗!$Z126)/卡牌消耗!$Q$4/AG$2,0)*AG$2</f>
        <v>0</v>
      </c>
      <c r="AH126" s="14">
        <f>ROUND(INDEX(挂机升级突破!ED$6:ED$57,卡牌消耗!$AA126)*INDEX(卡牌消耗!$B$8:$F$8,卡牌消耗!$Z126)/卡牌消耗!$Q$4/AH$2,0)*AH$2</f>
        <v>6150</v>
      </c>
      <c r="AI126" s="194"/>
      <c r="AJ126" s="194"/>
      <c r="AK126" s="104">
        <v>122</v>
      </c>
      <c r="AL126" s="14">
        <f t="shared" si="104"/>
        <v>3</v>
      </c>
      <c r="AM126" s="14">
        <f>INDEX(挂机升级突破!DQ$6:DQ$57,卡牌消耗!$AT126)</f>
        <v>11</v>
      </c>
      <c r="AN126" s="14">
        <f>INDEX(挂机升级突破!DR$6:DR$57,卡牌消耗!$AT126)</f>
        <v>3</v>
      </c>
      <c r="AO126" s="14">
        <f>INDEX(挂机升级突破!DS$6:DS$57,卡牌消耗!$AT126)</f>
        <v>0</v>
      </c>
      <c r="AP126" s="14">
        <f>INDEX(挂机升级突破!$DP$6:$DP$57,卡牌消耗!AT126)</f>
        <v>63</v>
      </c>
      <c r="AQ126" s="14" t="str">
        <f t="shared" si="105"/>
        <v>典韦</v>
      </c>
      <c r="AR126" s="14">
        <f t="shared" si="106"/>
        <v>4</v>
      </c>
      <c r="AS126" s="14" t="str">
        <f t="shared" si="107"/>
        <v>典韦魂火-18</v>
      </c>
      <c r="AT126" s="14">
        <f t="shared" si="108"/>
        <v>18</v>
      </c>
      <c r="AU126" s="14" t="str">
        <f>IF(AM126&gt;0,INDEX(挂机升级突破!$DT$4:$ED$4,AM126),"")</f>
        <v>金币</v>
      </c>
      <c r="AV126" s="14">
        <f>ROUND(INDEX(挂机升级突破!$DJ$6:$DJ$57,卡牌消耗!AT126)*INDEX(卡牌消耗!$B$8:$F$8,AR126)/$Q$4/50,0)*50</f>
        <v>6150</v>
      </c>
      <c r="AW126" s="14" t="str">
        <f>IF(AN126&gt;0,INDEX(挂机升级突破!$DT$4:$ED$4,AN126),"")</f>
        <v>紫色基础材料</v>
      </c>
      <c r="AX126" s="14">
        <f>ROUND(INDEX(挂机升级突破!$DT$6:$ED$57,卡牌消耗!AT126,AN126)*INDEX(卡牌消耗!$B$5:$F$5,AR126)/$Q$4/5,0)*5</f>
        <v>55</v>
      </c>
      <c r="AY126" s="14" t="str">
        <f>IF(AO126&gt;0,INDEX(挂机升级突破!$DT$4:$ED$4,AO126),"")</f>
        <v/>
      </c>
      <c r="AZ126" s="14" t="str">
        <f>IF(AO126&gt;0,ROUND(INDEX(挂机升级突破!$DT$6:$ED$57,卡牌消耗!AT126,AO126)*INDEX(卡牌消耗!$B$7:$F$7,AR126)/$Q$4,0),"")</f>
        <v/>
      </c>
      <c r="BA126" s="106"/>
      <c r="BB126" s="197"/>
      <c r="BC126" s="197"/>
      <c r="BD126" s="197"/>
      <c r="BE126" s="197"/>
      <c r="BF126" s="197"/>
      <c r="BG126" s="197"/>
      <c r="BH126" s="197"/>
      <c r="BI126" s="197"/>
      <c r="BJ126" s="197"/>
      <c r="BK126" s="197"/>
      <c r="BL126" s="104">
        <v>122</v>
      </c>
      <c r="BM126" s="14">
        <f t="shared" si="109"/>
        <v>7</v>
      </c>
      <c r="BN126" s="14">
        <f>INDEX(挂机升级突破!$EI$7:$EI$26,BS126)</f>
        <v>5</v>
      </c>
      <c r="BO126" s="14">
        <f>INDEX(挂机升级突破!$EJ$7:$EJ$26,BS126)</f>
        <v>1</v>
      </c>
      <c r="BP126" s="14">
        <f t="shared" si="110"/>
        <v>4</v>
      </c>
      <c r="BQ126" s="14">
        <f>INDEX(挂机升级突破!$EH$7:$EH$26,卡牌消耗!BS126)</f>
        <v>5</v>
      </c>
      <c r="BR126" s="14" t="str">
        <f t="shared" si="111"/>
        <v>天使缇娜</v>
      </c>
      <c r="BS126" s="14">
        <f t="shared" si="112"/>
        <v>2</v>
      </c>
      <c r="BT126" s="14" t="str">
        <f t="shared" si="113"/>
        <v>天使缇娜2突</v>
      </c>
      <c r="BU126" s="14" t="str">
        <f>IF(BN126&gt;0,INDEX(挂机升级突破!$ER$5:$EV$5,卡牌消耗!BN126),"")</f>
        <v>金币</v>
      </c>
      <c r="BV126" s="14">
        <f>IF(BN126&gt;0,ROUND(INDEX(挂机升级突破!$EV$7:$EV$26,卡牌消耗!BS126)*INDEX(卡牌消耗!$B$8:$F$8,BP126)/$Q$4/500,0)*500,"")</f>
        <v>4500</v>
      </c>
      <c r="BW126" s="14" t="str">
        <f>IF(BO126&gt;0,INDEX(挂机升级突破!$ER$5:$EV$5,卡牌消耗!BO126),"")</f>
        <v>玄铁</v>
      </c>
      <c r="BX126" s="14">
        <f>IF(BO126&gt;0,ROUND(INDEX(挂机升级突破!$ER$7:$EU$26,卡牌消耗!BS126,卡牌消耗!BO126)*INDEX($B$6:$F$6,BP126)/$Q$4,0),"")</f>
        <v>2</v>
      </c>
      <c r="BY126" s="193"/>
      <c r="BZ126" s="193"/>
      <c r="CA126" s="106"/>
      <c r="CS126" s="171"/>
      <c r="CT126" s="170"/>
      <c r="CU126" s="14">
        <f>SUMIFS($CW$5:$CW$154,$CV$5:$CV$154,"&gt;="&amp;INDEX($CE$5:$CE$32,CU124),$CV$5:$CV$154,"&lt;"&amp;INDEX($CF$5:$CF$32,CU124))</f>
        <v>27.5</v>
      </c>
      <c r="CV126" s="169">
        <v>122</v>
      </c>
      <c r="CW126" s="169">
        <v>5.5</v>
      </c>
      <c r="CX126" s="21">
        <f t="shared" ref="CX126" si="231">CW126/$CU126</f>
        <v>0.2</v>
      </c>
      <c r="CY126" s="169">
        <f t="shared" ref="CY126" si="232">INT($CU125*CX126/5)*5</f>
        <v>68330</v>
      </c>
      <c r="CZ126" s="169">
        <f>SUM(CY$5:CY126)</f>
        <v>2674925</v>
      </c>
      <c r="DB126" s="188">
        <f t="shared" si="184"/>
        <v>34150</v>
      </c>
      <c r="DC126" s="188">
        <f t="shared" si="184"/>
        <v>54650</v>
      </c>
      <c r="DD126" s="188">
        <f t="shared" si="184"/>
        <v>68300</v>
      </c>
      <c r="DE126" s="188">
        <f t="shared" si="184"/>
        <v>81950</v>
      </c>
      <c r="DF126" s="188">
        <f t="shared" si="184"/>
        <v>102450</v>
      </c>
      <c r="DI126" s="186">
        <v>122</v>
      </c>
      <c r="DJ126" s="14">
        <f t="shared" si="117"/>
        <v>25</v>
      </c>
      <c r="DK126" s="14">
        <f t="shared" si="99"/>
        <v>3</v>
      </c>
      <c r="DL126" s="14">
        <f t="shared" si="100"/>
        <v>1101998</v>
      </c>
      <c r="DM126" s="136" t="s">
        <v>1097</v>
      </c>
      <c r="DN126" s="14">
        <f t="shared" si="101"/>
        <v>2</v>
      </c>
      <c r="DO126" s="14" t="str">
        <f t="shared" si="102"/>
        <v>SR寄灵人-2星</v>
      </c>
      <c r="DP126" s="136" t="s">
        <v>1103</v>
      </c>
      <c r="DQ126" s="14">
        <f t="shared" si="118"/>
        <v>5000</v>
      </c>
      <c r="DR126" s="14" t="str">
        <f t="shared" si="103"/>
        <v>SR寄灵人碎片</v>
      </c>
      <c r="DS126" s="14">
        <f t="shared" si="119"/>
        <v>40</v>
      </c>
    </row>
    <row r="127" spans="8:123" ht="16.5" x14ac:dyDescent="0.2">
      <c r="H127" s="15"/>
      <c r="I127" s="15"/>
      <c r="J127" s="15"/>
      <c r="K127" s="15"/>
      <c r="L127" s="15"/>
      <c r="M127" s="15"/>
      <c r="N127" s="15"/>
      <c r="O127" s="137"/>
      <c r="P127" s="141"/>
      <c r="Q127" s="141"/>
      <c r="R127" s="141"/>
      <c r="S127" s="141"/>
      <c r="T127" s="141"/>
      <c r="U127" s="141"/>
      <c r="V127" s="141"/>
      <c r="W127" s="141"/>
      <c r="X127" s="141"/>
      <c r="Y127" s="141"/>
      <c r="Z127" s="196">
        <v>4</v>
      </c>
      <c r="AA127" s="196">
        <v>19</v>
      </c>
      <c r="AB127" s="14">
        <f>ROUND(INDEX(挂机升级突破!DT$6:DT$57,卡牌消耗!$AA127)*INDEX(卡牌消耗!$B$5:$F$5,卡牌消耗!$Z127)/卡牌消耗!$Q$4/AB$2,0)*AB$2</f>
        <v>0</v>
      </c>
      <c r="AC127" s="14">
        <f>ROUND(INDEX(挂机升级突破!DU$6:DU$57,卡牌消耗!$AA127)*INDEX(卡牌消耗!$B$5:$F$5,卡牌消耗!$Z127)/卡牌消耗!$Q$4/AC$2,0)*AC$2</f>
        <v>0</v>
      </c>
      <c r="AD127" s="14">
        <f>ROUND(INDEX(挂机升级突破!DV$6:DV$57,卡牌消耗!$AA127)*INDEX(卡牌消耗!$B$5:$F$5,卡牌消耗!$Z127)/卡牌消耗!$Q$4/AD$2,0)*AD$2</f>
        <v>55</v>
      </c>
      <c r="AE127" s="14">
        <f>ROUND(INDEX(挂机升级突破!DW$6:DW$57,卡牌消耗!$AA127)*INDEX(卡牌消耗!$B$5:$F$5,卡牌消耗!$Z127)/卡牌消耗!$Q$4/AE$2,0)*AE$2</f>
        <v>0</v>
      </c>
      <c r="AF127" s="14">
        <f>ROUND(INDEX(挂机升级突破!DX$6:DX$57,卡牌消耗!$AA127)*INDEX(卡牌消耗!$B$5:$F$5,卡牌消耗!$Z127)/卡牌消耗!$Q$4/AF$2,0)*AF$2</f>
        <v>0</v>
      </c>
      <c r="AG127" s="14">
        <f>ROUND(INDEX(挂机升级突破!EC$6:EC$57,卡牌消耗!$AA127)*INDEX(卡牌消耗!$B$7:$F$7,卡牌消耗!$Z127)/卡牌消耗!$Q$4/AG$2,0)*AG$2</f>
        <v>0</v>
      </c>
      <c r="AH127" s="14">
        <f>ROUND(INDEX(挂机升级突破!ED$6:ED$57,卡牌消耗!$AA127)*INDEX(卡牌消耗!$B$8:$F$8,卡牌消耗!$Z127)/卡牌消耗!$Q$4/AH$2,0)*AH$2</f>
        <v>6150</v>
      </c>
      <c r="AI127" s="194"/>
      <c r="AJ127" s="194"/>
      <c r="AK127" s="104">
        <v>123</v>
      </c>
      <c r="AL127" s="14">
        <f t="shared" si="104"/>
        <v>3</v>
      </c>
      <c r="AM127" s="14">
        <f>INDEX(挂机升级突破!DQ$6:DQ$57,卡牌消耗!$AT127)</f>
        <v>11</v>
      </c>
      <c r="AN127" s="14">
        <f>INDEX(挂机升级突破!DR$6:DR$57,卡牌消耗!$AT127)</f>
        <v>3</v>
      </c>
      <c r="AO127" s="14">
        <f>INDEX(挂机升级突破!DS$6:DS$57,卡牌消耗!$AT127)</f>
        <v>0</v>
      </c>
      <c r="AP127" s="14">
        <f>INDEX(挂机升级突破!$DP$6:$DP$57,卡牌消耗!AT127)</f>
        <v>65</v>
      </c>
      <c r="AQ127" s="14" t="str">
        <f t="shared" si="105"/>
        <v>典韦</v>
      </c>
      <c r="AR127" s="14">
        <f t="shared" si="106"/>
        <v>4</v>
      </c>
      <c r="AS127" s="14" t="str">
        <f t="shared" si="107"/>
        <v>典韦魂火-19</v>
      </c>
      <c r="AT127" s="14">
        <f t="shared" si="108"/>
        <v>19</v>
      </c>
      <c r="AU127" s="14" t="str">
        <f>IF(AM127&gt;0,INDEX(挂机升级突破!$DT$4:$ED$4,AM127),"")</f>
        <v>金币</v>
      </c>
      <c r="AV127" s="14">
        <f>ROUND(INDEX(挂机升级突破!$DJ$6:$DJ$57,卡牌消耗!AT127)*INDEX(卡牌消耗!$B$8:$F$8,AR127)/$Q$4/50,0)*50</f>
        <v>6150</v>
      </c>
      <c r="AW127" s="14" t="str">
        <f>IF(AN127&gt;0,INDEX(挂机升级突破!$DT$4:$ED$4,AN127),"")</f>
        <v>紫色基础材料</v>
      </c>
      <c r="AX127" s="14">
        <f>ROUND(INDEX(挂机升级突破!$DT$6:$ED$57,卡牌消耗!AT127,AN127)*INDEX(卡牌消耗!$B$5:$F$5,AR127)/$Q$4/5,0)*5</f>
        <v>55</v>
      </c>
      <c r="AY127" s="14" t="str">
        <f>IF(AO127&gt;0,INDEX(挂机升级突破!$DT$4:$ED$4,AO127),"")</f>
        <v/>
      </c>
      <c r="AZ127" s="14" t="str">
        <f>IF(AO127&gt;0,ROUND(INDEX(挂机升级突破!$DT$6:$ED$57,卡牌消耗!AT127,AO127)*INDEX(卡牌消耗!$B$7:$F$7,AR127)/$Q$4,0),"")</f>
        <v/>
      </c>
      <c r="BA127" s="106"/>
      <c r="BB127" s="197"/>
      <c r="BC127" s="197"/>
      <c r="BD127" s="197"/>
      <c r="BE127" s="197"/>
      <c r="BF127" s="197"/>
      <c r="BG127" s="197"/>
      <c r="BH127" s="197"/>
      <c r="BI127" s="197"/>
      <c r="BJ127" s="197"/>
      <c r="BK127" s="197"/>
      <c r="BL127" s="104">
        <v>123</v>
      </c>
      <c r="BM127" s="14">
        <f t="shared" si="109"/>
        <v>7</v>
      </c>
      <c r="BN127" s="14">
        <f>INDEX(挂机升级突破!$EI$7:$EI$26,BS127)</f>
        <v>5</v>
      </c>
      <c r="BO127" s="14">
        <f>INDEX(挂机升级突破!$EJ$7:$EJ$26,BS127)</f>
        <v>1</v>
      </c>
      <c r="BP127" s="14">
        <f t="shared" si="110"/>
        <v>4</v>
      </c>
      <c r="BQ127" s="14">
        <f>INDEX(挂机升级突破!$EH$7:$EH$26,卡牌消耗!BS127)</f>
        <v>15</v>
      </c>
      <c r="BR127" s="14" t="str">
        <f t="shared" si="111"/>
        <v>天使缇娜</v>
      </c>
      <c r="BS127" s="14">
        <f t="shared" si="112"/>
        <v>3</v>
      </c>
      <c r="BT127" s="14" t="str">
        <f t="shared" si="113"/>
        <v>天使缇娜3突</v>
      </c>
      <c r="BU127" s="14" t="str">
        <f>IF(BN127&gt;0,INDEX(挂机升级突破!$ER$5:$EV$5,卡牌消耗!BN127),"")</f>
        <v>金币</v>
      </c>
      <c r="BV127" s="14">
        <f>IF(BN127&gt;0,ROUND(INDEX(挂机升级突破!$EV$7:$EV$26,卡牌消耗!BS127)*INDEX(卡牌消耗!$B$8:$F$8,BP127)/$Q$4/500,0)*500,"")</f>
        <v>4500</v>
      </c>
      <c r="BW127" s="14" t="str">
        <f>IF(BO127&gt;0,INDEX(挂机升级突破!$ER$5:$EV$5,卡牌消耗!BO127),"")</f>
        <v>玄铁</v>
      </c>
      <c r="BX127" s="14">
        <f>IF(BO127&gt;0,ROUND(INDEX(挂机升级突破!$ER$7:$EU$26,卡牌消耗!BS127,卡牌消耗!BO127)*INDEX($B$6:$F$6,BP127)/$Q$4,0),"")</f>
        <v>6</v>
      </c>
      <c r="BY127" s="193"/>
      <c r="BZ127" s="193"/>
      <c r="CA127" s="106"/>
      <c r="CS127" s="171"/>
      <c r="CT127" s="171"/>
      <c r="CU127" s="171"/>
      <c r="CV127" s="169">
        <v>123</v>
      </c>
      <c r="CW127" s="169">
        <v>5.75</v>
      </c>
      <c r="CX127" s="21">
        <f t="shared" ref="CX127" si="233">CW127/$CU126</f>
        <v>0.20909090909090908</v>
      </c>
      <c r="CY127" s="169">
        <f t="shared" ref="CY127" si="234">INT($CU125*CX127/5)*5</f>
        <v>71435</v>
      </c>
      <c r="CZ127" s="169">
        <f>SUM(CY$5:CY127)</f>
        <v>2746360</v>
      </c>
      <c r="DB127" s="188">
        <f t="shared" si="184"/>
        <v>35700</v>
      </c>
      <c r="DC127" s="188">
        <f t="shared" si="184"/>
        <v>57100</v>
      </c>
      <c r="DD127" s="188">
        <f t="shared" si="184"/>
        <v>71400</v>
      </c>
      <c r="DE127" s="188">
        <f t="shared" si="184"/>
        <v>85700</v>
      </c>
      <c r="DF127" s="188">
        <f t="shared" si="184"/>
        <v>107150</v>
      </c>
      <c r="DI127" s="186">
        <v>123</v>
      </c>
      <c r="DJ127" s="14">
        <f t="shared" si="117"/>
        <v>25</v>
      </c>
      <c r="DK127" s="14">
        <f t="shared" si="99"/>
        <v>3</v>
      </c>
      <c r="DL127" s="14">
        <f t="shared" si="100"/>
        <v>1101998</v>
      </c>
      <c r="DM127" s="136" t="s">
        <v>1097</v>
      </c>
      <c r="DN127" s="14">
        <f t="shared" si="101"/>
        <v>3</v>
      </c>
      <c r="DO127" s="14" t="str">
        <f t="shared" si="102"/>
        <v>SR寄灵人-3星</v>
      </c>
      <c r="DP127" s="136" t="s">
        <v>1103</v>
      </c>
      <c r="DQ127" s="14">
        <f t="shared" si="118"/>
        <v>10000</v>
      </c>
      <c r="DR127" s="14" t="str">
        <f t="shared" si="103"/>
        <v>SR寄灵人碎片</v>
      </c>
      <c r="DS127" s="14">
        <f t="shared" si="119"/>
        <v>40</v>
      </c>
    </row>
    <row r="128" spans="8:123" ht="16.5" x14ac:dyDescent="0.2">
      <c r="H128" s="15"/>
      <c r="I128" s="15"/>
      <c r="J128" s="15"/>
      <c r="K128" s="15"/>
      <c r="L128" s="15"/>
      <c r="M128" s="15"/>
      <c r="N128" s="15"/>
      <c r="O128" s="137"/>
      <c r="P128" s="141"/>
      <c r="Q128" s="141"/>
      <c r="R128" s="141"/>
      <c r="S128" s="141"/>
      <c r="T128" s="141"/>
      <c r="U128" s="141"/>
      <c r="V128" s="141"/>
      <c r="W128" s="141"/>
      <c r="X128" s="141"/>
      <c r="Y128" s="141"/>
      <c r="Z128" s="196">
        <v>4</v>
      </c>
      <c r="AA128" s="196">
        <v>20</v>
      </c>
      <c r="AB128" s="14">
        <f>ROUND(INDEX(挂机升级突破!DT$6:DT$57,卡牌消耗!$AA128)*INDEX(卡牌消耗!$B$5:$F$5,卡牌消耗!$Z128)/卡牌消耗!$Q$4/AB$2,0)*AB$2</f>
        <v>0</v>
      </c>
      <c r="AC128" s="14">
        <f>ROUND(INDEX(挂机升级突破!DU$6:DU$57,卡牌消耗!$AA128)*INDEX(卡牌消耗!$B$5:$F$5,卡牌消耗!$Z128)/卡牌消耗!$Q$4/AC$2,0)*AC$2</f>
        <v>0</v>
      </c>
      <c r="AD128" s="14">
        <f>ROUND(INDEX(挂机升级突破!DV$6:DV$57,卡牌消耗!$AA128)*INDEX(卡牌消耗!$B$5:$F$5,卡牌消耗!$Z128)/卡牌消耗!$Q$4/AD$2,0)*AD$2</f>
        <v>85</v>
      </c>
      <c r="AE128" s="14">
        <f>ROUND(INDEX(挂机升级突破!DW$6:DW$57,卡牌消耗!$AA128)*INDEX(卡牌消耗!$B$5:$F$5,卡牌消耗!$Z128)/卡牌消耗!$Q$4/AE$2,0)*AE$2</f>
        <v>0</v>
      </c>
      <c r="AF128" s="14">
        <f>ROUND(INDEX(挂机升级突破!DX$6:DX$57,卡牌消耗!$AA128)*INDEX(卡牌消耗!$B$5:$F$5,卡牌消耗!$Z128)/卡牌消耗!$Q$4/AF$2,0)*AF$2</f>
        <v>0</v>
      </c>
      <c r="AG128" s="14">
        <f>ROUND(INDEX(挂机升级突破!EC$6:EC$57,卡牌消耗!$AA128)*INDEX(卡牌消耗!$B$7:$F$7,卡牌消耗!$Z128)/卡牌消耗!$Q$4/AG$2,0)*AG$2</f>
        <v>0</v>
      </c>
      <c r="AH128" s="14">
        <f>ROUND(INDEX(挂机升级突破!ED$6:ED$57,卡牌消耗!$AA128)*INDEX(卡牌消耗!$B$8:$F$8,卡牌消耗!$Z128)/卡牌消耗!$Q$4/AH$2,0)*AH$2</f>
        <v>7550</v>
      </c>
      <c r="AI128" s="194"/>
      <c r="AJ128" s="194"/>
      <c r="AK128" s="104">
        <v>124</v>
      </c>
      <c r="AL128" s="14">
        <f t="shared" si="104"/>
        <v>3</v>
      </c>
      <c r="AM128" s="14">
        <f>INDEX(挂机升级突破!DQ$6:DQ$57,卡牌消耗!$AT128)</f>
        <v>11</v>
      </c>
      <c r="AN128" s="14">
        <f>INDEX(挂机升级突破!DR$6:DR$57,卡牌消耗!$AT128)</f>
        <v>3</v>
      </c>
      <c r="AO128" s="14">
        <f>INDEX(挂机升级突破!DS$6:DS$57,卡牌消耗!$AT128)</f>
        <v>0</v>
      </c>
      <c r="AP128" s="14">
        <f>INDEX(挂机升级突破!$DP$6:$DP$57,卡牌消耗!AT128)</f>
        <v>68</v>
      </c>
      <c r="AQ128" s="14" t="str">
        <f t="shared" si="105"/>
        <v>典韦</v>
      </c>
      <c r="AR128" s="14">
        <f t="shared" si="106"/>
        <v>4</v>
      </c>
      <c r="AS128" s="14" t="str">
        <f t="shared" si="107"/>
        <v>典韦魂火-20</v>
      </c>
      <c r="AT128" s="14">
        <f t="shared" si="108"/>
        <v>20</v>
      </c>
      <c r="AU128" s="14" t="str">
        <f>IF(AM128&gt;0,INDEX(挂机升级突破!$DT$4:$ED$4,AM128),"")</f>
        <v>金币</v>
      </c>
      <c r="AV128" s="14">
        <f>ROUND(INDEX(挂机升级突破!$DJ$6:$DJ$57,卡牌消耗!AT128)*INDEX(卡牌消耗!$B$8:$F$8,AR128)/$Q$4/50,0)*50</f>
        <v>7550</v>
      </c>
      <c r="AW128" s="14" t="str">
        <f>IF(AN128&gt;0,INDEX(挂机升级突破!$DT$4:$ED$4,AN128),"")</f>
        <v>紫色基础材料</v>
      </c>
      <c r="AX128" s="14">
        <f>ROUND(INDEX(挂机升级突破!$DT$6:$ED$57,卡牌消耗!AT128,AN128)*INDEX(卡牌消耗!$B$5:$F$5,AR128)/$Q$4/5,0)*5</f>
        <v>85</v>
      </c>
      <c r="AY128" s="14" t="str">
        <f>IF(AO128&gt;0,INDEX(挂机升级突破!$DT$4:$ED$4,AO128),"")</f>
        <v/>
      </c>
      <c r="AZ128" s="14" t="str">
        <f>IF(AO128&gt;0,ROUND(INDEX(挂机升级突破!$DT$6:$ED$57,卡牌消耗!AT128,AO128)*INDEX(卡牌消耗!$B$7:$F$7,AR128)/$Q$4,0),"")</f>
        <v/>
      </c>
      <c r="BA128" s="106"/>
      <c r="BB128" s="197"/>
      <c r="BC128" s="197"/>
      <c r="BD128" s="197"/>
      <c r="BE128" s="197"/>
      <c r="BF128" s="197"/>
      <c r="BG128" s="197"/>
      <c r="BH128" s="197"/>
      <c r="BI128" s="197"/>
      <c r="BJ128" s="197"/>
      <c r="BK128" s="197"/>
      <c r="BL128" s="104">
        <v>124</v>
      </c>
      <c r="BM128" s="14">
        <f t="shared" si="109"/>
        <v>7</v>
      </c>
      <c r="BN128" s="14">
        <f>INDEX(挂机升级突破!$EI$7:$EI$26,BS128)</f>
        <v>5</v>
      </c>
      <c r="BO128" s="14">
        <f>INDEX(挂机升级突破!$EJ$7:$EJ$26,BS128)</f>
        <v>1</v>
      </c>
      <c r="BP128" s="14">
        <f t="shared" si="110"/>
        <v>4</v>
      </c>
      <c r="BQ128" s="14">
        <f>INDEX(挂机升级突破!$EH$7:$EH$26,卡牌消耗!BS128)</f>
        <v>25</v>
      </c>
      <c r="BR128" s="14" t="str">
        <f t="shared" si="111"/>
        <v>天使缇娜</v>
      </c>
      <c r="BS128" s="14">
        <f t="shared" si="112"/>
        <v>4</v>
      </c>
      <c r="BT128" s="14" t="str">
        <f t="shared" si="113"/>
        <v>天使缇娜4突</v>
      </c>
      <c r="BU128" s="14" t="str">
        <f>IF(BN128&gt;0,INDEX(挂机升级突破!$ER$5:$EV$5,卡牌消耗!BN128),"")</f>
        <v>金币</v>
      </c>
      <c r="BV128" s="14">
        <f>IF(BN128&gt;0,ROUND(INDEX(挂机升级突破!$EV$7:$EV$26,卡牌消耗!BS128)*INDEX(卡牌消耗!$B$8:$F$8,BP128)/$Q$4/500,0)*500,"")</f>
        <v>5500</v>
      </c>
      <c r="BW128" s="14" t="str">
        <f>IF(BO128&gt;0,INDEX(挂机升级突破!$ER$5:$EV$5,卡牌消耗!BO128),"")</f>
        <v>玄铁</v>
      </c>
      <c r="BX128" s="14">
        <f>IF(BO128&gt;0,ROUND(INDEX(挂机升级突破!$ER$7:$EU$26,卡牌消耗!BS128,卡牌消耗!BO128)*INDEX($B$6:$F$6,BP128)/$Q$4,0),"")</f>
        <v>20</v>
      </c>
      <c r="BY128" s="193"/>
      <c r="BZ128" s="193"/>
      <c r="CA128" s="106"/>
      <c r="CS128" s="171"/>
      <c r="CT128" s="171"/>
      <c r="CU128" s="171"/>
      <c r="CV128" s="169">
        <v>124</v>
      </c>
      <c r="CW128" s="169">
        <v>6</v>
      </c>
      <c r="CX128" s="21">
        <f t="shared" ref="CX128" si="235">CW128/$CU126</f>
        <v>0.21818181818181817</v>
      </c>
      <c r="CY128" s="169">
        <f t="shared" ref="CY128" si="236">INT($CU125*CX128/5)*5</f>
        <v>74545</v>
      </c>
      <c r="CZ128" s="169">
        <f>SUM(CY$5:CY128)</f>
        <v>2820905</v>
      </c>
      <c r="DB128" s="188">
        <f t="shared" si="184"/>
        <v>37250</v>
      </c>
      <c r="DC128" s="188">
        <f t="shared" si="184"/>
        <v>59600</v>
      </c>
      <c r="DD128" s="188">
        <f t="shared" si="184"/>
        <v>74500</v>
      </c>
      <c r="DE128" s="188">
        <f t="shared" si="184"/>
        <v>89450</v>
      </c>
      <c r="DF128" s="188">
        <f t="shared" si="184"/>
        <v>111800</v>
      </c>
      <c r="DI128" s="186">
        <v>124</v>
      </c>
      <c r="DJ128" s="14">
        <f t="shared" si="117"/>
        <v>25</v>
      </c>
      <c r="DK128" s="14">
        <f t="shared" si="99"/>
        <v>3</v>
      </c>
      <c r="DL128" s="14">
        <f t="shared" si="100"/>
        <v>1101998</v>
      </c>
      <c r="DM128" s="136" t="s">
        <v>1097</v>
      </c>
      <c r="DN128" s="14">
        <f t="shared" si="101"/>
        <v>4</v>
      </c>
      <c r="DO128" s="14" t="str">
        <f t="shared" si="102"/>
        <v>SR寄灵人-4星</v>
      </c>
      <c r="DP128" s="136" t="s">
        <v>1103</v>
      </c>
      <c r="DQ128" s="14">
        <f t="shared" si="118"/>
        <v>20000</v>
      </c>
      <c r="DR128" s="14" t="str">
        <f t="shared" si="103"/>
        <v>SR寄灵人碎片</v>
      </c>
      <c r="DS128" s="14">
        <f t="shared" si="119"/>
        <v>40</v>
      </c>
    </row>
    <row r="129" spans="8:123" ht="16.5" x14ac:dyDescent="0.2">
      <c r="H129" s="15"/>
      <c r="I129" s="15"/>
      <c r="J129" s="15"/>
      <c r="K129" s="15"/>
      <c r="L129" s="15"/>
      <c r="M129" s="15"/>
      <c r="N129" s="15"/>
      <c r="O129" s="137"/>
      <c r="P129" s="141"/>
      <c r="Q129" s="141"/>
      <c r="R129" s="141"/>
      <c r="S129" s="141"/>
      <c r="T129" s="141"/>
      <c r="U129" s="141"/>
      <c r="V129" s="141"/>
      <c r="W129" s="141"/>
      <c r="X129" s="141"/>
      <c r="Y129" s="141"/>
      <c r="Z129" s="196">
        <v>4</v>
      </c>
      <c r="AA129" s="196">
        <v>21</v>
      </c>
      <c r="AB129" s="14">
        <f>ROUND(INDEX(挂机升级突破!DT$6:DT$57,卡牌消耗!$AA129)*INDEX(卡牌消耗!$B$5:$F$5,卡牌消耗!$Z129)/卡牌消耗!$Q$4/AB$2,0)*AB$2</f>
        <v>0</v>
      </c>
      <c r="AC129" s="14">
        <f>ROUND(INDEX(挂机升级突破!DU$6:DU$57,卡牌消耗!$AA129)*INDEX(卡牌消耗!$B$5:$F$5,卡牌消耗!$Z129)/卡牌消耗!$Q$4/AC$2,0)*AC$2</f>
        <v>0</v>
      </c>
      <c r="AD129" s="14">
        <f>ROUND(INDEX(挂机升级突破!DV$6:DV$57,卡牌消耗!$AA129)*INDEX(卡牌消耗!$B$5:$F$5,卡牌消耗!$Z129)/卡牌消耗!$Q$4/AD$2,0)*AD$2</f>
        <v>85</v>
      </c>
      <c r="AE129" s="14">
        <f>ROUND(INDEX(挂机升级突破!DW$6:DW$57,卡牌消耗!$AA129)*INDEX(卡牌消耗!$B$5:$F$5,卡牌消耗!$Z129)/卡牌消耗!$Q$4/AE$2,0)*AE$2</f>
        <v>0</v>
      </c>
      <c r="AF129" s="14">
        <f>ROUND(INDEX(挂机升级突破!DX$6:DX$57,卡牌消耗!$AA129)*INDEX(卡牌消耗!$B$5:$F$5,卡牌消耗!$Z129)/卡牌消耗!$Q$4/AF$2,0)*AF$2</f>
        <v>0</v>
      </c>
      <c r="AG129" s="14">
        <f>ROUND(INDEX(挂机升级突破!EC$6:EC$57,卡牌消耗!$AA129)*INDEX(卡牌消耗!$B$7:$F$7,卡牌消耗!$Z129)/卡牌消耗!$Q$4/AG$2,0)*AG$2</f>
        <v>0</v>
      </c>
      <c r="AH129" s="14">
        <f>ROUND(INDEX(挂机升级突破!ED$6:ED$57,卡牌消耗!$AA129)*INDEX(卡牌消耗!$B$8:$F$8,卡牌消耗!$Z129)/卡牌消耗!$Q$4/AH$2,0)*AH$2</f>
        <v>7550</v>
      </c>
      <c r="AI129" s="194"/>
      <c r="AJ129" s="194"/>
      <c r="AK129" s="104">
        <v>125</v>
      </c>
      <c r="AL129" s="14">
        <f t="shared" si="104"/>
        <v>3</v>
      </c>
      <c r="AM129" s="14">
        <f>INDEX(挂机升级突破!DQ$6:DQ$57,卡牌消耗!$AT129)</f>
        <v>11</v>
      </c>
      <c r="AN129" s="14">
        <f>INDEX(挂机升级突破!DR$6:DR$57,卡牌消耗!$AT129)</f>
        <v>3</v>
      </c>
      <c r="AO129" s="14">
        <f>INDEX(挂机升级突破!DS$6:DS$57,卡牌消耗!$AT129)</f>
        <v>0</v>
      </c>
      <c r="AP129" s="14">
        <f>INDEX(挂机升级突破!$DP$6:$DP$57,卡牌消耗!AT129)</f>
        <v>70</v>
      </c>
      <c r="AQ129" s="14" t="str">
        <f t="shared" si="105"/>
        <v>典韦</v>
      </c>
      <c r="AR129" s="14">
        <f t="shared" si="106"/>
        <v>4</v>
      </c>
      <c r="AS129" s="14" t="str">
        <f t="shared" si="107"/>
        <v>典韦魂火-21</v>
      </c>
      <c r="AT129" s="14">
        <f t="shared" si="108"/>
        <v>21</v>
      </c>
      <c r="AU129" s="14" t="str">
        <f>IF(AM129&gt;0,INDEX(挂机升级突破!$DT$4:$ED$4,AM129),"")</f>
        <v>金币</v>
      </c>
      <c r="AV129" s="14">
        <f>ROUND(INDEX(挂机升级突破!$DJ$6:$DJ$57,卡牌消耗!AT129)*INDEX(卡牌消耗!$B$8:$F$8,AR129)/$Q$4/50,0)*50</f>
        <v>7550</v>
      </c>
      <c r="AW129" s="14" t="str">
        <f>IF(AN129&gt;0,INDEX(挂机升级突破!$DT$4:$ED$4,AN129),"")</f>
        <v>紫色基础材料</v>
      </c>
      <c r="AX129" s="14">
        <f>ROUND(INDEX(挂机升级突破!$DT$6:$ED$57,卡牌消耗!AT129,AN129)*INDEX(卡牌消耗!$B$5:$F$5,AR129)/$Q$4/5,0)*5</f>
        <v>85</v>
      </c>
      <c r="AY129" s="14" t="str">
        <f>IF(AO129&gt;0,INDEX(挂机升级突破!$DT$4:$ED$4,AO129),"")</f>
        <v/>
      </c>
      <c r="AZ129" s="14" t="str">
        <f>IF(AO129&gt;0,ROUND(INDEX(挂机升级突破!$DT$6:$ED$57,卡牌消耗!AT129,AO129)*INDEX(卡牌消耗!$B$7:$F$7,AR129)/$Q$4,0),"")</f>
        <v/>
      </c>
      <c r="BA129" s="106"/>
      <c r="BB129" s="197"/>
      <c r="BC129" s="197"/>
      <c r="BD129" s="197"/>
      <c r="BE129" s="197"/>
      <c r="BF129" s="197"/>
      <c r="BG129" s="197"/>
      <c r="BH129" s="197"/>
      <c r="BI129" s="197"/>
      <c r="BJ129" s="197"/>
      <c r="BK129" s="197"/>
      <c r="BL129" s="104">
        <v>125</v>
      </c>
      <c r="BM129" s="14">
        <f t="shared" si="109"/>
        <v>7</v>
      </c>
      <c r="BN129" s="14">
        <f>INDEX(挂机升级突破!$EI$7:$EI$26,BS129)</f>
        <v>5</v>
      </c>
      <c r="BO129" s="14">
        <f>INDEX(挂机升级突破!$EJ$7:$EJ$26,BS129)</f>
        <v>1</v>
      </c>
      <c r="BP129" s="14">
        <f t="shared" si="110"/>
        <v>4</v>
      </c>
      <c r="BQ129" s="14">
        <f>INDEX(挂机升级突破!$EH$7:$EH$26,卡牌消耗!BS129)</f>
        <v>35</v>
      </c>
      <c r="BR129" s="14" t="str">
        <f t="shared" si="111"/>
        <v>天使缇娜</v>
      </c>
      <c r="BS129" s="14">
        <f t="shared" si="112"/>
        <v>5</v>
      </c>
      <c r="BT129" s="14" t="str">
        <f t="shared" si="113"/>
        <v>天使缇娜5突</v>
      </c>
      <c r="BU129" s="14" t="str">
        <f>IF(BN129&gt;0,INDEX(挂机升级突破!$ER$5:$EV$5,卡牌消耗!BN129),"")</f>
        <v>金币</v>
      </c>
      <c r="BV129" s="14">
        <f>IF(BN129&gt;0,ROUND(INDEX(挂机升级突破!$EV$7:$EV$26,卡牌消耗!BS129)*INDEX(卡牌消耗!$B$8:$F$8,BP129)/$Q$4/500,0)*500,"")</f>
        <v>5500</v>
      </c>
      <c r="BW129" s="14" t="str">
        <f>IF(BO129&gt;0,INDEX(挂机升级突破!$ER$5:$EV$5,卡牌消耗!BO129),"")</f>
        <v>玄铁</v>
      </c>
      <c r="BX129" s="14">
        <f>IF(BO129&gt;0,ROUND(INDEX(挂机升级突破!$ER$7:$EU$26,卡牌消耗!BS129,卡牌消耗!BO129)*INDEX($B$6:$F$6,BP129)/$Q$4/5,0)*5,"")</f>
        <v>40</v>
      </c>
      <c r="BY129" s="193"/>
      <c r="BZ129" s="193"/>
      <c r="CA129" s="106"/>
      <c r="CS129" s="171"/>
      <c r="CT129" s="173" t="s">
        <v>120</v>
      </c>
      <c r="CU129" s="169">
        <v>24</v>
      </c>
      <c r="CV129" s="169">
        <v>125</v>
      </c>
      <c r="CW129" s="169">
        <v>5</v>
      </c>
      <c r="CX129" s="21">
        <f t="shared" ref="CX129" si="237">CW129/$CU131</f>
        <v>0.18181818181818182</v>
      </c>
      <c r="CY129" s="169">
        <f t="shared" ref="CY129" si="238">INT($CU130*CX129/5)*5</f>
        <v>74770</v>
      </c>
      <c r="CZ129" s="169">
        <f>SUM(CY$5:CY129)</f>
        <v>2895675</v>
      </c>
      <c r="DB129" s="188">
        <f t="shared" si="184"/>
        <v>37350</v>
      </c>
      <c r="DC129" s="188">
        <f t="shared" si="184"/>
        <v>59800</v>
      </c>
      <c r="DD129" s="188">
        <f t="shared" si="184"/>
        <v>74750</v>
      </c>
      <c r="DE129" s="188">
        <f t="shared" si="184"/>
        <v>89700</v>
      </c>
      <c r="DF129" s="188">
        <f t="shared" si="184"/>
        <v>112150</v>
      </c>
      <c r="DI129" s="186">
        <v>125</v>
      </c>
      <c r="DJ129" s="14">
        <f t="shared" si="117"/>
        <v>25</v>
      </c>
      <c r="DK129" s="14">
        <f t="shared" si="99"/>
        <v>3</v>
      </c>
      <c r="DL129" s="14">
        <f t="shared" si="100"/>
        <v>1101998</v>
      </c>
      <c r="DM129" s="136" t="s">
        <v>1097</v>
      </c>
      <c r="DN129" s="14">
        <f t="shared" si="101"/>
        <v>5</v>
      </c>
      <c r="DO129" s="14" t="str">
        <f t="shared" si="102"/>
        <v>SR寄灵人-5星</v>
      </c>
      <c r="DP129" s="136" t="s">
        <v>1103</v>
      </c>
      <c r="DQ129" s="14">
        <f t="shared" si="118"/>
        <v>40000</v>
      </c>
      <c r="DR129" s="14" t="str">
        <f t="shared" si="103"/>
        <v>SR寄灵人碎片</v>
      </c>
      <c r="DS129" s="14">
        <f t="shared" si="119"/>
        <v>40</v>
      </c>
    </row>
    <row r="130" spans="8:123" ht="16.5" x14ac:dyDescent="0.2">
      <c r="H130" s="15"/>
      <c r="I130" s="15"/>
      <c r="J130" s="15"/>
      <c r="K130" s="15"/>
      <c r="L130" s="15"/>
      <c r="M130" s="15"/>
      <c r="N130" s="15"/>
      <c r="O130" s="137"/>
      <c r="P130" s="141"/>
      <c r="Q130" s="141"/>
      <c r="R130" s="141"/>
      <c r="S130" s="141"/>
      <c r="T130" s="141"/>
      <c r="U130" s="141"/>
      <c r="V130" s="141"/>
      <c r="W130" s="141"/>
      <c r="X130" s="141"/>
      <c r="Y130" s="141"/>
      <c r="Z130" s="196">
        <v>4</v>
      </c>
      <c r="AA130" s="196">
        <v>22</v>
      </c>
      <c r="AB130" s="14">
        <f>ROUND(INDEX(挂机升级突破!DT$6:DT$57,卡牌消耗!$AA130)*INDEX(卡牌消耗!$B$5:$F$5,卡牌消耗!$Z130)/卡牌消耗!$Q$4/AB$2,0)*AB$2</f>
        <v>0</v>
      </c>
      <c r="AC130" s="14">
        <f>ROUND(INDEX(挂机升级突破!DU$6:DU$57,卡牌消耗!$AA130)*INDEX(卡牌消耗!$B$5:$F$5,卡牌消耗!$Z130)/卡牌消耗!$Q$4/AC$2,0)*AC$2</f>
        <v>0</v>
      </c>
      <c r="AD130" s="14">
        <f>ROUND(INDEX(挂机升级突破!DV$6:DV$57,卡牌消耗!$AA130)*INDEX(卡牌消耗!$B$5:$F$5,卡牌消耗!$Z130)/卡牌消耗!$Q$4/AD$2,0)*AD$2</f>
        <v>85</v>
      </c>
      <c r="AE130" s="14">
        <f>ROUND(INDEX(挂机升级突破!DW$6:DW$57,卡牌消耗!$AA130)*INDEX(卡牌消耗!$B$5:$F$5,卡牌消耗!$Z130)/卡牌消耗!$Q$4/AE$2,0)*AE$2</f>
        <v>0</v>
      </c>
      <c r="AF130" s="14">
        <f>ROUND(INDEX(挂机升级突破!DX$6:DX$57,卡牌消耗!$AA130)*INDEX(卡牌消耗!$B$5:$F$5,卡牌消耗!$Z130)/卡牌消耗!$Q$4/AF$2,0)*AF$2</f>
        <v>0</v>
      </c>
      <c r="AG130" s="14">
        <f>ROUND(INDEX(挂机升级突破!EC$6:EC$57,卡牌消耗!$AA130)*INDEX(卡牌消耗!$B$7:$F$7,卡牌消耗!$Z130)/卡牌消耗!$Q$4/AG$2,0)*AG$2</f>
        <v>0</v>
      </c>
      <c r="AH130" s="14">
        <f>ROUND(INDEX(挂机升级突破!ED$6:ED$57,卡牌消耗!$AA130)*INDEX(卡牌消耗!$B$8:$F$8,卡牌消耗!$Z130)/卡牌消耗!$Q$4/AH$2,0)*AH$2</f>
        <v>7550</v>
      </c>
      <c r="AI130" s="194"/>
      <c r="AJ130" s="194"/>
      <c r="AK130" s="104">
        <v>126</v>
      </c>
      <c r="AL130" s="14">
        <f t="shared" si="104"/>
        <v>3</v>
      </c>
      <c r="AM130" s="14">
        <f>INDEX(挂机升级突破!DQ$6:DQ$57,卡牌消耗!$AT130)</f>
        <v>11</v>
      </c>
      <c r="AN130" s="14">
        <f>INDEX(挂机升级突破!DR$6:DR$57,卡牌消耗!$AT130)</f>
        <v>3</v>
      </c>
      <c r="AO130" s="14">
        <f>INDEX(挂机升级突破!DS$6:DS$57,卡牌消耗!$AT130)</f>
        <v>0</v>
      </c>
      <c r="AP130" s="14">
        <f>INDEX(挂机升级突破!$DP$6:$DP$57,卡牌消耗!AT130)</f>
        <v>73</v>
      </c>
      <c r="AQ130" s="14" t="str">
        <f t="shared" si="105"/>
        <v>典韦</v>
      </c>
      <c r="AR130" s="14">
        <f t="shared" si="106"/>
        <v>4</v>
      </c>
      <c r="AS130" s="14" t="str">
        <f t="shared" si="107"/>
        <v>典韦魂火-22</v>
      </c>
      <c r="AT130" s="14">
        <f t="shared" si="108"/>
        <v>22</v>
      </c>
      <c r="AU130" s="14" t="str">
        <f>IF(AM130&gt;0,INDEX(挂机升级突破!$DT$4:$ED$4,AM130),"")</f>
        <v>金币</v>
      </c>
      <c r="AV130" s="14">
        <f>ROUND(INDEX(挂机升级突破!$DJ$6:$DJ$57,卡牌消耗!AT130)*INDEX(卡牌消耗!$B$8:$F$8,AR130)/$Q$4/50,0)*50</f>
        <v>7550</v>
      </c>
      <c r="AW130" s="14" t="str">
        <f>IF(AN130&gt;0,INDEX(挂机升级突破!$DT$4:$ED$4,AN130),"")</f>
        <v>紫色基础材料</v>
      </c>
      <c r="AX130" s="14">
        <f>ROUND(INDEX(挂机升级突破!$DT$6:$ED$57,卡牌消耗!AT130,AN130)*INDEX(卡牌消耗!$B$5:$F$5,AR130)/$Q$4/5,0)*5</f>
        <v>85</v>
      </c>
      <c r="AY130" s="14" t="str">
        <f>IF(AO130&gt;0,INDEX(挂机升级突破!$DT$4:$ED$4,AO130),"")</f>
        <v/>
      </c>
      <c r="AZ130" s="14" t="str">
        <f>IF(AO130&gt;0,ROUND(INDEX(挂机升级突破!$DT$6:$ED$57,卡牌消耗!AT130,AO130)*INDEX(卡牌消耗!$B$7:$F$7,AR130)/$Q$4,0),"")</f>
        <v/>
      </c>
      <c r="BA130" s="106"/>
      <c r="BB130" s="197"/>
      <c r="BC130" s="197"/>
      <c r="BD130" s="197"/>
      <c r="BE130" s="197"/>
      <c r="BF130" s="197"/>
      <c r="BG130" s="197"/>
      <c r="BH130" s="197"/>
      <c r="BI130" s="197"/>
      <c r="BJ130" s="197"/>
      <c r="BK130" s="197"/>
      <c r="BL130" s="104">
        <v>126</v>
      </c>
      <c r="BM130" s="14">
        <f t="shared" si="109"/>
        <v>7</v>
      </c>
      <c r="BN130" s="14">
        <f>INDEX(挂机升级突破!$EI$7:$EI$26,BS130)</f>
        <v>5</v>
      </c>
      <c r="BO130" s="14">
        <f>INDEX(挂机升级突破!$EJ$7:$EJ$26,BS130)</f>
        <v>1</v>
      </c>
      <c r="BP130" s="14">
        <f t="shared" si="110"/>
        <v>4</v>
      </c>
      <c r="BQ130" s="14">
        <f>INDEX(挂机升级突破!$EH$7:$EH$26,卡牌消耗!BS130)</f>
        <v>42</v>
      </c>
      <c r="BR130" s="14" t="str">
        <f t="shared" si="111"/>
        <v>天使缇娜</v>
      </c>
      <c r="BS130" s="14">
        <f t="shared" si="112"/>
        <v>6</v>
      </c>
      <c r="BT130" s="14" t="str">
        <f t="shared" si="113"/>
        <v>天使缇娜6突</v>
      </c>
      <c r="BU130" s="14" t="str">
        <f>IF(BN130&gt;0,INDEX(挂机升级突破!$ER$5:$EV$5,卡牌消耗!BN130),"")</f>
        <v>金币</v>
      </c>
      <c r="BV130" s="14">
        <f>IF(BN130&gt;0,ROUND(INDEX(挂机升级突破!$EV$7:$EV$26,卡牌消耗!BS130)*INDEX(卡牌消耗!$B$8:$F$8,BP130)/$Q$4/500,0)*500,"")</f>
        <v>7500</v>
      </c>
      <c r="BW130" s="14" t="str">
        <f>IF(BO130&gt;0,INDEX(挂机升级突破!$ER$5:$EV$5,卡牌消耗!BO130),"")</f>
        <v>玄铁</v>
      </c>
      <c r="BX130" s="14">
        <f>IF(BO130&gt;0,ROUND(INDEX(挂机升级突破!$ER$7:$EU$26,卡牌消耗!BS130,卡牌消耗!BO130)*INDEX($B$6:$F$6,BP130)/$Q$4/5,0)*5,"")</f>
        <v>60</v>
      </c>
      <c r="BY130" s="193"/>
      <c r="BZ130" s="193"/>
      <c r="CA130" s="106"/>
      <c r="CS130" s="171"/>
      <c r="CT130" s="171"/>
      <c r="CU130" s="14">
        <f>INDEX($CP$5:$CP$32,CU129)</f>
        <v>411250</v>
      </c>
      <c r="CV130" s="169">
        <v>126</v>
      </c>
      <c r="CW130" s="169">
        <v>5.25</v>
      </c>
      <c r="CX130" s="21">
        <f t="shared" ref="CX130" si="239">CW130/$CU131</f>
        <v>0.19090909090909092</v>
      </c>
      <c r="CY130" s="169">
        <f t="shared" ref="CY130" si="240">INT($CU130*CX130/5)*5</f>
        <v>78510</v>
      </c>
      <c r="CZ130" s="169">
        <f>SUM(CY$5:CY130)</f>
        <v>2974185</v>
      </c>
      <c r="DB130" s="188">
        <f t="shared" si="184"/>
        <v>39250</v>
      </c>
      <c r="DC130" s="188">
        <f t="shared" si="184"/>
        <v>62800</v>
      </c>
      <c r="DD130" s="188">
        <f t="shared" si="184"/>
        <v>78500</v>
      </c>
      <c r="DE130" s="188">
        <f t="shared" si="184"/>
        <v>94200</v>
      </c>
      <c r="DF130" s="188">
        <f t="shared" si="184"/>
        <v>117750</v>
      </c>
      <c r="DI130" s="186">
        <v>126</v>
      </c>
      <c r="DJ130" s="14">
        <f t="shared" si="117"/>
        <v>26</v>
      </c>
      <c r="DK130" s="14">
        <f t="shared" si="99"/>
        <v>4</v>
      </c>
      <c r="DL130" s="14">
        <f t="shared" si="100"/>
        <v>1101997</v>
      </c>
      <c r="DM130" s="136" t="s">
        <v>1097</v>
      </c>
      <c r="DN130" s="14">
        <f t="shared" si="101"/>
        <v>1</v>
      </c>
      <c r="DO130" s="14" t="str">
        <f t="shared" si="102"/>
        <v>SSR寄灵人-1星</v>
      </c>
      <c r="DP130" s="136" t="s">
        <v>1103</v>
      </c>
      <c r="DQ130" s="14">
        <f t="shared" si="118"/>
        <v>6000</v>
      </c>
      <c r="DR130" s="14" t="str">
        <f t="shared" si="103"/>
        <v>SSR寄灵人碎片</v>
      </c>
      <c r="DS130" s="14">
        <f t="shared" si="119"/>
        <v>80</v>
      </c>
    </row>
    <row r="131" spans="8:123" ht="16.5" x14ac:dyDescent="0.2">
      <c r="H131" s="15"/>
      <c r="I131" s="15"/>
      <c r="J131" s="15"/>
      <c r="K131" s="15"/>
      <c r="L131" s="15"/>
      <c r="M131" s="15"/>
      <c r="N131" s="15"/>
      <c r="O131" s="137"/>
      <c r="P131" s="141"/>
      <c r="Q131" s="141"/>
      <c r="R131" s="141"/>
      <c r="S131" s="141"/>
      <c r="T131" s="141"/>
      <c r="U131" s="141"/>
      <c r="V131" s="141"/>
      <c r="W131" s="141"/>
      <c r="X131" s="141"/>
      <c r="Y131" s="141"/>
      <c r="Z131" s="196">
        <v>4</v>
      </c>
      <c r="AA131" s="196">
        <v>23</v>
      </c>
      <c r="AB131" s="14">
        <f>ROUND(INDEX(挂机升级突破!DT$6:DT$57,卡牌消耗!$AA131)*INDEX(卡牌消耗!$B$5:$F$5,卡牌消耗!$Z131)/卡牌消耗!$Q$4/AB$2,0)*AB$2</f>
        <v>0</v>
      </c>
      <c r="AC131" s="14">
        <f>ROUND(INDEX(挂机升级突破!DU$6:DU$57,卡牌消耗!$AA131)*INDEX(卡牌消耗!$B$5:$F$5,卡牌消耗!$Z131)/卡牌消耗!$Q$4/AC$2,0)*AC$2</f>
        <v>0</v>
      </c>
      <c r="AD131" s="14">
        <f>ROUND(INDEX(挂机升级突破!DV$6:DV$57,卡牌消耗!$AA131)*INDEX(卡牌消耗!$B$5:$F$5,卡牌消耗!$Z131)/卡牌消耗!$Q$4/AD$2,0)*AD$2</f>
        <v>0</v>
      </c>
      <c r="AE131" s="14">
        <f>ROUND(INDEX(挂机升级突破!DW$6:DW$57,卡牌消耗!$AA131)*INDEX(卡牌消耗!$B$5:$F$5,卡牌消耗!$Z131)/卡牌消耗!$Q$4/AE$2,0)*AE$2</f>
        <v>25</v>
      </c>
      <c r="AF131" s="14">
        <f>ROUND(INDEX(挂机升级突破!DX$6:DX$57,卡牌消耗!$AA131)*INDEX(卡牌消耗!$B$5:$F$5,卡牌消耗!$Z131)/卡牌消耗!$Q$4/AF$2,0)*AF$2</f>
        <v>0</v>
      </c>
      <c r="AG131" s="14">
        <f>ROUND(INDEX(挂机升级突破!EC$6:EC$57,卡牌消耗!$AA131)*INDEX(卡牌消耗!$B$7:$F$7,卡牌消耗!$Z131)/卡牌消耗!$Q$4/AG$2,0)*AG$2</f>
        <v>0</v>
      </c>
      <c r="AH131" s="14">
        <f>ROUND(INDEX(挂机升级突破!ED$6:ED$57,卡牌消耗!$AA131)*INDEX(卡牌消耗!$B$8:$F$8,卡牌消耗!$Z131)/卡牌消耗!$Q$4/AH$2,0)*AH$2</f>
        <v>10350</v>
      </c>
      <c r="AI131" s="194"/>
      <c r="AJ131" s="194"/>
      <c r="AK131" s="104">
        <v>127</v>
      </c>
      <c r="AL131" s="14">
        <f t="shared" si="104"/>
        <v>3</v>
      </c>
      <c r="AM131" s="14">
        <f>INDEX(挂机升级突破!DQ$6:DQ$57,卡牌消耗!$AT131)</f>
        <v>11</v>
      </c>
      <c r="AN131" s="14">
        <f>INDEX(挂机升级突破!DR$6:DR$57,卡牌消耗!$AT131)</f>
        <v>4</v>
      </c>
      <c r="AO131" s="14">
        <f>INDEX(挂机升级突破!DS$6:DS$57,卡牌消耗!$AT131)</f>
        <v>0</v>
      </c>
      <c r="AP131" s="14">
        <f>INDEX(挂机升级突破!$DP$6:$DP$57,卡牌消耗!AT131)</f>
        <v>75</v>
      </c>
      <c r="AQ131" s="14" t="str">
        <f t="shared" si="105"/>
        <v>典韦</v>
      </c>
      <c r="AR131" s="14">
        <f t="shared" si="106"/>
        <v>4</v>
      </c>
      <c r="AS131" s="14" t="str">
        <f t="shared" si="107"/>
        <v>典韦魂火-23</v>
      </c>
      <c r="AT131" s="14">
        <f t="shared" si="108"/>
        <v>23</v>
      </c>
      <c r="AU131" s="14" t="str">
        <f>IF(AM131&gt;0,INDEX(挂机升级突破!$DT$4:$ED$4,AM131),"")</f>
        <v>金币</v>
      </c>
      <c r="AV131" s="14">
        <f>ROUND(INDEX(挂机升级突破!$DJ$6:$DJ$57,卡牌消耗!AT131)*INDEX(卡牌消耗!$B$8:$F$8,AR131)/$Q$4/50,0)*50</f>
        <v>10350</v>
      </c>
      <c r="AW131" s="14" t="str">
        <f>IF(AN131&gt;0,INDEX(挂机升级突破!$DT$4:$ED$4,AN131),"")</f>
        <v>橙色基础材料</v>
      </c>
      <c r="AX131" s="14">
        <f>ROUND(INDEX(挂机升级突破!$DT$6:$ED$57,卡牌消耗!AT131,AN131)*INDEX(卡牌消耗!$B$5:$F$5,AR131)/$Q$4/5,0)*5</f>
        <v>25</v>
      </c>
      <c r="AY131" s="14" t="str">
        <f>IF(AO131&gt;0,INDEX(挂机升级突破!$DT$4:$ED$4,AO131),"")</f>
        <v/>
      </c>
      <c r="AZ131" s="14" t="str">
        <f>IF(AO131&gt;0,ROUND(INDEX(挂机升级突破!$DT$6:$ED$57,卡牌消耗!AT131,AO131)*INDEX(卡牌消耗!$B$7:$F$7,AR131)/$Q$4,0),"")</f>
        <v/>
      </c>
      <c r="BA131" s="106"/>
      <c r="BB131" s="197"/>
      <c r="BC131" s="197"/>
      <c r="BD131" s="197"/>
      <c r="BE131" s="197"/>
      <c r="BF131" s="197"/>
      <c r="BG131" s="197"/>
      <c r="BH131" s="197"/>
      <c r="BI131" s="197"/>
      <c r="BJ131" s="197"/>
      <c r="BK131" s="197"/>
      <c r="BL131" s="104">
        <v>127</v>
      </c>
      <c r="BM131" s="14">
        <f t="shared" si="109"/>
        <v>7</v>
      </c>
      <c r="BN131" s="14">
        <f>INDEX(挂机升级突破!$EI$7:$EI$26,BS131)</f>
        <v>5</v>
      </c>
      <c r="BO131" s="14">
        <f>INDEX(挂机升级突破!$EJ$7:$EJ$26,BS131)</f>
        <v>1</v>
      </c>
      <c r="BP131" s="14">
        <f t="shared" si="110"/>
        <v>4</v>
      </c>
      <c r="BQ131" s="14">
        <f>INDEX(挂机升级突破!$EH$7:$EH$26,卡牌消耗!BS131)</f>
        <v>47</v>
      </c>
      <c r="BR131" s="14" t="str">
        <f t="shared" si="111"/>
        <v>天使缇娜</v>
      </c>
      <c r="BS131" s="14">
        <f t="shared" si="112"/>
        <v>7</v>
      </c>
      <c r="BT131" s="14" t="str">
        <f t="shared" si="113"/>
        <v>天使缇娜7突</v>
      </c>
      <c r="BU131" s="14" t="str">
        <f>IF(BN131&gt;0,INDEX(挂机升级突破!$ER$5:$EV$5,卡牌消耗!BN131),"")</f>
        <v>金币</v>
      </c>
      <c r="BV131" s="14">
        <f>IF(BN131&gt;0,ROUND(INDEX(挂机升级突破!$EV$7:$EV$26,卡牌消耗!BS131)*INDEX(卡牌消耗!$B$8:$F$8,BP131)/$Q$4/500,0)*500,"")</f>
        <v>12500</v>
      </c>
      <c r="BW131" s="14" t="str">
        <f>IF(BO131&gt;0,INDEX(挂机升级突破!$ER$5:$EV$5,卡牌消耗!BO131),"")</f>
        <v>玄铁</v>
      </c>
      <c r="BX131" s="14">
        <f>IF(BO131&gt;0,ROUND(INDEX(挂机升级突破!$ER$7:$EU$26,卡牌消耗!BS131,卡牌消耗!BO131)*INDEX($B$6:$F$6,BP131)/$Q$4/5,0)*5,"")</f>
        <v>100</v>
      </c>
      <c r="BY131" s="193"/>
      <c r="BZ131" s="193"/>
      <c r="CA131" s="106"/>
      <c r="CS131" s="171"/>
      <c r="CT131" s="170"/>
      <c r="CU131" s="14">
        <f>SUMIFS($CW$5:$CW$154,$CV$5:$CV$154,"&gt;="&amp;INDEX($CE$5:$CE$32,CU129),$CV$5:$CV$154,"&lt;"&amp;INDEX($CF$5:$CF$32,CU129))</f>
        <v>27.5</v>
      </c>
      <c r="CV131" s="169">
        <v>127</v>
      </c>
      <c r="CW131" s="169">
        <v>5.5</v>
      </c>
      <c r="CX131" s="21">
        <f t="shared" ref="CX131" si="241">CW131/$CU131</f>
        <v>0.2</v>
      </c>
      <c r="CY131" s="169">
        <f t="shared" ref="CY131" si="242">INT($CU130*CX131/5)*5</f>
        <v>82250</v>
      </c>
      <c r="CZ131" s="169">
        <f>SUM(CY$5:CY131)</f>
        <v>3056435</v>
      </c>
      <c r="DB131" s="188">
        <f t="shared" si="184"/>
        <v>41100</v>
      </c>
      <c r="DC131" s="188">
        <f t="shared" si="184"/>
        <v>65800</v>
      </c>
      <c r="DD131" s="188">
        <f t="shared" si="184"/>
        <v>82250</v>
      </c>
      <c r="DE131" s="188">
        <f t="shared" si="184"/>
        <v>98700</v>
      </c>
      <c r="DF131" s="188">
        <f t="shared" si="184"/>
        <v>123350</v>
      </c>
      <c r="DI131" s="186">
        <v>127</v>
      </c>
      <c r="DJ131" s="14">
        <f t="shared" si="117"/>
        <v>26</v>
      </c>
      <c r="DK131" s="14">
        <f t="shared" si="99"/>
        <v>4</v>
      </c>
      <c r="DL131" s="14">
        <f t="shared" si="100"/>
        <v>1101997</v>
      </c>
      <c r="DM131" s="136" t="s">
        <v>1097</v>
      </c>
      <c r="DN131" s="14">
        <f t="shared" si="101"/>
        <v>2</v>
      </c>
      <c r="DO131" s="14" t="str">
        <f t="shared" si="102"/>
        <v>SSR寄灵人-2星</v>
      </c>
      <c r="DP131" s="136" t="s">
        <v>1103</v>
      </c>
      <c r="DQ131" s="14">
        <f t="shared" si="118"/>
        <v>8000</v>
      </c>
      <c r="DR131" s="14" t="str">
        <f t="shared" si="103"/>
        <v>SSR寄灵人碎片</v>
      </c>
      <c r="DS131" s="14">
        <f t="shared" si="119"/>
        <v>80</v>
      </c>
    </row>
    <row r="132" spans="8:123" ht="16.5" x14ac:dyDescent="0.2">
      <c r="H132" s="15"/>
      <c r="I132" s="15"/>
      <c r="J132" s="15"/>
      <c r="K132" s="15"/>
      <c r="L132" s="15"/>
      <c r="M132" s="15"/>
      <c r="N132" s="15"/>
      <c r="O132" s="137"/>
      <c r="P132" s="141"/>
      <c r="Q132" s="141"/>
      <c r="R132" s="141"/>
      <c r="S132" s="141"/>
      <c r="T132" s="141"/>
      <c r="U132" s="141"/>
      <c r="V132" s="141"/>
      <c r="W132" s="141"/>
      <c r="X132" s="141"/>
      <c r="Y132" s="141"/>
      <c r="Z132" s="196">
        <v>4</v>
      </c>
      <c r="AA132" s="196">
        <v>24</v>
      </c>
      <c r="AB132" s="14">
        <f>ROUND(INDEX(挂机升级突破!DT$6:DT$57,卡牌消耗!$AA132)*INDEX(卡牌消耗!$B$5:$F$5,卡牌消耗!$Z132)/卡牌消耗!$Q$4/AB$2,0)*AB$2</f>
        <v>0</v>
      </c>
      <c r="AC132" s="14">
        <f>ROUND(INDEX(挂机升级突破!DU$6:DU$57,卡牌消耗!$AA132)*INDEX(卡牌消耗!$B$5:$F$5,卡牌消耗!$Z132)/卡牌消耗!$Q$4/AC$2,0)*AC$2</f>
        <v>0</v>
      </c>
      <c r="AD132" s="14">
        <f>ROUND(INDEX(挂机升级突破!DV$6:DV$57,卡牌消耗!$AA132)*INDEX(卡牌消耗!$B$5:$F$5,卡牌消耗!$Z132)/卡牌消耗!$Q$4/AD$2,0)*AD$2</f>
        <v>0</v>
      </c>
      <c r="AE132" s="14">
        <f>ROUND(INDEX(挂机升级突破!DW$6:DW$57,卡牌消耗!$AA132)*INDEX(卡牌消耗!$B$5:$F$5,卡牌消耗!$Z132)/卡牌消耗!$Q$4/AE$2,0)*AE$2</f>
        <v>25</v>
      </c>
      <c r="AF132" s="14">
        <f>ROUND(INDEX(挂机升级突破!DX$6:DX$57,卡牌消耗!$AA132)*INDEX(卡牌消耗!$B$5:$F$5,卡牌消耗!$Z132)/卡牌消耗!$Q$4/AF$2,0)*AF$2</f>
        <v>0</v>
      </c>
      <c r="AG132" s="14">
        <f>ROUND(INDEX(挂机升级突破!EC$6:EC$57,卡牌消耗!$AA132)*INDEX(卡牌消耗!$B$7:$F$7,卡牌消耗!$Z132)/卡牌消耗!$Q$4/AG$2,0)*AG$2</f>
        <v>0</v>
      </c>
      <c r="AH132" s="14">
        <f>ROUND(INDEX(挂机升级突破!ED$6:ED$57,卡牌消耗!$AA132)*INDEX(卡牌消耗!$B$8:$F$8,卡牌消耗!$Z132)/卡牌消耗!$Q$4/AH$2,0)*AH$2</f>
        <v>10350</v>
      </c>
      <c r="AI132" s="194"/>
      <c r="AJ132" s="194"/>
      <c r="AK132" s="104">
        <v>128</v>
      </c>
      <c r="AL132" s="14">
        <f t="shared" si="104"/>
        <v>3</v>
      </c>
      <c r="AM132" s="14">
        <f>INDEX(挂机升级突破!DQ$6:DQ$57,卡牌消耗!$AT132)</f>
        <v>11</v>
      </c>
      <c r="AN132" s="14">
        <f>INDEX(挂机升级突破!DR$6:DR$57,卡牌消耗!$AT132)</f>
        <v>4</v>
      </c>
      <c r="AO132" s="14">
        <f>INDEX(挂机升级突破!DS$6:DS$57,卡牌消耗!$AT132)</f>
        <v>0</v>
      </c>
      <c r="AP132" s="14">
        <f>INDEX(挂机升级突破!$DP$6:$DP$57,卡牌消耗!AT132)</f>
        <v>78</v>
      </c>
      <c r="AQ132" s="14" t="str">
        <f t="shared" si="105"/>
        <v>典韦</v>
      </c>
      <c r="AR132" s="14">
        <f t="shared" si="106"/>
        <v>4</v>
      </c>
      <c r="AS132" s="14" t="str">
        <f t="shared" si="107"/>
        <v>典韦魂火-24</v>
      </c>
      <c r="AT132" s="14">
        <f t="shared" si="108"/>
        <v>24</v>
      </c>
      <c r="AU132" s="14" t="str">
        <f>IF(AM132&gt;0,INDEX(挂机升级突破!$DT$4:$ED$4,AM132),"")</f>
        <v>金币</v>
      </c>
      <c r="AV132" s="14">
        <f>ROUND(INDEX(挂机升级突破!$DJ$6:$DJ$57,卡牌消耗!AT132)*INDEX(卡牌消耗!$B$8:$F$8,AR132)/$Q$4/50,0)*50</f>
        <v>10350</v>
      </c>
      <c r="AW132" s="14" t="str">
        <f>IF(AN132&gt;0,INDEX(挂机升级突破!$DT$4:$ED$4,AN132),"")</f>
        <v>橙色基础材料</v>
      </c>
      <c r="AX132" s="14">
        <f>ROUND(INDEX(挂机升级突破!$DT$6:$ED$57,卡牌消耗!AT132,AN132)*INDEX(卡牌消耗!$B$5:$F$5,AR132)/$Q$4/5,0)*5</f>
        <v>25</v>
      </c>
      <c r="AY132" s="14" t="str">
        <f>IF(AO132&gt;0,INDEX(挂机升级突破!$DT$4:$ED$4,AO132),"")</f>
        <v/>
      </c>
      <c r="AZ132" s="14" t="str">
        <f>IF(AO132&gt;0,ROUND(INDEX(挂机升级突破!$DT$6:$ED$57,卡牌消耗!AT132,AO132)*INDEX(卡牌消耗!$B$7:$F$7,AR132)/$Q$4,0),"")</f>
        <v/>
      </c>
      <c r="BA132" s="106"/>
      <c r="BB132" s="197"/>
      <c r="BC132" s="197"/>
      <c r="BD132" s="197"/>
      <c r="BE132" s="197"/>
      <c r="BF132" s="197"/>
      <c r="BG132" s="197"/>
      <c r="BH132" s="197"/>
      <c r="BI132" s="197"/>
      <c r="BJ132" s="197"/>
      <c r="BK132" s="197"/>
      <c r="BL132" s="104">
        <v>128</v>
      </c>
      <c r="BM132" s="14">
        <f t="shared" si="109"/>
        <v>7</v>
      </c>
      <c r="BN132" s="14">
        <f>INDEX(挂机升级突破!$EI$7:$EI$26,BS132)</f>
        <v>5</v>
      </c>
      <c r="BO132" s="14">
        <f>INDEX(挂机升级突破!$EJ$7:$EJ$26,BS132)</f>
        <v>1</v>
      </c>
      <c r="BP132" s="14">
        <f t="shared" si="110"/>
        <v>4</v>
      </c>
      <c r="BQ132" s="14">
        <f>INDEX(挂机升级突破!$EH$7:$EH$26,卡牌消耗!BS132)</f>
        <v>52</v>
      </c>
      <c r="BR132" s="14" t="str">
        <f t="shared" si="111"/>
        <v>天使缇娜</v>
      </c>
      <c r="BS132" s="14">
        <f t="shared" si="112"/>
        <v>8</v>
      </c>
      <c r="BT132" s="14" t="str">
        <f t="shared" si="113"/>
        <v>天使缇娜8突</v>
      </c>
      <c r="BU132" s="14" t="str">
        <f>IF(BN132&gt;0,INDEX(挂机升级突破!$ER$5:$EV$5,卡牌消耗!BN132),"")</f>
        <v>金币</v>
      </c>
      <c r="BV132" s="14">
        <f>IF(BN132&gt;0,ROUND(INDEX(挂机升级突破!$EV$7:$EV$26,卡牌消耗!BS132)*INDEX(卡牌消耗!$B$8:$F$8,BP132)/$Q$4/500,0)*500,"")</f>
        <v>12500</v>
      </c>
      <c r="BW132" s="14" t="str">
        <f>IF(BO132&gt;0,INDEX(挂机升级突破!$ER$5:$EV$5,卡牌消耗!BO132),"")</f>
        <v>玄铁</v>
      </c>
      <c r="BX132" s="14">
        <f>IF(BO132&gt;0,ROUND(INDEX(挂机升级突破!$ER$7:$EU$26,卡牌消耗!BS132,卡牌消耗!BO132)*INDEX($B$6:$F$6,BP132)/$Q$4/5,0)*5,"")</f>
        <v>180</v>
      </c>
      <c r="BY132" s="193"/>
      <c r="BZ132" s="193"/>
      <c r="CA132" s="106"/>
      <c r="CS132" s="171"/>
      <c r="CT132" s="171"/>
      <c r="CU132" s="171"/>
      <c r="CV132" s="169">
        <v>128</v>
      </c>
      <c r="CW132" s="169">
        <v>5.75</v>
      </c>
      <c r="CX132" s="21">
        <f t="shared" ref="CX132" si="243">CW132/$CU131</f>
        <v>0.20909090909090908</v>
      </c>
      <c r="CY132" s="169">
        <f t="shared" ref="CY132" si="244">INT($CU130*CX132/5)*5</f>
        <v>85985</v>
      </c>
      <c r="CZ132" s="169">
        <f>SUM(CY$5:CY132)</f>
        <v>3142420</v>
      </c>
      <c r="DB132" s="188">
        <f t="shared" si="184"/>
        <v>42950</v>
      </c>
      <c r="DC132" s="188">
        <f t="shared" si="184"/>
        <v>68750</v>
      </c>
      <c r="DD132" s="188">
        <f t="shared" si="184"/>
        <v>85950</v>
      </c>
      <c r="DE132" s="188">
        <f t="shared" si="184"/>
        <v>103150</v>
      </c>
      <c r="DF132" s="188">
        <f t="shared" si="184"/>
        <v>128950</v>
      </c>
      <c r="DI132" s="186">
        <v>128</v>
      </c>
      <c r="DJ132" s="14">
        <f t="shared" si="117"/>
        <v>26</v>
      </c>
      <c r="DK132" s="14">
        <f t="shared" si="99"/>
        <v>4</v>
      </c>
      <c r="DL132" s="14">
        <f t="shared" si="100"/>
        <v>1101997</v>
      </c>
      <c r="DM132" s="136" t="s">
        <v>1097</v>
      </c>
      <c r="DN132" s="14">
        <f t="shared" si="101"/>
        <v>3</v>
      </c>
      <c r="DO132" s="14" t="str">
        <f t="shared" si="102"/>
        <v>SSR寄灵人-3星</v>
      </c>
      <c r="DP132" s="136" t="s">
        <v>1103</v>
      </c>
      <c r="DQ132" s="14">
        <f t="shared" si="118"/>
        <v>14000</v>
      </c>
      <c r="DR132" s="14" t="str">
        <f t="shared" si="103"/>
        <v>SSR寄灵人碎片</v>
      </c>
      <c r="DS132" s="14">
        <f t="shared" si="119"/>
        <v>80</v>
      </c>
    </row>
    <row r="133" spans="8:123" ht="16.5" x14ac:dyDescent="0.2">
      <c r="H133" s="15"/>
      <c r="I133" s="15"/>
      <c r="J133" s="15"/>
      <c r="K133" s="15"/>
      <c r="L133" s="15"/>
      <c r="M133" s="15"/>
      <c r="N133" s="15"/>
      <c r="O133" s="137"/>
      <c r="P133" s="141"/>
      <c r="Q133" s="141"/>
      <c r="R133" s="141"/>
      <c r="S133" s="141"/>
      <c r="T133" s="141"/>
      <c r="U133" s="141"/>
      <c r="V133" s="141"/>
      <c r="W133" s="141"/>
      <c r="X133" s="141"/>
      <c r="Y133" s="141"/>
      <c r="Z133" s="196">
        <v>4</v>
      </c>
      <c r="AA133" s="196">
        <v>25</v>
      </c>
      <c r="AB133" s="14">
        <f>ROUND(INDEX(挂机升级突破!DT$6:DT$57,卡牌消耗!$AA133)*INDEX(卡牌消耗!$B$5:$F$5,卡牌消耗!$Z133)/卡牌消耗!$Q$4/AB$2,0)*AB$2</f>
        <v>0</v>
      </c>
      <c r="AC133" s="14">
        <f>ROUND(INDEX(挂机升级突破!DU$6:DU$57,卡牌消耗!$AA133)*INDEX(卡牌消耗!$B$5:$F$5,卡牌消耗!$Z133)/卡牌消耗!$Q$4/AC$2,0)*AC$2</f>
        <v>0</v>
      </c>
      <c r="AD133" s="14">
        <f>ROUND(INDEX(挂机升级突破!DV$6:DV$57,卡牌消耗!$AA133)*INDEX(卡牌消耗!$B$5:$F$5,卡牌消耗!$Z133)/卡牌消耗!$Q$4/AD$2,0)*AD$2</f>
        <v>0</v>
      </c>
      <c r="AE133" s="14">
        <f>ROUND(INDEX(挂机升级突破!DW$6:DW$57,卡牌消耗!$AA133)*INDEX(卡牌消耗!$B$5:$F$5,卡牌消耗!$Z133)/卡牌消耗!$Q$4/AE$2,0)*AE$2</f>
        <v>25</v>
      </c>
      <c r="AF133" s="14">
        <f>ROUND(INDEX(挂机升级突破!DX$6:DX$57,卡牌消耗!$AA133)*INDEX(卡牌消耗!$B$5:$F$5,卡牌消耗!$Z133)/卡牌消耗!$Q$4/AF$2,0)*AF$2</f>
        <v>0</v>
      </c>
      <c r="AG133" s="14">
        <f>ROUND(INDEX(挂机升级突破!EC$6:EC$57,卡牌消耗!$AA133)*INDEX(卡牌消耗!$B$7:$F$7,卡牌消耗!$Z133)/卡牌消耗!$Q$4/AG$2,0)*AG$2</f>
        <v>0</v>
      </c>
      <c r="AH133" s="14">
        <f>ROUND(INDEX(挂机升级突破!ED$6:ED$57,卡牌消耗!$AA133)*INDEX(卡牌消耗!$B$8:$F$8,卡牌消耗!$Z133)/卡牌消耗!$Q$4/AH$2,0)*AH$2</f>
        <v>11300</v>
      </c>
      <c r="AI133" s="194"/>
      <c r="AJ133" s="194"/>
      <c r="AK133" s="104">
        <v>129</v>
      </c>
      <c r="AL133" s="14">
        <f t="shared" si="104"/>
        <v>3</v>
      </c>
      <c r="AM133" s="14">
        <f>INDEX(挂机升级突破!DQ$6:DQ$57,卡牌消耗!$AT133)</f>
        <v>11</v>
      </c>
      <c r="AN133" s="14">
        <f>INDEX(挂机升级突破!DR$6:DR$57,卡牌消耗!$AT133)</f>
        <v>4</v>
      </c>
      <c r="AO133" s="14">
        <f>INDEX(挂机升级突破!DS$6:DS$57,卡牌消耗!$AT133)</f>
        <v>0</v>
      </c>
      <c r="AP133" s="14">
        <f>INDEX(挂机升级突破!$DP$6:$DP$57,卡牌消耗!AT133)</f>
        <v>80</v>
      </c>
      <c r="AQ133" s="14" t="str">
        <f t="shared" si="105"/>
        <v>典韦</v>
      </c>
      <c r="AR133" s="14">
        <f t="shared" si="106"/>
        <v>4</v>
      </c>
      <c r="AS133" s="14" t="str">
        <f t="shared" si="107"/>
        <v>典韦魂火-25</v>
      </c>
      <c r="AT133" s="14">
        <f t="shared" si="108"/>
        <v>25</v>
      </c>
      <c r="AU133" s="14" t="str">
        <f>IF(AM133&gt;0,INDEX(挂机升级突破!$DT$4:$ED$4,AM133),"")</f>
        <v>金币</v>
      </c>
      <c r="AV133" s="14">
        <f>ROUND(INDEX(挂机升级突破!$DJ$6:$DJ$57,卡牌消耗!AT133)*INDEX(卡牌消耗!$B$8:$F$8,AR133)/$Q$4/50,0)*50</f>
        <v>11300</v>
      </c>
      <c r="AW133" s="14" t="str">
        <f>IF(AN133&gt;0,INDEX(挂机升级突破!$DT$4:$ED$4,AN133),"")</f>
        <v>橙色基础材料</v>
      </c>
      <c r="AX133" s="14">
        <f>ROUND(INDEX(挂机升级突破!$DT$6:$ED$57,卡牌消耗!AT133,AN133)*INDEX(卡牌消耗!$B$5:$F$5,AR133)/$Q$4/5,0)*5</f>
        <v>25</v>
      </c>
      <c r="AY133" s="14" t="str">
        <f>IF(AO133&gt;0,INDEX(挂机升级突破!$DT$4:$ED$4,AO133),"")</f>
        <v/>
      </c>
      <c r="AZ133" s="14" t="str">
        <f>IF(AO133&gt;0,ROUND(INDEX(挂机升级突破!$DT$6:$ED$57,卡牌消耗!AT133,AO133)*INDEX(卡牌消耗!$B$7:$F$7,AR133)/$Q$4,0),"")</f>
        <v/>
      </c>
      <c r="BA133" s="106"/>
      <c r="BB133" s="197"/>
      <c r="BC133" s="197"/>
      <c r="BD133" s="197"/>
      <c r="BE133" s="197"/>
      <c r="BF133" s="197"/>
      <c r="BG133" s="197"/>
      <c r="BH133" s="197"/>
      <c r="BI133" s="197"/>
      <c r="BJ133" s="197"/>
      <c r="BK133" s="197"/>
      <c r="BL133" s="104">
        <v>129</v>
      </c>
      <c r="BM133" s="14">
        <f t="shared" si="109"/>
        <v>7</v>
      </c>
      <c r="BN133" s="14">
        <f>INDEX(挂机升级突破!$EI$7:$EI$26,BS133)</f>
        <v>5</v>
      </c>
      <c r="BO133" s="14">
        <f>INDEX(挂机升级突破!$EJ$7:$EJ$26,BS133)</f>
        <v>2</v>
      </c>
      <c r="BP133" s="14">
        <f t="shared" si="110"/>
        <v>4</v>
      </c>
      <c r="BQ133" s="14">
        <f>INDEX(挂机升级突破!$EH$7:$EH$26,卡牌消耗!BS133)</f>
        <v>57</v>
      </c>
      <c r="BR133" s="14" t="str">
        <f t="shared" si="111"/>
        <v>天使缇娜</v>
      </c>
      <c r="BS133" s="14">
        <f t="shared" si="112"/>
        <v>9</v>
      </c>
      <c r="BT133" s="14" t="str">
        <f t="shared" si="113"/>
        <v>天使缇娜9突</v>
      </c>
      <c r="BU133" s="14" t="str">
        <f>IF(BN133&gt;0,INDEX(挂机升级突破!$ER$5:$EV$5,卡牌消耗!BN133),"")</f>
        <v>金币</v>
      </c>
      <c r="BV133" s="14">
        <f>IF(BN133&gt;0,ROUND(INDEX(挂机升级突破!$EV$7:$EV$26,卡牌消耗!BS133)*INDEX(卡牌消耗!$B$8:$F$8,BP133)/$Q$4/500,0)*500,"")</f>
        <v>16500</v>
      </c>
      <c r="BW133" s="14" t="str">
        <f>IF(BO133&gt;0,INDEX(挂机升级突破!$ER$5:$EV$5,卡牌消耗!BO133),"")</f>
        <v>乌金</v>
      </c>
      <c r="BX133" s="14">
        <f>IF(BO133&gt;0,ROUND(INDEX(挂机升级突破!$ER$7:$EU$26,卡牌消耗!BS133,卡牌消耗!BO133)*INDEX($B$6:$F$6,BP133)/$Q$4/5,0)*5,"")</f>
        <v>60</v>
      </c>
      <c r="BY133" s="193"/>
      <c r="BZ133" s="193"/>
      <c r="CA133" s="106"/>
      <c r="CS133" s="171"/>
      <c r="CT133" s="171"/>
      <c r="CU133" s="171"/>
      <c r="CV133" s="169">
        <v>129</v>
      </c>
      <c r="CW133" s="169">
        <v>6</v>
      </c>
      <c r="CX133" s="21">
        <f t="shared" ref="CX133" si="245">CW133/$CU131</f>
        <v>0.21818181818181817</v>
      </c>
      <c r="CY133" s="169">
        <f t="shared" ref="CY133" si="246">INT($CU130*CX133/5)*5</f>
        <v>89725</v>
      </c>
      <c r="CZ133" s="169">
        <f>SUM(CY$5:CY133)</f>
        <v>3232145</v>
      </c>
      <c r="DB133" s="188">
        <f t="shared" si="184"/>
        <v>44850</v>
      </c>
      <c r="DC133" s="188">
        <f t="shared" si="184"/>
        <v>71750</v>
      </c>
      <c r="DD133" s="188">
        <f t="shared" si="184"/>
        <v>89700</v>
      </c>
      <c r="DE133" s="188">
        <f t="shared" si="184"/>
        <v>107650</v>
      </c>
      <c r="DF133" s="188">
        <f t="shared" si="184"/>
        <v>134550</v>
      </c>
      <c r="DI133" s="186">
        <v>129</v>
      </c>
      <c r="DJ133" s="14">
        <f t="shared" si="117"/>
        <v>26</v>
      </c>
      <c r="DK133" s="14">
        <f t="shared" ref="DK133:DK196" si="247">INDEX($C$52:$C$120,DJ133)</f>
        <v>4</v>
      </c>
      <c r="DL133" s="14">
        <f t="shared" ref="DL133:DL196" si="248">INDEX($A$52:$A$120,DJ133)</f>
        <v>1101997</v>
      </c>
      <c r="DM133" s="136" t="s">
        <v>1097</v>
      </c>
      <c r="DN133" s="14">
        <f t="shared" ref="DN133:DN196" si="249">DI133-INDEX($E$51:$E$120,DJ133)</f>
        <v>4</v>
      </c>
      <c r="DO133" s="14" t="str">
        <f t="shared" ref="DO133:DO196" si="250">INDEX($B$52:$B$120,DJ133)&amp;"-"&amp;DN133&amp;"星"</f>
        <v>SSR寄灵人-4星</v>
      </c>
      <c r="DP133" s="136" t="s">
        <v>1103</v>
      </c>
      <c r="DQ133" s="14">
        <f t="shared" si="118"/>
        <v>32000</v>
      </c>
      <c r="DR133" s="14" t="str">
        <f t="shared" ref="DR133:DR196" si="251">INDEX($B$52:$B$120,DJ133)&amp;"碎片"</f>
        <v>SSR寄灵人碎片</v>
      </c>
      <c r="DS133" s="14">
        <f t="shared" si="119"/>
        <v>80</v>
      </c>
    </row>
    <row r="134" spans="8:123" ht="16.5" x14ac:dyDescent="0.2">
      <c r="H134" s="15"/>
      <c r="I134" s="15"/>
      <c r="J134" s="15"/>
      <c r="K134" s="15"/>
      <c r="L134" s="15"/>
      <c r="M134" s="15"/>
      <c r="N134" s="15"/>
      <c r="O134" s="137"/>
      <c r="P134" s="141"/>
      <c r="Q134" s="141"/>
      <c r="R134" s="141"/>
      <c r="S134" s="141"/>
      <c r="T134" s="141"/>
      <c r="U134" s="141"/>
      <c r="V134" s="141"/>
      <c r="W134" s="141"/>
      <c r="X134" s="141"/>
      <c r="Y134" s="141"/>
      <c r="Z134" s="196">
        <v>4</v>
      </c>
      <c r="AA134" s="196">
        <v>26</v>
      </c>
      <c r="AB134" s="14">
        <f>ROUND(INDEX(挂机升级突破!DT$6:DT$57,卡牌消耗!$AA134)*INDEX(卡牌消耗!$B$5:$F$5,卡牌消耗!$Z134)/卡牌消耗!$Q$4/AB$2,0)*AB$2</f>
        <v>0</v>
      </c>
      <c r="AC134" s="14">
        <f>ROUND(INDEX(挂机升级突破!DU$6:DU$57,卡牌消耗!$AA134)*INDEX(卡牌消耗!$B$5:$F$5,卡牌消耗!$Z134)/卡牌消耗!$Q$4/AC$2,0)*AC$2</f>
        <v>0</v>
      </c>
      <c r="AD134" s="14">
        <f>ROUND(INDEX(挂机升级突破!DV$6:DV$57,卡牌消耗!$AA134)*INDEX(卡牌消耗!$B$5:$F$5,卡牌消耗!$Z134)/卡牌消耗!$Q$4/AD$2,0)*AD$2</f>
        <v>0</v>
      </c>
      <c r="AE134" s="14">
        <f>ROUND(INDEX(挂机升级突破!DW$6:DW$57,卡牌消耗!$AA134)*INDEX(卡牌消耗!$B$5:$F$5,卡牌消耗!$Z134)/卡牌消耗!$Q$4/AE$2,0)*AE$2</f>
        <v>30</v>
      </c>
      <c r="AF134" s="14">
        <f>ROUND(INDEX(挂机升级突破!DX$6:DX$57,卡牌消耗!$AA134)*INDEX(卡牌消耗!$B$5:$F$5,卡牌消耗!$Z134)/卡牌消耗!$Q$4/AF$2,0)*AF$2</f>
        <v>0</v>
      </c>
      <c r="AG134" s="14">
        <f>ROUND(INDEX(挂机升级突破!EC$6:EC$57,卡牌消耗!$AA134)*INDEX(卡牌消耗!$B$7:$F$7,卡牌消耗!$Z134)/卡牌消耗!$Q$4/AG$2,0)*AG$2</f>
        <v>0</v>
      </c>
      <c r="AH134" s="14">
        <f>ROUND(INDEX(挂机升级突破!ED$6:ED$57,卡牌消耗!$AA134)*INDEX(卡牌消耗!$B$8:$F$8,卡牌消耗!$Z134)/卡牌消耗!$Q$4/AH$2,0)*AH$2</f>
        <v>13150</v>
      </c>
      <c r="AI134" s="194"/>
      <c r="AJ134" s="194"/>
      <c r="AK134" s="104">
        <v>130</v>
      </c>
      <c r="AL134" s="14">
        <f t="shared" ref="AL134:AL197" si="252">INT((AK134-1)/52)+1</f>
        <v>3</v>
      </c>
      <c r="AM134" s="14">
        <f>INDEX(挂机升级突破!DQ$6:DQ$57,卡牌消耗!$AT134)</f>
        <v>11</v>
      </c>
      <c r="AN134" s="14">
        <f>INDEX(挂机升级突破!DR$6:DR$57,卡牌消耗!$AT134)</f>
        <v>4</v>
      </c>
      <c r="AO134" s="14">
        <f>INDEX(挂机升级突破!DS$6:DS$57,卡牌消耗!$AT134)</f>
        <v>0</v>
      </c>
      <c r="AP134" s="14">
        <f>INDEX(挂机升级突破!$DP$6:$DP$57,卡牌消耗!AT134)</f>
        <v>83</v>
      </c>
      <c r="AQ134" s="14" t="str">
        <f t="shared" ref="AQ134:AQ197" si="253">INDEX($B$13:$B$45,AL134)</f>
        <v>典韦</v>
      </c>
      <c r="AR134" s="14">
        <f t="shared" ref="AR134:AR197" si="254">INDEX($C$13:$C$45,AL134)</f>
        <v>4</v>
      </c>
      <c r="AS134" s="14" t="str">
        <f t="shared" ref="AS134:AS197" si="255">AQ134&amp;"魂火-"&amp;AT134</f>
        <v>典韦魂火-26</v>
      </c>
      <c r="AT134" s="14">
        <f t="shared" ref="AT134:AT197" si="256">AK134-(AL134-1)*52</f>
        <v>26</v>
      </c>
      <c r="AU134" s="14" t="str">
        <f>IF(AM134&gt;0,INDEX(挂机升级突破!$DT$4:$ED$4,AM134),"")</f>
        <v>金币</v>
      </c>
      <c r="AV134" s="14">
        <f>ROUND(INDEX(挂机升级突破!$DJ$6:$DJ$57,卡牌消耗!AT134)*INDEX(卡牌消耗!$B$8:$F$8,AR134)/$Q$4/50,0)*50</f>
        <v>13150</v>
      </c>
      <c r="AW134" s="14" t="str">
        <f>IF(AN134&gt;0,INDEX(挂机升级突破!$DT$4:$ED$4,AN134),"")</f>
        <v>橙色基础材料</v>
      </c>
      <c r="AX134" s="14">
        <f>ROUND(INDEX(挂机升级突破!$DT$6:$ED$57,卡牌消耗!AT134,AN134)*INDEX(卡牌消耗!$B$5:$F$5,AR134)/$Q$4/5,0)*5</f>
        <v>30</v>
      </c>
      <c r="AY134" s="14" t="str">
        <f>IF(AO134&gt;0,INDEX(挂机升级突破!$DT$4:$ED$4,AO134),"")</f>
        <v/>
      </c>
      <c r="AZ134" s="14" t="str">
        <f>IF(AO134&gt;0,ROUND(INDEX(挂机升级突破!$DT$6:$ED$57,卡牌消耗!AT134,AO134)*INDEX(卡牌消耗!$B$7:$F$7,AR134)/$Q$4,0),"")</f>
        <v/>
      </c>
      <c r="BA134" s="106"/>
      <c r="BB134" s="197"/>
      <c r="BC134" s="197"/>
      <c r="BD134" s="197"/>
      <c r="BE134" s="197"/>
      <c r="BF134" s="197"/>
      <c r="BG134" s="197"/>
      <c r="BH134" s="197"/>
      <c r="BI134" s="197"/>
      <c r="BJ134" s="197"/>
      <c r="BK134" s="197"/>
      <c r="BL134" s="104">
        <v>130</v>
      </c>
      <c r="BM134" s="14">
        <f t="shared" ref="BM134:BM197" si="257">INT((BL134-1)/20)+1</f>
        <v>7</v>
      </c>
      <c r="BN134" s="14">
        <f>INDEX(挂机升级突破!$EI$7:$EI$26,BS134)</f>
        <v>5</v>
      </c>
      <c r="BO134" s="14">
        <f>INDEX(挂机升级突破!$EJ$7:$EJ$26,BS134)</f>
        <v>2</v>
      </c>
      <c r="BP134" s="14">
        <f t="shared" ref="BP134:BP197" si="258">INDEX($C$13:$C$45,BM134)</f>
        <v>4</v>
      </c>
      <c r="BQ134" s="14">
        <f>INDEX(挂机升级突破!$EH$7:$EH$26,卡牌消耗!BS134)</f>
        <v>65</v>
      </c>
      <c r="BR134" s="14" t="str">
        <f t="shared" ref="BR134:BR197" si="259">INDEX($B$13:$B$45,BM134)</f>
        <v>天使缇娜</v>
      </c>
      <c r="BS134" s="14">
        <f t="shared" ref="BS134:BS197" si="260">BL134-(BM134-1)*20</f>
        <v>10</v>
      </c>
      <c r="BT134" s="14" t="str">
        <f t="shared" ref="BT134:BT197" si="261">BR134&amp;BS134&amp;"突"</f>
        <v>天使缇娜10突</v>
      </c>
      <c r="BU134" s="14" t="str">
        <f>IF(BN134&gt;0,INDEX(挂机升级突破!$ER$5:$EV$5,卡牌消耗!BN134),"")</f>
        <v>金币</v>
      </c>
      <c r="BV134" s="14">
        <f>IF(BN134&gt;0,ROUND(INDEX(挂机升级突破!$EV$7:$EV$26,卡牌消耗!BS134)*INDEX(卡牌消耗!$B$8:$F$8,BP134)/$Q$4/500,0)*500,"")</f>
        <v>28000</v>
      </c>
      <c r="BW134" s="14" t="str">
        <f>IF(BO134&gt;0,INDEX(挂机升级突破!$ER$5:$EV$5,卡牌消耗!BO134),"")</f>
        <v>乌金</v>
      </c>
      <c r="BX134" s="14">
        <f>IF(BO134&gt;0,ROUND(INDEX(挂机升级突破!$ER$7:$EU$26,卡牌消耗!BS134,卡牌消耗!BO134)*INDEX($B$6:$F$6,BP134)/$Q$4/5,0)*5,"")</f>
        <v>85</v>
      </c>
      <c r="BY134" s="193"/>
      <c r="BZ134" s="193"/>
      <c r="CA134" s="106"/>
      <c r="CS134" s="171"/>
      <c r="CT134" s="173" t="s">
        <v>120</v>
      </c>
      <c r="CU134" s="169">
        <v>25</v>
      </c>
      <c r="CV134" s="169">
        <v>130</v>
      </c>
      <c r="CW134" s="169">
        <v>5</v>
      </c>
      <c r="CX134" s="21">
        <f t="shared" ref="CX134" si="262">CW134/$CU136</f>
        <v>0.18181818181818182</v>
      </c>
      <c r="CY134" s="169">
        <f t="shared" ref="CY134" si="263">INT($CU135*CX134/5)*5</f>
        <v>92360</v>
      </c>
      <c r="CZ134" s="169">
        <f>SUM(CY$5:CY134)</f>
        <v>3324505</v>
      </c>
      <c r="DB134" s="188">
        <f t="shared" ref="DB134:DF154" si="264">INT($CY134*DB$3/50)*50</f>
        <v>46150</v>
      </c>
      <c r="DC134" s="188">
        <f t="shared" si="264"/>
        <v>73850</v>
      </c>
      <c r="DD134" s="188">
        <f t="shared" si="264"/>
        <v>92350</v>
      </c>
      <c r="DE134" s="188">
        <f t="shared" si="264"/>
        <v>110800</v>
      </c>
      <c r="DF134" s="188">
        <f t="shared" si="264"/>
        <v>138500</v>
      </c>
      <c r="DI134" s="186">
        <v>130</v>
      </c>
      <c r="DJ134" s="14">
        <f t="shared" ref="DJ134:DJ197" si="265">INT((DI134-1)/5)+1</f>
        <v>26</v>
      </c>
      <c r="DK134" s="14">
        <f t="shared" si="247"/>
        <v>4</v>
      </c>
      <c r="DL134" s="14">
        <f t="shared" si="248"/>
        <v>1101997</v>
      </c>
      <c r="DM134" s="136" t="s">
        <v>1097</v>
      </c>
      <c r="DN134" s="14">
        <f t="shared" si="249"/>
        <v>5</v>
      </c>
      <c r="DO134" s="14" t="str">
        <f t="shared" si="250"/>
        <v>SSR寄灵人-5星</v>
      </c>
      <c r="DP134" s="136" t="s">
        <v>1103</v>
      </c>
      <c r="DQ134" s="14">
        <f t="shared" ref="DQ134:DQ197" si="266">INDEX($K$21:$N$25,DN134,DK134-1)</f>
        <v>60000</v>
      </c>
      <c r="DR134" s="14" t="str">
        <f t="shared" si="251"/>
        <v>SSR寄灵人碎片</v>
      </c>
      <c r="DS134" s="14">
        <f t="shared" ref="DS134:DS197" si="267">INDEX($J$5:$M$9,DN134,DK134-1)</f>
        <v>80</v>
      </c>
    </row>
    <row r="135" spans="8:123" ht="16.5" x14ac:dyDescent="0.2">
      <c r="H135" s="15"/>
      <c r="I135" s="15"/>
      <c r="J135" s="15"/>
      <c r="K135" s="15"/>
      <c r="L135" s="15"/>
      <c r="M135" s="15"/>
      <c r="N135" s="15"/>
      <c r="O135" s="137"/>
      <c r="P135" s="141"/>
      <c r="Q135" s="141"/>
      <c r="R135" s="141"/>
      <c r="S135" s="141"/>
      <c r="T135" s="141"/>
      <c r="U135" s="141"/>
      <c r="V135" s="141"/>
      <c r="W135" s="141"/>
      <c r="X135" s="141"/>
      <c r="Y135" s="141"/>
      <c r="Z135" s="196">
        <v>4</v>
      </c>
      <c r="AA135" s="196">
        <v>27</v>
      </c>
      <c r="AB135" s="14">
        <f>ROUND(INDEX(挂机升级突破!DT$6:DT$57,卡牌消耗!$AA135)*INDEX(卡牌消耗!$B$5:$F$5,卡牌消耗!$Z135)/卡牌消耗!$Q$4/AB$2,0)*AB$2</f>
        <v>0</v>
      </c>
      <c r="AC135" s="14">
        <f>ROUND(INDEX(挂机升级突破!DU$6:DU$57,卡牌消耗!$AA135)*INDEX(卡牌消耗!$B$5:$F$5,卡牌消耗!$Z135)/卡牌消耗!$Q$4/AC$2,0)*AC$2</f>
        <v>0</v>
      </c>
      <c r="AD135" s="14">
        <f>ROUND(INDEX(挂机升级突破!DV$6:DV$57,卡牌消耗!$AA135)*INDEX(卡牌消耗!$B$5:$F$5,卡牌消耗!$Z135)/卡牌消耗!$Q$4/AD$2,0)*AD$2</f>
        <v>0</v>
      </c>
      <c r="AE135" s="14">
        <f>ROUND(INDEX(挂机升级突破!DW$6:DW$57,卡牌消耗!$AA135)*INDEX(卡牌消耗!$B$5:$F$5,卡牌消耗!$Z135)/卡牌消耗!$Q$4/AE$2,0)*AE$2</f>
        <v>30</v>
      </c>
      <c r="AF135" s="14">
        <f>ROUND(INDEX(挂机升级突破!DX$6:DX$57,卡牌消耗!$AA135)*INDEX(卡牌消耗!$B$5:$F$5,卡牌消耗!$Z135)/卡牌消耗!$Q$4/AF$2,0)*AF$2</f>
        <v>0</v>
      </c>
      <c r="AG135" s="14">
        <f>ROUND(INDEX(挂机升级突破!EC$6:EC$57,卡牌消耗!$AA135)*INDEX(卡牌消耗!$B$7:$F$7,卡牌消耗!$Z135)/卡牌消耗!$Q$4/AG$2,0)*AG$2</f>
        <v>0</v>
      </c>
      <c r="AH135" s="14">
        <f>ROUND(INDEX(挂机升级突破!ED$6:ED$57,卡牌消耗!$AA135)*INDEX(卡牌消耗!$B$8:$F$8,卡牌消耗!$Z135)/卡牌消耗!$Q$4/AH$2,0)*AH$2</f>
        <v>13150</v>
      </c>
      <c r="AI135" s="194"/>
      <c r="AJ135" s="194"/>
      <c r="AK135" s="104">
        <v>131</v>
      </c>
      <c r="AL135" s="14">
        <f t="shared" si="252"/>
        <v>3</v>
      </c>
      <c r="AM135" s="14">
        <f>INDEX(挂机升级突破!DQ$6:DQ$57,卡牌消耗!$AT135)</f>
        <v>11</v>
      </c>
      <c r="AN135" s="14">
        <f>INDEX(挂机升级突破!DR$6:DR$57,卡牌消耗!$AT135)</f>
        <v>4</v>
      </c>
      <c r="AO135" s="14">
        <f>INDEX(挂机升级突破!DS$6:DS$57,卡牌消耗!$AT135)</f>
        <v>0</v>
      </c>
      <c r="AP135" s="14">
        <f>INDEX(挂机升级突破!$DP$6:$DP$57,卡牌消耗!AT135)</f>
        <v>85</v>
      </c>
      <c r="AQ135" s="14" t="str">
        <f t="shared" si="253"/>
        <v>典韦</v>
      </c>
      <c r="AR135" s="14">
        <f t="shared" si="254"/>
        <v>4</v>
      </c>
      <c r="AS135" s="14" t="str">
        <f t="shared" si="255"/>
        <v>典韦魂火-27</v>
      </c>
      <c r="AT135" s="14">
        <f t="shared" si="256"/>
        <v>27</v>
      </c>
      <c r="AU135" s="14" t="str">
        <f>IF(AM135&gt;0,INDEX(挂机升级突破!$DT$4:$ED$4,AM135),"")</f>
        <v>金币</v>
      </c>
      <c r="AV135" s="14">
        <f>ROUND(INDEX(挂机升级突破!$DJ$6:$DJ$57,卡牌消耗!AT135)*INDEX(卡牌消耗!$B$8:$F$8,AR135)/$Q$4/50,0)*50</f>
        <v>13150</v>
      </c>
      <c r="AW135" s="14" t="str">
        <f>IF(AN135&gt;0,INDEX(挂机升级突破!$DT$4:$ED$4,AN135),"")</f>
        <v>橙色基础材料</v>
      </c>
      <c r="AX135" s="14">
        <f>ROUND(INDEX(挂机升级突破!$DT$6:$ED$57,卡牌消耗!AT135,AN135)*INDEX(卡牌消耗!$B$5:$F$5,AR135)/$Q$4/5,0)*5</f>
        <v>30</v>
      </c>
      <c r="AY135" s="14" t="str">
        <f>IF(AO135&gt;0,INDEX(挂机升级突破!$DT$4:$ED$4,AO135),"")</f>
        <v/>
      </c>
      <c r="AZ135" s="14" t="str">
        <f>IF(AO135&gt;0,ROUND(INDEX(挂机升级突破!$DT$6:$ED$57,卡牌消耗!AT135,AO135)*INDEX(卡牌消耗!$B$7:$F$7,AR135)/$Q$4,0),"")</f>
        <v/>
      </c>
      <c r="BA135" s="106"/>
      <c r="BB135" s="197"/>
      <c r="BC135" s="197"/>
      <c r="BD135" s="197"/>
      <c r="BE135" s="197"/>
      <c r="BF135" s="197"/>
      <c r="BG135" s="197"/>
      <c r="BH135" s="197"/>
      <c r="BI135" s="197"/>
      <c r="BJ135" s="197"/>
      <c r="BK135" s="197"/>
      <c r="BL135" s="104">
        <v>131</v>
      </c>
      <c r="BM135" s="14">
        <f t="shared" si="257"/>
        <v>7</v>
      </c>
      <c r="BN135" s="14">
        <f>INDEX(挂机升级突破!$EI$7:$EI$26,BS135)</f>
        <v>5</v>
      </c>
      <c r="BO135" s="14">
        <f>INDEX(挂机升级突破!$EJ$7:$EJ$26,BS135)</f>
        <v>2</v>
      </c>
      <c r="BP135" s="14">
        <f t="shared" si="258"/>
        <v>4</v>
      </c>
      <c r="BQ135" s="14">
        <f>INDEX(挂机升级突破!$EH$7:$EH$26,卡牌消耗!BS135)</f>
        <v>72</v>
      </c>
      <c r="BR135" s="14" t="str">
        <f t="shared" si="259"/>
        <v>天使缇娜</v>
      </c>
      <c r="BS135" s="14">
        <f t="shared" si="260"/>
        <v>11</v>
      </c>
      <c r="BT135" s="14" t="str">
        <f t="shared" si="261"/>
        <v>天使缇娜11突</v>
      </c>
      <c r="BU135" s="14" t="str">
        <f>IF(BN135&gt;0,INDEX(挂机升级突破!$ER$5:$EV$5,卡牌消耗!BN135),"")</f>
        <v>金币</v>
      </c>
      <c r="BV135" s="14">
        <f>IF(BN135&gt;0,ROUND(INDEX(挂机升级突破!$EV$7:$EV$26,卡牌消耗!BS135)*INDEX(卡牌消耗!$B$8:$F$8,BP135)/$Q$4/500,0)*500,"")</f>
        <v>28000</v>
      </c>
      <c r="BW135" s="14" t="str">
        <f>IF(BO135&gt;0,INDEX(挂机升级突破!$ER$5:$EV$5,卡牌消耗!BO135),"")</f>
        <v>乌金</v>
      </c>
      <c r="BX135" s="14">
        <f>IF(BO135&gt;0,ROUND(INDEX(挂机升级突破!$ER$7:$EU$26,卡牌消耗!BS135,卡牌消耗!BO135)*INDEX($B$6:$F$6,BP135)/$Q$4/5,0)*5,"")</f>
        <v>110</v>
      </c>
      <c r="BY135" s="193"/>
      <c r="BZ135" s="193"/>
      <c r="CA135" s="106"/>
      <c r="CS135" s="171"/>
      <c r="CT135" s="171"/>
      <c r="CU135" s="14">
        <f>INDEX($CP$5:$CP$32,CU134)</f>
        <v>508000</v>
      </c>
      <c r="CV135" s="169">
        <v>131</v>
      </c>
      <c r="CW135" s="169">
        <v>5.25</v>
      </c>
      <c r="CX135" s="21">
        <f t="shared" ref="CX135" si="268">CW135/$CU136</f>
        <v>0.19090909090909092</v>
      </c>
      <c r="CY135" s="169">
        <f t="shared" ref="CY135" si="269">INT($CU135*CX135/5)*5</f>
        <v>96980</v>
      </c>
      <c r="CZ135" s="169">
        <f>SUM(CY$5:CY135)</f>
        <v>3421485</v>
      </c>
      <c r="DB135" s="188">
        <f t="shared" si="264"/>
        <v>48450</v>
      </c>
      <c r="DC135" s="188">
        <f t="shared" si="264"/>
        <v>77550</v>
      </c>
      <c r="DD135" s="188">
        <f t="shared" si="264"/>
        <v>96950</v>
      </c>
      <c r="DE135" s="188">
        <f t="shared" si="264"/>
        <v>116350</v>
      </c>
      <c r="DF135" s="188">
        <f t="shared" si="264"/>
        <v>145450</v>
      </c>
      <c r="DI135" s="186">
        <v>131</v>
      </c>
      <c r="DJ135" s="14">
        <f t="shared" si="265"/>
        <v>27</v>
      </c>
      <c r="DK135" s="14">
        <f t="shared" si="247"/>
        <v>5</v>
      </c>
      <c r="DL135" s="14">
        <f t="shared" si="248"/>
        <v>1101996</v>
      </c>
      <c r="DM135" s="136" t="s">
        <v>1097</v>
      </c>
      <c r="DN135" s="14">
        <f t="shared" si="249"/>
        <v>1</v>
      </c>
      <c r="DO135" s="14" t="str">
        <f t="shared" si="250"/>
        <v>UR寄灵人-1星</v>
      </c>
      <c r="DP135" s="136" t="s">
        <v>1103</v>
      </c>
      <c r="DQ135" s="14">
        <f t="shared" si="266"/>
        <v>9000</v>
      </c>
      <c r="DR135" s="14" t="str">
        <f t="shared" si="251"/>
        <v>UR寄灵人碎片</v>
      </c>
      <c r="DS135" s="14">
        <f t="shared" si="267"/>
        <v>120</v>
      </c>
    </row>
    <row r="136" spans="8:123" ht="16.5" x14ac:dyDescent="0.2">
      <c r="H136" s="15"/>
      <c r="I136" s="15"/>
      <c r="J136" s="15"/>
      <c r="K136" s="15"/>
      <c r="L136" s="15"/>
      <c r="M136" s="15"/>
      <c r="N136" s="15"/>
      <c r="O136" s="137"/>
      <c r="P136" s="141"/>
      <c r="Q136" s="141"/>
      <c r="R136" s="141"/>
      <c r="S136" s="141"/>
      <c r="T136" s="141"/>
      <c r="U136" s="141"/>
      <c r="V136" s="141"/>
      <c r="W136" s="141"/>
      <c r="X136" s="141"/>
      <c r="Y136" s="141"/>
      <c r="Z136" s="196">
        <v>4</v>
      </c>
      <c r="AA136" s="196">
        <v>28</v>
      </c>
      <c r="AB136" s="14">
        <f>ROUND(INDEX(挂机升级突破!DT$6:DT$57,卡牌消耗!$AA136)*INDEX(卡牌消耗!$B$5:$F$5,卡牌消耗!$Z136)/卡牌消耗!$Q$4/AB$2,0)*AB$2</f>
        <v>0</v>
      </c>
      <c r="AC136" s="14">
        <f>ROUND(INDEX(挂机升级突破!DU$6:DU$57,卡牌消耗!$AA136)*INDEX(卡牌消耗!$B$5:$F$5,卡牌消耗!$Z136)/卡牌消耗!$Q$4/AC$2,0)*AC$2</f>
        <v>0</v>
      </c>
      <c r="AD136" s="14">
        <f>ROUND(INDEX(挂机升级突破!DV$6:DV$57,卡牌消耗!$AA136)*INDEX(卡牌消耗!$B$5:$F$5,卡牌消耗!$Z136)/卡牌消耗!$Q$4/AD$2,0)*AD$2</f>
        <v>0</v>
      </c>
      <c r="AE136" s="14">
        <f>ROUND(INDEX(挂机升级突破!DW$6:DW$57,卡牌消耗!$AA136)*INDEX(卡牌消耗!$B$5:$F$5,卡牌消耗!$Z136)/卡牌消耗!$Q$4/AE$2,0)*AE$2</f>
        <v>30</v>
      </c>
      <c r="AF136" s="14">
        <f>ROUND(INDEX(挂机升级突破!DX$6:DX$57,卡牌消耗!$AA136)*INDEX(卡牌消耗!$B$5:$F$5,卡牌消耗!$Z136)/卡牌消耗!$Q$4/AF$2,0)*AF$2</f>
        <v>0</v>
      </c>
      <c r="AG136" s="14">
        <f>ROUND(INDEX(挂机升级突破!EC$6:EC$57,卡牌消耗!$AA136)*INDEX(卡牌消耗!$B$7:$F$7,卡牌消耗!$Z136)/卡牌消耗!$Q$4/AG$2,0)*AG$2</f>
        <v>0</v>
      </c>
      <c r="AH136" s="14">
        <f>ROUND(INDEX(挂机升级突破!ED$6:ED$57,卡牌消耗!$AA136)*INDEX(卡牌消耗!$B$8:$F$8,卡牌消耗!$Z136)/卡牌消耗!$Q$4/AH$2,0)*AH$2</f>
        <v>13150</v>
      </c>
      <c r="AI136" s="194"/>
      <c r="AJ136" s="194"/>
      <c r="AK136" s="104">
        <v>132</v>
      </c>
      <c r="AL136" s="14">
        <f t="shared" si="252"/>
        <v>3</v>
      </c>
      <c r="AM136" s="14">
        <f>INDEX(挂机升级突破!DQ$6:DQ$57,卡牌消耗!$AT136)</f>
        <v>11</v>
      </c>
      <c r="AN136" s="14">
        <f>INDEX(挂机升级突破!DR$6:DR$57,卡牌消耗!$AT136)</f>
        <v>4</v>
      </c>
      <c r="AO136" s="14">
        <f>INDEX(挂机升级突破!DS$6:DS$57,卡牌消耗!$AT136)</f>
        <v>0</v>
      </c>
      <c r="AP136" s="14">
        <f>INDEX(挂机升级突破!$DP$6:$DP$57,卡牌消耗!AT136)</f>
        <v>88</v>
      </c>
      <c r="AQ136" s="14" t="str">
        <f t="shared" si="253"/>
        <v>典韦</v>
      </c>
      <c r="AR136" s="14">
        <f t="shared" si="254"/>
        <v>4</v>
      </c>
      <c r="AS136" s="14" t="str">
        <f t="shared" si="255"/>
        <v>典韦魂火-28</v>
      </c>
      <c r="AT136" s="14">
        <f t="shared" si="256"/>
        <v>28</v>
      </c>
      <c r="AU136" s="14" t="str">
        <f>IF(AM136&gt;0,INDEX(挂机升级突破!$DT$4:$ED$4,AM136),"")</f>
        <v>金币</v>
      </c>
      <c r="AV136" s="14">
        <f>ROUND(INDEX(挂机升级突破!$DJ$6:$DJ$57,卡牌消耗!AT136)*INDEX(卡牌消耗!$B$8:$F$8,AR136)/$Q$4/50,0)*50</f>
        <v>13150</v>
      </c>
      <c r="AW136" s="14" t="str">
        <f>IF(AN136&gt;0,INDEX(挂机升级突破!$DT$4:$ED$4,AN136),"")</f>
        <v>橙色基础材料</v>
      </c>
      <c r="AX136" s="14">
        <f>ROUND(INDEX(挂机升级突破!$DT$6:$ED$57,卡牌消耗!AT136,AN136)*INDEX(卡牌消耗!$B$5:$F$5,AR136)/$Q$4/5,0)*5</f>
        <v>30</v>
      </c>
      <c r="AY136" s="14" t="str">
        <f>IF(AO136&gt;0,INDEX(挂机升级突破!$DT$4:$ED$4,AO136),"")</f>
        <v/>
      </c>
      <c r="AZ136" s="14" t="str">
        <f>IF(AO136&gt;0,ROUND(INDEX(挂机升级突破!$DT$6:$ED$57,卡牌消耗!AT136,AO136)*INDEX(卡牌消耗!$B$7:$F$7,AR136)/$Q$4,0),"")</f>
        <v/>
      </c>
      <c r="BA136" s="106"/>
      <c r="BB136" s="197"/>
      <c r="BC136" s="197"/>
      <c r="BD136" s="197"/>
      <c r="BE136" s="197"/>
      <c r="BF136" s="197"/>
      <c r="BG136" s="197"/>
      <c r="BH136" s="197"/>
      <c r="BI136" s="197"/>
      <c r="BJ136" s="197"/>
      <c r="BK136" s="197"/>
      <c r="BL136" s="104">
        <v>132</v>
      </c>
      <c r="BM136" s="14">
        <f t="shared" si="257"/>
        <v>7</v>
      </c>
      <c r="BN136" s="14">
        <f>INDEX(挂机升级突破!$EI$7:$EI$26,BS136)</f>
        <v>5</v>
      </c>
      <c r="BO136" s="14">
        <f>INDEX(挂机升级突破!$EJ$7:$EJ$26,BS136)</f>
        <v>2</v>
      </c>
      <c r="BP136" s="14">
        <f t="shared" si="258"/>
        <v>4</v>
      </c>
      <c r="BQ136" s="14">
        <f>INDEX(挂机升级突破!$EH$7:$EH$26,卡牌消耗!BS136)</f>
        <v>80</v>
      </c>
      <c r="BR136" s="14" t="str">
        <f t="shared" si="259"/>
        <v>天使缇娜</v>
      </c>
      <c r="BS136" s="14">
        <f t="shared" si="260"/>
        <v>12</v>
      </c>
      <c r="BT136" s="14" t="str">
        <f t="shared" si="261"/>
        <v>天使缇娜12突</v>
      </c>
      <c r="BU136" s="14" t="str">
        <f>IF(BN136&gt;0,INDEX(挂机升级突破!$ER$5:$EV$5,卡牌消耗!BN136),"")</f>
        <v>金币</v>
      </c>
      <c r="BV136" s="14">
        <f>IF(BN136&gt;0,ROUND(INDEX(挂机升级突破!$EV$7:$EV$26,卡牌消耗!BS136)*INDEX(卡牌消耗!$B$8:$F$8,BP136)/$Q$4/500,0)*500,"")</f>
        <v>37500</v>
      </c>
      <c r="BW136" s="14" t="str">
        <f>IF(BO136&gt;0,INDEX(挂机升级突破!$ER$5:$EV$5,卡牌消耗!BO136),"")</f>
        <v>乌金</v>
      </c>
      <c r="BX136" s="14">
        <f>IF(BO136&gt;0,ROUND(INDEX(挂机升级突破!$ER$7:$EU$26,卡牌消耗!BS136,卡牌消耗!BO136)*INDEX($B$6:$F$6,BP136)/$Q$4/5,0)*5,"")</f>
        <v>140</v>
      </c>
      <c r="BY136" s="193"/>
      <c r="BZ136" s="193"/>
      <c r="CA136" s="106"/>
      <c r="CS136" s="171"/>
      <c r="CT136" s="170"/>
      <c r="CU136" s="14">
        <f>SUMIFS($CW$5:$CW$154,$CV$5:$CV$154,"&gt;="&amp;INDEX($CE$5:$CE$32,CU134),$CV$5:$CV$154,"&lt;"&amp;INDEX($CF$5:$CF$32,CU134))</f>
        <v>27.5</v>
      </c>
      <c r="CV136" s="169">
        <v>132</v>
      </c>
      <c r="CW136" s="169">
        <v>5.5</v>
      </c>
      <c r="CX136" s="21">
        <f t="shared" ref="CX136" si="270">CW136/$CU136</f>
        <v>0.2</v>
      </c>
      <c r="CY136" s="169">
        <f t="shared" ref="CY136" si="271">INT($CU135*CX136/5)*5</f>
        <v>101600</v>
      </c>
      <c r="CZ136" s="169">
        <f>SUM(CY$5:CY136)</f>
        <v>3523085</v>
      </c>
      <c r="DB136" s="188">
        <f t="shared" si="264"/>
        <v>50800</v>
      </c>
      <c r="DC136" s="188">
        <f t="shared" si="264"/>
        <v>81250</v>
      </c>
      <c r="DD136" s="188">
        <f t="shared" si="264"/>
        <v>101600</v>
      </c>
      <c r="DE136" s="188">
        <f t="shared" si="264"/>
        <v>121900</v>
      </c>
      <c r="DF136" s="188">
        <f t="shared" si="264"/>
        <v>152400</v>
      </c>
      <c r="DI136" s="186">
        <v>132</v>
      </c>
      <c r="DJ136" s="14">
        <f t="shared" si="265"/>
        <v>27</v>
      </c>
      <c r="DK136" s="14">
        <f t="shared" si="247"/>
        <v>5</v>
      </c>
      <c r="DL136" s="14">
        <f t="shared" si="248"/>
        <v>1101996</v>
      </c>
      <c r="DM136" s="136" t="s">
        <v>1097</v>
      </c>
      <c r="DN136" s="14">
        <f t="shared" si="249"/>
        <v>2</v>
      </c>
      <c r="DO136" s="14" t="str">
        <f t="shared" si="250"/>
        <v>UR寄灵人-2星</v>
      </c>
      <c r="DP136" s="136" t="s">
        <v>1103</v>
      </c>
      <c r="DQ136" s="14">
        <f t="shared" si="266"/>
        <v>12000</v>
      </c>
      <c r="DR136" s="14" t="str">
        <f t="shared" si="251"/>
        <v>UR寄灵人碎片</v>
      </c>
      <c r="DS136" s="14">
        <f t="shared" si="267"/>
        <v>120</v>
      </c>
    </row>
    <row r="137" spans="8:123" ht="16.5" x14ac:dyDescent="0.2">
      <c r="H137" s="15"/>
      <c r="I137" s="15"/>
      <c r="J137" s="15"/>
      <c r="K137" s="15"/>
      <c r="L137" s="15"/>
      <c r="M137" s="15"/>
      <c r="N137" s="15"/>
      <c r="O137" s="137"/>
      <c r="P137" s="141"/>
      <c r="Q137" s="141"/>
      <c r="R137" s="141"/>
      <c r="S137" s="141"/>
      <c r="T137" s="141"/>
      <c r="U137" s="141"/>
      <c r="V137" s="141"/>
      <c r="W137" s="141"/>
      <c r="X137" s="141"/>
      <c r="Y137" s="141"/>
      <c r="Z137" s="196">
        <v>4</v>
      </c>
      <c r="AA137" s="196">
        <v>29</v>
      </c>
      <c r="AB137" s="14">
        <f>ROUND(INDEX(挂机升级突破!DT$6:DT$57,卡牌消耗!$AA137)*INDEX(卡牌消耗!$B$5:$F$5,卡牌消耗!$Z137)/卡牌消耗!$Q$4/AB$2,0)*AB$2</f>
        <v>0</v>
      </c>
      <c r="AC137" s="14">
        <f>ROUND(INDEX(挂机升级突破!DU$6:DU$57,卡牌消耗!$AA137)*INDEX(卡牌消耗!$B$5:$F$5,卡牌消耗!$Z137)/卡牌消耗!$Q$4/AC$2,0)*AC$2</f>
        <v>0</v>
      </c>
      <c r="AD137" s="14">
        <f>ROUND(INDEX(挂机升级突破!DV$6:DV$57,卡牌消耗!$AA137)*INDEX(卡牌消耗!$B$5:$F$5,卡牌消耗!$Z137)/卡牌消耗!$Q$4/AD$2,0)*AD$2</f>
        <v>0</v>
      </c>
      <c r="AE137" s="14">
        <f>ROUND(INDEX(挂机升级突破!DW$6:DW$57,卡牌消耗!$AA137)*INDEX(卡牌消耗!$B$5:$F$5,卡牌消耗!$Z137)/卡牌消耗!$Q$4/AE$2,0)*AE$2</f>
        <v>30</v>
      </c>
      <c r="AF137" s="14">
        <f>ROUND(INDEX(挂机升级突破!DX$6:DX$57,卡牌消耗!$AA137)*INDEX(卡牌消耗!$B$5:$F$5,卡牌消耗!$Z137)/卡牌消耗!$Q$4/AF$2,0)*AF$2</f>
        <v>0</v>
      </c>
      <c r="AG137" s="14">
        <f>ROUND(INDEX(挂机升级突破!EC$6:EC$57,卡牌消耗!$AA137)*INDEX(卡牌消耗!$B$7:$F$7,卡牌消耗!$Z137)/卡牌消耗!$Q$4/AG$2,0)*AG$2</f>
        <v>0</v>
      </c>
      <c r="AH137" s="14">
        <f>ROUND(INDEX(挂机升级突破!ED$6:ED$57,卡牌消耗!$AA137)*INDEX(卡牌消耗!$B$8:$F$8,卡牌消耗!$Z137)/卡牌消耗!$Q$4/AH$2,0)*AH$2</f>
        <v>13350</v>
      </c>
      <c r="AI137" s="194"/>
      <c r="AJ137" s="194"/>
      <c r="AK137" s="104">
        <v>133</v>
      </c>
      <c r="AL137" s="14">
        <f t="shared" si="252"/>
        <v>3</v>
      </c>
      <c r="AM137" s="14">
        <f>INDEX(挂机升级突破!DQ$6:DQ$57,卡牌消耗!$AT137)</f>
        <v>11</v>
      </c>
      <c r="AN137" s="14">
        <f>INDEX(挂机升级突破!DR$6:DR$57,卡牌消耗!$AT137)</f>
        <v>4</v>
      </c>
      <c r="AO137" s="14">
        <f>INDEX(挂机升级突破!DS$6:DS$57,卡牌消耗!$AT137)</f>
        <v>0</v>
      </c>
      <c r="AP137" s="14">
        <f>INDEX(挂机升级突破!$DP$6:$DP$57,卡牌消耗!AT137)</f>
        <v>90</v>
      </c>
      <c r="AQ137" s="14" t="str">
        <f t="shared" si="253"/>
        <v>典韦</v>
      </c>
      <c r="AR137" s="14">
        <f t="shared" si="254"/>
        <v>4</v>
      </c>
      <c r="AS137" s="14" t="str">
        <f t="shared" si="255"/>
        <v>典韦魂火-29</v>
      </c>
      <c r="AT137" s="14">
        <f t="shared" si="256"/>
        <v>29</v>
      </c>
      <c r="AU137" s="14" t="str">
        <f>IF(AM137&gt;0,INDEX(挂机升级突破!$DT$4:$ED$4,AM137),"")</f>
        <v>金币</v>
      </c>
      <c r="AV137" s="14">
        <f>ROUND(INDEX(挂机升级突破!$DJ$6:$DJ$57,卡牌消耗!AT137)*INDEX(卡牌消耗!$B$8:$F$8,AR137)/$Q$4/50,0)*50</f>
        <v>13350</v>
      </c>
      <c r="AW137" s="14" t="str">
        <f>IF(AN137&gt;0,INDEX(挂机升级突破!$DT$4:$ED$4,AN137),"")</f>
        <v>橙色基础材料</v>
      </c>
      <c r="AX137" s="14">
        <f>ROUND(INDEX(挂机升级突破!$DT$6:$ED$57,卡牌消耗!AT137,AN137)*INDEX(卡牌消耗!$B$5:$F$5,AR137)/$Q$4/5,0)*5</f>
        <v>30</v>
      </c>
      <c r="AY137" s="14" t="str">
        <f>IF(AO137&gt;0,INDEX(挂机升级突破!$DT$4:$ED$4,AO137),"")</f>
        <v/>
      </c>
      <c r="AZ137" s="14" t="str">
        <f>IF(AO137&gt;0,ROUND(INDEX(挂机升级突破!$DT$6:$ED$57,卡牌消耗!AT137,AO137)*INDEX(卡牌消耗!$B$7:$F$7,AR137)/$Q$4,0),"")</f>
        <v/>
      </c>
      <c r="BA137" s="106"/>
      <c r="BB137" s="197"/>
      <c r="BC137" s="197"/>
      <c r="BD137" s="197"/>
      <c r="BE137" s="197"/>
      <c r="BF137" s="197"/>
      <c r="BG137" s="197"/>
      <c r="BH137" s="197"/>
      <c r="BI137" s="197"/>
      <c r="BJ137" s="197"/>
      <c r="BK137" s="197"/>
      <c r="BL137" s="104">
        <v>133</v>
      </c>
      <c r="BM137" s="14">
        <f t="shared" si="257"/>
        <v>7</v>
      </c>
      <c r="BN137" s="14">
        <f>INDEX(挂机升级突破!$EI$7:$EI$26,BS137)</f>
        <v>5</v>
      </c>
      <c r="BO137" s="14">
        <f>INDEX(挂机升级突破!$EJ$7:$EJ$26,BS137)</f>
        <v>3</v>
      </c>
      <c r="BP137" s="14">
        <f t="shared" si="258"/>
        <v>4</v>
      </c>
      <c r="BQ137" s="14">
        <f>INDEX(挂机升级突破!$EH$7:$EH$26,卡牌消耗!BS137)</f>
        <v>87</v>
      </c>
      <c r="BR137" s="14" t="str">
        <f t="shared" si="259"/>
        <v>天使缇娜</v>
      </c>
      <c r="BS137" s="14">
        <f t="shared" si="260"/>
        <v>13</v>
      </c>
      <c r="BT137" s="14" t="str">
        <f t="shared" si="261"/>
        <v>天使缇娜13突</v>
      </c>
      <c r="BU137" s="14" t="str">
        <f>IF(BN137&gt;0,INDEX(挂机升级突破!$ER$5:$EV$5,卡牌消耗!BN137),"")</f>
        <v>金币</v>
      </c>
      <c r="BV137" s="14">
        <f>IF(BN137&gt;0,ROUND(INDEX(挂机升级突破!$EV$7:$EV$26,卡牌消耗!BS137)*INDEX(卡牌消耗!$B$8:$F$8,BP137)/$Q$4/500,0)*500,"")</f>
        <v>50000</v>
      </c>
      <c r="BW137" s="14" t="str">
        <f>IF(BO137&gt;0,INDEX(挂机升级突破!$ER$5:$EV$5,卡牌消耗!BO137),"")</f>
        <v>银母</v>
      </c>
      <c r="BX137" s="14">
        <f>IF(BO137&gt;0,ROUND(INDEX(挂机升级突破!$ER$7:$EU$26,卡牌消耗!BS137,卡牌消耗!BO137)*INDEX($B$6:$F$6,BP137)/$Q$4/5,0)*5,"")</f>
        <v>45</v>
      </c>
      <c r="BY137" s="193"/>
      <c r="BZ137" s="193"/>
      <c r="CA137" s="106"/>
      <c r="CS137" s="171"/>
      <c r="CT137" s="171"/>
      <c r="CU137" s="171"/>
      <c r="CV137" s="169">
        <v>133</v>
      </c>
      <c r="CW137" s="169">
        <v>5.75</v>
      </c>
      <c r="CX137" s="21">
        <f t="shared" ref="CX137" si="272">CW137/$CU136</f>
        <v>0.20909090909090908</v>
      </c>
      <c r="CY137" s="169">
        <f t="shared" ref="CY137" si="273">INT($CU135*CX137/5)*5</f>
        <v>106215</v>
      </c>
      <c r="CZ137" s="169">
        <f>SUM(CY$5:CY137)</f>
        <v>3629300</v>
      </c>
      <c r="DB137" s="188">
        <f t="shared" si="264"/>
        <v>53100</v>
      </c>
      <c r="DC137" s="188">
        <f t="shared" si="264"/>
        <v>84950</v>
      </c>
      <c r="DD137" s="188">
        <f t="shared" si="264"/>
        <v>106200</v>
      </c>
      <c r="DE137" s="188">
        <f t="shared" si="264"/>
        <v>127450</v>
      </c>
      <c r="DF137" s="188">
        <f t="shared" si="264"/>
        <v>159300</v>
      </c>
      <c r="DI137" s="186">
        <v>133</v>
      </c>
      <c r="DJ137" s="14">
        <f t="shared" si="265"/>
        <v>27</v>
      </c>
      <c r="DK137" s="14">
        <f t="shared" si="247"/>
        <v>5</v>
      </c>
      <c r="DL137" s="14">
        <f t="shared" si="248"/>
        <v>1101996</v>
      </c>
      <c r="DM137" s="136" t="s">
        <v>1097</v>
      </c>
      <c r="DN137" s="14">
        <f t="shared" si="249"/>
        <v>3</v>
      </c>
      <c r="DO137" s="14" t="str">
        <f t="shared" si="250"/>
        <v>UR寄灵人-3星</v>
      </c>
      <c r="DP137" s="136" t="s">
        <v>1103</v>
      </c>
      <c r="DQ137" s="14">
        <f t="shared" si="266"/>
        <v>20000</v>
      </c>
      <c r="DR137" s="14" t="str">
        <f t="shared" si="251"/>
        <v>UR寄灵人碎片</v>
      </c>
      <c r="DS137" s="14">
        <f t="shared" si="267"/>
        <v>120</v>
      </c>
    </row>
    <row r="138" spans="8:123" ht="16.5" x14ac:dyDescent="0.2">
      <c r="H138" s="15"/>
      <c r="I138" s="15"/>
      <c r="J138" s="15"/>
      <c r="K138" s="15"/>
      <c r="L138" s="15"/>
      <c r="M138" s="15"/>
      <c r="N138" s="15"/>
      <c r="O138" s="137"/>
      <c r="P138" s="141"/>
      <c r="Q138" s="141"/>
      <c r="R138" s="141"/>
      <c r="S138" s="141"/>
      <c r="T138" s="141"/>
      <c r="U138" s="141"/>
      <c r="V138" s="141"/>
      <c r="W138" s="141"/>
      <c r="X138" s="141"/>
      <c r="Y138" s="141"/>
      <c r="Z138" s="196">
        <v>4</v>
      </c>
      <c r="AA138" s="196">
        <v>30</v>
      </c>
      <c r="AB138" s="14">
        <f>ROUND(INDEX(挂机升级突破!DT$6:DT$57,卡牌消耗!$AA138)*INDEX(卡牌消耗!$B$5:$F$5,卡牌消耗!$Z138)/卡牌消耗!$Q$4/AB$2,0)*AB$2</f>
        <v>0</v>
      </c>
      <c r="AC138" s="14">
        <f>ROUND(INDEX(挂机升级突破!DU$6:DU$57,卡牌消耗!$AA138)*INDEX(卡牌消耗!$B$5:$F$5,卡牌消耗!$Z138)/卡牌消耗!$Q$4/AC$2,0)*AC$2</f>
        <v>0</v>
      </c>
      <c r="AD138" s="14">
        <f>ROUND(INDEX(挂机升级突破!DV$6:DV$57,卡牌消耗!$AA138)*INDEX(卡牌消耗!$B$5:$F$5,卡牌消耗!$Z138)/卡牌消耗!$Q$4/AD$2,0)*AD$2</f>
        <v>0</v>
      </c>
      <c r="AE138" s="14">
        <f>ROUND(INDEX(挂机升级突破!DW$6:DW$57,卡牌消耗!$AA138)*INDEX(卡牌消耗!$B$5:$F$5,卡牌消耗!$Z138)/卡牌消耗!$Q$4/AE$2,0)*AE$2</f>
        <v>30</v>
      </c>
      <c r="AF138" s="14">
        <f>ROUND(INDEX(挂机升级突破!DX$6:DX$57,卡牌消耗!$AA138)*INDEX(卡牌消耗!$B$5:$F$5,卡牌消耗!$Z138)/卡牌消耗!$Q$4/AF$2,0)*AF$2</f>
        <v>0</v>
      </c>
      <c r="AG138" s="14">
        <f>ROUND(INDEX(挂机升级突破!EC$6:EC$57,卡牌消耗!$AA138)*INDEX(卡牌消耗!$B$7:$F$7,卡牌消耗!$Z138)/卡牌消耗!$Q$4/AG$2,0)*AG$2</f>
        <v>0</v>
      </c>
      <c r="AH138" s="14">
        <f>ROUND(INDEX(挂机升级突破!ED$6:ED$57,卡牌消耗!$AA138)*INDEX(卡牌消耗!$B$8:$F$8,卡牌消耗!$Z138)/卡牌消耗!$Q$4/AH$2,0)*AH$2</f>
        <v>13350</v>
      </c>
      <c r="AI138" s="194"/>
      <c r="AJ138" s="194"/>
      <c r="AK138" s="104">
        <v>134</v>
      </c>
      <c r="AL138" s="14">
        <f t="shared" si="252"/>
        <v>3</v>
      </c>
      <c r="AM138" s="14">
        <f>INDEX(挂机升级突破!DQ$6:DQ$57,卡牌消耗!$AT138)</f>
        <v>11</v>
      </c>
      <c r="AN138" s="14">
        <f>INDEX(挂机升级突破!DR$6:DR$57,卡牌消耗!$AT138)</f>
        <v>4</v>
      </c>
      <c r="AO138" s="14">
        <f>INDEX(挂机升级突破!DS$6:DS$57,卡牌消耗!$AT138)</f>
        <v>0</v>
      </c>
      <c r="AP138" s="14">
        <f>INDEX(挂机升级突破!$DP$6:$DP$57,卡牌消耗!AT138)</f>
        <v>93</v>
      </c>
      <c r="AQ138" s="14" t="str">
        <f t="shared" si="253"/>
        <v>典韦</v>
      </c>
      <c r="AR138" s="14">
        <f t="shared" si="254"/>
        <v>4</v>
      </c>
      <c r="AS138" s="14" t="str">
        <f t="shared" si="255"/>
        <v>典韦魂火-30</v>
      </c>
      <c r="AT138" s="14">
        <f t="shared" si="256"/>
        <v>30</v>
      </c>
      <c r="AU138" s="14" t="str">
        <f>IF(AM138&gt;0,INDEX(挂机升级突破!$DT$4:$ED$4,AM138),"")</f>
        <v>金币</v>
      </c>
      <c r="AV138" s="14">
        <f>ROUND(INDEX(挂机升级突破!$DJ$6:$DJ$57,卡牌消耗!AT138)*INDEX(卡牌消耗!$B$8:$F$8,AR138)/$Q$4/50,0)*50</f>
        <v>13350</v>
      </c>
      <c r="AW138" s="14" t="str">
        <f>IF(AN138&gt;0,INDEX(挂机升级突破!$DT$4:$ED$4,AN138),"")</f>
        <v>橙色基础材料</v>
      </c>
      <c r="AX138" s="14">
        <f>ROUND(INDEX(挂机升级突破!$DT$6:$ED$57,卡牌消耗!AT138,AN138)*INDEX(卡牌消耗!$B$5:$F$5,AR138)/$Q$4/5,0)*5</f>
        <v>30</v>
      </c>
      <c r="AY138" s="14" t="str">
        <f>IF(AO138&gt;0,INDEX(挂机升级突破!$DT$4:$ED$4,AO138),"")</f>
        <v/>
      </c>
      <c r="AZ138" s="14" t="str">
        <f>IF(AO138&gt;0,ROUND(INDEX(挂机升级突破!$DT$6:$ED$57,卡牌消耗!AT138,AO138)*INDEX(卡牌消耗!$B$7:$F$7,AR138)/$Q$4,0),"")</f>
        <v/>
      </c>
      <c r="BA138" s="106"/>
      <c r="BB138" s="197"/>
      <c r="BC138" s="197"/>
      <c r="BD138" s="197"/>
      <c r="BE138" s="197"/>
      <c r="BF138" s="197"/>
      <c r="BG138" s="197"/>
      <c r="BH138" s="197"/>
      <c r="BI138" s="197"/>
      <c r="BJ138" s="197"/>
      <c r="BK138" s="197"/>
      <c r="BL138" s="104">
        <v>134</v>
      </c>
      <c r="BM138" s="14">
        <f t="shared" si="257"/>
        <v>7</v>
      </c>
      <c r="BN138" s="14">
        <f>INDEX(挂机升级突破!$EI$7:$EI$26,BS138)</f>
        <v>5</v>
      </c>
      <c r="BO138" s="14">
        <f>INDEX(挂机升级突破!$EJ$7:$EJ$26,BS138)</f>
        <v>3</v>
      </c>
      <c r="BP138" s="14">
        <f t="shared" si="258"/>
        <v>4</v>
      </c>
      <c r="BQ138" s="14">
        <f>INDEX(挂机升级突破!$EH$7:$EH$26,卡牌消耗!BS138)</f>
        <v>95</v>
      </c>
      <c r="BR138" s="14" t="str">
        <f t="shared" si="259"/>
        <v>天使缇娜</v>
      </c>
      <c r="BS138" s="14">
        <f t="shared" si="260"/>
        <v>14</v>
      </c>
      <c r="BT138" s="14" t="str">
        <f t="shared" si="261"/>
        <v>天使缇娜14突</v>
      </c>
      <c r="BU138" s="14" t="str">
        <f>IF(BN138&gt;0,INDEX(挂机升级突破!$ER$5:$EV$5,卡牌消耗!BN138),"")</f>
        <v>金币</v>
      </c>
      <c r="BV138" s="14">
        <f>IF(BN138&gt;0,ROUND(INDEX(挂机升级突破!$EV$7:$EV$26,卡牌消耗!BS138)*INDEX(卡牌消耗!$B$8:$F$8,BP138)/$Q$4/500,0)*500,"")</f>
        <v>50000</v>
      </c>
      <c r="BW138" s="14" t="str">
        <f>IF(BO138&gt;0,INDEX(挂机升级突破!$ER$5:$EV$5,卡牌消耗!BO138),"")</f>
        <v>银母</v>
      </c>
      <c r="BX138" s="14">
        <f>IF(BO138&gt;0,ROUND(INDEX(挂机升级突破!$ER$7:$EU$26,卡牌消耗!BS138,卡牌消耗!BO138)*INDEX($B$6:$F$6,BP138)/$Q$4/5,0)*5,"")</f>
        <v>65</v>
      </c>
      <c r="BY138" s="193"/>
      <c r="BZ138" s="193"/>
      <c r="CA138" s="106"/>
      <c r="CS138" s="171"/>
      <c r="CT138" s="171"/>
      <c r="CU138" s="171"/>
      <c r="CV138" s="169">
        <v>134</v>
      </c>
      <c r="CW138" s="169">
        <v>6</v>
      </c>
      <c r="CX138" s="21">
        <f t="shared" ref="CX138" si="274">CW138/$CU136</f>
        <v>0.21818181818181817</v>
      </c>
      <c r="CY138" s="169">
        <f t="shared" ref="CY138" si="275">INT($CU135*CX138/5)*5</f>
        <v>110835</v>
      </c>
      <c r="CZ138" s="169">
        <f>SUM(CY$5:CY138)</f>
        <v>3740135</v>
      </c>
      <c r="DB138" s="188">
        <f t="shared" si="264"/>
        <v>55400</v>
      </c>
      <c r="DC138" s="188">
        <f t="shared" si="264"/>
        <v>88650</v>
      </c>
      <c r="DD138" s="188">
        <f t="shared" si="264"/>
        <v>110800</v>
      </c>
      <c r="DE138" s="188">
        <f t="shared" si="264"/>
        <v>133000</v>
      </c>
      <c r="DF138" s="188">
        <f t="shared" si="264"/>
        <v>166250</v>
      </c>
      <c r="DI138" s="186">
        <v>134</v>
      </c>
      <c r="DJ138" s="14">
        <f t="shared" si="265"/>
        <v>27</v>
      </c>
      <c r="DK138" s="14">
        <f t="shared" si="247"/>
        <v>5</v>
      </c>
      <c r="DL138" s="14">
        <f t="shared" si="248"/>
        <v>1101996</v>
      </c>
      <c r="DM138" s="136" t="s">
        <v>1097</v>
      </c>
      <c r="DN138" s="14">
        <f t="shared" si="249"/>
        <v>4</v>
      </c>
      <c r="DO138" s="14" t="str">
        <f t="shared" si="250"/>
        <v>UR寄灵人-4星</v>
      </c>
      <c r="DP138" s="136" t="s">
        <v>1103</v>
      </c>
      <c r="DQ138" s="14">
        <f t="shared" si="266"/>
        <v>50000</v>
      </c>
      <c r="DR138" s="14" t="str">
        <f t="shared" si="251"/>
        <v>UR寄灵人碎片</v>
      </c>
      <c r="DS138" s="14">
        <f t="shared" si="267"/>
        <v>120</v>
      </c>
    </row>
    <row r="139" spans="8:123" ht="16.5" x14ac:dyDescent="0.2">
      <c r="H139" s="15"/>
      <c r="I139" s="15"/>
      <c r="J139" s="15"/>
      <c r="K139" s="15"/>
      <c r="L139" s="15"/>
      <c r="M139" s="15"/>
      <c r="N139" s="15"/>
      <c r="O139" s="137"/>
      <c r="P139" s="141"/>
      <c r="Q139" s="141"/>
      <c r="R139" s="141"/>
      <c r="S139" s="141"/>
      <c r="T139" s="141"/>
      <c r="U139" s="141"/>
      <c r="V139" s="141"/>
      <c r="W139" s="141"/>
      <c r="X139" s="141"/>
      <c r="Y139" s="141"/>
      <c r="Z139" s="196">
        <v>4</v>
      </c>
      <c r="AA139" s="196">
        <v>31</v>
      </c>
      <c r="AB139" s="14">
        <f>ROUND(INDEX(挂机升级突破!DT$6:DT$57,卡牌消耗!$AA139)*INDEX(卡牌消耗!$B$5:$F$5,卡牌消耗!$Z139)/卡牌消耗!$Q$4/AB$2,0)*AB$2</f>
        <v>0</v>
      </c>
      <c r="AC139" s="14">
        <f>ROUND(INDEX(挂机升级突破!DU$6:DU$57,卡牌消耗!$AA139)*INDEX(卡牌消耗!$B$5:$F$5,卡牌消耗!$Z139)/卡牌消耗!$Q$4/AC$2,0)*AC$2</f>
        <v>0</v>
      </c>
      <c r="AD139" s="14">
        <f>ROUND(INDEX(挂机升级突破!DV$6:DV$57,卡牌消耗!$AA139)*INDEX(卡牌消耗!$B$5:$F$5,卡牌消耗!$Z139)/卡牌消耗!$Q$4/AD$2,0)*AD$2</f>
        <v>0</v>
      </c>
      <c r="AE139" s="14">
        <f>ROUND(INDEX(挂机升级突破!DW$6:DW$57,卡牌消耗!$AA139)*INDEX(卡牌消耗!$B$5:$F$5,卡牌消耗!$Z139)/卡牌消耗!$Q$4/AE$2,0)*AE$2</f>
        <v>30</v>
      </c>
      <c r="AF139" s="14">
        <f>ROUND(INDEX(挂机升级突破!DX$6:DX$57,卡牌消耗!$AA139)*INDEX(卡牌消耗!$B$5:$F$5,卡牌消耗!$Z139)/卡牌消耗!$Q$4/AF$2,0)*AF$2</f>
        <v>0</v>
      </c>
      <c r="AG139" s="14">
        <f>ROUND(INDEX(挂机升级突破!EC$6:EC$57,卡牌消耗!$AA139)*INDEX(卡牌消耗!$B$7:$F$7,卡牌消耗!$Z139)/卡牌消耗!$Q$4/AG$2,0)*AG$2</f>
        <v>0</v>
      </c>
      <c r="AH139" s="14">
        <f>ROUND(INDEX(挂机升级突破!ED$6:ED$57,卡牌消耗!$AA139)*INDEX(卡牌消耗!$B$8:$F$8,卡牌消耗!$Z139)/卡牌消耗!$Q$4/AH$2,0)*AH$2</f>
        <v>13350</v>
      </c>
      <c r="AI139" s="194"/>
      <c r="AJ139" s="194"/>
      <c r="AK139" s="104">
        <v>135</v>
      </c>
      <c r="AL139" s="14">
        <f t="shared" si="252"/>
        <v>3</v>
      </c>
      <c r="AM139" s="14">
        <f>INDEX(挂机升级突破!DQ$6:DQ$57,卡牌消耗!$AT139)</f>
        <v>11</v>
      </c>
      <c r="AN139" s="14">
        <f>INDEX(挂机升级突破!DR$6:DR$57,卡牌消耗!$AT139)</f>
        <v>4</v>
      </c>
      <c r="AO139" s="14">
        <f>INDEX(挂机升级突破!DS$6:DS$57,卡牌消耗!$AT139)</f>
        <v>0</v>
      </c>
      <c r="AP139" s="14">
        <f>INDEX(挂机升级突破!$DP$6:$DP$57,卡牌消耗!AT139)</f>
        <v>95</v>
      </c>
      <c r="AQ139" s="14" t="str">
        <f t="shared" si="253"/>
        <v>典韦</v>
      </c>
      <c r="AR139" s="14">
        <f t="shared" si="254"/>
        <v>4</v>
      </c>
      <c r="AS139" s="14" t="str">
        <f t="shared" si="255"/>
        <v>典韦魂火-31</v>
      </c>
      <c r="AT139" s="14">
        <f t="shared" si="256"/>
        <v>31</v>
      </c>
      <c r="AU139" s="14" t="str">
        <f>IF(AM139&gt;0,INDEX(挂机升级突破!$DT$4:$ED$4,AM139),"")</f>
        <v>金币</v>
      </c>
      <c r="AV139" s="14">
        <f>ROUND(INDEX(挂机升级突破!$DJ$6:$DJ$57,卡牌消耗!AT139)*INDEX(卡牌消耗!$B$8:$F$8,AR139)/$Q$4/50,0)*50</f>
        <v>13350</v>
      </c>
      <c r="AW139" s="14" t="str">
        <f>IF(AN139&gt;0,INDEX(挂机升级突破!$DT$4:$ED$4,AN139),"")</f>
        <v>橙色基础材料</v>
      </c>
      <c r="AX139" s="14">
        <f>ROUND(INDEX(挂机升级突破!$DT$6:$ED$57,卡牌消耗!AT139,AN139)*INDEX(卡牌消耗!$B$5:$F$5,AR139)/$Q$4/5,0)*5</f>
        <v>30</v>
      </c>
      <c r="AY139" s="14" t="str">
        <f>IF(AO139&gt;0,INDEX(挂机升级突破!$DT$4:$ED$4,AO139),"")</f>
        <v/>
      </c>
      <c r="AZ139" s="14" t="str">
        <f>IF(AO139&gt;0,ROUND(INDEX(挂机升级突破!$DT$6:$ED$57,卡牌消耗!AT139,AO139)*INDEX(卡牌消耗!$B$7:$F$7,AR139)/$Q$4,0),"")</f>
        <v/>
      </c>
      <c r="BA139" s="106"/>
      <c r="BB139" s="197"/>
      <c r="BC139" s="197"/>
      <c r="BD139" s="197"/>
      <c r="BE139" s="197"/>
      <c r="BF139" s="197"/>
      <c r="BG139" s="197"/>
      <c r="BH139" s="197"/>
      <c r="BI139" s="197"/>
      <c r="BJ139" s="197"/>
      <c r="BK139" s="197"/>
      <c r="BL139" s="104">
        <v>135</v>
      </c>
      <c r="BM139" s="14">
        <f t="shared" si="257"/>
        <v>7</v>
      </c>
      <c r="BN139" s="14">
        <f>INDEX(挂机升级突破!$EI$7:$EI$26,BS139)</f>
        <v>5</v>
      </c>
      <c r="BO139" s="14">
        <f>INDEX(挂机升级突破!$EJ$7:$EJ$26,BS139)</f>
        <v>3</v>
      </c>
      <c r="BP139" s="14">
        <f t="shared" si="258"/>
        <v>4</v>
      </c>
      <c r="BQ139" s="14">
        <f>INDEX(挂机升级突破!$EH$7:$EH$26,卡牌消耗!BS139)</f>
        <v>102</v>
      </c>
      <c r="BR139" s="14" t="str">
        <f t="shared" si="259"/>
        <v>天使缇娜</v>
      </c>
      <c r="BS139" s="14">
        <f t="shared" si="260"/>
        <v>15</v>
      </c>
      <c r="BT139" s="14" t="str">
        <f t="shared" si="261"/>
        <v>天使缇娜15突</v>
      </c>
      <c r="BU139" s="14" t="str">
        <f>IF(BN139&gt;0,INDEX(挂机升级突破!$ER$5:$EV$5,卡牌消耗!BN139),"")</f>
        <v>金币</v>
      </c>
      <c r="BV139" s="14">
        <f>IF(BN139&gt;0,ROUND(INDEX(挂机升级突破!$EV$7:$EV$26,卡牌消耗!BS139)*INDEX(卡牌消耗!$B$8:$F$8,BP139)/$Q$4/500,0)*500,"")</f>
        <v>66500</v>
      </c>
      <c r="BW139" s="14" t="str">
        <f>IF(BO139&gt;0,INDEX(挂机升级突破!$ER$5:$EV$5,卡牌消耗!BO139),"")</f>
        <v>银母</v>
      </c>
      <c r="BX139" s="14">
        <f>IF(BO139&gt;0,ROUND(INDEX(挂机升级突破!$ER$7:$EU$26,卡牌消耗!BS139,卡牌消耗!BO139)*INDEX($B$6:$F$6,BP139)/$Q$4/5,0)*5,"")</f>
        <v>85</v>
      </c>
      <c r="BY139" s="193"/>
      <c r="BZ139" s="193"/>
      <c r="CA139" s="106"/>
      <c r="CS139" s="171"/>
      <c r="CT139" s="173" t="s">
        <v>120</v>
      </c>
      <c r="CU139" s="169">
        <v>26</v>
      </c>
      <c r="CV139" s="169">
        <v>135</v>
      </c>
      <c r="CW139" s="169">
        <v>5</v>
      </c>
      <c r="CX139" s="21">
        <f t="shared" ref="CX139" si="276">CW139/$CU141</f>
        <v>0.18181818181818182</v>
      </c>
      <c r="CY139" s="169">
        <f t="shared" ref="CY139" si="277">INT($CU140*CX139/5)*5</f>
        <v>115890</v>
      </c>
      <c r="CZ139" s="169">
        <f>SUM(CY$5:CY139)</f>
        <v>3856025</v>
      </c>
      <c r="DB139" s="188">
        <f t="shared" si="264"/>
        <v>57900</v>
      </c>
      <c r="DC139" s="188">
        <f t="shared" si="264"/>
        <v>92700</v>
      </c>
      <c r="DD139" s="188">
        <f t="shared" si="264"/>
        <v>115850</v>
      </c>
      <c r="DE139" s="188">
        <f t="shared" si="264"/>
        <v>139050</v>
      </c>
      <c r="DF139" s="188">
        <f t="shared" si="264"/>
        <v>173800</v>
      </c>
      <c r="DI139" s="186">
        <v>135</v>
      </c>
      <c r="DJ139" s="14">
        <f t="shared" si="265"/>
        <v>27</v>
      </c>
      <c r="DK139" s="14">
        <f t="shared" si="247"/>
        <v>5</v>
      </c>
      <c r="DL139" s="14">
        <f t="shared" si="248"/>
        <v>1101996</v>
      </c>
      <c r="DM139" s="136" t="s">
        <v>1097</v>
      </c>
      <c r="DN139" s="14">
        <f t="shared" si="249"/>
        <v>5</v>
      </c>
      <c r="DO139" s="14" t="str">
        <f t="shared" si="250"/>
        <v>UR寄灵人-5星</v>
      </c>
      <c r="DP139" s="136" t="s">
        <v>1103</v>
      </c>
      <c r="DQ139" s="14">
        <f t="shared" si="266"/>
        <v>90000</v>
      </c>
      <c r="DR139" s="14" t="str">
        <f t="shared" si="251"/>
        <v>UR寄灵人碎片</v>
      </c>
      <c r="DS139" s="14">
        <f t="shared" si="267"/>
        <v>120</v>
      </c>
    </row>
    <row r="140" spans="8:123" ht="16.5" x14ac:dyDescent="0.2">
      <c r="H140" s="15"/>
      <c r="I140" s="15"/>
      <c r="J140" s="15"/>
      <c r="K140" s="15"/>
      <c r="L140" s="15"/>
      <c r="M140" s="15"/>
      <c r="N140" s="15"/>
      <c r="O140" s="137"/>
      <c r="P140" s="141"/>
      <c r="Q140" s="141"/>
      <c r="R140" s="141"/>
      <c r="S140" s="141"/>
      <c r="T140" s="141"/>
      <c r="U140" s="141"/>
      <c r="V140" s="141"/>
      <c r="W140" s="141"/>
      <c r="X140" s="141"/>
      <c r="Y140" s="141"/>
      <c r="Z140" s="196">
        <v>4</v>
      </c>
      <c r="AA140" s="196">
        <v>32</v>
      </c>
      <c r="AB140" s="14">
        <f>ROUND(INDEX(挂机升级突破!DT$6:DT$57,卡牌消耗!$AA140)*INDEX(卡牌消耗!$B$5:$F$5,卡牌消耗!$Z140)/卡牌消耗!$Q$4/AB$2,0)*AB$2</f>
        <v>0</v>
      </c>
      <c r="AC140" s="14">
        <f>ROUND(INDEX(挂机升级突破!DU$6:DU$57,卡牌消耗!$AA140)*INDEX(卡牌消耗!$B$5:$F$5,卡牌消耗!$Z140)/卡牌消耗!$Q$4/AC$2,0)*AC$2</f>
        <v>0</v>
      </c>
      <c r="AD140" s="14">
        <f>ROUND(INDEX(挂机升级突破!DV$6:DV$57,卡牌消耗!$AA140)*INDEX(卡牌消耗!$B$5:$F$5,卡牌消耗!$Z140)/卡牌消耗!$Q$4/AD$2,0)*AD$2</f>
        <v>0</v>
      </c>
      <c r="AE140" s="14">
        <f>ROUND(INDEX(挂机升级突破!DW$6:DW$57,卡牌消耗!$AA140)*INDEX(卡牌消耗!$B$5:$F$5,卡牌消耗!$Z140)/卡牌消耗!$Q$4/AE$2,0)*AE$2</f>
        <v>30</v>
      </c>
      <c r="AF140" s="14">
        <f>ROUND(INDEX(挂机升级突破!DX$6:DX$57,卡牌消耗!$AA140)*INDEX(卡牌消耗!$B$5:$F$5,卡牌消耗!$Z140)/卡牌消耗!$Q$4/AF$2,0)*AF$2</f>
        <v>0</v>
      </c>
      <c r="AG140" s="14">
        <f>ROUND(INDEX(挂机升级突破!EC$6:EC$57,卡牌消耗!$AA140)*INDEX(卡牌消耗!$B$7:$F$7,卡牌消耗!$Z140)/卡牌消耗!$Q$4/AG$2,0)*AG$2</f>
        <v>3</v>
      </c>
      <c r="AH140" s="14">
        <f>ROUND(INDEX(挂机升级突破!ED$6:ED$57,卡牌消耗!$AA140)*INDEX(卡牌消耗!$B$8:$F$8,卡牌消耗!$Z140)/卡牌消耗!$Q$4/AH$2,0)*AH$2</f>
        <v>18350</v>
      </c>
      <c r="AI140" s="194"/>
      <c r="AJ140" s="194"/>
      <c r="AK140" s="104">
        <v>136</v>
      </c>
      <c r="AL140" s="14">
        <f t="shared" si="252"/>
        <v>3</v>
      </c>
      <c r="AM140" s="14">
        <f>INDEX(挂机升级突破!DQ$6:DQ$57,卡牌消耗!$AT140)</f>
        <v>11</v>
      </c>
      <c r="AN140" s="14">
        <f>INDEX(挂机升级突破!DR$6:DR$57,卡牌消耗!$AT140)</f>
        <v>4</v>
      </c>
      <c r="AO140" s="14">
        <f>INDEX(挂机升级突破!DS$6:DS$57,卡牌消耗!$AT140)</f>
        <v>0</v>
      </c>
      <c r="AP140" s="14">
        <f>INDEX(挂机升级突破!$DP$6:$DP$57,卡牌消耗!AT140)</f>
        <v>98</v>
      </c>
      <c r="AQ140" s="14" t="str">
        <f t="shared" si="253"/>
        <v>典韦</v>
      </c>
      <c r="AR140" s="14">
        <f t="shared" si="254"/>
        <v>4</v>
      </c>
      <c r="AS140" s="14" t="str">
        <f t="shared" si="255"/>
        <v>典韦魂火-32</v>
      </c>
      <c r="AT140" s="14">
        <f t="shared" si="256"/>
        <v>32</v>
      </c>
      <c r="AU140" s="14" t="str">
        <f>IF(AM140&gt;0,INDEX(挂机升级突破!$DT$4:$ED$4,AM140),"")</f>
        <v>金币</v>
      </c>
      <c r="AV140" s="14">
        <f>ROUND(INDEX(挂机升级突破!$DJ$6:$DJ$57,卡牌消耗!AT140)*INDEX(卡牌消耗!$B$8:$F$8,AR140)/$Q$4/50,0)*50</f>
        <v>18350</v>
      </c>
      <c r="AW140" s="14" t="str">
        <f>IF(AN140&gt;0,INDEX(挂机升级突破!$DT$4:$ED$4,AN140),"")</f>
        <v>橙色基础材料</v>
      </c>
      <c r="AX140" s="14">
        <f>ROUND(INDEX(挂机升级突破!$DT$6:$ED$57,卡牌消耗!AT140,AN140)*INDEX(卡牌消耗!$B$5:$F$5,AR140)/$Q$4/5,0)*5</f>
        <v>30</v>
      </c>
      <c r="AY140" s="14" t="str">
        <f>IF(AO140&gt;0,INDEX(挂机升级突破!$DT$4:$ED$4,AO140),"")</f>
        <v/>
      </c>
      <c r="AZ140" s="14" t="str">
        <f>IF(AO140&gt;0,ROUND(INDEX(挂机升级突破!$DT$6:$ED$57,卡牌消耗!AT140,AO140)*INDEX(卡牌消耗!$B$7:$F$7,AR140)/$Q$4,0),"")</f>
        <v/>
      </c>
      <c r="BA140" s="106"/>
      <c r="BB140" s="197"/>
      <c r="BC140" s="197"/>
      <c r="BD140" s="197"/>
      <c r="BE140" s="197"/>
      <c r="BF140" s="197"/>
      <c r="BG140" s="197"/>
      <c r="BH140" s="197"/>
      <c r="BI140" s="197"/>
      <c r="BJ140" s="197"/>
      <c r="BK140" s="197"/>
      <c r="BL140" s="104">
        <v>136</v>
      </c>
      <c r="BM140" s="14">
        <f t="shared" si="257"/>
        <v>7</v>
      </c>
      <c r="BN140" s="14">
        <f>INDEX(挂机升级突破!$EI$7:$EI$26,BS140)</f>
        <v>5</v>
      </c>
      <c r="BO140" s="14">
        <f>INDEX(挂机升级突破!$EJ$7:$EJ$26,BS140)</f>
        <v>3</v>
      </c>
      <c r="BP140" s="14">
        <f t="shared" si="258"/>
        <v>4</v>
      </c>
      <c r="BQ140" s="14">
        <f>INDEX(挂机升级突破!$EH$7:$EH$26,卡牌消耗!BS140)</f>
        <v>110</v>
      </c>
      <c r="BR140" s="14" t="str">
        <f t="shared" si="259"/>
        <v>天使缇娜</v>
      </c>
      <c r="BS140" s="14">
        <f t="shared" si="260"/>
        <v>16</v>
      </c>
      <c r="BT140" s="14" t="str">
        <f t="shared" si="261"/>
        <v>天使缇娜16突</v>
      </c>
      <c r="BU140" s="14" t="str">
        <f>IF(BN140&gt;0,INDEX(挂机升级突破!$ER$5:$EV$5,卡牌消耗!BN140),"")</f>
        <v>金币</v>
      </c>
      <c r="BV140" s="14">
        <f>IF(BN140&gt;0,ROUND(INDEX(挂机升级突破!$EV$7:$EV$26,卡牌消耗!BS140)*INDEX(卡牌消耗!$B$8:$F$8,BP140)/$Q$4/500,0)*500,"")</f>
        <v>121000</v>
      </c>
      <c r="BW140" s="14" t="str">
        <f>IF(BO140&gt;0,INDEX(挂机升级突破!$ER$5:$EV$5,卡牌消耗!BO140),"")</f>
        <v>银母</v>
      </c>
      <c r="BX140" s="14">
        <f>IF(BO140&gt;0,ROUND(INDEX(挂机升级突破!$ER$7:$EU$26,卡牌消耗!BS140,卡牌消耗!BO140)*INDEX($B$6:$F$6,BP140)/$Q$4/5,0)*5,"")</f>
        <v>110</v>
      </c>
      <c r="BY140" s="193"/>
      <c r="BZ140" s="193"/>
      <c r="CA140" s="106"/>
      <c r="CS140" s="171"/>
      <c r="CT140" s="171"/>
      <c r="CU140" s="14">
        <f>INDEX($CP$5:$CP$32,CU139)</f>
        <v>637416</v>
      </c>
      <c r="CV140" s="169">
        <v>136</v>
      </c>
      <c r="CW140" s="169">
        <v>5.25</v>
      </c>
      <c r="CX140" s="21">
        <f t="shared" ref="CX140" si="278">CW140/$CU141</f>
        <v>0.19090909090909092</v>
      </c>
      <c r="CY140" s="169">
        <f t="shared" ref="CY140" si="279">INT($CU140*CX140/5)*5</f>
        <v>121685</v>
      </c>
      <c r="CZ140" s="169">
        <f>SUM(CY$5:CY140)</f>
        <v>3977710</v>
      </c>
      <c r="DB140" s="188">
        <f t="shared" si="264"/>
        <v>60800</v>
      </c>
      <c r="DC140" s="188">
        <f t="shared" si="264"/>
        <v>97300</v>
      </c>
      <c r="DD140" s="188">
        <f t="shared" si="264"/>
        <v>121650</v>
      </c>
      <c r="DE140" s="188">
        <f t="shared" si="264"/>
        <v>146000</v>
      </c>
      <c r="DF140" s="188">
        <f t="shared" si="264"/>
        <v>182500</v>
      </c>
      <c r="DI140" s="186">
        <v>136</v>
      </c>
      <c r="DJ140" s="14">
        <f t="shared" si="265"/>
        <v>28</v>
      </c>
      <c r="DK140" s="14">
        <f t="shared" si="247"/>
        <v>4</v>
      </c>
      <c r="DL140" s="14">
        <f t="shared" si="248"/>
        <v>1102001</v>
      </c>
      <c r="DM140" s="136" t="s">
        <v>1097</v>
      </c>
      <c r="DN140" s="14">
        <f t="shared" si="249"/>
        <v>1</v>
      </c>
      <c r="DO140" s="14" t="str">
        <f t="shared" si="250"/>
        <v>关羽-1星</v>
      </c>
      <c r="DP140" s="136" t="s">
        <v>1103</v>
      </c>
      <c r="DQ140" s="14">
        <f t="shared" si="266"/>
        <v>6000</v>
      </c>
      <c r="DR140" s="14" t="str">
        <f t="shared" si="251"/>
        <v>关羽碎片</v>
      </c>
      <c r="DS140" s="14">
        <f t="shared" si="267"/>
        <v>80</v>
      </c>
    </row>
    <row r="141" spans="8:123" ht="16.5" x14ac:dyDescent="0.2">
      <c r="H141" s="15"/>
      <c r="I141" s="15"/>
      <c r="J141" s="15"/>
      <c r="K141" s="15"/>
      <c r="L141" s="15"/>
      <c r="M141" s="15"/>
      <c r="N141" s="15"/>
      <c r="O141" s="137"/>
      <c r="P141" s="141"/>
      <c r="Q141" s="141"/>
      <c r="R141" s="141"/>
      <c r="S141" s="141"/>
      <c r="T141" s="141"/>
      <c r="U141" s="141"/>
      <c r="V141" s="141"/>
      <c r="W141" s="141"/>
      <c r="X141" s="141"/>
      <c r="Y141" s="141"/>
      <c r="Z141" s="196">
        <v>4</v>
      </c>
      <c r="AA141" s="196">
        <v>33</v>
      </c>
      <c r="AB141" s="14">
        <f>ROUND(INDEX(挂机升级突破!DT$6:DT$57,卡牌消耗!$AA141)*INDEX(卡牌消耗!$B$5:$F$5,卡牌消耗!$Z141)/卡牌消耗!$Q$4/AB$2,0)*AB$2</f>
        <v>0</v>
      </c>
      <c r="AC141" s="14">
        <f>ROUND(INDEX(挂机升级突破!DU$6:DU$57,卡牌消耗!$AA141)*INDEX(卡牌消耗!$B$5:$F$5,卡牌消耗!$Z141)/卡牌消耗!$Q$4/AC$2,0)*AC$2</f>
        <v>0</v>
      </c>
      <c r="AD141" s="14">
        <f>ROUND(INDEX(挂机升级突破!DV$6:DV$57,卡牌消耗!$AA141)*INDEX(卡牌消耗!$B$5:$F$5,卡牌消耗!$Z141)/卡牌消耗!$Q$4/AD$2,0)*AD$2</f>
        <v>0</v>
      </c>
      <c r="AE141" s="14">
        <f>ROUND(INDEX(挂机升级突破!DW$6:DW$57,卡牌消耗!$AA141)*INDEX(卡牌消耗!$B$5:$F$5,卡牌消耗!$Z141)/卡牌消耗!$Q$4/AE$2,0)*AE$2</f>
        <v>30</v>
      </c>
      <c r="AF141" s="14">
        <f>ROUND(INDEX(挂机升级突破!DX$6:DX$57,卡牌消耗!$AA141)*INDEX(卡牌消耗!$B$5:$F$5,卡牌消耗!$Z141)/卡牌消耗!$Q$4/AF$2,0)*AF$2</f>
        <v>0</v>
      </c>
      <c r="AG141" s="14">
        <f>ROUND(INDEX(挂机升级突破!EC$6:EC$57,卡牌消耗!$AA141)*INDEX(卡牌消耗!$B$7:$F$7,卡牌消耗!$Z141)/卡牌消耗!$Q$4/AG$2,0)*AG$2</f>
        <v>3</v>
      </c>
      <c r="AH141" s="14">
        <f>ROUND(INDEX(挂机升级突破!ED$6:ED$57,卡牌消耗!$AA141)*INDEX(卡牌消耗!$B$8:$F$8,卡牌消耗!$Z141)/卡牌消耗!$Q$4/AH$2,0)*AH$2</f>
        <v>18350</v>
      </c>
      <c r="AI141" s="194"/>
      <c r="AJ141" s="194"/>
      <c r="AK141" s="104">
        <v>137</v>
      </c>
      <c r="AL141" s="14">
        <f t="shared" si="252"/>
        <v>3</v>
      </c>
      <c r="AM141" s="14">
        <f>INDEX(挂机升级突破!DQ$6:DQ$57,卡牌消耗!$AT141)</f>
        <v>11</v>
      </c>
      <c r="AN141" s="14">
        <f>INDEX(挂机升级突破!DR$6:DR$57,卡牌消耗!$AT141)</f>
        <v>4</v>
      </c>
      <c r="AO141" s="14">
        <f>INDEX(挂机升级突破!DS$6:DS$57,卡牌消耗!$AT141)</f>
        <v>0</v>
      </c>
      <c r="AP141" s="14">
        <f>INDEX(挂机升级突破!$DP$6:$DP$57,卡牌消耗!AT141)</f>
        <v>100</v>
      </c>
      <c r="AQ141" s="14" t="str">
        <f t="shared" si="253"/>
        <v>典韦</v>
      </c>
      <c r="AR141" s="14">
        <f t="shared" si="254"/>
        <v>4</v>
      </c>
      <c r="AS141" s="14" t="str">
        <f t="shared" si="255"/>
        <v>典韦魂火-33</v>
      </c>
      <c r="AT141" s="14">
        <f t="shared" si="256"/>
        <v>33</v>
      </c>
      <c r="AU141" s="14" t="str">
        <f>IF(AM141&gt;0,INDEX(挂机升级突破!$DT$4:$ED$4,AM141),"")</f>
        <v>金币</v>
      </c>
      <c r="AV141" s="14">
        <f>ROUND(INDEX(挂机升级突破!$DJ$6:$DJ$57,卡牌消耗!AT141)*INDEX(卡牌消耗!$B$8:$F$8,AR141)/$Q$4/50,0)*50</f>
        <v>18350</v>
      </c>
      <c r="AW141" s="14" t="str">
        <f>IF(AN141&gt;0,INDEX(挂机升级突破!$DT$4:$ED$4,AN141),"")</f>
        <v>橙色基础材料</v>
      </c>
      <c r="AX141" s="14">
        <f>ROUND(INDEX(挂机升级突破!$DT$6:$ED$57,卡牌消耗!AT141,AN141)*INDEX(卡牌消耗!$B$5:$F$5,AR141)/$Q$4/5,0)*5</f>
        <v>30</v>
      </c>
      <c r="AY141" s="14" t="str">
        <f>IF(AO141&gt;0,INDEX(挂机升级突破!$DT$4:$ED$4,AO141),"")</f>
        <v/>
      </c>
      <c r="AZ141" s="14" t="str">
        <f>IF(AO141&gt;0,ROUND(INDEX(挂机升级突破!$DT$6:$ED$57,卡牌消耗!AT141,AO141)*INDEX(卡牌消耗!$B$7:$F$7,AR141)/$Q$4,0),"")</f>
        <v/>
      </c>
      <c r="BA141" s="106"/>
      <c r="BB141" s="197"/>
      <c r="BC141" s="197"/>
      <c r="BD141" s="197"/>
      <c r="BE141" s="197"/>
      <c r="BF141" s="197"/>
      <c r="BG141" s="197"/>
      <c r="BH141" s="197"/>
      <c r="BI141" s="197"/>
      <c r="BJ141" s="197"/>
      <c r="BK141" s="197"/>
      <c r="BL141" s="104">
        <v>137</v>
      </c>
      <c r="BM141" s="14">
        <f t="shared" si="257"/>
        <v>7</v>
      </c>
      <c r="BN141" s="14">
        <f>INDEX(挂机升级突破!$EI$7:$EI$26,BS141)</f>
        <v>5</v>
      </c>
      <c r="BO141" s="14">
        <f>INDEX(挂机升级突破!$EJ$7:$EJ$26,BS141)</f>
        <v>4</v>
      </c>
      <c r="BP141" s="14">
        <f t="shared" si="258"/>
        <v>4</v>
      </c>
      <c r="BQ141" s="14">
        <f>INDEX(挂机升级突破!$EH$7:$EH$26,卡牌消耗!BS141)</f>
        <v>117</v>
      </c>
      <c r="BR141" s="14" t="str">
        <f t="shared" si="259"/>
        <v>天使缇娜</v>
      </c>
      <c r="BS141" s="14">
        <f t="shared" si="260"/>
        <v>17</v>
      </c>
      <c r="BT141" s="14" t="str">
        <f t="shared" si="261"/>
        <v>天使缇娜17突</v>
      </c>
      <c r="BU141" s="14" t="str">
        <f>IF(BN141&gt;0,INDEX(挂机升级突破!$ER$5:$EV$5,卡牌消耗!BN141),"")</f>
        <v>金币</v>
      </c>
      <c r="BV141" s="14">
        <f>IF(BN141&gt;0,ROUND(INDEX(挂机升级突破!$EV$7:$EV$26,卡牌消耗!BS141)*INDEX(卡牌消耗!$B$8:$F$8,BP141)/$Q$4/500,0)*500,"")</f>
        <v>121000</v>
      </c>
      <c r="BW141" s="14" t="str">
        <f>IF(BO141&gt;0,INDEX(挂机升级突破!$ER$5:$EV$5,卡牌消耗!BO141),"")</f>
        <v>铀金</v>
      </c>
      <c r="BX141" s="14">
        <f>IF(BO141&gt;0,ROUND(INDEX(挂机升级突破!$ER$7:$EU$26,卡牌消耗!BS141,卡牌消耗!BO141)*INDEX($B$6:$F$6,BP141)/$Q$4/5,0)*5,"")</f>
        <v>20</v>
      </c>
      <c r="BY141" s="193"/>
      <c r="BZ141" s="193"/>
      <c r="CA141" s="106"/>
      <c r="CS141" s="171"/>
      <c r="CT141" s="170"/>
      <c r="CU141" s="14">
        <f>SUMIFS($CW$5:$CW$154,$CV$5:$CV$154,"&gt;="&amp;INDEX($CE$5:$CE$32,CU139),$CV$5:$CV$154,"&lt;"&amp;INDEX($CF$5:$CF$32,CU139))</f>
        <v>27.5</v>
      </c>
      <c r="CV141" s="169">
        <v>137</v>
      </c>
      <c r="CW141" s="169">
        <v>5.5</v>
      </c>
      <c r="CX141" s="21">
        <f t="shared" ref="CX141" si="280">CW141/$CU141</f>
        <v>0.2</v>
      </c>
      <c r="CY141" s="169">
        <f t="shared" ref="CY141" si="281">INT($CU140*CX141/5)*5</f>
        <v>127480</v>
      </c>
      <c r="CZ141" s="169">
        <f>SUM(CY$5:CY141)</f>
        <v>4105190</v>
      </c>
      <c r="DB141" s="188">
        <f t="shared" si="264"/>
        <v>63700</v>
      </c>
      <c r="DC141" s="188">
        <f t="shared" si="264"/>
        <v>101950</v>
      </c>
      <c r="DD141" s="188">
        <f t="shared" si="264"/>
        <v>127450</v>
      </c>
      <c r="DE141" s="188">
        <f t="shared" si="264"/>
        <v>152950</v>
      </c>
      <c r="DF141" s="188">
        <f t="shared" si="264"/>
        <v>191200</v>
      </c>
      <c r="DI141" s="186">
        <v>137</v>
      </c>
      <c r="DJ141" s="14">
        <f t="shared" si="265"/>
        <v>28</v>
      </c>
      <c r="DK141" s="14">
        <f t="shared" si="247"/>
        <v>4</v>
      </c>
      <c r="DL141" s="14">
        <f t="shared" si="248"/>
        <v>1102001</v>
      </c>
      <c r="DM141" s="136" t="s">
        <v>1097</v>
      </c>
      <c r="DN141" s="14">
        <f t="shared" si="249"/>
        <v>2</v>
      </c>
      <c r="DO141" s="14" t="str">
        <f t="shared" si="250"/>
        <v>关羽-2星</v>
      </c>
      <c r="DP141" s="136" t="s">
        <v>1103</v>
      </c>
      <c r="DQ141" s="14">
        <f t="shared" si="266"/>
        <v>8000</v>
      </c>
      <c r="DR141" s="14" t="str">
        <f t="shared" si="251"/>
        <v>关羽碎片</v>
      </c>
      <c r="DS141" s="14">
        <f t="shared" si="267"/>
        <v>80</v>
      </c>
    </row>
    <row r="142" spans="8:123" ht="16.5" x14ac:dyDescent="0.2">
      <c r="H142" s="15"/>
      <c r="I142" s="15"/>
      <c r="J142" s="15"/>
      <c r="K142" s="15"/>
      <c r="L142" s="15"/>
      <c r="M142" s="15"/>
      <c r="N142" s="15"/>
      <c r="O142" s="137"/>
      <c r="P142" s="141"/>
      <c r="Q142" s="141"/>
      <c r="R142" s="141"/>
      <c r="S142" s="141"/>
      <c r="T142" s="141"/>
      <c r="U142" s="141"/>
      <c r="V142" s="141"/>
      <c r="W142" s="141"/>
      <c r="X142" s="141"/>
      <c r="Y142" s="141"/>
      <c r="Z142" s="196">
        <v>4</v>
      </c>
      <c r="AA142" s="196">
        <v>34</v>
      </c>
      <c r="AB142" s="14">
        <f>ROUND(INDEX(挂机升级突破!DT$6:DT$57,卡牌消耗!$AA142)*INDEX(卡牌消耗!$B$5:$F$5,卡牌消耗!$Z142)/卡牌消耗!$Q$4/AB$2,0)*AB$2</f>
        <v>0</v>
      </c>
      <c r="AC142" s="14">
        <f>ROUND(INDEX(挂机升级突破!DU$6:DU$57,卡牌消耗!$AA142)*INDEX(卡牌消耗!$B$5:$F$5,卡牌消耗!$Z142)/卡牌消耗!$Q$4/AC$2,0)*AC$2</f>
        <v>0</v>
      </c>
      <c r="AD142" s="14">
        <f>ROUND(INDEX(挂机升级突破!DV$6:DV$57,卡牌消耗!$AA142)*INDEX(卡牌消耗!$B$5:$F$5,卡牌消耗!$Z142)/卡牌消耗!$Q$4/AD$2,0)*AD$2</f>
        <v>0</v>
      </c>
      <c r="AE142" s="14">
        <f>ROUND(INDEX(挂机升级突破!DW$6:DW$57,卡牌消耗!$AA142)*INDEX(卡牌消耗!$B$5:$F$5,卡牌消耗!$Z142)/卡牌消耗!$Q$4/AE$2,0)*AE$2</f>
        <v>35</v>
      </c>
      <c r="AF142" s="14">
        <f>ROUND(INDEX(挂机升级突破!DX$6:DX$57,卡牌消耗!$AA142)*INDEX(卡牌消耗!$B$5:$F$5,卡牌消耗!$Z142)/卡牌消耗!$Q$4/AF$2,0)*AF$2</f>
        <v>0</v>
      </c>
      <c r="AG142" s="14">
        <f>ROUND(INDEX(挂机升级突破!EC$6:EC$57,卡牌消耗!$AA142)*INDEX(卡牌消耗!$B$7:$F$7,卡牌消耗!$Z142)/卡牌消耗!$Q$4/AG$2,0)*AG$2</f>
        <v>3</v>
      </c>
      <c r="AH142" s="14">
        <f>ROUND(INDEX(挂机升级突破!ED$6:ED$57,卡牌消耗!$AA142)*INDEX(卡牌消耗!$B$8:$F$8,卡牌消耗!$Z142)/卡牌消耗!$Q$4/AH$2,0)*AH$2</f>
        <v>18350</v>
      </c>
      <c r="AI142" s="194"/>
      <c r="AJ142" s="194"/>
      <c r="AK142" s="104">
        <v>138</v>
      </c>
      <c r="AL142" s="14">
        <f t="shared" si="252"/>
        <v>3</v>
      </c>
      <c r="AM142" s="14">
        <f>INDEX(挂机升级突破!DQ$6:DQ$57,卡牌消耗!$AT142)</f>
        <v>11</v>
      </c>
      <c r="AN142" s="14">
        <f>INDEX(挂机升级突破!DR$6:DR$57,卡牌消耗!$AT142)</f>
        <v>4</v>
      </c>
      <c r="AO142" s="14">
        <f>INDEX(挂机升级突破!DS$6:DS$57,卡牌消耗!$AT142)</f>
        <v>0</v>
      </c>
      <c r="AP142" s="14">
        <f>INDEX(挂机升级突破!$DP$6:$DP$57,卡牌消耗!AT142)</f>
        <v>103</v>
      </c>
      <c r="AQ142" s="14" t="str">
        <f t="shared" si="253"/>
        <v>典韦</v>
      </c>
      <c r="AR142" s="14">
        <f t="shared" si="254"/>
        <v>4</v>
      </c>
      <c r="AS142" s="14" t="str">
        <f t="shared" si="255"/>
        <v>典韦魂火-34</v>
      </c>
      <c r="AT142" s="14">
        <f t="shared" si="256"/>
        <v>34</v>
      </c>
      <c r="AU142" s="14" t="str">
        <f>IF(AM142&gt;0,INDEX(挂机升级突破!$DT$4:$ED$4,AM142),"")</f>
        <v>金币</v>
      </c>
      <c r="AV142" s="14">
        <f>ROUND(INDEX(挂机升级突破!$DJ$6:$DJ$57,卡牌消耗!AT142)*INDEX(卡牌消耗!$B$8:$F$8,AR142)/$Q$4/50,0)*50</f>
        <v>18350</v>
      </c>
      <c r="AW142" s="14" t="str">
        <f>IF(AN142&gt;0,INDEX(挂机升级突破!$DT$4:$ED$4,AN142),"")</f>
        <v>橙色基础材料</v>
      </c>
      <c r="AX142" s="14">
        <f>ROUND(INDEX(挂机升级突破!$DT$6:$ED$57,卡牌消耗!AT142,AN142)*INDEX(卡牌消耗!$B$5:$F$5,AR142)/$Q$4/5,0)*5</f>
        <v>35</v>
      </c>
      <c r="AY142" s="14" t="str">
        <f>IF(AO142&gt;0,INDEX(挂机升级突破!$DT$4:$ED$4,AO142),"")</f>
        <v/>
      </c>
      <c r="AZ142" s="14" t="str">
        <f>IF(AO142&gt;0,ROUND(INDEX(挂机升级突破!$DT$6:$ED$57,卡牌消耗!AT142,AO142)*INDEX(卡牌消耗!$B$7:$F$7,AR142)/$Q$4,0),"")</f>
        <v/>
      </c>
      <c r="BA142" s="106"/>
      <c r="BB142" s="197"/>
      <c r="BC142" s="197"/>
      <c r="BD142" s="197"/>
      <c r="BE142" s="197"/>
      <c r="BF142" s="197"/>
      <c r="BG142" s="197"/>
      <c r="BH142" s="197"/>
      <c r="BI142" s="197"/>
      <c r="BJ142" s="197"/>
      <c r="BK142" s="197"/>
      <c r="BL142" s="104">
        <v>138</v>
      </c>
      <c r="BM142" s="14">
        <f t="shared" si="257"/>
        <v>7</v>
      </c>
      <c r="BN142" s="14">
        <f>INDEX(挂机升级突破!$EI$7:$EI$26,BS142)</f>
        <v>5</v>
      </c>
      <c r="BO142" s="14">
        <f>INDEX(挂机升级突破!$EJ$7:$EJ$26,BS142)</f>
        <v>4</v>
      </c>
      <c r="BP142" s="14">
        <f t="shared" si="258"/>
        <v>4</v>
      </c>
      <c r="BQ142" s="14">
        <f>INDEX(挂机升级突破!$EH$7:$EH$26,卡牌消耗!BS142)</f>
        <v>125</v>
      </c>
      <c r="BR142" s="14" t="str">
        <f t="shared" si="259"/>
        <v>天使缇娜</v>
      </c>
      <c r="BS142" s="14">
        <f t="shared" si="260"/>
        <v>18</v>
      </c>
      <c r="BT142" s="14" t="str">
        <f t="shared" si="261"/>
        <v>天使缇娜18突</v>
      </c>
      <c r="BU142" s="14" t="str">
        <f>IF(BN142&gt;0,INDEX(挂机升级突破!$ER$5:$EV$5,卡牌消耗!BN142),"")</f>
        <v>金币</v>
      </c>
      <c r="BV142" s="14">
        <f>IF(BN142&gt;0,ROUND(INDEX(挂机升级突破!$EV$7:$EV$26,卡牌消耗!BS142)*INDEX(卡牌消耗!$B$8:$F$8,BP142)/$Q$4/500,0)*500,"")</f>
        <v>161000</v>
      </c>
      <c r="BW142" s="14" t="str">
        <f>IF(BO142&gt;0,INDEX(挂机升级突破!$ER$5:$EV$5,卡牌消耗!BO142),"")</f>
        <v>铀金</v>
      </c>
      <c r="BX142" s="14">
        <f>IF(BO142&gt;0,ROUND(INDEX(挂机升级突破!$ER$7:$EU$26,卡牌消耗!BS142,卡牌消耗!BO142)*INDEX($B$6:$F$6,BP142)/$Q$4/5,0)*5,"")</f>
        <v>30</v>
      </c>
      <c r="BY142" s="193"/>
      <c r="BZ142" s="193"/>
      <c r="CA142" s="106"/>
      <c r="CS142" s="171"/>
      <c r="CT142" s="171"/>
      <c r="CU142" s="171"/>
      <c r="CV142" s="169">
        <v>138</v>
      </c>
      <c r="CW142" s="169">
        <v>5.75</v>
      </c>
      <c r="CX142" s="21">
        <f t="shared" ref="CX142" si="282">CW142/$CU141</f>
        <v>0.20909090909090908</v>
      </c>
      <c r="CY142" s="169">
        <f t="shared" ref="CY142" si="283">INT($CU140*CX142/5)*5</f>
        <v>133275</v>
      </c>
      <c r="CZ142" s="169">
        <f>SUM(CY$5:CY142)</f>
        <v>4238465</v>
      </c>
      <c r="DB142" s="188">
        <f t="shared" si="264"/>
        <v>66600</v>
      </c>
      <c r="DC142" s="188">
        <f t="shared" si="264"/>
        <v>106600</v>
      </c>
      <c r="DD142" s="188">
        <f t="shared" si="264"/>
        <v>133250</v>
      </c>
      <c r="DE142" s="188">
        <f t="shared" si="264"/>
        <v>159900</v>
      </c>
      <c r="DF142" s="188">
        <f t="shared" si="264"/>
        <v>199900</v>
      </c>
      <c r="DI142" s="186">
        <v>138</v>
      </c>
      <c r="DJ142" s="14">
        <f t="shared" si="265"/>
        <v>28</v>
      </c>
      <c r="DK142" s="14">
        <f t="shared" si="247"/>
        <v>4</v>
      </c>
      <c r="DL142" s="14">
        <f t="shared" si="248"/>
        <v>1102001</v>
      </c>
      <c r="DM142" s="136" t="s">
        <v>1097</v>
      </c>
      <c r="DN142" s="14">
        <f t="shared" si="249"/>
        <v>3</v>
      </c>
      <c r="DO142" s="14" t="str">
        <f t="shared" si="250"/>
        <v>关羽-3星</v>
      </c>
      <c r="DP142" s="136" t="s">
        <v>1103</v>
      </c>
      <c r="DQ142" s="14">
        <f t="shared" si="266"/>
        <v>14000</v>
      </c>
      <c r="DR142" s="14" t="str">
        <f t="shared" si="251"/>
        <v>关羽碎片</v>
      </c>
      <c r="DS142" s="14">
        <f t="shared" si="267"/>
        <v>80</v>
      </c>
    </row>
    <row r="143" spans="8:123" ht="16.5" x14ac:dyDescent="0.2">
      <c r="H143" s="15"/>
      <c r="I143" s="15"/>
      <c r="J143" s="15"/>
      <c r="K143" s="15"/>
      <c r="L143" s="15"/>
      <c r="M143" s="15"/>
      <c r="N143" s="15"/>
      <c r="O143" s="137"/>
      <c r="P143" s="141"/>
      <c r="Q143" s="141"/>
      <c r="R143" s="141"/>
      <c r="S143" s="141"/>
      <c r="T143" s="141"/>
      <c r="U143" s="141"/>
      <c r="V143" s="141"/>
      <c r="W143" s="141"/>
      <c r="X143" s="141"/>
      <c r="Y143" s="141"/>
      <c r="Z143" s="196">
        <v>4</v>
      </c>
      <c r="AA143" s="196">
        <v>35</v>
      </c>
      <c r="AB143" s="14">
        <f>ROUND(INDEX(挂机升级突破!DT$6:DT$57,卡牌消耗!$AA143)*INDEX(卡牌消耗!$B$5:$F$5,卡牌消耗!$Z143)/卡牌消耗!$Q$4/AB$2,0)*AB$2</f>
        <v>0</v>
      </c>
      <c r="AC143" s="14">
        <f>ROUND(INDEX(挂机升级突破!DU$6:DU$57,卡牌消耗!$AA143)*INDEX(卡牌消耗!$B$5:$F$5,卡牌消耗!$Z143)/卡牌消耗!$Q$4/AC$2,0)*AC$2</f>
        <v>0</v>
      </c>
      <c r="AD143" s="14">
        <f>ROUND(INDEX(挂机升级突破!DV$6:DV$57,卡牌消耗!$AA143)*INDEX(卡牌消耗!$B$5:$F$5,卡牌消耗!$Z143)/卡牌消耗!$Q$4/AD$2,0)*AD$2</f>
        <v>0</v>
      </c>
      <c r="AE143" s="14">
        <f>ROUND(INDEX(挂机升级突破!DW$6:DW$57,卡牌消耗!$AA143)*INDEX(卡牌消耗!$B$5:$F$5,卡牌消耗!$Z143)/卡牌消耗!$Q$4/AE$2,0)*AE$2</f>
        <v>35</v>
      </c>
      <c r="AF143" s="14">
        <f>ROUND(INDEX(挂机升级突破!DX$6:DX$57,卡牌消耗!$AA143)*INDEX(卡牌消耗!$B$5:$F$5,卡牌消耗!$Z143)/卡牌消耗!$Q$4/AF$2,0)*AF$2</f>
        <v>0</v>
      </c>
      <c r="AG143" s="14">
        <f>ROUND(INDEX(挂机升级突破!EC$6:EC$57,卡牌消耗!$AA143)*INDEX(卡牌消耗!$B$7:$F$7,卡牌消耗!$Z143)/卡牌消耗!$Q$4/AG$2,0)*AG$2</f>
        <v>3</v>
      </c>
      <c r="AH143" s="14">
        <f>ROUND(INDEX(挂机升级突破!ED$6:ED$57,卡牌消耗!$AA143)*INDEX(卡牌消耗!$B$8:$F$8,卡牌消耗!$Z143)/卡牌消耗!$Q$4/AH$2,0)*AH$2</f>
        <v>23350</v>
      </c>
      <c r="AI143" s="194"/>
      <c r="AJ143" s="194"/>
      <c r="AK143" s="104">
        <v>139</v>
      </c>
      <c r="AL143" s="14">
        <f t="shared" si="252"/>
        <v>3</v>
      </c>
      <c r="AM143" s="14">
        <f>INDEX(挂机升级突破!DQ$6:DQ$57,卡牌消耗!$AT143)</f>
        <v>11</v>
      </c>
      <c r="AN143" s="14">
        <f>INDEX(挂机升级突破!DR$6:DR$57,卡牌消耗!$AT143)</f>
        <v>4</v>
      </c>
      <c r="AO143" s="14">
        <f>INDEX(挂机升级突破!DS$6:DS$57,卡牌消耗!$AT143)</f>
        <v>0</v>
      </c>
      <c r="AP143" s="14">
        <f>INDEX(挂机升级突破!$DP$6:$DP$57,卡牌消耗!AT143)</f>
        <v>105</v>
      </c>
      <c r="AQ143" s="14" t="str">
        <f t="shared" si="253"/>
        <v>典韦</v>
      </c>
      <c r="AR143" s="14">
        <f t="shared" si="254"/>
        <v>4</v>
      </c>
      <c r="AS143" s="14" t="str">
        <f t="shared" si="255"/>
        <v>典韦魂火-35</v>
      </c>
      <c r="AT143" s="14">
        <f t="shared" si="256"/>
        <v>35</v>
      </c>
      <c r="AU143" s="14" t="str">
        <f>IF(AM143&gt;0,INDEX(挂机升级突破!$DT$4:$ED$4,AM143),"")</f>
        <v>金币</v>
      </c>
      <c r="AV143" s="14">
        <f>ROUND(INDEX(挂机升级突破!$DJ$6:$DJ$57,卡牌消耗!AT143)*INDEX(卡牌消耗!$B$8:$F$8,AR143)/$Q$4/50,0)*50</f>
        <v>23350</v>
      </c>
      <c r="AW143" s="14" t="str">
        <f>IF(AN143&gt;0,INDEX(挂机升级突破!$DT$4:$ED$4,AN143),"")</f>
        <v>橙色基础材料</v>
      </c>
      <c r="AX143" s="14">
        <f>ROUND(INDEX(挂机升级突破!$DT$6:$ED$57,卡牌消耗!AT143,AN143)*INDEX(卡牌消耗!$B$5:$F$5,AR143)/$Q$4/5,0)*5</f>
        <v>35</v>
      </c>
      <c r="AY143" s="14" t="str">
        <f>IF(AO143&gt;0,INDEX(挂机升级突破!$DT$4:$ED$4,AO143),"")</f>
        <v/>
      </c>
      <c r="AZ143" s="14" t="str">
        <f>IF(AO143&gt;0,ROUND(INDEX(挂机升级突破!$DT$6:$ED$57,卡牌消耗!AT143,AO143)*INDEX(卡牌消耗!$B$7:$F$7,AR143)/$Q$4,0),"")</f>
        <v/>
      </c>
      <c r="BA143" s="106"/>
      <c r="BB143" s="197"/>
      <c r="BC143" s="197"/>
      <c r="BD143" s="197"/>
      <c r="BE143" s="197"/>
      <c r="BF143" s="197"/>
      <c r="BG143" s="197"/>
      <c r="BH143" s="197"/>
      <c r="BI143" s="197"/>
      <c r="BJ143" s="197"/>
      <c r="BK143" s="197"/>
      <c r="BL143" s="104">
        <v>139</v>
      </c>
      <c r="BM143" s="14">
        <f t="shared" si="257"/>
        <v>7</v>
      </c>
      <c r="BN143" s="14">
        <f>INDEX(挂机升级突破!$EI$7:$EI$26,BS143)</f>
        <v>5</v>
      </c>
      <c r="BO143" s="14">
        <f>INDEX(挂机升级突破!$EJ$7:$EJ$26,BS143)</f>
        <v>4</v>
      </c>
      <c r="BP143" s="14">
        <f t="shared" si="258"/>
        <v>4</v>
      </c>
      <c r="BQ143" s="14">
        <f>INDEX(挂机升级突破!$EH$7:$EH$26,卡牌消耗!BS143)</f>
        <v>132</v>
      </c>
      <c r="BR143" s="14" t="str">
        <f t="shared" si="259"/>
        <v>天使缇娜</v>
      </c>
      <c r="BS143" s="14">
        <f t="shared" si="260"/>
        <v>19</v>
      </c>
      <c r="BT143" s="14" t="str">
        <f t="shared" si="261"/>
        <v>天使缇娜19突</v>
      </c>
      <c r="BU143" s="14" t="str">
        <f>IF(BN143&gt;0,INDEX(挂机升级突破!$ER$5:$EV$5,卡牌消耗!BN143),"")</f>
        <v>金币</v>
      </c>
      <c r="BV143" s="14">
        <f>IF(BN143&gt;0,ROUND(INDEX(挂机升级突破!$EV$7:$EV$26,卡牌消耗!BS143)*INDEX(卡牌消耗!$B$8:$F$8,BP143)/$Q$4/500,0)*500,"")</f>
        <v>410500</v>
      </c>
      <c r="BW143" s="14" t="str">
        <f>IF(BO143&gt;0,INDEX(挂机升级突破!$ER$5:$EV$5,卡牌消耗!BO143),"")</f>
        <v>铀金</v>
      </c>
      <c r="BX143" s="14">
        <f>IF(BO143&gt;0,ROUND(INDEX(挂机升级突破!$ER$7:$EU$26,卡牌消耗!BS143,卡牌消耗!BO143)*INDEX($B$6:$F$6,BP143)/$Q$4/5,0)*5,"")</f>
        <v>40</v>
      </c>
      <c r="BY143" s="193"/>
      <c r="BZ143" s="193"/>
      <c r="CA143" s="106"/>
      <c r="CS143" s="171"/>
      <c r="CT143" s="171"/>
      <c r="CU143" s="171"/>
      <c r="CV143" s="169">
        <v>139</v>
      </c>
      <c r="CW143" s="169">
        <v>6</v>
      </c>
      <c r="CX143" s="21">
        <f t="shared" ref="CX143" si="284">CW143/$CU141</f>
        <v>0.21818181818181817</v>
      </c>
      <c r="CY143" s="169">
        <f t="shared" ref="CY143" si="285">INT($CU140*CX143/5)*5</f>
        <v>139070</v>
      </c>
      <c r="CZ143" s="169">
        <f>SUM(CY$5:CY143)</f>
        <v>4377535</v>
      </c>
      <c r="DB143" s="188">
        <f t="shared" si="264"/>
        <v>69500</v>
      </c>
      <c r="DC143" s="188">
        <f t="shared" si="264"/>
        <v>111250</v>
      </c>
      <c r="DD143" s="188">
        <f t="shared" si="264"/>
        <v>139050</v>
      </c>
      <c r="DE143" s="188">
        <f t="shared" si="264"/>
        <v>166850</v>
      </c>
      <c r="DF143" s="188">
        <f t="shared" si="264"/>
        <v>208600</v>
      </c>
      <c r="DI143" s="186">
        <v>139</v>
      </c>
      <c r="DJ143" s="14">
        <f t="shared" si="265"/>
        <v>28</v>
      </c>
      <c r="DK143" s="14">
        <f t="shared" si="247"/>
        <v>4</v>
      </c>
      <c r="DL143" s="14">
        <f t="shared" si="248"/>
        <v>1102001</v>
      </c>
      <c r="DM143" s="136" t="s">
        <v>1097</v>
      </c>
      <c r="DN143" s="14">
        <f t="shared" si="249"/>
        <v>4</v>
      </c>
      <c r="DO143" s="14" t="str">
        <f t="shared" si="250"/>
        <v>关羽-4星</v>
      </c>
      <c r="DP143" s="136" t="s">
        <v>1103</v>
      </c>
      <c r="DQ143" s="14">
        <f t="shared" si="266"/>
        <v>32000</v>
      </c>
      <c r="DR143" s="14" t="str">
        <f t="shared" si="251"/>
        <v>关羽碎片</v>
      </c>
      <c r="DS143" s="14">
        <f t="shared" si="267"/>
        <v>80</v>
      </c>
    </row>
    <row r="144" spans="8:123" ht="16.5" x14ac:dyDescent="0.2">
      <c r="H144" s="15"/>
      <c r="I144" s="15"/>
      <c r="J144" s="15"/>
      <c r="K144" s="15"/>
      <c r="L144" s="15"/>
      <c r="M144" s="15"/>
      <c r="N144" s="15"/>
      <c r="O144" s="137"/>
      <c r="P144" s="141"/>
      <c r="Q144" s="141"/>
      <c r="R144" s="141"/>
      <c r="S144" s="141"/>
      <c r="T144" s="141"/>
      <c r="U144" s="141"/>
      <c r="V144" s="141"/>
      <c r="W144" s="141"/>
      <c r="X144" s="141"/>
      <c r="Y144" s="141"/>
      <c r="Z144" s="196">
        <v>4</v>
      </c>
      <c r="AA144" s="196">
        <v>36</v>
      </c>
      <c r="AB144" s="14">
        <f>ROUND(INDEX(挂机升级突破!DT$6:DT$57,卡牌消耗!$AA144)*INDEX(卡牌消耗!$B$5:$F$5,卡牌消耗!$Z144)/卡牌消耗!$Q$4/AB$2,0)*AB$2</f>
        <v>0</v>
      </c>
      <c r="AC144" s="14">
        <f>ROUND(INDEX(挂机升级突破!DU$6:DU$57,卡牌消耗!$AA144)*INDEX(卡牌消耗!$B$5:$F$5,卡牌消耗!$Z144)/卡牌消耗!$Q$4/AC$2,0)*AC$2</f>
        <v>0</v>
      </c>
      <c r="AD144" s="14">
        <f>ROUND(INDEX(挂机升级突破!DV$6:DV$57,卡牌消耗!$AA144)*INDEX(卡牌消耗!$B$5:$F$5,卡牌消耗!$Z144)/卡牌消耗!$Q$4/AD$2,0)*AD$2</f>
        <v>0</v>
      </c>
      <c r="AE144" s="14">
        <f>ROUND(INDEX(挂机升级突破!DW$6:DW$57,卡牌消耗!$AA144)*INDEX(卡牌消耗!$B$5:$F$5,卡牌消耗!$Z144)/卡牌消耗!$Q$4/AE$2,0)*AE$2</f>
        <v>35</v>
      </c>
      <c r="AF144" s="14">
        <f>ROUND(INDEX(挂机升级突破!DX$6:DX$57,卡牌消耗!$AA144)*INDEX(卡牌消耗!$B$5:$F$5,卡牌消耗!$Z144)/卡牌消耗!$Q$4/AF$2,0)*AF$2</f>
        <v>0</v>
      </c>
      <c r="AG144" s="14">
        <f>ROUND(INDEX(挂机升级突破!EC$6:EC$57,卡牌消耗!$AA144)*INDEX(卡牌消耗!$B$7:$F$7,卡牌消耗!$Z144)/卡牌消耗!$Q$4/AG$2,0)*AG$2</f>
        <v>3</v>
      </c>
      <c r="AH144" s="14">
        <f>ROUND(INDEX(挂机升级突破!ED$6:ED$57,卡牌消耗!$AA144)*INDEX(卡牌消耗!$B$8:$F$8,卡牌消耗!$Z144)/卡牌消耗!$Q$4/AH$2,0)*AH$2</f>
        <v>23350</v>
      </c>
      <c r="AI144" s="194"/>
      <c r="AJ144" s="194"/>
      <c r="AK144" s="104">
        <v>140</v>
      </c>
      <c r="AL144" s="14">
        <f t="shared" si="252"/>
        <v>3</v>
      </c>
      <c r="AM144" s="14">
        <f>INDEX(挂机升级突破!DQ$6:DQ$57,卡牌消耗!$AT144)</f>
        <v>11</v>
      </c>
      <c r="AN144" s="14">
        <f>INDEX(挂机升级突破!DR$6:DR$57,卡牌消耗!$AT144)</f>
        <v>4</v>
      </c>
      <c r="AO144" s="14">
        <f>INDEX(挂机升级突破!DS$6:DS$57,卡牌消耗!$AT144)</f>
        <v>0</v>
      </c>
      <c r="AP144" s="14">
        <f>INDEX(挂机升级突破!$DP$6:$DP$57,卡牌消耗!AT144)</f>
        <v>108</v>
      </c>
      <c r="AQ144" s="14" t="str">
        <f t="shared" si="253"/>
        <v>典韦</v>
      </c>
      <c r="AR144" s="14">
        <f t="shared" si="254"/>
        <v>4</v>
      </c>
      <c r="AS144" s="14" t="str">
        <f t="shared" si="255"/>
        <v>典韦魂火-36</v>
      </c>
      <c r="AT144" s="14">
        <f t="shared" si="256"/>
        <v>36</v>
      </c>
      <c r="AU144" s="14" t="str">
        <f>IF(AM144&gt;0,INDEX(挂机升级突破!$DT$4:$ED$4,AM144),"")</f>
        <v>金币</v>
      </c>
      <c r="AV144" s="14">
        <f>ROUND(INDEX(挂机升级突破!$DJ$6:$DJ$57,卡牌消耗!AT144)*INDEX(卡牌消耗!$B$8:$F$8,AR144)/$Q$4/50,0)*50</f>
        <v>23350</v>
      </c>
      <c r="AW144" s="14" t="str">
        <f>IF(AN144&gt;0,INDEX(挂机升级突破!$DT$4:$ED$4,AN144),"")</f>
        <v>橙色基础材料</v>
      </c>
      <c r="AX144" s="14">
        <f>ROUND(INDEX(挂机升级突破!$DT$6:$ED$57,卡牌消耗!AT144,AN144)*INDEX(卡牌消耗!$B$5:$F$5,AR144)/$Q$4/5,0)*5</f>
        <v>35</v>
      </c>
      <c r="AY144" s="14" t="str">
        <f>IF(AO144&gt;0,INDEX(挂机升级突破!$DT$4:$ED$4,AO144),"")</f>
        <v/>
      </c>
      <c r="AZ144" s="14" t="str">
        <f>IF(AO144&gt;0,ROUND(INDEX(挂机升级突破!$DT$6:$ED$57,卡牌消耗!AT144,AO144)*INDEX(卡牌消耗!$B$7:$F$7,AR144)/$Q$4,0),"")</f>
        <v/>
      </c>
      <c r="BA144" s="106"/>
      <c r="BB144" s="197"/>
      <c r="BC144" s="197"/>
      <c r="BD144" s="197"/>
      <c r="BE144" s="197"/>
      <c r="BF144" s="197"/>
      <c r="BG144" s="197"/>
      <c r="BH144" s="197"/>
      <c r="BI144" s="197"/>
      <c r="BJ144" s="197"/>
      <c r="BK144" s="197"/>
      <c r="BL144" s="104">
        <v>140</v>
      </c>
      <c r="BM144" s="14">
        <f t="shared" si="257"/>
        <v>7</v>
      </c>
      <c r="BN144" s="14">
        <f>INDEX(挂机升级突破!$EI$7:$EI$26,BS144)</f>
        <v>5</v>
      </c>
      <c r="BO144" s="14">
        <f>INDEX(挂机升级突破!$EJ$7:$EJ$26,BS144)</f>
        <v>4</v>
      </c>
      <c r="BP144" s="14">
        <f t="shared" si="258"/>
        <v>4</v>
      </c>
      <c r="BQ144" s="14">
        <f>INDEX(挂机升级突破!$EH$7:$EH$26,卡牌消耗!BS144)</f>
        <v>140</v>
      </c>
      <c r="BR144" s="14" t="str">
        <f t="shared" si="259"/>
        <v>天使缇娜</v>
      </c>
      <c r="BS144" s="14">
        <f t="shared" si="260"/>
        <v>20</v>
      </c>
      <c r="BT144" s="14" t="str">
        <f t="shared" si="261"/>
        <v>天使缇娜20突</v>
      </c>
      <c r="BU144" s="14" t="str">
        <f>IF(BN144&gt;0,INDEX(挂机升级突破!$ER$5:$EV$5,卡牌消耗!BN144),"")</f>
        <v>金币</v>
      </c>
      <c r="BV144" s="14">
        <f>IF(BN144&gt;0,ROUND(INDEX(挂机升级突破!$EV$7:$EV$26,卡牌消耗!BS144)*INDEX(卡牌消耗!$B$8:$F$8,BP144)/$Q$4/500,0)*500,"")</f>
        <v>615500</v>
      </c>
      <c r="BW144" s="14" t="str">
        <f>IF(BO144&gt;0,INDEX(挂机升级突破!$ER$5:$EV$5,卡牌消耗!BO144),"")</f>
        <v>铀金</v>
      </c>
      <c r="BX144" s="14">
        <f>IF(BO144&gt;0,ROUND(INDEX(挂机升级突破!$ER$7:$EU$26,卡牌消耗!BS144,卡牌消耗!BO144)*INDEX($B$6:$F$6,BP144)/$Q$4/5,0)*5,"")</f>
        <v>50</v>
      </c>
      <c r="BY144" s="193"/>
      <c r="BZ144" s="193"/>
      <c r="CA144" s="106"/>
      <c r="CS144" s="171"/>
      <c r="CT144" s="173" t="s">
        <v>120</v>
      </c>
      <c r="CU144" s="169">
        <v>27</v>
      </c>
      <c r="CV144" s="169">
        <v>140</v>
      </c>
      <c r="CW144" s="169">
        <v>5</v>
      </c>
      <c r="CX144" s="21">
        <f t="shared" ref="CX144" si="286">CW144/$CU146</f>
        <v>0.18181818181818182</v>
      </c>
      <c r="CY144" s="169">
        <f t="shared" ref="CY144" si="287">INT($CU145*CX144/5)*5</f>
        <v>146090</v>
      </c>
      <c r="CZ144" s="169">
        <f>SUM(CY$5:CY144)</f>
        <v>4523625</v>
      </c>
      <c r="DB144" s="188">
        <f t="shared" si="264"/>
        <v>73000</v>
      </c>
      <c r="DC144" s="188">
        <f t="shared" si="264"/>
        <v>116850</v>
      </c>
      <c r="DD144" s="188">
        <f t="shared" si="264"/>
        <v>146050</v>
      </c>
      <c r="DE144" s="188">
        <f t="shared" si="264"/>
        <v>175300</v>
      </c>
      <c r="DF144" s="188">
        <f t="shared" si="264"/>
        <v>219100</v>
      </c>
      <c r="DI144" s="186">
        <v>140</v>
      </c>
      <c r="DJ144" s="14">
        <f t="shared" si="265"/>
        <v>28</v>
      </c>
      <c r="DK144" s="14">
        <f t="shared" si="247"/>
        <v>4</v>
      </c>
      <c r="DL144" s="14">
        <f t="shared" si="248"/>
        <v>1102001</v>
      </c>
      <c r="DM144" s="136" t="s">
        <v>1097</v>
      </c>
      <c r="DN144" s="14">
        <f t="shared" si="249"/>
        <v>5</v>
      </c>
      <c r="DO144" s="14" t="str">
        <f t="shared" si="250"/>
        <v>关羽-5星</v>
      </c>
      <c r="DP144" s="136" t="s">
        <v>1103</v>
      </c>
      <c r="DQ144" s="14">
        <f t="shared" si="266"/>
        <v>60000</v>
      </c>
      <c r="DR144" s="14" t="str">
        <f t="shared" si="251"/>
        <v>关羽碎片</v>
      </c>
      <c r="DS144" s="14">
        <f t="shared" si="267"/>
        <v>80</v>
      </c>
    </row>
    <row r="145" spans="8:123" ht="16.5" x14ac:dyDescent="0.2">
      <c r="H145" s="15"/>
      <c r="I145" s="15"/>
      <c r="J145" s="15"/>
      <c r="K145" s="15"/>
      <c r="L145" s="15"/>
      <c r="M145" s="15"/>
      <c r="N145" s="15"/>
      <c r="O145" s="137"/>
      <c r="P145" s="141"/>
      <c r="Q145" s="141"/>
      <c r="R145" s="141"/>
      <c r="S145" s="141"/>
      <c r="T145" s="141"/>
      <c r="U145" s="141"/>
      <c r="V145" s="141"/>
      <c r="W145" s="141"/>
      <c r="X145" s="141"/>
      <c r="Y145" s="141"/>
      <c r="Z145" s="196">
        <v>4</v>
      </c>
      <c r="AA145" s="196">
        <v>37</v>
      </c>
      <c r="AB145" s="14">
        <f>ROUND(INDEX(挂机升级突破!DT$6:DT$57,卡牌消耗!$AA145)*INDEX(卡牌消耗!$B$5:$F$5,卡牌消耗!$Z145)/卡牌消耗!$Q$4/AB$2,0)*AB$2</f>
        <v>0</v>
      </c>
      <c r="AC145" s="14">
        <f>ROUND(INDEX(挂机升级突破!DU$6:DU$57,卡牌消耗!$AA145)*INDEX(卡牌消耗!$B$5:$F$5,卡牌消耗!$Z145)/卡牌消耗!$Q$4/AC$2,0)*AC$2</f>
        <v>0</v>
      </c>
      <c r="AD145" s="14">
        <f>ROUND(INDEX(挂机升级突破!DV$6:DV$57,卡牌消耗!$AA145)*INDEX(卡牌消耗!$B$5:$F$5,卡牌消耗!$Z145)/卡牌消耗!$Q$4/AD$2,0)*AD$2</f>
        <v>0</v>
      </c>
      <c r="AE145" s="14">
        <f>ROUND(INDEX(挂机升级突破!DW$6:DW$57,卡牌消耗!$AA145)*INDEX(卡牌消耗!$B$5:$F$5,卡牌消耗!$Z145)/卡牌消耗!$Q$4/AE$2,0)*AE$2</f>
        <v>35</v>
      </c>
      <c r="AF145" s="14">
        <f>ROUND(INDEX(挂机升级突破!DX$6:DX$57,卡牌消耗!$AA145)*INDEX(卡牌消耗!$B$5:$F$5,卡牌消耗!$Z145)/卡牌消耗!$Q$4/AF$2,0)*AF$2</f>
        <v>0</v>
      </c>
      <c r="AG145" s="14">
        <f>ROUND(INDEX(挂机升级突破!EC$6:EC$57,卡牌消耗!$AA145)*INDEX(卡牌消耗!$B$7:$F$7,卡牌消耗!$Z145)/卡牌消耗!$Q$4/AG$2,0)*AG$2</f>
        <v>3</v>
      </c>
      <c r="AH145" s="14">
        <f>ROUND(INDEX(挂机升级突破!ED$6:ED$57,卡牌消耗!$AA145)*INDEX(卡牌消耗!$B$8:$F$8,卡牌消耗!$Z145)/卡牌消耗!$Q$4/AH$2,0)*AH$2</f>
        <v>25000</v>
      </c>
      <c r="AI145" s="194"/>
      <c r="AJ145" s="194"/>
      <c r="AK145" s="104">
        <v>141</v>
      </c>
      <c r="AL145" s="14">
        <f t="shared" si="252"/>
        <v>3</v>
      </c>
      <c r="AM145" s="14">
        <f>INDEX(挂机升级突破!DQ$6:DQ$57,卡牌消耗!$AT145)</f>
        <v>11</v>
      </c>
      <c r="AN145" s="14">
        <f>INDEX(挂机升级突破!DR$6:DR$57,卡牌消耗!$AT145)</f>
        <v>4</v>
      </c>
      <c r="AO145" s="14">
        <f>INDEX(挂机升级突破!DS$6:DS$57,卡牌消耗!$AT145)</f>
        <v>0</v>
      </c>
      <c r="AP145" s="14">
        <f>INDEX(挂机升级突破!$DP$6:$DP$57,卡牌消耗!AT145)</f>
        <v>110</v>
      </c>
      <c r="AQ145" s="14" t="str">
        <f t="shared" si="253"/>
        <v>典韦</v>
      </c>
      <c r="AR145" s="14">
        <f t="shared" si="254"/>
        <v>4</v>
      </c>
      <c r="AS145" s="14" t="str">
        <f t="shared" si="255"/>
        <v>典韦魂火-37</v>
      </c>
      <c r="AT145" s="14">
        <f t="shared" si="256"/>
        <v>37</v>
      </c>
      <c r="AU145" s="14" t="str">
        <f>IF(AM145&gt;0,INDEX(挂机升级突破!$DT$4:$ED$4,AM145),"")</f>
        <v>金币</v>
      </c>
      <c r="AV145" s="14">
        <f>ROUND(INDEX(挂机升级突破!$DJ$6:$DJ$57,卡牌消耗!AT145)*INDEX(卡牌消耗!$B$8:$F$8,AR145)/$Q$4/50,0)*50</f>
        <v>25000</v>
      </c>
      <c r="AW145" s="14" t="str">
        <f>IF(AN145&gt;0,INDEX(挂机升级突破!$DT$4:$ED$4,AN145),"")</f>
        <v>橙色基础材料</v>
      </c>
      <c r="AX145" s="14">
        <f>ROUND(INDEX(挂机升级突破!$DT$6:$ED$57,卡牌消耗!AT145,AN145)*INDEX(卡牌消耗!$B$5:$F$5,AR145)/$Q$4/5,0)*5</f>
        <v>35</v>
      </c>
      <c r="AY145" s="14" t="str">
        <f>IF(AO145&gt;0,INDEX(挂机升级突破!$DT$4:$ED$4,AO145),"")</f>
        <v/>
      </c>
      <c r="AZ145" s="14" t="str">
        <f>IF(AO145&gt;0,ROUND(INDEX(挂机升级突破!$DT$6:$ED$57,卡牌消耗!AT145,AO145)*INDEX(卡牌消耗!$B$7:$F$7,AR145)/$Q$4,0),"")</f>
        <v/>
      </c>
      <c r="BA145" s="106"/>
      <c r="BB145" s="197"/>
      <c r="BC145" s="197"/>
      <c r="BD145" s="197"/>
      <c r="BE145" s="197"/>
      <c r="BF145" s="197"/>
      <c r="BG145" s="197"/>
      <c r="BH145" s="197"/>
      <c r="BI145" s="197"/>
      <c r="BJ145" s="197"/>
      <c r="BK145" s="197"/>
      <c r="BL145" s="104">
        <v>141</v>
      </c>
      <c r="BM145" s="14">
        <f t="shared" si="257"/>
        <v>8</v>
      </c>
      <c r="BN145" s="14">
        <f>INDEX(挂机升级突破!$EI$7:$EI$26,BS145)</f>
        <v>0</v>
      </c>
      <c r="BO145" s="14">
        <f>INDEX(挂机升级突破!$EJ$7:$EJ$26,BS145)</f>
        <v>0</v>
      </c>
      <c r="BP145" s="14">
        <f t="shared" si="258"/>
        <v>4</v>
      </c>
      <c r="BQ145" s="14">
        <f>INDEX(挂机升级突破!$EH$7:$EH$26,卡牌消耗!BS145)</f>
        <v>1</v>
      </c>
      <c r="BR145" s="14" t="str">
        <f t="shared" si="259"/>
        <v>夏侯渊</v>
      </c>
      <c r="BS145" s="14">
        <f t="shared" si="260"/>
        <v>1</v>
      </c>
      <c r="BT145" s="14" t="str">
        <f t="shared" si="261"/>
        <v>夏侯渊1突</v>
      </c>
      <c r="BU145" s="14" t="str">
        <f>IF(BN145&gt;0,INDEX(挂机升级突破!$ER$5:$EV$5,卡牌消耗!BN145),"")</f>
        <v/>
      </c>
      <c r="BV145" s="14" t="str">
        <f>IF(BN145&gt;0,ROUND(INDEX(挂机升级突破!$EV$7:$EV$26,卡牌消耗!BS145)*INDEX(卡牌消耗!$B$8:$F$8,BP145)/$Q$4/500,0)*500,"")</f>
        <v/>
      </c>
      <c r="BW145" s="14" t="str">
        <f>IF(BO145&gt;0,INDEX(挂机升级突破!$ER$5:$EV$5,卡牌消耗!BO145),"")</f>
        <v/>
      </c>
      <c r="BX145" s="14" t="str">
        <f>IF(BO145&gt;0,ROUND(INDEX(挂机升级突破!$ER$7:$EU$26,卡牌消耗!BS145,卡牌消耗!BO145)*INDEX($B$6:$F$6,BP145)/$Q$4/5,0)*5,"")</f>
        <v/>
      </c>
      <c r="BY145" s="193"/>
      <c r="BZ145" s="193"/>
      <c r="CA145" s="106"/>
      <c r="CS145" s="171"/>
      <c r="CT145" s="171"/>
      <c r="CU145" s="14">
        <f>INDEX($CP$5:$CP$32,CU144)</f>
        <v>803500</v>
      </c>
      <c r="CV145" s="169">
        <v>141</v>
      </c>
      <c r="CW145" s="169">
        <v>5.25</v>
      </c>
      <c r="CX145" s="21">
        <f t="shared" ref="CX145" si="288">CW145/$CU146</f>
        <v>0.19090909090909092</v>
      </c>
      <c r="CY145" s="169">
        <f t="shared" ref="CY145" si="289">INT($CU145*CX145/5)*5</f>
        <v>153395</v>
      </c>
      <c r="CZ145" s="169">
        <f>SUM(CY$5:CY145)</f>
        <v>4677020</v>
      </c>
      <c r="DB145" s="188">
        <f t="shared" si="264"/>
        <v>76650</v>
      </c>
      <c r="DC145" s="188">
        <f t="shared" si="264"/>
        <v>122700</v>
      </c>
      <c r="DD145" s="188">
        <f t="shared" si="264"/>
        <v>153350</v>
      </c>
      <c r="DE145" s="188">
        <f t="shared" si="264"/>
        <v>184050</v>
      </c>
      <c r="DF145" s="188">
        <f t="shared" si="264"/>
        <v>230050</v>
      </c>
      <c r="DI145" s="186">
        <v>141</v>
      </c>
      <c r="DJ145" s="14">
        <f t="shared" si="265"/>
        <v>29</v>
      </c>
      <c r="DK145" s="14">
        <f t="shared" si="247"/>
        <v>3</v>
      </c>
      <c r="DL145" s="14">
        <f t="shared" si="248"/>
        <v>1102002</v>
      </c>
      <c r="DM145" s="136" t="s">
        <v>1097</v>
      </c>
      <c r="DN145" s="14">
        <f t="shared" si="249"/>
        <v>1</v>
      </c>
      <c r="DO145" s="14" t="str">
        <f t="shared" si="250"/>
        <v>许褚-1星</v>
      </c>
      <c r="DP145" s="136" t="s">
        <v>1103</v>
      </c>
      <c r="DQ145" s="14">
        <f t="shared" si="266"/>
        <v>4000</v>
      </c>
      <c r="DR145" s="14" t="str">
        <f t="shared" si="251"/>
        <v>许褚碎片</v>
      </c>
      <c r="DS145" s="14">
        <f t="shared" si="267"/>
        <v>40</v>
      </c>
    </row>
    <row r="146" spans="8:123" ht="16.5" x14ac:dyDescent="0.2">
      <c r="H146" s="15"/>
      <c r="I146" s="15"/>
      <c r="J146" s="15"/>
      <c r="K146" s="15"/>
      <c r="L146" s="15"/>
      <c r="M146" s="15"/>
      <c r="N146" s="15"/>
      <c r="O146" s="137"/>
      <c r="P146" s="141"/>
      <c r="Q146" s="141"/>
      <c r="R146" s="141"/>
      <c r="S146" s="141"/>
      <c r="T146" s="141"/>
      <c r="U146" s="141"/>
      <c r="V146" s="141"/>
      <c r="W146" s="141"/>
      <c r="X146" s="141"/>
      <c r="Y146" s="141"/>
      <c r="Z146" s="196">
        <v>4</v>
      </c>
      <c r="AA146" s="196">
        <v>38</v>
      </c>
      <c r="AB146" s="14">
        <f>ROUND(INDEX(挂机升级突破!DT$6:DT$57,卡牌消耗!$AA146)*INDEX(卡牌消耗!$B$5:$F$5,卡牌消耗!$Z146)/卡牌消耗!$Q$4/AB$2,0)*AB$2</f>
        <v>0</v>
      </c>
      <c r="AC146" s="14">
        <f>ROUND(INDEX(挂机升级突破!DU$6:DU$57,卡牌消耗!$AA146)*INDEX(卡牌消耗!$B$5:$F$5,卡牌消耗!$Z146)/卡牌消耗!$Q$4/AC$2,0)*AC$2</f>
        <v>0</v>
      </c>
      <c r="AD146" s="14">
        <f>ROUND(INDEX(挂机升级突破!DV$6:DV$57,卡牌消耗!$AA146)*INDEX(卡牌消耗!$B$5:$F$5,卡牌消耗!$Z146)/卡牌消耗!$Q$4/AD$2,0)*AD$2</f>
        <v>0</v>
      </c>
      <c r="AE146" s="14">
        <f>ROUND(INDEX(挂机升级突破!DW$6:DW$57,卡牌消耗!$AA146)*INDEX(卡牌消耗!$B$5:$F$5,卡牌消耗!$Z146)/卡牌消耗!$Q$4/AE$2,0)*AE$2</f>
        <v>0</v>
      </c>
      <c r="AF146" s="14">
        <f>ROUND(INDEX(挂机升级突破!DX$6:DX$57,卡牌消耗!$AA146)*INDEX(卡牌消耗!$B$5:$F$5,卡牌消耗!$Z146)/卡牌消耗!$Q$4/AF$2,0)*AF$2</f>
        <v>10</v>
      </c>
      <c r="AG146" s="14">
        <f>ROUND(INDEX(挂机升级突破!EC$6:EC$57,卡牌消耗!$AA146)*INDEX(卡牌消耗!$B$7:$F$7,卡牌消耗!$Z146)/卡牌消耗!$Q$4/AG$2,0)*AG$2</f>
        <v>3</v>
      </c>
      <c r="AH146" s="14">
        <f>ROUND(INDEX(挂机升级突破!ED$6:ED$57,卡牌消耗!$AA146)*INDEX(卡牌消耗!$B$8:$F$8,卡牌消耗!$Z146)/卡牌消耗!$Q$4/AH$2,0)*AH$2</f>
        <v>32250</v>
      </c>
      <c r="AI146" s="194"/>
      <c r="AJ146" s="194"/>
      <c r="AK146" s="104">
        <v>142</v>
      </c>
      <c r="AL146" s="14">
        <f t="shared" si="252"/>
        <v>3</v>
      </c>
      <c r="AM146" s="14">
        <f>INDEX(挂机升级突破!DQ$6:DQ$57,卡牌消耗!$AT146)</f>
        <v>11</v>
      </c>
      <c r="AN146" s="14">
        <f>INDEX(挂机升级突破!DR$6:DR$57,卡牌消耗!$AT146)</f>
        <v>5</v>
      </c>
      <c r="AO146" s="14">
        <f>INDEX(挂机升级突破!DS$6:DS$57,卡牌消耗!$AT146)</f>
        <v>0</v>
      </c>
      <c r="AP146" s="14">
        <f>INDEX(挂机升级突破!$DP$6:$DP$57,卡牌消耗!AT146)</f>
        <v>113</v>
      </c>
      <c r="AQ146" s="14" t="str">
        <f t="shared" si="253"/>
        <v>典韦</v>
      </c>
      <c r="AR146" s="14">
        <f t="shared" si="254"/>
        <v>4</v>
      </c>
      <c r="AS146" s="14" t="str">
        <f t="shared" si="255"/>
        <v>典韦魂火-38</v>
      </c>
      <c r="AT146" s="14">
        <f t="shared" si="256"/>
        <v>38</v>
      </c>
      <c r="AU146" s="14" t="str">
        <f>IF(AM146&gt;0,INDEX(挂机升级突破!$DT$4:$ED$4,AM146),"")</f>
        <v>金币</v>
      </c>
      <c r="AV146" s="14">
        <f>ROUND(INDEX(挂机升级突破!$DJ$6:$DJ$57,卡牌消耗!AT146)*INDEX(卡牌消耗!$B$8:$F$8,AR146)/$Q$4/50,0)*50</f>
        <v>32250</v>
      </c>
      <c r="AW146" s="14" t="str">
        <f>IF(AN146&gt;0,INDEX(挂机升级突破!$DT$4:$ED$4,AN146),"")</f>
        <v>红色基础材料</v>
      </c>
      <c r="AX146" s="14">
        <f>ROUND(INDEX(挂机升级突破!$DT$6:$ED$57,卡牌消耗!AT146,AN146)*INDEX(卡牌消耗!$B$5:$F$5,AR146)/$Q$4/5,0)*5</f>
        <v>10</v>
      </c>
      <c r="AY146" s="14" t="str">
        <f>IF(AO146&gt;0,INDEX(挂机升级突破!$DT$4:$ED$4,AO146),"")</f>
        <v/>
      </c>
      <c r="AZ146" s="14" t="str">
        <f>IF(AO146&gt;0,ROUND(INDEX(挂机升级突破!$DT$6:$ED$57,卡牌消耗!AT146,AO146)*INDEX(卡牌消耗!$B$7:$F$7,AR146)/$Q$4,0),"")</f>
        <v/>
      </c>
      <c r="BA146" s="106"/>
      <c r="BB146" s="197"/>
      <c r="BC146" s="197"/>
      <c r="BD146" s="197"/>
      <c r="BE146" s="197"/>
      <c r="BF146" s="197"/>
      <c r="BG146" s="197"/>
      <c r="BH146" s="197"/>
      <c r="BI146" s="197"/>
      <c r="BJ146" s="197"/>
      <c r="BK146" s="197"/>
      <c r="BL146" s="104">
        <v>142</v>
      </c>
      <c r="BM146" s="14">
        <f t="shared" si="257"/>
        <v>8</v>
      </c>
      <c r="BN146" s="14">
        <f>INDEX(挂机升级突破!$EI$7:$EI$26,BS146)</f>
        <v>5</v>
      </c>
      <c r="BO146" s="14">
        <f>INDEX(挂机升级突破!$EJ$7:$EJ$26,BS146)</f>
        <v>1</v>
      </c>
      <c r="BP146" s="14">
        <f t="shared" si="258"/>
        <v>4</v>
      </c>
      <c r="BQ146" s="14">
        <f>INDEX(挂机升级突破!$EH$7:$EH$26,卡牌消耗!BS146)</f>
        <v>5</v>
      </c>
      <c r="BR146" s="14" t="str">
        <f t="shared" si="259"/>
        <v>夏侯渊</v>
      </c>
      <c r="BS146" s="14">
        <f t="shared" si="260"/>
        <v>2</v>
      </c>
      <c r="BT146" s="14" t="str">
        <f t="shared" si="261"/>
        <v>夏侯渊2突</v>
      </c>
      <c r="BU146" s="14" t="str">
        <f>IF(BN146&gt;0,INDEX(挂机升级突破!$ER$5:$EV$5,卡牌消耗!BN146),"")</f>
        <v>金币</v>
      </c>
      <c r="BV146" s="14">
        <f>IF(BN146&gt;0,ROUND(INDEX(挂机升级突破!$EV$7:$EV$26,卡牌消耗!BS146)*INDEX(卡牌消耗!$B$8:$F$8,BP146)/$Q$4/500,0)*500,"")</f>
        <v>4500</v>
      </c>
      <c r="BW146" s="14" t="str">
        <f>IF(BO146&gt;0,INDEX(挂机升级突破!$ER$5:$EV$5,卡牌消耗!BO146),"")</f>
        <v>玄铁</v>
      </c>
      <c r="BX146" s="14">
        <f>IF(BO146&gt;0,ROUND(INDEX(挂机升级突破!$ER$7:$EU$26,卡牌消耗!BS146,卡牌消耗!BO146)*INDEX($B$6:$F$6,BP146)/$Q$4,0),"")</f>
        <v>2</v>
      </c>
      <c r="BY146" s="193"/>
      <c r="BZ146" s="193"/>
      <c r="CA146" s="106"/>
      <c r="CS146" s="171"/>
      <c r="CT146" s="170"/>
      <c r="CU146" s="14">
        <f>SUMIFS($CW$5:$CW$154,$CV$5:$CV$154,"&gt;="&amp;INDEX($CE$5:$CE$32,CU144),$CV$5:$CV$154,"&lt;"&amp;INDEX($CF$5:$CF$32,CU144))</f>
        <v>27.5</v>
      </c>
      <c r="CV146" s="169">
        <v>142</v>
      </c>
      <c r="CW146" s="169">
        <v>5.5</v>
      </c>
      <c r="CX146" s="21">
        <f t="shared" ref="CX146" si="290">CW146/$CU146</f>
        <v>0.2</v>
      </c>
      <c r="CY146" s="169">
        <f t="shared" ref="CY146" si="291">INT($CU145*CX146/5)*5</f>
        <v>160700</v>
      </c>
      <c r="CZ146" s="169">
        <f>SUM(CY$5:CY146)</f>
        <v>4837720</v>
      </c>
      <c r="DB146" s="188">
        <f t="shared" si="264"/>
        <v>80350</v>
      </c>
      <c r="DC146" s="188">
        <f t="shared" si="264"/>
        <v>128550</v>
      </c>
      <c r="DD146" s="188">
        <f t="shared" si="264"/>
        <v>160700</v>
      </c>
      <c r="DE146" s="188">
        <f t="shared" si="264"/>
        <v>192800</v>
      </c>
      <c r="DF146" s="188">
        <f t="shared" si="264"/>
        <v>241050</v>
      </c>
      <c r="DI146" s="186">
        <v>142</v>
      </c>
      <c r="DJ146" s="14">
        <f t="shared" si="265"/>
        <v>29</v>
      </c>
      <c r="DK146" s="14">
        <f t="shared" si="247"/>
        <v>3</v>
      </c>
      <c r="DL146" s="14">
        <f t="shared" si="248"/>
        <v>1102002</v>
      </c>
      <c r="DM146" s="136" t="s">
        <v>1097</v>
      </c>
      <c r="DN146" s="14">
        <f t="shared" si="249"/>
        <v>2</v>
      </c>
      <c r="DO146" s="14" t="str">
        <f t="shared" si="250"/>
        <v>许褚-2星</v>
      </c>
      <c r="DP146" s="136" t="s">
        <v>1103</v>
      </c>
      <c r="DQ146" s="14">
        <f t="shared" si="266"/>
        <v>5000</v>
      </c>
      <c r="DR146" s="14" t="str">
        <f t="shared" si="251"/>
        <v>许褚碎片</v>
      </c>
      <c r="DS146" s="14">
        <f t="shared" si="267"/>
        <v>40</v>
      </c>
    </row>
    <row r="147" spans="8:123" ht="16.5" x14ac:dyDescent="0.2">
      <c r="H147" s="15"/>
      <c r="I147" s="15"/>
      <c r="J147" s="15"/>
      <c r="K147" s="15"/>
      <c r="L147" s="15"/>
      <c r="M147" s="15"/>
      <c r="N147" s="15"/>
      <c r="O147" s="137"/>
      <c r="P147" s="141"/>
      <c r="Q147" s="141"/>
      <c r="R147" s="141"/>
      <c r="S147" s="141"/>
      <c r="T147" s="141"/>
      <c r="U147" s="141"/>
      <c r="V147" s="141"/>
      <c r="W147" s="141"/>
      <c r="X147" s="141"/>
      <c r="Y147" s="141"/>
      <c r="Z147" s="196">
        <v>4</v>
      </c>
      <c r="AA147" s="196">
        <v>39</v>
      </c>
      <c r="AB147" s="14">
        <f>ROUND(INDEX(挂机升级突破!DT$6:DT$57,卡牌消耗!$AA147)*INDEX(卡牌消耗!$B$5:$F$5,卡牌消耗!$Z147)/卡牌消耗!$Q$4/AB$2,0)*AB$2</f>
        <v>0</v>
      </c>
      <c r="AC147" s="14">
        <f>ROUND(INDEX(挂机升级突破!DU$6:DU$57,卡牌消耗!$AA147)*INDEX(卡牌消耗!$B$5:$F$5,卡牌消耗!$Z147)/卡牌消耗!$Q$4/AC$2,0)*AC$2</f>
        <v>0</v>
      </c>
      <c r="AD147" s="14">
        <f>ROUND(INDEX(挂机升级突破!DV$6:DV$57,卡牌消耗!$AA147)*INDEX(卡牌消耗!$B$5:$F$5,卡牌消耗!$Z147)/卡牌消耗!$Q$4/AD$2,0)*AD$2</f>
        <v>0</v>
      </c>
      <c r="AE147" s="14">
        <f>ROUND(INDEX(挂机升级突破!DW$6:DW$57,卡牌消耗!$AA147)*INDEX(卡牌消耗!$B$5:$F$5,卡牌消耗!$Z147)/卡牌消耗!$Q$4/AE$2,0)*AE$2</f>
        <v>0</v>
      </c>
      <c r="AF147" s="14">
        <f>ROUND(INDEX(挂机升级突破!DX$6:DX$57,卡牌消耗!$AA147)*INDEX(卡牌消耗!$B$5:$F$5,卡牌消耗!$Z147)/卡牌消耗!$Q$4/AF$2,0)*AF$2</f>
        <v>10</v>
      </c>
      <c r="AG147" s="14">
        <f>ROUND(INDEX(挂机升级突破!EC$6:EC$57,卡牌消耗!$AA147)*INDEX(卡牌消耗!$B$7:$F$7,卡牌消耗!$Z147)/卡牌消耗!$Q$4/AG$2,0)*AG$2</f>
        <v>3</v>
      </c>
      <c r="AH147" s="14">
        <f>ROUND(INDEX(挂机升级突破!ED$6:ED$57,卡牌消耗!$AA147)*INDEX(卡牌消耗!$B$8:$F$8,卡牌消耗!$Z147)/卡牌消耗!$Q$4/AH$2,0)*AH$2</f>
        <v>32250</v>
      </c>
      <c r="AI147" s="194"/>
      <c r="AJ147" s="194"/>
      <c r="AK147" s="104">
        <v>143</v>
      </c>
      <c r="AL147" s="14">
        <f t="shared" si="252"/>
        <v>3</v>
      </c>
      <c r="AM147" s="14">
        <f>INDEX(挂机升级突破!DQ$6:DQ$57,卡牌消耗!$AT147)</f>
        <v>11</v>
      </c>
      <c r="AN147" s="14">
        <f>INDEX(挂机升级突破!DR$6:DR$57,卡牌消耗!$AT147)</f>
        <v>5</v>
      </c>
      <c r="AO147" s="14">
        <f>INDEX(挂机升级突破!DS$6:DS$57,卡牌消耗!$AT147)</f>
        <v>0</v>
      </c>
      <c r="AP147" s="14">
        <f>INDEX(挂机升级突破!$DP$6:$DP$57,卡牌消耗!AT147)</f>
        <v>115</v>
      </c>
      <c r="AQ147" s="14" t="str">
        <f t="shared" si="253"/>
        <v>典韦</v>
      </c>
      <c r="AR147" s="14">
        <f t="shared" si="254"/>
        <v>4</v>
      </c>
      <c r="AS147" s="14" t="str">
        <f t="shared" si="255"/>
        <v>典韦魂火-39</v>
      </c>
      <c r="AT147" s="14">
        <f t="shared" si="256"/>
        <v>39</v>
      </c>
      <c r="AU147" s="14" t="str">
        <f>IF(AM147&gt;0,INDEX(挂机升级突破!$DT$4:$ED$4,AM147),"")</f>
        <v>金币</v>
      </c>
      <c r="AV147" s="14">
        <f>ROUND(INDEX(挂机升级突破!$DJ$6:$DJ$57,卡牌消耗!AT147)*INDEX(卡牌消耗!$B$8:$F$8,AR147)/$Q$4/50,0)*50</f>
        <v>32250</v>
      </c>
      <c r="AW147" s="14" t="str">
        <f>IF(AN147&gt;0,INDEX(挂机升级突破!$DT$4:$ED$4,AN147),"")</f>
        <v>红色基础材料</v>
      </c>
      <c r="AX147" s="14">
        <f>ROUND(INDEX(挂机升级突破!$DT$6:$ED$57,卡牌消耗!AT147,AN147)*INDEX(卡牌消耗!$B$5:$F$5,AR147)/$Q$4/5,0)*5</f>
        <v>10</v>
      </c>
      <c r="AY147" s="14" t="str">
        <f>IF(AO147&gt;0,INDEX(挂机升级突破!$DT$4:$ED$4,AO147),"")</f>
        <v/>
      </c>
      <c r="AZ147" s="14" t="str">
        <f>IF(AO147&gt;0,ROUND(INDEX(挂机升级突破!$DT$6:$ED$57,卡牌消耗!AT147,AO147)*INDEX(卡牌消耗!$B$7:$F$7,AR147)/$Q$4,0),"")</f>
        <v/>
      </c>
      <c r="BA147" s="106"/>
      <c r="BB147" s="197"/>
      <c r="BC147" s="197"/>
      <c r="BD147" s="197"/>
      <c r="BE147" s="197"/>
      <c r="BF147" s="197"/>
      <c r="BG147" s="197"/>
      <c r="BH147" s="197"/>
      <c r="BI147" s="197"/>
      <c r="BJ147" s="197"/>
      <c r="BK147" s="197"/>
      <c r="BL147" s="104">
        <v>143</v>
      </c>
      <c r="BM147" s="14">
        <f t="shared" si="257"/>
        <v>8</v>
      </c>
      <c r="BN147" s="14">
        <f>INDEX(挂机升级突破!$EI$7:$EI$26,BS147)</f>
        <v>5</v>
      </c>
      <c r="BO147" s="14">
        <f>INDEX(挂机升级突破!$EJ$7:$EJ$26,BS147)</f>
        <v>1</v>
      </c>
      <c r="BP147" s="14">
        <f t="shared" si="258"/>
        <v>4</v>
      </c>
      <c r="BQ147" s="14">
        <f>INDEX(挂机升级突破!$EH$7:$EH$26,卡牌消耗!BS147)</f>
        <v>15</v>
      </c>
      <c r="BR147" s="14" t="str">
        <f t="shared" si="259"/>
        <v>夏侯渊</v>
      </c>
      <c r="BS147" s="14">
        <f t="shared" si="260"/>
        <v>3</v>
      </c>
      <c r="BT147" s="14" t="str">
        <f t="shared" si="261"/>
        <v>夏侯渊3突</v>
      </c>
      <c r="BU147" s="14" t="str">
        <f>IF(BN147&gt;0,INDEX(挂机升级突破!$ER$5:$EV$5,卡牌消耗!BN147),"")</f>
        <v>金币</v>
      </c>
      <c r="BV147" s="14">
        <f>IF(BN147&gt;0,ROUND(INDEX(挂机升级突破!$EV$7:$EV$26,卡牌消耗!BS147)*INDEX(卡牌消耗!$B$8:$F$8,BP147)/$Q$4/500,0)*500,"")</f>
        <v>4500</v>
      </c>
      <c r="BW147" s="14" t="str">
        <f>IF(BO147&gt;0,INDEX(挂机升级突破!$ER$5:$EV$5,卡牌消耗!BO147),"")</f>
        <v>玄铁</v>
      </c>
      <c r="BX147" s="14">
        <f>IF(BO147&gt;0,ROUND(INDEX(挂机升级突破!$ER$7:$EU$26,卡牌消耗!BS147,卡牌消耗!BO147)*INDEX($B$6:$F$6,BP147)/$Q$4,0),"")</f>
        <v>6</v>
      </c>
      <c r="BY147" s="193"/>
      <c r="BZ147" s="193"/>
      <c r="CA147" s="106"/>
      <c r="CS147" s="171"/>
      <c r="CT147" s="171"/>
      <c r="CU147" s="171"/>
      <c r="CV147" s="169">
        <v>143</v>
      </c>
      <c r="CW147" s="169">
        <v>5.75</v>
      </c>
      <c r="CX147" s="21">
        <f t="shared" ref="CX147" si="292">CW147/$CU146</f>
        <v>0.20909090909090908</v>
      </c>
      <c r="CY147" s="169">
        <f t="shared" ref="CY147" si="293">INT($CU145*CX147/5)*5</f>
        <v>168000</v>
      </c>
      <c r="CZ147" s="169">
        <f>SUM(CY$5:CY147)</f>
        <v>5005720</v>
      </c>
      <c r="DB147" s="188">
        <f t="shared" si="264"/>
        <v>84000</v>
      </c>
      <c r="DC147" s="188">
        <f t="shared" si="264"/>
        <v>134400</v>
      </c>
      <c r="DD147" s="188">
        <f t="shared" si="264"/>
        <v>168000</v>
      </c>
      <c r="DE147" s="188">
        <f t="shared" si="264"/>
        <v>201600</v>
      </c>
      <c r="DF147" s="188">
        <f t="shared" si="264"/>
        <v>252000</v>
      </c>
      <c r="DI147" s="186">
        <v>143</v>
      </c>
      <c r="DJ147" s="14">
        <f t="shared" si="265"/>
        <v>29</v>
      </c>
      <c r="DK147" s="14">
        <f t="shared" si="247"/>
        <v>3</v>
      </c>
      <c r="DL147" s="14">
        <f t="shared" si="248"/>
        <v>1102002</v>
      </c>
      <c r="DM147" s="136" t="s">
        <v>1097</v>
      </c>
      <c r="DN147" s="14">
        <f t="shared" si="249"/>
        <v>3</v>
      </c>
      <c r="DO147" s="14" t="str">
        <f t="shared" si="250"/>
        <v>许褚-3星</v>
      </c>
      <c r="DP147" s="136" t="s">
        <v>1103</v>
      </c>
      <c r="DQ147" s="14">
        <f t="shared" si="266"/>
        <v>10000</v>
      </c>
      <c r="DR147" s="14" t="str">
        <f t="shared" si="251"/>
        <v>许褚碎片</v>
      </c>
      <c r="DS147" s="14">
        <f t="shared" si="267"/>
        <v>40</v>
      </c>
    </row>
    <row r="148" spans="8:123" ht="16.5" x14ac:dyDescent="0.2">
      <c r="H148" s="15"/>
      <c r="I148" s="15"/>
      <c r="J148" s="15"/>
      <c r="K148" s="15"/>
      <c r="L148" s="15"/>
      <c r="M148" s="15"/>
      <c r="N148" s="15"/>
      <c r="O148" s="137"/>
      <c r="P148" s="141"/>
      <c r="Q148" s="141"/>
      <c r="R148" s="141"/>
      <c r="S148" s="141"/>
      <c r="T148" s="141"/>
      <c r="U148" s="141"/>
      <c r="V148" s="141"/>
      <c r="W148" s="141"/>
      <c r="X148" s="141"/>
      <c r="Y148" s="141"/>
      <c r="Z148" s="196">
        <v>4</v>
      </c>
      <c r="AA148" s="196">
        <v>40</v>
      </c>
      <c r="AB148" s="14">
        <f>ROUND(INDEX(挂机升级突破!DT$6:DT$57,卡牌消耗!$AA148)*INDEX(卡牌消耗!$B$5:$F$5,卡牌消耗!$Z148)/卡牌消耗!$Q$4/AB$2,0)*AB$2</f>
        <v>0</v>
      </c>
      <c r="AC148" s="14">
        <f>ROUND(INDEX(挂机升级突破!DU$6:DU$57,卡牌消耗!$AA148)*INDEX(卡牌消耗!$B$5:$F$5,卡牌消耗!$Z148)/卡牌消耗!$Q$4/AC$2,0)*AC$2</f>
        <v>0</v>
      </c>
      <c r="AD148" s="14">
        <f>ROUND(INDEX(挂机升级突破!DV$6:DV$57,卡牌消耗!$AA148)*INDEX(卡牌消耗!$B$5:$F$5,卡牌消耗!$Z148)/卡牌消耗!$Q$4/AD$2,0)*AD$2</f>
        <v>0</v>
      </c>
      <c r="AE148" s="14">
        <f>ROUND(INDEX(挂机升级突破!DW$6:DW$57,卡牌消耗!$AA148)*INDEX(卡牌消耗!$B$5:$F$5,卡牌消耗!$Z148)/卡牌消耗!$Q$4/AE$2,0)*AE$2</f>
        <v>0</v>
      </c>
      <c r="AF148" s="14">
        <f>ROUND(INDEX(挂机升级突破!DX$6:DX$57,卡牌消耗!$AA148)*INDEX(卡牌消耗!$B$5:$F$5,卡牌消耗!$Z148)/卡牌消耗!$Q$4/AF$2,0)*AF$2</f>
        <v>10</v>
      </c>
      <c r="AG148" s="14">
        <f>ROUND(INDEX(挂机升级突破!EC$6:EC$57,卡牌消耗!$AA148)*INDEX(卡牌消耗!$B$7:$F$7,卡牌消耗!$Z148)/卡牌消耗!$Q$4/AG$2,0)*AG$2</f>
        <v>3</v>
      </c>
      <c r="AH148" s="14">
        <f>ROUND(INDEX(挂机升级突破!ED$6:ED$57,卡牌消耗!$AA148)*INDEX(卡牌消耗!$B$8:$F$8,卡牌消耗!$Z148)/卡牌消耗!$Q$4/AH$2,0)*AH$2</f>
        <v>32250</v>
      </c>
      <c r="AI148" s="194"/>
      <c r="AJ148" s="194"/>
      <c r="AK148" s="104">
        <v>144</v>
      </c>
      <c r="AL148" s="14">
        <f t="shared" si="252"/>
        <v>3</v>
      </c>
      <c r="AM148" s="14">
        <f>INDEX(挂机升级突破!DQ$6:DQ$57,卡牌消耗!$AT148)</f>
        <v>11</v>
      </c>
      <c r="AN148" s="14">
        <f>INDEX(挂机升级突破!DR$6:DR$57,卡牌消耗!$AT148)</f>
        <v>5</v>
      </c>
      <c r="AO148" s="14">
        <f>INDEX(挂机升级突破!DS$6:DS$57,卡牌消耗!$AT148)</f>
        <v>0</v>
      </c>
      <c r="AP148" s="14">
        <f>INDEX(挂机升级突破!$DP$6:$DP$57,卡牌消耗!AT148)</f>
        <v>118</v>
      </c>
      <c r="AQ148" s="14" t="str">
        <f t="shared" si="253"/>
        <v>典韦</v>
      </c>
      <c r="AR148" s="14">
        <f t="shared" si="254"/>
        <v>4</v>
      </c>
      <c r="AS148" s="14" t="str">
        <f t="shared" si="255"/>
        <v>典韦魂火-40</v>
      </c>
      <c r="AT148" s="14">
        <f t="shared" si="256"/>
        <v>40</v>
      </c>
      <c r="AU148" s="14" t="str">
        <f>IF(AM148&gt;0,INDEX(挂机升级突破!$DT$4:$ED$4,AM148),"")</f>
        <v>金币</v>
      </c>
      <c r="AV148" s="14">
        <f>ROUND(INDEX(挂机升级突破!$DJ$6:$DJ$57,卡牌消耗!AT148)*INDEX(卡牌消耗!$B$8:$F$8,AR148)/$Q$4/50,0)*50</f>
        <v>32250</v>
      </c>
      <c r="AW148" s="14" t="str">
        <f>IF(AN148&gt;0,INDEX(挂机升级突破!$DT$4:$ED$4,AN148),"")</f>
        <v>红色基础材料</v>
      </c>
      <c r="AX148" s="14">
        <f>ROUND(INDEX(挂机升级突破!$DT$6:$ED$57,卡牌消耗!AT148,AN148)*INDEX(卡牌消耗!$B$5:$F$5,AR148)/$Q$4/5,0)*5</f>
        <v>10</v>
      </c>
      <c r="AY148" s="14" t="str">
        <f>IF(AO148&gt;0,INDEX(挂机升级突破!$DT$4:$ED$4,AO148),"")</f>
        <v/>
      </c>
      <c r="AZ148" s="14" t="str">
        <f>IF(AO148&gt;0,ROUND(INDEX(挂机升级突破!$DT$6:$ED$57,卡牌消耗!AT148,AO148)*INDEX(卡牌消耗!$B$7:$F$7,AR148)/$Q$4,0),"")</f>
        <v/>
      </c>
      <c r="BA148" s="106"/>
      <c r="BB148" s="197"/>
      <c r="BC148" s="197"/>
      <c r="BD148" s="197"/>
      <c r="BE148" s="197"/>
      <c r="BF148" s="197"/>
      <c r="BG148" s="197"/>
      <c r="BH148" s="197"/>
      <c r="BI148" s="197"/>
      <c r="BJ148" s="197"/>
      <c r="BK148" s="197"/>
      <c r="BL148" s="104">
        <v>144</v>
      </c>
      <c r="BM148" s="14">
        <f t="shared" si="257"/>
        <v>8</v>
      </c>
      <c r="BN148" s="14">
        <f>INDEX(挂机升级突破!$EI$7:$EI$26,BS148)</f>
        <v>5</v>
      </c>
      <c r="BO148" s="14">
        <f>INDEX(挂机升级突破!$EJ$7:$EJ$26,BS148)</f>
        <v>1</v>
      </c>
      <c r="BP148" s="14">
        <f t="shared" si="258"/>
        <v>4</v>
      </c>
      <c r="BQ148" s="14">
        <f>INDEX(挂机升级突破!$EH$7:$EH$26,卡牌消耗!BS148)</f>
        <v>25</v>
      </c>
      <c r="BR148" s="14" t="str">
        <f t="shared" si="259"/>
        <v>夏侯渊</v>
      </c>
      <c r="BS148" s="14">
        <f t="shared" si="260"/>
        <v>4</v>
      </c>
      <c r="BT148" s="14" t="str">
        <f t="shared" si="261"/>
        <v>夏侯渊4突</v>
      </c>
      <c r="BU148" s="14" t="str">
        <f>IF(BN148&gt;0,INDEX(挂机升级突破!$ER$5:$EV$5,卡牌消耗!BN148),"")</f>
        <v>金币</v>
      </c>
      <c r="BV148" s="14">
        <f>IF(BN148&gt;0,ROUND(INDEX(挂机升级突破!$EV$7:$EV$26,卡牌消耗!BS148)*INDEX(卡牌消耗!$B$8:$F$8,BP148)/$Q$4/500,0)*500,"")</f>
        <v>5500</v>
      </c>
      <c r="BW148" s="14" t="str">
        <f>IF(BO148&gt;0,INDEX(挂机升级突破!$ER$5:$EV$5,卡牌消耗!BO148),"")</f>
        <v>玄铁</v>
      </c>
      <c r="BX148" s="14">
        <f>IF(BO148&gt;0,ROUND(INDEX(挂机升级突破!$ER$7:$EU$26,卡牌消耗!BS148,卡牌消耗!BO148)*INDEX($B$6:$F$6,BP148)/$Q$4,0),"")</f>
        <v>20</v>
      </c>
      <c r="BY148" s="193"/>
      <c r="BZ148" s="193"/>
      <c r="CA148" s="106"/>
      <c r="CS148" s="171"/>
      <c r="CT148" s="171"/>
      <c r="CU148" s="171"/>
      <c r="CV148" s="169">
        <v>144</v>
      </c>
      <c r="CW148" s="169">
        <v>6</v>
      </c>
      <c r="CX148" s="21">
        <f t="shared" ref="CX148" si="294">CW148/$CU146</f>
        <v>0.21818181818181817</v>
      </c>
      <c r="CY148" s="169">
        <f t="shared" ref="CY148" si="295">INT($CU145*CX148/5)*5</f>
        <v>175305</v>
      </c>
      <c r="CZ148" s="169">
        <f>SUM(CY$5:CY148)</f>
        <v>5181025</v>
      </c>
      <c r="DB148" s="188">
        <f t="shared" si="264"/>
        <v>87650</v>
      </c>
      <c r="DC148" s="188">
        <f t="shared" si="264"/>
        <v>140200</v>
      </c>
      <c r="DD148" s="188">
        <f t="shared" si="264"/>
        <v>175300</v>
      </c>
      <c r="DE148" s="188">
        <f t="shared" si="264"/>
        <v>210350</v>
      </c>
      <c r="DF148" s="188">
        <f t="shared" si="264"/>
        <v>262950</v>
      </c>
      <c r="DI148" s="186">
        <v>144</v>
      </c>
      <c r="DJ148" s="14">
        <f t="shared" si="265"/>
        <v>29</v>
      </c>
      <c r="DK148" s="14">
        <f t="shared" si="247"/>
        <v>3</v>
      </c>
      <c r="DL148" s="14">
        <f t="shared" si="248"/>
        <v>1102002</v>
      </c>
      <c r="DM148" s="136" t="s">
        <v>1097</v>
      </c>
      <c r="DN148" s="14">
        <f t="shared" si="249"/>
        <v>4</v>
      </c>
      <c r="DO148" s="14" t="str">
        <f t="shared" si="250"/>
        <v>许褚-4星</v>
      </c>
      <c r="DP148" s="136" t="s">
        <v>1103</v>
      </c>
      <c r="DQ148" s="14">
        <f t="shared" si="266"/>
        <v>20000</v>
      </c>
      <c r="DR148" s="14" t="str">
        <f t="shared" si="251"/>
        <v>许褚碎片</v>
      </c>
      <c r="DS148" s="14">
        <f t="shared" si="267"/>
        <v>40</v>
      </c>
    </row>
    <row r="149" spans="8:123" ht="16.5" x14ac:dyDescent="0.2">
      <c r="H149" s="15"/>
      <c r="I149" s="15"/>
      <c r="J149" s="15"/>
      <c r="K149" s="15"/>
      <c r="L149" s="15"/>
      <c r="M149" s="15"/>
      <c r="N149" s="15"/>
      <c r="O149" s="137"/>
      <c r="P149" s="141"/>
      <c r="Q149" s="141"/>
      <c r="R149" s="141"/>
      <c r="S149" s="141"/>
      <c r="T149" s="141"/>
      <c r="U149" s="141"/>
      <c r="V149" s="141"/>
      <c r="W149" s="141"/>
      <c r="X149" s="141"/>
      <c r="Y149" s="141"/>
      <c r="Z149" s="196">
        <v>4</v>
      </c>
      <c r="AA149" s="196">
        <v>41</v>
      </c>
      <c r="AB149" s="14">
        <f>ROUND(INDEX(挂机升级突破!DT$6:DT$57,卡牌消耗!$AA149)*INDEX(卡牌消耗!$B$5:$F$5,卡牌消耗!$Z149)/卡牌消耗!$Q$4/AB$2,0)*AB$2</f>
        <v>0</v>
      </c>
      <c r="AC149" s="14">
        <f>ROUND(INDEX(挂机升级突破!DU$6:DU$57,卡牌消耗!$AA149)*INDEX(卡牌消耗!$B$5:$F$5,卡牌消耗!$Z149)/卡牌消耗!$Q$4/AC$2,0)*AC$2</f>
        <v>0</v>
      </c>
      <c r="AD149" s="14">
        <f>ROUND(INDEX(挂机升级突破!DV$6:DV$57,卡牌消耗!$AA149)*INDEX(卡牌消耗!$B$5:$F$5,卡牌消耗!$Z149)/卡牌消耗!$Q$4/AD$2,0)*AD$2</f>
        <v>0</v>
      </c>
      <c r="AE149" s="14">
        <f>ROUND(INDEX(挂机升级突破!DW$6:DW$57,卡牌消耗!$AA149)*INDEX(卡牌消耗!$B$5:$F$5,卡牌消耗!$Z149)/卡牌消耗!$Q$4/AE$2,0)*AE$2</f>
        <v>0</v>
      </c>
      <c r="AF149" s="14">
        <f>ROUND(INDEX(挂机升级突破!DX$6:DX$57,卡牌消耗!$AA149)*INDEX(卡牌消耗!$B$5:$F$5,卡牌消耗!$Z149)/卡牌消耗!$Q$4/AF$2,0)*AF$2</f>
        <v>10</v>
      </c>
      <c r="AG149" s="14">
        <f>ROUND(INDEX(挂机升级突破!EC$6:EC$57,卡牌消耗!$AA149)*INDEX(卡牌消耗!$B$7:$F$7,卡牌消耗!$Z149)/卡牌消耗!$Q$4/AG$2,0)*AG$2</f>
        <v>3</v>
      </c>
      <c r="AH149" s="14">
        <f>ROUND(INDEX(挂机升级突破!ED$6:ED$57,卡牌消耗!$AA149)*INDEX(卡牌消耗!$B$8:$F$8,卡牌消耗!$Z149)/卡牌消耗!$Q$4/AH$2,0)*AH$2</f>
        <v>44300</v>
      </c>
      <c r="AI149" s="194"/>
      <c r="AJ149" s="194"/>
      <c r="AK149" s="104">
        <v>145</v>
      </c>
      <c r="AL149" s="14">
        <f t="shared" si="252"/>
        <v>3</v>
      </c>
      <c r="AM149" s="14">
        <f>INDEX(挂机升级突破!DQ$6:DQ$57,卡牌消耗!$AT149)</f>
        <v>11</v>
      </c>
      <c r="AN149" s="14">
        <f>INDEX(挂机升级突破!DR$6:DR$57,卡牌消耗!$AT149)</f>
        <v>5</v>
      </c>
      <c r="AO149" s="14">
        <f>INDEX(挂机升级突破!DS$6:DS$57,卡牌消耗!$AT149)</f>
        <v>10</v>
      </c>
      <c r="AP149" s="14">
        <f>INDEX(挂机升级突破!$DP$6:$DP$57,卡牌消耗!AT149)</f>
        <v>120</v>
      </c>
      <c r="AQ149" s="14" t="str">
        <f t="shared" si="253"/>
        <v>典韦</v>
      </c>
      <c r="AR149" s="14">
        <f t="shared" si="254"/>
        <v>4</v>
      </c>
      <c r="AS149" s="14" t="str">
        <f t="shared" si="255"/>
        <v>典韦魂火-41</v>
      </c>
      <c r="AT149" s="14">
        <f t="shared" si="256"/>
        <v>41</v>
      </c>
      <c r="AU149" s="14" t="str">
        <f>IF(AM149&gt;0,INDEX(挂机升级突破!$DT$4:$ED$4,AM149),"")</f>
        <v>金币</v>
      </c>
      <c r="AV149" s="14">
        <f>ROUND(INDEX(挂机升级突破!$DJ$6:$DJ$57,卡牌消耗!AT149)*INDEX(卡牌消耗!$B$8:$F$8,AR149)/$Q$4/50,0)*50</f>
        <v>44300</v>
      </c>
      <c r="AW149" s="14" t="str">
        <f>IF(AN149&gt;0,INDEX(挂机升级突破!$DT$4:$ED$4,AN149),"")</f>
        <v>红色基础材料</v>
      </c>
      <c r="AX149" s="14">
        <f>ROUND(INDEX(挂机升级突破!$DT$6:$ED$57,卡牌消耗!AT149,AN149)*INDEX(卡牌消耗!$B$5:$F$5,AR149)/$Q$4/5,0)*5</f>
        <v>10</v>
      </c>
      <c r="AY149" s="14" t="str">
        <f>IF(AO149&gt;0,INDEX(挂机升级突破!$DT$4:$ED$4,AO149),"")</f>
        <v>灵玉</v>
      </c>
      <c r="AZ149" s="14">
        <f>IF(AO149&gt;0,ROUND(INDEX(挂机升级突破!$DT$6:$ED$57,卡牌消耗!AT149,AO149)*INDEX(卡牌消耗!$B$7:$F$7,AR149)/$Q$4,0),"")</f>
        <v>3</v>
      </c>
      <c r="BA149" s="106"/>
      <c r="BB149" s="197"/>
      <c r="BC149" s="197"/>
      <c r="BD149" s="197"/>
      <c r="BE149" s="197"/>
      <c r="BF149" s="197"/>
      <c r="BG149" s="197"/>
      <c r="BH149" s="197"/>
      <c r="BI149" s="197"/>
      <c r="BJ149" s="197"/>
      <c r="BK149" s="197"/>
      <c r="BL149" s="104">
        <v>145</v>
      </c>
      <c r="BM149" s="14">
        <f t="shared" si="257"/>
        <v>8</v>
      </c>
      <c r="BN149" s="14">
        <f>INDEX(挂机升级突破!$EI$7:$EI$26,BS149)</f>
        <v>5</v>
      </c>
      <c r="BO149" s="14">
        <f>INDEX(挂机升级突破!$EJ$7:$EJ$26,BS149)</f>
        <v>1</v>
      </c>
      <c r="BP149" s="14">
        <f t="shared" si="258"/>
        <v>4</v>
      </c>
      <c r="BQ149" s="14">
        <f>INDEX(挂机升级突破!$EH$7:$EH$26,卡牌消耗!BS149)</f>
        <v>35</v>
      </c>
      <c r="BR149" s="14" t="str">
        <f t="shared" si="259"/>
        <v>夏侯渊</v>
      </c>
      <c r="BS149" s="14">
        <f t="shared" si="260"/>
        <v>5</v>
      </c>
      <c r="BT149" s="14" t="str">
        <f t="shared" si="261"/>
        <v>夏侯渊5突</v>
      </c>
      <c r="BU149" s="14" t="str">
        <f>IF(BN149&gt;0,INDEX(挂机升级突破!$ER$5:$EV$5,卡牌消耗!BN149),"")</f>
        <v>金币</v>
      </c>
      <c r="BV149" s="14">
        <f>IF(BN149&gt;0,ROUND(INDEX(挂机升级突破!$EV$7:$EV$26,卡牌消耗!BS149)*INDEX(卡牌消耗!$B$8:$F$8,BP149)/$Q$4/500,0)*500,"")</f>
        <v>5500</v>
      </c>
      <c r="BW149" s="14" t="str">
        <f>IF(BO149&gt;0,INDEX(挂机升级突破!$ER$5:$EV$5,卡牌消耗!BO149),"")</f>
        <v>玄铁</v>
      </c>
      <c r="BX149" s="14">
        <f>IF(BO149&gt;0,ROUND(INDEX(挂机升级突破!$ER$7:$EU$26,卡牌消耗!BS149,卡牌消耗!BO149)*INDEX($B$6:$F$6,BP149)/$Q$4/5,0)*5,"")</f>
        <v>40</v>
      </c>
      <c r="BY149" s="193"/>
      <c r="BZ149" s="193"/>
      <c r="CA149" s="106"/>
      <c r="CS149" s="171"/>
      <c r="CT149" s="173" t="s">
        <v>120</v>
      </c>
      <c r="CU149" s="169">
        <v>28</v>
      </c>
      <c r="CV149" s="169">
        <v>145</v>
      </c>
      <c r="CW149" s="169">
        <v>5</v>
      </c>
      <c r="CX149" s="21">
        <f t="shared" ref="CX149" si="296">CW149/$CU151</f>
        <v>0.18181818181818182</v>
      </c>
      <c r="CY149" s="169">
        <f t="shared" ref="CY149" si="297">INT($CU150*CX149/5)*5</f>
        <v>174770</v>
      </c>
      <c r="CZ149" s="169">
        <f>SUM(CY$5:CY149)</f>
        <v>5355795</v>
      </c>
      <c r="DB149" s="188">
        <f t="shared" si="264"/>
        <v>87350</v>
      </c>
      <c r="DC149" s="188">
        <f t="shared" si="264"/>
        <v>139800</v>
      </c>
      <c r="DD149" s="188">
        <f t="shared" si="264"/>
        <v>174750</v>
      </c>
      <c r="DE149" s="188">
        <f t="shared" si="264"/>
        <v>209700</v>
      </c>
      <c r="DF149" s="188">
        <f t="shared" si="264"/>
        <v>262150</v>
      </c>
      <c r="DI149" s="186">
        <v>145</v>
      </c>
      <c r="DJ149" s="14">
        <f t="shared" si="265"/>
        <v>29</v>
      </c>
      <c r="DK149" s="14">
        <f t="shared" si="247"/>
        <v>3</v>
      </c>
      <c r="DL149" s="14">
        <f t="shared" si="248"/>
        <v>1102002</v>
      </c>
      <c r="DM149" s="136" t="s">
        <v>1097</v>
      </c>
      <c r="DN149" s="14">
        <f t="shared" si="249"/>
        <v>5</v>
      </c>
      <c r="DO149" s="14" t="str">
        <f t="shared" si="250"/>
        <v>许褚-5星</v>
      </c>
      <c r="DP149" s="136" t="s">
        <v>1103</v>
      </c>
      <c r="DQ149" s="14">
        <f t="shared" si="266"/>
        <v>40000</v>
      </c>
      <c r="DR149" s="14" t="str">
        <f t="shared" si="251"/>
        <v>许褚碎片</v>
      </c>
      <c r="DS149" s="14">
        <f t="shared" si="267"/>
        <v>40</v>
      </c>
    </row>
    <row r="150" spans="8:123" ht="16.5" x14ac:dyDescent="0.2">
      <c r="H150" s="15"/>
      <c r="I150" s="15"/>
      <c r="J150" s="15"/>
      <c r="K150" s="15"/>
      <c r="L150" s="15"/>
      <c r="M150" s="15"/>
      <c r="N150" s="15"/>
      <c r="O150" s="137"/>
      <c r="P150" s="141"/>
      <c r="Q150" s="141"/>
      <c r="R150" s="141"/>
      <c r="S150" s="141"/>
      <c r="T150" s="141"/>
      <c r="U150" s="141"/>
      <c r="V150" s="141"/>
      <c r="W150" s="141"/>
      <c r="X150" s="141"/>
      <c r="Y150" s="141"/>
      <c r="Z150" s="196">
        <v>4</v>
      </c>
      <c r="AA150" s="196">
        <v>42</v>
      </c>
      <c r="AB150" s="14">
        <f>ROUND(INDEX(挂机升级突破!DT$6:DT$57,卡牌消耗!$AA150)*INDEX(卡牌消耗!$B$5:$F$5,卡牌消耗!$Z150)/卡牌消耗!$Q$4/AB$2,0)*AB$2</f>
        <v>0</v>
      </c>
      <c r="AC150" s="14">
        <f>ROUND(INDEX(挂机升级突破!DU$6:DU$57,卡牌消耗!$AA150)*INDEX(卡牌消耗!$B$5:$F$5,卡牌消耗!$Z150)/卡牌消耗!$Q$4/AC$2,0)*AC$2</f>
        <v>0</v>
      </c>
      <c r="AD150" s="14">
        <f>ROUND(INDEX(挂机升级突破!DV$6:DV$57,卡牌消耗!$AA150)*INDEX(卡牌消耗!$B$5:$F$5,卡牌消耗!$Z150)/卡牌消耗!$Q$4/AD$2,0)*AD$2</f>
        <v>0</v>
      </c>
      <c r="AE150" s="14">
        <f>ROUND(INDEX(挂机升级突破!DW$6:DW$57,卡牌消耗!$AA150)*INDEX(卡牌消耗!$B$5:$F$5,卡牌消耗!$Z150)/卡牌消耗!$Q$4/AE$2,0)*AE$2</f>
        <v>0</v>
      </c>
      <c r="AF150" s="14">
        <f>ROUND(INDEX(挂机升级突破!DX$6:DX$57,卡牌消耗!$AA150)*INDEX(卡牌消耗!$B$5:$F$5,卡牌消耗!$Z150)/卡牌消耗!$Q$4/AF$2,0)*AF$2</f>
        <v>10</v>
      </c>
      <c r="AG150" s="14">
        <f>ROUND(INDEX(挂机升级突破!EC$6:EC$57,卡牌消耗!$AA150)*INDEX(卡牌消耗!$B$7:$F$7,卡牌消耗!$Z150)/卡牌消耗!$Q$4/AG$2,0)*AG$2</f>
        <v>3</v>
      </c>
      <c r="AH150" s="14">
        <f>ROUND(INDEX(挂机升级突破!ED$6:ED$57,卡牌消耗!$AA150)*INDEX(卡牌消耗!$B$8:$F$8,卡牌消耗!$Z150)/卡牌消耗!$Q$4/AH$2,0)*AH$2</f>
        <v>44300</v>
      </c>
      <c r="AI150" s="194"/>
      <c r="AJ150" s="194"/>
      <c r="AK150" s="104">
        <v>146</v>
      </c>
      <c r="AL150" s="14">
        <f t="shared" si="252"/>
        <v>3</v>
      </c>
      <c r="AM150" s="14">
        <f>INDEX(挂机升级突破!DQ$6:DQ$57,卡牌消耗!$AT150)</f>
        <v>11</v>
      </c>
      <c r="AN150" s="14">
        <f>INDEX(挂机升级突破!DR$6:DR$57,卡牌消耗!$AT150)</f>
        <v>5</v>
      </c>
      <c r="AO150" s="14">
        <f>INDEX(挂机升级突破!DS$6:DS$57,卡牌消耗!$AT150)</f>
        <v>10</v>
      </c>
      <c r="AP150" s="14">
        <f>INDEX(挂机升级突破!$DP$6:$DP$57,卡牌消耗!AT150)</f>
        <v>123</v>
      </c>
      <c r="AQ150" s="14" t="str">
        <f t="shared" si="253"/>
        <v>典韦</v>
      </c>
      <c r="AR150" s="14">
        <f t="shared" si="254"/>
        <v>4</v>
      </c>
      <c r="AS150" s="14" t="str">
        <f t="shared" si="255"/>
        <v>典韦魂火-42</v>
      </c>
      <c r="AT150" s="14">
        <f t="shared" si="256"/>
        <v>42</v>
      </c>
      <c r="AU150" s="14" t="str">
        <f>IF(AM150&gt;0,INDEX(挂机升级突破!$DT$4:$ED$4,AM150),"")</f>
        <v>金币</v>
      </c>
      <c r="AV150" s="14">
        <f>ROUND(INDEX(挂机升级突破!$DJ$6:$DJ$57,卡牌消耗!AT150)*INDEX(卡牌消耗!$B$8:$F$8,AR150)/$Q$4/50,0)*50</f>
        <v>44300</v>
      </c>
      <c r="AW150" s="14" t="str">
        <f>IF(AN150&gt;0,INDEX(挂机升级突破!$DT$4:$ED$4,AN150),"")</f>
        <v>红色基础材料</v>
      </c>
      <c r="AX150" s="14">
        <f>ROUND(INDEX(挂机升级突破!$DT$6:$ED$57,卡牌消耗!AT150,AN150)*INDEX(卡牌消耗!$B$5:$F$5,AR150)/$Q$4/5,0)*5</f>
        <v>10</v>
      </c>
      <c r="AY150" s="14" t="str">
        <f>IF(AO150&gt;0,INDEX(挂机升级突破!$DT$4:$ED$4,AO150),"")</f>
        <v>灵玉</v>
      </c>
      <c r="AZ150" s="14">
        <f>IF(AO150&gt;0,ROUND(INDEX(挂机升级突破!$DT$6:$ED$57,卡牌消耗!AT150,AO150)*INDEX(卡牌消耗!$B$7:$F$7,AR150)/$Q$4,0),"")</f>
        <v>3</v>
      </c>
      <c r="BA150" s="106"/>
      <c r="BB150" s="197"/>
      <c r="BC150" s="197"/>
      <c r="BD150" s="197"/>
      <c r="BE150" s="197"/>
      <c r="BF150" s="197"/>
      <c r="BG150" s="197"/>
      <c r="BH150" s="197"/>
      <c r="BI150" s="197"/>
      <c r="BJ150" s="197"/>
      <c r="BK150" s="197"/>
      <c r="BL150" s="104">
        <v>146</v>
      </c>
      <c r="BM150" s="14">
        <f t="shared" si="257"/>
        <v>8</v>
      </c>
      <c r="BN150" s="14">
        <f>INDEX(挂机升级突破!$EI$7:$EI$26,BS150)</f>
        <v>5</v>
      </c>
      <c r="BO150" s="14">
        <f>INDEX(挂机升级突破!$EJ$7:$EJ$26,BS150)</f>
        <v>1</v>
      </c>
      <c r="BP150" s="14">
        <f t="shared" si="258"/>
        <v>4</v>
      </c>
      <c r="BQ150" s="14">
        <f>INDEX(挂机升级突破!$EH$7:$EH$26,卡牌消耗!BS150)</f>
        <v>42</v>
      </c>
      <c r="BR150" s="14" t="str">
        <f t="shared" si="259"/>
        <v>夏侯渊</v>
      </c>
      <c r="BS150" s="14">
        <f t="shared" si="260"/>
        <v>6</v>
      </c>
      <c r="BT150" s="14" t="str">
        <f t="shared" si="261"/>
        <v>夏侯渊6突</v>
      </c>
      <c r="BU150" s="14" t="str">
        <f>IF(BN150&gt;0,INDEX(挂机升级突破!$ER$5:$EV$5,卡牌消耗!BN150),"")</f>
        <v>金币</v>
      </c>
      <c r="BV150" s="14">
        <f>IF(BN150&gt;0,ROUND(INDEX(挂机升级突破!$EV$7:$EV$26,卡牌消耗!BS150)*INDEX(卡牌消耗!$B$8:$F$8,BP150)/$Q$4/500,0)*500,"")</f>
        <v>7500</v>
      </c>
      <c r="BW150" s="14" t="str">
        <f>IF(BO150&gt;0,INDEX(挂机升级突破!$ER$5:$EV$5,卡牌消耗!BO150),"")</f>
        <v>玄铁</v>
      </c>
      <c r="BX150" s="14">
        <f>IF(BO150&gt;0,ROUND(INDEX(挂机升级突破!$ER$7:$EU$26,卡牌消耗!BS150,卡牌消耗!BO150)*INDEX($B$6:$F$6,BP150)/$Q$4/5,0)*5,"")</f>
        <v>60</v>
      </c>
      <c r="BY150" s="193"/>
      <c r="BZ150" s="193"/>
      <c r="CA150" s="106"/>
      <c r="CS150" s="171"/>
      <c r="CT150" s="171"/>
      <c r="CU150" s="14">
        <f>INDEX($CP$5:$CP$32,CU149)</f>
        <v>961250</v>
      </c>
      <c r="CV150" s="169">
        <v>146</v>
      </c>
      <c r="CW150" s="169">
        <v>5.25</v>
      </c>
      <c r="CX150" s="21">
        <f t="shared" ref="CX150" si="298">CW150/$CU151</f>
        <v>0.19090909090909092</v>
      </c>
      <c r="CY150" s="169">
        <f t="shared" ref="CY150" si="299">INT($CU150*CX150/5)*5</f>
        <v>183510</v>
      </c>
      <c r="CZ150" s="169">
        <f>SUM(CY$5:CY150)</f>
        <v>5539305</v>
      </c>
      <c r="DB150" s="188">
        <f t="shared" si="264"/>
        <v>91750</v>
      </c>
      <c r="DC150" s="188">
        <f t="shared" si="264"/>
        <v>146800</v>
      </c>
      <c r="DD150" s="188">
        <f t="shared" si="264"/>
        <v>183500</v>
      </c>
      <c r="DE150" s="188">
        <f t="shared" si="264"/>
        <v>220200</v>
      </c>
      <c r="DF150" s="188">
        <f t="shared" si="264"/>
        <v>275250</v>
      </c>
      <c r="DI150" s="186">
        <v>146</v>
      </c>
      <c r="DJ150" s="14">
        <f t="shared" si="265"/>
        <v>30</v>
      </c>
      <c r="DK150" s="14">
        <f t="shared" si="247"/>
        <v>4</v>
      </c>
      <c r="DL150" s="14">
        <f t="shared" si="248"/>
        <v>1102003</v>
      </c>
      <c r="DM150" s="136" t="s">
        <v>1097</v>
      </c>
      <c r="DN150" s="14">
        <f t="shared" si="249"/>
        <v>1</v>
      </c>
      <c r="DO150" s="14" t="str">
        <f t="shared" si="250"/>
        <v>典韦-1星</v>
      </c>
      <c r="DP150" s="136" t="s">
        <v>1103</v>
      </c>
      <c r="DQ150" s="14">
        <f t="shared" si="266"/>
        <v>6000</v>
      </c>
      <c r="DR150" s="14" t="str">
        <f t="shared" si="251"/>
        <v>典韦碎片</v>
      </c>
      <c r="DS150" s="14">
        <f t="shared" si="267"/>
        <v>80</v>
      </c>
    </row>
    <row r="151" spans="8:123" ht="16.5" x14ac:dyDescent="0.2">
      <c r="H151" s="15"/>
      <c r="I151" s="15"/>
      <c r="J151" s="15"/>
      <c r="K151" s="15"/>
      <c r="L151" s="15"/>
      <c r="M151" s="15"/>
      <c r="N151" s="15"/>
      <c r="O151" s="137"/>
      <c r="P151" s="141"/>
      <c r="Q151" s="141"/>
      <c r="R151" s="141"/>
      <c r="S151" s="141"/>
      <c r="T151" s="141"/>
      <c r="U151" s="141"/>
      <c r="V151" s="141"/>
      <c r="W151" s="141"/>
      <c r="X151" s="141"/>
      <c r="Y151" s="141"/>
      <c r="Z151" s="196">
        <v>4</v>
      </c>
      <c r="AA151" s="196">
        <v>43</v>
      </c>
      <c r="AB151" s="14">
        <f>ROUND(INDEX(挂机升级突破!DT$6:DT$57,卡牌消耗!$AA151)*INDEX(卡牌消耗!$B$5:$F$5,卡牌消耗!$Z151)/卡牌消耗!$Q$4/AB$2,0)*AB$2</f>
        <v>0</v>
      </c>
      <c r="AC151" s="14">
        <f>ROUND(INDEX(挂机升级突破!DU$6:DU$57,卡牌消耗!$AA151)*INDEX(卡牌消耗!$B$5:$F$5,卡牌消耗!$Z151)/卡牌消耗!$Q$4/AC$2,0)*AC$2</f>
        <v>0</v>
      </c>
      <c r="AD151" s="14">
        <f>ROUND(INDEX(挂机升级突破!DV$6:DV$57,卡牌消耗!$AA151)*INDEX(卡牌消耗!$B$5:$F$5,卡牌消耗!$Z151)/卡牌消耗!$Q$4/AD$2,0)*AD$2</f>
        <v>0</v>
      </c>
      <c r="AE151" s="14">
        <f>ROUND(INDEX(挂机升级突破!DW$6:DW$57,卡牌消耗!$AA151)*INDEX(卡牌消耗!$B$5:$F$5,卡牌消耗!$Z151)/卡牌消耗!$Q$4/AE$2,0)*AE$2</f>
        <v>0</v>
      </c>
      <c r="AF151" s="14">
        <f>ROUND(INDEX(挂机升级突破!DX$6:DX$57,卡牌消耗!$AA151)*INDEX(卡牌消耗!$B$5:$F$5,卡牌消耗!$Z151)/卡牌消耗!$Q$4/AF$2,0)*AF$2</f>
        <v>10</v>
      </c>
      <c r="AG151" s="14">
        <f>ROUND(INDEX(挂机升级突破!EC$6:EC$57,卡牌消耗!$AA151)*INDEX(卡牌消耗!$B$7:$F$7,卡牌消耗!$Z151)/卡牌消耗!$Q$4/AG$2,0)*AG$2</f>
        <v>3</v>
      </c>
      <c r="AH151" s="14">
        <f>ROUND(INDEX(挂机升级突破!ED$6:ED$57,卡牌消耗!$AA151)*INDEX(卡牌消耗!$B$8:$F$8,卡牌消耗!$Z151)/卡牌消耗!$Q$4/AH$2,0)*AH$2</f>
        <v>44300</v>
      </c>
      <c r="AI151" s="194"/>
      <c r="AJ151" s="194"/>
      <c r="AK151" s="104">
        <v>147</v>
      </c>
      <c r="AL151" s="14">
        <f t="shared" si="252"/>
        <v>3</v>
      </c>
      <c r="AM151" s="14">
        <f>INDEX(挂机升级突破!DQ$6:DQ$57,卡牌消耗!$AT151)</f>
        <v>11</v>
      </c>
      <c r="AN151" s="14">
        <f>INDEX(挂机升级突破!DR$6:DR$57,卡牌消耗!$AT151)</f>
        <v>5</v>
      </c>
      <c r="AO151" s="14">
        <f>INDEX(挂机升级突破!DS$6:DS$57,卡牌消耗!$AT151)</f>
        <v>10</v>
      </c>
      <c r="AP151" s="14">
        <f>INDEX(挂机升级突破!$DP$6:$DP$57,卡牌消耗!AT151)</f>
        <v>125</v>
      </c>
      <c r="AQ151" s="14" t="str">
        <f t="shared" si="253"/>
        <v>典韦</v>
      </c>
      <c r="AR151" s="14">
        <f t="shared" si="254"/>
        <v>4</v>
      </c>
      <c r="AS151" s="14" t="str">
        <f t="shared" si="255"/>
        <v>典韦魂火-43</v>
      </c>
      <c r="AT151" s="14">
        <f t="shared" si="256"/>
        <v>43</v>
      </c>
      <c r="AU151" s="14" t="str">
        <f>IF(AM151&gt;0,INDEX(挂机升级突破!$DT$4:$ED$4,AM151),"")</f>
        <v>金币</v>
      </c>
      <c r="AV151" s="14">
        <f>ROUND(INDEX(挂机升级突破!$DJ$6:$DJ$57,卡牌消耗!AT151)*INDEX(卡牌消耗!$B$8:$F$8,AR151)/$Q$4/50,0)*50</f>
        <v>44300</v>
      </c>
      <c r="AW151" s="14" t="str">
        <f>IF(AN151&gt;0,INDEX(挂机升级突破!$DT$4:$ED$4,AN151),"")</f>
        <v>红色基础材料</v>
      </c>
      <c r="AX151" s="14">
        <f>ROUND(INDEX(挂机升级突破!$DT$6:$ED$57,卡牌消耗!AT151,AN151)*INDEX(卡牌消耗!$B$5:$F$5,AR151)/$Q$4/5,0)*5</f>
        <v>10</v>
      </c>
      <c r="AY151" s="14" t="str">
        <f>IF(AO151&gt;0,INDEX(挂机升级突破!$DT$4:$ED$4,AO151),"")</f>
        <v>灵玉</v>
      </c>
      <c r="AZ151" s="14">
        <f>IF(AO151&gt;0,ROUND(INDEX(挂机升级突破!$DT$6:$ED$57,卡牌消耗!AT151,AO151)*INDEX(卡牌消耗!$B$7:$F$7,AR151)/$Q$4,0),"")</f>
        <v>3</v>
      </c>
      <c r="BA151" s="106"/>
      <c r="BB151" s="197"/>
      <c r="BC151" s="197"/>
      <c r="BD151" s="197"/>
      <c r="BE151" s="197"/>
      <c r="BF151" s="197"/>
      <c r="BG151" s="197"/>
      <c r="BH151" s="197"/>
      <c r="BI151" s="197"/>
      <c r="BJ151" s="197"/>
      <c r="BK151" s="197"/>
      <c r="BL151" s="104">
        <v>147</v>
      </c>
      <c r="BM151" s="14">
        <f t="shared" si="257"/>
        <v>8</v>
      </c>
      <c r="BN151" s="14">
        <f>INDEX(挂机升级突破!$EI$7:$EI$26,BS151)</f>
        <v>5</v>
      </c>
      <c r="BO151" s="14">
        <f>INDEX(挂机升级突破!$EJ$7:$EJ$26,BS151)</f>
        <v>1</v>
      </c>
      <c r="BP151" s="14">
        <f t="shared" si="258"/>
        <v>4</v>
      </c>
      <c r="BQ151" s="14">
        <f>INDEX(挂机升级突破!$EH$7:$EH$26,卡牌消耗!BS151)</f>
        <v>47</v>
      </c>
      <c r="BR151" s="14" t="str">
        <f t="shared" si="259"/>
        <v>夏侯渊</v>
      </c>
      <c r="BS151" s="14">
        <f t="shared" si="260"/>
        <v>7</v>
      </c>
      <c r="BT151" s="14" t="str">
        <f t="shared" si="261"/>
        <v>夏侯渊7突</v>
      </c>
      <c r="BU151" s="14" t="str">
        <f>IF(BN151&gt;0,INDEX(挂机升级突破!$ER$5:$EV$5,卡牌消耗!BN151),"")</f>
        <v>金币</v>
      </c>
      <c r="BV151" s="14">
        <f>IF(BN151&gt;0,ROUND(INDEX(挂机升级突破!$EV$7:$EV$26,卡牌消耗!BS151)*INDEX(卡牌消耗!$B$8:$F$8,BP151)/$Q$4/500,0)*500,"")</f>
        <v>12500</v>
      </c>
      <c r="BW151" s="14" t="str">
        <f>IF(BO151&gt;0,INDEX(挂机升级突破!$ER$5:$EV$5,卡牌消耗!BO151),"")</f>
        <v>玄铁</v>
      </c>
      <c r="BX151" s="14">
        <f>IF(BO151&gt;0,ROUND(INDEX(挂机升级突破!$ER$7:$EU$26,卡牌消耗!BS151,卡牌消耗!BO151)*INDEX($B$6:$F$6,BP151)/$Q$4/5,0)*5,"")</f>
        <v>100</v>
      </c>
      <c r="BY151" s="193"/>
      <c r="BZ151" s="193"/>
      <c r="CA151" s="106"/>
      <c r="CS151" s="171"/>
      <c r="CT151" s="170"/>
      <c r="CU151" s="14">
        <f>SUMIFS($CW$5:$CW$154,$CV$5:$CV$154,"&gt;="&amp;INDEX($CE$5:$CE$32,CU149),$CV$5:$CV$154,"&lt;"&amp;INDEX($CF$5:$CF$32,CU149))</f>
        <v>27.5</v>
      </c>
      <c r="CV151" s="169">
        <v>147</v>
      </c>
      <c r="CW151" s="169">
        <v>5.5</v>
      </c>
      <c r="CX151" s="21">
        <f t="shared" ref="CX151" si="300">CW151/$CU151</f>
        <v>0.2</v>
      </c>
      <c r="CY151" s="169">
        <f t="shared" ref="CY151" si="301">INT($CU150*CX151/5)*5</f>
        <v>192250</v>
      </c>
      <c r="CZ151" s="169">
        <f>SUM(CY$5:CY151)</f>
        <v>5731555</v>
      </c>
      <c r="DB151" s="188">
        <f t="shared" si="264"/>
        <v>96100</v>
      </c>
      <c r="DC151" s="188">
        <f t="shared" si="264"/>
        <v>153800</v>
      </c>
      <c r="DD151" s="188">
        <f t="shared" si="264"/>
        <v>192250</v>
      </c>
      <c r="DE151" s="188">
        <f t="shared" si="264"/>
        <v>230700</v>
      </c>
      <c r="DF151" s="188">
        <f t="shared" si="264"/>
        <v>288350</v>
      </c>
      <c r="DI151" s="186">
        <v>147</v>
      </c>
      <c r="DJ151" s="14">
        <f t="shared" si="265"/>
        <v>30</v>
      </c>
      <c r="DK151" s="14">
        <f t="shared" si="247"/>
        <v>4</v>
      </c>
      <c r="DL151" s="14">
        <f t="shared" si="248"/>
        <v>1102003</v>
      </c>
      <c r="DM151" s="136" t="s">
        <v>1097</v>
      </c>
      <c r="DN151" s="14">
        <f t="shared" si="249"/>
        <v>2</v>
      </c>
      <c r="DO151" s="14" t="str">
        <f t="shared" si="250"/>
        <v>典韦-2星</v>
      </c>
      <c r="DP151" s="136" t="s">
        <v>1103</v>
      </c>
      <c r="DQ151" s="14">
        <f t="shared" si="266"/>
        <v>8000</v>
      </c>
      <c r="DR151" s="14" t="str">
        <f t="shared" si="251"/>
        <v>典韦碎片</v>
      </c>
      <c r="DS151" s="14">
        <f t="shared" si="267"/>
        <v>80</v>
      </c>
    </row>
    <row r="152" spans="8:123" ht="16.5" x14ac:dyDescent="0.2">
      <c r="H152" s="15"/>
      <c r="I152" s="15"/>
      <c r="J152" s="15"/>
      <c r="K152" s="15"/>
      <c r="L152" s="15"/>
      <c r="M152" s="15"/>
      <c r="N152" s="15"/>
      <c r="O152" s="137"/>
      <c r="P152" s="141"/>
      <c r="Q152" s="141"/>
      <c r="R152" s="141"/>
      <c r="S152" s="141"/>
      <c r="T152" s="141"/>
      <c r="U152" s="141"/>
      <c r="V152" s="141"/>
      <c r="W152" s="141"/>
      <c r="X152" s="141"/>
      <c r="Y152" s="141"/>
      <c r="Z152" s="196">
        <v>4</v>
      </c>
      <c r="AA152" s="196">
        <v>44</v>
      </c>
      <c r="AB152" s="14">
        <f>ROUND(INDEX(挂机升级突破!DT$6:DT$57,卡牌消耗!$AA152)*INDEX(卡牌消耗!$B$5:$F$5,卡牌消耗!$Z152)/卡牌消耗!$Q$4/AB$2,0)*AB$2</f>
        <v>0</v>
      </c>
      <c r="AC152" s="14">
        <f>ROUND(INDEX(挂机升级突破!DU$6:DU$57,卡牌消耗!$AA152)*INDEX(卡牌消耗!$B$5:$F$5,卡牌消耗!$Z152)/卡牌消耗!$Q$4/AC$2,0)*AC$2</f>
        <v>0</v>
      </c>
      <c r="AD152" s="14">
        <f>ROUND(INDEX(挂机升级突破!DV$6:DV$57,卡牌消耗!$AA152)*INDEX(卡牌消耗!$B$5:$F$5,卡牌消耗!$Z152)/卡牌消耗!$Q$4/AD$2,0)*AD$2</f>
        <v>0</v>
      </c>
      <c r="AE152" s="14">
        <f>ROUND(INDEX(挂机升级突破!DW$6:DW$57,卡牌消耗!$AA152)*INDEX(卡牌消耗!$B$5:$F$5,卡牌消耗!$Z152)/卡牌消耗!$Q$4/AE$2,0)*AE$2</f>
        <v>0</v>
      </c>
      <c r="AF152" s="14">
        <f>ROUND(INDEX(挂机升级突破!DX$6:DX$57,卡牌消耗!$AA152)*INDEX(卡牌消耗!$B$5:$F$5,卡牌消耗!$Z152)/卡牌消耗!$Q$4/AF$2,0)*AF$2</f>
        <v>15</v>
      </c>
      <c r="AG152" s="14">
        <f>ROUND(INDEX(挂机升级突破!EC$6:EC$57,卡牌消耗!$AA152)*INDEX(卡牌消耗!$B$7:$F$7,卡牌消耗!$Z152)/卡牌消耗!$Q$4/AG$2,0)*AG$2</f>
        <v>3</v>
      </c>
      <c r="AH152" s="14">
        <f>ROUND(INDEX(挂机升级突破!ED$6:ED$57,卡牌消耗!$AA152)*INDEX(卡牌消耗!$B$8:$F$8,卡牌消耗!$Z152)/卡牌消耗!$Q$4/AH$2,0)*AH$2</f>
        <v>56400</v>
      </c>
      <c r="AI152" s="194"/>
      <c r="AJ152" s="194"/>
      <c r="AK152" s="104">
        <v>148</v>
      </c>
      <c r="AL152" s="14">
        <f t="shared" si="252"/>
        <v>3</v>
      </c>
      <c r="AM152" s="14">
        <f>INDEX(挂机升级突破!DQ$6:DQ$57,卡牌消耗!$AT152)</f>
        <v>11</v>
      </c>
      <c r="AN152" s="14">
        <f>INDEX(挂机升级突破!DR$6:DR$57,卡牌消耗!$AT152)</f>
        <v>5</v>
      </c>
      <c r="AO152" s="14">
        <f>INDEX(挂机升级突破!DS$6:DS$57,卡牌消耗!$AT152)</f>
        <v>10</v>
      </c>
      <c r="AP152" s="14">
        <f>INDEX(挂机升级突破!$DP$6:$DP$57,卡牌消耗!AT152)</f>
        <v>128</v>
      </c>
      <c r="AQ152" s="14" t="str">
        <f t="shared" si="253"/>
        <v>典韦</v>
      </c>
      <c r="AR152" s="14">
        <f t="shared" si="254"/>
        <v>4</v>
      </c>
      <c r="AS152" s="14" t="str">
        <f t="shared" si="255"/>
        <v>典韦魂火-44</v>
      </c>
      <c r="AT152" s="14">
        <f t="shared" si="256"/>
        <v>44</v>
      </c>
      <c r="AU152" s="14" t="str">
        <f>IF(AM152&gt;0,INDEX(挂机升级突破!$DT$4:$ED$4,AM152),"")</f>
        <v>金币</v>
      </c>
      <c r="AV152" s="14">
        <f>ROUND(INDEX(挂机升级突破!$DJ$6:$DJ$57,卡牌消耗!AT152)*INDEX(卡牌消耗!$B$8:$F$8,AR152)/$Q$4/50,0)*50</f>
        <v>56400</v>
      </c>
      <c r="AW152" s="14" t="str">
        <f>IF(AN152&gt;0,INDEX(挂机升级突破!$DT$4:$ED$4,AN152),"")</f>
        <v>红色基础材料</v>
      </c>
      <c r="AX152" s="14">
        <f>ROUND(INDEX(挂机升级突破!$DT$6:$ED$57,卡牌消耗!AT152,AN152)*INDEX(卡牌消耗!$B$5:$F$5,AR152)/$Q$4/5,0)*5</f>
        <v>15</v>
      </c>
      <c r="AY152" s="14" t="str">
        <f>IF(AO152&gt;0,INDEX(挂机升级突破!$DT$4:$ED$4,AO152),"")</f>
        <v>灵玉</v>
      </c>
      <c r="AZ152" s="14">
        <f>IF(AO152&gt;0,ROUND(INDEX(挂机升级突破!$DT$6:$ED$57,卡牌消耗!AT152,AO152)*INDEX(卡牌消耗!$B$7:$F$7,AR152)/$Q$4,0),"")</f>
        <v>3</v>
      </c>
      <c r="BA152" s="106"/>
      <c r="BB152" s="197"/>
      <c r="BC152" s="197"/>
      <c r="BD152" s="197"/>
      <c r="BE152" s="197"/>
      <c r="BF152" s="197"/>
      <c r="BG152" s="197"/>
      <c r="BH152" s="197"/>
      <c r="BI152" s="197"/>
      <c r="BJ152" s="197"/>
      <c r="BK152" s="197"/>
      <c r="BL152" s="104">
        <v>148</v>
      </c>
      <c r="BM152" s="14">
        <f t="shared" si="257"/>
        <v>8</v>
      </c>
      <c r="BN152" s="14">
        <f>INDEX(挂机升级突破!$EI$7:$EI$26,BS152)</f>
        <v>5</v>
      </c>
      <c r="BO152" s="14">
        <f>INDEX(挂机升级突破!$EJ$7:$EJ$26,BS152)</f>
        <v>1</v>
      </c>
      <c r="BP152" s="14">
        <f t="shared" si="258"/>
        <v>4</v>
      </c>
      <c r="BQ152" s="14">
        <f>INDEX(挂机升级突破!$EH$7:$EH$26,卡牌消耗!BS152)</f>
        <v>52</v>
      </c>
      <c r="BR152" s="14" t="str">
        <f t="shared" si="259"/>
        <v>夏侯渊</v>
      </c>
      <c r="BS152" s="14">
        <f t="shared" si="260"/>
        <v>8</v>
      </c>
      <c r="BT152" s="14" t="str">
        <f t="shared" si="261"/>
        <v>夏侯渊8突</v>
      </c>
      <c r="BU152" s="14" t="str">
        <f>IF(BN152&gt;0,INDEX(挂机升级突破!$ER$5:$EV$5,卡牌消耗!BN152),"")</f>
        <v>金币</v>
      </c>
      <c r="BV152" s="14">
        <f>IF(BN152&gt;0,ROUND(INDEX(挂机升级突破!$EV$7:$EV$26,卡牌消耗!BS152)*INDEX(卡牌消耗!$B$8:$F$8,BP152)/$Q$4/500,0)*500,"")</f>
        <v>12500</v>
      </c>
      <c r="BW152" s="14" t="str">
        <f>IF(BO152&gt;0,INDEX(挂机升级突破!$ER$5:$EV$5,卡牌消耗!BO152),"")</f>
        <v>玄铁</v>
      </c>
      <c r="BX152" s="14">
        <f>IF(BO152&gt;0,ROUND(INDEX(挂机升级突破!$ER$7:$EU$26,卡牌消耗!BS152,卡牌消耗!BO152)*INDEX($B$6:$F$6,BP152)/$Q$4/5,0)*5,"")</f>
        <v>180</v>
      </c>
      <c r="BY152" s="193"/>
      <c r="BZ152" s="193"/>
      <c r="CA152" s="106"/>
      <c r="CS152" s="171"/>
      <c r="CT152" s="171"/>
      <c r="CU152" s="171"/>
      <c r="CV152" s="169">
        <v>148</v>
      </c>
      <c r="CW152" s="169">
        <v>5.75</v>
      </c>
      <c r="CX152" s="21">
        <f t="shared" ref="CX152" si="302">CW152/$CU151</f>
        <v>0.20909090909090908</v>
      </c>
      <c r="CY152" s="169">
        <f t="shared" ref="CY152" si="303">INT($CU150*CX152/5)*5</f>
        <v>200985</v>
      </c>
      <c r="CZ152" s="169">
        <f>SUM(CY$5:CY152)</f>
        <v>5932540</v>
      </c>
      <c r="DB152" s="188">
        <f t="shared" si="264"/>
        <v>100450</v>
      </c>
      <c r="DC152" s="188">
        <f t="shared" si="264"/>
        <v>160750</v>
      </c>
      <c r="DD152" s="188">
        <f t="shared" si="264"/>
        <v>200950</v>
      </c>
      <c r="DE152" s="188">
        <f t="shared" si="264"/>
        <v>241150</v>
      </c>
      <c r="DF152" s="188">
        <f t="shared" si="264"/>
        <v>301450</v>
      </c>
      <c r="DI152" s="186">
        <v>148</v>
      </c>
      <c r="DJ152" s="14">
        <f t="shared" si="265"/>
        <v>30</v>
      </c>
      <c r="DK152" s="14">
        <f t="shared" si="247"/>
        <v>4</v>
      </c>
      <c r="DL152" s="14">
        <f t="shared" si="248"/>
        <v>1102003</v>
      </c>
      <c r="DM152" s="136" t="s">
        <v>1097</v>
      </c>
      <c r="DN152" s="14">
        <f t="shared" si="249"/>
        <v>3</v>
      </c>
      <c r="DO152" s="14" t="str">
        <f t="shared" si="250"/>
        <v>典韦-3星</v>
      </c>
      <c r="DP152" s="136" t="s">
        <v>1103</v>
      </c>
      <c r="DQ152" s="14">
        <f t="shared" si="266"/>
        <v>14000</v>
      </c>
      <c r="DR152" s="14" t="str">
        <f t="shared" si="251"/>
        <v>典韦碎片</v>
      </c>
      <c r="DS152" s="14">
        <f t="shared" si="267"/>
        <v>80</v>
      </c>
    </row>
    <row r="153" spans="8:123" ht="16.5" x14ac:dyDescent="0.2">
      <c r="H153" s="15"/>
      <c r="I153" s="15"/>
      <c r="J153" s="15"/>
      <c r="K153" s="15"/>
      <c r="L153" s="15"/>
      <c r="M153" s="15"/>
      <c r="N153" s="15"/>
      <c r="O153" s="137"/>
      <c r="P153" s="141"/>
      <c r="Q153" s="141"/>
      <c r="R153" s="141"/>
      <c r="S153" s="141"/>
      <c r="T153" s="141"/>
      <c r="U153" s="141"/>
      <c r="V153" s="141"/>
      <c r="W153" s="141"/>
      <c r="X153" s="141"/>
      <c r="Y153" s="141"/>
      <c r="Z153" s="196">
        <v>4</v>
      </c>
      <c r="AA153" s="196">
        <v>45</v>
      </c>
      <c r="AB153" s="14">
        <f>ROUND(INDEX(挂机升级突破!DT$6:DT$57,卡牌消耗!$AA153)*INDEX(卡牌消耗!$B$5:$F$5,卡牌消耗!$Z153)/卡牌消耗!$Q$4/AB$2,0)*AB$2</f>
        <v>0</v>
      </c>
      <c r="AC153" s="14">
        <f>ROUND(INDEX(挂机升级突破!DU$6:DU$57,卡牌消耗!$AA153)*INDEX(卡牌消耗!$B$5:$F$5,卡牌消耗!$Z153)/卡牌消耗!$Q$4/AC$2,0)*AC$2</f>
        <v>0</v>
      </c>
      <c r="AD153" s="14">
        <f>ROUND(INDEX(挂机升级突破!DV$6:DV$57,卡牌消耗!$AA153)*INDEX(卡牌消耗!$B$5:$F$5,卡牌消耗!$Z153)/卡牌消耗!$Q$4/AD$2,0)*AD$2</f>
        <v>0</v>
      </c>
      <c r="AE153" s="14">
        <f>ROUND(INDEX(挂机升级突破!DW$6:DW$57,卡牌消耗!$AA153)*INDEX(卡牌消耗!$B$5:$F$5,卡牌消耗!$Z153)/卡牌消耗!$Q$4/AE$2,0)*AE$2</f>
        <v>0</v>
      </c>
      <c r="AF153" s="14">
        <f>ROUND(INDEX(挂机升级突破!DX$6:DX$57,卡牌消耗!$AA153)*INDEX(卡牌消耗!$B$5:$F$5,卡牌消耗!$Z153)/卡牌消耗!$Q$4/AF$2,0)*AF$2</f>
        <v>15</v>
      </c>
      <c r="AG153" s="14">
        <f>ROUND(INDEX(挂机升级突破!EC$6:EC$57,卡牌消耗!$AA153)*INDEX(卡牌消耗!$B$7:$F$7,卡牌消耗!$Z153)/卡牌消耗!$Q$4/AG$2,0)*AG$2</f>
        <v>3</v>
      </c>
      <c r="AH153" s="14">
        <f>ROUND(INDEX(挂机升级突破!ED$6:ED$57,卡牌消耗!$AA153)*INDEX(卡牌消耗!$B$8:$F$8,卡牌消耗!$Z153)/卡牌消耗!$Q$4/AH$2,0)*AH$2</f>
        <v>56400</v>
      </c>
      <c r="AI153" s="194"/>
      <c r="AJ153" s="194"/>
      <c r="AK153" s="104">
        <v>149</v>
      </c>
      <c r="AL153" s="14">
        <f t="shared" si="252"/>
        <v>3</v>
      </c>
      <c r="AM153" s="14">
        <f>INDEX(挂机升级突破!DQ$6:DQ$57,卡牌消耗!$AT153)</f>
        <v>11</v>
      </c>
      <c r="AN153" s="14">
        <f>INDEX(挂机升级突破!DR$6:DR$57,卡牌消耗!$AT153)</f>
        <v>5</v>
      </c>
      <c r="AO153" s="14">
        <f>INDEX(挂机升级突破!DS$6:DS$57,卡牌消耗!$AT153)</f>
        <v>10</v>
      </c>
      <c r="AP153" s="14">
        <f>INDEX(挂机升级突破!$DP$6:$DP$57,卡牌消耗!AT153)</f>
        <v>130</v>
      </c>
      <c r="AQ153" s="14" t="str">
        <f t="shared" si="253"/>
        <v>典韦</v>
      </c>
      <c r="AR153" s="14">
        <f t="shared" si="254"/>
        <v>4</v>
      </c>
      <c r="AS153" s="14" t="str">
        <f t="shared" si="255"/>
        <v>典韦魂火-45</v>
      </c>
      <c r="AT153" s="14">
        <f t="shared" si="256"/>
        <v>45</v>
      </c>
      <c r="AU153" s="14" t="str">
        <f>IF(AM153&gt;0,INDEX(挂机升级突破!$DT$4:$ED$4,AM153),"")</f>
        <v>金币</v>
      </c>
      <c r="AV153" s="14">
        <f>ROUND(INDEX(挂机升级突破!$DJ$6:$DJ$57,卡牌消耗!AT153)*INDEX(卡牌消耗!$B$8:$F$8,AR153)/$Q$4/50,0)*50</f>
        <v>56400</v>
      </c>
      <c r="AW153" s="14" t="str">
        <f>IF(AN153&gt;0,INDEX(挂机升级突破!$DT$4:$ED$4,AN153),"")</f>
        <v>红色基础材料</v>
      </c>
      <c r="AX153" s="14">
        <f>ROUND(INDEX(挂机升级突破!$DT$6:$ED$57,卡牌消耗!AT153,AN153)*INDEX(卡牌消耗!$B$5:$F$5,AR153)/$Q$4/5,0)*5</f>
        <v>15</v>
      </c>
      <c r="AY153" s="14" t="str">
        <f>IF(AO153&gt;0,INDEX(挂机升级突破!$DT$4:$ED$4,AO153),"")</f>
        <v>灵玉</v>
      </c>
      <c r="AZ153" s="14">
        <f>IF(AO153&gt;0,ROUND(INDEX(挂机升级突破!$DT$6:$ED$57,卡牌消耗!AT153,AO153)*INDEX(卡牌消耗!$B$7:$F$7,AR153)/$Q$4,0),"")</f>
        <v>3</v>
      </c>
      <c r="BA153" s="106"/>
      <c r="BB153" s="197"/>
      <c r="BC153" s="197"/>
      <c r="BD153" s="197"/>
      <c r="BE153" s="197"/>
      <c r="BF153" s="197"/>
      <c r="BG153" s="197"/>
      <c r="BH153" s="197"/>
      <c r="BI153" s="197"/>
      <c r="BJ153" s="197"/>
      <c r="BK153" s="197"/>
      <c r="BL153" s="104">
        <v>149</v>
      </c>
      <c r="BM153" s="14">
        <f t="shared" si="257"/>
        <v>8</v>
      </c>
      <c r="BN153" s="14">
        <f>INDEX(挂机升级突破!$EI$7:$EI$26,BS153)</f>
        <v>5</v>
      </c>
      <c r="BO153" s="14">
        <f>INDEX(挂机升级突破!$EJ$7:$EJ$26,BS153)</f>
        <v>2</v>
      </c>
      <c r="BP153" s="14">
        <f t="shared" si="258"/>
        <v>4</v>
      </c>
      <c r="BQ153" s="14">
        <f>INDEX(挂机升级突破!$EH$7:$EH$26,卡牌消耗!BS153)</f>
        <v>57</v>
      </c>
      <c r="BR153" s="14" t="str">
        <f t="shared" si="259"/>
        <v>夏侯渊</v>
      </c>
      <c r="BS153" s="14">
        <f t="shared" si="260"/>
        <v>9</v>
      </c>
      <c r="BT153" s="14" t="str">
        <f t="shared" si="261"/>
        <v>夏侯渊9突</v>
      </c>
      <c r="BU153" s="14" t="str">
        <f>IF(BN153&gt;0,INDEX(挂机升级突破!$ER$5:$EV$5,卡牌消耗!BN153),"")</f>
        <v>金币</v>
      </c>
      <c r="BV153" s="14">
        <f>IF(BN153&gt;0,ROUND(INDEX(挂机升级突破!$EV$7:$EV$26,卡牌消耗!BS153)*INDEX(卡牌消耗!$B$8:$F$8,BP153)/$Q$4/500,0)*500,"")</f>
        <v>16500</v>
      </c>
      <c r="BW153" s="14" t="str">
        <f>IF(BO153&gt;0,INDEX(挂机升级突破!$ER$5:$EV$5,卡牌消耗!BO153),"")</f>
        <v>乌金</v>
      </c>
      <c r="BX153" s="14">
        <f>IF(BO153&gt;0,ROUND(INDEX(挂机升级突破!$ER$7:$EU$26,卡牌消耗!BS153,卡牌消耗!BO153)*INDEX($B$6:$F$6,BP153)/$Q$4/5,0)*5,"")</f>
        <v>60</v>
      </c>
      <c r="BY153" s="193"/>
      <c r="BZ153" s="193"/>
      <c r="CA153" s="106"/>
      <c r="CS153" s="171"/>
      <c r="CT153" s="171"/>
      <c r="CU153" s="171"/>
      <c r="CV153" s="169">
        <v>149</v>
      </c>
      <c r="CW153" s="169">
        <v>6</v>
      </c>
      <c r="CX153" s="21">
        <f t="shared" ref="CX153" si="304">CW153/$CU151</f>
        <v>0.21818181818181817</v>
      </c>
      <c r="CY153" s="169">
        <f t="shared" ref="CY153" si="305">INT($CU150*CX153/5)*5</f>
        <v>209725</v>
      </c>
      <c r="CZ153" s="169">
        <f>SUM(CY$5:CY153)</f>
        <v>6142265</v>
      </c>
      <c r="DB153" s="188">
        <f t="shared" si="264"/>
        <v>104850</v>
      </c>
      <c r="DC153" s="188">
        <f t="shared" si="264"/>
        <v>167750</v>
      </c>
      <c r="DD153" s="188">
        <f t="shared" si="264"/>
        <v>209700</v>
      </c>
      <c r="DE153" s="188">
        <f t="shared" si="264"/>
        <v>251650</v>
      </c>
      <c r="DF153" s="188">
        <f t="shared" si="264"/>
        <v>314550</v>
      </c>
      <c r="DI153" s="186">
        <v>149</v>
      </c>
      <c r="DJ153" s="14">
        <f t="shared" si="265"/>
        <v>30</v>
      </c>
      <c r="DK153" s="14">
        <f t="shared" si="247"/>
        <v>4</v>
      </c>
      <c r="DL153" s="14">
        <f t="shared" si="248"/>
        <v>1102003</v>
      </c>
      <c r="DM153" s="136" t="s">
        <v>1097</v>
      </c>
      <c r="DN153" s="14">
        <f t="shared" si="249"/>
        <v>4</v>
      </c>
      <c r="DO153" s="14" t="str">
        <f t="shared" si="250"/>
        <v>典韦-4星</v>
      </c>
      <c r="DP153" s="136" t="s">
        <v>1103</v>
      </c>
      <c r="DQ153" s="14">
        <f t="shared" si="266"/>
        <v>32000</v>
      </c>
      <c r="DR153" s="14" t="str">
        <f t="shared" si="251"/>
        <v>典韦碎片</v>
      </c>
      <c r="DS153" s="14">
        <f t="shared" si="267"/>
        <v>80</v>
      </c>
    </row>
    <row r="154" spans="8:123" ht="16.5" x14ac:dyDescent="0.2">
      <c r="H154" s="15"/>
      <c r="I154" s="15"/>
      <c r="J154" s="15"/>
      <c r="K154" s="15"/>
      <c r="L154" s="15"/>
      <c r="M154" s="15"/>
      <c r="N154" s="15"/>
      <c r="O154" s="137"/>
      <c r="P154" s="141"/>
      <c r="Q154" s="141"/>
      <c r="R154" s="141"/>
      <c r="S154" s="141"/>
      <c r="T154" s="141"/>
      <c r="U154" s="141"/>
      <c r="V154" s="141"/>
      <c r="W154" s="141"/>
      <c r="X154" s="141"/>
      <c r="Y154" s="141"/>
      <c r="Z154" s="196">
        <v>4</v>
      </c>
      <c r="AA154" s="196">
        <v>46</v>
      </c>
      <c r="AB154" s="14">
        <f>ROUND(INDEX(挂机升级突破!DT$6:DT$57,卡牌消耗!$AA154)*INDEX(卡牌消耗!$B$5:$F$5,卡牌消耗!$Z154)/卡牌消耗!$Q$4/AB$2,0)*AB$2</f>
        <v>0</v>
      </c>
      <c r="AC154" s="14">
        <f>ROUND(INDEX(挂机升级突破!DU$6:DU$57,卡牌消耗!$AA154)*INDEX(卡牌消耗!$B$5:$F$5,卡牌消耗!$Z154)/卡牌消耗!$Q$4/AC$2,0)*AC$2</f>
        <v>0</v>
      </c>
      <c r="AD154" s="14">
        <f>ROUND(INDEX(挂机升级突破!DV$6:DV$57,卡牌消耗!$AA154)*INDEX(卡牌消耗!$B$5:$F$5,卡牌消耗!$Z154)/卡牌消耗!$Q$4/AD$2,0)*AD$2</f>
        <v>0</v>
      </c>
      <c r="AE154" s="14">
        <f>ROUND(INDEX(挂机升级突破!DW$6:DW$57,卡牌消耗!$AA154)*INDEX(卡牌消耗!$B$5:$F$5,卡牌消耗!$Z154)/卡牌消耗!$Q$4/AE$2,0)*AE$2</f>
        <v>0</v>
      </c>
      <c r="AF154" s="14">
        <f>ROUND(INDEX(挂机升级突破!DX$6:DX$57,卡牌消耗!$AA154)*INDEX(卡牌消耗!$B$5:$F$5,卡牌消耗!$Z154)/卡牌消耗!$Q$4/AF$2,0)*AF$2</f>
        <v>15</v>
      </c>
      <c r="AG154" s="14">
        <f>ROUND(INDEX(挂机升级突破!EC$6:EC$57,卡牌消耗!$AA154)*INDEX(卡牌消耗!$B$7:$F$7,卡牌消耗!$Z154)/卡牌消耗!$Q$4/AG$2,0)*AG$2</f>
        <v>3</v>
      </c>
      <c r="AH154" s="14">
        <f>ROUND(INDEX(挂机升级突破!ED$6:ED$57,卡牌消耗!$AA154)*INDEX(卡牌消耗!$B$8:$F$8,卡牌消耗!$Z154)/卡牌消耗!$Q$4/AH$2,0)*AH$2</f>
        <v>60450</v>
      </c>
      <c r="AI154" s="194"/>
      <c r="AJ154" s="194"/>
      <c r="AK154" s="104">
        <v>150</v>
      </c>
      <c r="AL154" s="14">
        <f t="shared" si="252"/>
        <v>3</v>
      </c>
      <c r="AM154" s="14">
        <f>INDEX(挂机升级突破!DQ$6:DQ$57,卡牌消耗!$AT154)</f>
        <v>11</v>
      </c>
      <c r="AN154" s="14">
        <f>INDEX(挂机升级突破!DR$6:DR$57,卡牌消耗!$AT154)</f>
        <v>5</v>
      </c>
      <c r="AO154" s="14">
        <f>INDEX(挂机升级突破!DS$6:DS$57,卡牌消耗!$AT154)</f>
        <v>10</v>
      </c>
      <c r="AP154" s="14">
        <f>INDEX(挂机升级突破!$DP$6:$DP$57,卡牌消耗!AT154)</f>
        <v>133</v>
      </c>
      <c r="AQ154" s="14" t="str">
        <f t="shared" si="253"/>
        <v>典韦</v>
      </c>
      <c r="AR154" s="14">
        <f t="shared" si="254"/>
        <v>4</v>
      </c>
      <c r="AS154" s="14" t="str">
        <f t="shared" si="255"/>
        <v>典韦魂火-46</v>
      </c>
      <c r="AT154" s="14">
        <f t="shared" si="256"/>
        <v>46</v>
      </c>
      <c r="AU154" s="14" t="str">
        <f>IF(AM154&gt;0,INDEX(挂机升级突破!$DT$4:$ED$4,AM154),"")</f>
        <v>金币</v>
      </c>
      <c r="AV154" s="14">
        <f>ROUND(INDEX(挂机升级突破!$DJ$6:$DJ$57,卡牌消耗!AT154)*INDEX(卡牌消耗!$B$8:$F$8,AR154)/$Q$4/50,0)*50</f>
        <v>60450</v>
      </c>
      <c r="AW154" s="14" t="str">
        <f>IF(AN154&gt;0,INDEX(挂机升级突破!$DT$4:$ED$4,AN154),"")</f>
        <v>红色基础材料</v>
      </c>
      <c r="AX154" s="14">
        <f>ROUND(INDEX(挂机升级突破!$DT$6:$ED$57,卡牌消耗!AT154,AN154)*INDEX(卡牌消耗!$B$5:$F$5,AR154)/$Q$4/5,0)*5</f>
        <v>15</v>
      </c>
      <c r="AY154" s="14" t="str">
        <f>IF(AO154&gt;0,INDEX(挂机升级突破!$DT$4:$ED$4,AO154),"")</f>
        <v>灵玉</v>
      </c>
      <c r="AZ154" s="14">
        <f>IF(AO154&gt;0,ROUND(INDEX(挂机升级突破!$DT$6:$ED$57,卡牌消耗!AT154,AO154)*INDEX(卡牌消耗!$B$7:$F$7,AR154)/$Q$4,0),"")</f>
        <v>3</v>
      </c>
      <c r="BA154" s="106"/>
      <c r="BB154" s="197"/>
      <c r="BC154" s="197"/>
      <c r="BD154" s="197"/>
      <c r="BE154" s="197"/>
      <c r="BF154" s="197"/>
      <c r="BG154" s="197"/>
      <c r="BH154" s="197"/>
      <c r="BI154" s="197"/>
      <c r="BJ154" s="197"/>
      <c r="BK154" s="197"/>
      <c r="BL154" s="104">
        <v>150</v>
      </c>
      <c r="BM154" s="14">
        <f t="shared" si="257"/>
        <v>8</v>
      </c>
      <c r="BN154" s="14">
        <f>INDEX(挂机升级突破!$EI$7:$EI$26,BS154)</f>
        <v>5</v>
      </c>
      <c r="BO154" s="14">
        <f>INDEX(挂机升级突破!$EJ$7:$EJ$26,BS154)</f>
        <v>2</v>
      </c>
      <c r="BP154" s="14">
        <f t="shared" si="258"/>
        <v>4</v>
      </c>
      <c r="BQ154" s="14">
        <f>INDEX(挂机升级突破!$EH$7:$EH$26,卡牌消耗!BS154)</f>
        <v>65</v>
      </c>
      <c r="BR154" s="14" t="str">
        <f t="shared" si="259"/>
        <v>夏侯渊</v>
      </c>
      <c r="BS154" s="14">
        <f t="shared" si="260"/>
        <v>10</v>
      </c>
      <c r="BT154" s="14" t="str">
        <f t="shared" si="261"/>
        <v>夏侯渊10突</v>
      </c>
      <c r="BU154" s="14" t="str">
        <f>IF(BN154&gt;0,INDEX(挂机升级突破!$ER$5:$EV$5,卡牌消耗!BN154),"")</f>
        <v>金币</v>
      </c>
      <c r="BV154" s="14">
        <f>IF(BN154&gt;0,ROUND(INDEX(挂机升级突破!$EV$7:$EV$26,卡牌消耗!BS154)*INDEX(卡牌消耗!$B$8:$F$8,BP154)/$Q$4/500,0)*500,"")</f>
        <v>28000</v>
      </c>
      <c r="BW154" s="14" t="str">
        <f>IF(BO154&gt;0,INDEX(挂机升级突破!$ER$5:$EV$5,卡牌消耗!BO154),"")</f>
        <v>乌金</v>
      </c>
      <c r="BX154" s="14">
        <f>IF(BO154&gt;0,ROUND(INDEX(挂机升级突破!$ER$7:$EU$26,卡牌消耗!BS154,卡牌消耗!BO154)*INDEX($B$6:$F$6,BP154)/$Q$4/5,0)*5,"")</f>
        <v>85</v>
      </c>
      <c r="BY154" s="193"/>
      <c r="BZ154" s="193"/>
      <c r="CA154" s="106"/>
      <c r="CS154" s="171"/>
      <c r="CT154" s="171"/>
      <c r="CU154" s="171"/>
      <c r="CV154" s="169">
        <v>150</v>
      </c>
      <c r="CW154" s="50">
        <v>10</v>
      </c>
      <c r="CX154" s="21">
        <f>CW154/$CU151</f>
        <v>0.36363636363636365</v>
      </c>
      <c r="CY154" s="65">
        <f>INT($CU150*CX154/5)*5</f>
        <v>349545</v>
      </c>
      <c r="CZ154" s="169">
        <f>SUM(CY$5:CY154)</f>
        <v>6491810</v>
      </c>
      <c r="DB154" s="188">
        <f t="shared" si="264"/>
        <v>174750</v>
      </c>
      <c r="DC154" s="188">
        <f t="shared" si="264"/>
        <v>279600</v>
      </c>
      <c r="DD154" s="188">
        <f t="shared" si="264"/>
        <v>349500</v>
      </c>
      <c r="DE154" s="188">
        <f t="shared" si="264"/>
        <v>419450</v>
      </c>
      <c r="DF154" s="188">
        <f t="shared" si="264"/>
        <v>524300</v>
      </c>
      <c r="DI154" s="186">
        <v>150</v>
      </c>
      <c r="DJ154" s="14">
        <f t="shared" si="265"/>
        <v>30</v>
      </c>
      <c r="DK154" s="14">
        <f t="shared" si="247"/>
        <v>4</v>
      </c>
      <c r="DL154" s="14">
        <f t="shared" si="248"/>
        <v>1102003</v>
      </c>
      <c r="DM154" s="136" t="s">
        <v>1097</v>
      </c>
      <c r="DN154" s="14">
        <f t="shared" si="249"/>
        <v>5</v>
      </c>
      <c r="DO154" s="14" t="str">
        <f t="shared" si="250"/>
        <v>典韦-5星</v>
      </c>
      <c r="DP154" s="136" t="s">
        <v>1103</v>
      </c>
      <c r="DQ154" s="14">
        <f t="shared" si="266"/>
        <v>60000</v>
      </c>
      <c r="DR154" s="14" t="str">
        <f t="shared" si="251"/>
        <v>典韦碎片</v>
      </c>
      <c r="DS154" s="14">
        <f t="shared" si="267"/>
        <v>80</v>
      </c>
    </row>
    <row r="155" spans="8:123" ht="16.5" x14ac:dyDescent="0.2">
      <c r="H155" s="15"/>
      <c r="I155" s="15"/>
      <c r="J155" s="15"/>
      <c r="K155" s="15"/>
      <c r="L155" s="15"/>
      <c r="M155" s="15"/>
      <c r="N155" s="15"/>
      <c r="O155" s="137"/>
      <c r="P155" s="141"/>
      <c r="Q155" s="141"/>
      <c r="R155" s="141"/>
      <c r="S155" s="141"/>
      <c r="T155" s="141"/>
      <c r="U155" s="141"/>
      <c r="V155" s="141"/>
      <c r="W155" s="141"/>
      <c r="X155" s="141"/>
      <c r="Y155" s="141"/>
      <c r="Z155" s="196">
        <v>4</v>
      </c>
      <c r="AA155" s="196">
        <v>47</v>
      </c>
      <c r="AB155" s="14">
        <f>ROUND(INDEX(挂机升级突破!DT$6:DT$57,卡牌消耗!$AA155)*INDEX(卡牌消耗!$B$5:$F$5,卡牌消耗!$Z155)/卡牌消耗!$Q$4/AB$2,0)*AB$2</f>
        <v>0</v>
      </c>
      <c r="AC155" s="14">
        <f>ROUND(INDEX(挂机升级突破!DU$6:DU$57,卡牌消耗!$AA155)*INDEX(卡牌消耗!$B$5:$F$5,卡牌消耗!$Z155)/卡牌消耗!$Q$4/AC$2,0)*AC$2</f>
        <v>0</v>
      </c>
      <c r="AD155" s="14">
        <f>ROUND(INDEX(挂机升级突破!DV$6:DV$57,卡牌消耗!$AA155)*INDEX(卡牌消耗!$B$5:$F$5,卡牌消耗!$Z155)/卡牌消耗!$Q$4/AD$2,0)*AD$2</f>
        <v>0</v>
      </c>
      <c r="AE155" s="14">
        <f>ROUND(INDEX(挂机升级突破!DW$6:DW$57,卡牌消耗!$AA155)*INDEX(卡牌消耗!$B$5:$F$5,卡牌消耗!$Z155)/卡牌消耗!$Q$4/AE$2,0)*AE$2</f>
        <v>0</v>
      </c>
      <c r="AF155" s="14">
        <f>ROUND(INDEX(挂机升级突破!DX$6:DX$57,卡牌消耗!$AA155)*INDEX(卡牌消耗!$B$5:$F$5,卡牌消耗!$Z155)/卡牌消耗!$Q$4/AF$2,0)*AF$2</f>
        <v>15</v>
      </c>
      <c r="AG155" s="14">
        <f>ROUND(INDEX(挂机升级突破!EC$6:EC$57,卡牌消耗!$AA155)*INDEX(卡牌消耗!$B$7:$F$7,卡牌消耗!$Z155)/卡牌消耗!$Q$4/AG$2,0)*AG$2</f>
        <v>3</v>
      </c>
      <c r="AH155" s="14">
        <f>ROUND(INDEX(挂机升级突破!ED$6:ED$57,卡牌消耗!$AA155)*INDEX(卡牌消耗!$B$8:$F$8,卡牌消耗!$Z155)/卡牌消耗!$Q$4/AH$2,0)*AH$2</f>
        <v>123100</v>
      </c>
      <c r="AI155" s="194"/>
      <c r="AJ155" s="194"/>
      <c r="AK155" s="104">
        <v>151</v>
      </c>
      <c r="AL155" s="14">
        <f t="shared" si="252"/>
        <v>3</v>
      </c>
      <c r="AM155" s="14">
        <f>INDEX(挂机升级突破!DQ$6:DQ$57,卡牌消耗!$AT155)</f>
        <v>11</v>
      </c>
      <c r="AN155" s="14">
        <f>INDEX(挂机升级突破!DR$6:DR$57,卡牌消耗!$AT155)</f>
        <v>5</v>
      </c>
      <c r="AO155" s="14">
        <f>INDEX(挂机升级突破!DS$6:DS$57,卡牌消耗!$AT155)</f>
        <v>10</v>
      </c>
      <c r="AP155" s="14">
        <f>INDEX(挂机升级突破!$DP$6:$DP$57,卡牌消耗!AT155)</f>
        <v>135</v>
      </c>
      <c r="AQ155" s="14" t="str">
        <f t="shared" si="253"/>
        <v>典韦</v>
      </c>
      <c r="AR155" s="14">
        <f t="shared" si="254"/>
        <v>4</v>
      </c>
      <c r="AS155" s="14" t="str">
        <f t="shared" si="255"/>
        <v>典韦魂火-47</v>
      </c>
      <c r="AT155" s="14">
        <f t="shared" si="256"/>
        <v>47</v>
      </c>
      <c r="AU155" s="14" t="str">
        <f>IF(AM155&gt;0,INDEX(挂机升级突破!$DT$4:$ED$4,AM155),"")</f>
        <v>金币</v>
      </c>
      <c r="AV155" s="14">
        <f>ROUND(INDEX(挂机升级突破!$DJ$6:$DJ$57,卡牌消耗!AT155)*INDEX(卡牌消耗!$B$8:$F$8,AR155)/$Q$4/50,0)*50</f>
        <v>123100</v>
      </c>
      <c r="AW155" s="14" t="str">
        <f>IF(AN155&gt;0,INDEX(挂机升级突破!$DT$4:$ED$4,AN155),"")</f>
        <v>红色基础材料</v>
      </c>
      <c r="AX155" s="14">
        <f>ROUND(INDEX(挂机升级突破!$DT$6:$ED$57,卡牌消耗!AT155,AN155)*INDEX(卡牌消耗!$B$5:$F$5,AR155)/$Q$4/5,0)*5</f>
        <v>15</v>
      </c>
      <c r="AY155" s="14" t="str">
        <f>IF(AO155&gt;0,INDEX(挂机升级突破!$DT$4:$ED$4,AO155),"")</f>
        <v>灵玉</v>
      </c>
      <c r="AZ155" s="14">
        <f>IF(AO155&gt;0,ROUND(INDEX(挂机升级突破!$DT$6:$ED$57,卡牌消耗!AT155,AO155)*INDEX(卡牌消耗!$B$7:$F$7,AR155)/$Q$4,0),"")</f>
        <v>3</v>
      </c>
      <c r="BA155" s="106"/>
      <c r="BB155" s="197"/>
      <c r="BC155" s="197"/>
      <c r="BD155" s="197"/>
      <c r="BE155" s="197"/>
      <c r="BF155" s="197"/>
      <c r="BG155" s="197"/>
      <c r="BH155" s="197"/>
      <c r="BI155" s="197"/>
      <c r="BJ155" s="197"/>
      <c r="BK155" s="197"/>
      <c r="BL155" s="104">
        <v>151</v>
      </c>
      <c r="BM155" s="14">
        <f t="shared" si="257"/>
        <v>8</v>
      </c>
      <c r="BN155" s="14">
        <f>INDEX(挂机升级突破!$EI$7:$EI$26,BS155)</f>
        <v>5</v>
      </c>
      <c r="BO155" s="14">
        <f>INDEX(挂机升级突破!$EJ$7:$EJ$26,BS155)</f>
        <v>2</v>
      </c>
      <c r="BP155" s="14">
        <f t="shared" si="258"/>
        <v>4</v>
      </c>
      <c r="BQ155" s="14">
        <f>INDEX(挂机升级突破!$EH$7:$EH$26,卡牌消耗!BS155)</f>
        <v>72</v>
      </c>
      <c r="BR155" s="14" t="str">
        <f t="shared" si="259"/>
        <v>夏侯渊</v>
      </c>
      <c r="BS155" s="14">
        <f t="shared" si="260"/>
        <v>11</v>
      </c>
      <c r="BT155" s="14" t="str">
        <f t="shared" si="261"/>
        <v>夏侯渊11突</v>
      </c>
      <c r="BU155" s="14" t="str">
        <f>IF(BN155&gt;0,INDEX(挂机升级突破!$ER$5:$EV$5,卡牌消耗!BN155),"")</f>
        <v>金币</v>
      </c>
      <c r="BV155" s="14">
        <f>IF(BN155&gt;0,ROUND(INDEX(挂机升级突破!$EV$7:$EV$26,卡牌消耗!BS155)*INDEX(卡牌消耗!$B$8:$F$8,BP155)/$Q$4/500,0)*500,"")</f>
        <v>28000</v>
      </c>
      <c r="BW155" s="14" t="str">
        <f>IF(BO155&gt;0,INDEX(挂机升级突破!$ER$5:$EV$5,卡牌消耗!BO155),"")</f>
        <v>乌金</v>
      </c>
      <c r="BX155" s="14">
        <f>IF(BO155&gt;0,ROUND(INDEX(挂机升级突破!$ER$7:$EU$26,卡牌消耗!BS155,卡牌消耗!BO155)*INDEX($B$6:$F$6,BP155)/$Q$4/5,0)*5,"")</f>
        <v>110</v>
      </c>
      <c r="BY155" s="193"/>
      <c r="BZ155" s="193"/>
      <c r="CA155" s="106"/>
      <c r="CS155" s="171"/>
      <c r="CT155" s="171"/>
      <c r="CU155" s="171"/>
      <c r="CV155" s="170"/>
      <c r="CW155" s="170"/>
      <c r="CX155" s="170"/>
      <c r="CY155" s="170"/>
      <c r="CZ155" s="170"/>
      <c r="DI155" s="186">
        <v>151</v>
      </c>
      <c r="DJ155" s="14">
        <f t="shared" si="265"/>
        <v>31</v>
      </c>
      <c r="DK155" s="14">
        <f t="shared" si="247"/>
        <v>2</v>
      </c>
      <c r="DL155" s="14">
        <f t="shared" si="248"/>
        <v>1102004</v>
      </c>
      <c r="DM155" s="136" t="s">
        <v>1097</v>
      </c>
      <c r="DN155" s="14">
        <f t="shared" si="249"/>
        <v>1</v>
      </c>
      <c r="DO155" s="14" t="str">
        <f t="shared" si="250"/>
        <v>唐流雨-1星</v>
      </c>
      <c r="DP155" s="136" t="s">
        <v>1103</v>
      </c>
      <c r="DQ155" s="14">
        <f t="shared" si="266"/>
        <v>3000</v>
      </c>
      <c r="DR155" s="14" t="str">
        <f t="shared" si="251"/>
        <v>唐流雨碎片</v>
      </c>
      <c r="DS155" s="14">
        <f t="shared" si="267"/>
        <v>20</v>
      </c>
    </row>
    <row r="156" spans="8:123" ht="16.5" x14ac:dyDescent="0.2">
      <c r="H156" s="15"/>
      <c r="I156" s="15"/>
      <c r="J156" s="15"/>
      <c r="K156" s="15"/>
      <c r="L156" s="15"/>
      <c r="M156" s="15"/>
      <c r="N156" s="15"/>
      <c r="O156" s="137"/>
      <c r="P156" s="141"/>
      <c r="Q156" s="141"/>
      <c r="R156" s="141"/>
      <c r="S156" s="141"/>
      <c r="T156" s="141"/>
      <c r="U156" s="141"/>
      <c r="V156" s="141"/>
      <c r="W156" s="141"/>
      <c r="X156" s="141"/>
      <c r="Y156" s="141"/>
      <c r="Z156" s="196">
        <v>4</v>
      </c>
      <c r="AA156" s="196">
        <v>48</v>
      </c>
      <c r="AB156" s="14">
        <f>ROUND(INDEX(挂机升级突破!DT$6:DT$57,卡牌消耗!$AA156)*INDEX(卡牌消耗!$B$5:$F$5,卡牌消耗!$Z156)/卡牌消耗!$Q$4/AB$2,0)*AB$2</f>
        <v>0</v>
      </c>
      <c r="AC156" s="14">
        <f>ROUND(INDEX(挂机升级突破!DU$6:DU$57,卡牌消耗!$AA156)*INDEX(卡牌消耗!$B$5:$F$5,卡牌消耗!$Z156)/卡牌消耗!$Q$4/AC$2,0)*AC$2</f>
        <v>0</v>
      </c>
      <c r="AD156" s="14">
        <f>ROUND(INDEX(挂机升级突破!DV$6:DV$57,卡牌消耗!$AA156)*INDEX(卡牌消耗!$B$5:$F$5,卡牌消耗!$Z156)/卡牌消耗!$Q$4/AD$2,0)*AD$2</f>
        <v>0</v>
      </c>
      <c r="AE156" s="14">
        <f>ROUND(INDEX(挂机升级突破!DW$6:DW$57,卡牌消耗!$AA156)*INDEX(卡牌消耗!$B$5:$F$5,卡牌消耗!$Z156)/卡牌消耗!$Q$4/AE$2,0)*AE$2</f>
        <v>0</v>
      </c>
      <c r="AF156" s="14">
        <f>ROUND(INDEX(挂机升级突破!DX$6:DX$57,卡牌消耗!$AA156)*INDEX(卡牌消耗!$B$5:$F$5,卡牌消耗!$Z156)/卡牌消耗!$Q$4/AF$2,0)*AF$2</f>
        <v>15</v>
      </c>
      <c r="AG156" s="14">
        <f>ROUND(INDEX(挂机升级突破!EC$6:EC$57,卡牌消耗!$AA156)*INDEX(卡牌消耗!$B$7:$F$7,卡牌消耗!$Z156)/卡牌消耗!$Q$4/AG$2,0)*AG$2</f>
        <v>3</v>
      </c>
      <c r="AH156" s="14">
        <f>ROUND(INDEX(挂机升级突破!ED$6:ED$57,卡牌消耗!$AA156)*INDEX(卡牌消耗!$B$8:$F$8,卡牌消耗!$Z156)/卡牌消耗!$Q$4/AH$2,0)*AH$2</f>
        <v>123100</v>
      </c>
      <c r="AI156" s="194"/>
      <c r="AJ156" s="194"/>
      <c r="AK156" s="104">
        <v>152</v>
      </c>
      <c r="AL156" s="14">
        <f t="shared" si="252"/>
        <v>3</v>
      </c>
      <c r="AM156" s="14">
        <f>INDEX(挂机升级突破!DQ$6:DQ$57,卡牌消耗!$AT156)</f>
        <v>11</v>
      </c>
      <c r="AN156" s="14">
        <f>INDEX(挂机升级突破!DR$6:DR$57,卡牌消耗!$AT156)</f>
        <v>5</v>
      </c>
      <c r="AO156" s="14">
        <f>INDEX(挂机升级突破!DS$6:DS$57,卡牌消耗!$AT156)</f>
        <v>10</v>
      </c>
      <c r="AP156" s="14">
        <f>INDEX(挂机升级突破!$DP$6:$DP$57,卡牌消耗!AT156)</f>
        <v>138</v>
      </c>
      <c r="AQ156" s="14" t="str">
        <f t="shared" si="253"/>
        <v>典韦</v>
      </c>
      <c r="AR156" s="14">
        <f t="shared" si="254"/>
        <v>4</v>
      </c>
      <c r="AS156" s="14" t="str">
        <f t="shared" si="255"/>
        <v>典韦魂火-48</v>
      </c>
      <c r="AT156" s="14">
        <f t="shared" si="256"/>
        <v>48</v>
      </c>
      <c r="AU156" s="14" t="str">
        <f>IF(AM156&gt;0,INDEX(挂机升级突破!$DT$4:$ED$4,AM156),"")</f>
        <v>金币</v>
      </c>
      <c r="AV156" s="14">
        <f>ROUND(INDEX(挂机升级突破!$DJ$6:$DJ$57,卡牌消耗!AT156)*INDEX(卡牌消耗!$B$8:$F$8,AR156)/$Q$4/50,0)*50</f>
        <v>123100</v>
      </c>
      <c r="AW156" s="14" t="str">
        <f>IF(AN156&gt;0,INDEX(挂机升级突破!$DT$4:$ED$4,AN156),"")</f>
        <v>红色基础材料</v>
      </c>
      <c r="AX156" s="14">
        <f>ROUND(INDEX(挂机升级突破!$DT$6:$ED$57,卡牌消耗!AT156,AN156)*INDEX(卡牌消耗!$B$5:$F$5,AR156)/$Q$4/5,0)*5</f>
        <v>15</v>
      </c>
      <c r="AY156" s="14" t="str">
        <f>IF(AO156&gt;0,INDEX(挂机升级突破!$DT$4:$ED$4,AO156),"")</f>
        <v>灵玉</v>
      </c>
      <c r="AZ156" s="14">
        <f>IF(AO156&gt;0,ROUND(INDEX(挂机升级突破!$DT$6:$ED$57,卡牌消耗!AT156,AO156)*INDEX(卡牌消耗!$B$7:$F$7,AR156)/$Q$4,0),"")</f>
        <v>3</v>
      </c>
      <c r="BA156" s="106"/>
      <c r="BB156" s="197"/>
      <c r="BC156" s="197"/>
      <c r="BD156" s="197"/>
      <c r="BE156" s="197"/>
      <c r="BF156" s="197"/>
      <c r="BG156" s="197"/>
      <c r="BH156" s="197"/>
      <c r="BI156" s="197"/>
      <c r="BJ156" s="197"/>
      <c r="BK156" s="197"/>
      <c r="BL156" s="104">
        <v>152</v>
      </c>
      <c r="BM156" s="14">
        <f t="shared" si="257"/>
        <v>8</v>
      </c>
      <c r="BN156" s="14">
        <f>INDEX(挂机升级突破!$EI$7:$EI$26,BS156)</f>
        <v>5</v>
      </c>
      <c r="BO156" s="14">
        <f>INDEX(挂机升级突破!$EJ$7:$EJ$26,BS156)</f>
        <v>2</v>
      </c>
      <c r="BP156" s="14">
        <f t="shared" si="258"/>
        <v>4</v>
      </c>
      <c r="BQ156" s="14">
        <f>INDEX(挂机升级突破!$EH$7:$EH$26,卡牌消耗!BS156)</f>
        <v>80</v>
      </c>
      <c r="BR156" s="14" t="str">
        <f t="shared" si="259"/>
        <v>夏侯渊</v>
      </c>
      <c r="BS156" s="14">
        <f t="shared" si="260"/>
        <v>12</v>
      </c>
      <c r="BT156" s="14" t="str">
        <f t="shared" si="261"/>
        <v>夏侯渊12突</v>
      </c>
      <c r="BU156" s="14" t="str">
        <f>IF(BN156&gt;0,INDEX(挂机升级突破!$ER$5:$EV$5,卡牌消耗!BN156),"")</f>
        <v>金币</v>
      </c>
      <c r="BV156" s="14">
        <f>IF(BN156&gt;0,ROUND(INDEX(挂机升级突破!$EV$7:$EV$26,卡牌消耗!BS156)*INDEX(卡牌消耗!$B$8:$F$8,BP156)/$Q$4/500,0)*500,"")</f>
        <v>37500</v>
      </c>
      <c r="BW156" s="14" t="str">
        <f>IF(BO156&gt;0,INDEX(挂机升级突破!$ER$5:$EV$5,卡牌消耗!BO156),"")</f>
        <v>乌金</v>
      </c>
      <c r="BX156" s="14">
        <f>IF(BO156&gt;0,ROUND(INDEX(挂机升级突破!$ER$7:$EU$26,卡牌消耗!BS156,卡牌消耗!BO156)*INDEX($B$6:$F$6,BP156)/$Q$4/5,0)*5,"")</f>
        <v>140</v>
      </c>
      <c r="BY156" s="193"/>
      <c r="BZ156" s="193"/>
      <c r="CA156" s="106"/>
      <c r="CS156" s="171"/>
      <c r="CT156" s="171"/>
      <c r="CU156" s="171"/>
      <c r="CV156" s="170"/>
      <c r="CW156" s="170"/>
      <c r="CX156" s="170"/>
      <c r="CY156" s="170"/>
      <c r="CZ156" s="170"/>
      <c r="DI156" s="186">
        <v>152</v>
      </c>
      <c r="DJ156" s="14">
        <f t="shared" si="265"/>
        <v>31</v>
      </c>
      <c r="DK156" s="14">
        <f t="shared" si="247"/>
        <v>2</v>
      </c>
      <c r="DL156" s="14">
        <f t="shared" si="248"/>
        <v>1102004</v>
      </c>
      <c r="DM156" s="136" t="s">
        <v>1097</v>
      </c>
      <c r="DN156" s="14">
        <f t="shared" si="249"/>
        <v>2</v>
      </c>
      <c r="DO156" s="14" t="str">
        <f t="shared" si="250"/>
        <v>唐流雨-2星</v>
      </c>
      <c r="DP156" s="136" t="s">
        <v>1103</v>
      </c>
      <c r="DQ156" s="14">
        <f t="shared" si="266"/>
        <v>3500</v>
      </c>
      <c r="DR156" s="14" t="str">
        <f t="shared" si="251"/>
        <v>唐流雨碎片</v>
      </c>
      <c r="DS156" s="14">
        <f t="shared" si="267"/>
        <v>20</v>
      </c>
    </row>
    <row r="157" spans="8:123" ht="16.5" x14ac:dyDescent="0.2">
      <c r="H157" s="15"/>
      <c r="I157" s="15"/>
      <c r="J157" s="15"/>
      <c r="K157" s="15"/>
      <c r="L157" s="15"/>
      <c r="M157" s="15"/>
      <c r="N157" s="15"/>
      <c r="O157" s="137"/>
      <c r="P157" s="141"/>
      <c r="Q157" s="141"/>
      <c r="R157" s="141"/>
      <c r="S157" s="141"/>
      <c r="T157" s="141"/>
      <c r="U157" s="141"/>
      <c r="V157" s="141"/>
      <c r="W157" s="141"/>
      <c r="X157" s="141"/>
      <c r="Y157" s="141"/>
      <c r="Z157" s="196">
        <v>4</v>
      </c>
      <c r="AA157" s="196">
        <v>49</v>
      </c>
      <c r="AB157" s="14">
        <f>ROUND(INDEX(挂机升级突破!DT$6:DT$57,卡牌消耗!$AA157)*INDEX(卡牌消耗!$B$5:$F$5,卡牌消耗!$Z157)/卡牌消耗!$Q$4/AB$2,0)*AB$2</f>
        <v>0</v>
      </c>
      <c r="AC157" s="14">
        <f>ROUND(INDEX(挂机升级突破!DU$6:DU$57,卡牌消耗!$AA157)*INDEX(卡牌消耗!$B$5:$F$5,卡牌消耗!$Z157)/卡牌消耗!$Q$4/AC$2,0)*AC$2</f>
        <v>0</v>
      </c>
      <c r="AD157" s="14">
        <f>ROUND(INDEX(挂机升级突破!DV$6:DV$57,卡牌消耗!$AA157)*INDEX(卡牌消耗!$B$5:$F$5,卡牌消耗!$Z157)/卡牌消耗!$Q$4/AD$2,0)*AD$2</f>
        <v>0</v>
      </c>
      <c r="AE157" s="14">
        <f>ROUND(INDEX(挂机升级突破!DW$6:DW$57,卡牌消耗!$AA157)*INDEX(卡牌消耗!$B$5:$F$5,卡牌消耗!$Z157)/卡牌消耗!$Q$4/AE$2,0)*AE$2</f>
        <v>0</v>
      </c>
      <c r="AF157" s="14">
        <f>ROUND(INDEX(挂机升级突破!DX$6:DX$57,卡牌消耗!$AA157)*INDEX(卡牌消耗!$B$5:$F$5,卡牌消耗!$Z157)/卡牌消耗!$Q$4/AF$2,0)*AF$2</f>
        <v>15</v>
      </c>
      <c r="AG157" s="14">
        <f>ROUND(INDEX(挂机升级突破!EC$6:EC$57,卡牌消耗!$AA157)*INDEX(卡牌消耗!$B$7:$F$7,卡牌消耗!$Z157)/卡牌消耗!$Q$4/AG$2,0)*AG$2</f>
        <v>3</v>
      </c>
      <c r="AH157" s="14">
        <f>ROUND(INDEX(挂机升级突破!ED$6:ED$57,卡牌消耗!$AA157)*INDEX(卡牌消耗!$B$8:$F$8,卡牌消耗!$Z157)/卡牌消耗!$Q$4/AH$2,0)*AH$2</f>
        <v>123100</v>
      </c>
      <c r="AI157" s="194"/>
      <c r="AJ157" s="194"/>
      <c r="AK157" s="104">
        <v>153</v>
      </c>
      <c r="AL157" s="14">
        <f t="shared" si="252"/>
        <v>3</v>
      </c>
      <c r="AM157" s="14">
        <f>INDEX(挂机升级突破!DQ$6:DQ$57,卡牌消耗!$AT157)</f>
        <v>11</v>
      </c>
      <c r="AN157" s="14">
        <f>INDEX(挂机升级突破!DR$6:DR$57,卡牌消耗!$AT157)</f>
        <v>5</v>
      </c>
      <c r="AO157" s="14">
        <f>INDEX(挂机升级突破!DS$6:DS$57,卡牌消耗!$AT157)</f>
        <v>10</v>
      </c>
      <c r="AP157" s="14">
        <f>INDEX(挂机升级突破!$DP$6:$DP$57,卡牌消耗!AT157)</f>
        <v>140</v>
      </c>
      <c r="AQ157" s="14" t="str">
        <f t="shared" si="253"/>
        <v>典韦</v>
      </c>
      <c r="AR157" s="14">
        <f t="shared" si="254"/>
        <v>4</v>
      </c>
      <c r="AS157" s="14" t="str">
        <f t="shared" si="255"/>
        <v>典韦魂火-49</v>
      </c>
      <c r="AT157" s="14">
        <f t="shared" si="256"/>
        <v>49</v>
      </c>
      <c r="AU157" s="14" t="str">
        <f>IF(AM157&gt;0,INDEX(挂机升级突破!$DT$4:$ED$4,AM157),"")</f>
        <v>金币</v>
      </c>
      <c r="AV157" s="14">
        <f>ROUND(INDEX(挂机升级突破!$DJ$6:$DJ$57,卡牌消耗!AT157)*INDEX(卡牌消耗!$B$8:$F$8,AR157)/$Q$4/50,0)*50</f>
        <v>123100</v>
      </c>
      <c r="AW157" s="14" t="str">
        <f>IF(AN157&gt;0,INDEX(挂机升级突破!$DT$4:$ED$4,AN157),"")</f>
        <v>红色基础材料</v>
      </c>
      <c r="AX157" s="14">
        <f>ROUND(INDEX(挂机升级突破!$DT$6:$ED$57,卡牌消耗!AT157,AN157)*INDEX(卡牌消耗!$B$5:$F$5,AR157)/$Q$4/5,0)*5</f>
        <v>15</v>
      </c>
      <c r="AY157" s="14" t="str">
        <f>IF(AO157&gt;0,INDEX(挂机升级突破!$DT$4:$ED$4,AO157),"")</f>
        <v>灵玉</v>
      </c>
      <c r="AZ157" s="14">
        <f>IF(AO157&gt;0,ROUND(INDEX(挂机升级突破!$DT$6:$ED$57,卡牌消耗!AT157,AO157)*INDEX(卡牌消耗!$B$7:$F$7,AR157)/$Q$4,0),"")</f>
        <v>3</v>
      </c>
      <c r="BA157" s="106"/>
      <c r="BB157" s="197"/>
      <c r="BC157" s="197"/>
      <c r="BD157" s="197"/>
      <c r="BE157" s="197"/>
      <c r="BF157" s="197"/>
      <c r="BG157" s="197"/>
      <c r="BH157" s="197"/>
      <c r="BI157" s="197"/>
      <c r="BJ157" s="197"/>
      <c r="BK157" s="197"/>
      <c r="BL157" s="104">
        <v>153</v>
      </c>
      <c r="BM157" s="14">
        <f t="shared" si="257"/>
        <v>8</v>
      </c>
      <c r="BN157" s="14">
        <f>INDEX(挂机升级突破!$EI$7:$EI$26,BS157)</f>
        <v>5</v>
      </c>
      <c r="BO157" s="14">
        <f>INDEX(挂机升级突破!$EJ$7:$EJ$26,BS157)</f>
        <v>3</v>
      </c>
      <c r="BP157" s="14">
        <f t="shared" si="258"/>
        <v>4</v>
      </c>
      <c r="BQ157" s="14">
        <f>INDEX(挂机升级突破!$EH$7:$EH$26,卡牌消耗!BS157)</f>
        <v>87</v>
      </c>
      <c r="BR157" s="14" t="str">
        <f t="shared" si="259"/>
        <v>夏侯渊</v>
      </c>
      <c r="BS157" s="14">
        <f t="shared" si="260"/>
        <v>13</v>
      </c>
      <c r="BT157" s="14" t="str">
        <f t="shared" si="261"/>
        <v>夏侯渊13突</v>
      </c>
      <c r="BU157" s="14" t="str">
        <f>IF(BN157&gt;0,INDEX(挂机升级突破!$ER$5:$EV$5,卡牌消耗!BN157),"")</f>
        <v>金币</v>
      </c>
      <c r="BV157" s="14">
        <f>IF(BN157&gt;0,ROUND(INDEX(挂机升级突破!$EV$7:$EV$26,卡牌消耗!BS157)*INDEX(卡牌消耗!$B$8:$F$8,BP157)/$Q$4/500,0)*500,"")</f>
        <v>50000</v>
      </c>
      <c r="BW157" s="14" t="str">
        <f>IF(BO157&gt;0,INDEX(挂机升级突破!$ER$5:$EV$5,卡牌消耗!BO157),"")</f>
        <v>银母</v>
      </c>
      <c r="BX157" s="14">
        <f>IF(BO157&gt;0,ROUND(INDEX(挂机升级突破!$ER$7:$EU$26,卡牌消耗!BS157,卡牌消耗!BO157)*INDEX($B$6:$F$6,BP157)/$Q$4/5,0)*5,"")</f>
        <v>45</v>
      </c>
      <c r="BY157" s="193"/>
      <c r="BZ157" s="193"/>
      <c r="CA157" s="106"/>
      <c r="CS157" s="171"/>
      <c r="CT157" s="171"/>
      <c r="CU157" s="171"/>
      <c r="CV157" s="170"/>
      <c r="CW157" s="170"/>
      <c r="CX157" s="170"/>
      <c r="CY157" s="170"/>
      <c r="CZ157" s="170"/>
      <c r="DI157" s="186">
        <v>153</v>
      </c>
      <c r="DJ157" s="14">
        <f t="shared" si="265"/>
        <v>31</v>
      </c>
      <c r="DK157" s="14">
        <f t="shared" si="247"/>
        <v>2</v>
      </c>
      <c r="DL157" s="14">
        <f t="shared" si="248"/>
        <v>1102004</v>
      </c>
      <c r="DM157" s="136" t="s">
        <v>1097</v>
      </c>
      <c r="DN157" s="14">
        <f t="shared" si="249"/>
        <v>3</v>
      </c>
      <c r="DO157" s="14" t="str">
        <f t="shared" si="250"/>
        <v>唐流雨-3星</v>
      </c>
      <c r="DP157" s="136" t="s">
        <v>1103</v>
      </c>
      <c r="DQ157" s="14">
        <f t="shared" si="266"/>
        <v>7000</v>
      </c>
      <c r="DR157" s="14" t="str">
        <f t="shared" si="251"/>
        <v>唐流雨碎片</v>
      </c>
      <c r="DS157" s="14">
        <f t="shared" si="267"/>
        <v>20</v>
      </c>
    </row>
    <row r="158" spans="8:123" ht="16.5" x14ac:dyDescent="0.2">
      <c r="H158" s="15"/>
      <c r="I158" s="15"/>
      <c r="J158" s="15"/>
      <c r="K158" s="15"/>
      <c r="L158" s="15"/>
      <c r="M158" s="15"/>
      <c r="N158" s="15"/>
      <c r="O158" s="137"/>
      <c r="P158" s="141"/>
      <c r="Q158" s="141"/>
      <c r="R158" s="141"/>
      <c r="S158" s="141"/>
      <c r="T158" s="141"/>
      <c r="U158" s="141"/>
      <c r="V158" s="141"/>
      <c r="W158" s="141"/>
      <c r="X158" s="141"/>
      <c r="Y158" s="141"/>
      <c r="Z158" s="196">
        <v>4</v>
      </c>
      <c r="AA158" s="196">
        <v>50</v>
      </c>
      <c r="AB158" s="14">
        <f>ROUND(INDEX(挂机升级突破!DT$6:DT$57,卡牌消耗!$AA158)*INDEX(卡牌消耗!$B$5:$F$5,卡牌消耗!$Z158)/卡牌消耗!$Q$4/AB$2,0)*AB$2</f>
        <v>0</v>
      </c>
      <c r="AC158" s="14">
        <f>ROUND(INDEX(挂机升级突破!DU$6:DU$57,卡牌消耗!$AA158)*INDEX(卡牌消耗!$B$5:$F$5,卡牌消耗!$Z158)/卡牌消耗!$Q$4/AC$2,0)*AC$2</f>
        <v>0</v>
      </c>
      <c r="AD158" s="14">
        <f>ROUND(INDEX(挂机升级突破!DV$6:DV$57,卡牌消耗!$AA158)*INDEX(卡牌消耗!$B$5:$F$5,卡牌消耗!$Z158)/卡牌消耗!$Q$4/AD$2,0)*AD$2</f>
        <v>0</v>
      </c>
      <c r="AE158" s="14">
        <f>ROUND(INDEX(挂机升级突破!DW$6:DW$57,卡牌消耗!$AA158)*INDEX(卡牌消耗!$B$5:$F$5,卡牌消耗!$Z158)/卡牌消耗!$Q$4/AE$2,0)*AE$2</f>
        <v>0</v>
      </c>
      <c r="AF158" s="14">
        <f>ROUND(INDEX(挂机升级突破!DX$6:DX$57,卡牌消耗!$AA158)*INDEX(卡牌消耗!$B$5:$F$5,卡牌消耗!$Z158)/卡牌消耗!$Q$4/AF$2,0)*AF$2</f>
        <v>15</v>
      </c>
      <c r="AG158" s="14">
        <f>ROUND(INDEX(挂机升级突破!EC$6:EC$57,卡牌消耗!$AA158)*INDEX(卡牌消耗!$B$7:$F$7,卡牌消耗!$Z158)/卡牌消耗!$Q$4/AG$2,0)*AG$2</f>
        <v>3</v>
      </c>
      <c r="AH158" s="14">
        <f>ROUND(INDEX(挂机升级突破!ED$6:ED$57,卡牌消耗!$AA158)*INDEX(卡牌消耗!$B$8:$F$8,卡牌消耗!$Z158)/卡牌消耗!$Q$4/AH$2,0)*AH$2</f>
        <v>205150</v>
      </c>
      <c r="AI158" s="194"/>
      <c r="AJ158" s="194"/>
      <c r="AK158" s="104">
        <v>154</v>
      </c>
      <c r="AL158" s="14">
        <f t="shared" si="252"/>
        <v>3</v>
      </c>
      <c r="AM158" s="14">
        <f>INDEX(挂机升级突破!DQ$6:DQ$57,卡牌消耗!$AT158)</f>
        <v>11</v>
      </c>
      <c r="AN158" s="14">
        <f>INDEX(挂机升级突破!DR$6:DR$57,卡牌消耗!$AT158)</f>
        <v>5</v>
      </c>
      <c r="AO158" s="14">
        <f>INDEX(挂机升级突破!DS$6:DS$57,卡牌消耗!$AT158)</f>
        <v>10</v>
      </c>
      <c r="AP158" s="14">
        <f>INDEX(挂机升级突破!$DP$6:$DP$57,卡牌消耗!AT158)</f>
        <v>143</v>
      </c>
      <c r="AQ158" s="14" t="str">
        <f t="shared" si="253"/>
        <v>典韦</v>
      </c>
      <c r="AR158" s="14">
        <f t="shared" si="254"/>
        <v>4</v>
      </c>
      <c r="AS158" s="14" t="str">
        <f t="shared" si="255"/>
        <v>典韦魂火-50</v>
      </c>
      <c r="AT158" s="14">
        <f t="shared" si="256"/>
        <v>50</v>
      </c>
      <c r="AU158" s="14" t="str">
        <f>IF(AM158&gt;0,INDEX(挂机升级突破!$DT$4:$ED$4,AM158),"")</f>
        <v>金币</v>
      </c>
      <c r="AV158" s="14">
        <f>ROUND(INDEX(挂机升级突破!$DJ$6:$DJ$57,卡牌消耗!AT158)*INDEX(卡牌消耗!$B$8:$F$8,AR158)/$Q$4/50,0)*50</f>
        <v>205150</v>
      </c>
      <c r="AW158" s="14" t="str">
        <f>IF(AN158&gt;0,INDEX(挂机升级突破!$DT$4:$ED$4,AN158),"")</f>
        <v>红色基础材料</v>
      </c>
      <c r="AX158" s="14">
        <f>ROUND(INDEX(挂机升级突破!$DT$6:$ED$57,卡牌消耗!AT158,AN158)*INDEX(卡牌消耗!$B$5:$F$5,AR158)/$Q$4/5,0)*5</f>
        <v>15</v>
      </c>
      <c r="AY158" s="14" t="str">
        <f>IF(AO158&gt;0,INDEX(挂机升级突破!$DT$4:$ED$4,AO158),"")</f>
        <v>灵玉</v>
      </c>
      <c r="AZ158" s="14">
        <f>IF(AO158&gt;0,ROUND(INDEX(挂机升级突破!$DT$6:$ED$57,卡牌消耗!AT158,AO158)*INDEX(卡牌消耗!$B$7:$F$7,AR158)/$Q$4,0),"")</f>
        <v>3</v>
      </c>
      <c r="BA158" s="106"/>
      <c r="BB158" s="197"/>
      <c r="BC158" s="197"/>
      <c r="BD158" s="197"/>
      <c r="BE158" s="197"/>
      <c r="BF158" s="197"/>
      <c r="BG158" s="197"/>
      <c r="BH158" s="197"/>
      <c r="BI158" s="197"/>
      <c r="BJ158" s="197"/>
      <c r="BK158" s="197"/>
      <c r="BL158" s="104">
        <v>154</v>
      </c>
      <c r="BM158" s="14">
        <f t="shared" si="257"/>
        <v>8</v>
      </c>
      <c r="BN158" s="14">
        <f>INDEX(挂机升级突破!$EI$7:$EI$26,BS158)</f>
        <v>5</v>
      </c>
      <c r="BO158" s="14">
        <f>INDEX(挂机升级突破!$EJ$7:$EJ$26,BS158)</f>
        <v>3</v>
      </c>
      <c r="BP158" s="14">
        <f t="shared" si="258"/>
        <v>4</v>
      </c>
      <c r="BQ158" s="14">
        <f>INDEX(挂机升级突破!$EH$7:$EH$26,卡牌消耗!BS158)</f>
        <v>95</v>
      </c>
      <c r="BR158" s="14" t="str">
        <f t="shared" si="259"/>
        <v>夏侯渊</v>
      </c>
      <c r="BS158" s="14">
        <f t="shared" si="260"/>
        <v>14</v>
      </c>
      <c r="BT158" s="14" t="str">
        <f t="shared" si="261"/>
        <v>夏侯渊14突</v>
      </c>
      <c r="BU158" s="14" t="str">
        <f>IF(BN158&gt;0,INDEX(挂机升级突破!$ER$5:$EV$5,卡牌消耗!BN158),"")</f>
        <v>金币</v>
      </c>
      <c r="BV158" s="14">
        <f>IF(BN158&gt;0,ROUND(INDEX(挂机升级突破!$EV$7:$EV$26,卡牌消耗!BS158)*INDEX(卡牌消耗!$B$8:$F$8,BP158)/$Q$4/500,0)*500,"")</f>
        <v>50000</v>
      </c>
      <c r="BW158" s="14" t="str">
        <f>IF(BO158&gt;0,INDEX(挂机升级突破!$ER$5:$EV$5,卡牌消耗!BO158),"")</f>
        <v>银母</v>
      </c>
      <c r="BX158" s="14">
        <f>IF(BO158&gt;0,ROUND(INDEX(挂机升级突破!$ER$7:$EU$26,卡牌消耗!BS158,卡牌消耗!BO158)*INDEX($B$6:$F$6,BP158)/$Q$4/5,0)*5,"")</f>
        <v>65</v>
      </c>
      <c r="BY158" s="193"/>
      <c r="BZ158" s="193"/>
      <c r="CA158" s="106"/>
      <c r="CS158" s="171"/>
      <c r="CT158" s="171"/>
      <c r="CU158" s="171"/>
      <c r="CV158" s="170"/>
      <c r="CW158" s="170"/>
      <c r="CX158" s="170"/>
      <c r="CY158" s="170"/>
      <c r="CZ158" s="170"/>
      <c r="DI158" s="186">
        <v>154</v>
      </c>
      <c r="DJ158" s="14">
        <f t="shared" si="265"/>
        <v>31</v>
      </c>
      <c r="DK158" s="14">
        <f t="shared" si="247"/>
        <v>2</v>
      </c>
      <c r="DL158" s="14">
        <f t="shared" si="248"/>
        <v>1102004</v>
      </c>
      <c r="DM158" s="136" t="s">
        <v>1097</v>
      </c>
      <c r="DN158" s="14">
        <f t="shared" si="249"/>
        <v>4</v>
      </c>
      <c r="DO158" s="14" t="str">
        <f t="shared" si="250"/>
        <v>唐流雨-4星</v>
      </c>
      <c r="DP158" s="136" t="s">
        <v>1103</v>
      </c>
      <c r="DQ158" s="14">
        <f t="shared" si="266"/>
        <v>16000</v>
      </c>
      <c r="DR158" s="14" t="str">
        <f t="shared" si="251"/>
        <v>唐流雨碎片</v>
      </c>
      <c r="DS158" s="14">
        <f t="shared" si="267"/>
        <v>20</v>
      </c>
    </row>
    <row r="159" spans="8:123" ht="16.5" x14ac:dyDescent="0.2">
      <c r="H159" s="15"/>
      <c r="I159" s="15"/>
      <c r="J159" s="15"/>
      <c r="K159" s="15"/>
      <c r="L159" s="15"/>
      <c r="M159" s="15"/>
      <c r="N159" s="15"/>
      <c r="O159" s="137"/>
      <c r="P159" s="141"/>
      <c r="Q159" s="141"/>
      <c r="R159" s="141"/>
      <c r="S159" s="141"/>
      <c r="T159" s="141"/>
      <c r="U159" s="141"/>
      <c r="V159" s="141"/>
      <c r="W159" s="141"/>
      <c r="X159" s="141"/>
      <c r="Y159" s="141"/>
      <c r="Z159" s="196">
        <v>4</v>
      </c>
      <c r="AA159" s="196">
        <v>51</v>
      </c>
      <c r="AB159" s="14">
        <f>ROUND(INDEX(挂机升级突破!DT$6:DT$57,卡牌消耗!$AA159)*INDEX(卡牌消耗!$B$5:$F$5,卡牌消耗!$Z159)/卡牌消耗!$Q$4/AB$2,0)*AB$2</f>
        <v>0</v>
      </c>
      <c r="AC159" s="14">
        <f>ROUND(INDEX(挂机升级突破!DU$6:DU$57,卡牌消耗!$AA159)*INDEX(卡牌消耗!$B$5:$F$5,卡牌消耗!$Z159)/卡牌消耗!$Q$4/AC$2,0)*AC$2</f>
        <v>0</v>
      </c>
      <c r="AD159" s="14">
        <f>ROUND(INDEX(挂机升级突破!DV$6:DV$57,卡牌消耗!$AA159)*INDEX(卡牌消耗!$B$5:$F$5,卡牌消耗!$Z159)/卡牌消耗!$Q$4/AD$2,0)*AD$2</f>
        <v>0</v>
      </c>
      <c r="AE159" s="14">
        <f>ROUND(INDEX(挂机升级突破!DW$6:DW$57,卡牌消耗!$AA159)*INDEX(卡牌消耗!$B$5:$F$5,卡牌消耗!$Z159)/卡牌消耗!$Q$4/AE$2,0)*AE$2</f>
        <v>0</v>
      </c>
      <c r="AF159" s="14">
        <f>ROUND(INDEX(挂机升级突破!DX$6:DX$57,卡牌消耗!$AA159)*INDEX(卡牌消耗!$B$5:$F$5,卡牌消耗!$Z159)/卡牌消耗!$Q$4/AF$2,0)*AF$2</f>
        <v>15</v>
      </c>
      <c r="AG159" s="14">
        <f>ROUND(INDEX(挂机升级突破!EC$6:EC$57,卡牌消耗!$AA159)*INDEX(卡牌消耗!$B$7:$F$7,卡牌消耗!$Z159)/卡牌消耗!$Q$4/AG$2,0)*AG$2</f>
        <v>3</v>
      </c>
      <c r="AH159" s="14">
        <f>ROUND(INDEX(挂机升级突破!ED$6:ED$57,卡牌消耗!$AA159)*INDEX(卡牌消耗!$B$8:$F$8,卡牌消耗!$Z159)/卡牌消耗!$Q$4/AH$2,0)*AH$2</f>
        <v>225650</v>
      </c>
      <c r="AI159" s="194"/>
      <c r="AJ159" s="194"/>
      <c r="AK159" s="104">
        <v>155</v>
      </c>
      <c r="AL159" s="14">
        <f t="shared" si="252"/>
        <v>3</v>
      </c>
      <c r="AM159" s="14">
        <f>INDEX(挂机升级突破!DQ$6:DQ$57,卡牌消耗!$AT159)</f>
        <v>11</v>
      </c>
      <c r="AN159" s="14">
        <f>INDEX(挂机升级突破!DR$6:DR$57,卡牌消耗!$AT159)</f>
        <v>5</v>
      </c>
      <c r="AO159" s="14">
        <f>INDEX(挂机升级突破!DS$6:DS$57,卡牌消耗!$AT159)</f>
        <v>10</v>
      </c>
      <c r="AP159" s="14">
        <f>INDEX(挂机升级突破!$DP$6:$DP$57,卡牌消耗!AT159)</f>
        <v>145</v>
      </c>
      <c r="AQ159" s="14" t="str">
        <f t="shared" si="253"/>
        <v>典韦</v>
      </c>
      <c r="AR159" s="14">
        <f t="shared" si="254"/>
        <v>4</v>
      </c>
      <c r="AS159" s="14" t="str">
        <f t="shared" si="255"/>
        <v>典韦魂火-51</v>
      </c>
      <c r="AT159" s="14">
        <f t="shared" si="256"/>
        <v>51</v>
      </c>
      <c r="AU159" s="14" t="str">
        <f>IF(AM159&gt;0,INDEX(挂机升级突破!$DT$4:$ED$4,AM159),"")</f>
        <v>金币</v>
      </c>
      <c r="AV159" s="14">
        <f>ROUND(INDEX(挂机升级突破!$DJ$6:$DJ$57,卡牌消耗!AT159)*INDEX(卡牌消耗!$B$8:$F$8,AR159)/$Q$4/50,0)*50</f>
        <v>225650</v>
      </c>
      <c r="AW159" s="14" t="str">
        <f>IF(AN159&gt;0,INDEX(挂机升级突破!$DT$4:$ED$4,AN159),"")</f>
        <v>红色基础材料</v>
      </c>
      <c r="AX159" s="14">
        <f>ROUND(INDEX(挂机升级突破!$DT$6:$ED$57,卡牌消耗!AT159,AN159)*INDEX(卡牌消耗!$B$5:$F$5,AR159)/$Q$4/5,0)*5</f>
        <v>15</v>
      </c>
      <c r="AY159" s="14" t="str">
        <f>IF(AO159&gt;0,INDEX(挂机升级突破!$DT$4:$ED$4,AO159),"")</f>
        <v>灵玉</v>
      </c>
      <c r="AZ159" s="14">
        <f>IF(AO159&gt;0,ROUND(INDEX(挂机升级突破!$DT$6:$ED$57,卡牌消耗!AT159,AO159)*INDEX(卡牌消耗!$B$7:$F$7,AR159)/$Q$4,0),"")</f>
        <v>3</v>
      </c>
      <c r="BA159" s="106"/>
      <c r="BB159" s="197"/>
      <c r="BC159" s="197"/>
      <c r="BD159" s="197"/>
      <c r="BE159" s="197"/>
      <c r="BF159" s="197"/>
      <c r="BG159" s="197"/>
      <c r="BH159" s="197"/>
      <c r="BI159" s="197"/>
      <c r="BJ159" s="197"/>
      <c r="BK159" s="197"/>
      <c r="BL159" s="104">
        <v>155</v>
      </c>
      <c r="BM159" s="14">
        <f t="shared" si="257"/>
        <v>8</v>
      </c>
      <c r="BN159" s="14">
        <f>INDEX(挂机升级突破!$EI$7:$EI$26,BS159)</f>
        <v>5</v>
      </c>
      <c r="BO159" s="14">
        <f>INDEX(挂机升级突破!$EJ$7:$EJ$26,BS159)</f>
        <v>3</v>
      </c>
      <c r="BP159" s="14">
        <f t="shared" si="258"/>
        <v>4</v>
      </c>
      <c r="BQ159" s="14">
        <f>INDEX(挂机升级突破!$EH$7:$EH$26,卡牌消耗!BS159)</f>
        <v>102</v>
      </c>
      <c r="BR159" s="14" t="str">
        <f t="shared" si="259"/>
        <v>夏侯渊</v>
      </c>
      <c r="BS159" s="14">
        <f t="shared" si="260"/>
        <v>15</v>
      </c>
      <c r="BT159" s="14" t="str">
        <f t="shared" si="261"/>
        <v>夏侯渊15突</v>
      </c>
      <c r="BU159" s="14" t="str">
        <f>IF(BN159&gt;0,INDEX(挂机升级突破!$ER$5:$EV$5,卡牌消耗!BN159),"")</f>
        <v>金币</v>
      </c>
      <c r="BV159" s="14">
        <f>IF(BN159&gt;0,ROUND(INDEX(挂机升级突破!$EV$7:$EV$26,卡牌消耗!BS159)*INDEX(卡牌消耗!$B$8:$F$8,BP159)/$Q$4/500,0)*500,"")</f>
        <v>66500</v>
      </c>
      <c r="BW159" s="14" t="str">
        <f>IF(BO159&gt;0,INDEX(挂机升级突破!$ER$5:$EV$5,卡牌消耗!BO159),"")</f>
        <v>银母</v>
      </c>
      <c r="BX159" s="14">
        <f>IF(BO159&gt;0,ROUND(INDEX(挂机升级突破!$ER$7:$EU$26,卡牌消耗!BS159,卡牌消耗!BO159)*INDEX($B$6:$F$6,BP159)/$Q$4/5,0)*5,"")</f>
        <v>85</v>
      </c>
      <c r="BY159" s="193"/>
      <c r="BZ159" s="193"/>
      <c r="CA159" s="106"/>
      <c r="CS159" s="171"/>
      <c r="CT159" s="171"/>
      <c r="CU159" s="171"/>
      <c r="CV159" s="170"/>
      <c r="CW159" s="170"/>
      <c r="CX159" s="170"/>
      <c r="CY159" s="170"/>
      <c r="CZ159" s="170"/>
      <c r="DI159" s="186">
        <v>155</v>
      </c>
      <c r="DJ159" s="14">
        <f t="shared" si="265"/>
        <v>31</v>
      </c>
      <c r="DK159" s="14">
        <f t="shared" si="247"/>
        <v>2</v>
      </c>
      <c r="DL159" s="14">
        <f t="shared" si="248"/>
        <v>1102004</v>
      </c>
      <c r="DM159" s="136" t="s">
        <v>1097</v>
      </c>
      <c r="DN159" s="14">
        <f t="shared" si="249"/>
        <v>5</v>
      </c>
      <c r="DO159" s="14" t="str">
        <f t="shared" si="250"/>
        <v>唐流雨-5星</v>
      </c>
      <c r="DP159" s="136" t="s">
        <v>1103</v>
      </c>
      <c r="DQ159" s="14">
        <f t="shared" si="266"/>
        <v>30000</v>
      </c>
      <c r="DR159" s="14" t="str">
        <f t="shared" si="251"/>
        <v>唐流雨碎片</v>
      </c>
      <c r="DS159" s="14">
        <f t="shared" si="267"/>
        <v>20</v>
      </c>
    </row>
    <row r="160" spans="8:123" ht="16.5" x14ac:dyDescent="0.2">
      <c r="H160" s="15"/>
      <c r="I160" s="15"/>
      <c r="J160" s="15"/>
      <c r="K160" s="15"/>
      <c r="L160" s="15"/>
      <c r="M160" s="15"/>
      <c r="N160" s="15"/>
      <c r="O160" s="137"/>
      <c r="P160" s="141"/>
      <c r="Q160" s="141"/>
      <c r="R160" s="141"/>
      <c r="S160" s="141"/>
      <c r="T160" s="141"/>
      <c r="U160" s="141"/>
      <c r="V160" s="141"/>
      <c r="W160" s="141"/>
      <c r="X160" s="141"/>
      <c r="Y160" s="141"/>
      <c r="Z160" s="196">
        <v>4</v>
      </c>
      <c r="AA160" s="196">
        <v>52</v>
      </c>
      <c r="AB160" s="14">
        <f>ROUND(INDEX(挂机升级突破!DT$6:DT$57,卡牌消耗!$AA160)*INDEX(卡牌消耗!$B$5:$F$5,卡牌消耗!$Z160)/卡牌消耗!$Q$4/AB$2,0)*AB$2</f>
        <v>0</v>
      </c>
      <c r="AC160" s="14">
        <f>ROUND(INDEX(挂机升级突破!DU$6:DU$57,卡牌消耗!$AA160)*INDEX(卡牌消耗!$B$5:$F$5,卡牌消耗!$Z160)/卡牌消耗!$Q$4/AC$2,0)*AC$2</f>
        <v>0</v>
      </c>
      <c r="AD160" s="14">
        <f>ROUND(INDEX(挂机升级突破!DV$6:DV$57,卡牌消耗!$AA160)*INDEX(卡牌消耗!$B$5:$F$5,卡牌消耗!$Z160)/卡牌消耗!$Q$4/AD$2,0)*AD$2</f>
        <v>0</v>
      </c>
      <c r="AE160" s="14">
        <f>ROUND(INDEX(挂机升级突破!DW$6:DW$57,卡牌消耗!$AA160)*INDEX(卡牌消耗!$B$5:$F$5,卡牌消耗!$Z160)/卡牌消耗!$Q$4/AE$2,0)*AE$2</f>
        <v>0</v>
      </c>
      <c r="AF160" s="14">
        <f>ROUND(INDEX(挂机升级突破!DX$6:DX$57,卡牌消耗!$AA160)*INDEX(卡牌消耗!$B$5:$F$5,卡牌消耗!$Z160)/卡牌消耗!$Q$4/AF$2,0)*AF$2</f>
        <v>15</v>
      </c>
      <c r="AG160" s="14">
        <f>ROUND(INDEX(挂机升级突破!EC$6:EC$57,卡牌消耗!$AA160)*INDEX(卡牌消耗!$B$7:$F$7,卡牌消耗!$Z160)/卡牌消耗!$Q$4/AG$2,0)*AG$2</f>
        <v>3</v>
      </c>
      <c r="AH160" s="14">
        <f>ROUND(INDEX(挂机升级突破!ED$6:ED$57,卡牌消耗!$AA160)*INDEX(卡牌消耗!$B$8:$F$8,卡牌消耗!$Z160)/卡牌消耗!$Q$4/AH$2,0)*AH$2</f>
        <v>225650</v>
      </c>
      <c r="AI160" s="194"/>
      <c r="AJ160" s="194"/>
      <c r="AK160" s="104">
        <v>156</v>
      </c>
      <c r="AL160" s="14">
        <f t="shared" si="252"/>
        <v>3</v>
      </c>
      <c r="AM160" s="14">
        <f>INDEX(挂机升级突破!DQ$6:DQ$57,卡牌消耗!$AT160)</f>
        <v>11</v>
      </c>
      <c r="AN160" s="14">
        <f>INDEX(挂机升级突破!DR$6:DR$57,卡牌消耗!$AT160)</f>
        <v>5</v>
      </c>
      <c r="AO160" s="14">
        <f>INDEX(挂机升级突破!DS$6:DS$57,卡牌消耗!$AT160)</f>
        <v>10</v>
      </c>
      <c r="AP160" s="14">
        <f>INDEX(挂机升级突破!$DP$6:$DP$57,卡牌消耗!AT160)</f>
        <v>148</v>
      </c>
      <c r="AQ160" s="14" t="str">
        <f t="shared" si="253"/>
        <v>典韦</v>
      </c>
      <c r="AR160" s="14">
        <f t="shared" si="254"/>
        <v>4</v>
      </c>
      <c r="AS160" s="14" t="str">
        <f t="shared" si="255"/>
        <v>典韦魂火-52</v>
      </c>
      <c r="AT160" s="14">
        <f t="shared" si="256"/>
        <v>52</v>
      </c>
      <c r="AU160" s="14" t="str">
        <f>IF(AM160&gt;0,INDEX(挂机升级突破!$DT$4:$ED$4,AM160),"")</f>
        <v>金币</v>
      </c>
      <c r="AV160" s="14">
        <f>ROUND(INDEX(挂机升级突破!$DJ$6:$DJ$57,卡牌消耗!AT160)*INDEX(卡牌消耗!$B$8:$F$8,AR160)/$Q$4/50,0)*50</f>
        <v>225650</v>
      </c>
      <c r="AW160" s="14" t="str">
        <f>IF(AN160&gt;0,INDEX(挂机升级突破!$DT$4:$ED$4,AN160),"")</f>
        <v>红色基础材料</v>
      </c>
      <c r="AX160" s="14">
        <f>ROUND(INDEX(挂机升级突破!$DT$6:$ED$57,卡牌消耗!AT160,AN160)*INDEX(卡牌消耗!$B$5:$F$5,AR160)/$Q$4/5,0)*5</f>
        <v>15</v>
      </c>
      <c r="AY160" s="14" t="str">
        <f>IF(AO160&gt;0,INDEX(挂机升级突破!$DT$4:$ED$4,AO160),"")</f>
        <v>灵玉</v>
      </c>
      <c r="AZ160" s="14">
        <f>IF(AO160&gt;0,ROUND(INDEX(挂机升级突破!$DT$6:$ED$57,卡牌消耗!AT160,AO160)*INDEX(卡牌消耗!$B$7:$F$7,AR160)/$Q$4,0),"")</f>
        <v>3</v>
      </c>
      <c r="BA160" s="106"/>
      <c r="BB160" s="197"/>
      <c r="BC160" s="197"/>
      <c r="BD160" s="197"/>
      <c r="BE160" s="197"/>
      <c r="BF160" s="197"/>
      <c r="BG160" s="197"/>
      <c r="BH160" s="197"/>
      <c r="BI160" s="197"/>
      <c r="BJ160" s="197"/>
      <c r="BK160" s="197"/>
      <c r="BL160" s="104">
        <v>156</v>
      </c>
      <c r="BM160" s="14">
        <f t="shared" si="257"/>
        <v>8</v>
      </c>
      <c r="BN160" s="14">
        <f>INDEX(挂机升级突破!$EI$7:$EI$26,BS160)</f>
        <v>5</v>
      </c>
      <c r="BO160" s="14">
        <f>INDEX(挂机升级突破!$EJ$7:$EJ$26,BS160)</f>
        <v>3</v>
      </c>
      <c r="BP160" s="14">
        <f t="shared" si="258"/>
        <v>4</v>
      </c>
      <c r="BQ160" s="14">
        <f>INDEX(挂机升级突破!$EH$7:$EH$26,卡牌消耗!BS160)</f>
        <v>110</v>
      </c>
      <c r="BR160" s="14" t="str">
        <f t="shared" si="259"/>
        <v>夏侯渊</v>
      </c>
      <c r="BS160" s="14">
        <f t="shared" si="260"/>
        <v>16</v>
      </c>
      <c r="BT160" s="14" t="str">
        <f t="shared" si="261"/>
        <v>夏侯渊16突</v>
      </c>
      <c r="BU160" s="14" t="str">
        <f>IF(BN160&gt;0,INDEX(挂机升级突破!$ER$5:$EV$5,卡牌消耗!BN160),"")</f>
        <v>金币</v>
      </c>
      <c r="BV160" s="14">
        <f>IF(BN160&gt;0,ROUND(INDEX(挂机升级突破!$EV$7:$EV$26,卡牌消耗!BS160)*INDEX(卡牌消耗!$B$8:$F$8,BP160)/$Q$4/500,0)*500,"")</f>
        <v>121000</v>
      </c>
      <c r="BW160" s="14" t="str">
        <f>IF(BO160&gt;0,INDEX(挂机升级突破!$ER$5:$EV$5,卡牌消耗!BO160),"")</f>
        <v>银母</v>
      </c>
      <c r="BX160" s="14">
        <f>IF(BO160&gt;0,ROUND(INDEX(挂机升级突破!$ER$7:$EU$26,卡牌消耗!BS160,卡牌消耗!BO160)*INDEX($B$6:$F$6,BP160)/$Q$4/5,0)*5,"")</f>
        <v>110</v>
      </c>
      <c r="BY160" s="193"/>
      <c r="BZ160" s="193"/>
      <c r="CA160" s="106"/>
      <c r="CS160" s="171"/>
      <c r="CT160" s="171"/>
      <c r="CU160" s="171"/>
      <c r="CV160" s="170"/>
      <c r="CW160" s="170"/>
      <c r="CX160" s="170"/>
      <c r="CY160" s="170"/>
      <c r="CZ160" s="170"/>
      <c r="DI160" s="186">
        <v>156</v>
      </c>
      <c r="DJ160" s="14">
        <f t="shared" si="265"/>
        <v>32</v>
      </c>
      <c r="DK160" s="14">
        <f t="shared" si="247"/>
        <v>3</v>
      </c>
      <c r="DL160" s="14">
        <f t="shared" si="248"/>
        <v>1102005</v>
      </c>
      <c r="DM160" s="136" t="s">
        <v>1097</v>
      </c>
      <c r="DN160" s="14">
        <f t="shared" si="249"/>
        <v>1</v>
      </c>
      <c r="DO160" s="14" t="str">
        <f t="shared" si="250"/>
        <v>李轩辕-1星</v>
      </c>
      <c r="DP160" s="136" t="s">
        <v>1103</v>
      </c>
      <c r="DQ160" s="14">
        <f t="shared" si="266"/>
        <v>4000</v>
      </c>
      <c r="DR160" s="14" t="str">
        <f t="shared" si="251"/>
        <v>李轩辕碎片</v>
      </c>
      <c r="DS160" s="14">
        <f t="shared" si="267"/>
        <v>40</v>
      </c>
    </row>
    <row r="161" spans="8:123" ht="16.5" x14ac:dyDescent="0.2">
      <c r="H161" s="15"/>
      <c r="I161" s="15"/>
      <c r="J161" s="15"/>
      <c r="K161" s="15"/>
      <c r="L161" s="15"/>
      <c r="M161" s="15"/>
      <c r="N161" s="15"/>
      <c r="O161" s="137"/>
      <c r="P161" s="141"/>
      <c r="Q161" s="141"/>
      <c r="R161" s="141"/>
      <c r="S161" s="141"/>
      <c r="T161" s="141"/>
      <c r="U161" s="141"/>
      <c r="V161" s="141"/>
      <c r="W161" s="141"/>
      <c r="X161" s="141"/>
      <c r="Y161" s="141"/>
      <c r="Z161" s="196">
        <v>5</v>
      </c>
      <c r="AA161" s="196">
        <v>1</v>
      </c>
      <c r="AB161" s="14">
        <f>ROUND(INDEX(挂机升级突破!DT$6:DT$57,卡牌消耗!$AA161)*INDEX(卡牌消耗!$B$5:$F$5,卡牌消耗!$Z161)/卡牌消耗!$Q$4/AB$2,0)*AB$2</f>
        <v>40</v>
      </c>
      <c r="AC161" s="14">
        <f>ROUND(INDEX(挂机升级突破!DU$6:DU$57,卡牌消耗!$AA161)*INDEX(卡牌消耗!$B$5:$F$5,卡牌消耗!$Z161)/卡牌消耗!$Q$4/AC$2,0)*AC$2</f>
        <v>0</v>
      </c>
      <c r="AD161" s="14">
        <f>ROUND(INDEX(挂机升级突破!DV$6:DV$57,卡牌消耗!$AA161)*INDEX(卡牌消耗!$B$5:$F$5,卡牌消耗!$Z161)/卡牌消耗!$Q$4/AD$2,0)*AD$2</f>
        <v>0</v>
      </c>
      <c r="AE161" s="14">
        <f>ROUND(INDEX(挂机升级突破!DW$6:DW$57,卡牌消耗!$AA161)*INDEX(卡牌消耗!$B$5:$F$5,卡牌消耗!$Z161)/卡牌消耗!$Q$4/AE$2,0)*AE$2</f>
        <v>0</v>
      </c>
      <c r="AF161" s="14">
        <f>ROUND(INDEX(挂机升级突破!DX$6:DX$57,卡牌消耗!$AA161)*INDEX(卡牌消耗!$B$5:$F$5,卡牌消耗!$Z161)/卡牌消耗!$Q$4/AF$2,0)*AF$2</f>
        <v>0</v>
      </c>
      <c r="AG161" s="14">
        <f>ROUND(INDEX(挂机升级突破!EC$6:EC$57,卡牌消耗!$AA161)*INDEX(卡牌消耗!$B$7:$F$7,卡牌消耗!$Z161)/卡牌消耗!$Q$4/AG$2,0)*AG$2</f>
        <v>0</v>
      </c>
      <c r="AH161" s="14">
        <f>ROUND(INDEX(挂机升级突破!ED$6:ED$57,卡牌消耗!$AA161)*INDEX(卡牌消耗!$B$8:$F$8,卡牌消耗!$Z161)/卡牌消耗!$Q$4/AH$2,0)*AH$2</f>
        <v>1750</v>
      </c>
      <c r="AI161" s="194"/>
      <c r="AJ161" s="194"/>
      <c r="AK161" s="104">
        <v>157</v>
      </c>
      <c r="AL161" s="14">
        <f t="shared" si="252"/>
        <v>4</v>
      </c>
      <c r="AM161" s="14">
        <f>INDEX(挂机升级突破!DQ$6:DQ$57,卡牌消耗!$AT161)</f>
        <v>11</v>
      </c>
      <c r="AN161" s="14">
        <f>INDEX(挂机升级突破!DR$6:DR$57,卡牌消耗!$AT161)</f>
        <v>1</v>
      </c>
      <c r="AO161" s="14">
        <f>INDEX(挂机升级突破!DS$6:DS$57,卡牌消耗!$AT161)</f>
        <v>0</v>
      </c>
      <c r="AP161" s="14">
        <f>INDEX(挂机升级突破!$DP$6:$DP$57,卡牌消耗!AT161)</f>
        <v>3</v>
      </c>
      <c r="AQ161" s="14" t="str">
        <f t="shared" si="253"/>
        <v>唐流雨</v>
      </c>
      <c r="AR161" s="14">
        <f t="shared" si="254"/>
        <v>2</v>
      </c>
      <c r="AS161" s="14" t="str">
        <f t="shared" si="255"/>
        <v>唐流雨魂火-1</v>
      </c>
      <c r="AT161" s="14">
        <f t="shared" si="256"/>
        <v>1</v>
      </c>
      <c r="AU161" s="14" t="str">
        <f>IF(AM161&gt;0,INDEX(挂机升级突破!$DT$4:$ED$4,AM161),"")</f>
        <v>金币</v>
      </c>
      <c r="AV161" s="14">
        <f>ROUND(INDEX(挂机升级突破!$DJ$6:$DJ$57,卡牌消耗!AT161)*INDEX(卡牌消耗!$B$8:$F$8,AR161)/$Q$4/50,0)*50</f>
        <v>600</v>
      </c>
      <c r="AW161" s="14" t="str">
        <f>IF(AN161&gt;0,INDEX(挂机升级突破!$DT$4:$ED$4,AN161),"")</f>
        <v>绿色基础材料</v>
      </c>
      <c r="AX161" s="14">
        <f>ROUND(INDEX(挂机升级突破!$DT$6:$ED$57,卡牌消耗!AT161,AN161)*INDEX(卡牌消耗!$B$5:$F$5,AR161)/$Q$4/5,0)*5</f>
        <v>20</v>
      </c>
      <c r="AY161" s="14" t="str">
        <f>IF(AO161&gt;0,INDEX(挂机升级突破!$DT$4:$ED$4,AO161),"")</f>
        <v/>
      </c>
      <c r="AZ161" s="14" t="str">
        <f>IF(AO161&gt;0,ROUND(INDEX(挂机升级突破!$DT$6:$ED$57,卡牌消耗!AT161,AO161)*INDEX(卡牌消耗!$B$7:$F$7,AR161)/$Q$4,0),"")</f>
        <v/>
      </c>
      <c r="BA161" s="106"/>
      <c r="BB161" s="197"/>
      <c r="BC161" s="197"/>
      <c r="BD161" s="197"/>
      <c r="BE161" s="197"/>
      <c r="BF161" s="197"/>
      <c r="BG161" s="197"/>
      <c r="BH161" s="197"/>
      <c r="BI161" s="197"/>
      <c r="BJ161" s="197"/>
      <c r="BK161" s="197"/>
      <c r="BL161" s="104">
        <v>157</v>
      </c>
      <c r="BM161" s="14">
        <f t="shared" si="257"/>
        <v>8</v>
      </c>
      <c r="BN161" s="14">
        <f>INDEX(挂机升级突破!$EI$7:$EI$26,BS161)</f>
        <v>5</v>
      </c>
      <c r="BO161" s="14">
        <f>INDEX(挂机升级突破!$EJ$7:$EJ$26,BS161)</f>
        <v>4</v>
      </c>
      <c r="BP161" s="14">
        <f t="shared" si="258"/>
        <v>4</v>
      </c>
      <c r="BQ161" s="14">
        <f>INDEX(挂机升级突破!$EH$7:$EH$26,卡牌消耗!BS161)</f>
        <v>117</v>
      </c>
      <c r="BR161" s="14" t="str">
        <f t="shared" si="259"/>
        <v>夏侯渊</v>
      </c>
      <c r="BS161" s="14">
        <f t="shared" si="260"/>
        <v>17</v>
      </c>
      <c r="BT161" s="14" t="str">
        <f t="shared" si="261"/>
        <v>夏侯渊17突</v>
      </c>
      <c r="BU161" s="14" t="str">
        <f>IF(BN161&gt;0,INDEX(挂机升级突破!$ER$5:$EV$5,卡牌消耗!BN161),"")</f>
        <v>金币</v>
      </c>
      <c r="BV161" s="14">
        <f>IF(BN161&gt;0,ROUND(INDEX(挂机升级突破!$EV$7:$EV$26,卡牌消耗!BS161)*INDEX(卡牌消耗!$B$8:$F$8,BP161)/$Q$4/500,0)*500,"")</f>
        <v>121000</v>
      </c>
      <c r="BW161" s="14" t="str">
        <f>IF(BO161&gt;0,INDEX(挂机升级突破!$ER$5:$EV$5,卡牌消耗!BO161),"")</f>
        <v>铀金</v>
      </c>
      <c r="BX161" s="14">
        <f>IF(BO161&gt;0,ROUND(INDEX(挂机升级突破!$ER$7:$EU$26,卡牌消耗!BS161,卡牌消耗!BO161)*INDEX($B$6:$F$6,BP161)/$Q$4/5,0)*5,"")</f>
        <v>20</v>
      </c>
      <c r="BY161" s="193"/>
      <c r="BZ161" s="193"/>
      <c r="CA161" s="106"/>
      <c r="CS161" s="171"/>
      <c r="CT161" s="171"/>
      <c r="CU161" s="171"/>
      <c r="CV161" s="170"/>
      <c r="CW161" s="170"/>
      <c r="CX161" s="170"/>
      <c r="CY161" s="170"/>
      <c r="CZ161" s="170"/>
      <c r="DI161" s="186">
        <v>157</v>
      </c>
      <c r="DJ161" s="14">
        <f t="shared" si="265"/>
        <v>32</v>
      </c>
      <c r="DK161" s="14">
        <f t="shared" si="247"/>
        <v>3</v>
      </c>
      <c r="DL161" s="14">
        <f t="shared" si="248"/>
        <v>1102005</v>
      </c>
      <c r="DM161" s="136" t="s">
        <v>1097</v>
      </c>
      <c r="DN161" s="14">
        <f t="shared" si="249"/>
        <v>2</v>
      </c>
      <c r="DO161" s="14" t="str">
        <f t="shared" si="250"/>
        <v>李轩辕-2星</v>
      </c>
      <c r="DP161" s="136" t="s">
        <v>1103</v>
      </c>
      <c r="DQ161" s="14">
        <f t="shared" si="266"/>
        <v>5000</v>
      </c>
      <c r="DR161" s="14" t="str">
        <f t="shared" si="251"/>
        <v>李轩辕碎片</v>
      </c>
      <c r="DS161" s="14">
        <f t="shared" si="267"/>
        <v>40</v>
      </c>
    </row>
    <row r="162" spans="8:123" ht="16.5" x14ac:dyDescent="0.2">
      <c r="H162" s="15"/>
      <c r="I162" s="15"/>
      <c r="J162" s="15"/>
      <c r="K162" s="15"/>
      <c r="L162" s="15"/>
      <c r="M162" s="15"/>
      <c r="N162" s="15"/>
      <c r="O162" s="137"/>
      <c r="P162" s="141"/>
      <c r="Q162" s="141"/>
      <c r="R162" s="141"/>
      <c r="S162" s="141"/>
      <c r="T162" s="141"/>
      <c r="U162" s="141"/>
      <c r="V162" s="141"/>
      <c r="W162" s="141"/>
      <c r="X162" s="141"/>
      <c r="Y162" s="141"/>
      <c r="Z162" s="196">
        <v>5</v>
      </c>
      <c r="AA162" s="196">
        <v>2</v>
      </c>
      <c r="AB162" s="14">
        <f>ROUND(INDEX(挂机升级突破!DT$6:DT$57,卡牌消耗!$AA162)*INDEX(卡牌消耗!$B$5:$F$5,卡牌消耗!$Z162)/卡牌消耗!$Q$4/AB$2,0)*AB$2</f>
        <v>130</v>
      </c>
      <c r="AC162" s="14">
        <f>ROUND(INDEX(挂机升级突破!DU$6:DU$57,卡牌消耗!$AA162)*INDEX(卡牌消耗!$B$5:$F$5,卡牌消耗!$Z162)/卡牌消耗!$Q$4/AC$2,0)*AC$2</f>
        <v>0</v>
      </c>
      <c r="AD162" s="14">
        <f>ROUND(INDEX(挂机升级突破!DV$6:DV$57,卡牌消耗!$AA162)*INDEX(卡牌消耗!$B$5:$F$5,卡牌消耗!$Z162)/卡牌消耗!$Q$4/AD$2,0)*AD$2</f>
        <v>0</v>
      </c>
      <c r="AE162" s="14">
        <f>ROUND(INDEX(挂机升级突破!DW$6:DW$57,卡牌消耗!$AA162)*INDEX(卡牌消耗!$B$5:$F$5,卡牌消耗!$Z162)/卡牌消耗!$Q$4/AE$2,0)*AE$2</f>
        <v>0</v>
      </c>
      <c r="AF162" s="14">
        <f>ROUND(INDEX(挂机升级突破!DX$6:DX$57,卡牌消耗!$AA162)*INDEX(卡牌消耗!$B$5:$F$5,卡牌消耗!$Z162)/卡牌消耗!$Q$4/AF$2,0)*AF$2</f>
        <v>0</v>
      </c>
      <c r="AG162" s="14">
        <f>ROUND(INDEX(挂机升级突破!EC$6:EC$57,卡牌消耗!$AA162)*INDEX(卡牌消耗!$B$7:$F$7,卡牌消耗!$Z162)/卡牌消耗!$Q$4/AG$2,0)*AG$2</f>
        <v>0</v>
      </c>
      <c r="AH162" s="14">
        <f>ROUND(INDEX(挂机升级突破!ED$6:ED$57,卡牌消耗!$AA162)*INDEX(卡牌消耗!$B$8:$F$8,卡牌消耗!$Z162)/卡牌消耗!$Q$4/AH$2,0)*AH$2</f>
        <v>2100</v>
      </c>
      <c r="AI162" s="194"/>
      <c r="AJ162" s="194"/>
      <c r="AK162" s="104">
        <v>158</v>
      </c>
      <c r="AL162" s="14">
        <f t="shared" si="252"/>
        <v>4</v>
      </c>
      <c r="AM162" s="14">
        <f>INDEX(挂机升级突破!DQ$6:DQ$57,卡牌消耗!$AT162)</f>
        <v>11</v>
      </c>
      <c r="AN162" s="14">
        <f>INDEX(挂机升级突破!DR$6:DR$57,卡牌消耗!$AT162)</f>
        <v>1</v>
      </c>
      <c r="AO162" s="14">
        <f>INDEX(挂机升级突破!DS$6:DS$57,卡牌消耗!$AT162)</f>
        <v>0</v>
      </c>
      <c r="AP162" s="14">
        <f>INDEX(挂机升级突破!$DP$6:$DP$57,卡牌消耗!AT162)</f>
        <v>8</v>
      </c>
      <c r="AQ162" s="14" t="str">
        <f t="shared" si="253"/>
        <v>唐流雨</v>
      </c>
      <c r="AR162" s="14">
        <f t="shared" si="254"/>
        <v>2</v>
      </c>
      <c r="AS162" s="14" t="str">
        <f t="shared" si="255"/>
        <v>唐流雨魂火-2</v>
      </c>
      <c r="AT162" s="14">
        <f t="shared" si="256"/>
        <v>2</v>
      </c>
      <c r="AU162" s="14" t="str">
        <f>IF(AM162&gt;0,INDEX(挂机升级突破!$DT$4:$ED$4,AM162),"")</f>
        <v>金币</v>
      </c>
      <c r="AV162" s="14">
        <f>ROUND(INDEX(挂机升级突破!$DJ$6:$DJ$57,卡牌消耗!AT162)*INDEX(卡牌消耗!$B$8:$F$8,AR162)/$Q$4/50,0)*50</f>
        <v>750</v>
      </c>
      <c r="AW162" s="14" t="str">
        <f>IF(AN162&gt;0,INDEX(挂机升级突破!$DT$4:$ED$4,AN162),"")</f>
        <v>绿色基础材料</v>
      </c>
      <c r="AX162" s="14">
        <f>ROUND(INDEX(挂机升级突破!$DT$6:$ED$57,卡牌消耗!AT162,AN162)*INDEX(卡牌消耗!$B$5:$F$5,AR162)/$Q$4/5,0)*5</f>
        <v>70</v>
      </c>
      <c r="AY162" s="14" t="str">
        <f>IF(AO162&gt;0,INDEX(挂机升级突破!$DT$4:$ED$4,AO162),"")</f>
        <v/>
      </c>
      <c r="AZ162" s="14" t="str">
        <f>IF(AO162&gt;0,ROUND(INDEX(挂机升级突破!$DT$6:$ED$57,卡牌消耗!AT162,AO162)*INDEX(卡牌消耗!$B$7:$F$7,AR162)/$Q$4,0),"")</f>
        <v/>
      </c>
      <c r="BA162" s="106"/>
      <c r="BB162" s="197"/>
      <c r="BC162" s="197"/>
      <c r="BD162" s="197"/>
      <c r="BE162" s="197"/>
      <c r="BF162" s="197"/>
      <c r="BG162" s="197"/>
      <c r="BH162" s="197"/>
      <c r="BI162" s="197"/>
      <c r="BJ162" s="197"/>
      <c r="BK162" s="197"/>
      <c r="BL162" s="104">
        <v>158</v>
      </c>
      <c r="BM162" s="14">
        <f t="shared" si="257"/>
        <v>8</v>
      </c>
      <c r="BN162" s="14">
        <f>INDEX(挂机升级突破!$EI$7:$EI$26,BS162)</f>
        <v>5</v>
      </c>
      <c r="BO162" s="14">
        <f>INDEX(挂机升级突破!$EJ$7:$EJ$26,BS162)</f>
        <v>4</v>
      </c>
      <c r="BP162" s="14">
        <f t="shared" si="258"/>
        <v>4</v>
      </c>
      <c r="BQ162" s="14">
        <f>INDEX(挂机升级突破!$EH$7:$EH$26,卡牌消耗!BS162)</f>
        <v>125</v>
      </c>
      <c r="BR162" s="14" t="str">
        <f t="shared" si="259"/>
        <v>夏侯渊</v>
      </c>
      <c r="BS162" s="14">
        <f t="shared" si="260"/>
        <v>18</v>
      </c>
      <c r="BT162" s="14" t="str">
        <f t="shared" si="261"/>
        <v>夏侯渊18突</v>
      </c>
      <c r="BU162" s="14" t="str">
        <f>IF(BN162&gt;0,INDEX(挂机升级突破!$ER$5:$EV$5,卡牌消耗!BN162),"")</f>
        <v>金币</v>
      </c>
      <c r="BV162" s="14">
        <f>IF(BN162&gt;0,ROUND(INDEX(挂机升级突破!$EV$7:$EV$26,卡牌消耗!BS162)*INDEX(卡牌消耗!$B$8:$F$8,BP162)/$Q$4/500,0)*500,"")</f>
        <v>161000</v>
      </c>
      <c r="BW162" s="14" t="str">
        <f>IF(BO162&gt;0,INDEX(挂机升级突破!$ER$5:$EV$5,卡牌消耗!BO162),"")</f>
        <v>铀金</v>
      </c>
      <c r="BX162" s="14">
        <f>IF(BO162&gt;0,ROUND(INDEX(挂机升级突破!$ER$7:$EU$26,卡牌消耗!BS162,卡牌消耗!BO162)*INDEX($B$6:$F$6,BP162)/$Q$4/5,0)*5,"")</f>
        <v>30</v>
      </c>
      <c r="BY162" s="193"/>
      <c r="BZ162" s="193"/>
      <c r="CA162" s="106"/>
      <c r="CS162" s="171"/>
      <c r="CT162" s="171"/>
      <c r="CU162" s="171"/>
      <c r="CV162" s="170"/>
      <c r="CW162" s="170"/>
      <c r="CX162" s="170"/>
      <c r="CY162" s="170"/>
      <c r="CZ162" s="170"/>
      <c r="DI162" s="186">
        <v>158</v>
      </c>
      <c r="DJ162" s="14">
        <f t="shared" si="265"/>
        <v>32</v>
      </c>
      <c r="DK162" s="14">
        <f t="shared" si="247"/>
        <v>3</v>
      </c>
      <c r="DL162" s="14">
        <f t="shared" si="248"/>
        <v>1102005</v>
      </c>
      <c r="DM162" s="136" t="s">
        <v>1097</v>
      </c>
      <c r="DN162" s="14">
        <f t="shared" si="249"/>
        <v>3</v>
      </c>
      <c r="DO162" s="14" t="str">
        <f t="shared" si="250"/>
        <v>李轩辕-3星</v>
      </c>
      <c r="DP162" s="136" t="s">
        <v>1103</v>
      </c>
      <c r="DQ162" s="14">
        <f t="shared" si="266"/>
        <v>10000</v>
      </c>
      <c r="DR162" s="14" t="str">
        <f t="shared" si="251"/>
        <v>李轩辕碎片</v>
      </c>
      <c r="DS162" s="14">
        <f t="shared" si="267"/>
        <v>40</v>
      </c>
    </row>
    <row r="163" spans="8:123" ht="16.5" x14ac:dyDescent="0.2">
      <c r="H163" s="15"/>
      <c r="I163" s="15"/>
      <c r="J163" s="15"/>
      <c r="K163" s="15"/>
      <c r="L163" s="15"/>
      <c r="M163" s="15"/>
      <c r="N163" s="15"/>
      <c r="O163" s="137"/>
      <c r="P163" s="141"/>
      <c r="Q163" s="141"/>
      <c r="R163" s="141"/>
      <c r="S163" s="141"/>
      <c r="T163" s="141"/>
      <c r="U163" s="141"/>
      <c r="V163" s="141"/>
      <c r="W163" s="141"/>
      <c r="X163" s="141"/>
      <c r="Y163" s="141"/>
      <c r="Z163" s="196">
        <v>5</v>
      </c>
      <c r="AA163" s="196">
        <v>3</v>
      </c>
      <c r="AB163" s="14">
        <f>ROUND(INDEX(挂机升级突破!DT$6:DT$57,卡牌消耗!$AA163)*INDEX(卡牌消耗!$B$5:$F$5,卡牌消耗!$Z163)/卡牌消耗!$Q$4/AB$2,0)*AB$2</f>
        <v>155</v>
      </c>
      <c r="AC163" s="14">
        <f>ROUND(INDEX(挂机升级突破!DU$6:DU$57,卡牌消耗!$AA163)*INDEX(卡牌消耗!$B$5:$F$5,卡牌消耗!$Z163)/卡牌消耗!$Q$4/AC$2,0)*AC$2</f>
        <v>0</v>
      </c>
      <c r="AD163" s="14">
        <f>ROUND(INDEX(挂机升级突破!DV$6:DV$57,卡牌消耗!$AA163)*INDEX(卡牌消耗!$B$5:$F$5,卡牌消耗!$Z163)/卡牌消耗!$Q$4/AD$2,0)*AD$2</f>
        <v>0</v>
      </c>
      <c r="AE163" s="14">
        <f>ROUND(INDEX(挂机升级突破!DW$6:DW$57,卡牌消耗!$AA163)*INDEX(卡牌消耗!$B$5:$F$5,卡牌消耗!$Z163)/卡牌消耗!$Q$4/AE$2,0)*AE$2</f>
        <v>0</v>
      </c>
      <c r="AF163" s="14">
        <f>ROUND(INDEX(挂机升级突破!DX$6:DX$57,卡牌消耗!$AA163)*INDEX(卡牌消耗!$B$5:$F$5,卡牌消耗!$Z163)/卡牌消耗!$Q$4/AF$2,0)*AF$2</f>
        <v>0</v>
      </c>
      <c r="AG163" s="14">
        <f>ROUND(INDEX(挂机升级突破!EC$6:EC$57,卡牌消耗!$AA163)*INDEX(卡牌消耗!$B$7:$F$7,卡牌消耗!$Z163)/卡牌消耗!$Q$4/AG$2,0)*AG$2</f>
        <v>0</v>
      </c>
      <c r="AH163" s="14">
        <f>ROUND(INDEX(挂机升级突破!ED$6:ED$57,卡牌消耗!$AA163)*INDEX(卡牌消耗!$B$8:$F$8,卡牌消耗!$Z163)/卡牌消耗!$Q$4/AH$2,0)*AH$2</f>
        <v>2100</v>
      </c>
      <c r="AI163" s="194"/>
      <c r="AJ163" s="194"/>
      <c r="AK163" s="104">
        <v>159</v>
      </c>
      <c r="AL163" s="14">
        <f t="shared" si="252"/>
        <v>4</v>
      </c>
      <c r="AM163" s="14">
        <f>INDEX(挂机升级突破!DQ$6:DQ$57,卡牌消耗!$AT163)</f>
        <v>11</v>
      </c>
      <c r="AN163" s="14">
        <f>INDEX(挂机升级突破!DR$6:DR$57,卡牌消耗!$AT163)</f>
        <v>1</v>
      </c>
      <c r="AO163" s="14">
        <f>INDEX(挂机升级突破!DS$6:DS$57,卡牌消耗!$AT163)</f>
        <v>0</v>
      </c>
      <c r="AP163" s="14">
        <f>INDEX(挂机升级突破!$DP$6:$DP$57,卡牌消耗!AT163)</f>
        <v>13</v>
      </c>
      <c r="AQ163" s="14" t="str">
        <f t="shared" si="253"/>
        <v>唐流雨</v>
      </c>
      <c r="AR163" s="14">
        <f t="shared" si="254"/>
        <v>2</v>
      </c>
      <c r="AS163" s="14" t="str">
        <f t="shared" si="255"/>
        <v>唐流雨魂火-3</v>
      </c>
      <c r="AT163" s="14">
        <f t="shared" si="256"/>
        <v>3</v>
      </c>
      <c r="AU163" s="14" t="str">
        <f>IF(AM163&gt;0,INDEX(挂机升级突破!$DT$4:$ED$4,AM163),"")</f>
        <v>金币</v>
      </c>
      <c r="AV163" s="14">
        <f>ROUND(INDEX(挂机升级突破!$DJ$6:$DJ$57,卡牌消耗!AT163)*INDEX(卡牌消耗!$B$8:$F$8,AR163)/$Q$4/50,0)*50</f>
        <v>750</v>
      </c>
      <c r="AW163" s="14" t="str">
        <f>IF(AN163&gt;0,INDEX(挂机升级突破!$DT$4:$ED$4,AN163),"")</f>
        <v>绿色基础材料</v>
      </c>
      <c r="AX163" s="14">
        <f>ROUND(INDEX(挂机升级突破!$DT$6:$ED$57,卡牌消耗!AT163,AN163)*INDEX(卡牌消耗!$B$5:$F$5,AR163)/$Q$4/5,0)*5</f>
        <v>80</v>
      </c>
      <c r="AY163" s="14" t="str">
        <f>IF(AO163&gt;0,INDEX(挂机升级突破!$DT$4:$ED$4,AO163),"")</f>
        <v/>
      </c>
      <c r="AZ163" s="14" t="str">
        <f>IF(AO163&gt;0,ROUND(INDEX(挂机升级突破!$DT$6:$ED$57,卡牌消耗!AT163,AO163)*INDEX(卡牌消耗!$B$7:$F$7,AR163)/$Q$4,0),"")</f>
        <v/>
      </c>
      <c r="BA163" s="106"/>
      <c r="BB163" s="197"/>
      <c r="BC163" s="197"/>
      <c r="BD163" s="197"/>
      <c r="BE163" s="197"/>
      <c r="BF163" s="197"/>
      <c r="BG163" s="197"/>
      <c r="BH163" s="197"/>
      <c r="BI163" s="197"/>
      <c r="BJ163" s="197"/>
      <c r="BK163" s="197"/>
      <c r="BL163" s="104">
        <v>159</v>
      </c>
      <c r="BM163" s="14">
        <f t="shared" si="257"/>
        <v>8</v>
      </c>
      <c r="BN163" s="14">
        <f>INDEX(挂机升级突破!$EI$7:$EI$26,BS163)</f>
        <v>5</v>
      </c>
      <c r="BO163" s="14">
        <f>INDEX(挂机升级突破!$EJ$7:$EJ$26,BS163)</f>
        <v>4</v>
      </c>
      <c r="BP163" s="14">
        <f t="shared" si="258"/>
        <v>4</v>
      </c>
      <c r="BQ163" s="14">
        <f>INDEX(挂机升级突破!$EH$7:$EH$26,卡牌消耗!BS163)</f>
        <v>132</v>
      </c>
      <c r="BR163" s="14" t="str">
        <f t="shared" si="259"/>
        <v>夏侯渊</v>
      </c>
      <c r="BS163" s="14">
        <f t="shared" si="260"/>
        <v>19</v>
      </c>
      <c r="BT163" s="14" t="str">
        <f t="shared" si="261"/>
        <v>夏侯渊19突</v>
      </c>
      <c r="BU163" s="14" t="str">
        <f>IF(BN163&gt;0,INDEX(挂机升级突破!$ER$5:$EV$5,卡牌消耗!BN163),"")</f>
        <v>金币</v>
      </c>
      <c r="BV163" s="14">
        <f>IF(BN163&gt;0,ROUND(INDEX(挂机升级突破!$EV$7:$EV$26,卡牌消耗!BS163)*INDEX(卡牌消耗!$B$8:$F$8,BP163)/$Q$4/500,0)*500,"")</f>
        <v>410500</v>
      </c>
      <c r="BW163" s="14" t="str">
        <f>IF(BO163&gt;0,INDEX(挂机升级突破!$ER$5:$EV$5,卡牌消耗!BO163),"")</f>
        <v>铀金</v>
      </c>
      <c r="BX163" s="14">
        <f>IF(BO163&gt;0,ROUND(INDEX(挂机升级突破!$ER$7:$EU$26,卡牌消耗!BS163,卡牌消耗!BO163)*INDEX($B$6:$F$6,BP163)/$Q$4/5,0)*5,"")</f>
        <v>40</v>
      </c>
      <c r="BY163" s="193"/>
      <c r="BZ163" s="193"/>
      <c r="CA163" s="106"/>
      <c r="CS163" s="171"/>
      <c r="CT163" s="171"/>
      <c r="CU163" s="171"/>
      <c r="CV163" s="170"/>
      <c r="CW163" s="170"/>
      <c r="CX163" s="170"/>
      <c r="CY163" s="170"/>
      <c r="CZ163" s="170"/>
      <c r="DI163" s="186">
        <v>159</v>
      </c>
      <c r="DJ163" s="14">
        <f t="shared" si="265"/>
        <v>32</v>
      </c>
      <c r="DK163" s="14">
        <f t="shared" si="247"/>
        <v>3</v>
      </c>
      <c r="DL163" s="14">
        <f t="shared" si="248"/>
        <v>1102005</v>
      </c>
      <c r="DM163" s="136" t="s">
        <v>1097</v>
      </c>
      <c r="DN163" s="14">
        <f t="shared" si="249"/>
        <v>4</v>
      </c>
      <c r="DO163" s="14" t="str">
        <f t="shared" si="250"/>
        <v>李轩辕-4星</v>
      </c>
      <c r="DP163" s="136" t="s">
        <v>1103</v>
      </c>
      <c r="DQ163" s="14">
        <f t="shared" si="266"/>
        <v>20000</v>
      </c>
      <c r="DR163" s="14" t="str">
        <f t="shared" si="251"/>
        <v>李轩辕碎片</v>
      </c>
      <c r="DS163" s="14">
        <f t="shared" si="267"/>
        <v>40</v>
      </c>
    </row>
    <row r="164" spans="8:123" ht="16.5" x14ac:dyDescent="0.2">
      <c r="H164" s="15"/>
      <c r="I164" s="15"/>
      <c r="J164" s="15"/>
      <c r="K164" s="15"/>
      <c r="L164" s="15"/>
      <c r="M164" s="15"/>
      <c r="N164" s="15"/>
      <c r="O164" s="137"/>
      <c r="P164" s="141"/>
      <c r="Q164" s="141"/>
      <c r="R164" s="141"/>
      <c r="S164" s="141"/>
      <c r="T164" s="141"/>
      <c r="U164" s="141"/>
      <c r="V164" s="141"/>
      <c r="W164" s="141"/>
      <c r="X164" s="141"/>
      <c r="Y164" s="141"/>
      <c r="Z164" s="196">
        <v>5</v>
      </c>
      <c r="AA164" s="196">
        <v>4</v>
      </c>
      <c r="AB164" s="14">
        <f>ROUND(INDEX(挂机升级突破!DT$6:DT$57,卡牌消耗!$AA164)*INDEX(卡牌消耗!$B$5:$F$5,卡牌消耗!$Z164)/卡牌消耗!$Q$4/AB$2,0)*AB$2</f>
        <v>215</v>
      </c>
      <c r="AC164" s="14">
        <f>ROUND(INDEX(挂机升级突破!DU$6:DU$57,卡牌消耗!$AA164)*INDEX(卡牌消耗!$B$5:$F$5,卡牌消耗!$Z164)/卡牌消耗!$Q$4/AC$2,0)*AC$2</f>
        <v>0</v>
      </c>
      <c r="AD164" s="14">
        <f>ROUND(INDEX(挂机升级突破!DV$6:DV$57,卡牌消耗!$AA164)*INDEX(卡牌消耗!$B$5:$F$5,卡牌消耗!$Z164)/卡牌消耗!$Q$4/AD$2,0)*AD$2</f>
        <v>0</v>
      </c>
      <c r="AE164" s="14">
        <f>ROUND(INDEX(挂机升级突破!DW$6:DW$57,卡牌消耗!$AA164)*INDEX(卡牌消耗!$B$5:$F$5,卡牌消耗!$Z164)/卡牌消耗!$Q$4/AE$2,0)*AE$2</f>
        <v>0</v>
      </c>
      <c r="AF164" s="14">
        <f>ROUND(INDEX(挂机升级突破!DX$6:DX$57,卡牌消耗!$AA164)*INDEX(卡牌消耗!$B$5:$F$5,卡牌消耗!$Z164)/卡牌消耗!$Q$4/AF$2,0)*AF$2</f>
        <v>0</v>
      </c>
      <c r="AG164" s="14">
        <f>ROUND(INDEX(挂机升级突破!EC$6:EC$57,卡牌消耗!$AA164)*INDEX(卡牌消耗!$B$7:$F$7,卡牌消耗!$Z164)/卡牌消耗!$Q$4/AG$2,0)*AG$2</f>
        <v>0</v>
      </c>
      <c r="AH164" s="14">
        <f>ROUND(INDEX(挂机升级突破!ED$6:ED$57,卡牌消耗!$AA164)*INDEX(卡牌消耗!$B$8:$F$8,卡牌消耗!$Z164)/卡牌消耗!$Q$4/AH$2,0)*AH$2</f>
        <v>2100</v>
      </c>
      <c r="AI164" s="194"/>
      <c r="AJ164" s="194"/>
      <c r="AK164" s="104">
        <v>160</v>
      </c>
      <c r="AL164" s="14">
        <f t="shared" si="252"/>
        <v>4</v>
      </c>
      <c r="AM164" s="14">
        <f>INDEX(挂机升级突破!DQ$6:DQ$57,卡牌消耗!$AT164)</f>
        <v>11</v>
      </c>
      <c r="AN164" s="14">
        <f>INDEX(挂机升级突破!DR$6:DR$57,卡牌消耗!$AT164)</f>
        <v>1</v>
      </c>
      <c r="AO164" s="14">
        <f>INDEX(挂机升级突破!DS$6:DS$57,卡牌消耗!$AT164)</f>
        <v>0</v>
      </c>
      <c r="AP164" s="14">
        <f>INDEX(挂机升级突破!$DP$6:$DP$57,卡牌消耗!AT164)</f>
        <v>18</v>
      </c>
      <c r="AQ164" s="14" t="str">
        <f t="shared" si="253"/>
        <v>唐流雨</v>
      </c>
      <c r="AR164" s="14">
        <f t="shared" si="254"/>
        <v>2</v>
      </c>
      <c r="AS164" s="14" t="str">
        <f t="shared" si="255"/>
        <v>唐流雨魂火-4</v>
      </c>
      <c r="AT164" s="14">
        <f t="shared" si="256"/>
        <v>4</v>
      </c>
      <c r="AU164" s="14" t="str">
        <f>IF(AM164&gt;0,INDEX(挂机升级突破!$DT$4:$ED$4,AM164),"")</f>
        <v>金币</v>
      </c>
      <c r="AV164" s="14">
        <f>ROUND(INDEX(挂机升级突破!$DJ$6:$DJ$57,卡牌消耗!AT164)*INDEX(卡牌消耗!$B$8:$F$8,AR164)/$Q$4/50,0)*50</f>
        <v>750</v>
      </c>
      <c r="AW164" s="14" t="str">
        <f>IF(AN164&gt;0,INDEX(挂机升级突破!$DT$4:$ED$4,AN164),"")</f>
        <v>绿色基础材料</v>
      </c>
      <c r="AX164" s="14">
        <f>ROUND(INDEX(挂机升级突破!$DT$6:$ED$57,卡牌消耗!AT164,AN164)*INDEX(卡牌消耗!$B$5:$F$5,AR164)/$Q$4/5,0)*5</f>
        <v>115</v>
      </c>
      <c r="AY164" s="14" t="str">
        <f>IF(AO164&gt;0,INDEX(挂机升级突破!$DT$4:$ED$4,AO164),"")</f>
        <v/>
      </c>
      <c r="AZ164" s="14" t="str">
        <f>IF(AO164&gt;0,ROUND(INDEX(挂机升级突破!$DT$6:$ED$57,卡牌消耗!AT164,AO164)*INDEX(卡牌消耗!$B$7:$F$7,AR164)/$Q$4,0),"")</f>
        <v/>
      </c>
      <c r="BA164" s="106"/>
      <c r="BB164" s="197"/>
      <c r="BC164" s="197"/>
      <c r="BD164" s="197"/>
      <c r="BE164" s="197"/>
      <c r="BF164" s="197"/>
      <c r="BG164" s="197"/>
      <c r="BH164" s="197"/>
      <c r="BI164" s="197"/>
      <c r="BJ164" s="197"/>
      <c r="BK164" s="197"/>
      <c r="BL164" s="104">
        <v>160</v>
      </c>
      <c r="BM164" s="14">
        <f t="shared" si="257"/>
        <v>8</v>
      </c>
      <c r="BN164" s="14">
        <f>INDEX(挂机升级突破!$EI$7:$EI$26,BS164)</f>
        <v>5</v>
      </c>
      <c r="BO164" s="14">
        <f>INDEX(挂机升级突破!$EJ$7:$EJ$26,BS164)</f>
        <v>4</v>
      </c>
      <c r="BP164" s="14">
        <f t="shared" si="258"/>
        <v>4</v>
      </c>
      <c r="BQ164" s="14">
        <f>INDEX(挂机升级突破!$EH$7:$EH$26,卡牌消耗!BS164)</f>
        <v>140</v>
      </c>
      <c r="BR164" s="14" t="str">
        <f t="shared" si="259"/>
        <v>夏侯渊</v>
      </c>
      <c r="BS164" s="14">
        <f t="shared" si="260"/>
        <v>20</v>
      </c>
      <c r="BT164" s="14" t="str">
        <f t="shared" si="261"/>
        <v>夏侯渊20突</v>
      </c>
      <c r="BU164" s="14" t="str">
        <f>IF(BN164&gt;0,INDEX(挂机升级突破!$ER$5:$EV$5,卡牌消耗!BN164),"")</f>
        <v>金币</v>
      </c>
      <c r="BV164" s="14">
        <f>IF(BN164&gt;0,ROUND(INDEX(挂机升级突破!$EV$7:$EV$26,卡牌消耗!BS164)*INDEX(卡牌消耗!$B$8:$F$8,BP164)/$Q$4/500,0)*500,"")</f>
        <v>615500</v>
      </c>
      <c r="BW164" s="14" t="str">
        <f>IF(BO164&gt;0,INDEX(挂机升级突破!$ER$5:$EV$5,卡牌消耗!BO164),"")</f>
        <v>铀金</v>
      </c>
      <c r="BX164" s="14">
        <f>IF(BO164&gt;0,ROUND(INDEX(挂机升级突破!$ER$7:$EU$26,卡牌消耗!BS164,卡牌消耗!BO164)*INDEX($B$6:$F$6,BP164)/$Q$4/5,0)*5,"")</f>
        <v>50</v>
      </c>
      <c r="BY164" s="193"/>
      <c r="BZ164" s="193"/>
      <c r="CA164" s="106"/>
      <c r="CS164" s="171"/>
      <c r="CT164" s="171"/>
      <c r="CU164" s="171"/>
      <c r="CV164" s="170"/>
      <c r="CW164" s="170"/>
      <c r="CX164" s="170"/>
      <c r="CY164" s="170"/>
      <c r="CZ164" s="170"/>
      <c r="DI164" s="186">
        <v>160</v>
      </c>
      <c r="DJ164" s="14">
        <f t="shared" si="265"/>
        <v>32</v>
      </c>
      <c r="DK164" s="14">
        <f t="shared" si="247"/>
        <v>3</v>
      </c>
      <c r="DL164" s="14">
        <f t="shared" si="248"/>
        <v>1102005</v>
      </c>
      <c r="DM164" s="136" t="s">
        <v>1097</v>
      </c>
      <c r="DN164" s="14">
        <f t="shared" si="249"/>
        <v>5</v>
      </c>
      <c r="DO164" s="14" t="str">
        <f t="shared" si="250"/>
        <v>李轩辕-5星</v>
      </c>
      <c r="DP164" s="136" t="s">
        <v>1103</v>
      </c>
      <c r="DQ164" s="14">
        <f t="shared" si="266"/>
        <v>40000</v>
      </c>
      <c r="DR164" s="14" t="str">
        <f t="shared" si="251"/>
        <v>李轩辕碎片</v>
      </c>
      <c r="DS164" s="14">
        <f t="shared" si="267"/>
        <v>40</v>
      </c>
    </row>
    <row r="165" spans="8:123" ht="16.5" x14ac:dyDescent="0.2">
      <c r="H165" s="15"/>
      <c r="I165" s="15"/>
      <c r="J165" s="15"/>
      <c r="K165" s="15"/>
      <c r="L165" s="15"/>
      <c r="M165" s="15"/>
      <c r="N165" s="15"/>
      <c r="O165" s="137"/>
      <c r="P165" s="141"/>
      <c r="Q165" s="141"/>
      <c r="R165" s="141"/>
      <c r="S165" s="141"/>
      <c r="T165" s="141"/>
      <c r="U165" s="141"/>
      <c r="V165" s="141"/>
      <c r="W165" s="141"/>
      <c r="X165" s="141"/>
      <c r="Y165" s="141"/>
      <c r="Z165" s="196">
        <v>5</v>
      </c>
      <c r="AA165" s="196">
        <v>5</v>
      </c>
      <c r="AB165" s="14">
        <f>ROUND(INDEX(挂机升级突破!DT$6:DT$57,卡牌消耗!$AA165)*INDEX(卡牌消耗!$B$5:$F$5,卡牌消耗!$Z165)/卡牌消耗!$Q$4/AB$2,0)*AB$2</f>
        <v>230</v>
      </c>
      <c r="AC165" s="14">
        <f>ROUND(INDEX(挂机升级突破!DU$6:DU$57,卡牌消耗!$AA165)*INDEX(卡牌消耗!$B$5:$F$5,卡牌消耗!$Z165)/卡牌消耗!$Q$4/AC$2,0)*AC$2</f>
        <v>0</v>
      </c>
      <c r="AD165" s="14">
        <f>ROUND(INDEX(挂机升级突破!DV$6:DV$57,卡牌消耗!$AA165)*INDEX(卡牌消耗!$B$5:$F$5,卡牌消耗!$Z165)/卡牌消耗!$Q$4/AD$2,0)*AD$2</f>
        <v>0</v>
      </c>
      <c r="AE165" s="14">
        <f>ROUND(INDEX(挂机升级突破!DW$6:DW$57,卡牌消耗!$AA165)*INDEX(卡牌消耗!$B$5:$F$5,卡牌消耗!$Z165)/卡牌消耗!$Q$4/AE$2,0)*AE$2</f>
        <v>0</v>
      </c>
      <c r="AF165" s="14">
        <f>ROUND(INDEX(挂机升级突破!DX$6:DX$57,卡牌消耗!$AA165)*INDEX(卡牌消耗!$B$5:$F$5,卡牌消耗!$Z165)/卡牌消耗!$Q$4/AF$2,0)*AF$2</f>
        <v>0</v>
      </c>
      <c r="AG165" s="14">
        <f>ROUND(INDEX(挂机升级突破!EC$6:EC$57,卡牌消耗!$AA165)*INDEX(卡牌消耗!$B$7:$F$7,卡牌消耗!$Z165)/卡牌消耗!$Q$4/AG$2,0)*AG$2</f>
        <v>0</v>
      </c>
      <c r="AH165" s="14">
        <f>ROUND(INDEX(挂机升级突破!ED$6:ED$57,卡牌消耗!$AA165)*INDEX(卡牌消耗!$B$8:$F$8,卡牌消耗!$Z165)/卡牌消耗!$Q$4/AH$2,0)*AH$2</f>
        <v>2100</v>
      </c>
      <c r="AI165" s="194"/>
      <c r="AJ165" s="194"/>
      <c r="AK165" s="104">
        <v>161</v>
      </c>
      <c r="AL165" s="14">
        <f t="shared" si="252"/>
        <v>4</v>
      </c>
      <c r="AM165" s="14">
        <f>INDEX(挂机升级突破!DQ$6:DQ$57,卡牌消耗!$AT165)</f>
        <v>11</v>
      </c>
      <c r="AN165" s="14">
        <f>INDEX(挂机升级突破!DR$6:DR$57,卡牌消耗!$AT165)</f>
        <v>1</v>
      </c>
      <c r="AO165" s="14">
        <f>INDEX(挂机升级突破!DS$6:DS$57,卡牌消耗!$AT165)</f>
        <v>0</v>
      </c>
      <c r="AP165" s="14">
        <f>INDEX(挂机升级突破!$DP$6:$DP$57,卡牌消耗!AT165)</f>
        <v>23</v>
      </c>
      <c r="AQ165" s="14" t="str">
        <f t="shared" si="253"/>
        <v>唐流雨</v>
      </c>
      <c r="AR165" s="14">
        <f t="shared" si="254"/>
        <v>2</v>
      </c>
      <c r="AS165" s="14" t="str">
        <f t="shared" si="255"/>
        <v>唐流雨魂火-5</v>
      </c>
      <c r="AT165" s="14">
        <f t="shared" si="256"/>
        <v>5</v>
      </c>
      <c r="AU165" s="14" t="str">
        <f>IF(AM165&gt;0,INDEX(挂机升级突破!$DT$4:$ED$4,AM165),"")</f>
        <v>金币</v>
      </c>
      <c r="AV165" s="14">
        <f>ROUND(INDEX(挂机升级突破!$DJ$6:$DJ$57,卡牌消耗!AT165)*INDEX(卡牌消耗!$B$8:$F$8,AR165)/$Q$4/50,0)*50</f>
        <v>750</v>
      </c>
      <c r="AW165" s="14" t="str">
        <f>IF(AN165&gt;0,INDEX(挂机升级突破!$DT$4:$ED$4,AN165),"")</f>
        <v>绿色基础材料</v>
      </c>
      <c r="AX165" s="14">
        <f>ROUND(INDEX(挂机升级突破!$DT$6:$ED$57,卡牌消耗!AT165,AN165)*INDEX(卡牌消耗!$B$5:$F$5,AR165)/$Q$4/5,0)*5</f>
        <v>125</v>
      </c>
      <c r="AY165" s="14" t="str">
        <f>IF(AO165&gt;0,INDEX(挂机升级突破!$DT$4:$ED$4,AO165),"")</f>
        <v/>
      </c>
      <c r="AZ165" s="14" t="str">
        <f>IF(AO165&gt;0,ROUND(INDEX(挂机升级突破!$DT$6:$ED$57,卡牌消耗!AT165,AO165)*INDEX(卡牌消耗!$B$7:$F$7,AR165)/$Q$4,0),"")</f>
        <v/>
      </c>
      <c r="BA165" s="106"/>
      <c r="BB165" s="197"/>
      <c r="BC165" s="197"/>
      <c r="BD165" s="197"/>
      <c r="BE165" s="197"/>
      <c r="BF165" s="197"/>
      <c r="BG165" s="197"/>
      <c r="BH165" s="197"/>
      <c r="BI165" s="197"/>
      <c r="BJ165" s="197"/>
      <c r="BK165" s="197"/>
      <c r="BL165" s="104">
        <v>161</v>
      </c>
      <c r="BM165" s="14">
        <f t="shared" si="257"/>
        <v>9</v>
      </c>
      <c r="BN165" s="14">
        <f>INDEX(挂机升级突破!$EI$7:$EI$26,BS165)</f>
        <v>0</v>
      </c>
      <c r="BO165" s="14">
        <f>INDEX(挂机升级突破!$EJ$7:$EJ$26,BS165)</f>
        <v>0</v>
      </c>
      <c r="BP165" s="14">
        <f t="shared" si="258"/>
        <v>3</v>
      </c>
      <c r="BQ165" s="14">
        <f>INDEX(挂机升级突破!$EH$7:$EH$26,卡牌消耗!BS165)</f>
        <v>1</v>
      </c>
      <c r="BR165" s="14" t="str">
        <f t="shared" si="259"/>
        <v>徐晃</v>
      </c>
      <c r="BS165" s="14">
        <f t="shared" si="260"/>
        <v>1</v>
      </c>
      <c r="BT165" s="14" t="str">
        <f t="shared" si="261"/>
        <v>徐晃1突</v>
      </c>
      <c r="BU165" s="14" t="str">
        <f>IF(BN165&gt;0,INDEX(挂机升级突破!$ER$5:$EV$5,卡牌消耗!BN165),"")</f>
        <v/>
      </c>
      <c r="BV165" s="14" t="str">
        <f>IF(BN165&gt;0,ROUND(INDEX(挂机升级突破!$EV$7:$EV$26,卡牌消耗!BS165)*INDEX(卡牌消耗!$B$8:$F$8,BP165)/$Q$4/500,0)*500,"")</f>
        <v/>
      </c>
      <c r="BW165" s="14" t="str">
        <f>IF(BO165&gt;0,INDEX(挂机升级突破!$ER$5:$EV$5,卡牌消耗!BO165),"")</f>
        <v/>
      </c>
      <c r="BX165" s="14" t="str">
        <f>IF(BO165&gt;0,ROUND(INDEX(挂机升级突破!$ER$7:$EU$26,卡牌消耗!BS165,卡牌消耗!BO165)*INDEX($B$6:$F$6,BP165)/$Q$4/5,0)*5,"")</f>
        <v/>
      </c>
      <c r="BY165" s="193"/>
      <c r="BZ165" s="193"/>
      <c r="CA165" s="106"/>
      <c r="CS165" s="171"/>
      <c r="CT165" s="171"/>
      <c r="CU165" s="171"/>
      <c r="CV165" s="170"/>
      <c r="CW165" s="170"/>
      <c r="CX165" s="170"/>
      <c r="CY165" s="170"/>
      <c r="CZ165" s="170"/>
      <c r="DI165" s="186">
        <v>161</v>
      </c>
      <c r="DJ165" s="14">
        <f t="shared" si="265"/>
        <v>33</v>
      </c>
      <c r="DK165" s="14">
        <f t="shared" si="247"/>
        <v>4</v>
      </c>
      <c r="DL165" s="14">
        <f t="shared" si="248"/>
        <v>1102006</v>
      </c>
      <c r="DM165" s="136" t="s">
        <v>1097</v>
      </c>
      <c r="DN165" s="14">
        <f t="shared" si="249"/>
        <v>1</v>
      </c>
      <c r="DO165" s="14" t="str">
        <f t="shared" si="250"/>
        <v>项羽-1星</v>
      </c>
      <c r="DP165" s="136" t="s">
        <v>1103</v>
      </c>
      <c r="DQ165" s="14">
        <f t="shared" si="266"/>
        <v>6000</v>
      </c>
      <c r="DR165" s="14" t="str">
        <f t="shared" si="251"/>
        <v>项羽碎片</v>
      </c>
      <c r="DS165" s="14">
        <f t="shared" si="267"/>
        <v>80</v>
      </c>
    </row>
    <row r="166" spans="8:123" ht="16.5" x14ac:dyDescent="0.2">
      <c r="H166" s="15"/>
      <c r="I166" s="15"/>
      <c r="J166" s="15"/>
      <c r="K166" s="15"/>
      <c r="L166" s="15"/>
      <c r="M166" s="15"/>
      <c r="N166" s="15"/>
      <c r="O166" s="137"/>
      <c r="P166" s="141"/>
      <c r="Q166" s="141"/>
      <c r="R166" s="141"/>
      <c r="S166" s="141"/>
      <c r="T166" s="141"/>
      <c r="U166" s="141"/>
      <c r="V166" s="141"/>
      <c r="W166" s="141"/>
      <c r="X166" s="141"/>
      <c r="Y166" s="141"/>
      <c r="Z166" s="196">
        <v>5</v>
      </c>
      <c r="AA166" s="196">
        <v>6</v>
      </c>
      <c r="AB166" s="14">
        <f>ROUND(INDEX(挂机升级突破!DT$6:DT$57,卡牌消耗!$AA166)*INDEX(卡牌消耗!$B$5:$F$5,卡牌消耗!$Z166)/卡牌消耗!$Q$4/AB$2,0)*AB$2</f>
        <v>0</v>
      </c>
      <c r="AC166" s="14">
        <f>ROUND(INDEX(挂机升级突破!DU$6:DU$57,卡牌消耗!$AA166)*INDEX(卡牌消耗!$B$5:$F$5,卡牌消耗!$Z166)/卡牌消耗!$Q$4/AC$2,0)*AC$2</f>
        <v>45</v>
      </c>
      <c r="AD166" s="14">
        <f>ROUND(INDEX(挂机升级突破!DV$6:DV$57,卡牌消耗!$AA166)*INDEX(卡牌消耗!$B$5:$F$5,卡牌消耗!$Z166)/卡牌消耗!$Q$4/AD$2,0)*AD$2</f>
        <v>0</v>
      </c>
      <c r="AE166" s="14">
        <f>ROUND(INDEX(挂机升级突破!DW$6:DW$57,卡牌消耗!$AA166)*INDEX(卡牌消耗!$B$5:$F$5,卡牌消耗!$Z166)/卡牌消耗!$Q$4/AE$2,0)*AE$2</f>
        <v>0</v>
      </c>
      <c r="AF166" s="14">
        <f>ROUND(INDEX(挂机升级突破!DX$6:DX$57,卡牌消耗!$AA166)*INDEX(卡牌消耗!$B$5:$F$5,卡牌消耗!$Z166)/卡牌消耗!$Q$4/AF$2,0)*AF$2</f>
        <v>0</v>
      </c>
      <c r="AG166" s="14">
        <f>ROUND(INDEX(挂机升级突破!EC$6:EC$57,卡牌消耗!$AA166)*INDEX(卡牌消耗!$B$7:$F$7,卡牌消耗!$Z166)/卡牌消耗!$Q$4/AG$2,0)*AG$2</f>
        <v>0</v>
      </c>
      <c r="AH166" s="14">
        <f>ROUND(INDEX(挂机升级突破!ED$6:ED$57,卡牌消耗!$AA166)*INDEX(卡牌消耗!$B$8:$F$8,卡牌消耗!$Z166)/卡牌消耗!$Q$4/AH$2,0)*AH$2</f>
        <v>2550</v>
      </c>
      <c r="AI166" s="194"/>
      <c r="AJ166" s="194"/>
      <c r="AK166" s="104">
        <v>162</v>
      </c>
      <c r="AL166" s="14">
        <f t="shared" si="252"/>
        <v>4</v>
      </c>
      <c r="AM166" s="14">
        <f>INDEX(挂机升级突破!DQ$6:DQ$57,卡牌消耗!$AT166)</f>
        <v>11</v>
      </c>
      <c r="AN166" s="14">
        <f>INDEX(挂机升级突破!DR$6:DR$57,卡牌消耗!$AT166)</f>
        <v>2</v>
      </c>
      <c r="AO166" s="14">
        <f>INDEX(挂机升级突破!DS$6:DS$57,卡牌消耗!$AT166)</f>
        <v>0</v>
      </c>
      <c r="AP166" s="14">
        <f>INDEX(挂机升级突破!$DP$6:$DP$57,卡牌消耗!AT166)</f>
        <v>28</v>
      </c>
      <c r="AQ166" s="14" t="str">
        <f t="shared" si="253"/>
        <v>唐流雨</v>
      </c>
      <c r="AR166" s="14">
        <f t="shared" si="254"/>
        <v>2</v>
      </c>
      <c r="AS166" s="14" t="str">
        <f t="shared" si="255"/>
        <v>唐流雨魂火-6</v>
      </c>
      <c r="AT166" s="14">
        <f t="shared" si="256"/>
        <v>6</v>
      </c>
      <c r="AU166" s="14" t="str">
        <f>IF(AM166&gt;0,INDEX(挂机升级突破!$DT$4:$ED$4,AM166),"")</f>
        <v>金币</v>
      </c>
      <c r="AV166" s="14">
        <f>ROUND(INDEX(挂机升级突破!$DJ$6:$DJ$57,卡牌消耗!AT166)*INDEX(卡牌消耗!$B$8:$F$8,AR166)/$Q$4/50,0)*50</f>
        <v>900</v>
      </c>
      <c r="AW166" s="14" t="str">
        <f>IF(AN166&gt;0,INDEX(挂机升级突破!$DT$4:$ED$4,AN166),"")</f>
        <v>蓝色基础材料</v>
      </c>
      <c r="AX166" s="14">
        <f>ROUND(INDEX(挂机升级突破!$DT$6:$ED$57,卡牌消耗!AT166,AN166)*INDEX(卡牌消耗!$B$5:$F$5,AR166)/$Q$4/5,0)*5</f>
        <v>25</v>
      </c>
      <c r="AY166" s="14" t="str">
        <f>IF(AO166&gt;0,INDEX(挂机升级突破!$DT$4:$ED$4,AO166),"")</f>
        <v/>
      </c>
      <c r="AZ166" s="14" t="str">
        <f>IF(AO166&gt;0,ROUND(INDEX(挂机升级突破!$DT$6:$ED$57,卡牌消耗!AT166,AO166)*INDEX(卡牌消耗!$B$7:$F$7,AR166)/$Q$4,0),"")</f>
        <v/>
      </c>
      <c r="BA166" s="106"/>
      <c r="BB166" s="197"/>
      <c r="BC166" s="197"/>
      <c r="BD166" s="197"/>
      <c r="BE166" s="197"/>
      <c r="BF166" s="197"/>
      <c r="BG166" s="197"/>
      <c r="BH166" s="197"/>
      <c r="BI166" s="197"/>
      <c r="BJ166" s="197"/>
      <c r="BK166" s="197"/>
      <c r="BL166" s="104">
        <v>162</v>
      </c>
      <c r="BM166" s="14">
        <f t="shared" si="257"/>
        <v>9</v>
      </c>
      <c r="BN166" s="14">
        <f>INDEX(挂机升级突破!$EI$7:$EI$26,BS166)</f>
        <v>5</v>
      </c>
      <c r="BO166" s="14">
        <f>INDEX(挂机升级突破!$EJ$7:$EJ$26,BS166)</f>
        <v>1</v>
      </c>
      <c r="BP166" s="14">
        <f t="shared" si="258"/>
        <v>3</v>
      </c>
      <c r="BQ166" s="14">
        <f>INDEX(挂机升级突破!$EH$7:$EH$26,卡牌消耗!BS166)</f>
        <v>5</v>
      </c>
      <c r="BR166" s="14" t="str">
        <f t="shared" si="259"/>
        <v>徐晃</v>
      </c>
      <c r="BS166" s="14">
        <f t="shared" si="260"/>
        <v>2</v>
      </c>
      <c r="BT166" s="14" t="str">
        <f t="shared" si="261"/>
        <v>徐晃2突</v>
      </c>
      <c r="BU166" s="14" t="str">
        <f>IF(BN166&gt;0,INDEX(挂机升级突破!$ER$5:$EV$5,卡牌消耗!BN166),"")</f>
        <v>金币</v>
      </c>
      <c r="BV166" s="14">
        <f>IF(BN166&gt;0,ROUND(INDEX(挂机升级突破!$EV$7:$EV$26,卡牌消耗!BS166)*INDEX(卡牌消耗!$B$8:$F$8,BP166)/$Q$4/500,0)*500,"")</f>
        <v>3000</v>
      </c>
      <c r="BW166" s="14" t="str">
        <f>IF(BO166&gt;0,INDEX(挂机升级突破!$ER$5:$EV$5,卡牌消耗!BO166),"")</f>
        <v>玄铁</v>
      </c>
      <c r="BX166" s="14">
        <f>IF(BO166&gt;0,ROUND(INDEX(挂机升级突破!$ER$7:$EU$26,卡牌消耗!BS166,卡牌消耗!BO166)*INDEX($B$6:$F$6,BP166)/$Q$4,0),"")</f>
        <v>2</v>
      </c>
      <c r="BY166" s="193"/>
      <c r="BZ166" s="193"/>
      <c r="CA166" s="106"/>
      <c r="CS166" s="171"/>
      <c r="CT166" s="171"/>
      <c r="CU166" s="171"/>
      <c r="CV166" s="170"/>
      <c r="CW166" s="170"/>
      <c r="CX166" s="170"/>
      <c r="CY166" s="170"/>
      <c r="CZ166" s="170"/>
      <c r="DI166" s="186">
        <v>162</v>
      </c>
      <c r="DJ166" s="14">
        <f t="shared" si="265"/>
        <v>33</v>
      </c>
      <c r="DK166" s="14">
        <f t="shared" si="247"/>
        <v>4</v>
      </c>
      <c r="DL166" s="14">
        <f t="shared" si="248"/>
        <v>1102006</v>
      </c>
      <c r="DM166" s="136" t="s">
        <v>1097</v>
      </c>
      <c r="DN166" s="14">
        <f t="shared" si="249"/>
        <v>2</v>
      </c>
      <c r="DO166" s="14" t="str">
        <f t="shared" si="250"/>
        <v>项羽-2星</v>
      </c>
      <c r="DP166" s="136" t="s">
        <v>1103</v>
      </c>
      <c r="DQ166" s="14">
        <f t="shared" si="266"/>
        <v>8000</v>
      </c>
      <c r="DR166" s="14" t="str">
        <f t="shared" si="251"/>
        <v>项羽碎片</v>
      </c>
      <c r="DS166" s="14">
        <f t="shared" si="267"/>
        <v>80</v>
      </c>
    </row>
    <row r="167" spans="8:123" ht="16.5" x14ac:dyDescent="0.2">
      <c r="H167" s="15"/>
      <c r="I167" s="15"/>
      <c r="J167" s="15"/>
      <c r="K167" s="15"/>
      <c r="L167" s="15"/>
      <c r="M167" s="15"/>
      <c r="N167" s="15"/>
      <c r="O167" s="137"/>
      <c r="P167" s="141"/>
      <c r="Q167" s="141"/>
      <c r="R167" s="141"/>
      <c r="S167" s="141"/>
      <c r="T167" s="141"/>
      <c r="U167" s="141"/>
      <c r="V167" s="141"/>
      <c r="W167" s="141"/>
      <c r="X167" s="141"/>
      <c r="Y167" s="141"/>
      <c r="Z167" s="196">
        <v>5</v>
      </c>
      <c r="AA167" s="196">
        <v>7</v>
      </c>
      <c r="AB167" s="14">
        <f>ROUND(INDEX(挂机升级突破!DT$6:DT$57,卡牌消耗!$AA167)*INDEX(卡牌消耗!$B$5:$F$5,卡牌消耗!$Z167)/卡牌消耗!$Q$4/AB$2,0)*AB$2</f>
        <v>0</v>
      </c>
      <c r="AC167" s="14">
        <f>ROUND(INDEX(挂机升级突破!DU$6:DU$57,卡牌消耗!$AA167)*INDEX(卡牌消耗!$B$5:$F$5,卡牌消耗!$Z167)/卡牌消耗!$Q$4/AC$2,0)*AC$2</f>
        <v>45</v>
      </c>
      <c r="AD167" s="14">
        <f>ROUND(INDEX(挂机升级突破!DV$6:DV$57,卡牌消耗!$AA167)*INDEX(卡牌消耗!$B$5:$F$5,卡牌消耗!$Z167)/卡牌消耗!$Q$4/AD$2,0)*AD$2</f>
        <v>0</v>
      </c>
      <c r="AE167" s="14">
        <f>ROUND(INDEX(挂机升级突破!DW$6:DW$57,卡牌消耗!$AA167)*INDEX(卡牌消耗!$B$5:$F$5,卡牌消耗!$Z167)/卡牌消耗!$Q$4/AE$2,0)*AE$2</f>
        <v>0</v>
      </c>
      <c r="AF167" s="14">
        <f>ROUND(INDEX(挂机升级突破!DX$6:DX$57,卡牌消耗!$AA167)*INDEX(卡牌消耗!$B$5:$F$5,卡牌消耗!$Z167)/卡牌消耗!$Q$4/AF$2,0)*AF$2</f>
        <v>0</v>
      </c>
      <c r="AG167" s="14">
        <f>ROUND(INDEX(挂机升级突破!EC$6:EC$57,卡牌消耗!$AA167)*INDEX(卡牌消耗!$B$7:$F$7,卡牌消耗!$Z167)/卡牌消耗!$Q$4/AG$2,0)*AG$2</f>
        <v>0</v>
      </c>
      <c r="AH167" s="14">
        <f>ROUND(INDEX(挂机升级突破!ED$6:ED$57,卡牌消耗!$AA167)*INDEX(卡牌消耗!$B$8:$F$8,卡牌消耗!$Z167)/卡牌消耗!$Q$4/AH$2,0)*AH$2</f>
        <v>2550</v>
      </c>
      <c r="AI167" s="194"/>
      <c r="AJ167" s="194"/>
      <c r="AK167" s="104">
        <v>163</v>
      </c>
      <c r="AL167" s="14">
        <f t="shared" si="252"/>
        <v>4</v>
      </c>
      <c r="AM167" s="14">
        <f>INDEX(挂机升级突破!DQ$6:DQ$57,卡牌消耗!$AT167)</f>
        <v>11</v>
      </c>
      <c r="AN167" s="14">
        <f>INDEX(挂机升级突破!DR$6:DR$57,卡牌消耗!$AT167)</f>
        <v>2</v>
      </c>
      <c r="AO167" s="14">
        <f>INDEX(挂机升级突破!DS$6:DS$57,卡牌消耗!$AT167)</f>
        <v>0</v>
      </c>
      <c r="AP167" s="14">
        <f>INDEX(挂机升级突破!$DP$6:$DP$57,卡牌消耗!AT167)</f>
        <v>33</v>
      </c>
      <c r="AQ167" s="14" t="str">
        <f t="shared" si="253"/>
        <v>唐流雨</v>
      </c>
      <c r="AR167" s="14">
        <f t="shared" si="254"/>
        <v>2</v>
      </c>
      <c r="AS167" s="14" t="str">
        <f t="shared" si="255"/>
        <v>唐流雨魂火-7</v>
      </c>
      <c r="AT167" s="14">
        <f t="shared" si="256"/>
        <v>7</v>
      </c>
      <c r="AU167" s="14" t="str">
        <f>IF(AM167&gt;0,INDEX(挂机升级突破!$DT$4:$ED$4,AM167),"")</f>
        <v>金币</v>
      </c>
      <c r="AV167" s="14">
        <f>ROUND(INDEX(挂机升级突破!$DJ$6:$DJ$57,卡牌消耗!AT167)*INDEX(卡牌消耗!$B$8:$F$8,AR167)/$Q$4/50,0)*50</f>
        <v>900</v>
      </c>
      <c r="AW167" s="14" t="str">
        <f>IF(AN167&gt;0,INDEX(挂机升级突破!$DT$4:$ED$4,AN167),"")</f>
        <v>蓝色基础材料</v>
      </c>
      <c r="AX167" s="14">
        <f>ROUND(INDEX(挂机升级突破!$DT$6:$ED$57,卡牌消耗!AT167,AN167)*INDEX(卡牌消耗!$B$5:$F$5,AR167)/$Q$4/5,0)*5</f>
        <v>25</v>
      </c>
      <c r="AY167" s="14" t="str">
        <f>IF(AO167&gt;0,INDEX(挂机升级突破!$DT$4:$ED$4,AO167),"")</f>
        <v/>
      </c>
      <c r="AZ167" s="14" t="str">
        <f>IF(AO167&gt;0,ROUND(INDEX(挂机升级突破!$DT$6:$ED$57,卡牌消耗!AT167,AO167)*INDEX(卡牌消耗!$B$7:$F$7,AR167)/$Q$4,0),"")</f>
        <v/>
      </c>
      <c r="BA167" s="106"/>
      <c r="BB167" s="197"/>
      <c r="BC167" s="197"/>
      <c r="BD167" s="197"/>
      <c r="BE167" s="197"/>
      <c r="BF167" s="197"/>
      <c r="BG167" s="197"/>
      <c r="BH167" s="197"/>
      <c r="BI167" s="197"/>
      <c r="BJ167" s="197"/>
      <c r="BK167" s="197"/>
      <c r="BL167" s="104">
        <v>163</v>
      </c>
      <c r="BM167" s="14">
        <f t="shared" si="257"/>
        <v>9</v>
      </c>
      <c r="BN167" s="14">
        <f>INDEX(挂机升级突破!$EI$7:$EI$26,BS167)</f>
        <v>5</v>
      </c>
      <c r="BO167" s="14">
        <f>INDEX(挂机升级突破!$EJ$7:$EJ$26,BS167)</f>
        <v>1</v>
      </c>
      <c r="BP167" s="14">
        <f t="shared" si="258"/>
        <v>3</v>
      </c>
      <c r="BQ167" s="14">
        <f>INDEX(挂机升级突破!$EH$7:$EH$26,卡牌消耗!BS167)</f>
        <v>15</v>
      </c>
      <c r="BR167" s="14" t="str">
        <f t="shared" si="259"/>
        <v>徐晃</v>
      </c>
      <c r="BS167" s="14">
        <f t="shared" si="260"/>
        <v>3</v>
      </c>
      <c r="BT167" s="14" t="str">
        <f t="shared" si="261"/>
        <v>徐晃3突</v>
      </c>
      <c r="BU167" s="14" t="str">
        <f>IF(BN167&gt;0,INDEX(挂机升级突破!$ER$5:$EV$5,卡牌消耗!BN167),"")</f>
        <v>金币</v>
      </c>
      <c r="BV167" s="14">
        <f>IF(BN167&gt;0,ROUND(INDEX(挂机升级突破!$EV$7:$EV$26,卡牌消耗!BS167)*INDEX(卡牌消耗!$B$8:$F$8,BP167)/$Q$4/500,0)*500,"")</f>
        <v>3000</v>
      </c>
      <c r="BW167" s="14" t="str">
        <f>IF(BO167&gt;0,INDEX(挂机升级突破!$ER$5:$EV$5,卡牌消耗!BO167),"")</f>
        <v>玄铁</v>
      </c>
      <c r="BX167" s="14">
        <f>IF(BO167&gt;0,ROUND(INDEX(挂机升级突破!$ER$7:$EU$26,卡牌消耗!BS167,卡牌消耗!BO167)*INDEX($B$6:$F$6,BP167)/$Q$4,0),"")</f>
        <v>5</v>
      </c>
      <c r="BY167" s="193"/>
      <c r="BZ167" s="193"/>
      <c r="CA167" s="106"/>
      <c r="CS167" s="171"/>
      <c r="CT167" s="171"/>
      <c r="CU167" s="171"/>
      <c r="CV167" s="170"/>
      <c r="CW167" s="170"/>
      <c r="CX167" s="170"/>
      <c r="CY167" s="170"/>
      <c r="CZ167" s="170"/>
      <c r="DI167" s="186">
        <v>163</v>
      </c>
      <c r="DJ167" s="14">
        <f t="shared" si="265"/>
        <v>33</v>
      </c>
      <c r="DK167" s="14">
        <f t="shared" si="247"/>
        <v>4</v>
      </c>
      <c r="DL167" s="14">
        <f t="shared" si="248"/>
        <v>1102006</v>
      </c>
      <c r="DM167" s="136" t="s">
        <v>1097</v>
      </c>
      <c r="DN167" s="14">
        <f t="shared" si="249"/>
        <v>3</v>
      </c>
      <c r="DO167" s="14" t="str">
        <f t="shared" si="250"/>
        <v>项羽-3星</v>
      </c>
      <c r="DP167" s="136" t="s">
        <v>1103</v>
      </c>
      <c r="DQ167" s="14">
        <f t="shared" si="266"/>
        <v>14000</v>
      </c>
      <c r="DR167" s="14" t="str">
        <f t="shared" si="251"/>
        <v>项羽碎片</v>
      </c>
      <c r="DS167" s="14">
        <f t="shared" si="267"/>
        <v>80</v>
      </c>
    </row>
    <row r="168" spans="8:123" ht="16.5" x14ac:dyDescent="0.2">
      <c r="H168" s="15"/>
      <c r="I168" s="15"/>
      <c r="J168" s="15"/>
      <c r="K168" s="15"/>
      <c r="L168" s="15"/>
      <c r="M168" s="15"/>
      <c r="N168" s="15"/>
      <c r="O168" s="137"/>
      <c r="P168" s="141"/>
      <c r="Q168" s="141"/>
      <c r="R168" s="141"/>
      <c r="S168" s="141"/>
      <c r="T168" s="141"/>
      <c r="U168" s="141"/>
      <c r="V168" s="141"/>
      <c r="W168" s="141"/>
      <c r="X168" s="141"/>
      <c r="Y168" s="141"/>
      <c r="Z168" s="196">
        <v>5</v>
      </c>
      <c r="AA168" s="196">
        <v>8</v>
      </c>
      <c r="AB168" s="14">
        <f>ROUND(INDEX(挂机升级突破!DT$6:DT$57,卡牌消耗!$AA168)*INDEX(卡牌消耗!$B$5:$F$5,卡牌消耗!$Z168)/卡牌消耗!$Q$4/AB$2,0)*AB$2</f>
        <v>0</v>
      </c>
      <c r="AC168" s="14">
        <f>ROUND(INDEX(挂机升级突破!DU$6:DU$57,卡牌消耗!$AA168)*INDEX(卡牌消耗!$B$5:$F$5,卡牌消耗!$Z168)/卡牌消耗!$Q$4/AC$2,0)*AC$2</f>
        <v>85</v>
      </c>
      <c r="AD168" s="14">
        <f>ROUND(INDEX(挂机升级突破!DV$6:DV$57,卡牌消耗!$AA168)*INDEX(卡牌消耗!$B$5:$F$5,卡牌消耗!$Z168)/卡牌消耗!$Q$4/AD$2,0)*AD$2</f>
        <v>0</v>
      </c>
      <c r="AE168" s="14">
        <f>ROUND(INDEX(挂机升级突破!DW$6:DW$57,卡牌消耗!$AA168)*INDEX(卡牌消耗!$B$5:$F$5,卡牌消耗!$Z168)/卡牌消耗!$Q$4/AE$2,0)*AE$2</f>
        <v>0</v>
      </c>
      <c r="AF168" s="14">
        <f>ROUND(INDEX(挂机升级突破!DX$6:DX$57,卡牌消耗!$AA168)*INDEX(卡牌消耗!$B$5:$F$5,卡牌消耗!$Z168)/卡牌消耗!$Q$4/AF$2,0)*AF$2</f>
        <v>0</v>
      </c>
      <c r="AG168" s="14">
        <f>ROUND(INDEX(挂机升级突破!EC$6:EC$57,卡牌消耗!$AA168)*INDEX(卡牌消耗!$B$7:$F$7,卡牌消耗!$Z168)/卡牌消耗!$Q$4/AG$2,0)*AG$2</f>
        <v>0</v>
      </c>
      <c r="AH168" s="14">
        <f>ROUND(INDEX(挂机升级突破!ED$6:ED$57,卡牌消耗!$AA168)*INDEX(卡牌消耗!$B$8:$F$8,卡牌消耗!$Z168)/卡牌消耗!$Q$4/AH$2,0)*AH$2</f>
        <v>3800</v>
      </c>
      <c r="AI168" s="194"/>
      <c r="AJ168" s="194"/>
      <c r="AK168" s="104">
        <v>164</v>
      </c>
      <c r="AL168" s="14">
        <f t="shared" si="252"/>
        <v>4</v>
      </c>
      <c r="AM168" s="14">
        <f>INDEX(挂机升级突破!DQ$6:DQ$57,卡牌消耗!$AT168)</f>
        <v>11</v>
      </c>
      <c r="AN168" s="14">
        <f>INDEX(挂机升级突破!DR$6:DR$57,卡牌消耗!$AT168)</f>
        <v>2</v>
      </c>
      <c r="AO168" s="14">
        <f>INDEX(挂机升级突破!DS$6:DS$57,卡牌消耗!$AT168)</f>
        <v>0</v>
      </c>
      <c r="AP168" s="14">
        <f>INDEX(挂机升级突破!$DP$6:$DP$57,卡牌消耗!AT168)</f>
        <v>38</v>
      </c>
      <c r="AQ168" s="14" t="str">
        <f t="shared" si="253"/>
        <v>唐流雨</v>
      </c>
      <c r="AR168" s="14">
        <f t="shared" si="254"/>
        <v>2</v>
      </c>
      <c r="AS168" s="14" t="str">
        <f t="shared" si="255"/>
        <v>唐流雨魂火-8</v>
      </c>
      <c r="AT168" s="14">
        <f t="shared" si="256"/>
        <v>8</v>
      </c>
      <c r="AU168" s="14" t="str">
        <f>IF(AM168&gt;0,INDEX(挂机升级突破!$DT$4:$ED$4,AM168),"")</f>
        <v>金币</v>
      </c>
      <c r="AV168" s="14">
        <f>ROUND(INDEX(挂机升级突破!$DJ$6:$DJ$57,卡牌消耗!AT168)*INDEX(卡牌消耗!$B$8:$F$8,AR168)/$Q$4/50,0)*50</f>
        <v>1350</v>
      </c>
      <c r="AW168" s="14" t="str">
        <f>IF(AN168&gt;0,INDEX(挂机升级突破!$DT$4:$ED$4,AN168),"")</f>
        <v>蓝色基础材料</v>
      </c>
      <c r="AX168" s="14">
        <f>ROUND(INDEX(挂机升级突破!$DT$6:$ED$57,卡牌消耗!AT168,AN168)*INDEX(卡牌消耗!$B$5:$F$5,AR168)/$Q$4/5,0)*5</f>
        <v>45</v>
      </c>
      <c r="AY168" s="14" t="str">
        <f>IF(AO168&gt;0,INDEX(挂机升级突破!$DT$4:$ED$4,AO168),"")</f>
        <v/>
      </c>
      <c r="AZ168" s="14" t="str">
        <f>IF(AO168&gt;0,ROUND(INDEX(挂机升级突破!$DT$6:$ED$57,卡牌消耗!AT168,AO168)*INDEX(卡牌消耗!$B$7:$F$7,AR168)/$Q$4,0),"")</f>
        <v/>
      </c>
      <c r="BA168" s="106"/>
      <c r="BB168" s="197"/>
      <c r="BC168" s="197"/>
      <c r="BD168" s="197"/>
      <c r="BE168" s="197"/>
      <c r="BF168" s="197"/>
      <c r="BG168" s="197"/>
      <c r="BH168" s="197"/>
      <c r="BI168" s="197"/>
      <c r="BJ168" s="197"/>
      <c r="BK168" s="197"/>
      <c r="BL168" s="104">
        <v>164</v>
      </c>
      <c r="BM168" s="14">
        <f t="shared" si="257"/>
        <v>9</v>
      </c>
      <c r="BN168" s="14">
        <f>INDEX(挂机升级突破!$EI$7:$EI$26,BS168)</f>
        <v>5</v>
      </c>
      <c r="BO168" s="14">
        <f>INDEX(挂机升级突破!$EJ$7:$EJ$26,BS168)</f>
        <v>1</v>
      </c>
      <c r="BP168" s="14">
        <f t="shared" si="258"/>
        <v>3</v>
      </c>
      <c r="BQ168" s="14">
        <f>INDEX(挂机升级突破!$EH$7:$EH$26,卡牌消耗!BS168)</f>
        <v>25</v>
      </c>
      <c r="BR168" s="14" t="str">
        <f t="shared" si="259"/>
        <v>徐晃</v>
      </c>
      <c r="BS168" s="14">
        <f t="shared" si="260"/>
        <v>4</v>
      </c>
      <c r="BT168" s="14" t="str">
        <f t="shared" si="261"/>
        <v>徐晃4突</v>
      </c>
      <c r="BU168" s="14" t="str">
        <f>IF(BN168&gt;0,INDEX(挂机升级突破!$ER$5:$EV$5,卡牌消耗!BN168),"")</f>
        <v>金币</v>
      </c>
      <c r="BV168" s="14">
        <f>IF(BN168&gt;0,ROUND(INDEX(挂机升级突破!$EV$7:$EV$26,卡牌消耗!BS168)*INDEX(卡牌消耗!$B$8:$F$8,BP168)/$Q$4/500,0)*500,"")</f>
        <v>4000</v>
      </c>
      <c r="BW168" s="14" t="str">
        <f>IF(BO168&gt;0,INDEX(挂机升级突破!$ER$5:$EV$5,卡牌消耗!BO168),"")</f>
        <v>玄铁</v>
      </c>
      <c r="BX168" s="14">
        <f>IF(BO168&gt;0,ROUND(INDEX(挂机升级突破!$ER$7:$EU$26,卡牌消耗!BS168,卡牌消耗!BO168)*INDEX($B$6:$F$6,BP168)/$Q$4,0),"")</f>
        <v>17</v>
      </c>
      <c r="BY168" s="193"/>
      <c r="BZ168" s="193"/>
      <c r="CA168" s="106"/>
      <c r="CS168" s="171"/>
      <c r="CT168" s="171"/>
      <c r="CU168" s="171"/>
      <c r="CV168" s="170"/>
      <c r="CW168" s="170"/>
      <c r="CX168" s="170"/>
      <c r="CY168" s="170"/>
      <c r="CZ168" s="170"/>
      <c r="DI168" s="186">
        <v>164</v>
      </c>
      <c r="DJ168" s="14">
        <f t="shared" si="265"/>
        <v>33</v>
      </c>
      <c r="DK168" s="14">
        <f t="shared" si="247"/>
        <v>4</v>
      </c>
      <c r="DL168" s="14">
        <f t="shared" si="248"/>
        <v>1102006</v>
      </c>
      <c r="DM168" s="136" t="s">
        <v>1097</v>
      </c>
      <c r="DN168" s="14">
        <f t="shared" si="249"/>
        <v>4</v>
      </c>
      <c r="DO168" s="14" t="str">
        <f t="shared" si="250"/>
        <v>项羽-4星</v>
      </c>
      <c r="DP168" s="136" t="s">
        <v>1103</v>
      </c>
      <c r="DQ168" s="14">
        <f t="shared" si="266"/>
        <v>32000</v>
      </c>
      <c r="DR168" s="14" t="str">
        <f t="shared" si="251"/>
        <v>项羽碎片</v>
      </c>
      <c r="DS168" s="14">
        <f t="shared" si="267"/>
        <v>80</v>
      </c>
    </row>
    <row r="169" spans="8:123" ht="16.5" x14ac:dyDescent="0.2">
      <c r="H169" s="15"/>
      <c r="I169" s="15"/>
      <c r="J169" s="15"/>
      <c r="K169" s="15"/>
      <c r="L169" s="15"/>
      <c r="M169" s="15"/>
      <c r="N169" s="15"/>
      <c r="O169" s="137"/>
      <c r="P169" s="141"/>
      <c r="Q169" s="141"/>
      <c r="R169" s="141"/>
      <c r="S169" s="141"/>
      <c r="T169" s="141"/>
      <c r="U169" s="141"/>
      <c r="V169" s="141"/>
      <c r="W169" s="141"/>
      <c r="X169" s="141"/>
      <c r="Y169" s="141"/>
      <c r="Z169" s="196">
        <v>5</v>
      </c>
      <c r="AA169" s="196">
        <v>9</v>
      </c>
      <c r="AB169" s="14">
        <f>ROUND(INDEX(挂机升级突破!DT$6:DT$57,卡牌消耗!$AA169)*INDEX(卡牌消耗!$B$5:$F$5,卡牌消耗!$Z169)/卡牌消耗!$Q$4/AB$2,0)*AB$2</f>
        <v>0</v>
      </c>
      <c r="AC169" s="14">
        <f>ROUND(INDEX(挂机升级突破!DU$6:DU$57,卡牌消耗!$AA169)*INDEX(卡牌消耗!$B$5:$F$5,卡牌消耗!$Z169)/卡牌消耗!$Q$4/AC$2,0)*AC$2</f>
        <v>85</v>
      </c>
      <c r="AD169" s="14">
        <f>ROUND(INDEX(挂机升级突破!DV$6:DV$57,卡牌消耗!$AA169)*INDEX(卡牌消耗!$B$5:$F$5,卡牌消耗!$Z169)/卡牌消耗!$Q$4/AD$2,0)*AD$2</f>
        <v>0</v>
      </c>
      <c r="AE169" s="14">
        <f>ROUND(INDEX(挂机升级突破!DW$6:DW$57,卡牌消耗!$AA169)*INDEX(卡牌消耗!$B$5:$F$5,卡牌消耗!$Z169)/卡牌消耗!$Q$4/AE$2,0)*AE$2</f>
        <v>0</v>
      </c>
      <c r="AF169" s="14">
        <f>ROUND(INDEX(挂机升级突破!DX$6:DX$57,卡牌消耗!$AA169)*INDEX(卡牌消耗!$B$5:$F$5,卡牌消耗!$Z169)/卡牌消耗!$Q$4/AF$2,0)*AF$2</f>
        <v>0</v>
      </c>
      <c r="AG169" s="14">
        <f>ROUND(INDEX(挂机升级突破!EC$6:EC$57,卡牌消耗!$AA169)*INDEX(卡牌消耗!$B$7:$F$7,卡牌消耗!$Z169)/卡牌消耗!$Q$4/AG$2,0)*AG$2</f>
        <v>0</v>
      </c>
      <c r="AH169" s="14">
        <f>ROUND(INDEX(挂机升级突破!ED$6:ED$57,卡牌消耗!$AA169)*INDEX(卡牌消耗!$B$8:$F$8,卡牌消耗!$Z169)/卡牌消耗!$Q$4/AH$2,0)*AH$2</f>
        <v>3800</v>
      </c>
      <c r="AI169" s="194"/>
      <c r="AJ169" s="194"/>
      <c r="AK169" s="104">
        <v>165</v>
      </c>
      <c r="AL169" s="14">
        <f t="shared" si="252"/>
        <v>4</v>
      </c>
      <c r="AM169" s="14">
        <f>INDEX(挂机升级突破!DQ$6:DQ$57,卡牌消耗!$AT169)</f>
        <v>11</v>
      </c>
      <c r="AN169" s="14">
        <f>INDEX(挂机升级突破!DR$6:DR$57,卡牌消耗!$AT169)</f>
        <v>2</v>
      </c>
      <c r="AO169" s="14">
        <f>INDEX(挂机升级突破!DS$6:DS$57,卡牌消耗!$AT169)</f>
        <v>0</v>
      </c>
      <c r="AP169" s="14">
        <f>INDEX(挂机升级突破!$DP$6:$DP$57,卡牌消耗!AT169)</f>
        <v>40</v>
      </c>
      <c r="AQ169" s="14" t="str">
        <f t="shared" si="253"/>
        <v>唐流雨</v>
      </c>
      <c r="AR169" s="14">
        <f t="shared" si="254"/>
        <v>2</v>
      </c>
      <c r="AS169" s="14" t="str">
        <f t="shared" si="255"/>
        <v>唐流雨魂火-9</v>
      </c>
      <c r="AT169" s="14">
        <f t="shared" si="256"/>
        <v>9</v>
      </c>
      <c r="AU169" s="14" t="str">
        <f>IF(AM169&gt;0,INDEX(挂机升级突破!$DT$4:$ED$4,AM169),"")</f>
        <v>金币</v>
      </c>
      <c r="AV169" s="14">
        <f>ROUND(INDEX(挂机升级突破!$DJ$6:$DJ$57,卡牌消耗!AT169)*INDEX(卡牌消耗!$B$8:$F$8,AR169)/$Q$4/50,0)*50</f>
        <v>1350</v>
      </c>
      <c r="AW169" s="14" t="str">
        <f>IF(AN169&gt;0,INDEX(挂机升级突破!$DT$4:$ED$4,AN169),"")</f>
        <v>蓝色基础材料</v>
      </c>
      <c r="AX169" s="14">
        <f>ROUND(INDEX(挂机升级突破!$DT$6:$ED$57,卡牌消耗!AT169,AN169)*INDEX(卡牌消耗!$B$5:$F$5,AR169)/$Q$4/5,0)*5</f>
        <v>45</v>
      </c>
      <c r="AY169" s="14" t="str">
        <f>IF(AO169&gt;0,INDEX(挂机升级突破!$DT$4:$ED$4,AO169),"")</f>
        <v/>
      </c>
      <c r="AZ169" s="14" t="str">
        <f>IF(AO169&gt;0,ROUND(INDEX(挂机升级突破!$DT$6:$ED$57,卡牌消耗!AT169,AO169)*INDEX(卡牌消耗!$B$7:$F$7,AR169)/$Q$4,0),"")</f>
        <v/>
      </c>
      <c r="BA169" s="106"/>
      <c r="BB169" s="197"/>
      <c r="BC169" s="197"/>
      <c r="BD169" s="197"/>
      <c r="BE169" s="197"/>
      <c r="BF169" s="197"/>
      <c r="BG169" s="197"/>
      <c r="BH169" s="197"/>
      <c r="BI169" s="197"/>
      <c r="BJ169" s="197"/>
      <c r="BK169" s="197"/>
      <c r="BL169" s="104">
        <v>165</v>
      </c>
      <c r="BM169" s="14">
        <f t="shared" si="257"/>
        <v>9</v>
      </c>
      <c r="BN169" s="14">
        <f>INDEX(挂机升级突破!$EI$7:$EI$26,BS169)</f>
        <v>5</v>
      </c>
      <c r="BO169" s="14">
        <f>INDEX(挂机升级突破!$EJ$7:$EJ$26,BS169)</f>
        <v>1</v>
      </c>
      <c r="BP169" s="14">
        <f t="shared" si="258"/>
        <v>3</v>
      </c>
      <c r="BQ169" s="14">
        <f>INDEX(挂机升级突破!$EH$7:$EH$26,卡牌消耗!BS169)</f>
        <v>35</v>
      </c>
      <c r="BR169" s="14" t="str">
        <f t="shared" si="259"/>
        <v>徐晃</v>
      </c>
      <c r="BS169" s="14">
        <f t="shared" si="260"/>
        <v>5</v>
      </c>
      <c r="BT169" s="14" t="str">
        <f t="shared" si="261"/>
        <v>徐晃5突</v>
      </c>
      <c r="BU169" s="14" t="str">
        <f>IF(BN169&gt;0,INDEX(挂机升级突破!$ER$5:$EV$5,卡牌消耗!BN169),"")</f>
        <v>金币</v>
      </c>
      <c r="BV169" s="14">
        <f>IF(BN169&gt;0,ROUND(INDEX(挂机升级突破!$EV$7:$EV$26,卡牌消耗!BS169)*INDEX(卡牌消耗!$B$8:$F$8,BP169)/$Q$4/500,0)*500,"")</f>
        <v>4000</v>
      </c>
      <c r="BW169" s="14" t="str">
        <f>IF(BO169&gt;0,INDEX(挂机升级突破!$ER$5:$EV$5,卡牌消耗!BO169),"")</f>
        <v>玄铁</v>
      </c>
      <c r="BX169" s="14">
        <f>IF(BO169&gt;0,ROUND(INDEX(挂机升级突破!$ER$7:$EU$26,卡牌消耗!BS169,卡牌消耗!BO169)*INDEX($B$6:$F$6,BP169)/$Q$4/5,0)*5,"")</f>
        <v>35</v>
      </c>
      <c r="BY169" s="193"/>
      <c r="BZ169" s="193"/>
      <c r="CA169" s="106"/>
      <c r="CS169" s="171"/>
      <c r="CT169" s="171"/>
      <c r="CU169" s="171"/>
      <c r="CV169" s="170"/>
      <c r="CW169" s="170"/>
      <c r="CX169" s="170"/>
      <c r="CY169" s="170"/>
      <c r="CZ169" s="170"/>
      <c r="DI169" s="186">
        <v>165</v>
      </c>
      <c r="DJ169" s="14">
        <f t="shared" si="265"/>
        <v>33</v>
      </c>
      <c r="DK169" s="14">
        <f t="shared" si="247"/>
        <v>4</v>
      </c>
      <c r="DL169" s="14">
        <f t="shared" si="248"/>
        <v>1102006</v>
      </c>
      <c r="DM169" s="136" t="s">
        <v>1097</v>
      </c>
      <c r="DN169" s="14">
        <f t="shared" si="249"/>
        <v>5</v>
      </c>
      <c r="DO169" s="14" t="str">
        <f t="shared" si="250"/>
        <v>项羽-5星</v>
      </c>
      <c r="DP169" s="136" t="s">
        <v>1103</v>
      </c>
      <c r="DQ169" s="14">
        <f t="shared" si="266"/>
        <v>60000</v>
      </c>
      <c r="DR169" s="14" t="str">
        <f t="shared" si="251"/>
        <v>项羽碎片</v>
      </c>
      <c r="DS169" s="14">
        <f t="shared" si="267"/>
        <v>80</v>
      </c>
    </row>
    <row r="170" spans="8:123" ht="16.5" x14ac:dyDescent="0.2">
      <c r="H170" s="15"/>
      <c r="I170" s="15"/>
      <c r="J170" s="15"/>
      <c r="K170" s="15"/>
      <c r="L170" s="15"/>
      <c r="M170" s="15"/>
      <c r="N170" s="15"/>
      <c r="O170" s="137"/>
      <c r="P170" s="141"/>
      <c r="Q170" s="141"/>
      <c r="R170" s="141"/>
      <c r="S170" s="141"/>
      <c r="T170" s="141"/>
      <c r="U170" s="141"/>
      <c r="V170" s="141"/>
      <c r="W170" s="141"/>
      <c r="X170" s="141"/>
      <c r="Y170" s="141"/>
      <c r="Z170" s="196">
        <v>5</v>
      </c>
      <c r="AA170" s="196">
        <v>10</v>
      </c>
      <c r="AB170" s="14">
        <f>ROUND(INDEX(挂机升级突破!DT$6:DT$57,卡牌消耗!$AA170)*INDEX(卡牌消耗!$B$5:$F$5,卡牌消耗!$Z170)/卡牌消耗!$Q$4/AB$2,0)*AB$2</f>
        <v>0</v>
      </c>
      <c r="AC170" s="14">
        <f>ROUND(INDEX(挂机升级突破!DU$6:DU$57,卡牌消耗!$AA170)*INDEX(卡牌消耗!$B$5:$F$5,卡牌消耗!$Z170)/卡牌消耗!$Q$4/AC$2,0)*AC$2</f>
        <v>130</v>
      </c>
      <c r="AD170" s="14">
        <f>ROUND(INDEX(挂机升级突破!DV$6:DV$57,卡牌消耗!$AA170)*INDEX(卡牌消耗!$B$5:$F$5,卡牌消耗!$Z170)/卡牌消耗!$Q$4/AD$2,0)*AD$2</f>
        <v>0</v>
      </c>
      <c r="AE170" s="14">
        <f>ROUND(INDEX(挂机升级突破!DW$6:DW$57,卡牌消耗!$AA170)*INDEX(卡牌消耗!$B$5:$F$5,卡牌消耗!$Z170)/卡牌消耗!$Q$4/AE$2,0)*AE$2</f>
        <v>0</v>
      </c>
      <c r="AF170" s="14">
        <f>ROUND(INDEX(挂机升级突破!DX$6:DX$57,卡牌消耗!$AA170)*INDEX(卡牌消耗!$B$5:$F$5,卡牌消耗!$Z170)/卡牌消耗!$Q$4/AF$2,0)*AF$2</f>
        <v>0</v>
      </c>
      <c r="AG170" s="14">
        <f>ROUND(INDEX(挂机升级突破!EC$6:EC$57,卡牌消耗!$AA170)*INDEX(卡牌消耗!$B$7:$F$7,卡牌消耗!$Z170)/卡牌消耗!$Q$4/AG$2,0)*AG$2</f>
        <v>0</v>
      </c>
      <c r="AH170" s="14">
        <f>ROUND(INDEX(挂机升级突破!ED$6:ED$57,卡牌消耗!$AA170)*INDEX(卡牌消耗!$B$8:$F$8,卡牌消耗!$Z170)/卡牌消耗!$Q$4/AH$2,0)*AH$2</f>
        <v>6350</v>
      </c>
      <c r="AI170" s="194"/>
      <c r="AJ170" s="194"/>
      <c r="AK170" s="104">
        <v>166</v>
      </c>
      <c r="AL170" s="14">
        <f t="shared" si="252"/>
        <v>4</v>
      </c>
      <c r="AM170" s="14">
        <f>INDEX(挂机升级突破!DQ$6:DQ$57,卡牌消耗!$AT170)</f>
        <v>11</v>
      </c>
      <c r="AN170" s="14">
        <f>INDEX(挂机升级突破!DR$6:DR$57,卡牌消耗!$AT170)</f>
        <v>2</v>
      </c>
      <c r="AO170" s="14">
        <f>INDEX(挂机升级突破!DS$6:DS$57,卡牌消耗!$AT170)</f>
        <v>0</v>
      </c>
      <c r="AP170" s="14">
        <f>INDEX(挂机升级突破!$DP$6:$DP$57,卡牌消耗!AT170)</f>
        <v>43</v>
      </c>
      <c r="AQ170" s="14" t="str">
        <f t="shared" si="253"/>
        <v>唐流雨</v>
      </c>
      <c r="AR170" s="14">
        <f t="shared" si="254"/>
        <v>2</v>
      </c>
      <c r="AS170" s="14" t="str">
        <f t="shared" si="255"/>
        <v>唐流雨魂火-10</v>
      </c>
      <c r="AT170" s="14">
        <f t="shared" si="256"/>
        <v>10</v>
      </c>
      <c r="AU170" s="14" t="str">
        <f>IF(AM170&gt;0,INDEX(挂机升级突破!$DT$4:$ED$4,AM170),"")</f>
        <v>金币</v>
      </c>
      <c r="AV170" s="14">
        <f>ROUND(INDEX(挂机升级突破!$DJ$6:$DJ$57,卡牌消耗!AT170)*INDEX(卡牌消耗!$B$8:$F$8,AR170)/$Q$4/50,0)*50</f>
        <v>2250</v>
      </c>
      <c r="AW170" s="14" t="str">
        <f>IF(AN170&gt;0,INDEX(挂机升级突破!$DT$4:$ED$4,AN170),"")</f>
        <v>蓝色基础材料</v>
      </c>
      <c r="AX170" s="14">
        <f>ROUND(INDEX(挂机升级突破!$DT$6:$ED$57,卡牌消耗!AT170,AN170)*INDEX(卡牌消耗!$B$5:$F$5,AR170)/$Q$4/5,0)*5</f>
        <v>70</v>
      </c>
      <c r="AY170" s="14" t="str">
        <f>IF(AO170&gt;0,INDEX(挂机升级突破!$DT$4:$ED$4,AO170),"")</f>
        <v/>
      </c>
      <c r="AZ170" s="14" t="str">
        <f>IF(AO170&gt;0,ROUND(INDEX(挂机升级突破!$DT$6:$ED$57,卡牌消耗!AT170,AO170)*INDEX(卡牌消耗!$B$7:$F$7,AR170)/$Q$4,0),"")</f>
        <v/>
      </c>
      <c r="BA170" s="106"/>
      <c r="BB170" s="197"/>
      <c r="BC170" s="197"/>
      <c r="BD170" s="197"/>
      <c r="BE170" s="197"/>
      <c r="BF170" s="197"/>
      <c r="BG170" s="197"/>
      <c r="BH170" s="197"/>
      <c r="BI170" s="197"/>
      <c r="BJ170" s="197"/>
      <c r="BK170" s="197"/>
      <c r="BL170" s="104">
        <v>166</v>
      </c>
      <c r="BM170" s="14">
        <f t="shared" si="257"/>
        <v>9</v>
      </c>
      <c r="BN170" s="14">
        <f>INDEX(挂机升级突破!$EI$7:$EI$26,BS170)</f>
        <v>5</v>
      </c>
      <c r="BO170" s="14">
        <f>INDEX(挂机升级突破!$EJ$7:$EJ$26,BS170)</f>
        <v>1</v>
      </c>
      <c r="BP170" s="14">
        <f t="shared" si="258"/>
        <v>3</v>
      </c>
      <c r="BQ170" s="14">
        <f>INDEX(挂机升级突破!$EH$7:$EH$26,卡牌消耗!BS170)</f>
        <v>42</v>
      </c>
      <c r="BR170" s="14" t="str">
        <f t="shared" si="259"/>
        <v>徐晃</v>
      </c>
      <c r="BS170" s="14">
        <f t="shared" si="260"/>
        <v>6</v>
      </c>
      <c r="BT170" s="14" t="str">
        <f t="shared" si="261"/>
        <v>徐晃6突</v>
      </c>
      <c r="BU170" s="14" t="str">
        <f>IF(BN170&gt;0,INDEX(挂机升级突破!$ER$5:$EV$5,卡牌消耗!BN170),"")</f>
        <v>金币</v>
      </c>
      <c r="BV170" s="14">
        <f>IF(BN170&gt;0,ROUND(INDEX(挂机升级突破!$EV$7:$EV$26,卡牌消耗!BS170)*INDEX(卡牌消耗!$B$8:$F$8,BP170)/$Q$4/500,0)*500,"")</f>
        <v>5000</v>
      </c>
      <c r="BW170" s="14" t="str">
        <f>IF(BO170&gt;0,INDEX(挂机升级突破!$ER$5:$EV$5,卡牌消耗!BO170),"")</f>
        <v>玄铁</v>
      </c>
      <c r="BX170" s="14">
        <f>IF(BO170&gt;0,ROUND(INDEX(挂机升级突破!$ER$7:$EU$26,卡牌消耗!BS170,卡牌消耗!BO170)*INDEX($B$6:$F$6,BP170)/$Q$4/5,0)*5,"")</f>
        <v>50</v>
      </c>
      <c r="BY170" s="193"/>
      <c r="BZ170" s="193"/>
      <c r="CA170" s="106"/>
      <c r="CS170" s="171"/>
      <c r="CT170" s="171"/>
      <c r="CU170" s="171"/>
      <c r="CV170" s="170"/>
      <c r="CW170" s="170"/>
      <c r="CX170" s="170"/>
      <c r="CY170" s="170"/>
      <c r="CZ170" s="170"/>
      <c r="DI170" s="186">
        <v>166</v>
      </c>
      <c r="DJ170" s="14">
        <f t="shared" si="265"/>
        <v>34</v>
      </c>
      <c r="DK170" s="14">
        <f t="shared" si="247"/>
        <v>4</v>
      </c>
      <c r="DL170" s="14">
        <f t="shared" si="248"/>
        <v>1102007</v>
      </c>
      <c r="DM170" s="136" t="s">
        <v>1097</v>
      </c>
      <c r="DN170" s="14">
        <f t="shared" si="249"/>
        <v>1</v>
      </c>
      <c r="DO170" s="14" t="str">
        <f t="shared" si="250"/>
        <v>天使缇娜-1星</v>
      </c>
      <c r="DP170" s="136" t="s">
        <v>1103</v>
      </c>
      <c r="DQ170" s="14">
        <f t="shared" si="266"/>
        <v>6000</v>
      </c>
      <c r="DR170" s="14" t="str">
        <f t="shared" si="251"/>
        <v>天使缇娜碎片</v>
      </c>
      <c r="DS170" s="14">
        <f t="shared" si="267"/>
        <v>80</v>
      </c>
    </row>
    <row r="171" spans="8:123" ht="16.5" x14ac:dyDescent="0.2">
      <c r="H171" s="15"/>
      <c r="I171" s="15"/>
      <c r="J171" s="15"/>
      <c r="K171" s="15"/>
      <c r="L171" s="15"/>
      <c r="M171" s="15"/>
      <c r="N171" s="15"/>
      <c r="O171" s="137"/>
      <c r="P171" s="141"/>
      <c r="Q171" s="141"/>
      <c r="R171" s="141"/>
      <c r="S171" s="141"/>
      <c r="T171" s="141"/>
      <c r="U171" s="141"/>
      <c r="V171" s="141"/>
      <c r="W171" s="141"/>
      <c r="X171" s="141"/>
      <c r="Y171" s="141"/>
      <c r="Z171" s="196">
        <v>5</v>
      </c>
      <c r="AA171" s="196">
        <v>11</v>
      </c>
      <c r="AB171" s="14">
        <f>ROUND(INDEX(挂机升级突破!DT$6:DT$57,卡牌消耗!$AA171)*INDEX(卡牌消耗!$B$5:$F$5,卡牌消耗!$Z171)/卡牌消耗!$Q$4/AB$2,0)*AB$2</f>
        <v>0</v>
      </c>
      <c r="AC171" s="14">
        <f>ROUND(INDEX(挂机升级突破!DU$6:DU$57,卡牌消耗!$AA171)*INDEX(卡牌消耗!$B$5:$F$5,卡牌消耗!$Z171)/卡牌消耗!$Q$4/AC$2,0)*AC$2</f>
        <v>130</v>
      </c>
      <c r="AD171" s="14">
        <f>ROUND(INDEX(挂机升级突破!DV$6:DV$57,卡牌消耗!$AA171)*INDEX(卡牌消耗!$B$5:$F$5,卡牌消耗!$Z171)/卡牌消耗!$Q$4/AD$2,0)*AD$2</f>
        <v>0</v>
      </c>
      <c r="AE171" s="14">
        <f>ROUND(INDEX(挂机升级突破!DW$6:DW$57,卡牌消耗!$AA171)*INDEX(卡牌消耗!$B$5:$F$5,卡牌消耗!$Z171)/卡牌消耗!$Q$4/AE$2,0)*AE$2</f>
        <v>0</v>
      </c>
      <c r="AF171" s="14">
        <f>ROUND(INDEX(挂机升级突破!DX$6:DX$57,卡牌消耗!$AA171)*INDEX(卡牌消耗!$B$5:$F$5,卡牌消耗!$Z171)/卡牌消耗!$Q$4/AF$2,0)*AF$2</f>
        <v>0</v>
      </c>
      <c r="AG171" s="14">
        <f>ROUND(INDEX(挂机升级突破!EC$6:EC$57,卡牌消耗!$AA171)*INDEX(卡牌消耗!$B$7:$F$7,卡牌消耗!$Z171)/卡牌消耗!$Q$4/AG$2,0)*AG$2</f>
        <v>0</v>
      </c>
      <c r="AH171" s="14">
        <f>ROUND(INDEX(挂机升级突破!ED$6:ED$57,卡牌消耗!$AA171)*INDEX(卡牌消耗!$B$8:$F$8,卡牌消耗!$Z171)/卡牌消耗!$Q$4/AH$2,0)*AH$2</f>
        <v>6350</v>
      </c>
      <c r="AI171" s="194"/>
      <c r="AJ171" s="194"/>
      <c r="AK171" s="104">
        <v>167</v>
      </c>
      <c r="AL171" s="14">
        <f t="shared" si="252"/>
        <v>4</v>
      </c>
      <c r="AM171" s="14">
        <f>INDEX(挂机升级突破!DQ$6:DQ$57,卡牌消耗!$AT171)</f>
        <v>11</v>
      </c>
      <c r="AN171" s="14">
        <f>INDEX(挂机升级突破!DR$6:DR$57,卡牌消耗!$AT171)</f>
        <v>2</v>
      </c>
      <c r="AO171" s="14">
        <f>INDEX(挂机升级突破!DS$6:DS$57,卡牌消耗!$AT171)</f>
        <v>0</v>
      </c>
      <c r="AP171" s="14">
        <f>INDEX(挂机升级突破!$DP$6:$DP$57,卡牌消耗!AT171)</f>
        <v>45</v>
      </c>
      <c r="AQ171" s="14" t="str">
        <f t="shared" si="253"/>
        <v>唐流雨</v>
      </c>
      <c r="AR171" s="14">
        <f t="shared" si="254"/>
        <v>2</v>
      </c>
      <c r="AS171" s="14" t="str">
        <f t="shared" si="255"/>
        <v>唐流雨魂火-11</v>
      </c>
      <c r="AT171" s="14">
        <f t="shared" si="256"/>
        <v>11</v>
      </c>
      <c r="AU171" s="14" t="str">
        <f>IF(AM171&gt;0,INDEX(挂机升级突破!$DT$4:$ED$4,AM171),"")</f>
        <v>金币</v>
      </c>
      <c r="AV171" s="14">
        <f>ROUND(INDEX(挂机升级突破!$DJ$6:$DJ$57,卡牌消耗!AT171)*INDEX(卡牌消耗!$B$8:$F$8,AR171)/$Q$4/50,0)*50</f>
        <v>2250</v>
      </c>
      <c r="AW171" s="14" t="str">
        <f>IF(AN171&gt;0,INDEX(挂机升级突破!$DT$4:$ED$4,AN171),"")</f>
        <v>蓝色基础材料</v>
      </c>
      <c r="AX171" s="14">
        <f>ROUND(INDEX(挂机升级突破!$DT$6:$ED$57,卡牌消耗!AT171,AN171)*INDEX(卡牌消耗!$B$5:$F$5,AR171)/$Q$4/5,0)*5</f>
        <v>70</v>
      </c>
      <c r="AY171" s="14" t="str">
        <f>IF(AO171&gt;0,INDEX(挂机升级突破!$DT$4:$ED$4,AO171),"")</f>
        <v/>
      </c>
      <c r="AZ171" s="14" t="str">
        <f>IF(AO171&gt;0,ROUND(INDEX(挂机升级突破!$DT$6:$ED$57,卡牌消耗!AT171,AO171)*INDEX(卡牌消耗!$B$7:$F$7,AR171)/$Q$4,0),"")</f>
        <v/>
      </c>
      <c r="BA171" s="106"/>
      <c r="BB171" s="197"/>
      <c r="BC171" s="197"/>
      <c r="BD171" s="197"/>
      <c r="BE171" s="197"/>
      <c r="BF171" s="197"/>
      <c r="BG171" s="197"/>
      <c r="BH171" s="197"/>
      <c r="BI171" s="197"/>
      <c r="BJ171" s="197"/>
      <c r="BK171" s="197"/>
      <c r="BL171" s="104">
        <v>167</v>
      </c>
      <c r="BM171" s="14">
        <f t="shared" si="257"/>
        <v>9</v>
      </c>
      <c r="BN171" s="14">
        <f>INDEX(挂机升级突破!$EI$7:$EI$26,BS171)</f>
        <v>5</v>
      </c>
      <c r="BO171" s="14">
        <f>INDEX(挂机升级突破!$EJ$7:$EJ$26,BS171)</f>
        <v>1</v>
      </c>
      <c r="BP171" s="14">
        <f t="shared" si="258"/>
        <v>3</v>
      </c>
      <c r="BQ171" s="14">
        <f>INDEX(挂机升级突破!$EH$7:$EH$26,卡牌消耗!BS171)</f>
        <v>47</v>
      </c>
      <c r="BR171" s="14" t="str">
        <f t="shared" si="259"/>
        <v>徐晃</v>
      </c>
      <c r="BS171" s="14">
        <f t="shared" si="260"/>
        <v>7</v>
      </c>
      <c r="BT171" s="14" t="str">
        <f t="shared" si="261"/>
        <v>徐晃7突</v>
      </c>
      <c r="BU171" s="14" t="str">
        <f>IF(BN171&gt;0,INDEX(挂机升级突破!$ER$5:$EV$5,卡牌消耗!BN171),"")</f>
        <v>金币</v>
      </c>
      <c r="BV171" s="14">
        <f>IF(BN171&gt;0,ROUND(INDEX(挂机升级突破!$EV$7:$EV$26,卡牌消耗!BS171)*INDEX(卡牌消耗!$B$8:$F$8,BP171)/$Q$4/500,0)*500,"")</f>
        <v>8000</v>
      </c>
      <c r="BW171" s="14" t="str">
        <f>IF(BO171&gt;0,INDEX(挂机升级突破!$ER$5:$EV$5,卡牌消耗!BO171),"")</f>
        <v>玄铁</v>
      </c>
      <c r="BX171" s="14">
        <f>IF(BO171&gt;0,ROUND(INDEX(挂机升级突破!$ER$7:$EU$26,卡牌消耗!BS171,卡牌消耗!BO171)*INDEX($B$6:$F$6,BP171)/$Q$4/5,0)*5,"")</f>
        <v>85</v>
      </c>
      <c r="BY171" s="193"/>
      <c r="BZ171" s="193"/>
      <c r="CA171" s="106"/>
      <c r="CS171" s="171"/>
      <c r="CT171" s="171"/>
      <c r="CU171" s="171"/>
      <c r="CV171" s="170"/>
      <c r="CW171" s="170"/>
      <c r="CX171" s="170"/>
      <c r="CY171" s="170"/>
      <c r="CZ171" s="170"/>
      <c r="DI171" s="186">
        <v>167</v>
      </c>
      <c r="DJ171" s="14">
        <f t="shared" si="265"/>
        <v>34</v>
      </c>
      <c r="DK171" s="14">
        <f t="shared" si="247"/>
        <v>4</v>
      </c>
      <c r="DL171" s="14">
        <f t="shared" si="248"/>
        <v>1102007</v>
      </c>
      <c r="DM171" s="136" t="s">
        <v>1097</v>
      </c>
      <c r="DN171" s="14">
        <f t="shared" si="249"/>
        <v>2</v>
      </c>
      <c r="DO171" s="14" t="str">
        <f t="shared" si="250"/>
        <v>天使缇娜-2星</v>
      </c>
      <c r="DP171" s="136" t="s">
        <v>1103</v>
      </c>
      <c r="DQ171" s="14">
        <f t="shared" si="266"/>
        <v>8000</v>
      </c>
      <c r="DR171" s="14" t="str">
        <f t="shared" si="251"/>
        <v>天使缇娜碎片</v>
      </c>
      <c r="DS171" s="14">
        <f t="shared" si="267"/>
        <v>80</v>
      </c>
    </row>
    <row r="172" spans="8:123" ht="16.5" x14ac:dyDescent="0.2">
      <c r="H172" s="15"/>
      <c r="I172" s="15"/>
      <c r="J172" s="15"/>
      <c r="K172" s="15"/>
      <c r="L172" s="15"/>
      <c r="M172" s="15"/>
      <c r="N172" s="15"/>
      <c r="O172" s="137"/>
      <c r="P172" s="141"/>
      <c r="Q172" s="141"/>
      <c r="R172" s="141"/>
      <c r="S172" s="141"/>
      <c r="T172" s="141"/>
      <c r="U172" s="141"/>
      <c r="V172" s="141"/>
      <c r="W172" s="141"/>
      <c r="X172" s="141"/>
      <c r="Y172" s="141"/>
      <c r="Z172" s="196">
        <v>5</v>
      </c>
      <c r="AA172" s="196">
        <v>12</v>
      </c>
      <c r="AB172" s="14">
        <f>ROUND(INDEX(挂机升级突破!DT$6:DT$57,卡牌消耗!$AA172)*INDEX(卡牌消耗!$B$5:$F$5,卡牌消耗!$Z172)/卡牌消耗!$Q$4/AB$2,0)*AB$2</f>
        <v>0</v>
      </c>
      <c r="AC172" s="14">
        <f>ROUND(INDEX(挂机升级突破!DU$6:DU$57,卡牌消耗!$AA172)*INDEX(卡牌消耗!$B$5:$F$5,卡牌消耗!$Z172)/卡牌消耗!$Q$4/AC$2,0)*AC$2</f>
        <v>175</v>
      </c>
      <c r="AD172" s="14">
        <f>ROUND(INDEX(挂机升级突破!DV$6:DV$57,卡牌消耗!$AA172)*INDEX(卡牌消耗!$B$5:$F$5,卡牌消耗!$Z172)/卡牌消耗!$Q$4/AD$2,0)*AD$2</f>
        <v>0</v>
      </c>
      <c r="AE172" s="14">
        <f>ROUND(INDEX(挂机升级突破!DW$6:DW$57,卡牌消耗!$AA172)*INDEX(卡牌消耗!$B$5:$F$5,卡牌消耗!$Z172)/卡牌消耗!$Q$4/AE$2,0)*AE$2</f>
        <v>0</v>
      </c>
      <c r="AF172" s="14">
        <f>ROUND(INDEX(挂机升级突破!DX$6:DX$57,卡牌消耗!$AA172)*INDEX(卡牌消耗!$B$5:$F$5,卡牌消耗!$Z172)/卡牌消耗!$Q$4/AF$2,0)*AF$2</f>
        <v>0</v>
      </c>
      <c r="AG172" s="14">
        <f>ROUND(INDEX(挂机升级突破!EC$6:EC$57,卡牌消耗!$AA172)*INDEX(卡牌消耗!$B$7:$F$7,卡牌消耗!$Z172)/卡牌消耗!$Q$4/AG$2,0)*AG$2</f>
        <v>0</v>
      </c>
      <c r="AH172" s="14">
        <f>ROUND(INDEX(挂机升级突破!ED$6:ED$57,卡牌消耗!$AA172)*INDEX(卡牌消耗!$B$8:$F$8,卡牌消耗!$Z172)/卡牌消耗!$Q$4/AH$2,0)*AH$2</f>
        <v>5450</v>
      </c>
      <c r="AI172" s="194"/>
      <c r="AJ172" s="194"/>
      <c r="AK172" s="104">
        <v>168</v>
      </c>
      <c r="AL172" s="14">
        <f t="shared" si="252"/>
        <v>4</v>
      </c>
      <c r="AM172" s="14">
        <f>INDEX(挂机升级突破!DQ$6:DQ$57,卡牌消耗!$AT172)</f>
        <v>11</v>
      </c>
      <c r="AN172" s="14">
        <f>INDEX(挂机升级突破!DR$6:DR$57,卡牌消耗!$AT172)</f>
        <v>2</v>
      </c>
      <c r="AO172" s="14">
        <f>INDEX(挂机升级突破!DS$6:DS$57,卡牌消耗!$AT172)</f>
        <v>0</v>
      </c>
      <c r="AP172" s="14">
        <f>INDEX(挂机升级突破!$DP$6:$DP$57,卡牌消耗!AT172)</f>
        <v>48</v>
      </c>
      <c r="AQ172" s="14" t="str">
        <f t="shared" si="253"/>
        <v>唐流雨</v>
      </c>
      <c r="AR172" s="14">
        <f t="shared" si="254"/>
        <v>2</v>
      </c>
      <c r="AS172" s="14" t="str">
        <f t="shared" si="255"/>
        <v>唐流雨魂火-12</v>
      </c>
      <c r="AT172" s="14">
        <f t="shared" si="256"/>
        <v>12</v>
      </c>
      <c r="AU172" s="14" t="str">
        <f>IF(AM172&gt;0,INDEX(挂机升级突破!$DT$4:$ED$4,AM172),"")</f>
        <v>金币</v>
      </c>
      <c r="AV172" s="14">
        <f>ROUND(INDEX(挂机升级突破!$DJ$6:$DJ$57,卡牌消耗!AT172)*INDEX(卡牌消耗!$B$8:$F$8,AR172)/$Q$4/50,0)*50</f>
        <v>1900</v>
      </c>
      <c r="AW172" s="14" t="str">
        <f>IF(AN172&gt;0,INDEX(挂机升级突破!$DT$4:$ED$4,AN172),"")</f>
        <v>蓝色基础材料</v>
      </c>
      <c r="AX172" s="14">
        <f>ROUND(INDEX(挂机升级突破!$DT$6:$ED$57,卡牌消耗!AT172,AN172)*INDEX(卡牌消耗!$B$5:$F$5,AR172)/$Q$4/5,0)*5</f>
        <v>90</v>
      </c>
      <c r="AY172" s="14" t="str">
        <f>IF(AO172&gt;0,INDEX(挂机升级突破!$DT$4:$ED$4,AO172),"")</f>
        <v/>
      </c>
      <c r="AZ172" s="14" t="str">
        <f>IF(AO172&gt;0,ROUND(INDEX(挂机升级突破!$DT$6:$ED$57,卡牌消耗!AT172,AO172)*INDEX(卡牌消耗!$B$7:$F$7,AR172)/$Q$4,0),"")</f>
        <v/>
      </c>
      <c r="BA172" s="106"/>
      <c r="BB172" s="197"/>
      <c r="BC172" s="197"/>
      <c r="BD172" s="197"/>
      <c r="BE172" s="197"/>
      <c r="BF172" s="197"/>
      <c r="BG172" s="197"/>
      <c r="BH172" s="197"/>
      <c r="BI172" s="197"/>
      <c r="BJ172" s="197"/>
      <c r="BK172" s="197"/>
      <c r="BL172" s="104">
        <v>168</v>
      </c>
      <c r="BM172" s="14">
        <f t="shared" si="257"/>
        <v>9</v>
      </c>
      <c r="BN172" s="14">
        <f>INDEX(挂机升级突破!$EI$7:$EI$26,BS172)</f>
        <v>5</v>
      </c>
      <c r="BO172" s="14">
        <f>INDEX(挂机升级突破!$EJ$7:$EJ$26,BS172)</f>
        <v>1</v>
      </c>
      <c r="BP172" s="14">
        <f t="shared" si="258"/>
        <v>3</v>
      </c>
      <c r="BQ172" s="14">
        <f>INDEX(挂机升级突破!$EH$7:$EH$26,卡牌消耗!BS172)</f>
        <v>52</v>
      </c>
      <c r="BR172" s="14" t="str">
        <f t="shared" si="259"/>
        <v>徐晃</v>
      </c>
      <c r="BS172" s="14">
        <f t="shared" si="260"/>
        <v>8</v>
      </c>
      <c r="BT172" s="14" t="str">
        <f t="shared" si="261"/>
        <v>徐晃8突</v>
      </c>
      <c r="BU172" s="14" t="str">
        <f>IF(BN172&gt;0,INDEX(挂机升级突破!$ER$5:$EV$5,卡牌消耗!BN172),"")</f>
        <v>金币</v>
      </c>
      <c r="BV172" s="14">
        <f>IF(BN172&gt;0,ROUND(INDEX(挂机升级突破!$EV$7:$EV$26,卡牌消耗!BS172)*INDEX(卡牌消耗!$B$8:$F$8,BP172)/$Q$4/500,0)*500,"")</f>
        <v>8000</v>
      </c>
      <c r="BW172" s="14" t="str">
        <f>IF(BO172&gt;0,INDEX(挂机升级突破!$ER$5:$EV$5,卡牌消耗!BO172),"")</f>
        <v>玄铁</v>
      </c>
      <c r="BX172" s="14">
        <f>IF(BO172&gt;0,ROUND(INDEX(挂机升级突破!$ER$7:$EU$26,卡牌消耗!BS172,卡牌消耗!BO172)*INDEX($B$6:$F$6,BP172)/$Q$4/5,0)*5,"")</f>
        <v>150</v>
      </c>
      <c r="BY172" s="193"/>
      <c r="BZ172" s="193"/>
      <c r="CA172" s="106"/>
      <c r="CS172" s="171"/>
      <c r="CT172" s="171"/>
      <c r="CU172" s="171"/>
      <c r="CV172" s="170"/>
      <c r="CW172" s="170"/>
      <c r="CX172" s="170"/>
      <c r="CY172" s="170"/>
      <c r="CZ172" s="170"/>
      <c r="DI172" s="186">
        <v>168</v>
      </c>
      <c r="DJ172" s="14">
        <f t="shared" si="265"/>
        <v>34</v>
      </c>
      <c r="DK172" s="14">
        <f t="shared" si="247"/>
        <v>4</v>
      </c>
      <c r="DL172" s="14">
        <f t="shared" si="248"/>
        <v>1102007</v>
      </c>
      <c r="DM172" s="136" t="s">
        <v>1097</v>
      </c>
      <c r="DN172" s="14">
        <f t="shared" si="249"/>
        <v>3</v>
      </c>
      <c r="DO172" s="14" t="str">
        <f t="shared" si="250"/>
        <v>天使缇娜-3星</v>
      </c>
      <c r="DP172" s="136" t="s">
        <v>1103</v>
      </c>
      <c r="DQ172" s="14">
        <f t="shared" si="266"/>
        <v>14000</v>
      </c>
      <c r="DR172" s="14" t="str">
        <f t="shared" si="251"/>
        <v>天使缇娜碎片</v>
      </c>
      <c r="DS172" s="14">
        <f t="shared" si="267"/>
        <v>80</v>
      </c>
    </row>
    <row r="173" spans="8:123" ht="16.5" x14ac:dyDescent="0.2">
      <c r="H173" s="15"/>
      <c r="I173" s="15"/>
      <c r="J173" s="15"/>
      <c r="K173" s="15"/>
      <c r="L173" s="15"/>
      <c r="M173" s="15"/>
      <c r="N173" s="15"/>
      <c r="O173" s="137"/>
      <c r="P173" s="141"/>
      <c r="Q173" s="141"/>
      <c r="R173" s="141"/>
      <c r="S173" s="141"/>
      <c r="T173" s="141"/>
      <c r="U173" s="141"/>
      <c r="V173" s="141"/>
      <c r="W173" s="141"/>
      <c r="X173" s="141"/>
      <c r="Y173" s="141"/>
      <c r="Z173" s="196">
        <v>5</v>
      </c>
      <c r="AA173" s="196">
        <v>13</v>
      </c>
      <c r="AB173" s="14">
        <f>ROUND(INDEX(挂机升级突破!DT$6:DT$57,卡牌消耗!$AA173)*INDEX(卡牌消耗!$B$5:$F$5,卡牌消耗!$Z173)/卡牌消耗!$Q$4/AB$2,0)*AB$2</f>
        <v>0</v>
      </c>
      <c r="AC173" s="14">
        <f>ROUND(INDEX(挂机升级突破!DU$6:DU$57,卡牌消耗!$AA173)*INDEX(卡牌消耗!$B$5:$F$5,卡牌消耗!$Z173)/卡牌消耗!$Q$4/AC$2,0)*AC$2</f>
        <v>175</v>
      </c>
      <c r="AD173" s="14">
        <f>ROUND(INDEX(挂机升级突破!DV$6:DV$57,卡牌消耗!$AA173)*INDEX(卡牌消耗!$B$5:$F$5,卡牌消耗!$Z173)/卡牌消耗!$Q$4/AD$2,0)*AD$2</f>
        <v>0</v>
      </c>
      <c r="AE173" s="14">
        <f>ROUND(INDEX(挂机升级突破!DW$6:DW$57,卡牌消耗!$AA173)*INDEX(卡牌消耗!$B$5:$F$5,卡牌消耗!$Z173)/卡牌消耗!$Q$4/AE$2,0)*AE$2</f>
        <v>0</v>
      </c>
      <c r="AF173" s="14">
        <f>ROUND(INDEX(挂机升级突破!DX$6:DX$57,卡牌消耗!$AA173)*INDEX(卡牌消耗!$B$5:$F$5,卡牌消耗!$Z173)/卡牌消耗!$Q$4/AF$2,0)*AF$2</f>
        <v>0</v>
      </c>
      <c r="AG173" s="14">
        <f>ROUND(INDEX(挂机升级突破!EC$6:EC$57,卡牌消耗!$AA173)*INDEX(卡牌消耗!$B$7:$F$7,卡牌消耗!$Z173)/卡牌消耗!$Q$4/AG$2,0)*AG$2</f>
        <v>0</v>
      </c>
      <c r="AH173" s="14">
        <f>ROUND(INDEX(挂机升级突破!ED$6:ED$57,卡牌消耗!$AA173)*INDEX(卡牌消耗!$B$8:$F$8,卡牌消耗!$Z173)/卡牌消耗!$Q$4/AH$2,0)*AH$2</f>
        <v>5450</v>
      </c>
      <c r="AI173" s="194"/>
      <c r="AJ173" s="194"/>
      <c r="AK173" s="104">
        <v>169</v>
      </c>
      <c r="AL173" s="14">
        <f t="shared" si="252"/>
        <v>4</v>
      </c>
      <c r="AM173" s="14">
        <f>INDEX(挂机升级突破!DQ$6:DQ$57,卡牌消耗!$AT173)</f>
        <v>11</v>
      </c>
      <c r="AN173" s="14">
        <f>INDEX(挂机升级突破!DR$6:DR$57,卡牌消耗!$AT173)</f>
        <v>2</v>
      </c>
      <c r="AO173" s="14">
        <f>INDEX(挂机升级突破!DS$6:DS$57,卡牌消耗!$AT173)</f>
        <v>0</v>
      </c>
      <c r="AP173" s="14">
        <f>INDEX(挂机升级突破!$DP$6:$DP$57,卡牌消耗!AT173)</f>
        <v>50</v>
      </c>
      <c r="AQ173" s="14" t="str">
        <f t="shared" si="253"/>
        <v>唐流雨</v>
      </c>
      <c r="AR173" s="14">
        <f t="shared" si="254"/>
        <v>2</v>
      </c>
      <c r="AS173" s="14" t="str">
        <f t="shared" si="255"/>
        <v>唐流雨魂火-13</v>
      </c>
      <c r="AT173" s="14">
        <f t="shared" si="256"/>
        <v>13</v>
      </c>
      <c r="AU173" s="14" t="str">
        <f>IF(AM173&gt;0,INDEX(挂机升级突破!$DT$4:$ED$4,AM173),"")</f>
        <v>金币</v>
      </c>
      <c r="AV173" s="14">
        <f>ROUND(INDEX(挂机升级突破!$DJ$6:$DJ$57,卡牌消耗!AT173)*INDEX(卡牌消耗!$B$8:$F$8,AR173)/$Q$4/50,0)*50</f>
        <v>1900</v>
      </c>
      <c r="AW173" s="14" t="str">
        <f>IF(AN173&gt;0,INDEX(挂机升级突破!$DT$4:$ED$4,AN173),"")</f>
        <v>蓝色基础材料</v>
      </c>
      <c r="AX173" s="14">
        <f>ROUND(INDEX(挂机升级突破!$DT$6:$ED$57,卡牌消耗!AT173,AN173)*INDEX(卡牌消耗!$B$5:$F$5,AR173)/$Q$4/5,0)*5</f>
        <v>90</v>
      </c>
      <c r="AY173" s="14" t="str">
        <f>IF(AO173&gt;0,INDEX(挂机升级突破!$DT$4:$ED$4,AO173),"")</f>
        <v/>
      </c>
      <c r="AZ173" s="14" t="str">
        <f>IF(AO173&gt;0,ROUND(INDEX(挂机升级突破!$DT$6:$ED$57,卡牌消耗!AT173,AO173)*INDEX(卡牌消耗!$B$7:$F$7,AR173)/$Q$4,0),"")</f>
        <v/>
      </c>
      <c r="BA173" s="106"/>
      <c r="BB173" s="197"/>
      <c r="BC173" s="197"/>
      <c r="BD173" s="197"/>
      <c r="BE173" s="197"/>
      <c r="BF173" s="197"/>
      <c r="BG173" s="197"/>
      <c r="BH173" s="197"/>
      <c r="BI173" s="197"/>
      <c r="BJ173" s="197"/>
      <c r="BK173" s="197"/>
      <c r="BL173" s="104">
        <v>169</v>
      </c>
      <c r="BM173" s="14">
        <f t="shared" si="257"/>
        <v>9</v>
      </c>
      <c r="BN173" s="14">
        <f>INDEX(挂机升级突破!$EI$7:$EI$26,BS173)</f>
        <v>5</v>
      </c>
      <c r="BO173" s="14">
        <f>INDEX(挂机升级突破!$EJ$7:$EJ$26,BS173)</f>
        <v>2</v>
      </c>
      <c r="BP173" s="14">
        <f t="shared" si="258"/>
        <v>3</v>
      </c>
      <c r="BQ173" s="14">
        <f>INDEX(挂机升级突破!$EH$7:$EH$26,卡牌消耗!BS173)</f>
        <v>57</v>
      </c>
      <c r="BR173" s="14" t="str">
        <f t="shared" si="259"/>
        <v>徐晃</v>
      </c>
      <c r="BS173" s="14">
        <f t="shared" si="260"/>
        <v>9</v>
      </c>
      <c r="BT173" s="14" t="str">
        <f t="shared" si="261"/>
        <v>徐晃9突</v>
      </c>
      <c r="BU173" s="14" t="str">
        <f>IF(BN173&gt;0,INDEX(挂机升级突破!$ER$5:$EV$5,卡牌消耗!BN173),"")</f>
        <v>金币</v>
      </c>
      <c r="BV173" s="14">
        <f>IF(BN173&gt;0,ROUND(INDEX(挂机升级突破!$EV$7:$EV$26,卡牌消耗!BS173)*INDEX(卡牌消耗!$B$8:$F$8,BP173)/$Q$4/500,0)*500,"")</f>
        <v>11000</v>
      </c>
      <c r="BW173" s="14" t="str">
        <f>IF(BO173&gt;0,INDEX(挂机升级突破!$ER$5:$EV$5,卡牌消耗!BO173),"")</f>
        <v>乌金</v>
      </c>
      <c r="BX173" s="14">
        <f>IF(BO173&gt;0,ROUND(INDEX(挂机升级突破!$ER$7:$EU$26,卡牌消耗!BS173,卡牌消耗!BO173)*INDEX($B$6:$F$6,BP173)/$Q$4/5,0)*5,"")</f>
        <v>50</v>
      </c>
      <c r="BY173" s="193"/>
      <c r="BZ173" s="193"/>
      <c r="CA173" s="106"/>
      <c r="CS173" s="171"/>
      <c r="CT173" s="171"/>
      <c r="CU173" s="171"/>
      <c r="CV173" s="170"/>
      <c r="CW173" s="170"/>
      <c r="CX173" s="170"/>
      <c r="CY173" s="170"/>
      <c r="CZ173" s="170"/>
      <c r="DI173" s="186">
        <v>169</v>
      </c>
      <c r="DJ173" s="14">
        <f t="shared" si="265"/>
        <v>34</v>
      </c>
      <c r="DK173" s="14">
        <f t="shared" si="247"/>
        <v>4</v>
      </c>
      <c r="DL173" s="14">
        <f t="shared" si="248"/>
        <v>1102007</v>
      </c>
      <c r="DM173" s="136" t="s">
        <v>1097</v>
      </c>
      <c r="DN173" s="14">
        <f t="shared" si="249"/>
        <v>4</v>
      </c>
      <c r="DO173" s="14" t="str">
        <f t="shared" si="250"/>
        <v>天使缇娜-4星</v>
      </c>
      <c r="DP173" s="136" t="s">
        <v>1103</v>
      </c>
      <c r="DQ173" s="14">
        <f t="shared" si="266"/>
        <v>32000</v>
      </c>
      <c r="DR173" s="14" t="str">
        <f t="shared" si="251"/>
        <v>天使缇娜碎片</v>
      </c>
      <c r="DS173" s="14">
        <f t="shared" si="267"/>
        <v>80</v>
      </c>
    </row>
    <row r="174" spans="8:123" ht="16.5" x14ac:dyDescent="0.2">
      <c r="H174" s="15"/>
      <c r="I174" s="15"/>
      <c r="J174" s="15"/>
      <c r="K174" s="15"/>
      <c r="L174" s="15"/>
      <c r="M174" s="15"/>
      <c r="N174" s="15"/>
      <c r="O174" s="137"/>
      <c r="P174" s="141"/>
      <c r="Q174" s="141"/>
      <c r="R174" s="141"/>
      <c r="S174" s="141"/>
      <c r="T174" s="141"/>
      <c r="U174" s="141"/>
      <c r="V174" s="141"/>
      <c r="W174" s="141"/>
      <c r="X174" s="141"/>
      <c r="Y174" s="141"/>
      <c r="Z174" s="196">
        <v>5</v>
      </c>
      <c r="AA174" s="196">
        <v>14</v>
      </c>
      <c r="AB174" s="14">
        <f>ROUND(INDEX(挂机升级突破!DT$6:DT$57,卡牌消耗!$AA174)*INDEX(卡牌消耗!$B$5:$F$5,卡牌消耗!$Z174)/卡牌消耗!$Q$4/AB$2,0)*AB$2</f>
        <v>0</v>
      </c>
      <c r="AC174" s="14">
        <f>ROUND(INDEX(挂机升级突破!DU$6:DU$57,卡牌消耗!$AA174)*INDEX(卡牌消耗!$B$5:$F$5,卡牌消耗!$Z174)/卡牌消耗!$Q$4/AC$2,0)*AC$2</f>
        <v>0</v>
      </c>
      <c r="AD174" s="14">
        <f>ROUND(INDEX(挂机升级突破!DV$6:DV$57,卡牌消耗!$AA174)*INDEX(卡牌消耗!$B$5:$F$5,卡牌消耗!$Z174)/卡牌消耗!$Q$4/AD$2,0)*AD$2</f>
        <v>35</v>
      </c>
      <c r="AE174" s="14">
        <f>ROUND(INDEX(挂机升级突破!DW$6:DW$57,卡牌消耗!$AA174)*INDEX(卡牌消耗!$B$5:$F$5,卡牌消耗!$Z174)/卡牌消耗!$Q$4/AE$2,0)*AE$2</f>
        <v>0</v>
      </c>
      <c r="AF174" s="14">
        <f>ROUND(INDEX(挂机升级突破!DX$6:DX$57,卡牌消耗!$AA174)*INDEX(卡牌消耗!$B$5:$F$5,卡牌消耗!$Z174)/卡牌消耗!$Q$4/AF$2,0)*AF$2</f>
        <v>0</v>
      </c>
      <c r="AG174" s="14">
        <f>ROUND(INDEX(挂机升级突破!EC$6:EC$57,卡牌消耗!$AA174)*INDEX(卡牌消耗!$B$7:$F$7,卡牌消耗!$Z174)/卡牌消耗!$Q$4/AG$2,0)*AG$2</f>
        <v>0</v>
      </c>
      <c r="AH174" s="14">
        <f>ROUND(INDEX(挂机升级突破!ED$6:ED$57,卡牌消耗!$AA174)*INDEX(卡牌消耗!$B$8:$F$8,卡牌消耗!$Z174)/卡牌消耗!$Q$4/AH$2,0)*AH$2</f>
        <v>6000</v>
      </c>
      <c r="AI174" s="194"/>
      <c r="AJ174" s="194"/>
      <c r="AK174" s="104">
        <v>170</v>
      </c>
      <c r="AL174" s="14">
        <f t="shared" si="252"/>
        <v>4</v>
      </c>
      <c r="AM174" s="14">
        <f>INDEX(挂机升级突破!DQ$6:DQ$57,卡牌消耗!$AT174)</f>
        <v>11</v>
      </c>
      <c r="AN174" s="14">
        <f>INDEX(挂机升级突破!DR$6:DR$57,卡牌消耗!$AT174)</f>
        <v>3</v>
      </c>
      <c r="AO174" s="14">
        <f>INDEX(挂机升级突破!DS$6:DS$57,卡牌消耗!$AT174)</f>
        <v>0</v>
      </c>
      <c r="AP174" s="14">
        <f>INDEX(挂机升级突破!$DP$6:$DP$57,卡牌消耗!AT174)</f>
        <v>53</v>
      </c>
      <c r="AQ174" s="14" t="str">
        <f t="shared" si="253"/>
        <v>唐流雨</v>
      </c>
      <c r="AR174" s="14">
        <f t="shared" si="254"/>
        <v>2</v>
      </c>
      <c r="AS174" s="14" t="str">
        <f t="shared" si="255"/>
        <v>唐流雨魂火-14</v>
      </c>
      <c r="AT174" s="14">
        <f t="shared" si="256"/>
        <v>14</v>
      </c>
      <c r="AU174" s="14" t="str">
        <f>IF(AM174&gt;0,INDEX(挂机升级突破!$DT$4:$ED$4,AM174),"")</f>
        <v>金币</v>
      </c>
      <c r="AV174" s="14">
        <f>ROUND(INDEX(挂机升级突破!$DJ$6:$DJ$57,卡牌消耗!AT174)*INDEX(卡牌消耗!$B$8:$F$8,AR174)/$Q$4/50,0)*50</f>
        <v>2100</v>
      </c>
      <c r="AW174" s="14" t="str">
        <f>IF(AN174&gt;0,INDEX(挂机升级突破!$DT$4:$ED$4,AN174),"")</f>
        <v>紫色基础材料</v>
      </c>
      <c r="AX174" s="14">
        <f>ROUND(INDEX(挂机升级突破!$DT$6:$ED$57,卡牌消耗!AT174,AN174)*INDEX(卡牌消耗!$B$5:$F$5,AR174)/$Q$4/5,0)*5</f>
        <v>20</v>
      </c>
      <c r="AY174" s="14" t="str">
        <f>IF(AO174&gt;0,INDEX(挂机升级突破!$DT$4:$ED$4,AO174),"")</f>
        <v/>
      </c>
      <c r="AZ174" s="14" t="str">
        <f>IF(AO174&gt;0,ROUND(INDEX(挂机升级突破!$DT$6:$ED$57,卡牌消耗!AT174,AO174)*INDEX(卡牌消耗!$B$7:$F$7,AR174)/$Q$4,0),"")</f>
        <v/>
      </c>
      <c r="BA174" s="106"/>
      <c r="BB174" s="197"/>
      <c r="BC174" s="197"/>
      <c r="BD174" s="197"/>
      <c r="BE174" s="197"/>
      <c r="BF174" s="197"/>
      <c r="BG174" s="197"/>
      <c r="BH174" s="197"/>
      <c r="BI174" s="197"/>
      <c r="BJ174" s="197"/>
      <c r="BK174" s="197"/>
      <c r="BL174" s="104">
        <v>170</v>
      </c>
      <c r="BM174" s="14">
        <f t="shared" si="257"/>
        <v>9</v>
      </c>
      <c r="BN174" s="14">
        <f>INDEX(挂机升级突破!$EI$7:$EI$26,BS174)</f>
        <v>5</v>
      </c>
      <c r="BO174" s="14">
        <f>INDEX(挂机升级突破!$EJ$7:$EJ$26,BS174)</f>
        <v>2</v>
      </c>
      <c r="BP174" s="14">
        <f t="shared" si="258"/>
        <v>3</v>
      </c>
      <c r="BQ174" s="14">
        <f>INDEX(挂机升级突破!$EH$7:$EH$26,卡牌消耗!BS174)</f>
        <v>65</v>
      </c>
      <c r="BR174" s="14" t="str">
        <f t="shared" si="259"/>
        <v>徐晃</v>
      </c>
      <c r="BS174" s="14">
        <f t="shared" si="260"/>
        <v>10</v>
      </c>
      <c r="BT174" s="14" t="str">
        <f t="shared" si="261"/>
        <v>徐晃10突</v>
      </c>
      <c r="BU174" s="14" t="str">
        <f>IF(BN174&gt;0,INDEX(挂机升级突破!$ER$5:$EV$5,卡牌消耗!BN174),"")</f>
        <v>金币</v>
      </c>
      <c r="BV174" s="14">
        <f>IF(BN174&gt;0,ROUND(INDEX(挂机升级突破!$EV$7:$EV$26,卡牌消耗!BS174)*INDEX(卡牌消耗!$B$8:$F$8,BP174)/$Q$4/500,0)*500,"")</f>
        <v>19000</v>
      </c>
      <c r="BW174" s="14" t="str">
        <f>IF(BO174&gt;0,INDEX(挂机升级突破!$ER$5:$EV$5,卡牌消耗!BO174),"")</f>
        <v>乌金</v>
      </c>
      <c r="BX174" s="14">
        <f>IF(BO174&gt;0,ROUND(INDEX(挂机升级突破!$ER$7:$EU$26,卡牌消耗!BS174,卡牌消耗!BO174)*INDEX($B$6:$F$6,BP174)/$Q$4/5,0)*5,"")</f>
        <v>70</v>
      </c>
      <c r="BY174" s="193"/>
      <c r="BZ174" s="193"/>
      <c r="CA174" s="106"/>
      <c r="CS174" s="171"/>
      <c r="CT174" s="171"/>
      <c r="CU174" s="171"/>
      <c r="CV174" s="170"/>
      <c r="CW174" s="170"/>
      <c r="CX174" s="170"/>
      <c r="CY174" s="170"/>
      <c r="CZ174" s="170"/>
      <c r="DI174" s="186">
        <v>170</v>
      </c>
      <c r="DJ174" s="14">
        <f t="shared" si="265"/>
        <v>34</v>
      </c>
      <c r="DK174" s="14">
        <f t="shared" si="247"/>
        <v>4</v>
      </c>
      <c r="DL174" s="14">
        <f t="shared" si="248"/>
        <v>1102007</v>
      </c>
      <c r="DM174" s="136" t="s">
        <v>1097</v>
      </c>
      <c r="DN174" s="14">
        <f t="shared" si="249"/>
        <v>5</v>
      </c>
      <c r="DO174" s="14" t="str">
        <f t="shared" si="250"/>
        <v>天使缇娜-5星</v>
      </c>
      <c r="DP174" s="136" t="s">
        <v>1103</v>
      </c>
      <c r="DQ174" s="14">
        <f t="shared" si="266"/>
        <v>60000</v>
      </c>
      <c r="DR174" s="14" t="str">
        <f t="shared" si="251"/>
        <v>天使缇娜碎片</v>
      </c>
      <c r="DS174" s="14">
        <f t="shared" si="267"/>
        <v>80</v>
      </c>
    </row>
    <row r="175" spans="8:123" ht="16.5" x14ac:dyDescent="0.2">
      <c r="H175" s="15"/>
      <c r="I175" s="15"/>
      <c r="J175" s="15"/>
      <c r="K175" s="15"/>
      <c r="L175" s="15"/>
      <c r="M175" s="15"/>
      <c r="N175" s="15"/>
      <c r="O175" s="137"/>
      <c r="P175" s="141"/>
      <c r="Q175" s="141"/>
      <c r="R175" s="141"/>
      <c r="S175" s="141"/>
      <c r="T175" s="141"/>
      <c r="U175" s="141"/>
      <c r="V175" s="141"/>
      <c r="W175" s="141"/>
      <c r="X175" s="141"/>
      <c r="Y175" s="141"/>
      <c r="Z175" s="196">
        <v>5</v>
      </c>
      <c r="AA175" s="196">
        <v>15</v>
      </c>
      <c r="AB175" s="14">
        <f>ROUND(INDEX(挂机升级突破!DT$6:DT$57,卡牌消耗!$AA175)*INDEX(卡牌消耗!$B$5:$F$5,卡牌消耗!$Z175)/卡牌消耗!$Q$4/AB$2,0)*AB$2</f>
        <v>0</v>
      </c>
      <c r="AC175" s="14">
        <f>ROUND(INDEX(挂机升级突破!DU$6:DU$57,卡牌消耗!$AA175)*INDEX(卡牌消耗!$B$5:$F$5,卡牌消耗!$Z175)/卡牌消耗!$Q$4/AC$2,0)*AC$2</f>
        <v>0</v>
      </c>
      <c r="AD175" s="14">
        <f>ROUND(INDEX(挂机升级突破!DV$6:DV$57,卡牌消耗!$AA175)*INDEX(卡牌消耗!$B$5:$F$5,卡牌消耗!$Z175)/卡牌消耗!$Q$4/AD$2,0)*AD$2</f>
        <v>35</v>
      </c>
      <c r="AE175" s="14">
        <f>ROUND(INDEX(挂机升级突破!DW$6:DW$57,卡牌消耗!$AA175)*INDEX(卡牌消耗!$B$5:$F$5,卡牌消耗!$Z175)/卡牌消耗!$Q$4/AE$2,0)*AE$2</f>
        <v>0</v>
      </c>
      <c r="AF175" s="14">
        <f>ROUND(INDEX(挂机升级突破!DX$6:DX$57,卡牌消耗!$AA175)*INDEX(卡牌消耗!$B$5:$F$5,卡牌消耗!$Z175)/卡牌消耗!$Q$4/AF$2,0)*AF$2</f>
        <v>0</v>
      </c>
      <c r="AG175" s="14">
        <f>ROUND(INDEX(挂机升级突破!EC$6:EC$57,卡牌消耗!$AA175)*INDEX(卡牌消耗!$B$7:$F$7,卡牌消耗!$Z175)/卡牌消耗!$Q$4/AG$2,0)*AG$2</f>
        <v>0</v>
      </c>
      <c r="AH175" s="14">
        <f>ROUND(INDEX(挂机升级突破!ED$6:ED$57,卡牌消耗!$AA175)*INDEX(卡牌消耗!$B$8:$F$8,卡牌消耗!$Z175)/卡牌消耗!$Q$4/AH$2,0)*AH$2</f>
        <v>6550</v>
      </c>
      <c r="AI175" s="194"/>
      <c r="AJ175" s="194"/>
      <c r="AK175" s="104">
        <v>171</v>
      </c>
      <c r="AL175" s="14">
        <f t="shared" si="252"/>
        <v>4</v>
      </c>
      <c r="AM175" s="14">
        <f>INDEX(挂机升级突破!DQ$6:DQ$57,卡牌消耗!$AT175)</f>
        <v>11</v>
      </c>
      <c r="AN175" s="14">
        <f>INDEX(挂机升级突破!DR$6:DR$57,卡牌消耗!$AT175)</f>
        <v>3</v>
      </c>
      <c r="AO175" s="14">
        <f>INDEX(挂机升级突破!DS$6:DS$57,卡牌消耗!$AT175)</f>
        <v>0</v>
      </c>
      <c r="AP175" s="14">
        <f>INDEX(挂机升级突破!$DP$6:$DP$57,卡牌消耗!AT175)</f>
        <v>55</v>
      </c>
      <c r="AQ175" s="14" t="str">
        <f t="shared" si="253"/>
        <v>唐流雨</v>
      </c>
      <c r="AR175" s="14">
        <f t="shared" si="254"/>
        <v>2</v>
      </c>
      <c r="AS175" s="14" t="str">
        <f t="shared" si="255"/>
        <v>唐流雨魂火-15</v>
      </c>
      <c r="AT175" s="14">
        <f t="shared" si="256"/>
        <v>15</v>
      </c>
      <c r="AU175" s="14" t="str">
        <f>IF(AM175&gt;0,INDEX(挂机升级突破!$DT$4:$ED$4,AM175),"")</f>
        <v>金币</v>
      </c>
      <c r="AV175" s="14">
        <f>ROUND(INDEX(挂机升级突破!$DJ$6:$DJ$57,卡牌消耗!AT175)*INDEX(卡牌消耗!$B$8:$F$8,AR175)/$Q$4/50,0)*50</f>
        <v>2300</v>
      </c>
      <c r="AW175" s="14" t="str">
        <f>IF(AN175&gt;0,INDEX(挂机升级突破!$DT$4:$ED$4,AN175),"")</f>
        <v>紫色基础材料</v>
      </c>
      <c r="AX175" s="14">
        <f>ROUND(INDEX(挂机升级突破!$DT$6:$ED$57,卡牌消耗!AT175,AN175)*INDEX(卡牌消耗!$B$5:$F$5,AR175)/$Q$4/5,0)*5</f>
        <v>20</v>
      </c>
      <c r="AY175" s="14" t="str">
        <f>IF(AO175&gt;0,INDEX(挂机升级突破!$DT$4:$ED$4,AO175),"")</f>
        <v/>
      </c>
      <c r="AZ175" s="14" t="str">
        <f>IF(AO175&gt;0,ROUND(INDEX(挂机升级突破!$DT$6:$ED$57,卡牌消耗!AT175,AO175)*INDEX(卡牌消耗!$B$7:$F$7,AR175)/$Q$4,0),"")</f>
        <v/>
      </c>
      <c r="BA175" s="106"/>
      <c r="BB175" s="197"/>
      <c r="BC175" s="197"/>
      <c r="BD175" s="197"/>
      <c r="BE175" s="197"/>
      <c r="BF175" s="197"/>
      <c r="BG175" s="197"/>
      <c r="BH175" s="197"/>
      <c r="BI175" s="197"/>
      <c r="BJ175" s="197"/>
      <c r="BK175" s="197"/>
      <c r="BL175" s="104">
        <v>171</v>
      </c>
      <c r="BM175" s="14">
        <f t="shared" si="257"/>
        <v>9</v>
      </c>
      <c r="BN175" s="14">
        <f>INDEX(挂机升级突破!$EI$7:$EI$26,BS175)</f>
        <v>5</v>
      </c>
      <c r="BO175" s="14">
        <f>INDEX(挂机升级突破!$EJ$7:$EJ$26,BS175)</f>
        <v>2</v>
      </c>
      <c r="BP175" s="14">
        <f t="shared" si="258"/>
        <v>3</v>
      </c>
      <c r="BQ175" s="14">
        <f>INDEX(挂机升级突破!$EH$7:$EH$26,卡牌消耗!BS175)</f>
        <v>72</v>
      </c>
      <c r="BR175" s="14" t="str">
        <f t="shared" si="259"/>
        <v>徐晃</v>
      </c>
      <c r="BS175" s="14">
        <f t="shared" si="260"/>
        <v>11</v>
      </c>
      <c r="BT175" s="14" t="str">
        <f t="shared" si="261"/>
        <v>徐晃11突</v>
      </c>
      <c r="BU175" s="14" t="str">
        <f>IF(BN175&gt;0,INDEX(挂机升级突破!$ER$5:$EV$5,卡牌消耗!BN175),"")</f>
        <v>金币</v>
      </c>
      <c r="BV175" s="14">
        <f>IF(BN175&gt;0,ROUND(INDEX(挂机升级突破!$EV$7:$EV$26,卡牌消耗!BS175)*INDEX(卡牌消耗!$B$8:$F$8,BP175)/$Q$4/500,0)*500,"")</f>
        <v>19000</v>
      </c>
      <c r="BW175" s="14" t="str">
        <f>IF(BO175&gt;0,INDEX(挂机升级突破!$ER$5:$EV$5,卡牌消耗!BO175),"")</f>
        <v>乌金</v>
      </c>
      <c r="BX175" s="14">
        <f>IF(BO175&gt;0,ROUND(INDEX(挂机升级突破!$ER$7:$EU$26,卡牌消耗!BS175,卡牌消耗!BO175)*INDEX($B$6:$F$6,BP175)/$Q$4/5,0)*5,"")</f>
        <v>90</v>
      </c>
      <c r="BY175" s="193"/>
      <c r="BZ175" s="193"/>
      <c r="CA175" s="106"/>
      <c r="CS175" s="171"/>
      <c r="CT175" s="171"/>
      <c r="CU175" s="171"/>
      <c r="CV175" s="170"/>
      <c r="CW175" s="170"/>
      <c r="CX175" s="170"/>
      <c r="CY175" s="170"/>
      <c r="CZ175" s="170"/>
      <c r="DI175" s="186">
        <v>171</v>
      </c>
      <c r="DJ175" s="14">
        <f t="shared" si="265"/>
        <v>35</v>
      </c>
      <c r="DK175" s="14">
        <f t="shared" si="247"/>
        <v>4</v>
      </c>
      <c r="DL175" s="14">
        <f t="shared" si="248"/>
        <v>1102008</v>
      </c>
      <c r="DM175" s="136" t="s">
        <v>1097</v>
      </c>
      <c r="DN175" s="14">
        <f t="shared" si="249"/>
        <v>1</v>
      </c>
      <c r="DO175" s="14" t="str">
        <f t="shared" si="250"/>
        <v>夏侯渊-1星</v>
      </c>
      <c r="DP175" s="136" t="s">
        <v>1103</v>
      </c>
      <c r="DQ175" s="14">
        <f t="shared" si="266"/>
        <v>6000</v>
      </c>
      <c r="DR175" s="14" t="str">
        <f t="shared" si="251"/>
        <v>夏侯渊碎片</v>
      </c>
      <c r="DS175" s="14">
        <f t="shared" si="267"/>
        <v>80</v>
      </c>
    </row>
    <row r="176" spans="8:123" ht="16.5" x14ac:dyDescent="0.2">
      <c r="H176" s="15"/>
      <c r="I176" s="15"/>
      <c r="J176" s="15"/>
      <c r="K176" s="15"/>
      <c r="L176" s="15"/>
      <c r="M176" s="15"/>
      <c r="N176" s="15"/>
      <c r="O176" s="137"/>
      <c r="P176" s="141"/>
      <c r="Q176" s="141"/>
      <c r="R176" s="141"/>
      <c r="S176" s="141"/>
      <c r="T176" s="141"/>
      <c r="U176" s="141"/>
      <c r="V176" s="141"/>
      <c r="W176" s="141"/>
      <c r="X176" s="141"/>
      <c r="Y176" s="141"/>
      <c r="Z176" s="196">
        <v>5</v>
      </c>
      <c r="AA176" s="196">
        <v>16</v>
      </c>
      <c r="AB176" s="14">
        <f>ROUND(INDEX(挂机升级突破!DT$6:DT$57,卡牌消耗!$AA176)*INDEX(卡牌消耗!$B$5:$F$5,卡牌消耗!$Z176)/卡牌消耗!$Q$4/AB$2,0)*AB$2</f>
        <v>0</v>
      </c>
      <c r="AC176" s="14">
        <f>ROUND(INDEX(挂机升级突破!DU$6:DU$57,卡牌消耗!$AA176)*INDEX(卡牌消耗!$B$5:$F$5,卡牌消耗!$Z176)/卡牌消耗!$Q$4/AC$2,0)*AC$2</f>
        <v>0</v>
      </c>
      <c r="AD176" s="14">
        <f>ROUND(INDEX(挂机升级突破!DV$6:DV$57,卡牌消耗!$AA176)*INDEX(卡牌消耗!$B$5:$F$5,卡牌消耗!$Z176)/卡牌消耗!$Q$4/AD$2,0)*AD$2</f>
        <v>35</v>
      </c>
      <c r="AE176" s="14">
        <f>ROUND(INDEX(挂机升级突破!DW$6:DW$57,卡牌消耗!$AA176)*INDEX(卡牌消耗!$B$5:$F$5,卡牌消耗!$Z176)/卡牌消耗!$Q$4/AE$2,0)*AE$2</f>
        <v>0</v>
      </c>
      <c r="AF176" s="14">
        <f>ROUND(INDEX(挂机升级突破!DX$6:DX$57,卡牌消耗!$AA176)*INDEX(卡牌消耗!$B$5:$F$5,卡牌消耗!$Z176)/卡牌消耗!$Q$4/AF$2,0)*AF$2</f>
        <v>0</v>
      </c>
      <c r="AG176" s="14">
        <f>ROUND(INDEX(挂机升级突破!EC$6:EC$57,卡牌消耗!$AA176)*INDEX(卡牌消耗!$B$7:$F$7,卡牌消耗!$Z176)/卡牌消耗!$Q$4/AG$2,0)*AG$2</f>
        <v>0</v>
      </c>
      <c r="AH176" s="14">
        <f>ROUND(INDEX(挂机升级突破!ED$6:ED$57,卡牌消耗!$AA176)*INDEX(卡牌消耗!$B$8:$F$8,卡牌消耗!$Z176)/卡牌消耗!$Q$4/AH$2,0)*AH$2</f>
        <v>6550</v>
      </c>
      <c r="AI176" s="194"/>
      <c r="AJ176" s="194"/>
      <c r="AK176" s="104">
        <v>172</v>
      </c>
      <c r="AL176" s="14">
        <f t="shared" si="252"/>
        <v>4</v>
      </c>
      <c r="AM176" s="14">
        <f>INDEX(挂机升级突破!DQ$6:DQ$57,卡牌消耗!$AT176)</f>
        <v>11</v>
      </c>
      <c r="AN176" s="14">
        <f>INDEX(挂机升级突破!DR$6:DR$57,卡牌消耗!$AT176)</f>
        <v>3</v>
      </c>
      <c r="AO176" s="14">
        <f>INDEX(挂机升级突破!DS$6:DS$57,卡牌消耗!$AT176)</f>
        <v>0</v>
      </c>
      <c r="AP176" s="14">
        <f>INDEX(挂机升级突破!$DP$6:$DP$57,卡牌消耗!AT176)</f>
        <v>58</v>
      </c>
      <c r="AQ176" s="14" t="str">
        <f t="shared" si="253"/>
        <v>唐流雨</v>
      </c>
      <c r="AR176" s="14">
        <f t="shared" si="254"/>
        <v>2</v>
      </c>
      <c r="AS176" s="14" t="str">
        <f t="shared" si="255"/>
        <v>唐流雨魂火-16</v>
      </c>
      <c r="AT176" s="14">
        <f t="shared" si="256"/>
        <v>16</v>
      </c>
      <c r="AU176" s="14" t="str">
        <f>IF(AM176&gt;0,INDEX(挂机升级突破!$DT$4:$ED$4,AM176),"")</f>
        <v>金币</v>
      </c>
      <c r="AV176" s="14">
        <f>ROUND(INDEX(挂机升级突破!$DJ$6:$DJ$57,卡牌消耗!AT176)*INDEX(卡牌消耗!$B$8:$F$8,AR176)/$Q$4/50,0)*50</f>
        <v>2300</v>
      </c>
      <c r="AW176" s="14" t="str">
        <f>IF(AN176&gt;0,INDEX(挂机升级突破!$DT$4:$ED$4,AN176),"")</f>
        <v>紫色基础材料</v>
      </c>
      <c r="AX176" s="14">
        <f>ROUND(INDEX(挂机升级突破!$DT$6:$ED$57,卡牌消耗!AT176,AN176)*INDEX(卡牌消耗!$B$5:$F$5,AR176)/$Q$4/5,0)*5</f>
        <v>20</v>
      </c>
      <c r="AY176" s="14" t="str">
        <f>IF(AO176&gt;0,INDEX(挂机升级突破!$DT$4:$ED$4,AO176),"")</f>
        <v/>
      </c>
      <c r="AZ176" s="14" t="str">
        <f>IF(AO176&gt;0,ROUND(INDEX(挂机升级突破!$DT$6:$ED$57,卡牌消耗!AT176,AO176)*INDEX(卡牌消耗!$B$7:$F$7,AR176)/$Q$4,0),"")</f>
        <v/>
      </c>
      <c r="BA176" s="106"/>
      <c r="BB176" s="197"/>
      <c r="BC176" s="197"/>
      <c r="BD176" s="197"/>
      <c r="BE176" s="197"/>
      <c r="BF176" s="197"/>
      <c r="BG176" s="197"/>
      <c r="BH176" s="197"/>
      <c r="BI176" s="197"/>
      <c r="BJ176" s="197"/>
      <c r="BK176" s="197"/>
      <c r="BL176" s="104">
        <v>172</v>
      </c>
      <c r="BM176" s="14">
        <f t="shared" si="257"/>
        <v>9</v>
      </c>
      <c r="BN176" s="14">
        <f>INDEX(挂机升级突破!$EI$7:$EI$26,BS176)</f>
        <v>5</v>
      </c>
      <c r="BO176" s="14">
        <f>INDEX(挂机升级突破!$EJ$7:$EJ$26,BS176)</f>
        <v>2</v>
      </c>
      <c r="BP176" s="14">
        <f t="shared" si="258"/>
        <v>3</v>
      </c>
      <c r="BQ176" s="14">
        <f>INDEX(挂机升级突破!$EH$7:$EH$26,卡牌消耗!BS176)</f>
        <v>80</v>
      </c>
      <c r="BR176" s="14" t="str">
        <f t="shared" si="259"/>
        <v>徐晃</v>
      </c>
      <c r="BS176" s="14">
        <f t="shared" si="260"/>
        <v>12</v>
      </c>
      <c r="BT176" s="14" t="str">
        <f t="shared" si="261"/>
        <v>徐晃12突</v>
      </c>
      <c r="BU176" s="14" t="str">
        <f>IF(BN176&gt;0,INDEX(挂机升级突破!$ER$5:$EV$5,卡牌消耗!BN176),"")</f>
        <v>金币</v>
      </c>
      <c r="BV176" s="14">
        <f>IF(BN176&gt;0,ROUND(INDEX(挂机升级突破!$EV$7:$EV$26,卡牌消耗!BS176)*INDEX(卡牌消耗!$B$8:$F$8,BP176)/$Q$4/500,0)*500,"")</f>
        <v>25000</v>
      </c>
      <c r="BW176" s="14" t="str">
        <f>IF(BO176&gt;0,INDEX(挂机升级突破!$ER$5:$EV$5,卡牌消耗!BO176),"")</f>
        <v>乌金</v>
      </c>
      <c r="BX176" s="14">
        <f>IF(BO176&gt;0,ROUND(INDEX(挂机升级突破!$ER$7:$EU$26,卡牌消耗!BS176,卡牌消耗!BO176)*INDEX($B$6:$F$6,BP176)/$Q$4/5,0)*5,"")</f>
        <v>120</v>
      </c>
      <c r="BY176" s="193"/>
      <c r="BZ176" s="193"/>
      <c r="CA176" s="106"/>
      <c r="CS176" s="171"/>
      <c r="CT176" s="171"/>
      <c r="CU176" s="171"/>
      <c r="CV176" s="170"/>
      <c r="CW176" s="170"/>
      <c r="CX176" s="170"/>
      <c r="CY176" s="170"/>
      <c r="CZ176" s="170"/>
      <c r="DI176" s="186">
        <v>172</v>
      </c>
      <c r="DJ176" s="14">
        <f t="shared" si="265"/>
        <v>35</v>
      </c>
      <c r="DK176" s="14">
        <f t="shared" si="247"/>
        <v>4</v>
      </c>
      <c r="DL176" s="14">
        <f t="shared" si="248"/>
        <v>1102008</v>
      </c>
      <c r="DM176" s="136" t="s">
        <v>1097</v>
      </c>
      <c r="DN176" s="14">
        <f t="shared" si="249"/>
        <v>2</v>
      </c>
      <c r="DO176" s="14" t="str">
        <f t="shared" si="250"/>
        <v>夏侯渊-2星</v>
      </c>
      <c r="DP176" s="136" t="s">
        <v>1103</v>
      </c>
      <c r="DQ176" s="14">
        <f t="shared" si="266"/>
        <v>8000</v>
      </c>
      <c r="DR176" s="14" t="str">
        <f t="shared" si="251"/>
        <v>夏侯渊碎片</v>
      </c>
      <c r="DS176" s="14">
        <f t="shared" si="267"/>
        <v>80</v>
      </c>
    </row>
    <row r="177" spans="8:123" ht="16.5" x14ac:dyDescent="0.2">
      <c r="H177" s="15"/>
      <c r="I177" s="15"/>
      <c r="J177" s="15"/>
      <c r="K177" s="15"/>
      <c r="L177" s="15"/>
      <c r="M177" s="15"/>
      <c r="N177" s="15"/>
      <c r="O177" s="137"/>
      <c r="P177" s="141"/>
      <c r="Q177" s="141"/>
      <c r="R177" s="141"/>
      <c r="S177" s="141"/>
      <c r="T177" s="141"/>
      <c r="U177" s="141"/>
      <c r="V177" s="141"/>
      <c r="W177" s="141"/>
      <c r="X177" s="141"/>
      <c r="Y177" s="141"/>
      <c r="Z177" s="196">
        <v>5</v>
      </c>
      <c r="AA177" s="196">
        <v>17</v>
      </c>
      <c r="AB177" s="14">
        <f>ROUND(INDEX(挂机升级突破!DT$6:DT$57,卡牌消耗!$AA177)*INDEX(卡牌消耗!$B$5:$F$5,卡牌消耗!$Z177)/卡牌消耗!$Q$4/AB$2,0)*AB$2</f>
        <v>0</v>
      </c>
      <c r="AC177" s="14">
        <f>ROUND(INDEX(挂机升级突破!DU$6:DU$57,卡牌消耗!$AA177)*INDEX(卡牌消耗!$B$5:$F$5,卡牌消耗!$Z177)/卡牌消耗!$Q$4/AC$2,0)*AC$2</f>
        <v>0</v>
      </c>
      <c r="AD177" s="14">
        <f>ROUND(INDEX(挂机升级突破!DV$6:DV$57,卡牌消耗!$AA177)*INDEX(卡牌消耗!$B$5:$F$5,卡牌消耗!$Z177)/卡牌消耗!$Q$4/AD$2,0)*AD$2</f>
        <v>70</v>
      </c>
      <c r="AE177" s="14">
        <f>ROUND(INDEX(挂机升级突破!DW$6:DW$57,卡牌消耗!$AA177)*INDEX(卡牌消耗!$B$5:$F$5,卡牌消耗!$Z177)/卡牌消耗!$Q$4/AE$2,0)*AE$2</f>
        <v>0</v>
      </c>
      <c r="AF177" s="14">
        <f>ROUND(INDEX(挂机升级突破!DX$6:DX$57,卡牌消耗!$AA177)*INDEX(卡牌消耗!$B$5:$F$5,卡牌消耗!$Z177)/卡牌消耗!$Q$4/AF$2,0)*AF$2</f>
        <v>0</v>
      </c>
      <c r="AG177" s="14">
        <f>ROUND(INDEX(挂机升级突破!EC$6:EC$57,卡牌消耗!$AA177)*INDEX(卡牌消耗!$B$7:$F$7,卡牌消耗!$Z177)/卡牌消耗!$Q$4/AG$2,0)*AG$2</f>
        <v>0</v>
      </c>
      <c r="AH177" s="14">
        <f>ROUND(INDEX(挂机升级突破!ED$6:ED$57,卡牌消耗!$AA177)*INDEX(卡牌消耗!$B$8:$F$8,卡牌消耗!$Z177)/卡牌消耗!$Q$4/AH$2,0)*AH$2</f>
        <v>8200</v>
      </c>
      <c r="AI177" s="194"/>
      <c r="AJ177" s="194"/>
      <c r="AK177" s="104">
        <v>173</v>
      </c>
      <c r="AL177" s="14">
        <f t="shared" si="252"/>
        <v>4</v>
      </c>
      <c r="AM177" s="14">
        <f>INDEX(挂机升级突破!DQ$6:DQ$57,卡牌消耗!$AT177)</f>
        <v>11</v>
      </c>
      <c r="AN177" s="14">
        <f>INDEX(挂机升级突破!DR$6:DR$57,卡牌消耗!$AT177)</f>
        <v>3</v>
      </c>
      <c r="AO177" s="14">
        <f>INDEX(挂机升级突破!DS$6:DS$57,卡牌消耗!$AT177)</f>
        <v>0</v>
      </c>
      <c r="AP177" s="14">
        <f>INDEX(挂机升级突破!$DP$6:$DP$57,卡牌消耗!AT177)</f>
        <v>60</v>
      </c>
      <c r="AQ177" s="14" t="str">
        <f t="shared" si="253"/>
        <v>唐流雨</v>
      </c>
      <c r="AR177" s="14">
        <f t="shared" si="254"/>
        <v>2</v>
      </c>
      <c r="AS177" s="14" t="str">
        <f t="shared" si="255"/>
        <v>唐流雨魂火-17</v>
      </c>
      <c r="AT177" s="14">
        <f t="shared" si="256"/>
        <v>17</v>
      </c>
      <c r="AU177" s="14" t="str">
        <f>IF(AM177&gt;0,INDEX(挂机升级突破!$DT$4:$ED$4,AM177),"")</f>
        <v>金币</v>
      </c>
      <c r="AV177" s="14">
        <f>ROUND(INDEX(挂机升级突破!$DJ$6:$DJ$57,卡牌消耗!AT177)*INDEX(卡牌消耗!$B$8:$F$8,AR177)/$Q$4/50,0)*50</f>
        <v>2850</v>
      </c>
      <c r="AW177" s="14" t="str">
        <f>IF(AN177&gt;0,INDEX(挂机升级突破!$DT$4:$ED$4,AN177),"")</f>
        <v>紫色基础材料</v>
      </c>
      <c r="AX177" s="14">
        <f>ROUND(INDEX(挂机升级突破!$DT$6:$ED$57,卡牌消耗!AT177,AN177)*INDEX(卡牌消耗!$B$5:$F$5,AR177)/$Q$4/5,0)*5</f>
        <v>35</v>
      </c>
      <c r="AY177" s="14" t="str">
        <f>IF(AO177&gt;0,INDEX(挂机升级突破!$DT$4:$ED$4,AO177),"")</f>
        <v/>
      </c>
      <c r="AZ177" s="14" t="str">
        <f>IF(AO177&gt;0,ROUND(INDEX(挂机升级突破!$DT$6:$ED$57,卡牌消耗!AT177,AO177)*INDEX(卡牌消耗!$B$7:$F$7,AR177)/$Q$4,0),"")</f>
        <v/>
      </c>
      <c r="BA177" s="106"/>
      <c r="BB177" s="197"/>
      <c r="BC177" s="197"/>
      <c r="BD177" s="197"/>
      <c r="BE177" s="197"/>
      <c r="BF177" s="197"/>
      <c r="BG177" s="197"/>
      <c r="BH177" s="197"/>
      <c r="BI177" s="197"/>
      <c r="BJ177" s="197"/>
      <c r="BK177" s="197"/>
      <c r="BL177" s="104">
        <v>173</v>
      </c>
      <c r="BM177" s="14">
        <f t="shared" si="257"/>
        <v>9</v>
      </c>
      <c r="BN177" s="14">
        <f>INDEX(挂机升级突破!$EI$7:$EI$26,BS177)</f>
        <v>5</v>
      </c>
      <c r="BO177" s="14">
        <f>INDEX(挂机升级突破!$EJ$7:$EJ$26,BS177)</f>
        <v>3</v>
      </c>
      <c r="BP177" s="14">
        <f t="shared" si="258"/>
        <v>3</v>
      </c>
      <c r="BQ177" s="14">
        <f>INDEX(挂机升级突破!$EH$7:$EH$26,卡牌消耗!BS177)</f>
        <v>87</v>
      </c>
      <c r="BR177" s="14" t="str">
        <f t="shared" si="259"/>
        <v>徐晃</v>
      </c>
      <c r="BS177" s="14">
        <f t="shared" si="260"/>
        <v>13</v>
      </c>
      <c r="BT177" s="14" t="str">
        <f t="shared" si="261"/>
        <v>徐晃13突</v>
      </c>
      <c r="BU177" s="14" t="str">
        <f>IF(BN177&gt;0,INDEX(挂机升级突破!$ER$5:$EV$5,卡牌消耗!BN177),"")</f>
        <v>金币</v>
      </c>
      <c r="BV177" s="14">
        <f>IF(BN177&gt;0,ROUND(INDEX(挂机升级突破!$EV$7:$EV$26,卡牌消耗!BS177)*INDEX(卡牌消耗!$B$8:$F$8,BP177)/$Q$4/500,0)*500,"")</f>
        <v>33500</v>
      </c>
      <c r="BW177" s="14" t="str">
        <f>IF(BO177&gt;0,INDEX(挂机升级突破!$ER$5:$EV$5,卡牌消耗!BO177),"")</f>
        <v>银母</v>
      </c>
      <c r="BX177" s="14">
        <f>IF(BO177&gt;0,ROUND(INDEX(挂机升级突破!$ER$7:$EU$26,卡牌消耗!BS177,卡牌消耗!BO177)*INDEX($B$6:$F$6,BP177)/$Q$4/5,0)*5,"")</f>
        <v>40</v>
      </c>
      <c r="BY177" s="193"/>
      <c r="BZ177" s="193"/>
      <c r="CA177" s="106"/>
      <c r="CS177" s="171"/>
      <c r="CT177" s="171"/>
      <c r="CU177" s="171"/>
      <c r="CV177" s="170"/>
      <c r="CW177" s="170"/>
      <c r="CX177" s="170"/>
      <c r="CY177" s="170"/>
      <c r="CZ177" s="170"/>
      <c r="DI177" s="186">
        <v>173</v>
      </c>
      <c r="DJ177" s="14">
        <f t="shared" si="265"/>
        <v>35</v>
      </c>
      <c r="DK177" s="14">
        <f t="shared" si="247"/>
        <v>4</v>
      </c>
      <c r="DL177" s="14">
        <f t="shared" si="248"/>
        <v>1102008</v>
      </c>
      <c r="DM177" s="136" t="s">
        <v>1097</v>
      </c>
      <c r="DN177" s="14">
        <f t="shared" si="249"/>
        <v>3</v>
      </c>
      <c r="DO177" s="14" t="str">
        <f t="shared" si="250"/>
        <v>夏侯渊-3星</v>
      </c>
      <c r="DP177" s="136" t="s">
        <v>1103</v>
      </c>
      <c r="DQ177" s="14">
        <f t="shared" si="266"/>
        <v>14000</v>
      </c>
      <c r="DR177" s="14" t="str">
        <f t="shared" si="251"/>
        <v>夏侯渊碎片</v>
      </c>
      <c r="DS177" s="14">
        <f t="shared" si="267"/>
        <v>80</v>
      </c>
    </row>
    <row r="178" spans="8:123" ht="16.5" x14ac:dyDescent="0.2">
      <c r="H178" s="15"/>
      <c r="I178" s="15"/>
      <c r="J178" s="15"/>
      <c r="K178" s="15"/>
      <c r="L178" s="15"/>
      <c r="M178" s="15"/>
      <c r="N178" s="15"/>
      <c r="O178" s="137"/>
      <c r="P178" s="141"/>
      <c r="Q178" s="141"/>
      <c r="R178" s="141"/>
      <c r="S178" s="141"/>
      <c r="T178" s="141"/>
      <c r="U178" s="141"/>
      <c r="V178" s="141"/>
      <c r="W178" s="141"/>
      <c r="X178" s="141"/>
      <c r="Y178" s="141"/>
      <c r="Z178" s="196">
        <v>5</v>
      </c>
      <c r="AA178" s="196">
        <v>18</v>
      </c>
      <c r="AB178" s="14">
        <f>ROUND(INDEX(挂机升级突破!DT$6:DT$57,卡牌消耗!$AA178)*INDEX(卡牌消耗!$B$5:$F$5,卡牌消耗!$Z178)/卡牌消耗!$Q$4/AB$2,0)*AB$2</f>
        <v>0</v>
      </c>
      <c r="AC178" s="14">
        <f>ROUND(INDEX(挂机升级突破!DU$6:DU$57,卡牌消耗!$AA178)*INDEX(卡牌消耗!$B$5:$F$5,卡牌消耗!$Z178)/卡牌消耗!$Q$4/AC$2,0)*AC$2</f>
        <v>0</v>
      </c>
      <c r="AD178" s="14">
        <f>ROUND(INDEX(挂机升级突破!DV$6:DV$57,卡牌消耗!$AA178)*INDEX(卡牌消耗!$B$5:$F$5,卡牌消耗!$Z178)/卡牌消耗!$Q$4/AD$2,0)*AD$2</f>
        <v>70</v>
      </c>
      <c r="AE178" s="14">
        <f>ROUND(INDEX(挂机升级突破!DW$6:DW$57,卡牌消耗!$AA178)*INDEX(卡牌消耗!$B$5:$F$5,卡牌消耗!$Z178)/卡牌消耗!$Q$4/AE$2,0)*AE$2</f>
        <v>0</v>
      </c>
      <c r="AF178" s="14">
        <f>ROUND(INDEX(挂机升级突破!DX$6:DX$57,卡牌消耗!$AA178)*INDEX(卡牌消耗!$B$5:$F$5,卡牌消耗!$Z178)/卡牌消耗!$Q$4/AF$2,0)*AF$2</f>
        <v>0</v>
      </c>
      <c r="AG178" s="14">
        <f>ROUND(INDEX(挂机升级突破!EC$6:EC$57,卡牌消耗!$AA178)*INDEX(卡牌消耗!$B$7:$F$7,卡牌消耗!$Z178)/卡牌消耗!$Q$4/AG$2,0)*AG$2</f>
        <v>0</v>
      </c>
      <c r="AH178" s="14">
        <f>ROUND(INDEX(挂机升级突破!ED$6:ED$57,卡牌消耗!$AA178)*INDEX(卡牌消耗!$B$8:$F$8,卡牌消耗!$Z178)/卡牌消耗!$Q$4/AH$2,0)*AH$2</f>
        <v>8200</v>
      </c>
      <c r="AI178" s="194"/>
      <c r="AJ178" s="194"/>
      <c r="AK178" s="104">
        <v>174</v>
      </c>
      <c r="AL178" s="14">
        <f t="shared" si="252"/>
        <v>4</v>
      </c>
      <c r="AM178" s="14">
        <f>INDEX(挂机升级突破!DQ$6:DQ$57,卡牌消耗!$AT178)</f>
        <v>11</v>
      </c>
      <c r="AN178" s="14">
        <f>INDEX(挂机升级突破!DR$6:DR$57,卡牌消耗!$AT178)</f>
        <v>3</v>
      </c>
      <c r="AO178" s="14">
        <f>INDEX(挂机升级突破!DS$6:DS$57,卡牌消耗!$AT178)</f>
        <v>0</v>
      </c>
      <c r="AP178" s="14">
        <f>INDEX(挂机升级突破!$DP$6:$DP$57,卡牌消耗!AT178)</f>
        <v>63</v>
      </c>
      <c r="AQ178" s="14" t="str">
        <f t="shared" si="253"/>
        <v>唐流雨</v>
      </c>
      <c r="AR178" s="14">
        <f t="shared" si="254"/>
        <v>2</v>
      </c>
      <c r="AS178" s="14" t="str">
        <f t="shared" si="255"/>
        <v>唐流雨魂火-18</v>
      </c>
      <c r="AT178" s="14">
        <f t="shared" si="256"/>
        <v>18</v>
      </c>
      <c r="AU178" s="14" t="str">
        <f>IF(AM178&gt;0,INDEX(挂机升级突破!$DT$4:$ED$4,AM178),"")</f>
        <v>金币</v>
      </c>
      <c r="AV178" s="14">
        <f>ROUND(INDEX(挂机升级突破!$DJ$6:$DJ$57,卡牌消耗!AT178)*INDEX(卡牌消耗!$B$8:$F$8,AR178)/$Q$4/50,0)*50</f>
        <v>2850</v>
      </c>
      <c r="AW178" s="14" t="str">
        <f>IF(AN178&gt;0,INDEX(挂机升级突破!$DT$4:$ED$4,AN178),"")</f>
        <v>紫色基础材料</v>
      </c>
      <c r="AX178" s="14">
        <f>ROUND(INDEX(挂机升级突破!$DT$6:$ED$57,卡牌消耗!AT178,AN178)*INDEX(卡牌消耗!$B$5:$F$5,AR178)/$Q$4/5,0)*5</f>
        <v>35</v>
      </c>
      <c r="AY178" s="14" t="str">
        <f>IF(AO178&gt;0,INDEX(挂机升级突破!$DT$4:$ED$4,AO178),"")</f>
        <v/>
      </c>
      <c r="AZ178" s="14" t="str">
        <f>IF(AO178&gt;0,ROUND(INDEX(挂机升级突破!$DT$6:$ED$57,卡牌消耗!AT178,AO178)*INDEX(卡牌消耗!$B$7:$F$7,AR178)/$Q$4,0),"")</f>
        <v/>
      </c>
      <c r="BA178" s="106"/>
      <c r="BB178" s="197"/>
      <c r="BC178" s="197"/>
      <c r="BD178" s="197"/>
      <c r="BE178" s="197"/>
      <c r="BF178" s="197"/>
      <c r="BG178" s="197"/>
      <c r="BH178" s="197"/>
      <c r="BI178" s="197"/>
      <c r="BJ178" s="197"/>
      <c r="BK178" s="197"/>
      <c r="BL178" s="104">
        <v>174</v>
      </c>
      <c r="BM178" s="14">
        <f t="shared" si="257"/>
        <v>9</v>
      </c>
      <c r="BN178" s="14">
        <f>INDEX(挂机升级突破!$EI$7:$EI$26,BS178)</f>
        <v>5</v>
      </c>
      <c r="BO178" s="14">
        <f>INDEX(挂机升级突破!$EJ$7:$EJ$26,BS178)</f>
        <v>3</v>
      </c>
      <c r="BP178" s="14">
        <f t="shared" si="258"/>
        <v>3</v>
      </c>
      <c r="BQ178" s="14">
        <f>INDEX(挂机升级突破!$EH$7:$EH$26,卡牌消耗!BS178)</f>
        <v>95</v>
      </c>
      <c r="BR178" s="14" t="str">
        <f t="shared" si="259"/>
        <v>徐晃</v>
      </c>
      <c r="BS178" s="14">
        <f t="shared" si="260"/>
        <v>14</v>
      </c>
      <c r="BT178" s="14" t="str">
        <f t="shared" si="261"/>
        <v>徐晃14突</v>
      </c>
      <c r="BU178" s="14" t="str">
        <f>IF(BN178&gt;0,INDEX(挂机升级突破!$ER$5:$EV$5,卡牌消耗!BN178),"")</f>
        <v>金币</v>
      </c>
      <c r="BV178" s="14">
        <f>IF(BN178&gt;0,ROUND(INDEX(挂机升级突破!$EV$7:$EV$26,卡牌消耗!BS178)*INDEX(卡牌消耗!$B$8:$F$8,BP178)/$Q$4/500,0)*500,"")</f>
        <v>33500</v>
      </c>
      <c r="BW178" s="14" t="str">
        <f>IF(BO178&gt;0,INDEX(挂机升级突破!$ER$5:$EV$5,卡牌消耗!BO178),"")</f>
        <v>银母</v>
      </c>
      <c r="BX178" s="14">
        <f>IF(BO178&gt;0,ROUND(INDEX(挂机升级突破!$ER$7:$EU$26,卡牌消耗!BS178,卡牌消耗!BO178)*INDEX($B$6:$F$6,BP178)/$Q$4/5,0)*5,"")</f>
        <v>55</v>
      </c>
      <c r="BY178" s="193"/>
      <c r="BZ178" s="193"/>
      <c r="CA178" s="106"/>
      <c r="CS178" s="171"/>
      <c r="CT178" s="171"/>
      <c r="CU178" s="171"/>
      <c r="CV178" s="170"/>
      <c r="CW178" s="170"/>
      <c r="CX178" s="170"/>
      <c r="CY178" s="170"/>
      <c r="CZ178" s="170"/>
      <c r="DI178" s="186">
        <v>174</v>
      </c>
      <c r="DJ178" s="14">
        <f t="shared" si="265"/>
        <v>35</v>
      </c>
      <c r="DK178" s="14">
        <f t="shared" si="247"/>
        <v>4</v>
      </c>
      <c r="DL178" s="14">
        <f t="shared" si="248"/>
        <v>1102008</v>
      </c>
      <c r="DM178" s="136" t="s">
        <v>1097</v>
      </c>
      <c r="DN178" s="14">
        <f t="shared" si="249"/>
        <v>4</v>
      </c>
      <c r="DO178" s="14" t="str">
        <f t="shared" si="250"/>
        <v>夏侯渊-4星</v>
      </c>
      <c r="DP178" s="136" t="s">
        <v>1103</v>
      </c>
      <c r="DQ178" s="14">
        <f t="shared" si="266"/>
        <v>32000</v>
      </c>
      <c r="DR178" s="14" t="str">
        <f t="shared" si="251"/>
        <v>夏侯渊碎片</v>
      </c>
      <c r="DS178" s="14">
        <f t="shared" si="267"/>
        <v>80</v>
      </c>
    </row>
    <row r="179" spans="8:123" ht="16.5" x14ac:dyDescent="0.2">
      <c r="H179" s="15"/>
      <c r="I179" s="15"/>
      <c r="J179" s="15"/>
      <c r="K179" s="15"/>
      <c r="L179" s="15"/>
      <c r="M179" s="15"/>
      <c r="N179" s="15"/>
      <c r="O179" s="137"/>
      <c r="P179" s="141"/>
      <c r="Q179" s="141"/>
      <c r="R179" s="141"/>
      <c r="S179" s="141"/>
      <c r="T179" s="141"/>
      <c r="U179" s="141"/>
      <c r="V179" s="141"/>
      <c r="W179" s="141"/>
      <c r="X179" s="141"/>
      <c r="Y179" s="141"/>
      <c r="Z179" s="196">
        <v>5</v>
      </c>
      <c r="AA179" s="196">
        <v>19</v>
      </c>
      <c r="AB179" s="14">
        <f>ROUND(INDEX(挂机升级突破!DT$6:DT$57,卡牌消耗!$AA179)*INDEX(卡牌消耗!$B$5:$F$5,卡牌消耗!$Z179)/卡牌消耗!$Q$4/AB$2,0)*AB$2</f>
        <v>0</v>
      </c>
      <c r="AC179" s="14">
        <f>ROUND(INDEX(挂机升级突破!DU$6:DU$57,卡牌消耗!$AA179)*INDEX(卡牌消耗!$B$5:$F$5,卡牌消耗!$Z179)/卡牌消耗!$Q$4/AC$2,0)*AC$2</f>
        <v>0</v>
      </c>
      <c r="AD179" s="14">
        <f>ROUND(INDEX(挂机升级突破!DV$6:DV$57,卡牌消耗!$AA179)*INDEX(卡牌消耗!$B$5:$F$5,卡牌消耗!$Z179)/卡牌消耗!$Q$4/AD$2,0)*AD$2</f>
        <v>70</v>
      </c>
      <c r="AE179" s="14">
        <f>ROUND(INDEX(挂机升级突破!DW$6:DW$57,卡牌消耗!$AA179)*INDEX(卡牌消耗!$B$5:$F$5,卡牌消耗!$Z179)/卡牌消耗!$Q$4/AE$2,0)*AE$2</f>
        <v>0</v>
      </c>
      <c r="AF179" s="14">
        <f>ROUND(INDEX(挂机升级突破!DX$6:DX$57,卡牌消耗!$AA179)*INDEX(卡牌消耗!$B$5:$F$5,卡牌消耗!$Z179)/卡牌消耗!$Q$4/AF$2,0)*AF$2</f>
        <v>0</v>
      </c>
      <c r="AG179" s="14">
        <f>ROUND(INDEX(挂机升级突破!EC$6:EC$57,卡牌消耗!$AA179)*INDEX(卡牌消耗!$B$7:$F$7,卡牌消耗!$Z179)/卡牌消耗!$Q$4/AG$2,0)*AG$2</f>
        <v>0</v>
      </c>
      <c r="AH179" s="14">
        <f>ROUND(INDEX(挂机升级突破!ED$6:ED$57,卡牌消耗!$AA179)*INDEX(卡牌消耗!$B$8:$F$8,卡牌消耗!$Z179)/卡牌消耗!$Q$4/AH$2,0)*AH$2</f>
        <v>8200</v>
      </c>
      <c r="AI179" s="194"/>
      <c r="AJ179" s="194"/>
      <c r="AK179" s="104">
        <v>175</v>
      </c>
      <c r="AL179" s="14">
        <f t="shared" si="252"/>
        <v>4</v>
      </c>
      <c r="AM179" s="14">
        <f>INDEX(挂机升级突破!DQ$6:DQ$57,卡牌消耗!$AT179)</f>
        <v>11</v>
      </c>
      <c r="AN179" s="14">
        <f>INDEX(挂机升级突破!DR$6:DR$57,卡牌消耗!$AT179)</f>
        <v>3</v>
      </c>
      <c r="AO179" s="14">
        <f>INDEX(挂机升级突破!DS$6:DS$57,卡牌消耗!$AT179)</f>
        <v>0</v>
      </c>
      <c r="AP179" s="14">
        <f>INDEX(挂机升级突破!$DP$6:$DP$57,卡牌消耗!AT179)</f>
        <v>65</v>
      </c>
      <c r="AQ179" s="14" t="str">
        <f t="shared" si="253"/>
        <v>唐流雨</v>
      </c>
      <c r="AR179" s="14">
        <f t="shared" si="254"/>
        <v>2</v>
      </c>
      <c r="AS179" s="14" t="str">
        <f t="shared" si="255"/>
        <v>唐流雨魂火-19</v>
      </c>
      <c r="AT179" s="14">
        <f t="shared" si="256"/>
        <v>19</v>
      </c>
      <c r="AU179" s="14" t="str">
        <f>IF(AM179&gt;0,INDEX(挂机升级突破!$DT$4:$ED$4,AM179),"")</f>
        <v>金币</v>
      </c>
      <c r="AV179" s="14">
        <f>ROUND(INDEX(挂机升级突破!$DJ$6:$DJ$57,卡牌消耗!AT179)*INDEX(卡牌消耗!$B$8:$F$8,AR179)/$Q$4/50,0)*50</f>
        <v>2850</v>
      </c>
      <c r="AW179" s="14" t="str">
        <f>IF(AN179&gt;0,INDEX(挂机升级突破!$DT$4:$ED$4,AN179),"")</f>
        <v>紫色基础材料</v>
      </c>
      <c r="AX179" s="14">
        <f>ROUND(INDEX(挂机升级突破!$DT$6:$ED$57,卡牌消耗!AT179,AN179)*INDEX(卡牌消耗!$B$5:$F$5,AR179)/$Q$4/5,0)*5</f>
        <v>35</v>
      </c>
      <c r="AY179" s="14" t="str">
        <f>IF(AO179&gt;0,INDEX(挂机升级突破!$DT$4:$ED$4,AO179),"")</f>
        <v/>
      </c>
      <c r="AZ179" s="14" t="str">
        <f>IF(AO179&gt;0,ROUND(INDEX(挂机升级突破!$DT$6:$ED$57,卡牌消耗!AT179,AO179)*INDEX(卡牌消耗!$B$7:$F$7,AR179)/$Q$4,0),"")</f>
        <v/>
      </c>
      <c r="BA179" s="106"/>
      <c r="BB179" s="197"/>
      <c r="BC179" s="197"/>
      <c r="BD179" s="197"/>
      <c r="BE179" s="197"/>
      <c r="BF179" s="197"/>
      <c r="BG179" s="197"/>
      <c r="BH179" s="197"/>
      <c r="BI179" s="197"/>
      <c r="BJ179" s="197"/>
      <c r="BK179" s="197"/>
      <c r="BL179" s="104">
        <v>175</v>
      </c>
      <c r="BM179" s="14">
        <f t="shared" si="257"/>
        <v>9</v>
      </c>
      <c r="BN179" s="14">
        <f>INDEX(挂机升级突破!$EI$7:$EI$26,BS179)</f>
        <v>5</v>
      </c>
      <c r="BO179" s="14">
        <f>INDEX(挂机升级突破!$EJ$7:$EJ$26,BS179)</f>
        <v>3</v>
      </c>
      <c r="BP179" s="14">
        <f t="shared" si="258"/>
        <v>3</v>
      </c>
      <c r="BQ179" s="14">
        <f>INDEX(挂机升级突破!$EH$7:$EH$26,卡牌消耗!BS179)</f>
        <v>102</v>
      </c>
      <c r="BR179" s="14" t="str">
        <f t="shared" si="259"/>
        <v>徐晃</v>
      </c>
      <c r="BS179" s="14">
        <f t="shared" si="260"/>
        <v>15</v>
      </c>
      <c r="BT179" s="14" t="str">
        <f t="shared" si="261"/>
        <v>徐晃15突</v>
      </c>
      <c r="BU179" s="14" t="str">
        <f>IF(BN179&gt;0,INDEX(挂机升级突破!$ER$5:$EV$5,卡牌消耗!BN179),"")</f>
        <v>金币</v>
      </c>
      <c r="BV179" s="14">
        <f>IF(BN179&gt;0,ROUND(INDEX(挂机升级突破!$EV$7:$EV$26,卡牌消耗!BS179)*INDEX(卡牌消耗!$B$8:$F$8,BP179)/$Q$4/500,0)*500,"")</f>
        <v>44500</v>
      </c>
      <c r="BW179" s="14" t="str">
        <f>IF(BO179&gt;0,INDEX(挂机升级突破!$ER$5:$EV$5,卡牌消耗!BO179),"")</f>
        <v>银母</v>
      </c>
      <c r="BX179" s="14">
        <f>IF(BO179&gt;0,ROUND(INDEX(挂机升级突破!$ER$7:$EU$26,卡牌消耗!BS179,卡牌消耗!BO179)*INDEX($B$6:$F$6,BP179)/$Q$4/5,0)*5,"")</f>
        <v>70</v>
      </c>
      <c r="BY179" s="193"/>
      <c r="BZ179" s="193"/>
      <c r="CA179" s="106"/>
      <c r="CS179" s="171"/>
      <c r="CT179" s="171"/>
      <c r="CU179" s="171"/>
      <c r="CV179" s="170"/>
      <c r="CW179" s="170"/>
      <c r="CX179" s="170"/>
      <c r="CY179" s="170"/>
      <c r="CZ179" s="170"/>
      <c r="DI179" s="186">
        <v>175</v>
      </c>
      <c r="DJ179" s="14">
        <f t="shared" si="265"/>
        <v>35</v>
      </c>
      <c r="DK179" s="14">
        <f t="shared" si="247"/>
        <v>4</v>
      </c>
      <c r="DL179" s="14">
        <f t="shared" si="248"/>
        <v>1102008</v>
      </c>
      <c r="DM179" s="136" t="s">
        <v>1097</v>
      </c>
      <c r="DN179" s="14">
        <f t="shared" si="249"/>
        <v>5</v>
      </c>
      <c r="DO179" s="14" t="str">
        <f t="shared" si="250"/>
        <v>夏侯渊-5星</v>
      </c>
      <c r="DP179" s="136" t="s">
        <v>1103</v>
      </c>
      <c r="DQ179" s="14">
        <f t="shared" si="266"/>
        <v>60000</v>
      </c>
      <c r="DR179" s="14" t="str">
        <f t="shared" si="251"/>
        <v>夏侯渊碎片</v>
      </c>
      <c r="DS179" s="14">
        <f t="shared" si="267"/>
        <v>80</v>
      </c>
    </row>
    <row r="180" spans="8:123" ht="16.5" x14ac:dyDescent="0.2">
      <c r="H180" s="15"/>
      <c r="I180" s="15"/>
      <c r="J180" s="15"/>
      <c r="K180" s="15"/>
      <c r="L180" s="15"/>
      <c r="M180" s="15"/>
      <c r="N180" s="15"/>
      <c r="O180" s="137"/>
      <c r="P180" s="141"/>
      <c r="Q180" s="141"/>
      <c r="R180" s="141"/>
      <c r="S180" s="141"/>
      <c r="T180" s="141"/>
      <c r="U180" s="141"/>
      <c r="V180" s="141"/>
      <c r="W180" s="141"/>
      <c r="X180" s="141"/>
      <c r="Y180" s="141"/>
      <c r="Z180" s="196">
        <v>5</v>
      </c>
      <c r="AA180" s="196">
        <v>20</v>
      </c>
      <c r="AB180" s="14">
        <f>ROUND(INDEX(挂机升级突破!DT$6:DT$57,卡牌消耗!$AA180)*INDEX(卡牌消耗!$B$5:$F$5,卡牌消耗!$Z180)/卡牌消耗!$Q$4/AB$2,0)*AB$2</f>
        <v>0</v>
      </c>
      <c r="AC180" s="14">
        <f>ROUND(INDEX(挂机升级突破!DU$6:DU$57,卡牌消耗!$AA180)*INDEX(卡牌消耗!$B$5:$F$5,卡牌消耗!$Z180)/卡牌消耗!$Q$4/AC$2,0)*AC$2</f>
        <v>0</v>
      </c>
      <c r="AD180" s="14">
        <f>ROUND(INDEX(挂机升级突破!DV$6:DV$57,卡牌消耗!$AA180)*INDEX(卡牌消耗!$B$5:$F$5,卡牌消耗!$Z180)/卡牌消耗!$Q$4/AD$2,0)*AD$2</f>
        <v>105</v>
      </c>
      <c r="AE180" s="14">
        <f>ROUND(INDEX(挂机升级突破!DW$6:DW$57,卡牌消耗!$AA180)*INDEX(卡牌消耗!$B$5:$F$5,卡牌消耗!$Z180)/卡牌消耗!$Q$4/AE$2,0)*AE$2</f>
        <v>0</v>
      </c>
      <c r="AF180" s="14">
        <f>ROUND(INDEX(挂机升级突破!DX$6:DX$57,卡牌消耗!$AA180)*INDEX(卡牌消耗!$B$5:$F$5,卡牌消耗!$Z180)/卡牌消耗!$Q$4/AF$2,0)*AF$2</f>
        <v>0</v>
      </c>
      <c r="AG180" s="14">
        <f>ROUND(INDEX(挂机升级突破!EC$6:EC$57,卡牌消耗!$AA180)*INDEX(卡牌消耗!$B$7:$F$7,卡牌消耗!$Z180)/卡牌消耗!$Q$4/AG$2,0)*AG$2</f>
        <v>0</v>
      </c>
      <c r="AH180" s="14">
        <f>ROUND(INDEX(挂机升级突破!ED$6:ED$57,卡牌消耗!$AA180)*INDEX(卡牌消耗!$B$8:$F$8,卡牌消耗!$Z180)/卡牌消耗!$Q$4/AH$2,0)*AH$2</f>
        <v>10050</v>
      </c>
      <c r="AI180" s="194"/>
      <c r="AJ180" s="194"/>
      <c r="AK180" s="104">
        <v>176</v>
      </c>
      <c r="AL180" s="14">
        <f t="shared" si="252"/>
        <v>4</v>
      </c>
      <c r="AM180" s="14">
        <f>INDEX(挂机升级突破!DQ$6:DQ$57,卡牌消耗!$AT180)</f>
        <v>11</v>
      </c>
      <c r="AN180" s="14">
        <f>INDEX(挂机升级突破!DR$6:DR$57,卡牌消耗!$AT180)</f>
        <v>3</v>
      </c>
      <c r="AO180" s="14">
        <f>INDEX(挂机升级突破!DS$6:DS$57,卡牌消耗!$AT180)</f>
        <v>0</v>
      </c>
      <c r="AP180" s="14">
        <f>INDEX(挂机升级突破!$DP$6:$DP$57,卡牌消耗!AT180)</f>
        <v>68</v>
      </c>
      <c r="AQ180" s="14" t="str">
        <f t="shared" si="253"/>
        <v>唐流雨</v>
      </c>
      <c r="AR180" s="14">
        <f t="shared" si="254"/>
        <v>2</v>
      </c>
      <c r="AS180" s="14" t="str">
        <f t="shared" si="255"/>
        <v>唐流雨魂火-20</v>
      </c>
      <c r="AT180" s="14">
        <f t="shared" si="256"/>
        <v>20</v>
      </c>
      <c r="AU180" s="14" t="str">
        <f>IF(AM180&gt;0,INDEX(挂机升级突破!$DT$4:$ED$4,AM180),"")</f>
        <v>金币</v>
      </c>
      <c r="AV180" s="14">
        <f>ROUND(INDEX(挂机升级突破!$DJ$6:$DJ$57,卡牌消耗!AT180)*INDEX(卡牌消耗!$B$8:$F$8,AR180)/$Q$4/50,0)*50</f>
        <v>3500</v>
      </c>
      <c r="AW180" s="14" t="str">
        <f>IF(AN180&gt;0,INDEX(挂机升级突破!$DT$4:$ED$4,AN180),"")</f>
        <v>紫色基础材料</v>
      </c>
      <c r="AX180" s="14">
        <f>ROUND(INDEX(挂机升级突破!$DT$6:$ED$57,卡牌消耗!AT180,AN180)*INDEX(卡牌消耗!$B$5:$F$5,AR180)/$Q$4/5,0)*5</f>
        <v>55</v>
      </c>
      <c r="AY180" s="14" t="str">
        <f>IF(AO180&gt;0,INDEX(挂机升级突破!$DT$4:$ED$4,AO180),"")</f>
        <v/>
      </c>
      <c r="AZ180" s="14" t="str">
        <f>IF(AO180&gt;0,ROUND(INDEX(挂机升级突破!$DT$6:$ED$57,卡牌消耗!AT180,AO180)*INDEX(卡牌消耗!$B$7:$F$7,AR180)/$Q$4,0),"")</f>
        <v/>
      </c>
      <c r="BA180" s="106"/>
      <c r="BB180" s="197"/>
      <c r="BC180" s="197"/>
      <c r="BD180" s="197"/>
      <c r="BE180" s="197"/>
      <c r="BF180" s="197"/>
      <c r="BG180" s="197"/>
      <c r="BH180" s="197"/>
      <c r="BI180" s="197"/>
      <c r="BJ180" s="197"/>
      <c r="BK180" s="197"/>
      <c r="BL180" s="104">
        <v>176</v>
      </c>
      <c r="BM180" s="14">
        <f t="shared" si="257"/>
        <v>9</v>
      </c>
      <c r="BN180" s="14">
        <f>INDEX(挂机升级突破!$EI$7:$EI$26,BS180)</f>
        <v>5</v>
      </c>
      <c r="BO180" s="14">
        <f>INDEX(挂机升级突破!$EJ$7:$EJ$26,BS180)</f>
        <v>3</v>
      </c>
      <c r="BP180" s="14">
        <f t="shared" si="258"/>
        <v>3</v>
      </c>
      <c r="BQ180" s="14">
        <f>INDEX(挂机升级突破!$EH$7:$EH$26,卡牌消耗!BS180)</f>
        <v>110</v>
      </c>
      <c r="BR180" s="14" t="str">
        <f t="shared" si="259"/>
        <v>徐晃</v>
      </c>
      <c r="BS180" s="14">
        <f t="shared" si="260"/>
        <v>16</v>
      </c>
      <c r="BT180" s="14" t="str">
        <f t="shared" si="261"/>
        <v>徐晃16突</v>
      </c>
      <c r="BU180" s="14" t="str">
        <f>IF(BN180&gt;0,INDEX(挂机升级突破!$ER$5:$EV$5,卡牌消耗!BN180),"")</f>
        <v>金币</v>
      </c>
      <c r="BV180" s="14">
        <f>IF(BN180&gt;0,ROUND(INDEX(挂机升级突破!$EV$7:$EV$26,卡牌消耗!BS180)*INDEX(卡牌消耗!$B$8:$F$8,BP180)/$Q$4/500,0)*500,"")</f>
        <v>80500</v>
      </c>
      <c r="BW180" s="14" t="str">
        <f>IF(BO180&gt;0,INDEX(挂机升级突破!$ER$5:$EV$5,卡牌消耗!BO180),"")</f>
        <v>银母</v>
      </c>
      <c r="BX180" s="14">
        <f>IF(BO180&gt;0,ROUND(INDEX(挂机升级突破!$ER$7:$EU$26,卡牌消耗!BS180,卡牌消耗!BO180)*INDEX($B$6:$F$6,BP180)/$Q$4/5,0)*5,"")</f>
        <v>90</v>
      </c>
      <c r="BY180" s="193"/>
      <c r="BZ180" s="193"/>
      <c r="CA180" s="106"/>
      <c r="CS180" s="171"/>
      <c r="CT180" s="171"/>
      <c r="CU180" s="171"/>
      <c r="CV180" s="170"/>
      <c r="CW180" s="170"/>
      <c r="CX180" s="170"/>
      <c r="CY180" s="170"/>
      <c r="CZ180" s="170"/>
      <c r="DI180" s="186">
        <v>176</v>
      </c>
      <c r="DJ180" s="14">
        <f t="shared" si="265"/>
        <v>36</v>
      </c>
      <c r="DK180" s="14">
        <f t="shared" si="247"/>
        <v>3</v>
      </c>
      <c r="DL180" s="14">
        <f t="shared" si="248"/>
        <v>1102009</v>
      </c>
      <c r="DM180" s="136" t="s">
        <v>1097</v>
      </c>
      <c r="DN180" s="14">
        <f t="shared" si="249"/>
        <v>1</v>
      </c>
      <c r="DO180" s="14" t="str">
        <f t="shared" si="250"/>
        <v>徐晃-1星</v>
      </c>
      <c r="DP180" s="136" t="s">
        <v>1103</v>
      </c>
      <c r="DQ180" s="14">
        <f t="shared" si="266"/>
        <v>4000</v>
      </c>
      <c r="DR180" s="14" t="str">
        <f t="shared" si="251"/>
        <v>徐晃碎片</v>
      </c>
      <c r="DS180" s="14">
        <f t="shared" si="267"/>
        <v>40</v>
      </c>
    </row>
    <row r="181" spans="8:123" ht="16.5" x14ac:dyDescent="0.2">
      <c r="H181" s="15"/>
      <c r="I181" s="15"/>
      <c r="J181" s="15"/>
      <c r="K181" s="15"/>
      <c r="L181" s="15"/>
      <c r="M181" s="15"/>
      <c r="N181" s="15"/>
      <c r="O181" s="137"/>
      <c r="P181" s="141"/>
      <c r="Q181" s="141"/>
      <c r="R181" s="141"/>
      <c r="S181" s="141"/>
      <c r="T181" s="141"/>
      <c r="U181" s="141"/>
      <c r="V181" s="141"/>
      <c r="W181" s="141"/>
      <c r="X181" s="141"/>
      <c r="Y181" s="141"/>
      <c r="Z181" s="196">
        <v>5</v>
      </c>
      <c r="AA181" s="196">
        <v>21</v>
      </c>
      <c r="AB181" s="14">
        <f>ROUND(INDEX(挂机升级突破!DT$6:DT$57,卡牌消耗!$AA181)*INDEX(卡牌消耗!$B$5:$F$5,卡牌消耗!$Z181)/卡牌消耗!$Q$4/AB$2,0)*AB$2</f>
        <v>0</v>
      </c>
      <c r="AC181" s="14">
        <f>ROUND(INDEX(挂机升级突破!DU$6:DU$57,卡牌消耗!$AA181)*INDEX(卡牌消耗!$B$5:$F$5,卡牌消耗!$Z181)/卡牌消耗!$Q$4/AC$2,0)*AC$2</f>
        <v>0</v>
      </c>
      <c r="AD181" s="14">
        <f>ROUND(INDEX(挂机升级突破!DV$6:DV$57,卡牌消耗!$AA181)*INDEX(卡牌消耗!$B$5:$F$5,卡牌消耗!$Z181)/卡牌消耗!$Q$4/AD$2,0)*AD$2</f>
        <v>105</v>
      </c>
      <c r="AE181" s="14">
        <f>ROUND(INDEX(挂机升级突破!DW$6:DW$57,卡牌消耗!$AA181)*INDEX(卡牌消耗!$B$5:$F$5,卡牌消耗!$Z181)/卡牌消耗!$Q$4/AE$2,0)*AE$2</f>
        <v>0</v>
      </c>
      <c r="AF181" s="14">
        <f>ROUND(INDEX(挂机升级突破!DX$6:DX$57,卡牌消耗!$AA181)*INDEX(卡牌消耗!$B$5:$F$5,卡牌消耗!$Z181)/卡牌消耗!$Q$4/AF$2,0)*AF$2</f>
        <v>0</v>
      </c>
      <c r="AG181" s="14">
        <f>ROUND(INDEX(挂机升级突破!EC$6:EC$57,卡牌消耗!$AA181)*INDEX(卡牌消耗!$B$7:$F$7,卡牌消耗!$Z181)/卡牌消耗!$Q$4/AG$2,0)*AG$2</f>
        <v>0</v>
      </c>
      <c r="AH181" s="14">
        <f>ROUND(INDEX(挂机升级突破!ED$6:ED$57,卡牌消耗!$AA181)*INDEX(卡牌消耗!$B$8:$F$8,卡牌消耗!$Z181)/卡牌消耗!$Q$4/AH$2,0)*AH$2</f>
        <v>10050</v>
      </c>
      <c r="AI181" s="194"/>
      <c r="AJ181" s="194"/>
      <c r="AK181" s="104">
        <v>177</v>
      </c>
      <c r="AL181" s="14">
        <f t="shared" si="252"/>
        <v>4</v>
      </c>
      <c r="AM181" s="14">
        <f>INDEX(挂机升级突破!DQ$6:DQ$57,卡牌消耗!$AT181)</f>
        <v>11</v>
      </c>
      <c r="AN181" s="14">
        <f>INDEX(挂机升级突破!DR$6:DR$57,卡牌消耗!$AT181)</f>
        <v>3</v>
      </c>
      <c r="AO181" s="14">
        <f>INDEX(挂机升级突破!DS$6:DS$57,卡牌消耗!$AT181)</f>
        <v>0</v>
      </c>
      <c r="AP181" s="14">
        <f>INDEX(挂机升级突破!$DP$6:$DP$57,卡牌消耗!AT181)</f>
        <v>70</v>
      </c>
      <c r="AQ181" s="14" t="str">
        <f t="shared" si="253"/>
        <v>唐流雨</v>
      </c>
      <c r="AR181" s="14">
        <f t="shared" si="254"/>
        <v>2</v>
      </c>
      <c r="AS181" s="14" t="str">
        <f t="shared" si="255"/>
        <v>唐流雨魂火-21</v>
      </c>
      <c r="AT181" s="14">
        <f t="shared" si="256"/>
        <v>21</v>
      </c>
      <c r="AU181" s="14" t="str">
        <f>IF(AM181&gt;0,INDEX(挂机升级突破!$DT$4:$ED$4,AM181),"")</f>
        <v>金币</v>
      </c>
      <c r="AV181" s="14">
        <f>ROUND(INDEX(挂机升级突破!$DJ$6:$DJ$57,卡牌消耗!AT181)*INDEX(卡牌消耗!$B$8:$F$8,AR181)/$Q$4/50,0)*50</f>
        <v>3500</v>
      </c>
      <c r="AW181" s="14" t="str">
        <f>IF(AN181&gt;0,INDEX(挂机升级突破!$DT$4:$ED$4,AN181),"")</f>
        <v>紫色基础材料</v>
      </c>
      <c r="AX181" s="14">
        <f>ROUND(INDEX(挂机升级突破!$DT$6:$ED$57,卡牌消耗!AT181,AN181)*INDEX(卡牌消耗!$B$5:$F$5,AR181)/$Q$4/5,0)*5</f>
        <v>55</v>
      </c>
      <c r="AY181" s="14" t="str">
        <f>IF(AO181&gt;0,INDEX(挂机升级突破!$DT$4:$ED$4,AO181),"")</f>
        <v/>
      </c>
      <c r="AZ181" s="14" t="str">
        <f>IF(AO181&gt;0,ROUND(INDEX(挂机升级突破!$DT$6:$ED$57,卡牌消耗!AT181,AO181)*INDEX(卡牌消耗!$B$7:$F$7,AR181)/$Q$4,0),"")</f>
        <v/>
      </c>
      <c r="BA181" s="106"/>
      <c r="BB181" s="197"/>
      <c r="BC181" s="197"/>
      <c r="BD181" s="197"/>
      <c r="BE181" s="197"/>
      <c r="BF181" s="197"/>
      <c r="BG181" s="197"/>
      <c r="BH181" s="197"/>
      <c r="BI181" s="197"/>
      <c r="BJ181" s="197"/>
      <c r="BK181" s="197"/>
      <c r="BL181" s="104">
        <v>177</v>
      </c>
      <c r="BM181" s="14">
        <f t="shared" si="257"/>
        <v>9</v>
      </c>
      <c r="BN181" s="14">
        <f>INDEX(挂机升级突破!$EI$7:$EI$26,BS181)</f>
        <v>5</v>
      </c>
      <c r="BO181" s="14">
        <f>INDEX(挂机升级突破!$EJ$7:$EJ$26,BS181)</f>
        <v>4</v>
      </c>
      <c r="BP181" s="14">
        <f t="shared" si="258"/>
        <v>3</v>
      </c>
      <c r="BQ181" s="14">
        <f>INDEX(挂机升级突破!$EH$7:$EH$26,卡牌消耗!BS181)</f>
        <v>117</v>
      </c>
      <c r="BR181" s="14" t="str">
        <f t="shared" si="259"/>
        <v>徐晃</v>
      </c>
      <c r="BS181" s="14">
        <f t="shared" si="260"/>
        <v>17</v>
      </c>
      <c r="BT181" s="14" t="str">
        <f t="shared" si="261"/>
        <v>徐晃17突</v>
      </c>
      <c r="BU181" s="14" t="str">
        <f>IF(BN181&gt;0,INDEX(挂机升级突破!$ER$5:$EV$5,卡牌消耗!BN181),"")</f>
        <v>金币</v>
      </c>
      <c r="BV181" s="14">
        <f>IF(BN181&gt;0,ROUND(INDEX(挂机升级突破!$EV$7:$EV$26,卡牌消耗!BS181)*INDEX(卡牌消耗!$B$8:$F$8,BP181)/$Q$4/500,0)*500,"")</f>
        <v>80500</v>
      </c>
      <c r="BW181" s="14" t="str">
        <f>IF(BO181&gt;0,INDEX(挂机升级突破!$ER$5:$EV$5,卡牌消耗!BO181),"")</f>
        <v>铀金</v>
      </c>
      <c r="BX181" s="14">
        <f>IF(BO181&gt;0,ROUND(INDEX(挂机升级突破!$ER$7:$EU$26,卡牌消耗!BS181,卡牌消耗!BO181)*INDEX($B$6:$F$6,BP181)/$Q$4/5,0)*5,"")</f>
        <v>20</v>
      </c>
      <c r="BY181" s="193"/>
      <c r="BZ181" s="193"/>
      <c r="CA181" s="106"/>
      <c r="CS181" s="171"/>
      <c r="CT181" s="171"/>
      <c r="CU181" s="171"/>
      <c r="CV181" s="170"/>
      <c r="CW181" s="170"/>
      <c r="CX181" s="170"/>
      <c r="CY181" s="170"/>
      <c r="CZ181" s="170"/>
      <c r="DI181" s="186">
        <v>177</v>
      </c>
      <c r="DJ181" s="14">
        <f t="shared" si="265"/>
        <v>36</v>
      </c>
      <c r="DK181" s="14">
        <f t="shared" si="247"/>
        <v>3</v>
      </c>
      <c r="DL181" s="14">
        <f t="shared" si="248"/>
        <v>1102009</v>
      </c>
      <c r="DM181" s="136" t="s">
        <v>1097</v>
      </c>
      <c r="DN181" s="14">
        <f t="shared" si="249"/>
        <v>2</v>
      </c>
      <c r="DO181" s="14" t="str">
        <f t="shared" si="250"/>
        <v>徐晃-2星</v>
      </c>
      <c r="DP181" s="136" t="s">
        <v>1103</v>
      </c>
      <c r="DQ181" s="14">
        <f t="shared" si="266"/>
        <v>5000</v>
      </c>
      <c r="DR181" s="14" t="str">
        <f t="shared" si="251"/>
        <v>徐晃碎片</v>
      </c>
      <c r="DS181" s="14">
        <f t="shared" si="267"/>
        <v>40</v>
      </c>
    </row>
    <row r="182" spans="8:123" ht="16.5" x14ac:dyDescent="0.2">
      <c r="H182" s="15"/>
      <c r="I182" s="15"/>
      <c r="J182" s="15"/>
      <c r="K182" s="15"/>
      <c r="L182" s="15"/>
      <c r="M182" s="15"/>
      <c r="N182" s="15"/>
      <c r="O182" s="137"/>
      <c r="P182" s="141"/>
      <c r="Q182" s="141"/>
      <c r="R182" s="141"/>
      <c r="S182" s="141"/>
      <c r="T182" s="141"/>
      <c r="U182" s="141"/>
      <c r="V182" s="141"/>
      <c r="W182" s="141"/>
      <c r="X182" s="141"/>
      <c r="Y182" s="141"/>
      <c r="Z182" s="196">
        <v>5</v>
      </c>
      <c r="AA182" s="196">
        <v>22</v>
      </c>
      <c r="AB182" s="14">
        <f>ROUND(INDEX(挂机升级突破!DT$6:DT$57,卡牌消耗!$AA182)*INDEX(卡牌消耗!$B$5:$F$5,卡牌消耗!$Z182)/卡牌消耗!$Q$4/AB$2,0)*AB$2</f>
        <v>0</v>
      </c>
      <c r="AC182" s="14">
        <f>ROUND(INDEX(挂机升级突破!DU$6:DU$57,卡牌消耗!$AA182)*INDEX(卡牌消耗!$B$5:$F$5,卡牌消耗!$Z182)/卡牌消耗!$Q$4/AC$2,0)*AC$2</f>
        <v>0</v>
      </c>
      <c r="AD182" s="14">
        <f>ROUND(INDEX(挂机升级突破!DV$6:DV$57,卡牌消耗!$AA182)*INDEX(卡牌消耗!$B$5:$F$5,卡牌消耗!$Z182)/卡牌消耗!$Q$4/AD$2,0)*AD$2</f>
        <v>105</v>
      </c>
      <c r="AE182" s="14">
        <f>ROUND(INDEX(挂机升级突破!DW$6:DW$57,卡牌消耗!$AA182)*INDEX(卡牌消耗!$B$5:$F$5,卡牌消耗!$Z182)/卡牌消耗!$Q$4/AE$2,0)*AE$2</f>
        <v>0</v>
      </c>
      <c r="AF182" s="14">
        <f>ROUND(INDEX(挂机升级突破!DX$6:DX$57,卡牌消耗!$AA182)*INDEX(卡牌消耗!$B$5:$F$5,卡牌消耗!$Z182)/卡牌消耗!$Q$4/AF$2,0)*AF$2</f>
        <v>0</v>
      </c>
      <c r="AG182" s="14">
        <f>ROUND(INDEX(挂机升级突破!EC$6:EC$57,卡牌消耗!$AA182)*INDEX(卡牌消耗!$B$7:$F$7,卡牌消耗!$Z182)/卡牌消耗!$Q$4/AG$2,0)*AG$2</f>
        <v>0</v>
      </c>
      <c r="AH182" s="14">
        <f>ROUND(INDEX(挂机升级突破!ED$6:ED$57,卡牌消耗!$AA182)*INDEX(卡牌消耗!$B$8:$F$8,卡牌消耗!$Z182)/卡牌消耗!$Q$4/AH$2,0)*AH$2</f>
        <v>10050</v>
      </c>
      <c r="AI182" s="194"/>
      <c r="AJ182" s="194"/>
      <c r="AK182" s="104">
        <v>178</v>
      </c>
      <c r="AL182" s="14">
        <f t="shared" si="252"/>
        <v>4</v>
      </c>
      <c r="AM182" s="14">
        <f>INDEX(挂机升级突破!DQ$6:DQ$57,卡牌消耗!$AT182)</f>
        <v>11</v>
      </c>
      <c r="AN182" s="14">
        <f>INDEX(挂机升级突破!DR$6:DR$57,卡牌消耗!$AT182)</f>
        <v>3</v>
      </c>
      <c r="AO182" s="14">
        <f>INDEX(挂机升级突破!DS$6:DS$57,卡牌消耗!$AT182)</f>
        <v>0</v>
      </c>
      <c r="AP182" s="14">
        <f>INDEX(挂机升级突破!$DP$6:$DP$57,卡牌消耗!AT182)</f>
        <v>73</v>
      </c>
      <c r="AQ182" s="14" t="str">
        <f t="shared" si="253"/>
        <v>唐流雨</v>
      </c>
      <c r="AR182" s="14">
        <f t="shared" si="254"/>
        <v>2</v>
      </c>
      <c r="AS182" s="14" t="str">
        <f t="shared" si="255"/>
        <v>唐流雨魂火-22</v>
      </c>
      <c r="AT182" s="14">
        <f t="shared" si="256"/>
        <v>22</v>
      </c>
      <c r="AU182" s="14" t="str">
        <f>IF(AM182&gt;0,INDEX(挂机升级突破!$DT$4:$ED$4,AM182),"")</f>
        <v>金币</v>
      </c>
      <c r="AV182" s="14">
        <f>ROUND(INDEX(挂机升级突破!$DJ$6:$DJ$57,卡牌消耗!AT182)*INDEX(卡牌消耗!$B$8:$F$8,AR182)/$Q$4/50,0)*50</f>
        <v>3500</v>
      </c>
      <c r="AW182" s="14" t="str">
        <f>IF(AN182&gt;0,INDEX(挂机升级突破!$DT$4:$ED$4,AN182),"")</f>
        <v>紫色基础材料</v>
      </c>
      <c r="AX182" s="14">
        <f>ROUND(INDEX(挂机升级突破!$DT$6:$ED$57,卡牌消耗!AT182,AN182)*INDEX(卡牌消耗!$B$5:$F$5,AR182)/$Q$4/5,0)*5</f>
        <v>55</v>
      </c>
      <c r="AY182" s="14" t="str">
        <f>IF(AO182&gt;0,INDEX(挂机升级突破!$DT$4:$ED$4,AO182),"")</f>
        <v/>
      </c>
      <c r="AZ182" s="14" t="str">
        <f>IF(AO182&gt;0,ROUND(INDEX(挂机升级突破!$DT$6:$ED$57,卡牌消耗!AT182,AO182)*INDEX(卡牌消耗!$B$7:$F$7,AR182)/$Q$4,0),"")</f>
        <v/>
      </c>
      <c r="BA182" s="106"/>
      <c r="BB182" s="197"/>
      <c r="BC182" s="197"/>
      <c r="BD182" s="197"/>
      <c r="BE182" s="197"/>
      <c r="BF182" s="197"/>
      <c r="BG182" s="197"/>
      <c r="BH182" s="197"/>
      <c r="BI182" s="197"/>
      <c r="BJ182" s="197"/>
      <c r="BK182" s="197"/>
      <c r="BL182" s="104">
        <v>178</v>
      </c>
      <c r="BM182" s="14">
        <f t="shared" si="257"/>
        <v>9</v>
      </c>
      <c r="BN182" s="14">
        <f>INDEX(挂机升级突破!$EI$7:$EI$26,BS182)</f>
        <v>5</v>
      </c>
      <c r="BO182" s="14">
        <f>INDEX(挂机升级突破!$EJ$7:$EJ$26,BS182)</f>
        <v>4</v>
      </c>
      <c r="BP182" s="14">
        <f t="shared" si="258"/>
        <v>3</v>
      </c>
      <c r="BQ182" s="14">
        <f>INDEX(挂机升级突破!$EH$7:$EH$26,卡牌消耗!BS182)</f>
        <v>125</v>
      </c>
      <c r="BR182" s="14" t="str">
        <f t="shared" si="259"/>
        <v>徐晃</v>
      </c>
      <c r="BS182" s="14">
        <f t="shared" si="260"/>
        <v>18</v>
      </c>
      <c r="BT182" s="14" t="str">
        <f t="shared" si="261"/>
        <v>徐晃18突</v>
      </c>
      <c r="BU182" s="14" t="str">
        <f>IF(BN182&gt;0,INDEX(挂机升级突破!$ER$5:$EV$5,卡牌消耗!BN182),"")</f>
        <v>金币</v>
      </c>
      <c r="BV182" s="14">
        <f>IF(BN182&gt;0,ROUND(INDEX(挂机升级突破!$EV$7:$EV$26,卡牌消耗!BS182)*INDEX(卡牌消耗!$B$8:$F$8,BP182)/$Q$4/500,0)*500,"")</f>
        <v>107500</v>
      </c>
      <c r="BW182" s="14" t="str">
        <f>IF(BO182&gt;0,INDEX(挂机升级突破!$ER$5:$EV$5,卡牌消耗!BO182),"")</f>
        <v>铀金</v>
      </c>
      <c r="BX182" s="14">
        <f>IF(BO182&gt;0,ROUND(INDEX(挂机升级突破!$ER$7:$EU$26,卡牌消耗!BS182,卡牌消耗!BO182)*INDEX($B$6:$F$6,BP182)/$Q$4/5,0)*5,"")</f>
        <v>25</v>
      </c>
      <c r="BY182" s="193"/>
      <c r="BZ182" s="193"/>
      <c r="CA182" s="106"/>
      <c r="CS182" s="171"/>
      <c r="CT182" s="171"/>
      <c r="CU182" s="171"/>
      <c r="CV182" s="170"/>
      <c r="CW182" s="170"/>
      <c r="CX182" s="170"/>
      <c r="CY182" s="170"/>
      <c r="CZ182" s="170"/>
      <c r="DI182" s="186">
        <v>178</v>
      </c>
      <c r="DJ182" s="14">
        <f t="shared" si="265"/>
        <v>36</v>
      </c>
      <c r="DK182" s="14">
        <f t="shared" si="247"/>
        <v>3</v>
      </c>
      <c r="DL182" s="14">
        <f t="shared" si="248"/>
        <v>1102009</v>
      </c>
      <c r="DM182" s="136" t="s">
        <v>1097</v>
      </c>
      <c r="DN182" s="14">
        <f t="shared" si="249"/>
        <v>3</v>
      </c>
      <c r="DO182" s="14" t="str">
        <f t="shared" si="250"/>
        <v>徐晃-3星</v>
      </c>
      <c r="DP182" s="136" t="s">
        <v>1103</v>
      </c>
      <c r="DQ182" s="14">
        <f t="shared" si="266"/>
        <v>10000</v>
      </c>
      <c r="DR182" s="14" t="str">
        <f t="shared" si="251"/>
        <v>徐晃碎片</v>
      </c>
      <c r="DS182" s="14">
        <f t="shared" si="267"/>
        <v>40</v>
      </c>
    </row>
    <row r="183" spans="8:123" ht="16.5" x14ac:dyDescent="0.2">
      <c r="H183" s="15"/>
      <c r="I183" s="15"/>
      <c r="J183" s="15"/>
      <c r="K183" s="15"/>
      <c r="L183" s="15"/>
      <c r="M183" s="15"/>
      <c r="N183" s="15"/>
      <c r="O183" s="137"/>
      <c r="P183" s="141"/>
      <c r="Q183" s="141"/>
      <c r="R183" s="141"/>
      <c r="S183" s="141"/>
      <c r="T183" s="141"/>
      <c r="U183" s="141"/>
      <c r="V183" s="141"/>
      <c r="W183" s="141"/>
      <c r="X183" s="141"/>
      <c r="Y183" s="141"/>
      <c r="Z183" s="196">
        <v>5</v>
      </c>
      <c r="AA183" s="196">
        <v>23</v>
      </c>
      <c r="AB183" s="14">
        <f>ROUND(INDEX(挂机升级突破!DT$6:DT$57,卡牌消耗!$AA183)*INDEX(卡牌消耗!$B$5:$F$5,卡牌消耗!$Z183)/卡牌消耗!$Q$4/AB$2,0)*AB$2</f>
        <v>0</v>
      </c>
      <c r="AC183" s="14">
        <f>ROUND(INDEX(挂机升级突破!DU$6:DU$57,卡牌消耗!$AA183)*INDEX(卡牌消耗!$B$5:$F$5,卡牌消耗!$Z183)/卡牌消耗!$Q$4/AC$2,0)*AC$2</f>
        <v>0</v>
      </c>
      <c r="AD183" s="14">
        <f>ROUND(INDEX(挂机升级突破!DV$6:DV$57,卡牌消耗!$AA183)*INDEX(卡牌消耗!$B$5:$F$5,卡牌消耗!$Z183)/卡牌消耗!$Q$4/AD$2,0)*AD$2</f>
        <v>0</v>
      </c>
      <c r="AE183" s="14">
        <f>ROUND(INDEX(挂机升级突破!DW$6:DW$57,卡牌消耗!$AA183)*INDEX(卡牌消耗!$B$5:$F$5,卡牌消耗!$Z183)/卡牌消耗!$Q$4/AE$2,0)*AE$2</f>
        <v>30</v>
      </c>
      <c r="AF183" s="14">
        <f>ROUND(INDEX(挂机升级突破!DX$6:DX$57,卡牌消耗!$AA183)*INDEX(卡牌消耗!$B$5:$F$5,卡牌消耗!$Z183)/卡牌消耗!$Q$4/AF$2,0)*AF$2</f>
        <v>0</v>
      </c>
      <c r="AG183" s="14">
        <f>ROUND(INDEX(挂机升级突破!EC$6:EC$57,卡牌消耗!$AA183)*INDEX(卡牌消耗!$B$7:$F$7,卡牌消耗!$Z183)/卡牌消耗!$Q$4/AG$2,0)*AG$2</f>
        <v>0</v>
      </c>
      <c r="AH183" s="14">
        <f>ROUND(INDEX(挂机升级突破!ED$6:ED$57,卡牌消耗!$AA183)*INDEX(卡牌消耗!$B$8:$F$8,卡牌消耗!$Z183)/卡牌消耗!$Q$4/AH$2,0)*AH$2</f>
        <v>13800</v>
      </c>
      <c r="AI183" s="194"/>
      <c r="AJ183" s="194"/>
      <c r="AK183" s="104">
        <v>179</v>
      </c>
      <c r="AL183" s="14">
        <f t="shared" si="252"/>
        <v>4</v>
      </c>
      <c r="AM183" s="14">
        <f>INDEX(挂机升级突破!DQ$6:DQ$57,卡牌消耗!$AT183)</f>
        <v>11</v>
      </c>
      <c r="AN183" s="14">
        <f>INDEX(挂机升级突破!DR$6:DR$57,卡牌消耗!$AT183)</f>
        <v>4</v>
      </c>
      <c r="AO183" s="14">
        <f>INDEX(挂机升级突破!DS$6:DS$57,卡牌消耗!$AT183)</f>
        <v>0</v>
      </c>
      <c r="AP183" s="14">
        <f>INDEX(挂机升级突破!$DP$6:$DP$57,卡牌消耗!AT183)</f>
        <v>75</v>
      </c>
      <c r="AQ183" s="14" t="str">
        <f t="shared" si="253"/>
        <v>唐流雨</v>
      </c>
      <c r="AR183" s="14">
        <f t="shared" si="254"/>
        <v>2</v>
      </c>
      <c r="AS183" s="14" t="str">
        <f t="shared" si="255"/>
        <v>唐流雨魂火-23</v>
      </c>
      <c r="AT183" s="14">
        <f t="shared" si="256"/>
        <v>23</v>
      </c>
      <c r="AU183" s="14" t="str">
        <f>IF(AM183&gt;0,INDEX(挂机升级突破!$DT$4:$ED$4,AM183),"")</f>
        <v>金币</v>
      </c>
      <c r="AV183" s="14">
        <f>ROUND(INDEX(挂机升级突破!$DJ$6:$DJ$57,卡牌消耗!AT183)*INDEX(卡牌消耗!$B$8:$F$8,AR183)/$Q$4/50,0)*50</f>
        <v>4850</v>
      </c>
      <c r="AW183" s="14" t="str">
        <f>IF(AN183&gt;0,INDEX(挂机升级突破!$DT$4:$ED$4,AN183),"")</f>
        <v>橙色基础材料</v>
      </c>
      <c r="AX183" s="14">
        <f>ROUND(INDEX(挂机升级突破!$DT$6:$ED$57,卡牌消耗!AT183,AN183)*INDEX(卡牌消耗!$B$5:$F$5,AR183)/$Q$4/5,0)*5</f>
        <v>15</v>
      </c>
      <c r="AY183" s="14" t="str">
        <f>IF(AO183&gt;0,INDEX(挂机升级突破!$DT$4:$ED$4,AO183),"")</f>
        <v/>
      </c>
      <c r="AZ183" s="14" t="str">
        <f>IF(AO183&gt;0,ROUND(INDEX(挂机升级突破!$DT$6:$ED$57,卡牌消耗!AT183,AO183)*INDEX(卡牌消耗!$B$7:$F$7,AR183)/$Q$4,0),"")</f>
        <v/>
      </c>
      <c r="BA183" s="106"/>
      <c r="BB183" s="197"/>
      <c r="BC183" s="197"/>
      <c r="BD183" s="197"/>
      <c r="BE183" s="197"/>
      <c r="BF183" s="197"/>
      <c r="BG183" s="197"/>
      <c r="BH183" s="197"/>
      <c r="BI183" s="197"/>
      <c r="BJ183" s="197"/>
      <c r="BK183" s="197"/>
      <c r="BL183" s="104">
        <v>179</v>
      </c>
      <c r="BM183" s="14">
        <f t="shared" si="257"/>
        <v>9</v>
      </c>
      <c r="BN183" s="14">
        <f>INDEX(挂机升级突破!$EI$7:$EI$26,BS183)</f>
        <v>5</v>
      </c>
      <c r="BO183" s="14">
        <f>INDEX(挂机升级突破!$EJ$7:$EJ$26,BS183)</f>
        <v>4</v>
      </c>
      <c r="BP183" s="14">
        <f t="shared" si="258"/>
        <v>3</v>
      </c>
      <c r="BQ183" s="14">
        <f>INDEX(挂机升级突破!$EH$7:$EH$26,卡牌消耗!BS183)</f>
        <v>132</v>
      </c>
      <c r="BR183" s="14" t="str">
        <f t="shared" si="259"/>
        <v>徐晃</v>
      </c>
      <c r="BS183" s="14">
        <f t="shared" si="260"/>
        <v>19</v>
      </c>
      <c r="BT183" s="14" t="str">
        <f t="shared" si="261"/>
        <v>徐晃19突</v>
      </c>
      <c r="BU183" s="14" t="str">
        <f>IF(BN183&gt;0,INDEX(挂机升级突破!$ER$5:$EV$5,卡牌消耗!BN183),"")</f>
        <v>金币</v>
      </c>
      <c r="BV183" s="14">
        <f>IF(BN183&gt;0,ROUND(INDEX(挂机升级突破!$EV$7:$EV$26,卡牌消耗!BS183)*INDEX(卡牌消耗!$B$8:$F$8,BP183)/$Q$4/500,0)*500,"")</f>
        <v>273500</v>
      </c>
      <c r="BW183" s="14" t="str">
        <f>IF(BO183&gt;0,INDEX(挂机升级突破!$ER$5:$EV$5,卡牌消耗!BO183),"")</f>
        <v>铀金</v>
      </c>
      <c r="BX183" s="14">
        <f>IF(BO183&gt;0,ROUND(INDEX(挂机升级突破!$ER$7:$EU$26,卡牌消耗!BS183,卡牌消耗!BO183)*INDEX($B$6:$F$6,BP183)/$Q$4/5,0)*5,"")</f>
        <v>35</v>
      </c>
      <c r="BY183" s="193"/>
      <c r="BZ183" s="193"/>
      <c r="CA183" s="106"/>
      <c r="CS183" s="171"/>
      <c r="CT183" s="171"/>
      <c r="CU183" s="171"/>
      <c r="CV183" s="170"/>
      <c r="CW183" s="170"/>
      <c r="CX183" s="170"/>
      <c r="CY183" s="170"/>
      <c r="CZ183" s="170"/>
      <c r="DI183" s="186">
        <v>179</v>
      </c>
      <c r="DJ183" s="14">
        <f t="shared" si="265"/>
        <v>36</v>
      </c>
      <c r="DK183" s="14">
        <f t="shared" si="247"/>
        <v>3</v>
      </c>
      <c r="DL183" s="14">
        <f t="shared" si="248"/>
        <v>1102009</v>
      </c>
      <c r="DM183" s="136" t="s">
        <v>1097</v>
      </c>
      <c r="DN183" s="14">
        <f t="shared" si="249"/>
        <v>4</v>
      </c>
      <c r="DO183" s="14" t="str">
        <f t="shared" si="250"/>
        <v>徐晃-4星</v>
      </c>
      <c r="DP183" s="136" t="s">
        <v>1103</v>
      </c>
      <c r="DQ183" s="14">
        <f t="shared" si="266"/>
        <v>20000</v>
      </c>
      <c r="DR183" s="14" t="str">
        <f t="shared" si="251"/>
        <v>徐晃碎片</v>
      </c>
      <c r="DS183" s="14">
        <f t="shared" si="267"/>
        <v>40</v>
      </c>
    </row>
    <row r="184" spans="8:123" ht="16.5" x14ac:dyDescent="0.2">
      <c r="H184" s="15"/>
      <c r="I184" s="15"/>
      <c r="J184" s="15"/>
      <c r="K184" s="15"/>
      <c r="L184" s="15"/>
      <c r="M184" s="15"/>
      <c r="N184" s="15"/>
      <c r="O184" s="137"/>
      <c r="P184" s="141"/>
      <c r="Q184" s="141"/>
      <c r="R184" s="141"/>
      <c r="S184" s="141"/>
      <c r="T184" s="141"/>
      <c r="U184" s="141"/>
      <c r="V184" s="141"/>
      <c r="W184" s="141"/>
      <c r="X184" s="141"/>
      <c r="Y184" s="141"/>
      <c r="Z184" s="196">
        <v>5</v>
      </c>
      <c r="AA184" s="196">
        <v>24</v>
      </c>
      <c r="AB184" s="14">
        <f>ROUND(INDEX(挂机升级突破!DT$6:DT$57,卡牌消耗!$AA184)*INDEX(卡牌消耗!$B$5:$F$5,卡牌消耗!$Z184)/卡牌消耗!$Q$4/AB$2,0)*AB$2</f>
        <v>0</v>
      </c>
      <c r="AC184" s="14">
        <f>ROUND(INDEX(挂机升级突破!DU$6:DU$57,卡牌消耗!$AA184)*INDEX(卡牌消耗!$B$5:$F$5,卡牌消耗!$Z184)/卡牌消耗!$Q$4/AC$2,0)*AC$2</f>
        <v>0</v>
      </c>
      <c r="AD184" s="14">
        <f>ROUND(INDEX(挂机升级突破!DV$6:DV$57,卡牌消耗!$AA184)*INDEX(卡牌消耗!$B$5:$F$5,卡牌消耗!$Z184)/卡牌消耗!$Q$4/AD$2,0)*AD$2</f>
        <v>0</v>
      </c>
      <c r="AE184" s="14">
        <f>ROUND(INDEX(挂机升级突破!DW$6:DW$57,卡牌消耗!$AA184)*INDEX(卡牌消耗!$B$5:$F$5,卡牌消耗!$Z184)/卡牌消耗!$Q$4/AE$2,0)*AE$2</f>
        <v>30</v>
      </c>
      <c r="AF184" s="14">
        <f>ROUND(INDEX(挂机升级突破!DX$6:DX$57,卡牌消耗!$AA184)*INDEX(卡牌消耗!$B$5:$F$5,卡牌消耗!$Z184)/卡牌消耗!$Q$4/AF$2,0)*AF$2</f>
        <v>0</v>
      </c>
      <c r="AG184" s="14">
        <f>ROUND(INDEX(挂机升级突破!EC$6:EC$57,卡牌消耗!$AA184)*INDEX(卡牌消耗!$B$7:$F$7,卡牌消耗!$Z184)/卡牌消耗!$Q$4/AG$2,0)*AG$2</f>
        <v>0</v>
      </c>
      <c r="AH184" s="14">
        <f>ROUND(INDEX(挂机升级突破!ED$6:ED$57,卡牌消耗!$AA184)*INDEX(卡牌消耗!$B$8:$F$8,卡牌消耗!$Z184)/卡牌消耗!$Q$4/AH$2,0)*AH$2</f>
        <v>13800</v>
      </c>
      <c r="AI184" s="194"/>
      <c r="AJ184" s="194"/>
      <c r="AK184" s="104">
        <v>180</v>
      </c>
      <c r="AL184" s="14">
        <f t="shared" si="252"/>
        <v>4</v>
      </c>
      <c r="AM184" s="14">
        <f>INDEX(挂机升级突破!DQ$6:DQ$57,卡牌消耗!$AT184)</f>
        <v>11</v>
      </c>
      <c r="AN184" s="14">
        <f>INDEX(挂机升级突破!DR$6:DR$57,卡牌消耗!$AT184)</f>
        <v>4</v>
      </c>
      <c r="AO184" s="14">
        <f>INDEX(挂机升级突破!DS$6:DS$57,卡牌消耗!$AT184)</f>
        <v>0</v>
      </c>
      <c r="AP184" s="14">
        <f>INDEX(挂机升级突破!$DP$6:$DP$57,卡牌消耗!AT184)</f>
        <v>78</v>
      </c>
      <c r="AQ184" s="14" t="str">
        <f t="shared" si="253"/>
        <v>唐流雨</v>
      </c>
      <c r="AR184" s="14">
        <f t="shared" si="254"/>
        <v>2</v>
      </c>
      <c r="AS184" s="14" t="str">
        <f t="shared" si="255"/>
        <v>唐流雨魂火-24</v>
      </c>
      <c r="AT184" s="14">
        <f t="shared" si="256"/>
        <v>24</v>
      </c>
      <c r="AU184" s="14" t="str">
        <f>IF(AM184&gt;0,INDEX(挂机升级突破!$DT$4:$ED$4,AM184),"")</f>
        <v>金币</v>
      </c>
      <c r="AV184" s="14">
        <f>ROUND(INDEX(挂机升级突破!$DJ$6:$DJ$57,卡牌消耗!AT184)*INDEX(卡牌消耗!$B$8:$F$8,AR184)/$Q$4/50,0)*50</f>
        <v>4850</v>
      </c>
      <c r="AW184" s="14" t="str">
        <f>IF(AN184&gt;0,INDEX(挂机升级突破!$DT$4:$ED$4,AN184),"")</f>
        <v>橙色基础材料</v>
      </c>
      <c r="AX184" s="14">
        <f>ROUND(INDEX(挂机升级突破!$DT$6:$ED$57,卡牌消耗!AT184,AN184)*INDEX(卡牌消耗!$B$5:$F$5,AR184)/$Q$4/5,0)*5</f>
        <v>15</v>
      </c>
      <c r="AY184" s="14" t="str">
        <f>IF(AO184&gt;0,INDEX(挂机升级突破!$DT$4:$ED$4,AO184),"")</f>
        <v/>
      </c>
      <c r="AZ184" s="14" t="str">
        <f>IF(AO184&gt;0,ROUND(INDEX(挂机升级突破!$DT$6:$ED$57,卡牌消耗!AT184,AO184)*INDEX(卡牌消耗!$B$7:$F$7,AR184)/$Q$4,0),"")</f>
        <v/>
      </c>
      <c r="BA184" s="106"/>
      <c r="BB184" s="197"/>
      <c r="BC184" s="197"/>
      <c r="BD184" s="197"/>
      <c r="BE184" s="197"/>
      <c r="BF184" s="197"/>
      <c r="BG184" s="197"/>
      <c r="BH184" s="197"/>
      <c r="BI184" s="197"/>
      <c r="BJ184" s="197"/>
      <c r="BK184" s="197"/>
      <c r="BL184" s="104">
        <v>180</v>
      </c>
      <c r="BM184" s="14">
        <f t="shared" si="257"/>
        <v>9</v>
      </c>
      <c r="BN184" s="14">
        <f>INDEX(挂机升级突破!$EI$7:$EI$26,BS184)</f>
        <v>5</v>
      </c>
      <c r="BO184" s="14">
        <f>INDEX(挂机升级突破!$EJ$7:$EJ$26,BS184)</f>
        <v>4</v>
      </c>
      <c r="BP184" s="14">
        <f t="shared" si="258"/>
        <v>3</v>
      </c>
      <c r="BQ184" s="14">
        <f>INDEX(挂机升级突破!$EH$7:$EH$26,卡牌消耗!BS184)</f>
        <v>140</v>
      </c>
      <c r="BR184" s="14" t="str">
        <f t="shared" si="259"/>
        <v>徐晃</v>
      </c>
      <c r="BS184" s="14">
        <f t="shared" si="260"/>
        <v>20</v>
      </c>
      <c r="BT184" s="14" t="str">
        <f t="shared" si="261"/>
        <v>徐晃20突</v>
      </c>
      <c r="BU184" s="14" t="str">
        <f>IF(BN184&gt;0,INDEX(挂机升级突破!$ER$5:$EV$5,卡牌消耗!BN184),"")</f>
        <v>金币</v>
      </c>
      <c r="BV184" s="14">
        <f>IF(BN184&gt;0,ROUND(INDEX(挂机升级突破!$EV$7:$EV$26,卡牌消耗!BS184)*INDEX(卡牌消耗!$B$8:$F$8,BP184)/$Q$4/500,0)*500,"")</f>
        <v>410500</v>
      </c>
      <c r="BW184" s="14" t="str">
        <f>IF(BO184&gt;0,INDEX(挂机升级突破!$ER$5:$EV$5,卡牌消耗!BO184),"")</f>
        <v>铀金</v>
      </c>
      <c r="BX184" s="14">
        <f>IF(BO184&gt;0,ROUND(INDEX(挂机升级突破!$ER$7:$EU$26,卡牌消耗!BS184,卡牌消耗!BO184)*INDEX($B$6:$F$6,BP184)/$Q$4/5,0)*5,"")</f>
        <v>40</v>
      </c>
      <c r="BY184" s="193"/>
      <c r="BZ184" s="193"/>
      <c r="CA184" s="106"/>
      <c r="CS184" s="171"/>
      <c r="CT184" s="171"/>
      <c r="CU184" s="171"/>
      <c r="CV184" s="170"/>
      <c r="CW184" s="170"/>
      <c r="CX184" s="170"/>
      <c r="CY184" s="170"/>
      <c r="CZ184" s="170"/>
      <c r="DI184" s="186">
        <v>180</v>
      </c>
      <c r="DJ184" s="14">
        <f t="shared" si="265"/>
        <v>36</v>
      </c>
      <c r="DK184" s="14">
        <f t="shared" si="247"/>
        <v>3</v>
      </c>
      <c r="DL184" s="14">
        <f t="shared" si="248"/>
        <v>1102009</v>
      </c>
      <c r="DM184" s="136" t="s">
        <v>1097</v>
      </c>
      <c r="DN184" s="14">
        <f t="shared" si="249"/>
        <v>5</v>
      </c>
      <c r="DO184" s="14" t="str">
        <f t="shared" si="250"/>
        <v>徐晃-5星</v>
      </c>
      <c r="DP184" s="136" t="s">
        <v>1103</v>
      </c>
      <c r="DQ184" s="14">
        <f t="shared" si="266"/>
        <v>40000</v>
      </c>
      <c r="DR184" s="14" t="str">
        <f t="shared" si="251"/>
        <v>徐晃碎片</v>
      </c>
      <c r="DS184" s="14">
        <f t="shared" si="267"/>
        <v>40</v>
      </c>
    </row>
    <row r="185" spans="8:123" ht="16.5" x14ac:dyDescent="0.2">
      <c r="H185" s="15"/>
      <c r="I185" s="15"/>
      <c r="J185" s="15"/>
      <c r="K185" s="15"/>
      <c r="L185" s="15"/>
      <c r="M185" s="15"/>
      <c r="N185" s="15"/>
      <c r="O185" s="137"/>
      <c r="P185" s="141"/>
      <c r="Q185" s="141"/>
      <c r="R185" s="141"/>
      <c r="S185" s="141"/>
      <c r="T185" s="141"/>
      <c r="U185" s="141"/>
      <c r="V185" s="141"/>
      <c r="W185" s="141"/>
      <c r="X185" s="141"/>
      <c r="Y185" s="141"/>
      <c r="Z185" s="196">
        <v>5</v>
      </c>
      <c r="AA185" s="196">
        <v>25</v>
      </c>
      <c r="AB185" s="14">
        <f>ROUND(INDEX(挂机升级突破!DT$6:DT$57,卡牌消耗!$AA185)*INDEX(卡牌消耗!$B$5:$F$5,卡牌消耗!$Z185)/卡牌消耗!$Q$4/AB$2,0)*AB$2</f>
        <v>0</v>
      </c>
      <c r="AC185" s="14">
        <f>ROUND(INDEX(挂机升级突破!DU$6:DU$57,卡牌消耗!$AA185)*INDEX(卡牌消耗!$B$5:$F$5,卡牌消耗!$Z185)/卡牌消耗!$Q$4/AC$2,0)*AC$2</f>
        <v>0</v>
      </c>
      <c r="AD185" s="14">
        <f>ROUND(INDEX(挂机升级突破!DV$6:DV$57,卡牌消耗!$AA185)*INDEX(卡牌消耗!$B$5:$F$5,卡牌消耗!$Z185)/卡牌消耗!$Q$4/AD$2,0)*AD$2</f>
        <v>0</v>
      </c>
      <c r="AE185" s="14">
        <f>ROUND(INDEX(挂机升级突破!DW$6:DW$57,卡牌消耗!$AA185)*INDEX(卡牌消耗!$B$5:$F$5,卡牌消耗!$Z185)/卡牌消耗!$Q$4/AE$2,0)*AE$2</f>
        <v>30</v>
      </c>
      <c r="AF185" s="14">
        <f>ROUND(INDEX(挂机升级突破!DX$6:DX$57,卡牌消耗!$AA185)*INDEX(卡牌消耗!$B$5:$F$5,卡牌消耗!$Z185)/卡牌消耗!$Q$4/AF$2,0)*AF$2</f>
        <v>0</v>
      </c>
      <c r="AG185" s="14">
        <f>ROUND(INDEX(挂机升级突破!EC$6:EC$57,卡牌消耗!$AA185)*INDEX(卡牌消耗!$B$7:$F$7,卡牌消耗!$Z185)/卡牌消耗!$Q$4/AG$2,0)*AG$2</f>
        <v>0</v>
      </c>
      <c r="AH185" s="14">
        <f>ROUND(INDEX(挂机升级突破!ED$6:ED$57,卡牌消耗!$AA185)*INDEX(卡牌消耗!$B$8:$F$8,卡牌消耗!$Z185)/卡牌消耗!$Q$4/AH$2,0)*AH$2</f>
        <v>15050</v>
      </c>
      <c r="AI185" s="194"/>
      <c r="AJ185" s="194"/>
      <c r="AK185" s="104">
        <v>181</v>
      </c>
      <c r="AL185" s="14">
        <f t="shared" si="252"/>
        <v>4</v>
      </c>
      <c r="AM185" s="14">
        <f>INDEX(挂机升级突破!DQ$6:DQ$57,卡牌消耗!$AT185)</f>
        <v>11</v>
      </c>
      <c r="AN185" s="14">
        <f>INDEX(挂机升级突破!DR$6:DR$57,卡牌消耗!$AT185)</f>
        <v>4</v>
      </c>
      <c r="AO185" s="14">
        <f>INDEX(挂机升级突破!DS$6:DS$57,卡牌消耗!$AT185)</f>
        <v>0</v>
      </c>
      <c r="AP185" s="14">
        <f>INDEX(挂机升级突破!$DP$6:$DP$57,卡牌消耗!AT185)</f>
        <v>80</v>
      </c>
      <c r="AQ185" s="14" t="str">
        <f t="shared" si="253"/>
        <v>唐流雨</v>
      </c>
      <c r="AR185" s="14">
        <f t="shared" si="254"/>
        <v>2</v>
      </c>
      <c r="AS185" s="14" t="str">
        <f t="shared" si="255"/>
        <v>唐流雨魂火-25</v>
      </c>
      <c r="AT185" s="14">
        <f t="shared" si="256"/>
        <v>25</v>
      </c>
      <c r="AU185" s="14" t="str">
        <f>IF(AM185&gt;0,INDEX(挂机升级突破!$DT$4:$ED$4,AM185),"")</f>
        <v>金币</v>
      </c>
      <c r="AV185" s="14">
        <f>ROUND(INDEX(挂机升级突破!$DJ$6:$DJ$57,卡牌消耗!AT185)*INDEX(卡牌消耗!$B$8:$F$8,AR185)/$Q$4/50,0)*50</f>
        <v>5250</v>
      </c>
      <c r="AW185" s="14" t="str">
        <f>IF(AN185&gt;0,INDEX(挂机升级突破!$DT$4:$ED$4,AN185),"")</f>
        <v>橙色基础材料</v>
      </c>
      <c r="AX185" s="14">
        <f>ROUND(INDEX(挂机升级突破!$DT$6:$ED$57,卡牌消耗!AT185,AN185)*INDEX(卡牌消耗!$B$5:$F$5,AR185)/$Q$4/5,0)*5</f>
        <v>15</v>
      </c>
      <c r="AY185" s="14" t="str">
        <f>IF(AO185&gt;0,INDEX(挂机升级突破!$DT$4:$ED$4,AO185),"")</f>
        <v/>
      </c>
      <c r="AZ185" s="14" t="str">
        <f>IF(AO185&gt;0,ROUND(INDEX(挂机升级突破!$DT$6:$ED$57,卡牌消耗!AT185,AO185)*INDEX(卡牌消耗!$B$7:$F$7,AR185)/$Q$4,0),"")</f>
        <v/>
      </c>
      <c r="BA185" s="106"/>
      <c r="BB185" s="197"/>
      <c r="BC185" s="197"/>
      <c r="BD185" s="197"/>
      <c r="BE185" s="197"/>
      <c r="BF185" s="197"/>
      <c r="BG185" s="197"/>
      <c r="BH185" s="197"/>
      <c r="BI185" s="197"/>
      <c r="BJ185" s="197"/>
      <c r="BK185" s="197"/>
      <c r="BL185" s="104">
        <v>181</v>
      </c>
      <c r="BM185" s="14">
        <f t="shared" si="257"/>
        <v>10</v>
      </c>
      <c r="BN185" s="14">
        <f>INDEX(挂机升级突破!$EI$7:$EI$26,BS185)</f>
        <v>0</v>
      </c>
      <c r="BO185" s="14">
        <f>INDEX(挂机升级突破!$EJ$7:$EJ$26,BS185)</f>
        <v>0</v>
      </c>
      <c r="BP185" s="14">
        <f t="shared" si="258"/>
        <v>4</v>
      </c>
      <c r="BQ185" s="14">
        <f>INDEX(挂机升级突破!$EH$7:$EH$26,卡牌消耗!BS185)</f>
        <v>1</v>
      </c>
      <c r="BR185" s="14" t="str">
        <f t="shared" si="259"/>
        <v>张郃</v>
      </c>
      <c r="BS185" s="14">
        <f t="shared" si="260"/>
        <v>1</v>
      </c>
      <c r="BT185" s="14" t="str">
        <f t="shared" si="261"/>
        <v>张郃1突</v>
      </c>
      <c r="BU185" s="14" t="str">
        <f>IF(BN185&gt;0,INDEX(挂机升级突破!$ER$5:$EV$5,卡牌消耗!BN185),"")</f>
        <v/>
      </c>
      <c r="BV185" s="14" t="str">
        <f>IF(BN185&gt;0,ROUND(INDEX(挂机升级突破!$EV$7:$EV$26,卡牌消耗!BS185)*INDEX(卡牌消耗!$B$8:$F$8,BP185)/$Q$4/500,0)*500,"")</f>
        <v/>
      </c>
      <c r="BW185" s="14" t="str">
        <f>IF(BO185&gt;0,INDEX(挂机升级突破!$ER$5:$EV$5,卡牌消耗!BO185),"")</f>
        <v/>
      </c>
      <c r="BX185" s="14" t="str">
        <f>IF(BO185&gt;0,ROUND(INDEX(挂机升级突破!$ER$7:$EU$26,卡牌消耗!BS185,卡牌消耗!BO185)*INDEX($B$6:$F$6,BP185)/$Q$4/5,0)*5,"")</f>
        <v/>
      </c>
      <c r="BY185" s="193"/>
      <c r="BZ185" s="193"/>
      <c r="CA185" s="106"/>
      <c r="CS185" s="171"/>
      <c r="CT185" s="171"/>
      <c r="CU185" s="171"/>
      <c r="CV185" s="170"/>
      <c r="CW185" s="170"/>
      <c r="CX185" s="170"/>
      <c r="CY185" s="170"/>
      <c r="CZ185" s="170"/>
      <c r="DI185" s="186">
        <v>181</v>
      </c>
      <c r="DJ185" s="14">
        <f t="shared" si="265"/>
        <v>37</v>
      </c>
      <c r="DK185" s="14">
        <f t="shared" si="247"/>
        <v>4</v>
      </c>
      <c r="DL185" s="14">
        <f t="shared" si="248"/>
        <v>1102010</v>
      </c>
      <c r="DM185" s="136" t="s">
        <v>1097</v>
      </c>
      <c r="DN185" s="14">
        <f t="shared" si="249"/>
        <v>1</v>
      </c>
      <c r="DO185" s="14" t="str">
        <f t="shared" si="250"/>
        <v>张郃-1星</v>
      </c>
      <c r="DP185" s="136" t="s">
        <v>1103</v>
      </c>
      <c r="DQ185" s="14">
        <f t="shared" si="266"/>
        <v>6000</v>
      </c>
      <c r="DR185" s="14" t="str">
        <f t="shared" si="251"/>
        <v>张郃碎片</v>
      </c>
      <c r="DS185" s="14">
        <f t="shared" si="267"/>
        <v>80</v>
      </c>
    </row>
    <row r="186" spans="8:123" ht="16.5" x14ac:dyDescent="0.2">
      <c r="H186" s="15"/>
      <c r="I186" s="15"/>
      <c r="J186" s="15"/>
      <c r="K186" s="15"/>
      <c r="L186" s="15"/>
      <c r="M186" s="15"/>
      <c r="N186" s="15"/>
      <c r="O186" s="137"/>
      <c r="P186" s="141"/>
      <c r="Q186" s="141"/>
      <c r="R186" s="141"/>
      <c r="S186" s="141"/>
      <c r="T186" s="141"/>
      <c r="U186" s="141"/>
      <c r="V186" s="141"/>
      <c r="W186" s="141"/>
      <c r="X186" s="141"/>
      <c r="Y186" s="141"/>
      <c r="Z186" s="196">
        <v>5</v>
      </c>
      <c r="AA186" s="196">
        <v>26</v>
      </c>
      <c r="AB186" s="14">
        <f>ROUND(INDEX(挂机升级突破!DT$6:DT$57,卡牌消耗!$AA186)*INDEX(卡牌消耗!$B$5:$F$5,卡牌消耗!$Z186)/卡牌消耗!$Q$4/AB$2,0)*AB$2</f>
        <v>0</v>
      </c>
      <c r="AC186" s="14">
        <f>ROUND(INDEX(挂机升级突破!DU$6:DU$57,卡牌消耗!$AA186)*INDEX(卡牌消耗!$B$5:$F$5,卡牌消耗!$Z186)/卡牌消耗!$Q$4/AC$2,0)*AC$2</f>
        <v>0</v>
      </c>
      <c r="AD186" s="14">
        <f>ROUND(INDEX(挂机升级突破!DV$6:DV$57,卡牌消耗!$AA186)*INDEX(卡牌消耗!$B$5:$F$5,卡牌消耗!$Z186)/卡牌消耗!$Q$4/AD$2,0)*AD$2</f>
        <v>0</v>
      </c>
      <c r="AE186" s="14">
        <f>ROUND(INDEX(挂机升级突破!DW$6:DW$57,卡牌消耗!$AA186)*INDEX(卡牌消耗!$B$5:$F$5,卡牌消耗!$Z186)/卡牌消耗!$Q$4/AE$2,0)*AE$2</f>
        <v>35</v>
      </c>
      <c r="AF186" s="14">
        <f>ROUND(INDEX(挂机升级突破!DX$6:DX$57,卡牌消耗!$AA186)*INDEX(卡牌消耗!$B$5:$F$5,卡牌消耗!$Z186)/卡牌消耗!$Q$4/AF$2,0)*AF$2</f>
        <v>0</v>
      </c>
      <c r="AG186" s="14">
        <f>ROUND(INDEX(挂机升级突破!EC$6:EC$57,卡牌消耗!$AA186)*INDEX(卡牌消耗!$B$7:$F$7,卡牌消耗!$Z186)/卡牌消耗!$Q$4/AG$2,0)*AG$2</f>
        <v>0</v>
      </c>
      <c r="AH186" s="14">
        <f>ROUND(INDEX(挂机升级突破!ED$6:ED$57,卡牌消耗!$AA186)*INDEX(卡牌消耗!$B$8:$F$8,卡牌消耗!$Z186)/卡牌消耗!$Q$4/AH$2,0)*AH$2</f>
        <v>17550</v>
      </c>
      <c r="AI186" s="194"/>
      <c r="AJ186" s="194"/>
      <c r="AK186" s="104">
        <v>182</v>
      </c>
      <c r="AL186" s="14">
        <f t="shared" si="252"/>
        <v>4</v>
      </c>
      <c r="AM186" s="14">
        <f>INDEX(挂机升级突破!DQ$6:DQ$57,卡牌消耗!$AT186)</f>
        <v>11</v>
      </c>
      <c r="AN186" s="14">
        <f>INDEX(挂机升级突破!DR$6:DR$57,卡牌消耗!$AT186)</f>
        <v>4</v>
      </c>
      <c r="AO186" s="14">
        <f>INDEX(挂机升级突破!DS$6:DS$57,卡牌消耗!$AT186)</f>
        <v>0</v>
      </c>
      <c r="AP186" s="14">
        <f>INDEX(挂机升级突破!$DP$6:$DP$57,卡牌消耗!AT186)</f>
        <v>83</v>
      </c>
      <c r="AQ186" s="14" t="str">
        <f t="shared" si="253"/>
        <v>唐流雨</v>
      </c>
      <c r="AR186" s="14">
        <f t="shared" si="254"/>
        <v>2</v>
      </c>
      <c r="AS186" s="14" t="str">
        <f t="shared" si="255"/>
        <v>唐流雨魂火-26</v>
      </c>
      <c r="AT186" s="14">
        <f t="shared" si="256"/>
        <v>26</v>
      </c>
      <c r="AU186" s="14" t="str">
        <f>IF(AM186&gt;0,INDEX(挂机升级突破!$DT$4:$ED$4,AM186),"")</f>
        <v>金币</v>
      </c>
      <c r="AV186" s="14">
        <f>ROUND(INDEX(挂机升级突破!$DJ$6:$DJ$57,卡牌消耗!AT186)*INDEX(卡牌消耗!$B$8:$F$8,AR186)/$Q$4/50,0)*50</f>
        <v>6150</v>
      </c>
      <c r="AW186" s="14" t="str">
        <f>IF(AN186&gt;0,INDEX(挂机升级突破!$DT$4:$ED$4,AN186),"")</f>
        <v>橙色基础材料</v>
      </c>
      <c r="AX186" s="14">
        <f>ROUND(INDEX(挂机升级突破!$DT$6:$ED$57,卡牌消耗!AT186,AN186)*INDEX(卡牌消耗!$B$5:$F$5,AR186)/$Q$4/5,0)*5</f>
        <v>20</v>
      </c>
      <c r="AY186" s="14" t="str">
        <f>IF(AO186&gt;0,INDEX(挂机升级突破!$DT$4:$ED$4,AO186),"")</f>
        <v/>
      </c>
      <c r="AZ186" s="14" t="str">
        <f>IF(AO186&gt;0,ROUND(INDEX(挂机升级突破!$DT$6:$ED$57,卡牌消耗!AT186,AO186)*INDEX(卡牌消耗!$B$7:$F$7,AR186)/$Q$4,0),"")</f>
        <v/>
      </c>
      <c r="BA186" s="106"/>
      <c r="BB186" s="197"/>
      <c r="BC186" s="197"/>
      <c r="BD186" s="197"/>
      <c r="BE186" s="197"/>
      <c r="BF186" s="197"/>
      <c r="BG186" s="197"/>
      <c r="BH186" s="197"/>
      <c r="BI186" s="197"/>
      <c r="BJ186" s="197"/>
      <c r="BK186" s="197"/>
      <c r="BL186" s="104">
        <v>182</v>
      </c>
      <c r="BM186" s="14">
        <f t="shared" si="257"/>
        <v>10</v>
      </c>
      <c r="BN186" s="14">
        <f>INDEX(挂机升级突破!$EI$7:$EI$26,BS186)</f>
        <v>5</v>
      </c>
      <c r="BO186" s="14">
        <f>INDEX(挂机升级突破!$EJ$7:$EJ$26,BS186)</f>
        <v>1</v>
      </c>
      <c r="BP186" s="14">
        <f t="shared" si="258"/>
        <v>4</v>
      </c>
      <c r="BQ186" s="14">
        <f>INDEX(挂机升级突破!$EH$7:$EH$26,卡牌消耗!BS186)</f>
        <v>5</v>
      </c>
      <c r="BR186" s="14" t="str">
        <f t="shared" si="259"/>
        <v>张郃</v>
      </c>
      <c r="BS186" s="14">
        <f t="shared" si="260"/>
        <v>2</v>
      </c>
      <c r="BT186" s="14" t="str">
        <f t="shared" si="261"/>
        <v>张郃2突</v>
      </c>
      <c r="BU186" s="14" t="str">
        <f>IF(BN186&gt;0,INDEX(挂机升级突破!$ER$5:$EV$5,卡牌消耗!BN186),"")</f>
        <v>金币</v>
      </c>
      <c r="BV186" s="14">
        <f>IF(BN186&gt;0,ROUND(INDEX(挂机升级突破!$EV$7:$EV$26,卡牌消耗!BS186)*INDEX(卡牌消耗!$B$8:$F$8,BP186)/$Q$4/500,0)*500,"")</f>
        <v>4500</v>
      </c>
      <c r="BW186" s="14" t="str">
        <f>IF(BO186&gt;0,INDEX(挂机升级突破!$ER$5:$EV$5,卡牌消耗!BO186),"")</f>
        <v>玄铁</v>
      </c>
      <c r="BX186" s="14">
        <f>IF(BO186&gt;0,ROUND(INDEX(挂机升级突破!$ER$7:$EU$26,卡牌消耗!BS186,卡牌消耗!BO186)*INDEX($B$6:$F$6,BP186)/$Q$4,0),"")</f>
        <v>2</v>
      </c>
      <c r="BY186" s="193"/>
      <c r="BZ186" s="193"/>
      <c r="CA186" s="106"/>
      <c r="CS186" s="171"/>
      <c r="CT186" s="171"/>
      <c r="CU186" s="171"/>
      <c r="CV186" s="170"/>
      <c r="CW186" s="170"/>
      <c r="CX186" s="170"/>
      <c r="CY186" s="170"/>
      <c r="CZ186" s="170"/>
      <c r="DI186" s="186">
        <v>182</v>
      </c>
      <c r="DJ186" s="14">
        <f t="shared" si="265"/>
        <v>37</v>
      </c>
      <c r="DK186" s="14">
        <f t="shared" si="247"/>
        <v>4</v>
      </c>
      <c r="DL186" s="14">
        <f t="shared" si="248"/>
        <v>1102010</v>
      </c>
      <c r="DM186" s="136" t="s">
        <v>1097</v>
      </c>
      <c r="DN186" s="14">
        <f t="shared" si="249"/>
        <v>2</v>
      </c>
      <c r="DO186" s="14" t="str">
        <f t="shared" si="250"/>
        <v>张郃-2星</v>
      </c>
      <c r="DP186" s="136" t="s">
        <v>1103</v>
      </c>
      <c r="DQ186" s="14">
        <f t="shared" si="266"/>
        <v>8000</v>
      </c>
      <c r="DR186" s="14" t="str">
        <f t="shared" si="251"/>
        <v>张郃碎片</v>
      </c>
      <c r="DS186" s="14">
        <f t="shared" si="267"/>
        <v>80</v>
      </c>
    </row>
    <row r="187" spans="8:123" ht="16.5" x14ac:dyDescent="0.2">
      <c r="H187" s="15"/>
      <c r="I187" s="15"/>
      <c r="J187" s="15"/>
      <c r="K187" s="15"/>
      <c r="L187" s="15"/>
      <c r="M187" s="15"/>
      <c r="N187" s="15"/>
      <c r="O187" s="137"/>
      <c r="P187" s="141"/>
      <c r="Q187" s="141"/>
      <c r="R187" s="141"/>
      <c r="S187" s="141"/>
      <c r="T187" s="141"/>
      <c r="U187" s="141"/>
      <c r="V187" s="141"/>
      <c r="W187" s="141"/>
      <c r="X187" s="141"/>
      <c r="Y187" s="141"/>
      <c r="Z187" s="196">
        <v>5</v>
      </c>
      <c r="AA187" s="196">
        <v>27</v>
      </c>
      <c r="AB187" s="14">
        <f>ROUND(INDEX(挂机升级突破!DT$6:DT$57,卡牌消耗!$AA187)*INDEX(卡牌消耗!$B$5:$F$5,卡牌消耗!$Z187)/卡牌消耗!$Q$4/AB$2,0)*AB$2</f>
        <v>0</v>
      </c>
      <c r="AC187" s="14">
        <f>ROUND(INDEX(挂机升级突破!DU$6:DU$57,卡牌消耗!$AA187)*INDEX(卡牌消耗!$B$5:$F$5,卡牌消耗!$Z187)/卡牌消耗!$Q$4/AC$2,0)*AC$2</f>
        <v>0</v>
      </c>
      <c r="AD187" s="14">
        <f>ROUND(INDEX(挂机升级突破!DV$6:DV$57,卡牌消耗!$AA187)*INDEX(卡牌消耗!$B$5:$F$5,卡牌消耗!$Z187)/卡牌消耗!$Q$4/AD$2,0)*AD$2</f>
        <v>0</v>
      </c>
      <c r="AE187" s="14">
        <f>ROUND(INDEX(挂机升级突破!DW$6:DW$57,卡牌消耗!$AA187)*INDEX(卡牌消耗!$B$5:$F$5,卡牌消耗!$Z187)/卡牌消耗!$Q$4/AE$2,0)*AE$2</f>
        <v>35</v>
      </c>
      <c r="AF187" s="14">
        <f>ROUND(INDEX(挂机升级突破!DX$6:DX$57,卡牌消耗!$AA187)*INDEX(卡牌消耗!$B$5:$F$5,卡牌消耗!$Z187)/卡牌消耗!$Q$4/AF$2,0)*AF$2</f>
        <v>0</v>
      </c>
      <c r="AG187" s="14">
        <f>ROUND(INDEX(挂机升级突破!EC$6:EC$57,卡牌消耗!$AA187)*INDEX(卡牌消耗!$B$7:$F$7,卡牌消耗!$Z187)/卡牌消耗!$Q$4/AG$2,0)*AG$2</f>
        <v>0</v>
      </c>
      <c r="AH187" s="14">
        <f>ROUND(INDEX(挂机升级突破!ED$6:ED$57,卡牌消耗!$AA187)*INDEX(卡牌消耗!$B$8:$F$8,卡牌消耗!$Z187)/卡牌消耗!$Q$4/AH$2,0)*AH$2</f>
        <v>17550</v>
      </c>
      <c r="AI187" s="194"/>
      <c r="AJ187" s="194"/>
      <c r="AK187" s="104">
        <v>183</v>
      </c>
      <c r="AL187" s="14">
        <f t="shared" si="252"/>
        <v>4</v>
      </c>
      <c r="AM187" s="14">
        <f>INDEX(挂机升级突破!DQ$6:DQ$57,卡牌消耗!$AT187)</f>
        <v>11</v>
      </c>
      <c r="AN187" s="14">
        <f>INDEX(挂机升级突破!DR$6:DR$57,卡牌消耗!$AT187)</f>
        <v>4</v>
      </c>
      <c r="AO187" s="14">
        <f>INDEX(挂机升级突破!DS$6:DS$57,卡牌消耗!$AT187)</f>
        <v>0</v>
      </c>
      <c r="AP187" s="14">
        <f>INDEX(挂机升级突破!$DP$6:$DP$57,卡牌消耗!AT187)</f>
        <v>85</v>
      </c>
      <c r="AQ187" s="14" t="str">
        <f t="shared" si="253"/>
        <v>唐流雨</v>
      </c>
      <c r="AR187" s="14">
        <f t="shared" si="254"/>
        <v>2</v>
      </c>
      <c r="AS187" s="14" t="str">
        <f t="shared" si="255"/>
        <v>唐流雨魂火-27</v>
      </c>
      <c r="AT187" s="14">
        <f t="shared" si="256"/>
        <v>27</v>
      </c>
      <c r="AU187" s="14" t="str">
        <f>IF(AM187&gt;0,INDEX(挂机升级突破!$DT$4:$ED$4,AM187),"")</f>
        <v>金币</v>
      </c>
      <c r="AV187" s="14">
        <f>ROUND(INDEX(挂机升级突破!$DJ$6:$DJ$57,卡牌消耗!AT187)*INDEX(卡牌消耗!$B$8:$F$8,AR187)/$Q$4/50,0)*50</f>
        <v>6150</v>
      </c>
      <c r="AW187" s="14" t="str">
        <f>IF(AN187&gt;0,INDEX(挂机升级突破!$DT$4:$ED$4,AN187),"")</f>
        <v>橙色基础材料</v>
      </c>
      <c r="AX187" s="14">
        <f>ROUND(INDEX(挂机升级突破!$DT$6:$ED$57,卡牌消耗!AT187,AN187)*INDEX(卡牌消耗!$B$5:$F$5,AR187)/$Q$4/5,0)*5</f>
        <v>20</v>
      </c>
      <c r="AY187" s="14" t="str">
        <f>IF(AO187&gt;0,INDEX(挂机升级突破!$DT$4:$ED$4,AO187),"")</f>
        <v/>
      </c>
      <c r="AZ187" s="14" t="str">
        <f>IF(AO187&gt;0,ROUND(INDEX(挂机升级突破!$DT$6:$ED$57,卡牌消耗!AT187,AO187)*INDEX(卡牌消耗!$B$7:$F$7,AR187)/$Q$4,0),"")</f>
        <v/>
      </c>
      <c r="BA187" s="106"/>
      <c r="BB187" s="197"/>
      <c r="BC187" s="197"/>
      <c r="BD187" s="197"/>
      <c r="BE187" s="197"/>
      <c r="BF187" s="197"/>
      <c r="BG187" s="197"/>
      <c r="BH187" s="197"/>
      <c r="BI187" s="197"/>
      <c r="BJ187" s="197"/>
      <c r="BK187" s="197"/>
      <c r="BL187" s="104">
        <v>183</v>
      </c>
      <c r="BM187" s="14">
        <f t="shared" si="257"/>
        <v>10</v>
      </c>
      <c r="BN187" s="14">
        <f>INDEX(挂机升级突破!$EI$7:$EI$26,BS187)</f>
        <v>5</v>
      </c>
      <c r="BO187" s="14">
        <f>INDEX(挂机升级突破!$EJ$7:$EJ$26,BS187)</f>
        <v>1</v>
      </c>
      <c r="BP187" s="14">
        <f t="shared" si="258"/>
        <v>4</v>
      </c>
      <c r="BQ187" s="14">
        <f>INDEX(挂机升级突破!$EH$7:$EH$26,卡牌消耗!BS187)</f>
        <v>15</v>
      </c>
      <c r="BR187" s="14" t="str">
        <f t="shared" si="259"/>
        <v>张郃</v>
      </c>
      <c r="BS187" s="14">
        <f t="shared" si="260"/>
        <v>3</v>
      </c>
      <c r="BT187" s="14" t="str">
        <f t="shared" si="261"/>
        <v>张郃3突</v>
      </c>
      <c r="BU187" s="14" t="str">
        <f>IF(BN187&gt;0,INDEX(挂机升级突破!$ER$5:$EV$5,卡牌消耗!BN187),"")</f>
        <v>金币</v>
      </c>
      <c r="BV187" s="14">
        <f>IF(BN187&gt;0,ROUND(INDEX(挂机升级突破!$EV$7:$EV$26,卡牌消耗!BS187)*INDEX(卡牌消耗!$B$8:$F$8,BP187)/$Q$4/500,0)*500,"")</f>
        <v>4500</v>
      </c>
      <c r="BW187" s="14" t="str">
        <f>IF(BO187&gt;0,INDEX(挂机升级突破!$ER$5:$EV$5,卡牌消耗!BO187),"")</f>
        <v>玄铁</v>
      </c>
      <c r="BX187" s="14">
        <f>IF(BO187&gt;0,ROUND(INDEX(挂机升级突破!$ER$7:$EU$26,卡牌消耗!BS187,卡牌消耗!BO187)*INDEX($B$6:$F$6,BP187)/$Q$4,0),"")</f>
        <v>6</v>
      </c>
      <c r="BY187" s="193"/>
      <c r="BZ187" s="193"/>
      <c r="CA187" s="106"/>
      <c r="CS187" s="171"/>
      <c r="CT187" s="171"/>
      <c r="CU187" s="171"/>
      <c r="CV187" s="170"/>
      <c r="CW187" s="170"/>
      <c r="CX187" s="170"/>
      <c r="CY187" s="170"/>
      <c r="CZ187" s="170"/>
      <c r="DI187" s="186">
        <v>183</v>
      </c>
      <c r="DJ187" s="14">
        <f t="shared" si="265"/>
        <v>37</v>
      </c>
      <c r="DK187" s="14">
        <f t="shared" si="247"/>
        <v>4</v>
      </c>
      <c r="DL187" s="14">
        <f t="shared" si="248"/>
        <v>1102010</v>
      </c>
      <c r="DM187" s="136" t="s">
        <v>1097</v>
      </c>
      <c r="DN187" s="14">
        <f t="shared" si="249"/>
        <v>3</v>
      </c>
      <c r="DO187" s="14" t="str">
        <f t="shared" si="250"/>
        <v>张郃-3星</v>
      </c>
      <c r="DP187" s="136" t="s">
        <v>1103</v>
      </c>
      <c r="DQ187" s="14">
        <f t="shared" si="266"/>
        <v>14000</v>
      </c>
      <c r="DR187" s="14" t="str">
        <f t="shared" si="251"/>
        <v>张郃碎片</v>
      </c>
      <c r="DS187" s="14">
        <f t="shared" si="267"/>
        <v>80</v>
      </c>
    </row>
    <row r="188" spans="8:123" ht="16.5" x14ac:dyDescent="0.2">
      <c r="H188" s="15"/>
      <c r="I188" s="15"/>
      <c r="J188" s="15"/>
      <c r="K188" s="15"/>
      <c r="L188" s="15"/>
      <c r="M188" s="15"/>
      <c r="N188" s="15"/>
      <c r="O188" s="137"/>
      <c r="P188" s="141"/>
      <c r="Q188" s="141"/>
      <c r="R188" s="141"/>
      <c r="S188" s="141"/>
      <c r="T188" s="141"/>
      <c r="U188" s="141"/>
      <c r="V188" s="141"/>
      <c r="W188" s="141"/>
      <c r="X188" s="141"/>
      <c r="Y188" s="141"/>
      <c r="Z188" s="196">
        <v>5</v>
      </c>
      <c r="AA188" s="196">
        <v>28</v>
      </c>
      <c r="AB188" s="14">
        <f>ROUND(INDEX(挂机升级突破!DT$6:DT$57,卡牌消耗!$AA188)*INDEX(卡牌消耗!$B$5:$F$5,卡牌消耗!$Z188)/卡牌消耗!$Q$4/AB$2,0)*AB$2</f>
        <v>0</v>
      </c>
      <c r="AC188" s="14">
        <f>ROUND(INDEX(挂机升级突破!DU$6:DU$57,卡牌消耗!$AA188)*INDEX(卡牌消耗!$B$5:$F$5,卡牌消耗!$Z188)/卡牌消耗!$Q$4/AC$2,0)*AC$2</f>
        <v>0</v>
      </c>
      <c r="AD188" s="14">
        <f>ROUND(INDEX(挂机升级突破!DV$6:DV$57,卡牌消耗!$AA188)*INDEX(卡牌消耗!$B$5:$F$5,卡牌消耗!$Z188)/卡牌消耗!$Q$4/AD$2,0)*AD$2</f>
        <v>0</v>
      </c>
      <c r="AE188" s="14">
        <f>ROUND(INDEX(挂机升级突破!DW$6:DW$57,卡牌消耗!$AA188)*INDEX(卡牌消耗!$B$5:$F$5,卡牌消耗!$Z188)/卡牌消耗!$Q$4/AE$2,0)*AE$2</f>
        <v>35</v>
      </c>
      <c r="AF188" s="14">
        <f>ROUND(INDEX(挂机升级突破!DX$6:DX$57,卡牌消耗!$AA188)*INDEX(卡牌消耗!$B$5:$F$5,卡牌消耗!$Z188)/卡牌消耗!$Q$4/AF$2,0)*AF$2</f>
        <v>0</v>
      </c>
      <c r="AG188" s="14">
        <f>ROUND(INDEX(挂机升级突破!EC$6:EC$57,卡牌消耗!$AA188)*INDEX(卡牌消耗!$B$7:$F$7,卡牌消耗!$Z188)/卡牌消耗!$Q$4/AG$2,0)*AG$2</f>
        <v>0</v>
      </c>
      <c r="AH188" s="14">
        <f>ROUND(INDEX(挂机升级突破!ED$6:ED$57,卡牌消耗!$AA188)*INDEX(卡牌消耗!$B$8:$F$8,卡牌消耗!$Z188)/卡牌消耗!$Q$4/AH$2,0)*AH$2</f>
        <v>17550</v>
      </c>
      <c r="AI188" s="194"/>
      <c r="AJ188" s="194"/>
      <c r="AK188" s="104">
        <v>184</v>
      </c>
      <c r="AL188" s="14">
        <f t="shared" si="252"/>
        <v>4</v>
      </c>
      <c r="AM188" s="14">
        <f>INDEX(挂机升级突破!DQ$6:DQ$57,卡牌消耗!$AT188)</f>
        <v>11</v>
      </c>
      <c r="AN188" s="14">
        <f>INDEX(挂机升级突破!DR$6:DR$57,卡牌消耗!$AT188)</f>
        <v>4</v>
      </c>
      <c r="AO188" s="14">
        <f>INDEX(挂机升级突破!DS$6:DS$57,卡牌消耗!$AT188)</f>
        <v>0</v>
      </c>
      <c r="AP188" s="14">
        <f>INDEX(挂机升级突破!$DP$6:$DP$57,卡牌消耗!AT188)</f>
        <v>88</v>
      </c>
      <c r="AQ188" s="14" t="str">
        <f t="shared" si="253"/>
        <v>唐流雨</v>
      </c>
      <c r="AR188" s="14">
        <f t="shared" si="254"/>
        <v>2</v>
      </c>
      <c r="AS188" s="14" t="str">
        <f t="shared" si="255"/>
        <v>唐流雨魂火-28</v>
      </c>
      <c r="AT188" s="14">
        <f t="shared" si="256"/>
        <v>28</v>
      </c>
      <c r="AU188" s="14" t="str">
        <f>IF(AM188&gt;0,INDEX(挂机升级突破!$DT$4:$ED$4,AM188),"")</f>
        <v>金币</v>
      </c>
      <c r="AV188" s="14">
        <f>ROUND(INDEX(挂机升级突破!$DJ$6:$DJ$57,卡牌消耗!AT188)*INDEX(卡牌消耗!$B$8:$F$8,AR188)/$Q$4/50,0)*50</f>
        <v>6150</v>
      </c>
      <c r="AW188" s="14" t="str">
        <f>IF(AN188&gt;0,INDEX(挂机升级突破!$DT$4:$ED$4,AN188),"")</f>
        <v>橙色基础材料</v>
      </c>
      <c r="AX188" s="14">
        <f>ROUND(INDEX(挂机升级突破!$DT$6:$ED$57,卡牌消耗!AT188,AN188)*INDEX(卡牌消耗!$B$5:$F$5,AR188)/$Q$4/5,0)*5</f>
        <v>20</v>
      </c>
      <c r="AY188" s="14" t="str">
        <f>IF(AO188&gt;0,INDEX(挂机升级突破!$DT$4:$ED$4,AO188),"")</f>
        <v/>
      </c>
      <c r="AZ188" s="14" t="str">
        <f>IF(AO188&gt;0,ROUND(INDEX(挂机升级突破!$DT$6:$ED$57,卡牌消耗!AT188,AO188)*INDEX(卡牌消耗!$B$7:$F$7,AR188)/$Q$4,0),"")</f>
        <v/>
      </c>
      <c r="BA188" s="106"/>
      <c r="BB188" s="197"/>
      <c r="BC188" s="197"/>
      <c r="BD188" s="197"/>
      <c r="BE188" s="197"/>
      <c r="BF188" s="197"/>
      <c r="BG188" s="197"/>
      <c r="BH188" s="197"/>
      <c r="BI188" s="197"/>
      <c r="BJ188" s="197"/>
      <c r="BK188" s="197"/>
      <c r="BL188" s="104">
        <v>184</v>
      </c>
      <c r="BM188" s="14">
        <f t="shared" si="257"/>
        <v>10</v>
      </c>
      <c r="BN188" s="14">
        <f>INDEX(挂机升级突破!$EI$7:$EI$26,BS188)</f>
        <v>5</v>
      </c>
      <c r="BO188" s="14">
        <f>INDEX(挂机升级突破!$EJ$7:$EJ$26,BS188)</f>
        <v>1</v>
      </c>
      <c r="BP188" s="14">
        <f t="shared" si="258"/>
        <v>4</v>
      </c>
      <c r="BQ188" s="14">
        <f>INDEX(挂机升级突破!$EH$7:$EH$26,卡牌消耗!BS188)</f>
        <v>25</v>
      </c>
      <c r="BR188" s="14" t="str">
        <f t="shared" si="259"/>
        <v>张郃</v>
      </c>
      <c r="BS188" s="14">
        <f t="shared" si="260"/>
        <v>4</v>
      </c>
      <c r="BT188" s="14" t="str">
        <f t="shared" si="261"/>
        <v>张郃4突</v>
      </c>
      <c r="BU188" s="14" t="str">
        <f>IF(BN188&gt;0,INDEX(挂机升级突破!$ER$5:$EV$5,卡牌消耗!BN188),"")</f>
        <v>金币</v>
      </c>
      <c r="BV188" s="14">
        <f>IF(BN188&gt;0,ROUND(INDEX(挂机升级突破!$EV$7:$EV$26,卡牌消耗!BS188)*INDEX(卡牌消耗!$B$8:$F$8,BP188)/$Q$4/500,0)*500,"")</f>
        <v>5500</v>
      </c>
      <c r="BW188" s="14" t="str">
        <f>IF(BO188&gt;0,INDEX(挂机升级突破!$ER$5:$EV$5,卡牌消耗!BO188),"")</f>
        <v>玄铁</v>
      </c>
      <c r="BX188" s="14">
        <f>IF(BO188&gt;0,ROUND(INDEX(挂机升级突破!$ER$7:$EU$26,卡牌消耗!BS188,卡牌消耗!BO188)*INDEX($B$6:$F$6,BP188)/$Q$4,0),"")</f>
        <v>20</v>
      </c>
      <c r="BY188" s="193"/>
      <c r="BZ188" s="193"/>
      <c r="CA188" s="106"/>
      <c r="CS188" s="171"/>
      <c r="CT188" s="171"/>
      <c r="CU188" s="171"/>
      <c r="CV188" s="170"/>
      <c r="CW188" s="170"/>
      <c r="CX188" s="170"/>
      <c r="CY188" s="170"/>
      <c r="CZ188" s="170"/>
      <c r="DI188" s="186">
        <v>184</v>
      </c>
      <c r="DJ188" s="14">
        <f t="shared" si="265"/>
        <v>37</v>
      </c>
      <c r="DK188" s="14">
        <f t="shared" si="247"/>
        <v>4</v>
      </c>
      <c r="DL188" s="14">
        <f t="shared" si="248"/>
        <v>1102010</v>
      </c>
      <c r="DM188" s="136" t="s">
        <v>1097</v>
      </c>
      <c r="DN188" s="14">
        <f t="shared" si="249"/>
        <v>4</v>
      </c>
      <c r="DO188" s="14" t="str">
        <f t="shared" si="250"/>
        <v>张郃-4星</v>
      </c>
      <c r="DP188" s="136" t="s">
        <v>1103</v>
      </c>
      <c r="DQ188" s="14">
        <f t="shared" si="266"/>
        <v>32000</v>
      </c>
      <c r="DR188" s="14" t="str">
        <f t="shared" si="251"/>
        <v>张郃碎片</v>
      </c>
      <c r="DS188" s="14">
        <f t="shared" si="267"/>
        <v>80</v>
      </c>
    </row>
    <row r="189" spans="8:123" ht="16.5" x14ac:dyDescent="0.2">
      <c r="H189" s="15"/>
      <c r="I189" s="15"/>
      <c r="J189" s="15"/>
      <c r="K189" s="15"/>
      <c r="L189" s="15"/>
      <c r="M189" s="15"/>
      <c r="N189" s="15"/>
      <c r="O189" s="137"/>
      <c r="P189" s="141"/>
      <c r="Q189" s="141"/>
      <c r="R189" s="141"/>
      <c r="S189" s="141"/>
      <c r="T189" s="141"/>
      <c r="U189" s="141"/>
      <c r="V189" s="141"/>
      <c r="W189" s="141"/>
      <c r="X189" s="141"/>
      <c r="Y189" s="141"/>
      <c r="Z189" s="196">
        <v>5</v>
      </c>
      <c r="AA189" s="196">
        <v>29</v>
      </c>
      <c r="AB189" s="14">
        <f>ROUND(INDEX(挂机升级突破!DT$6:DT$57,卡牌消耗!$AA189)*INDEX(卡牌消耗!$B$5:$F$5,卡牌消耗!$Z189)/卡牌消耗!$Q$4/AB$2,0)*AB$2</f>
        <v>0</v>
      </c>
      <c r="AC189" s="14">
        <f>ROUND(INDEX(挂机升级突破!DU$6:DU$57,卡牌消耗!$AA189)*INDEX(卡牌消耗!$B$5:$F$5,卡牌消耗!$Z189)/卡牌消耗!$Q$4/AC$2,0)*AC$2</f>
        <v>0</v>
      </c>
      <c r="AD189" s="14">
        <f>ROUND(INDEX(挂机升级突破!DV$6:DV$57,卡牌消耗!$AA189)*INDEX(卡牌消耗!$B$5:$F$5,卡牌消耗!$Z189)/卡牌消耗!$Q$4/AD$2,0)*AD$2</f>
        <v>0</v>
      </c>
      <c r="AE189" s="14">
        <f>ROUND(INDEX(挂机升级突破!DW$6:DW$57,卡牌消耗!$AA189)*INDEX(卡牌消耗!$B$5:$F$5,卡牌消耗!$Z189)/卡牌消耗!$Q$4/AE$2,0)*AE$2</f>
        <v>40</v>
      </c>
      <c r="AF189" s="14">
        <f>ROUND(INDEX(挂机升级突破!DX$6:DX$57,卡牌消耗!$AA189)*INDEX(卡牌消耗!$B$5:$F$5,卡牌消耗!$Z189)/卡牌消耗!$Q$4/AF$2,0)*AF$2</f>
        <v>0</v>
      </c>
      <c r="AG189" s="14">
        <f>ROUND(INDEX(挂机升级突破!EC$6:EC$57,卡牌消耗!$AA189)*INDEX(卡牌消耗!$B$7:$F$7,卡牌消耗!$Z189)/卡牌消耗!$Q$4/AG$2,0)*AG$2</f>
        <v>0</v>
      </c>
      <c r="AH189" s="14">
        <f>ROUND(INDEX(挂机升级突破!ED$6:ED$57,卡牌消耗!$AA189)*INDEX(卡牌消耗!$B$8:$F$8,卡牌消耗!$Z189)/卡牌消耗!$Q$4/AH$2,0)*AH$2</f>
        <v>17800</v>
      </c>
      <c r="AI189" s="194"/>
      <c r="AJ189" s="194"/>
      <c r="AK189" s="104">
        <v>185</v>
      </c>
      <c r="AL189" s="14">
        <f t="shared" si="252"/>
        <v>4</v>
      </c>
      <c r="AM189" s="14">
        <f>INDEX(挂机升级突破!DQ$6:DQ$57,卡牌消耗!$AT189)</f>
        <v>11</v>
      </c>
      <c r="AN189" s="14">
        <f>INDEX(挂机升级突破!DR$6:DR$57,卡牌消耗!$AT189)</f>
        <v>4</v>
      </c>
      <c r="AO189" s="14">
        <f>INDEX(挂机升级突破!DS$6:DS$57,卡牌消耗!$AT189)</f>
        <v>0</v>
      </c>
      <c r="AP189" s="14">
        <f>INDEX(挂机升级突破!$DP$6:$DP$57,卡牌消耗!AT189)</f>
        <v>90</v>
      </c>
      <c r="AQ189" s="14" t="str">
        <f t="shared" si="253"/>
        <v>唐流雨</v>
      </c>
      <c r="AR189" s="14">
        <f t="shared" si="254"/>
        <v>2</v>
      </c>
      <c r="AS189" s="14" t="str">
        <f t="shared" si="255"/>
        <v>唐流雨魂火-29</v>
      </c>
      <c r="AT189" s="14">
        <f t="shared" si="256"/>
        <v>29</v>
      </c>
      <c r="AU189" s="14" t="str">
        <f>IF(AM189&gt;0,INDEX(挂机升级突破!$DT$4:$ED$4,AM189),"")</f>
        <v>金币</v>
      </c>
      <c r="AV189" s="14">
        <f>ROUND(INDEX(挂机升级突破!$DJ$6:$DJ$57,卡牌消耗!AT189)*INDEX(卡牌消耗!$B$8:$F$8,AR189)/$Q$4/50,0)*50</f>
        <v>6200</v>
      </c>
      <c r="AW189" s="14" t="str">
        <f>IF(AN189&gt;0,INDEX(挂机升级突破!$DT$4:$ED$4,AN189),"")</f>
        <v>橙色基础材料</v>
      </c>
      <c r="AX189" s="14">
        <f>ROUND(INDEX(挂机升级突破!$DT$6:$ED$57,卡牌消耗!AT189,AN189)*INDEX(卡牌消耗!$B$5:$F$5,AR189)/$Q$4/5,0)*5</f>
        <v>20</v>
      </c>
      <c r="AY189" s="14" t="str">
        <f>IF(AO189&gt;0,INDEX(挂机升级突破!$DT$4:$ED$4,AO189),"")</f>
        <v/>
      </c>
      <c r="AZ189" s="14" t="str">
        <f>IF(AO189&gt;0,ROUND(INDEX(挂机升级突破!$DT$6:$ED$57,卡牌消耗!AT189,AO189)*INDEX(卡牌消耗!$B$7:$F$7,AR189)/$Q$4,0),"")</f>
        <v/>
      </c>
      <c r="BA189" s="106"/>
      <c r="BB189" s="197"/>
      <c r="BC189" s="197"/>
      <c r="BD189" s="197"/>
      <c r="BE189" s="197"/>
      <c r="BF189" s="197"/>
      <c r="BG189" s="197"/>
      <c r="BH189" s="197"/>
      <c r="BI189" s="197"/>
      <c r="BJ189" s="197"/>
      <c r="BK189" s="197"/>
      <c r="BL189" s="104">
        <v>185</v>
      </c>
      <c r="BM189" s="14">
        <f t="shared" si="257"/>
        <v>10</v>
      </c>
      <c r="BN189" s="14">
        <f>INDEX(挂机升级突破!$EI$7:$EI$26,BS189)</f>
        <v>5</v>
      </c>
      <c r="BO189" s="14">
        <f>INDEX(挂机升级突破!$EJ$7:$EJ$26,BS189)</f>
        <v>1</v>
      </c>
      <c r="BP189" s="14">
        <f t="shared" si="258"/>
        <v>4</v>
      </c>
      <c r="BQ189" s="14">
        <f>INDEX(挂机升级突破!$EH$7:$EH$26,卡牌消耗!BS189)</f>
        <v>35</v>
      </c>
      <c r="BR189" s="14" t="str">
        <f t="shared" si="259"/>
        <v>张郃</v>
      </c>
      <c r="BS189" s="14">
        <f t="shared" si="260"/>
        <v>5</v>
      </c>
      <c r="BT189" s="14" t="str">
        <f t="shared" si="261"/>
        <v>张郃5突</v>
      </c>
      <c r="BU189" s="14" t="str">
        <f>IF(BN189&gt;0,INDEX(挂机升级突破!$ER$5:$EV$5,卡牌消耗!BN189),"")</f>
        <v>金币</v>
      </c>
      <c r="BV189" s="14">
        <f>IF(BN189&gt;0,ROUND(INDEX(挂机升级突破!$EV$7:$EV$26,卡牌消耗!BS189)*INDEX(卡牌消耗!$B$8:$F$8,BP189)/$Q$4/500,0)*500,"")</f>
        <v>5500</v>
      </c>
      <c r="BW189" s="14" t="str">
        <f>IF(BO189&gt;0,INDEX(挂机升级突破!$ER$5:$EV$5,卡牌消耗!BO189),"")</f>
        <v>玄铁</v>
      </c>
      <c r="BX189" s="14">
        <f>IF(BO189&gt;0,ROUND(INDEX(挂机升级突破!$ER$7:$EU$26,卡牌消耗!BS189,卡牌消耗!BO189)*INDEX($B$6:$F$6,BP189)/$Q$4/5,0)*5,"")</f>
        <v>40</v>
      </c>
      <c r="BY189" s="193"/>
      <c r="BZ189" s="193"/>
      <c r="CA189" s="106"/>
      <c r="CS189" s="171"/>
      <c r="CT189" s="171"/>
      <c r="CU189" s="171"/>
      <c r="CV189" s="170"/>
      <c r="CW189" s="170"/>
      <c r="CX189" s="170"/>
      <c r="CY189" s="170"/>
      <c r="CZ189" s="170"/>
      <c r="DI189" s="186">
        <v>185</v>
      </c>
      <c r="DJ189" s="14">
        <f t="shared" si="265"/>
        <v>37</v>
      </c>
      <c r="DK189" s="14">
        <f t="shared" si="247"/>
        <v>4</v>
      </c>
      <c r="DL189" s="14">
        <f t="shared" si="248"/>
        <v>1102010</v>
      </c>
      <c r="DM189" s="136" t="s">
        <v>1097</v>
      </c>
      <c r="DN189" s="14">
        <f t="shared" si="249"/>
        <v>5</v>
      </c>
      <c r="DO189" s="14" t="str">
        <f t="shared" si="250"/>
        <v>张郃-5星</v>
      </c>
      <c r="DP189" s="136" t="s">
        <v>1103</v>
      </c>
      <c r="DQ189" s="14">
        <f t="shared" si="266"/>
        <v>60000</v>
      </c>
      <c r="DR189" s="14" t="str">
        <f t="shared" si="251"/>
        <v>张郃碎片</v>
      </c>
      <c r="DS189" s="14">
        <f t="shared" si="267"/>
        <v>80</v>
      </c>
    </row>
    <row r="190" spans="8:123" ht="16.5" x14ac:dyDescent="0.2">
      <c r="H190" s="15"/>
      <c r="I190" s="15"/>
      <c r="J190" s="15"/>
      <c r="K190" s="15"/>
      <c r="L190" s="15"/>
      <c r="M190" s="15"/>
      <c r="N190" s="15"/>
      <c r="O190" s="137"/>
      <c r="P190" s="141"/>
      <c r="Q190" s="141"/>
      <c r="R190" s="141"/>
      <c r="S190" s="141"/>
      <c r="T190" s="141"/>
      <c r="U190" s="141"/>
      <c r="V190" s="141"/>
      <c r="W190" s="141"/>
      <c r="X190" s="141"/>
      <c r="Y190" s="141"/>
      <c r="Z190" s="196">
        <v>5</v>
      </c>
      <c r="AA190" s="196">
        <v>30</v>
      </c>
      <c r="AB190" s="14">
        <f>ROUND(INDEX(挂机升级突破!DT$6:DT$57,卡牌消耗!$AA190)*INDEX(卡牌消耗!$B$5:$F$5,卡牌消耗!$Z190)/卡牌消耗!$Q$4/AB$2,0)*AB$2</f>
        <v>0</v>
      </c>
      <c r="AC190" s="14">
        <f>ROUND(INDEX(挂机升级突破!DU$6:DU$57,卡牌消耗!$AA190)*INDEX(卡牌消耗!$B$5:$F$5,卡牌消耗!$Z190)/卡牌消耗!$Q$4/AC$2,0)*AC$2</f>
        <v>0</v>
      </c>
      <c r="AD190" s="14">
        <f>ROUND(INDEX(挂机升级突破!DV$6:DV$57,卡牌消耗!$AA190)*INDEX(卡牌消耗!$B$5:$F$5,卡牌消耗!$Z190)/卡牌消耗!$Q$4/AD$2,0)*AD$2</f>
        <v>0</v>
      </c>
      <c r="AE190" s="14">
        <f>ROUND(INDEX(挂机升级突破!DW$6:DW$57,卡牌消耗!$AA190)*INDEX(卡牌消耗!$B$5:$F$5,卡牌消耗!$Z190)/卡牌消耗!$Q$4/AE$2,0)*AE$2</f>
        <v>40</v>
      </c>
      <c r="AF190" s="14">
        <f>ROUND(INDEX(挂机升级突破!DX$6:DX$57,卡牌消耗!$AA190)*INDEX(卡牌消耗!$B$5:$F$5,卡牌消耗!$Z190)/卡牌消耗!$Q$4/AF$2,0)*AF$2</f>
        <v>0</v>
      </c>
      <c r="AG190" s="14">
        <f>ROUND(INDEX(挂机升级突破!EC$6:EC$57,卡牌消耗!$AA190)*INDEX(卡牌消耗!$B$7:$F$7,卡牌消耗!$Z190)/卡牌消耗!$Q$4/AG$2,0)*AG$2</f>
        <v>0</v>
      </c>
      <c r="AH190" s="14">
        <f>ROUND(INDEX(挂机升级突破!ED$6:ED$57,卡牌消耗!$AA190)*INDEX(卡牌消耗!$B$8:$F$8,卡牌消耗!$Z190)/卡牌消耗!$Q$4/AH$2,0)*AH$2</f>
        <v>17800</v>
      </c>
      <c r="AI190" s="194"/>
      <c r="AJ190" s="194"/>
      <c r="AK190" s="104">
        <v>186</v>
      </c>
      <c r="AL190" s="14">
        <f t="shared" si="252"/>
        <v>4</v>
      </c>
      <c r="AM190" s="14">
        <f>INDEX(挂机升级突破!DQ$6:DQ$57,卡牌消耗!$AT190)</f>
        <v>11</v>
      </c>
      <c r="AN190" s="14">
        <f>INDEX(挂机升级突破!DR$6:DR$57,卡牌消耗!$AT190)</f>
        <v>4</v>
      </c>
      <c r="AO190" s="14">
        <f>INDEX(挂机升级突破!DS$6:DS$57,卡牌消耗!$AT190)</f>
        <v>0</v>
      </c>
      <c r="AP190" s="14">
        <f>INDEX(挂机升级突破!$DP$6:$DP$57,卡牌消耗!AT190)</f>
        <v>93</v>
      </c>
      <c r="AQ190" s="14" t="str">
        <f t="shared" si="253"/>
        <v>唐流雨</v>
      </c>
      <c r="AR190" s="14">
        <f t="shared" si="254"/>
        <v>2</v>
      </c>
      <c r="AS190" s="14" t="str">
        <f t="shared" si="255"/>
        <v>唐流雨魂火-30</v>
      </c>
      <c r="AT190" s="14">
        <f t="shared" si="256"/>
        <v>30</v>
      </c>
      <c r="AU190" s="14" t="str">
        <f>IF(AM190&gt;0,INDEX(挂机升级突破!$DT$4:$ED$4,AM190),"")</f>
        <v>金币</v>
      </c>
      <c r="AV190" s="14">
        <f>ROUND(INDEX(挂机升级突破!$DJ$6:$DJ$57,卡牌消耗!AT190)*INDEX(卡牌消耗!$B$8:$F$8,AR190)/$Q$4/50,0)*50</f>
        <v>6200</v>
      </c>
      <c r="AW190" s="14" t="str">
        <f>IF(AN190&gt;0,INDEX(挂机升级突破!$DT$4:$ED$4,AN190),"")</f>
        <v>橙色基础材料</v>
      </c>
      <c r="AX190" s="14">
        <f>ROUND(INDEX(挂机升级突破!$DT$6:$ED$57,卡牌消耗!AT190,AN190)*INDEX(卡牌消耗!$B$5:$F$5,AR190)/$Q$4/5,0)*5</f>
        <v>20</v>
      </c>
      <c r="AY190" s="14" t="str">
        <f>IF(AO190&gt;0,INDEX(挂机升级突破!$DT$4:$ED$4,AO190),"")</f>
        <v/>
      </c>
      <c r="AZ190" s="14" t="str">
        <f>IF(AO190&gt;0,ROUND(INDEX(挂机升级突破!$DT$6:$ED$57,卡牌消耗!AT190,AO190)*INDEX(卡牌消耗!$B$7:$F$7,AR190)/$Q$4,0),"")</f>
        <v/>
      </c>
      <c r="BA190" s="106"/>
      <c r="BB190" s="197"/>
      <c r="BC190" s="197"/>
      <c r="BD190" s="197"/>
      <c r="BE190" s="197"/>
      <c r="BF190" s="197"/>
      <c r="BG190" s="197"/>
      <c r="BH190" s="197"/>
      <c r="BI190" s="197"/>
      <c r="BJ190" s="197"/>
      <c r="BK190" s="197"/>
      <c r="BL190" s="104">
        <v>186</v>
      </c>
      <c r="BM190" s="14">
        <f t="shared" si="257"/>
        <v>10</v>
      </c>
      <c r="BN190" s="14">
        <f>INDEX(挂机升级突破!$EI$7:$EI$26,BS190)</f>
        <v>5</v>
      </c>
      <c r="BO190" s="14">
        <f>INDEX(挂机升级突破!$EJ$7:$EJ$26,BS190)</f>
        <v>1</v>
      </c>
      <c r="BP190" s="14">
        <f t="shared" si="258"/>
        <v>4</v>
      </c>
      <c r="BQ190" s="14">
        <f>INDEX(挂机升级突破!$EH$7:$EH$26,卡牌消耗!BS190)</f>
        <v>42</v>
      </c>
      <c r="BR190" s="14" t="str">
        <f t="shared" si="259"/>
        <v>张郃</v>
      </c>
      <c r="BS190" s="14">
        <f t="shared" si="260"/>
        <v>6</v>
      </c>
      <c r="BT190" s="14" t="str">
        <f t="shared" si="261"/>
        <v>张郃6突</v>
      </c>
      <c r="BU190" s="14" t="str">
        <f>IF(BN190&gt;0,INDEX(挂机升级突破!$ER$5:$EV$5,卡牌消耗!BN190),"")</f>
        <v>金币</v>
      </c>
      <c r="BV190" s="14">
        <f>IF(BN190&gt;0,ROUND(INDEX(挂机升级突破!$EV$7:$EV$26,卡牌消耗!BS190)*INDEX(卡牌消耗!$B$8:$F$8,BP190)/$Q$4/500,0)*500,"")</f>
        <v>7500</v>
      </c>
      <c r="BW190" s="14" t="str">
        <f>IF(BO190&gt;0,INDEX(挂机升级突破!$ER$5:$EV$5,卡牌消耗!BO190),"")</f>
        <v>玄铁</v>
      </c>
      <c r="BX190" s="14">
        <f>IF(BO190&gt;0,ROUND(INDEX(挂机升级突破!$ER$7:$EU$26,卡牌消耗!BS190,卡牌消耗!BO190)*INDEX($B$6:$F$6,BP190)/$Q$4/5,0)*5,"")</f>
        <v>60</v>
      </c>
      <c r="BY190" s="193"/>
      <c r="BZ190" s="193"/>
      <c r="CA190" s="106"/>
      <c r="CS190" s="171"/>
      <c r="CT190" s="171"/>
      <c r="CU190" s="171"/>
      <c r="CV190" s="170"/>
      <c r="CW190" s="170"/>
      <c r="CX190" s="170"/>
      <c r="CY190" s="170"/>
      <c r="CZ190" s="170"/>
      <c r="DI190" s="186">
        <v>186</v>
      </c>
      <c r="DJ190" s="14">
        <f t="shared" si="265"/>
        <v>38</v>
      </c>
      <c r="DK190" s="14">
        <f t="shared" si="247"/>
        <v>4</v>
      </c>
      <c r="DL190" s="14">
        <f t="shared" si="248"/>
        <v>1102011</v>
      </c>
      <c r="DM190" s="136" t="s">
        <v>1097</v>
      </c>
      <c r="DN190" s="14">
        <f t="shared" si="249"/>
        <v>1</v>
      </c>
      <c r="DO190" s="14" t="str">
        <f t="shared" si="250"/>
        <v>张飞-1星</v>
      </c>
      <c r="DP190" s="136" t="s">
        <v>1103</v>
      </c>
      <c r="DQ190" s="14">
        <f t="shared" si="266"/>
        <v>6000</v>
      </c>
      <c r="DR190" s="14" t="str">
        <f t="shared" si="251"/>
        <v>张飞碎片</v>
      </c>
      <c r="DS190" s="14">
        <f t="shared" si="267"/>
        <v>80</v>
      </c>
    </row>
    <row r="191" spans="8:123" ht="16.5" x14ac:dyDescent="0.2">
      <c r="H191" s="15"/>
      <c r="I191" s="15"/>
      <c r="J191" s="15"/>
      <c r="K191" s="15"/>
      <c r="L191" s="15"/>
      <c r="M191" s="15"/>
      <c r="N191" s="15"/>
      <c r="O191" s="137"/>
      <c r="P191" s="141"/>
      <c r="Q191" s="141"/>
      <c r="R191" s="141"/>
      <c r="S191" s="141"/>
      <c r="T191" s="141"/>
      <c r="U191" s="141"/>
      <c r="V191" s="141"/>
      <c r="W191" s="141"/>
      <c r="X191" s="141"/>
      <c r="Y191" s="141"/>
      <c r="Z191" s="196">
        <v>5</v>
      </c>
      <c r="AA191" s="196">
        <v>31</v>
      </c>
      <c r="AB191" s="14">
        <f>ROUND(INDEX(挂机升级突破!DT$6:DT$57,卡牌消耗!$AA191)*INDEX(卡牌消耗!$B$5:$F$5,卡牌消耗!$Z191)/卡牌消耗!$Q$4/AB$2,0)*AB$2</f>
        <v>0</v>
      </c>
      <c r="AC191" s="14">
        <f>ROUND(INDEX(挂机升级突破!DU$6:DU$57,卡牌消耗!$AA191)*INDEX(卡牌消耗!$B$5:$F$5,卡牌消耗!$Z191)/卡牌消耗!$Q$4/AC$2,0)*AC$2</f>
        <v>0</v>
      </c>
      <c r="AD191" s="14">
        <f>ROUND(INDEX(挂机升级突破!DV$6:DV$57,卡牌消耗!$AA191)*INDEX(卡牌消耗!$B$5:$F$5,卡牌消耗!$Z191)/卡牌消耗!$Q$4/AD$2,0)*AD$2</f>
        <v>0</v>
      </c>
      <c r="AE191" s="14">
        <f>ROUND(INDEX(挂机升级突破!DW$6:DW$57,卡牌消耗!$AA191)*INDEX(卡牌消耗!$B$5:$F$5,卡牌消耗!$Z191)/卡牌消耗!$Q$4/AE$2,0)*AE$2</f>
        <v>40</v>
      </c>
      <c r="AF191" s="14">
        <f>ROUND(INDEX(挂机升级突破!DX$6:DX$57,卡牌消耗!$AA191)*INDEX(卡牌消耗!$B$5:$F$5,卡牌消耗!$Z191)/卡牌消耗!$Q$4/AF$2,0)*AF$2</f>
        <v>0</v>
      </c>
      <c r="AG191" s="14">
        <f>ROUND(INDEX(挂机升级突破!EC$6:EC$57,卡牌消耗!$AA191)*INDEX(卡牌消耗!$B$7:$F$7,卡牌消耗!$Z191)/卡牌消耗!$Q$4/AG$2,0)*AG$2</f>
        <v>0</v>
      </c>
      <c r="AH191" s="14">
        <f>ROUND(INDEX(挂机升级突破!ED$6:ED$57,卡牌消耗!$AA191)*INDEX(卡牌消耗!$B$8:$F$8,卡牌消耗!$Z191)/卡牌消耗!$Q$4/AH$2,0)*AH$2</f>
        <v>17800</v>
      </c>
      <c r="AI191" s="194"/>
      <c r="AJ191" s="194"/>
      <c r="AK191" s="104">
        <v>187</v>
      </c>
      <c r="AL191" s="14">
        <f t="shared" si="252"/>
        <v>4</v>
      </c>
      <c r="AM191" s="14">
        <f>INDEX(挂机升级突破!DQ$6:DQ$57,卡牌消耗!$AT191)</f>
        <v>11</v>
      </c>
      <c r="AN191" s="14">
        <f>INDEX(挂机升级突破!DR$6:DR$57,卡牌消耗!$AT191)</f>
        <v>4</v>
      </c>
      <c r="AO191" s="14">
        <f>INDEX(挂机升级突破!DS$6:DS$57,卡牌消耗!$AT191)</f>
        <v>0</v>
      </c>
      <c r="AP191" s="14">
        <f>INDEX(挂机升级突破!$DP$6:$DP$57,卡牌消耗!AT191)</f>
        <v>95</v>
      </c>
      <c r="AQ191" s="14" t="str">
        <f t="shared" si="253"/>
        <v>唐流雨</v>
      </c>
      <c r="AR191" s="14">
        <f t="shared" si="254"/>
        <v>2</v>
      </c>
      <c r="AS191" s="14" t="str">
        <f t="shared" si="255"/>
        <v>唐流雨魂火-31</v>
      </c>
      <c r="AT191" s="14">
        <f t="shared" si="256"/>
        <v>31</v>
      </c>
      <c r="AU191" s="14" t="str">
        <f>IF(AM191&gt;0,INDEX(挂机升级突破!$DT$4:$ED$4,AM191),"")</f>
        <v>金币</v>
      </c>
      <c r="AV191" s="14">
        <f>ROUND(INDEX(挂机升级突破!$DJ$6:$DJ$57,卡牌消耗!AT191)*INDEX(卡牌消耗!$B$8:$F$8,AR191)/$Q$4/50,0)*50</f>
        <v>6200</v>
      </c>
      <c r="AW191" s="14" t="str">
        <f>IF(AN191&gt;0,INDEX(挂机升级突破!$DT$4:$ED$4,AN191),"")</f>
        <v>橙色基础材料</v>
      </c>
      <c r="AX191" s="14">
        <f>ROUND(INDEX(挂机升级突破!$DT$6:$ED$57,卡牌消耗!AT191,AN191)*INDEX(卡牌消耗!$B$5:$F$5,AR191)/$Q$4/5,0)*5</f>
        <v>20</v>
      </c>
      <c r="AY191" s="14" t="str">
        <f>IF(AO191&gt;0,INDEX(挂机升级突破!$DT$4:$ED$4,AO191),"")</f>
        <v/>
      </c>
      <c r="AZ191" s="14" t="str">
        <f>IF(AO191&gt;0,ROUND(INDEX(挂机升级突破!$DT$6:$ED$57,卡牌消耗!AT191,AO191)*INDEX(卡牌消耗!$B$7:$F$7,AR191)/$Q$4,0),"")</f>
        <v/>
      </c>
      <c r="BA191" s="106"/>
      <c r="BB191" s="197"/>
      <c r="BC191" s="197"/>
      <c r="BD191" s="197"/>
      <c r="BE191" s="197"/>
      <c r="BF191" s="197"/>
      <c r="BG191" s="197"/>
      <c r="BH191" s="197"/>
      <c r="BI191" s="197"/>
      <c r="BJ191" s="197"/>
      <c r="BK191" s="197"/>
      <c r="BL191" s="104">
        <v>187</v>
      </c>
      <c r="BM191" s="14">
        <f t="shared" si="257"/>
        <v>10</v>
      </c>
      <c r="BN191" s="14">
        <f>INDEX(挂机升级突破!$EI$7:$EI$26,BS191)</f>
        <v>5</v>
      </c>
      <c r="BO191" s="14">
        <f>INDEX(挂机升级突破!$EJ$7:$EJ$26,BS191)</f>
        <v>1</v>
      </c>
      <c r="BP191" s="14">
        <f t="shared" si="258"/>
        <v>4</v>
      </c>
      <c r="BQ191" s="14">
        <f>INDEX(挂机升级突破!$EH$7:$EH$26,卡牌消耗!BS191)</f>
        <v>47</v>
      </c>
      <c r="BR191" s="14" t="str">
        <f t="shared" si="259"/>
        <v>张郃</v>
      </c>
      <c r="BS191" s="14">
        <f t="shared" si="260"/>
        <v>7</v>
      </c>
      <c r="BT191" s="14" t="str">
        <f t="shared" si="261"/>
        <v>张郃7突</v>
      </c>
      <c r="BU191" s="14" t="str">
        <f>IF(BN191&gt;0,INDEX(挂机升级突破!$ER$5:$EV$5,卡牌消耗!BN191),"")</f>
        <v>金币</v>
      </c>
      <c r="BV191" s="14">
        <f>IF(BN191&gt;0,ROUND(INDEX(挂机升级突破!$EV$7:$EV$26,卡牌消耗!BS191)*INDEX(卡牌消耗!$B$8:$F$8,BP191)/$Q$4/500,0)*500,"")</f>
        <v>12500</v>
      </c>
      <c r="BW191" s="14" t="str">
        <f>IF(BO191&gt;0,INDEX(挂机升级突破!$ER$5:$EV$5,卡牌消耗!BO191),"")</f>
        <v>玄铁</v>
      </c>
      <c r="BX191" s="14">
        <f>IF(BO191&gt;0,ROUND(INDEX(挂机升级突破!$ER$7:$EU$26,卡牌消耗!BS191,卡牌消耗!BO191)*INDEX($B$6:$F$6,BP191)/$Q$4/5,0)*5,"")</f>
        <v>100</v>
      </c>
      <c r="BY191" s="193"/>
      <c r="BZ191" s="193"/>
      <c r="CA191" s="106"/>
      <c r="CS191" s="171"/>
      <c r="CT191" s="171"/>
      <c r="CU191" s="171"/>
      <c r="CV191" s="170"/>
      <c r="CW191" s="170"/>
      <c r="CX191" s="170"/>
      <c r="CY191" s="170"/>
      <c r="CZ191" s="170"/>
      <c r="DI191" s="186">
        <v>187</v>
      </c>
      <c r="DJ191" s="14">
        <f t="shared" si="265"/>
        <v>38</v>
      </c>
      <c r="DK191" s="14">
        <f t="shared" si="247"/>
        <v>4</v>
      </c>
      <c r="DL191" s="14">
        <f t="shared" si="248"/>
        <v>1102011</v>
      </c>
      <c r="DM191" s="136" t="s">
        <v>1097</v>
      </c>
      <c r="DN191" s="14">
        <f t="shared" si="249"/>
        <v>2</v>
      </c>
      <c r="DO191" s="14" t="str">
        <f t="shared" si="250"/>
        <v>张飞-2星</v>
      </c>
      <c r="DP191" s="136" t="s">
        <v>1103</v>
      </c>
      <c r="DQ191" s="14">
        <f t="shared" si="266"/>
        <v>8000</v>
      </c>
      <c r="DR191" s="14" t="str">
        <f t="shared" si="251"/>
        <v>张飞碎片</v>
      </c>
      <c r="DS191" s="14">
        <f t="shared" si="267"/>
        <v>80</v>
      </c>
    </row>
    <row r="192" spans="8:123" ht="16.5" x14ac:dyDescent="0.2">
      <c r="H192" s="15"/>
      <c r="I192" s="15"/>
      <c r="J192" s="15"/>
      <c r="K192" s="15"/>
      <c r="L192" s="15"/>
      <c r="M192" s="15"/>
      <c r="N192" s="15"/>
      <c r="O192" s="137"/>
      <c r="P192" s="141"/>
      <c r="Q192" s="141"/>
      <c r="R192" s="141"/>
      <c r="S192" s="141"/>
      <c r="T192" s="141"/>
      <c r="U192" s="141"/>
      <c r="V192" s="141"/>
      <c r="W192" s="141"/>
      <c r="X192" s="141"/>
      <c r="Y192" s="141"/>
      <c r="Z192" s="196">
        <v>5</v>
      </c>
      <c r="AA192" s="196">
        <v>32</v>
      </c>
      <c r="AB192" s="14">
        <f>ROUND(INDEX(挂机升级突破!DT$6:DT$57,卡牌消耗!$AA192)*INDEX(卡牌消耗!$B$5:$F$5,卡牌消耗!$Z192)/卡牌消耗!$Q$4/AB$2,0)*AB$2</f>
        <v>0</v>
      </c>
      <c r="AC192" s="14">
        <f>ROUND(INDEX(挂机升级突破!DU$6:DU$57,卡牌消耗!$AA192)*INDEX(卡牌消耗!$B$5:$F$5,卡牌消耗!$Z192)/卡牌消耗!$Q$4/AC$2,0)*AC$2</f>
        <v>0</v>
      </c>
      <c r="AD192" s="14">
        <f>ROUND(INDEX(挂机升级突破!DV$6:DV$57,卡牌消耗!$AA192)*INDEX(卡牌消耗!$B$5:$F$5,卡牌消耗!$Z192)/卡牌消耗!$Q$4/AD$2,0)*AD$2</f>
        <v>0</v>
      </c>
      <c r="AE192" s="14">
        <f>ROUND(INDEX(挂机升级突破!DW$6:DW$57,卡牌消耗!$AA192)*INDEX(卡牌消耗!$B$5:$F$5,卡牌消耗!$Z192)/卡牌消耗!$Q$4/AE$2,0)*AE$2</f>
        <v>40</v>
      </c>
      <c r="AF192" s="14">
        <f>ROUND(INDEX(挂机升级突破!DX$6:DX$57,卡牌消耗!$AA192)*INDEX(卡牌消耗!$B$5:$F$5,卡牌消耗!$Z192)/卡牌消耗!$Q$4/AF$2,0)*AF$2</f>
        <v>0</v>
      </c>
      <c r="AG192" s="14">
        <f>ROUND(INDEX(挂机升级突破!EC$6:EC$57,卡牌消耗!$AA192)*INDEX(卡牌消耗!$B$7:$F$7,卡牌消耗!$Z192)/卡牌消耗!$Q$4/AG$2,0)*AG$2</f>
        <v>3</v>
      </c>
      <c r="AH192" s="14">
        <f>ROUND(INDEX(挂机升级突破!ED$6:ED$57,卡牌消耗!$AA192)*INDEX(卡牌消耗!$B$8:$F$8,卡牌消耗!$Z192)/卡牌消耗!$Q$4/AH$2,0)*AH$2</f>
        <v>24450</v>
      </c>
      <c r="AI192" s="194"/>
      <c r="AJ192" s="194"/>
      <c r="AK192" s="104">
        <v>188</v>
      </c>
      <c r="AL192" s="14">
        <f t="shared" si="252"/>
        <v>4</v>
      </c>
      <c r="AM192" s="14">
        <f>INDEX(挂机升级突破!DQ$6:DQ$57,卡牌消耗!$AT192)</f>
        <v>11</v>
      </c>
      <c r="AN192" s="14">
        <f>INDEX(挂机升级突破!DR$6:DR$57,卡牌消耗!$AT192)</f>
        <v>4</v>
      </c>
      <c r="AO192" s="14">
        <f>INDEX(挂机升级突破!DS$6:DS$57,卡牌消耗!$AT192)</f>
        <v>0</v>
      </c>
      <c r="AP192" s="14">
        <f>INDEX(挂机升级突破!$DP$6:$DP$57,卡牌消耗!AT192)</f>
        <v>98</v>
      </c>
      <c r="AQ192" s="14" t="str">
        <f t="shared" si="253"/>
        <v>唐流雨</v>
      </c>
      <c r="AR192" s="14">
        <f t="shared" si="254"/>
        <v>2</v>
      </c>
      <c r="AS192" s="14" t="str">
        <f t="shared" si="255"/>
        <v>唐流雨魂火-32</v>
      </c>
      <c r="AT192" s="14">
        <f t="shared" si="256"/>
        <v>32</v>
      </c>
      <c r="AU192" s="14" t="str">
        <f>IF(AM192&gt;0,INDEX(挂机升级突破!$DT$4:$ED$4,AM192),"")</f>
        <v>金币</v>
      </c>
      <c r="AV192" s="14">
        <f>ROUND(INDEX(挂机升级突破!$DJ$6:$DJ$57,卡牌消耗!AT192)*INDEX(卡牌消耗!$B$8:$F$8,AR192)/$Q$4/50,0)*50</f>
        <v>8550</v>
      </c>
      <c r="AW192" s="14" t="str">
        <f>IF(AN192&gt;0,INDEX(挂机升级突破!$DT$4:$ED$4,AN192),"")</f>
        <v>橙色基础材料</v>
      </c>
      <c r="AX192" s="14">
        <f>ROUND(INDEX(挂机升级突破!$DT$6:$ED$57,卡牌消耗!AT192,AN192)*INDEX(卡牌消耗!$B$5:$F$5,AR192)/$Q$4/5,0)*5</f>
        <v>20</v>
      </c>
      <c r="AY192" s="14" t="str">
        <f>IF(AO192&gt;0,INDEX(挂机升级突破!$DT$4:$ED$4,AO192),"")</f>
        <v/>
      </c>
      <c r="AZ192" s="14" t="str">
        <f>IF(AO192&gt;0,ROUND(INDEX(挂机升级突破!$DT$6:$ED$57,卡牌消耗!AT192,AO192)*INDEX(卡牌消耗!$B$7:$F$7,AR192)/$Q$4,0),"")</f>
        <v/>
      </c>
      <c r="BA192" s="106"/>
      <c r="BB192" s="197"/>
      <c r="BC192" s="197"/>
      <c r="BD192" s="197"/>
      <c r="BE192" s="197"/>
      <c r="BF192" s="197"/>
      <c r="BG192" s="197"/>
      <c r="BH192" s="197"/>
      <c r="BI192" s="197"/>
      <c r="BJ192" s="197"/>
      <c r="BK192" s="197"/>
      <c r="BL192" s="104">
        <v>188</v>
      </c>
      <c r="BM192" s="14">
        <f t="shared" si="257"/>
        <v>10</v>
      </c>
      <c r="BN192" s="14">
        <f>INDEX(挂机升级突破!$EI$7:$EI$26,BS192)</f>
        <v>5</v>
      </c>
      <c r="BO192" s="14">
        <f>INDEX(挂机升级突破!$EJ$7:$EJ$26,BS192)</f>
        <v>1</v>
      </c>
      <c r="BP192" s="14">
        <f t="shared" si="258"/>
        <v>4</v>
      </c>
      <c r="BQ192" s="14">
        <f>INDEX(挂机升级突破!$EH$7:$EH$26,卡牌消耗!BS192)</f>
        <v>52</v>
      </c>
      <c r="BR192" s="14" t="str">
        <f t="shared" si="259"/>
        <v>张郃</v>
      </c>
      <c r="BS192" s="14">
        <f t="shared" si="260"/>
        <v>8</v>
      </c>
      <c r="BT192" s="14" t="str">
        <f t="shared" si="261"/>
        <v>张郃8突</v>
      </c>
      <c r="BU192" s="14" t="str">
        <f>IF(BN192&gt;0,INDEX(挂机升级突破!$ER$5:$EV$5,卡牌消耗!BN192),"")</f>
        <v>金币</v>
      </c>
      <c r="BV192" s="14">
        <f>IF(BN192&gt;0,ROUND(INDEX(挂机升级突破!$EV$7:$EV$26,卡牌消耗!BS192)*INDEX(卡牌消耗!$B$8:$F$8,BP192)/$Q$4/500,0)*500,"")</f>
        <v>12500</v>
      </c>
      <c r="BW192" s="14" t="str">
        <f>IF(BO192&gt;0,INDEX(挂机升级突破!$ER$5:$EV$5,卡牌消耗!BO192),"")</f>
        <v>玄铁</v>
      </c>
      <c r="BX192" s="14">
        <f>IF(BO192&gt;0,ROUND(INDEX(挂机升级突破!$ER$7:$EU$26,卡牌消耗!BS192,卡牌消耗!BO192)*INDEX($B$6:$F$6,BP192)/$Q$4/5,0)*5,"")</f>
        <v>180</v>
      </c>
      <c r="BY192" s="193"/>
      <c r="BZ192" s="193"/>
      <c r="CA192" s="106"/>
      <c r="CS192" s="171"/>
      <c r="CT192" s="171"/>
      <c r="CU192" s="171"/>
      <c r="CV192" s="170"/>
      <c r="CW192" s="170"/>
      <c r="CX192" s="170"/>
      <c r="CY192" s="170"/>
      <c r="CZ192" s="170"/>
      <c r="DI192" s="186">
        <v>188</v>
      </c>
      <c r="DJ192" s="14">
        <f t="shared" si="265"/>
        <v>38</v>
      </c>
      <c r="DK192" s="14">
        <f t="shared" si="247"/>
        <v>4</v>
      </c>
      <c r="DL192" s="14">
        <f t="shared" si="248"/>
        <v>1102011</v>
      </c>
      <c r="DM192" s="136" t="s">
        <v>1097</v>
      </c>
      <c r="DN192" s="14">
        <f t="shared" si="249"/>
        <v>3</v>
      </c>
      <c r="DO192" s="14" t="str">
        <f t="shared" si="250"/>
        <v>张飞-3星</v>
      </c>
      <c r="DP192" s="136" t="s">
        <v>1103</v>
      </c>
      <c r="DQ192" s="14">
        <f t="shared" si="266"/>
        <v>14000</v>
      </c>
      <c r="DR192" s="14" t="str">
        <f t="shared" si="251"/>
        <v>张飞碎片</v>
      </c>
      <c r="DS192" s="14">
        <f t="shared" si="267"/>
        <v>80</v>
      </c>
    </row>
    <row r="193" spans="8:123" ht="16.5" x14ac:dyDescent="0.2">
      <c r="H193" s="15"/>
      <c r="I193" s="15"/>
      <c r="J193" s="15"/>
      <c r="K193" s="15"/>
      <c r="L193" s="15"/>
      <c r="M193" s="15"/>
      <c r="N193" s="15"/>
      <c r="O193" s="137"/>
      <c r="P193" s="141"/>
      <c r="Q193" s="141"/>
      <c r="R193" s="141"/>
      <c r="S193" s="141"/>
      <c r="T193" s="141"/>
      <c r="U193" s="141"/>
      <c r="V193" s="141"/>
      <c r="W193" s="141"/>
      <c r="X193" s="141"/>
      <c r="Y193" s="141"/>
      <c r="Z193" s="196">
        <v>5</v>
      </c>
      <c r="AA193" s="196">
        <v>33</v>
      </c>
      <c r="AB193" s="14">
        <f>ROUND(INDEX(挂机升级突破!DT$6:DT$57,卡牌消耗!$AA193)*INDEX(卡牌消耗!$B$5:$F$5,卡牌消耗!$Z193)/卡牌消耗!$Q$4/AB$2,0)*AB$2</f>
        <v>0</v>
      </c>
      <c r="AC193" s="14">
        <f>ROUND(INDEX(挂机升级突破!DU$6:DU$57,卡牌消耗!$AA193)*INDEX(卡牌消耗!$B$5:$F$5,卡牌消耗!$Z193)/卡牌消耗!$Q$4/AC$2,0)*AC$2</f>
        <v>0</v>
      </c>
      <c r="AD193" s="14">
        <f>ROUND(INDEX(挂机升级突破!DV$6:DV$57,卡牌消耗!$AA193)*INDEX(卡牌消耗!$B$5:$F$5,卡牌消耗!$Z193)/卡牌消耗!$Q$4/AD$2,0)*AD$2</f>
        <v>0</v>
      </c>
      <c r="AE193" s="14">
        <f>ROUND(INDEX(挂机升级突破!DW$6:DW$57,卡牌消耗!$AA193)*INDEX(卡牌消耗!$B$5:$F$5,卡牌消耗!$Z193)/卡牌消耗!$Q$4/AE$2,0)*AE$2</f>
        <v>40</v>
      </c>
      <c r="AF193" s="14">
        <f>ROUND(INDEX(挂机升级突破!DX$6:DX$57,卡牌消耗!$AA193)*INDEX(卡牌消耗!$B$5:$F$5,卡牌消耗!$Z193)/卡牌消耗!$Q$4/AF$2,0)*AF$2</f>
        <v>0</v>
      </c>
      <c r="AG193" s="14">
        <f>ROUND(INDEX(挂机升级突破!EC$6:EC$57,卡牌消耗!$AA193)*INDEX(卡牌消耗!$B$7:$F$7,卡牌消耗!$Z193)/卡牌消耗!$Q$4/AG$2,0)*AG$2</f>
        <v>3</v>
      </c>
      <c r="AH193" s="14">
        <f>ROUND(INDEX(挂机升级突破!ED$6:ED$57,卡牌消耗!$AA193)*INDEX(卡牌消耗!$B$8:$F$8,卡牌消耗!$Z193)/卡牌消耗!$Q$4/AH$2,0)*AH$2</f>
        <v>24450</v>
      </c>
      <c r="AI193" s="194"/>
      <c r="AJ193" s="194"/>
      <c r="AK193" s="104">
        <v>189</v>
      </c>
      <c r="AL193" s="14">
        <f t="shared" si="252"/>
        <v>4</v>
      </c>
      <c r="AM193" s="14">
        <f>INDEX(挂机升级突破!DQ$6:DQ$57,卡牌消耗!$AT193)</f>
        <v>11</v>
      </c>
      <c r="AN193" s="14">
        <f>INDEX(挂机升级突破!DR$6:DR$57,卡牌消耗!$AT193)</f>
        <v>4</v>
      </c>
      <c r="AO193" s="14">
        <f>INDEX(挂机升级突破!DS$6:DS$57,卡牌消耗!$AT193)</f>
        <v>0</v>
      </c>
      <c r="AP193" s="14">
        <f>INDEX(挂机升级突破!$DP$6:$DP$57,卡牌消耗!AT193)</f>
        <v>100</v>
      </c>
      <c r="AQ193" s="14" t="str">
        <f t="shared" si="253"/>
        <v>唐流雨</v>
      </c>
      <c r="AR193" s="14">
        <f t="shared" si="254"/>
        <v>2</v>
      </c>
      <c r="AS193" s="14" t="str">
        <f t="shared" si="255"/>
        <v>唐流雨魂火-33</v>
      </c>
      <c r="AT193" s="14">
        <f t="shared" si="256"/>
        <v>33</v>
      </c>
      <c r="AU193" s="14" t="str">
        <f>IF(AM193&gt;0,INDEX(挂机升级突破!$DT$4:$ED$4,AM193),"")</f>
        <v>金币</v>
      </c>
      <c r="AV193" s="14">
        <f>ROUND(INDEX(挂机升级突破!$DJ$6:$DJ$57,卡牌消耗!AT193)*INDEX(卡牌消耗!$B$8:$F$8,AR193)/$Q$4/50,0)*50</f>
        <v>8550</v>
      </c>
      <c r="AW193" s="14" t="str">
        <f>IF(AN193&gt;0,INDEX(挂机升级突破!$DT$4:$ED$4,AN193),"")</f>
        <v>橙色基础材料</v>
      </c>
      <c r="AX193" s="14">
        <f>ROUND(INDEX(挂机升级突破!$DT$6:$ED$57,卡牌消耗!AT193,AN193)*INDEX(卡牌消耗!$B$5:$F$5,AR193)/$Q$4/5,0)*5</f>
        <v>20</v>
      </c>
      <c r="AY193" s="14" t="str">
        <f>IF(AO193&gt;0,INDEX(挂机升级突破!$DT$4:$ED$4,AO193),"")</f>
        <v/>
      </c>
      <c r="AZ193" s="14" t="str">
        <f>IF(AO193&gt;0,ROUND(INDEX(挂机升级突破!$DT$6:$ED$57,卡牌消耗!AT193,AO193)*INDEX(卡牌消耗!$B$7:$F$7,AR193)/$Q$4,0),"")</f>
        <v/>
      </c>
      <c r="BA193" s="106"/>
      <c r="BB193" s="197"/>
      <c r="BC193" s="197"/>
      <c r="BD193" s="197"/>
      <c r="BE193" s="197"/>
      <c r="BF193" s="197"/>
      <c r="BG193" s="197"/>
      <c r="BH193" s="197"/>
      <c r="BI193" s="197"/>
      <c r="BJ193" s="197"/>
      <c r="BK193" s="197"/>
      <c r="BL193" s="104">
        <v>189</v>
      </c>
      <c r="BM193" s="14">
        <f t="shared" si="257"/>
        <v>10</v>
      </c>
      <c r="BN193" s="14">
        <f>INDEX(挂机升级突破!$EI$7:$EI$26,BS193)</f>
        <v>5</v>
      </c>
      <c r="BO193" s="14">
        <f>INDEX(挂机升级突破!$EJ$7:$EJ$26,BS193)</f>
        <v>2</v>
      </c>
      <c r="BP193" s="14">
        <f t="shared" si="258"/>
        <v>4</v>
      </c>
      <c r="BQ193" s="14">
        <f>INDEX(挂机升级突破!$EH$7:$EH$26,卡牌消耗!BS193)</f>
        <v>57</v>
      </c>
      <c r="BR193" s="14" t="str">
        <f t="shared" si="259"/>
        <v>张郃</v>
      </c>
      <c r="BS193" s="14">
        <f t="shared" si="260"/>
        <v>9</v>
      </c>
      <c r="BT193" s="14" t="str">
        <f t="shared" si="261"/>
        <v>张郃9突</v>
      </c>
      <c r="BU193" s="14" t="str">
        <f>IF(BN193&gt;0,INDEX(挂机升级突破!$ER$5:$EV$5,卡牌消耗!BN193),"")</f>
        <v>金币</v>
      </c>
      <c r="BV193" s="14">
        <f>IF(BN193&gt;0,ROUND(INDEX(挂机升级突破!$EV$7:$EV$26,卡牌消耗!BS193)*INDEX(卡牌消耗!$B$8:$F$8,BP193)/$Q$4/500,0)*500,"")</f>
        <v>16500</v>
      </c>
      <c r="BW193" s="14" t="str">
        <f>IF(BO193&gt;0,INDEX(挂机升级突破!$ER$5:$EV$5,卡牌消耗!BO193),"")</f>
        <v>乌金</v>
      </c>
      <c r="BX193" s="14">
        <f>IF(BO193&gt;0,ROUND(INDEX(挂机升级突破!$ER$7:$EU$26,卡牌消耗!BS193,卡牌消耗!BO193)*INDEX($B$6:$F$6,BP193)/$Q$4/5,0)*5,"")</f>
        <v>60</v>
      </c>
      <c r="BY193" s="193"/>
      <c r="BZ193" s="193"/>
      <c r="CA193" s="106"/>
      <c r="CS193" s="171"/>
      <c r="CT193" s="171"/>
      <c r="CU193" s="171"/>
      <c r="CV193" s="170"/>
      <c r="CW193" s="170"/>
      <c r="CX193" s="170"/>
      <c r="CY193" s="170"/>
      <c r="CZ193" s="170"/>
      <c r="DI193" s="186">
        <v>189</v>
      </c>
      <c r="DJ193" s="14">
        <f t="shared" si="265"/>
        <v>38</v>
      </c>
      <c r="DK193" s="14">
        <f t="shared" si="247"/>
        <v>4</v>
      </c>
      <c r="DL193" s="14">
        <f t="shared" si="248"/>
        <v>1102011</v>
      </c>
      <c r="DM193" s="136" t="s">
        <v>1097</v>
      </c>
      <c r="DN193" s="14">
        <f t="shared" si="249"/>
        <v>4</v>
      </c>
      <c r="DO193" s="14" t="str">
        <f t="shared" si="250"/>
        <v>张飞-4星</v>
      </c>
      <c r="DP193" s="136" t="s">
        <v>1103</v>
      </c>
      <c r="DQ193" s="14">
        <f t="shared" si="266"/>
        <v>32000</v>
      </c>
      <c r="DR193" s="14" t="str">
        <f t="shared" si="251"/>
        <v>张飞碎片</v>
      </c>
      <c r="DS193" s="14">
        <f t="shared" si="267"/>
        <v>80</v>
      </c>
    </row>
    <row r="194" spans="8:123" ht="16.5" x14ac:dyDescent="0.2">
      <c r="H194" s="15"/>
      <c r="I194" s="15"/>
      <c r="J194" s="15"/>
      <c r="K194" s="15"/>
      <c r="L194" s="15"/>
      <c r="M194" s="15"/>
      <c r="N194" s="15"/>
      <c r="O194" s="137"/>
      <c r="P194" s="141"/>
      <c r="Q194" s="141"/>
      <c r="R194" s="141"/>
      <c r="S194" s="141"/>
      <c r="T194" s="141"/>
      <c r="U194" s="141"/>
      <c r="V194" s="141"/>
      <c r="W194" s="141"/>
      <c r="X194" s="141"/>
      <c r="Y194" s="141"/>
      <c r="Z194" s="196">
        <v>5</v>
      </c>
      <c r="AA194" s="196">
        <v>34</v>
      </c>
      <c r="AB194" s="14">
        <f>ROUND(INDEX(挂机升级突破!DT$6:DT$57,卡牌消耗!$AA194)*INDEX(卡牌消耗!$B$5:$F$5,卡牌消耗!$Z194)/卡牌消耗!$Q$4/AB$2,0)*AB$2</f>
        <v>0</v>
      </c>
      <c r="AC194" s="14">
        <f>ROUND(INDEX(挂机升级突破!DU$6:DU$57,卡牌消耗!$AA194)*INDEX(卡牌消耗!$B$5:$F$5,卡牌消耗!$Z194)/卡牌消耗!$Q$4/AC$2,0)*AC$2</f>
        <v>0</v>
      </c>
      <c r="AD194" s="14">
        <f>ROUND(INDEX(挂机升级突破!DV$6:DV$57,卡牌消耗!$AA194)*INDEX(卡牌消耗!$B$5:$F$5,卡牌消耗!$Z194)/卡牌消耗!$Q$4/AD$2,0)*AD$2</f>
        <v>0</v>
      </c>
      <c r="AE194" s="14">
        <f>ROUND(INDEX(挂机升级突破!DW$6:DW$57,卡牌消耗!$AA194)*INDEX(卡牌消耗!$B$5:$F$5,卡牌消耗!$Z194)/卡牌消耗!$Q$4/AE$2,0)*AE$2</f>
        <v>45</v>
      </c>
      <c r="AF194" s="14">
        <f>ROUND(INDEX(挂机升级突破!DX$6:DX$57,卡牌消耗!$AA194)*INDEX(卡牌消耗!$B$5:$F$5,卡牌消耗!$Z194)/卡牌消耗!$Q$4/AF$2,0)*AF$2</f>
        <v>0</v>
      </c>
      <c r="AG194" s="14">
        <f>ROUND(INDEX(挂机升级突破!EC$6:EC$57,卡牌消耗!$AA194)*INDEX(卡牌消耗!$B$7:$F$7,卡牌消耗!$Z194)/卡牌消耗!$Q$4/AG$2,0)*AG$2</f>
        <v>3</v>
      </c>
      <c r="AH194" s="14">
        <f>ROUND(INDEX(挂机升级突破!ED$6:ED$57,卡牌消耗!$AA194)*INDEX(卡牌消耗!$B$8:$F$8,卡牌消耗!$Z194)/卡牌消耗!$Q$4/AH$2,0)*AH$2</f>
        <v>24450</v>
      </c>
      <c r="AI194" s="194"/>
      <c r="AJ194" s="194"/>
      <c r="AK194" s="104">
        <v>190</v>
      </c>
      <c r="AL194" s="14">
        <f t="shared" si="252"/>
        <v>4</v>
      </c>
      <c r="AM194" s="14">
        <f>INDEX(挂机升级突破!DQ$6:DQ$57,卡牌消耗!$AT194)</f>
        <v>11</v>
      </c>
      <c r="AN194" s="14">
        <f>INDEX(挂机升级突破!DR$6:DR$57,卡牌消耗!$AT194)</f>
        <v>4</v>
      </c>
      <c r="AO194" s="14">
        <f>INDEX(挂机升级突破!DS$6:DS$57,卡牌消耗!$AT194)</f>
        <v>0</v>
      </c>
      <c r="AP194" s="14">
        <f>INDEX(挂机升级突破!$DP$6:$DP$57,卡牌消耗!AT194)</f>
        <v>103</v>
      </c>
      <c r="AQ194" s="14" t="str">
        <f t="shared" si="253"/>
        <v>唐流雨</v>
      </c>
      <c r="AR194" s="14">
        <f t="shared" si="254"/>
        <v>2</v>
      </c>
      <c r="AS194" s="14" t="str">
        <f t="shared" si="255"/>
        <v>唐流雨魂火-34</v>
      </c>
      <c r="AT194" s="14">
        <f t="shared" si="256"/>
        <v>34</v>
      </c>
      <c r="AU194" s="14" t="str">
        <f>IF(AM194&gt;0,INDEX(挂机升级突破!$DT$4:$ED$4,AM194),"")</f>
        <v>金币</v>
      </c>
      <c r="AV194" s="14">
        <f>ROUND(INDEX(挂机升级突破!$DJ$6:$DJ$57,卡牌消耗!AT194)*INDEX(卡牌消耗!$B$8:$F$8,AR194)/$Q$4/50,0)*50</f>
        <v>8550</v>
      </c>
      <c r="AW194" s="14" t="str">
        <f>IF(AN194&gt;0,INDEX(挂机升级突破!$DT$4:$ED$4,AN194),"")</f>
        <v>橙色基础材料</v>
      </c>
      <c r="AX194" s="14">
        <f>ROUND(INDEX(挂机升级突破!$DT$6:$ED$57,卡牌消耗!AT194,AN194)*INDEX(卡牌消耗!$B$5:$F$5,AR194)/$Q$4/5,0)*5</f>
        <v>25</v>
      </c>
      <c r="AY194" s="14" t="str">
        <f>IF(AO194&gt;0,INDEX(挂机升级突破!$DT$4:$ED$4,AO194),"")</f>
        <v/>
      </c>
      <c r="AZ194" s="14" t="str">
        <f>IF(AO194&gt;0,ROUND(INDEX(挂机升级突破!$DT$6:$ED$57,卡牌消耗!AT194,AO194)*INDEX(卡牌消耗!$B$7:$F$7,AR194)/$Q$4,0),"")</f>
        <v/>
      </c>
      <c r="BA194" s="106"/>
      <c r="BB194" s="197"/>
      <c r="BC194" s="197"/>
      <c r="BD194" s="197"/>
      <c r="BE194" s="197"/>
      <c r="BF194" s="197"/>
      <c r="BG194" s="197"/>
      <c r="BH194" s="197"/>
      <c r="BI194" s="197"/>
      <c r="BJ194" s="197"/>
      <c r="BK194" s="197"/>
      <c r="BL194" s="104">
        <v>190</v>
      </c>
      <c r="BM194" s="14">
        <f t="shared" si="257"/>
        <v>10</v>
      </c>
      <c r="BN194" s="14">
        <f>INDEX(挂机升级突破!$EI$7:$EI$26,BS194)</f>
        <v>5</v>
      </c>
      <c r="BO194" s="14">
        <f>INDEX(挂机升级突破!$EJ$7:$EJ$26,BS194)</f>
        <v>2</v>
      </c>
      <c r="BP194" s="14">
        <f t="shared" si="258"/>
        <v>4</v>
      </c>
      <c r="BQ194" s="14">
        <f>INDEX(挂机升级突破!$EH$7:$EH$26,卡牌消耗!BS194)</f>
        <v>65</v>
      </c>
      <c r="BR194" s="14" t="str">
        <f t="shared" si="259"/>
        <v>张郃</v>
      </c>
      <c r="BS194" s="14">
        <f t="shared" si="260"/>
        <v>10</v>
      </c>
      <c r="BT194" s="14" t="str">
        <f t="shared" si="261"/>
        <v>张郃10突</v>
      </c>
      <c r="BU194" s="14" t="str">
        <f>IF(BN194&gt;0,INDEX(挂机升级突破!$ER$5:$EV$5,卡牌消耗!BN194),"")</f>
        <v>金币</v>
      </c>
      <c r="BV194" s="14">
        <f>IF(BN194&gt;0,ROUND(INDEX(挂机升级突破!$EV$7:$EV$26,卡牌消耗!BS194)*INDEX(卡牌消耗!$B$8:$F$8,BP194)/$Q$4/500,0)*500,"")</f>
        <v>28000</v>
      </c>
      <c r="BW194" s="14" t="str">
        <f>IF(BO194&gt;0,INDEX(挂机升级突破!$ER$5:$EV$5,卡牌消耗!BO194),"")</f>
        <v>乌金</v>
      </c>
      <c r="BX194" s="14">
        <f>IF(BO194&gt;0,ROUND(INDEX(挂机升级突破!$ER$7:$EU$26,卡牌消耗!BS194,卡牌消耗!BO194)*INDEX($B$6:$F$6,BP194)/$Q$4/5,0)*5,"")</f>
        <v>85</v>
      </c>
      <c r="BY194" s="193"/>
      <c r="BZ194" s="193"/>
      <c r="CA194" s="106"/>
      <c r="CS194" s="171"/>
      <c r="CT194" s="171"/>
      <c r="CU194" s="171"/>
      <c r="CV194" s="170"/>
      <c r="CW194" s="170"/>
      <c r="CX194" s="170"/>
      <c r="CY194" s="170"/>
      <c r="CZ194" s="170"/>
      <c r="DI194" s="186">
        <v>190</v>
      </c>
      <c r="DJ194" s="14">
        <f t="shared" si="265"/>
        <v>38</v>
      </c>
      <c r="DK194" s="14">
        <f t="shared" si="247"/>
        <v>4</v>
      </c>
      <c r="DL194" s="14">
        <f t="shared" si="248"/>
        <v>1102011</v>
      </c>
      <c r="DM194" s="136" t="s">
        <v>1097</v>
      </c>
      <c r="DN194" s="14">
        <f t="shared" si="249"/>
        <v>5</v>
      </c>
      <c r="DO194" s="14" t="str">
        <f t="shared" si="250"/>
        <v>张飞-5星</v>
      </c>
      <c r="DP194" s="136" t="s">
        <v>1103</v>
      </c>
      <c r="DQ194" s="14">
        <f t="shared" si="266"/>
        <v>60000</v>
      </c>
      <c r="DR194" s="14" t="str">
        <f t="shared" si="251"/>
        <v>张飞碎片</v>
      </c>
      <c r="DS194" s="14">
        <f t="shared" si="267"/>
        <v>80</v>
      </c>
    </row>
    <row r="195" spans="8:123" ht="16.5" x14ac:dyDescent="0.2">
      <c r="H195" s="15"/>
      <c r="I195" s="15"/>
      <c r="J195" s="15"/>
      <c r="K195" s="15"/>
      <c r="L195" s="15"/>
      <c r="M195" s="15"/>
      <c r="N195" s="15"/>
      <c r="O195" s="137"/>
      <c r="P195" s="141"/>
      <c r="Q195" s="141"/>
      <c r="R195" s="141"/>
      <c r="S195" s="141"/>
      <c r="T195" s="141"/>
      <c r="U195" s="141"/>
      <c r="V195" s="141"/>
      <c r="W195" s="141"/>
      <c r="X195" s="141"/>
      <c r="Y195" s="141"/>
      <c r="Z195" s="196">
        <v>5</v>
      </c>
      <c r="AA195" s="196">
        <v>35</v>
      </c>
      <c r="AB195" s="14">
        <f>ROUND(INDEX(挂机升级突破!DT$6:DT$57,卡牌消耗!$AA195)*INDEX(卡牌消耗!$B$5:$F$5,卡牌消耗!$Z195)/卡牌消耗!$Q$4/AB$2,0)*AB$2</f>
        <v>0</v>
      </c>
      <c r="AC195" s="14">
        <f>ROUND(INDEX(挂机升级突破!DU$6:DU$57,卡牌消耗!$AA195)*INDEX(卡牌消耗!$B$5:$F$5,卡牌消耗!$Z195)/卡牌消耗!$Q$4/AC$2,0)*AC$2</f>
        <v>0</v>
      </c>
      <c r="AD195" s="14">
        <f>ROUND(INDEX(挂机升级突破!DV$6:DV$57,卡牌消耗!$AA195)*INDEX(卡牌消耗!$B$5:$F$5,卡牌消耗!$Z195)/卡牌消耗!$Q$4/AD$2,0)*AD$2</f>
        <v>0</v>
      </c>
      <c r="AE195" s="14">
        <f>ROUND(INDEX(挂机升级突破!DW$6:DW$57,卡牌消耗!$AA195)*INDEX(卡牌消耗!$B$5:$F$5,卡牌消耗!$Z195)/卡牌消耗!$Q$4/AE$2,0)*AE$2</f>
        <v>45</v>
      </c>
      <c r="AF195" s="14">
        <f>ROUND(INDEX(挂机升级突破!DX$6:DX$57,卡牌消耗!$AA195)*INDEX(卡牌消耗!$B$5:$F$5,卡牌消耗!$Z195)/卡牌消耗!$Q$4/AF$2,0)*AF$2</f>
        <v>0</v>
      </c>
      <c r="AG195" s="14">
        <f>ROUND(INDEX(挂机升级突破!EC$6:EC$57,卡牌消耗!$AA195)*INDEX(卡牌消耗!$B$7:$F$7,卡牌消耗!$Z195)/卡牌消耗!$Q$4/AG$2,0)*AG$2</f>
        <v>3</v>
      </c>
      <c r="AH195" s="14">
        <f>ROUND(INDEX(挂机升级突破!ED$6:ED$57,卡牌消耗!$AA195)*INDEX(卡牌消耗!$B$8:$F$8,卡牌消耗!$Z195)/卡牌消耗!$Q$4/AH$2,0)*AH$2</f>
        <v>31100</v>
      </c>
      <c r="AI195" s="194"/>
      <c r="AJ195" s="194"/>
      <c r="AK195" s="104">
        <v>191</v>
      </c>
      <c r="AL195" s="14">
        <f t="shared" si="252"/>
        <v>4</v>
      </c>
      <c r="AM195" s="14">
        <f>INDEX(挂机升级突破!DQ$6:DQ$57,卡牌消耗!$AT195)</f>
        <v>11</v>
      </c>
      <c r="AN195" s="14">
        <f>INDEX(挂机升级突破!DR$6:DR$57,卡牌消耗!$AT195)</f>
        <v>4</v>
      </c>
      <c r="AO195" s="14">
        <f>INDEX(挂机升级突破!DS$6:DS$57,卡牌消耗!$AT195)</f>
        <v>0</v>
      </c>
      <c r="AP195" s="14">
        <f>INDEX(挂机升级突破!$DP$6:$DP$57,卡牌消耗!AT195)</f>
        <v>105</v>
      </c>
      <c r="AQ195" s="14" t="str">
        <f t="shared" si="253"/>
        <v>唐流雨</v>
      </c>
      <c r="AR195" s="14">
        <f t="shared" si="254"/>
        <v>2</v>
      </c>
      <c r="AS195" s="14" t="str">
        <f t="shared" si="255"/>
        <v>唐流雨魂火-35</v>
      </c>
      <c r="AT195" s="14">
        <f t="shared" si="256"/>
        <v>35</v>
      </c>
      <c r="AU195" s="14" t="str">
        <f>IF(AM195&gt;0,INDEX(挂机升级突破!$DT$4:$ED$4,AM195),"")</f>
        <v>金币</v>
      </c>
      <c r="AV195" s="14">
        <f>ROUND(INDEX(挂机升级突破!$DJ$6:$DJ$57,卡牌消耗!AT195)*INDEX(卡牌消耗!$B$8:$F$8,AR195)/$Q$4/50,0)*50</f>
        <v>10900</v>
      </c>
      <c r="AW195" s="14" t="str">
        <f>IF(AN195&gt;0,INDEX(挂机升级突破!$DT$4:$ED$4,AN195),"")</f>
        <v>橙色基础材料</v>
      </c>
      <c r="AX195" s="14">
        <f>ROUND(INDEX(挂机升级突破!$DT$6:$ED$57,卡牌消耗!AT195,AN195)*INDEX(卡牌消耗!$B$5:$F$5,AR195)/$Q$4/5,0)*5</f>
        <v>25</v>
      </c>
      <c r="AY195" s="14" t="str">
        <f>IF(AO195&gt;0,INDEX(挂机升级突破!$DT$4:$ED$4,AO195),"")</f>
        <v/>
      </c>
      <c r="AZ195" s="14" t="str">
        <f>IF(AO195&gt;0,ROUND(INDEX(挂机升级突破!$DT$6:$ED$57,卡牌消耗!AT195,AO195)*INDEX(卡牌消耗!$B$7:$F$7,AR195)/$Q$4,0),"")</f>
        <v/>
      </c>
      <c r="BA195" s="106"/>
      <c r="BB195" s="197"/>
      <c r="BC195" s="197"/>
      <c r="BD195" s="197"/>
      <c r="BE195" s="197"/>
      <c r="BF195" s="197"/>
      <c r="BG195" s="197"/>
      <c r="BH195" s="197"/>
      <c r="BI195" s="197"/>
      <c r="BJ195" s="197"/>
      <c r="BK195" s="197"/>
      <c r="BL195" s="104">
        <v>191</v>
      </c>
      <c r="BM195" s="14">
        <f t="shared" si="257"/>
        <v>10</v>
      </c>
      <c r="BN195" s="14">
        <f>INDEX(挂机升级突破!$EI$7:$EI$26,BS195)</f>
        <v>5</v>
      </c>
      <c r="BO195" s="14">
        <f>INDEX(挂机升级突破!$EJ$7:$EJ$26,BS195)</f>
        <v>2</v>
      </c>
      <c r="BP195" s="14">
        <f t="shared" si="258"/>
        <v>4</v>
      </c>
      <c r="BQ195" s="14">
        <f>INDEX(挂机升级突破!$EH$7:$EH$26,卡牌消耗!BS195)</f>
        <v>72</v>
      </c>
      <c r="BR195" s="14" t="str">
        <f t="shared" si="259"/>
        <v>张郃</v>
      </c>
      <c r="BS195" s="14">
        <f t="shared" si="260"/>
        <v>11</v>
      </c>
      <c r="BT195" s="14" t="str">
        <f t="shared" si="261"/>
        <v>张郃11突</v>
      </c>
      <c r="BU195" s="14" t="str">
        <f>IF(BN195&gt;0,INDEX(挂机升级突破!$ER$5:$EV$5,卡牌消耗!BN195),"")</f>
        <v>金币</v>
      </c>
      <c r="BV195" s="14">
        <f>IF(BN195&gt;0,ROUND(INDEX(挂机升级突破!$EV$7:$EV$26,卡牌消耗!BS195)*INDEX(卡牌消耗!$B$8:$F$8,BP195)/$Q$4/500,0)*500,"")</f>
        <v>28000</v>
      </c>
      <c r="BW195" s="14" t="str">
        <f>IF(BO195&gt;0,INDEX(挂机升级突破!$ER$5:$EV$5,卡牌消耗!BO195),"")</f>
        <v>乌金</v>
      </c>
      <c r="BX195" s="14">
        <f>IF(BO195&gt;0,ROUND(INDEX(挂机升级突破!$ER$7:$EU$26,卡牌消耗!BS195,卡牌消耗!BO195)*INDEX($B$6:$F$6,BP195)/$Q$4/5,0)*5,"")</f>
        <v>110</v>
      </c>
      <c r="BY195" s="193"/>
      <c r="BZ195" s="193"/>
      <c r="CA195" s="106"/>
      <c r="CS195" s="171"/>
      <c r="CT195" s="171"/>
      <c r="CU195" s="171"/>
      <c r="CV195" s="170"/>
      <c r="CW195" s="170"/>
      <c r="CX195" s="170"/>
      <c r="CY195" s="170"/>
      <c r="CZ195" s="170"/>
      <c r="DI195" s="186">
        <v>191</v>
      </c>
      <c r="DJ195" s="14">
        <f t="shared" si="265"/>
        <v>39</v>
      </c>
      <c r="DK195" s="14">
        <f t="shared" si="247"/>
        <v>4</v>
      </c>
      <c r="DL195" s="14">
        <f t="shared" si="248"/>
        <v>1102012</v>
      </c>
      <c r="DM195" s="136" t="s">
        <v>1097</v>
      </c>
      <c r="DN195" s="14">
        <f t="shared" si="249"/>
        <v>1</v>
      </c>
      <c r="DO195" s="14" t="str">
        <f t="shared" si="250"/>
        <v>夏侯惇-1星</v>
      </c>
      <c r="DP195" s="136" t="s">
        <v>1103</v>
      </c>
      <c r="DQ195" s="14">
        <f t="shared" si="266"/>
        <v>6000</v>
      </c>
      <c r="DR195" s="14" t="str">
        <f t="shared" si="251"/>
        <v>夏侯惇碎片</v>
      </c>
      <c r="DS195" s="14">
        <f t="shared" si="267"/>
        <v>80</v>
      </c>
    </row>
    <row r="196" spans="8:123" ht="16.5" x14ac:dyDescent="0.2">
      <c r="H196" s="15"/>
      <c r="I196" s="15"/>
      <c r="J196" s="15"/>
      <c r="K196" s="15"/>
      <c r="L196" s="15"/>
      <c r="M196" s="15"/>
      <c r="N196" s="15"/>
      <c r="O196" s="137"/>
      <c r="P196" s="141"/>
      <c r="Q196" s="141"/>
      <c r="R196" s="141"/>
      <c r="S196" s="141"/>
      <c r="T196" s="141"/>
      <c r="U196" s="141"/>
      <c r="V196" s="141"/>
      <c r="W196" s="141"/>
      <c r="X196" s="141"/>
      <c r="Y196" s="141"/>
      <c r="Z196" s="196">
        <v>5</v>
      </c>
      <c r="AA196" s="196">
        <v>36</v>
      </c>
      <c r="AB196" s="14">
        <f>ROUND(INDEX(挂机升级突破!DT$6:DT$57,卡牌消耗!$AA196)*INDEX(卡牌消耗!$B$5:$F$5,卡牌消耗!$Z196)/卡牌消耗!$Q$4/AB$2,0)*AB$2</f>
        <v>0</v>
      </c>
      <c r="AC196" s="14">
        <f>ROUND(INDEX(挂机升级突破!DU$6:DU$57,卡牌消耗!$AA196)*INDEX(卡牌消耗!$B$5:$F$5,卡牌消耗!$Z196)/卡牌消耗!$Q$4/AC$2,0)*AC$2</f>
        <v>0</v>
      </c>
      <c r="AD196" s="14">
        <f>ROUND(INDEX(挂机升级突破!DV$6:DV$57,卡牌消耗!$AA196)*INDEX(卡牌消耗!$B$5:$F$5,卡牌消耗!$Z196)/卡牌消耗!$Q$4/AD$2,0)*AD$2</f>
        <v>0</v>
      </c>
      <c r="AE196" s="14">
        <f>ROUND(INDEX(挂机升级突破!DW$6:DW$57,卡牌消耗!$AA196)*INDEX(卡牌消耗!$B$5:$F$5,卡牌消耗!$Z196)/卡牌消耗!$Q$4/AE$2,0)*AE$2</f>
        <v>45</v>
      </c>
      <c r="AF196" s="14">
        <f>ROUND(INDEX(挂机升级突破!DX$6:DX$57,卡牌消耗!$AA196)*INDEX(卡牌消耗!$B$5:$F$5,卡牌消耗!$Z196)/卡牌消耗!$Q$4/AF$2,0)*AF$2</f>
        <v>0</v>
      </c>
      <c r="AG196" s="14">
        <f>ROUND(INDEX(挂机升级突破!EC$6:EC$57,卡牌消耗!$AA196)*INDEX(卡牌消耗!$B$7:$F$7,卡牌消耗!$Z196)/卡牌消耗!$Q$4/AG$2,0)*AG$2</f>
        <v>3</v>
      </c>
      <c r="AH196" s="14">
        <f>ROUND(INDEX(挂机升级突破!ED$6:ED$57,卡牌消耗!$AA196)*INDEX(卡牌消耗!$B$8:$F$8,卡牌消耗!$Z196)/卡牌消耗!$Q$4/AH$2,0)*AH$2</f>
        <v>31100</v>
      </c>
      <c r="AI196" s="194"/>
      <c r="AJ196" s="194"/>
      <c r="AK196" s="104">
        <v>192</v>
      </c>
      <c r="AL196" s="14">
        <f t="shared" si="252"/>
        <v>4</v>
      </c>
      <c r="AM196" s="14">
        <f>INDEX(挂机升级突破!DQ$6:DQ$57,卡牌消耗!$AT196)</f>
        <v>11</v>
      </c>
      <c r="AN196" s="14">
        <f>INDEX(挂机升级突破!DR$6:DR$57,卡牌消耗!$AT196)</f>
        <v>4</v>
      </c>
      <c r="AO196" s="14">
        <f>INDEX(挂机升级突破!DS$6:DS$57,卡牌消耗!$AT196)</f>
        <v>0</v>
      </c>
      <c r="AP196" s="14">
        <f>INDEX(挂机升级突破!$DP$6:$DP$57,卡牌消耗!AT196)</f>
        <v>108</v>
      </c>
      <c r="AQ196" s="14" t="str">
        <f t="shared" si="253"/>
        <v>唐流雨</v>
      </c>
      <c r="AR196" s="14">
        <f t="shared" si="254"/>
        <v>2</v>
      </c>
      <c r="AS196" s="14" t="str">
        <f t="shared" si="255"/>
        <v>唐流雨魂火-36</v>
      </c>
      <c r="AT196" s="14">
        <f t="shared" si="256"/>
        <v>36</v>
      </c>
      <c r="AU196" s="14" t="str">
        <f>IF(AM196&gt;0,INDEX(挂机升级突破!$DT$4:$ED$4,AM196),"")</f>
        <v>金币</v>
      </c>
      <c r="AV196" s="14">
        <f>ROUND(INDEX(挂机升级突破!$DJ$6:$DJ$57,卡牌消耗!AT196)*INDEX(卡牌消耗!$B$8:$F$8,AR196)/$Q$4/50,0)*50</f>
        <v>10900</v>
      </c>
      <c r="AW196" s="14" t="str">
        <f>IF(AN196&gt;0,INDEX(挂机升级突破!$DT$4:$ED$4,AN196),"")</f>
        <v>橙色基础材料</v>
      </c>
      <c r="AX196" s="14">
        <f>ROUND(INDEX(挂机升级突破!$DT$6:$ED$57,卡牌消耗!AT196,AN196)*INDEX(卡牌消耗!$B$5:$F$5,AR196)/$Q$4/5,0)*5</f>
        <v>25</v>
      </c>
      <c r="AY196" s="14" t="str">
        <f>IF(AO196&gt;0,INDEX(挂机升级突破!$DT$4:$ED$4,AO196),"")</f>
        <v/>
      </c>
      <c r="AZ196" s="14" t="str">
        <f>IF(AO196&gt;0,ROUND(INDEX(挂机升级突破!$DT$6:$ED$57,卡牌消耗!AT196,AO196)*INDEX(卡牌消耗!$B$7:$F$7,AR196)/$Q$4,0),"")</f>
        <v/>
      </c>
      <c r="BA196" s="106"/>
      <c r="BB196" s="197"/>
      <c r="BC196" s="197"/>
      <c r="BD196" s="197"/>
      <c r="BE196" s="197"/>
      <c r="BF196" s="197"/>
      <c r="BG196" s="197"/>
      <c r="BH196" s="197"/>
      <c r="BI196" s="197"/>
      <c r="BJ196" s="197"/>
      <c r="BK196" s="197"/>
      <c r="BL196" s="104">
        <v>192</v>
      </c>
      <c r="BM196" s="14">
        <f t="shared" si="257"/>
        <v>10</v>
      </c>
      <c r="BN196" s="14">
        <f>INDEX(挂机升级突破!$EI$7:$EI$26,BS196)</f>
        <v>5</v>
      </c>
      <c r="BO196" s="14">
        <f>INDEX(挂机升级突破!$EJ$7:$EJ$26,BS196)</f>
        <v>2</v>
      </c>
      <c r="BP196" s="14">
        <f t="shared" si="258"/>
        <v>4</v>
      </c>
      <c r="BQ196" s="14">
        <f>INDEX(挂机升级突破!$EH$7:$EH$26,卡牌消耗!BS196)</f>
        <v>80</v>
      </c>
      <c r="BR196" s="14" t="str">
        <f t="shared" si="259"/>
        <v>张郃</v>
      </c>
      <c r="BS196" s="14">
        <f t="shared" si="260"/>
        <v>12</v>
      </c>
      <c r="BT196" s="14" t="str">
        <f t="shared" si="261"/>
        <v>张郃12突</v>
      </c>
      <c r="BU196" s="14" t="str">
        <f>IF(BN196&gt;0,INDEX(挂机升级突破!$ER$5:$EV$5,卡牌消耗!BN196),"")</f>
        <v>金币</v>
      </c>
      <c r="BV196" s="14">
        <f>IF(BN196&gt;0,ROUND(INDEX(挂机升级突破!$EV$7:$EV$26,卡牌消耗!BS196)*INDEX(卡牌消耗!$B$8:$F$8,BP196)/$Q$4/500,0)*500,"")</f>
        <v>37500</v>
      </c>
      <c r="BW196" s="14" t="str">
        <f>IF(BO196&gt;0,INDEX(挂机升级突破!$ER$5:$EV$5,卡牌消耗!BO196),"")</f>
        <v>乌金</v>
      </c>
      <c r="BX196" s="14">
        <f>IF(BO196&gt;0,ROUND(INDEX(挂机升级突破!$ER$7:$EU$26,卡牌消耗!BS196,卡牌消耗!BO196)*INDEX($B$6:$F$6,BP196)/$Q$4/5,0)*5,"")</f>
        <v>140</v>
      </c>
      <c r="BY196" s="193"/>
      <c r="BZ196" s="193"/>
      <c r="CA196" s="106"/>
      <c r="CS196" s="171"/>
      <c r="CT196" s="171"/>
      <c r="CU196" s="171"/>
      <c r="CV196" s="170"/>
      <c r="CW196" s="170"/>
      <c r="CX196" s="170"/>
      <c r="CY196" s="170"/>
      <c r="CZ196" s="170"/>
      <c r="DI196" s="186">
        <v>192</v>
      </c>
      <c r="DJ196" s="14">
        <f t="shared" si="265"/>
        <v>39</v>
      </c>
      <c r="DK196" s="14">
        <f t="shared" si="247"/>
        <v>4</v>
      </c>
      <c r="DL196" s="14">
        <f t="shared" si="248"/>
        <v>1102012</v>
      </c>
      <c r="DM196" s="136" t="s">
        <v>1097</v>
      </c>
      <c r="DN196" s="14">
        <f t="shared" si="249"/>
        <v>2</v>
      </c>
      <c r="DO196" s="14" t="str">
        <f t="shared" si="250"/>
        <v>夏侯惇-2星</v>
      </c>
      <c r="DP196" s="136" t="s">
        <v>1103</v>
      </c>
      <c r="DQ196" s="14">
        <f t="shared" si="266"/>
        <v>8000</v>
      </c>
      <c r="DR196" s="14" t="str">
        <f t="shared" si="251"/>
        <v>夏侯惇碎片</v>
      </c>
      <c r="DS196" s="14">
        <f t="shared" si="267"/>
        <v>80</v>
      </c>
    </row>
    <row r="197" spans="8:123" ht="16.5" x14ac:dyDescent="0.2">
      <c r="H197" s="15"/>
      <c r="I197" s="15"/>
      <c r="J197" s="15"/>
      <c r="K197" s="15"/>
      <c r="L197" s="15"/>
      <c r="M197" s="15"/>
      <c r="N197" s="15"/>
      <c r="O197" s="137"/>
      <c r="P197" s="141"/>
      <c r="Q197" s="141"/>
      <c r="R197" s="141"/>
      <c r="S197" s="141"/>
      <c r="T197" s="141"/>
      <c r="U197" s="141"/>
      <c r="V197" s="141"/>
      <c r="W197" s="141"/>
      <c r="X197" s="141"/>
      <c r="Y197" s="141"/>
      <c r="Z197" s="196">
        <v>5</v>
      </c>
      <c r="AA197" s="196">
        <v>37</v>
      </c>
      <c r="AB197" s="14">
        <f>ROUND(INDEX(挂机升级突破!DT$6:DT$57,卡牌消耗!$AA197)*INDEX(卡牌消耗!$B$5:$F$5,卡牌消耗!$Z197)/卡牌消耗!$Q$4/AB$2,0)*AB$2</f>
        <v>0</v>
      </c>
      <c r="AC197" s="14">
        <f>ROUND(INDEX(挂机升级突破!DU$6:DU$57,卡牌消耗!$AA197)*INDEX(卡牌消耗!$B$5:$F$5,卡牌消耗!$Z197)/卡牌消耗!$Q$4/AC$2,0)*AC$2</f>
        <v>0</v>
      </c>
      <c r="AD197" s="14">
        <f>ROUND(INDEX(挂机升级突破!DV$6:DV$57,卡牌消耗!$AA197)*INDEX(卡牌消耗!$B$5:$F$5,卡牌消耗!$Z197)/卡牌消耗!$Q$4/AD$2,0)*AD$2</f>
        <v>0</v>
      </c>
      <c r="AE197" s="14">
        <f>ROUND(INDEX(挂机升级突破!DW$6:DW$57,卡牌消耗!$AA197)*INDEX(卡牌消耗!$B$5:$F$5,卡牌消耗!$Z197)/卡牌消耗!$Q$4/AE$2,0)*AE$2</f>
        <v>45</v>
      </c>
      <c r="AF197" s="14">
        <f>ROUND(INDEX(挂机升级突破!DX$6:DX$57,卡牌消耗!$AA197)*INDEX(卡牌消耗!$B$5:$F$5,卡牌消耗!$Z197)/卡牌消耗!$Q$4/AF$2,0)*AF$2</f>
        <v>0</v>
      </c>
      <c r="AG197" s="14">
        <f>ROUND(INDEX(挂机升级突破!EC$6:EC$57,卡牌消耗!$AA197)*INDEX(卡牌消耗!$B$7:$F$7,卡牌消耗!$Z197)/卡牌消耗!$Q$4/AG$2,0)*AG$2</f>
        <v>4</v>
      </c>
      <c r="AH197" s="14">
        <f>ROUND(INDEX(挂机升级突破!ED$6:ED$57,卡牌消耗!$AA197)*INDEX(卡牌消耗!$B$8:$F$8,卡牌消耗!$Z197)/卡牌消耗!$Q$4/AH$2,0)*AH$2</f>
        <v>33350</v>
      </c>
      <c r="AI197" s="194"/>
      <c r="AJ197" s="194"/>
      <c r="AK197" s="104">
        <v>193</v>
      </c>
      <c r="AL197" s="14">
        <f t="shared" si="252"/>
        <v>4</v>
      </c>
      <c r="AM197" s="14">
        <f>INDEX(挂机升级突破!DQ$6:DQ$57,卡牌消耗!$AT197)</f>
        <v>11</v>
      </c>
      <c r="AN197" s="14">
        <f>INDEX(挂机升级突破!DR$6:DR$57,卡牌消耗!$AT197)</f>
        <v>4</v>
      </c>
      <c r="AO197" s="14">
        <f>INDEX(挂机升级突破!DS$6:DS$57,卡牌消耗!$AT197)</f>
        <v>0</v>
      </c>
      <c r="AP197" s="14">
        <f>INDEX(挂机升级突破!$DP$6:$DP$57,卡牌消耗!AT197)</f>
        <v>110</v>
      </c>
      <c r="AQ197" s="14" t="str">
        <f t="shared" si="253"/>
        <v>唐流雨</v>
      </c>
      <c r="AR197" s="14">
        <f t="shared" si="254"/>
        <v>2</v>
      </c>
      <c r="AS197" s="14" t="str">
        <f t="shared" si="255"/>
        <v>唐流雨魂火-37</v>
      </c>
      <c r="AT197" s="14">
        <f t="shared" si="256"/>
        <v>37</v>
      </c>
      <c r="AU197" s="14" t="str">
        <f>IF(AM197&gt;0,INDEX(挂机升级突破!$DT$4:$ED$4,AM197),"")</f>
        <v>金币</v>
      </c>
      <c r="AV197" s="14">
        <f>ROUND(INDEX(挂机升级突破!$DJ$6:$DJ$57,卡牌消耗!AT197)*INDEX(卡牌消耗!$B$8:$F$8,AR197)/$Q$4/50,0)*50</f>
        <v>11650</v>
      </c>
      <c r="AW197" s="14" t="str">
        <f>IF(AN197&gt;0,INDEX(挂机升级突破!$DT$4:$ED$4,AN197),"")</f>
        <v>橙色基础材料</v>
      </c>
      <c r="AX197" s="14">
        <f>ROUND(INDEX(挂机升级突破!$DT$6:$ED$57,卡牌消耗!AT197,AN197)*INDEX(卡牌消耗!$B$5:$F$5,AR197)/$Q$4/5,0)*5</f>
        <v>25</v>
      </c>
      <c r="AY197" s="14" t="str">
        <f>IF(AO197&gt;0,INDEX(挂机升级突破!$DT$4:$ED$4,AO197),"")</f>
        <v/>
      </c>
      <c r="AZ197" s="14" t="str">
        <f>IF(AO197&gt;0,ROUND(INDEX(挂机升级突破!$DT$6:$ED$57,卡牌消耗!AT197,AO197)*INDEX(卡牌消耗!$B$7:$F$7,AR197)/$Q$4,0),"")</f>
        <v/>
      </c>
      <c r="BA197" s="106"/>
      <c r="BB197" s="197"/>
      <c r="BC197" s="197"/>
      <c r="BD197" s="197"/>
      <c r="BE197" s="197"/>
      <c r="BF197" s="197"/>
      <c r="BG197" s="197"/>
      <c r="BH197" s="197"/>
      <c r="BI197" s="197"/>
      <c r="BJ197" s="197"/>
      <c r="BK197" s="197"/>
      <c r="BL197" s="104">
        <v>193</v>
      </c>
      <c r="BM197" s="14">
        <f t="shared" si="257"/>
        <v>10</v>
      </c>
      <c r="BN197" s="14">
        <f>INDEX(挂机升级突破!$EI$7:$EI$26,BS197)</f>
        <v>5</v>
      </c>
      <c r="BO197" s="14">
        <f>INDEX(挂机升级突破!$EJ$7:$EJ$26,BS197)</f>
        <v>3</v>
      </c>
      <c r="BP197" s="14">
        <f t="shared" si="258"/>
        <v>4</v>
      </c>
      <c r="BQ197" s="14">
        <f>INDEX(挂机升级突破!$EH$7:$EH$26,卡牌消耗!BS197)</f>
        <v>87</v>
      </c>
      <c r="BR197" s="14" t="str">
        <f t="shared" si="259"/>
        <v>张郃</v>
      </c>
      <c r="BS197" s="14">
        <f t="shared" si="260"/>
        <v>13</v>
      </c>
      <c r="BT197" s="14" t="str">
        <f t="shared" si="261"/>
        <v>张郃13突</v>
      </c>
      <c r="BU197" s="14" t="str">
        <f>IF(BN197&gt;0,INDEX(挂机升级突破!$ER$5:$EV$5,卡牌消耗!BN197),"")</f>
        <v>金币</v>
      </c>
      <c r="BV197" s="14">
        <f>IF(BN197&gt;0,ROUND(INDEX(挂机升级突破!$EV$7:$EV$26,卡牌消耗!BS197)*INDEX(卡牌消耗!$B$8:$F$8,BP197)/$Q$4/500,0)*500,"")</f>
        <v>50000</v>
      </c>
      <c r="BW197" s="14" t="str">
        <f>IF(BO197&gt;0,INDEX(挂机升级突破!$ER$5:$EV$5,卡牌消耗!BO197),"")</f>
        <v>银母</v>
      </c>
      <c r="BX197" s="14">
        <f>IF(BO197&gt;0,ROUND(INDEX(挂机升级突破!$ER$7:$EU$26,卡牌消耗!BS197,卡牌消耗!BO197)*INDEX($B$6:$F$6,BP197)/$Q$4/5,0)*5,"")</f>
        <v>45</v>
      </c>
      <c r="BY197" s="193"/>
      <c r="BZ197" s="193"/>
      <c r="CA197" s="106"/>
      <c r="CS197" s="171"/>
      <c r="CT197" s="171"/>
      <c r="CU197" s="171"/>
      <c r="CV197" s="170"/>
      <c r="CW197" s="170"/>
      <c r="CX197" s="170"/>
      <c r="CY197" s="170"/>
      <c r="CZ197" s="170"/>
      <c r="DI197" s="186">
        <v>193</v>
      </c>
      <c r="DJ197" s="14">
        <f t="shared" si="265"/>
        <v>39</v>
      </c>
      <c r="DK197" s="14">
        <f t="shared" ref="DK197:DK260" si="306">INDEX($C$52:$C$120,DJ197)</f>
        <v>4</v>
      </c>
      <c r="DL197" s="14">
        <f t="shared" ref="DL197:DL260" si="307">INDEX($A$52:$A$120,DJ197)</f>
        <v>1102012</v>
      </c>
      <c r="DM197" s="136" t="s">
        <v>1097</v>
      </c>
      <c r="DN197" s="14">
        <f t="shared" ref="DN197:DN260" si="308">DI197-INDEX($E$51:$E$120,DJ197)</f>
        <v>3</v>
      </c>
      <c r="DO197" s="14" t="str">
        <f t="shared" ref="DO197:DO260" si="309">INDEX($B$52:$B$120,DJ197)&amp;"-"&amp;DN197&amp;"星"</f>
        <v>夏侯惇-3星</v>
      </c>
      <c r="DP197" s="136" t="s">
        <v>1103</v>
      </c>
      <c r="DQ197" s="14">
        <f t="shared" si="266"/>
        <v>14000</v>
      </c>
      <c r="DR197" s="14" t="str">
        <f t="shared" ref="DR197:DR260" si="310">INDEX($B$52:$B$120,DJ197)&amp;"碎片"</f>
        <v>夏侯惇碎片</v>
      </c>
      <c r="DS197" s="14">
        <f t="shared" si="267"/>
        <v>80</v>
      </c>
    </row>
    <row r="198" spans="8:123" ht="16.5" x14ac:dyDescent="0.2">
      <c r="H198" s="15"/>
      <c r="I198" s="15"/>
      <c r="J198" s="15"/>
      <c r="K198" s="15"/>
      <c r="L198" s="15"/>
      <c r="M198" s="15"/>
      <c r="N198" s="15"/>
      <c r="O198" s="137"/>
      <c r="P198" s="141"/>
      <c r="Q198" s="141"/>
      <c r="R198" s="141"/>
      <c r="S198" s="141"/>
      <c r="T198" s="141"/>
      <c r="U198" s="141"/>
      <c r="V198" s="141"/>
      <c r="W198" s="141"/>
      <c r="X198" s="141"/>
      <c r="Y198" s="141"/>
      <c r="Z198" s="196">
        <v>5</v>
      </c>
      <c r="AA198" s="196">
        <v>38</v>
      </c>
      <c r="AB198" s="14">
        <f>ROUND(INDEX(挂机升级突破!DT$6:DT$57,卡牌消耗!$AA198)*INDEX(卡牌消耗!$B$5:$F$5,卡牌消耗!$Z198)/卡牌消耗!$Q$4/AB$2,0)*AB$2</f>
        <v>0</v>
      </c>
      <c r="AC198" s="14">
        <f>ROUND(INDEX(挂机升级突破!DU$6:DU$57,卡牌消耗!$AA198)*INDEX(卡牌消耗!$B$5:$F$5,卡牌消耗!$Z198)/卡牌消耗!$Q$4/AC$2,0)*AC$2</f>
        <v>0</v>
      </c>
      <c r="AD198" s="14">
        <f>ROUND(INDEX(挂机升级突破!DV$6:DV$57,卡牌消耗!$AA198)*INDEX(卡牌消耗!$B$5:$F$5,卡牌消耗!$Z198)/卡牌消耗!$Q$4/AD$2,0)*AD$2</f>
        <v>0</v>
      </c>
      <c r="AE198" s="14">
        <f>ROUND(INDEX(挂机升级突破!DW$6:DW$57,卡牌消耗!$AA198)*INDEX(卡牌消耗!$B$5:$F$5,卡牌消耗!$Z198)/卡牌消耗!$Q$4/AE$2,0)*AE$2</f>
        <v>0</v>
      </c>
      <c r="AF198" s="14">
        <f>ROUND(INDEX(挂机升级突破!DX$6:DX$57,卡牌消耗!$AA198)*INDEX(卡牌消耗!$B$5:$F$5,卡牌消耗!$Z198)/卡牌消耗!$Q$4/AF$2,0)*AF$2</f>
        <v>10</v>
      </c>
      <c r="AG198" s="14">
        <f>ROUND(INDEX(挂机升级突破!EC$6:EC$57,卡牌消耗!$AA198)*INDEX(卡牌消耗!$B$7:$F$7,卡牌消耗!$Z198)/卡牌消耗!$Q$4/AG$2,0)*AG$2</f>
        <v>4</v>
      </c>
      <c r="AH198" s="14">
        <f>ROUND(INDEX(挂机升级突破!ED$6:ED$57,卡牌消耗!$AA198)*INDEX(卡牌消耗!$B$8:$F$8,卡牌消耗!$Z198)/卡牌消耗!$Q$4/AH$2,0)*AH$2</f>
        <v>43000</v>
      </c>
      <c r="AI198" s="194"/>
      <c r="AJ198" s="194"/>
      <c r="AK198" s="104">
        <v>194</v>
      </c>
      <c r="AL198" s="14">
        <f t="shared" ref="AL198:AL261" si="311">INT((AK198-1)/52)+1</f>
        <v>4</v>
      </c>
      <c r="AM198" s="14">
        <f>INDEX(挂机升级突破!DQ$6:DQ$57,卡牌消耗!$AT198)</f>
        <v>11</v>
      </c>
      <c r="AN198" s="14">
        <f>INDEX(挂机升级突破!DR$6:DR$57,卡牌消耗!$AT198)</f>
        <v>5</v>
      </c>
      <c r="AO198" s="14">
        <f>INDEX(挂机升级突破!DS$6:DS$57,卡牌消耗!$AT198)</f>
        <v>0</v>
      </c>
      <c r="AP198" s="14">
        <f>INDEX(挂机升级突破!$DP$6:$DP$57,卡牌消耗!AT198)</f>
        <v>113</v>
      </c>
      <c r="AQ198" s="14" t="str">
        <f t="shared" ref="AQ198:AQ261" si="312">INDEX($B$13:$B$45,AL198)</f>
        <v>唐流雨</v>
      </c>
      <c r="AR198" s="14">
        <f t="shared" ref="AR198:AR261" si="313">INDEX($C$13:$C$45,AL198)</f>
        <v>2</v>
      </c>
      <c r="AS198" s="14" t="str">
        <f t="shared" ref="AS198:AS261" si="314">AQ198&amp;"魂火-"&amp;AT198</f>
        <v>唐流雨魂火-38</v>
      </c>
      <c r="AT198" s="14">
        <f t="shared" ref="AT198:AT261" si="315">AK198-(AL198-1)*52</f>
        <v>38</v>
      </c>
      <c r="AU198" s="14" t="str">
        <f>IF(AM198&gt;0,INDEX(挂机升级突破!$DT$4:$ED$4,AM198),"")</f>
        <v>金币</v>
      </c>
      <c r="AV198" s="14">
        <f>ROUND(INDEX(挂机升级突破!$DJ$6:$DJ$57,卡牌消耗!AT198)*INDEX(卡牌消耗!$B$8:$F$8,AR198)/$Q$4/50,0)*50</f>
        <v>15050</v>
      </c>
      <c r="AW198" s="14" t="str">
        <f>IF(AN198&gt;0,INDEX(挂机升级突破!$DT$4:$ED$4,AN198),"")</f>
        <v>红色基础材料</v>
      </c>
      <c r="AX198" s="14">
        <f>ROUND(INDEX(挂机升级突破!$DT$6:$ED$57,卡牌消耗!AT198,AN198)*INDEX(卡牌消耗!$B$5:$F$5,AR198)/$Q$4/5,0)*5</f>
        <v>5</v>
      </c>
      <c r="AY198" s="14" t="str">
        <f>IF(AO198&gt;0,INDEX(挂机升级突破!$DT$4:$ED$4,AO198),"")</f>
        <v/>
      </c>
      <c r="AZ198" s="14" t="str">
        <f>IF(AO198&gt;0,ROUND(INDEX(挂机升级突破!$DT$6:$ED$57,卡牌消耗!AT198,AO198)*INDEX(卡牌消耗!$B$7:$F$7,AR198)/$Q$4,0),"")</f>
        <v/>
      </c>
      <c r="BA198" s="106"/>
      <c r="BB198" s="197"/>
      <c r="BC198" s="197"/>
      <c r="BD198" s="197"/>
      <c r="BE198" s="197"/>
      <c r="BF198" s="197"/>
      <c r="BG198" s="197"/>
      <c r="BH198" s="197"/>
      <c r="BI198" s="197"/>
      <c r="BJ198" s="197"/>
      <c r="BK198" s="197"/>
      <c r="BL198" s="104">
        <v>194</v>
      </c>
      <c r="BM198" s="14">
        <f t="shared" ref="BM198:BM261" si="316">INT((BL198-1)/20)+1</f>
        <v>10</v>
      </c>
      <c r="BN198" s="14">
        <f>INDEX(挂机升级突破!$EI$7:$EI$26,BS198)</f>
        <v>5</v>
      </c>
      <c r="BO198" s="14">
        <f>INDEX(挂机升级突破!$EJ$7:$EJ$26,BS198)</f>
        <v>3</v>
      </c>
      <c r="BP198" s="14">
        <f t="shared" ref="BP198:BP261" si="317">INDEX($C$13:$C$45,BM198)</f>
        <v>4</v>
      </c>
      <c r="BQ198" s="14">
        <f>INDEX(挂机升级突破!$EH$7:$EH$26,卡牌消耗!BS198)</f>
        <v>95</v>
      </c>
      <c r="BR198" s="14" t="str">
        <f t="shared" ref="BR198:BR261" si="318">INDEX($B$13:$B$45,BM198)</f>
        <v>张郃</v>
      </c>
      <c r="BS198" s="14">
        <f t="shared" ref="BS198:BS261" si="319">BL198-(BM198-1)*20</f>
        <v>14</v>
      </c>
      <c r="BT198" s="14" t="str">
        <f t="shared" ref="BT198:BT261" si="320">BR198&amp;BS198&amp;"突"</f>
        <v>张郃14突</v>
      </c>
      <c r="BU198" s="14" t="str">
        <f>IF(BN198&gt;0,INDEX(挂机升级突破!$ER$5:$EV$5,卡牌消耗!BN198),"")</f>
        <v>金币</v>
      </c>
      <c r="BV198" s="14">
        <f>IF(BN198&gt;0,ROUND(INDEX(挂机升级突破!$EV$7:$EV$26,卡牌消耗!BS198)*INDEX(卡牌消耗!$B$8:$F$8,BP198)/$Q$4/500,0)*500,"")</f>
        <v>50000</v>
      </c>
      <c r="BW198" s="14" t="str">
        <f>IF(BO198&gt;0,INDEX(挂机升级突破!$ER$5:$EV$5,卡牌消耗!BO198),"")</f>
        <v>银母</v>
      </c>
      <c r="BX198" s="14">
        <f>IF(BO198&gt;0,ROUND(INDEX(挂机升级突破!$ER$7:$EU$26,卡牌消耗!BS198,卡牌消耗!BO198)*INDEX($B$6:$F$6,BP198)/$Q$4/5,0)*5,"")</f>
        <v>65</v>
      </c>
      <c r="BY198" s="193"/>
      <c r="BZ198" s="193"/>
      <c r="CA198" s="106"/>
      <c r="CS198" s="171"/>
      <c r="CT198" s="171"/>
      <c r="CU198" s="171"/>
      <c r="CV198" s="170"/>
      <c r="CW198" s="170"/>
      <c r="CX198" s="170"/>
      <c r="CY198" s="170"/>
      <c r="CZ198" s="170"/>
      <c r="DI198" s="186">
        <v>194</v>
      </c>
      <c r="DJ198" s="14">
        <f t="shared" ref="DJ198:DJ254" si="321">INT((DI198-1)/5)+1</f>
        <v>39</v>
      </c>
      <c r="DK198" s="14">
        <f t="shared" si="306"/>
        <v>4</v>
      </c>
      <c r="DL198" s="14">
        <f t="shared" si="307"/>
        <v>1102012</v>
      </c>
      <c r="DM198" s="136" t="s">
        <v>1097</v>
      </c>
      <c r="DN198" s="14">
        <f t="shared" si="308"/>
        <v>4</v>
      </c>
      <c r="DO198" s="14" t="str">
        <f t="shared" si="309"/>
        <v>夏侯惇-4星</v>
      </c>
      <c r="DP198" s="136" t="s">
        <v>1103</v>
      </c>
      <c r="DQ198" s="14">
        <f t="shared" ref="DQ198:DQ254" si="322">INDEX($K$21:$N$25,DN198,DK198-1)</f>
        <v>32000</v>
      </c>
      <c r="DR198" s="14" t="str">
        <f t="shared" si="310"/>
        <v>夏侯惇碎片</v>
      </c>
      <c r="DS198" s="14">
        <f t="shared" ref="DS198:DS254" si="323">INDEX($J$5:$M$9,DN198,DK198-1)</f>
        <v>80</v>
      </c>
    </row>
    <row r="199" spans="8:123" ht="16.5" x14ac:dyDescent="0.2">
      <c r="H199" s="15"/>
      <c r="I199" s="15"/>
      <c r="J199" s="15"/>
      <c r="K199" s="15"/>
      <c r="L199" s="15"/>
      <c r="M199" s="15"/>
      <c r="N199" s="15"/>
      <c r="O199" s="137"/>
      <c r="P199" s="141"/>
      <c r="Q199" s="141"/>
      <c r="R199" s="141"/>
      <c r="S199" s="141"/>
      <c r="T199" s="141"/>
      <c r="U199" s="141"/>
      <c r="V199" s="141"/>
      <c r="W199" s="141"/>
      <c r="X199" s="141"/>
      <c r="Y199" s="141"/>
      <c r="Z199" s="196">
        <v>5</v>
      </c>
      <c r="AA199" s="196">
        <v>39</v>
      </c>
      <c r="AB199" s="14">
        <f>ROUND(INDEX(挂机升级突破!DT$6:DT$57,卡牌消耗!$AA199)*INDEX(卡牌消耗!$B$5:$F$5,卡牌消耗!$Z199)/卡牌消耗!$Q$4/AB$2,0)*AB$2</f>
        <v>0</v>
      </c>
      <c r="AC199" s="14">
        <f>ROUND(INDEX(挂机升级突破!DU$6:DU$57,卡牌消耗!$AA199)*INDEX(卡牌消耗!$B$5:$F$5,卡牌消耗!$Z199)/卡牌消耗!$Q$4/AC$2,0)*AC$2</f>
        <v>0</v>
      </c>
      <c r="AD199" s="14">
        <f>ROUND(INDEX(挂机升级突破!DV$6:DV$57,卡牌消耗!$AA199)*INDEX(卡牌消耗!$B$5:$F$5,卡牌消耗!$Z199)/卡牌消耗!$Q$4/AD$2,0)*AD$2</f>
        <v>0</v>
      </c>
      <c r="AE199" s="14">
        <f>ROUND(INDEX(挂机升级突破!DW$6:DW$57,卡牌消耗!$AA199)*INDEX(卡牌消耗!$B$5:$F$5,卡牌消耗!$Z199)/卡牌消耗!$Q$4/AE$2,0)*AE$2</f>
        <v>0</v>
      </c>
      <c r="AF199" s="14">
        <f>ROUND(INDEX(挂机升级突破!DX$6:DX$57,卡牌消耗!$AA199)*INDEX(卡牌消耗!$B$5:$F$5,卡牌消耗!$Z199)/卡牌消耗!$Q$4/AF$2,0)*AF$2</f>
        <v>10</v>
      </c>
      <c r="AG199" s="14">
        <f>ROUND(INDEX(挂机升级突破!EC$6:EC$57,卡牌消耗!$AA199)*INDEX(卡牌消耗!$B$7:$F$7,卡牌消耗!$Z199)/卡牌消耗!$Q$4/AG$2,0)*AG$2</f>
        <v>4</v>
      </c>
      <c r="AH199" s="14">
        <f>ROUND(INDEX(挂机升级突破!ED$6:ED$57,卡牌消耗!$AA199)*INDEX(卡牌消耗!$B$8:$F$8,卡牌消耗!$Z199)/卡牌消耗!$Q$4/AH$2,0)*AH$2</f>
        <v>43000</v>
      </c>
      <c r="AI199" s="194"/>
      <c r="AJ199" s="194"/>
      <c r="AK199" s="104">
        <v>195</v>
      </c>
      <c r="AL199" s="14">
        <f t="shared" si="311"/>
        <v>4</v>
      </c>
      <c r="AM199" s="14">
        <f>INDEX(挂机升级突破!DQ$6:DQ$57,卡牌消耗!$AT199)</f>
        <v>11</v>
      </c>
      <c r="AN199" s="14">
        <f>INDEX(挂机升级突破!DR$6:DR$57,卡牌消耗!$AT199)</f>
        <v>5</v>
      </c>
      <c r="AO199" s="14">
        <f>INDEX(挂机升级突破!DS$6:DS$57,卡牌消耗!$AT199)</f>
        <v>0</v>
      </c>
      <c r="AP199" s="14">
        <f>INDEX(挂机升级突破!$DP$6:$DP$57,卡牌消耗!AT199)</f>
        <v>115</v>
      </c>
      <c r="AQ199" s="14" t="str">
        <f t="shared" si="312"/>
        <v>唐流雨</v>
      </c>
      <c r="AR199" s="14">
        <f t="shared" si="313"/>
        <v>2</v>
      </c>
      <c r="AS199" s="14" t="str">
        <f t="shared" si="314"/>
        <v>唐流雨魂火-39</v>
      </c>
      <c r="AT199" s="14">
        <f t="shared" si="315"/>
        <v>39</v>
      </c>
      <c r="AU199" s="14" t="str">
        <f>IF(AM199&gt;0,INDEX(挂机升级突破!$DT$4:$ED$4,AM199),"")</f>
        <v>金币</v>
      </c>
      <c r="AV199" s="14">
        <f>ROUND(INDEX(挂机升级突破!$DJ$6:$DJ$57,卡牌消耗!AT199)*INDEX(卡牌消耗!$B$8:$F$8,AR199)/$Q$4/50,0)*50</f>
        <v>15050</v>
      </c>
      <c r="AW199" s="14" t="str">
        <f>IF(AN199&gt;0,INDEX(挂机升级突破!$DT$4:$ED$4,AN199),"")</f>
        <v>红色基础材料</v>
      </c>
      <c r="AX199" s="14">
        <f>ROUND(INDEX(挂机升级突破!$DT$6:$ED$57,卡牌消耗!AT199,AN199)*INDEX(卡牌消耗!$B$5:$F$5,AR199)/$Q$4/5,0)*5</f>
        <v>5</v>
      </c>
      <c r="AY199" s="14" t="str">
        <f>IF(AO199&gt;0,INDEX(挂机升级突破!$DT$4:$ED$4,AO199),"")</f>
        <v/>
      </c>
      <c r="AZ199" s="14" t="str">
        <f>IF(AO199&gt;0,ROUND(INDEX(挂机升级突破!$DT$6:$ED$57,卡牌消耗!AT199,AO199)*INDEX(卡牌消耗!$B$7:$F$7,AR199)/$Q$4,0),"")</f>
        <v/>
      </c>
      <c r="BA199" s="106"/>
      <c r="BB199" s="197"/>
      <c r="BC199" s="197"/>
      <c r="BD199" s="197"/>
      <c r="BE199" s="197"/>
      <c r="BF199" s="197"/>
      <c r="BG199" s="197"/>
      <c r="BH199" s="197"/>
      <c r="BI199" s="197"/>
      <c r="BJ199" s="197"/>
      <c r="BK199" s="197"/>
      <c r="BL199" s="104">
        <v>195</v>
      </c>
      <c r="BM199" s="14">
        <f t="shared" si="316"/>
        <v>10</v>
      </c>
      <c r="BN199" s="14">
        <f>INDEX(挂机升级突破!$EI$7:$EI$26,BS199)</f>
        <v>5</v>
      </c>
      <c r="BO199" s="14">
        <f>INDEX(挂机升级突破!$EJ$7:$EJ$26,BS199)</f>
        <v>3</v>
      </c>
      <c r="BP199" s="14">
        <f t="shared" si="317"/>
        <v>4</v>
      </c>
      <c r="BQ199" s="14">
        <f>INDEX(挂机升级突破!$EH$7:$EH$26,卡牌消耗!BS199)</f>
        <v>102</v>
      </c>
      <c r="BR199" s="14" t="str">
        <f t="shared" si="318"/>
        <v>张郃</v>
      </c>
      <c r="BS199" s="14">
        <f t="shared" si="319"/>
        <v>15</v>
      </c>
      <c r="BT199" s="14" t="str">
        <f t="shared" si="320"/>
        <v>张郃15突</v>
      </c>
      <c r="BU199" s="14" t="str">
        <f>IF(BN199&gt;0,INDEX(挂机升级突破!$ER$5:$EV$5,卡牌消耗!BN199),"")</f>
        <v>金币</v>
      </c>
      <c r="BV199" s="14">
        <f>IF(BN199&gt;0,ROUND(INDEX(挂机升级突破!$EV$7:$EV$26,卡牌消耗!BS199)*INDEX(卡牌消耗!$B$8:$F$8,BP199)/$Q$4/500,0)*500,"")</f>
        <v>66500</v>
      </c>
      <c r="BW199" s="14" t="str">
        <f>IF(BO199&gt;0,INDEX(挂机升级突破!$ER$5:$EV$5,卡牌消耗!BO199),"")</f>
        <v>银母</v>
      </c>
      <c r="BX199" s="14">
        <f>IF(BO199&gt;0,ROUND(INDEX(挂机升级突破!$ER$7:$EU$26,卡牌消耗!BS199,卡牌消耗!BO199)*INDEX($B$6:$F$6,BP199)/$Q$4/5,0)*5,"")</f>
        <v>85</v>
      </c>
      <c r="BY199" s="193"/>
      <c r="BZ199" s="193"/>
      <c r="CA199" s="106"/>
      <c r="CS199" s="171"/>
      <c r="CT199" s="171"/>
      <c r="CU199" s="171"/>
      <c r="CV199" s="170"/>
      <c r="CW199" s="170"/>
      <c r="CX199" s="170"/>
      <c r="CY199" s="170"/>
      <c r="CZ199" s="170"/>
      <c r="DI199" s="186">
        <v>195</v>
      </c>
      <c r="DJ199" s="14">
        <f t="shared" si="321"/>
        <v>39</v>
      </c>
      <c r="DK199" s="14">
        <f t="shared" si="306"/>
        <v>4</v>
      </c>
      <c r="DL199" s="14">
        <f t="shared" si="307"/>
        <v>1102012</v>
      </c>
      <c r="DM199" s="136" t="s">
        <v>1097</v>
      </c>
      <c r="DN199" s="14">
        <f t="shared" si="308"/>
        <v>5</v>
      </c>
      <c r="DO199" s="14" t="str">
        <f t="shared" si="309"/>
        <v>夏侯惇-5星</v>
      </c>
      <c r="DP199" s="136" t="s">
        <v>1103</v>
      </c>
      <c r="DQ199" s="14">
        <f t="shared" si="322"/>
        <v>60000</v>
      </c>
      <c r="DR199" s="14" t="str">
        <f t="shared" si="310"/>
        <v>夏侯惇碎片</v>
      </c>
      <c r="DS199" s="14">
        <f t="shared" si="323"/>
        <v>80</v>
      </c>
    </row>
    <row r="200" spans="8:123" ht="16.5" x14ac:dyDescent="0.2">
      <c r="H200" s="15"/>
      <c r="I200" s="15"/>
      <c r="J200" s="15"/>
      <c r="K200" s="15"/>
      <c r="L200" s="15"/>
      <c r="M200" s="15"/>
      <c r="N200" s="15"/>
      <c r="O200" s="137"/>
      <c r="P200" s="141"/>
      <c r="Q200" s="141"/>
      <c r="R200" s="141"/>
      <c r="S200" s="141"/>
      <c r="T200" s="141"/>
      <c r="U200" s="141"/>
      <c r="V200" s="141"/>
      <c r="W200" s="141"/>
      <c r="X200" s="141"/>
      <c r="Y200" s="141"/>
      <c r="Z200" s="196">
        <v>5</v>
      </c>
      <c r="AA200" s="196">
        <v>40</v>
      </c>
      <c r="AB200" s="14">
        <f>ROUND(INDEX(挂机升级突破!DT$6:DT$57,卡牌消耗!$AA200)*INDEX(卡牌消耗!$B$5:$F$5,卡牌消耗!$Z200)/卡牌消耗!$Q$4/AB$2,0)*AB$2</f>
        <v>0</v>
      </c>
      <c r="AC200" s="14">
        <f>ROUND(INDEX(挂机升级突破!DU$6:DU$57,卡牌消耗!$AA200)*INDEX(卡牌消耗!$B$5:$F$5,卡牌消耗!$Z200)/卡牌消耗!$Q$4/AC$2,0)*AC$2</f>
        <v>0</v>
      </c>
      <c r="AD200" s="14">
        <f>ROUND(INDEX(挂机升级突破!DV$6:DV$57,卡牌消耗!$AA200)*INDEX(卡牌消耗!$B$5:$F$5,卡牌消耗!$Z200)/卡牌消耗!$Q$4/AD$2,0)*AD$2</f>
        <v>0</v>
      </c>
      <c r="AE200" s="14">
        <f>ROUND(INDEX(挂机升级突破!DW$6:DW$57,卡牌消耗!$AA200)*INDEX(卡牌消耗!$B$5:$F$5,卡牌消耗!$Z200)/卡牌消耗!$Q$4/AE$2,0)*AE$2</f>
        <v>0</v>
      </c>
      <c r="AF200" s="14">
        <f>ROUND(INDEX(挂机升级突破!DX$6:DX$57,卡牌消耗!$AA200)*INDEX(卡牌消耗!$B$5:$F$5,卡牌消耗!$Z200)/卡牌消耗!$Q$4/AF$2,0)*AF$2</f>
        <v>10</v>
      </c>
      <c r="AG200" s="14">
        <f>ROUND(INDEX(挂机升级突破!EC$6:EC$57,卡牌消耗!$AA200)*INDEX(卡牌消耗!$B$7:$F$7,卡牌消耗!$Z200)/卡牌消耗!$Q$4/AG$2,0)*AG$2</f>
        <v>4</v>
      </c>
      <c r="AH200" s="14">
        <f>ROUND(INDEX(挂机升级突破!ED$6:ED$57,卡牌消耗!$AA200)*INDEX(卡牌消耗!$B$8:$F$8,卡牌消耗!$Z200)/卡牌消耗!$Q$4/AH$2,0)*AH$2</f>
        <v>43000</v>
      </c>
      <c r="AI200" s="194"/>
      <c r="AJ200" s="194"/>
      <c r="AK200" s="104">
        <v>196</v>
      </c>
      <c r="AL200" s="14">
        <f t="shared" si="311"/>
        <v>4</v>
      </c>
      <c r="AM200" s="14">
        <f>INDEX(挂机升级突破!DQ$6:DQ$57,卡牌消耗!$AT200)</f>
        <v>11</v>
      </c>
      <c r="AN200" s="14">
        <f>INDEX(挂机升级突破!DR$6:DR$57,卡牌消耗!$AT200)</f>
        <v>5</v>
      </c>
      <c r="AO200" s="14">
        <f>INDEX(挂机升级突破!DS$6:DS$57,卡牌消耗!$AT200)</f>
        <v>0</v>
      </c>
      <c r="AP200" s="14">
        <f>INDEX(挂机升级突破!$DP$6:$DP$57,卡牌消耗!AT200)</f>
        <v>118</v>
      </c>
      <c r="AQ200" s="14" t="str">
        <f t="shared" si="312"/>
        <v>唐流雨</v>
      </c>
      <c r="AR200" s="14">
        <f t="shared" si="313"/>
        <v>2</v>
      </c>
      <c r="AS200" s="14" t="str">
        <f t="shared" si="314"/>
        <v>唐流雨魂火-40</v>
      </c>
      <c r="AT200" s="14">
        <f t="shared" si="315"/>
        <v>40</v>
      </c>
      <c r="AU200" s="14" t="str">
        <f>IF(AM200&gt;0,INDEX(挂机升级突破!$DT$4:$ED$4,AM200),"")</f>
        <v>金币</v>
      </c>
      <c r="AV200" s="14">
        <f>ROUND(INDEX(挂机升级突破!$DJ$6:$DJ$57,卡牌消耗!AT200)*INDEX(卡牌消耗!$B$8:$F$8,AR200)/$Q$4/50,0)*50</f>
        <v>15050</v>
      </c>
      <c r="AW200" s="14" t="str">
        <f>IF(AN200&gt;0,INDEX(挂机升级突破!$DT$4:$ED$4,AN200),"")</f>
        <v>红色基础材料</v>
      </c>
      <c r="AX200" s="14">
        <f>ROUND(INDEX(挂机升级突破!$DT$6:$ED$57,卡牌消耗!AT200,AN200)*INDEX(卡牌消耗!$B$5:$F$5,AR200)/$Q$4/5,0)*5</f>
        <v>5</v>
      </c>
      <c r="AY200" s="14" t="str">
        <f>IF(AO200&gt;0,INDEX(挂机升级突破!$DT$4:$ED$4,AO200),"")</f>
        <v/>
      </c>
      <c r="AZ200" s="14" t="str">
        <f>IF(AO200&gt;0,ROUND(INDEX(挂机升级突破!$DT$6:$ED$57,卡牌消耗!AT200,AO200)*INDEX(卡牌消耗!$B$7:$F$7,AR200)/$Q$4,0),"")</f>
        <v/>
      </c>
      <c r="BA200" s="106"/>
      <c r="BB200" s="197"/>
      <c r="BC200" s="197"/>
      <c r="BD200" s="197"/>
      <c r="BE200" s="197"/>
      <c r="BF200" s="197"/>
      <c r="BG200" s="197"/>
      <c r="BH200" s="197"/>
      <c r="BI200" s="197"/>
      <c r="BJ200" s="197"/>
      <c r="BK200" s="197"/>
      <c r="BL200" s="104">
        <v>196</v>
      </c>
      <c r="BM200" s="14">
        <f t="shared" si="316"/>
        <v>10</v>
      </c>
      <c r="BN200" s="14">
        <f>INDEX(挂机升级突破!$EI$7:$EI$26,BS200)</f>
        <v>5</v>
      </c>
      <c r="BO200" s="14">
        <f>INDEX(挂机升级突破!$EJ$7:$EJ$26,BS200)</f>
        <v>3</v>
      </c>
      <c r="BP200" s="14">
        <f t="shared" si="317"/>
        <v>4</v>
      </c>
      <c r="BQ200" s="14">
        <f>INDEX(挂机升级突破!$EH$7:$EH$26,卡牌消耗!BS200)</f>
        <v>110</v>
      </c>
      <c r="BR200" s="14" t="str">
        <f t="shared" si="318"/>
        <v>张郃</v>
      </c>
      <c r="BS200" s="14">
        <f t="shared" si="319"/>
        <v>16</v>
      </c>
      <c r="BT200" s="14" t="str">
        <f t="shared" si="320"/>
        <v>张郃16突</v>
      </c>
      <c r="BU200" s="14" t="str">
        <f>IF(BN200&gt;0,INDEX(挂机升级突破!$ER$5:$EV$5,卡牌消耗!BN200),"")</f>
        <v>金币</v>
      </c>
      <c r="BV200" s="14">
        <f>IF(BN200&gt;0,ROUND(INDEX(挂机升级突破!$EV$7:$EV$26,卡牌消耗!BS200)*INDEX(卡牌消耗!$B$8:$F$8,BP200)/$Q$4/500,0)*500,"")</f>
        <v>121000</v>
      </c>
      <c r="BW200" s="14" t="str">
        <f>IF(BO200&gt;0,INDEX(挂机升级突破!$ER$5:$EV$5,卡牌消耗!BO200),"")</f>
        <v>银母</v>
      </c>
      <c r="BX200" s="14">
        <f>IF(BO200&gt;0,ROUND(INDEX(挂机升级突破!$ER$7:$EU$26,卡牌消耗!BS200,卡牌消耗!BO200)*INDEX($B$6:$F$6,BP200)/$Q$4/5,0)*5,"")</f>
        <v>110</v>
      </c>
      <c r="BY200" s="193"/>
      <c r="BZ200" s="193"/>
      <c r="CA200" s="106"/>
      <c r="CS200" s="171"/>
      <c r="CT200" s="171"/>
      <c r="CU200" s="171"/>
      <c r="CV200" s="170"/>
      <c r="CW200" s="170"/>
      <c r="CX200" s="170"/>
      <c r="CY200" s="170"/>
      <c r="CZ200" s="170"/>
      <c r="DI200" s="186">
        <v>196</v>
      </c>
      <c r="DJ200" s="14">
        <f t="shared" si="321"/>
        <v>40</v>
      </c>
      <c r="DK200" s="14">
        <f t="shared" si="306"/>
        <v>2</v>
      </c>
      <c r="DL200" s="14">
        <f t="shared" si="307"/>
        <v>1102013</v>
      </c>
      <c r="DM200" s="136" t="s">
        <v>1097</v>
      </c>
      <c r="DN200" s="14">
        <f t="shared" si="308"/>
        <v>1</v>
      </c>
      <c r="DO200" s="14" t="str">
        <f t="shared" si="309"/>
        <v>塞伯罗斯-1星</v>
      </c>
      <c r="DP200" s="136" t="s">
        <v>1103</v>
      </c>
      <c r="DQ200" s="14">
        <f t="shared" si="322"/>
        <v>3000</v>
      </c>
      <c r="DR200" s="14" t="str">
        <f t="shared" si="310"/>
        <v>塞伯罗斯碎片</v>
      </c>
      <c r="DS200" s="14">
        <f t="shared" si="323"/>
        <v>20</v>
      </c>
    </row>
    <row r="201" spans="8:123" ht="16.5" x14ac:dyDescent="0.2">
      <c r="H201" s="15"/>
      <c r="I201" s="15"/>
      <c r="J201" s="15"/>
      <c r="K201" s="15"/>
      <c r="L201" s="15"/>
      <c r="M201" s="15"/>
      <c r="N201" s="15"/>
      <c r="O201" s="137"/>
      <c r="P201" s="141"/>
      <c r="Q201" s="141"/>
      <c r="R201" s="141"/>
      <c r="S201" s="141"/>
      <c r="T201" s="141"/>
      <c r="U201" s="141"/>
      <c r="V201" s="141"/>
      <c r="W201" s="141"/>
      <c r="X201" s="141"/>
      <c r="Y201" s="141"/>
      <c r="Z201" s="196">
        <v>5</v>
      </c>
      <c r="AA201" s="196">
        <v>41</v>
      </c>
      <c r="AB201" s="14">
        <f>ROUND(INDEX(挂机升级突破!DT$6:DT$57,卡牌消耗!$AA201)*INDEX(卡牌消耗!$B$5:$F$5,卡牌消耗!$Z201)/卡牌消耗!$Q$4/AB$2,0)*AB$2</f>
        <v>0</v>
      </c>
      <c r="AC201" s="14">
        <f>ROUND(INDEX(挂机升级突破!DU$6:DU$57,卡牌消耗!$AA201)*INDEX(卡牌消耗!$B$5:$F$5,卡牌消耗!$Z201)/卡牌消耗!$Q$4/AC$2,0)*AC$2</f>
        <v>0</v>
      </c>
      <c r="AD201" s="14">
        <f>ROUND(INDEX(挂机升级突破!DV$6:DV$57,卡牌消耗!$AA201)*INDEX(卡牌消耗!$B$5:$F$5,卡牌消耗!$Z201)/卡牌消耗!$Q$4/AD$2,0)*AD$2</f>
        <v>0</v>
      </c>
      <c r="AE201" s="14">
        <f>ROUND(INDEX(挂机升级突破!DW$6:DW$57,卡牌消耗!$AA201)*INDEX(卡牌消耗!$B$5:$F$5,卡牌消耗!$Z201)/卡牌消耗!$Q$4/AE$2,0)*AE$2</f>
        <v>0</v>
      </c>
      <c r="AF201" s="14">
        <f>ROUND(INDEX(挂机升级突破!DX$6:DX$57,卡牌消耗!$AA201)*INDEX(卡牌消耗!$B$5:$F$5,卡牌消耗!$Z201)/卡牌消耗!$Q$4/AF$2,0)*AF$2</f>
        <v>15</v>
      </c>
      <c r="AG201" s="14">
        <f>ROUND(INDEX(挂机升级突破!EC$6:EC$57,卡牌消耗!$AA201)*INDEX(卡牌消耗!$B$7:$F$7,卡牌消耗!$Z201)/卡牌消耗!$Q$4/AG$2,0)*AG$2</f>
        <v>4</v>
      </c>
      <c r="AH201" s="14">
        <f>ROUND(INDEX(挂机升级突破!ED$6:ED$57,卡牌消耗!$AA201)*INDEX(卡牌消耗!$B$8:$F$8,卡牌消耗!$Z201)/卡牌消耗!$Q$4/AH$2,0)*AH$2</f>
        <v>59100</v>
      </c>
      <c r="AI201" s="194"/>
      <c r="AJ201" s="194"/>
      <c r="AK201" s="104">
        <v>197</v>
      </c>
      <c r="AL201" s="14">
        <f t="shared" si="311"/>
        <v>4</v>
      </c>
      <c r="AM201" s="14">
        <f>INDEX(挂机升级突破!DQ$6:DQ$57,卡牌消耗!$AT201)</f>
        <v>11</v>
      </c>
      <c r="AN201" s="14">
        <f>INDEX(挂机升级突破!DR$6:DR$57,卡牌消耗!$AT201)</f>
        <v>5</v>
      </c>
      <c r="AO201" s="14">
        <f>INDEX(挂机升级突破!DS$6:DS$57,卡牌消耗!$AT201)</f>
        <v>10</v>
      </c>
      <c r="AP201" s="14">
        <f>INDEX(挂机升级突破!$DP$6:$DP$57,卡牌消耗!AT201)</f>
        <v>120</v>
      </c>
      <c r="AQ201" s="14" t="str">
        <f t="shared" si="312"/>
        <v>唐流雨</v>
      </c>
      <c r="AR201" s="14">
        <f t="shared" si="313"/>
        <v>2</v>
      </c>
      <c r="AS201" s="14" t="str">
        <f t="shared" si="314"/>
        <v>唐流雨魂火-41</v>
      </c>
      <c r="AT201" s="14">
        <f t="shared" si="315"/>
        <v>41</v>
      </c>
      <c r="AU201" s="14" t="str">
        <f>IF(AM201&gt;0,INDEX(挂机升级突破!$DT$4:$ED$4,AM201),"")</f>
        <v>金币</v>
      </c>
      <c r="AV201" s="14">
        <f>ROUND(INDEX(挂机升级突破!$DJ$6:$DJ$57,卡牌消耗!AT201)*INDEX(卡牌消耗!$B$8:$F$8,AR201)/$Q$4/50,0)*50</f>
        <v>20700</v>
      </c>
      <c r="AW201" s="14" t="str">
        <f>IF(AN201&gt;0,INDEX(挂机升级突破!$DT$4:$ED$4,AN201),"")</f>
        <v>红色基础材料</v>
      </c>
      <c r="AX201" s="14">
        <f>ROUND(INDEX(挂机升级突破!$DT$6:$ED$57,卡牌消耗!AT201,AN201)*INDEX(卡牌消耗!$B$5:$F$5,AR201)/$Q$4/5,0)*5</f>
        <v>10</v>
      </c>
      <c r="AY201" s="14" t="str">
        <f>IF(AO201&gt;0,INDEX(挂机升级突破!$DT$4:$ED$4,AO201),"")</f>
        <v>灵玉</v>
      </c>
      <c r="AZ201" s="14">
        <f>IF(AO201&gt;0,ROUND(INDEX(挂机升级突破!$DT$6:$ED$57,卡牌消耗!AT201,AO201)*INDEX(卡牌消耗!$B$7:$F$7,AR201)/$Q$4,0),"")</f>
        <v>1</v>
      </c>
      <c r="BA201" s="106"/>
      <c r="BB201" s="197"/>
      <c r="BC201" s="197"/>
      <c r="BD201" s="197"/>
      <c r="BE201" s="197"/>
      <c r="BF201" s="197"/>
      <c r="BG201" s="197"/>
      <c r="BH201" s="197"/>
      <c r="BI201" s="197"/>
      <c r="BJ201" s="197"/>
      <c r="BK201" s="197"/>
      <c r="BL201" s="104">
        <v>197</v>
      </c>
      <c r="BM201" s="14">
        <f t="shared" si="316"/>
        <v>10</v>
      </c>
      <c r="BN201" s="14">
        <f>INDEX(挂机升级突破!$EI$7:$EI$26,BS201)</f>
        <v>5</v>
      </c>
      <c r="BO201" s="14">
        <f>INDEX(挂机升级突破!$EJ$7:$EJ$26,BS201)</f>
        <v>4</v>
      </c>
      <c r="BP201" s="14">
        <f t="shared" si="317"/>
        <v>4</v>
      </c>
      <c r="BQ201" s="14">
        <f>INDEX(挂机升级突破!$EH$7:$EH$26,卡牌消耗!BS201)</f>
        <v>117</v>
      </c>
      <c r="BR201" s="14" t="str">
        <f t="shared" si="318"/>
        <v>张郃</v>
      </c>
      <c r="BS201" s="14">
        <f t="shared" si="319"/>
        <v>17</v>
      </c>
      <c r="BT201" s="14" t="str">
        <f t="shared" si="320"/>
        <v>张郃17突</v>
      </c>
      <c r="BU201" s="14" t="str">
        <f>IF(BN201&gt;0,INDEX(挂机升级突破!$ER$5:$EV$5,卡牌消耗!BN201),"")</f>
        <v>金币</v>
      </c>
      <c r="BV201" s="14">
        <f>IF(BN201&gt;0,ROUND(INDEX(挂机升级突破!$EV$7:$EV$26,卡牌消耗!BS201)*INDEX(卡牌消耗!$B$8:$F$8,BP201)/$Q$4/500,0)*500,"")</f>
        <v>121000</v>
      </c>
      <c r="BW201" s="14" t="str">
        <f>IF(BO201&gt;0,INDEX(挂机升级突破!$ER$5:$EV$5,卡牌消耗!BO201),"")</f>
        <v>铀金</v>
      </c>
      <c r="BX201" s="14">
        <f>IF(BO201&gt;0,ROUND(INDEX(挂机升级突破!$ER$7:$EU$26,卡牌消耗!BS201,卡牌消耗!BO201)*INDEX($B$6:$F$6,BP201)/$Q$4/5,0)*5,"")</f>
        <v>20</v>
      </c>
      <c r="BY201" s="193"/>
      <c r="BZ201" s="193"/>
      <c r="CA201" s="106"/>
      <c r="CS201" s="171"/>
      <c r="CT201" s="171"/>
      <c r="CU201" s="171"/>
      <c r="CV201" s="170"/>
      <c r="CW201" s="170"/>
      <c r="CX201" s="170"/>
      <c r="CY201" s="170"/>
      <c r="CZ201" s="170"/>
      <c r="DI201" s="186">
        <v>197</v>
      </c>
      <c r="DJ201" s="14">
        <f t="shared" si="321"/>
        <v>40</v>
      </c>
      <c r="DK201" s="14">
        <f t="shared" si="306"/>
        <v>2</v>
      </c>
      <c r="DL201" s="14">
        <f t="shared" si="307"/>
        <v>1102013</v>
      </c>
      <c r="DM201" s="136" t="s">
        <v>1097</v>
      </c>
      <c r="DN201" s="14">
        <f t="shared" si="308"/>
        <v>2</v>
      </c>
      <c r="DO201" s="14" t="str">
        <f t="shared" si="309"/>
        <v>塞伯罗斯-2星</v>
      </c>
      <c r="DP201" s="136" t="s">
        <v>1103</v>
      </c>
      <c r="DQ201" s="14">
        <f t="shared" si="322"/>
        <v>3500</v>
      </c>
      <c r="DR201" s="14" t="str">
        <f t="shared" si="310"/>
        <v>塞伯罗斯碎片</v>
      </c>
      <c r="DS201" s="14">
        <f t="shared" si="323"/>
        <v>20</v>
      </c>
    </row>
    <row r="202" spans="8:123" ht="16.5" x14ac:dyDescent="0.2">
      <c r="H202" s="15"/>
      <c r="I202" s="15"/>
      <c r="J202" s="15"/>
      <c r="K202" s="15"/>
      <c r="L202" s="15"/>
      <c r="M202" s="15"/>
      <c r="N202" s="15"/>
      <c r="O202" s="137"/>
      <c r="P202" s="141"/>
      <c r="Q202" s="141"/>
      <c r="R202" s="141"/>
      <c r="S202" s="141"/>
      <c r="T202" s="141"/>
      <c r="U202" s="141"/>
      <c r="V202" s="141"/>
      <c r="W202" s="141"/>
      <c r="X202" s="141"/>
      <c r="Y202" s="141"/>
      <c r="Z202" s="196">
        <v>5</v>
      </c>
      <c r="AA202" s="196">
        <v>42</v>
      </c>
      <c r="AB202" s="14">
        <f>ROUND(INDEX(挂机升级突破!DT$6:DT$57,卡牌消耗!$AA202)*INDEX(卡牌消耗!$B$5:$F$5,卡牌消耗!$Z202)/卡牌消耗!$Q$4/AB$2,0)*AB$2</f>
        <v>0</v>
      </c>
      <c r="AC202" s="14">
        <f>ROUND(INDEX(挂机升级突破!DU$6:DU$57,卡牌消耗!$AA202)*INDEX(卡牌消耗!$B$5:$F$5,卡牌消耗!$Z202)/卡牌消耗!$Q$4/AC$2,0)*AC$2</f>
        <v>0</v>
      </c>
      <c r="AD202" s="14">
        <f>ROUND(INDEX(挂机升级突破!DV$6:DV$57,卡牌消耗!$AA202)*INDEX(卡牌消耗!$B$5:$F$5,卡牌消耗!$Z202)/卡牌消耗!$Q$4/AD$2,0)*AD$2</f>
        <v>0</v>
      </c>
      <c r="AE202" s="14">
        <f>ROUND(INDEX(挂机升级突破!DW$6:DW$57,卡牌消耗!$AA202)*INDEX(卡牌消耗!$B$5:$F$5,卡牌消耗!$Z202)/卡牌消耗!$Q$4/AE$2,0)*AE$2</f>
        <v>0</v>
      </c>
      <c r="AF202" s="14">
        <f>ROUND(INDEX(挂机升级突破!DX$6:DX$57,卡牌消耗!$AA202)*INDEX(卡牌消耗!$B$5:$F$5,卡牌消耗!$Z202)/卡牌消耗!$Q$4/AF$2,0)*AF$2</f>
        <v>15</v>
      </c>
      <c r="AG202" s="14">
        <f>ROUND(INDEX(挂机升级突破!EC$6:EC$57,卡牌消耗!$AA202)*INDEX(卡牌消耗!$B$7:$F$7,卡牌消耗!$Z202)/卡牌消耗!$Q$4/AG$2,0)*AG$2</f>
        <v>4</v>
      </c>
      <c r="AH202" s="14">
        <f>ROUND(INDEX(挂机升级突破!ED$6:ED$57,卡牌消耗!$AA202)*INDEX(卡牌消耗!$B$8:$F$8,卡牌消耗!$Z202)/卡牌消耗!$Q$4/AH$2,0)*AH$2</f>
        <v>59100</v>
      </c>
      <c r="AI202" s="194"/>
      <c r="AJ202" s="194"/>
      <c r="AK202" s="104">
        <v>198</v>
      </c>
      <c r="AL202" s="14">
        <f t="shared" si="311"/>
        <v>4</v>
      </c>
      <c r="AM202" s="14">
        <f>INDEX(挂机升级突破!DQ$6:DQ$57,卡牌消耗!$AT202)</f>
        <v>11</v>
      </c>
      <c r="AN202" s="14">
        <f>INDEX(挂机升级突破!DR$6:DR$57,卡牌消耗!$AT202)</f>
        <v>5</v>
      </c>
      <c r="AO202" s="14">
        <f>INDEX(挂机升级突破!DS$6:DS$57,卡牌消耗!$AT202)</f>
        <v>10</v>
      </c>
      <c r="AP202" s="14">
        <f>INDEX(挂机升级突破!$DP$6:$DP$57,卡牌消耗!AT202)</f>
        <v>123</v>
      </c>
      <c r="AQ202" s="14" t="str">
        <f t="shared" si="312"/>
        <v>唐流雨</v>
      </c>
      <c r="AR202" s="14">
        <f t="shared" si="313"/>
        <v>2</v>
      </c>
      <c r="AS202" s="14" t="str">
        <f t="shared" si="314"/>
        <v>唐流雨魂火-42</v>
      </c>
      <c r="AT202" s="14">
        <f t="shared" si="315"/>
        <v>42</v>
      </c>
      <c r="AU202" s="14" t="str">
        <f>IF(AM202&gt;0,INDEX(挂机升级突破!$DT$4:$ED$4,AM202),"")</f>
        <v>金币</v>
      </c>
      <c r="AV202" s="14">
        <f>ROUND(INDEX(挂机升级突破!$DJ$6:$DJ$57,卡牌消耗!AT202)*INDEX(卡牌消耗!$B$8:$F$8,AR202)/$Q$4/50,0)*50</f>
        <v>20700</v>
      </c>
      <c r="AW202" s="14" t="str">
        <f>IF(AN202&gt;0,INDEX(挂机升级突破!$DT$4:$ED$4,AN202),"")</f>
        <v>红色基础材料</v>
      </c>
      <c r="AX202" s="14">
        <f>ROUND(INDEX(挂机升级突破!$DT$6:$ED$57,卡牌消耗!AT202,AN202)*INDEX(卡牌消耗!$B$5:$F$5,AR202)/$Q$4/5,0)*5</f>
        <v>10</v>
      </c>
      <c r="AY202" s="14" t="str">
        <f>IF(AO202&gt;0,INDEX(挂机升级突破!$DT$4:$ED$4,AO202),"")</f>
        <v>灵玉</v>
      </c>
      <c r="AZ202" s="14">
        <f>IF(AO202&gt;0,ROUND(INDEX(挂机升级突破!$DT$6:$ED$57,卡牌消耗!AT202,AO202)*INDEX(卡牌消耗!$B$7:$F$7,AR202)/$Q$4,0),"")</f>
        <v>1</v>
      </c>
      <c r="BA202" s="106"/>
      <c r="BB202" s="197"/>
      <c r="BC202" s="197"/>
      <c r="BD202" s="197"/>
      <c r="BE202" s="197"/>
      <c r="BF202" s="197"/>
      <c r="BG202" s="197"/>
      <c r="BH202" s="197"/>
      <c r="BI202" s="197"/>
      <c r="BJ202" s="197"/>
      <c r="BK202" s="197"/>
      <c r="BL202" s="104">
        <v>198</v>
      </c>
      <c r="BM202" s="14">
        <f t="shared" si="316"/>
        <v>10</v>
      </c>
      <c r="BN202" s="14">
        <f>INDEX(挂机升级突破!$EI$7:$EI$26,BS202)</f>
        <v>5</v>
      </c>
      <c r="BO202" s="14">
        <f>INDEX(挂机升级突破!$EJ$7:$EJ$26,BS202)</f>
        <v>4</v>
      </c>
      <c r="BP202" s="14">
        <f t="shared" si="317"/>
        <v>4</v>
      </c>
      <c r="BQ202" s="14">
        <f>INDEX(挂机升级突破!$EH$7:$EH$26,卡牌消耗!BS202)</f>
        <v>125</v>
      </c>
      <c r="BR202" s="14" t="str">
        <f t="shared" si="318"/>
        <v>张郃</v>
      </c>
      <c r="BS202" s="14">
        <f t="shared" si="319"/>
        <v>18</v>
      </c>
      <c r="BT202" s="14" t="str">
        <f t="shared" si="320"/>
        <v>张郃18突</v>
      </c>
      <c r="BU202" s="14" t="str">
        <f>IF(BN202&gt;0,INDEX(挂机升级突破!$ER$5:$EV$5,卡牌消耗!BN202),"")</f>
        <v>金币</v>
      </c>
      <c r="BV202" s="14">
        <f>IF(BN202&gt;0,ROUND(INDEX(挂机升级突破!$EV$7:$EV$26,卡牌消耗!BS202)*INDEX(卡牌消耗!$B$8:$F$8,BP202)/$Q$4/500,0)*500,"")</f>
        <v>161000</v>
      </c>
      <c r="BW202" s="14" t="str">
        <f>IF(BO202&gt;0,INDEX(挂机升级突破!$ER$5:$EV$5,卡牌消耗!BO202),"")</f>
        <v>铀金</v>
      </c>
      <c r="BX202" s="14">
        <f>IF(BO202&gt;0,ROUND(INDEX(挂机升级突破!$ER$7:$EU$26,卡牌消耗!BS202,卡牌消耗!BO202)*INDEX($B$6:$F$6,BP202)/$Q$4/5,0)*5,"")</f>
        <v>30</v>
      </c>
      <c r="BY202" s="193"/>
      <c r="BZ202" s="193"/>
      <c r="CA202" s="106"/>
      <c r="CS202" s="171"/>
      <c r="CT202" s="171"/>
      <c r="CU202" s="171"/>
      <c r="CV202" s="170"/>
      <c r="CW202" s="170"/>
      <c r="CX202" s="170"/>
      <c r="CY202" s="170"/>
      <c r="CZ202" s="170"/>
      <c r="DI202" s="186">
        <v>198</v>
      </c>
      <c r="DJ202" s="14">
        <f t="shared" si="321"/>
        <v>40</v>
      </c>
      <c r="DK202" s="14">
        <f t="shared" si="306"/>
        <v>2</v>
      </c>
      <c r="DL202" s="14">
        <f t="shared" si="307"/>
        <v>1102013</v>
      </c>
      <c r="DM202" s="136" t="s">
        <v>1097</v>
      </c>
      <c r="DN202" s="14">
        <f t="shared" si="308"/>
        <v>3</v>
      </c>
      <c r="DO202" s="14" t="str">
        <f t="shared" si="309"/>
        <v>塞伯罗斯-3星</v>
      </c>
      <c r="DP202" s="136" t="s">
        <v>1103</v>
      </c>
      <c r="DQ202" s="14">
        <f t="shared" si="322"/>
        <v>7000</v>
      </c>
      <c r="DR202" s="14" t="str">
        <f t="shared" si="310"/>
        <v>塞伯罗斯碎片</v>
      </c>
      <c r="DS202" s="14">
        <f t="shared" si="323"/>
        <v>20</v>
      </c>
    </row>
    <row r="203" spans="8:123" ht="16.5" x14ac:dyDescent="0.2">
      <c r="H203" s="15"/>
      <c r="I203" s="15"/>
      <c r="J203" s="15"/>
      <c r="K203" s="15"/>
      <c r="L203" s="15"/>
      <c r="M203" s="15"/>
      <c r="N203" s="15"/>
      <c r="O203" s="137"/>
      <c r="P203" s="141"/>
      <c r="Q203" s="141"/>
      <c r="R203" s="141"/>
      <c r="S203" s="141"/>
      <c r="T203" s="141"/>
      <c r="U203" s="141"/>
      <c r="V203" s="141"/>
      <c r="W203" s="141"/>
      <c r="X203" s="141"/>
      <c r="Y203" s="141"/>
      <c r="Z203" s="196">
        <v>5</v>
      </c>
      <c r="AA203" s="196">
        <v>43</v>
      </c>
      <c r="AB203" s="14">
        <f>ROUND(INDEX(挂机升级突破!DT$6:DT$57,卡牌消耗!$AA203)*INDEX(卡牌消耗!$B$5:$F$5,卡牌消耗!$Z203)/卡牌消耗!$Q$4/AB$2,0)*AB$2</f>
        <v>0</v>
      </c>
      <c r="AC203" s="14">
        <f>ROUND(INDEX(挂机升级突破!DU$6:DU$57,卡牌消耗!$AA203)*INDEX(卡牌消耗!$B$5:$F$5,卡牌消耗!$Z203)/卡牌消耗!$Q$4/AC$2,0)*AC$2</f>
        <v>0</v>
      </c>
      <c r="AD203" s="14">
        <f>ROUND(INDEX(挂机升级突破!DV$6:DV$57,卡牌消耗!$AA203)*INDEX(卡牌消耗!$B$5:$F$5,卡牌消耗!$Z203)/卡牌消耗!$Q$4/AD$2,0)*AD$2</f>
        <v>0</v>
      </c>
      <c r="AE203" s="14">
        <f>ROUND(INDEX(挂机升级突破!DW$6:DW$57,卡牌消耗!$AA203)*INDEX(卡牌消耗!$B$5:$F$5,卡牌消耗!$Z203)/卡牌消耗!$Q$4/AE$2,0)*AE$2</f>
        <v>0</v>
      </c>
      <c r="AF203" s="14">
        <f>ROUND(INDEX(挂机升级突破!DX$6:DX$57,卡牌消耗!$AA203)*INDEX(卡牌消耗!$B$5:$F$5,卡牌消耗!$Z203)/卡牌消耗!$Q$4/AF$2,0)*AF$2</f>
        <v>15</v>
      </c>
      <c r="AG203" s="14">
        <f>ROUND(INDEX(挂机升级突破!EC$6:EC$57,卡牌消耗!$AA203)*INDEX(卡牌消耗!$B$7:$F$7,卡牌消耗!$Z203)/卡牌消耗!$Q$4/AG$2,0)*AG$2</f>
        <v>4</v>
      </c>
      <c r="AH203" s="14">
        <f>ROUND(INDEX(挂机升级突破!ED$6:ED$57,卡牌消耗!$AA203)*INDEX(卡牌消耗!$B$8:$F$8,卡牌消耗!$Z203)/卡牌消耗!$Q$4/AH$2,0)*AH$2</f>
        <v>59100</v>
      </c>
      <c r="AI203" s="194"/>
      <c r="AJ203" s="194"/>
      <c r="AK203" s="104">
        <v>199</v>
      </c>
      <c r="AL203" s="14">
        <f t="shared" si="311"/>
        <v>4</v>
      </c>
      <c r="AM203" s="14">
        <f>INDEX(挂机升级突破!DQ$6:DQ$57,卡牌消耗!$AT203)</f>
        <v>11</v>
      </c>
      <c r="AN203" s="14">
        <f>INDEX(挂机升级突破!DR$6:DR$57,卡牌消耗!$AT203)</f>
        <v>5</v>
      </c>
      <c r="AO203" s="14">
        <f>INDEX(挂机升级突破!DS$6:DS$57,卡牌消耗!$AT203)</f>
        <v>10</v>
      </c>
      <c r="AP203" s="14">
        <f>INDEX(挂机升级突破!$DP$6:$DP$57,卡牌消耗!AT203)</f>
        <v>125</v>
      </c>
      <c r="AQ203" s="14" t="str">
        <f t="shared" si="312"/>
        <v>唐流雨</v>
      </c>
      <c r="AR203" s="14">
        <f t="shared" si="313"/>
        <v>2</v>
      </c>
      <c r="AS203" s="14" t="str">
        <f t="shared" si="314"/>
        <v>唐流雨魂火-43</v>
      </c>
      <c r="AT203" s="14">
        <f t="shared" si="315"/>
        <v>43</v>
      </c>
      <c r="AU203" s="14" t="str">
        <f>IF(AM203&gt;0,INDEX(挂机升级突破!$DT$4:$ED$4,AM203),"")</f>
        <v>金币</v>
      </c>
      <c r="AV203" s="14">
        <f>ROUND(INDEX(挂机升级突破!$DJ$6:$DJ$57,卡牌消耗!AT203)*INDEX(卡牌消耗!$B$8:$F$8,AR203)/$Q$4/50,0)*50</f>
        <v>20700</v>
      </c>
      <c r="AW203" s="14" t="str">
        <f>IF(AN203&gt;0,INDEX(挂机升级突破!$DT$4:$ED$4,AN203),"")</f>
        <v>红色基础材料</v>
      </c>
      <c r="AX203" s="14">
        <f>ROUND(INDEX(挂机升级突破!$DT$6:$ED$57,卡牌消耗!AT203,AN203)*INDEX(卡牌消耗!$B$5:$F$5,AR203)/$Q$4/5,0)*5</f>
        <v>10</v>
      </c>
      <c r="AY203" s="14" t="str">
        <f>IF(AO203&gt;0,INDEX(挂机升级突破!$DT$4:$ED$4,AO203),"")</f>
        <v>灵玉</v>
      </c>
      <c r="AZ203" s="14">
        <f>IF(AO203&gt;0,ROUND(INDEX(挂机升级突破!$DT$6:$ED$57,卡牌消耗!AT203,AO203)*INDEX(卡牌消耗!$B$7:$F$7,AR203)/$Q$4,0),"")</f>
        <v>1</v>
      </c>
      <c r="BA203" s="106"/>
      <c r="BB203" s="197"/>
      <c r="BC203" s="197"/>
      <c r="BD203" s="197"/>
      <c r="BE203" s="197"/>
      <c r="BF203" s="197"/>
      <c r="BG203" s="197"/>
      <c r="BH203" s="197"/>
      <c r="BI203" s="197"/>
      <c r="BJ203" s="197"/>
      <c r="BK203" s="197"/>
      <c r="BL203" s="104">
        <v>199</v>
      </c>
      <c r="BM203" s="14">
        <f t="shared" si="316"/>
        <v>10</v>
      </c>
      <c r="BN203" s="14">
        <f>INDEX(挂机升级突破!$EI$7:$EI$26,BS203)</f>
        <v>5</v>
      </c>
      <c r="BO203" s="14">
        <f>INDEX(挂机升级突破!$EJ$7:$EJ$26,BS203)</f>
        <v>4</v>
      </c>
      <c r="BP203" s="14">
        <f t="shared" si="317"/>
        <v>4</v>
      </c>
      <c r="BQ203" s="14">
        <f>INDEX(挂机升级突破!$EH$7:$EH$26,卡牌消耗!BS203)</f>
        <v>132</v>
      </c>
      <c r="BR203" s="14" t="str">
        <f t="shared" si="318"/>
        <v>张郃</v>
      </c>
      <c r="BS203" s="14">
        <f t="shared" si="319"/>
        <v>19</v>
      </c>
      <c r="BT203" s="14" t="str">
        <f t="shared" si="320"/>
        <v>张郃19突</v>
      </c>
      <c r="BU203" s="14" t="str">
        <f>IF(BN203&gt;0,INDEX(挂机升级突破!$ER$5:$EV$5,卡牌消耗!BN203),"")</f>
        <v>金币</v>
      </c>
      <c r="BV203" s="14">
        <f>IF(BN203&gt;0,ROUND(INDEX(挂机升级突破!$EV$7:$EV$26,卡牌消耗!BS203)*INDEX(卡牌消耗!$B$8:$F$8,BP203)/$Q$4/500,0)*500,"")</f>
        <v>410500</v>
      </c>
      <c r="BW203" s="14" t="str">
        <f>IF(BO203&gt;0,INDEX(挂机升级突破!$ER$5:$EV$5,卡牌消耗!BO203),"")</f>
        <v>铀金</v>
      </c>
      <c r="BX203" s="14">
        <f>IF(BO203&gt;0,ROUND(INDEX(挂机升级突破!$ER$7:$EU$26,卡牌消耗!BS203,卡牌消耗!BO203)*INDEX($B$6:$F$6,BP203)/$Q$4/5,0)*5,"")</f>
        <v>40</v>
      </c>
      <c r="BY203" s="193"/>
      <c r="BZ203" s="193"/>
      <c r="CA203" s="106"/>
      <c r="CS203" s="171"/>
      <c r="CT203" s="171"/>
      <c r="CU203" s="171"/>
      <c r="CV203" s="170"/>
      <c r="CW203" s="170"/>
      <c r="CX203" s="170"/>
      <c r="CY203" s="170"/>
      <c r="CZ203" s="170"/>
      <c r="DI203" s="186">
        <v>199</v>
      </c>
      <c r="DJ203" s="14">
        <f t="shared" si="321"/>
        <v>40</v>
      </c>
      <c r="DK203" s="14">
        <f t="shared" si="306"/>
        <v>2</v>
      </c>
      <c r="DL203" s="14">
        <f t="shared" si="307"/>
        <v>1102013</v>
      </c>
      <c r="DM203" s="136" t="s">
        <v>1097</v>
      </c>
      <c r="DN203" s="14">
        <f t="shared" si="308"/>
        <v>4</v>
      </c>
      <c r="DO203" s="14" t="str">
        <f t="shared" si="309"/>
        <v>塞伯罗斯-4星</v>
      </c>
      <c r="DP203" s="136" t="s">
        <v>1103</v>
      </c>
      <c r="DQ203" s="14">
        <f t="shared" si="322"/>
        <v>16000</v>
      </c>
      <c r="DR203" s="14" t="str">
        <f t="shared" si="310"/>
        <v>塞伯罗斯碎片</v>
      </c>
      <c r="DS203" s="14">
        <f t="shared" si="323"/>
        <v>20</v>
      </c>
    </row>
    <row r="204" spans="8:123" ht="16.5" x14ac:dyDescent="0.2">
      <c r="H204" s="15"/>
      <c r="I204" s="15"/>
      <c r="J204" s="15"/>
      <c r="K204" s="15"/>
      <c r="L204" s="15"/>
      <c r="M204" s="15"/>
      <c r="N204" s="15"/>
      <c r="O204" s="137"/>
      <c r="P204" s="141"/>
      <c r="Q204" s="141"/>
      <c r="R204" s="141"/>
      <c r="S204" s="141"/>
      <c r="T204" s="141"/>
      <c r="U204" s="141"/>
      <c r="V204" s="141"/>
      <c r="W204" s="141"/>
      <c r="X204" s="141"/>
      <c r="Y204" s="141"/>
      <c r="Z204" s="196">
        <v>5</v>
      </c>
      <c r="AA204" s="196">
        <v>44</v>
      </c>
      <c r="AB204" s="14">
        <f>ROUND(INDEX(挂机升级突破!DT$6:DT$57,卡牌消耗!$AA204)*INDEX(卡牌消耗!$B$5:$F$5,卡牌消耗!$Z204)/卡牌消耗!$Q$4/AB$2,0)*AB$2</f>
        <v>0</v>
      </c>
      <c r="AC204" s="14">
        <f>ROUND(INDEX(挂机升级突破!DU$6:DU$57,卡牌消耗!$AA204)*INDEX(卡牌消耗!$B$5:$F$5,卡牌消耗!$Z204)/卡牌消耗!$Q$4/AC$2,0)*AC$2</f>
        <v>0</v>
      </c>
      <c r="AD204" s="14">
        <f>ROUND(INDEX(挂机升级突破!DV$6:DV$57,卡牌消耗!$AA204)*INDEX(卡牌消耗!$B$5:$F$5,卡牌消耗!$Z204)/卡牌消耗!$Q$4/AD$2,0)*AD$2</f>
        <v>0</v>
      </c>
      <c r="AE204" s="14">
        <f>ROUND(INDEX(挂机升级突破!DW$6:DW$57,卡牌消耗!$AA204)*INDEX(卡牌消耗!$B$5:$F$5,卡牌消耗!$Z204)/卡牌消耗!$Q$4/AE$2,0)*AE$2</f>
        <v>0</v>
      </c>
      <c r="AF204" s="14">
        <f>ROUND(INDEX(挂机升级突破!DX$6:DX$57,卡牌消耗!$AA204)*INDEX(卡牌消耗!$B$5:$F$5,卡牌消耗!$Z204)/卡牌消耗!$Q$4/AF$2,0)*AF$2</f>
        <v>15</v>
      </c>
      <c r="AG204" s="14">
        <f>ROUND(INDEX(挂机升级突破!EC$6:EC$57,卡牌消耗!$AA204)*INDEX(卡牌消耗!$B$7:$F$7,卡牌消耗!$Z204)/卡牌消耗!$Q$4/AG$2,0)*AG$2</f>
        <v>4</v>
      </c>
      <c r="AH204" s="14">
        <f>ROUND(INDEX(挂机升级突破!ED$6:ED$57,卡牌消耗!$AA204)*INDEX(卡牌消耗!$B$8:$F$8,卡牌消耗!$Z204)/卡牌消耗!$Q$4/AH$2,0)*AH$2</f>
        <v>75200</v>
      </c>
      <c r="AI204" s="194"/>
      <c r="AJ204" s="194"/>
      <c r="AK204" s="104">
        <v>200</v>
      </c>
      <c r="AL204" s="14">
        <f t="shared" si="311"/>
        <v>4</v>
      </c>
      <c r="AM204" s="14">
        <f>INDEX(挂机升级突破!DQ$6:DQ$57,卡牌消耗!$AT204)</f>
        <v>11</v>
      </c>
      <c r="AN204" s="14">
        <f>INDEX(挂机升级突破!DR$6:DR$57,卡牌消耗!$AT204)</f>
        <v>5</v>
      </c>
      <c r="AO204" s="14">
        <f>INDEX(挂机升级突破!DS$6:DS$57,卡牌消耗!$AT204)</f>
        <v>10</v>
      </c>
      <c r="AP204" s="14">
        <f>INDEX(挂机升级突破!$DP$6:$DP$57,卡牌消耗!AT204)</f>
        <v>128</v>
      </c>
      <c r="AQ204" s="14" t="str">
        <f t="shared" si="312"/>
        <v>唐流雨</v>
      </c>
      <c r="AR204" s="14">
        <f t="shared" si="313"/>
        <v>2</v>
      </c>
      <c r="AS204" s="14" t="str">
        <f t="shared" si="314"/>
        <v>唐流雨魂火-44</v>
      </c>
      <c r="AT204" s="14">
        <f t="shared" si="315"/>
        <v>44</v>
      </c>
      <c r="AU204" s="14" t="str">
        <f>IF(AM204&gt;0,INDEX(挂机升级突破!$DT$4:$ED$4,AM204),"")</f>
        <v>金币</v>
      </c>
      <c r="AV204" s="14">
        <f>ROUND(INDEX(挂机升级突破!$DJ$6:$DJ$57,卡牌消耗!AT204)*INDEX(卡牌消耗!$B$8:$F$8,AR204)/$Q$4/50,0)*50</f>
        <v>26300</v>
      </c>
      <c r="AW204" s="14" t="str">
        <f>IF(AN204&gt;0,INDEX(挂机升级突破!$DT$4:$ED$4,AN204),"")</f>
        <v>红色基础材料</v>
      </c>
      <c r="AX204" s="14">
        <f>ROUND(INDEX(挂机升级突破!$DT$6:$ED$57,卡牌消耗!AT204,AN204)*INDEX(卡牌消耗!$B$5:$F$5,AR204)/$Q$4/5,0)*5</f>
        <v>10</v>
      </c>
      <c r="AY204" s="14" t="str">
        <f>IF(AO204&gt;0,INDEX(挂机升级突破!$DT$4:$ED$4,AO204),"")</f>
        <v>灵玉</v>
      </c>
      <c r="AZ204" s="14">
        <f>IF(AO204&gt;0,ROUND(INDEX(挂机升级突破!$DT$6:$ED$57,卡牌消耗!AT204,AO204)*INDEX(卡牌消耗!$B$7:$F$7,AR204)/$Q$4,0),"")</f>
        <v>1</v>
      </c>
      <c r="BA204" s="106"/>
      <c r="BB204" s="197"/>
      <c r="BC204" s="197"/>
      <c r="BD204" s="197"/>
      <c r="BE204" s="197"/>
      <c r="BF204" s="197"/>
      <c r="BG204" s="197"/>
      <c r="BH204" s="197"/>
      <c r="BI204" s="197"/>
      <c r="BJ204" s="197"/>
      <c r="BK204" s="197"/>
      <c r="BL204" s="104">
        <v>200</v>
      </c>
      <c r="BM204" s="14">
        <f t="shared" si="316"/>
        <v>10</v>
      </c>
      <c r="BN204" s="14">
        <f>INDEX(挂机升级突破!$EI$7:$EI$26,BS204)</f>
        <v>5</v>
      </c>
      <c r="BO204" s="14">
        <f>INDEX(挂机升级突破!$EJ$7:$EJ$26,BS204)</f>
        <v>4</v>
      </c>
      <c r="BP204" s="14">
        <f t="shared" si="317"/>
        <v>4</v>
      </c>
      <c r="BQ204" s="14">
        <f>INDEX(挂机升级突破!$EH$7:$EH$26,卡牌消耗!BS204)</f>
        <v>140</v>
      </c>
      <c r="BR204" s="14" t="str">
        <f t="shared" si="318"/>
        <v>张郃</v>
      </c>
      <c r="BS204" s="14">
        <f t="shared" si="319"/>
        <v>20</v>
      </c>
      <c r="BT204" s="14" t="str">
        <f t="shared" si="320"/>
        <v>张郃20突</v>
      </c>
      <c r="BU204" s="14" t="str">
        <f>IF(BN204&gt;0,INDEX(挂机升级突破!$ER$5:$EV$5,卡牌消耗!BN204),"")</f>
        <v>金币</v>
      </c>
      <c r="BV204" s="14">
        <f>IF(BN204&gt;0,ROUND(INDEX(挂机升级突破!$EV$7:$EV$26,卡牌消耗!BS204)*INDEX(卡牌消耗!$B$8:$F$8,BP204)/$Q$4/500,0)*500,"")</f>
        <v>615500</v>
      </c>
      <c r="BW204" s="14" t="str">
        <f>IF(BO204&gt;0,INDEX(挂机升级突破!$ER$5:$EV$5,卡牌消耗!BO204),"")</f>
        <v>铀金</v>
      </c>
      <c r="BX204" s="14">
        <f>IF(BO204&gt;0,ROUND(INDEX(挂机升级突破!$ER$7:$EU$26,卡牌消耗!BS204,卡牌消耗!BO204)*INDEX($B$6:$F$6,BP204)/$Q$4/5,0)*5,"")</f>
        <v>50</v>
      </c>
      <c r="BY204" s="193"/>
      <c r="BZ204" s="193"/>
      <c r="CA204" s="106"/>
      <c r="CS204" s="171"/>
      <c r="CT204" s="171"/>
      <c r="CU204" s="171"/>
      <c r="CV204" s="170"/>
      <c r="CW204" s="170"/>
      <c r="CX204" s="170"/>
      <c r="CY204" s="170"/>
      <c r="CZ204" s="170"/>
      <c r="DI204" s="186">
        <v>200</v>
      </c>
      <c r="DJ204" s="14">
        <f t="shared" si="321"/>
        <v>40</v>
      </c>
      <c r="DK204" s="14">
        <f t="shared" si="306"/>
        <v>2</v>
      </c>
      <c r="DL204" s="14">
        <f t="shared" si="307"/>
        <v>1102013</v>
      </c>
      <c r="DM204" s="136" t="s">
        <v>1097</v>
      </c>
      <c r="DN204" s="14">
        <f t="shared" si="308"/>
        <v>5</v>
      </c>
      <c r="DO204" s="14" t="str">
        <f t="shared" si="309"/>
        <v>塞伯罗斯-5星</v>
      </c>
      <c r="DP204" s="136" t="s">
        <v>1103</v>
      </c>
      <c r="DQ204" s="14">
        <f t="shared" si="322"/>
        <v>30000</v>
      </c>
      <c r="DR204" s="14" t="str">
        <f t="shared" si="310"/>
        <v>塞伯罗斯碎片</v>
      </c>
      <c r="DS204" s="14">
        <f t="shared" si="323"/>
        <v>20</v>
      </c>
    </row>
    <row r="205" spans="8:123" ht="16.5" x14ac:dyDescent="0.2">
      <c r="H205" s="15"/>
      <c r="I205" s="15"/>
      <c r="J205" s="15"/>
      <c r="K205" s="15"/>
      <c r="L205" s="15"/>
      <c r="M205" s="15"/>
      <c r="N205" s="15"/>
      <c r="O205" s="137"/>
      <c r="P205" s="141"/>
      <c r="Q205" s="141"/>
      <c r="R205" s="141"/>
      <c r="S205" s="141"/>
      <c r="T205" s="141"/>
      <c r="U205" s="141"/>
      <c r="V205" s="141"/>
      <c r="W205" s="141"/>
      <c r="X205" s="141"/>
      <c r="Y205" s="141"/>
      <c r="Z205" s="196">
        <v>5</v>
      </c>
      <c r="AA205" s="196">
        <v>45</v>
      </c>
      <c r="AB205" s="14">
        <f>ROUND(INDEX(挂机升级突破!DT$6:DT$57,卡牌消耗!$AA205)*INDEX(卡牌消耗!$B$5:$F$5,卡牌消耗!$Z205)/卡牌消耗!$Q$4/AB$2,0)*AB$2</f>
        <v>0</v>
      </c>
      <c r="AC205" s="14">
        <f>ROUND(INDEX(挂机升级突破!DU$6:DU$57,卡牌消耗!$AA205)*INDEX(卡牌消耗!$B$5:$F$5,卡牌消耗!$Z205)/卡牌消耗!$Q$4/AC$2,0)*AC$2</f>
        <v>0</v>
      </c>
      <c r="AD205" s="14">
        <f>ROUND(INDEX(挂机升级突破!DV$6:DV$57,卡牌消耗!$AA205)*INDEX(卡牌消耗!$B$5:$F$5,卡牌消耗!$Z205)/卡牌消耗!$Q$4/AD$2,0)*AD$2</f>
        <v>0</v>
      </c>
      <c r="AE205" s="14">
        <f>ROUND(INDEX(挂机升级突破!DW$6:DW$57,卡牌消耗!$AA205)*INDEX(卡牌消耗!$B$5:$F$5,卡牌消耗!$Z205)/卡牌消耗!$Q$4/AE$2,0)*AE$2</f>
        <v>0</v>
      </c>
      <c r="AF205" s="14">
        <f>ROUND(INDEX(挂机升级突破!DX$6:DX$57,卡牌消耗!$AA205)*INDEX(卡牌消耗!$B$5:$F$5,卡牌消耗!$Z205)/卡牌消耗!$Q$4/AF$2,0)*AF$2</f>
        <v>15</v>
      </c>
      <c r="AG205" s="14">
        <f>ROUND(INDEX(挂机升级突破!EC$6:EC$57,卡牌消耗!$AA205)*INDEX(卡牌消耗!$B$7:$F$7,卡牌消耗!$Z205)/卡牌消耗!$Q$4/AG$2,0)*AG$2</f>
        <v>4</v>
      </c>
      <c r="AH205" s="14">
        <f>ROUND(INDEX(挂机升级突破!ED$6:ED$57,卡牌消耗!$AA205)*INDEX(卡牌消耗!$B$8:$F$8,卡牌消耗!$Z205)/卡牌消耗!$Q$4/AH$2,0)*AH$2</f>
        <v>75200</v>
      </c>
      <c r="AI205" s="194"/>
      <c r="AJ205" s="194"/>
      <c r="AK205" s="104">
        <v>201</v>
      </c>
      <c r="AL205" s="14">
        <f t="shared" si="311"/>
        <v>4</v>
      </c>
      <c r="AM205" s="14">
        <f>INDEX(挂机升级突破!DQ$6:DQ$57,卡牌消耗!$AT205)</f>
        <v>11</v>
      </c>
      <c r="AN205" s="14">
        <f>INDEX(挂机升级突破!DR$6:DR$57,卡牌消耗!$AT205)</f>
        <v>5</v>
      </c>
      <c r="AO205" s="14">
        <f>INDEX(挂机升级突破!DS$6:DS$57,卡牌消耗!$AT205)</f>
        <v>10</v>
      </c>
      <c r="AP205" s="14">
        <f>INDEX(挂机升级突破!$DP$6:$DP$57,卡牌消耗!AT205)</f>
        <v>130</v>
      </c>
      <c r="AQ205" s="14" t="str">
        <f t="shared" si="312"/>
        <v>唐流雨</v>
      </c>
      <c r="AR205" s="14">
        <f t="shared" si="313"/>
        <v>2</v>
      </c>
      <c r="AS205" s="14" t="str">
        <f t="shared" si="314"/>
        <v>唐流雨魂火-45</v>
      </c>
      <c r="AT205" s="14">
        <f t="shared" si="315"/>
        <v>45</v>
      </c>
      <c r="AU205" s="14" t="str">
        <f>IF(AM205&gt;0,INDEX(挂机升级突破!$DT$4:$ED$4,AM205),"")</f>
        <v>金币</v>
      </c>
      <c r="AV205" s="14">
        <f>ROUND(INDEX(挂机升级突破!$DJ$6:$DJ$57,卡牌消耗!AT205)*INDEX(卡牌消耗!$B$8:$F$8,AR205)/$Q$4/50,0)*50</f>
        <v>26300</v>
      </c>
      <c r="AW205" s="14" t="str">
        <f>IF(AN205&gt;0,INDEX(挂机升级突破!$DT$4:$ED$4,AN205),"")</f>
        <v>红色基础材料</v>
      </c>
      <c r="AX205" s="14">
        <f>ROUND(INDEX(挂机升级突破!$DT$6:$ED$57,卡牌消耗!AT205,AN205)*INDEX(卡牌消耗!$B$5:$F$5,AR205)/$Q$4/5,0)*5</f>
        <v>10</v>
      </c>
      <c r="AY205" s="14" t="str">
        <f>IF(AO205&gt;0,INDEX(挂机升级突破!$DT$4:$ED$4,AO205),"")</f>
        <v>灵玉</v>
      </c>
      <c r="AZ205" s="14">
        <f>IF(AO205&gt;0,ROUND(INDEX(挂机升级突破!$DT$6:$ED$57,卡牌消耗!AT205,AO205)*INDEX(卡牌消耗!$B$7:$F$7,AR205)/$Q$4,0),"")</f>
        <v>1</v>
      </c>
      <c r="BA205" s="106"/>
      <c r="BB205" s="197"/>
      <c r="BC205" s="197"/>
      <c r="BD205" s="197"/>
      <c r="BE205" s="197"/>
      <c r="BF205" s="197"/>
      <c r="BG205" s="197"/>
      <c r="BH205" s="197"/>
      <c r="BI205" s="197"/>
      <c r="BJ205" s="197"/>
      <c r="BK205" s="197"/>
      <c r="BL205" s="104">
        <v>201</v>
      </c>
      <c r="BM205" s="14">
        <f t="shared" si="316"/>
        <v>11</v>
      </c>
      <c r="BN205" s="14">
        <f>INDEX(挂机升级突破!$EI$7:$EI$26,BS205)</f>
        <v>0</v>
      </c>
      <c r="BO205" s="14">
        <f>INDEX(挂机升级突破!$EJ$7:$EJ$26,BS205)</f>
        <v>0</v>
      </c>
      <c r="BP205" s="14">
        <f t="shared" si="317"/>
        <v>4</v>
      </c>
      <c r="BQ205" s="14">
        <f>INDEX(挂机升级突破!$EH$7:$EH$26,卡牌消耗!BS205)</f>
        <v>1</v>
      </c>
      <c r="BR205" s="14" t="str">
        <f t="shared" si="318"/>
        <v>张飞</v>
      </c>
      <c r="BS205" s="14">
        <f t="shared" si="319"/>
        <v>1</v>
      </c>
      <c r="BT205" s="14" t="str">
        <f t="shared" si="320"/>
        <v>张飞1突</v>
      </c>
      <c r="BU205" s="14" t="str">
        <f>IF(BN205&gt;0,INDEX(挂机升级突破!$ER$5:$EV$5,卡牌消耗!BN205),"")</f>
        <v/>
      </c>
      <c r="BV205" s="14" t="str">
        <f>IF(BN205&gt;0,ROUND(INDEX(挂机升级突破!$EV$7:$EV$26,卡牌消耗!BS205)*INDEX(卡牌消耗!$B$8:$F$8,BP205)/$Q$4/500,0)*500,"")</f>
        <v/>
      </c>
      <c r="BW205" s="14" t="str">
        <f>IF(BO205&gt;0,INDEX(挂机升级突破!$ER$5:$EV$5,卡牌消耗!BO205),"")</f>
        <v/>
      </c>
      <c r="BX205" s="14" t="str">
        <f>IF(BO205&gt;0,ROUND(INDEX(挂机升级突破!$ER$7:$EU$26,卡牌消耗!BS205,卡牌消耗!BO205)*INDEX($B$6:$F$6,BP205)/$Q$4/5,0)*5,"")</f>
        <v/>
      </c>
      <c r="BY205" s="193"/>
      <c r="BZ205" s="193"/>
      <c r="CA205" s="106"/>
      <c r="CS205" s="171"/>
      <c r="CT205" s="171"/>
      <c r="CU205" s="171"/>
      <c r="CV205" s="170"/>
      <c r="CW205" s="170"/>
      <c r="CX205" s="170"/>
      <c r="CY205" s="170"/>
      <c r="CZ205" s="170"/>
      <c r="DI205" s="186">
        <v>201</v>
      </c>
      <c r="DJ205" s="14">
        <f t="shared" si="321"/>
        <v>41</v>
      </c>
      <c r="DK205" s="14">
        <f t="shared" si="306"/>
        <v>3</v>
      </c>
      <c r="DL205" s="14">
        <f t="shared" si="307"/>
        <v>1102014</v>
      </c>
      <c r="DM205" s="136" t="s">
        <v>1097</v>
      </c>
      <c r="DN205" s="14">
        <f t="shared" si="308"/>
        <v>1</v>
      </c>
      <c r="DO205" s="14" t="str">
        <f t="shared" si="309"/>
        <v>石灵明-1星</v>
      </c>
      <c r="DP205" s="136" t="s">
        <v>1103</v>
      </c>
      <c r="DQ205" s="14">
        <f t="shared" si="322"/>
        <v>4000</v>
      </c>
      <c r="DR205" s="14" t="str">
        <f t="shared" si="310"/>
        <v>石灵明碎片</v>
      </c>
      <c r="DS205" s="14">
        <f t="shared" si="323"/>
        <v>40</v>
      </c>
    </row>
    <row r="206" spans="8:123" ht="16.5" x14ac:dyDescent="0.2">
      <c r="H206" s="15"/>
      <c r="I206" s="15"/>
      <c r="J206" s="15"/>
      <c r="K206" s="15"/>
      <c r="L206" s="15"/>
      <c r="M206" s="15"/>
      <c r="N206" s="15"/>
      <c r="O206" s="137"/>
      <c r="P206" s="141"/>
      <c r="Q206" s="141"/>
      <c r="R206" s="141"/>
      <c r="S206" s="141"/>
      <c r="T206" s="141"/>
      <c r="U206" s="141"/>
      <c r="V206" s="141"/>
      <c r="W206" s="141"/>
      <c r="X206" s="141"/>
      <c r="Y206" s="141"/>
      <c r="Z206" s="196">
        <v>5</v>
      </c>
      <c r="AA206" s="196">
        <v>46</v>
      </c>
      <c r="AB206" s="14">
        <f>ROUND(INDEX(挂机升级突破!DT$6:DT$57,卡牌消耗!$AA206)*INDEX(卡牌消耗!$B$5:$F$5,卡牌消耗!$Z206)/卡牌消耗!$Q$4/AB$2,0)*AB$2</f>
        <v>0</v>
      </c>
      <c r="AC206" s="14">
        <f>ROUND(INDEX(挂机升级突破!DU$6:DU$57,卡牌消耗!$AA206)*INDEX(卡牌消耗!$B$5:$F$5,卡牌消耗!$Z206)/卡牌消耗!$Q$4/AC$2,0)*AC$2</f>
        <v>0</v>
      </c>
      <c r="AD206" s="14">
        <f>ROUND(INDEX(挂机升级突破!DV$6:DV$57,卡牌消耗!$AA206)*INDEX(卡牌消耗!$B$5:$F$5,卡牌消耗!$Z206)/卡牌消耗!$Q$4/AD$2,0)*AD$2</f>
        <v>0</v>
      </c>
      <c r="AE206" s="14">
        <f>ROUND(INDEX(挂机升级突破!DW$6:DW$57,卡牌消耗!$AA206)*INDEX(卡牌消耗!$B$5:$F$5,卡牌消耗!$Z206)/卡牌消耗!$Q$4/AE$2,0)*AE$2</f>
        <v>0</v>
      </c>
      <c r="AF206" s="14">
        <f>ROUND(INDEX(挂机升级突破!DX$6:DX$57,卡牌消耗!$AA206)*INDEX(卡牌消耗!$B$5:$F$5,卡牌消耗!$Z206)/卡牌消耗!$Q$4/AF$2,0)*AF$2</f>
        <v>15</v>
      </c>
      <c r="AG206" s="14">
        <f>ROUND(INDEX(挂机升级突破!EC$6:EC$57,卡牌消耗!$AA206)*INDEX(卡牌消耗!$B$7:$F$7,卡牌消耗!$Z206)/卡牌消耗!$Q$4/AG$2,0)*AG$2</f>
        <v>4</v>
      </c>
      <c r="AH206" s="14">
        <f>ROUND(INDEX(挂机升级突破!ED$6:ED$57,卡牌消耗!$AA206)*INDEX(卡牌消耗!$B$8:$F$8,卡牌消耗!$Z206)/卡牌消耗!$Q$4/AH$2,0)*AH$2</f>
        <v>80600</v>
      </c>
      <c r="AI206" s="194"/>
      <c r="AJ206" s="194"/>
      <c r="AK206" s="104">
        <v>202</v>
      </c>
      <c r="AL206" s="14">
        <f t="shared" si="311"/>
        <v>4</v>
      </c>
      <c r="AM206" s="14">
        <f>INDEX(挂机升级突破!DQ$6:DQ$57,卡牌消耗!$AT206)</f>
        <v>11</v>
      </c>
      <c r="AN206" s="14">
        <f>INDEX(挂机升级突破!DR$6:DR$57,卡牌消耗!$AT206)</f>
        <v>5</v>
      </c>
      <c r="AO206" s="14">
        <f>INDEX(挂机升级突破!DS$6:DS$57,卡牌消耗!$AT206)</f>
        <v>10</v>
      </c>
      <c r="AP206" s="14">
        <f>INDEX(挂机升级突破!$DP$6:$DP$57,卡牌消耗!AT206)</f>
        <v>133</v>
      </c>
      <c r="AQ206" s="14" t="str">
        <f t="shared" si="312"/>
        <v>唐流雨</v>
      </c>
      <c r="AR206" s="14">
        <f t="shared" si="313"/>
        <v>2</v>
      </c>
      <c r="AS206" s="14" t="str">
        <f t="shared" si="314"/>
        <v>唐流雨魂火-46</v>
      </c>
      <c r="AT206" s="14">
        <f t="shared" si="315"/>
        <v>46</v>
      </c>
      <c r="AU206" s="14" t="str">
        <f>IF(AM206&gt;0,INDEX(挂机升级突破!$DT$4:$ED$4,AM206),"")</f>
        <v>金币</v>
      </c>
      <c r="AV206" s="14">
        <f>ROUND(INDEX(挂机升级突破!$DJ$6:$DJ$57,卡牌消耗!AT206)*INDEX(卡牌消耗!$B$8:$F$8,AR206)/$Q$4/50,0)*50</f>
        <v>28200</v>
      </c>
      <c r="AW206" s="14" t="str">
        <f>IF(AN206&gt;0,INDEX(挂机升级突破!$DT$4:$ED$4,AN206),"")</f>
        <v>红色基础材料</v>
      </c>
      <c r="AX206" s="14">
        <f>ROUND(INDEX(挂机升级突破!$DT$6:$ED$57,卡牌消耗!AT206,AN206)*INDEX(卡牌消耗!$B$5:$F$5,AR206)/$Q$4/5,0)*5</f>
        <v>10</v>
      </c>
      <c r="AY206" s="14" t="str">
        <f>IF(AO206&gt;0,INDEX(挂机升级突破!$DT$4:$ED$4,AO206),"")</f>
        <v>灵玉</v>
      </c>
      <c r="AZ206" s="14">
        <f>IF(AO206&gt;0,ROUND(INDEX(挂机升级突破!$DT$6:$ED$57,卡牌消耗!AT206,AO206)*INDEX(卡牌消耗!$B$7:$F$7,AR206)/$Q$4,0),"")</f>
        <v>1</v>
      </c>
      <c r="BA206" s="106"/>
      <c r="BB206" s="197"/>
      <c r="BC206" s="197"/>
      <c r="BD206" s="197"/>
      <c r="BE206" s="197"/>
      <c r="BF206" s="197"/>
      <c r="BG206" s="197"/>
      <c r="BH206" s="197"/>
      <c r="BI206" s="197"/>
      <c r="BJ206" s="197"/>
      <c r="BK206" s="197"/>
      <c r="BL206" s="104">
        <v>202</v>
      </c>
      <c r="BM206" s="14">
        <f t="shared" si="316"/>
        <v>11</v>
      </c>
      <c r="BN206" s="14">
        <f>INDEX(挂机升级突破!$EI$7:$EI$26,BS206)</f>
        <v>5</v>
      </c>
      <c r="BO206" s="14">
        <f>INDEX(挂机升级突破!$EJ$7:$EJ$26,BS206)</f>
        <v>1</v>
      </c>
      <c r="BP206" s="14">
        <f t="shared" si="317"/>
        <v>4</v>
      </c>
      <c r="BQ206" s="14">
        <f>INDEX(挂机升级突破!$EH$7:$EH$26,卡牌消耗!BS206)</f>
        <v>5</v>
      </c>
      <c r="BR206" s="14" t="str">
        <f t="shared" si="318"/>
        <v>张飞</v>
      </c>
      <c r="BS206" s="14">
        <f t="shared" si="319"/>
        <v>2</v>
      </c>
      <c r="BT206" s="14" t="str">
        <f t="shared" si="320"/>
        <v>张飞2突</v>
      </c>
      <c r="BU206" s="14" t="str">
        <f>IF(BN206&gt;0,INDEX(挂机升级突破!$ER$5:$EV$5,卡牌消耗!BN206),"")</f>
        <v>金币</v>
      </c>
      <c r="BV206" s="14">
        <f>IF(BN206&gt;0,ROUND(INDEX(挂机升级突破!$EV$7:$EV$26,卡牌消耗!BS206)*INDEX(卡牌消耗!$B$8:$F$8,BP206)/$Q$4/500,0)*500,"")</f>
        <v>4500</v>
      </c>
      <c r="BW206" s="14" t="str">
        <f>IF(BO206&gt;0,INDEX(挂机升级突破!$ER$5:$EV$5,卡牌消耗!BO206),"")</f>
        <v>玄铁</v>
      </c>
      <c r="BX206" s="14">
        <f>IF(BO206&gt;0,ROUND(INDEX(挂机升级突破!$ER$7:$EU$26,卡牌消耗!BS206,卡牌消耗!BO206)*INDEX($B$6:$F$6,BP206)/$Q$4,0),"")</f>
        <v>2</v>
      </c>
      <c r="BY206" s="193"/>
      <c r="BZ206" s="193"/>
      <c r="CA206" s="106"/>
      <c r="CS206" s="171"/>
      <c r="CT206" s="171"/>
      <c r="CU206" s="171"/>
      <c r="CV206" s="170"/>
      <c r="CW206" s="170"/>
      <c r="CX206" s="170"/>
      <c r="CY206" s="170"/>
      <c r="CZ206" s="170"/>
      <c r="DI206" s="186">
        <v>202</v>
      </c>
      <c r="DJ206" s="14">
        <f t="shared" si="321"/>
        <v>41</v>
      </c>
      <c r="DK206" s="14">
        <f t="shared" si="306"/>
        <v>3</v>
      </c>
      <c r="DL206" s="14">
        <f t="shared" si="307"/>
        <v>1102014</v>
      </c>
      <c r="DM206" s="136" t="s">
        <v>1097</v>
      </c>
      <c r="DN206" s="14">
        <f t="shared" si="308"/>
        <v>2</v>
      </c>
      <c r="DO206" s="14" t="str">
        <f t="shared" si="309"/>
        <v>石灵明-2星</v>
      </c>
      <c r="DP206" s="136" t="s">
        <v>1103</v>
      </c>
      <c r="DQ206" s="14">
        <f t="shared" si="322"/>
        <v>5000</v>
      </c>
      <c r="DR206" s="14" t="str">
        <f t="shared" si="310"/>
        <v>石灵明碎片</v>
      </c>
      <c r="DS206" s="14">
        <f t="shared" si="323"/>
        <v>40</v>
      </c>
    </row>
    <row r="207" spans="8:123" ht="16.5" x14ac:dyDescent="0.2">
      <c r="H207" s="15"/>
      <c r="I207" s="15"/>
      <c r="J207" s="15"/>
      <c r="K207" s="15"/>
      <c r="L207" s="15"/>
      <c r="M207" s="15"/>
      <c r="N207" s="15"/>
      <c r="O207" s="137"/>
      <c r="P207" s="141"/>
      <c r="Q207" s="141"/>
      <c r="R207" s="141"/>
      <c r="S207" s="141"/>
      <c r="T207" s="141"/>
      <c r="U207" s="141"/>
      <c r="V207" s="141"/>
      <c r="W207" s="141"/>
      <c r="X207" s="141"/>
      <c r="Y207" s="141"/>
      <c r="Z207" s="196">
        <v>5</v>
      </c>
      <c r="AA207" s="196">
        <v>47</v>
      </c>
      <c r="AB207" s="14">
        <f>ROUND(INDEX(挂机升级突破!DT$6:DT$57,卡牌消耗!$AA207)*INDEX(卡牌消耗!$B$5:$F$5,卡牌消耗!$Z207)/卡牌消耗!$Q$4/AB$2,0)*AB$2</f>
        <v>0</v>
      </c>
      <c r="AC207" s="14">
        <f>ROUND(INDEX(挂机升级突破!DU$6:DU$57,卡牌消耗!$AA207)*INDEX(卡牌消耗!$B$5:$F$5,卡牌消耗!$Z207)/卡牌消耗!$Q$4/AC$2,0)*AC$2</f>
        <v>0</v>
      </c>
      <c r="AD207" s="14">
        <f>ROUND(INDEX(挂机升级突破!DV$6:DV$57,卡牌消耗!$AA207)*INDEX(卡牌消耗!$B$5:$F$5,卡牌消耗!$Z207)/卡牌消耗!$Q$4/AD$2,0)*AD$2</f>
        <v>0</v>
      </c>
      <c r="AE207" s="14">
        <f>ROUND(INDEX(挂机升级突破!DW$6:DW$57,卡牌消耗!$AA207)*INDEX(卡牌消耗!$B$5:$F$5,卡牌消耗!$Z207)/卡牌消耗!$Q$4/AE$2,0)*AE$2</f>
        <v>0</v>
      </c>
      <c r="AF207" s="14">
        <f>ROUND(INDEX(挂机升级突破!DX$6:DX$57,卡牌消耗!$AA207)*INDEX(卡牌消耗!$B$5:$F$5,卡牌消耗!$Z207)/卡牌消耗!$Q$4/AF$2,0)*AF$2</f>
        <v>15</v>
      </c>
      <c r="AG207" s="14">
        <f>ROUND(INDEX(挂机升级突破!EC$6:EC$57,卡牌消耗!$AA207)*INDEX(卡牌消耗!$B$7:$F$7,卡牌消耗!$Z207)/卡牌消耗!$Q$4/AG$2,0)*AG$2</f>
        <v>4</v>
      </c>
      <c r="AH207" s="14">
        <f>ROUND(INDEX(挂机升级突破!ED$6:ED$57,卡牌消耗!$AA207)*INDEX(卡牌消耗!$B$8:$F$8,卡牌消耗!$Z207)/卡牌消耗!$Q$4/AH$2,0)*AH$2</f>
        <v>164100</v>
      </c>
      <c r="AI207" s="194"/>
      <c r="AJ207" s="194"/>
      <c r="AK207" s="104">
        <v>203</v>
      </c>
      <c r="AL207" s="14">
        <f t="shared" si="311"/>
        <v>4</v>
      </c>
      <c r="AM207" s="14">
        <f>INDEX(挂机升级突破!DQ$6:DQ$57,卡牌消耗!$AT207)</f>
        <v>11</v>
      </c>
      <c r="AN207" s="14">
        <f>INDEX(挂机升级突破!DR$6:DR$57,卡牌消耗!$AT207)</f>
        <v>5</v>
      </c>
      <c r="AO207" s="14">
        <f>INDEX(挂机升级突破!DS$6:DS$57,卡牌消耗!$AT207)</f>
        <v>10</v>
      </c>
      <c r="AP207" s="14">
        <f>INDEX(挂机升级突破!$DP$6:$DP$57,卡牌消耗!AT207)</f>
        <v>135</v>
      </c>
      <c r="AQ207" s="14" t="str">
        <f t="shared" si="312"/>
        <v>唐流雨</v>
      </c>
      <c r="AR207" s="14">
        <f t="shared" si="313"/>
        <v>2</v>
      </c>
      <c r="AS207" s="14" t="str">
        <f t="shared" si="314"/>
        <v>唐流雨魂火-47</v>
      </c>
      <c r="AT207" s="14">
        <f t="shared" si="315"/>
        <v>47</v>
      </c>
      <c r="AU207" s="14" t="str">
        <f>IF(AM207&gt;0,INDEX(挂机升级突破!$DT$4:$ED$4,AM207),"")</f>
        <v>金币</v>
      </c>
      <c r="AV207" s="14">
        <f>ROUND(INDEX(挂机升级突破!$DJ$6:$DJ$57,卡牌消耗!AT207)*INDEX(卡牌消耗!$B$8:$F$8,AR207)/$Q$4/50,0)*50</f>
        <v>57450</v>
      </c>
      <c r="AW207" s="14" t="str">
        <f>IF(AN207&gt;0,INDEX(挂机升级突破!$DT$4:$ED$4,AN207),"")</f>
        <v>红色基础材料</v>
      </c>
      <c r="AX207" s="14">
        <f>ROUND(INDEX(挂机升级突破!$DT$6:$ED$57,卡牌消耗!AT207,AN207)*INDEX(卡牌消耗!$B$5:$F$5,AR207)/$Q$4/5,0)*5</f>
        <v>10</v>
      </c>
      <c r="AY207" s="14" t="str">
        <f>IF(AO207&gt;0,INDEX(挂机升级突破!$DT$4:$ED$4,AO207),"")</f>
        <v>灵玉</v>
      </c>
      <c r="AZ207" s="14">
        <f>IF(AO207&gt;0,ROUND(INDEX(挂机升级突破!$DT$6:$ED$57,卡牌消耗!AT207,AO207)*INDEX(卡牌消耗!$B$7:$F$7,AR207)/$Q$4,0),"")</f>
        <v>1</v>
      </c>
      <c r="BA207" s="106"/>
      <c r="BB207" s="197"/>
      <c r="BC207" s="197"/>
      <c r="BD207" s="197"/>
      <c r="BE207" s="197"/>
      <c r="BF207" s="197"/>
      <c r="BG207" s="197"/>
      <c r="BH207" s="197"/>
      <c r="BI207" s="197"/>
      <c r="BJ207" s="197"/>
      <c r="BK207" s="197"/>
      <c r="BL207" s="104">
        <v>203</v>
      </c>
      <c r="BM207" s="14">
        <f t="shared" si="316"/>
        <v>11</v>
      </c>
      <c r="BN207" s="14">
        <f>INDEX(挂机升级突破!$EI$7:$EI$26,BS207)</f>
        <v>5</v>
      </c>
      <c r="BO207" s="14">
        <f>INDEX(挂机升级突破!$EJ$7:$EJ$26,BS207)</f>
        <v>1</v>
      </c>
      <c r="BP207" s="14">
        <f t="shared" si="317"/>
        <v>4</v>
      </c>
      <c r="BQ207" s="14">
        <f>INDEX(挂机升级突破!$EH$7:$EH$26,卡牌消耗!BS207)</f>
        <v>15</v>
      </c>
      <c r="BR207" s="14" t="str">
        <f t="shared" si="318"/>
        <v>张飞</v>
      </c>
      <c r="BS207" s="14">
        <f t="shared" si="319"/>
        <v>3</v>
      </c>
      <c r="BT207" s="14" t="str">
        <f t="shared" si="320"/>
        <v>张飞3突</v>
      </c>
      <c r="BU207" s="14" t="str">
        <f>IF(BN207&gt;0,INDEX(挂机升级突破!$ER$5:$EV$5,卡牌消耗!BN207),"")</f>
        <v>金币</v>
      </c>
      <c r="BV207" s="14">
        <f>IF(BN207&gt;0,ROUND(INDEX(挂机升级突破!$EV$7:$EV$26,卡牌消耗!BS207)*INDEX(卡牌消耗!$B$8:$F$8,BP207)/$Q$4/500,0)*500,"")</f>
        <v>4500</v>
      </c>
      <c r="BW207" s="14" t="str">
        <f>IF(BO207&gt;0,INDEX(挂机升级突破!$ER$5:$EV$5,卡牌消耗!BO207),"")</f>
        <v>玄铁</v>
      </c>
      <c r="BX207" s="14">
        <f>IF(BO207&gt;0,ROUND(INDEX(挂机升级突破!$ER$7:$EU$26,卡牌消耗!BS207,卡牌消耗!BO207)*INDEX($B$6:$F$6,BP207)/$Q$4,0),"")</f>
        <v>6</v>
      </c>
      <c r="BY207" s="193"/>
      <c r="BZ207" s="193"/>
      <c r="CA207" s="106"/>
      <c r="CS207" s="171"/>
      <c r="CT207" s="171"/>
      <c r="CU207" s="171"/>
      <c r="CV207" s="170"/>
      <c r="CW207" s="170"/>
      <c r="CX207" s="170"/>
      <c r="CY207" s="170"/>
      <c r="CZ207" s="170"/>
      <c r="DI207" s="186">
        <v>203</v>
      </c>
      <c r="DJ207" s="14">
        <f t="shared" si="321"/>
        <v>41</v>
      </c>
      <c r="DK207" s="14">
        <f t="shared" si="306"/>
        <v>3</v>
      </c>
      <c r="DL207" s="14">
        <f t="shared" si="307"/>
        <v>1102014</v>
      </c>
      <c r="DM207" s="136" t="s">
        <v>1097</v>
      </c>
      <c r="DN207" s="14">
        <f t="shared" si="308"/>
        <v>3</v>
      </c>
      <c r="DO207" s="14" t="str">
        <f t="shared" si="309"/>
        <v>石灵明-3星</v>
      </c>
      <c r="DP207" s="136" t="s">
        <v>1103</v>
      </c>
      <c r="DQ207" s="14">
        <f t="shared" si="322"/>
        <v>10000</v>
      </c>
      <c r="DR207" s="14" t="str">
        <f t="shared" si="310"/>
        <v>石灵明碎片</v>
      </c>
      <c r="DS207" s="14">
        <f t="shared" si="323"/>
        <v>40</v>
      </c>
    </row>
    <row r="208" spans="8:123" ht="16.5" x14ac:dyDescent="0.2">
      <c r="H208" s="15"/>
      <c r="I208" s="15"/>
      <c r="J208" s="15"/>
      <c r="K208" s="15"/>
      <c r="L208" s="15"/>
      <c r="M208" s="15"/>
      <c r="N208" s="15"/>
      <c r="O208" s="137"/>
      <c r="P208" s="141"/>
      <c r="Q208" s="141"/>
      <c r="R208" s="141"/>
      <c r="S208" s="141"/>
      <c r="T208" s="141"/>
      <c r="U208" s="141"/>
      <c r="V208" s="141"/>
      <c r="W208" s="141"/>
      <c r="X208" s="141"/>
      <c r="Y208" s="141"/>
      <c r="Z208" s="196">
        <v>5</v>
      </c>
      <c r="AA208" s="196">
        <v>48</v>
      </c>
      <c r="AB208" s="14">
        <f>ROUND(INDEX(挂机升级突破!DT$6:DT$57,卡牌消耗!$AA208)*INDEX(卡牌消耗!$B$5:$F$5,卡牌消耗!$Z208)/卡牌消耗!$Q$4/AB$2,0)*AB$2</f>
        <v>0</v>
      </c>
      <c r="AC208" s="14">
        <f>ROUND(INDEX(挂机升级突破!DU$6:DU$57,卡牌消耗!$AA208)*INDEX(卡牌消耗!$B$5:$F$5,卡牌消耗!$Z208)/卡牌消耗!$Q$4/AC$2,0)*AC$2</f>
        <v>0</v>
      </c>
      <c r="AD208" s="14">
        <f>ROUND(INDEX(挂机升级突破!DV$6:DV$57,卡牌消耗!$AA208)*INDEX(卡牌消耗!$B$5:$F$5,卡牌消耗!$Z208)/卡牌消耗!$Q$4/AD$2,0)*AD$2</f>
        <v>0</v>
      </c>
      <c r="AE208" s="14">
        <f>ROUND(INDEX(挂机升级突破!DW$6:DW$57,卡牌消耗!$AA208)*INDEX(卡牌消耗!$B$5:$F$5,卡牌消耗!$Z208)/卡牌消耗!$Q$4/AE$2,0)*AE$2</f>
        <v>0</v>
      </c>
      <c r="AF208" s="14">
        <f>ROUND(INDEX(挂机升级突破!DX$6:DX$57,卡牌消耗!$AA208)*INDEX(卡牌消耗!$B$5:$F$5,卡牌消耗!$Z208)/卡牌消耗!$Q$4/AF$2,0)*AF$2</f>
        <v>15</v>
      </c>
      <c r="AG208" s="14">
        <f>ROUND(INDEX(挂机升级突破!EC$6:EC$57,卡牌消耗!$AA208)*INDEX(卡牌消耗!$B$7:$F$7,卡牌消耗!$Z208)/卡牌消耗!$Q$4/AG$2,0)*AG$2</f>
        <v>4</v>
      </c>
      <c r="AH208" s="14">
        <f>ROUND(INDEX(挂机升级突破!ED$6:ED$57,卡牌消耗!$AA208)*INDEX(卡牌消耗!$B$8:$F$8,卡牌消耗!$Z208)/卡牌消耗!$Q$4/AH$2,0)*AH$2</f>
        <v>164100</v>
      </c>
      <c r="AI208" s="194"/>
      <c r="AJ208" s="194"/>
      <c r="AK208" s="104">
        <v>204</v>
      </c>
      <c r="AL208" s="14">
        <f t="shared" si="311"/>
        <v>4</v>
      </c>
      <c r="AM208" s="14">
        <f>INDEX(挂机升级突破!DQ$6:DQ$57,卡牌消耗!$AT208)</f>
        <v>11</v>
      </c>
      <c r="AN208" s="14">
        <f>INDEX(挂机升级突破!DR$6:DR$57,卡牌消耗!$AT208)</f>
        <v>5</v>
      </c>
      <c r="AO208" s="14">
        <f>INDEX(挂机升级突破!DS$6:DS$57,卡牌消耗!$AT208)</f>
        <v>10</v>
      </c>
      <c r="AP208" s="14">
        <f>INDEX(挂机升级突破!$DP$6:$DP$57,卡牌消耗!AT208)</f>
        <v>138</v>
      </c>
      <c r="AQ208" s="14" t="str">
        <f t="shared" si="312"/>
        <v>唐流雨</v>
      </c>
      <c r="AR208" s="14">
        <f t="shared" si="313"/>
        <v>2</v>
      </c>
      <c r="AS208" s="14" t="str">
        <f t="shared" si="314"/>
        <v>唐流雨魂火-48</v>
      </c>
      <c r="AT208" s="14">
        <f t="shared" si="315"/>
        <v>48</v>
      </c>
      <c r="AU208" s="14" t="str">
        <f>IF(AM208&gt;0,INDEX(挂机升级突破!$DT$4:$ED$4,AM208),"")</f>
        <v>金币</v>
      </c>
      <c r="AV208" s="14">
        <f>ROUND(INDEX(挂机升级突破!$DJ$6:$DJ$57,卡牌消耗!AT208)*INDEX(卡牌消耗!$B$8:$F$8,AR208)/$Q$4/50,0)*50</f>
        <v>57450</v>
      </c>
      <c r="AW208" s="14" t="str">
        <f>IF(AN208&gt;0,INDEX(挂机升级突破!$DT$4:$ED$4,AN208),"")</f>
        <v>红色基础材料</v>
      </c>
      <c r="AX208" s="14">
        <f>ROUND(INDEX(挂机升级突破!$DT$6:$ED$57,卡牌消耗!AT208,AN208)*INDEX(卡牌消耗!$B$5:$F$5,AR208)/$Q$4/5,0)*5</f>
        <v>10</v>
      </c>
      <c r="AY208" s="14" t="str">
        <f>IF(AO208&gt;0,INDEX(挂机升级突破!$DT$4:$ED$4,AO208),"")</f>
        <v>灵玉</v>
      </c>
      <c r="AZ208" s="14">
        <f>IF(AO208&gt;0,ROUND(INDEX(挂机升级突破!$DT$6:$ED$57,卡牌消耗!AT208,AO208)*INDEX(卡牌消耗!$B$7:$F$7,AR208)/$Q$4,0),"")</f>
        <v>1</v>
      </c>
      <c r="BA208" s="106"/>
      <c r="BB208" s="197"/>
      <c r="BC208" s="197"/>
      <c r="BD208" s="197"/>
      <c r="BE208" s="197"/>
      <c r="BF208" s="197"/>
      <c r="BG208" s="197"/>
      <c r="BH208" s="197"/>
      <c r="BI208" s="197"/>
      <c r="BJ208" s="197"/>
      <c r="BK208" s="197"/>
      <c r="BL208" s="104">
        <v>204</v>
      </c>
      <c r="BM208" s="14">
        <f t="shared" si="316"/>
        <v>11</v>
      </c>
      <c r="BN208" s="14">
        <f>INDEX(挂机升级突破!$EI$7:$EI$26,BS208)</f>
        <v>5</v>
      </c>
      <c r="BO208" s="14">
        <f>INDEX(挂机升级突破!$EJ$7:$EJ$26,BS208)</f>
        <v>1</v>
      </c>
      <c r="BP208" s="14">
        <f t="shared" si="317"/>
        <v>4</v>
      </c>
      <c r="BQ208" s="14">
        <f>INDEX(挂机升级突破!$EH$7:$EH$26,卡牌消耗!BS208)</f>
        <v>25</v>
      </c>
      <c r="BR208" s="14" t="str">
        <f t="shared" si="318"/>
        <v>张飞</v>
      </c>
      <c r="BS208" s="14">
        <f t="shared" si="319"/>
        <v>4</v>
      </c>
      <c r="BT208" s="14" t="str">
        <f t="shared" si="320"/>
        <v>张飞4突</v>
      </c>
      <c r="BU208" s="14" t="str">
        <f>IF(BN208&gt;0,INDEX(挂机升级突破!$ER$5:$EV$5,卡牌消耗!BN208),"")</f>
        <v>金币</v>
      </c>
      <c r="BV208" s="14">
        <f>IF(BN208&gt;0,ROUND(INDEX(挂机升级突破!$EV$7:$EV$26,卡牌消耗!BS208)*INDEX(卡牌消耗!$B$8:$F$8,BP208)/$Q$4/500,0)*500,"")</f>
        <v>5500</v>
      </c>
      <c r="BW208" s="14" t="str">
        <f>IF(BO208&gt;0,INDEX(挂机升级突破!$ER$5:$EV$5,卡牌消耗!BO208),"")</f>
        <v>玄铁</v>
      </c>
      <c r="BX208" s="14">
        <f>IF(BO208&gt;0,ROUND(INDEX(挂机升级突破!$ER$7:$EU$26,卡牌消耗!BS208,卡牌消耗!BO208)*INDEX($B$6:$F$6,BP208)/$Q$4,0),"")</f>
        <v>20</v>
      </c>
      <c r="BY208" s="193"/>
      <c r="BZ208" s="193"/>
      <c r="CA208" s="106"/>
      <c r="CS208" s="171"/>
      <c r="CT208" s="171"/>
      <c r="CU208" s="171"/>
      <c r="CV208" s="170"/>
      <c r="CW208" s="170"/>
      <c r="CX208" s="170"/>
      <c r="CY208" s="170"/>
      <c r="CZ208" s="170"/>
      <c r="DI208" s="186">
        <v>204</v>
      </c>
      <c r="DJ208" s="14">
        <f t="shared" si="321"/>
        <v>41</v>
      </c>
      <c r="DK208" s="14">
        <f t="shared" si="306"/>
        <v>3</v>
      </c>
      <c r="DL208" s="14">
        <f t="shared" si="307"/>
        <v>1102014</v>
      </c>
      <c r="DM208" s="136" t="s">
        <v>1097</v>
      </c>
      <c r="DN208" s="14">
        <f t="shared" si="308"/>
        <v>4</v>
      </c>
      <c r="DO208" s="14" t="str">
        <f t="shared" si="309"/>
        <v>石灵明-4星</v>
      </c>
      <c r="DP208" s="136" t="s">
        <v>1103</v>
      </c>
      <c r="DQ208" s="14">
        <f t="shared" si="322"/>
        <v>20000</v>
      </c>
      <c r="DR208" s="14" t="str">
        <f t="shared" si="310"/>
        <v>石灵明碎片</v>
      </c>
      <c r="DS208" s="14">
        <f t="shared" si="323"/>
        <v>40</v>
      </c>
    </row>
    <row r="209" spans="8:123" ht="16.5" x14ac:dyDescent="0.2">
      <c r="H209" s="15"/>
      <c r="I209" s="15"/>
      <c r="J209" s="15"/>
      <c r="K209" s="15"/>
      <c r="L209" s="15"/>
      <c r="M209" s="15"/>
      <c r="N209" s="15"/>
      <c r="O209" s="137"/>
      <c r="P209" s="141"/>
      <c r="Q209" s="141"/>
      <c r="R209" s="141"/>
      <c r="S209" s="141"/>
      <c r="T209" s="141"/>
      <c r="U209" s="141"/>
      <c r="V209" s="141"/>
      <c r="W209" s="141"/>
      <c r="X209" s="141"/>
      <c r="Y209" s="141"/>
      <c r="Z209" s="196">
        <v>5</v>
      </c>
      <c r="AA209" s="196">
        <v>49</v>
      </c>
      <c r="AB209" s="14">
        <f>ROUND(INDEX(挂机升级突破!DT$6:DT$57,卡牌消耗!$AA209)*INDEX(卡牌消耗!$B$5:$F$5,卡牌消耗!$Z209)/卡牌消耗!$Q$4/AB$2,0)*AB$2</f>
        <v>0</v>
      </c>
      <c r="AC209" s="14">
        <f>ROUND(INDEX(挂机升级突破!DU$6:DU$57,卡牌消耗!$AA209)*INDEX(卡牌消耗!$B$5:$F$5,卡牌消耗!$Z209)/卡牌消耗!$Q$4/AC$2,0)*AC$2</f>
        <v>0</v>
      </c>
      <c r="AD209" s="14">
        <f>ROUND(INDEX(挂机升级突破!DV$6:DV$57,卡牌消耗!$AA209)*INDEX(卡牌消耗!$B$5:$F$5,卡牌消耗!$Z209)/卡牌消耗!$Q$4/AD$2,0)*AD$2</f>
        <v>0</v>
      </c>
      <c r="AE209" s="14">
        <f>ROUND(INDEX(挂机升级突破!DW$6:DW$57,卡牌消耗!$AA209)*INDEX(卡牌消耗!$B$5:$F$5,卡牌消耗!$Z209)/卡牌消耗!$Q$4/AE$2,0)*AE$2</f>
        <v>0</v>
      </c>
      <c r="AF209" s="14">
        <f>ROUND(INDEX(挂机升级突破!DX$6:DX$57,卡牌消耗!$AA209)*INDEX(卡牌消耗!$B$5:$F$5,卡牌消耗!$Z209)/卡牌消耗!$Q$4/AF$2,0)*AF$2</f>
        <v>20</v>
      </c>
      <c r="AG209" s="14">
        <f>ROUND(INDEX(挂机升级突破!EC$6:EC$57,卡牌消耗!$AA209)*INDEX(卡牌消耗!$B$7:$F$7,卡牌消耗!$Z209)/卡牌消耗!$Q$4/AG$2,0)*AG$2</f>
        <v>4</v>
      </c>
      <c r="AH209" s="14">
        <f>ROUND(INDEX(挂机升级突破!ED$6:ED$57,卡牌消耗!$AA209)*INDEX(卡牌消耗!$B$8:$F$8,卡牌消耗!$Z209)/卡牌消耗!$Q$4/AH$2,0)*AH$2</f>
        <v>164100</v>
      </c>
      <c r="AI209" s="194"/>
      <c r="AJ209" s="194"/>
      <c r="AK209" s="104">
        <v>205</v>
      </c>
      <c r="AL209" s="14">
        <f t="shared" si="311"/>
        <v>4</v>
      </c>
      <c r="AM209" s="14">
        <f>INDEX(挂机升级突破!DQ$6:DQ$57,卡牌消耗!$AT209)</f>
        <v>11</v>
      </c>
      <c r="AN209" s="14">
        <f>INDEX(挂机升级突破!DR$6:DR$57,卡牌消耗!$AT209)</f>
        <v>5</v>
      </c>
      <c r="AO209" s="14">
        <f>INDEX(挂机升级突破!DS$6:DS$57,卡牌消耗!$AT209)</f>
        <v>10</v>
      </c>
      <c r="AP209" s="14">
        <f>INDEX(挂机升级突破!$DP$6:$DP$57,卡牌消耗!AT209)</f>
        <v>140</v>
      </c>
      <c r="AQ209" s="14" t="str">
        <f t="shared" si="312"/>
        <v>唐流雨</v>
      </c>
      <c r="AR209" s="14">
        <f t="shared" si="313"/>
        <v>2</v>
      </c>
      <c r="AS209" s="14" t="str">
        <f t="shared" si="314"/>
        <v>唐流雨魂火-49</v>
      </c>
      <c r="AT209" s="14">
        <f t="shared" si="315"/>
        <v>49</v>
      </c>
      <c r="AU209" s="14" t="str">
        <f>IF(AM209&gt;0,INDEX(挂机升级突破!$DT$4:$ED$4,AM209),"")</f>
        <v>金币</v>
      </c>
      <c r="AV209" s="14">
        <f>ROUND(INDEX(挂机升级突破!$DJ$6:$DJ$57,卡牌消耗!AT209)*INDEX(卡牌消耗!$B$8:$F$8,AR209)/$Q$4/50,0)*50</f>
        <v>57450</v>
      </c>
      <c r="AW209" s="14" t="str">
        <f>IF(AN209&gt;0,INDEX(挂机升级突破!$DT$4:$ED$4,AN209),"")</f>
        <v>红色基础材料</v>
      </c>
      <c r="AX209" s="14">
        <f>ROUND(INDEX(挂机升级突破!$DT$6:$ED$57,卡牌消耗!AT209,AN209)*INDEX(卡牌消耗!$B$5:$F$5,AR209)/$Q$4/5,0)*5</f>
        <v>10</v>
      </c>
      <c r="AY209" s="14" t="str">
        <f>IF(AO209&gt;0,INDEX(挂机升级突破!$DT$4:$ED$4,AO209),"")</f>
        <v>灵玉</v>
      </c>
      <c r="AZ209" s="14">
        <f>IF(AO209&gt;0,ROUND(INDEX(挂机升级突破!$DT$6:$ED$57,卡牌消耗!AT209,AO209)*INDEX(卡牌消耗!$B$7:$F$7,AR209)/$Q$4,0),"")</f>
        <v>1</v>
      </c>
      <c r="BA209" s="106"/>
      <c r="BB209" s="197"/>
      <c r="BC209" s="197"/>
      <c r="BD209" s="197"/>
      <c r="BE209" s="197"/>
      <c r="BF209" s="197"/>
      <c r="BG209" s="197"/>
      <c r="BH209" s="197"/>
      <c r="BI209" s="197"/>
      <c r="BJ209" s="197"/>
      <c r="BK209" s="197"/>
      <c r="BL209" s="104">
        <v>205</v>
      </c>
      <c r="BM209" s="14">
        <f t="shared" si="316"/>
        <v>11</v>
      </c>
      <c r="BN209" s="14">
        <f>INDEX(挂机升级突破!$EI$7:$EI$26,BS209)</f>
        <v>5</v>
      </c>
      <c r="BO209" s="14">
        <f>INDEX(挂机升级突破!$EJ$7:$EJ$26,BS209)</f>
        <v>1</v>
      </c>
      <c r="BP209" s="14">
        <f t="shared" si="317"/>
        <v>4</v>
      </c>
      <c r="BQ209" s="14">
        <f>INDEX(挂机升级突破!$EH$7:$EH$26,卡牌消耗!BS209)</f>
        <v>35</v>
      </c>
      <c r="BR209" s="14" t="str">
        <f t="shared" si="318"/>
        <v>张飞</v>
      </c>
      <c r="BS209" s="14">
        <f t="shared" si="319"/>
        <v>5</v>
      </c>
      <c r="BT209" s="14" t="str">
        <f t="shared" si="320"/>
        <v>张飞5突</v>
      </c>
      <c r="BU209" s="14" t="str">
        <f>IF(BN209&gt;0,INDEX(挂机升级突破!$ER$5:$EV$5,卡牌消耗!BN209),"")</f>
        <v>金币</v>
      </c>
      <c r="BV209" s="14">
        <f>IF(BN209&gt;0,ROUND(INDEX(挂机升级突破!$EV$7:$EV$26,卡牌消耗!BS209)*INDEX(卡牌消耗!$B$8:$F$8,BP209)/$Q$4/500,0)*500,"")</f>
        <v>5500</v>
      </c>
      <c r="BW209" s="14" t="str">
        <f>IF(BO209&gt;0,INDEX(挂机升级突破!$ER$5:$EV$5,卡牌消耗!BO209),"")</f>
        <v>玄铁</v>
      </c>
      <c r="BX209" s="14">
        <f>IF(BO209&gt;0,ROUND(INDEX(挂机升级突破!$ER$7:$EU$26,卡牌消耗!BS209,卡牌消耗!BO209)*INDEX($B$6:$F$6,BP209)/$Q$4/5,0)*5,"")</f>
        <v>40</v>
      </c>
      <c r="BY209" s="193"/>
      <c r="BZ209" s="193"/>
      <c r="CA209" s="106"/>
      <c r="CS209" s="171"/>
      <c r="CT209" s="171"/>
      <c r="CU209" s="171"/>
      <c r="CV209" s="170"/>
      <c r="CW209" s="170"/>
      <c r="CX209" s="170"/>
      <c r="CY209" s="170"/>
      <c r="CZ209" s="170"/>
      <c r="DI209" s="186">
        <v>205</v>
      </c>
      <c r="DJ209" s="14">
        <f t="shared" si="321"/>
        <v>41</v>
      </c>
      <c r="DK209" s="14">
        <f t="shared" si="306"/>
        <v>3</v>
      </c>
      <c r="DL209" s="14">
        <f t="shared" si="307"/>
        <v>1102014</v>
      </c>
      <c r="DM209" s="136" t="s">
        <v>1097</v>
      </c>
      <c r="DN209" s="14">
        <f t="shared" si="308"/>
        <v>5</v>
      </c>
      <c r="DO209" s="14" t="str">
        <f t="shared" si="309"/>
        <v>石灵明-5星</v>
      </c>
      <c r="DP209" s="136" t="s">
        <v>1103</v>
      </c>
      <c r="DQ209" s="14">
        <f t="shared" si="322"/>
        <v>40000</v>
      </c>
      <c r="DR209" s="14" t="str">
        <f t="shared" si="310"/>
        <v>石灵明碎片</v>
      </c>
      <c r="DS209" s="14">
        <f t="shared" si="323"/>
        <v>40</v>
      </c>
    </row>
    <row r="210" spans="8:123" ht="16.5" x14ac:dyDescent="0.2">
      <c r="H210" s="15"/>
      <c r="I210" s="15"/>
      <c r="J210" s="15"/>
      <c r="K210" s="15"/>
      <c r="L210" s="15"/>
      <c r="M210" s="15"/>
      <c r="N210" s="15"/>
      <c r="O210" s="137"/>
      <c r="P210" s="141"/>
      <c r="Q210" s="141"/>
      <c r="R210" s="141"/>
      <c r="S210" s="141"/>
      <c r="T210" s="141"/>
      <c r="U210" s="141"/>
      <c r="V210" s="141"/>
      <c r="W210" s="141"/>
      <c r="X210" s="141"/>
      <c r="Y210" s="141"/>
      <c r="Z210" s="196">
        <v>5</v>
      </c>
      <c r="AA210" s="196">
        <v>50</v>
      </c>
      <c r="AB210" s="14">
        <f>ROUND(INDEX(挂机升级突破!DT$6:DT$57,卡牌消耗!$AA210)*INDEX(卡牌消耗!$B$5:$F$5,卡牌消耗!$Z210)/卡牌消耗!$Q$4/AB$2,0)*AB$2</f>
        <v>0</v>
      </c>
      <c r="AC210" s="14">
        <f>ROUND(INDEX(挂机升级突破!DU$6:DU$57,卡牌消耗!$AA210)*INDEX(卡牌消耗!$B$5:$F$5,卡牌消耗!$Z210)/卡牌消耗!$Q$4/AC$2,0)*AC$2</f>
        <v>0</v>
      </c>
      <c r="AD210" s="14">
        <f>ROUND(INDEX(挂机升级突破!DV$6:DV$57,卡牌消耗!$AA210)*INDEX(卡牌消耗!$B$5:$F$5,卡牌消耗!$Z210)/卡牌消耗!$Q$4/AD$2,0)*AD$2</f>
        <v>0</v>
      </c>
      <c r="AE210" s="14">
        <f>ROUND(INDEX(挂机升级突破!DW$6:DW$57,卡牌消耗!$AA210)*INDEX(卡牌消耗!$B$5:$F$5,卡牌消耗!$Z210)/卡牌消耗!$Q$4/AE$2,0)*AE$2</f>
        <v>0</v>
      </c>
      <c r="AF210" s="14">
        <f>ROUND(INDEX(挂机升级突破!DX$6:DX$57,卡牌消耗!$AA210)*INDEX(卡牌消耗!$B$5:$F$5,卡牌消耗!$Z210)/卡牌消耗!$Q$4/AF$2,0)*AF$2</f>
        <v>20</v>
      </c>
      <c r="AG210" s="14">
        <f>ROUND(INDEX(挂机升级突破!EC$6:EC$57,卡牌消耗!$AA210)*INDEX(卡牌消耗!$B$7:$F$7,卡牌消耗!$Z210)/卡牌消耗!$Q$4/AG$2,0)*AG$2</f>
        <v>4</v>
      </c>
      <c r="AH210" s="14">
        <f>ROUND(INDEX(挂机升级突破!ED$6:ED$57,卡牌消耗!$AA210)*INDEX(卡牌消耗!$B$8:$F$8,卡牌消耗!$Z210)/卡牌消耗!$Q$4/AH$2,0)*AH$2</f>
        <v>273550</v>
      </c>
      <c r="AI210" s="194"/>
      <c r="AJ210" s="194"/>
      <c r="AK210" s="104">
        <v>206</v>
      </c>
      <c r="AL210" s="14">
        <f t="shared" si="311"/>
        <v>4</v>
      </c>
      <c r="AM210" s="14">
        <f>INDEX(挂机升级突破!DQ$6:DQ$57,卡牌消耗!$AT210)</f>
        <v>11</v>
      </c>
      <c r="AN210" s="14">
        <f>INDEX(挂机升级突破!DR$6:DR$57,卡牌消耗!$AT210)</f>
        <v>5</v>
      </c>
      <c r="AO210" s="14">
        <f>INDEX(挂机升级突破!DS$6:DS$57,卡牌消耗!$AT210)</f>
        <v>10</v>
      </c>
      <c r="AP210" s="14">
        <f>INDEX(挂机升级突破!$DP$6:$DP$57,卡牌消耗!AT210)</f>
        <v>143</v>
      </c>
      <c r="AQ210" s="14" t="str">
        <f t="shared" si="312"/>
        <v>唐流雨</v>
      </c>
      <c r="AR210" s="14">
        <f t="shared" si="313"/>
        <v>2</v>
      </c>
      <c r="AS210" s="14" t="str">
        <f t="shared" si="314"/>
        <v>唐流雨魂火-50</v>
      </c>
      <c r="AT210" s="14">
        <f t="shared" si="315"/>
        <v>50</v>
      </c>
      <c r="AU210" s="14" t="str">
        <f>IF(AM210&gt;0,INDEX(挂机升级突破!$DT$4:$ED$4,AM210),"")</f>
        <v>金币</v>
      </c>
      <c r="AV210" s="14">
        <f>ROUND(INDEX(挂机升级突破!$DJ$6:$DJ$57,卡牌消耗!AT210)*INDEX(卡牌消耗!$B$8:$F$8,AR210)/$Q$4/50,0)*50</f>
        <v>95750</v>
      </c>
      <c r="AW210" s="14" t="str">
        <f>IF(AN210&gt;0,INDEX(挂机升级突破!$DT$4:$ED$4,AN210),"")</f>
        <v>红色基础材料</v>
      </c>
      <c r="AX210" s="14">
        <f>ROUND(INDEX(挂机升级突破!$DT$6:$ED$57,卡牌消耗!AT210,AN210)*INDEX(卡牌消耗!$B$5:$F$5,AR210)/$Q$4/5,0)*5</f>
        <v>10</v>
      </c>
      <c r="AY210" s="14" t="str">
        <f>IF(AO210&gt;0,INDEX(挂机升级突破!$DT$4:$ED$4,AO210),"")</f>
        <v>灵玉</v>
      </c>
      <c r="AZ210" s="14">
        <f>IF(AO210&gt;0,ROUND(INDEX(挂机升级突破!$DT$6:$ED$57,卡牌消耗!AT210,AO210)*INDEX(卡牌消耗!$B$7:$F$7,AR210)/$Q$4,0),"")</f>
        <v>1</v>
      </c>
      <c r="BA210" s="106"/>
      <c r="BB210" s="197"/>
      <c r="BC210" s="197"/>
      <c r="BD210" s="197"/>
      <c r="BE210" s="197"/>
      <c r="BF210" s="197"/>
      <c r="BG210" s="197"/>
      <c r="BH210" s="197"/>
      <c r="BI210" s="197"/>
      <c r="BJ210" s="197"/>
      <c r="BK210" s="197"/>
      <c r="BL210" s="104">
        <v>206</v>
      </c>
      <c r="BM210" s="14">
        <f t="shared" si="316"/>
        <v>11</v>
      </c>
      <c r="BN210" s="14">
        <f>INDEX(挂机升级突破!$EI$7:$EI$26,BS210)</f>
        <v>5</v>
      </c>
      <c r="BO210" s="14">
        <f>INDEX(挂机升级突破!$EJ$7:$EJ$26,BS210)</f>
        <v>1</v>
      </c>
      <c r="BP210" s="14">
        <f t="shared" si="317"/>
        <v>4</v>
      </c>
      <c r="BQ210" s="14">
        <f>INDEX(挂机升级突破!$EH$7:$EH$26,卡牌消耗!BS210)</f>
        <v>42</v>
      </c>
      <c r="BR210" s="14" t="str">
        <f t="shared" si="318"/>
        <v>张飞</v>
      </c>
      <c r="BS210" s="14">
        <f t="shared" si="319"/>
        <v>6</v>
      </c>
      <c r="BT210" s="14" t="str">
        <f t="shared" si="320"/>
        <v>张飞6突</v>
      </c>
      <c r="BU210" s="14" t="str">
        <f>IF(BN210&gt;0,INDEX(挂机升级突破!$ER$5:$EV$5,卡牌消耗!BN210),"")</f>
        <v>金币</v>
      </c>
      <c r="BV210" s="14">
        <f>IF(BN210&gt;0,ROUND(INDEX(挂机升级突破!$EV$7:$EV$26,卡牌消耗!BS210)*INDEX(卡牌消耗!$B$8:$F$8,BP210)/$Q$4/500,0)*500,"")</f>
        <v>7500</v>
      </c>
      <c r="BW210" s="14" t="str">
        <f>IF(BO210&gt;0,INDEX(挂机升级突破!$ER$5:$EV$5,卡牌消耗!BO210),"")</f>
        <v>玄铁</v>
      </c>
      <c r="BX210" s="14">
        <f>IF(BO210&gt;0,ROUND(INDEX(挂机升级突破!$ER$7:$EU$26,卡牌消耗!BS210,卡牌消耗!BO210)*INDEX($B$6:$F$6,BP210)/$Q$4/5,0)*5,"")</f>
        <v>60</v>
      </c>
      <c r="BY210" s="193"/>
      <c r="BZ210" s="193"/>
      <c r="CA210" s="106"/>
      <c r="CS210" s="171"/>
      <c r="CT210" s="171"/>
      <c r="CU210" s="171"/>
      <c r="CV210" s="170"/>
      <c r="CW210" s="170"/>
      <c r="CX210" s="170"/>
      <c r="CY210" s="170"/>
      <c r="CZ210" s="170"/>
      <c r="DI210" s="186">
        <v>206</v>
      </c>
      <c r="DJ210" s="14">
        <f t="shared" si="321"/>
        <v>42</v>
      </c>
      <c r="DK210" s="14">
        <f t="shared" si="306"/>
        <v>2</v>
      </c>
      <c r="DL210" s="14">
        <f t="shared" si="307"/>
        <v>1102015</v>
      </c>
      <c r="DM210" s="136" t="s">
        <v>1097</v>
      </c>
      <c r="DN210" s="14">
        <f t="shared" si="308"/>
        <v>1</v>
      </c>
      <c r="DO210" s="14" t="str">
        <f t="shared" si="309"/>
        <v>于禁-1星</v>
      </c>
      <c r="DP210" s="136" t="s">
        <v>1103</v>
      </c>
      <c r="DQ210" s="14">
        <f t="shared" si="322"/>
        <v>3000</v>
      </c>
      <c r="DR210" s="14" t="str">
        <f t="shared" si="310"/>
        <v>于禁碎片</v>
      </c>
      <c r="DS210" s="14">
        <f t="shared" si="323"/>
        <v>20</v>
      </c>
    </row>
    <row r="211" spans="8:123" ht="16.5" x14ac:dyDescent="0.2">
      <c r="H211" s="15"/>
      <c r="I211" s="15"/>
      <c r="J211" s="15"/>
      <c r="K211" s="15"/>
      <c r="L211" s="15"/>
      <c r="M211" s="15"/>
      <c r="N211" s="15"/>
      <c r="O211" s="137"/>
      <c r="P211" s="141"/>
      <c r="Q211" s="141"/>
      <c r="R211" s="141"/>
      <c r="S211" s="141"/>
      <c r="T211" s="141"/>
      <c r="U211" s="141"/>
      <c r="V211" s="141"/>
      <c r="W211" s="141"/>
      <c r="X211" s="141"/>
      <c r="Y211" s="141"/>
      <c r="Z211" s="196">
        <v>5</v>
      </c>
      <c r="AA211" s="196">
        <v>51</v>
      </c>
      <c r="AB211" s="14">
        <f>ROUND(INDEX(挂机升级突破!DT$6:DT$57,卡牌消耗!$AA211)*INDEX(卡牌消耗!$B$5:$F$5,卡牌消耗!$Z211)/卡牌消耗!$Q$4/AB$2,0)*AB$2</f>
        <v>0</v>
      </c>
      <c r="AC211" s="14">
        <f>ROUND(INDEX(挂机升级突破!DU$6:DU$57,卡牌消耗!$AA211)*INDEX(卡牌消耗!$B$5:$F$5,卡牌消耗!$Z211)/卡牌消耗!$Q$4/AC$2,0)*AC$2</f>
        <v>0</v>
      </c>
      <c r="AD211" s="14">
        <f>ROUND(INDEX(挂机升级突破!DV$6:DV$57,卡牌消耗!$AA211)*INDEX(卡牌消耗!$B$5:$F$5,卡牌消耗!$Z211)/卡牌消耗!$Q$4/AD$2,0)*AD$2</f>
        <v>0</v>
      </c>
      <c r="AE211" s="14">
        <f>ROUND(INDEX(挂机升级突破!DW$6:DW$57,卡牌消耗!$AA211)*INDEX(卡牌消耗!$B$5:$F$5,卡牌消耗!$Z211)/卡牌消耗!$Q$4/AE$2,0)*AE$2</f>
        <v>0</v>
      </c>
      <c r="AF211" s="14">
        <f>ROUND(INDEX(挂机升级突破!DX$6:DX$57,卡牌消耗!$AA211)*INDEX(卡牌消耗!$B$5:$F$5,卡牌消耗!$Z211)/卡牌消耗!$Q$4/AF$2,0)*AF$2</f>
        <v>20</v>
      </c>
      <c r="AG211" s="14">
        <f>ROUND(INDEX(挂机升级突破!EC$6:EC$57,卡牌消耗!$AA211)*INDEX(卡牌消耗!$B$7:$F$7,卡牌消耗!$Z211)/卡牌消耗!$Q$4/AG$2,0)*AG$2</f>
        <v>4</v>
      </c>
      <c r="AH211" s="14">
        <f>ROUND(INDEX(挂机升级突破!ED$6:ED$57,卡牌消耗!$AA211)*INDEX(卡牌消耗!$B$8:$F$8,卡牌消耗!$Z211)/卡牌消耗!$Q$4/AH$2,0)*AH$2</f>
        <v>300900</v>
      </c>
      <c r="AI211" s="194"/>
      <c r="AJ211" s="194"/>
      <c r="AK211" s="104">
        <v>207</v>
      </c>
      <c r="AL211" s="14">
        <f t="shared" si="311"/>
        <v>4</v>
      </c>
      <c r="AM211" s="14">
        <f>INDEX(挂机升级突破!DQ$6:DQ$57,卡牌消耗!$AT211)</f>
        <v>11</v>
      </c>
      <c r="AN211" s="14">
        <f>INDEX(挂机升级突破!DR$6:DR$57,卡牌消耗!$AT211)</f>
        <v>5</v>
      </c>
      <c r="AO211" s="14">
        <f>INDEX(挂机升级突破!DS$6:DS$57,卡牌消耗!$AT211)</f>
        <v>10</v>
      </c>
      <c r="AP211" s="14">
        <f>INDEX(挂机升级突破!$DP$6:$DP$57,卡牌消耗!AT211)</f>
        <v>145</v>
      </c>
      <c r="AQ211" s="14" t="str">
        <f t="shared" si="312"/>
        <v>唐流雨</v>
      </c>
      <c r="AR211" s="14">
        <f t="shared" si="313"/>
        <v>2</v>
      </c>
      <c r="AS211" s="14" t="str">
        <f t="shared" si="314"/>
        <v>唐流雨魂火-51</v>
      </c>
      <c r="AT211" s="14">
        <f t="shared" si="315"/>
        <v>51</v>
      </c>
      <c r="AU211" s="14" t="str">
        <f>IF(AM211&gt;0,INDEX(挂机升级突破!$DT$4:$ED$4,AM211),"")</f>
        <v>金币</v>
      </c>
      <c r="AV211" s="14">
        <f>ROUND(INDEX(挂机升级突破!$DJ$6:$DJ$57,卡牌消耗!AT211)*INDEX(卡牌消耗!$B$8:$F$8,AR211)/$Q$4/50,0)*50</f>
        <v>105300</v>
      </c>
      <c r="AW211" s="14" t="str">
        <f>IF(AN211&gt;0,INDEX(挂机升级突破!$DT$4:$ED$4,AN211),"")</f>
        <v>红色基础材料</v>
      </c>
      <c r="AX211" s="14">
        <f>ROUND(INDEX(挂机升级突破!$DT$6:$ED$57,卡牌消耗!AT211,AN211)*INDEX(卡牌消耗!$B$5:$F$5,AR211)/$Q$4/5,0)*5</f>
        <v>10</v>
      </c>
      <c r="AY211" s="14" t="str">
        <f>IF(AO211&gt;0,INDEX(挂机升级突破!$DT$4:$ED$4,AO211),"")</f>
        <v>灵玉</v>
      </c>
      <c r="AZ211" s="14">
        <f>IF(AO211&gt;0,ROUND(INDEX(挂机升级突破!$DT$6:$ED$57,卡牌消耗!AT211,AO211)*INDEX(卡牌消耗!$B$7:$F$7,AR211)/$Q$4,0),"")</f>
        <v>1</v>
      </c>
      <c r="BA211" s="106"/>
      <c r="BB211" s="197"/>
      <c r="BC211" s="197"/>
      <c r="BD211" s="197"/>
      <c r="BE211" s="197"/>
      <c r="BF211" s="197"/>
      <c r="BG211" s="197"/>
      <c r="BH211" s="197"/>
      <c r="BI211" s="197"/>
      <c r="BJ211" s="197"/>
      <c r="BK211" s="197"/>
      <c r="BL211" s="104">
        <v>207</v>
      </c>
      <c r="BM211" s="14">
        <f t="shared" si="316"/>
        <v>11</v>
      </c>
      <c r="BN211" s="14">
        <f>INDEX(挂机升级突破!$EI$7:$EI$26,BS211)</f>
        <v>5</v>
      </c>
      <c r="BO211" s="14">
        <f>INDEX(挂机升级突破!$EJ$7:$EJ$26,BS211)</f>
        <v>1</v>
      </c>
      <c r="BP211" s="14">
        <f t="shared" si="317"/>
        <v>4</v>
      </c>
      <c r="BQ211" s="14">
        <f>INDEX(挂机升级突破!$EH$7:$EH$26,卡牌消耗!BS211)</f>
        <v>47</v>
      </c>
      <c r="BR211" s="14" t="str">
        <f t="shared" si="318"/>
        <v>张飞</v>
      </c>
      <c r="BS211" s="14">
        <f t="shared" si="319"/>
        <v>7</v>
      </c>
      <c r="BT211" s="14" t="str">
        <f t="shared" si="320"/>
        <v>张飞7突</v>
      </c>
      <c r="BU211" s="14" t="str">
        <f>IF(BN211&gt;0,INDEX(挂机升级突破!$ER$5:$EV$5,卡牌消耗!BN211),"")</f>
        <v>金币</v>
      </c>
      <c r="BV211" s="14">
        <f>IF(BN211&gt;0,ROUND(INDEX(挂机升级突破!$EV$7:$EV$26,卡牌消耗!BS211)*INDEX(卡牌消耗!$B$8:$F$8,BP211)/$Q$4/500,0)*500,"")</f>
        <v>12500</v>
      </c>
      <c r="BW211" s="14" t="str">
        <f>IF(BO211&gt;0,INDEX(挂机升级突破!$ER$5:$EV$5,卡牌消耗!BO211),"")</f>
        <v>玄铁</v>
      </c>
      <c r="BX211" s="14">
        <f>IF(BO211&gt;0,ROUND(INDEX(挂机升级突破!$ER$7:$EU$26,卡牌消耗!BS211,卡牌消耗!BO211)*INDEX($B$6:$F$6,BP211)/$Q$4/5,0)*5,"")</f>
        <v>100</v>
      </c>
      <c r="BY211" s="193"/>
      <c r="BZ211" s="193"/>
      <c r="CA211" s="106"/>
      <c r="CS211" s="171"/>
      <c r="CT211" s="171"/>
      <c r="CU211" s="171"/>
      <c r="CV211" s="170"/>
      <c r="CW211" s="170"/>
      <c r="CX211" s="170"/>
      <c r="CY211" s="170"/>
      <c r="CZ211" s="170"/>
      <c r="DI211" s="186">
        <v>207</v>
      </c>
      <c r="DJ211" s="14">
        <f t="shared" si="321"/>
        <v>42</v>
      </c>
      <c r="DK211" s="14">
        <f t="shared" si="306"/>
        <v>2</v>
      </c>
      <c r="DL211" s="14">
        <f t="shared" si="307"/>
        <v>1102015</v>
      </c>
      <c r="DM211" s="136" t="s">
        <v>1097</v>
      </c>
      <c r="DN211" s="14">
        <f t="shared" si="308"/>
        <v>2</v>
      </c>
      <c r="DO211" s="14" t="str">
        <f t="shared" si="309"/>
        <v>于禁-2星</v>
      </c>
      <c r="DP211" s="136" t="s">
        <v>1103</v>
      </c>
      <c r="DQ211" s="14">
        <f t="shared" si="322"/>
        <v>3500</v>
      </c>
      <c r="DR211" s="14" t="str">
        <f t="shared" si="310"/>
        <v>于禁碎片</v>
      </c>
      <c r="DS211" s="14">
        <f t="shared" si="323"/>
        <v>20</v>
      </c>
    </row>
    <row r="212" spans="8:123" ht="16.5" x14ac:dyDescent="0.2">
      <c r="H212" s="15"/>
      <c r="I212" s="15"/>
      <c r="J212" s="15"/>
      <c r="K212" s="15"/>
      <c r="L212" s="15"/>
      <c r="M212" s="15"/>
      <c r="N212" s="15"/>
      <c r="O212" s="137"/>
      <c r="P212" s="141"/>
      <c r="Q212" s="141"/>
      <c r="R212" s="141"/>
      <c r="S212" s="141"/>
      <c r="T212" s="141"/>
      <c r="U212" s="141"/>
      <c r="V212" s="141"/>
      <c r="W212" s="141"/>
      <c r="X212" s="141"/>
      <c r="Y212" s="141"/>
      <c r="Z212" s="196">
        <v>5</v>
      </c>
      <c r="AA212" s="196">
        <v>52</v>
      </c>
      <c r="AB212" s="14">
        <f>ROUND(INDEX(挂机升级突破!DT$6:DT$57,卡牌消耗!$AA212)*INDEX(卡牌消耗!$B$5:$F$5,卡牌消耗!$Z212)/卡牌消耗!$Q$4/AB$2,0)*AB$2</f>
        <v>0</v>
      </c>
      <c r="AC212" s="14">
        <f>ROUND(INDEX(挂机升级突破!DU$6:DU$57,卡牌消耗!$AA212)*INDEX(卡牌消耗!$B$5:$F$5,卡牌消耗!$Z212)/卡牌消耗!$Q$4/AC$2,0)*AC$2</f>
        <v>0</v>
      </c>
      <c r="AD212" s="14">
        <f>ROUND(INDEX(挂机升级突破!DV$6:DV$57,卡牌消耗!$AA212)*INDEX(卡牌消耗!$B$5:$F$5,卡牌消耗!$Z212)/卡牌消耗!$Q$4/AD$2,0)*AD$2</f>
        <v>0</v>
      </c>
      <c r="AE212" s="14">
        <f>ROUND(INDEX(挂机升级突破!DW$6:DW$57,卡牌消耗!$AA212)*INDEX(卡牌消耗!$B$5:$F$5,卡牌消耗!$Z212)/卡牌消耗!$Q$4/AE$2,0)*AE$2</f>
        <v>0</v>
      </c>
      <c r="AF212" s="14">
        <f>ROUND(INDEX(挂机升级突破!DX$6:DX$57,卡牌消耗!$AA212)*INDEX(卡牌消耗!$B$5:$F$5,卡牌消耗!$Z212)/卡牌消耗!$Q$4/AF$2,0)*AF$2</f>
        <v>20</v>
      </c>
      <c r="AG212" s="14">
        <f>ROUND(INDEX(挂机升级突破!EC$6:EC$57,卡牌消耗!$AA212)*INDEX(卡牌消耗!$B$7:$F$7,卡牌消耗!$Z212)/卡牌消耗!$Q$4/AG$2,0)*AG$2</f>
        <v>4</v>
      </c>
      <c r="AH212" s="14">
        <f>ROUND(INDEX(挂机升级突破!ED$6:ED$57,卡牌消耗!$AA212)*INDEX(卡牌消耗!$B$8:$F$8,卡牌消耗!$Z212)/卡牌消耗!$Q$4/AH$2,0)*AH$2</f>
        <v>300900</v>
      </c>
      <c r="AI212" s="194"/>
      <c r="AJ212" s="194"/>
      <c r="AK212" s="104">
        <v>208</v>
      </c>
      <c r="AL212" s="14">
        <f t="shared" si="311"/>
        <v>4</v>
      </c>
      <c r="AM212" s="14">
        <f>INDEX(挂机升级突破!DQ$6:DQ$57,卡牌消耗!$AT212)</f>
        <v>11</v>
      </c>
      <c r="AN212" s="14">
        <f>INDEX(挂机升级突破!DR$6:DR$57,卡牌消耗!$AT212)</f>
        <v>5</v>
      </c>
      <c r="AO212" s="14">
        <f>INDEX(挂机升级突破!DS$6:DS$57,卡牌消耗!$AT212)</f>
        <v>10</v>
      </c>
      <c r="AP212" s="14">
        <f>INDEX(挂机升级突破!$DP$6:$DP$57,卡牌消耗!AT212)</f>
        <v>148</v>
      </c>
      <c r="AQ212" s="14" t="str">
        <f t="shared" si="312"/>
        <v>唐流雨</v>
      </c>
      <c r="AR212" s="14">
        <f t="shared" si="313"/>
        <v>2</v>
      </c>
      <c r="AS212" s="14" t="str">
        <f t="shared" si="314"/>
        <v>唐流雨魂火-52</v>
      </c>
      <c r="AT212" s="14">
        <f t="shared" si="315"/>
        <v>52</v>
      </c>
      <c r="AU212" s="14" t="str">
        <f>IF(AM212&gt;0,INDEX(挂机升级突破!$DT$4:$ED$4,AM212),"")</f>
        <v>金币</v>
      </c>
      <c r="AV212" s="14">
        <f>ROUND(INDEX(挂机升级突破!$DJ$6:$DJ$57,卡牌消耗!AT212)*INDEX(卡牌消耗!$B$8:$F$8,AR212)/$Q$4/50,0)*50</f>
        <v>105300</v>
      </c>
      <c r="AW212" s="14" t="str">
        <f>IF(AN212&gt;0,INDEX(挂机升级突破!$DT$4:$ED$4,AN212),"")</f>
        <v>红色基础材料</v>
      </c>
      <c r="AX212" s="14">
        <f>ROUND(INDEX(挂机升级突破!$DT$6:$ED$57,卡牌消耗!AT212,AN212)*INDEX(卡牌消耗!$B$5:$F$5,AR212)/$Q$4/5,0)*5</f>
        <v>10</v>
      </c>
      <c r="AY212" s="14" t="str">
        <f>IF(AO212&gt;0,INDEX(挂机升级突破!$DT$4:$ED$4,AO212),"")</f>
        <v>灵玉</v>
      </c>
      <c r="AZ212" s="14">
        <f>IF(AO212&gt;0,ROUND(INDEX(挂机升级突破!$DT$6:$ED$57,卡牌消耗!AT212,AO212)*INDEX(卡牌消耗!$B$7:$F$7,AR212)/$Q$4,0),"")</f>
        <v>1</v>
      </c>
      <c r="BA212" s="106"/>
      <c r="BB212" s="197"/>
      <c r="BC212" s="197"/>
      <c r="BD212" s="197"/>
      <c r="BE212" s="197"/>
      <c r="BF212" s="197"/>
      <c r="BG212" s="197"/>
      <c r="BH212" s="197"/>
      <c r="BI212" s="197"/>
      <c r="BJ212" s="197"/>
      <c r="BK212" s="197"/>
      <c r="BL212" s="104">
        <v>208</v>
      </c>
      <c r="BM212" s="14">
        <f t="shared" si="316"/>
        <v>11</v>
      </c>
      <c r="BN212" s="14">
        <f>INDEX(挂机升级突破!$EI$7:$EI$26,BS212)</f>
        <v>5</v>
      </c>
      <c r="BO212" s="14">
        <f>INDEX(挂机升级突破!$EJ$7:$EJ$26,BS212)</f>
        <v>1</v>
      </c>
      <c r="BP212" s="14">
        <f t="shared" si="317"/>
        <v>4</v>
      </c>
      <c r="BQ212" s="14">
        <f>INDEX(挂机升级突破!$EH$7:$EH$26,卡牌消耗!BS212)</f>
        <v>52</v>
      </c>
      <c r="BR212" s="14" t="str">
        <f t="shared" si="318"/>
        <v>张飞</v>
      </c>
      <c r="BS212" s="14">
        <f t="shared" si="319"/>
        <v>8</v>
      </c>
      <c r="BT212" s="14" t="str">
        <f t="shared" si="320"/>
        <v>张飞8突</v>
      </c>
      <c r="BU212" s="14" t="str">
        <f>IF(BN212&gt;0,INDEX(挂机升级突破!$ER$5:$EV$5,卡牌消耗!BN212),"")</f>
        <v>金币</v>
      </c>
      <c r="BV212" s="14">
        <f>IF(BN212&gt;0,ROUND(INDEX(挂机升级突破!$EV$7:$EV$26,卡牌消耗!BS212)*INDEX(卡牌消耗!$B$8:$F$8,BP212)/$Q$4/500,0)*500,"")</f>
        <v>12500</v>
      </c>
      <c r="BW212" s="14" t="str">
        <f>IF(BO212&gt;0,INDEX(挂机升级突破!$ER$5:$EV$5,卡牌消耗!BO212),"")</f>
        <v>玄铁</v>
      </c>
      <c r="BX212" s="14">
        <f>IF(BO212&gt;0,ROUND(INDEX(挂机升级突破!$ER$7:$EU$26,卡牌消耗!BS212,卡牌消耗!BO212)*INDEX($B$6:$F$6,BP212)/$Q$4/5,0)*5,"")</f>
        <v>180</v>
      </c>
      <c r="BY212" s="193"/>
      <c r="BZ212" s="193"/>
      <c r="CA212" s="106"/>
      <c r="CS212" s="171"/>
      <c r="CT212" s="171"/>
      <c r="CU212" s="171"/>
      <c r="CV212" s="170"/>
      <c r="CW212" s="170"/>
      <c r="CX212" s="170"/>
      <c r="CY212" s="170"/>
      <c r="CZ212" s="170"/>
      <c r="DI212" s="186">
        <v>208</v>
      </c>
      <c r="DJ212" s="14">
        <f t="shared" si="321"/>
        <v>42</v>
      </c>
      <c r="DK212" s="14">
        <f t="shared" si="306"/>
        <v>2</v>
      </c>
      <c r="DL212" s="14">
        <f t="shared" si="307"/>
        <v>1102015</v>
      </c>
      <c r="DM212" s="136" t="s">
        <v>1097</v>
      </c>
      <c r="DN212" s="14">
        <f t="shared" si="308"/>
        <v>3</v>
      </c>
      <c r="DO212" s="14" t="str">
        <f t="shared" si="309"/>
        <v>于禁-3星</v>
      </c>
      <c r="DP212" s="136" t="s">
        <v>1103</v>
      </c>
      <c r="DQ212" s="14">
        <f t="shared" si="322"/>
        <v>7000</v>
      </c>
      <c r="DR212" s="14" t="str">
        <f t="shared" si="310"/>
        <v>于禁碎片</v>
      </c>
      <c r="DS212" s="14">
        <f t="shared" si="323"/>
        <v>20</v>
      </c>
    </row>
    <row r="213" spans="8:123" ht="16.5" x14ac:dyDescent="0.2">
      <c r="H213" s="15"/>
      <c r="I213" s="15"/>
      <c r="J213" s="15"/>
      <c r="K213" s="15"/>
      <c r="L213" s="15"/>
      <c r="M213" s="15"/>
      <c r="N213" s="15"/>
      <c r="O213" s="137"/>
      <c r="P213" s="141"/>
      <c r="Q213" s="141"/>
      <c r="R213" s="141"/>
      <c r="S213" s="141"/>
      <c r="T213" s="141"/>
      <c r="U213" s="141"/>
      <c r="V213" s="141"/>
      <c r="W213" s="141"/>
      <c r="X213" s="141"/>
      <c r="Y213" s="141"/>
      <c r="Z213" s="141"/>
      <c r="AA213" s="194"/>
      <c r="AB213" s="194"/>
      <c r="AC213" s="194"/>
      <c r="AD213" s="194"/>
      <c r="AE213" s="194"/>
      <c r="AF213" s="194"/>
      <c r="AG213" s="197"/>
      <c r="AH213" s="194"/>
      <c r="AI213" s="194"/>
      <c r="AJ213" s="194"/>
      <c r="AK213" s="104">
        <v>209</v>
      </c>
      <c r="AL213" s="14">
        <f t="shared" si="311"/>
        <v>5</v>
      </c>
      <c r="AM213" s="14">
        <f>INDEX(挂机升级突破!DQ$6:DQ$57,卡牌消耗!$AT213)</f>
        <v>11</v>
      </c>
      <c r="AN213" s="14">
        <f>INDEX(挂机升级突破!DR$6:DR$57,卡牌消耗!$AT213)</f>
        <v>1</v>
      </c>
      <c r="AO213" s="14">
        <f>INDEX(挂机升级突破!DS$6:DS$57,卡牌消耗!$AT213)</f>
        <v>0</v>
      </c>
      <c r="AP213" s="14">
        <f>INDEX(挂机升级突破!$DP$6:$DP$57,卡牌消耗!AT213)</f>
        <v>3</v>
      </c>
      <c r="AQ213" s="14" t="str">
        <f t="shared" si="312"/>
        <v>李轩辕</v>
      </c>
      <c r="AR213" s="14">
        <f t="shared" si="313"/>
        <v>3</v>
      </c>
      <c r="AS213" s="14" t="str">
        <f t="shared" si="314"/>
        <v>李轩辕魂火-1</v>
      </c>
      <c r="AT213" s="14">
        <f t="shared" si="315"/>
        <v>1</v>
      </c>
      <c r="AU213" s="14" t="str">
        <f>IF(AM213&gt;0,INDEX(挂机升级突破!$DT$4:$ED$4,AM213),"")</f>
        <v>金币</v>
      </c>
      <c r="AV213" s="14">
        <f>ROUND(INDEX(挂机升级突破!$DJ$6:$DJ$57,卡牌消耗!AT213)*INDEX(卡牌消耗!$B$8:$F$8,AR213)/$Q$4/50,0)*50</f>
        <v>850</v>
      </c>
      <c r="AW213" s="14" t="str">
        <f>IF(AN213&gt;0,INDEX(挂机升级突破!$DT$4:$ED$4,AN213),"")</f>
        <v>绿色基础材料</v>
      </c>
      <c r="AX213" s="14">
        <f>ROUND(INDEX(挂机升级突破!$DT$6:$ED$57,卡牌消耗!AT213,AN213)*INDEX(卡牌消耗!$B$5:$F$5,AR213)/$Q$4/5,0)*5</f>
        <v>25</v>
      </c>
      <c r="AY213" s="14" t="str">
        <f>IF(AO213&gt;0,INDEX(挂机升级突破!$DT$4:$ED$4,AO213),"")</f>
        <v/>
      </c>
      <c r="AZ213" s="14" t="str">
        <f>IF(AO213&gt;0,ROUND(INDEX(挂机升级突破!$DT$6:$ED$57,卡牌消耗!AT213,AO213)*INDEX(卡牌消耗!$B$7:$F$7,AR213)/$Q$4,0),"")</f>
        <v/>
      </c>
      <c r="BA213" s="106"/>
      <c r="BB213" s="197"/>
      <c r="BC213" s="197"/>
      <c r="BD213" s="197"/>
      <c r="BE213" s="197"/>
      <c r="BF213" s="197"/>
      <c r="BG213" s="197"/>
      <c r="BH213" s="197"/>
      <c r="BI213" s="197"/>
      <c r="BJ213" s="197"/>
      <c r="BK213" s="197"/>
      <c r="BL213" s="104">
        <v>209</v>
      </c>
      <c r="BM213" s="14">
        <f t="shared" si="316"/>
        <v>11</v>
      </c>
      <c r="BN213" s="14">
        <f>INDEX(挂机升级突破!$EI$7:$EI$26,BS213)</f>
        <v>5</v>
      </c>
      <c r="BO213" s="14">
        <f>INDEX(挂机升级突破!$EJ$7:$EJ$26,BS213)</f>
        <v>2</v>
      </c>
      <c r="BP213" s="14">
        <f t="shared" si="317"/>
        <v>4</v>
      </c>
      <c r="BQ213" s="14">
        <f>INDEX(挂机升级突破!$EH$7:$EH$26,卡牌消耗!BS213)</f>
        <v>57</v>
      </c>
      <c r="BR213" s="14" t="str">
        <f t="shared" si="318"/>
        <v>张飞</v>
      </c>
      <c r="BS213" s="14">
        <f t="shared" si="319"/>
        <v>9</v>
      </c>
      <c r="BT213" s="14" t="str">
        <f t="shared" si="320"/>
        <v>张飞9突</v>
      </c>
      <c r="BU213" s="14" t="str">
        <f>IF(BN213&gt;0,INDEX(挂机升级突破!$ER$5:$EV$5,卡牌消耗!BN213),"")</f>
        <v>金币</v>
      </c>
      <c r="BV213" s="14">
        <f>IF(BN213&gt;0,ROUND(INDEX(挂机升级突破!$EV$7:$EV$26,卡牌消耗!BS213)*INDEX(卡牌消耗!$B$8:$F$8,BP213)/$Q$4/500,0)*500,"")</f>
        <v>16500</v>
      </c>
      <c r="BW213" s="14" t="str">
        <f>IF(BO213&gt;0,INDEX(挂机升级突破!$ER$5:$EV$5,卡牌消耗!BO213),"")</f>
        <v>乌金</v>
      </c>
      <c r="BX213" s="14">
        <f>IF(BO213&gt;0,ROUND(INDEX(挂机升级突破!$ER$7:$EU$26,卡牌消耗!BS213,卡牌消耗!BO213)*INDEX($B$6:$F$6,BP213)/$Q$4/5,0)*5,"")</f>
        <v>60</v>
      </c>
      <c r="BY213" s="193"/>
      <c r="BZ213" s="193"/>
      <c r="CA213" s="106"/>
      <c r="CS213" s="171"/>
      <c r="CT213" s="171"/>
      <c r="CU213" s="171"/>
      <c r="DI213" s="186">
        <v>209</v>
      </c>
      <c r="DJ213" s="14">
        <f t="shared" si="321"/>
        <v>42</v>
      </c>
      <c r="DK213" s="14">
        <f t="shared" si="306"/>
        <v>2</v>
      </c>
      <c r="DL213" s="14">
        <f t="shared" si="307"/>
        <v>1102015</v>
      </c>
      <c r="DM213" s="136" t="s">
        <v>1097</v>
      </c>
      <c r="DN213" s="14">
        <f t="shared" si="308"/>
        <v>4</v>
      </c>
      <c r="DO213" s="14" t="str">
        <f t="shared" si="309"/>
        <v>于禁-4星</v>
      </c>
      <c r="DP213" s="136" t="s">
        <v>1103</v>
      </c>
      <c r="DQ213" s="14">
        <f t="shared" si="322"/>
        <v>16000</v>
      </c>
      <c r="DR213" s="14" t="str">
        <f t="shared" si="310"/>
        <v>于禁碎片</v>
      </c>
      <c r="DS213" s="14">
        <f t="shared" si="323"/>
        <v>20</v>
      </c>
    </row>
    <row r="214" spans="8:123" ht="16.5" x14ac:dyDescent="0.2">
      <c r="H214" s="15"/>
      <c r="I214" s="15"/>
      <c r="J214" s="15"/>
      <c r="K214" s="15"/>
      <c r="L214" s="15"/>
      <c r="M214" s="15"/>
      <c r="N214" s="15"/>
      <c r="O214" s="137"/>
      <c r="P214" s="141"/>
      <c r="Q214" s="141"/>
      <c r="R214" s="141"/>
      <c r="S214" s="141"/>
      <c r="T214" s="141"/>
      <c r="U214" s="141"/>
      <c r="V214" s="141"/>
      <c r="W214" s="141"/>
      <c r="X214" s="141"/>
      <c r="Y214" s="141"/>
      <c r="Z214" s="141"/>
      <c r="AA214" s="194"/>
      <c r="AB214" s="194"/>
      <c r="AC214" s="194"/>
      <c r="AD214" s="194"/>
      <c r="AE214" s="194"/>
      <c r="AF214" s="194"/>
      <c r="AG214" s="197"/>
      <c r="AH214" s="194"/>
      <c r="AI214" s="194"/>
      <c r="AJ214" s="194"/>
      <c r="AK214" s="104">
        <v>210</v>
      </c>
      <c r="AL214" s="14">
        <f t="shared" si="311"/>
        <v>5</v>
      </c>
      <c r="AM214" s="14">
        <f>INDEX(挂机升级突破!DQ$6:DQ$57,卡牌消耗!$AT214)</f>
        <v>11</v>
      </c>
      <c r="AN214" s="14">
        <f>INDEX(挂机升级突破!DR$6:DR$57,卡牌消耗!$AT214)</f>
        <v>1</v>
      </c>
      <c r="AO214" s="14">
        <f>INDEX(挂机升级突破!DS$6:DS$57,卡牌消耗!$AT214)</f>
        <v>0</v>
      </c>
      <c r="AP214" s="14">
        <f>INDEX(挂机升级突破!$DP$6:$DP$57,卡牌消耗!AT214)</f>
        <v>8</v>
      </c>
      <c r="AQ214" s="14" t="str">
        <f t="shared" si="312"/>
        <v>李轩辕</v>
      </c>
      <c r="AR214" s="14">
        <f t="shared" si="313"/>
        <v>3</v>
      </c>
      <c r="AS214" s="14" t="str">
        <f t="shared" si="314"/>
        <v>李轩辕魂火-2</v>
      </c>
      <c r="AT214" s="14">
        <f t="shared" si="315"/>
        <v>2</v>
      </c>
      <c r="AU214" s="14" t="str">
        <f>IF(AM214&gt;0,INDEX(挂机升级突破!$DT$4:$ED$4,AM214),"")</f>
        <v>金币</v>
      </c>
      <c r="AV214" s="14">
        <f>ROUND(INDEX(挂机升级突破!$DJ$6:$DJ$57,卡牌消耗!AT214)*INDEX(卡牌消耗!$B$8:$F$8,AR214)/$Q$4/50,0)*50</f>
        <v>1050</v>
      </c>
      <c r="AW214" s="14" t="str">
        <f>IF(AN214&gt;0,INDEX(挂机升级突破!$DT$4:$ED$4,AN214),"")</f>
        <v>绿色基础材料</v>
      </c>
      <c r="AX214" s="14">
        <f>ROUND(INDEX(挂机升级突破!$DT$6:$ED$57,卡牌消耗!AT214,AN214)*INDEX(卡牌消耗!$B$5:$F$5,AR214)/$Q$4/5,0)*5</f>
        <v>85</v>
      </c>
      <c r="AY214" s="14" t="str">
        <f>IF(AO214&gt;0,INDEX(挂机升级突破!$DT$4:$ED$4,AO214),"")</f>
        <v/>
      </c>
      <c r="AZ214" s="14" t="str">
        <f>IF(AO214&gt;0,ROUND(INDEX(挂机升级突破!$DT$6:$ED$57,卡牌消耗!AT214,AO214)*INDEX(卡牌消耗!$B$7:$F$7,AR214)/$Q$4,0),"")</f>
        <v/>
      </c>
      <c r="BA214" s="106"/>
      <c r="BB214" s="197"/>
      <c r="BC214" s="197"/>
      <c r="BD214" s="197"/>
      <c r="BE214" s="197"/>
      <c r="BF214" s="197"/>
      <c r="BG214" s="197"/>
      <c r="BH214" s="197"/>
      <c r="BI214" s="197"/>
      <c r="BJ214" s="197"/>
      <c r="BK214" s="197"/>
      <c r="BL214" s="104">
        <v>210</v>
      </c>
      <c r="BM214" s="14">
        <f t="shared" si="316"/>
        <v>11</v>
      </c>
      <c r="BN214" s="14">
        <f>INDEX(挂机升级突破!$EI$7:$EI$26,BS214)</f>
        <v>5</v>
      </c>
      <c r="BO214" s="14">
        <f>INDEX(挂机升级突破!$EJ$7:$EJ$26,BS214)</f>
        <v>2</v>
      </c>
      <c r="BP214" s="14">
        <f t="shared" si="317"/>
        <v>4</v>
      </c>
      <c r="BQ214" s="14">
        <f>INDEX(挂机升级突破!$EH$7:$EH$26,卡牌消耗!BS214)</f>
        <v>65</v>
      </c>
      <c r="BR214" s="14" t="str">
        <f t="shared" si="318"/>
        <v>张飞</v>
      </c>
      <c r="BS214" s="14">
        <f t="shared" si="319"/>
        <v>10</v>
      </c>
      <c r="BT214" s="14" t="str">
        <f t="shared" si="320"/>
        <v>张飞10突</v>
      </c>
      <c r="BU214" s="14" t="str">
        <f>IF(BN214&gt;0,INDEX(挂机升级突破!$ER$5:$EV$5,卡牌消耗!BN214),"")</f>
        <v>金币</v>
      </c>
      <c r="BV214" s="14">
        <f>IF(BN214&gt;0,ROUND(INDEX(挂机升级突破!$EV$7:$EV$26,卡牌消耗!BS214)*INDEX(卡牌消耗!$B$8:$F$8,BP214)/$Q$4/500,0)*500,"")</f>
        <v>28000</v>
      </c>
      <c r="BW214" s="14" t="str">
        <f>IF(BO214&gt;0,INDEX(挂机升级突破!$ER$5:$EV$5,卡牌消耗!BO214),"")</f>
        <v>乌金</v>
      </c>
      <c r="BX214" s="14">
        <f>IF(BO214&gt;0,ROUND(INDEX(挂机升级突破!$ER$7:$EU$26,卡牌消耗!BS214,卡牌消耗!BO214)*INDEX($B$6:$F$6,BP214)/$Q$4/5,0)*5,"")</f>
        <v>85</v>
      </c>
      <c r="BY214" s="193"/>
      <c r="BZ214" s="193"/>
      <c r="CA214" s="106"/>
      <c r="CS214" s="171"/>
      <c r="CT214" s="171"/>
      <c r="CU214" s="171"/>
      <c r="DI214" s="186">
        <v>210</v>
      </c>
      <c r="DJ214" s="14">
        <f t="shared" si="321"/>
        <v>42</v>
      </c>
      <c r="DK214" s="14">
        <f t="shared" si="306"/>
        <v>2</v>
      </c>
      <c r="DL214" s="14">
        <f t="shared" si="307"/>
        <v>1102015</v>
      </c>
      <c r="DM214" s="136" t="s">
        <v>1097</v>
      </c>
      <c r="DN214" s="14">
        <f t="shared" si="308"/>
        <v>5</v>
      </c>
      <c r="DO214" s="14" t="str">
        <f t="shared" si="309"/>
        <v>于禁-5星</v>
      </c>
      <c r="DP214" s="136" t="s">
        <v>1103</v>
      </c>
      <c r="DQ214" s="14">
        <f t="shared" si="322"/>
        <v>30000</v>
      </c>
      <c r="DR214" s="14" t="str">
        <f t="shared" si="310"/>
        <v>于禁碎片</v>
      </c>
      <c r="DS214" s="14">
        <f t="shared" si="323"/>
        <v>20</v>
      </c>
    </row>
    <row r="215" spans="8:123" ht="16.5" x14ac:dyDescent="0.2">
      <c r="H215" s="15"/>
      <c r="I215" s="15"/>
      <c r="J215" s="15"/>
      <c r="K215" s="15"/>
      <c r="L215" s="15"/>
      <c r="M215" s="15"/>
      <c r="N215" s="15"/>
      <c r="O215" s="137"/>
      <c r="P215" s="141"/>
      <c r="Q215" s="141"/>
      <c r="R215" s="141"/>
      <c r="S215" s="141"/>
      <c r="T215" s="141"/>
      <c r="U215" s="141"/>
      <c r="V215" s="141"/>
      <c r="W215" s="141"/>
      <c r="X215" s="141"/>
      <c r="Y215" s="141"/>
      <c r="Z215" s="141"/>
      <c r="AA215" s="194"/>
      <c r="AB215" s="194"/>
      <c r="AC215" s="194"/>
      <c r="AD215" s="194"/>
      <c r="AE215" s="194"/>
      <c r="AF215" s="194"/>
      <c r="AG215" s="197"/>
      <c r="AH215" s="194"/>
      <c r="AI215" s="194"/>
      <c r="AJ215" s="194"/>
      <c r="AK215" s="104">
        <v>211</v>
      </c>
      <c r="AL215" s="14">
        <f t="shared" si="311"/>
        <v>5</v>
      </c>
      <c r="AM215" s="14">
        <f>INDEX(挂机升级突破!DQ$6:DQ$57,卡牌消耗!$AT215)</f>
        <v>11</v>
      </c>
      <c r="AN215" s="14">
        <f>INDEX(挂机升级突破!DR$6:DR$57,卡牌消耗!$AT215)</f>
        <v>1</v>
      </c>
      <c r="AO215" s="14">
        <f>INDEX(挂机升级突破!DS$6:DS$57,卡牌消耗!$AT215)</f>
        <v>0</v>
      </c>
      <c r="AP215" s="14">
        <f>INDEX(挂机升级突破!$DP$6:$DP$57,卡牌消耗!AT215)</f>
        <v>13</v>
      </c>
      <c r="AQ215" s="14" t="str">
        <f t="shared" si="312"/>
        <v>李轩辕</v>
      </c>
      <c r="AR215" s="14">
        <f t="shared" si="313"/>
        <v>3</v>
      </c>
      <c r="AS215" s="14" t="str">
        <f t="shared" si="314"/>
        <v>李轩辕魂火-3</v>
      </c>
      <c r="AT215" s="14">
        <f t="shared" si="315"/>
        <v>3</v>
      </c>
      <c r="AU215" s="14" t="str">
        <f>IF(AM215&gt;0,INDEX(挂机升级突破!$DT$4:$ED$4,AM215),"")</f>
        <v>金币</v>
      </c>
      <c r="AV215" s="14">
        <f>ROUND(INDEX(挂机升级突破!$DJ$6:$DJ$57,卡牌消耗!AT215)*INDEX(卡牌消耗!$B$8:$F$8,AR215)/$Q$4/50,0)*50</f>
        <v>1050</v>
      </c>
      <c r="AW215" s="14" t="str">
        <f>IF(AN215&gt;0,INDEX(挂机升级突破!$DT$4:$ED$4,AN215),"")</f>
        <v>绿色基础材料</v>
      </c>
      <c r="AX215" s="14">
        <f>ROUND(INDEX(挂机升级突破!$DT$6:$ED$57,卡牌消耗!AT215,AN215)*INDEX(卡牌消耗!$B$5:$F$5,AR215)/$Q$4/5,0)*5</f>
        <v>100</v>
      </c>
      <c r="AY215" s="14" t="str">
        <f>IF(AO215&gt;0,INDEX(挂机升级突破!$DT$4:$ED$4,AO215),"")</f>
        <v/>
      </c>
      <c r="AZ215" s="14" t="str">
        <f>IF(AO215&gt;0,ROUND(INDEX(挂机升级突破!$DT$6:$ED$57,卡牌消耗!AT215,AO215)*INDEX(卡牌消耗!$B$7:$F$7,AR215)/$Q$4,0),"")</f>
        <v/>
      </c>
      <c r="BA215" s="106"/>
      <c r="BB215" s="197"/>
      <c r="BC215" s="197"/>
      <c r="BD215" s="197"/>
      <c r="BE215" s="197"/>
      <c r="BF215" s="197"/>
      <c r="BG215" s="197"/>
      <c r="BH215" s="197"/>
      <c r="BI215" s="197"/>
      <c r="BJ215" s="197"/>
      <c r="BK215" s="197"/>
      <c r="BL215" s="104">
        <v>211</v>
      </c>
      <c r="BM215" s="14">
        <f t="shared" si="316"/>
        <v>11</v>
      </c>
      <c r="BN215" s="14">
        <f>INDEX(挂机升级突破!$EI$7:$EI$26,BS215)</f>
        <v>5</v>
      </c>
      <c r="BO215" s="14">
        <f>INDEX(挂机升级突破!$EJ$7:$EJ$26,BS215)</f>
        <v>2</v>
      </c>
      <c r="BP215" s="14">
        <f t="shared" si="317"/>
        <v>4</v>
      </c>
      <c r="BQ215" s="14">
        <f>INDEX(挂机升级突破!$EH$7:$EH$26,卡牌消耗!BS215)</f>
        <v>72</v>
      </c>
      <c r="BR215" s="14" t="str">
        <f t="shared" si="318"/>
        <v>张飞</v>
      </c>
      <c r="BS215" s="14">
        <f t="shared" si="319"/>
        <v>11</v>
      </c>
      <c r="BT215" s="14" t="str">
        <f t="shared" si="320"/>
        <v>张飞11突</v>
      </c>
      <c r="BU215" s="14" t="str">
        <f>IF(BN215&gt;0,INDEX(挂机升级突破!$ER$5:$EV$5,卡牌消耗!BN215),"")</f>
        <v>金币</v>
      </c>
      <c r="BV215" s="14">
        <f>IF(BN215&gt;0,ROUND(INDEX(挂机升级突破!$EV$7:$EV$26,卡牌消耗!BS215)*INDEX(卡牌消耗!$B$8:$F$8,BP215)/$Q$4/500,0)*500,"")</f>
        <v>28000</v>
      </c>
      <c r="BW215" s="14" t="str">
        <f>IF(BO215&gt;0,INDEX(挂机升级突破!$ER$5:$EV$5,卡牌消耗!BO215),"")</f>
        <v>乌金</v>
      </c>
      <c r="BX215" s="14">
        <f>IF(BO215&gt;0,ROUND(INDEX(挂机升级突破!$ER$7:$EU$26,卡牌消耗!BS215,卡牌消耗!BO215)*INDEX($B$6:$F$6,BP215)/$Q$4/5,0)*5,"")</f>
        <v>110</v>
      </c>
      <c r="BY215" s="193"/>
      <c r="BZ215" s="193"/>
      <c r="CA215" s="106"/>
      <c r="CS215" s="171"/>
      <c r="CT215" s="171"/>
      <c r="CU215" s="171"/>
      <c r="DI215" s="186">
        <v>211</v>
      </c>
      <c r="DJ215" s="14">
        <f t="shared" si="321"/>
        <v>43</v>
      </c>
      <c r="DK215" s="14">
        <f t="shared" si="306"/>
        <v>4</v>
      </c>
      <c r="DL215" s="14">
        <f t="shared" si="307"/>
        <v>1102016</v>
      </c>
      <c r="DM215" s="136" t="s">
        <v>1097</v>
      </c>
      <c r="DN215" s="14">
        <f t="shared" si="308"/>
        <v>1</v>
      </c>
      <c r="DO215" s="14" t="str">
        <f t="shared" si="309"/>
        <v>西方龙-1星</v>
      </c>
      <c r="DP215" s="136" t="s">
        <v>1103</v>
      </c>
      <c r="DQ215" s="14">
        <f t="shared" si="322"/>
        <v>6000</v>
      </c>
      <c r="DR215" s="14" t="str">
        <f t="shared" si="310"/>
        <v>西方龙碎片</v>
      </c>
      <c r="DS215" s="14">
        <f t="shared" si="323"/>
        <v>80</v>
      </c>
    </row>
    <row r="216" spans="8:123" ht="16.5" x14ac:dyDescent="0.2">
      <c r="H216" s="15"/>
      <c r="I216" s="15"/>
      <c r="J216" s="15"/>
      <c r="K216" s="15"/>
      <c r="L216" s="15"/>
      <c r="M216" s="15"/>
      <c r="N216" s="15"/>
      <c r="O216" s="137"/>
      <c r="P216" s="141"/>
      <c r="Q216" s="141"/>
      <c r="R216" s="141"/>
      <c r="S216" s="141"/>
      <c r="T216" s="141"/>
      <c r="U216" s="141"/>
      <c r="V216" s="141"/>
      <c r="W216" s="141"/>
      <c r="X216" s="141"/>
      <c r="Y216" s="141"/>
      <c r="Z216" s="141"/>
      <c r="AA216" s="194"/>
      <c r="AB216" s="194"/>
      <c r="AC216" s="194"/>
      <c r="AD216" s="194"/>
      <c r="AE216" s="194"/>
      <c r="AF216" s="194"/>
      <c r="AG216" s="197"/>
      <c r="AH216" s="194"/>
      <c r="AI216" s="194"/>
      <c r="AJ216" s="194"/>
      <c r="AK216" s="104">
        <v>212</v>
      </c>
      <c r="AL216" s="14">
        <f t="shared" si="311"/>
        <v>5</v>
      </c>
      <c r="AM216" s="14">
        <f>INDEX(挂机升级突破!DQ$6:DQ$57,卡牌消耗!$AT216)</f>
        <v>11</v>
      </c>
      <c r="AN216" s="14">
        <f>INDEX(挂机升级突破!DR$6:DR$57,卡牌消耗!$AT216)</f>
        <v>1</v>
      </c>
      <c r="AO216" s="14">
        <f>INDEX(挂机升级突破!DS$6:DS$57,卡牌消耗!$AT216)</f>
        <v>0</v>
      </c>
      <c r="AP216" s="14">
        <f>INDEX(挂机升级突破!$DP$6:$DP$57,卡牌消耗!AT216)</f>
        <v>18</v>
      </c>
      <c r="AQ216" s="14" t="str">
        <f t="shared" si="312"/>
        <v>李轩辕</v>
      </c>
      <c r="AR216" s="14">
        <f t="shared" si="313"/>
        <v>3</v>
      </c>
      <c r="AS216" s="14" t="str">
        <f t="shared" si="314"/>
        <v>李轩辕魂火-4</v>
      </c>
      <c r="AT216" s="14">
        <f t="shared" si="315"/>
        <v>4</v>
      </c>
      <c r="AU216" s="14" t="str">
        <f>IF(AM216&gt;0,INDEX(挂机升级突破!$DT$4:$ED$4,AM216),"")</f>
        <v>金币</v>
      </c>
      <c r="AV216" s="14">
        <f>ROUND(INDEX(挂机升级突破!$DJ$6:$DJ$57,卡牌消耗!AT216)*INDEX(卡牌消耗!$B$8:$F$8,AR216)/$Q$4/50,0)*50</f>
        <v>1050</v>
      </c>
      <c r="AW216" s="14" t="str">
        <f>IF(AN216&gt;0,INDEX(挂机升级突破!$DT$4:$ED$4,AN216),"")</f>
        <v>绿色基础材料</v>
      </c>
      <c r="AX216" s="14">
        <f>ROUND(INDEX(挂机升级突破!$DT$6:$ED$57,卡牌消耗!AT216,AN216)*INDEX(卡牌消耗!$B$5:$F$5,AR216)/$Q$4/5,0)*5</f>
        <v>145</v>
      </c>
      <c r="AY216" s="14" t="str">
        <f>IF(AO216&gt;0,INDEX(挂机升级突破!$DT$4:$ED$4,AO216),"")</f>
        <v/>
      </c>
      <c r="AZ216" s="14" t="str">
        <f>IF(AO216&gt;0,ROUND(INDEX(挂机升级突破!$DT$6:$ED$57,卡牌消耗!AT216,AO216)*INDEX(卡牌消耗!$B$7:$F$7,AR216)/$Q$4,0),"")</f>
        <v/>
      </c>
      <c r="BA216" s="106"/>
      <c r="BB216" s="197"/>
      <c r="BC216" s="197"/>
      <c r="BD216" s="197"/>
      <c r="BE216" s="197"/>
      <c r="BF216" s="197"/>
      <c r="BG216" s="197"/>
      <c r="BH216" s="197"/>
      <c r="BI216" s="197"/>
      <c r="BJ216" s="197"/>
      <c r="BK216" s="197"/>
      <c r="BL216" s="104">
        <v>212</v>
      </c>
      <c r="BM216" s="14">
        <f t="shared" si="316"/>
        <v>11</v>
      </c>
      <c r="BN216" s="14">
        <f>INDEX(挂机升级突破!$EI$7:$EI$26,BS216)</f>
        <v>5</v>
      </c>
      <c r="BO216" s="14">
        <f>INDEX(挂机升级突破!$EJ$7:$EJ$26,BS216)</f>
        <v>2</v>
      </c>
      <c r="BP216" s="14">
        <f t="shared" si="317"/>
        <v>4</v>
      </c>
      <c r="BQ216" s="14">
        <f>INDEX(挂机升级突破!$EH$7:$EH$26,卡牌消耗!BS216)</f>
        <v>80</v>
      </c>
      <c r="BR216" s="14" t="str">
        <f t="shared" si="318"/>
        <v>张飞</v>
      </c>
      <c r="BS216" s="14">
        <f t="shared" si="319"/>
        <v>12</v>
      </c>
      <c r="BT216" s="14" t="str">
        <f t="shared" si="320"/>
        <v>张飞12突</v>
      </c>
      <c r="BU216" s="14" t="str">
        <f>IF(BN216&gt;0,INDEX(挂机升级突破!$ER$5:$EV$5,卡牌消耗!BN216),"")</f>
        <v>金币</v>
      </c>
      <c r="BV216" s="14">
        <f>IF(BN216&gt;0,ROUND(INDEX(挂机升级突破!$EV$7:$EV$26,卡牌消耗!BS216)*INDEX(卡牌消耗!$B$8:$F$8,BP216)/$Q$4/500,0)*500,"")</f>
        <v>37500</v>
      </c>
      <c r="BW216" s="14" t="str">
        <f>IF(BO216&gt;0,INDEX(挂机升级突破!$ER$5:$EV$5,卡牌消耗!BO216),"")</f>
        <v>乌金</v>
      </c>
      <c r="BX216" s="14">
        <f>IF(BO216&gt;0,ROUND(INDEX(挂机升级突破!$ER$7:$EU$26,卡牌消耗!BS216,卡牌消耗!BO216)*INDEX($B$6:$F$6,BP216)/$Q$4/5,0)*5,"")</f>
        <v>140</v>
      </c>
      <c r="BY216" s="193"/>
      <c r="BZ216" s="193"/>
      <c r="CA216" s="106"/>
      <c r="CS216" s="171"/>
      <c r="CT216" s="171"/>
      <c r="CU216" s="171"/>
      <c r="DI216" s="186">
        <v>212</v>
      </c>
      <c r="DJ216" s="14">
        <f t="shared" si="321"/>
        <v>43</v>
      </c>
      <c r="DK216" s="14">
        <f t="shared" si="306"/>
        <v>4</v>
      </c>
      <c r="DL216" s="14">
        <f t="shared" si="307"/>
        <v>1102016</v>
      </c>
      <c r="DM216" s="136" t="s">
        <v>1097</v>
      </c>
      <c r="DN216" s="14">
        <f t="shared" si="308"/>
        <v>2</v>
      </c>
      <c r="DO216" s="14" t="str">
        <f t="shared" si="309"/>
        <v>西方龙-2星</v>
      </c>
      <c r="DP216" s="136" t="s">
        <v>1103</v>
      </c>
      <c r="DQ216" s="14">
        <f t="shared" si="322"/>
        <v>8000</v>
      </c>
      <c r="DR216" s="14" t="str">
        <f t="shared" si="310"/>
        <v>西方龙碎片</v>
      </c>
      <c r="DS216" s="14">
        <f t="shared" si="323"/>
        <v>80</v>
      </c>
    </row>
    <row r="217" spans="8:123" ht="16.5" x14ac:dyDescent="0.2">
      <c r="H217" s="15"/>
      <c r="I217" s="15"/>
      <c r="J217" s="15"/>
      <c r="K217" s="15"/>
      <c r="L217" s="15"/>
      <c r="M217" s="15"/>
      <c r="N217" s="15"/>
      <c r="O217" s="137"/>
      <c r="P217" s="141"/>
      <c r="Q217" s="141"/>
      <c r="R217" s="141"/>
      <c r="S217" s="141"/>
      <c r="T217" s="141"/>
      <c r="U217" s="141"/>
      <c r="V217" s="141"/>
      <c r="W217" s="141"/>
      <c r="X217" s="141"/>
      <c r="Y217" s="141"/>
      <c r="Z217" s="141"/>
      <c r="AA217" s="194"/>
      <c r="AB217" s="194"/>
      <c r="AC217" s="194"/>
      <c r="AD217" s="194"/>
      <c r="AE217" s="194"/>
      <c r="AF217" s="194"/>
      <c r="AG217" s="197"/>
      <c r="AH217" s="194"/>
      <c r="AI217" s="194"/>
      <c r="AJ217" s="194"/>
      <c r="AK217" s="104">
        <v>213</v>
      </c>
      <c r="AL217" s="14">
        <f t="shared" si="311"/>
        <v>5</v>
      </c>
      <c r="AM217" s="14">
        <f>INDEX(挂机升级突破!DQ$6:DQ$57,卡牌消耗!$AT217)</f>
        <v>11</v>
      </c>
      <c r="AN217" s="14">
        <f>INDEX(挂机升级突破!DR$6:DR$57,卡牌消耗!$AT217)</f>
        <v>1</v>
      </c>
      <c r="AO217" s="14">
        <f>INDEX(挂机升级突破!DS$6:DS$57,卡牌消耗!$AT217)</f>
        <v>0</v>
      </c>
      <c r="AP217" s="14">
        <f>INDEX(挂机升级突破!$DP$6:$DP$57,卡牌消耗!AT217)</f>
        <v>23</v>
      </c>
      <c r="AQ217" s="14" t="str">
        <f t="shared" si="312"/>
        <v>李轩辕</v>
      </c>
      <c r="AR217" s="14">
        <f t="shared" si="313"/>
        <v>3</v>
      </c>
      <c r="AS217" s="14" t="str">
        <f t="shared" si="314"/>
        <v>李轩辕魂火-5</v>
      </c>
      <c r="AT217" s="14">
        <f t="shared" si="315"/>
        <v>5</v>
      </c>
      <c r="AU217" s="14" t="str">
        <f>IF(AM217&gt;0,INDEX(挂机升级突破!$DT$4:$ED$4,AM217),"")</f>
        <v>金币</v>
      </c>
      <c r="AV217" s="14">
        <f>ROUND(INDEX(挂机升级突破!$DJ$6:$DJ$57,卡牌消耗!AT217)*INDEX(卡牌消耗!$B$8:$F$8,AR217)/$Q$4/50,0)*50</f>
        <v>1050</v>
      </c>
      <c r="AW217" s="14" t="str">
        <f>IF(AN217&gt;0,INDEX(挂机升级突破!$DT$4:$ED$4,AN217),"")</f>
        <v>绿色基础材料</v>
      </c>
      <c r="AX217" s="14">
        <f>ROUND(INDEX(挂机升级突破!$DT$6:$ED$57,卡牌消耗!AT217,AN217)*INDEX(卡牌消耗!$B$5:$F$5,AR217)/$Q$4/5,0)*5</f>
        <v>155</v>
      </c>
      <c r="AY217" s="14" t="str">
        <f>IF(AO217&gt;0,INDEX(挂机升级突破!$DT$4:$ED$4,AO217),"")</f>
        <v/>
      </c>
      <c r="AZ217" s="14" t="str">
        <f>IF(AO217&gt;0,ROUND(INDEX(挂机升级突破!$DT$6:$ED$57,卡牌消耗!AT217,AO217)*INDEX(卡牌消耗!$B$7:$F$7,AR217)/$Q$4,0),"")</f>
        <v/>
      </c>
      <c r="BA217" s="106"/>
      <c r="BB217" s="197"/>
      <c r="BC217" s="197"/>
      <c r="BD217" s="197"/>
      <c r="BE217" s="197"/>
      <c r="BF217" s="197"/>
      <c r="BG217" s="197"/>
      <c r="BH217" s="197"/>
      <c r="BI217" s="197"/>
      <c r="BJ217" s="197"/>
      <c r="BK217" s="197"/>
      <c r="BL217" s="104">
        <v>213</v>
      </c>
      <c r="BM217" s="14">
        <f t="shared" si="316"/>
        <v>11</v>
      </c>
      <c r="BN217" s="14">
        <f>INDEX(挂机升级突破!$EI$7:$EI$26,BS217)</f>
        <v>5</v>
      </c>
      <c r="BO217" s="14">
        <f>INDEX(挂机升级突破!$EJ$7:$EJ$26,BS217)</f>
        <v>3</v>
      </c>
      <c r="BP217" s="14">
        <f t="shared" si="317"/>
        <v>4</v>
      </c>
      <c r="BQ217" s="14">
        <f>INDEX(挂机升级突破!$EH$7:$EH$26,卡牌消耗!BS217)</f>
        <v>87</v>
      </c>
      <c r="BR217" s="14" t="str">
        <f t="shared" si="318"/>
        <v>张飞</v>
      </c>
      <c r="BS217" s="14">
        <f t="shared" si="319"/>
        <v>13</v>
      </c>
      <c r="BT217" s="14" t="str">
        <f t="shared" si="320"/>
        <v>张飞13突</v>
      </c>
      <c r="BU217" s="14" t="str">
        <f>IF(BN217&gt;0,INDEX(挂机升级突破!$ER$5:$EV$5,卡牌消耗!BN217),"")</f>
        <v>金币</v>
      </c>
      <c r="BV217" s="14">
        <f>IF(BN217&gt;0,ROUND(INDEX(挂机升级突破!$EV$7:$EV$26,卡牌消耗!BS217)*INDEX(卡牌消耗!$B$8:$F$8,BP217)/$Q$4/500,0)*500,"")</f>
        <v>50000</v>
      </c>
      <c r="BW217" s="14" t="str">
        <f>IF(BO217&gt;0,INDEX(挂机升级突破!$ER$5:$EV$5,卡牌消耗!BO217),"")</f>
        <v>银母</v>
      </c>
      <c r="BX217" s="14">
        <f>IF(BO217&gt;0,ROUND(INDEX(挂机升级突破!$ER$7:$EU$26,卡牌消耗!BS217,卡牌消耗!BO217)*INDEX($B$6:$F$6,BP217)/$Q$4/5,0)*5,"")</f>
        <v>45</v>
      </c>
      <c r="BY217" s="193"/>
      <c r="BZ217" s="193"/>
      <c r="CA217" s="106"/>
      <c r="CS217" s="171"/>
      <c r="CT217" s="171"/>
      <c r="CU217" s="171"/>
      <c r="DI217" s="186">
        <v>213</v>
      </c>
      <c r="DJ217" s="14">
        <f t="shared" si="321"/>
        <v>43</v>
      </c>
      <c r="DK217" s="14">
        <f t="shared" si="306"/>
        <v>4</v>
      </c>
      <c r="DL217" s="14">
        <f t="shared" si="307"/>
        <v>1102016</v>
      </c>
      <c r="DM217" s="136" t="s">
        <v>1097</v>
      </c>
      <c r="DN217" s="14">
        <f t="shared" si="308"/>
        <v>3</v>
      </c>
      <c r="DO217" s="14" t="str">
        <f t="shared" si="309"/>
        <v>西方龙-3星</v>
      </c>
      <c r="DP217" s="136" t="s">
        <v>1103</v>
      </c>
      <c r="DQ217" s="14">
        <f t="shared" si="322"/>
        <v>14000</v>
      </c>
      <c r="DR217" s="14" t="str">
        <f t="shared" si="310"/>
        <v>西方龙碎片</v>
      </c>
      <c r="DS217" s="14">
        <f t="shared" si="323"/>
        <v>80</v>
      </c>
    </row>
    <row r="218" spans="8:123" ht="16.5" x14ac:dyDescent="0.2">
      <c r="H218" s="15"/>
      <c r="I218" s="15"/>
      <c r="J218" s="15"/>
      <c r="K218" s="15"/>
      <c r="L218" s="15"/>
      <c r="M218" s="15"/>
      <c r="N218" s="15"/>
      <c r="O218" s="137"/>
      <c r="P218" s="141"/>
      <c r="Q218" s="141"/>
      <c r="R218" s="141"/>
      <c r="S218" s="141"/>
      <c r="T218" s="141"/>
      <c r="U218" s="141"/>
      <c r="V218" s="141"/>
      <c r="W218" s="141"/>
      <c r="X218" s="141"/>
      <c r="Y218" s="141"/>
      <c r="Z218" s="141"/>
      <c r="AA218" s="194"/>
      <c r="AB218" s="194"/>
      <c r="AC218" s="194"/>
      <c r="AD218" s="194"/>
      <c r="AE218" s="194"/>
      <c r="AF218" s="194"/>
      <c r="AG218" s="197"/>
      <c r="AH218" s="194"/>
      <c r="AI218" s="194"/>
      <c r="AJ218" s="194"/>
      <c r="AK218" s="104">
        <v>214</v>
      </c>
      <c r="AL218" s="14">
        <f t="shared" si="311"/>
        <v>5</v>
      </c>
      <c r="AM218" s="14">
        <f>INDEX(挂机升级突破!DQ$6:DQ$57,卡牌消耗!$AT218)</f>
        <v>11</v>
      </c>
      <c r="AN218" s="14">
        <f>INDEX(挂机升级突破!DR$6:DR$57,卡牌消耗!$AT218)</f>
        <v>2</v>
      </c>
      <c r="AO218" s="14">
        <f>INDEX(挂机升级突破!DS$6:DS$57,卡牌消耗!$AT218)</f>
        <v>0</v>
      </c>
      <c r="AP218" s="14">
        <f>INDEX(挂机升级突破!$DP$6:$DP$57,卡牌消耗!AT218)</f>
        <v>28</v>
      </c>
      <c r="AQ218" s="14" t="str">
        <f t="shared" si="312"/>
        <v>李轩辕</v>
      </c>
      <c r="AR218" s="14">
        <f t="shared" si="313"/>
        <v>3</v>
      </c>
      <c r="AS218" s="14" t="str">
        <f t="shared" si="314"/>
        <v>李轩辕魂火-6</v>
      </c>
      <c r="AT218" s="14">
        <f t="shared" si="315"/>
        <v>6</v>
      </c>
      <c r="AU218" s="14" t="str">
        <f>IF(AM218&gt;0,INDEX(挂机升级突破!$DT$4:$ED$4,AM218),"")</f>
        <v>金币</v>
      </c>
      <c r="AV218" s="14">
        <f>ROUND(INDEX(挂机升级突破!$DJ$6:$DJ$57,卡牌消耗!AT218)*INDEX(卡牌消耗!$B$8:$F$8,AR218)/$Q$4/50,0)*50</f>
        <v>1250</v>
      </c>
      <c r="AW218" s="14" t="str">
        <f>IF(AN218&gt;0,INDEX(挂机升级突破!$DT$4:$ED$4,AN218),"")</f>
        <v>蓝色基础材料</v>
      </c>
      <c r="AX218" s="14">
        <f>ROUND(INDEX(挂机升级突破!$DT$6:$ED$57,卡牌消耗!AT218,AN218)*INDEX(卡牌消耗!$B$5:$F$5,AR218)/$Q$4/5,0)*5</f>
        <v>30</v>
      </c>
      <c r="AY218" s="14" t="str">
        <f>IF(AO218&gt;0,INDEX(挂机升级突破!$DT$4:$ED$4,AO218),"")</f>
        <v/>
      </c>
      <c r="AZ218" s="14" t="str">
        <f>IF(AO218&gt;0,ROUND(INDEX(挂机升级突破!$DT$6:$ED$57,卡牌消耗!AT218,AO218)*INDEX(卡牌消耗!$B$7:$F$7,AR218)/$Q$4,0),"")</f>
        <v/>
      </c>
      <c r="BA218" s="106"/>
      <c r="BB218" s="197"/>
      <c r="BC218" s="197"/>
      <c r="BD218" s="197"/>
      <c r="BE218" s="197"/>
      <c r="BF218" s="197"/>
      <c r="BG218" s="197"/>
      <c r="BH218" s="197"/>
      <c r="BI218" s="197"/>
      <c r="BJ218" s="197"/>
      <c r="BK218" s="197"/>
      <c r="BL218" s="104">
        <v>214</v>
      </c>
      <c r="BM218" s="14">
        <f t="shared" si="316"/>
        <v>11</v>
      </c>
      <c r="BN218" s="14">
        <f>INDEX(挂机升级突破!$EI$7:$EI$26,BS218)</f>
        <v>5</v>
      </c>
      <c r="BO218" s="14">
        <f>INDEX(挂机升级突破!$EJ$7:$EJ$26,BS218)</f>
        <v>3</v>
      </c>
      <c r="BP218" s="14">
        <f t="shared" si="317"/>
        <v>4</v>
      </c>
      <c r="BQ218" s="14">
        <f>INDEX(挂机升级突破!$EH$7:$EH$26,卡牌消耗!BS218)</f>
        <v>95</v>
      </c>
      <c r="BR218" s="14" t="str">
        <f t="shared" si="318"/>
        <v>张飞</v>
      </c>
      <c r="BS218" s="14">
        <f t="shared" si="319"/>
        <v>14</v>
      </c>
      <c r="BT218" s="14" t="str">
        <f t="shared" si="320"/>
        <v>张飞14突</v>
      </c>
      <c r="BU218" s="14" t="str">
        <f>IF(BN218&gt;0,INDEX(挂机升级突破!$ER$5:$EV$5,卡牌消耗!BN218),"")</f>
        <v>金币</v>
      </c>
      <c r="BV218" s="14">
        <f>IF(BN218&gt;0,ROUND(INDEX(挂机升级突破!$EV$7:$EV$26,卡牌消耗!BS218)*INDEX(卡牌消耗!$B$8:$F$8,BP218)/$Q$4/500,0)*500,"")</f>
        <v>50000</v>
      </c>
      <c r="BW218" s="14" t="str">
        <f>IF(BO218&gt;0,INDEX(挂机升级突破!$ER$5:$EV$5,卡牌消耗!BO218),"")</f>
        <v>银母</v>
      </c>
      <c r="BX218" s="14">
        <f>IF(BO218&gt;0,ROUND(INDEX(挂机升级突破!$ER$7:$EU$26,卡牌消耗!BS218,卡牌消耗!BO218)*INDEX($B$6:$F$6,BP218)/$Q$4/5,0)*5,"")</f>
        <v>65</v>
      </c>
      <c r="BY218" s="193"/>
      <c r="BZ218" s="193"/>
      <c r="CA218" s="106"/>
      <c r="CS218" s="171"/>
      <c r="CT218" s="171"/>
      <c r="CU218" s="171"/>
      <c r="DI218" s="186">
        <v>214</v>
      </c>
      <c r="DJ218" s="14">
        <f t="shared" si="321"/>
        <v>43</v>
      </c>
      <c r="DK218" s="14">
        <f t="shared" si="306"/>
        <v>4</v>
      </c>
      <c r="DL218" s="14">
        <f t="shared" si="307"/>
        <v>1102016</v>
      </c>
      <c r="DM218" s="136" t="s">
        <v>1097</v>
      </c>
      <c r="DN218" s="14">
        <f t="shared" si="308"/>
        <v>4</v>
      </c>
      <c r="DO218" s="14" t="str">
        <f t="shared" si="309"/>
        <v>西方龙-4星</v>
      </c>
      <c r="DP218" s="136" t="s">
        <v>1103</v>
      </c>
      <c r="DQ218" s="14">
        <f t="shared" si="322"/>
        <v>32000</v>
      </c>
      <c r="DR218" s="14" t="str">
        <f t="shared" si="310"/>
        <v>西方龙碎片</v>
      </c>
      <c r="DS218" s="14">
        <f t="shared" si="323"/>
        <v>80</v>
      </c>
    </row>
    <row r="219" spans="8:123" ht="16.5" x14ac:dyDescent="0.2">
      <c r="H219" s="15"/>
      <c r="I219" s="15"/>
      <c r="J219" s="15"/>
      <c r="K219" s="15"/>
      <c r="L219" s="15"/>
      <c r="M219" s="15"/>
      <c r="N219" s="15"/>
      <c r="O219" s="137"/>
      <c r="P219" s="141"/>
      <c r="Q219" s="141"/>
      <c r="R219" s="141"/>
      <c r="S219" s="141"/>
      <c r="T219" s="141"/>
      <c r="U219" s="141"/>
      <c r="V219" s="141"/>
      <c r="W219" s="141"/>
      <c r="X219" s="141"/>
      <c r="Y219" s="141"/>
      <c r="Z219" s="141"/>
      <c r="AA219" s="194"/>
      <c r="AB219" s="194"/>
      <c r="AC219" s="194"/>
      <c r="AD219" s="194"/>
      <c r="AE219" s="194"/>
      <c r="AF219" s="194"/>
      <c r="AG219" s="197"/>
      <c r="AH219" s="194"/>
      <c r="AI219" s="194"/>
      <c r="AJ219" s="194"/>
      <c r="AK219" s="104">
        <v>215</v>
      </c>
      <c r="AL219" s="14">
        <f t="shared" si="311"/>
        <v>5</v>
      </c>
      <c r="AM219" s="14">
        <f>INDEX(挂机升级突破!DQ$6:DQ$57,卡牌消耗!$AT219)</f>
        <v>11</v>
      </c>
      <c r="AN219" s="14">
        <f>INDEX(挂机升级突破!DR$6:DR$57,卡牌消耗!$AT219)</f>
        <v>2</v>
      </c>
      <c r="AO219" s="14">
        <f>INDEX(挂机升级突破!DS$6:DS$57,卡牌消耗!$AT219)</f>
        <v>0</v>
      </c>
      <c r="AP219" s="14">
        <f>INDEX(挂机升级突破!$DP$6:$DP$57,卡牌消耗!AT219)</f>
        <v>33</v>
      </c>
      <c r="AQ219" s="14" t="str">
        <f t="shared" si="312"/>
        <v>李轩辕</v>
      </c>
      <c r="AR219" s="14">
        <f t="shared" si="313"/>
        <v>3</v>
      </c>
      <c r="AS219" s="14" t="str">
        <f t="shared" si="314"/>
        <v>李轩辕魂火-7</v>
      </c>
      <c r="AT219" s="14">
        <f t="shared" si="315"/>
        <v>7</v>
      </c>
      <c r="AU219" s="14" t="str">
        <f>IF(AM219&gt;0,INDEX(挂机升级突破!$DT$4:$ED$4,AM219),"")</f>
        <v>金币</v>
      </c>
      <c r="AV219" s="14">
        <f>ROUND(INDEX(挂机升级突破!$DJ$6:$DJ$57,卡牌消耗!AT219)*INDEX(卡牌消耗!$B$8:$F$8,AR219)/$Q$4/50,0)*50</f>
        <v>1250</v>
      </c>
      <c r="AW219" s="14" t="str">
        <f>IF(AN219&gt;0,INDEX(挂机升级突破!$DT$4:$ED$4,AN219),"")</f>
        <v>蓝色基础材料</v>
      </c>
      <c r="AX219" s="14">
        <f>ROUND(INDEX(挂机升级突破!$DT$6:$ED$57,卡牌消耗!AT219,AN219)*INDEX(卡牌消耗!$B$5:$F$5,AR219)/$Q$4/5,0)*5</f>
        <v>30</v>
      </c>
      <c r="AY219" s="14" t="str">
        <f>IF(AO219&gt;0,INDEX(挂机升级突破!$DT$4:$ED$4,AO219),"")</f>
        <v/>
      </c>
      <c r="AZ219" s="14" t="str">
        <f>IF(AO219&gt;0,ROUND(INDEX(挂机升级突破!$DT$6:$ED$57,卡牌消耗!AT219,AO219)*INDEX(卡牌消耗!$B$7:$F$7,AR219)/$Q$4,0),"")</f>
        <v/>
      </c>
      <c r="BA219" s="106"/>
      <c r="BB219" s="197"/>
      <c r="BC219" s="197"/>
      <c r="BD219" s="197"/>
      <c r="BE219" s="197"/>
      <c r="BF219" s="197"/>
      <c r="BG219" s="197"/>
      <c r="BH219" s="197"/>
      <c r="BI219" s="197"/>
      <c r="BJ219" s="197"/>
      <c r="BK219" s="197"/>
      <c r="BL219" s="104">
        <v>215</v>
      </c>
      <c r="BM219" s="14">
        <f t="shared" si="316"/>
        <v>11</v>
      </c>
      <c r="BN219" s="14">
        <f>INDEX(挂机升级突破!$EI$7:$EI$26,BS219)</f>
        <v>5</v>
      </c>
      <c r="BO219" s="14">
        <f>INDEX(挂机升级突破!$EJ$7:$EJ$26,BS219)</f>
        <v>3</v>
      </c>
      <c r="BP219" s="14">
        <f t="shared" si="317"/>
        <v>4</v>
      </c>
      <c r="BQ219" s="14">
        <f>INDEX(挂机升级突破!$EH$7:$EH$26,卡牌消耗!BS219)</f>
        <v>102</v>
      </c>
      <c r="BR219" s="14" t="str">
        <f t="shared" si="318"/>
        <v>张飞</v>
      </c>
      <c r="BS219" s="14">
        <f t="shared" si="319"/>
        <v>15</v>
      </c>
      <c r="BT219" s="14" t="str">
        <f t="shared" si="320"/>
        <v>张飞15突</v>
      </c>
      <c r="BU219" s="14" t="str">
        <f>IF(BN219&gt;0,INDEX(挂机升级突破!$ER$5:$EV$5,卡牌消耗!BN219),"")</f>
        <v>金币</v>
      </c>
      <c r="BV219" s="14">
        <f>IF(BN219&gt;0,ROUND(INDEX(挂机升级突破!$EV$7:$EV$26,卡牌消耗!BS219)*INDEX(卡牌消耗!$B$8:$F$8,BP219)/$Q$4/500,0)*500,"")</f>
        <v>66500</v>
      </c>
      <c r="BW219" s="14" t="str">
        <f>IF(BO219&gt;0,INDEX(挂机升级突破!$ER$5:$EV$5,卡牌消耗!BO219),"")</f>
        <v>银母</v>
      </c>
      <c r="BX219" s="14">
        <f>IF(BO219&gt;0,ROUND(INDEX(挂机升级突破!$ER$7:$EU$26,卡牌消耗!BS219,卡牌消耗!BO219)*INDEX($B$6:$F$6,BP219)/$Q$4/5,0)*5,"")</f>
        <v>85</v>
      </c>
      <c r="BY219" s="193"/>
      <c r="BZ219" s="193"/>
      <c r="CA219" s="106"/>
      <c r="CS219" s="171"/>
      <c r="CT219" s="171"/>
      <c r="CU219" s="171"/>
      <c r="DI219" s="186">
        <v>215</v>
      </c>
      <c r="DJ219" s="14">
        <f t="shared" si="321"/>
        <v>43</v>
      </c>
      <c r="DK219" s="14">
        <f t="shared" si="306"/>
        <v>4</v>
      </c>
      <c r="DL219" s="14">
        <f t="shared" si="307"/>
        <v>1102016</v>
      </c>
      <c r="DM219" s="136" t="s">
        <v>1097</v>
      </c>
      <c r="DN219" s="14">
        <f t="shared" si="308"/>
        <v>5</v>
      </c>
      <c r="DO219" s="14" t="str">
        <f t="shared" si="309"/>
        <v>西方龙-5星</v>
      </c>
      <c r="DP219" s="136" t="s">
        <v>1103</v>
      </c>
      <c r="DQ219" s="14">
        <f t="shared" si="322"/>
        <v>60000</v>
      </c>
      <c r="DR219" s="14" t="str">
        <f t="shared" si="310"/>
        <v>西方龙碎片</v>
      </c>
      <c r="DS219" s="14">
        <f t="shared" si="323"/>
        <v>80</v>
      </c>
    </row>
    <row r="220" spans="8:123" ht="16.5" x14ac:dyDescent="0.2">
      <c r="H220" s="15"/>
      <c r="I220" s="15"/>
      <c r="J220" s="15"/>
      <c r="K220" s="15"/>
      <c r="L220" s="15"/>
      <c r="M220" s="15"/>
      <c r="N220" s="15"/>
      <c r="O220" s="137"/>
      <c r="P220" s="141"/>
      <c r="Q220" s="141"/>
      <c r="R220" s="141"/>
      <c r="S220" s="141"/>
      <c r="T220" s="141"/>
      <c r="U220" s="141"/>
      <c r="V220" s="141"/>
      <c r="W220" s="141"/>
      <c r="X220" s="141"/>
      <c r="Y220" s="141"/>
      <c r="Z220" s="141"/>
      <c r="AA220" s="194"/>
      <c r="AB220" s="194"/>
      <c r="AC220" s="194"/>
      <c r="AD220" s="194"/>
      <c r="AE220" s="194"/>
      <c r="AF220" s="194"/>
      <c r="AG220" s="197"/>
      <c r="AH220" s="194"/>
      <c r="AI220" s="194"/>
      <c r="AJ220" s="194"/>
      <c r="AK220" s="104">
        <v>216</v>
      </c>
      <c r="AL220" s="14">
        <f t="shared" si="311"/>
        <v>5</v>
      </c>
      <c r="AM220" s="14">
        <f>INDEX(挂机升级突破!DQ$6:DQ$57,卡牌消耗!$AT220)</f>
        <v>11</v>
      </c>
      <c r="AN220" s="14">
        <f>INDEX(挂机升级突破!DR$6:DR$57,卡牌消耗!$AT220)</f>
        <v>2</v>
      </c>
      <c r="AO220" s="14">
        <f>INDEX(挂机升级突破!DS$6:DS$57,卡牌消耗!$AT220)</f>
        <v>0</v>
      </c>
      <c r="AP220" s="14">
        <f>INDEX(挂机升级突破!$DP$6:$DP$57,卡牌消耗!AT220)</f>
        <v>38</v>
      </c>
      <c r="AQ220" s="14" t="str">
        <f t="shared" si="312"/>
        <v>李轩辕</v>
      </c>
      <c r="AR220" s="14">
        <f t="shared" si="313"/>
        <v>3</v>
      </c>
      <c r="AS220" s="14" t="str">
        <f t="shared" si="314"/>
        <v>李轩辕魂火-8</v>
      </c>
      <c r="AT220" s="14">
        <f t="shared" si="315"/>
        <v>8</v>
      </c>
      <c r="AU220" s="14" t="str">
        <f>IF(AM220&gt;0,INDEX(挂机升级突破!$DT$4:$ED$4,AM220),"")</f>
        <v>金币</v>
      </c>
      <c r="AV220" s="14">
        <f>ROUND(INDEX(挂机升级突破!$DJ$6:$DJ$57,卡牌消耗!AT220)*INDEX(卡牌消耗!$B$8:$F$8,AR220)/$Q$4/50,0)*50</f>
        <v>1900</v>
      </c>
      <c r="AW220" s="14" t="str">
        <f>IF(AN220&gt;0,INDEX(挂机升级突破!$DT$4:$ED$4,AN220),"")</f>
        <v>蓝色基础材料</v>
      </c>
      <c r="AX220" s="14">
        <f>ROUND(INDEX(挂机升级突破!$DT$6:$ED$57,卡牌消耗!AT220,AN220)*INDEX(卡牌消耗!$B$5:$F$5,AR220)/$Q$4/5,0)*5</f>
        <v>60</v>
      </c>
      <c r="AY220" s="14" t="str">
        <f>IF(AO220&gt;0,INDEX(挂机升级突破!$DT$4:$ED$4,AO220),"")</f>
        <v/>
      </c>
      <c r="AZ220" s="14" t="str">
        <f>IF(AO220&gt;0,ROUND(INDEX(挂机升级突破!$DT$6:$ED$57,卡牌消耗!AT220,AO220)*INDEX(卡牌消耗!$B$7:$F$7,AR220)/$Q$4,0),"")</f>
        <v/>
      </c>
      <c r="BA220" s="106"/>
      <c r="BB220" s="197"/>
      <c r="BC220" s="197"/>
      <c r="BD220" s="197"/>
      <c r="BE220" s="197"/>
      <c r="BF220" s="197"/>
      <c r="BG220" s="197"/>
      <c r="BH220" s="197"/>
      <c r="BI220" s="197"/>
      <c r="BJ220" s="197"/>
      <c r="BK220" s="197"/>
      <c r="BL220" s="104">
        <v>216</v>
      </c>
      <c r="BM220" s="14">
        <f t="shared" si="316"/>
        <v>11</v>
      </c>
      <c r="BN220" s="14">
        <f>INDEX(挂机升级突破!$EI$7:$EI$26,BS220)</f>
        <v>5</v>
      </c>
      <c r="BO220" s="14">
        <f>INDEX(挂机升级突破!$EJ$7:$EJ$26,BS220)</f>
        <v>3</v>
      </c>
      <c r="BP220" s="14">
        <f t="shared" si="317"/>
        <v>4</v>
      </c>
      <c r="BQ220" s="14">
        <f>INDEX(挂机升级突破!$EH$7:$EH$26,卡牌消耗!BS220)</f>
        <v>110</v>
      </c>
      <c r="BR220" s="14" t="str">
        <f t="shared" si="318"/>
        <v>张飞</v>
      </c>
      <c r="BS220" s="14">
        <f t="shared" si="319"/>
        <v>16</v>
      </c>
      <c r="BT220" s="14" t="str">
        <f t="shared" si="320"/>
        <v>张飞16突</v>
      </c>
      <c r="BU220" s="14" t="str">
        <f>IF(BN220&gt;0,INDEX(挂机升级突破!$ER$5:$EV$5,卡牌消耗!BN220),"")</f>
        <v>金币</v>
      </c>
      <c r="BV220" s="14">
        <f>IF(BN220&gt;0,ROUND(INDEX(挂机升级突破!$EV$7:$EV$26,卡牌消耗!BS220)*INDEX(卡牌消耗!$B$8:$F$8,BP220)/$Q$4/500,0)*500,"")</f>
        <v>121000</v>
      </c>
      <c r="BW220" s="14" t="str">
        <f>IF(BO220&gt;0,INDEX(挂机升级突破!$ER$5:$EV$5,卡牌消耗!BO220),"")</f>
        <v>银母</v>
      </c>
      <c r="BX220" s="14">
        <f>IF(BO220&gt;0,ROUND(INDEX(挂机升级突破!$ER$7:$EU$26,卡牌消耗!BS220,卡牌消耗!BO220)*INDEX($B$6:$F$6,BP220)/$Q$4/5,0)*5,"")</f>
        <v>110</v>
      </c>
      <c r="BY220" s="193"/>
      <c r="BZ220" s="193"/>
      <c r="CA220" s="106"/>
      <c r="CS220" s="171"/>
      <c r="CT220" s="171"/>
      <c r="CU220" s="171"/>
      <c r="DI220" s="186">
        <v>216</v>
      </c>
      <c r="DJ220" s="14">
        <f t="shared" si="321"/>
        <v>44</v>
      </c>
      <c r="DK220" s="14">
        <f t="shared" si="306"/>
        <v>3</v>
      </c>
      <c r="DL220" s="14">
        <f t="shared" si="307"/>
        <v>1102017</v>
      </c>
      <c r="DM220" s="136" t="s">
        <v>1097</v>
      </c>
      <c r="DN220" s="14">
        <f t="shared" si="308"/>
        <v>1</v>
      </c>
      <c r="DO220" s="14" t="str">
        <f t="shared" si="309"/>
        <v>飞廉-1星</v>
      </c>
      <c r="DP220" s="136" t="s">
        <v>1103</v>
      </c>
      <c r="DQ220" s="14">
        <f t="shared" si="322"/>
        <v>4000</v>
      </c>
      <c r="DR220" s="14" t="str">
        <f t="shared" si="310"/>
        <v>飞廉碎片</v>
      </c>
      <c r="DS220" s="14">
        <f t="shared" si="323"/>
        <v>40</v>
      </c>
    </row>
    <row r="221" spans="8:123" ht="16.5" x14ac:dyDescent="0.2">
      <c r="H221" s="15"/>
      <c r="I221" s="15"/>
      <c r="J221" s="15"/>
      <c r="K221" s="15"/>
      <c r="L221" s="15"/>
      <c r="M221" s="15"/>
      <c r="N221" s="15"/>
      <c r="O221" s="137"/>
      <c r="P221" s="141"/>
      <c r="Q221" s="141"/>
      <c r="R221" s="141"/>
      <c r="S221" s="141"/>
      <c r="T221" s="141"/>
      <c r="U221" s="141"/>
      <c r="V221" s="141"/>
      <c r="W221" s="141"/>
      <c r="X221" s="141"/>
      <c r="Y221" s="141"/>
      <c r="Z221" s="141"/>
      <c r="AA221" s="194"/>
      <c r="AB221" s="194"/>
      <c r="AC221" s="194"/>
      <c r="AD221" s="194"/>
      <c r="AE221" s="194"/>
      <c r="AF221" s="194"/>
      <c r="AG221" s="197"/>
      <c r="AH221" s="194"/>
      <c r="AI221" s="194"/>
      <c r="AJ221" s="194"/>
      <c r="AK221" s="104">
        <v>217</v>
      </c>
      <c r="AL221" s="14">
        <f t="shared" si="311"/>
        <v>5</v>
      </c>
      <c r="AM221" s="14">
        <f>INDEX(挂机升级突破!DQ$6:DQ$57,卡牌消耗!$AT221)</f>
        <v>11</v>
      </c>
      <c r="AN221" s="14">
        <f>INDEX(挂机升级突破!DR$6:DR$57,卡牌消耗!$AT221)</f>
        <v>2</v>
      </c>
      <c r="AO221" s="14">
        <f>INDEX(挂机升级突破!DS$6:DS$57,卡牌消耗!$AT221)</f>
        <v>0</v>
      </c>
      <c r="AP221" s="14">
        <f>INDEX(挂机升级突破!$DP$6:$DP$57,卡牌消耗!AT221)</f>
        <v>40</v>
      </c>
      <c r="AQ221" s="14" t="str">
        <f t="shared" si="312"/>
        <v>李轩辕</v>
      </c>
      <c r="AR221" s="14">
        <f t="shared" si="313"/>
        <v>3</v>
      </c>
      <c r="AS221" s="14" t="str">
        <f t="shared" si="314"/>
        <v>李轩辕魂火-9</v>
      </c>
      <c r="AT221" s="14">
        <f t="shared" si="315"/>
        <v>9</v>
      </c>
      <c r="AU221" s="14" t="str">
        <f>IF(AM221&gt;0,INDEX(挂机升级突破!$DT$4:$ED$4,AM221),"")</f>
        <v>金币</v>
      </c>
      <c r="AV221" s="14">
        <f>ROUND(INDEX(挂机升级突破!$DJ$6:$DJ$57,卡牌消耗!AT221)*INDEX(卡牌消耗!$B$8:$F$8,AR221)/$Q$4/50,0)*50</f>
        <v>1900</v>
      </c>
      <c r="AW221" s="14" t="str">
        <f>IF(AN221&gt;0,INDEX(挂机升级突破!$DT$4:$ED$4,AN221),"")</f>
        <v>蓝色基础材料</v>
      </c>
      <c r="AX221" s="14">
        <f>ROUND(INDEX(挂机升级突破!$DT$6:$ED$57,卡牌消耗!AT221,AN221)*INDEX(卡牌消耗!$B$5:$F$5,AR221)/$Q$4/5,0)*5</f>
        <v>60</v>
      </c>
      <c r="AY221" s="14" t="str">
        <f>IF(AO221&gt;0,INDEX(挂机升级突破!$DT$4:$ED$4,AO221),"")</f>
        <v/>
      </c>
      <c r="AZ221" s="14" t="str">
        <f>IF(AO221&gt;0,ROUND(INDEX(挂机升级突破!$DT$6:$ED$57,卡牌消耗!AT221,AO221)*INDEX(卡牌消耗!$B$7:$F$7,AR221)/$Q$4,0),"")</f>
        <v/>
      </c>
      <c r="BA221" s="106"/>
      <c r="BB221" s="197"/>
      <c r="BC221" s="197"/>
      <c r="BD221" s="197"/>
      <c r="BE221" s="197"/>
      <c r="BF221" s="197"/>
      <c r="BG221" s="197"/>
      <c r="BH221" s="197"/>
      <c r="BI221" s="197"/>
      <c r="BJ221" s="197"/>
      <c r="BK221" s="197"/>
      <c r="BL221" s="104">
        <v>217</v>
      </c>
      <c r="BM221" s="14">
        <f t="shared" si="316"/>
        <v>11</v>
      </c>
      <c r="BN221" s="14">
        <f>INDEX(挂机升级突破!$EI$7:$EI$26,BS221)</f>
        <v>5</v>
      </c>
      <c r="BO221" s="14">
        <f>INDEX(挂机升级突破!$EJ$7:$EJ$26,BS221)</f>
        <v>4</v>
      </c>
      <c r="BP221" s="14">
        <f t="shared" si="317"/>
        <v>4</v>
      </c>
      <c r="BQ221" s="14">
        <f>INDEX(挂机升级突破!$EH$7:$EH$26,卡牌消耗!BS221)</f>
        <v>117</v>
      </c>
      <c r="BR221" s="14" t="str">
        <f t="shared" si="318"/>
        <v>张飞</v>
      </c>
      <c r="BS221" s="14">
        <f t="shared" si="319"/>
        <v>17</v>
      </c>
      <c r="BT221" s="14" t="str">
        <f t="shared" si="320"/>
        <v>张飞17突</v>
      </c>
      <c r="BU221" s="14" t="str">
        <f>IF(BN221&gt;0,INDEX(挂机升级突破!$ER$5:$EV$5,卡牌消耗!BN221),"")</f>
        <v>金币</v>
      </c>
      <c r="BV221" s="14">
        <f>IF(BN221&gt;0,ROUND(INDEX(挂机升级突破!$EV$7:$EV$26,卡牌消耗!BS221)*INDEX(卡牌消耗!$B$8:$F$8,BP221)/$Q$4/500,0)*500,"")</f>
        <v>121000</v>
      </c>
      <c r="BW221" s="14" t="str">
        <f>IF(BO221&gt;0,INDEX(挂机升级突破!$ER$5:$EV$5,卡牌消耗!BO221),"")</f>
        <v>铀金</v>
      </c>
      <c r="BX221" s="14">
        <f>IF(BO221&gt;0,ROUND(INDEX(挂机升级突破!$ER$7:$EU$26,卡牌消耗!BS221,卡牌消耗!BO221)*INDEX($B$6:$F$6,BP221)/$Q$4/5,0)*5,"")</f>
        <v>20</v>
      </c>
      <c r="BY221" s="193"/>
      <c r="BZ221" s="193"/>
      <c r="CA221" s="106"/>
      <c r="CS221" s="171"/>
      <c r="CT221" s="171"/>
      <c r="CU221" s="171"/>
      <c r="DI221" s="186">
        <v>217</v>
      </c>
      <c r="DJ221" s="14">
        <f t="shared" si="321"/>
        <v>44</v>
      </c>
      <c r="DK221" s="14">
        <f t="shared" si="306"/>
        <v>3</v>
      </c>
      <c r="DL221" s="14">
        <f t="shared" si="307"/>
        <v>1102017</v>
      </c>
      <c r="DM221" s="136" t="s">
        <v>1097</v>
      </c>
      <c r="DN221" s="14">
        <f t="shared" si="308"/>
        <v>2</v>
      </c>
      <c r="DO221" s="14" t="str">
        <f t="shared" si="309"/>
        <v>飞廉-2星</v>
      </c>
      <c r="DP221" s="136" t="s">
        <v>1103</v>
      </c>
      <c r="DQ221" s="14">
        <f t="shared" si="322"/>
        <v>5000</v>
      </c>
      <c r="DR221" s="14" t="str">
        <f t="shared" si="310"/>
        <v>飞廉碎片</v>
      </c>
      <c r="DS221" s="14">
        <f t="shared" si="323"/>
        <v>40</v>
      </c>
    </row>
    <row r="222" spans="8:123" ht="16.5" x14ac:dyDescent="0.2">
      <c r="H222" s="15"/>
      <c r="I222" s="15"/>
      <c r="J222" s="15"/>
      <c r="K222" s="15"/>
      <c r="L222" s="15"/>
      <c r="M222" s="15"/>
      <c r="N222" s="15"/>
      <c r="O222" s="137"/>
      <c r="P222" s="141"/>
      <c r="Q222" s="141"/>
      <c r="R222" s="141"/>
      <c r="S222" s="141"/>
      <c r="T222" s="141"/>
      <c r="U222" s="141"/>
      <c r="V222" s="141"/>
      <c r="W222" s="141"/>
      <c r="X222" s="141"/>
      <c r="Y222" s="141"/>
      <c r="Z222" s="141"/>
      <c r="AA222" s="194"/>
      <c r="AB222" s="194"/>
      <c r="AC222" s="194"/>
      <c r="AD222" s="194"/>
      <c r="AE222" s="194"/>
      <c r="AF222" s="194"/>
      <c r="AG222" s="197"/>
      <c r="AH222" s="194"/>
      <c r="AI222" s="194"/>
      <c r="AJ222" s="194"/>
      <c r="AK222" s="104">
        <v>218</v>
      </c>
      <c r="AL222" s="14">
        <f t="shared" si="311"/>
        <v>5</v>
      </c>
      <c r="AM222" s="14">
        <f>INDEX(挂机升级突破!DQ$6:DQ$57,卡牌消耗!$AT222)</f>
        <v>11</v>
      </c>
      <c r="AN222" s="14">
        <f>INDEX(挂机升级突破!DR$6:DR$57,卡牌消耗!$AT222)</f>
        <v>2</v>
      </c>
      <c r="AO222" s="14">
        <f>INDEX(挂机升级突破!DS$6:DS$57,卡牌消耗!$AT222)</f>
        <v>0</v>
      </c>
      <c r="AP222" s="14">
        <f>INDEX(挂机升级突破!$DP$6:$DP$57,卡牌消耗!AT222)</f>
        <v>43</v>
      </c>
      <c r="AQ222" s="14" t="str">
        <f t="shared" si="312"/>
        <v>李轩辕</v>
      </c>
      <c r="AR222" s="14">
        <f t="shared" si="313"/>
        <v>3</v>
      </c>
      <c r="AS222" s="14" t="str">
        <f t="shared" si="314"/>
        <v>李轩辕魂火-10</v>
      </c>
      <c r="AT222" s="14">
        <f t="shared" si="315"/>
        <v>10</v>
      </c>
      <c r="AU222" s="14" t="str">
        <f>IF(AM222&gt;0,INDEX(挂机升级突破!$DT$4:$ED$4,AM222),"")</f>
        <v>金币</v>
      </c>
      <c r="AV222" s="14">
        <f>ROUND(INDEX(挂机升级突破!$DJ$6:$DJ$57,卡牌消耗!AT222)*INDEX(卡牌消耗!$B$8:$F$8,AR222)/$Q$4/50,0)*50</f>
        <v>3200</v>
      </c>
      <c r="AW222" s="14" t="str">
        <f>IF(AN222&gt;0,INDEX(挂机升级突破!$DT$4:$ED$4,AN222),"")</f>
        <v>蓝色基础材料</v>
      </c>
      <c r="AX222" s="14">
        <f>ROUND(INDEX(挂机升级突破!$DT$6:$ED$57,卡牌消耗!AT222,AN222)*INDEX(卡牌消耗!$B$5:$F$5,AR222)/$Q$4/5,0)*5</f>
        <v>85</v>
      </c>
      <c r="AY222" s="14" t="str">
        <f>IF(AO222&gt;0,INDEX(挂机升级突破!$DT$4:$ED$4,AO222),"")</f>
        <v/>
      </c>
      <c r="AZ222" s="14" t="str">
        <f>IF(AO222&gt;0,ROUND(INDEX(挂机升级突破!$DT$6:$ED$57,卡牌消耗!AT222,AO222)*INDEX(卡牌消耗!$B$7:$F$7,AR222)/$Q$4,0),"")</f>
        <v/>
      </c>
      <c r="BA222" s="106"/>
      <c r="BB222" s="197"/>
      <c r="BC222" s="197"/>
      <c r="BD222" s="197"/>
      <c r="BE222" s="197"/>
      <c r="BF222" s="197"/>
      <c r="BG222" s="197"/>
      <c r="BH222" s="197"/>
      <c r="BI222" s="197"/>
      <c r="BJ222" s="197"/>
      <c r="BK222" s="197"/>
      <c r="BL222" s="104">
        <v>218</v>
      </c>
      <c r="BM222" s="14">
        <f t="shared" si="316"/>
        <v>11</v>
      </c>
      <c r="BN222" s="14">
        <f>INDEX(挂机升级突破!$EI$7:$EI$26,BS222)</f>
        <v>5</v>
      </c>
      <c r="BO222" s="14">
        <f>INDEX(挂机升级突破!$EJ$7:$EJ$26,BS222)</f>
        <v>4</v>
      </c>
      <c r="BP222" s="14">
        <f t="shared" si="317"/>
        <v>4</v>
      </c>
      <c r="BQ222" s="14">
        <f>INDEX(挂机升级突破!$EH$7:$EH$26,卡牌消耗!BS222)</f>
        <v>125</v>
      </c>
      <c r="BR222" s="14" t="str">
        <f t="shared" si="318"/>
        <v>张飞</v>
      </c>
      <c r="BS222" s="14">
        <f t="shared" si="319"/>
        <v>18</v>
      </c>
      <c r="BT222" s="14" t="str">
        <f t="shared" si="320"/>
        <v>张飞18突</v>
      </c>
      <c r="BU222" s="14" t="str">
        <f>IF(BN222&gt;0,INDEX(挂机升级突破!$ER$5:$EV$5,卡牌消耗!BN222),"")</f>
        <v>金币</v>
      </c>
      <c r="BV222" s="14">
        <f>IF(BN222&gt;0,ROUND(INDEX(挂机升级突破!$EV$7:$EV$26,卡牌消耗!BS222)*INDEX(卡牌消耗!$B$8:$F$8,BP222)/$Q$4/500,0)*500,"")</f>
        <v>161000</v>
      </c>
      <c r="BW222" s="14" t="str">
        <f>IF(BO222&gt;0,INDEX(挂机升级突破!$ER$5:$EV$5,卡牌消耗!BO222),"")</f>
        <v>铀金</v>
      </c>
      <c r="BX222" s="14">
        <f>IF(BO222&gt;0,ROUND(INDEX(挂机升级突破!$ER$7:$EU$26,卡牌消耗!BS222,卡牌消耗!BO222)*INDEX($B$6:$F$6,BP222)/$Q$4/5,0)*5,"")</f>
        <v>30</v>
      </c>
      <c r="BY222" s="193"/>
      <c r="BZ222" s="193"/>
      <c r="CA222" s="106"/>
      <c r="CS222" s="171"/>
      <c r="CT222" s="171"/>
      <c r="CU222" s="171"/>
      <c r="DI222" s="186">
        <v>218</v>
      </c>
      <c r="DJ222" s="14">
        <f t="shared" si="321"/>
        <v>44</v>
      </c>
      <c r="DK222" s="14">
        <f t="shared" si="306"/>
        <v>3</v>
      </c>
      <c r="DL222" s="14">
        <f t="shared" si="307"/>
        <v>1102017</v>
      </c>
      <c r="DM222" s="136" t="s">
        <v>1097</v>
      </c>
      <c r="DN222" s="14">
        <f t="shared" si="308"/>
        <v>3</v>
      </c>
      <c r="DO222" s="14" t="str">
        <f t="shared" si="309"/>
        <v>飞廉-3星</v>
      </c>
      <c r="DP222" s="136" t="s">
        <v>1103</v>
      </c>
      <c r="DQ222" s="14">
        <f t="shared" si="322"/>
        <v>10000</v>
      </c>
      <c r="DR222" s="14" t="str">
        <f t="shared" si="310"/>
        <v>飞廉碎片</v>
      </c>
      <c r="DS222" s="14">
        <f t="shared" si="323"/>
        <v>40</v>
      </c>
    </row>
    <row r="223" spans="8:123" ht="16.5" x14ac:dyDescent="0.2">
      <c r="H223" s="15"/>
      <c r="I223" s="15"/>
      <c r="J223" s="15"/>
      <c r="K223" s="15"/>
      <c r="L223" s="15"/>
      <c r="M223" s="15"/>
      <c r="N223" s="15"/>
      <c r="O223" s="137"/>
      <c r="P223" s="141"/>
      <c r="Q223" s="141"/>
      <c r="R223" s="141"/>
      <c r="S223" s="141"/>
      <c r="T223" s="141"/>
      <c r="U223" s="141"/>
      <c r="V223" s="141"/>
      <c r="W223" s="141"/>
      <c r="X223" s="141"/>
      <c r="Y223" s="141"/>
      <c r="Z223" s="141"/>
      <c r="AA223" s="194"/>
      <c r="AB223" s="194"/>
      <c r="AC223" s="194"/>
      <c r="AD223" s="194"/>
      <c r="AE223" s="194"/>
      <c r="AF223" s="194"/>
      <c r="AG223" s="197"/>
      <c r="AH223" s="194"/>
      <c r="AI223" s="194"/>
      <c r="AJ223" s="194"/>
      <c r="AK223" s="104">
        <v>219</v>
      </c>
      <c r="AL223" s="14">
        <f t="shared" si="311"/>
        <v>5</v>
      </c>
      <c r="AM223" s="14">
        <f>INDEX(挂机升级突破!DQ$6:DQ$57,卡牌消耗!$AT223)</f>
        <v>11</v>
      </c>
      <c r="AN223" s="14">
        <f>INDEX(挂机升级突破!DR$6:DR$57,卡牌消耗!$AT223)</f>
        <v>2</v>
      </c>
      <c r="AO223" s="14">
        <f>INDEX(挂机升级突破!DS$6:DS$57,卡牌消耗!$AT223)</f>
        <v>0</v>
      </c>
      <c r="AP223" s="14">
        <f>INDEX(挂机升级突破!$DP$6:$DP$57,卡牌消耗!AT223)</f>
        <v>45</v>
      </c>
      <c r="AQ223" s="14" t="str">
        <f t="shared" si="312"/>
        <v>李轩辕</v>
      </c>
      <c r="AR223" s="14">
        <f t="shared" si="313"/>
        <v>3</v>
      </c>
      <c r="AS223" s="14" t="str">
        <f t="shared" si="314"/>
        <v>李轩辕魂火-11</v>
      </c>
      <c r="AT223" s="14">
        <f t="shared" si="315"/>
        <v>11</v>
      </c>
      <c r="AU223" s="14" t="str">
        <f>IF(AM223&gt;0,INDEX(挂机升级突破!$DT$4:$ED$4,AM223),"")</f>
        <v>金币</v>
      </c>
      <c r="AV223" s="14">
        <f>ROUND(INDEX(挂机升级突破!$DJ$6:$DJ$57,卡牌消耗!AT223)*INDEX(卡牌消耗!$B$8:$F$8,AR223)/$Q$4/50,0)*50</f>
        <v>3200</v>
      </c>
      <c r="AW223" s="14" t="str">
        <f>IF(AN223&gt;0,INDEX(挂机升级突破!$DT$4:$ED$4,AN223),"")</f>
        <v>蓝色基础材料</v>
      </c>
      <c r="AX223" s="14">
        <f>ROUND(INDEX(挂机升级突破!$DT$6:$ED$57,卡牌消耗!AT223,AN223)*INDEX(卡牌消耗!$B$5:$F$5,AR223)/$Q$4/5,0)*5</f>
        <v>85</v>
      </c>
      <c r="AY223" s="14" t="str">
        <f>IF(AO223&gt;0,INDEX(挂机升级突破!$DT$4:$ED$4,AO223),"")</f>
        <v/>
      </c>
      <c r="AZ223" s="14" t="str">
        <f>IF(AO223&gt;0,ROUND(INDEX(挂机升级突破!$DT$6:$ED$57,卡牌消耗!AT223,AO223)*INDEX(卡牌消耗!$B$7:$F$7,AR223)/$Q$4,0),"")</f>
        <v/>
      </c>
      <c r="BA223" s="106"/>
      <c r="BB223" s="197"/>
      <c r="BC223" s="197"/>
      <c r="BD223" s="197"/>
      <c r="BE223" s="197"/>
      <c r="BF223" s="197"/>
      <c r="BG223" s="197"/>
      <c r="BH223" s="197"/>
      <c r="BI223" s="197"/>
      <c r="BJ223" s="197"/>
      <c r="BK223" s="197"/>
      <c r="BL223" s="104">
        <v>219</v>
      </c>
      <c r="BM223" s="14">
        <f t="shared" si="316"/>
        <v>11</v>
      </c>
      <c r="BN223" s="14">
        <f>INDEX(挂机升级突破!$EI$7:$EI$26,BS223)</f>
        <v>5</v>
      </c>
      <c r="BO223" s="14">
        <f>INDEX(挂机升级突破!$EJ$7:$EJ$26,BS223)</f>
        <v>4</v>
      </c>
      <c r="BP223" s="14">
        <f t="shared" si="317"/>
        <v>4</v>
      </c>
      <c r="BQ223" s="14">
        <f>INDEX(挂机升级突破!$EH$7:$EH$26,卡牌消耗!BS223)</f>
        <v>132</v>
      </c>
      <c r="BR223" s="14" t="str">
        <f t="shared" si="318"/>
        <v>张飞</v>
      </c>
      <c r="BS223" s="14">
        <f t="shared" si="319"/>
        <v>19</v>
      </c>
      <c r="BT223" s="14" t="str">
        <f t="shared" si="320"/>
        <v>张飞19突</v>
      </c>
      <c r="BU223" s="14" t="str">
        <f>IF(BN223&gt;0,INDEX(挂机升级突破!$ER$5:$EV$5,卡牌消耗!BN223),"")</f>
        <v>金币</v>
      </c>
      <c r="BV223" s="14">
        <f>IF(BN223&gt;0,ROUND(INDEX(挂机升级突破!$EV$7:$EV$26,卡牌消耗!BS223)*INDEX(卡牌消耗!$B$8:$F$8,BP223)/$Q$4/500,0)*500,"")</f>
        <v>410500</v>
      </c>
      <c r="BW223" s="14" t="str">
        <f>IF(BO223&gt;0,INDEX(挂机升级突破!$ER$5:$EV$5,卡牌消耗!BO223),"")</f>
        <v>铀金</v>
      </c>
      <c r="BX223" s="14">
        <f>IF(BO223&gt;0,ROUND(INDEX(挂机升级突破!$ER$7:$EU$26,卡牌消耗!BS223,卡牌消耗!BO223)*INDEX($B$6:$F$6,BP223)/$Q$4/5,0)*5,"")</f>
        <v>40</v>
      </c>
      <c r="BY223" s="193"/>
      <c r="BZ223" s="193"/>
      <c r="CA223" s="106"/>
      <c r="CS223" s="171"/>
      <c r="CT223" s="171"/>
      <c r="CU223" s="171"/>
      <c r="DI223" s="186">
        <v>219</v>
      </c>
      <c r="DJ223" s="14">
        <f t="shared" si="321"/>
        <v>44</v>
      </c>
      <c r="DK223" s="14">
        <f t="shared" si="306"/>
        <v>3</v>
      </c>
      <c r="DL223" s="14">
        <f t="shared" si="307"/>
        <v>1102017</v>
      </c>
      <c r="DM223" s="136" t="s">
        <v>1097</v>
      </c>
      <c r="DN223" s="14">
        <f t="shared" si="308"/>
        <v>4</v>
      </c>
      <c r="DO223" s="14" t="str">
        <f t="shared" si="309"/>
        <v>飞廉-4星</v>
      </c>
      <c r="DP223" s="136" t="s">
        <v>1103</v>
      </c>
      <c r="DQ223" s="14">
        <f t="shared" si="322"/>
        <v>20000</v>
      </c>
      <c r="DR223" s="14" t="str">
        <f t="shared" si="310"/>
        <v>飞廉碎片</v>
      </c>
      <c r="DS223" s="14">
        <f t="shared" si="323"/>
        <v>40</v>
      </c>
    </row>
    <row r="224" spans="8:123" ht="16.5" x14ac:dyDescent="0.2">
      <c r="H224" s="15"/>
      <c r="I224" s="15"/>
      <c r="J224" s="15"/>
      <c r="K224" s="15"/>
      <c r="L224" s="15"/>
      <c r="M224" s="15"/>
      <c r="N224" s="15"/>
      <c r="O224" s="137"/>
      <c r="P224" s="141"/>
      <c r="Q224" s="141"/>
      <c r="R224" s="141"/>
      <c r="S224" s="141"/>
      <c r="T224" s="141"/>
      <c r="U224" s="141"/>
      <c r="V224" s="141"/>
      <c r="W224" s="141"/>
      <c r="X224" s="141"/>
      <c r="Y224" s="141"/>
      <c r="Z224" s="141"/>
      <c r="AA224" s="194"/>
      <c r="AB224" s="194"/>
      <c r="AC224" s="194"/>
      <c r="AD224" s="194"/>
      <c r="AE224" s="194"/>
      <c r="AF224" s="194"/>
      <c r="AG224" s="197"/>
      <c r="AH224" s="194"/>
      <c r="AI224" s="194"/>
      <c r="AJ224" s="194"/>
      <c r="AK224" s="104">
        <v>220</v>
      </c>
      <c r="AL224" s="14">
        <f t="shared" si="311"/>
        <v>5</v>
      </c>
      <c r="AM224" s="14">
        <f>INDEX(挂机升级突破!DQ$6:DQ$57,卡牌消耗!$AT224)</f>
        <v>11</v>
      </c>
      <c r="AN224" s="14">
        <f>INDEX(挂机升级突破!DR$6:DR$57,卡牌消耗!$AT224)</f>
        <v>2</v>
      </c>
      <c r="AO224" s="14">
        <f>INDEX(挂机升级突破!DS$6:DS$57,卡牌消耗!$AT224)</f>
        <v>0</v>
      </c>
      <c r="AP224" s="14">
        <f>INDEX(挂机升级突破!$DP$6:$DP$57,卡牌消耗!AT224)</f>
        <v>48</v>
      </c>
      <c r="AQ224" s="14" t="str">
        <f t="shared" si="312"/>
        <v>李轩辕</v>
      </c>
      <c r="AR224" s="14">
        <f t="shared" si="313"/>
        <v>3</v>
      </c>
      <c r="AS224" s="14" t="str">
        <f t="shared" si="314"/>
        <v>李轩辕魂火-12</v>
      </c>
      <c r="AT224" s="14">
        <f t="shared" si="315"/>
        <v>12</v>
      </c>
      <c r="AU224" s="14" t="str">
        <f>IF(AM224&gt;0,INDEX(挂机升级突破!$DT$4:$ED$4,AM224),"")</f>
        <v>金币</v>
      </c>
      <c r="AV224" s="14">
        <f>ROUND(INDEX(挂机升级突破!$DJ$6:$DJ$57,卡牌消耗!AT224)*INDEX(卡牌消耗!$B$8:$F$8,AR224)/$Q$4/50,0)*50</f>
        <v>2750</v>
      </c>
      <c r="AW224" s="14" t="str">
        <f>IF(AN224&gt;0,INDEX(挂机升级突破!$DT$4:$ED$4,AN224),"")</f>
        <v>蓝色基础材料</v>
      </c>
      <c r="AX224" s="14">
        <f>ROUND(INDEX(挂机升级突破!$DT$6:$ED$57,卡牌消耗!AT224,AN224)*INDEX(卡牌消耗!$B$5:$F$5,AR224)/$Q$4/5,0)*5</f>
        <v>115</v>
      </c>
      <c r="AY224" s="14" t="str">
        <f>IF(AO224&gt;0,INDEX(挂机升级突破!$DT$4:$ED$4,AO224),"")</f>
        <v/>
      </c>
      <c r="AZ224" s="14" t="str">
        <f>IF(AO224&gt;0,ROUND(INDEX(挂机升级突破!$DT$6:$ED$57,卡牌消耗!AT224,AO224)*INDEX(卡牌消耗!$B$7:$F$7,AR224)/$Q$4,0),"")</f>
        <v/>
      </c>
      <c r="BA224" s="106"/>
      <c r="BB224" s="197"/>
      <c r="BC224" s="197"/>
      <c r="BD224" s="197"/>
      <c r="BE224" s="197"/>
      <c r="BF224" s="197"/>
      <c r="BG224" s="197"/>
      <c r="BH224" s="197"/>
      <c r="BI224" s="197"/>
      <c r="BJ224" s="197"/>
      <c r="BK224" s="197"/>
      <c r="BL224" s="104">
        <v>220</v>
      </c>
      <c r="BM224" s="14">
        <f t="shared" si="316"/>
        <v>11</v>
      </c>
      <c r="BN224" s="14">
        <f>INDEX(挂机升级突破!$EI$7:$EI$26,BS224)</f>
        <v>5</v>
      </c>
      <c r="BO224" s="14">
        <f>INDEX(挂机升级突破!$EJ$7:$EJ$26,BS224)</f>
        <v>4</v>
      </c>
      <c r="BP224" s="14">
        <f t="shared" si="317"/>
        <v>4</v>
      </c>
      <c r="BQ224" s="14">
        <f>INDEX(挂机升级突破!$EH$7:$EH$26,卡牌消耗!BS224)</f>
        <v>140</v>
      </c>
      <c r="BR224" s="14" t="str">
        <f t="shared" si="318"/>
        <v>张飞</v>
      </c>
      <c r="BS224" s="14">
        <f t="shared" si="319"/>
        <v>20</v>
      </c>
      <c r="BT224" s="14" t="str">
        <f t="shared" si="320"/>
        <v>张飞20突</v>
      </c>
      <c r="BU224" s="14" t="str">
        <f>IF(BN224&gt;0,INDEX(挂机升级突破!$ER$5:$EV$5,卡牌消耗!BN224),"")</f>
        <v>金币</v>
      </c>
      <c r="BV224" s="14">
        <f>IF(BN224&gt;0,ROUND(INDEX(挂机升级突破!$EV$7:$EV$26,卡牌消耗!BS224)*INDEX(卡牌消耗!$B$8:$F$8,BP224)/$Q$4/500,0)*500,"")</f>
        <v>615500</v>
      </c>
      <c r="BW224" s="14" t="str">
        <f>IF(BO224&gt;0,INDEX(挂机升级突破!$ER$5:$EV$5,卡牌消耗!BO224),"")</f>
        <v>铀金</v>
      </c>
      <c r="BX224" s="14">
        <f>IF(BO224&gt;0,ROUND(INDEX(挂机升级突破!$ER$7:$EU$26,卡牌消耗!BS224,卡牌消耗!BO224)*INDEX($B$6:$F$6,BP224)/$Q$4/5,0)*5,"")</f>
        <v>50</v>
      </c>
      <c r="BY224" s="193"/>
      <c r="BZ224" s="193"/>
      <c r="CA224" s="106"/>
      <c r="CS224" s="171"/>
      <c r="CT224" s="171"/>
      <c r="CU224" s="171"/>
      <c r="DI224" s="186">
        <v>220</v>
      </c>
      <c r="DJ224" s="14">
        <f t="shared" si="321"/>
        <v>44</v>
      </c>
      <c r="DK224" s="14">
        <f t="shared" si="306"/>
        <v>3</v>
      </c>
      <c r="DL224" s="14">
        <f t="shared" si="307"/>
        <v>1102017</v>
      </c>
      <c r="DM224" s="136" t="s">
        <v>1097</v>
      </c>
      <c r="DN224" s="14">
        <f t="shared" si="308"/>
        <v>5</v>
      </c>
      <c r="DO224" s="14" t="str">
        <f t="shared" si="309"/>
        <v>飞廉-5星</v>
      </c>
      <c r="DP224" s="136" t="s">
        <v>1103</v>
      </c>
      <c r="DQ224" s="14">
        <f t="shared" si="322"/>
        <v>40000</v>
      </c>
      <c r="DR224" s="14" t="str">
        <f t="shared" si="310"/>
        <v>飞廉碎片</v>
      </c>
      <c r="DS224" s="14">
        <f t="shared" si="323"/>
        <v>40</v>
      </c>
    </row>
    <row r="225" spans="8:123" ht="16.5" x14ac:dyDescent="0.2">
      <c r="H225" s="15"/>
      <c r="I225" s="15"/>
      <c r="J225" s="15"/>
      <c r="K225" s="15"/>
      <c r="L225" s="15"/>
      <c r="M225" s="15"/>
      <c r="N225" s="15"/>
      <c r="O225" s="137"/>
      <c r="P225" s="141"/>
      <c r="Q225" s="141"/>
      <c r="R225" s="141"/>
      <c r="S225" s="141"/>
      <c r="T225" s="141"/>
      <c r="U225" s="141"/>
      <c r="V225" s="141"/>
      <c r="W225" s="141"/>
      <c r="X225" s="141"/>
      <c r="Y225" s="141"/>
      <c r="Z225" s="141"/>
      <c r="AA225" s="194"/>
      <c r="AB225" s="194"/>
      <c r="AC225" s="194"/>
      <c r="AD225" s="194"/>
      <c r="AE225" s="194"/>
      <c r="AF225" s="194"/>
      <c r="AG225" s="197"/>
      <c r="AH225" s="194"/>
      <c r="AI225" s="194"/>
      <c r="AJ225" s="194"/>
      <c r="AK225" s="104">
        <v>221</v>
      </c>
      <c r="AL225" s="14">
        <f t="shared" si="311"/>
        <v>5</v>
      </c>
      <c r="AM225" s="14">
        <f>INDEX(挂机升级突破!DQ$6:DQ$57,卡牌消耗!$AT225)</f>
        <v>11</v>
      </c>
      <c r="AN225" s="14">
        <f>INDEX(挂机升级突破!DR$6:DR$57,卡牌消耗!$AT225)</f>
        <v>2</v>
      </c>
      <c r="AO225" s="14">
        <f>INDEX(挂机升级突破!DS$6:DS$57,卡牌消耗!$AT225)</f>
        <v>0</v>
      </c>
      <c r="AP225" s="14">
        <f>INDEX(挂机升级突破!$DP$6:$DP$57,卡牌消耗!AT225)</f>
        <v>50</v>
      </c>
      <c r="AQ225" s="14" t="str">
        <f t="shared" si="312"/>
        <v>李轩辕</v>
      </c>
      <c r="AR225" s="14">
        <f t="shared" si="313"/>
        <v>3</v>
      </c>
      <c r="AS225" s="14" t="str">
        <f t="shared" si="314"/>
        <v>李轩辕魂火-13</v>
      </c>
      <c r="AT225" s="14">
        <f t="shared" si="315"/>
        <v>13</v>
      </c>
      <c r="AU225" s="14" t="str">
        <f>IF(AM225&gt;0,INDEX(挂机升级突破!$DT$4:$ED$4,AM225),"")</f>
        <v>金币</v>
      </c>
      <c r="AV225" s="14">
        <f>ROUND(INDEX(挂机升级突破!$DJ$6:$DJ$57,卡牌消耗!AT225)*INDEX(卡牌消耗!$B$8:$F$8,AR225)/$Q$4/50,0)*50</f>
        <v>2750</v>
      </c>
      <c r="AW225" s="14" t="str">
        <f>IF(AN225&gt;0,INDEX(挂机升级突破!$DT$4:$ED$4,AN225),"")</f>
        <v>蓝色基础材料</v>
      </c>
      <c r="AX225" s="14">
        <f>ROUND(INDEX(挂机升级突破!$DT$6:$ED$57,卡牌消耗!AT225,AN225)*INDEX(卡牌消耗!$B$5:$F$5,AR225)/$Q$4/5,0)*5</f>
        <v>115</v>
      </c>
      <c r="AY225" s="14" t="str">
        <f>IF(AO225&gt;0,INDEX(挂机升级突破!$DT$4:$ED$4,AO225),"")</f>
        <v/>
      </c>
      <c r="AZ225" s="14" t="str">
        <f>IF(AO225&gt;0,ROUND(INDEX(挂机升级突破!$DT$6:$ED$57,卡牌消耗!AT225,AO225)*INDEX(卡牌消耗!$B$7:$F$7,AR225)/$Q$4,0),"")</f>
        <v/>
      </c>
      <c r="BA225" s="106"/>
      <c r="BB225" s="197"/>
      <c r="BC225" s="197"/>
      <c r="BD225" s="197"/>
      <c r="BE225" s="197"/>
      <c r="BF225" s="197"/>
      <c r="BG225" s="197"/>
      <c r="BH225" s="197"/>
      <c r="BI225" s="197"/>
      <c r="BJ225" s="197"/>
      <c r="BK225" s="197"/>
      <c r="BL225" s="104">
        <v>221</v>
      </c>
      <c r="BM225" s="14">
        <f t="shared" si="316"/>
        <v>12</v>
      </c>
      <c r="BN225" s="14">
        <f>INDEX(挂机升级突破!$EI$7:$EI$26,BS225)</f>
        <v>0</v>
      </c>
      <c r="BO225" s="14">
        <f>INDEX(挂机升级突破!$EJ$7:$EJ$26,BS225)</f>
        <v>0</v>
      </c>
      <c r="BP225" s="14">
        <f t="shared" si="317"/>
        <v>5</v>
      </c>
      <c r="BQ225" s="14">
        <f>INDEX(挂机升级突破!$EH$7:$EH$26,卡牌消耗!BS225)</f>
        <v>1</v>
      </c>
      <c r="BR225" s="14" t="str">
        <f t="shared" si="318"/>
        <v>夏侯惇</v>
      </c>
      <c r="BS225" s="14">
        <f t="shared" si="319"/>
        <v>1</v>
      </c>
      <c r="BT225" s="14" t="str">
        <f t="shared" si="320"/>
        <v>夏侯惇1突</v>
      </c>
      <c r="BU225" s="14" t="str">
        <f>IF(BN225&gt;0,INDEX(挂机升级突破!$ER$5:$EV$5,卡牌消耗!BN225),"")</f>
        <v/>
      </c>
      <c r="BV225" s="14" t="str">
        <f>IF(BN225&gt;0,ROUND(INDEX(挂机升级突破!$EV$7:$EV$26,卡牌消耗!BS225)*INDEX(卡牌消耗!$B$8:$F$8,BP225)/$Q$4/500,0)*500,"")</f>
        <v/>
      </c>
      <c r="BW225" s="14" t="str">
        <f>IF(BO225&gt;0,INDEX(挂机升级突破!$ER$5:$EV$5,卡牌消耗!BO225),"")</f>
        <v/>
      </c>
      <c r="BX225" s="14" t="str">
        <f>IF(BO225&gt;0,ROUND(INDEX(挂机升级突破!$ER$7:$EU$26,卡牌消耗!BS225,卡牌消耗!BO225)*INDEX($B$6:$F$6,BP225)/$Q$4/5,0)*5,"")</f>
        <v/>
      </c>
      <c r="BY225" s="193"/>
      <c r="BZ225" s="193"/>
      <c r="CA225" s="106"/>
      <c r="CS225" s="171"/>
      <c r="CT225" s="171"/>
      <c r="CU225" s="171"/>
      <c r="DI225" s="186">
        <v>221</v>
      </c>
      <c r="DJ225" s="14">
        <f t="shared" si="321"/>
        <v>45</v>
      </c>
      <c r="DK225" s="14">
        <f t="shared" si="306"/>
        <v>2</v>
      </c>
      <c r="DL225" s="14">
        <f t="shared" si="307"/>
        <v>1102018</v>
      </c>
      <c r="DM225" s="136" t="s">
        <v>1097</v>
      </c>
      <c r="DN225" s="14">
        <f t="shared" si="308"/>
        <v>1</v>
      </c>
      <c r="DO225" s="14" t="str">
        <f t="shared" si="309"/>
        <v>噬日-1星</v>
      </c>
      <c r="DP225" s="136" t="s">
        <v>1103</v>
      </c>
      <c r="DQ225" s="14">
        <f t="shared" si="322"/>
        <v>3000</v>
      </c>
      <c r="DR225" s="14" t="str">
        <f t="shared" si="310"/>
        <v>噬日碎片</v>
      </c>
      <c r="DS225" s="14">
        <f t="shared" si="323"/>
        <v>20</v>
      </c>
    </row>
    <row r="226" spans="8:123" ht="16.5" x14ac:dyDescent="0.2">
      <c r="H226" s="15"/>
      <c r="I226" s="15"/>
      <c r="J226" s="15"/>
      <c r="K226" s="15"/>
      <c r="L226" s="15"/>
      <c r="M226" s="15"/>
      <c r="N226" s="15"/>
      <c r="O226" s="137"/>
      <c r="P226" s="141"/>
      <c r="Q226" s="141"/>
      <c r="R226" s="141"/>
      <c r="S226" s="141"/>
      <c r="T226" s="141"/>
      <c r="U226" s="141"/>
      <c r="V226" s="141"/>
      <c r="W226" s="141"/>
      <c r="X226" s="141"/>
      <c r="Y226" s="141"/>
      <c r="Z226" s="141"/>
      <c r="AA226" s="194"/>
      <c r="AB226" s="194"/>
      <c r="AC226" s="194"/>
      <c r="AD226" s="194"/>
      <c r="AE226" s="194"/>
      <c r="AF226" s="194"/>
      <c r="AG226" s="197"/>
      <c r="AH226" s="194"/>
      <c r="AI226" s="194"/>
      <c r="AJ226" s="194"/>
      <c r="AK226" s="104">
        <v>222</v>
      </c>
      <c r="AL226" s="14">
        <f t="shared" si="311"/>
        <v>5</v>
      </c>
      <c r="AM226" s="14">
        <f>INDEX(挂机升级突破!DQ$6:DQ$57,卡牌消耗!$AT226)</f>
        <v>11</v>
      </c>
      <c r="AN226" s="14">
        <f>INDEX(挂机升级突破!DR$6:DR$57,卡牌消耗!$AT226)</f>
        <v>3</v>
      </c>
      <c r="AO226" s="14">
        <f>INDEX(挂机升级突破!DS$6:DS$57,卡牌消耗!$AT226)</f>
        <v>0</v>
      </c>
      <c r="AP226" s="14">
        <f>INDEX(挂机升级突破!$DP$6:$DP$57,卡牌消耗!AT226)</f>
        <v>53</v>
      </c>
      <c r="AQ226" s="14" t="str">
        <f t="shared" si="312"/>
        <v>李轩辕</v>
      </c>
      <c r="AR226" s="14">
        <f t="shared" si="313"/>
        <v>3</v>
      </c>
      <c r="AS226" s="14" t="str">
        <f t="shared" si="314"/>
        <v>李轩辕魂火-14</v>
      </c>
      <c r="AT226" s="14">
        <f t="shared" si="315"/>
        <v>14</v>
      </c>
      <c r="AU226" s="14" t="str">
        <f>IF(AM226&gt;0,INDEX(挂机升级突破!$DT$4:$ED$4,AM226),"")</f>
        <v>金币</v>
      </c>
      <c r="AV226" s="14">
        <f>ROUND(INDEX(挂机升级突破!$DJ$6:$DJ$57,卡牌消耗!AT226)*INDEX(卡牌消耗!$B$8:$F$8,AR226)/$Q$4/50,0)*50</f>
        <v>3000</v>
      </c>
      <c r="AW226" s="14" t="str">
        <f>IF(AN226&gt;0,INDEX(挂机升级突破!$DT$4:$ED$4,AN226),"")</f>
        <v>紫色基础材料</v>
      </c>
      <c r="AX226" s="14">
        <f>ROUND(INDEX(挂机升级突破!$DT$6:$ED$57,卡牌消耗!AT226,AN226)*INDEX(卡牌消耗!$B$5:$F$5,AR226)/$Q$4/5,0)*5</f>
        <v>25</v>
      </c>
      <c r="AY226" s="14" t="str">
        <f>IF(AO226&gt;0,INDEX(挂机升级突破!$DT$4:$ED$4,AO226),"")</f>
        <v/>
      </c>
      <c r="AZ226" s="14" t="str">
        <f>IF(AO226&gt;0,ROUND(INDEX(挂机升级突破!$DT$6:$ED$57,卡牌消耗!AT226,AO226)*INDEX(卡牌消耗!$B$7:$F$7,AR226)/$Q$4,0),"")</f>
        <v/>
      </c>
      <c r="BA226" s="106"/>
      <c r="BB226" s="197"/>
      <c r="BC226" s="197"/>
      <c r="BD226" s="197"/>
      <c r="BE226" s="197"/>
      <c r="BF226" s="197"/>
      <c r="BG226" s="197"/>
      <c r="BH226" s="197"/>
      <c r="BI226" s="197"/>
      <c r="BJ226" s="197"/>
      <c r="BK226" s="197"/>
      <c r="BL226" s="104">
        <v>222</v>
      </c>
      <c r="BM226" s="14">
        <f t="shared" si="316"/>
        <v>12</v>
      </c>
      <c r="BN226" s="14">
        <f>INDEX(挂机升级突破!$EI$7:$EI$26,BS226)</f>
        <v>5</v>
      </c>
      <c r="BO226" s="14">
        <f>INDEX(挂机升级突破!$EJ$7:$EJ$26,BS226)</f>
        <v>1</v>
      </c>
      <c r="BP226" s="14">
        <f t="shared" si="317"/>
        <v>5</v>
      </c>
      <c r="BQ226" s="14">
        <f>INDEX(挂机升级突破!$EH$7:$EH$26,卡牌消耗!BS226)</f>
        <v>5</v>
      </c>
      <c r="BR226" s="14" t="str">
        <f t="shared" si="318"/>
        <v>夏侯惇</v>
      </c>
      <c r="BS226" s="14">
        <f t="shared" si="319"/>
        <v>2</v>
      </c>
      <c r="BT226" s="14" t="str">
        <f t="shared" si="320"/>
        <v>夏侯惇2突</v>
      </c>
      <c r="BU226" s="14" t="str">
        <f>IF(BN226&gt;0,INDEX(挂机升级突破!$ER$5:$EV$5,卡牌消耗!BN226),"")</f>
        <v>金币</v>
      </c>
      <c r="BV226" s="14">
        <f>IF(BN226&gt;0,ROUND(INDEX(挂机升级突破!$EV$7:$EV$26,卡牌消耗!BS226)*INDEX(卡牌消耗!$B$8:$F$8,BP226)/$Q$4/500,0)*500,"")</f>
        <v>6500</v>
      </c>
      <c r="BW226" s="14" t="str">
        <f>IF(BO226&gt;0,INDEX(挂机升级突破!$ER$5:$EV$5,卡牌消耗!BO226),"")</f>
        <v>玄铁</v>
      </c>
      <c r="BX226" s="14">
        <f>IF(BO226&gt;0,ROUND(INDEX(挂机升级突破!$ER$7:$EU$26,卡牌消耗!BS226,卡牌消耗!BO226)*INDEX($B$6:$F$6,BP226)/$Q$4,0),"")</f>
        <v>2</v>
      </c>
      <c r="BY226" s="193"/>
      <c r="BZ226" s="193"/>
      <c r="CA226" s="106"/>
      <c r="CS226" s="171"/>
      <c r="CT226" s="171"/>
      <c r="CU226" s="171"/>
      <c r="DI226" s="186">
        <v>222</v>
      </c>
      <c r="DJ226" s="14">
        <f t="shared" si="321"/>
        <v>45</v>
      </c>
      <c r="DK226" s="14">
        <f t="shared" si="306"/>
        <v>2</v>
      </c>
      <c r="DL226" s="14">
        <f t="shared" si="307"/>
        <v>1102018</v>
      </c>
      <c r="DM226" s="136" t="s">
        <v>1097</v>
      </c>
      <c r="DN226" s="14">
        <f t="shared" si="308"/>
        <v>2</v>
      </c>
      <c r="DO226" s="14" t="str">
        <f t="shared" si="309"/>
        <v>噬日-2星</v>
      </c>
      <c r="DP226" s="136" t="s">
        <v>1103</v>
      </c>
      <c r="DQ226" s="14">
        <f t="shared" si="322"/>
        <v>3500</v>
      </c>
      <c r="DR226" s="14" t="str">
        <f t="shared" si="310"/>
        <v>噬日碎片</v>
      </c>
      <c r="DS226" s="14">
        <f t="shared" si="323"/>
        <v>20</v>
      </c>
    </row>
    <row r="227" spans="8:123" ht="16.5" x14ac:dyDescent="0.2">
      <c r="H227" s="15"/>
      <c r="I227" s="15"/>
      <c r="J227" s="15"/>
      <c r="K227" s="15"/>
      <c r="L227" s="15"/>
      <c r="M227" s="15"/>
      <c r="N227" s="15"/>
      <c r="O227" s="137"/>
      <c r="P227" s="141"/>
      <c r="Q227" s="141"/>
      <c r="R227" s="141"/>
      <c r="S227" s="141"/>
      <c r="T227" s="141"/>
      <c r="U227" s="141"/>
      <c r="V227" s="141"/>
      <c r="W227" s="141"/>
      <c r="X227" s="141"/>
      <c r="Y227" s="141"/>
      <c r="Z227" s="141"/>
      <c r="AA227" s="194"/>
      <c r="AB227" s="194"/>
      <c r="AC227" s="194"/>
      <c r="AD227" s="194"/>
      <c r="AE227" s="194"/>
      <c r="AF227" s="194"/>
      <c r="AG227" s="197"/>
      <c r="AH227" s="194"/>
      <c r="AI227" s="194"/>
      <c r="AJ227" s="194"/>
      <c r="AK227" s="104">
        <v>223</v>
      </c>
      <c r="AL227" s="14">
        <f t="shared" si="311"/>
        <v>5</v>
      </c>
      <c r="AM227" s="14">
        <f>INDEX(挂机升级突破!DQ$6:DQ$57,卡牌消耗!$AT227)</f>
        <v>11</v>
      </c>
      <c r="AN227" s="14">
        <f>INDEX(挂机升级突破!DR$6:DR$57,卡牌消耗!$AT227)</f>
        <v>3</v>
      </c>
      <c r="AO227" s="14">
        <f>INDEX(挂机升级突破!DS$6:DS$57,卡牌消耗!$AT227)</f>
        <v>0</v>
      </c>
      <c r="AP227" s="14">
        <f>INDEX(挂机升级突破!$DP$6:$DP$57,卡牌消耗!AT227)</f>
        <v>55</v>
      </c>
      <c r="AQ227" s="14" t="str">
        <f t="shared" si="312"/>
        <v>李轩辕</v>
      </c>
      <c r="AR227" s="14">
        <f t="shared" si="313"/>
        <v>3</v>
      </c>
      <c r="AS227" s="14" t="str">
        <f t="shared" si="314"/>
        <v>李轩辕魂火-15</v>
      </c>
      <c r="AT227" s="14">
        <f t="shared" si="315"/>
        <v>15</v>
      </c>
      <c r="AU227" s="14" t="str">
        <f>IF(AM227&gt;0,INDEX(挂机升级突破!$DT$4:$ED$4,AM227),"")</f>
        <v>金币</v>
      </c>
      <c r="AV227" s="14">
        <f>ROUND(INDEX(挂机升级突破!$DJ$6:$DJ$57,卡牌消耗!AT227)*INDEX(卡牌消耗!$B$8:$F$8,AR227)/$Q$4/50,0)*50</f>
        <v>3250</v>
      </c>
      <c r="AW227" s="14" t="str">
        <f>IF(AN227&gt;0,INDEX(挂机升级突破!$DT$4:$ED$4,AN227),"")</f>
        <v>紫色基础材料</v>
      </c>
      <c r="AX227" s="14">
        <f>ROUND(INDEX(挂机升级突破!$DT$6:$ED$57,卡牌消耗!AT227,AN227)*INDEX(卡牌消耗!$B$5:$F$5,AR227)/$Q$4/5,0)*5</f>
        <v>25</v>
      </c>
      <c r="AY227" s="14" t="str">
        <f>IF(AO227&gt;0,INDEX(挂机升级突破!$DT$4:$ED$4,AO227),"")</f>
        <v/>
      </c>
      <c r="AZ227" s="14" t="str">
        <f>IF(AO227&gt;0,ROUND(INDEX(挂机升级突破!$DT$6:$ED$57,卡牌消耗!AT227,AO227)*INDEX(卡牌消耗!$B$7:$F$7,AR227)/$Q$4,0),"")</f>
        <v/>
      </c>
      <c r="BA227" s="106"/>
      <c r="BB227" s="197"/>
      <c r="BC227" s="197"/>
      <c r="BD227" s="197"/>
      <c r="BE227" s="197"/>
      <c r="BF227" s="197"/>
      <c r="BG227" s="197"/>
      <c r="BH227" s="197"/>
      <c r="BI227" s="197"/>
      <c r="BJ227" s="197"/>
      <c r="BK227" s="197"/>
      <c r="BL227" s="104">
        <v>223</v>
      </c>
      <c r="BM227" s="14">
        <f t="shared" si="316"/>
        <v>12</v>
      </c>
      <c r="BN227" s="14">
        <f>INDEX(挂机升级突破!$EI$7:$EI$26,BS227)</f>
        <v>5</v>
      </c>
      <c r="BO227" s="14">
        <f>INDEX(挂机升级突破!$EJ$7:$EJ$26,BS227)</f>
        <v>1</v>
      </c>
      <c r="BP227" s="14">
        <f t="shared" si="317"/>
        <v>5</v>
      </c>
      <c r="BQ227" s="14">
        <f>INDEX(挂机升级突破!$EH$7:$EH$26,卡牌消耗!BS227)</f>
        <v>15</v>
      </c>
      <c r="BR227" s="14" t="str">
        <f t="shared" si="318"/>
        <v>夏侯惇</v>
      </c>
      <c r="BS227" s="14">
        <f t="shared" si="319"/>
        <v>3</v>
      </c>
      <c r="BT227" s="14" t="str">
        <f t="shared" si="320"/>
        <v>夏侯惇3突</v>
      </c>
      <c r="BU227" s="14" t="str">
        <f>IF(BN227&gt;0,INDEX(挂机升级突破!$ER$5:$EV$5,卡牌消耗!BN227),"")</f>
        <v>金币</v>
      </c>
      <c r="BV227" s="14">
        <f>IF(BN227&gt;0,ROUND(INDEX(挂机升级突破!$EV$7:$EV$26,卡牌消耗!BS227)*INDEX(卡牌消耗!$B$8:$F$8,BP227)/$Q$4/500,0)*500,"")</f>
        <v>6500</v>
      </c>
      <c r="BW227" s="14" t="str">
        <f>IF(BO227&gt;0,INDEX(挂机升级突破!$ER$5:$EV$5,卡牌消耗!BO227),"")</f>
        <v>玄铁</v>
      </c>
      <c r="BX227" s="14">
        <f>IF(BO227&gt;0,ROUND(INDEX(挂机升级突破!$ER$7:$EU$26,卡牌消耗!BS227,卡牌消耗!BO227)*INDEX($B$6:$F$6,BP227)/$Q$4,0),"")</f>
        <v>8</v>
      </c>
      <c r="BY227" s="193"/>
      <c r="BZ227" s="193"/>
      <c r="CA227" s="106"/>
      <c r="CS227" s="171"/>
      <c r="CT227" s="171"/>
      <c r="CU227" s="171"/>
      <c r="DI227" s="186">
        <v>223</v>
      </c>
      <c r="DJ227" s="14">
        <f t="shared" si="321"/>
        <v>45</v>
      </c>
      <c r="DK227" s="14">
        <f t="shared" si="306"/>
        <v>2</v>
      </c>
      <c r="DL227" s="14">
        <f t="shared" si="307"/>
        <v>1102018</v>
      </c>
      <c r="DM227" s="136" t="s">
        <v>1097</v>
      </c>
      <c r="DN227" s="14">
        <f t="shared" si="308"/>
        <v>3</v>
      </c>
      <c r="DO227" s="14" t="str">
        <f t="shared" si="309"/>
        <v>噬日-3星</v>
      </c>
      <c r="DP227" s="136" t="s">
        <v>1103</v>
      </c>
      <c r="DQ227" s="14">
        <f t="shared" si="322"/>
        <v>7000</v>
      </c>
      <c r="DR227" s="14" t="str">
        <f t="shared" si="310"/>
        <v>噬日碎片</v>
      </c>
      <c r="DS227" s="14">
        <f t="shared" si="323"/>
        <v>20</v>
      </c>
    </row>
    <row r="228" spans="8:123" ht="16.5" x14ac:dyDescent="0.2">
      <c r="H228" s="15"/>
      <c r="I228" s="15"/>
      <c r="J228" s="15"/>
      <c r="K228" s="15"/>
      <c r="L228" s="15"/>
      <c r="M228" s="15"/>
      <c r="N228" s="15"/>
      <c r="O228" s="137"/>
      <c r="P228" s="141"/>
      <c r="Q228" s="141"/>
      <c r="R228" s="141"/>
      <c r="S228" s="141"/>
      <c r="T228" s="141"/>
      <c r="U228" s="141"/>
      <c r="V228" s="141"/>
      <c r="W228" s="141"/>
      <c r="X228" s="141"/>
      <c r="Y228" s="141"/>
      <c r="Z228" s="141"/>
      <c r="AA228" s="194"/>
      <c r="AB228" s="194"/>
      <c r="AC228" s="194"/>
      <c r="AD228" s="194"/>
      <c r="AE228" s="194"/>
      <c r="AF228" s="194"/>
      <c r="AG228" s="197"/>
      <c r="AH228" s="194"/>
      <c r="AI228" s="194"/>
      <c r="AJ228" s="194"/>
      <c r="AK228" s="104">
        <v>224</v>
      </c>
      <c r="AL228" s="14">
        <f t="shared" si="311"/>
        <v>5</v>
      </c>
      <c r="AM228" s="14">
        <f>INDEX(挂机升级突破!DQ$6:DQ$57,卡牌消耗!$AT228)</f>
        <v>11</v>
      </c>
      <c r="AN228" s="14">
        <f>INDEX(挂机升级突破!DR$6:DR$57,卡牌消耗!$AT228)</f>
        <v>3</v>
      </c>
      <c r="AO228" s="14">
        <f>INDEX(挂机升级突破!DS$6:DS$57,卡牌消耗!$AT228)</f>
        <v>0</v>
      </c>
      <c r="AP228" s="14">
        <f>INDEX(挂机升级突破!$DP$6:$DP$57,卡牌消耗!AT228)</f>
        <v>58</v>
      </c>
      <c r="AQ228" s="14" t="str">
        <f t="shared" si="312"/>
        <v>李轩辕</v>
      </c>
      <c r="AR228" s="14">
        <f t="shared" si="313"/>
        <v>3</v>
      </c>
      <c r="AS228" s="14" t="str">
        <f t="shared" si="314"/>
        <v>李轩辕魂火-16</v>
      </c>
      <c r="AT228" s="14">
        <f t="shared" si="315"/>
        <v>16</v>
      </c>
      <c r="AU228" s="14" t="str">
        <f>IF(AM228&gt;0,INDEX(挂机升级突破!$DT$4:$ED$4,AM228),"")</f>
        <v>金币</v>
      </c>
      <c r="AV228" s="14">
        <f>ROUND(INDEX(挂机升级突破!$DJ$6:$DJ$57,卡牌消耗!AT228)*INDEX(卡牌消耗!$B$8:$F$8,AR228)/$Q$4/50,0)*50</f>
        <v>3250</v>
      </c>
      <c r="AW228" s="14" t="str">
        <f>IF(AN228&gt;0,INDEX(挂机升级突破!$DT$4:$ED$4,AN228),"")</f>
        <v>紫色基础材料</v>
      </c>
      <c r="AX228" s="14">
        <f>ROUND(INDEX(挂机升级突破!$DT$6:$ED$57,卡牌消耗!AT228,AN228)*INDEX(卡牌消耗!$B$5:$F$5,AR228)/$Q$4/5,0)*5</f>
        <v>25</v>
      </c>
      <c r="AY228" s="14" t="str">
        <f>IF(AO228&gt;0,INDEX(挂机升级突破!$DT$4:$ED$4,AO228),"")</f>
        <v/>
      </c>
      <c r="AZ228" s="14" t="str">
        <f>IF(AO228&gt;0,ROUND(INDEX(挂机升级突破!$DT$6:$ED$57,卡牌消耗!AT228,AO228)*INDEX(卡牌消耗!$B$7:$F$7,AR228)/$Q$4,0),"")</f>
        <v/>
      </c>
      <c r="BA228" s="106"/>
      <c r="BB228" s="197"/>
      <c r="BC228" s="197"/>
      <c r="BD228" s="197"/>
      <c r="BE228" s="197"/>
      <c r="BF228" s="197"/>
      <c r="BG228" s="197"/>
      <c r="BH228" s="197"/>
      <c r="BI228" s="197"/>
      <c r="BJ228" s="197"/>
      <c r="BK228" s="197"/>
      <c r="BL228" s="104">
        <v>224</v>
      </c>
      <c r="BM228" s="14">
        <f t="shared" si="316"/>
        <v>12</v>
      </c>
      <c r="BN228" s="14">
        <f>INDEX(挂机升级突破!$EI$7:$EI$26,BS228)</f>
        <v>5</v>
      </c>
      <c r="BO228" s="14">
        <f>INDEX(挂机升级突破!$EJ$7:$EJ$26,BS228)</f>
        <v>1</v>
      </c>
      <c r="BP228" s="14">
        <f t="shared" si="317"/>
        <v>5</v>
      </c>
      <c r="BQ228" s="14">
        <f>INDEX(挂机升级突破!$EH$7:$EH$26,卡牌消耗!BS228)</f>
        <v>25</v>
      </c>
      <c r="BR228" s="14" t="str">
        <f t="shared" si="318"/>
        <v>夏侯惇</v>
      </c>
      <c r="BS228" s="14">
        <f t="shared" si="319"/>
        <v>4</v>
      </c>
      <c r="BT228" s="14" t="str">
        <f t="shared" si="320"/>
        <v>夏侯惇4突</v>
      </c>
      <c r="BU228" s="14" t="str">
        <f>IF(BN228&gt;0,INDEX(挂机升级突破!$ER$5:$EV$5,卡牌消耗!BN228),"")</f>
        <v>金币</v>
      </c>
      <c r="BV228" s="14">
        <f>IF(BN228&gt;0,ROUND(INDEX(挂机升级突破!$EV$7:$EV$26,卡牌消耗!BS228)*INDEX(卡牌消耗!$B$8:$F$8,BP228)/$Q$4/500,0)*500,"")</f>
        <v>7500</v>
      </c>
      <c r="BW228" s="14" t="str">
        <f>IF(BO228&gt;0,INDEX(挂机升级突破!$ER$5:$EV$5,卡牌消耗!BO228),"")</f>
        <v>玄铁</v>
      </c>
      <c r="BX228" s="14">
        <f>IF(BO228&gt;0,ROUND(INDEX(挂机升级突破!$ER$7:$EU$26,卡牌消耗!BS228,卡牌消耗!BO228)*INDEX($B$6:$F$6,BP228)/$Q$4,0),"")</f>
        <v>25</v>
      </c>
      <c r="BY228" s="193"/>
      <c r="BZ228" s="193"/>
      <c r="CA228" s="106"/>
      <c r="CS228" s="171"/>
      <c r="CT228" s="171"/>
      <c r="CU228" s="171"/>
      <c r="DI228" s="186">
        <v>224</v>
      </c>
      <c r="DJ228" s="14">
        <f t="shared" si="321"/>
        <v>45</v>
      </c>
      <c r="DK228" s="14">
        <f t="shared" si="306"/>
        <v>2</v>
      </c>
      <c r="DL228" s="14">
        <f t="shared" si="307"/>
        <v>1102018</v>
      </c>
      <c r="DM228" s="136" t="s">
        <v>1097</v>
      </c>
      <c r="DN228" s="14">
        <f t="shared" si="308"/>
        <v>4</v>
      </c>
      <c r="DO228" s="14" t="str">
        <f t="shared" si="309"/>
        <v>噬日-4星</v>
      </c>
      <c r="DP228" s="136" t="s">
        <v>1103</v>
      </c>
      <c r="DQ228" s="14">
        <f t="shared" si="322"/>
        <v>16000</v>
      </c>
      <c r="DR228" s="14" t="str">
        <f t="shared" si="310"/>
        <v>噬日碎片</v>
      </c>
      <c r="DS228" s="14">
        <f t="shared" si="323"/>
        <v>20</v>
      </c>
    </row>
    <row r="229" spans="8:123" ht="16.5" x14ac:dyDescent="0.2">
      <c r="H229" s="15"/>
      <c r="I229" s="15"/>
      <c r="J229" s="15"/>
      <c r="K229" s="15"/>
      <c r="L229" s="15"/>
      <c r="M229" s="15"/>
      <c r="N229" s="15"/>
      <c r="O229" s="137"/>
      <c r="P229" s="141"/>
      <c r="Q229" s="141"/>
      <c r="R229" s="141"/>
      <c r="S229" s="141"/>
      <c r="T229" s="141"/>
      <c r="U229" s="141"/>
      <c r="V229" s="141"/>
      <c r="W229" s="141"/>
      <c r="X229" s="141"/>
      <c r="Y229" s="141"/>
      <c r="Z229" s="141"/>
      <c r="AA229" s="194"/>
      <c r="AB229" s="194"/>
      <c r="AC229" s="194"/>
      <c r="AD229" s="194"/>
      <c r="AE229" s="194"/>
      <c r="AF229" s="194"/>
      <c r="AG229" s="197"/>
      <c r="AH229" s="194"/>
      <c r="AI229" s="194"/>
      <c r="AJ229" s="194"/>
      <c r="AK229" s="104">
        <v>225</v>
      </c>
      <c r="AL229" s="14">
        <f t="shared" si="311"/>
        <v>5</v>
      </c>
      <c r="AM229" s="14">
        <f>INDEX(挂机升级突破!DQ$6:DQ$57,卡牌消耗!$AT229)</f>
        <v>11</v>
      </c>
      <c r="AN229" s="14">
        <f>INDEX(挂机升级突破!DR$6:DR$57,卡牌消耗!$AT229)</f>
        <v>3</v>
      </c>
      <c r="AO229" s="14">
        <f>INDEX(挂机升级突破!DS$6:DS$57,卡牌消耗!$AT229)</f>
        <v>0</v>
      </c>
      <c r="AP229" s="14">
        <f>INDEX(挂机升级突破!$DP$6:$DP$57,卡牌消耗!AT229)</f>
        <v>60</v>
      </c>
      <c r="AQ229" s="14" t="str">
        <f t="shared" si="312"/>
        <v>李轩辕</v>
      </c>
      <c r="AR229" s="14">
        <f t="shared" si="313"/>
        <v>3</v>
      </c>
      <c r="AS229" s="14" t="str">
        <f t="shared" si="314"/>
        <v>李轩辕魂火-17</v>
      </c>
      <c r="AT229" s="14">
        <f t="shared" si="315"/>
        <v>17</v>
      </c>
      <c r="AU229" s="14" t="str">
        <f>IF(AM229&gt;0,INDEX(挂机升级突破!$DT$4:$ED$4,AM229),"")</f>
        <v>金币</v>
      </c>
      <c r="AV229" s="14">
        <f>ROUND(INDEX(挂机升级突破!$DJ$6:$DJ$57,卡牌消耗!AT229)*INDEX(卡牌消耗!$B$8:$F$8,AR229)/$Q$4/50,0)*50</f>
        <v>4100</v>
      </c>
      <c r="AW229" s="14" t="str">
        <f>IF(AN229&gt;0,INDEX(挂机升级突破!$DT$4:$ED$4,AN229),"")</f>
        <v>紫色基础材料</v>
      </c>
      <c r="AX229" s="14">
        <f>ROUND(INDEX(挂机升级突破!$DT$6:$ED$57,卡牌消耗!AT229,AN229)*INDEX(卡牌消耗!$B$5:$F$5,AR229)/$Q$4/5,0)*5</f>
        <v>45</v>
      </c>
      <c r="AY229" s="14" t="str">
        <f>IF(AO229&gt;0,INDEX(挂机升级突破!$DT$4:$ED$4,AO229),"")</f>
        <v/>
      </c>
      <c r="AZ229" s="14" t="str">
        <f>IF(AO229&gt;0,ROUND(INDEX(挂机升级突破!$DT$6:$ED$57,卡牌消耗!AT229,AO229)*INDEX(卡牌消耗!$B$7:$F$7,AR229)/$Q$4,0),"")</f>
        <v/>
      </c>
      <c r="BA229" s="106"/>
      <c r="BB229" s="197"/>
      <c r="BC229" s="197"/>
      <c r="BD229" s="197"/>
      <c r="BE229" s="197"/>
      <c r="BF229" s="197"/>
      <c r="BG229" s="197"/>
      <c r="BH229" s="197"/>
      <c r="BI229" s="197"/>
      <c r="BJ229" s="197"/>
      <c r="BK229" s="197"/>
      <c r="BL229" s="104">
        <v>225</v>
      </c>
      <c r="BM229" s="14">
        <f t="shared" si="316"/>
        <v>12</v>
      </c>
      <c r="BN229" s="14">
        <f>INDEX(挂机升级突破!$EI$7:$EI$26,BS229)</f>
        <v>5</v>
      </c>
      <c r="BO229" s="14">
        <f>INDEX(挂机升级突破!$EJ$7:$EJ$26,BS229)</f>
        <v>1</v>
      </c>
      <c r="BP229" s="14">
        <f t="shared" si="317"/>
        <v>5</v>
      </c>
      <c r="BQ229" s="14">
        <f>INDEX(挂机升级突破!$EH$7:$EH$26,卡牌消耗!BS229)</f>
        <v>35</v>
      </c>
      <c r="BR229" s="14" t="str">
        <f t="shared" si="318"/>
        <v>夏侯惇</v>
      </c>
      <c r="BS229" s="14">
        <f t="shared" si="319"/>
        <v>5</v>
      </c>
      <c r="BT229" s="14" t="str">
        <f t="shared" si="320"/>
        <v>夏侯惇5突</v>
      </c>
      <c r="BU229" s="14" t="str">
        <f>IF(BN229&gt;0,INDEX(挂机升级突破!$ER$5:$EV$5,卡牌消耗!BN229),"")</f>
        <v>金币</v>
      </c>
      <c r="BV229" s="14">
        <f>IF(BN229&gt;0,ROUND(INDEX(挂机升级突破!$EV$7:$EV$26,卡牌消耗!BS229)*INDEX(卡牌消耗!$B$8:$F$8,BP229)/$Q$4/500,0)*500,"")</f>
        <v>7500</v>
      </c>
      <c r="BW229" s="14" t="str">
        <f>IF(BO229&gt;0,INDEX(挂机升级突破!$ER$5:$EV$5,卡牌消耗!BO229),"")</f>
        <v>玄铁</v>
      </c>
      <c r="BX229" s="14">
        <f>IF(BO229&gt;0,ROUND(INDEX(挂机升级突破!$ER$7:$EU$26,卡牌消耗!BS229,卡牌消耗!BO229)*INDEX($B$6:$F$6,BP229)/$Q$4/5,0)*5,"")</f>
        <v>50</v>
      </c>
      <c r="BY229" s="193"/>
      <c r="BZ229" s="193"/>
      <c r="CA229" s="106"/>
      <c r="CS229" s="171"/>
      <c r="CT229" s="171"/>
      <c r="CU229" s="171"/>
      <c r="DI229" s="186">
        <v>225</v>
      </c>
      <c r="DJ229" s="14">
        <f t="shared" si="321"/>
        <v>45</v>
      </c>
      <c r="DK229" s="14">
        <f t="shared" si="306"/>
        <v>2</v>
      </c>
      <c r="DL229" s="14">
        <f t="shared" si="307"/>
        <v>1102018</v>
      </c>
      <c r="DM229" s="136" t="s">
        <v>1097</v>
      </c>
      <c r="DN229" s="14">
        <f t="shared" si="308"/>
        <v>5</v>
      </c>
      <c r="DO229" s="14" t="str">
        <f t="shared" si="309"/>
        <v>噬日-5星</v>
      </c>
      <c r="DP229" s="136" t="s">
        <v>1103</v>
      </c>
      <c r="DQ229" s="14">
        <f t="shared" si="322"/>
        <v>30000</v>
      </c>
      <c r="DR229" s="14" t="str">
        <f t="shared" si="310"/>
        <v>噬日碎片</v>
      </c>
      <c r="DS229" s="14">
        <f t="shared" si="323"/>
        <v>20</v>
      </c>
    </row>
    <row r="230" spans="8:123" ht="16.5" x14ac:dyDescent="0.2">
      <c r="H230" s="15"/>
      <c r="I230" s="15"/>
      <c r="J230" s="15"/>
      <c r="K230" s="15"/>
      <c r="L230" s="15"/>
      <c r="M230" s="15"/>
      <c r="N230" s="15"/>
      <c r="O230" s="137"/>
      <c r="P230" s="141"/>
      <c r="Q230" s="141"/>
      <c r="R230" s="141"/>
      <c r="S230" s="141"/>
      <c r="T230" s="141"/>
      <c r="U230" s="141"/>
      <c r="V230" s="141"/>
      <c r="W230" s="141"/>
      <c r="X230" s="141"/>
      <c r="Y230" s="141"/>
      <c r="Z230" s="141"/>
      <c r="AA230" s="194"/>
      <c r="AB230" s="194"/>
      <c r="AC230" s="194"/>
      <c r="AD230" s="194"/>
      <c r="AE230" s="194"/>
      <c r="AF230" s="194"/>
      <c r="AG230" s="197"/>
      <c r="AH230" s="194"/>
      <c r="AI230" s="194"/>
      <c r="AJ230" s="194"/>
      <c r="AK230" s="104">
        <v>226</v>
      </c>
      <c r="AL230" s="14">
        <f t="shared" si="311"/>
        <v>5</v>
      </c>
      <c r="AM230" s="14">
        <f>INDEX(挂机升级突破!DQ$6:DQ$57,卡牌消耗!$AT230)</f>
        <v>11</v>
      </c>
      <c r="AN230" s="14">
        <f>INDEX(挂机升级突破!DR$6:DR$57,卡牌消耗!$AT230)</f>
        <v>3</v>
      </c>
      <c r="AO230" s="14">
        <f>INDEX(挂机升级突破!DS$6:DS$57,卡牌消耗!$AT230)</f>
        <v>0</v>
      </c>
      <c r="AP230" s="14">
        <f>INDEX(挂机升级突破!$DP$6:$DP$57,卡牌消耗!AT230)</f>
        <v>63</v>
      </c>
      <c r="AQ230" s="14" t="str">
        <f t="shared" si="312"/>
        <v>李轩辕</v>
      </c>
      <c r="AR230" s="14">
        <f t="shared" si="313"/>
        <v>3</v>
      </c>
      <c r="AS230" s="14" t="str">
        <f t="shared" si="314"/>
        <v>李轩辕魂火-18</v>
      </c>
      <c r="AT230" s="14">
        <f t="shared" si="315"/>
        <v>18</v>
      </c>
      <c r="AU230" s="14" t="str">
        <f>IF(AM230&gt;0,INDEX(挂机升级突破!$DT$4:$ED$4,AM230),"")</f>
        <v>金币</v>
      </c>
      <c r="AV230" s="14">
        <f>ROUND(INDEX(挂机升级突破!$DJ$6:$DJ$57,卡牌消耗!AT230)*INDEX(卡牌消耗!$B$8:$F$8,AR230)/$Q$4/50,0)*50</f>
        <v>4100</v>
      </c>
      <c r="AW230" s="14" t="str">
        <f>IF(AN230&gt;0,INDEX(挂机升级突破!$DT$4:$ED$4,AN230),"")</f>
        <v>紫色基础材料</v>
      </c>
      <c r="AX230" s="14">
        <f>ROUND(INDEX(挂机升级突破!$DT$6:$ED$57,卡牌消耗!AT230,AN230)*INDEX(卡牌消耗!$B$5:$F$5,AR230)/$Q$4/5,0)*5</f>
        <v>45</v>
      </c>
      <c r="AY230" s="14" t="str">
        <f>IF(AO230&gt;0,INDEX(挂机升级突破!$DT$4:$ED$4,AO230),"")</f>
        <v/>
      </c>
      <c r="AZ230" s="14" t="str">
        <f>IF(AO230&gt;0,ROUND(INDEX(挂机升级突破!$DT$6:$ED$57,卡牌消耗!AT230,AO230)*INDEX(卡牌消耗!$B$7:$F$7,AR230)/$Q$4,0),"")</f>
        <v/>
      </c>
      <c r="BA230" s="106"/>
      <c r="BB230" s="197"/>
      <c r="BC230" s="197"/>
      <c r="BD230" s="197"/>
      <c r="BE230" s="197"/>
      <c r="BF230" s="197"/>
      <c r="BG230" s="197"/>
      <c r="BH230" s="197"/>
      <c r="BI230" s="197"/>
      <c r="BJ230" s="197"/>
      <c r="BK230" s="197"/>
      <c r="BL230" s="104">
        <v>226</v>
      </c>
      <c r="BM230" s="14">
        <f t="shared" si="316"/>
        <v>12</v>
      </c>
      <c r="BN230" s="14">
        <f>INDEX(挂机升级突破!$EI$7:$EI$26,BS230)</f>
        <v>5</v>
      </c>
      <c r="BO230" s="14">
        <f>INDEX(挂机升级突破!$EJ$7:$EJ$26,BS230)</f>
        <v>1</v>
      </c>
      <c r="BP230" s="14">
        <f t="shared" si="317"/>
        <v>5</v>
      </c>
      <c r="BQ230" s="14">
        <f>INDEX(挂机升级突破!$EH$7:$EH$26,卡牌消耗!BS230)</f>
        <v>42</v>
      </c>
      <c r="BR230" s="14" t="str">
        <f t="shared" si="318"/>
        <v>夏侯惇</v>
      </c>
      <c r="BS230" s="14">
        <f t="shared" si="319"/>
        <v>6</v>
      </c>
      <c r="BT230" s="14" t="str">
        <f t="shared" si="320"/>
        <v>夏侯惇6突</v>
      </c>
      <c r="BU230" s="14" t="str">
        <f>IF(BN230&gt;0,INDEX(挂机升级突破!$ER$5:$EV$5,卡牌消耗!BN230),"")</f>
        <v>金币</v>
      </c>
      <c r="BV230" s="14">
        <f>IF(BN230&gt;0,ROUND(INDEX(挂机升级突破!$EV$7:$EV$26,卡牌消耗!BS230)*INDEX(卡牌消耗!$B$8:$F$8,BP230)/$Q$4/500,0)*500,"")</f>
        <v>10000</v>
      </c>
      <c r="BW230" s="14" t="str">
        <f>IF(BO230&gt;0,INDEX(挂机升级突破!$ER$5:$EV$5,卡牌消耗!BO230),"")</f>
        <v>玄铁</v>
      </c>
      <c r="BX230" s="14">
        <f>IF(BO230&gt;0,ROUND(INDEX(挂机升级突破!$ER$7:$EU$26,卡牌消耗!BS230,卡牌消耗!BO230)*INDEX($B$6:$F$6,BP230)/$Q$4/5,0)*5,"")</f>
        <v>75</v>
      </c>
      <c r="BY230" s="193"/>
      <c r="BZ230" s="193"/>
      <c r="CA230" s="106"/>
      <c r="CS230" s="171"/>
      <c r="CT230" s="171"/>
      <c r="CU230" s="171"/>
      <c r="DI230" s="186">
        <v>226</v>
      </c>
      <c r="DJ230" s="14">
        <f t="shared" si="321"/>
        <v>46</v>
      </c>
      <c r="DK230" s="14">
        <f t="shared" si="306"/>
        <v>2</v>
      </c>
      <c r="DL230" s="14">
        <f t="shared" si="307"/>
        <v>1102019</v>
      </c>
      <c r="DM230" s="136" t="s">
        <v>1097</v>
      </c>
      <c r="DN230" s="14">
        <f t="shared" si="308"/>
        <v>1</v>
      </c>
      <c r="DO230" s="14" t="str">
        <f t="shared" si="309"/>
        <v>食火蜥-1星</v>
      </c>
      <c r="DP230" s="136" t="s">
        <v>1103</v>
      </c>
      <c r="DQ230" s="14">
        <f t="shared" si="322"/>
        <v>3000</v>
      </c>
      <c r="DR230" s="14" t="str">
        <f t="shared" si="310"/>
        <v>食火蜥碎片</v>
      </c>
      <c r="DS230" s="14">
        <f t="shared" si="323"/>
        <v>20</v>
      </c>
    </row>
    <row r="231" spans="8:123" ht="16.5" x14ac:dyDescent="0.2">
      <c r="H231" s="15"/>
      <c r="I231" s="15"/>
      <c r="J231" s="15"/>
      <c r="K231" s="15"/>
      <c r="L231" s="15"/>
      <c r="M231" s="15"/>
      <c r="N231" s="15"/>
      <c r="O231" s="137"/>
      <c r="P231" s="141"/>
      <c r="Q231" s="141"/>
      <c r="R231" s="141"/>
      <c r="S231" s="141"/>
      <c r="T231" s="141"/>
      <c r="U231" s="141"/>
      <c r="V231" s="141"/>
      <c r="W231" s="141"/>
      <c r="X231" s="141"/>
      <c r="Y231" s="141"/>
      <c r="Z231" s="141"/>
      <c r="AA231" s="194"/>
      <c r="AB231" s="194"/>
      <c r="AC231" s="194"/>
      <c r="AD231" s="194"/>
      <c r="AE231" s="194"/>
      <c r="AF231" s="194"/>
      <c r="AG231" s="197"/>
      <c r="AH231" s="194"/>
      <c r="AI231" s="194"/>
      <c r="AJ231" s="194"/>
      <c r="AK231" s="104">
        <v>227</v>
      </c>
      <c r="AL231" s="14">
        <f t="shared" si="311"/>
        <v>5</v>
      </c>
      <c r="AM231" s="14">
        <f>INDEX(挂机升级突破!DQ$6:DQ$57,卡牌消耗!$AT231)</f>
        <v>11</v>
      </c>
      <c r="AN231" s="14">
        <f>INDEX(挂机升级突破!DR$6:DR$57,卡牌消耗!$AT231)</f>
        <v>3</v>
      </c>
      <c r="AO231" s="14">
        <f>INDEX(挂机升级突破!DS$6:DS$57,卡牌消耗!$AT231)</f>
        <v>0</v>
      </c>
      <c r="AP231" s="14">
        <f>INDEX(挂机升级突破!$DP$6:$DP$57,卡牌消耗!AT231)</f>
        <v>65</v>
      </c>
      <c r="AQ231" s="14" t="str">
        <f t="shared" si="312"/>
        <v>李轩辕</v>
      </c>
      <c r="AR231" s="14">
        <f t="shared" si="313"/>
        <v>3</v>
      </c>
      <c r="AS231" s="14" t="str">
        <f t="shared" si="314"/>
        <v>李轩辕魂火-19</v>
      </c>
      <c r="AT231" s="14">
        <f t="shared" si="315"/>
        <v>19</v>
      </c>
      <c r="AU231" s="14" t="str">
        <f>IF(AM231&gt;0,INDEX(挂机升级突破!$DT$4:$ED$4,AM231),"")</f>
        <v>金币</v>
      </c>
      <c r="AV231" s="14">
        <f>ROUND(INDEX(挂机升级突破!$DJ$6:$DJ$57,卡牌消耗!AT231)*INDEX(卡牌消耗!$B$8:$F$8,AR231)/$Q$4/50,0)*50</f>
        <v>4100</v>
      </c>
      <c r="AW231" s="14" t="str">
        <f>IF(AN231&gt;0,INDEX(挂机升级突破!$DT$4:$ED$4,AN231),"")</f>
        <v>紫色基础材料</v>
      </c>
      <c r="AX231" s="14">
        <f>ROUND(INDEX(挂机升级突破!$DT$6:$ED$57,卡牌消耗!AT231,AN231)*INDEX(卡牌消耗!$B$5:$F$5,AR231)/$Q$4/5,0)*5</f>
        <v>45</v>
      </c>
      <c r="AY231" s="14" t="str">
        <f>IF(AO231&gt;0,INDEX(挂机升级突破!$DT$4:$ED$4,AO231),"")</f>
        <v/>
      </c>
      <c r="AZ231" s="14" t="str">
        <f>IF(AO231&gt;0,ROUND(INDEX(挂机升级突破!$DT$6:$ED$57,卡牌消耗!AT231,AO231)*INDEX(卡牌消耗!$B$7:$F$7,AR231)/$Q$4,0),"")</f>
        <v/>
      </c>
      <c r="BA231" s="106"/>
      <c r="BB231" s="197"/>
      <c r="BC231" s="197"/>
      <c r="BD231" s="197"/>
      <c r="BE231" s="197"/>
      <c r="BF231" s="197"/>
      <c r="BG231" s="197"/>
      <c r="BH231" s="197"/>
      <c r="BI231" s="197"/>
      <c r="BJ231" s="197"/>
      <c r="BK231" s="197"/>
      <c r="BL231" s="104">
        <v>227</v>
      </c>
      <c r="BM231" s="14">
        <f t="shared" si="316"/>
        <v>12</v>
      </c>
      <c r="BN231" s="14">
        <f>INDEX(挂机升级突破!$EI$7:$EI$26,BS231)</f>
        <v>5</v>
      </c>
      <c r="BO231" s="14">
        <f>INDEX(挂机升级突破!$EJ$7:$EJ$26,BS231)</f>
        <v>1</v>
      </c>
      <c r="BP231" s="14">
        <f t="shared" si="317"/>
        <v>5</v>
      </c>
      <c r="BQ231" s="14">
        <f>INDEX(挂机升级突破!$EH$7:$EH$26,卡牌消耗!BS231)</f>
        <v>47</v>
      </c>
      <c r="BR231" s="14" t="str">
        <f t="shared" si="318"/>
        <v>夏侯惇</v>
      </c>
      <c r="BS231" s="14">
        <f t="shared" si="319"/>
        <v>7</v>
      </c>
      <c r="BT231" s="14" t="str">
        <f t="shared" si="320"/>
        <v>夏侯惇7突</v>
      </c>
      <c r="BU231" s="14" t="str">
        <f>IF(BN231&gt;0,INDEX(挂机升级突破!$ER$5:$EV$5,卡牌消耗!BN231),"")</f>
        <v>金币</v>
      </c>
      <c r="BV231" s="14">
        <f>IF(BN231&gt;0,ROUND(INDEX(挂机升级突破!$EV$7:$EV$26,卡牌消耗!BS231)*INDEX(卡牌消耗!$B$8:$F$8,BP231)/$Q$4/500,0)*500,"")</f>
        <v>16500</v>
      </c>
      <c r="BW231" s="14" t="str">
        <f>IF(BO231&gt;0,INDEX(挂机升级突破!$ER$5:$EV$5,卡牌消耗!BO231),"")</f>
        <v>玄铁</v>
      </c>
      <c r="BX231" s="14">
        <f>IF(BO231&gt;0,ROUND(INDEX(挂机升级突破!$ER$7:$EU$26,卡牌消耗!BS231,卡牌消耗!BO231)*INDEX($B$6:$F$6,BP231)/$Q$4/5,0)*5,"")</f>
        <v>125</v>
      </c>
      <c r="BY231" s="193"/>
      <c r="BZ231" s="193"/>
      <c r="CA231" s="106"/>
      <c r="CS231" s="171"/>
      <c r="CT231" s="171"/>
      <c r="CU231" s="171"/>
      <c r="DI231" s="186">
        <v>227</v>
      </c>
      <c r="DJ231" s="14">
        <f t="shared" si="321"/>
        <v>46</v>
      </c>
      <c r="DK231" s="14">
        <f t="shared" si="306"/>
        <v>2</v>
      </c>
      <c r="DL231" s="14">
        <f t="shared" si="307"/>
        <v>1102019</v>
      </c>
      <c r="DM231" s="136" t="s">
        <v>1097</v>
      </c>
      <c r="DN231" s="14">
        <f t="shared" si="308"/>
        <v>2</v>
      </c>
      <c r="DO231" s="14" t="str">
        <f t="shared" si="309"/>
        <v>食火蜥-2星</v>
      </c>
      <c r="DP231" s="136" t="s">
        <v>1103</v>
      </c>
      <c r="DQ231" s="14">
        <f t="shared" si="322"/>
        <v>3500</v>
      </c>
      <c r="DR231" s="14" t="str">
        <f t="shared" si="310"/>
        <v>食火蜥碎片</v>
      </c>
      <c r="DS231" s="14">
        <f t="shared" si="323"/>
        <v>20</v>
      </c>
    </row>
    <row r="232" spans="8:123" ht="16.5" x14ac:dyDescent="0.2">
      <c r="H232" s="15"/>
      <c r="I232" s="15"/>
      <c r="J232" s="15"/>
      <c r="K232" s="15"/>
      <c r="L232" s="15"/>
      <c r="M232" s="15"/>
      <c r="N232" s="15"/>
      <c r="O232" s="137"/>
      <c r="P232" s="141"/>
      <c r="Q232" s="141"/>
      <c r="R232" s="141"/>
      <c r="S232" s="141"/>
      <c r="T232" s="141"/>
      <c r="U232" s="141"/>
      <c r="V232" s="141"/>
      <c r="W232" s="141"/>
      <c r="X232" s="141"/>
      <c r="Y232" s="141"/>
      <c r="Z232" s="141"/>
      <c r="AA232" s="194"/>
      <c r="AB232" s="194"/>
      <c r="AC232" s="194"/>
      <c r="AD232" s="194"/>
      <c r="AE232" s="194"/>
      <c r="AF232" s="194"/>
      <c r="AG232" s="197"/>
      <c r="AH232" s="194"/>
      <c r="AI232" s="194"/>
      <c r="AJ232" s="194"/>
      <c r="AK232" s="104">
        <v>228</v>
      </c>
      <c r="AL232" s="14">
        <f t="shared" si="311"/>
        <v>5</v>
      </c>
      <c r="AM232" s="14">
        <f>INDEX(挂机升级突破!DQ$6:DQ$57,卡牌消耗!$AT232)</f>
        <v>11</v>
      </c>
      <c r="AN232" s="14">
        <f>INDEX(挂机升级突破!DR$6:DR$57,卡牌消耗!$AT232)</f>
        <v>3</v>
      </c>
      <c r="AO232" s="14">
        <f>INDEX(挂机升级突破!DS$6:DS$57,卡牌消耗!$AT232)</f>
        <v>0</v>
      </c>
      <c r="AP232" s="14">
        <f>INDEX(挂机升级突破!$DP$6:$DP$57,卡牌消耗!AT232)</f>
        <v>68</v>
      </c>
      <c r="AQ232" s="14" t="str">
        <f t="shared" si="312"/>
        <v>李轩辕</v>
      </c>
      <c r="AR232" s="14">
        <f t="shared" si="313"/>
        <v>3</v>
      </c>
      <c r="AS232" s="14" t="str">
        <f t="shared" si="314"/>
        <v>李轩辕魂火-20</v>
      </c>
      <c r="AT232" s="14">
        <f t="shared" si="315"/>
        <v>20</v>
      </c>
      <c r="AU232" s="14" t="str">
        <f>IF(AM232&gt;0,INDEX(挂机升级突破!$DT$4:$ED$4,AM232),"")</f>
        <v>金币</v>
      </c>
      <c r="AV232" s="14">
        <f>ROUND(INDEX(挂机升级突破!$DJ$6:$DJ$57,卡牌消耗!AT232)*INDEX(卡牌消耗!$B$8:$F$8,AR232)/$Q$4/50,0)*50</f>
        <v>5000</v>
      </c>
      <c r="AW232" s="14" t="str">
        <f>IF(AN232&gt;0,INDEX(挂机升级突破!$DT$4:$ED$4,AN232),"")</f>
        <v>紫色基础材料</v>
      </c>
      <c r="AX232" s="14">
        <f>ROUND(INDEX(挂机升级突破!$DT$6:$ED$57,卡牌消耗!AT232,AN232)*INDEX(卡牌消耗!$B$5:$F$5,AR232)/$Q$4/5,0)*5</f>
        <v>70</v>
      </c>
      <c r="AY232" s="14" t="str">
        <f>IF(AO232&gt;0,INDEX(挂机升级突破!$DT$4:$ED$4,AO232),"")</f>
        <v/>
      </c>
      <c r="AZ232" s="14" t="str">
        <f>IF(AO232&gt;0,ROUND(INDEX(挂机升级突破!$DT$6:$ED$57,卡牌消耗!AT232,AO232)*INDEX(卡牌消耗!$B$7:$F$7,AR232)/$Q$4,0),"")</f>
        <v/>
      </c>
      <c r="BA232" s="106"/>
      <c r="BB232" s="197"/>
      <c r="BC232" s="197"/>
      <c r="BD232" s="197"/>
      <c r="BE232" s="197"/>
      <c r="BF232" s="197"/>
      <c r="BG232" s="197"/>
      <c r="BH232" s="197"/>
      <c r="BI232" s="197"/>
      <c r="BJ232" s="197"/>
      <c r="BK232" s="197"/>
      <c r="BL232" s="104">
        <v>228</v>
      </c>
      <c r="BM232" s="14">
        <f t="shared" si="316"/>
        <v>12</v>
      </c>
      <c r="BN232" s="14">
        <f>INDEX(挂机升级突破!$EI$7:$EI$26,BS232)</f>
        <v>5</v>
      </c>
      <c r="BO232" s="14">
        <f>INDEX(挂机升级突破!$EJ$7:$EJ$26,BS232)</f>
        <v>1</v>
      </c>
      <c r="BP232" s="14">
        <f t="shared" si="317"/>
        <v>5</v>
      </c>
      <c r="BQ232" s="14">
        <f>INDEX(挂机升级突破!$EH$7:$EH$26,卡牌消耗!BS232)</f>
        <v>52</v>
      </c>
      <c r="BR232" s="14" t="str">
        <f t="shared" si="318"/>
        <v>夏侯惇</v>
      </c>
      <c r="BS232" s="14">
        <f t="shared" si="319"/>
        <v>8</v>
      </c>
      <c r="BT232" s="14" t="str">
        <f t="shared" si="320"/>
        <v>夏侯惇8突</v>
      </c>
      <c r="BU232" s="14" t="str">
        <f>IF(BN232&gt;0,INDEX(挂机升级突破!$ER$5:$EV$5,卡牌消耗!BN232),"")</f>
        <v>金币</v>
      </c>
      <c r="BV232" s="14">
        <f>IF(BN232&gt;0,ROUND(INDEX(挂机升级突破!$EV$7:$EV$26,卡牌消耗!BS232)*INDEX(卡牌消耗!$B$8:$F$8,BP232)/$Q$4/500,0)*500,"")</f>
        <v>16500</v>
      </c>
      <c r="BW232" s="14" t="str">
        <f>IF(BO232&gt;0,INDEX(挂机升级突破!$ER$5:$EV$5,卡牌消耗!BO232),"")</f>
        <v>玄铁</v>
      </c>
      <c r="BX232" s="14">
        <f>IF(BO232&gt;0,ROUND(INDEX(挂机升级突破!$ER$7:$EU$26,卡牌消耗!BS232,卡牌消耗!BO232)*INDEX($B$6:$F$6,BP232)/$Q$4/5,0)*5,"")</f>
        <v>225</v>
      </c>
      <c r="BY232" s="193"/>
      <c r="BZ232" s="193"/>
      <c r="CA232" s="106"/>
      <c r="CS232" s="171"/>
      <c r="CT232" s="171"/>
      <c r="CU232" s="171"/>
      <c r="DI232" s="186">
        <v>228</v>
      </c>
      <c r="DJ232" s="14">
        <f t="shared" si="321"/>
        <v>46</v>
      </c>
      <c r="DK232" s="14">
        <f t="shared" si="306"/>
        <v>2</v>
      </c>
      <c r="DL232" s="14">
        <f t="shared" si="307"/>
        <v>1102019</v>
      </c>
      <c r="DM232" s="136" t="s">
        <v>1097</v>
      </c>
      <c r="DN232" s="14">
        <f t="shared" si="308"/>
        <v>3</v>
      </c>
      <c r="DO232" s="14" t="str">
        <f t="shared" si="309"/>
        <v>食火蜥-3星</v>
      </c>
      <c r="DP232" s="136" t="s">
        <v>1103</v>
      </c>
      <c r="DQ232" s="14">
        <f t="shared" si="322"/>
        <v>7000</v>
      </c>
      <c r="DR232" s="14" t="str">
        <f t="shared" si="310"/>
        <v>食火蜥碎片</v>
      </c>
      <c r="DS232" s="14">
        <f t="shared" si="323"/>
        <v>20</v>
      </c>
    </row>
    <row r="233" spans="8:123" ht="16.5" x14ac:dyDescent="0.2">
      <c r="H233" s="15"/>
      <c r="I233" s="15"/>
      <c r="J233" s="15"/>
      <c r="K233" s="15"/>
      <c r="L233" s="15"/>
      <c r="M233" s="15"/>
      <c r="N233" s="15"/>
      <c r="O233" s="137"/>
      <c r="P233" s="141"/>
      <c r="Q233" s="141"/>
      <c r="R233" s="141"/>
      <c r="S233" s="141"/>
      <c r="T233" s="141"/>
      <c r="U233" s="141"/>
      <c r="V233" s="141"/>
      <c r="W233" s="141"/>
      <c r="X233" s="141"/>
      <c r="Y233" s="141"/>
      <c r="Z233" s="141"/>
      <c r="AA233" s="194"/>
      <c r="AB233" s="194"/>
      <c r="AC233" s="194"/>
      <c r="AD233" s="194"/>
      <c r="AE233" s="194"/>
      <c r="AF233" s="194"/>
      <c r="AG233" s="197"/>
      <c r="AH233" s="194"/>
      <c r="AI233" s="194"/>
      <c r="AJ233" s="194"/>
      <c r="AK233" s="104">
        <v>229</v>
      </c>
      <c r="AL233" s="14">
        <f t="shared" si="311"/>
        <v>5</v>
      </c>
      <c r="AM233" s="14">
        <f>INDEX(挂机升级突破!DQ$6:DQ$57,卡牌消耗!$AT233)</f>
        <v>11</v>
      </c>
      <c r="AN233" s="14">
        <f>INDEX(挂机升级突破!DR$6:DR$57,卡牌消耗!$AT233)</f>
        <v>3</v>
      </c>
      <c r="AO233" s="14">
        <f>INDEX(挂机升级突破!DS$6:DS$57,卡牌消耗!$AT233)</f>
        <v>0</v>
      </c>
      <c r="AP233" s="14">
        <f>INDEX(挂机升级突破!$DP$6:$DP$57,卡牌消耗!AT233)</f>
        <v>70</v>
      </c>
      <c r="AQ233" s="14" t="str">
        <f t="shared" si="312"/>
        <v>李轩辕</v>
      </c>
      <c r="AR233" s="14">
        <f t="shared" si="313"/>
        <v>3</v>
      </c>
      <c r="AS233" s="14" t="str">
        <f t="shared" si="314"/>
        <v>李轩辕魂火-21</v>
      </c>
      <c r="AT233" s="14">
        <f t="shared" si="315"/>
        <v>21</v>
      </c>
      <c r="AU233" s="14" t="str">
        <f>IF(AM233&gt;0,INDEX(挂机升级突破!$DT$4:$ED$4,AM233),"")</f>
        <v>金币</v>
      </c>
      <c r="AV233" s="14">
        <f>ROUND(INDEX(挂机升级突破!$DJ$6:$DJ$57,卡牌消耗!AT233)*INDEX(卡牌消耗!$B$8:$F$8,AR233)/$Q$4/50,0)*50</f>
        <v>5000</v>
      </c>
      <c r="AW233" s="14" t="str">
        <f>IF(AN233&gt;0,INDEX(挂机升级突破!$DT$4:$ED$4,AN233),"")</f>
        <v>紫色基础材料</v>
      </c>
      <c r="AX233" s="14">
        <f>ROUND(INDEX(挂机升级突破!$DT$6:$ED$57,卡牌消耗!AT233,AN233)*INDEX(卡牌消耗!$B$5:$F$5,AR233)/$Q$4/5,0)*5</f>
        <v>70</v>
      </c>
      <c r="AY233" s="14" t="str">
        <f>IF(AO233&gt;0,INDEX(挂机升级突破!$DT$4:$ED$4,AO233),"")</f>
        <v/>
      </c>
      <c r="AZ233" s="14" t="str">
        <f>IF(AO233&gt;0,ROUND(INDEX(挂机升级突破!$DT$6:$ED$57,卡牌消耗!AT233,AO233)*INDEX(卡牌消耗!$B$7:$F$7,AR233)/$Q$4,0),"")</f>
        <v/>
      </c>
      <c r="BA233" s="106"/>
      <c r="BB233" s="197"/>
      <c r="BC233" s="197"/>
      <c r="BD233" s="197"/>
      <c r="BE233" s="197"/>
      <c r="BF233" s="197"/>
      <c r="BG233" s="197"/>
      <c r="BH233" s="197"/>
      <c r="BI233" s="197"/>
      <c r="BJ233" s="197"/>
      <c r="BK233" s="197"/>
      <c r="BL233" s="104">
        <v>229</v>
      </c>
      <c r="BM233" s="14">
        <f t="shared" si="316"/>
        <v>12</v>
      </c>
      <c r="BN233" s="14">
        <f>INDEX(挂机升级突破!$EI$7:$EI$26,BS233)</f>
        <v>5</v>
      </c>
      <c r="BO233" s="14">
        <f>INDEX(挂机升级突破!$EJ$7:$EJ$26,BS233)</f>
        <v>2</v>
      </c>
      <c r="BP233" s="14">
        <f t="shared" si="317"/>
        <v>5</v>
      </c>
      <c r="BQ233" s="14">
        <f>INDEX(挂机升级突破!$EH$7:$EH$26,卡牌消耗!BS233)</f>
        <v>57</v>
      </c>
      <c r="BR233" s="14" t="str">
        <f t="shared" si="318"/>
        <v>夏侯惇</v>
      </c>
      <c r="BS233" s="14">
        <f t="shared" si="319"/>
        <v>9</v>
      </c>
      <c r="BT233" s="14" t="str">
        <f t="shared" si="320"/>
        <v>夏侯惇9突</v>
      </c>
      <c r="BU233" s="14" t="str">
        <f>IF(BN233&gt;0,INDEX(挂机升级突破!$ER$5:$EV$5,卡牌消耗!BN233),"")</f>
        <v>金币</v>
      </c>
      <c r="BV233" s="14">
        <f>IF(BN233&gt;0,ROUND(INDEX(挂机升级突破!$EV$7:$EV$26,卡牌消耗!BS233)*INDEX(卡牌消耗!$B$8:$F$8,BP233)/$Q$4/500,0)*500,"")</f>
        <v>22000</v>
      </c>
      <c r="BW233" s="14" t="str">
        <f>IF(BO233&gt;0,INDEX(挂机升级突破!$ER$5:$EV$5,卡牌消耗!BO233),"")</f>
        <v>乌金</v>
      </c>
      <c r="BX233" s="14">
        <f>IF(BO233&gt;0,ROUND(INDEX(挂机升级突破!$ER$7:$EU$26,卡牌消耗!BS233,卡牌消耗!BO233)*INDEX($B$6:$F$6,BP233)/$Q$4/5,0)*5,"")</f>
        <v>75</v>
      </c>
      <c r="BY233" s="193"/>
      <c r="BZ233" s="193"/>
      <c r="CA233" s="106"/>
      <c r="CS233" s="171"/>
      <c r="CT233" s="171"/>
      <c r="CU233" s="171"/>
      <c r="DI233" s="186">
        <v>229</v>
      </c>
      <c r="DJ233" s="14">
        <f t="shared" si="321"/>
        <v>46</v>
      </c>
      <c r="DK233" s="14">
        <f t="shared" si="306"/>
        <v>2</v>
      </c>
      <c r="DL233" s="14">
        <f t="shared" si="307"/>
        <v>1102019</v>
      </c>
      <c r="DM233" s="136" t="s">
        <v>1097</v>
      </c>
      <c r="DN233" s="14">
        <f t="shared" si="308"/>
        <v>4</v>
      </c>
      <c r="DO233" s="14" t="str">
        <f t="shared" si="309"/>
        <v>食火蜥-4星</v>
      </c>
      <c r="DP233" s="136" t="s">
        <v>1103</v>
      </c>
      <c r="DQ233" s="14">
        <f t="shared" si="322"/>
        <v>16000</v>
      </c>
      <c r="DR233" s="14" t="str">
        <f t="shared" si="310"/>
        <v>食火蜥碎片</v>
      </c>
      <c r="DS233" s="14">
        <f t="shared" si="323"/>
        <v>20</v>
      </c>
    </row>
    <row r="234" spans="8:123" ht="16.5" x14ac:dyDescent="0.2">
      <c r="H234" s="15"/>
      <c r="I234" s="15"/>
      <c r="J234" s="15"/>
      <c r="K234" s="15"/>
      <c r="L234" s="15"/>
      <c r="M234" s="15"/>
      <c r="N234" s="15"/>
      <c r="O234" s="137"/>
      <c r="P234" s="141"/>
      <c r="Q234" s="141"/>
      <c r="R234" s="141"/>
      <c r="S234" s="141"/>
      <c r="T234" s="141"/>
      <c r="U234" s="141"/>
      <c r="V234" s="141"/>
      <c r="W234" s="141"/>
      <c r="X234" s="141"/>
      <c r="Y234" s="141"/>
      <c r="Z234" s="141"/>
      <c r="AA234" s="194"/>
      <c r="AB234" s="194"/>
      <c r="AC234" s="194"/>
      <c r="AD234" s="194"/>
      <c r="AE234" s="194"/>
      <c r="AF234" s="194"/>
      <c r="AG234" s="197"/>
      <c r="AH234" s="194"/>
      <c r="AI234" s="194"/>
      <c r="AJ234" s="194"/>
      <c r="AK234" s="104">
        <v>230</v>
      </c>
      <c r="AL234" s="14">
        <f t="shared" si="311"/>
        <v>5</v>
      </c>
      <c r="AM234" s="14">
        <f>INDEX(挂机升级突破!DQ$6:DQ$57,卡牌消耗!$AT234)</f>
        <v>11</v>
      </c>
      <c r="AN234" s="14">
        <f>INDEX(挂机升级突破!DR$6:DR$57,卡牌消耗!$AT234)</f>
        <v>3</v>
      </c>
      <c r="AO234" s="14">
        <f>INDEX(挂机升级突破!DS$6:DS$57,卡牌消耗!$AT234)</f>
        <v>0</v>
      </c>
      <c r="AP234" s="14">
        <f>INDEX(挂机升级突破!$DP$6:$DP$57,卡牌消耗!AT234)</f>
        <v>73</v>
      </c>
      <c r="AQ234" s="14" t="str">
        <f t="shared" si="312"/>
        <v>李轩辕</v>
      </c>
      <c r="AR234" s="14">
        <f t="shared" si="313"/>
        <v>3</v>
      </c>
      <c r="AS234" s="14" t="str">
        <f t="shared" si="314"/>
        <v>李轩辕魂火-22</v>
      </c>
      <c r="AT234" s="14">
        <f t="shared" si="315"/>
        <v>22</v>
      </c>
      <c r="AU234" s="14" t="str">
        <f>IF(AM234&gt;0,INDEX(挂机升级突破!$DT$4:$ED$4,AM234),"")</f>
        <v>金币</v>
      </c>
      <c r="AV234" s="14">
        <f>ROUND(INDEX(挂机升级突破!$DJ$6:$DJ$57,卡牌消耗!AT234)*INDEX(卡牌消耗!$B$8:$F$8,AR234)/$Q$4/50,0)*50</f>
        <v>5000</v>
      </c>
      <c r="AW234" s="14" t="str">
        <f>IF(AN234&gt;0,INDEX(挂机升级突破!$DT$4:$ED$4,AN234),"")</f>
        <v>紫色基础材料</v>
      </c>
      <c r="AX234" s="14">
        <f>ROUND(INDEX(挂机升级突破!$DT$6:$ED$57,卡牌消耗!AT234,AN234)*INDEX(卡牌消耗!$B$5:$F$5,AR234)/$Q$4/5,0)*5</f>
        <v>70</v>
      </c>
      <c r="AY234" s="14" t="str">
        <f>IF(AO234&gt;0,INDEX(挂机升级突破!$DT$4:$ED$4,AO234),"")</f>
        <v/>
      </c>
      <c r="AZ234" s="14" t="str">
        <f>IF(AO234&gt;0,ROUND(INDEX(挂机升级突破!$DT$6:$ED$57,卡牌消耗!AT234,AO234)*INDEX(卡牌消耗!$B$7:$F$7,AR234)/$Q$4,0),"")</f>
        <v/>
      </c>
      <c r="BA234" s="106"/>
      <c r="BB234" s="197"/>
      <c r="BC234" s="197"/>
      <c r="BD234" s="197"/>
      <c r="BE234" s="197"/>
      <c r="BF234" s="197"/>
      <c r="BG234" s="197"/>
      <c r="BH234" s="197"/>
      <c r="BI234" s="197"/>
      <c r="BJ234" s="197"/>
      <c r="BK234" s="197"/>
      <c r="BL234" s="104">
        <v>230</v>
      </c>
      <c r="BM234" s="14">
        <f t="shared" si="316"/>
        <v>12</v>
      </c>
      <c r="BN234" s="14">
        <f>INDEX(挂机升级突破!$EI$7:$EI$26,BS234)</f>
        <v>5</v>
      </c>
      <c r="BO234" s="14">
        <f>INDEX(挂机升级突破!$EJ$7:$EJ$26,BS234)</f>
        <v>2</v>
      </c>
      <c r="BP234" s="14">
        <f t="shared" si="317"/>
        <v>5</v>
      </c>
      <c r="BQ234" s="14">
        <f>INDEX(挂机升级突破!$EH$7:$EH$26,卡牌消耗!BS234)</f>
        <v>65</v>
      </c>
      <c r="BR234" s="14" t="str">
        <f t="shared" si="318"/>
        <v>夏侯惇</v>
      </c>
      <c r="BS234" s="14">
        <f t="shared" si="319"/>
        <v>10</v>
      </c>
      <c r="BT234" s="14" t="str">
        <f t="shared" si="320"/>
        <v>夏侯惇10突</v>
      </c>
      <c r="BU234" s="14" t="str">
        <f>IF(BN234&gt;0,INDEX(挂机升级突破!$ER$5:$EV$5,卡牌消耗!BN234),"")</f>
        <v>金币</v>
      </c>
      <c r="BV234" s="14">
        <f>IF(BN234&gt;0,ROUND(INDEX(挂机升级突破!$EV$7:$EV$26,卡牌消耗!BS234)*INDEX(卡牌消耗!$B$8:$F$8,BP234)/$Q$4/500,0)*500,"")</f>
        <v>37500</v>
      </c>
      <c r="BW234" s="14" t="str">
        <f>IF(BO234&gt;0,INDEX(挂机升级突破!$ER$5:$EV$5,卡牌消耗!BO234),"")</f>
        <v>乌金</v>
      </c>
      <c r="BX234" s="14">
        <f>IF(BO234&gt;0,ROUND(INDEX(挂机升级突破!$ER$7:$EU$26,卡牌消耗!BS234,卡牌消耗!BO234)*INDEX($B$6:$F$6,BP234)/$Q$4/5,0)*5,"")</f>
        <v>105</v>
      </c>
      <c r="BY234" s="193"/>
      <c r="BZ234" s="193"/>
      <c r="CA234" s="106"/>
      <c r="CS234" s="171"/>
      <c r="CT234" s="171"/>
      <c r="CU234" s="171"/>
      <c r="DI234" s="186">
        <v>230</v>
      </c>
      <c r="DJ234" s="14">
        <f t="shared" si="321"/>
        <v>46</v>
      </c>
      <c r="DK234" s="14">
        <f t="shared" si="306"/>
        <v>2</v>
      </c>
      <c r="DL234" s="14">
        <f t="shared" si="307"/>
        <v>1102019</v>
      </c>
      <c r="DM234" s="136" t="s">
        <v>1097</v>
      </c>
      <c r="DN234" s="14">
        <f t="shared" si="308"/>
        <v>5</v>
      </c>
      <c r="DO234" s="14" t="str">
        <f t="shared" si="309"/>
        <v>食火蜥-5星</v>
      </c>
      <c r="DP234" s="136" t="s">
        <v>1103</v>
      </c>
      <c r="DQ234" s="14">
        <f t="shared" si="322"/>
        <v>30000</v>
      </c>
      <c r="DR234" s="14" t="str">
        <f t="shared" si="310"/>
        <v>食火蜥碎片</v>
      </c>
      <c r="DS234" s="14">
        <f t="shared" si="323"/>
        <v>20</v>
      </c>
    </row>
    <row r="235" spans="8:123" ht="16.5" x14ac:dyDescent="0.2">
      <c r="H235" s="15"/>
      <c r="I235" s="15"/>
      <c r="J235" s="15"/>
      <c r="K235" s="15"/>
      <c r="L235" s="15"/>
      <c r="M235" s="15"/>
      <c r="N235" s="15"/>
      <c r="O235" s="137"/>
      <c r="P235" s="141"/>
      <c r="Q235" s="141"/>
      <c r="R235" s="141"/>
      <c r="S235" s="141"/>
      <c r="T235" s="141"/>
      <c r="U235" s="141"/>
      <c r="V235" s="141"/>
      <c r="W235" s="141"/>
      <c r="X235" s="141"/>
      <c r="Y235" s="141"/>
      <c r="Z235" s="141"/>
      <c r="AA235" s="194"/>
      <c r="AB235" s="194"/>
      <c r="AC235" s="194"/>
      <c r="AD235" s="194"/>
      <c r="AE235" s="194"/>
      <c r="AF235" s="194"/>
      <c r="AG235" s="197"/>
      <c r="AH235" s="194"/>
      <c r="AI235" s="194"/>
      <c r="AJ235" s="194"/>
      <c r="AK235" s="104">
        <v>231</v>
      </c>
      <c r="AL235" s="14">
        <f t="shared" si="311"/>
        <v>5</v>
      </c>
      <c r="AM235" s="14">
        <f>INDEX(挂机升级突破!DQ$6:DQ$57,卡牌消耗!$AT235)</f>
        <v>11</v>
      </c>
      <c r="AN235" s="14">
        <f>INDEX(挂机升级突破!DR$6:DR$57,卡牌消耗!$AT235)</f>
        <v>4</v>
      </c>
      <c r="AO235" s="14">
        <f>INDEX(挂机升级突破!DS$6:DS$57,卡牌消耗!$AT235)</f>
        <v>0</v>
      </c>
      <c r="AP235" s="14">
        <f>INDEX(挂机升级突破!$DP$6:$DP$57,卡牌消耗!AT235)</f>
        <v>75</v>
      </c>
      <c r="AQ235" s="14" t="str">
        <f t="shared" si="312"/>
        <v>李轩辕</v>
      </c>
      <c r="AR235" s="14">
        <f t="shared" si="313"/>
        <v>3</v>
      </c>
      <c r="AS235" s="14" t="str">
        <f t="shared" si="314"/>
        <v>李轩辕魂火-23</v>
      </c>
      <c r="AT235" s="14">
        <f t="shared" si="315"/>
        <v>23</v>
      </c>
      <c r="AU235" s="14" t="str">
        <f>IF(AM235&gt;0,INDEX(挂机升级突破!$DT$4:$ED$4,AM235),"")</f>
        <v>金币</v>
      </c>
      <c r="AV235" s="14">
        <f>ROUND(INDEX(挂机升级突破!$DJ$6:$DJ$57,卡牌消耗!AT235)*INDEX(卡牌消耗!$B$8:$F$8,AR235)/$Q$4/50,0)*50</f>
        <v>6900</v>
      </c>
      <c r="AW235" s="14" t="str">
        <f>IF(AN235&gt;0,INDEX(挂机升级突破!$DT$4:$ED$4,AN235),"")</f>
        <v>橙色基础材料</v>
      </c>
      <c r="AX235" s="14">
        <f>ROUND(INDEX(挂机升级突破!$DT$6:$ED$57,卡牌消耗!AT235,AN235)*INDEX(卡牌消耗!$B$5:$F$5,AR235)/$Q$4/5,0)*5</f>
        <v>20</v>
      </c>
      <c r="AY235" s="14" t="str">
        <f>IF(AO235&gt;0,INDEX(挂机升级突破!$DT$4:$ED$4,AO235),"")</f>
        <v/>
      </c>
      <c r="AZ235" s="14" t="str">
        <f>IF(AO235&gt;0,ROUND(INDEX(挂机升级突破!$DT$6:$ED$57,卡牌消耗!AT235,AO235)*INDEX(卡牌消耗!$B$7:$F$7,AR235)/$Q$4,0),"")</f>
        <v/>
      </c>
      <c r="BA235" s="106"/>
      <c r="BB235" s="197"/>
      <c r="BC235" s="197"/>
      <c r="BD235" s="197"/>
      <c r="BE235" s="197"/>
      <c r="BF235" s="197"/>
      <c r="BG235" s="197"/>
      <c r="BH235" s="197"/>
      <c r="BI235" s="197"/>
      <c r="BJ235" s="197"/>
      <c r="BK235" s="197"/>
      <c r="BL235" s="104">
        <v>231</v>
      </c>
      <c r="BM235" s="14">
        <f t="shared" si="316"/>
        <v>12</v>
      </c>
      <c r="BN235" s="14">
        <f>INDEX(挂机升级突破!$EI$7:$EI$26,BS235)</f>
        <v>5</v>
      </c>
      <c r="BO235" s="14">
        <f>INDEX(挂机升级突破!$EJ$7:$EJ$26,BS235)</f>
        <v>2</v>
      </c>
      <c r="BP235" s="14">
        <f t="shared" si="317"/>
        <v>5</v>
      </c>
      <c r="BQ235" s="14">
        <f>INDEX(挂机升级突破!$EH$7:$EH$26,卡牌消耗!BS235)</f>
        <v>72</v>
      </c>
      <c r="BR235" s="14" t="str">
        <f t="shared" si="318"/>
        <v>夏侯惇</v>
      </c>
      <c r="BS235" s="14">
        <f t="shared" si="319"/>
        <v>11</v>
      </c>
      <c r="BT235" s="14" t="str">
        <f t="shared" si="320"/>
        <v>夏侯惇11突</v>
      </c>
      <c r="BU235" s="14" t="str">
        <f>IF(BN235&gt;0,INDEX(挂机升级突破!$ER$5:$EV$5,卡牌消耗!BN235),"")</f>
        <v>金币</v>
      </c>
      <c r="BV235" s="14">
        <f>IF(BN235&gt;0,ROUND(INDEX(挂机升级突破!$EV$7:$EV$26,卡牌消耗!BS235)*INDEX(卡牌消耗!$B$8:$F$8,BP235)/$Q$4/500,0)*500,"")</f>
        <v>37500</v>
      </c>
      <c r="BW235" s="14" t="str">
        <f>IF(BO235&gt;0,INDEX(挂机升级突破!$ER$5:$EV$5,卡牌消耗!BO235),"")</f>
        <v>乌金</v>
      </c>
      <c r="BX235" s="14">
        <f>IF(BO235&gt;0,ROUND(INDEX(挂机升级突破!$ER$7:$EU$26,卡牌消耗!BS235,卡牌消耗!BO235)*INDEX($B$6:$F$6,BP235)/$Q$4/5,0)*5,"")</f>
        <v>140</v>
      </c>
      <c r="BY235" s="193"/>
      <c r="BZ235" s="193"/>
      <c r="CA235" s="106"/>
      <c r="CS235" s="171"/>
      <c r="CT235" s="171"/>
      <c r="CU235" s="171"/>
      <c r="DI235" s="186">
        <v>231</v>
      </c>
      <c r="DJ235" s="14">
        <f t="shared" si="321"/>
        <v>47</v>
      </c>
      <c r="DK235" s="14">
        <f t="shared" si="306"/>
        <v>3</v>
      </c>
      <c r="DL235" s="14">
        <f t="shared" si="307"/>
        <v>1102020</v>
      </c>
      <c r="DM235" s="136" t="s">
        <v>1097</v>
      </c>
      <c r="DN235" s="14">
        <f t="shared" si="308"/>
        <v>1</v>
      </c>
      <c r="DO235" s="14" t="str">
        <f t="shared" si="309"/>
        <v>高顺-1星</v>
      </c>
      <c r="DP235" s="136" t="s">
        <v>1103</v>
      </c>
      <c r="DQ235" s="14">
        <f t="shared" si="322"/>
        <v>4000</v>
      </c>
      <c r="DR235" s="14" t="str">
        <f t="shared" si="310"/>
        <v>高顺碎片</v>
      </c>
      <c r="DS235" s="14">
        <f t="shared" si="323"/>
        <v>40</v>
      </c>
    </row>
    <row r="236" spans="8:123" ht="16.5" x14ac:dyDescent="0.2">
      <c r="H236" s="15"/>
      <c r="I236" s="15"/>
      <c r="J236" s="15"/>
      <c r="K236" s="15"/>
      <c r="L236" s="15"/>
      <c r="M236" s="15"/>
      <c r="N236" s="15"/>
      <c r="O236" s="137"/>
      <c r="P236" s="141"/>
      <c r="Q236" s="141"/>
      <c r="R236" s="141"/>
      <c r="S236" s="141"/>
      <c r="T236" s="141"/>
      <c r="U236" s="141"/>
      <c r="V236" s="141"/>
      <c r="W236" s="141"/>
      <c r="X236" s="141"/>
      <c r="Y236" s="141"/>
      <c r="Z236" s="141"/>
      <c r="AA236" s="194"/>
      <c r="AB236" s="194"/>
      <c r="AC236" s="194"/>
      <c r="AD236" s="194"/>
      <c r="AE236" s="194"/>
      <c r="AF236" s="194"/>
      <c r="AG236" s="197"/>
      <c r="AH236" s="194"/>
      <c r="AI236" s="194"/>
      <c r="AJ236" s="194"/>
      <c r="AK236" s="104">
        <v>232</v>
      </c>
      <c r="AL236" s="14">
        <f t="shared" si="311"/>
        <v>5</v>
      </c>
      <c r="AM236" s="14">
        <f>INDEX(挂机升级突破!DQ$6:DQ$57,卡牌消耗!$AT236)</f>
        <v>11</v>
      </c>
      <c r="AN236" s="14">
        <f>INDEX(挂机升级突破!DR$6:DR$57,卡牌消耗!$AT236)</f>
        <v>4</v>
      </c>
      <c r="AO236" s="14">
        <f>INDEX(挂机升级突破!DS$6:DS$57,卡牌消耗!$AT236)</f>
        <v>0</v>
      </c>
      <c r="AP236" s="14">
        <f>INDEX(挂机升级突破!$DP$6:$DP$57,卡牌消耗!AT236)</f>
        <v>78</v>
      </c>
      <c r="AQ236" s="14" t="str">
        <f t="shared" si="312"/>
        <v>李轩辕</v>
      </c>
      <c r="AR236" s="14">
        <f t="shared" si="313"/>
        <v>3</v>
      </c>
      <c r="AS236" s="14" t="str">
        <f t="shared" si="314"/>
        <v>李轩辕魂火-24</v>
      </c>
      <c r="AT236" s="14">
        <f t="shared" si="315"/>
        <v>24</v>
      </c>
      <c r="AU236" s="14" t="str">
        <f>IF(AM236&gt;0,INDEX(挂机升级突破!$DT$4:$ED$4,AM236),"")</f>
        <v>金币</v>
      </c>
      <c r="AV236" s="14">
        <f>ROUND(INDEX(挂机升级突破!$DJ$6:$DJ$57,卡牌消耗!AT236)*INDEX(卡牌消耗!$B$8:$F$8,AR236)/$Q$4/50,0)*50</f>
        <v>6900</v>
      </c>
      <c r="AW236" s="14" t="str">
        <f>IF(AN236&gt;0,INDEX(挂机升级突破!$DT$4:$ED$4,AN236),"")</f>
        <v>橙色基础材料</v>
      </c>
      <c r="AX236" s="14">
        <f>ROUND(INDEX(挂机升级突破!$DT$6:$ED$57,卡牌消耗!AT236,AN236)*INDEX(卡牌消耗!$B$5:$F$5,AR236)/$Q$4/5,0)*5</f>
        <v>20</v>
      </c>
      <c r="AY236" s="14" t="str">
        <f>IF(AO236&gt;0,INDEX(挂机升级突破!$DT$4:$ED$4,AO236),"")</f>
        <v/>
      </c>
      <c r="AZ236" s="14" t="str">
        <f>IF(AO236&gt;0,ROUND(INDEX(挂机升级突破!$DT$6:$ED$57,卡牌消耗!AT236,AO236)*INDEX(卡牌消耗!$B$7:$F$7,AR236)/$Q$4,0),"")</f>
        <v/>
      </c>
      <c r="BA236" s="106"/>
      <c r="BB236" s="197"/>
      <c r="BC236" s="197"/>
      <c r="BD236" s="197"/>
      <c r="BE236" s="197"/>
      <c r="BF236" s="197"/>
      <c r="BG236" s="197"/>
      <c r="BH236" s="197"/>
      <c r="BI236" s="197"/>
      <c r="BJ236" s="197"/>
      <c r="BK236" s="197"/>
      <c r="BL236" s="104">
        <v>232</v>
      </c>
      <c r="BM236" s="14">
        <f t="shared" si="316"/>
        <v>12</v>
      </c>
      <c r="BN236" s="14">
        <f>INDEX(挂机升级突破!$EI$7:$EI$26,BS236)</f>
        <v>5</v>
      </c>
      <c r="BO236" s="14">
        <f>INDEX(挂机升级突破!$EJ$7:$EJ$26,BS236)</f>
        <v>2</v>
      </c>
      <c r="BP236" s="14">
        <f t="shared" si="317"/>
        <v>5</v>
      </c>
      <c r="BQ236" s="14">
        <f>INDEX(挂机升级突破!$EH$7:$EH$26,卡牌消耗!BS236)</f>
        <v>80</v>
      </c>
      <c r="BR236" s="14" t="str">
        <f t="shared" si="318"/>
        <v>夏侯惇</v>
      </c>
      <c r="BS236" s="14">
        <f t="shared" si="319"/>
        <v>12</v>
      </c>
      <c r="BT236" s="14" t="str">
        <f t="shared" si="320"/>
        <v>夏侯惇12突</v>
      </c>
      <c r="BU236" s="14" t="str">
        <f>IF(BN236&gt;0,INDEX(挂机升级突破!$ER$5:$EV$5,卡牌消耗!BN236),"")</f>
        <v>金币</v>
      </c>
      <c r="BV236" s="14">
        <f>IF(BN236&gt;0,ROUND(INDEX(挂机升级突破!$EV$7:$EV$26,卡牌消耗!BS236)*INDEX(卡牌消耗!$B$8:$F$8,BP236)/$Q$4/500,0)*500,"")</f>
        <v>50000</v>
      </c>
      <c r="BW236" s="14" t="str">
        <f>IF(BO236&gt;0,INDEX(挂机升级突破!$ER$5:$EV$5,卡牌消耗!BO236),"")</f>
        <v>乌金</v>
      </c>
      <c r="BX236" s="14">
        <f>IF(BO236&gt;0,ROUND(INDEX(挂机升级突破!$ER$7:$EU$26,卡牌消耗!BS236,卡牌消耗!BO236)*INDEX($B$6:$F$6,BP236)/$Q$4/5,0)*5,"")</f>
        <v>180</v>
      </c>
      <c r="BY236" s="193"/>
      <c r="BZ236" s="193"/>
      <c r="CA236" s="106"/>
      <c r="CS236" s="171"/>
      <c r="CT236" s="171"/>
      <c r="CU236" s="171"/>
      <c r="DI236" s="186">
        <v>232</v>
      </c>
      <c r="DJ236" s="14">
        <f t="shared" si="321"/>
        <v>47</v>
      </c>
      <c r="DK236" s="14">
        <f t="shared" si="306"/>
        <v>3</v>
      </c>
      <c r="DL236" s="14">
        <f t="shared" si="307"/>
        <v>1102020</v>
      </c>
      <c r="DM236" s="136" t="s">
        <v>1097</v>
      </c>
      <c r="DN236" s="14">
        <f t="shared" si="308"/>
        <v>2</v>
      </c>
      <c r="DO236" s="14" t="str">
        <f t="shared" si="309"/>
        <v>高顺-2星</v>
      </c>
      <c r="DP236" s="136" t="s">
        <v>1103</v>
      </c>
      <c r="DQ236" s="14">
        <f t="shared" si="322"/>
        <v>5000</v>
      </c>
      <c r="DR236" s="14" t="str">
        <f t="shared" si="310"/>
        <v>高顺碎片</v>
      </c>
      <c r="DS236" s="14">
        <f t="shared" si="323"/>
        <v>40</v>
      </c>
    </row>
    <row r="237" spans="8:123" ht="16.5" x14ac:dyDescent="0.2">
      <c r="H237" s="15"/>
      <c r="I237" s="15"/>
      <c r="J237" s="15"/>
      <c r="K237" s="15"/>
      <c r="L237" s="15"/>
      <c r="M237" s="15"/>
      <c r="N237" s="15"/>
      <c r="O237" s="137"/>
      <c r="P237" s="141"/>
      <c r="Q237" s="141"/>
      <c r="R237" s="141"/>
      <c r="S237" s="141"/>
      <c r="T237" s="141"/>
      <c r="U237" s="141"/>
      <c r="V237" s="141"/>
      <c r="W237" s="141"/>
      <c r="X237" s="141"/>
      <c r="Y237" s="141"/>
      <c r="Z237" s="141"/>
      <c r="AA237" s="194"/>
      <c r="AB237" s="194"/>
      <c r="AC237" s="194"/>
      <c r="AD237" s="194"/>
      <c r="AE237" s="194"/>
      <c r="AF237" s="194"/>
      <c r="AG237" s="197"/>
      <c r="AH237" s="194"/>
      <c r="AI237" s="194"/>
      <c r="AJ237" s="194"/>
      <c r="AK237" s="104">
        <v>233</v>
      </c>
      <c r="AL237" s="14">
        <f t="shared" si="311"/>
        <v>5</v>
      </c>
      <c r="AM237" s="14">
        <f>INDEX(挂机升级突破!DQ$6:DQ$57,卡牌消耗!$AT237)</f>
        <v>11</v>
      </c>
      <c r="AN237" s="14">
        <f>INDEX(挂机升级突破!DR$6:DR$57,卡牌消耗!$AT237)</f>
        <v>4</v>
      </c>
      <c r="AO237" s="14">
        <f>INDEX(挂机升级突破!DS$6:DS$57,卡牌消耗!$AT237)</f>
        <v>0</v>
      </c>
      <c r="AP237" s="14">
        <f>INDEX(挂机升级突破!$DP$6:$DP$57,卡牌消耗!AT237)</f>
        <v>80</v>
      </c>
      <c r="AQ237" s="14" t="str">
        <f t="shared" si="312"/>
        <v>李轩辕</v>
      </c>
      <c r="AR237" s="14">
        <f t="shared" si="313"/>
        <v>3</v>
      </c>
      <c r="AS237" s="14" t="str">
        <f t="shared" si="314"/>
        <v>李轩辕魂火-25</v>
      </c>
      <c r="AT237" s="14">
        <f t="shared" si="315"/>
        <v>25</v>
      </c>
      <c r="AU237" s="14" t="str">
        <f>IF(AM237&gt;0,INDEX(挂机升级突破!$DT$4:$ED$4,AM237),"")</f>
        <v>金币</v>
      </c>
      <c r="AV237" s="14">
        <f>ROUND(INDEX(挂机升级突破!$DJ$6:$DJ$57,卡牌消耗!AT237)*INDEX(卡牌消耗!$B$8:$F$8,AR237)/$Q$4/50,0)*50</f>
        <v>7550</v>
      </c>
      <c r="AW237" s="14" t="str">
        <f>IF(AN237&gt;0,INDEX(挂机升级突破!$DT$4:$ED$4,AN237),"")</f>
        <v>橙色基础材料</v>
      </c>
      <c r="AX237" s="14">
        <f>ROUND(INDEX(挂机升级突破!$DT$6:$ED$57,卡牌消耗!AT237,AN237)*INDEX(卡牌消耗!$B$5:$F$5,AR237)/$Q$4/5,0)*5</f>
        <v>20</v>
      </c>
      <c r="AY237" s="14" t="str">
        <f>IF(AO237&gt;0,INDEX(挂机升级突破!$DT$4:$ED$4,AO237),"")</f>
        <v/>
      </c>
      <c r="AZ237" s="14" t="str">
        <f>IF(AO237&gt;0,ROUND(INDEX(挂机升级突破!$DT$6:$ED$57,卡牌消耗!AT237,AO237)*INDEX(卡牌消耗!$B$7:$F$7,AR237)/$Q$4,0),"")</f>
        <v/>
      </c>
      <c r="BA237" s="106"/>
      <c r="BB237" s="197"/>
      <c r="BC237" s="197"/>
      <c r="BD237" s="197"/>
      <c r="BE237" s="197"/>
      <c r="BF237" s="197"/>
      <c r="BG237" s="197"/>
      <c r="BH237" s="197"/>
      <c r="BI237" s="197"/>
      <c r="BJ237" s="197"/>
      <c r="BK237" s="197"/>
      <c r="BL237" s="104">
        <v>233</v>
      </c>
      <c r="BM237" s="14">
        <f t="shared" si="316"/>
        <v>12</v>
      </c>
      <c r="BN237" s="14">
        <f>INDEX(挂机升级突破!$EI$7:$EI$26,BS237)</f>
        <v>5</v>
      </c>
      <c r="BO237" s="14">
        <f>INDEX(挂机升级突破!$EJ$7:$EJ$26,BS237)</f>
        <v>3</v>
      </c>
      <c r="BP237" s="14">
        <f t="shared" si="317"/>
        <v>5</v>
      </c>
      <c r="BQ237" s="14">
        <f>INDEX(挂机升级突破!$EH$7:$EH$26,卡牌消耗!BS237)</f>
        <v>87</v>
      </c>
      <c r="BR237" s="14" t="str">
        <f t="shared" si="318"/>
        <v>夏侯惇</v>
      </c>
      <c r="BS237" s="14">
        <f t="shared" si="319"/>
        <v>13</v>
      </c>
      <c r="BT237" s="14" t="str">
        <f t="shared" si="320"/>
        <v>夏侯惇13突</v>
      </c>
      <c r="BU237" s="14" t="str">
        <f>IF(BN237&gt;0,INDEX(挂机升级突破!$ER$5:$EV$5,卡牌消耗!BN237),"")</f>
        <v>金币</v>
      </c>
      <c r="BV237" s="14">
        <f>IF(BN237&gt;0,ROUND(INDEX(挂机升级突破!$EV$7:$EV$26,卡牌消耗!BS237)*INDEX(卡牌消耗!$B$8:$F$8,BP237)/$Q$4/500,0)*500,"")</f>
        <v>66500</v>
      </c>
      <c r="BW237" s="14" t="str">
        <f>IF(BO237&gt;0,INDEX(挂机升级突破!$ER$5:$EV$5,卡牌消耗!BO237),"")</f>
        <v>银母</v>
      </c>
      <c r="BX237" s="14">
        <f>IF(BO237&gt;0,ROUND(INDEX(挂机升级突破!$ER$7:$EU$26,卡牌消耗!BS237,卡牌消耗!BO237)*INDEX($B$6:$F$6,BP237)/$Q$4/5,0)*5,"")</f>
        <v>55</v>
      </c>
      <c r="BY237" s="193"/>
      <c r="BZ237" s="193"/>
      <c r="CA237" s="106"/>
      <c r="CS237" s="171"/>
      <c r="CT237" s="171"/>
      <c r="CU237" s="171"/>
      <c r="DI237" s="186">
        <v>233</v>
      </c>
      <c r="DJ237" s="14">
        <f t="shared" si="321"/>
        <v>47</v>
      </c>
      <c r="DK237" s="14">
        <f t="shared" si="306"/>
        <v>3</v>
      </c>
      <c r="DL237" s="14">
        <f t="shared" si="307"/>
        <v>1102020</v>
      </c>
      <c r="DM237" s="136" t="s">
        <v>1097</v>
      </c>
      <c r="DN237" s="14">
        <f t="shared" si="308"/>
        <v>3</v>
      </c>
      <c r="DO237" s="14" t="str">
        <f t="shared" si="309"/>
        <v>高顺-3星</v>
      </c>
      <c r="DP237" s="136" t="s">
        <v>1103</v>
      </c>
      <c r="DQ237" s="14">
        <f t="shared" si="322"/>
        <v>10000</v>
      </c>
      <c r="DR237" s="14" t="str">
        <f t="shared" si="310"/>
        <v>高顺碎片</v>
      </c>
      <c r="DS237" s="14">
        <f t="shared" si="323"/>
        <v>40</v>
      </c>
    </row>
    <row r="238" spans="8:123" ht="16.5" x14ac:dyDescent="0.2">
      <c r="H238" s="15"/>
      <c r="I238" s="15"/>
      <c r="J238" s="15"/>
      <c r="K238" s="15"/>
      <c r="L238" s="15"/>
      <c r="M238" s="15"/>
      <c r="N238" s="15"/>
      <c r="O238" s="137"/>
      <c r="P238" s="141"/>
      <c r="Q238" s="141"/>
      <c r="R238" s="141"/>
      <c r="S238" s="141"/>
      <c r="T238" s="141"/>
      <c r="U238" s="141"/>
      <c r="V238" s="141"/>
      <c r="W238" s="141"/>
      <c r="X238" s="141"/>
      <c r="Y238" s="141"/>
      <c r="Z238" s="141"/>
      <c r="AA238" s="194"/>
      <c r="AB238" s="194"/>
      <c r="AC238" s="194"/>
      <c r="AD238" s="194"/>
      <c r="AE238" s="194"/>
      <c r="AF238" s="194"/>
      <c r="AG238" s="197"/>
      <c r="AH238" s="194"/>
      <c r="AI238" s="194"/>
      <c r="AJ238" s="194"/>
      <c r="AK238" s="104">
        <v>234</v>
      </c>
      <c r="AL238" s="14">
        <f t="shared" si="311"/>
        <v>5</v>
      </c>
      <c r="AM238" s="14">
        <f>INDEX(挂机升级突破!DQ$6:DQ$57,卡牌消耗!$AT238)</f>
        <v>11</v>
      </c>
      <c r="AN238" s="14">
        <f>INDEX(挂机升级突破!DR$6:DR$57,卡牌消耗!$AT238)</f>
        <v>4</v>
      </c>
      <c r="AO238" s="14">
        <f>INDEX(挂机升级突破!DS$6:DS$57,卡牌消耗!$AT238)</f>
        <v>0</v>
      </c>
      <c r="AP238" s="14">
        <f>INDEX(挂机升级突破!$DP$6:$DP$57,卡牌消耗!AT238)</f>
        <v>83</v>
      </c>
      <c r="AQ238" s="14" t="str">
        <f t="shared" si="312"/>
        <v>李轩辕</v>
      </c>
      <c r="AR238" s="14">
        <f t="shared" si="313"/>
        <v>3</v>
      </c>
      <c r="AS238" s="14" t="str">
        <f t="shared" si="314"/>
        <v>李轩辕魂火-26</v>
      </c>
      <c r="AT238" s="14">
        <f t="shared" si="315"/>
        <v>26</v>
      </c>
      <c r="AU238" s="14" t="str">
        <f>IF(AM238&gt;0,INDEX(挂机升级突破!$DT$4:$ED$4,AM238),"")</f>
        <v>金币</v>
      </c>
      <c r="AV238" s="14">
        <f>ROUND(INDEX(挂机升级突破!$DJ$6:$DJ$57,卡牌消耗!AT238)*INDEX(卡牌消耗!$B$8:$F$8,AR238)/$Q$4/50,0)*50</f>
        <v>8800</v>
      </c>
      <c r="AW238" s="14" t="str">
        <f>IF(AN238&gt;0,INDEX(挂机升级突破!$DT$4:$ED$4,AN238),"")</f>
        <v>橙色基础材料</v>
      </c>
      <c r="AX238" s="14">
        <f>ROUND(INDEX(挂机升级突破!$DT$6:$ED$57,卡牌消耗!AT238,AN238)*INDEX(卡牌消耗!$B$5:$F$5,AR238)/$Q$4/5,0)*5</f>
        <v>25</v>
      </c>
      <c r="AY238" s="14" t="str">
        <f>IF(AO238&gt;0,INDEX(挂机升级突破!$DT$4:$ED$4,AO238),"")</f>
        <v/>
      </c>
      <c r="AZ238" s="14" t="str">
        <f>IF(AO238&gt;0,ROUND(INDEX(挂机升级突破!$DT$6:$ED$57,卡牌消耗!AT238,AO238)*INDEX(卡牌消耗!$B$7:$F$7,AR238)/$Q$4,0),"")</f>
        <v/>
      </c>
      <c r="BA238" s="106"/>
      <c r="BB238" s="197"/>
      <c r="BC238" s="197"/>
      <c r="BD238" s="197"/>
      <c r="BE238" s="197"/>
      <c r="BF238" s="197"/>
      <c r="BG238" s="197"/>
      <c r="BH238" s="197"/>
      <c r="BI238" s="197"/>
      <c r="BJ238" s="197"/>
      <c r="BK238" s="197"/>
      <c r="BL238" s="104">
        <v>234</v>
      </c>
      <c r="BM238" s="14">
        <f t="shared" si="316"/>
        <v>12</v>
      </c>
      <c r="BN238" s="14">
        <f>INDEX(挂机升级突破!$EI$7:$EI$26,BS238)</f>
        <v>5</v>
      </c>
      <c r="BO238" s="14">
        <f>INDEX(挂机升级突破!$EJ$7:$EJ$26,BS238)</f>
        <v>3</v>
      </c>
      <c r="BP238" s="14">
        <f t="shared" si="317"/>
        <v>5</v>
      </c>
      <c r="BQ238" s="14">
        <f>INDEX(挂机升级突破!$EH$7:$EH$26,卡牌消耗!BS238)</f>
        <v>95</v>
      </c>
      <c r="BR238" s="14" t="str">
        <f t="shared" si="318"/>
        <v>夏侯惇</v>
      </c>
      <c r="BS238" s="14">
        <f t="shared" si="319"/>
        <v>14</v>
      </c>
      <c r="BT238" s="14" t="str">
        <f t="shared" si="320"/>
        <v>夏侯惇14突</v>
      </c>
      <c r="BU238" s="14" t="str">
        <f>IF(BN238&gt;0,INDEX(挂机升级突破!$ER$5:$EV$5,卡牌消耗!BN238),"")</f>
        <v>金币</v>
      </c>
      <c r="BV238" s="14">
        <f>IF(BN238&gt;0,ROUND(INDEX(挂机升级突破!$EV$7:$EV$26,卡牌消耗!BS238)*INDEX(卡牌消耗!$B$8:$F$8,BP238)/$Q$4/500,0)*500,"")</f>
        <v>66500</v>
      </c>
      <c r="BW238" s="14" t="str">
        <f>IF(BO238&gt;0,INDEX(挂机升级突破!$ER$5:$EV$5,卡牌消耗!BO238),"")</f>
        <v>银母</v>
      </c>
      <c r="BX238" s="14">
        <f>IF(BO238&gt;0,ROUND(INDEX(挂机升级突破!$ER$7:$EU$26,卡牌消耗!BS238,卡牌消耗!BO238)*INDEX($B$6:$F$6,BP238)/$Q$4/5,0)*5,"")</f>
        <v>80</v>
      </c>
      <c r="BY238" s="193"/>
      <c r="BZ238" s="193"/>
      <c r="CA238" s="106"/>
      <c r="CS238" s="171"/>
      <c r="CT238" s="171"/>
      <c r="CU238" s="171"/>
      <c r="DI238" s="186">
        <v>234</v>
      </c>
      <c r="DJ238" s="14">
        <f t="shared" si="321"/>
        <v>47</v>
      </c>
      <c r="DK238" s="14">
        <f t="shared" si="306"/>
        <v>3</v>
      </c>
      <c r="DL238" s="14">
        <f t="shared" si="307"/>
        <v>1102020</v>
      </c>
      <c r="DM238" s="136" t="s">
        <v>1097</v>
      </c>
      <c r="DN238" s="14">
        <f t="shared" si="308"/>
        <v>4</v>
      </c>
      <c r="DO238" s="14" t="str">
        <f t="shared" si="309"/>
        <v>高顺-4星</v>
      </c>
      <c r="DP238" s="136" t="s">
        <v>1103</v>
      </c>
      <c r="DQ238" s="14">
        <f t="shared" si="322"/>
        <v>20000</v>
      </c>
      <c r="DR238" s="14" t="str">
        <f t="shared" si="310"/>
        <v>高顺碎片</v>
      </c>
      <c r="DS238" s="14">
        <f t="shared" si="323"/>
        <v>40</v>
      </c>
    </row>
    <row r="239" spans="8:123" ht="16.5" x14ac:dyDescent="0.2">
      <c r="H239" s="15"/>
      <c r="I239" s="15"/>
      <c r="J239" s="15"/>
      <c r="K239" s="15"/>
      <c r="L239" s="15"/>
      <c r="M239" s="15"/>
      <c r="N239" s="15"/>
      <c r="O239" s="137"/>
      <c r="P239" s="141"/>
      <c r="Q239" s="141"/>
      <c r="R239" s="141"/>
      <c r="S239" s="141"/>
      <c r="T239" s="141"/>
      <c r="U239" s="141"/>
      <c r="V239" s="141"/>
      <c r="W239" s="141"/>
      <c r="X239" s="141"/>
      <c r="Y239" s="141"/>
      <c r="Z239" s="141"/>
      <c r="AA239" s="194"/>
      <c r="AB239" s="194"/>
      <c r="AC239" s="194"/>
      <c r="AD239" s="194"/>
      <c r="AE239" s="194"/>
      <c r="AF239" s="194"/>
      <c r="AG239" s="197"/>
      <c r="AH239" s="194"/>
      <c r="AI239" s="194"/>
      <c r="AJ239" s="194"/>
      <c r="AK239" s="104">
        <v>235</v>
      </c>
      <c r="AL239" s="14">
        <f t="shared" si="311"/>
        <v>5</v>
      </c>
      <c r="AM239" s="14">
        <f>INDEX(挂机升级突破!DQ$6:DQ$57,卡牌消耗!$AT239)</f>
        <v>11</v>
      </c>
      <c r="AN239" s="14">
        <f>INDEX(挂机升级突破!DR$6:DR$57,卡牌消耗!$AT239)</f>
        <v>4</v>
      </c>
      <c r="AO239" s="14">
        <f>INDEX(挂机升级突破!DS$6:DS$57,卡牌消耗!$AT239)</f>
        <v>0</v>
      </c>
      <c r="AP239" s="14">
        <f>INDEX(挂机升级突破!$DP$6:$DP$57,卡牌消耗!AT239)</f>
        <v>85</v>
      </c>
      <c r="AQ239" s="14" t="str">
        <f t="shared" si="312"/>
        <v>李轩辕</v>
      </c>
      <c r="AR239" s="14">
        <f t="shared" si="313"/>
        <v>3</v>
      </c>
      <c r="AS239" s="14" t="str">
        <f t="shared" si="314"/>
        <v>李轩辕魂火-27</v>
      </c>
      <c r="AT239" s="14">
        <f t="shared" si="315"/>
        <v>27</v>
      </c>
      <c r="AU239" s="14" t="str">
        <f>IF(AM239&gt;0,INDEX(挂机升级突破!$DT$4:$ED$4,AM239),"")</f>
        <v>金币</v>
      </c>
      <c r="AV239" s="14">
        <f>ROUND(INDEX(挂机升级突破!$DJ$6:$DJ$57,卡牌消耗!AT239)*INDEX(卡牌消耗!$B$8:$F$8,AR239)/$Q$4/50,0)*50</f>
        <v>8800</v>
      </c>
      <c r="AW239" s="14" t="str">
        <f>IF(AN239&gt;0,INDEX(挂机升级突破!$DT$4:$ED$4,AN239),"")</f>
        <v>橙色基础材料</v>
      </c>
      <c r="AX239" s="14">
        <f>ROUND(INDEX(挂机升级突破!$DT$6:$ED$57,卡牌消耗!AT239,AN239)*INDEX(卡牌消耗!$B$5:$F$5,AR239)/$Q$4/5,0)*5</f>
        <v>25</v>
      </c>
      <c r="AY239" s="14" t="str">
        <f>IF(AO239&gt;0,INDEX(挂机升级突破!$DT$4:$ED$4,AO239),"")</f>
        <v/>
      </c>
      <c r="AZ239" s="14" t="str">
        <f>IF(AO239&gt;0,ROUND(INDEX(挂机升级突破!$DT$6:$ED$57,卡牌消耗!AT239,AO239)*INDEX(卡牌消耗!$B$7:$F$7,AR239)/$Q$4,0),"")</f>
        <v/>
      </c>
      <c r="BA239" s="106"/>
      <c r="BB239" s="197"/>
      <c r="BC239" s="197"/>
      <c r="BD239" s="197"/>
      <c r="BE239" s="197"/>
      <c r="BF239" s="197"/>
      <c r="BG239" s="197"/>
      <c r="BH239" s="197"/>
      <c r="BI239" s="197"/>
      <c r="BJ239" s="197"/>
      <c r="BK239" s="197"/>
      <c r="BL239" s="104">
        <v>235</v>
      </c>
      <c r="BM239" s="14">
        <f t="shared" si="316"/>
        <v>12</v>
      </c>
      <c r="BN239" s="14">
        <f>INDEX(挂机升级突破!$EI$7:$EI$26,BS239)</f>
        <v>5</v>
      </c>
      <c r="BO239" s="14">
        <f>INDEX(挂机升级突破!$EJ$7:$EJ$26,BS239)</f>
        <v>3</v>
      </c>
      <c r="BP239" s="14">
        <f t="shared" si="317"/>
        <v>5</v>
      </c>
      <c r="BQ239" s="14">
        <f>INDEX(挂机升级突破!$EH$7:$EH$26,卡牌消耗!BS239)</f>
        <v>102</v>
      </c>
      <c r="BR239" s="14" t="str">
        <f t="shared" si="318"/>
        <v>夏侯惇</v>
      </c>
      <c r="BS239" s="14">
        <f t="shared" si="319"/>
        <v>15</v>
      </c>
      <c r="BT239" s="14" t="str">
        <f t="shared" si="320"/>
        <v>夏侯惇15突</v>
      </c>
      <c r="BU239" s="14" t="str">
        <f>IF(BN239&gt;0,INDEX(挂机升级突破!$ER$5:$EV$5,卡牌消耗!BN239),"")</f>
        <v>金币</v>
      </c>
      <c r="BV239" s="14">
        <f>IF(BN239&gt;0,ROUND(INDEX(挂机升级突破!$EV$7:$EV$26,卡牌消耗!BS239)*INDEX(卡牌消耗!$B$8:$F$8,BP239)/$Q$4/500,0)*500,"")</f>
        <v>89000</v>
      </c>
      <c r="BW239" s="14" t="str">
        <f>IF(BO239&gt;0,INDEX(挂机升级突破!$ER$5:$EV$5,卡牌消耗!BO239),"")</f>
        <v>银母</v>
      </c>
      <c r="BX239" s="14">
        <f>IF(BO239&gt;0,ROUND(INDEX(挂机升级突破!$ER$7:$EU$26,卡牌消耗!BS239,卡牌消耗!BO239)*INDEX($B$6:$F$6,BP239)/$Q$4/5,0)*5,"")</f>
        <v>105</v>
      </c>
      <c r="BY239" s="193"/>
      <c r="BZ239" s="193"/>
      <c r="CA239" s="106"/>
      <c r="CS239" s="171"/>
      <c r="CT239" s="171"/>
      <c r="CU239" s="171"/>
      <c r="DI239" s="186">
        <v>235</v>
      </c>
      <c r="DJ239" s="14">
        <f t="shared" si="321"/>
        <v>47</v>
      </c>
      <c r="DK239" s="14">
        <f t="shared" si="306"/>
        <v>3</v>
      </c>
      <c r="DL239" s="14">
        <f t="shared" si="307"/>
        <v>1102020</v>
      </c>
      <c r="DM239" s="136" t="s">
        <v>1097</v>
      </c>
      <c r="DN239" s="14">
        <f t="shared" si="308"/>
        <v>5</v>
      </c>
      <c r="DO239" s="14" t="str">
        <f t="shared" si="309"/>
        <v>高顺-5星</v>
      </c>
      <c r="DP239" s="136" t="s">
        <v>1103</v>
      </c>
      <c r="DQ239" s="14">
        <f t="shared" si="322"/>
        <v>40000</v>
      </c>
      <c r="DR239" s="14" t="str">
        <f t="shared" si="310"/>
        <v>高顺碎片</v>
      </c>
      <c r="DS239" s="14">
        <f t="shared" si="323"/>
        <v>40</v>
      </c>
    </row>
    <row r="240" spans="8:123" ht="16.5" x14ac:dyDescent="0.2">
      <c r="H240" s="15"/>
      <c r="I240" s="15"/>
      <c r="J240" s="15"/>
      <c r="K240" s="15"/>
      <c r="L240" s="15"/>
      <c r="M240" s="15"/>
      <c r="N240" s="15"/>
      <c r="O240" s="137"/>
      <c r="P240" s="141"/>
      <c r="Q240" s="141"/>
      <c r="R240" s="141"/>
      <c r="S240" s="141"/>
      <c r="T240" s="141"/>
      <c r="U240" s="141"/>
      <c r="V240" s="141"/>
      <c r="W240" s="141"/>
      <c r="X240" s="141"/>
      <c r="Y240" s="141"/>
      <c r="Z240" s="141"/>
      <c r="AA240" s="194"/>
      <c r="AB240" s="194"/>
      <c r="AC240" s="194"/>
      <c r="AD240" s="194"/>
      <c r="AE240" s="194"/>
      <c r="AF240" s="194"/>
      <c r="AG240" s="197"/>
      <c r="AH240" s="194"/>
      <c r="AI240" s="194"/>
      <c r="AJ240" s="194"/>
      <c r="AK240" s="104">
        <v>236</v>
      </c>
      <c r="AL240" s="14">
        <f t="shared" si="311"/>
        <v>5</v>
      </c>
      <c r="AM240" s="14">
        <f>INDEX(挂机升级突破!DQ$6:DQ$57,卡牌消耗!$AT240)</f>
        <v>11</v>
      </c>
      <c r="AN240" s="14">
        <f>INDEX(挂机升级突破!DR$6:DR$57,卡牌消耗!$AT240)</f>
        <v>4</v>
      </c>
      <c r="AO240" s="14">
        <f>INDEX(挂机升级突破!DS$6:DS$57,卡牌消耗!$AT240)</f>
        <v>0</v>
      </c>
      <c r="AP240" s="14">
        <f>INDEX(挂机升级突破!$DP$6:$DP$57,卡牌消耗!AT240)</f>
        <v>88</v>
      </c>
      <c r="AQ240" s="14" t="str">
        <f t="shared" si="312"/>
        <v>李轩辕</v>
      </c>
      <c r="AR240" s="14">
        <f t="shared" si="313"/>
        <v>3</v>
      </c>
      <c r="AS240" s="14" t="str">
        <f t="shared" si="314"/>
        <v>李轩辕魂火-28</v>
      </c>
      <c r="AT240" s="14">
        <f t="shared" si="315"/>
        <v>28</v>
      </c>
      <c r="AU240" s="14" t="str">
        <f>IF(AM240&gt;0,INDEX(挂机升级突破!$DT$4:$ED$4,AM240),"")</f>
        <v>金币</v>
      </c>
      <c r="AV240" s="14">
        <f>ROUND(INDEX(挂机升级突破!$DJ$6:$DJ$57,卡牌消耗!AT240)*INDEX(卡牌消耗!$B$8:$F$8,AR240)/$Q$4/50,0)*50</f>
        <v>8800</v>
      </c>
      <c r="AW240" s="14" t="str">
        <f>IF(AN240&gt;0,INDEX(挂机升级突破!$DT$4:$ED$4,AN240),"")</f>
        <v>橙色基础材料</v>
      </c>
      <c r="AX240" s="14">
        <f>ROUND(INDEX(挂机升级突破!$DT$6:$ED$57,卡牌消耗!AT240,AN240)*INDEX(卡牌消耗!$B$5:$F$5,AR240)/$Q$4/5,0)*5</f>
        <v>25</v>
      </c>
      <c r="AY240" s="14" t="str">
        <f>IF(AO240&gt;0,INDEX(挂机升级突破!$DT$4:$ED$4,AO240),"")</f>
        <v/>
      </c>
      <c r="AZ240" s="14" t="str">
        <f>IF(AO240&gt;0,ROUND(INDEX(挂机升级突破!$DT$6:$ED$57,卡牌消耗!AT240,AO240)*INDEX(卡牌消耗!$B$7:$F$7,AR240)/$Q$4,0),"")</f>
        <v/>
      </c>
      <c r="BA240" s="106"/>
      <c r="BB240" s="197"/>
      <c r="BC240" s="197"/>
      <c r="BD240" s="197"/>
      <c r="BE240" s="197"/>
      <c r="BF240" s="197"/>
      <c r="BG240" s="197"/>
      <c r="BH240" s="197"/>
      <c r="BI240" s="197"/>
      <c r="BJ240" s="197"/>
      <c r="BK240" s="197"/>
      <c r="BL240" s="104">
        <v>236</v>
      </c>
      <c r="BM240" s="14">
        <f t="shared" si="316"/>
        <v>12</v>
      </c>
      <c r="BN240" s="14">
        <f>INDEX(挂机升级突破!$EI$7:$EI$26,BS240)</f>
        <v>5</v>
      </c>
      <c r="BO240" s="14">
        <f>INDEX(挂机升级突破!$EJ$7:$EJ$26,BS240)</f>
        <v>3</v>
      </c>
      <c r="BP240" s="14">
        <f t="shared" si="317"/>
        <v>5</v>
      </c>
      <c r="BQ240" s="14">
        <f>INDEX(挂机升级突破!$EH$7:$EH$26,卡牌消耗!BS240)</f>
        <v>110</v>
      </c>
      <c r="BR240" s="14" t="str">
        <f t="shared" si="318"/>
        <v>夏侯惇</v>
      </c>
      <c r="BS240" s="14">
        <f t="shared" si="319"/>
        <v>16</v>
      </c>
      <c r="BT240" s="14" t="str">
        <f t="shared" si="320"/>
        <v>夏侯惇16突</v>
      </c>
      <c r="BU240" s="14" t="str">
        <f>IF(BN240&gt;0,INDEX(挂机升级突破!$ER$5:$EV$5,卡牌消耗!BN240),"")</f>
        <v>金币</v>
      </c>
      <c r="BV240" s="14">
        <f>IF(BN240&gt;0,ROUND(INDEX(挂机升级突破!$EV$7:$EV$26,卡牌消耗!BS240)*INDEX(卡牌消耗!$B$8:$F$8,BP240)/$Q$4/500,0)*500,"")</f>
        <v>161000</v>
      </c>
      <c r="BW240" s="14" t="str">
        <f>IF(BO240&gt;0,INDEX(挂机升级突破!$ER$5:$EV$5,卡牌消耗!BO240),"")</f>
        <v>银母</v>
      </c>
      <c r="BX240" s="14">
        <f>IF(BO240&gt;0,ROUND(INDEX(挂机升级突破!$ER$7:$EU$26,卡牌消耗!BS240,卡牌消耗!BO240)*INDEX($B$6:$F$6,BP240)/$Q$4/5,0)*5,"")</f>
        <v>135</v>
      </c>
      <c r="BY240" s="193"/>
      <c r="BZ240" s="193"/>
      <c r="CA240" s="106"/>
      <c r="CS240" s="171"/>
      <c r="CT240" s="171"/>
      <c r="CU240" s="171"/>
      <c r="DI240" s="186">
        <v>236</v>
      </c>
      <c r="DJ240" s="14">
        <f t="shared" si="321"/>
        <v>48</v>
      </c>
      <c r="DK240" s="14">
        <f t="shared" si="306"/>
        <v>3</v>
      </c>
      <c r="DL240" s="14">
        <f t="shared" si="307"/>
        <v>1102021</v>
      </c>
      <c r="DM240" s="136" t="s">
        <v>1097</v>
      </c>
      <c r="DN240" s="14">
        <f t="shared" si="308"/>
        <v>1</v>
      </c>
      <c r="DO240" s="14" t="str">
        <f t="shared" si="309"/>
        <v>烈风螳螂-1星</v>
      </c>
      <c r="DP240" s="136" t="s">
        <v>1103</v>
      </c>
      <c r="DQ240" s="14">
        <f t="shared" si="322"/>
        <v>4000</v>
      </c>
      <c r="DR240" s="14" t="str">
        <f t="shared" si="310"/>
        <v>烈风螳螂碎片</v>
      </c>
      <c r="DS240" s="14">
        <f t="shared" si="323"/>
        <v>40</v>
      </c>
    </row>
    <row r="241" spans="8:123" ht="16.5" x14ac:dyDescent="0.2">
      <c r="H241" s="15"/>
      <c r="I241" s="15"/>
      <c r="J241" s="15"/>
      <c r="K241" s="15"/>
      <c r="L241" s="15"/>
      <c r="M241" s="15"/>
      <c r="N241" s="15"/>
      <c r="O241" s="137"/>
      <c r="P241" s="141"/>
      <c r="Q241" s="141"/>
      <c r="R241" s="141"/>
      <c r="S241" s="141"/>
      <c r="T241" s="141"/>
      <c r="U241" s="141"/>
      <c r="V241" s="141"/>
      <c r="W241" s="141"/>
      <c r="X241" s="141"/>
      <c r="Y241" s="141"/>
      <c r="Z241" s="141"/>
      <c r="AA241" s="194"/>
      <c r="AB241" s="194"/>
      <c r="AC241" s="194"/>
      <c r="AD241" s="194"/>
      <c r="AE241" s="194"/>
      <c r="AF241" s="194"/>
      <c r="AG241" s="197"/>
      <c r="AH241" s="194"/>
      <c r="AI241" s="194"/>
      <c r="AJ241" s="194"/>
      <c r="AK241" s="104">
        <v>237</v>
      </c>
      <c r="AL241" s="14">
        <f t="shared" si="311"/>
        <v>5</v>
      </c>
      <c r="AM241" s="14">
        <f>INDEX(挂机升级突破!DQ$6:DQ$57,卡牌消耗!$AT241)</f>
        <v>11</v>
      </c>
      <c r="AN241" s="14">
        <f>INDEX(挂机升级突破!DR$6:DR$57,卡牌消耗!$AT241)</f>
        <v>4</v>
      </c>
      <c r="AO241" s="14">
        <f>INDEX(挂机升级突破!DS$6:DS$57,卡牌消耗!$AT241)</f>
        <v>0</v>
      </c>
      <c r="AP241" s="14">
        <f>INDEX(挂机升级突破!$DP$6:$DP$57,卡牌消耗!AT241)</f>
        <v>90</v>
      </c>
      <c r="AQ241" s="14" t="str">
        <f t="shared" si="312"/>
        <v>李轩辕</v>
      </c>
      <c r="AR241" s="14">
        <f t="shared" si="313"/>
        <v>3</v>
      </c>
      <c r="AS241" s="14" t="str">
        <f t="shared" si="314"/>
        <v>李轩辕魂火-29</v>
      </c>
      <c r="AT241" s="14">
        <f t="shared" si="315"/>
        <v>29</v>
      </c>
      <c r="AU241" s="14" t="str">
        <f>IF(AM241&gt;0,INDEX(挂机升级突破!$DT$4:$ED$4,AM241),"")</f>
        <v>金币</v>
      </c>
      <c r="AV241" s="14">
        <f>ROUND(INDEX(挂机升级突破!$DJ$6:$DJ$57,卡牌消耗!AT241)*INDEX(卡牌消耗!$B$8:$F$8,AR241)/$Q$4/50,0)*50</f>
        <v>8900</v>
      </c>
      <c r="AW241" s="14" t="str">
        <f>IF(AN241&gt;0,INDEX(挂机升级突破!$DT$4:$ED$4,AN241),"")</f>
        <v>橙色基础材料</v>
      </c>
      <c r="AX241" s="14">
        <f>ROUND(INDEX(挂机升级突破!$DT$6:$ED$57,卡牌消耗!AT241,AN241)*INDEX(卡牌消耗!$B$5:$F$5,AR241)/$Q$4/5,0)*5</f>
        <v>25</v>
      </c>
      <c r="AY241" s="14" t="str">
        <f>IF(AO241&gt;0,INDEX(挂机升级突破!$DT$4:$ED$4,AO241),"")</f>
        <v/>
      </c>
      <c r="AZ241" s="14" t="str">
        <f>IF(AO241&gt;0,ROUND(INDEX(挂机升级突破!$DT$6:$ED$57,卡牌消耗!AT241,AO241)*INDEX(卡牌消耗!$B$7:$F$7,AR241)/$Q$4,0),"")</f>
        <v/>
      </c>
      <c r="BA241" s="106"/>
      <c r="BB241" s="197"/>
      <c r="BC241" s="197"/>
      <c r="BD241" s="197"/>
      <c r="BE241" s="197"/>
      <c r="BF241" s="197"/>
      <c r="BG241" s="197"/>
      <c r="BH241" s="197"/>
      <c r="BI241" s="197"/>
      <c r="BJ241" s="197"/>
      <c r="BK241" s="197"/>
      <c r="BL241" s="104">
        <v>237</v>
      </c>
      <c r="BM241" s="14">
        <f t="shared" si="316"/>
        <v>12</v>
      </c>
      <c r="BN241" s="14">
        <f>INDEX(挂机升级突破!$EI$7:$EI$26,BS241)</f>
        <v>5</v>
      </c>
      <c r="BO241" s="14">
        <f>INDEX(挂机升级突破!$EJ$7:$EJ$26,BS241)</f>
        <v>4</v>
      </c>
      <c r="BP241" s="14">
        <f t="shared" si="317"/>
        <v>5</v>
      </c>
      <c r="BQ241" s="14">
        <f>INDEX(挂机升级突破!$EH$7:$EH$26,卡牌消耗!BS241)</f>
        <v>117</v>
      </c>
      <c r="BR241" s="14" t="str">
        <f t="shared" si="318"/>
        <v>夏侯惇</v>
      </c>
      <c r="BS241" s="14">
        <f t="shared" si="319"/>
        <v>17</v>
      </c>
      <c r="BT241" s="14" t="str">
        <f t="shared" si="320"/>
        <v>夏侯惇17突</v>
      </c>
      <c r="BU241" s="14" t="str">
        <f>IF(BN241&gt;0,INDEX(挂机升级突破!$ER$5:$EV$5,卡牌消耗!BN241),"")</f>
        <v>金币</v>
      </c>
      <c r="BV241" s="14">
        <f>IF(BN241&gt;0,ROUND(INDEX(挂机升级突破!$EV$7:$EV$26,卡牌消耗!BS241)*INDEX(卡牌消耗!$B$8:$F$8,BP241)/$Q$4/500,0)*500,"")</f>
        <v>161000</v>
      </c>
      <c r="BW241" s="14" t="str">
        <f>IF(BO241&gt;0,INDEX(挂机升级突破!$ER$5:$EV$5,卡牌消耗!BO241),"")</f>
        <v>铀金</v>
      </c>
      <c r="BX241" s="14">
        <f>IF(BO241&gt;0,ROUND(INDEX(挂机升级突破!$ER$7:$EU$26,卡牌消耗!BS241,卡牌消耗!BO241)*INDEX($B$6:$F$6,BP241)/$Q$4/5,0)*5,"")</f>
        <v>25</v>
      </c>
      <c r="BY241" s="193"/>
      <c r="BZ241" s="193"/>
      <c r="CA241" s="106"/>
      <c r="CS241" s="171"/>
      <c r="CT241" s="171"/>
      <c r="CU241" s="171"/>
      <c r="DI241" s="186">
        <v>237</v>
      </c>
      <c r="DJ241" s="14">
        <f t="shared" si="321"/>
        <v>48</v>
      </c>
      <c r="DK241" s="14">
        <f t="shared" si="306"/>
        <v>3</v>
      </c>
      <c r="DL241" s="14">
        <f t="shared" si="307"/>
        <v>1102021</v>
      </c>
      <c r="DM241" s="136" t="s">
        <v>1097</v>
      </c>
      <c r="DN241" s="14">
        <f t="shared" si="308"/>
        <v>2</v>
      </c>
      <c r="DO241" s="14" t="str">
        <f t="shared" si="309"/>
        <v>烈风螳螂-2星</v>
      </c>
      <c r="DP241" s="136" t="s">
        <v>1103</v>
      </c>
      <c r="DQ241" s="14">
        <f t="shared" si="322"/>
        <v>5000</v>
      </c>
      <c r="DR241" s="14" t="str">
        <f t="shared" si="310"/>
        <v>烈风螳螂碎片</v>
      </c>
      <c r="DS241" s="14">
        <f t="shared" si="323"/>
        <v>40</v>
      </c>
    </row>
    <row r="242" spans="8:123" ht="16.5" x14ac:dyDescent="0.2">
      <c r="H242" s="15"/>
      <c r="I242" s="15"/>
      <c r="J242" s="15"/>
      <c r="K242" s="15"/>
      <c r="L242" s="15"/>
      <c r="M242" s="15"/>
      <c r="N242" s="15"/>
      <c r="O242" s="137"/>
      <c r="P242" s="141"/>
      <c r="Q242" s="141"/>
      <c r="R242" s="141"/>
      <c r="S242" s="141"/>
      <c r="T242" s="141"/>
      <c r="U242" s="141"/>
      <c r="V242" s="141"/>
      <c r="W242" s="141"/>
      <c r="X242" s="141"/>
      <c r="Y242" s="141"/>
      <c r="Z242" s="141"/>
      <c r="AA242" s="194"/>
      <c r="AB242" s="194"/>
      <c r="AC242" s="194"/>
      <c r="AD242" s="194"/>
      <c r="AE242" s="194"/>
      <c r="AF242" s="194"/>
      <c r="AG242" s="197"/>
      <c r="AH242" s="194"/>
      <c r="AI242" s="194"/>
      <c r="AJ242" s="194"/>
      <c r="AK242" s="104">
        <v>238</v>
      </c>
      <c r="AL242" s="14">
        <f t="shared" si="311"/>
        <v>5</v>
      </c>
      <c r="AM242" s="14">
        <f>INDEX(挂机升级突破!DQ$6:DQ$57,卡牌消耗!$AT242)</f>
        <v>11</v>
      </c>
      <c r="AN242" s="14">
        <f>INDEX(挂机升级突破!DR$6:DR$57,卡牌消耗!$AT242)</f>
        <v>4</v>
      </c>
      <c r="AO242" s="14">
        <f>INDEX(挂机升级突破!DS$6:DS$57,卡牌消耗!$AT242)</f>
        <v>0</v>
      </c>
      <c r="AP242" s="14">
        <f>INDEX(挂机升级突破!$DP$6:$DP$57,卡牌消耗!AT242)</f>
        <v>93</v>
      </c>
      <c r="AQ242" s="14" t="str">
        <f t="shared" si="312"/>
        <v>李轩辕</v>
      </c>
      <c r="AR242" s="14">
        <f t="shared" si="313"/>
        <v>3</v>
      </c>
      <c r="AS242" s="14" t="str">
        <f t="shared" si="314"/>
        <v>李轩辕魂火-30</v>
      </c>
      <c r="AT242" s="14">
        <f t="shared" si="315"/>
        <v>30</v>
      </c>
      <c r="AU242" s="14" t="str">
        <f>IF(AM242&gt;0,INDEX(挂机升级突破!$DT$4:$ED$4,AM242),"")</f>
        <v>金币</v>
      </c>
      <c r="AV242" s="14">
        <f>ROUND(INDEX(挂机升级突破!$DJ$6:$DJ$57,卡牌消耗!AT242)*INDEX(卡牌消耗!$B$8:$F$8,AR242)/$Q$4/50,0)*50</f>
        <v>8900</v>
      </c>
      <c r="AW242" s="14" t="str">
        <f>IF(AN242&gt;0,INDEX(挂机升级突破!$DT$4:$ED$4,AN242),"")</f>
        <v>橙色基础材料</v>
      </c>
      <c r="AX242" s="14">
        <f>ROUND(INDEX(挂机升级突破!$DT$6:$ED$57,卡牌消耗!AT242,AN242)*INDEX(卡牌消耗!$B$5:$F$5,AR242)/$Q$4/5,0)*5</f>
        <v>25</v>
      </c>
      <c r="AY242" s="14" t="str">
        <f>IF(AO242&gt;0,INDEX(挂机升级突破!$DT$4:$ED$4,AO242),"")</f>
        <v/>
      </c>
      <c r="AZ242" s="14" t="str">
        <f>IF(AO242&gt;0,ROUND(INDEX(挂机升级突破!$DT$6:$ED$57,卡牌消耗!AT242,AO242)*INDEX(卡牌消耗!$B$7:$F$7,AR242)/$Q$4,0),"")</f>
        <v/>
      </c>
      <c r="BA242" s="106"/>
      <c r="BB242" s="197"/>
      <c r="BC242" s="197"/>
      <c r="BD242" s="197"/>
      <c r="BE242" s="197"/>
      <c r="BF242" s="197"/>
      <c r="BG242" s="197"/>
      <c r="BH242" s="197"/>
      <c r="BI242" s="197"/>
      <c r="BJ242" s="197"/>
      <c r="BK242" s="197"/>
      <c r="BL242" s="104">
        <v>238</v>
      </c>
      <c r="BM242" s="14">
        <f t="shared" si="316"/>
        <v>12</v>
      </c>
      <c r="BN242" s="14">
        <f>INDEX(挂机升级突破!$EI$7:$EI$26,BS242)</f>
        <v>5</v>
      </c>
      <c r="BO242" s="14">
        <f>INDEX(挂机升级突破!$EJ$7:$EJ$26,BS242)</f>
        <v>4</v>
      </c>
      <c r="BP242" s="14">
        <f t="shared" si="317"/>
        <v>5</v>
      </c>
      <c r="BQ242" s="14">
        <f>INDEX(挂机升级突破!$EH$7:$EH$26,卡牌消耗!BS242)</f>
        <v>125</v>
      </c>
      <c r="BR242" s="14" t="str">
        <f t="shared" si="318"/>
        <v>夏侯惇</v>
      </c>
      <c r="BS242" s="14">
        <f t="shared" si="319"/>
        <v>18</v>
      </c>
      <c r="BT242" s="14" t="str">
        <f t="shared" si="320"/>
        <v>夏侯惇18突</v>
      </c>
      <c r="BU242" s="14" t="str">
        <f>IF(BN242&gt;0,INDEX(挂机升级突破!$ER$5:$EV$5,卡牌消耗!BN242),"")</f>
        <v>金币</v>
      </c>
      <c r="BV242" s="14">
        <f>IF(BN242&gt;0,ROUND(INDEX(挂机升级突破!$EV$7:$EV$26,卡牌消耗!BS242)*INDEX(卡牌消耗!$B$8:$F$8,BP242)/$Q$4/500,0)*500,"")</f>
        <v>215000</v>
      </c>
      <c r="BW242" s="14" t="str">
        <f>IF(BO242&gt;0,INDEX(挂机升级突破!$ER$5:$EV$5,卡牌消耗!BO242),"")</f>
        <v>铀金</v>
      </c>
      <c r="BX242" s="14">
        <f>IF(BO242&gt;0,ROUND(INDEX(挂机升级突破!$ER$7:$EU$26,卡牌消耗!BS242,卡牌消耗!BO242)*INDEX($B$6:$F$6,BP242)/$Q$4/5,0)*5,"")</f>
        <v>35</v>
      </c>
      <c r="BY242" s="193"/>
      <c r="BZ242" s="193"/>
      <c r="CA242" s="106"/>
      <c r="CS242" s="171"/>
      <c r="CT242" s="171"/>
      <c r="CU242" s="171"/>
      <c r="DI242" s="186">
        <v>238</v>
      </c>
      <c r="DJ242" s="14">
        <f t="shared" si="321"/>
        <v>48</v>
      </c>
      <c r="DK242" s="14">
        <f t="shared" si="306"/>
        <v>3</v>
      </c>
      <c r="DL242" s="14">
        <f t="shared" si="307"/>
        <v>1102021</v>
      </c>
      <c r="DM242" s="136" t="s">
        <v>1097</v>
      </c>
      <c r="DN242" s="14">
        <f t="shared" si="308"/>
        <v>3</v>
      </c>
      <c r="DO242" s="14" t="str">
        <f t="shared" si="309"/>
        <v>烈风螳螂-3星</v>
      </c>
      <c r="DP242" s="136" t="s">
        <v>1103</v>
      </c>
      <c r="DQ242" s="14">
        <f t="shared" si="322"/>
        <v>10000</v>
      </c>
      <c r="DR242" s="14" t="str">
        <f t="shared" si="310"/>
        <v>烈风螳螂碎片</v>
      </c>
      <c r="DS242" s="14">
        <f t="shared" si="323"/>
        <v>40</v>
      </c>
    </row>
    <row r="243" spans="8:123" ht="16.5" x14ac:dyDescent="0.2">
      <c r="H243" s="15"/>
      <c r="I243" s="15"/>
      <c r="J243" s="15"/>
      <c r="K243" s="15"/>
      <c r="L243" s="15"/>
      <c r="M243" s="15"/>
      <c r="N243" s="15"/>
      <c r="O243" s="137"/>
      <c r="P243" s="141"/>
      <c r="Q243" s="141"/>
      <c r="R243" s="141"/>
      <c r="S243" s="141"/>
      <c r="T243" s="141"/>
      <c r="U243" s="141"/>
      <c r="V243" s="141"/>
      <c r="W243" s="141"/>
      <c r="X243" s="141"/>
      <c r="Y243" s="141"/>
      <c r="Z243" s="141"/>
      <c r="AA243" s="194"/>
      <c r="AB243" s="194"/>
      <c r="AC243" s="194"/>
      <c r="AD243" s="194"/>
      <c r="AE243" s="194"/>
      <c r="AF243" s="194"/>
      <c r="AG243" s="197"/>
      <c r="AH243" s="194"/>
      <c r="AI243" s="194"/>
      <c r="AJ243" s="194"/>
      <c r="AK243" s="104">
        <v>239</v>
      </c>
      <c r="AL243" s="14">
        <f t="shared" si="311"/>
        <v>5</v>
      </c>
      <c r="AM243" s="14">
        <f>INDEX(挂机升级突破!DQ$6:DQ$57,卡牌消耗!$AT243)</f>
        <v>11</v>
      </c>
      <c r="AN243" s="14">
        <f>INDEX(挂机升级突破!DR$6:DR$57,卡牌消耗!$AT243)</f>
        <v>4</v>
      </c>
      <c r="AO243" s="14">
        <f>INDEX(挂机升级突破!DS$6:DS$57,卡牌消耗!$AT243)</f>
        <v>0</v>
      </c>
      <c r="AP243" s="14">
        <f>INDEX(挂机升级突破!$DP$6:$DP$57,卡牌消耗!AT243)</f>
        <v>95</v>
      </c>
      <c r="AQ243" s="14" t="str">
        <f t="shared" si="312"/>
        <v>李轩辕</v>
      </c>
      <c r="AR243" s="14">
        <f t="shared" si="313"/>
        <v>3</v>
      </c>
      <c r="AS243" s="14" t="str">
        <f t="shared" si="314"/>
        <v>李轩辕魂火-31</v>
      </c>
      <c r="AT243" s="14">
        <f t="shared" si="315"/>
        <v>31</v>
      </c>
      <c r="AU243" s="14" t="str">
        <f>IF(AM243&gt;0,INDEX(挂机升级突破!$DT$4:$ED$4,AM243),"")</f>
        <v>金币</v>
      </c>
      <c r="AV243" s="14">
        <f>ROUND(INDEX(挂机升级突破!$DJ$6:$DJ$57,卡牌消耗!AT243)*INDEX(卡牌消耗!$B$8:$F$8,AR243)/$Q$4/50,0)*50</f>
        <v>8900</v>
      </c>
      <c r="AW243" s="14" t="str">
        <f>IF(AN243&gt;0,INDEX(挂机升级突破!$DT$4:$ED$4,AN243),"")</f>
        <v>橙色基础材料</v>
      </c>
      <c r="AX243" s="14">
        <f>ROUND(INDEX(挂机升级突破!$DT$6:$ED$57,卡牌消耗!AT243,AN243)*INDEX(卡牌消耗!$B$5:$F$5,AR243)/$Q$4/5,0)*5</f>
        <v>25</v>
      </c>
      <c r="AY243" s="14" t="str">
        <f>IF(AO243&gt;0,INDEX(挂机升级突破!$DT$4:$ED$4,AO243),"")</f>
        <v/>
      </c>
      <c r="AZ243" s="14" t="str">
        <f>IF(AO243&gt;0,ROUND(INDEX(挂机升级突破!$DT$6:$ED$57,卡牌消耗!AT243,AO243)*INDEX(卡牌消耗!$B$7:$F$7,AR243)/$Q$4,0),"")</f>
        <v/>
      </c>
      <c r="BA243" s="106"/>
      <c r="BB243" s="197"/>
      <c r="BC243" s="197"/>
      <c r="BD243" s="197"/>
      <c r="BE243" s="197"/>
      <c r="BF243" s="197"/>
      <c r="BG243" s="197"/>
      <c r="BH243" s="197"/>
      <c r="BI243" s="197"/>
      <c r="BJ243" s="197"/>
      <c r="BK243" s="197"/>
      <c r="BL243" s="104">
        <v>239</v>
      </c>
      <c r="BM243" s="14">
        <f t="shared" si="316"/>
        <v>12</v>
      </c>
      <c r="BN243" s="14">
        <f>INDEX(挂机升级突破!$EI$7:$EI$26,BS243)</f>
        <v>5</v>
      </c>
      <c r="BO243" s="14">
        <f>INDEX(挂机升级突破!$EJ$7:$EJ$26,BS243)</f>
        <v>4</v>
      </c>
      <c r="BP243" s="14">
        <f t="shared" si="317"/>
        <v>5</v>
      </c>
      <c r="BQ243" s="14">
        <f>INDEX(挂机升级突破!$EH$7:$EH$26,卡牌消耗!BS243)</f>
        <v>132</v>
      </c>
      <c r="BR243" s="14" t="str">
        <f t="shared" si="318"/>
        <v>夏侯惇</v>
      </c>
      <c r="BS243" s="14">
        <f t="shared" si="319"/>
        <v>19</v>
      </c>
      <c r="BT243" s="14" t="str">
        <f t="shared" si="320"/>
        <v>夏侯惇19突</v>
      </c>
      <c r="BU243" s="14" t="str">
        <f>IF(BN243&gt;0,INDEX(挂机升级突破!$ER$5:$EV$5,卡牌消耗!BN243),"")</f>
        <v>金币</v>
      </c>
      <c r="BV243" s="14">
        <f>IF(BN243&gt;0,ROUND(INDEX(挂机升级突破!$EV$7:$EV$26,卡牌消耗!BS243)*INDEX(卡牌消耗!$B$8:$F$8,BP243)/$Q$4/500,0)*500,"")</f>
        <v>547000</v>
      </c>
      <c r="BW243" s="14" t="str">
        <f>IF(BO243&gt;0,INDEX(挂机升级突破!$ER$5:$EV$5,卡牌消耗!BO243),"")</f>
        <v>铀金</v>
      </c>
      <c r="BX243" s="14">
        <f>IF(BO243&gt;0,ROUND(INDEX(挂机升级突破!$ER$7:$EU$26,卡牌消耗!BS243,卡牌消耗!BO243)*INDEX($B$6:$F$6,BP243)/$Q$4/5,0)*5,"")</f>
        <v>50</v>
      </c>
      <c r="BY243" s="193"/>
      <c r="BZ243" s="193"/>
      <c r="CA243" s="106"/>
      <c r="CS243" s="171"/>
      <c r="CT243" s="171"/>
      <c r="CU243" s="171"/>
      <c r="DI243" s="186">
        <v>239</v>
      </c>
      <c r="DJ243" s="14">
        <f t="shared" si="321"/>
        <v>48</v>
      </c>
      <c r="DK243" s="14">
        <f t="shared" si="306"/>
        <v>3</v>
      </c>
      <c r="DL243" s="14">
        <f t="shared" si="307"/>
        <v>1102021</v>
      </c>
      <c r="DM243" s="136" t="s">
        <v>1097</v>
      </c>
      <c r="DN243" s="14">
        <f t="shared" si="308"/>
        <v>4</v>
      </c>
      <c r="DO243" s="14" t="str">
        <f t="shared" si="309"/>
        <v>烈风螳螂-4星</v>
      </c>
      <c r="DP243" s="136" t="s">
        <v>1103</v>
      </c>
      <c r="DQ243" s="14">
        <f t="shared" si="322"/>
        <v>20000</v>
      </c>
      <c r="DR243" s="14" t="str">
        <f t="shared" si="310"/>
        <v>烈风螳螂碎片</v>
      </c>
      <c r="DS243" s="14">
        <f t="shared" si="323"/>
        <v>40</v>
      </c>
    </row>
    <row r="244" spans="8:123" ht="16.5" x14ac:dyDescent="0.2">
      <c r="H244" s="15"/>
      <c r="I244" s="15"/>
      <c r="J244" s="15"/>
      <c r="K244" s="15"/>
      <c r="L244" s="15"/>
      <c r="M244" s="15"/>
      <c r="N244" s="15"/>
      <c r="O244" s="137"/>
      <c r="P244" s="141"/>
      <c r="Q244" s="141"/>
      <c r="R244" s="141"/>
      <c r="S244" s="141"/>
      <c r="T244" s="141"/>
      <c r="U244" s="141"/>
      <c r="V244" s="141"/>
      <c r="W244" s="141"/>
      <c r="X244" s="141"/>
      <c r="Y244" s="141"/>
      <c r="Z244" s="141"/>
      <c r="AA244" s="194"/>
      <c r="AB244" s="194"/>
      <c r="AC244" s="194"/>
      <c r="AD244" s="194"/>
      <c r="AE244" s="194"/>
      <c r="AF244" s="194"/>
      <c r="AG244" s="197"/>
      <c r="AH244" s="194"/>
      <c r="AI244" s="194"/>
      <c r="AJ244" s="194"/>
      <c r="AK244" s="104">
        <v>240</v>
      </c>
      <c r="AL244" s="14">
        <f t="shared" si="311"/>
        <v>5</v>
      </c>
      <c r="AM244" s="14">
        <f>INDEX(挂机升级突破!DQ$6:DQ$57,卡牌消耗!$AT244)</f>
        <v>11</v>
      </c>
      <c r="AN244" s="14">
        <f>INDEX(挂机升级突破!DR$6:DR$57,卡牌消耗!$AT244)</f>
        <v>4</v>
      </c>
      <c r="AO244" s="14">
        <f>INDEX(挂机升级突破!DS$6:DS$57,卡牌消耗!$AT244)</f>
        <v>0</v>
      </c>
      <c r="AP244" s="14">
        <f>INDEX(挂机升级突破!$DP$6:$DP$57,卡牌消耗!AT244)</f>
        <v>98</v>
      </c>
      <c r="AQ244" s="14" t="str">
        <f t="shared" si="312"/>
        <v>李轩辕</v>
      </c>
      <c r="AR244" s="14">
        <f t="shared" si="313"/>
        <v>3</v>
      </c>
      <c r="AS244" s="14" t="str">
        <f t="shared" si="314"/>
        <v>李轩辕魂火-32</v>
      </c>
      <c r="AT244" s="14">
        <f t="shared" si="315"/>
        <v>32</v>
      </c>
      <c r="AU244" s="14" t="str">
        <f>IF(AM244&gt;0,INDEX(挂机升级突破!$DT$4:$ED$4,AM244),"")</f>
        <v>金币</v>
      </c>
      <c r="AV244" s="14">
        <f>ROUND(INDEX(挂机升级突破!$DJ$6:$DJ$57,卡牌消耗!AT244)*INDEX(卡牌消耗!$B$8:$F$8,AR244)/$Q$4/50,0)*50</f>
        <v>12200</v>
      </c>
      <c r="AW244" s="14" t="str">
        <f>IF(AN244&gt;0,INDEX(挂机升级突破!$DT$4:$ED$4,AN244),"")</f>
        <v>橙色基础材料</v>
      </c>
      <c r="AX244" s="14">
        <f>ROUND(INDEX(挂机升级突破!$DT$6:$ED$57,卡牌消耗!AT244,AN244)*INDEX(卡牌消耗!$B$5:$F$5,AR244)/$Q$4/5,0)*5</f>
        <v>25</v>
      </c>
      <c r="AY244" s="14" t="str">
        <f>IF(AO244&gt;0,INDEX(挂机升级突破!$DT$4:$ED$4,AO244),"")</f>
        <v/>
      </c>
      <c r="AZ244" s="14" t="str">
        <f>IF(AO244&gt;0,ROUND(INDEX(挂机升级突破!$DT$6:$ED$57,卡牌消耗!AT244,AO244)*INDEX(卡牌消耗!$B$7:$F$7,AR244)/$Q$4,0),"")</f>
        <v/>
      </c>
      <c r="BA244" s="106"/>
      <c r="BB244" s="197"/>
      <c r="BC244" s="197"/>
      <c r="BD244" s="197"/>
      <c r="BE244" s="197"/>
      <c r="BF244" s="197"/>
      <c r="BG244" s="197"/>
      <c r="BH244" s="197"/>
      <c r="BI244" s="197"/>
      <c r="BJ244" s="197"/>
      <c r="BK244" s="197"/>
      <c r="BL244" s="104">
        <v>240</v>
      </c>
      <c r="BM244" s="14">
        <f t="shared" si="316"/>
        <v>12</v>
      </c>
      <c r="BN244" s="14">
        <f>INDEX(挂机升级突破!$EI$7:$EI$26,BS244)</f>
        <v>5</v>
      </c>
      <c r="BO244" s="14">
        <f>INDEX(挂机升级突破!$EJ$7:$EJ$26,BS244)</f>
        <v>4</v>
      </c>
      <c r="BP244" s="14">
        <f t="shared" si="317"/>
        <v>5</v>
      </c>
      <c r="BQ244" s="14">
        <f>INDEX(挂机升级突破!$EH$7:$EH$26,卡牌消耗!BS244)</f>
        <v>140</v>
      </c>
      <c r="BR244" s="14" t="str">
        <f t="shared" si="318"/>
        <v>夏侯惇</v>
      </c>
      <c r="BS244" s="14">
        <f t="shared" si="319"/>
        <v>20</v>
      </c>
      <c r="BT244" s="14" t="str">
        <f t="shared" si="320"/>
        <v>夏侯惇20突</v>
      </c>
      <c r="BU244" s="14" t="str">
        <f>IF(BN244&gt;0,INDEX(挂机升级突破!$ER$5:$EV$5,卡牌消耗!BN244),"")</f>
        <v>金币</v>
      </c>
      <c r="BV244" s="14">
        <f>IF(BN244&gt;0,ROUND(INDEX(挂机升级突破!$EV$7:$EV$26,卡牌消耗!BS244)*INDEX(卡牌消耗!$B$8:$F$8,BP244)/$Q$4/500,0)*500,"")</f>
        <v>820500</v>
      </c>
      <c r="BW244" s="14" t="str">
        <f>IF(BO244&gt;0,INDEX(挂机升级突破!$ER$5:$EV$5,卡牌消耗!BO244),"")</f>
        <v>铀金</v>
      </c>
      <c r="BX244" s="14">
        <f>IF(BO244&gt;0,ROUND(INDEX(挂机升级突破!$ER$7:$EU$26,卡牌消耗!BS244,卡牌消耗!BO244)*INDEX($B$6:$F$6,BP244)/$Q$4/5,0)*5,"")</f>
        <v>65</v>
      </c>
      <c r="BY244" s="193"/>
      <c r="BZ244" s="193"/>
      <c r="CA244" s="106"/>
      <c r="CS244" s="171"/>
      <c r="CT244" s="171"/>
      <c r="CU244" s="171"/>
      <c r="DI244" s="186">
        <v>240</v>
      </c>
      <c r="DJ244" s="14">
        <f t="shared" si="321"/>
        <v>48</v>
      </c>
      <c r="DK244" s="14">
        <f t="shared" si="306"/>
        <v>3</v>
      </c>
      <c r="DL244" s="14">
        <f t="shared" si="307"/>
        <v>1102021</v>
      </c>
      <c r="DM244" s="136" t="s">
        <v>1097</v>
      </c>
      <c r="DN244" s="14">
        <f t="shared" si="308"/>
        <v>5</v>
      </c>
      <c r="DO244" s="14" t="str">
        <f t="shared" si="309"/>
        <v>烈风螳螂-5星</v>
      </c>
      <c r="DP244" s="136" t="s">
        <v>1103</v>
      </c>
      <c r="DQ244" s="14">
        <f t="shared" si="322"/>
        <v>40000</v>
      </c>
      <c r="DR244" s="14" t="str">
        <f t="shared" si="310"/>
        <v>烈风螳螂碎片</v>
      </c>
      <c r="DS244" s="14">
        <f t="shared" si="323"/>
        <v>40</v>
      </c>
    </row>
    <row r="245" spans="8:123" ht="16.5" x14ac:dyDescent="0.2">
      <c r="H245" s="15"/>
      <c r="I245" s="15"/>
      <c r="J245" s="15"/>
      <c r="K245" s="15"/>
      <c r="L245" s="15"/>
      <c r="M245" s="15"/>
      <c r="N245" s="15"/>
      <c r="O245" s="137"/>
      <c r="P245" s="141"/>
      <c r="Q245" s="141"/>
      <c r="R245" s="141"/>
      <c r="S245" s="141"/>
      <c r="T245" s="141"/>
      <c r="U245" s="141"/>
      <c r="V245" s="141"/>
      <c r="W245" s="141"/>
      <c r="X245" s="141"/>
      <c r="Y245" s="141"/>
      <c r="Z245" s="141"/>
      <c r="AA245" s="194"/>
      <c r="AB245" s="194"/>
      <c r="AC245" s="194"/>
      <c r="AD245" s="194"/>
      <c r="AE245" s="194"/>
      <c r="AF245" s="194"/>
      <c r="AG245" s="197"/>
      <c r="AH245" s="194"/>
      <c r="AI245" s="194"/>
      <c r="AJ245" s="194"/>
      <c r="AK245" s="104">
        <v>241</v>
      </c>
      <c r="AL245" s="14">
        <f t="shared" si="311"/>
        <v>5</v>
      </c>
      <c r="AM245" s="14">
        <f>INDEX(挂机升级突破!DQ$6:DQ$57,卡牌消耗!$AT245)</f>
        <v>11</v>
      </c>
      <c r="AN245" s="14">
        <f>INDEX(挂机升级突破!DR$6:DR$57,卡牌消耗!$AT245)</f>
        <v>4</v>
      </c>
      <c r="AO245" s="14">
        <f>INDEX(挂机升级突破!DS$6:DS$57,卡牌消耗!$AT245)</f>
        <v>0</v>
      </c>
      <c r="AP245" s="14">
        <f>INDEX(挂机升级突破!$DP$6:$DP$57,卡牌消耗!AT245)</f>
        <v>100</v>
      </c>
      <c r="AQ245" s="14" t="str">
        <f t="shared" si="312"/>
        <v>李轩辕</v>
      </c>
      <c r="AR245" s="14">
        <f t="shared" si="313"/>
        <v>3</v>
      </c>
      <c r="AS245" s="14" t="str">
        <f t="shared" si="314"/>
        <v>李轩辕魂火-33</v>
      </c>
      <c r="AT245" s="14">
        <f t="shared" si="315"/>
        <v>33</v>
      </c>
      <c r="AU245" s="14" t="str">
        <f>IF(AM245&gt;0,INDEX(挂机升级突破!$DT$4:$ED$4,AM245),"")</f>
        <v>金币</v>
      </c>
      <c r="AV245" s="14">
        <f>ROUND(INDEX(挂机升级突破!$DJ$6:$DJ$57,卡牌消耗!AT245)*INDEX(卡牌消耗!$B$8:$F$8,AR245)/$Q$4/50,0)*50</f>
        <v>12200</v>
      </c>
      <c r="AW245" s="14" t="str">
        <f>IF(AN245&gt;0,INDEX(挂机升级突破!$DT$4:$ED$4,AN245),"")</f>
        <v>橙色基础材料</v>
      </c>
      <c r="AX245" s="14">
        <f>ROUND(INDEX(挂机升级突破!$DT$6:$ED$57,卡牌消耗!AT245,AN245)*INDEX(卡牌消耗!$B$5:$F$5,AR245)/$Q$4/5,0)*5</f>
        <v>25</v>
      </c>
      <c r="AY245" s="14" t="str">
        <f>IF(AO245&gt;0,INDEX(挂机升级突破!$DT$4:$ED$4,AO245),"")</f>
        <v/>
      </c>
      <c r="AZ245" s="14" t="str">
        <f>IF(AO245&gt;0,ROUND(INDEX(挂机升级突破!$DT$6:$ED$57,卡牌消耗!AT245,AO245)*INDEX(卡牌消耗!$B$7:$F$7,AR245)/$Q$4,0),"")</f>
        <v/>
      </c>
      <c r="BA245" s="106"/>
      <c r="BB245" s="197"/>
      <c r="BC245" s="197"/>
      <c r="BD245" s="197"/>
      <c r="BE245" s="197"/>
      <c r="BF245" s="197"/>
      <c r="BG245" s="197"/>
      <c r="BH245" s="197"/>
      <c r="BI245" s="197"/>
      <c r="BJ245" s="197"/>
      <c r="BK245" s="197"/>
      <c r="BL245" s="104">
        <v>241</v>
      </c>
      <c r="BM245" s="14">
        <f t="shared" si="316"/>
        <v>13</v>
      </c>
      <c r="BN245" s="14">
        <f>INDEX(挂机升级突破!$EI$7:$EI$26,BS245)</f>
        <v>0</v>
      </c>
      <c r="BO245" s="14">
        <f>INDEX(挂机升级突破!$EJ$7:$EJ$26,BS245)</f>
        <v>0</v>
      </c>
      <c r="BP245" s="14">
        <f t="shared" si="317"/>
        <v>2</v>
      </c>
      <c r="BQ245" s="14">
        <f>INDEX(挂机升级突破!$EH$7:$EH$26,卡牌消耗!BS245)</f>
        <v>1</v>
      </c>
      <c r="BR245" s="14" t="str">
        <f t="shared" si="318"/>
        <v>塞伯罗斯</v>
      </c>
      <c r="BS245" s="14">
        <f t="shared" si="319"/>
        <v>1</v>
      </c>
      <c r="BT245" s="14" t="str">
        <f t="shared" si="320"/>
        <v>塞伯罗斯1突</v>
      </c>
      <c r="BU245" s="14" t="str">
        <f>IF(BN245&gt;0,INDEX(挂机升级突破!$ER$5:$EV$5,卡牌消耗!BN245),"")</f>
        <v/>
      </c>
      <c r="BV245" s="14" t="str">
        <f>IF(BN245&gt;0,ROUND(INDEX(挂机升级突破!$EV$7:$EV$26,卡牌消耗!BS245)*INDEX(卡牌消耗!$B$8:$F$8,BP245)/$Q$4/500,0)*500,"")</f>
        <v/>
      </c>
      <c r="BW245" s="14" t="str">
        <f>IF(BO245&gt;0,INDEX(挂机升级突破!$ER$5:$EV$5,卡牌消耗!BO245),"")</f>
        <v/>
      </c>
      <c r="BX245" s="14" t="str">
        <f>IF(BO245&gt;0,ROUND(INDEX(挂机升级突破!$ER$7:$EU$26,卡牌消耗!BS245,卡牌消耗!BO245)*INDEX($B$6:$F$6,BP245)/$Q$4/5,0)*5,"")</f>
        <v/>
      </c>
      <c r="BY245" s="193"/>
      <c r="BZ245" s="193"/>
      <c r="CA245" s="106"/>
      <c r="CS245" s="171"/>
      <c r="CT245" s="171"/>
      <c r="CU245" s="171"/>
      <c r="DI245" s="186">
        <v>241</v>
      </c>
      <c r="DJ245" s="14">
        <f t="shared" si="321"/>
        <v>49</v>
      </c>
      <c r="DK245" s="14">
        <f t="shared" si="306"/>
        <v>2</v>
      </c>
      <c r="DL245" s="14">
        <f t="shared" si="307"/>
        <v>1102050</v>
      </c>
      <c r="DM245" s="136" t="s">
        <v>1097</v>
      </c>
      <c r="DN245" s="14">
        <f t="shared" si="308"/>
        <v>1</v>
      </c>
      <c r="DO245" s="14" t="str">
        <f t="shared" si="309"/>
        <v>柠檬精-1星</v>
      </c>
      <c r="DP245" s="136" t="s">
        <v>1103</v>
      </c>
      <c r="DQ245" s="14">
        <f t="shared" si="322"/>
        <v>3000</v>
      </c>
      <c r="DR245" s="14" t="str">
        <f t="shared" si="310"/>
        <v>柠檬精碎片</v>
      </c>
      <c r="DS245" s="14">
        <f t="shared" si="323"/>
        <v>20</v>
      </c>
    </row>
    <row r="246" spans="8:123" ht="16.5" x14ac:dyDescent="0.2">
      <c r="H246" s="15"/>
      <c r="I246" s="15"/>
      <c r="J246" s="15"/>
      <c r="K246" s="15"/>
      <c r="L246" s="15"/>
      <c r="M246" s="15"/>
      <c r="N246" s="15"/>
      <c r="O246" s="137"/>
      <c r="P246" s="141"/>
      <c r="Q246" s="141"/>
      <c r="R246" s="141"/>
      <c r="S246" s="141"/>
      <c r="T246" s="141"/>
      <c r="U246" s="141"/>
      <c r="V246" s="141"/>
      <c r="W246" s="141"/>
      <c r="X246" s="141"/>
      <c r="Y246" s="141"/>
      <c r="Z246" s="141"/>
      <c r="AA246" s="194"/>
      <c r="AB246" s="194"/>
      <c r="AC246" s="194"/>
      <c r="AD246" s="194"/>
      <c r="AE246" s="194"/>
      <c r="AF246" s="194"/>
      <c r="AG246" s="197"/>
      <c r="AH246" s="194"/>
      <c r="AI246" s="194"/>
      <c r="AJ246" s="194"/>
      <c r="AK246" s="104">
        <v>242</v>
      </c>
      <c r="AL246" s="14">
        <f t="shared" si="311"/>
        <v>5</v>
      </c>
      <c r="AM246" s="14">
        <f>INDEX(挂机升级突破!DQ$6:DQ$57,卡牌消耗!$AT246)</f>
        <v>11</v>
      </c>
      <c r="AN246" s="14">
        <f>INDEX(挂机升级突破!DR$6:DR$57,卡牌消耗!$AT246)</f>
        <v>4</v>
      </c>
      <c r="AO246" s="14">
        <f>INDEX(挂机升级突破!DS$6:DS$57,卡牌消耗!$AT246)</f>
        <v>0</v>
      </c>
      <c r="AP246" s="14">
        <f>INDEX(挂机升级突破!$DP$6:$DP$57,卡牌消耗!AT246)</f>
        <v>103</v>
      </c>
      <c r="AQ246" s="14" t="str">
        <f t="shared" si="312"/>
        <v>李轩辕</v>
      </c>
      <c r="AR246" s="14">
        <f t="shared" si="313"/>
        <v>3</v>
      </c>
      <c r="AS246" s="14" t="str">
        <f t="shared" si="314"/>
        <v>李轩辕魂火-34</v>
      </c>
      <c r="AT246" s="14">
        <f t="shared" si="315"/>
        <v>34</v>
      </c>
      <c r="AU246" s="14" t="str">
        <f>IF(AM246&gt;0,INDEX(挂机升级突破!$DT$4:$ED$4,AM246),"")</f>
        <v>金币</v>
      </c>
      <c r="AV246" s="14">
        <f>ROUND(INDEX(挂机升级突破!$DJ$6:$DJ$57,卡牌消耗!AT246)*INDEX(卡牌消耗!$B$8:$F$8,AR246)/$Q$4/50,0)*50</f>
        <v>12200</v>
      </c>
      <c r="AW246" s="14" t="str">
        <f>IF(AN246&gt;0,INDEX(挂机升级突破!$DT$4:$ED$4,AN246),"")</f>
        <v>橙色基础材料</v>
      </c>
      <c r="AX246" s="14">
        <f>ROUND(INDEX(挂机升级突破!$DT$6:$ED$57,卡牌消耗!AT246,AN246)*INDEX(卡牌消耗!$B$5:$F$5,AR246)/$Q$4/5,0)*5</f>
        <v>30</v>
      </c>
      <c r="AY246" s="14" t="str">
        <f>IF(AO246&gt;0,INDEX(挂机升级突破!$DT$4:$ED$4,AO246),"")</f>
        <v/>
      </c>
      <c r="AZ246" s="14" t="str">
        <f>IF(AO246&gt;0,ROUND(INDEX(挂机升级突破!$DT$6:$ED$57,卡牌消耗!AT246,AO246)*INDEX(卡牌消耗!$B$7:$F$7,AR246)/$Q$4,0),"")</f>
        <v/>
      </c>
      <c r="BA246" s="106"/>
      <c r="BB246" s="197"/>
      <c r="BC246" s="197"/>
      <c r="BD246" s="197"/>
      <c r="BE246" s="197"/>
      <c r="BF246" s="197"/>
      <c r="BG246" s="197"/>
      <c r="BH246" s="197"/>
      <c r="BI246" s="197"/>
      <c r="BJ246" s="197"/>
      <c r="BK246" s="197"/>
      <c r="BL246" s="104">
        <v>242</v>
      </c>
      <c r="BM246" s="14">
        <f t="shared" si="316"/>
        <v>13</v>
      </c>
      <c r="BN246" s="14">
        <f>INDEX(挂机升级突破!$EI$7:$EI$26,BS246)</f>
        <v>5</v>
      </c>
      <c r="BO246" s="14">
        <f>INDEX(挂机升级突破!$EJ$7:$EJ$26,BS246)</f>
        <v>1</v>
      </c>
      <c r="BP246" s="14">
        <f t="shared" si="317"/>
        <v>2</v>
      </c>
      <c r="BQ246" s="14">
        <f>INDEX(挂机升级突破!$EH$7:$EH$26,卡牌消耗!BS246)</f>
        <v>5</v>
      </c>
      <c r="BR246" s="14" t="str">
        <f t="shared" si="318"/>
        <v>塞伯罗斯</v>
      </c>
      <c r="BS246" s="14">
        <f t="shared" si="319"/>
        <v>2</v>
      </c>
      <c r="BT246" s="14" t="str">
        <f t="shared" si="320"/>
        <v>塞伯罗斯2突</v>
      </c>
      <c r="BU246" s="14" t="str">
        <f>IF(BN246&gt;0,INDEX(挂机升级突破!$ER$5:$EV$5,卡牌消耗!BN246),"")</f>
        <v>金币</v>
      </c>
      <c r="BV246" s="14">
        <f>IF(BN246&gt;0,ROUND(INDEX(挂机升级突破!$EV$7:$EV$26,卡牌消耗!BS246)*INDEX(卡牌消耗!$B$8:$F$8,BP246)/$Q$4/500,0)*500,"")</f>
        <v>2000</v>
      </c>
      <c r="BW246" s="14" t="str">
        <f>IF(BO246&gt;0,INDEX(挂机升级突破!$ER$5:$EV$5,卡牌消耗!BO246),"")</f>
        <v>玄铁</v>
      </c>
      <c r="BX246" s="14">
        <f>IF(BO246&gt;0,ROUND(INDEX(挂机升级突破!$ER$7:$EU$26,卡牌消耗!BS246,卡牌消耗!BO246)*INDEX($B$6:$F$6,BP246)/$Q$4,0),"")</f>
        <v>1</v>
      </c>
      <c r="BY246" s="193"/>
      <c r="BZ246" s="193"/>
      <c r="CA246" s="106"/>
      <c r="CS246" s="171"/>
      <c r="CT246" s="171"/>
      <c r="CU246" s="171"/>
      <c r="DI246" s="186">
        <v>242</v>
      </c>
      <c r="DJ246" s="14">
        <f t="shared" si="321"/>
        <v>49</v>
      </c>
      <c r="DK246" s="14">
        <f t="shared" si="306"/>
        <v>2</v>
      </c>
      <c r="DL246" s="14">
        <f t="shared" si="307"/>
        <v>1102050</v>
      </c>
      <c r="DM246" s="136" t="s">
        <v>1097</v>
      </c>
      <c r="DN246" s="14">
        <f t="shared" si="308"/>
        <v>2</v>
      </c>
      <c r="DO246" s="14" t="str">
        <f t="shared" si="309"/>
        <v>柠檬精-2星</v>
      </c>
      <c r="DP246" s="136" t="s">
        <v>1103</v>
      </c>
      <c r="DQ246" s="14">
        <f t="shared" si="322"/>
        <v>3500</v>
      </c>
      <c r="DR246" s="14" t="str">
        <f t="shared" si="310"/>
        <v>柠檬精碎片</v>
      </c>
      <c r="DS246" s="14">
        <f t="shared" si="323"/>
        <v>20</v>
      </c>
    </row>
    <row r="247" spans="8:123" ht="16.5" x14ac:dyDescent="0.2">
      <c r="H247" s="15"/>
      <c r="I247" s="15"/>
      <c r="J247" s="15"/>
      <c r="K247" s="15"/>
      <c r="L247" s="15"/>
      <c r="M247" s="15"/>
      <c r="N247" s="15"/>
      <c r="O247" s="137"/>
      <c r="P247" s="141"/>
      <c r="Q247" s="141"/>
      <c r="R247" s="141"/>
      <c r="S247" s="141"/>
      <c r="T247" s="141"/>
      <c r="U247" s="141"/>
      <c r="V247" s="141"/>
      <c r="W247" s="141"/>
      <c r="X247" s="141"/>
      <c r="Y247" s="141"/>
      <c r="Z247" s="141"/>
      <c r="AA247" s="194"/>
      <c r="AB247" s="194"/>
      <c r="AC247" s="194"/>
      <c r="AD247" s="194"/>
      <c r="AE247" s="194"/>
      <c r="AF247" s="194"/>
      <c r="AG247" s="197"/>
      <c r="AH247" s="194"/>
      <c r="AI247" s="194"/>
      <c r="AJ247" s="194"/>
      <c r="AK247" s="104">
        <v>243</v>
      </c>
      <c r="AL247" s="14">
        <f t="shared" si="311"/>
        <v>5</v>
      </c>
      <c r="AM247" s="14">
        <f>INDEX(挂机升级突破!DQ$6:DQ$57,卡牌消耗!$AT247)</f>
        <v>11</v>
      </c>
      <c r="AN247" s="14">
        <f>INDEX(挂机升级突破!DR$6:DR$57,卡牌消耗!$AT247)</f>
        <v>4</v>
      </c>
      <c r="AO247" s="14">
        <f>INDEX(挂机升级突破!DS$6:DS$57,卡牌消耗!$AT247)</f>
        <v>0</v>
      </c>
      <c r="AP247" s="14">
        <f>INDEX(挂机升级突破!$DP$6:$DP$57,卡牌消耗!AT247)</f>
        <v>105</v>
      </c>
      <c r="AQ247" s="14" t="str">
        <f t="shared" si="312"/>
        <v>李轩辕</v>
      </c>
      <c r="AR247" s="14">
        <f t="shared" si="313"/>
        <v>3</v>
      </c>
      <c r="AS247" s="14" t="str">
        <f t="shared" si="314"/>
        <v>李轩辕魂火-35</v>
      </c>
      <c r="AT247" s="14">
        <f t="shared" si="315"/>
        <v>35</v>
      </c>
      <c r="AU247" s="14" t="str">
        <f>IF(AM247&gt;0,INDEX(挂机升级突破!$DT$4:$ED$4,AM247),"")</f>
        <v>金币</v>
      </c>
      <c r="AV247" s="14">
        <f>ROUND(INDEX(挂机升级突破!$DJ$6:$DJ$57,卡牌消耗!AT247)*INDEX(卡牌消耗!$B$8:$F$8,AR247)/$Q$4/50,0)*50</f>
        <v>15550</v>
      </c>
      <c r="AW247" s="14" t="str">
        <f>IF(AN247&gt;0,INDEX(挂机升级突破!$DT$4:$ED$4,AN247),"")</f>
        <v>橙色基础材料</v>
      </c>
      <c r="AX247" s="14">
        <f>ROUND(INDEX(挂机升级突破!$DT$6:$ED$57,卡牌消耗!AT247,AN247)*INDEX(卡牌消耗!$B$5:$F$5,AR247)/$Q$4/5,0)*5</f>
        <v>30</v>
      </c>
      <c r="AY247" s="14" t="str">
        <f>IF(AO247&gt;0,INDEX(挂机升级突破!$DT$4:$ED$4,AO247),"")</f>
        <v/>
      </c>
      <c r="AZ247" s="14" t="str">
        <f>IF(AO247&gt;0,ROUND(INDEX(挂机升级突破!$DT$6:$ED$57,卡牌消耗!AT247,AO247)*INDEX(卡牌消耗!$B$7:$F$7,AR247)/$Q$4,0),"")</f>
        <v/>
      </c>
      <c r="BA247" s="106"/>
      <c r="BB247" s="197"/>
      <c r="BC247" s="197"/>
      <c r="BD247" s="197"/>
      <c r="BE247" s="197"/>
      <c r="BF247" s="197"/>
      <c r="BG247" s="197"/>
      <c r="BH247" s="197"/>
      <c r="BI247" s="197"/>
      <c r="BJ247" s="197"/>
      <c r="BK247" s="197"/>
      <c r="BL247" s="104">
        <v>243</v>
      </c>
      <c r="BM247" s="14">
        <f t="shared" si="316"/>
        <v>13</v>
      </c>
      <c r="BN247" s="14">
        <f>INDEX(挂机升级突破!$EI$7:$EI$26,BS247)</f>
        <v>5</v>
      </c>
      <c r="BO247" s="14">
        <f>INDEX(挂机升级突破!$EJ$7:$EJ$26,BS247)</f>
        <v>1</v>
      </c>
      <c r="BP247" s="14">
        <f t="shared" si="317"/>
        <v>2</v>
      </c>
      <c r="BQ247" s="14">
        <f>INDEX(挂机升级突破!$EH$7:$EH$26,卡牌消耗!BS247)</f>
        <v>15</v>
      </c>
      <c r="BR247" s="14" t="str">
        <f t="shared" si="318"/>
        <v>塞伯罗斯</v>
      </c>
      <c r="BS247" s="14">
        <f t="shared" si="319"/>
        <v>3</v>
      </c>
      <c r="BT247" s="14" t="str">
        <f t="shared" si="320"/>
        <v>塞伯罗斯3突</v>
      </c>
      <c r="BU247" s="14" t="str">
        <f>IF(BN247&gt;0,INDEX(挂机升级突破!$ER$5:$EV$5,卡牌消耗!BN247),"")</f>
        <v>金币</v>
      </c>
      <c r="BV247" s="14">
        <f>IF(BN247&gt;0,ROUND(INDEX(挂机升级突破!$EV$7:$EV$26,卡牌消耗!BS247)*INDEX(卡牌消耗!$B$8:$F$8,BP247)/$Q$4/500,0)*500,"")</f>
        <v>2000</v>
      </c>
      <c r="BW247" s="14" t="str">
        <f>IF(BO247&gt;0,INDEX(挂机升级突破!$ER$5:$EV$5,卡牌消耗!BO247),"")</f>
        <v>玄铁</v>
      </c>
      <c r="BX247" s="14">
        <f>IF(BO247&gt;0,ROUND(INDEX(挂机升级突破!$ER$7:$EU$26,卡牌消耗!BS247,卡牌消耗!BO247)*INDEX($B$6:$F$6,BP247)/$Q$4,0),"")</f>
        <v>4</v>
      </c>
      <c r="BY247" s="193"/>
      <c r="BZ247" s="193"/>
      <c r="CA247" s="106"/>
      <c r="CS247" s="171"/>
      <c r="CT247" s="171"/>
      <c r="CU247" s="171"/>
      <c r="DI247" s="186">
        <v>243</v>
      </c>
      <c r="DJ247" s="14">
        <f t="shared" si="321"/>
        <v>49</v>
      </c>
      <c r="DK247" s="14">
        <f t="shared" si="306"/>
        <v>2</v>
      </c>
      <c r="DL247" s="14">
        <f t="shared" si="307"/>
        <v>1102050</v>
      </c>
      <c r="DM247" s="136" t="s">
        <v>1097</v>
      </c>
      <c r="DN247" s="14">
        <f t="shared" si="308"/>
        <v>3</v>
      </c>
      <c r="DO247" s="14" t="str">
        <f t="shared" si="309"/>
        <v>柠檬精-3星</v>
      </c>
      <c r="DP247" s="136" t="s">
        <v>1103</v>
      </c>
      <c r="DQ247" s="14">
        <f t="shared" si="322"/>
        <v>7000</v>
      </c>
      <c r="DR247" s="14" t="str">
        <f t="shared" si="310"/>
        <v>柠檬精碎片</v>
      </c>
      <c r="DS247" s="14">
        <f t="shared" si="323"/>
        <v>20</v>
      </c>
    </row>
    <row r="248" spans="8:123" ht="16.5" x14ac:dyDescent="0.2">
      <c r="H248" s="15"/>
      <c r="I248" s="15"/>
      <c r="J248" s="15"/>
      <c r="K248" s="15"/>
      <c r="L248" s="15"/>
      <c r="M248" s="15"/>
      <c r="N248" s="15"/>
      <c r="O248" s="137"/>
      <c r="P248" s="141"/>
      <c r="Q248" s="141"/>
      <c r="R248" s="141"/>
      <c r="S248" s="141"/>
      <c r="T248" s="141"/>
      <c r="U248" s="141"/>
      <c r="V248" s="141"/>
      <c r="W248" s="141"/>
      <c r="X248" s="141"/>
      <c r="Y248" s="141"/>
      <c r="Z248" s="141"/>
      <c r="AA248" s="194"/>
      <c r="AB248" s="194"/>
      <c r="AC248" s="194"/>
      <c r="AD248" s="194"/>
      <c r="AE248" s="194"/>
      <c r="AF248" s="194"/>
      <c r="AG248" s="197"/>
      <c r="AH248" s="194"/>
      <c r="AI248" s="194"/>
      <c r="AJ248" s="194"/>
      <c r="AK248" s="104">
        <v>244</v>
      </c>
      <c r="AL248" s="14">
        <f t="shared" si="311"/>
        <v>5</v>
      </c>
      <c r="AM248" s="14">
        <f>INDEX(挂机升级突破!DQ$6:DQ$57,卡牌消耗!$AT248)</f>
        <v>11</v>
      </c>
      <c r="AN248" s="14">
        <f>INDEX(挂机升级突破!DR$6:DR$57,卡牌消耗!$AT248)</f>
        <v>4</v>
      </c>
      <c r="AO248" s="14">
        <f>INDEX(挂机升级突破!DS$6:DS$57,卡牌消耗!$AT248)</f>
        <v>0</v>
      </c>
      <c r="AP248" s="14">
        <f>INDEX(挂机升级突破!$DP$6:$DP$57,卡牌消耗!AT248)</f>
        <v>108</v>
      </c>
      <c r="AQ248" s="14" t="str">
        <f t="shared" si="312"/>
        <v>李轩辕</v>
      </c>
      <c r="AR248" s="14">
        <f t="shared" si="313"/>
        <v>3</v>
      </c>
      <c r="AS248" s="14" t="str">
        <f t="shared" si="314"/>
        <v>李轩辕魂火-36</v>
      </c>
      <c r="AT248" s="14">
        <f t="shared" si="315"/>
        <v>36</v>
      </c>
      <c r="AU248" s="14" t="str">
        <f>IF(AM248&gt;0,INDEX(挂机升级突破!$DT$4:$ED$4,AM248),"")</f>
        <v>金币</v>
      </c>
      <c r="AV248" s="14">
        <f>ROUND(INDEX(挂机升级突破!$DJ$6:$DJ$57,卡牌消耗!AT248)*INDEX(卡牌消耗!$B$8:$F$8,AR248)/$Q$4/50,0)*50</f>
        <v>15550</v>
      </c>
      <c r="AW248" s="14" t="str">
        <f>IF(AN248&gt;0,INDEX(挂机升级突破!$DT$4:$ED$4,AN248),"")</f>
        <v>橙色基础材料</v>
      </c>
      <c r="AX248" s="14">
        <f>ROUND(INDEX(挂机升级突破!$DT$6:$ED$57,卡牌消耗!AT248,AN248)*INDEX(卡牌消耗!$B$5:$F$5,AR248)/$Q$4/5,0)*5</f>
        <v>30</v>
      </c>
      <c r="AY248" s="14" t="str">
        <f>IF(AO248&gt;0,INDEX(挂机升级突破!$DT$4:$ED$4,AO248),"")</f>
        <v/>
      </c>
      <c r="AZ248" s="14" t="str">
        <f>IF(AO248&gt;0,ROUND(INDEX(挂机升级突破!$DT$6:$ED$57,卡牌消耗!AT248,AO248)*INDEX(卡牌消耗!$B$7:$F$7,AR248)/$Q$4,0),"")</f>
        <v/>
      </c>
      <c r="BA248" s="106"/>
      <c r="BB248" s="197"/>
      <c r="BC248" s="197"/>
      <c r="BD248" s="197"/>
      <c r="BE248" s="197"/>
      <c r="BF248" s="197"/>
      <c r="BG248" s="197"/>
      <c r="BH248" s="197"/>
      <c r="BI248" s="197"/>
      <c r="BJ248" s="197"/>
      <c r="BK248" s="197"/>
      <c r="BL248" s="104">
        <v>244</v>
      </c>
      <c r="BM248" s="14">
        <f t="shared" si="316"/>
        <v>13</v>
      </c>
      <c r="BN248" s="14">
        <f>INDEX(挂机升级突破!$EI$7:$EI$26,BS248)</f>
        <v>5</v>
      </c>
      <c r="BO248" s="14">
        <f>INDEX(挂机升级突破!$EJ$7:$EJ$26,BS248)</f>
        <v>1</v>
      </c>
      <c r="BP248" s="14">
        <f t="shared" si="317"/>
        <v>2</v>
      </c>
      <c r="BQ248" s="14">
        <f>INDEX(挂机升级突破!$EH$7:$EH$26,卡牌消耗!BS248)</f>
        <v>25</v>
      </c>
      <c r="BR248" s="14" t="str">
        <f t="shared" si="318"/>
        <v>塞伯罗斯</v>
      </c>
      <c r="BS248" s="14">
        <f t="shared" si="319"/>
        <v>4</v>
      </c>
      <c r="BT248" s="14" t="str">
        <f t="shared" si="320"/>
        <v>塞伯罗斯4突</v>
      </c>
      <c r="BU248" s="14" t="str">
        <f>IF(BN248&gt;0,INDEX(挂机升级突破!$ER$5:$EV$5,卡牌消耗!BN248),"")</f>
        <v>金币</v>
      </c>
      <c r="BV248" s="14">
        <f>IF(BN248&gt;0,ROUND(INDEX(挂机升级突破!$EV$7:$EV$26,卡牌消耗!BS248)*INDEX(卡牌消耗!$B$8:$F$8,BP248)/$Q$4/500,0)*500,"")</f>
        <v>2500</v>
      </c>
      <c r="BW248" s="14" t="str">
        <f>IF(BO248&gt;0,INDEX(挂机升级突破!$ER$5:$EV$5,卡牌消耗!BO248),"")</f>
        <v>玄铁</v>
      </c>
      <c r="BX248" s="14">
        <f>IF(BO248&gt;0,ROUND(INDEX(挂机升级突破!$ER$7:$EU$26,卡牌消耗!BS248,卡牌消耗!BO248)*INDEX($B$6:$F$6,BP248)/$Q$4,0),"")</f>
        <v>13</v>
      </c>
      <c r="BY248" s="193"/>
      <c r="BZ248" s="193"/>
      <c r="CA248" s="106"/>
      <c r="CS248" s="171"/>
      <c r="CT248" s="171"/>
      <c r="CU248" s="171"/>
      <c r="DI248" s="186">
        <v>244</v>
      </c>
      <c r="DJ248" s="14">
        <f t="shared" si="321"/>
        <v>49</v>
      </c>
      <c r="DK248" s="14">
        <f t="shared" si="306"/>
        <v>2</v>
      </c>
      <c r="DL248" s="14">
        <f t="shared" si="307"/>
        <v>1102050</v>
      </c>
      <c r="DM248" s="136" t="s">
        <v>1097</v>
      </c>
      <c r="DN248" s="14">
        <f t="shared" si="308"/>
        <v>4</v>
      </c>
      <c r="DO248" s="14" t="str">
        <f t="shared" si="309"/>
        <v>柠檬精-4星</v>
      </c>
      <c r="DP248" s="136" t="s">
        <v>1103</v>
      </c>
      <c r="DQ248" s="14">
        <f t="shared" si="322"/>
        <v>16000</v>
      </c>
      <c r="DR248" s="14" t="str">
        <f t="shared" si="310"/>
        <v>柠檬精碎片</v>
      </c>
      <c r="DS248" s="14">
        <f t="shared" si="323"/>
        <v>20</v>
      </c>
    </row>
    <row r="249" spans="8:123" ht="16.5" x14ac:dyDescent="0.2">
      <c r="H249" s="15"/>
      <c r="I249" s="15"/>
      <c r="J249" s="15"/>
      <c r="K249" s="15"/>
      <c r="L249" s="15"/>
      <c r="M249" s="15"/>
      <c r="N249" s="15"/>
      <c r="O249" s="137"/>
      <c r="P249" s="141"/>
      <c r="Q249" s="141"/>
      <c r="R249" s="141"/>
      <c r="S249" s="141"/>
      <c r="T249" s="141"/>
      <c r="U249" s="141"/>
      <c r="V249" s="141"/>
      <c r="W249" s="141"/>
      <c r="X249" s="141"/>
      <c r="Y249" s="141"/>
      <c r="Z249" s="141"/>
      <c r="AA249" s="194"/>
      <c r="AB249" s="194"/>
      <c r="AC249" s="194"/>
      <c r="AD249" s="194"/>
      <c r="AE249" s="194"/>
      <c r="AF249" s="194"/>
      <c r="AG249" s="197"/>
      <c r="AH249" s="194"/>
      <c r="AI249" s="194"/>
      <c r="AJ249" s="194"/>
      <c r="AK249" s="104">
        <v>245</v>
      </c>
      <c r="AL249" s="14">
        <f t="shared" si="311"/>
        <v>5</v>
      </c>
      <c r="AM249" s="14">
        <f>INDEX(挂机升级突破!DQ$6:DQ$57,卡牌消耗!$AT249)</f>
        <v>11</v>
      </c>
      <c r="AN249" s="14">
        <f>INDEX(挂机升级突破!DR$6:DR$57,卡牌消耗!$AT249)</f>
        <v>4</v>
      </c>
      <c r="AO249" s="14">
        <f>INDEX(挂机升级突破!DS$6:DS$57,卡牌消耗!$AT249)</f>
        <v>0</v>
      </c>
      <c r="AP249" s="14">
        <f>INDEX(挂机升级突破!$DP$6:$DP$57,卡牌消耗!AT249)</f>
        <v>110</v>
      </c>
      <c r="AQ249" s="14" t="str">
        <f t="shared" si="312"/>
        <v>李轩辕</v>
      </c>
      <c r="AR249" s="14">
        <f t="shared" si="313"/>
        <v>3</v>
      </c>
      <c r="AS249" s="14" t="str">
        <f t="shared" si="314"/>
        <v>李轩辕魂火-37</v>
      </c>
      <c r="AT249" s="14">
        <f t="shared" si="315"/>
        <v>37</v>
      </c>
      <c r="AU249" s="14" t="str">
        <f>IF(AM249&gt;0,INDEX(挂机升级突破!$DT$4:$ED$4,AM249),"")</f>
        <v>金币</v>
      </c>
      <c r="AV249" s="14">
        <f>ROUND(INDEX(挂机升级突破!$DJ$6:$DJ$57,卡牌消耗!AT249)*INDEX(卡牌消耗!$B$8:$F$8,AR249)/$Q$4/50,0)*50</f>
        <v>16650</v>
      </c>
      <c r="AW249" s="14" t="str">
        <f>IF(AN249&gt;0,INDEX(挂机升级突破!$DT$4:$ED$4,AN249),"")</f>
        <v>橙色基础材料</v>
      </c>
      <c r="AX249" s="14">
        <f>ROUND(INDEX(挂机升级突破!$DT$6:$ED$57,卡牌消耗!AT249,AN249)*INDEX(卡牌消耗!$B$5:$F$5,AR249)/$Q$4/5,0)*5</f>
        <v>30</v>
      </c>
      <c r="AY249" s="14" t="str">
        <f>IF(AO249&gt;0,INDEX(挂机升级突破!$DT$4:$ED$4,AO249),"")</f>
        <v/>
      </c>
      <c r="AZ249" s="14" t="str">
        <f>IF(AO249&gt;0,ROUND(INDEX(挂机升级突破!$DT$6:$ED$57,卡牌消耗!AT249,AO249)*INDEX(卡牌消耗!$B$7:$F$7,AR249)/$Q$4,0),"")</f>
        <v/>
      </c>
      <c r="BA249" s="106"/>
      <c r="BB249" s="197"/>
      <c r="BC249" s="197"/>
      <c r="BD249" s="197"/>
      <c r="BE249" s="197"/>
      <c r="BF249" s="197"/>
      <c r="BG249" s="197"/>
      <c r="BH249" s="197"/>
      <c r="BI249" s="197"/>
      <c r="BJ249" s="197"/>
      <c r="BK249" s="197"/>
      <c r="BL249" s="104">
        <v>245</v>
      </c>
      <c r="BM249" s="14">
        <f t="shared" si="316"/>
        <v>13</v>
      </c>
      <c r="BN249" s="14">
        <f>INDEX(挂机升级突破!$EI$7:$EI$26,BS249)</f>
        <v>5</v>
      </c>
      <c r="BO249" s="14">
        <f>INDEX(挂机升级突破!$EJ$7:$EJ$26,BS249)</f>
        <v>1</v>
      </c>
      <c r="BP249" s="14">
        <f t="shared" si="317"/>
        <v>2</v>
      </c>
      <c r="BQ249" s="14">
        <f>INDEX(挂机升级突破!$EH$7:$EH$26,卡牌消耗!BS249)</f>
        <v>35</v>
      </c>
      <c r="BR249" s="14" t="str">
        <f t="shared" si="318"/>
        <v>塞伯罗斯</v>
      </c>
      <c r="BS249" s="14">
        <f t="shared" si="319"/>
        <v>5</v>
      </c>
      <c r="BT249" s="14" t="str">
        <f t="shared" si="320"/>
        <v>塞伯罗斯5突</v>
      </c>
      <c r="BU249" s="14" t="str">
        <f>IF(BN249&gt;0,INDEX(挂机升级突破!$ER$5:$EV$5,卡牌消耗!BN249),"")</f>
        <v>金币</v>
      </c>
      <c r="BV249" s="14">
        <f>IF(BN249&gt;0,ROUND(INDEX(挂机升级突破!$EV$7:$EV$26,卡牌消耗!BS249)*INDEX(卡牌消耗!$B$8:$F$8,BP249)/$Q$4/500,0)*500,"")</f>
        <v>2500</v>
      </c>
      <c r="BW249" s="14" t="str">
        <f>IF(BO249&gt;0,INDEX(挂机升级突破!$ER$5:$EV$5,卡牌消耗!BO249),"")</f>
        <v>玄铁</v>
      </c>
      <c r="BX249" s="14">
        <f>IF(BO249&gt;0,ROUND(INDEX(挂机升级突破!$ER$7:$EU$26,卡牌消耗!BS249,卡牌消耗!BO249)*INDEX($B$6:$F$6,BP249)/$Q$4/5,0)*5,"")</f>
        <v>25</v>
      </c>
      <c r="BY249" s="193"/>
      <c r="BZ249" s="193"/>
      <c r="CA249" s="106"/>
      <c r="CS249" s="171"/>
      <c r="CT249" s="171"/>
      <c r="CU249" s="171"/>
      <c r="DI249" s="186">
        <v>245</v>
      </c>
      <c r="DJ249" s="14">
        <f t="shared" si="321"/>
        <v>49</v>
      </c>
      <c r="DK249" s="14">
        <f t="shared" si="306"/>
        <v>2</v>
      </c>
      <c r="DL249" s="14">
        <f t="shared" si="307"/>
        <v>1102050</v>
      </c>
      <c r="DM249" s="136" t="s">
        <v>1097</v>
      </c>
      <c r="DN249" s="14">
        <f t="shared" si="308"/>
        <v>5</v>
      </c>
      <c r="DO249" s="14" t="str">
        <f t="shared" si="309"/>
        <v>柠檬精-5星</v>
      </c>
      <c r="DP249" s="136" t="s">
        <v>1103</v>
      </c>
      <c r="DQ249" s="14">
        <f t="shared" si="322"/>
        <v>30000</v>
      </c>
      <c r="DR249" s="14" t="str">
        <f t="shared" si="310"/>
        <v>柠檬精碎片</v>
      </c>
      <c r="DS249" s="14">
        <f t="shared" si="323"/>
        <v>20</v>
      </c>
    </row>
    <row r="250" spans="8:123" ht="16.5" x14ac:dyDescent="0.2">
      <c r="H250" s="15"/>
      <c r="I250" s="15"/>
      <c r="J250" s="15"/>
      <c r="K250" s="15"/>
      <c r="L250" s="15"/>
      <c r="M250" s="15"/>
      <c r="N250" s="15"/>
      <c r="O250" s="137"/>
      <c r="P250" s="141"/>
      <c r="Q250" s="141"/>
      <c r="R250" s="141"/>
      <c r="S250" s="141"/>
      <c r="T250" s="141"/>
      <c r="U250" s="141"/>
      <c r="V250" s="141"/>
      <c r="W250" s="141"/>
      <c r="X250" s="141"/>
      <c r="Y250" s="141"/>
      <c r="Z250" s="141"/>
      <c r="AA250" s="194"/>
      <c r="AB250" s="194"/>
      <c r="AC250" s="194"/>
      <c r="AD250" s="194"/>
      <c r="AE250" s="194"/>
      <c r="AF250" s="194"/>
      <c r="AG250" s="197"/>
      <c r="AH250" s="194"/>
      <c r="AI250" s="194"/>
      <c r="AJ250" s="194"/>
      <c r="AK250" s="104">
        <v>246</v>
      </c>
      <c r="AL250" s="14">
        <f t="shared" si="311"/>
        <v>5</v>
      </c>
      <c r="AM250" s="14">
        <f>INDEX(挂机升级突破!DQ$6:DQ$57,卡牌消耗!$AT250)</f>
        <v>11</v>
      </c>
      <c r="AN250" s="14">
        <f>INDEX(挂机升级突破!DR$6:DR$57,卡牌消耗!$AT250)</f>
        <v>5</v>
      </c>
      <c r="AO250" s="14">
        <f>INDEX(挂机升级突破!DS$6:DS$57,卡牌消耗!$AT250)</f>
        <v>0</v>
      </c>
      <c r="AP250" s="14">
        <f>INDEX(挂机升级突破!$DP$6:$DP$57,卡牌消耗!AT250)</f>
        <v>113</v>
      </c>
      <c r="AQ250" s="14" t="str">
        <f t="shared" si="312"/>
        <v>李轩辕</v>
      </c>
      <c r="AR250" s="14">
        <f t="shared" si="313"/>
        <v>3</v>
      </c>
      <c r="AS250" s="14" t="str">
        <f t="shared" si="314"/>
        <v>李轩辕魂火-38</v>
      </c>
      <c r="AT250" s="14">
        <f t="shared" si="315"/>
        <v>38</v>
      </c>
      <c r="AU250" s="14" t="str">
        <f>IF(AM250&gt;0,INDEX(挂机升级突破!$DT$4:$ED$4,AM250),"")</f>
        <v>金币</v>
      </c>
      <c r="AV250" s="14">
        <f>ROUND(INDEX(挂机升级突破!$DJ$6:$DJ$57,卡牌消耗!AT250)*INDEX(卡牌消耗!$B$8:$F$8,AR250)/$Q$4/50,0)*50</f>
        <v>21500</v>
      </c>
      <c r="AW250" s="14" t="str">
        <f>IF(AN250&gt;0,INDEX(挂机升级突破!$DT$4:$ED$4,AN250),"")</f>
        <v>红色基础材料</v>
      </c>
      <c r="AX250" s="14">
        <f>ROUND(INDEX(挂机升级突破!$DT$6:$ED$57,卡牌消耗!AT250,AN250)*INDEX(卡牌消耗!$B$5:$F$5,AR250)/$Q$4/5,0)*5</f>
        <v>10</v>
      </c>
      <c r="AY250" s="14" t="str">
        <f>IF(AO250&gt;0,INDEX(挂机升级突破!$DT$4:$ED$4,AO250),"")</f>
        <v/>
      </c>
      <c r="AZ250" s="14" t="str">
        <f>IF(AO250&gt;0,ROUND(INDEX(挂机升级突破!$DT$6:$ED$57,卡牌消耗!AT250,AO250)*INDEX(卡牌消耗!$B$7:$F$7,AR250)/$Q$4,0),"")</f>
        <v/>
      </c>
      <c r="BA250" s="106"/>
      <c r="BB250" s="197"/>
      <c r="BC250" s="197"/>
      <c r="BD250" s="197"/>
      <c r="BE250" s="197"/>
      <c r="BF250" s="197"/>
      <c r="BG250" s="197"/>
      <c r="BH250" s="197"/>
      <c r="BI250" s="197"/>
      <c r="BJ250" s="197"/>
      <c r="BK250" s="197"/>
      <c r="BL250" s="104">
        <v>246</v>
      </c>
      <c r="BM250" s="14">
        <f t="shared" si="316"/>
        <v>13</v>
      </c>
      <c r="BN250" s="14">
        <f>INDEX(挂机升级突破!$EI$7:$EI$26,BS250)</f>
        <v>5</v>
      </c>
      <c r="BO250" s="14">
        <f>INDEX(挂机升级突破!$EJ$7:$EJ$26,BS250)</f>
        <v>1</v>
      </c>
      <c r="BP250" s="14">
        <f t="shared" si="317"/>
        <v>2</v>
      </c>
      <c r="BQ250" s="14">
        <f>INDEX(挂机升级突破!$EH$7:$EH$26,卡牌消耗!BS250)</f>
        <v>42</v>
      </c>
      <c r="BR250" s="14" t="str">
        <f t="shared" si="318"/>
        <v>塞伯罗斯</v>
      </c>
      <c r="BS250" s="14">
        <f t="shared" si="319"/>
        <v>6</v>
      </c>
      <c r="BT250" s="14" t="str">
        <f t="shared" si="320"/>
        <v>塞伯罗斯6突</v>
      </c>
      <c r="BU250" s="14" t="str">
        <f>IF(BN250&gt;0,INDEX(挂机升级突破!$ER$5:$EV$5,卡牌消耗!BN250),"")</f>
        <v>金币</v>
      </c>
      <c r="BV250" s="14">
        <f>IF(BN250&gt;0,ROUND(INDEX(挂机升级突破!$EV$7:$EV$26,卡牌消耗!BS250)*INDEX(卡牌消耗!$B$8:$F$8,BP250)/$Q$4/500,0)*500,"")</f>
        <v>3500</v>
      </c>
      <c r="BW250" s="14" t="str">
        <f>IF(BO250&gt;0,INDEX(挂机升级突破!$ER$5:$EV$5,卡牌消耗!BO250),"")</f>
        <v>玄铁</v>
      </c>
      <c r="BX250" s="14">
        <f>IF(BO250&gt;0,ROUND(INDEX(挂机升级突破!$ER$7:$EU$26,卡牌消耗!BS250,卡牌消耗!BO250)*INDEX($B$6:$F$6,BP250)/$Q$4/5,0)*5,"")</f>
        <v>40</v>
      </c>
      <c r="BY250" s="193"/>
      <c r="BZ250" s="193"/>
      <c r="CA250" s="106"/>
      <c r="CS250" s="171"/>
      <c r="CT250" s="171"/>
      <c r="CU250" s="171"/>
      <c r="DI250" s="186">
        <v>246</v>
      </c>
      <c r="DJ250" s="14">
        <f t="shared" si="321"/>
        <v>50</v>
      </c>
      <c r="DK250" s="14">
        <f t="shared" si="306"/>
        <v>2</v>
      </c>
      <c r="DL250" s="14">
        <f t="shared" si="307"/>
        <v>1102023</v>
      </c>
      <c r="DM250" s="136" t="s">
        <v>1097</v>
      </c>
      <c r="DN250" s="14">
        <f t="shared" si="308"/>
        <v>1</v>
      </c>
      <c r="DO250" s="14" t="str">
        <f t="shared" si="309"/>
        <v>异邦刀客-1星</v>
      </c>
      <c r="DP250" s="136" t="s">
        <v>1103</v>
      </c>
      <c r="DQ250" s="14">
        <f t="shared" si="322"/>
        <v>3000</v>
      </c>
      <c r="DR250" s="14" t="str">
        <f t="shared" si="310"/>
        <v>异邦刀客碎片</v>
      </c>
      <c r="DS250" s="14">
        <f t="shared" si="323"/>
        <v>20</v>
      </c>
    </row>
    <row r="251" spans="8:123" ht="16.5" x14ac:dyDescent="0.2">
      <c r="H251" s="15"/>
      <c r="I251" s="15"/>
      <c r="J251" s="15"/>
      <c r="K251" s="15"/>
      <c r="L251" s="15"/>
      <c r="M251" s="15"/>
      <c r="N251" s="15"/>
      <c r="O251" s="137"/>
      <c r="P251" s="141"/>
      <c r="Q251" s="141"/>
      <c r="R251" s="141"/>
      <c r="S251" s="141"/>
      <c r="T251" s="141"/>
      <c r="U251" s="141"/>
      <c r="V251" s="141"/>
      <c r="W251" s="141"/>
      <c r="X251" s="141"/>
      <c r="Y251" s="141"/>
      <c r="Z251" s="141"/>
      <c r="AA251" s="194"/>
      <c r="AB251" s="194"/>
      <c r="AC251" s="194"/>
      <c r="AD251" s="194"/>
      <c r="AE251" s="194"/>
      <c r="AF251" s="194"/>
      <c r="AG251" s="197"/>
      <c r="AH251" s="194"/>
      <c r="AI251" s="194"/>
      <c r="AJ251" s="194"/>
      <c r="AK251" s="104">
        <v>247</v>
      </c>
      <c r="AL251" s="14">
        <f t="shared" si="311"/>
        <v>5</v>
      </c>
      <c r="AM251" s="14">
        <f>INDEX(挂机升级突破!DQ$6:DQ$57,卡牌消耗!$AT251)</f>
        <v>11</v>
      </c>
      <c r="AN251" s="14">
        <f>INDEX(挂机升级突破!DR$6:DR$57,卡牌消耗!$AT251)</f>
        <v>5</v>
      </c>
      <c r="AO251" s="14">
        <f>INDEX(挂机升级突破!DS$6:DS$57,卡牌消耗!$AT251)</f>
        <v>0</v>
      </c>
      <c r="AP251" s="14">
        <f>INDEX(挂机升级突破!$DP$6:$DP$57,卡牌消耗!AT251)</f>
        <v>115</v>
      </c>
      <c r="AQ251" s="14" t="str">
        <f t="shared" si="312"/>
        <v>李轩辕</v>
      </c>
      <c r="AR251" s="14">
        <f t="shared" si="313"/>
        <v>3</v>
      </c>
      <c r="AS251" s="14" t="str">
        <f t="shared" si="314"/>
        <v>李轩辕魂火-39</v>
      </c>
      <c r="AT251" s="14">
        <f t="shared" si="315"/>
        <v>39</v>
      </c>
      <c r="AU251" s="14" t="str">
        <f>IF(AM251&gt;0,INDEX(挂机升级突破!$DT$4:$ED$4,AM251),"")</f>
        <v>金币</v>
      </c>
      <c r="AV251" s="14">
        <f>ROUND(INDEX(挂机升级突破!$DJ$6:$DJ$57,卡牌消耗!AT251)*INDEX(卡牌消耗!$B$8:$F$8,AR251)/$Q$4/50,0)*50</f>
        <v>21500</v>
      </c>
      <c r="AW251" s="14" t="str">
        <f>IF(AN251&gt;0,INDEX(挂机升级突破!$DT$4:$ED$4,AN251),"")</f>
        <v>红色基础材料</v>
      </c>
      <c r="AX251" s="14">
        <f>ROUND(INDEX(挂机升级突破!$DT$6:$ED$57,卡牌消耗!AT251,AN251)*INDEX(卡牌消耗!$B$5:$F$5,AR251)/$Q$4/5,0)*5</f>
        <v>10</v>
      </c>
      <c r="AY251" s="14" t="str">
        <f>IF(AO251&gt;0,INDEX(挂机升级突破!$DT$4:$ED$4,AO251),"")</f>
        <v/>
      </c>
      <c r="AZ251" s="14" t="str">
        <f>IF(AO251&gt;0,ROUND(INDEX(挂机升级突破!$DT$6:$ED$57,卡牌消耗!AT251,AO251)*INDEX(卡牌消耗!$B$7:$F$7,AR251)/$Q$4,0),"")</f>
        <v/>
      </c>
      <c r="BA251" s="106"/>
      <c r="BB251" s="197"/>
      <c r="BC251" s="197"/>
      <c r="BD251" s="197"/>
      <c r="BE251" s="197"/>
      <c r="BF251" s="197"/>
      <c r="BG251" s="197"/>
      <c r="BH251" s="197"/>
      <c r="BI251" s="197"/>
      <c r="BJ251" s="197"/>
      <c r="BK251" s="197"/>
      <c r="BL251" s="104">
        <v>247</v>
      </c>
      <c r="BM251" s="14">
        <f t="shared" si="316"/>
        <v>13</v>
      </c>
      <c r="BN251" s="14">
        <f>INDEX(挂机升级突破!$EI$7:$EI$26,BS251)</f>
        <v>5</v>
      </c>
      <c r="BO251" s="14">
        <f>INDEX(挂机升级突破!$EJ$7:$EJ$26,BS251)</f>
        <v>1</v>
      </c>
      <c r="BP251" s="14">
        <f t="shared" si="317"/>
        <v>2</v>
      </c>
      <c r="BQ251" s="14">
        <f>INDEX(挂机升级突破!$EH$7:$EH$26,卡牌消耗!BS251)</f>
        <v>47</v>
      </c>
      <c r="BR251" s="14" t="str">
        <f t="shared" si="318"/>
        <v>塞伯罗斯</v>
      </c>
      <c r="BS251" s="14">
        <f t="shared" si="319"/>
        <v>7</v>
      </c>
      <c r="BT251" s="14" t="str">
        <f t="shared" si="320"/>
        <v>塞伯罗斯7突</v>
      </c>
      <c r="BU251" s="14" t="str">
        <f>IF(BN251&gt;0,INDEX(挂机升级突破!$ER$5:$EV$5,卡牌消耗!BN251),"")</f>
        <v>金币</v>
      </c>
      <c r="BV251" s="14">
        <f>IF(BN251&gt;0,ROUND(INDEX(挂机升级突破!$EV$7:$EV$26,卡牌消耗!BS251)*INDEX(卡牌消耗!$B$8:$F$8,BP251)/$Q$4/500,0)*500,"")</f>
        <v>5500</v>
      </c>
      <c r="BW251" s="14" t="str">
        <f>IF(BO251&gt;0,INDEX(挂机升级突破!$ER$5:$EV$5,卡牌消耗!BO251),"")</f>
        <v>玄铁</v>
      </c>
      <c r="BX251" s="14">
        <f>IF(BO251&gt;0,ROUND(INDEX(挂机升级突破!$ER$7:$EU$26,卡牌消耗!BS251,卡牌消耗!BO251)*INDEX($B$6:$F$6,BP251)/$Q$4/5,0)*5,"")</f>
        <v>65</v>
      </c>
      <c r="BY251" s="193"/>
      <c r="BZ251" s="193"/>
      <c r="CA251" s="106"/>
      <c r="CS251" s="171"/>
      <c r="CT251" s="171"/>
      <c r="CU251" s="171"/>
      <c r="DI251" s="186">
        <v>247</v>
      </c>
      <c r="DJ251" s="14">
        <f t="shared" si="321"/>
        <v>50</v>
      </c>
      <c r="DK251" s="14">
        <f t="shared" si="306"/>
        <v>2</v>
      </c>
      <c r="DL251" s="14">
        <f t="shared" si="307"/>
        <v>1102023</v>
      </c>
      <c r="DM251" s="136" t="s">
        <v>1097</v>
      </c>
      <c r="DN251" s="14">
        <f t="shared" si="308"/>
        <v>2</v>
      </c>
      <c r="DO251" s="14" t="str">
        <f t="shared" si="309"/>
        <v>异邦刀客-2星</v>
      </c>
      <c r="DP251" s="136" t="s">
        <v>1103</v>
      </c>
      <c r="DQ251" s="14">
        <f t="shared" si="322"/>
        <v>3500</v>
      </c>
      <c r="DR251" s="14" t="str">
        <f t="shared" si="310"/>
        <v>异邦刀客碎片</v>
      </c>
      <c r="DS251" s="14">
        <f t="shared" si="323"/>
        <v>20</v>
      </c>
    </row>
    <row r="252" spans="8:123" ht="16.5" x14ac:dyDescent="0.2">
      <c r="H252" s="15"/>
      <c r="I252" s="15"/>
      <c r="J252" s="15"/>
      <c r="K252" s="15"/>
      <c r="L252" s="15"/>
      <c r="M252" s="15"/>
      <c r="N252" s="15"/>
      <c r="O252" s="137"/>
      <c r="P252" s="141"/>
      <c r="Q252" s="141"/>
      <c r="R252" s="141"/>
      <c r="S252" s="141"/>
      <c r="T252" s="141"/>
      <c r="U252" s="141"/>
      <c r="V252" s="141"/>
      <c r="W252" s="141"/>
      <c r="X252" s="141"/>
      <c r="Y252" s="141"/>
      <c r="Z252" s="141"/>
      <c r="AA252" s="194"/>
      <c r="AB252" s="194"/>
      <c r="AC252" s="194"/>
      <c r="AD252" s="194"/>
      <c r="AE252" s="194"/>
      <c r="AF252" s="194"/>
      <c r="AG252" s="197"/>
      <c r="AH252" s="194"/>
      <c r="AI252" s="194"/>
      <c r="AJ252" s="194"/>
      <c r="AK252" s="104">
        <v>248</v>
      </c>
      <c r="AL252" s="14">
        <f t="shared" si="311"/>
        <v>5</v>
      </c>
      <c r="AM252" s="14">
        <f>INDEX(挂机升级突破!DQ$6:DQ$57,卡牌消耗!$AT252)</f>
        <v>11</v>
      </c>
      <c r="AN252" s="14">
        <f>INDEX(挂机升级突破!DR$6:DR$57,卡牌消耗!$AT252)</f>
        <v>5</v>
      </c>
      <c r="AO252" s="14">
        <f>INDEX(挂机升级突破!DS$6:DS$57,卡牌消耗!$AT252)</f>
        <v>0</v>
      </c>
      <c r="AP252" s="14">
        <f>INDEX(挂机升级突破!$DP$6:$DP$57,卡牌消耗!AT252)</f>
        <v>118</v>
      </c>
      <c r="AQ252" s="14" t="str">
        <f t="shared" si="312"/>
        <v>李轩辕</v>
      </c>
      <c r="AR252" s="14">
        <f t="shared" si="313"/>
        <v>3</v>
      </c>
      <c r="AS252" s="14" t="str">
        <f t="shared" si="314"/>
        <v>李轩辕魂火-40</v>
      </c>
      <c r="AT252" s="14">
        <f t="shared" si="315"/>
        <v>40</v>
      </c>
      <c r="AU252" s="14" t="str">
        <f>IF(AM252&gt;0,INDEX(挂机升级突破!$DT$4:$ED$4,AM252),"")</f>
        <v>金币</v>
      </c>
      <c r="AV252" s="14">
        <f>ROUND(INDEX(挂机升级突破!$DJ$6:$DJ$57,卡牌消耗!AT252)*INDEX(卡牌消耗!$B$8:$F$8,AR252)/$Q$4/50,0)*50</f>
        <v>21500</v>
      </c>
      <c r="AW252" s="14" t="str">
        <f>IF(AN252&gt;0,INDEX(挂机升级突破!$DT$4:$ED$4,AN252),"")</f>
        <v>红色基础材料</v>
      </c>
      <c r="AX252" s="14">
        <f>ROUND(INDEX(挂机升级突破!$DT$6:$ED$57,卡牌消耗!AT252,AN252)*INDEX(卡牌消耗!$B$5:$F$5,AR252)/$Q$4/5,0)*5</f>
        <v>10</v>
      </c>
      <c r="AY252" s="14" t="str">
        <f>IF(AO252&gt;0,INDEX(挂机升级突破!$DT$4:$ED$4,AO252),"")</f>
        <v/>
      </c>
      <c r="AZ252" s="14" t="str">
        <f>IF(AO252&gt;0,ROUND(INDEX(挂机升级突破!$DT$6:$ED$57,卡牌消耗!AT252,AO252)*INDEX(卡牌消耗!$B$7:$F$7,AR252)/$Q$4,0),"")</f>
        <v/>
      </c>
      <c r="BA252" s="106"/>
      <c r="BB252" s="197"/>
      <c r="BC252" s="197"/>
      <c r="BD252" s="197"/>
      <c r="BE252" s="197"/>
      <c r="BF252" s="197"/>
      <c r="BG252" s="197"/>
      <c r="BH252" s="197"/>
      <c r="BI252" s="197"/>
      <c r="BJ252" s="197"/>
      <c r="BK252" s="197"/>
      <c r="BL252" s="104">
        <v>248</v>
      </c>
      <c r="BM252" s="14">
        <f t="shared" si="316"/>
        <v>13</v>
      </c>
      <c r="BN252" s="14">
        <f>INDEX(挂机升级突破!$EI$7:$EI$26,BS252)</f>
        <v>5</v>
      </c>
      <c r="BO252" s="14">
        <f>INDEX(挂机升级突破!$EJ$7:$EJ$26,BS252)</f>
        <v>1</v>
      </c>
      <c r="BP252" s="14">
        <f t="shared" si="317"/>
        <v>2</v>
      </c>
      <c r="BQ252" s="14">
        <f>INDEX(挂机升级突破!$EH$7:$EH$26,卡牌消耗!BS252)</f>
        <v>52</v>
      </c>
      <c r="BR252" s="14" t="str">
        <f t="shared" si="318"/>
        <v>塞伯罗斯</v>
      </c>
      <c r="BS252" s="14">
        <f t="shared" si="319"/>
        <v>8</v>
      </c>
      <c r="BT252" s="14" t="str">
        <f t="shared" si="320"/>
        <v>塞伯罗斯8突</v>
      </c>
      <c r="BU252" s="14" t="str">
        <f>IF(BN252&gt;0,INDEX(挂机升级突破!$ER$5:$EV$5,卡牌消耗!BN252),"")</f>
        <v>金币</v>
      </c>
      <c r="BV252" s="14">
        <f>IF(BN252&gt;0,ROUND(INDEX(挂机升级突破!$EV$7:$EV$26,卡牌消耗!BS252)*INDEX(卡牌消耗!$B$8:$F$8,BP252)/$Q$4/500,0)*500,"")</f>
        <v>5500</v>
      </c>
      <c r="BW252" s="14" t="str">
        <f>IF(BO252&gt;0,INDEX(挂机升级突破!$ER$5:$EV$5,卡牌消耗!BO252),"")</f>
        <v>玄铁</v>
      </c>
      <c r="BX252" s="14">
        <f>IF(BO252&gt;0,ROUND(INDEX(挂机升级突破!$ER$7:$EU$26,卡牌消耗!BS252,卡牌消耗!BO252)*INDEX($B$6:$F$6,BP252)/$Q$4/5,0)*5,"")</f>
        <v>120</v>
      </c>
      <c r="BY252" s="193"/>
      <c r="BZ252" s="193"/>
      <c r="CA252" s="106"/>
      <c r="CS252" s="171"/>
      <c r="CT252" s="171"/>
      <c r="CU252" s="171"/>
      <c r="DI252" s="186">
        <v>248</v>
      </c>
      <c r="DJ252" s="14">
        <f t="shared" si="321"/>
        <v>50</v>
      </c>
      <c r="DK252" s="14">
        <f t="shared" si="306"/>
        <v>2</v>
      </c>
      <c r="DL252" s="14">
        <f t="shared" si="307"/>
        <v>1102023</v>
      </c>
      <c r="DM252" s="136" t="s">
        <v>1097</v>
      </c>
      <c r="DN252" s="14">
        <f t="shared" si="308"/>
        <v>3</v>
      </c>
      <c r="DO252" s="14" t="str">
        <f t="shared" si="309"/>
        <v>异邦刀客-3星</v>
      </c>
      <c r="DP252" s="136" t="s">
        <v>1103</v>
      </c>
      <c r="DQ252" s="14">
        <f t="shared" si="322"/>
        <v>7000</v>
      </c>
      <c r="DR252" s="14" t="str">
        <f t="shared" si="310"/>
        <v>异邦刀客碎片</v>
      </c>
      <c r="DS252" s="14">
        <f t="shared" si="323"/>
        <v>20</v>
      </c>
    </row>
    <row r="253" spans="8:123" ht="16.5" x14ac:dyDescent="0.2">
      <c r="H253" s="15"/>
      <c r="I253" s="15"/>
      <c r="J253" s="15"/>
      <c r="K253" s="15"/>
      <c r="L253" s="15"/>
      <c r="M253" s="15"/>
      <c r="N253" s="15"/>
      <c r="O253" s="137"/>
      <c r="P253" s="141"/>
      <c r="Q253" s="141"/>
      <c r="R253" s="141"/>
      <c r="S253" s="141"/>
      <c r="T253" s="141"/>
      <c r="U253" s="141"/>
      <c r="V253" s="141"/>
      <c r="W253" s="141"/>
      <c r="X253" s="141"/>
      <c r="Y253" s="141"/>
      <c r="Z253" s="141"/>
      <c r="AA253" s="194"/>
      <c r="AB253" s="194"/>
      <c r="AC253" s="194"/>
      <c r="AD253" s="194"/>
      <c r="AE253" s="194"/>
      <c r="AF253" s="194"/>
      <c r="AG253" s="197"/>
      <c r="AH253" s="194"/>
      <c r="AI253" s="194"/>
      <c r="AJ253" s="194"/>
      <c r="AK253" s="104">
        <v>249</v>
      </c>
      <c r="AL253" s="14">
        <f t="shared" si="311"/>
        <v>5</v>
      </c>
      <c r="AM253" s="14">
        <f>INDEX(挂机升级突破!DQ$6:DQ$57,卡牌消耗!$AT253)</f>
        <v>11</v>
      </c>
      <c r="AN253" s="14">
        <f>INDEX(挂机升级突破!DR$6:DR$57,卡牌消耗!$AT253)</f>
        <v>5</v>
      </c>
      <c r="AO253" s="14">
        <f>INDEX(挂机升级突破!DS$6:DS$57,卡牌消耗!$AT253)</f>
        <v>10</v>
      </c>
      <c r="AP253" s="14">
        <f>INDEX(挂机升级突破!$DP$6:$DP$57,卡牌消耗!AT253)</f>
        <v>120</v>
      </c>
      <c r="AQ253" s="14" t="str">
        <f t="shared" si="312"/>
        <v>李轩辕</v>
      </c>
      <c r="AR253" s="14">
        <f t="shared" si="313"/>
        <v>3</v>
      </c>
      <c r="AS253" s="14" t="str">
        <f t="shared" si="314"/>
        <v>李轩辕魂火-41</v>
      </c>
      <c r="AT253" s="14">
        <f t="shared" si="315"/>
        <v>41</v>
      </c>
      <c r="AU253" s="14" t="str">
        <f>IF(AM253&gt;0,INDEX(挂机升级突破!$DT$4:$ED$4,AM253),"")</f>
        <v>金币</v>
      </c>
      <c r="AV253" s="14">
        <f>ROUND(INDEX(挂机升级突破!$DJ$6:$DJ$57,卡牌消耗!AT253)*INDEX(卡牌消耗!$B$8:$F$8,AR253)/$Q$4/50,0)*50</f>
        <v>29550</v>
      </c>
      <c r="AW253" s="14" t="str">
        <f>IF(AN253&gt;0,INDEX(挂机升级突破!$DT$4:$ED$4,AN253),"")</f>
        <v>红色基础材料</v>
      </c>
      <c r="AX253" s="14">
        <f>ROUND(INDEX(挂机升级突破!$DT$6:$ED$57,卡牌消耗!AT253,AN253)*INDEX(卡牌消耗!$B$5:$F$5,AR253)/$Q$4/5,0)*5</f>
        <v>10</v>
      </c>
      <c r="AY253" s="14" t="str">
        <f>IF(AO253&gt;0,INDEX(挂机升级突破!$DT$4:$ED$4,AO253),"")</f>
        <v>灵玉</v>
      </c>
      <c r="AZ253" s="14">
        <f>IF(AO253&gt;0,ROUND(INDEX(挂机升级突破!$DT$6:$ED$57,卡牌消耗!AT253,AO253)*INDEX(卡牌消耗!$B$7:$F$7,AR253)/$Q$4,0),"")</f>
        <v>2</v>
      </c>
      <c r="BA253" s="106"/>
      <c r="BB253" s="197"/>
      <c r="BC253" s="197"/>
      <c r="BD253" s="197"/>
      <c r="BE253" s="197"/>
      <c r="BF253" s="197"/>
      <c r="BG253" s="197"/>
      <c r="BH253" s="197"/>
      <c r="BI253" s="197"/>
      <c r="BJ253" s="197"/>
      <c r="BK253" s="197"/>
      <c r="BL253" s="104">
        <v>249</v>
      </c>
      <c r="BM253" s="14">
        <f t="shared" si="316"/>
        <v>13</v>
      </c>
      <c r="BN253" s="14">
        <f>INDEX(挂机升级突破!$EI$7:$EI$26,BS253)</f>
        <v>5</v>
      </c>
      <c r="BO253" s="14">
        <f>INDEX(挂机升级突破!$EJ$7:$EJ$26,BS253)</f>
        <v>2</v>
      </c>
      <c r="BP253" s="14">
        <f t="shared" si="317"/>
        <v>2</v>
      </c>
      <c r="BQ253" s="14">
        <f>INDEX(挂机升级突破!$EH$7:$EH$26,卡牌消耗!BS253)</f>
        <v>57</v>
      </c>
      <c r="BR253" s="14" t="str">
        <f t="shared" si="318"/>
        <v>塞伯罗斯</v>
      </c>
      <c r="BS253" s="14">
        <f t="shared" si="319"/>
        <v>9</v>
      </c>
      <c r="BT253" s="14" t="str">
        <f t="shared" si="320"/>
        <v>塞伯罗斯9突</v>
      </c>
      <c r="BU253" s="14" t="str">
        <f>IF(BN253&gt;0,INDEX(挂机升级突破!$ER$5:$EV$5,卡牌消耗!BN253),"")</f>
        <v>金币</v>
      </c>
      <c r="BV253" s="14">
        <f>IF(BN253&gt;0,ROUND(INDEX(挂机升级突破!$EV$7:$EV$26,卡牌消耗!BS253)*INDEX(卡牌消耗!$B$8:$F$8,BP253)/$Q$4/500,0)*500,"")</f>
        <v>7500</v>
      </c>
      <c r="BW253" s="14" t="str">
        <f>IF(BO253&gt;0,INDEX(挂机升级突破!$ER$5:$EV$5,卡牌消耗!BO253),"")</f>
        <v>乌金</v>
      </c>
      <c r="BX253" s="14">
        <f>IF(BO253&gt;0,ROUND(INDEX(挂机升级突破!$ER$7:$EU$26,卡牌消耗!BS253,卡牌消耗!BO253)*INDEX($B$6:$F$6,BP253)/$Q$4/5,0)*5,"")</f>
        <v>40</v>
      </c>
      <c r="BY253" s="193"/>
      <c r="BZ253" s="193"/>
      <c r="CA253" s="106"/>
      <c r="CS253" s="171"/>
      <c r="CT253" s="171"/>
      <c r="CU253" s="171"/>
      <c r="DI253" s="186">
        <v>249</v>
      </c>
      <c r="DJ253" s="14">
        <f t="shared" si="321"/>
        <v>50</v>
      </c>
      <c r="DK253" s="14">
        <f t="shared" si="306"/>
        <v>2</v>
      </c>
      <c r="DL253" s="14">
        <f t="shared" si="307"/>
        <v>1102023</v>
      </c>
      <c r="DM253" s="136" t="s">
        <v>1097</v>
      </c>
      <c r="DN253" s="14">
        <f t="shared" si="308"/>
        <v>4</v>
      </c>
      <c r="DO253" s="14" t="str">
        <f t="shared" si="309"/>
        <v>异邦刀客-4星</v>
      </c>
      <c r="DP253" s="136" t="s">
        <v>1103</v>
      </c>
      <c r="DQ253" s="14">
        <f t="shared" si="322"/>
        <v>16000</v>
      </c>
      <c r="DR253" s="14" t="str">
        <f t="shared" si="310"/>
        <v>异邦刀客碎片</v>
      </c>
      <c r="DS253" s="14">
        <f t="shared" si="323"/>
        <v>20</v>
      </c>
    </row>
    <row r="254" spans="8:123" ht="16.5" x14ac:dyDescent="0.2">
      <c r="H254" s="15"/>
      <c r="I254" s="15"/>
      <c r="J254" s="15"/>
      <c r="K254" s="15"/>
      <c r="L254" s="15"/>
      <c r="M254" s="15"/>
      <c r="N254" s="15"/>
      <c r="O254" s="137"/>
      <c r="P254" s="141"/>
      <c r="Q254" s="141"/>
      <c r="R254" s="141"/>
      <c r="S254" s="141"/>
      <c r="T254" s="141"/>
      <c r="U254" s="141"/>
      <c r="V254" s="141"/>
      <c r="W254" s="141"/>
      <c r="X254" s="141"/>
      <c r="Y254" s="141"/>
      <c r="Z254" s="141"/>
      <c r="AA254" s="194"/>
      <c r="AB254" s="194"/>
      <c r="AC254" s="194"/>
      <c r="AD254" s="194"/>
      <c r="AE254" s="194"/>
      <c r="AF254" s="194"/>
      <c r="AG254" s="197"/>
      <c r="AH254" s="194"/>
      <c r="AI254" s="194"/>
      <c r="AJ254" s="194"/>
      <c r="AK254" s="104">
        <v>250</v>
      </c>
      <c r="AL254" s="14">
        <f t="shared" si="311"/>
        <v>5</v>
      </c>
      <c r="AM254" s="14">
        <f>INDEX(挂机升级突破!DQ$6:DQ$57,卡牌消耗!$AT254)</f>
        <v>11</v>
      </c>
      <c r="AN254" s="14">
        <f>INDEX(挂机升级突破!DR$6:DR$57,卡牌消耗!$AT254)</f>
        <v>5</v>
      </c>
      <c r="AO254" s="14">
        <f>INDEX(挂机升级突破!DS$6:DS$57,卡牌消耗!$AT254)</f>
        <v>10</v>
      </c>
      <c r="AP254" s="14">
        <f>INDEX(挂机升级突破!$DP$6:$DP$57,卡牌消耗!AT254)</f>
        <v>123</v>
      </c>
      <c r="AQ254" s="14" t="str">
        <f t="shared" si="312"/>
        <v>李轩辕</v>
      </c>
      <c r="AR254" s="14">
        <f t="shared" si="313"/>
        <v>3</v>
      </c>
      <c r="AS254" s="14" t="str">
        <f t="shared" si="314"/>
        <v>李轩辕魂火-42</v>
      </c>
      <c r="AT254" s="14">
        <f t="shared" si="315"/>
        <v>42</v>
      </c>
      <c r="AU254" s="14" t="str">
        <f>IF(AM254&gt;0,INDEX(挂机升级突破!$DT$4:$ED$4,AM254),"")</f>
        <v>金币</v>
      </c>
      <c r="AV254" s="14">
        <f>ROUND(INDEX(挂机升级突破!$DJ$6:$DJ$57,卡牌消耗!AT254)*INDEX(卡牌消耗!$B$8:$F$8,AR254)/$Q$4/50,0)*50</f>
        <v>29550</v>
      </c>
      <c r="AW254" s="14" t="str">
        <f>IF(AN254&gt;0,INDEX(挂机升级突破!$DT$4:$ED$4,AN254),"")</f>
        <v>红色基础材料</v>
      </c>
      <c r="AX254" s="14">
        <f>ROUND(INDEX(挂机升级突破!$DT$6:$ED$57,卡牌消耗!AT254,AN254)*INDEX(卡牌消耗!$B$5:$F$5,AR254)/$Q$4/5,0)*5</f>
        <v>10</v>
      </c>
      <c r="AY254" s="14" t="str">
        <f>IF(AO254&gt;0,INDEX(挂机升级突破!$DT$4:$ED$4,AO254),"")</f>
        <v>灵玉</v>
      </c>
      <c r="AZ254" s="14">
        <f>IF(AO254&gt;0,ROUND(INDEX(挂机升级突破!$DT$6:$ED$57,卡牌消耗!AT254,AO254)*INDEX(卡牌消耗!$B$7:$F$7,AR254)/$Q$4,0),"")</f>
        <v>2</v>
      </c>
      <c r="BA254" s="106"/>
      <c r="BB254" s="197"/>
      <c r="BC254" s="197"/>
      <c r="BD254" s="197"/>
      <c r="BE254" s="197"/>
      <c r="BF254" s="197"/>
      <c r="BG254" s="197"/>
      <c r="BH254" s="197"/>
      <c r="BI254" s="197"/>
      <c r="BJ254" s="197"/>
      <c r="BK254" s="197"/>
      <c r="BL254" s="104">
        <v>250</v>
      </c>
      <c r="BM254" s="14">
        <f t="shared" si="316"/>
        <v>13</v>
      </c>
      <c r="BN254" s="14">
        <f>INDEX(挂机升级突破!$EI$7:$EI$26,BS254)</f>
        <v>5</v>
      </c>
      <c r="BO254" s="14">
        <f>INDEX(挂机升级突破!$EJ$7:$EJ$26,BS254)</f>
        <v>2</v>
      </c>
      <c r="BP254" s="14">
        <f t="shared" si="317"/>
        <v>2</v>
      </c>
      <c r="BQ254" s="14">
        <f>INDEX(挂机升级突破!$EH$7:$EH$26,卡牌消耗!BS254)</f>
        <v>65</v>
      </c>
      <c r="BR254" s="14" t="str">
        <f t="shared" si="318"/>
        <v>塞伯罗斯</v>
      </c>
      <c r="BS254" s="14">
        <f t="shared" si="319"/>
        <v>10</v>
      </c>
      <c r="BT254" s="14" t="str">
        <f t="shared" si="320"/>
        <v>塞伯罗斯10突</v>
      </c>
      <c r="BU254" s="14" t="str">
        <f>IF(BN254&gt;0,INDEX(挂机升级突破!$ER$5:$EV$5,卡牌消耗!BN254),"")</f>
        <v>金币</v>
      </c>
      <c r="BV254" s="14">
        <f>IF(BN254&gt;0,ROUND(INDEX(挂机升级突破!$EV$7:$EV$26,卡牌消耗!BS254)*INDEX(卡牌消耗!$B$8:$F$8,BP254)/$Q$4/500,0)*500,"")</f>
        <v>13000</v>
      </c>
      <c r="BW254" s="14" t="str">
        <f>IF(BO254&gt;0,INDEX(挂机升级突破!$ER$5:$EV$5,卡牌消耗!BO254),"")</f>
        <v>乌金</v>
      </c>
      <c r="BX254" s="14">
        <f>IF(BO254&gt;0,ROUND(INDEX(挂机升级突破!$ER$7:$EU$26,卡牌消耗!BS254,卡牌消耗!BO254)*INDEX($B$6:$F$6,BP254)/$Q$4/5,0)*5,"")</f>
        <v>55</v>
      </c>
      <c r="BY254" s="193"/>
      <c r="BZ254" s="193"/>
      <c r="CA254" s="106"/>
      <c r="CS254" s="171"/>
      <c r="CT254" s="171"/>
      <c r="CU254" s="171"/>
      <c r="DI254" s="186">
        <v>250</v>
      </c>
      <c r="DJ254" s="14">
        <f t="shared" si="321"/>
        <v>50</v>
      </c>
      <c r="DK254" s="14">
        <f t="shared" si="306"/>
        <v>2</v>
      </c>
      <c r="DL254" s="14">
        <f t="shared" si="307"/>
        <v>1102023</v>
      </c>
      <c r="DM254" s="136" t="s">
        <v>1097</v>
      </c>
      <c r="DN254" s="14">
        <f t="shared" si="308"/>
        <v>5</v>
      </c>
      <c r="DO254" s="14" t="str">
        <f t="shared" si="309"/>
        <v>异邦刀客-5星</v>
      </c>
      <c r="DP254" s="136" t="s">
        <v>1103</v>
      </c>
      <c r="DQ254" s="14">
        <f t="shared" si="322"/>
        <v>30000</v>
      </c>
      <c r="DR254" s="14" t="str">
        <f t="shared" si="310"/>
        <v>异邦刀客碎片</v>
      </c>
      <c r="DS254" s="14">
        <f t="shared" si="323"/>
        <v>20</v>
      </c>
    </row>
    <row r="255" spans="8:123" ht="16.5" x14ac:dyDescent="0.2">
      <c r="H255" s="15"/>
      <c r="I255" s="15"/>
      <c r="J255" s="15"/>
      <c r="K255" s="15"/>
      <c r="L255" s="15"/>
      <c r="M255" s="15"/>
      <c r="N255" s="15"/>
      <c r="O255" s="137"/>
      <c r="P255" s="141"/>
      <c r="Q255" s="141"/>
      <c r="R255" s="141"/>
      <c r="S255" s="141"/>
      <c r="T255" s="141"/>
      <c r="U255" s="141"/>
      <c r="V255" s="141"/>
      <c r="W255" s="141"/>
      <c r="X255" s="141"/>
      <c r="Y255" s="141"/>
      <c r="Z255" s="141"/>
      <c r="AA255" s="194"/>
      <c r="AB255" s="194"/>
      <c r="AC255" s="194"/>
      <c r="AD255" s="194"/>
      <c r="AE255" s="194"/>
      <c r="AF255" s="194"/>
      <c r="AG255" s="197"/>
      <c r="AH255" s="194"/>
      <c r="AI255" s="194"/>
      <c r="AJ255" s="194"/>
      <c r="AK255" s="104">
        <v>251</v>
      </c>
      <c r="AL255" s="14">
        <f t="shared" si="311"/>
        <v>5</v>
      </c>
      <c r="AM255" s="14">
        <f>INDEX(挂机升级突破!DQ$6:DQ$57,卡牌消耗!$AT255)</f>
        <v>11</v>
      </c>
      <c r="AN255" s="14">
        <f>INDEX(挂机升级突破!DR$6:DR$57,卡牌消耗!$AT255)</f>
        <v>5</v>
      </c>
      <c r="AO255" s="14">
        <f>INDEX(挂机升级突破!DS$6:DS$57,卡牌消耗!$AT255)</f>
        <v>10</v>
      </c>
      <c r="AP255" s="14">
        <f>INDEX(挂机升级突破!$DP$6:$DP$57,卡牌消耗!AT255)</f>
        <v>125</v>
      </c>
      <c r="AQ255" s="14" t="str">
        <f t="shared" si="312"/>
        <v>李轩辕</v>
      </c>
      <c r="AR255" s="14">
        <f t="shared" si="313"/>
        <v>3</v>
      </c>
      <c r="AS255" s="14" t="str">
        <f t="shared" si="314"/>
        <v>李轩辕魂火-43</v>
      </c>
      <c r="AT255" s="14">
        <f t="shared" si="315"/>
        <v>43</v>
      </c>
      <c r="AU255" s="14" t="str">
        <f>IF(AM255&gt;0,INDEX(挂机升级突破!$DT$4:$ED$4,AM255),"")</f>
        <v>金币</v>
      </c>
      <c r="AV255" s="14">
        <f>ROUND(INDEX(挂机升级突破!$DJ$6:$DJ$57,卡牌消耗!AT255)*INDEX(卡牌消耗!$B$8:$F$8,AR255)/$Q$4/50,0)*50</f>
        <v>29550</v>
      </c>
      <c r="AW255" s="14" t="str">
        <f>IF(AN255&gt;0,INDEX(挂机升级突破!$DT$4:$ED$4,AN255),"")</f>
        <v>红色基础材料</v>
      </c>
      <c r="AX255" s="14">
        <f>ROUND(INDEX(挂机升级突破!$DT$6:$ED$57,卡牌消耗!AT255,AN255)*INDEX(卡牌消耗!$B$5:$F$5,AR255)/$Q$4/5,0)*5</f>
        <v>10</v>
      </c>
      <c r="AY255" s="14" t="str">
        <f>IF(AO255&gt;0,INDEX(挂机升级突破!$DT$4:$ED$4,AO255),"")</f>
        <v>灵玉</v>
      </c>
      <c r="AZ255" s="14">
        <f>IF(AO255&gt;0,ROUND(INDEX(挂机升级突破!$DT$6:$ED$57,卡牌消耗!AT255,AO255)*INDEX(卡牌消耗!$B$7:$F$7,AR255)/$Q$4,0),"")</f>
        <v>2</v>
      </c>
      <c r="BA255" s="106"/>
      <c r="BB255" s="197"/>
      <c r="BC255" s="197"/>
      <c r="BD255" s="197"/>
      <c r="BE255" s="197"/>
      <c r="BF255" s="197"/>
      <c r="BG255" s="197"/>
      <c r="BH255" s="197"/>
      <c r="BI255" s="197"/>
      <c r="BJ255" s="197"/>
      <c r="BK255" s="197"/>
      <c r="BL255" s="104">
        <v>251</v>
      </c>
      <c r="BM255" s="14">
        <f t="shared" si="316"/>
        <v>13</v>
      </c>
      <c r="BN255" s="14">
        <f>INDEX(挂机升级突破!$EI$7:$EI$26,BS255)</f>
        <v>5</v>
      </c>
      <c r="BO255" s="14">
        <f>INDEX(挂机升级突破!$EJ$7:$EJ$26,BS255)</f>
        <v>2</v>
      </c>
      <c r="BP255" s="14">
        <f t="shared" si="317"/>
        <v>2</v>
      </c>
      <c r="BQ255" s="14">
        <f>INDEX(挂机升级突破!$EH$7:$EH$26,卡牌消耗!BS255)</f>
        <v>72</v>
      </c>
      <c r="BR255" s="14" t="str">
        <f t="shared" si="318"/>
        <v>塞伯罗斯</v>
      </c>
      <c r="BS255" s="14">
        <f t="shared" si="319"/>
        <v>11</v>
      </c>
      <c r="BT255" s="14" t="str">
        <f t="shared" si="320"/>
        <v>塞伯罗斯11突</v>
      </c>
      <c r="BU255" s="14" t="str">
        <f>IF(BN255&gt;0,INDEX(挂机升级突破!$ER$5:$EV$5,卡牌消耗!BN255),"")</f>
        <v>金币</v>
      </c>
      <c r="BV255" s="14">
        <f>IF(BN255&gt;0,ROUND(INDEX(挂机升级突破!$EV$7:$EV$26,卡牌消耗!BS255)*INDEX(卡牌消耗!$B$8:$F$8,BP255)/$Q$4/500,0)*500,"")</f>
        <v>13000</v>
      </c>
      <c r="BW255" s="14" t="str">
        <f>IF(BO255&gt;0,INDEX(挂机升级突破!$ER$5:$EV$5,卡牌消耗!BO255),"")</f>
        <v>乌金</v>
      </c>
      <c r="BX255" s="14">
        <f>IF(BO255&gt;0,ROUND(INDEX(挂机升级突破!$ER$7:$EU$26,卡牌消耗!BS255,卡牌消耗!BO255)*INDEX($B$6:$F$6,BP255)/$Q$4/5,0)*5,"")</f>
        <v>75</v>
      </c>
      <c r="BY255" s="193"/>
      <c r="BZ255" s="193"/>
      <c r="CA255" s="106"/>
      <c r="CS255" s="171"/>
      <c r="CT255" s="171"/>
      <c r="CU255" s="171"/>
      <c r="DI255" s="186">
        <v>251</v>
      </c>
      <c r="DJ255" s="14">
        <f t="shared" ref="DJ255:DJ259" si="324">INT((DI255-1)/5)+1</f>
        <v>51</v>
      </c>
      <c r="DK255" s="14">
        <f t="shared" si="306"/>
        <v>3</v>
      </c>
      <c r="DL255" s="14">
        <f t="shared" si="307"/>
        <v>1102024</v>
      </c>
      <c r="DM255" s="139" t="s">
        <v>1097</v>
      </c>
      <c r="DN255" s="14">
        <f t="shared" si="308"/>
        <v>1</v>
      </c>
      <c r="DO255" s="14" t="str">
        <f t="shared" si="309"/>
        <v>朱仙-1星</v>
      </c>
      <c r="DP255" s="139" t="s">
        <v>67</v>
      </c>
      <c r="DQ255" s="14">
        <f t="shared" ref="DQ255:DQ259" si="325">INDEX($K$21:$N$25,DN255,DK255-1)</f>
        <v>4000</v>
      </c>
      <c r="DR255" s="14" t="str">
        <f t="shared" si="310"/>
        <v>朱仙碎片</v>
      </c>
      <c r="DS255" s="14">
        <f t="shared" ref="DS255:DS259" si="326">INDEX($J$5:$M$9,DN255,DK255-1)</f>
        <v>40</v>
      </c>
    </row>
    <row r="256" spans="8:123" ht="16.5" x14ac:dyDescent="0.2">
      <c r="H256" s="15"/>
      <c r="I256" s="15"/>
      <c r="J256" s="15"/>
      <c r="K256" s="15"/>
      <c r="L256" s="15"/>
      <c r="M256" s="15"/>
      <c r="N256" s="15"/>
      <c r="O256" s="137"/>
      <c r="P256" s="141"/>
      <c r="Q256" s="141"/>
      <c r="R256" s="141"/>
      <c r="S256" s="141"/>
      <c r="T256" s="141"/>
      <c r="U256" s="141"/>
      <c r="V256" s="141"/>
      <c r="W256" s="141"/>
      <c r="X256" s="141"/>
      <c r="Y256" s="141"/>
      <c r="Z256" s="141"/>
      <c r="AA256" s="194"/>
      <c r="AB256" s="194"/>
      <c r="AC256" s="194"/>
      <c r="AD256" s="194"/>
      <c r="AE256" s="194"/>
      <c r="AF256" s="194"/>
      <c r="AG256" s="197"/>
      <c r="AH256" s="194"/>
      <c r="AI256" s="194"/>
      <c r="AJ256" s="194"/>
      <c r="AK256" s="104">
        <v>252</v>
      </c>
      <c r="AL256" s="14">
        <f t="shared" si="311"/>
        <v>5</v>
      </c>
      <c r="AM256" s="14">
        <f>INDEX(挂机升级突破!DQ$6:DQ$57,卡牌消耗!$AT256)</f>
        <v>11</v>
      </c>
      <c r="AN256" s="14">
        <f>INDEX(挂机升级突破!DR$6:DR$57,卡牌消耗!$AT256)</f>
        <v>5</v>
      </c>
      <c r="AO256" s="14">
        <f>INDEX(挂机升级突破!DS$6:DS$57,卡牌消耗!$AT256)</f>
        <v>10</v>
      </c>
      <c r="AP256" s="14">
        <f>INDEX(挂机升级突破!$DP$6:$DP$57,卡牌消耗!AT256)</f>
        <v>128</v>
      </c>
      <c r="AQ256" s="14" t="str">
        <f t="shared" si="312"/>
        <v>李轩辕</v>
      </c>
      <c r="AR256" s="14">
        <f t="shared" si="313"/>
        <v>3</v>
      </c>
      <c r="AS256" s="14" t="str">
        <f t="shared" si="314"/>
        <v>李轩辕魂火-44</v>
      </c>
      <c r="AT256" s="14">
        <f t="shared" si="315"/>
        <v>44</v>
      </c>
      <c r="AU256" s="14" t="str">
        <f>IF(AM256&gt;0,INDEX(挂机升级突破!$DT$4:$ED$4,AM256),"")</f>
        <v>金币</v>
      </c>
      <c r="AV256" s="14">
        <f>ROUND(INDEX(挂机升级突破!$DJ$6:$DJ$57,卡牌消耗!AT256)*INDEX(卡牌消耗!$B$8:$F$8,AR256)/$Q$4/50,0)*50</f>
        <v>37600</v>
      </c>
      <c r="AW256" s="14" t="str">
        <f>IF(AN256&gt;0,INDEX(挂机升级突破!$DT$4:$ED$4,AN256),"")</f>
        <v>红色基础材料</v>
      </c>
      <c r="AX256" s="14">
        <f>ROUND(INDEX(挂机升级突破!$DT$6:$ED$57,卡牌消耗!AT256,AN256)*INDEX(卡牌消耗!$B$5:$F$5,AR256)/$Q$4/5,0)*5</f>
        <v>10</v>
      </c>
      <c r="AY256" s="14" t="str">
        <f>IF(AO256&gt;0,INDEX(挂机升级突破!$DT$4:$ED$4,AO256),"")</f>
        <v>灵玉</v>
      </c>
      <c r="AZ256" s="14">
        <f>IF(AO256&gt;0,ROUND(INDEX(挂机升级突破!$DT$6:$ED$57,卡牌消耗!AT256,AO256)*INDEX(卡牌消耗!$B$7:$F$7,AR256)/$Q$4,0),"")</f>
        <v>2</v>
      </c>
      <c r="BA256" s="106"/>
      <c r="BB256" s="197"/>
      <c r="BC256" s="197"/>
      <c r="BD256" s="197"/>
      <c r="BE256" s="197"/>
      <c r="BF256" s="197"/>
      <c r="BG256" s="197"/>
      <c r="BH256" s="197"/>
      <c r="BI256" s="197"/>
      <c r="BJ256" s="197"/>
      <c r="BK256" s="197"/>
      <c r="BL256" s="104">
        <v>252</v>
      </c>
      <c r="BM256" s="14">
        <f t="shared" si="316"/>
        <v>13</v>
      </c>
      <c r="BN256" s="14">
        <f>INDEX(挂机升级突破!$EI$7:$EI$26,BS256)</f>
        <v>5</v>
      </c>
      <c r="BO256" s="14">
        <f>INDEX(挂机升级突破!$EJ$7:$EJ$26,BS256)</f>
        <v>2</v>
      </c>
      <c r="BP256" s="14">
        <f t="shared" si="317"/>
        <v>2</v>
      </c>
      <c r="BQ256" s="14">
        <f>INDEX(挂机升级突破!$EH$7:$EH$26,卡牌消耗!BS256)</f>
        <v>80</v>
      </c>
      <c r="BR256" s="14" t="str">
        <f t="shared" si="318"/>
        <v>塞伯罗斯</v>
      </c>
      <c r="BS256" s="14">
        <f t="shared" si="319"/>
        <v>12</v>
      </c>
      <c r="BT256" s="14" t="str">
        <f t="shared" si="320"/>
        <v>塞伯罗斯12突</v>
      </c>
      <c r="BU256" s="14" t="str">
        <f>IF(BN256&gt;0,INDEX(挂机升级突破!$ER$5:$EV$5,卡牌消耗!BN256),"")</f>
        <v>金币</v>
      </c>
      <c r="BV256" s="14">
        <f>IF(BN256&gt;0,ROUND(INDEX(挂机升级突破!$EV$7:$EV$26,卡牌消耗!BS256)*INDEX(卡牌消耗!$B$8:$F$8,BP256)/$Q$4/500,0)*500,"")</f>
        <v>17500</v>
      </c>
      <c r="BW256" s="14" t="str">
        <f>IF(BO256&gt;0,INDEX(挂机升级突破!$ER$5:$EV$5,卡牌消耗!BO256),"")</f>
        <v>乌金</v>
      </c>
      <c r="BX256" s="14">
        <f>IF(BO256&gt;0,ROUND(INDEX(挂机升级突破!$ER$7:$EU$26,卡牌消耗!BS256,卡牌消耗!BO256)*INDEX($B$6:$F$6,BP256)/$Q$4/5,0)*5,"")</f>
        <v>95</v>
      </c>
      <c r="BY256" s="193"/>
      <c r="BZ256" s="193"/>
      <c r="CA256" s="106"/>
      <c r="CS256" s="171"/>
      <c r="CT256" s="171"/>
      <c r="CU256" s="171"/>
      <c r="DI256" s="186">
        <v>252</v>
      </c>
      <c r="DJ256" s="14">
        <f t="shared" si="324"/>
        <v>51</v>
      </c>
      <c r="DK256" s="14">
        <f t="shared" si="306"/>
        <v>3</v>
      </c>
      <c r="DL256" s="14">
        <f t="shared" si="307"/>
        <v>1102024</v>
      </c>
      <c r="DM256" s="139" t="s">
        <v>1097</v>
      </c>
      <c r="DN256" s="14">
        <f t="shared" si="308"/>
        <v>2</v>
      </c>
      <c r="DO256" s="14" t="str">
        <f t="shared" si="309"/>
        <v>朱仙-2星</v>
      </c>
      <c r="DP256" s="139" t="s">
        <v>67</v>
      </c>
      <c r="DQ256" s="14">
        <f t="shared" si="325"/>
        <v>5000</v>
      </c>
      <c r="DR256" s="14" t="str">
        <f t="shared" si="310"/>
        <v>朱仙碎片</v>
      </c>
      <c r="DS256" s="14">
        <f t="shared" si="326"/>
        <v>40</v>
      </c>
    </row>
    <row r="257" spans="8:123" ht="16.5" x14ac:dyDescent="0.2">
      <c r="H257" s="15"/>
      <c r="I257" s="15"/>
      <c r="J257" s="15"/>
      <c r="K257" s="15"/>
      <c r="L257" s="15"/>
      <c r="M257" s="15"/>
      <c r="N257" s="15"/>
      <c r="O257" s="137"/>
      <c r="P257" s="141"/>
      <c r="Q257" s="141"/>
      <c r="R257" s="141"/>
      <c r="S257" s="141"/>
      <c r="T257" s="141"/>
      <c r="U257" s="141"/>
      <c r="V257" s="141"/>
      <c r="W257" s="141"/>
      <c r="X257" s="141"/>
      <c r="Y257" s="141"/>
      <c r="Z257" s="141"/>
      <c r="AA257" s="194"/>
      <c r="AB257" s="194"/>
      <c r="AC257" s="194"/>
      <c r="AD257" s="194"/>
      <c r="AE257" s="194"/>
      <c r="AF257" s="194"/>
      <c r="AG257" s="197"/>
      <c r="AH257" s="194"/>
      <c r="AI257" s="194"/>
      <c r="AJ257" s="194"/>
      <c r="AK257" s="104">
        <v>253</v>
      </c>
      <c r="AL257" s="14">
        <f t="shared" si="311"/>
        <v>5</v>
      </c>
      <c r="AM257" s="14">
        <f>INDEX(挂机升级突破!DQ$6:DQ$57,卡牌消耗!$AT257)</f>
        <v>11</v>
      </c>
      <c r="AN257" s="14">
        <f>INDEX(挂机升级突破!DR$6:DR$57,卡牌消耗!$AT257)</f>
        <v>5</v>
      </c>
      <c r="AO257" s="14">
        <f>INDEX(挂机升级突破!DS$6:DS$57,卡牌消耗!$AT257)</f>
        <v>10</v>
      </c>
      <c r="AP257" s="14">
        <f>INDEX(挂机升级突破!$DP$6:$DP$57,卡牌消耗!AT257)</f>
        <v>130</v>
      </c>
      <c r="AQ257" s="14" t="str">
        <f t="shared" si="312"/>
        <v>李轩辕</v>
      </c>
      <c r="AR257" s="14">
        <f t="shared" si="313"/>
        <v>3</v>
      </c>
      <c r="AS257" s="14" t="str">
        <f t="shared" si="314"/>
        <v>李轩辕魂火-45</v>
      </c>
      <c r="AT257" s="14">
        <f t="shared" si="315"/>
        <v>45</v>
      </c>
      <c r="AU257" s="14" t="str">
        <f>IF(AM257&gt;0,INDEX(挂机升级突破!$DT$4:$ED$4,AM257),"")</f>
        <v>金币</v>
      </c>
      <c r="AV257" s="14">
        <f>ROUND(INDEX(挂机升级突破!$DJ$6:$DJ$57,卡牌消耗!AT257)*INDEX(卡牌消耗!$B$8:$F$8,AR257)/$Q$4/50,0)*50</f>
        <v>37600</v>
      </c>
      <c r="AW257" s="14" t="str">
        <f>IF(AN257&gt;0,INDEX(挂机升级突破!$DT$4:$ED$4,AN257),"")</f>
        <v>红色基础材料</v>
      </c>
      <c r="AX257" s="14">
        <f>ROUND(INDEX(挂机升级突破!$DT$6:$ED$57,卡牌消耗!AT257,AN257)*INDEX(卡牌消耗!$B$5:$F$5,AR257)/$Q$4/5,0)*5</f>
        <v>10</v>
      </c>
      <c r="AY257" s="14" t="str">
        <f>IF(AO257&gt;0,INDEX(挂机升级突破!$DT$4:$ED$4,AO257),"")</f>
        <v>灵玉</v>
      </c>
      <c r="AZ257" s="14">
        <f>IF(AO257&gt;0,ROUND(INDEX(挂机升级突破!$DT$6:$ED$57,卡牌消耗!AT257,AO257)*INDEX(卡牌消耗!$B$7:$F$7,AR257)/$Q$4,0),"")</f>
        <v>2</v>
      </c>
      <c r="BA257" s="106"/>
      <c r="BB257" s="197"/>
      <c r="BC257" s="197"/>
      <c r="BD257" s="197"/>
      <c r="BE257" s="197"/>
      <c r="BF257" s="197"/>
      <c r="BG257" s="197"/>
      <c r="BH257" s="197"/>
      <c r="BI257" s="197"/>
      <c r="BJ257" s="197"/>
      <c r="BK257" s="197"/>
      <c r="BL257" s="104">
        <v>253</v>
      </c>
      <c r="BM257" s="14">
        <f t="shared" si="316"/>
        <v>13</v>
      </c>
      <c r="BN257" s="14">
        <f>INDEX(挂机升级突破!$EI$7:$EI$26,BS257)</f>
        <v>5</v>
      </c>
      <c r="BO257" s="14">
        <f>INDEX(挂机升级突破!$EJ$7:$EJ$26,BS257)</f>
        <v>3</v>
      </c>
      <c r="BP257" s="14">
        <f t="shared" si="317"/>
        <v>2</v>
      </c>
      <c r="BQ257" s="14">
        <f>INDEX(挂机升级突破!$EH$7:$EH$26,卡牌消耗!BS257)</f>
        <v>87</v>
      </c>
      <c r="BR257" s="14" t="str">
        <f t="shared" si="318"/>
        <v>塞伯罗斯</v>
      </c>
      <c r="BS257" s="14">
        <f t="shared" si="319"/>
        <v>13</v>
      </c>
      <c r="BT257" s="14" t="str">
        <f t="shared" si="320"/>
        <v>塞伯罗斯13突</v>
      </c>
      <c r="BU257" s="14" t="str">
        <f>IF(BN257&gt;0,INDEX(挂机升级突破!$ER$5:$EV$5,卡牌消耗!BN257),"")</f>
        <v>金币</v>
      </c>
      <c r="BV257" s="14">
        <f>IF(BN257&gt;0,ROUND(INDEX(挂机升级突破!$EV$7:$EV$26,卡牌消耗!BS257)*INDEX(卡牌消耗!$B$8:$F$8,BP257)/$Q$4/500,0)*500,"")</f>
        <v>23500</v>
      </c>
      <c r="BW257" s="14" t="str">
        <f>IF(BO257&gt;0,INDEX(挂机升级突破!$ER$5:$EV$5,卡牌消耗!BO257),"")</f>
        <v>银母</v>
      </c>
      <c r="BX257" s="14">
        <f>IF(BO257&gt;0,ROUND(INDEX(挂机升级突破!$ER$7:$EU$26,卡牌消耗!BS257,卡牌消耗!BO257)*INDEX($B$6:$F$6,BP257)/$Q$4/5,0)*5,"")</f>
        <v>30</v>
      </c>
      <c r="BY257" s="193"/>
      <c r="BZ257" s="193"/>
      <c r="CA257" s="106"/>
      <c r="CS257" s="171"/>
      <c r="CT257" s="171"/>
      <c r="CU257" s="171"/>
      <c r="DI257" s="186">
        <v>253</v>
      </c>
      <c r="DJ257" s="14">
        <f t="shared" si="324"/>
        <v>51</v>
      </c>
      <c r="DK257" s="14">
        <f t="shared" si="306"/>
        <v>3</v>
      </c>
      <c r="DL257" s="14">
        <f t="shared" si="307"/>
        <v>1102024</v>
      </c>
      <c r="DM257" s="139" t="s">
        <v>1097</v>
      </c>
      <c r="DN257" s="14">
        <f t="shared" si="308"/>
        <v>3</v>
      </c>
      <c r="DO257" s="14" t="str">
        <f t="shared" si="309"/>
        <v>朱仙-3星</v>
      </c>
      <c r="DP257" s="139" t="s">
        <v>67</v>
      </c>
      <c r="DQ257" s="14">
        <f t="shared" si="325"/>
        <v>10000</v>
      </c>
      <c r="DR257" s="14" t="str">
        <f t="shared" si="310"/>
        <v>朱仙碎片</v>
      </c>
      <c r="DS257" s="14">
        <f t="shared" si="326"/>
        <v>40</v>
      </c>
    </row>
    <row r="258" spans="8:123" ht="16.5" x14ac:dyDescent="0.2">
      <c r="H258" s="15"/>
      <c r="I258" s="15"/>
      <c r="J258" s="15"/>
      <c r="K258" s="15"/>
      <c r="L258" s="15"/>
      <c r="M258" s="15"/>
      <c r="N258" s="15"/>
      <c r="O258" s="137"/>
      <c r="P258" s="141"/>
      <c r="Q258" s="141"/>
      <c r="R258" s="141"/>
      <c r="S258" s="141"/>
      <c r="T258" s="141"/>
      <c r="U258" s="141"/>
      <c r="V258" s="141"/>
      <c r="W258" s="141"/>
      <c r="X258" s="141"/>
      <c r="Y258" s="141"/>
      <c r="Z258" s="141"/>
      <c r="AA258" s="194"/>
      <c r="AB258" s="194"/>
      <c r="AC258" s="194"/>
      <c r="AD258" s="194"/>
      <c r="AE258" s="194"/>
      <c r="AF258" s="194"/>
      <c r="AG258" s="197"/>
      <c r="AH258" s="194"/>
      <c r="AI258" s="194"/>
      <c r="AJ258" s="194"/>
      <c r="AK258" s="104">
        <v>254</v>
      </c>
      <c r="AL258" s="14">
        <f t="shared" si="311"/>
        <v>5</v>
      </c>
      <c r="AM258" s="14">
        <f>INDEX(挂机升级突破!DQ$6:DQ$57,卡牌消耗!$AT258)</f>
        <v>11</v>
      </c>
      <c r="AN258" s="14">
        <f>INDEX(挂机升级突破!DR$6:DR$57,卡牌消耗!$AT258)</f>
        <v>5</v>
      </c>
      <c r="AO258" s="14">
        <f>INDEX(挂机升级突破!DS$6:DS$57,卡牌消耗!$AT258)</f>
        <v>10</v>
      </c>
      <c r="AP258" s="14">
        <f>INDEX(挂机升级突破!$DP$6:$DP$57,卡牌消耗!AT258)</f>
        <v>133</v>
      </c>
      <c r="AQ258" s="14" t="str">
        <f t="shared" si="312"/>
        <v>李轩辕</v>
      </c>
      <c r="AR258" s="14">
        <f t="shared" si="313"/>
        <v>3</v>
      </c>
      <c r="AS258" s="14" t="str">
        <f t="shared" si="314"/>
        <v>李轩辕魂火-46</v>
      </c>
      <c r="AT258" s="14">
        <f t="shared" si="315"/>
        <v>46</v>
      </c>
      <c r="AU258" s="14" t="str">
        <f>IF(AM258&gt;0,INDEX(挂机升级突破!$DT$4:$ED$4,AM258),"")</f>
        <v>金币</v>
      </c>
      <c r="AV258" s="14">
        <f>ROUND(INDEX(挂机升级突破!$DJ$6:$DJ$57,卡牌消耗!AT258)*INDEX(卡牌消耗!$B$8:$F$8,AR258)/$Q$4/50,0)*50</f>
        <v>40300</v>
      </c>
      <c r="AW258" s="14" t="str">
        <f>IF(AN258&gt;0,INDEX(挂机升级突破!$DT$4:$ED$4,AN258),"")</f>
        <v>红色基础材料</v>
      </c>
      <c r="AX258" s="14">
        <f>ROUND(INDEX(挂机升级突破!$DT$6:$ED$57,卡牌消耗!AT258,AN258)*INDEX(卡牌消耗!$B$5:$F$5,AR258)/$Q$4/5,0)*5</f>
        <v>10</v>
      </c>
      <c r="AY258" s="14" t="str">
        <f>IF(AO258&gt;0,INDEX(挂机升级突破!$DT$4:$ED$4,AO258),"")</f>
        <v>灵玉</v>
      </c>
      <c r="AZ258" s="14">
        <f>IF(AO258&gt;0,ROUND(INDEX(挂机升级突破!$DT$6:$ED$57,卡牌消耗!AT258,AO258)*INDEX(卡牌消耗!$B$7:$F$7,AR258)/$Q$4,0),"")</f>
        <v>2</v>
      </c>
      <c r="BA258" s="106"/>
      <c r="BB258" s="197"/>
      <c r="BC258" s="197"/>
      <c r="BD258" s="197"/>
      <c r="BE258" s="197"/>
      <c r="BF258" s="197"/>
      <c r="BG258" s="197"/>
      <c r="BH258" s="197"/>
      <c r="BI258" s="197"/>
      <c r="BJ258" s="197"/>
      <c r="BK258" s="197"/>
      <c r="BL258" s="104">
        <v>254</v>
      </c>
      <c r="BM258" s="14">
        <f t="shared" si="316"/>
        <v>13</v>
      </c>
      <c r="BN258" s="14">
        <f>INDEX(挂机升级突破!$EI$7:$EI$26,BS258)</f>
        <v>5</v>
      </c>
      <c r="BO258" s="14">
        <f>INDEX(挂机升级突破!$EJ$7:$EJ$26,BS258)</f>
        <v>3</v>
      </c>
      <c r="BP258" s="14">
        <f t="shared" si="317"/>
        <v>2</v>
      </c>
      <c r="BQ258" s="14">
        <f>INDEX(挂机升级突破!$EH$7:$EH$26,卡牌消耗!BS258)</f>
        <v>95</v>
      </c>
      <c r="BR258" s="14" t="str">
        <f t="shared" si="318"/>
        <v>塞伯罗斯</v>
      </c>
      <c r="BS258" s="14">
        <f t="shared" si="319"/>
        <v>14</v>
      </c>
      <c r="BT258" s="14" t="str">
        <f t="shared" si="320"/>
        <v>塞伯罗斯14突</v>
      </c>
      <c r="BU258" s="14" t="str">
        <f>IF(BN258&gt;0,INDEX(挂机升级突破!$ER$5:$EV$5,卡牌消耗!BN258),"")</f>
        <v>金币</v>
      </c>
      <c r="BV258" s="14">
        <f>IF(BN258&gt;0,ROUND(INDEX(挂机升级突破!$EV$7:$EV$26,卡牌消耗!BS258)*INDEX(卡牌消耗!$B$8:$F$8,BP258)/$Q$4/500,0)*500,"")</f>
        <v>23500</v>
      </c>
      <c r="BW258" s="14" t="str">
        <f>IF(BO258&gt;0,INDEX(挂机升级突破!$ER$5:$EV$5,卡牌消耗!BO258),"")</f>
        <v>银母</v>
      </c>
      <c r="BX258" s="14">
        <f>IF(BO258&gt;0,ROUND(INDEX(挂机升级突破!$ER$7:$EU$26,卡牌消耗!BS258,卡牌消耗!BO258)*INDEX($B$6:$F$6,BP258)/$Q$4/5,0)*5,"")</f>
        <v>45</v>
      </c>
      <c r="BY258" s="193"/>
      <c r="BZ258" s="193"/>
      <c r="CA258" s="106"/>
      <c r="CS258" s="171"/>
      <c r="CT258" s="171"/>
      <c r="CU258" s="171"/>
      <c r="DI258" s="186">
        <v>254</v>
      </c>
      <c r="DJ258" s="14">
        <f t="shared" si="324"/>
        <v>51</v>
      </c>
      <c r="DK258" s="14">
        <f t="shared" si="306"/>
        <v>3</v>
      </c>
      <c r="DL258" s="14">
        <f t="shared" si="307"/>
        <v>1102024</v>
      </c>
      <c r="DM258" s="139" t="s">
        <v>1097</v>
      </c>
      <c r="DN258" s="14">
        <f t="shared" si="308"/>
        <v>4</v>
      </c>
      <c r="DO258" s="14" t="str">
        <f t="shared" si="309"/>
        <v>朱仙-4星</v>
      </c>
      <c r="DP258" s="139" t="s">
        <v>67</v>
      </c>
      <c r="DQ258" s="14">
        <f t="shared" si="325"/>
        <v>20000</v>
      </c>
      <c r="DR258" s="14" t="str">
        <f t="shared" si="310"/>
        <v>朱仙碎片</v>
      </c>
      <c r="DS258" s="14">
        <f t="shared" si="326"/>
        <v>40</v>
      </c>
    </row>
    <row r="259" spans="8:123" ht="16.5" x14ac:dyDescent="0.2">
      <c r="H259" s="15"/>
      <c r="I259" s="15"/>
      <c r="J259" s="15"/>
      <c r="K259" s="15"/>
      <c r="L259" s="15"/>
      <c r="M259" s="15"/>
      <c r="N259" s="15"/>
      <c r="O259" s="137"/>
      <c r="P259" s="141"/>
      <c r="Q259" s="141"/>
      <c r="R259" s="141"/>
      <c r="S259" s="141"/>
      <c r="T259" s="141"/>
      <c r="U259" s="141"/>
      <c r="V259" s="141"/>
      <c r="W259" s="141"/>
      <c r="X259" s="141"/>
      <c r="Y259" s="141"/>
      <c r="Z259" s="141"/>
      <c r="AA259" s="194"/>
      <c r="AB259" s="194"/>
      <c r="AC259" s="194"/>
      <c r="AD259" s="194"/>
      <c r="AE259" s="194"/>
      <c r="AF259" s="194"/>
      <c r="AG259" s="197"/>
      <c r="AH259" s="194"/>
      <c r="AI259" s="194"/>
      <c r="AJ259" s="194"/>
      <c r="AK259" s="104">
        <v>255</v>
      </c>
      <c r="AL259" s="14">
        <f t="shared" si="311"/>
        <v>5</v>
      </c>
      <c r="AM259" s="14">
        <f>INDEX(挂机升级突破!DQ$6:DQ$57,卡牌消耗!$AT259)</f>
        <v>11</v>
      </c>
      <c r="AN259" s="14">
        <f>INDEX(挂机升级突破!DR$6:DR$57,卡牌消耗!$AT259)</f>
        <v>5</v>
      </c>
      <c r="AO259" s="14">
        <f>INDEX(挂机升级突破!DS$6:DS$57,卡牌消耗!$AT259)</f>
        <v>10</v>
      </c>
      <c r="AP259" s="14">
        <f>INDEX(挂机升级突破!$DP$6:$DP$57,卡牌消耗!AT259)</f>
        <v>135</v>
      </c>
      <c r="AQ259" s="14" t="str">
        <f t="shared" si="312"/>
        <v>李轩辕</v>
      </c>
      <c r="AR259" s="14">
        <f t="shared" si="313"/>
        <v>3</v>
      </c>
      <c r="AS259" s="14" t="str">
        <f t="shared" si="314"/>
        <v>李轩辕魂火-47</v>
      </c>
      <c r="AT259" s="14">
        <f t="shared" si="315"/>
        <v>47</v>
      </c>
      <c r="AU259" s="14" t="str">
        <f>IF(AM259&gt;0,INDEX(挂机升级突破!$DT$4:$ED$4,AM259),"")</f>
        <v>金币</v>
      </c>
      <c r="AV259" s="14">
        <f>ROUND(INDEX(挂机升级突破!$DJ$6:$DJ$57,卡牌消耗!AT259)*INDEX(卡牌消耗!$B$8:$F$8,AR259)/$Q$4/50,0)*50</f>
        <v>82050</v>
      </c>
      <c r="AW259" s="14" t="str">
        <f>IF(AN259&gt;0,INDEX(挂机升级突破!$DT$4:$ED$4,AN259),"")</f>
        <v>红色基础材料</v>
      </c>
      <c r="AX259" s="14">
        <f>ROUND(INDEX(挂机升级突破!$DT$6:$ED$57,卡牌消耗!AT259,AN259)*INDEX(卡牌消耗!$B$5:$F$5,AR259)/$Q$4/5,0)*5</f>
        <v>10</v>
      </c>
      <c r="AY259" s="14" t="str">
        <f>IF(AO259&gt;0,INDEX(挂机升级突破!$DT$4:$ED$4,AO259),"")</f>
        <v>灵玉</v>
      </c>
      <c r="AZ259" s="14">
        <f>IF(AO259&gt;0,ROUND(INDEX(挂机升级突破!$DT$6:$ED$57,卡牌消耗!AT259,AO259)*INDEX(卡牌消耗!$B$7:$F$7,AR259)/$Q$4,0),"")</f>
        <v>2</v>
      </c>
      <c r="BA259" s="106"/>
      <c r="BB259" s="197"/>
      <c r="BC259" s="197"/>
      <c r="BD259" s="197"/>
      <c r="BE259" s="197"/>
      <c r="BF259" s="197"/>
      <c r="BG259" s="197"/>
      <c r="BH259" s="197"/>
      <c r="BI259" s="197"/>
      <c r="BJ259" s="197"/>
      <c r="BK259" s="197"/>
      <c r="BL259" s="104">
        <v>255</v>
      </c>
      <c r="BM259" s="14">
        <f t="shared" si="316"/>
        <v>13</v>
      </c>
      <c r="BN259" s="14">
        <f>INDEX(挂机升级突破!$EI$7:$EI$26,BS259)</f>
        <v>5</v>
      </c>
      <c r="BO259" s="14">
        <f>INDEX(挂机升级突破!$EJ$7:$EJ$26,BS259)</f>
        <v>3</v>
      </c>
      <c r="BP259" s="14">
        <f t="shared" si="317"/>
        <v>2</v>
      </c>
      <c r="BQ259" s="14">
        <f>INDEX(挂机升级突破!$EH$7:$EH$26,卡牌消耗!BS259)</f>
        <v>102</v>
      </c>
      <c r="BR259" s="14" t="str">
        <f t="shared" si="318"/>
        <v>塞伯罗斯</v>
      </c>
      <c r="BS259" s="14">
        <f t="shared" si="319"/>
        <v>15</v>
      </c>
      <c r="BT259" s="14" t="str">
        <f t="shared" si="320"/>
        <v>塞伯罗斯15突</v>
      </c>
      <c r="BU259" s="14" t="str">
        <f>IF(BN259&gt;0,INDEX(挂机升级突破!$ER$5:$EV$5,卡牌消耗!BN259),"")</f>
        <v>金币</v>
      </c>
      <c r="BV259" s="14">
        <f>IF(BN259&gt;0,ROUND(INDEX(挂机升级突破!$EV$7:$EV$26,卡牌消耗!BS259)*INDEX(卡牌消耗!$B$8:$F$8,BP259)/$Q$4/500,0)*500,"")</f>
        <v>31000</v>
      </c>
      <c r="BW259" s="14" t="str">
        <f>IF(BO259&gt;0,INDEX(挂机升级突破!$ER$5:$EV$5,卡牌消耗!BO259),"")</f>
        <v>银母</v>
      </c>
      <c r="BX259" s="14">
        <f>IF(BO259&gt;0,ROUND(INDEX(挂机升级突破!$ER$7:$EU$26,卡牌消耗!BS259,卡牌消耗!BO259)*INDEX($B$6:$F$6,BP259)/$Q$4/5,0)*5,"")</f>
        <v>55</v>
      </c>
      <c r="BY259" s="193"/>
      <c r="BZ259" s="193"/>
      <c r="CA259" s="106"/>
      <c r="CS259" s="171"/>
      <c r="CT259" s="171"/>
      <c r="CU259" s="171"/>
      <c r="DI259" s="186">
        <v>255</v>
      </c>
      <c r="DJ259" s="14">
        <f t="shared" si="324"/>
        <v>51</v>
      </c>
      <c r="DK259" s="14">
        <f t="shared" si="306"/>
        <v>3</v>
      </c>
      <c r="DL259" s="14">
        <f t="shared" si="307"/>
        <v>1102024</v>
      </c>
      <c r="DM259" s="139" t="s">
        <v>1097</v>
      </c>
      <c r="DN259" s="14">
        <f t="shared" si="308"/>
        <v>5</v>
      </c>
      <c r="DO259" s="14" t="str">
        <f t="shared" si="309"/>
        <v>朱仙-5星</v>
      </c>
      <c r="DP259" s="139" t="s">
        <v>67</v>
      </c>
      <c r="DQ259" s="14">
        <f t="shared" si="325"/>
        <v>40000</v>
      </c>
      <c r="DR259" s="14" t="str">
        <f t="shared" si="310"/>
        <v>朱仙碎片</v>
      </c>
      <c r="DS259" s="14">
        <f t="shared" si="326"/>
        <v>40</v>
      </c>
    </row>
    <row r="260" spans="8:123" ht="16.5" x14ac:dyDescent="0.2">
      <c r="H260" s="15"/>
      <c r="I260" s="15"/>
      <c r="J260" s="15"/>
      <c r="K260" s="15"/>
      <c r="L260" s="15"/>
      <c r="M260" s="15"/>
      <c r="N260" s="15"/>
      <c r="O260" s="137"/>
      <c r="P260" s="141"/>
      <c r="Q260" s="141"/>
      <c r="R260" s="141"/>
      <c r="S260" s="141"/>
      <c r="T260" s="141"/>
      <c r="U260" s="141"/>
      <c r="V260" s="141"/>
      <c r="W260" s="141"/>
      <c r="X260" s="141"/>
      <c r="Y260" s="141"/>
      <c r="Z260" s="141"/>
      <c r="AA260" s="194"/>
      <c r="AB260" s="194"/>
      <c r="AC260" s="194"/>
      <c r="AD260" s="194"/>
      <c r="AE260" s="194"/>
      <c r="AF260" s="194"/>
      <c r="AG260" s="197"/>
      <c r="AH260" s="194"/>
      <c r="AI260" s="194"/>
      <c r="AJ260" s="194"/>
      <c r="AK260" s="104">
        <v>256</v>
      </c>
      <c r="AL260" s="14">
        <f t="shared" si="311"/>
        <v>5</v>
      </c>
      <c r="AM260" s="14">
        <f>INDEX(挂机升级突破!DQ$6:DQ$57,卡牌消耗!$AT260)</f>
        <v>11</v>
      </c>
      <c r="AN260" s="14">
        <f>INDEX(挂机升级突破!DR$6:DR$57,卡牌消耗!$AT260)</f>
        <v>5</v>
      </c>
      <c r="AO260" s="14">
        <f>INDEX(挂机升级突破!DS$6:DS$57,卡牌消耗!$AT260)</f>
        <v>10</v>
      </c>
      <c r="AP260" s="14">
        <f>INDEX(挂机升级突破!$DP$6:$DP$57,卡牌消耗!AT260)</f>
        <v>138</v>
      </c>
      <c r="AQ260" s="14" t="str">
        <f t="shared" si="312"/>
        <v>李轩辕</v>
      </c>
      <c r="AR260" s="14">
        <f t="shared" si="313"/>
        <v>3</v>
      </c>
      <c r="AS260" s="14" t="str">
        <f t="shared" si="314"/>
        <v>李轩辕魂火-48</v>
      </c>
      <c r="AT260" s="14">
        <f t="shared" si="315"/>
        <v>48</v>
      </c>
      <c r="AU260" s="14" t="str">
        <f>IF(AM260&gt;0,INDEX(挂机升级突破!$DT$4:$ED$4,AM260),"")</f>
        <v>金币</v>
      </c>
      <c r="AV260" s="14">
        <f>ROUND(INDEX(挂机升级突破!$DJ$6:$DJ$57,卡牌消耗!AT260)*INDEX(卡牌消耗!$B$8:$F$8,AR260)/$Q$4/50,0)*50</f>
        <v>82050</v>
      </c>
      <c r="AW260" s="14" t="str">
        <f>IF(AN260&gt;0,INDEX(挂机升级突破!$DT$4:$ED$4,AN260),"")</f>
        <v>红色基础材料</v>
      </c>
      <c r="AX260" s="14">
        <f>ROUND(INDEX(挂机升级突破!$DT$6:$ED$57,卡牌消耗!AT260,AN260)*INDEX(卡牌消耗!$B$5:$F$5,AR260)/$Q$4/5,0)*5</f>
        <v>10</v>
      </c>
      <c r="AY260" s="14" t="str">
        <f>IF(AO260&gt;0,INDEX(挂机升级突破!$DT$4:$ED$4,AO260),"")</f>
        <v>灵玉</v>
      </c>
      <c r="AZ260" s="14">
        <f>IF(AO260&gt;0,ROUND(INDEX(挂机升级突破!$DT$6:$ED$57,卡牌消耗!AT260,AO260)*INDEX(卡牌消耗!$B$7:$F$7,AR260)/$Q$4,0),"")</f>
        <v>2</v>
      </c>
      <c r="BA260" s="106"/>
      <c r="BB260" s="197"/>
      <c r="BC260" s="197"/>
      <c r="BD260" s="197"/>
      <c r="BE260" s="197"/>
      <c r="BF260" s="197"/>
      <c r="BG260" s="197"/>
      <c r="BH260" s="197"/>
      <c r="BI260" s="197"/>
      <c r="BJ260" s="197"/>
      <c r="BK260" s="197"/>
      <c r="BL260" s="104">
        <v>256</v>
      </c>
      <c r="BM260" s="14">
        <f t="shared" si="316"/>
        <v>13</v>
      </c>
      <c r="BN260" s="14">
        <f>INDEX(挂机升级突破!$EI$7:$EI$26,BS260)</f>
        <v>5</v>
      </c>
      <c r="BO260" s="14">
        <f>INDEX(挂机升级突破!$EJ$7:$EJ$26,BS260)</f>
        <v>3</v>
      </c>
      <c r="BP260" s="14">
        <f t="shared" si="317"/>
        <v>2</v>
      </c>
      <c r="BQ260" s="14">
        <f>INDEX(挂机升级突破!$EH$7:$EH$26,卡牌消耗!BS260)</f>
        <v>110</v>
      </c>
      <c r="BR260" s="14" t="str">
        <f t="shared" si="318"/>
        <v>塞伯罗斯</v>
      </c>
      <c r="BS260" s="14">
        <f t="shared" si="319"/>
        <v>16</v>
      </c>
      <c r="BT260" s="14" t="str">
        <f t="shared" si="320"/>
        <v>塞伯罗斯16突</v>
      </c>
      <c r="BU260" s="14" t="str">
        <f>IF(BN260&gt;0,INDEX(挂机升级突破!$ER$5:$EV$5,卡牌消耗!BN260),"")</f>
        <v>金币</v>
      </c>
      <c r="BV260" s="14">
        <f>IF(BN260&gt;0,ROUND(INDEX(挂机升级突破!$EV$7:$EV$26,卡牌消耗!BS260)*INDEX(卡牌消耗!$B$8:$F$8,BP260)/$Q$4/500,0)*500,"")</f>
        <v>56500</v>
      </c>
      <c r="BW260" s="14" t="str">
        <f>IF(BO260&gt;0,INDEX(挂机升级突破!$ER$5:$EV$5,卡牌消耗!BO260),"")</f>
        <v>银母</v>
      </c>
      <c r="BX260" s="14">
        <f>IF(BO260&gt;0,ROUND(INDEX(挂机升级突破!$ER$7:$EU$26,卡牌消耗!BS260,卡牌消耗!BO260)*INDEX($B$6:$F$6,BP260)/$Q$4/5,0)*5,"")</f>
        <v>75</v>
      </c>
      <c r="BY260" s="193"/>
      <c r="BZ260" s="193"/>
      <c r="CA260" s="106"/>
      <c r="CS260" s="171"/>
      <c r="CT260" s="171"/>
      <c r="CU260" s="171"/>
      <c r="DI260" s="186">
        <v>256</v>
      </c>
      <c r="DJ260" s="14">
        <f t="shared" ref="DJ260:DJ299" si="327">INT((DI260-1)/5)+1</f>
        <v>52</v>
      </c>
      <c r="DK260" s="14">
        <f t="shared" si="306"/>
        <v>3</v>
      </c>
      <c r="DL260" s="14">
        <f t="shared" si="307"/>
        <v>1102026</v>
      </c>
      <c r="DM260" s="186" t="s">
        <v>1097</v>
      </c>
      <c r="DN260" s="14">
        <f t="shared" si="308"/>
        <v>1</v>
      </c>
      <c r="DO260" s="14" t="str">
        <f t="shared" si="309"/>
        <v>雷震子-1星</v>
      </c>
      <c r="DP260" s="186" t="s">
        <v>67</v>
      </c>
      <c r="DQ260" s="14">
        <f t="shared" ref="DQ260:DQ299" si="328">INDEX($K$21:$N$25,DN260,DK260-1)</f>
        <v>4000</v>
      </c>
      <c r="DR260" s="14" t="str">
        <f t="shared" si="310"/>
        <v>雷震子碎片</v>
      </c>
      <c r="DS260" s="14">
        <f t="shared" ref="DS260:DS299" si="329">INDEX($J$5:$M$9,DN260,DK260-1)</f>
        <v>40</v>
      </c>
    </row>
    <row r="261" spans="8:123" ht="16.5" x14ac:dyDescent="0.2">
      <c r="H261" s="15"/>
      <c r="I261" s="15"/>
      <c r="J261" s="15"/>
      <c r="K261" s="15"/>
      <c r="L261" s="15"/>
      <c r="M261" s="15"/>
      <c r="N261" s="15"/>
      <c r="O261" s="137"/>
      <c r="P261" s="141"/>
      <c r="Q261" s="141"/>
      <c r="R261" s="141"/>
      <c r="S261" s="141"/>
      <c r="T261" s="141"/>
      <c r="U261" s="141"/>
      <c r="V261" s="141"/>
      <c r="W261" s="141"/>
      <c r="X261" s="141"/>
      <c r="Y261" s="141"/>
      <c r="Z261" s="141"/>
      <c r="AA261" s="194"/>
      <c r="AB261" s="194"/>
      <c r="AC261" s="194"/>
      <c r="AD261" s="194"/>
      <c r="AE261" s="194"/>
      <c r="AF261" s="194"/>
      <c r="AG261" s="197"/>
      <c r="AH261" s="194"/>
      <c r="AI261" s="194"/>
      <c r="AJ261" s="194"/>
      <c r="AK261" s="104">
        <v>257</v>
      </c>
      <c r="AL261" s="14">
        <f t="shared" si="311"/>
        <v>5</v>
      </c>
      <c r="AM261" s="14">
        <f>INDEX(挂机升级突破!DQ$6:DQ$57,卡牌消耗!$AT261)</f>
        <v>11</v>
      </c>
      <c r="AN261" s="14">
        <f>INDEX(挂机升级突破!DR$6:DR$57,卡牌消耗!$AT261)</f>
        <v>5</v>
      </c>
      <c r="AO261" s="14">
        <f>INDEX(挂机升级突破!DS$6:DS$57,卡牌消耗!$AT261)</f>
        <v>10</v>
      </c>
      <c r="AP261" s="14">
        <f>INDEX(挂机升级突破!$DP$6:$DP$57,卡牌消耗!AT261)</f>
        <v>140</v>
      </c>
      <c r="AQ261" s="14" t="str">
        <f t="shared" si="312"/>
        <v>李轩辕</v>
      </c>
      <c r="AR261" s="14">
        <f t="shared" si="313"/>
        <v>3</v>
      </c>
      <c r="AS261" s="14" t="str">
        <f t="shared" si="314"/>
        <v>李轩辕魂火-49</v>
      </c>
      <c r="AT261" s="14">
        <f t="shared" si="315"/>
        <v>49</v>
      </c>
      <c r="AU261" s="14" t="str">
        <f>IF(AM261&gt;0,INDEX(挂机升级突破!$DT$4:$ED$4,AM261),"")</f>
        <v>金币</v>
      </c>
      <c r="AV261" s="14">
        <f>ROUND(INDEX(挂机升级突破!$DJ$6:$DJ$57,卡牌消耗!AT261)*INDEX(卡牌消耗!$B$8:$F$8,AR261)/$Q$4/50,0)*50</f>
        <v>82050</v>
      </c>
      <c r="AW261" s="14" t="str">
        <f>IF(AN261&gt;0,INDEX(挂机升级突破!$DT$4:$ED$4,AN261),"")</f>
        <v>红色基础材料</v>
      </c>
      <c r="AX261" s="14">
        <f>ROUND(INDEX(挂机升级突破!$DT$6:$ED$57,卡牌消耗!AT261,AN261)*INDEX(卡牌消耗!$B$5:$F$5,AR261)/$Q$4/5,0)*5</f>
        <v>15</v>
      </c>
      <c r="AY261" s="14" t="str">
        <f>IF(AO261&gt;0,INDEX(挂机升级突破!$DT$4:$ED$4,AO261),"")</f>
        <v>灵玉</v>
      </c>
      <c r="AZ261" s="14">
        <f>IF(AO261&gt;0,ROUND(INDEX(挂机升级突破!$DT$6:$ED$57,卡牌消耗!AT261,AO261)*INDEX(卡牌消耗!$B$7:$F$7,AR261)/$Q$4,0),"")</f>
        <v>2</v>
      </c>
      <c r="BA261" s="106"/>
      <c r="BB261" s="197"/>
      <c r="BC261" s="197"/>
      <c r="BD261" s="197"/>
      <c r="BE261" s="197"/>
      <c r="BF261" s="197"/>
      <c r="BG261" s="197"/>
      <c r="BH261" s="197"/>
      <c r="BI261" s="197"/>
      <c r="BJ261" s="197"/>
      <c r="BK261" s="197"/>
      <c r="BL261" s="104">
        <v>257</v>
      </c>
      <c r="BM261" s="14">
        <f t="shared" si="316"/>
        <v>13</v>
      </c>
      <c r="BN261" s="14">
        <f>INDEX(挂机升级突破!$EI$7:$EI$26,BS261)</f>
        <v>5</v>
      </c>
      <c r="BO261" s="14">
        <f>INDEX(挂机升级突破!$EJ$7:$EJ$26,BS261)</f>
        <v>4</v>
      </c>
      <c r="BP261" s="14">
        <f t="shared" si="317"/>
        <v>2</v>
      </c>
      <c r="BQ261" s="14">
        <f>INDEX(挂机升级突破!$EH$7:$EH$26,卡牌消耗!BS261)</f>
        <v>117</v>
      </c>
      <c r="BR261" s="14" t="str">
        <f t="shared" si="318"/>
        <v>塞伯罗斯</v>
      </c>
      <c r="BS261" s="14">
        <f t="shared" si="319"/>
        <v>17</v>
      </c>
      <c r="BT261" s="14" t="str">
        <f t="shared" si="320"/>
        <v>塞伯罗斯17突</v>
      </c>
      <c r="BU261" s="14" t="str">
        <f>IF(BN261&gt;0,INDEX(挂机升级突破!$ER$5:$EV$5,卡牌消耗!BN261),"")</f>
        <v>金币</v>
      </c>
      <c r="BV261" s="14">
        <f>IF(BN261&gt;0,ROUND(INDEX(挂机升级突破!$EV$7:$EV$26,卡牌消耗!BS261)*INDEX(卡牌消耗!$B$8:$F$8,BP261)/$Q$4/500,0)*500,"")</f>
        <v>56500</v>
      </c>
      <c r="BW261" s="14" t="str">
        <f>IF(BO261&gt;0,INDEX(挂机升级突破!$ER$5:$EV$5,卡牌消耗!BO261),"")</f>
        <v>铀金</v>
      </c>
      <c r="BX261" s="14">
        <f>IF(BO261&gt;0,ROUND(INDEX(挂机升级突破!$ER$7:$EU$26,卡牌消耗!BS261,卡牌消耗!BO261)*INDEX($B$6:$F$6,BP261)/$Q$4/5,0)*5,"")</f>
        <v>15</v>
      </c>
      <c r="BY261" s="193"/>
      <c r="BZ261" s="193"/>
      <c r="CA261" s="106"/>
      <c r="CS261" s="171"/>
      <c r="CT261" s="171"/>
      <c r="CU261" s="171"/>
      <c r="DI261" s="186">
        <v>257</v>
      </c>
      <c r="DJ261" s="14">
        <f t="shared" si="327"/>
        <v>52</v>
      </c>
      <c r="DK261" s="14">
        <f t="shared" ref="DK261:DK299" si="330">INDEX($C$52:$C$120,DJ261)</f>
        <v>3</v>
      </c>
      <c r="DL261" s="14">
        <f t="shared" ref="DL261:DL299" si="331">INDEX($A$52:$A$120,DJ261)</f>
        <v>1102026</v>
      </c>
      <c r="DM261" s="186" t="s">
        <v>1097</v>
      </c>
      <c r="DN261" s="14">
        <f t="shared" ref="DN261:DN299" si="332">DI261-INDEX($E$51:$E$120,DJ261)</f>
        <v>2</v>
      </c>
      <c r="DO261" s="14" t="str">
        <f t="shared" ref="DO261:DO299" si="333">INDEX($B$52:$B$120,DJ261)&amp;"-"&amp;DN261&amp;"星"</f>
        <v>雷震子-2星</v>
      </c>
      <c r="DP261" s="186" t="s">
        <v>67</v>
      </c>
      <c r="DQ261" s="14">
        <f t="shared" si="328"/>
        <v>5000</v>
      </c>
      <c r="DR261" s="14" t="str">
        <f t="shared" ref="DR261:DR299" si="334">INDEX($B$52:$B$120,DJ261)&amp;"碎片"</f>
        <v>雷震子碎片</v>
      </c>
      <c r="DS261" s="14">
        <f t="shared" si="329"/>
        <v>40</v>
      </c>
    </row>
    <row r="262" spans="8:123" ht="16.5" x14ac:dyDescent="0.2">
      <c r="H262" s="15"/>
      <c r="I262" s="15"/>
      <c r="J262" s="15"/>
      <c r="K262" s="15"/>
      <c r="L262" s="15"/>
      <c r="M262" s="15"/>
      <c r="N262" s="15"/>
      <c r="O262" s="137"/>
      <c r="P262" s="141"/>
      <c r="Q262" s="141"/>
      <c r="R262" s="141"/>
      <c r="S262" s="141"/>
      <c r="T262" s="141"/>
      <c r="U262" s="141"/>
      <c r="V262" s="141"/>
      <c r="W262" s="141"/>
      <c r="X262" s="141"/>
      <c r="Y262" s="141"/>
      <c r="Z262" s="141"/>
      <c r="AA262" s="194"/>
      <c r="AB262" s="194"/>
      <c r="AC262" s="194"/>
      <c r="AD262" s="194"/>
      <c r="AE262" s="194"/>
      <c r="AF262" s="194"/>
      <c r="AG262" s="197"/>
      <c r="AH262" s="194"/>
      <c r="AI262" s="194"/>
      <c r="AJ262" s="194"/>
      <c r="AK262" s="104">
        <v>258</v>
      </c>
      <c r="AL262" s="14">
        <f t="shared" ref="AL262:AL325" si="335">INT((AK262-1)/52)+1</f>
        <v>5</v>
      </c>
      <c r="AM262" s="14">
        <f>INDEX(挂机升级突破!DQ$6:DQ$57,卡牌消耗!$AT262)</f>
        <v>11</v>
      </c>
      <c r="AN262" s="14">
        <f>INDEX(挂机升级突破!DR$6:DR$57,卡牌消耗!$AT262)</f>
        <v>5</v>
      </c>
      <c r="AO262" s="14">
        <f>INDEX(挂机升级突破!DS$6:DS$57,卡牌消耗!$AT262)</f>
        <v>10</v>
      </c>
      <c r="AP262" s="14">
        <f>INDEX(挂机升级突破!$DP$6:$DP$57,卡牌消耗!AT262)</f>
        <v>143</v>
      </c>
      <c r="AQ262" s="14" t="str">
        <f t="shared" ref="AQ262:AQ325" si="336">INDEX($B$13:$B$45,AL262)</f>
        <v>李轩辕</v>
      </c>
      <c r="AR262" s="14">
        <f t="shared" ref="AR262:AR325" si="337">INDEX($C$13:$C$45,AL262)</f>
        <v>3</v>
      </c>
      <c r="AS262" s="14" t="str">
        <f t="shared" ref="AS262:AS325" si="338">AQ262&amp;"魂火-"&amp;AT262</f>
        <v>李轩辕魂火-50</v>
      </c>
      <c r="AT262" s="14">
        <f t="shared" ref="AT262:AT325" si="339">AK262-(AL262-1)*52</f>
        <v>50</v>
      </c>
      <c r="AU262" s="14" t="str">
        <f>IF(AM262&gt;0,INDEX(挂机升级突破!$DT$4:$ED$4,AM262),"")</f>
        <v>金币</v>
      </c>
      <c r="AV262" s="14">
        <f>ROUND(INDEX(挂机升级突破!$DJ$6:$DJ$57,卡牌消耗!AT262)*INDEX(卡牌消耗!$B$8:$F$8,AR262)/$Q$4/50,0)*50</f>
        <v>136750</v>
      </c>
      <c r="AW262" s="14" t="str">
        <f>IF(AN262&gt;0,INDEX(挂机升级突破!$DT$4:$ED$4,AN262),"")</f>
        <v>红色基础材料</v>
      </c>
      <c r="AX262" s="14">
        <f>ROUND(INDEX(挂机升级突破!$DT$6:$ED$57,卡牌消耗!AT262,AN262)*INDEX(卡牌消耗!$B$5:$F$5,AR262)/$Q$4/5,0)*5</f>
        <v>15</v>
      </c>
      <c r="AY262" s="14" t="str">
        <f>IF(AO262&gt;0,INDEX(挂机升级突破!$DT$4:$ED$4,AO262),"")</f>
        <v>灵玉</v>
      </c>
      <c r="AZ262" s="14">
        <f>IF(AO262&gt;0,ROUND(INDEX(挂机升级突破!$DT$6:$ED$57,卡牌消耗!AT262,AO262)*INDEX(卡牌消耗!$B$7:$F$7,AR262)/$Q$4,0),"")</f>
        <v>2</v>
      </c>
      <c r="BA262" s="106"/>
      <c r="BB262" s="197"/>
      <c r="BC262" s="197"/>
      <c r="BD262" s="197"/>
      <c r="BE262" s="197"/>
      <c r="BF262" s="197"/>
      <c r="BG262" s="197"/>
      <c r="BH262" s="197"/>
      <c r="BI262" s="197"/>
      <c r="BJ262" s="197"/>
      <c r="BK262" s="197"/>
      <c r="BL262" s="104">
        <v>258</v>
      </c>
      <c r="BM262" s="14">
        <f t="shared" ref="BM262:BM325" si="340">INT((BL262-1)/20)+1</f>
        <v>13</v>
      </c>
      <c r="BN262" s="14">
        <f>INDEX(挂机升级突破!$EI$7:$EI$26,BS262)</f>
        <v>5</v>
      </c>
      <c r="BO262" s="14">
        <f>INDEX(挂机升级突破!$EJ$7:$EJ$26,BS262)</f>
        <v>4</v>
      </c>
      <c r="BP262" s="14">
        <f t="shared" ref="BP262:BP325" si="341">INDEX($C$13:$C$45,BM262)</f>
        <v>2</v>
      </c>
      <c r="BQ262" s="14">
        <f>INDEX(挂机升级突破!$EH$7:$EH$26,卡牌消耗!BS262)</f>
        <v>125</v>
      </c>
      <c r="BR262" s="14" t="str">
        <f t="shared" ref="BR262:BR325" si="342">INDEX($B$13:$B$45,BM262)</f>
        <v>塞伯罗斯</v>
      </c>
      <c r="BS262" s="14">
        <f t="shared" ref="BS262:BS325" si="343">BL262-(BM262-1)*20</f>
        <v>18</v>
      </c>
      <c r="BT262" s="14" t="str">
        <f t="shared" ref="BT262:BT325" si="344">BR262&amp;BS262&amp;"突"</f>
        <v>塞伯罗斯18突</v>
      </c>
      <c r="BU262" s="14" t="str">
        <f>IF(BN262&gt;0,INDEX(挂机升级突破!$ER$5:$EV$5,卡牌消耗!BN262),"")</f>
        <v>金币</v>
      </c>
      <c r="BV262" s="14">
        <f>IF(BN262&gt;0,ROUND(INDEX(挂机升级突破!$EV$7:$EV$26,卡牌消耗!BS262)*INDEX(卡牌消耗!$B$8:$F$8,BP262)/$Q$4/500,0)*500,"")</f>
        <v>75000</v>
      </c>
      <c r="BW262" s="14" t="str">
        <f>IF(BO262&gt;0,INDEX(挂机升级突破!$ER$5:$EV$5,卡牌消耗!BO262),"")</f>
        <v>铀金</v>
      </c>
      <c r="BX262" s="14">
        <f>IF(BO262&gt;0,ROUND(INDEX(挂机升级突破!$ER$7:$EU$26,卡牌消耗!BS262,卡牌消耗!BO262)*INDEX($B$6:$F$6,BP262)/$Q$4/5,0)*5,"")</f>
        <v>20</v>
      </c>
      <c r="BY262" s="193"/>
      <c r="BZ262" s="193"/>
      <c r="CA262" s="106"/>
      <c r="CS262" s="171"/>
      <c r="CT262" s="171"/>
      <c r="CU262" s="171"/>
      <c r="DI262" s="186">
        <v>258</v>
      </c>
      <c r="DJ262" s="14">
        <f t="shared" si="327"/>
        <v>52</v>
      </c>
      <c r="DK262" s="14">
        <f t="shared" si="330"/>
        <v>3</v>
      </c>
      <c r="DL262" s="14">
        <f t="shared" si="331"/>
        <v>1102026</v>
      </c>
      <c r="DM262" s="186" t="s">
        <v>1097</v>
      </c>
      <c r="DN262" s="14">
        <f t="shared" si="332"/>
        <v>3</v>
      </c>
      <c r="DO262" s="14" t="str">
        <f t="shared" si="333"/>
        <v>雷震子-3星</v>
      </c>
      <c r="DP262" s="186" t="s">
        <v>67</v>
      </c>
      <c r="DQ262" s="14">
        <f t="shared" si="328"/>
        <v>10000</v>
      </c>
      <c r="DR262" s="14" t="str">
        <f t="shared" si="334"/>
        <v>雷震子碎片</v>
      </c>
      <c r="DS262" s="14">
        <f t="shared" si="329"/>
        <v>40</v>
      </c>
    </row>
    <row r="263" spans="8:123" ht="16.5" x14ac:dyDescent="0.2">
      <c r="H263" s="15"/>
      <c r="I263" s="15"/>
      <c r="J263" s="15"/>
      <c r="K263" s="15"/>
      <c r="L263" s="15"/>
      <c r="M263" s="15"/>
      <c r="N263" s="15"/>
      <c r="O263" s="137"/>
      <c r="P263" s="141"/>
      <c r="Q263" s="141"/>
      <c r="R263" s="141"/>
      <c r="S263" s="141"/>
      <c r="T263" s="141"/>
      <c r="U263" s="141"/>
      <c r="V263" s="141"/>
      <c r="W263" s="141"/>
      <c r="X263" s="141"/>
      <c r="Y263" s="141"/>
      <c r="Z263" s="141"/>
      <c r="AA263" s="194"/>
      <c r="AB263" s="194"/>
      <c r="AC263" s="194"/>
      <c r="AD263" s="194"/>
      <c r="AE263" s="194"/>
      <c r="AF263" s="194"/>
      <c r="AG263" s="197"/>
      <c r="AH263" s="194"/>
      <c r="AI263" s="194"/>
      <c r="AJ263" s="194"/>
      <c r="AK263" s="104">
        <v>259</v>
      </c>
      <c r="AL263" s="14">
        <f t="shared" si="335"/>
        <v>5</v>
      </c>
      <c r="AM263" s="14">
        <f>INDEX(挂机升级突破!DQ$6:DQ$57,卡牌消耗!$AT263)</f>
        <v>11</v>
      </c>
      <c r="AN263" s="14">
        <f>INDEX(挂机升级突破!DR$6:DR$57,卡牌消耗!$AT263)</f>
        <v>5</v>
      </c>
      <c r="AO263" s="14">
        <f>INDEX(挂机升级突破!DS$6:DS$57,卡牌消耗!$AT263)</f>
        <v>10</v>
      </c>
      <c r="AP263" s="14">
        <f>INDEX(挂机升级突破!$DP$6:$DP$57,卡牌消耗!AT263)</f>
        <v>145</v>
      </c>
      <c r="AQ263" s="14" t="str">
        <f t="shared" si="336"/>
        <v>李轩辕</v>
      </c>
      <c r="AR263" s="14">
        <f t="shared" si="337"/>
        <v>3</v>
      </c>
      <c r="AS263" s="14" t="str">
        <f t="shared" si="338"/>
        <v>李轩辕魂火-51</v>
      </c>
      <c r="AT263" s="14">
        <f t="shared" si="339"/>
        <v>51</v>
      </c>
      <c r="AU263" s="14" t="str">
        <f>IF(AM263&gt;0,INDEX(挂机升级突破!$DT$4:$ED$4,AM263),"")</f>
        <v>金币</v>
      </c>
      <c r="AV263" s="14">
        <f>ROUND(INDEX(挂机升级突破!$DJ$6:$DJ$57,卡牌消耗!AT263)*INDEX(卡牌消耗!$B$8:$F$8,AR263)/$Q$4/50,0)*50</f>
        <v>150450</v>
      </c>
      <c r="AW263" s="14" t="str">
        <f>IF(AN263&gt;0,INDEX(挂机升级突破!$DT$4:$ED$4,AN263),"")</f>
        <v>红色基础材料</v>
      </c>
      <c r="AX263" s="14">
        <f>ROUND(INDEX(挂机升级突破!$DT$6:$ED$57,卡牌消耗!AT263,AN263)*INDEX(卡牌消耗!$B$5:$F$5,AR263)/$Q$4/5,0)*5</f>
        <v>15</v>
      </c>
      <c r="AY263" s="14" t="str">
        <f>IF(AO263&gt;0,INDEX(挂机升级突破!$DT$4:$ED$4,AO263),"")</f>
        <v>灵玉</v>
      </c>
      <c r="AZ263" s="14">
        <f>IF(AO263&gt;0,ROUND(INDEX(挂机升级突破!$DT$6:$ED$57,卡牌消耗!AT263,AO263)*INDEX(卡牌消耗!$B$7:$F$7,AR263)/$Q$4,0),"")</f>
        <v>2</v>
      </c>
      <c r="BA263" s="106"/>
      <c r="BB263" s="197"/>
      <c r="BC263" s="197"/>
      <c r="BD263" s="197"/>
      <c r="BE263" s="197"/>
      <c r="BF263" s="197"/>
      <c r="BG263" s="197"/>
      <c r="BH263" s="197"/>
      <c r="BI263" s="197"/>
      <c r="BJ263" s="197"/>
      <c r="BK263" s="197"/>
      <c r="BL263" s="104">
        <v>259</v>
      </c>
      <c r="BM263" s="14">
        <f t="shared" si="340"/>
        <v>13</v>
      </c>
      <c r="BN263" s="14">
        <f>INDEX(挂机升级突破!$EI$7:$EI$26,BS263)</f>
        <v>5</v>
      </c>
      <c r="BO263" s="14">
        <f>INDEX(挂机升级突破!$EJ$7:$EJ$26,BS263)</f>
        <v>4</v>
      </c>
      <c r="BP263" s="14">
        <f t="shared" si="341"/>
        <v>2</v>
      </c>
      <c r="BQ263" s="14">
        <f>INDEX(挂机升级突破!$EH$7:$EH$26,卡牌消耗!BS263)</f>
        <v>132</v>
      </c>
      <c r="BR263" s="14" t="str">
        <f t="shared" si="342"/>
        <v>塞伯罗斯</v>
      </c>
      <c r="BS263" s="14">
        <f t="shared" si="343"/>
        <v>19</v>
      </c>
      <c r="BT263" s="14" t="str">
        <f t="shared" si="344"/>
        <v>塞伯罗斯19突</v>
      </c>
      <c r="BU263" s="14" t="str">
        <f>IF(BN263&gt;0,INDEX(挂机升级突破!$ER$5:$EV$5,卡牌消耗!BN263),"")</f>
        <v>金币</v>
      </c>
      <c r="BV263" s="14">
        <f>IF(BN263&gt;0,ROUND(INDEX(挂机升级突破!$EV$7:$EV$26,卡牌消耗!BS263)*INDEX(卡牌消耗!$B$8:$F$8,BP263)/$Q$4/500,0)*500,"")</f>
        <v>191500</v>
      </c>
      <c r="BW263" s="14" t="str">
        <f>IF(BO263&gt;0,INDEX(挂机升级突破!$ER$5:$EV$5,卡牌消耗!BO263),"")</f>
        <v>铀金</v>
      </c>
      <c r="BX263" s="14">
        <f>IF(BO263&gt;0,ROUND(INDEX(挂机升级突破!$ER$7:$EU$26,卡牌消耗!BS263,卡牌消耗!BO263)*INDEX($B$6:$F$6,BP263)/$Q$4/5,0)*5,"")</f>
        <v>25</v>
      </c>
      <c r="BY263" s="193"/>
      <c r="BZ263" s="193"/>
      <c r="CA263" s="106"/>
      <c r="CS263" s="171"/>
      <c r="CT263" s="171"/>
      <c r="CU263" s="171"/>
      <c r="DI263" s="186">
        <v>259</v>
      </c>
      <c r="DJ263" s="14">
        <f t="shared" si="327"/>
        <v>52</v>
      </c>
      <c r="DK263" s="14">
        <f t="shared" si="330"/>
        <v>3</v>
      </c>
      <c r="DL263" s="14">
        <f t="shared" si="331"/>
        <v>1102026</v>
      </c>
      <c r="DM263" s="186" t="s">
        <v>1097</v>
      </c>
      <c r="DN263" s="14">
        <f t="shared" si="332"/>
        <v>4</v>
      </c>
      <c r="DO263" s="14" t="str">
        <f t="shared" si="333"/>
        <v>雷震子-4星</v>
      </c>
      <c r="DP263" s="186" t="s">
        <v>67</v>
      </c>
      <c r="DQ263" s="14">
        <f t="shared" si="328"/>
        <v>20000</v>
      </c>
      <c r="DR263" s="14" t="str">
        <f t="shared" si="334"/>
        <v>雷震子碎片</v>
      </c>
      <c r="DS263" s="14">
        <f t="shared" si="329"/>
        <v>40</v>
      </c>
    </row>
    <row r="264" spans="8:123" ht="16.5" x14ac:dyDescent="0.2">
      <c r="H264" s="15"/>
      <c r="I264" s="15"/>
      <c r="J264" s="15"/>
      <c r="K264" s="15"/>
      <c r="L264" s="15"/>
      <c r="M264" s="15"/>
      <c r="N264" s="15"/>
      <c r="O264" s="137"/>
      <c r="P264" s="141"/>
      <c r="Q264" s="141"/>
      <c r="R264" s="141"/>
      <c r="S264" s="141"/>
      <c r="T264" s="141"/>
      <c r="U264" s="141"/>
      <c r="V264" s="141"/>
      <c r="W264" s="141"/>
      <c r="X264" s="141"/>
      <c r="Y264" s="141"/>
      <c r="Z264" s="141"/>
      <c r="AA264" s="194"/>
      <c r="AB264" s="194"/>
      <c r="AC264" s="194"/>
      <c r="AD264" s="194"/>
      <c r="AE264" s="194"/>
      <c r="AF264" s="194"/>
      <c r="AG264" s="197"/>
      <c r="AH264" s="194"/>
      <c r="AI264" s="194"/>
      <c r="AJ264" s="194"/>
      <c r="AK264" s="104">
        <v>260</v>
      </c>
      <c r="AL264" s="14">
        <f t="shared" si="335"/>
        <v>5</v>
      </c>
      <c r="AM264" s="14">
        <f>INDEX(挂机升级突破!DQ$6:DQ$57,卡牌消耗!$AT264)</f>
        <v>11</v>
      </c>
      <c r="AN264" s="14">
        <f>INDEX(挂机升级突破!DR$6:DR$57,卡牌消耗!$AT264)</f>
        <v>5</v>
      </c>
      <c r="AO264" s="14">
        <f>INDEX(挂机升级突破!DS$6:DS$57,卡牌消耗!$AT264)</f>
        <v>10</v>
      </c>
      <c r="AP264" s="14">
        <f>INDEX(挂机升级突破!$DP$6:$DP$57,卡牌消耗!AT264)</f>
        <v>148</v>
      </c>
      <c r="AQ264" s="14" t="str">
        <f t="shared" si="336"/>
        <v>李轩辕</v>
      </c>
      <c r="AR264" s="14">
        <f t="shared" si="337"/>
        <v>3</v>
      </c>
      <c r="AS264" s="14" t="str">
        <f t="shared" si="338"/>
        <v>李轩辕魂火-52</v>
      </c>
      <c r="AT264" s="14">
        <f t="shared" si="339"/>
        <v>52</v>
      </c>
      <c r="AU264" s="14" t="str">
        <f>IF(AM264&gt;0,INDEX(挂机升级突破!$DT$4:$ED$4,AM264),"")</f>
        <v>金币</v>
      </c>
      <c r="AV264" s="14">
        <f>ROUND(INDEX(挂机升级突破!$DJ$6:$DJ$57,卡牌消耗!AT264)*INDEX(卡牌消耗!$B$8:$F$8,AR264)/$Q$4/50,0)*50</f>
        <v>150450</v>
      </c>
      <c r="AW264" s="14" t="str">
        <f>IF(AN264&gt;0,INDEX(挂机升级突破!$DT$4:$ED$4,AN264),"")</f>
        <v>红色基础材料</v>
      </c>
      <c r="AX264" s="14">
        <f>ROUND(INDEX(挂机升级突破!$DT$6:$ED$57,卡牌消耗!AT264,AN264)*INDEX(卡牌消耗!$B$5:$F$5,AR264)/$Q$4/5,0)*5</f>
        <v>15</v>
      </c>
      <c r="AY264" s="14" t="str">
        <f>IF(AO264&gt;0,INDEX(挂机升级突破!$DT$4:$ED$4,AO264),"")</f>
        <v>灵玉</v>
      </c>
      <c r="AZ264" s="14">
        <f>IF(AO264&gt;0,ROUND(INDEX(挂机升级突破!$DT$6:$ED$57,卡牌消耗!AT264,AO264)*INDEX(卡牌消耗!$B$7:$F$7,AR264)/$Q$4,0),"")</f>
        <v>2</v>
      </c>
      <c r="BA264" s="106"/>
      <c r="BB264" s="197"/>
      <c r="BC264" s="197"/>
      <c r="BD264" s="197"/>
      <c r="BE264" s="197"/>
      <c r="BF264" s="197"/>
      <c r="BG264" s="197"/>
      <c r="BH264" s="197"/>
      <c r="BI264" s="197"/>
      <c r="BJ264" s="197"/>
      <c r="BK264" s="197"/>
      <c r="BL264" s="104">
        <v>260</v>
      </c>
      <c r="BM264" s="14">
        <f t="shared" si="340"/>
        <v>13</v>
      </c>
      <c r="BN264" s="14">
        <f>INDEX(挂机升级突破!$EI$7:$EI$26,BS264)</f>
        <v>5</v>
      </c>
      <c r="BO264" s="14">
        <f>INDEX(挂机升级突破!$EJ$7:$EJ$26,BS264)</f>
        <v>4</v>
      </c>
      <c r="BP264" s="14">
        <f t="shared" si="341"/>
        <v>2</v>
      </c>
      <c r="BQ264" s="14">
        <f>INDEX(挂机升级突破!$EH$7:$EH$26,卡牌消耗!BS264)</f>
        <v>140</v>
      </c>
      <c r="BR264" s="14" t="str">
        <f t="shared" si="342"/>
        <v>塞伯罗斯</v>
      </c>
      <c r="BS264" s="14">
        <f t="shared" si="343"/>
        <v>20</v>
      </c>
      <c r="BT264" s="14" t="str">
        <f t="shared" si="344"/>
        <v>塞伯罗斯20突</v>
      </c>
      <c r="BU264" s="14" t="str">
        <f>IF(BN264&gt;0,INDEX(挂机升级突破!$ER$5:$EV$5,卡牌消耗!BN264),"")</f>
        <v>金币</v>
      </c>
      <c r="BV264" s="14">
        <f>IF(BN264&gt;0,ROUND(INDEX(挂机升级突破!$EV$7:$EV$26,卡牌消耗!BS264)*INDEX(卡牌消耗!$B$8:$F$8,BP264)/$Q$4/500,0)*500,"")</f>
        <v>287000</v>
      </c>
      <c r="BW264" s="14" t="str">
        <f>IF(BO264&gt;0,INDEX(挂机升级突破!$ER$5:$EV$5,卡牌消耗!BO264),"")</f>
        <v>铀金</v>
      </c>
      <c r="BX264" s="14">
        <f>IF(BO264&gt;0,ROUND(INDEX(挂机升级突破!$ER$7:$EU$26,卡牌消耗!BS264,卡牌消耗!BO264)*INDEX($B$6:$F$6,BP264)/$Q$4/5,0)*5,"")</f>
        <v>35</v>
      </c>
      <c r="BY264" s="193"/>
      <c r="BZ264" s="193"/>
      <c r="CA264" s="106"/>
      <c r="CS264" s="171"/>
      <c r="CT264" s="171"/>
      <c r="CU264" s="171"/>
      <c r="DI264" s="186">
        <v>260</v>
      </c>
      <c r="DJ264" s="14">
        <f t="shared" si="327"/>
        <v>52</v>
      </c>
      <c r="DK264" s="14">
        <f t="shared" si="330"/>
        <v>3</v>
      </c>
      <c r="DL264" s="14">
        <f t="shared" si="331"/>
        <v>1102026</v>
      </c>
      <c r="DM264" s="186" t="s">
        <v>1097</v>
      </c>
      <c r="DN264" s="14">
        <f t="shared" si="332"/>
        <v>5</v>
      </c>
      <c r="DO264" s="14" t="str">
        <f t="shared" si="333"/>
        <v>雷震子-5星</v>
      </c>
      <c r="DP264" s="186" t="s">
        <v>67</v>
      </c>
      <c r="DQ264" s="14">
        <f t="shared" si="328"/>
        <v>40000</v>
      </c>
      <c r="DR264" s="14" t="str">
        <f t="shared" si="334"/>
        <v>雷震子碎片</v>
      </c>
      <c r="DS264" s="14">
        <f t="shared" si="329"/>
        <v>40</v>
      </c>
    </row>
    <row r="265" spans="8:123" ht="16.5" x14ac:dyDescent="0.2">
      <c r="H265" s="15"/>
      <c r="I265" s="15"/>
      <c r="J265" s="15"/>
      <c r="K265" s="15"/>
      <c r="L265" s="15"/>
      <c r="M265" s="15"/>
      <c r="N265" s="15"/>
      <c r="O265" s="137"/>
      <c r="P265" s="141"/>
      <c r="Q265" s="141"/>
      <c r="R265" s="141"/>
      <c r="S265" s="141"/>
      <c r="T265" s="141"/>
      <c r="U265" s="141"/>
      <c r="V265" s="141"/>
      <c r="W265" s="141"/>
      <c r="X265" s="141"/>
      <c r="Y265" s="141"/>
      <c r="Z265" s="141"/>
      <c r="AA265" s="194"/>
      <c r="AB265" s="194"/>
      <c r="AC265" s="194"/>
      <c r="AD265" s="194"/>
      <c r="AE265" s="194"/>
      <c r="AF265" s="194"/>
      <c r="AG265" s="197"/>
      <c r="AH265" s="194"/>
      <c r="AI265" s="194"/>
      <c r="AJ265" s="194"/>
      <c r="AK265" s="104">
        <v>261</v>
      </c>
      <c r="AL265" s="14">
        <f t="shared" si="335"/>
        <v>6</v>
      </c>
      <c r="AM265" s="14">
        <f>INDEX(挂机升级突破!DQ$6:DQ$57,卡牌消耗!$AT265)</f>
        <v>11</v>
      </c>
      <c r="AN265" s="14">
        <f>INDEX(挂机升级突破!DR$6:DR$57,卡牌消耗!$AT265)</f>
        <v>1</v>
      </c>
      <c r="AO265" s="14">
        <f>INDEX(挂机升级突破!DS$6:DS$57,卡牌消耗!$AT265)</f>
        <v>0</v>
      </c>
      <c r="AP265" s="14">
        <f>INDEX(挂机升级突破!$DP$6:$DP$57,卡牌消耗!AT265)</f>
        <v>3</v>
      </c>
      <c r="AQ265" s="14" t="str">
        <f t="shared" si="336"/>
        <v>项羽</v>
      </c>
      <c r="AR265" s="14">
        <f t="shared" si="337"/>
        <v>5</v>
      </c>
      <c r="AS265" s="14" t="str">
        <f t="shared" si="338"/>
        <v>项羽魂火-1</v>
      </c>
      <c r="AT265" s="14">
        <f t="shared" si="339"/>
        <v>1</v>
      </c>
      <c r="AU265" s="14" t="str">
        <f>IF(AM265&gt;0,INDEX(挂机升级突破!$DT$4:$ED$4,AM265),"")</f>
        <v>金币</v>
      </c>
      <c r="AV265" s="14">
        <f>ROUND(INDEX(挂机升级突破!$DJ$6:$DJ$57,卡牌消耗!AT265)*INDEX(卡牌消耗!$B$8:$F$8,AR265)/$Q$4/50,0)*50</f>
        <v>1750</v>
      </c>
      <c r="AW265" s="14" t="str">
        <f>IF(AN265&gt;0,INDEX(挂机升级突破!$DT$4:$ED$4,AN265),"")</f>
        <v>绿色基础材料</v>
      </c>
      <c r="AX265" s="14">
        <f>ROUND(INDEX(挂机升级突破!$DT$6:$ED$57,卡牌消耗!AT265,AN265)*INDEX(卡牌消耗!$B$5:$F$5,AR265)/$Q$4/5,0)*5</f>
        <v>40</v>
      </c>
      <c r="AY265" s="14" t="str">
        <f>IF(AO265&gt;0,INDEX(挂机升级突破!$DT$4:$ED$4,AO265),"")</f>
        <v/>
      </c>
      <c r="AZ265" s="14" t="str">
        <f>IF(AO265&gt;0,ROUND(INDEX(挂机升级突破!$DT$6:$ED$57,卡牌消耗!AT265,AO265)*INDEX(卡牌消耗!$B$7:$F$7,AR265)/$Q$4,0),"")</f>
        <v/>
      </c>
      <c r="BA265" s="106"/>
      <c r="BB265" s="197"/>
      <c r="BC265" s="197"/>
      <c r="BD265" s="197"/>
      <c r="BE265" s="197"/>
      <c r="BF265" s="197"/>
      <c r="BG265" s="197"/>
      <c r="BH265" s="197"/>
      <c r="BI265" s="197"/>
      <c r="BJ265" s="197"/>
      <c r="BK265" s="197"/>
      <c r="BL265" s="104">
        <v>261</v>
      </c>
      <c r="BM265" s="14">
        <f t="shared" si="340"/>
        <v>14</v>
      </c>
      <c r="BN265" s="14">
        <f>INDEX(挂机升级突破!$EI$7:$EI$26,BS265)</f>
        <v>0</v>
      </c>
      <c r="BO265" s="14">
        <f>INDEX(挂机升级突破!$EJ$7:$EJ$26,BS265)</f>
        <v>0</v>
      </c>
      <c r="BP265" s="14">
        <f t="shared" si="341"/>
        <v>3</v>
      </c>
      <c r="BQ265" s="14">
        <f>INDEX(挂机升级突破!$EH$7:$EH$26,卡牌消耗!BS265)</f>
        <v>1</v>
      </c>
      <c r="BR265" s="14" t="str">
        <f t="shared" si="342"/>
        <v>石灵明</v>
      </c>
      <c r="BS265" s="14">
        <f t="shared" si="343"/>
        <v>1</v>
      </c>
      <c r="BT265" s="14" t="str">
        <f t="shared" si="344"/>
        <v>石灵明1突</v>
      </c>
      <c r="BU265" s="14" t="str">
        <f>IF(BN265&gt;0,INDEX(挂机升级突破!$ER$5:$EV$5,卡牌消耗!BN265),"")</f>
        <v/>
      </c>
      <c r="BV265" s="14" t="str">
        <f>IF(BN265&gt;0,ROUND(INDEX(挂机升级突破!$EV$7:$EV$26,卡牌消耗!BS265)*INDEX(卡牌消耗!$B$8:$F$8,BP265)/$Q$4/500,0)*500,"")</f>
        <v/>
      </c>
      <c r="BW265" s="14" t="str">
        <f>IF(BO265&gt;0,INDEX(挂机升级突破!$ER$5:$EV$5,卡牌消耗!BO265),"")</f>
        <v/>
      </c>
      <c r="BX265" s="14" t="str">
        <f>IF(BO265&gt;0,ROUND(INDEX(挂机升级突破!$ER$7:$EU$26,卡牌消耗!BS265,卡牌消耗!BO265)*INDEX($B$6:$F$6,BP265)/$Q$4/5,0)*5,"")</f>
        <v/>
      </c>
      <c r="BY265" s="193"/>
      <c r="BZ265" s="193"/>
      <c r="CA265" s="106"/>
      <c r="CS265" s="171"/>
      <c r="CT265" s="171"/>
      <c r="CU265" s="171"/>
      <c r="DI265" s="186">
        <v>261</v>
      </c>
      <c r="DJ265" s="14">
        <f t="shared" si="327"/>
        <v>53</v>
      </c>
      <c r="DK265" s="14">
        <f t="shared" si="330"/>
        <v>5</v>
      </c>
      <c r="DL265" s="14">
        <f t="shared" si="331"/>
        <v>1102028</v>
      </c>
      <c r="DM265" s="186" t="s">
        <v>1097</v>
      </c>
      <c r="DN265" s="14">
        <f t="shared" si="332"/>
        <v>1</v>
      </c>
      <c r="DO265" s="14" t="str">
        <f t="shared" si="333"/>
        <v>吕布-1星</v>
      </c>
      <c r="DP265" s="186" t="s">
        <v>67</v>
      </c>
      <c r="DQ265" s="14">
        <f t="shared" si="328"/>
        <v>9000</v>
      </c>
      <c r="DR265" s="14" t="str">
        <f t="shared" si="334"/>
        <v>吕布碎片</v>
      </c>
      <c r="DS265" s="14">
        <f t="shared" si="329"/>
        <v>120</v>
      </c>
    </row>
    <row r="266" spans="8:123" ht="16.5" x14ac:dyDescent="0.2">
      <c r="H266" s="15"/>
      <c r="I266" s="15"/>
      <c r="J266" s="15"/>
      <c r="K266" s="15"/>
      <c r="L266" s="15"/>
      <c r="M266" s="15"/>
      <c r="N266" s="15"/>
      <c r="O266" s="137"/>
      <c r="P266" s="141"/>
      <c r="Q266" s="141"/>
      <c r="R266" s="141"/>
      <c r="S266" s="141"/>
      <c r="T266" s="141"/>
      <c r="U266" s="141"/>
      <c r="V266" s="141"/>
      <c r="W266" s="141"/>
      <c r="X266" s="141"/>
      <c r="Y266" s="141"/>
      <c r="Z266" s="141"/>
      <c r="AA266" s="194"/>
      <c r="AB266" s="194"/>
      <c r="AC266" s="194"/>
      <c r="AD266" s="194"/>
      <c r="AE266" s="194"/>
      <c r="AF266" s="194"/>
      <c r="AG266" s="197"/>
      <c r="AH266" s="194"/>
      <c r="AI266" s="194"/>
      <c r="AJ266" s="194"/>
      <c r="AK266" s="104">
        <v>262</v>
      </c>
      <c r="AL266" s="14">
        <f t="shared" si="335"/>
        <v>6</v>
      </c>
      <c r="AM266" s="14">
        <f>INDEX(挂机升级突破!DQ$6:DQ$57,卡牌消耗!$AT266)</f>
        <v>11</v>
      </c>
      <c r="AN266" s="14">
        <f>INDEX(挂机升级突破!DR$6:DR$57,卡牌消耗!$AT266)</f>
        <v>1</v>
      </c>
      <c r="AO266" s="14">
        <f>INDEX(挂机升级突破!DS$6:DS$57,卡牌消耗!$AT266)</f>
        <v>0</v>
      </c>
      <c r="AP266" s="14">
        <f>INDEX(挂机升级突破!$DP$6:$DP$57,卡牌消耗!AT266)</f>
        <v>8</v>
      </c>
      <c r="AQ266" s="14" t="str">
        <f t="shared" si="336"/>
        <v>项羽</v>
      </c>
      <c r="AR266" s="14">
        <f t="shared" si="337"/>
        <v>5</v>
      </c>
      <c r="AS266" s="14" t="str">
        <f t="shared" si="338"/>
        <v>项羽魂火-2</v>
      </c>
      <c r="AT266" s="14">
        <f t="shared" si="339"/>
        <v>2</v>
      </c>
      <c r="AU266" s="14" t="str">
        <f>IF(AM266&gt;0,INDEX(挂机升级突破!$DT$4:$ED$4,AM266),"")</f>
        <v>金币</v>
      </c>
      <c r="AV266" s="14">
        <f>ROUND(INDEX(挂机升级突破!$DJ$6:$DJ$57,卡牌消耗!AT266)*INDEX(卡牌消耗!$B$8:$F$8,AR266)/$Q$4/50,0)*50</f>
        <v>2100</v>
      </c>
      <c r="AW266" s="14" t="str">
        <f>IF(AN266&gt;0,INDEX(挂机升级突破!$DT$4:$ED$4,AN266),"")</f>
        <v>绿色基础材料</v>
      </c>
      <c r="AX266" s="14">
        <f>ROUND(INDEX(挂机升级突破!$DT$6:$ED$57,卡牌消耗!AT266,AN266)*INDEX(卡牌消耗!$B$5:$F$5,AR266)/$Q$4/5,0)*5</f>
        <v>130</v>
      </c>
      <c r="AY266" s="14" t="str">
        <f>IF(AO266&gt;0,INDEX(挂机升级突破!$DT$4:$ED$4,AO266),"")</f>
        <v/>
      </c>
      <c r="AZ266" s="14" t="str">
        <f>IF(AO266&gt;0,ROUND(INDEX(挂机升级突破!$DT$6:$ED$57,卡牌消耗!AT266,AO266)*INDEX(卡牌消耗!$B$7:$F$7,AR266)/$Q$4,0),"")</f>
        <v/>
      </c>
      <c r="BA266" s="106"/>
      <c r="BB266" s="197"/>
      <c r="BC266" s="197"/>
      <c r="BD266" s="197"/>
      <c r="BE266" s="197"/>
      <c r="BF266" s="197"/>
      <c r="BG266" s="197"/>
      <c r="BH266" s="197"/>
      <c r="BI266" s="197"/>
      <c r="BJ266" s="197"/>
      <c r="BK266" s="197"/>
      <c r="BL266" s="104">
        <v>262</v>
      </c>
      <c r="BM266" s="14">
        <f t="shared" si="340"/>
        <v>14</v>
      </c>
      <c r="BN266" s="14">
        <f>INDEX(挂机升级突破!$EI$7:$EI$26,BS266)</f>
        <v>5</v>
      </c>
      <c r="BO266" s="14">
        <f>INDEX(挂机升级突破!$EJ$7:$EJ$26,BS266)</f>
        <v>1</v>
      </c>
      <c r="BP266" s="14">
        <f t="shared" si="341"/>
        <v>3</v>
      </c>
      <c r="BQ266" s="14">
        <f>INDEX(挂机升级突破!$EH$7:$EH$26,卡牌消耗!BS266)</f>
        <v>5</v>
      </c>
      <c r="BR266" s="14" t="str">
        <f t="shared" si="342"/>
        <v>石灵明</v>
      </c>
      <c r="BS266" s="14">
        <f t="shared" si="343"/>
        <v>2</v>
      </c>
      <c r="BT266" s="14" t="str">
        <f t="shared" si="344"/>
        <v>石灵明2突</v>
      </c>
      <c r="BU266" s="14" t="str">
        <f>IF(BN266&gt;0,INDEX(挂机升级突破!$ER$5:$EV$5,卡牌消耗!BN266),"")</f>
        <v>金币</v>
      </c>
      <c r="BV266" s="14">
        <f>IF(BN266&gt;0,ROUND(INDEX(挂机升级突破!$EV$7:$EV$26,卡牌消耗!BS266)*INDEX(卡牌消耗!$B$8:$F$8,BP266)/$Q$4/500,0)*500,"")</f>
        <v>3000</v>
      </c>
      <c r="BW266" s="14" t="str">
        <f>IF(BO266&gt;0,INDEX(挂机升级突破!$ER$5:$EV$5,卡牌消耗!BO266),"")</f>
        <v>玄铁</v>
      </c>
      <c r="BX266" s="14">
        <f>IF(BO266&gt;0,ROUND(INDEX(挂机升级突破!$ER$7:$EU$26,卡牌消耗!BS266,卡牌消耗!BO266)*INDEX($B$6:$F$6,BP266)/$Q$4,0),"")</f>
        <v>2</v>
      </c>
      <c r="BY266" s="193"/>
      <c r="BZ266" s="193"/>
      <c r="CA266" s="106"/>
      <c r="CS266" s="171"/>
      <c r="CT266" s="171"/>
      <c r="CU266" s="171"/>
      <c r="DI266" s="186">
        <v>262</v>
      </c>
      <c r="DJ266" s="14">
        <f t="shared" si="327"/>
        <v>53</v>
      </c>
      <c r="DK266" s="14">
        <f t="shared" si="330"/>
        <v>5</v>
      </c>
      <c r="DL266" s="14">
        <f t="shared" si="331"/>
        <v>1102028</v>
      </c>
      <c r="DM266" s="186" t="s">
        <v>1097</v>
      </c>
      <c r="DN266" s="14">
        <f t="shared" si="332"/>
        <v>2</v>
      </c>
      <c r="DO266" s="14" t="str">
        <f t="shared" si="333"/>
        <v>吕布-2星</v>
      </c>
      <c r="DP266" s="186" t="s">
        <v>67</v>
      </c>
      <c r="DQ266" s="14">
        <f t="shared" si="328"/>
        <v>12000</v>
      </c>
      <c r="DR266" s="14" t="str">
        <f t="shared" si="334"/>
        <v>吕布碎片</v>
      </c>
      <c r="DS266" s="14">
        <f t="shared" si="329"/>
        <v>120</v>
      </c>
    </row>
    <row r="267" spans="8:123" ht="16.5" x14ac:dyDescent="0.2">
      <c r="H267" s="15"/>
      <c r="I267" s="15"/>
      <c r="J267" s="15"/>
      <c r="K267" s="15"/>
      <c r="L267" s="15"/>
      <c r="M267" s="15"/>
      <c r="N267" s="15"/>
      <c r="O267" s="137"/>
      <c r="P267" s="141"/>
      <c r="Q267" s="141"/>
      <c r="R267" s="141"/>
      <c r="S267" s="141"/>
      <c r="T267" s="141"/>
      <c r="U267" s="141"/>
      <c r="V267" s="141"/>
      <c r="W267" s="141"/>
      <c r="X267" s="141"/>
      <c r="Y267" s="141"/>
      <c r="Z267" s="141"/>
      <c r="AA267" s="194"/>
      <c r="AB267" s="194"/>
      <c r="AC267" s="194"/>
      <c r="AD267" s="194"/>
      <c r="AE267" s="194"/>
      <c r="AF267" s="194"/>
      <c r="AG267" s="197"/>
      <c r="AH267" s="194"/>
      <c r="AI267" s="194"/>
      <c r="AJ267" s="194"/>
      <c r="AK267" s="104">
        <v>263</v>
      </c>
      <c r="AL267" s="14">
        <f t="shared" si="335"/>
        <v>6</v>
      </c>
      <c r="AM267" s="14">
        <f>INDEX(挂机升级突破!DQ$6:DQ$57,卡牌消耗!$AT267)</f>
        <v>11</v>
      </c>
      <c r="AN267" s="14">
        <f>INDEX(挂机升级突破!DR$6:DR$57,卡牌消耗!$AT267)</f>
        <v>1</v>
      </c>
      <c r="AO267" s="14">
        <f>INDEX(挂机升级突破!DS$6:DS$57,卡牌消耗!$AT267)</f>
        <v>0</v>
      </c>
      <c r="AP267" s="14">
        <f>INDEX(挂机升级突破!$DP$6:$DP$57,卡牌消耗!AT267)</f>
        <v>13</v>
      </c>
      <c r="AQ267" s="14" t="str">
        <f t="shared" si="336"/>
        <v>项羽</v>
      </c>
      <c r="AR267" s="14">
        <f t="shared" si="337"/>
        <v>5</v>
      </c>
      <c r="AS267" s="14" t="str">
        <f t="shared" si="338"/>
        <v>项羽魂火-3</v>
      </c>
      <c r="AT267" s="14">
        <f t="shared" si="339"/>
        <v>3</v>
      </c>
      <c r="AU267" s="14" t="str">
        <f>IF(AM267&gt;0,INDEX(挂机升级突破!$DT$4:$ED$4,AM267),"")</f>
        <v>金币</v>
      </c>
      <c r="AV267" s="14">
        <f>ROUND(INDEX(挂机升级突破!$DJ$6:$DJ$57,卡牌消耗!AT267)*INDEX(卡牌消耗!$B$8:$F$8,AR267)/$Q$4/50,0)*50</f>
        <v>2100</v>
      </c>
      <c r="AW267" s="14" t="str">
        <f>IF(AN267&gt;0,INDEX(挂机升级突破!$DT$4:$ED$4,AN267),"")</f>
        <v>绿色基础材料</v>
      </c>
      <c r="AX267" s="14">
        <f>ROUND(INDEX(挂机升级突破!$DT$6:$ED$57,卡牌消耗!AT267,AN267)*INDEX(卡牌消耗!$B$5:$F$5,AR267)/$Q$4/5,0)*5</f>
        <v>155</v>
      </c>
      <c r="AY267" s="14" t="str">
        <f>IF(AO267&gt;0,INDEX(挂机升级突破!$DT$4:$ED$4,AO267),"")</f>
        <v/>
      </c>
      <c r="AZ267" s="14" t="str">
        <f>IF(AO267&gt;0,ROUND(INDEX(挂机升级突破!$DT$6:$ED$57,卡牌消耗!AT267,AO267)*INDEX(卡牌消耗!$B$7:$F$7,AR267)/$Q$4,0),"")</f>
        <v/>
      </c>
      <c r="BA267" s="106"/>
      <c r="BB267" s="197"/>
      <c r="BC267" s="197"/>
      <c r="BD267" s="197"/>
      <c r="BE267" s="197"/>
      <c r="BF267" s="197"/>
      <c r="BG267" s="197"/>
      <c r="BH267" s="197"/>
      <c r="BI267" s="197"/>
      <c r="BJ267" s="197"/>
      <c r="BK267" s="197"/>
      <c r="BL267" s="104">
        <v>263</v>
      </c>
      <c r="BM267" s="14">
        <f t="shared" si="340"/>
        <v>14</v>
      </c>
      <c r="BN267" s="14">
        <f>INDEX(挂机升级突破!$EI$7:$EI$26,BS267)</f>
        <v>5</v>
      </c>
      <c r="BO267" s="14">
        <f>INDEX(挂机升级突破!$EJ$7:$EJ$26,BS267)</f>
        <v>1</v>
      </c>
      <c r="BP267" s="14">
        <f t="shared" si="341"/>
        <v>3</v>
      </c>
      <c r="BQ267" s="14">
        <f>INDEX(挂机升级突破!$EH$7:$EH$26,卡牌消耗!BS267)</f>
        <v>15</v>
      </c>
      <c r="BR267" s="14" t="str">
        <f t="shared" si="342"/>
        <v>石灵明</v>
      </c>
      <c r="BS267" s="14">
        <f t="shared" si="343"/>
        <v>3</v>
      </c>
      <c r="BT267" s="14" t="str">
        <f t="shared" si="344"/>
        <v>石灵明3突</v>
      </c>
      <c r="BU267" s="14" t="str">
        <f>IF(BN267&gt;0,INDEX(挂机升级突破!$ER$5:$EV$5,卡牌消耗!BN267),"")</f>
        <v>金币</v>
      </c>
      <c r="BV267" s="14">
        <f>IF(BN267&gt;0,ROUND(INDEX(挂机升级突破!$EV$7:$EV$26,卡牌消耗!BS267)*INDEX(卡牌消耗!$B$8:$F$8,BP267)/$Q$4/500,0)*500,"")</f>
        <v>3000</v>
      </c>
      <c r="BW267" s="14" t="str">
        <f>IF(BO267&gt;0,INDEX(挂机升级突破!$ER$5:$EV$5,卡牌消耗!BO267),"")</f>
        <v>玄铁</v>
      </c>
      <c r="BX267" s="14">
        <f>IF(BO267&gt;0,ROUND(INDEX(挂机升级突破!$ER$7:$EU$26,卡牌消耗!BS267,卡牌消耗!BO267)*INDEX($B$6:$F$6,BP267)/$Q$4,0),"")</f>
        <v>5</v>
      </c>
      <c r="BY267" s="193"/>
      <c r="BZ267" s="193"/>
      <c r="CA267" s="106"/>
      <c r="CS267" s="171"/>
      <c r="CT267" s="171"/>
      <c r="CU267" s="171"/>
      <c r="DI267" s="186">
        <v>263</v>
      </c>
      <c r="DJ267" s="14">
        <f t="shared" si="327"/>
        <v>53</v>
      </c>
      <c r="DK267" s="14">
        <f t="shared" si="330"/>
        <v>5</v>
      </c>
      <c r="DL267" s="14">
        <f t="shared" si="331"/>
        <v>1102028</v>
      </c>
      <c r="DM267" s="186" t="s">
        <v>1097</v>
      </c>
      <c r="DN267" s="14">
        <f t="shared" si="332"/>
        <v>3</v>
      </c>
      <c r="DO267" s="14" t="str">
        <f t="shared" si="333"/>
        <v>吕布-3星</v>
      </c>
      <c r="DP267" s="186" t="s">
        <v>67</v>
      </c>
      <c r="DQ267" s="14">
        <f t="shared" si="328"/>
        <v>20000</v>
      </c>
      <c r="DR267" s="14" t="str">
        <f t="shared" si="334"/>
        <v>吕布碎片</v>
      </c>
      <c r="DS267" s="14">
        <f t="shared" si="329"/>
        <v>120</v>
      </c>
    </row>
    <row r="268" spans="8:123" ht="16.5" x14ac:dyDescent="0.2">
      <c r="H268" s="15"/>
      <c r="I268" s="15"/>
      <c r="J268" s="15"/>
      <c r="K268" s="15"/>
      <c r="L268" s="15"/>
      <c r="M268" s="15"/>
      <c r="N268" s="15"/>
      <c r="O268" s="137"/>
      <c r="P268" s="141"/>
      <c r="Q268" s="141"/>
      <c r="R268" s="141"/>
      <c r="S268" s="141"/>
      <c r="T268" s="141"/>
      <c r="U268" s="141"/>
      <c r="V268" s="141"/>
      <c r="W268" s="141"/>
      <c r="X268" s="141"/>
      <c r="Y268" s="141"/>
      <c r="Z268" s="141"/>
      <c r="AA268" s="194"/>
      <c r="AB268" s="194"/>
      <c r="AC268" s="194"/>
      <c r="AD268" s="194"/>
      <c r="AE268" s="194"/>
      <c r="AF268" s="194"/>
      <c r="AG268" s="197"/>
      <c r="AH268" s="194"/>
      <c r="AI268" s="194"/>
      <c r="AJ268" s="194"/>
      <c r="AK268" s="104">
        <v>264</v>
      </c>
      <c r="AL268" s="14">
        <f t="shared" si="335"/>
        <v>6</v>
      </c>
      <c r="AM268" s="14">
        <f>INDEX(挂机升级突破!DQ$6:DQ$57,卡牌消耗!$AT268)</f>
        <v>11</v>
      </c>
      <c r="AN268" s="14">
        <f>INDEX(挂机升级突破!DR$6:DR$57,卡牌消耗!$AT268)</f>
        <v>1</v>
      </c>
      <c r="AO268" s="14">
        <f>INDEX(挂机升级突破!DS$6:DS$57,卡牌消耗!$AT268)</f>
        <v>0</v>
      </c>
      <c r="AP268" s="14">
        <f>INDEX(挂机升级突破!$DP$6:$DP$57,卡牌消耗!AT268)</f>
        <v>18</v>
      </c>
      <c r="AQ268" s="14" t="str">
        <f t="shared" si="336"/>
        <v>项羽</v>
      </c>
      <c r="AR268" s="14">
        <f t="shared" si="337"/>
        <v>5</v>
      </c>
      <c r="AS268" s="14" t="str">
        <f t="shared" si="338"/>
        <v>项羽魂火-4</v>
      </c>
      <c r="AT268" s="14">
        <f t="shared" si="339"/>
        <v>4</v>
      </c>
      <c r="AU268" s="14" t="str">
        <f>IF(AM268&gt;0,INDEX(挂机升级突破!$DT$4:$ED$4,AM268),"")</f>
        <v>金币</v>
      </c>
      <c r="AV268" s="14">
        <f>ROUND(INDEX(挂机升级突破!$DJ$6:$DJ$57,卡牌消耗!AT268)*INDEX(卡牌消耗!$B$8:$F$8,AR268)/$Q$4/50,0)*50</f>
        <v>2100</v>
      </c>
      <c r="AW268" s="14" t="str">
        <f>IF(AN268&gt;0,INDEX(挂机升级突破!$DT$4:$ED$4,AN268),"")</f>
        <v>绿色基础材料</v>
      </c>
      <c r="AX268" s="14">
        <f>ROUND(INDEX(挂机升级突破!$DT$6:$ED$57,卡牌消耗!AT268,AN268)*INDEX(卡牌消耗!$B$5:$F$5,AR268)/$Q$4/5,0)*5</f>
        <v>215</v>
      </c>
      <c r="AY268" s="14" t="str">
        <f>IF(AO268&gt;0,INDEX(挂机升级突破!$DT$4:$ED$4,AO268),"")</f>
        <v/>
      </c>
      <c r="AZ268" s="14" t="str">
        <f>IF(AO268&gt;0,ROUND(INDEX(挂机升级突破!$DT$6:$ED$57,卡牌消耗!AT268,AO268)*INDEX(卡牌消耗!$B$7:$F$7,AR268)/$Q$4,0),"")</f>
        <v/>
      </c>
      <c r="BA268" s="106"/>
      <c r="BB268" s="197"/>
      <c r="BC268" s="197"/>
      <c r="BD268" s="197"/>
      <c r="BE268" s="197"/>
      <c r="BF268" s="197"/>
      <c r="BG268" s="197"/>
      <c r="BH268" s="197"/>
      <c r="BI268" s="197"/>
      <c r="BJ268" s="197"/>
      <c r="BK268" s="197"/>
      <c r="BL268" s="104">
        <v>264</v>
      </c>
      <c r="BM268" s="14">
        <f t="shared" si="340"/>
        <v>14</v>
      </c>
      <c r="BN268" s="14">
        <f>INDEX(挂机升级突破!$EI$7:$EI$26,BS268)</f>
        <v>5</v>
      </c>
      <c r="BO268" s="14">
        <f>INDEX(挂机升级突破!$EJ$7:$EJ$26,BS268)</f>
        <v>1</v>
      </c>
      <c r="BP268" s="14">
        <f t="shared" si="341"/>
        <v>3</v>
      </c>
      <c r="BQ268" s="14">
        <f>INDEX(挂机升级突破!$EH$7:$EH$26,卡牌消耗!BS268)</f>
        <v>25</v>
      </c>
      <c r="BR268" s="14" t="str">
        <f t="shared" si="342"/>
        <v>石灵明</v>
      </c>
      <c r="BS268" s="14">
        <f t="shared" si="343"/>
        <v>4</v>
      </c>
      <c r="BT268" s="14" t="str">
        <f t="shared" si="344"/>
        <v>石灵明4突</v>
      </c>
      <c r="BU268" s="14" t="str">
        <f>IF(BN268&gt;0,INDEX(挂机升级突破!$ER$5:$EV$5,卡牌消耗!BN268),"")</f>
        <v>金币</v>
      </c>
      <c r="BV268" s="14">
        <f>IF(BN268&gt;0,ROUND(INDEX(挂机升级突破!$EV$7:$EV$26,卡牌消耗!BS268)*INDEX(卡牌消耗!$B$8:$F$8,BP268)/$Q$4/500,0)*500,"")</f>
        <v>4000</v>
      </c>
      <c r="BW268" s="14" t="str">
        <f>IF(BO268&gt;0,INDEX(挂机升级突破!$ER$5:$EV$5,卡牌消耗!BO268),"")</f>
        <v>玄铁</v>
      </c>
      <c r="BX268" s="14">
        <f>IF(BO268&gt;0,ROUND(INDEX(挂机升级突破!$ER$7:$EU$26,卡牌消耗!BS268,卡牌消耗!BO268)*INDEX($B$6:$F$6,BP268)/$Q$4,0),"")</f>
        <v>17</v>
      </c>
      <c r="BY268" s="193"/>
      <c r="BZ268" s="193"/>
      <c r="CA268" s="106"/>
      <c r="CS268" s="171"/>
      <c r="CT268" s="171"/>
      <c r="CU268" s="171"/>
      <c r="DI268" s="186">
        <v>264</v>
      </c>
      <c r="DJ268" s="14">
        <f t="shared" si="327"/>
        <v>53</v>
      </c>
      <c r="DK268" s="14">
        <f t="shared" si="330"/>
        <v>5</v>
      </c>
      <c r="DL268" s="14">
        <f t="shared" si="331"/>
        <v>1102028</v>
      </c>
      <c r="DM268" s="186" t="s">
        <v>1097</v>
      </c>
      <c r="DN268" s="14">
        <f t="shared" si="332"/>
        <v>4</v>
      </c>
      <c r="DO268" s="14" t="str">
        <f t="shared" si="333"/>
        <v>吕布-4星</v>
      </c>
      <c r="DP268" s="186" t="s">
        <v>67</v>
      </c>
      <c r="DQ268" s="14">
        <f t="shared" si="328"/>
        <v>50000</v>
      </c>
      <c r="DR268" s="14" t="str">
        <f t="shared" si="334"/>
        <v>吕布碎片</v>
      </c>
      <c r="DS268" s="14">
        <f t="shared" si="329"/>
        <v>120</v>
      </c>
    </row>
    <row r="269" spans="8:123" ht="16.5" x14ac:dyDescent="0.2">
      <c r="H269" s="15"/>
      <c r="I269" s="15"/>
      <c r="J269" s="15"/>
      <c r="K269" s="15"/>
      <c r="L269" s="15"/>
      <c r="M269" s="15"/>
      <c r="N269" s="15"/>
      <c r="O269" s="137"/>
      <c r="P269" s="141"/>
      <c r="Q269" s="141"/>
      <c r="R269" s="141"/>
      <c r="S269" s="141"/>
      <c r="T269" s="141"/>
      <c r="U269" s="141"/>
      <c r="V269" s="141"/>
      <c r="W269" s="141"/>
      <c r="X269" s="141"/>
      <c r="Y269" s="141"/>
      <c r="Z269" s="141"/>
      <c r="AA269" s="194"/>
      <c r="AB269" s="194"/>
      <c r="AC269" s="194"/>
      <c r="AD269" s="194"/>
      <c r="AE269" s="194"/>
      <c r="AF269" s="194"/>
      <c r="AG269" s="197"/>
      <c r="AH269" s="194"/>
      <c r="AI269" s="194"/>
      <c r="AJ269" s="194"/>
      <c r="AK269" s="104">
        <v>265</v>
      </c>
      <c r="AL269" s="14">
        <f t="shared" si="335"/>
        <v>6</v>
      </c>
      <c r="AM269" s="14">
        <f>INDEX(挂机升级突破!DQ$6:DQ$57,卡牌消耗!$AT269)</f>
        <v>11</v>
      </c>
      <c r="AN269" s="14">
        <f>INDEX(挂机升级突破!DR$6:DR$57,卡牌消耗!$AT269)</f>
        <v>1</v>
      </c>
      <c r="AO269" s="14">
        <f>INDEX(挂机升级突破!DS$6:DS$57,卡牌消耗!$AT269)</f>
        <v>0</v>
      </c>
      <c r="AP269" s="14">
        <f>INDEX(挂机升级突破!$DP$6:$DP$57,卡牌消耗!AT269)</f>
        <v>23</v>
      </c>
      <c r="AQ269" s="14" t="str">
        <f t="shared" si="336"/>
        <v>项羽</v>
      </c>
      <c r="AR269" s="14">
        <f t="shared" si="337"/>
        <v>5</v>
      </c>
      <c r="AS269" s="14" t="str">
        <f t="shared" si="338"/>
        <v>项羽魂火-5</v>
      </c>
      <c r="AT269" s="14">
        <f t="shared" si="339"/>
        <v>5</v>
      </c>
      <c r="AU269" s="14" t="str">
        <f>IF(AM269&gt;0,INDEX(挂机升级突破!$DT$4:$ED$4,AM269),"")</f>
        <v>金币</v>
      </c>
      <c r="AV269" s="14">
        <f>ROUND(INDEX(挂机升级突破!$DJ$6:$DJ$57,卡牌消耗!AT269)*INDEX(卡牌消耗!$B$8:$F$8,AR269)/$Q$4/50,0)*50</f>
        <v>2100</v>
      </c>
      <c r="AW269" s="14" t="str">
        <f>IF(AN269&gt;0,INDEX(挂机升级突破!$DT$4:$ED$4,AN269),"")</f>
        <v>绿色基础材料</v>
      </c>
      <c r="AX269" s="14">
        <f>ROUND(INDEX(挂机升级突破!$DT$6:$ED$57,卡牌消耗!AT269,AN269)*INDEX(卡牌消耗!$B$5:$F$5,AR269)/$Q$4/5,0)*5</f>
        <v>230</v>
      </c>
      <c r="AY269" s="14" t="str">
        <f>IF(AO269&gt;0,INDEX(挂机升级突破!$DT$4:$ED$4,AO269),"")</f>
        <v/>
      </c>
      <c r="AZ269" s="14" t="str">
        <f>IF(AO269&gt;0,ROUND(INDEX(挂机升级突破!$DT$6:$ED$57,卡牌消耗!AT269,AO269)*INDEX(卡牌消耗!$B$7:$F$7,AR269)/$Q$4,0),"")</f>
        <v/>
      </c>
      <c r="BA269" s="106"/>
      <c r="BB269" s="197"/>
      <c r="BC269" s="197"/>
      <c r="BD269" s="197"/>
      <c r="BE269" s="197"/>
      <c r="BF269" s="197"/>
      <c r="BG269" s="197"/>
      <c r="BH269" s="197"/>
      <c r="BI269" s="197"/>
      <c r="BJ269" s="197"/>
      <c r="BK269" s="197"/>
      <c r="BL269" s="104">
        <v>265</v>
      </c>
      <c r="BM269" s="14">
        <f t="shared" si="340"/>
        <v>14</v>
      </c>
      <c r="BN269" s="14">
        <f>INDEX(挂机升级突破!$EI$7:$EI$26,BS269)</f>
        <v>5</v>
      </c>
      <c r="BO269" s="14">
        <f>INDEX(挂机升级突破!$EJ$7:$EJ$26,BS269)</f>
        <v>1</v>
      </c>
      <c r="BP269" s="14">
        <f t="shared" si="341"/>
        <v>3</v>
      </c>
      <c r="BQ269" s="14">
        <f>INDEX(挂机升级突破!$EH$7:$EH$26,卡牌消耗!BS269)</f>
        <v>35</v>
      </c>
      <c r="BR269" s="14" t="str">
        <f t="shared" si="342"/>
        <v>石灵明</v>
      </c>
      <c r="BS269" s="14">
        <f t="shared" si="343"/>
        <v>5</v>
      </c>
      <c r="BT269" s="14" t="str">
        <f t="shared" si="344"/>
        <v>石灵明5突</v>
      </c>
      <c r="BU269" s="14" t="str">
        <f>IF(BN269&gt;0,INDEX(挂机升级突破!$ER$5:$EV$5,卡牌消耗!BN269),"")</f>
        <v>金币</v>
      </c>
      <c r="BV269" s="14">
        <f>IF(BN269&gt;0,ROUND(INDEX(挂机升级突破!$EV$7:$EV$26,卡牌消耗!BS269)*INDEX(卡牌消耗!$B$8:$F$8,BP269)/$Q$4/500,0)*500,"")</f>
        <v>4000</v>
      </c>
      <c r="BW269" s="14" t="str">
        <f>IF(BO269&gt;0,INDEX(挂机升级突破!$ER$5:$EV$5,卡牌消耗!BO269),"")</f>
        <v>玄铁</v>
      </c>
      <c r="BX269" s="14">
        <f>IF(BO269&gt;0,ROUND(INDEX(挂机升级突破!$ER$7:$EU$26,卡牌消耗!BS269,卡牌消耗!BO269)*INDEX($B$6:$F$6,BP269)/$Q$4/5,0)*5,"")</f>
        <v>35</v>
      </c>
      <c r="BY269" s="193"/>
      <c r="BZ269" s="193"/>
      <c r="CA269" s="106"/>
      <c r="CS269" s="171"/>
      <c r="CT269" s="171"/>
      <c r="CU269" s="171"/>
      <c r="DI269" s="186">
        <v>265</v>
      </c>
      <c r="DJ269" s="14">
        <f t="shared" si="327"/>
        <v>53</v>
      </c>
      <c r="DK269" s="14">
        <f t="shared" si="330"/>
        <v>5</v>
      </c>
      <c r="DL269" s="14">
        <f t="shared" si="331"/>
        <v>1102028</v>
      </c>
      <c r="DM269" s="186" t="s">
        <v>1097</v>
      </c>
      <c r="DN269" s="14">
        <f t="shared" si="332"/>
        <v>5</v>
      </c>
      <c r="DO269" s="14" t="str">
        <f t="shared" si="333"/>
        <v>吕布-5星</v>
      </c>
      <c r="DP269" s="186" t="s">
        <v>67</v>
      </c>
      <c r="DQ269" s="14">
        <f t="shared" si="328"/>
        <v>90000</v>
      </c>
      <c r="DR269" s="14" t="str">
        <f t="shared" si="334"/>
        <v>吕布碎片</v>
      </c>
      <c r="DS269" s="14">
        <f t="shared" si="329"/>
        <v>120</v>
      </c>
    </row>
    <row r="270" spans="8:123" ht="16.5" x14ac:dyDescent="0.2">
      <c r="H270" s="15"/>
      <c r="I270" s="15"/>
      <c r="J270" s="15"/>
      <c r="K270" s="15"/>
      <c r="L270" s="15"/>
      <c r="M270" s="15"/>
      <c r="N270" s="15"/>
      <c r="O270" s="137"/>
      <c r="P270" s="141"/>
      <c r="Q270" s="141"/>
      <c r="R270" s="141"/>
      <c r="S270" s="141"/>
      <c r="T270" s="141"/>
      <c r="U270" s="141"/>
      <c r="V270" s="141"/>
      <c r="W270" s="141"/>
      <c r="X270" s="141"/>
      <c r="Y270" s="141"/>
      <c r="Z270" s="141"/>
      <c r="AA270" s="194"/>
      <c r="AB270" s="194"/>
      <c r="AC270" s="194"/>
      <c r="AD270" s="194"/>
      <c r="AE270" s="194"/>
      <c r="AF270" s="194"/>
      <c r="AG270" s="197"/>
      <c r="AH270" s="194"/>
      <c r="AI270" s="194"/>
      <c r="AJ270" s="194"/>
      <c r="AK270" s="104">
        <v>266</v>
      </c>
      <c r="AL270" s="14">
        <f t="shared" si="335"/>
        <v>6</v>
      </c>
      <c r="AM270" s="14">
        <f>INDEX(挂机升级突破!DQ$6:DQ$57,卡牌消耗!$AT270)</f>
        <v>11</v>
      </c>
      <c r="AN270" s="14">
        <f>INDEX(挂机升级突破!DR$6:DR$57,卡牌消耗!$AT270)</f>
        <v>2</v>
      </c>
      <c r="AO270" s="14">
        <f>INDEX(挂机升级突破!DS$6:DS$57,卡牌消耗!$AT270)</f>
        <v>0</v>
      </c>
      <c r="AP270" s="14">
        <f>INDEX(挂机升级突破!$DP$6:$DP$57,卡牌消耗!AT270)</f>
        <v>28</v>
      </c>
      <c r="AQ270" s="14" t="str">
        <f t="shared" si="336"/>
        <v>项羽</v>
      </c>
      <c r="AR270" s="14">
        <f t="shared" si="337"/>
        <v>5</v>
      </c>
      <c r="AS270" s="14" t="str">
        <f t="shared" si="338"/>
        <v>项羽魂火-6</v>
      </c>
      <c r="AT270" s="14">
        <f t="shared" si="339"/>
        <v>6</v>
      </c>
      <c r="AU270" s="14" t="str">
        <f>IF(AM270&gt;0,INDEX(挂机升级突破!$DT$4:$ED$4,AM270),"")</f>
        <v>金币</v>
      </c>
      <c r="AV270" s="14">
        <f>ROUND(INDEX(挂机升级突破!$DJ$6:$DJ$57,卡牌消耗!AT270)*INDEX(卡牌消耗!$B$8:$F$8,AR270)/$Q$4/50,0)*50</f>
        <v>2550</v>
      </c>
      <c r="AW270" s="14" t="str">
        <f>IF(AN270&gt;0,INDEX(挂机升级突破!$DT$4:$ED$4,AN270),"")</f>
        <v>蓝色基础材料</v>
      </c>
      <c r="AX270" s="14">
        <f>ROUND(INDEX(挂机升级突破!$DT$6:$ED$57,卡牌消耗!AT270,AN270)*INDEX(卡牌消耗!$B$5:$F$5,AR270)/$Q$4/5,0)*5</f>
        <v>45</v>
      </c>
      <c r="AY270" s="14" t="str">
        <f>IF(AO270&gt;0,INDEX(挂机升级突破!$DT$4:$ED$4,AO270),"")</f>
        <v/>
      </c>
      <c r="AZ270" s="14" t="str">
        <f>IF(AO270&gt;0,ROUND(INDEX(挂机升级突破!$DT$6:$ED$57,卡牌消耗!AT270,AO270)*INDEX(卡牌消耗!$B$7:$F$7,AR270)/$Q$4,0),"")</f>
        <v/>
      </c>
      <c r="BA270" s="106"/>
      <c r="BB270" s="197"/>
      <c r="BC270" s="197"/>
      <c r="BD270" s="197"/>
      <c r="BE270" s="197"/>
      <c r="BF270" s="197"/>
      <c r="BG270" s="197"/>
      <c r="BH270" s="197"/>
      <c r="BI270" s="197"/>
      <c r="BJ270" s="197"/>
      <c r="BK270" s="197"/>
      <c r="BL270" s="104">
        <v>266</v>
      </c>
      <c r="BM270" s="14">
        <f t="shared" si="340"/>
        <v>14</v>
      </c>
      <c r="BN270" s="14">
        <f>INDEX(挂机升级突破!$EI$7:$EI$26,BS270)</f>
        <v>5</v>
      </c>
      <c r="BO270" s="14">
        <f>INDEX(挂机升级突破!$EJ$7:$EJ$26,BS270)</f>
        <v>1</v>
      </c>
      <c r="BP270" s="14">
        <f t="shared" si="341"/>
        <v>3</v>
      </c>
      <c r="BQ270" s="14">
        <f>INDEX(挂机升级突破!$EH$7:$EH$26,卡牌消耗!BS270)</f>
        <v>42</v>
      </c>
      <c r="BR270" s="14" t="str">
        <f t="shared" si="342"/>
        <v>石灵明</v>
      </c>
      <c r="BS270" s="14">
        <f t="shared" si="343"/>
        <v>6</v>
      </c>
      <c r="BT270" s="14" t="str">
        <f t="shared" si="344"/>
        <v>石灵明6突</v>
      </c>
      <c r="BU270" s="14" t="str">
        <f>IF(BN270&gt;0,INDEX(挂机升级突破!$ER$5:$EV$5,卡牌消耗!BN270),"")</f>
        <v>金币</v>
      </c>
      <c r="BV270" s="14">
        <f>IF(BN270&gt;0,ROUND(INDEX(挂机升级突破!$EV$7:$EV$26,卡牌消耗!BS270)*INDEX(卡牌消耗!$B$8:$F$8,BP270)/$Q$4/500,0)*500,"")</f>
        <v>5000</v>
      </c>
      <c r="BW270" s="14" t="str">
        <f>IF(BO270&gt;0,INDEX(挂机升级突破!$ER$5:$EV$5,卡牌消耗!BO270),"")</f>
        <v>玄铁</v>
      </c>
      <c r="BX270" s="14">
        <f>IF(BO270&gt;0,ROUND(INDEX(挂机升级突破!$ER$7:$EU$26,卡牌消耗!BS270,卡牌消耗!BO270)*INDEX($B$6:$F$6,BP270)/$Q$4/5,0)*5,"")</f>
        <v>50</v>
      </c>
      <c r="BY270" s="193"/>
      <c r="BZ270" s="193"/>
      <c r="CA270" s="106"/>
      <c r="CS270" s="171"/>
      <c r="CT270" s="171"/>
      <c r="CU270" s="171"/>
      <c r="DI270" s="186">
        <v>266</v>
      </c>
      <c r="DJ270" s="14">
        <f t="shared" si="327"/>
        <v>54</v>
      </c>
      <c r="DK270" s="14">
        <f t="shared" si="330"/>
        <v>3</v>
      </c>
      <c r="DL270" s="14">
        <f t="shared" si="331"/>
        <v>1102030</v>
      </c>
      <c r="DM270" s="186" t="s">
        <v>1097</v>
      </c>
      <c r="DN270" s="14">
        <f t="shared" si="332"/>
        <v>1</v>
      </c>
      <c r="DO270" s="14" t="str">
        <f t="shared" si="333"/>
        <v>燕青-1星</v>
      </c>
      <c r="DP270" s="186" t="s">
        <v>67</v>
      </c>
      <c r="DQ270" s="14">
        <f t="shared" si="328"/>
        <v>4000</v>
      </c>
      <c r="DR270" s="14" t="str">
        <f t="shared" si="334"/>
        <v>燕青碎片</v>
      </c>
      <c r="DS270" s="14">
        <f t="shared" si="329"/>
        <v>40</v>
      </c>
    </row>
    <row r="271" spans="8:123" ht="16.5" x14ac:dyDescent="0.2">
      <c r="H271" s="15"/>
      <c r="I271" s="15"/>
      <c r="J271" s="15"/>
      <c r="K271" s="15"/>
      <c r="L271" s="15"/>
      <c r="M271" s="15"/>
      <c r="N271" s="15"/>
      <c r="O271" s="137"/>
      <c r="P271" s="141"/>
      <c r="Q271" s="141"/>
      <c r="R271" s="141"/>
      <c r="S271" s="141"/>
      <c r="T271" s="141"/>
      <c r="U271" s="141"/>
      <c r="V271" s="141"/>
      <c r="W271" s="141"/>
      <c r="X271" s="141"/>
      <c r="Y271" s="141"/>
      <c r="Z271" s="141"/>
      <c r="AA271" s="194"/>
      <c r="AB271" s="194"/>
      <c r="AC271" s="194"/>
      <c r="AD271" s="194"/>
      <c r="AE271" s="194"/>
      <c r="AF271" s="194"/>
      <c r="AG271" s="197"/>
      <c r="AH271" s="194"/>
      <c r="AI271" s="194"/>
      <c r="AJ271" s="194"/>
      <c r="AK271" s="104">
        <v>267</v>
      </c>
      <c r="AL271" s="14">
        <f t="shared" si="335"/>
        <v>6</v>
      </c>
      <c r="AM271" s="14">
        <f>INDEX(挂机升级突破!DQ$6:DQ$57,卡牌消耗!$AT271)</f>
        <v>11</v>
      </c>
      <c r="AN271" s="14">
        <f>INDEX(挂机升级突破!DR$6:DR$57,卡牌消耗!$AT271)</f>
        <v>2</v>
      </c>
      <c r="AO271" s="14">
        <f>INDEX(挂机升级突破!DS$6:DS$57,卡牌消耗!$AT271)</f>
        <v>0</v>
      </c>
      <c r="AP271" s="14">
        <f>INDEX(挂机升级突破!$DP$6:$DP$57,卡牌消耗!AT271)</f>
        <v>33</v>
      </c>
      <c r="AQ271" s="14" t="str">
        <f t="shared" si="336"/>
        <v>项羽</v>
      </c>
      <c r="AR271" s="14">
        <f t="shared" si="337"/>
        <v>5</v>
      </c>
      <c r="AS271" s="14" t="str">
        <f t="shared" si="338"/>
        <v>项羽魂火-7</v>
      </c>
      <c r="AT271" s="14">
        <f t="shared" si="339"/>
        <v>7</v>
      </c>
      <c r="AU271" s="14" t="str">
        <f>IF(AM271&gt;0,INDEX(挂机升级突破!$DT$4:$ED$4,AM271),"")</f>
        <v>金币</v>
      </c>
      <c r="AV271" s="14">
        <f>ROUND(INDEX(挂机升级突破!$DJ$6:$DJ$57,卡牌消耗!AT271)*INDEX(卡牌消耗!$B$8:$F$8,AR271)/$Q$4/50,0)*50</f>
        <v>2550</v>
      </c>
      <c r="AW271" s="14" t="str">
        <f>IF(AN271&gt;0,INDEX(挂机升级突破!$DT$4:$ED$4,AN271),"")</f>
        <v>蓝色基础材料</v>
      </c>
      <c r="AX271" s="14">
        <f>ROUND(INDEX(挂机升级突破!$DT$6:$ED$57,卡牌消耗!AT271,AN271)*INDEX(卡牌消耗!$B$5:$F$5,AR271)/$Q$4/5,0)*5</f>
        <v>45</v>
      </c>
      <c r="AY271" s="14" t="str">
        <f>IF(AO271&gt;0,INDEX(挂机升级突破!$DT$4:$ED$4,AO271),"")</f>
        <v/>
      </c>
      <c r="AZ271" s="14" t="str">
        <f>IF(AO271&gt;0,ROUND(INDEX(挂机升级突破!$DT$6:$ED$57,卡牌消耗!AT271,AO271)*INDEX(卡牌消耗!$B$7:$F$7,AR271)/$Q$4,0),"")</f>
        <v/>
      </c>
      <c r="BA271" s="106"/>
      <c r="BB271" s="197"/>
      <c r="BC271" s="197"/>
      <c r="BD271" s="197"/>
      <c r="BE271" s="197"/>
      <c r="BF271" s="197"/>
      <c r="BG271" s="197"/>
      <c r="BH271" s="197"/>
      <c r="BI271" s="197"/>
      <c r="BJ271" s="197"/>
      <c r="BK271" s="197"/>
      <c r="BL271" s="104">
        <v>267</v>
      </c>
      <c r="BM271" s="14">
        <f t="shared" si="340"/>
        <v>14</v>
      </c>
      <c r="BN271" s="14">
        <f>INDEX(挂机升级突破!$EI$7:$EI$26,BS271)</f>
        <v>5</v>
      </c>
      <c r="BO271" s="14">
        <f>INDEX(挂机升级突破!$EJ$7:$EJ$26,BS271)</f>
        <v>1</v>
      </c>
      <c r="BP271" s="14">
        <f t="shared" si="341"/>
        <v>3</v>
      </c>
      <c r="BQ271" s="14">
        <f>INDEX(挂机升级突破!$EH$7:$EH$26,卡牌消耗!BS271)</f>
        <v>47</v>
      </c>
      <c r="BR271" s="14" t="str">
        <f t="shared" si="342"/>
        <v>石灵明</v>
      </c>
      <c r="BS271" s="14">
        <f t="shared" si="343"/>
        <v>7</v>
      </c>
      <c r="BT271" s="14" t="str">
        <f t="shared" si="344"/>
        <v>石灵明7突</v>
      </c>
      <c r="BU271" s="14" t="str">
        <f>IF(BN271&gt;0,INDEX(挂机升级突破!$ER$5:$EV$5,卡牌消耗!BN271),"")</f>
        <v>金币</v>
      </c>
      <c r="BV271" s="14">
        <f>IF(BN271&gt;0,ROUND(INDEX(挂机升级突破!$EV$7:$EV$26,卡牌消耗!BS271)*INDEX(卡牌消耗!$B$8:$F$8,BP271)/$Q$4/500,0)*500,"")</f>
        <v>8000</v>
      </c>
      <c r="BW271" s="14" t="str">
        <f>IF(BO271&gt;0,INDEX(挂机升级突破!$ER$5:$EV$5,卡牌消耗!BO271),"")</f>
        <v>玄铁</v>
      </c>
      <c r="BX271" s="14">
        <f>IF(BO271&gt;0,ROUND(INDEX(挂机升级突破!$ER$7:$EU$26,卡牌消耗!BS271,卡牌消耗!BO271)*INDEX($B$6:$F$6,BP271)/$Q$4/5,0)*5,"")</f>
        <v>85</v>
      </c>
      <c r="BY271" s="193"/>
      <c r="BZ271" s="193"/>
      <c r="CA271" s="106"/>
      <c r="CS271" s="171"/>
      <c r="CT271" s="171"/>
      <c r="CU271" s="171"/>
      <c r="DI271" s="186">
        <v>267</v>
      </c>
      <c r="DJ271" s="14">
        <f t="shared" si="327"/>
        <v>54</v>
      </c>
      <c r="DK271" s="14">
        <f t="shared" si="330"/>
        <v>3</v>
      </c>
      <c r="DL271" s="14">
        <f t="shared" si="331"/>
        <v>1102030</v>
      </c>
      <c r="DM271" s="186" t="s">
        <v>1097</v>
      </c>
      <c r="DN271" s="14">
        <f t="shared" si="332"/>
        <v>2</v>
      </c>
      <c r="DO271" s="14" t="str">
        <f t="shared" si="333"/>
        <v>燕青-2星</v>
      </c>
      <c r="DP271" s="186" t="s">
        <v>67</v>
      </c>
      <c r="DQ271" s="14">
        <f t="shared" si="328"/>
        <v>5000</v>
      </c>
      <c r="DR271" s="14" t="str">
        <f t="shared" si="334"/>
        <v>燕青碎片</v>
      </c>
      <c r="DS271" s="14">
        <f t="shared" si="329"/>
        <v>40</v>
      </c>
    </row>
    <row r="272" spans="8:123" ht="16.5" x14ac:dyDescent="0.2">
      <c r="H272" s="15"/>
      <c r="I272" s="15"/>
      <c r="J272" s="15"/>
      <c r="K272" s="15"/>
      <c r="L272" s="15"/>
      <c r="M272" s="15"/>
      <c r="N272" s="15"/>
      <c r="O272" s="137"/>
      <c r="P272" s="141"/>
      <c r="Q272" s="141"/>
      <c r="R272" s="141"/>
      <c r="S272" s="141"/>
      <c r="T272" s="141"/>
      <c r="U272" s="141"/>
      <c r="V272" s="141"/>
      <c r="W272" s="141"/>
      <c r="X272" s="141"/>
      <c r="Y272" s="141"/>
      <c r="Z272" s="141"/>
      <c r="AA272" s="194"/>
      <c r="AB272" s="194"/>
      <c r="AC272" s="194"/>
      <c r="AD272" s="194"/>
      <c r="AE272" s="194"/>
      <c r="AF272" s="194"/>
      <c r="AG272" s="197"/>
      <c r="AH272" s="194"/>
      <c r="AI272" s="194"/>
      <c r="AJ272" s="194"/>
      <c r="AK272" s="104">
        <v>268</v>
      </c>
      <c r="AL272" s="14">
        <f t="shared" si="335"/>
        <v>6</v>
      </c>
      <c r="AM272" s="14">
        <f>INDEX(挂机升级突破!DQ$6:DQ$57,卡牌消耗!$AT272)</f>
        <v>11</v>
      </c>
      <c r="AN272" s="14">
        <f>INDEX(挂机升级突破!DR$6:DR$57,卡牌消耗!$AT272)</f>
        <v>2</v>
      </c>
      <c r="AO272" s="14">
        <f>INDEX(挂机升级突破!DS$6:DS$57,卡牌消耗!$AT272)</f>
        <v>0</v>
      </c>
      <c r="AP272" s="14">
        <f>INDEX(挂机升级突破!$DP$6:$DP$57,卡牌消耗!AT272)</f>
        <v>38</v>
      </c>
      <c r="AQ272" s="14" t="str">
        <f t="shared" si="336"/>
        <v>项羽</v>
      </c>
      <c r="AR272" s="14">
        <f t="shared" si="337"/>
        <v>5</v>
      </c>
      <c r="AS272" s="14" t="str">
        <f t="shared" si="338"/>
        <v>项羽魂火-8</v>
      </c>
      <c r="AT272" s="14">
        <f t="shared" si="339"/>
        <v>8</v>
      </c>
      <c r="AU272" s="14" t="str">
        <f>IF(AM272&gt;0,INDEX(挂机升级突破!$DT$4:$ED$4,AM272),"")</f>
        <v>金币</v>
      </c>
      <c r="AV272" s="14">
        <f>ROUND(INDEX(挂机升级突破!$DJ$6:$DJ$57,卡牌消耗!AT272)*INDEX(卡牌消耗!$B$8:$F$8,AR272)/$Q$4/50,0)*50</f>
        <v>3800</v>
      </c>
      <c r="AW272" s="14" t="str">
        <f>IF(AN272&gt;0,INDEX(挂机升级突破!$DT$4:$ED$4,AN272),"")</f>
        <v>蓝色基础材料</v>
      </c>
      <c r="AX272" s="14">
        <f>ROUND(INDEX(挂机升级突破!$DT$6:$ED$57,卡牌消耗!AT272,AN272)*INDEX(卡牌消耗!$B$5:$F$5,AR272)/$Q$4/5,0)*5</f>
        <v>85</v>
      </c>
      <c r="AY272" s="14" t="str">
        <f>IF(AO272&gt;0,INDEX(挂机升级突破!$DT$4:$ED$4,AO272),"")</f>
        <v/>
      </c>
      <c r="AZ272" s="14" t="str">
        <f>IF(AO272&gt;0,ROUND(INDEX(挂机升级突破!$DT$6:$ED$57,卡牌消耗!AT272,AO272)*INDEX(卡牌消耗!$B$7:$F$7,AR272)/$Q$4,0),"")</f>
        <v/>
      </c>
      <c r="BA272" s="106"/>
      <c r="BB272" s="197"/>
      <c r="BC272" s="197"/>
      <c r="BD272" s="197"/>
      <c r="BE272" s="197"/>
      <c r="BF272" s="197"/>
      <c r="BG272" s="197"/>
      <c r="BH272" s="197"/>
      <c r="BI272" s="197"/>
      <c r="BJ272" s="197"/>
      <c r="BK272" s="197"/>
      <c r="BL272" s="104">
        <v>268</v>
      </c>
      <c r="BM272" s="14">
        <f t="shared" si="340"/>
        <v>14</v>
      </c>
      <c r="BN272" s="14">
        <f>INDEX(挂机升级突破!$EI$7:$EI$26,BS272)</f>
        <v>5</v>
      </c>
      <c r="BO272" s="14">
        <f>INDEX(挂机升级突破!$EJ$7:$EJ$26,BS272)</f>
        <v>1</v>
      </c>
      <c r="BP272" s="14">
        <f t="shared" si="341"/>
        <v>3</v>
      </c>
      <c r="BQ272" s="14">
        <f>INDEX(挂机升级突破!$EH$7:$EH$26,卡牌消耗!BS272)</f>
        <v>52</v>
      </c>
      <c r="BR272" s="14" t="str">
        <f t="shared" si="342"/>
        <v>石灵明</v>
      </c>
      <c r="BS272" s="14">
        <f t="shared" si="343"/>
        <v>8</v>
      </c>
      <c r="BT272" s="14" t="str">
        <f t="shared" si="344"/>
        <v>石灵明8突</v>
      </c>
      <c r="BU272" s="14" t="str">
        <f>IF(BN272&gt;0,INDEX(挂机升级突破!$ER$5:$EV$5,卡牌消耗!BN272),"")</f>
        <v>金币</v>
      </c>
      <c r="BV272" s="14">
        <f>IF(BN272&gt;0,ROUND(INDEX(挂机升级突破!$EV$7:$EV$26,卡牌消耗!BS272)*INDEX(卡牌消耗!$B$8:$F$8,BP272)/$Q$4/500,0)*500,"")</f>
        <v>8000</v>
      </c>
      <c r="BW272" s="14" t="str">
        <f>IF(BO272&gt;0,INDEX(挂机升级突破!$ER$5:$EV$5,卡牌消耗!BO272),"")</f>
        <v>玄铁</v>
      </c>
      <c r="BX272" s="14">
        <f>IF(BO272&gt;0,ROUND(INDEX(挂机升级突破!$ER$7:$EU$26,卡牌消耗!BS272,卡牌消耗!BO272)*INDEX($B$6:$F$6,BP272)/$Q$4/5,0)*5,"")</f>
        <v>150</v>
      </c>
      <c r="BY272" s="193"/>
      <c r="BZ272" s="193"/>
      <c r="CA272" s="106"/>
      <c r="CS272" s="171"/>
      <c r="CT272" s="171"/>
      <c r="CU272" s="171"/>
      <c r="DI272" s="186">
        <v>268</v>
      </c>
      <c r="DJ272" s="14">
        <f t="shared" si="327"/>
        <v>54</v>
      </c>
      <c r="DK272" s="14">
        <f t="shared" si="330"/>
        <v>3</v>
      </c>
      <c r="DL272" s="14">
        <f t="shared" si="331"/>
        <v>1102030</v>
      </c>
      <c r="DM272" s="186" t="s">
        <v>1097</v>
      </c>
      <c r="DN272" s="14">
        <f t="shared" si="332"/>
        <v>3</v>
      </c>
      <c r="DO272" s="14" t="str">
        <f t="shared" si="333"/>
        <v>燕青-3星</v>
      </c>
      <c r="DP272" s="186" t="s">
        <v>67</v>
      </c>
      <c r="DQ272" s="14">
        <f t="shared" si="328"/>
        <v>10000</v>
      </c>
      <c r="DR272" s="14" t="str">
        <f t="shared" si="334"/>
        <v>燕青碎片</v>
      </c>
      <c r="DS272" s="14">
        <f t="shared" si="329"/>
        <v>40</v>
      </c>
    </row>
    <row r="273" spans="8:123" ht="16.5" x14ac:dyDescent="0.2">
      <c r="H273" s="15"/>
      <c r="I273" s="15"/>
      <c r="J273" s="15"/>
      <c r="K273" s="15"/>
      <c r="L273" s="15"/>
      <c r="M273" s="15"/>
      <c r="N273" s="15"/>
      <c r="O273" s="137"/>
      <c r="P273" s="141"/>
      <c r="Q273" s="141"/>
      <c r="R273" s="141"/>
      <c r="S273" s="141"/>
      <c r="T273" s="141"/>
      <c r="U273" s="141"/>
      <c r="V273" s="141"/>
      <c r="W273" s="141"/>
      <c r="X273" s="141"/>
      <c r="Y273" s="141"/>
      <c r="Z273" s="141"/>
      <c r="AA273" s="194"/>
      <c r="AB273" s="194"/>
      <c r="AC273" s="194"/>
      <c r="AD273" s="194"/>
      <c r="AE273" s="194"/>
      <c r="AF273" s="194"/>
      <c r="AG273" s="197"/>
      <c r="AH273" s="194"/>
      <c r="AI273" s="194"/>
      <c r="AJ273" s="194"/>
      <c r="AK273" s="104">
        <v>269</v>
      </c>
      <c r="AL273" s="14">
        <f t="shared" si="335"/>
        <v>6</v>
      </c>
      <c r="AM273" s="14">
        <f>INDEX(挂机升级突破!DQ$6:DQ$57,卡牌消耗!$AT273)</f>
        <v>11</v>
      </c>
      <c r="AN273" s="14">
        <f>INDEX(挂机升级突破!DR$6:DR$57,卡牌消耗!$AT273)</f>
        <v>2</v>
      </c>
      <c r="AO273" s="14">
        <f>INDEX(挂机升级突破!DS$6:DS$57,卡牌消耗!$AT273)</f>
        <v>0</v>
      </c>
      <c r="AP273" s="14">
        <f>INDEX(挂机升级突破!$DP$6:$DP$57,卡牌消耗!AT273)</f>
        <v>40</v>
      </c>
      <c r="AQ273" s="14" t="str">
        <f t="shared" si="336"/>
        <v>项羽</v>
      </c>
      <c r="AR273" s="14">
        <f t="shared" si="337"/>
        <v>5</v>
      </c>
      <c r="AS273" s="14" t="str">
        <f t="shared" si="338"/>
        <v>项羽魂火-9</v>
      </c>
      <c r="AT273" s="14">
        <f t="shared" si="339"/>
        <v>9</v>
      </c>
      <c r="AU273" s="14" t="str">
        <f>IF(AM273&gt;0,INDEX(挂机升级突破!$DT$4:$ED$4,AM273),"")</f>
        <v>金币</v>
      </c>
      <c r="AV273" s="14">
        <f>ROUND(INDEX(挂机升级突破!$DJ$6:$DJ$57,卡牌消耗!AT273)*INDEX(卡牌消耗!$B$8:$F$8,AR273)/$Q$4/50,0)*50</f>
        <v>3800</v>
      </c>
      <c r="AW273" s="14" t="str">
        <f>IF(AN273&gt;0,INDEX(挂机升级突破!$DT$4:$ED$4,AN273),"")</f>
        <v>蓝色基础材料</v>
      </c>
      <c r="AX273" s="14">
        <f>ROUND(INDEX(挂机升级突破!$DT$6:$ED$57,卡牌消耗!AT273,AN273)*INDEX(卡牌消耗!$B$5:$F$5,AR273)/$Q$4/5,0)*5</f>
        <v>85</v>
      </c>
      <c r="AY273" s="14" t="str">
        <f>IF(AO273&gt;0,INDEX(挂机升级突破!$DT$4:$ED$4,AO273),"")</f>
        <v/>
      </c>
      <c r="AZ273" s="14" t="str">
        <f>IF(AO273&gt;0,ROUND(INDEX(挂机升级突破!$DT$6:$ED$57,卡牌消耗!AT273,AO273)*INDEX(卡牌消耗!$B$7:$F$7,AR273)/$Q$4,0),"")</f>
        <v/>
      </c>
      <c r="BA273" s="106"/>
      <c r="BB273" s="197"/>
      <c r="BC273" s="197"/>
      <c r="BD273" s="197"/>
      <c r="BE273" s="197"/>
      <c r="BF273" s="197"/>
      <c r="BG273" s="197"/>
      <c r="BH273" s="197"/>
      <c r="BI273" s="197"/>
      <c r="BJ273" s="197"/>
      <c r="BK273" s="197"/>
      <c r="BL273" s="104">
        <v>269</v>
      </c>
      <c r="BM273" s="14">
        <f t="shared" si="340"/>
        <v>14</v>
      </c>
      <c r="BN273" s="14">
        <f>INDEX(挂机升级突破!$EI$7:$EI$26,BS273)</f>
        <v>5</v>
      </c>
      <c r="BO273" s="14">
        <f>INDEX(挂机升级突破!$EJ$7:$EJ$26,BS273)</f>
        <v>2</v>
      </c>
      <c r="BP273" s="14">
        <f t="shared" si="341"/>
        <v>3</v>
      </c>
      <c r="BQ273" s="14">
        <f>INDEX(挂机升级突破!$EH$7:$EH$26,卡牌消耗!BS273)</f>
        <v>57</v>
      </c>
      <c r="BR273" s="14" t="str">
        <f t="shared" si="342"/>
        <v>石灵明</v>
      </c>
      <c r="BS273" s="14">
        <f t="shared" si="343"/>
        <v>9</v>
      </c>
      <c r="BT273" s="14" t="str">
        <f t="shared" si="344"/>
        <v>石灵明9突</v>
      </c>
      <c r="BU273" s="14" t="str">
        <f>IF(BN273&gt;0,INDEX(挂机升级突破!$ER$5:$EV$5,卡牌消耗!BN273),"")</f>
        <v>金币</v>
      </c>
      <c r="BV273" s="14">
        <f>IF(BN273&gt;0,ROUND(INDEX(挂机升级突破!$EV$7:$EV$26,卡牌消耗!BS273)*INDEX(卡牌消耗!$B$8:$F$8,BP273)/$Q$4/500,0)*500,"")</f>
        <v>11000</v>
      </c>
      <c r="BW273" s="14" t="str">
        <f>IF(BO273&gt;0,INDEX(挂机升级突破!$ER$5:$EV$5,卡牌消耗!BO273),"")</f>
        <v>乌金</v>
      </c>
      <c r="BX273" s="14">
        <f>IF(BO273&gt;0,ROUND(INDEX(挂机升级突破!$ER$7:$EU$26,卡牌消耗!BS273,卡牌消耗!BO273)*INDEX($B$6:$F$6,BP273)/$Q$4/5,0)*5,"")</f>
        <v>50</v>
      </c>
      <c r="BY273" s="193"/>
      <c r="BZ273" s="193"/>
      <c r="CA273" s="106"/>
      <c r="CS273" s="171"/>
      <c r="CT273" s="171"/>
      <c r="CU273" s="171"/>
      <c r="DI273" s="186">
        <v>269</v>
      </c>
      <c r="DJ273" s="14">
        <f t="shared" si="327"/>
        <v>54</v>
      </c>
      <c r="DK273" s="14">
        <f t="shared" si="330"/>
        <v>3</v>
      </c>
      <c r="DL273" s="14">
        <f t="shared" si="331"/>
        <v>1102030</v>
      </c>
      <c r="DM273" s="186" t="s">
        <v>1097</v>
      </c>
      <c r="DN273" s="14">
        <f t="shared" si="332"/>
        <v>4</v>
      </c>
      <c r="DO273" s="14" t="str">
        <f t="shared" si="333"/>
        <v>燕青-4星</v>
      </c>
      <c r="DP273" s="186" t="s">
        <v>67</v>
      </c>
      <c r="DQ273" s="14">
        <f t="shared" si="328"/>
        <v>20000</v>
      </c>
      <c r="DR273" s="14" t="str">
        <f t="shared" si="334"/>
        <v>燕青碎片</v>
      </c>
      <c r="DS273" s="14">
        <f t="shared" si="329"/>
        <v>40</v>
      </c>
    </row>
    <row r="274" spans="8:123" ht="16.5" x14ac:dyDescent="0.2">
      <c r="H274" s="15"/>
      <c r="I274" s="15"/>
      <c r="J274" s="15"/>
      <c r="K274" s="15"/>
      <c r="L274" s="15"/>
      <c r="M274" s="15"/>
      <c r="N274" s="15"/>
      <c r="O274" s="137"/>
      <c r="P274" s="141"/>
      <c r="Q274" s="141"/>
      <c r="R274" s="141"/>
      <c r="S274" s="141"/>
      <c r="T274" s="141"/>
      <c r="U274" s="141"/>
      <c r="V274" s="141"/>
      <c r="W274" s="141"/>
      <c r="X274" s="141"/>
      <c r="Y274" s="141"/>
      <c r="Z274" s="141"/>
      <c r="AA274" s="194"/>
      <c r="AB274" s="194"/>
      <c r="AC274" s="194"/>
      <c r="AD274" s="194"/>
      <c r="AE274" s="194"/>
      <c r="AF274" s="194"/>
      <c r="AG274" s="197"/>
      <c r="AH274" s="194"/>
      <c r="AI274" s="194"/>
      <c r="AJ274" s="194"/>
      <c r="AK274" s="104">
        <v>270</v>
      </c>
      <c r="AL274" s="14">
        <f t="shared" si="335"/>
        <v>6</v>
      </c>
      <c r="AM274" s="14">
        <f>INDEX(挂机升级突破!DQ$6:DQ$57,卡牌消耗!$AT274)</f>
        <v>11</v>
      </c>
      <c r="AN274" s="14">
        <f>INDEX(挂机升级突破!DR$6:DR$57,卡牌消耗!$AT274)</f>
        <v>2</v>
      </c>
      <c r="AO274" s="14">
        <f>INDEX(挂机升级突破!DS$6:DS$57,卡牌消耗!$AT274)</f>
        <v>0</v>
      </c>
      <c r="AP274" s="14">
        <f>INDEX(挂机升级突破!$DP$6:$DP$57,卡牌消耗!AT274)</f>
        <v>43</v>
      </c>
      <c r="AQ274" s="14" t="str">
        <f t="shared" si="336"/>
        <v>项羽</v>
      </c>
      <c r="AR274" s="14">
        <f t="shared" si="337"/>
        <v>5</v>
      </c>
      <c r="AS274" s="14" t="str">
        <f t="shared" si="338"/>
        <v>项羽魂火-10</v>
      </c>
      <c r="AT274" s="14">
        <f t="shared" si="339"/>
        <v>10</v>
      </c>
      <c r="AU274" s="14" t="str">
        <f>IF(AM274&gt;0,INDEX(挂机升级突破!$DT$4:$ED$4,AM274),"")</f>
        <v>金币</v>
      </c>
      <c r="AV274" s="14">
        <f>ROUND(INDEX(挂机升级突破!$DJ$6:$DJ$57,卡牌消耗!AT274)*INDEX(卡牌消耗!$B$8:$F$8,AR274)/$Q$4/50,0)*50</f>
        <v>6350</v>
      </c>
      <c r="AW274" s="14" t="str">
        <f>IF(AN274&gt;0,INDEX(挂机升级突破!$DT$4:$ED$4,AN274),"")</f>
        <v>蓝色基础材料</v>
      </c>
      <c r="AX274" s="14">
        <f>ROUND(INDEX(挂机升级突破!$DT$6:$ED$57,卡牌消耗!AT274,AN274)*INDEX(卡牌消耗!$B$5:$F$5,AR274)/$Q$4/5,0)*5</f>
        <v>130</v>
      </c>
      <c r="AY274" s="14" t="str">
        <f>IF(AO274&gt;0,INDEX(挂机升级突破!$DT$4:$ED$4,AO274),"")</f>
        <v/>
      </c>
      <c r="AZ274" s="14" t="str">
        <f>IF(AO274&gt;0,ROUND(INDEX(挂机升级突破!$DT$6:$ED$57,卡牌消耗!AT274,AO274)*INDEX(卡牌消耗!$B$7:$F$7,AR274)/$Q$4,0),"")</f>
        <v/>
      </c>
      <c r="BA274" s="106"/>
      <c r="BB274" s="197"/>
      <c r="BC274" s="197"/>
      <c r="BD274" s="197"/>
      <c r="BE274" s="197"/>
      <c r="BF274" s="197"/>
      <c r="BG274" s="197"/>
      <c r="BH274" s="197"/>
      <c r="BI274" s="197"/>
      <c r="BJ274" s="197"/>
      <c r="BK274" s="197"/>
      <c r="BL274" s="104">
        <v>270</v>
      </c>
      <c r="BM274" s="14">
        <f t="shared" si="340"/>
        <v>14</v>
      </c>
      <c r="BN274" s="14">
        <f>INDEX(挂机升级突破!$EI$7:$EI$26,BS274)</f>
        <v>5</v>
      </c>
      <c r="BO274" s="14">
        <f>INDEX(挂机升级突破!$EJ$7:$EJ$26,BS274)</f>
        <v>2</v>
      </c>
      <c r="BP274" s="14">
        <f t="shared" si="341"/>
        <v>3</v>
      </c>
      <c r="BQ274" s="14">
        <f>INDEX(挂机升级突破!$EH$7:$EH$26,卡牌消耗!BS274)</f>
        <v>65</v>
      </c>
      <c r="BR274" s="14" t="str">
        <f t="shared" si="342"/>
        <v>石灵明</v>
      </c>
      <c r="BS274" s="14">
        <f t="shared" si="343"/>
        <v>10</v>
      </c>
      <c r="BT274" s="14" t="str">
        <f t="shared" si="344"/>
        <v>石灵明10突</v>
      </c>
      <c r="BU274" s="14" t="str">
        <f>IF(BN274&gt;0,INDEX(挂机升级突破!$ER$5:$EV$5,卡牌消耗!BN274),"")</f>
        <v>金币</v>
      </c>
      <c r="BV274" s="14">
        <f>IF(BN274&gt;0,ROUND(INDEX(挂机升级突破!$EV$7:$EV$26,卡牌消耗!BS274)*INDEX(卡牌消耗!$B$8:$F$8,BP274)/$Q$4/500,0)*500,"")</f>
        <v>19000</v>
      </c>
      <c r="BW274" s="14" t="str">
        <f>IF(BO274&gt;0,INDEX(挂机升级突破!$ER$5:$EV$5,卡牌消耗!BO274),"")</f>
        <v>乌金</v>
      </c>
      <c r="BX274" s="14">
        <f>IF(BO274&gt;0,ROUND(INDEX(挂机升级突破!$ER$7:$EU$26,卡牌消耗!BS274,卡牌消耗!BO274)*INDEX($B$6:$F$6,BP274)/$Q$4/5,0)*5,"")</f>
        <v>70</v>
      </c>
      <c r="BY274" s="193"/>
      <c r="BZ274" s="193"/>
      <c r="CA274" s="106"/>
      <c r="CS274" s="171"/>
      <c r="CT274" s="171"/>
      <c r="CU274" s="171"/>
      <c r="DI274" s="186">
        <v>270</v>
      </c>
      <c r="DJ274" s="14">
        <f t="shared" si="327"/>
        <v>54</v>
      </c>
      <c r="DK274" s="14">
        <f t="shared" si="330"/>
        <v>3</v>
      </c>
      <c r="DL274" s="14">
        <f t="shared" si="331"/>
        <v>1102030</v>
      </c>
      <c r="DM274" s="186" t="s">
        <v>1097</v>
      </c>
      <c r="DN274" s="14">
        <f t="shared" si="332"/>
        <v>5</v>
      </c>
      <c r="DO274" s="14" t="str">
        <f t="shared" si="333"/>
        <v>燕青-5星</v>
      </c>
      <c r="DP274" s="186" t="s">
        <v>67</v>
      </c>
      <c r="DQ274" s="14">
        <f t="shared" si="328"/>
        <v>40000</v>
      </c>
      <c r="DR274" s="14" t="str">
        <f t="shared" si="334"/>
        <v>燕青碎片</v>
      </c>
      <c r="DS274" s="14">
        <f t="shared" si="329"/>
        <v>40</v>
      </c>
    </row>
    <row r="275" spans="8:123" ht="16.5" x14ac:dyDescent="0.2">
      <c r="H275" s="15"/>
      <c r="I275" s="15"/>
      <c r="J275" s="15"/>
      <c r="K275" s="15"/>
      <c r="L275" s="15"/>
      <c r="M275" s="15"/>
      <c r="N275" s="15"/>
      <c r="O275" s="137"/>
      <c r="P275" s="141"/>
      <c r="Q275" s="141"/>
      <c r="R275" s="141"/>
      <c r="S275" s="141"/>
      <c r="T275" s="141"/>
      <c r="U275" s="141"/>
      <c r="V275" s="141"/>
      <c r="W275" s="141"/>
      <c r="X275" s="141"/>
      <c r="Y275" s="141"/>
      <c r="Z275" s="141"/>
      <c r="AA275" s="194"/>
      <c r="AB275" s="194"/>
      <c r="AC275" s="194"/>
      <c r="AD275" s="194"/>
      <c r="AE275" s="194"/>
      <c r="AF275" s="194"/>
      <c r="AG275" s="197"/>
      <c r="AH275" s="194"/>
      <c r="AI275" s="194"/>
      <c r="AJ275" s="194"/>
      <c r="AK275" s="104">
        <v>271</v>
      </c>
      <c r="AL275" s="14">
        <f t="shared" si="335"/>
        <v>6</v>
      </c>
      <c r="AM275" s="14">
        <f>INDEX(挂机升级突破!DQ$6:DQ$57,卡牌消耗!$AT275)</f>
        <v>11</v>
      </c>
      <c r="AN275" s="14">
        <f>INDEX(挂机升级突破!DR$6:DR$57,卡牌消耗!$AT275)</f>
        <v>2</v>
      </c>
      <c r="AO275" s="14">
        <f>INDEX(挂机升级突破!DS$6:DS$57,卡牌消耗!$AT275)</f>
        <v>0</v>
      </c>
      <c r="AP275" s="14">
        <f>INDEX(挂机升级突破!$DP$6:$DP$57,卡牌消耗!AT275)</f>
        <v>45</v>
      </c>
      <c r="AQ275" s="14" t="str">
        <f t="shared" si="336"/>
        <v>项羽</v>
      </c>
      <c r="AR275" s="14">
        <f t="shared" si="337"/>
        <v>5</v>
      </c>
      <c r="AS275" s="14" t="str">
        <f t="shared" si="338"/>
        <v>项羽魂火-11</v>
      </c>
      <c r="AT275" s="14">
        <f t="shared" si="339"/>
        <v>11</v>
      </c>
      <c r="AU275" s="14" t="str">
        <f>IF(AM275&gt;0,INDEX(挂机升级突破!$DT$4:$ED$4,AM275),"")</f>
        <v>金币</v>
      </c>
      <c r="AV275" s="14">
        <f>ROUND(INDEX(挂机升级突破!$DJ$6:$DJ$57,卡牌消耗!AT275)*INDEX(卡牌消耗!$B$8:$F$8,AR275)/$Q$4/50,0)*50</f>
        <v>6350</v>
      </c>
      <c r="AW275" s="14" t="str">
        <f>IF(AN275&gt;0,INDEX(挂机升级突破!$DT$4:$ED$4,AN275),"")</f>
        <v>蓝色基础材料</v>
      </c>
      <c r="AX275" s="14">
        <f>ROUND(INDEX(挂机升级突破!$DT$6:$ED$57,卡牌消耗!AT275,AN275)*INDEX(卡牌消耗!$B$5:$F$5,AR275)/$Q$4/5,0)*5</f>
        <v>130</v>
      </c>
      <c r="AY275" s="14" t="str">
        <f>IF(AO275&gt;0,INDEX(挂机升级突破!$DT$4:$ED$4,AO275),"")</f>
        <v/>
      </c>
      <c r="AZ275" s="14" t="str">
        <f>IF(AO275&gt;0,ROUND(INDEX(挂机升级突破!$DT$6:$ED$57,卡牌消耗!AT275,AO275)*INDEX(卡牌消耗!$B$7:$F$7,AR275)/$Q$4,0),"")</f>
        <v/>
      </c>
      <c r="BA275" s="106"/>
      <c r="BB275" s="197"/>
      <c r="BC275" s="197"/>
      <c r="BD275" s="197"/>
      <c r="BE275" s="197"/>
      <c r="BF275" s="197"/>
      <c r="BG275" s="197"/>
      <c r="BH275" s="197"/>
      <c r="BI275" s="197"/>
      <c r="BJ275" s="197"/>
      <c r="BK275" s="197"/>
      <c r="BL275" s="104">
        <v>271</v>
      </c>
      <c r="BM275" s="14">
        <f t="shared" si="340"/>
        <v>14</v>
      </c>
      <c r="BN275" s="14">
        <f>INDEX(挂机升级突破!$EI$7:$EI$26,BS275)</f>
        <v>5</v>
      </c>
      <c r="BO275" s="14">
        <f>INDEX(挂机升级突破!$EJ$7:$EJ$26,BS275)</f>
        <v>2</v>
      </c>
      <c r="BP275" s="14">
        <f t="shared" si="341"/>
        <v>3</v>
      </c>
      <c r="BQ275" s="14">
        <f>INDEX(挂机升级突破!$EH$7:$EH$26,卡牌消耗!BS275)</f>
        <v>72</v>
      </c>
      <c r="BR275" s="14" t="str">
        <f t="shared" si="342"/>
        <v>石灵明</v>
      </c>
      <c r="BS275" s="14">
        <f t="shared" si="343"/>
        <v>11</v>
      </c>
      <c r="BT275" s="14" t="str">
        <f t="shared" si="344"/>
        <v>石灵明11突</v>
      </c>
      <c r="BU275" s="14" t="str">
        <f>IF(BN275&gt;0,INDEX(挂机升级突破!$ER$5:$EV$5,卡牌消耗!BN275),"")</f>
        <v>金币</v>
      </c>
      <c r="BV275" s="14">
        <f>IF(BN275&gt;0,ROUND(INDEX(挂机升级突破!$EV$7:$EV$26,卡牌消耗!BS275)*INDEX(卡牌消耗!$B$8:$F$8,BP275)/$Q$4/500,0)*500,"")</f>
        <v>19000</v>
      </c>
      <c r="BW275" s="14" t="str">
        <f>IF(BO275&gt;0,INDEX(挂机升级突破!$ER$5:$EV$5,卡牌消耗!BO275),"")</f>
        <v>乌金</v>
      </c>
      <c r="BX275" s="14">
        <f>IF(BO275&gt;0,ROUND(INDEX(挂机升级突破!$ER$7:$EU$26,卡牌消耗!BS275,卡牌消耗!BO275)*INDEX($B$6:$F$6,BP275)/$Q$4/5,0)*5,"")</f>
        <v>90</v>
      </c>
      <c r="BY275" s="193"/>
      <c r="BZ275" s="193"/>
      <c r="CA275" s="106"/>
      <c r="CS275" s="171"/>
      <c r="CT275" s="171"/>
      <c r="CU275" s="171"/>
      <c r="DI275" s="186">
        <v>271</v>
      </c>
      <c r="DJ275" s="14">
        <f t="shared" si="327"/>
        <v>55</v>
      </c>
      <c r="DK275" s="14">
        <f t="shared" si="330"/>
        <v>4</v>
      </c>
      <c r="DL275" s="14">
        <f t="shared" si="331"/>
        <v>1102031</v>
      </c>
      <c r="DM275" s="186" t="s">
        <v>1097</v>
      </c>
      <c r="DN275" s="14">
        <f t="shared" si="332"/>
        <v>1</v>
      </c>
      <c r="DO275" s="14" t="str">
        <f t="shared" si="333"/>
        <v>秦琼-1星</v>
      </c>
      <c r="DP275" s="186" t="s">
        <v>67</v>
      </c>
      <c r="DQ275" s="14">
        <f t="shared" si="328"/>
        <v>6000</v>
      </c>
      <c r="DR275" s="14" t="str">
        <f t="shared" si="334"/>
        <v>秦琼碎片</v>
      </c>
      <c r="DS275" s="14">
        <f t="shared" si="329"/>
        <v>80</v>
      </c>
    </row>
    <row r="276" spans="8:123" ht="16.5" x14ac:dyDescent="0.2">
      <c r="H276" s="15"/>
      <c r="I276" s="15"/>
      <c r="J276" s="15"/>
      <c r="K276" s="15"/>
      <c r="L276" s="15"/>
      <c r="M276" s="15"/>
      <c r="N276" s="15"/>
      <c r="O276" s="137"/>
      <c r="P276" s="141"/>
      <c r="Q276" s="141"/>
      <c r="R276" s="141"/>
      <c r="S276" s="141"/>
      <c r="T276" s="141"/>
      <c r="U276" s="141"/>
      <c r="V276" s="141"/>
      <c r="W276" s="141"/>
      <c r="X276" s="141"/>
      <c r="Y276" s="141"/>
      <c r="Z276" s="141"/>
      <c r="AA276" s="194"/>
      <c r="AB276" s="194"/>
      <c r="AC276" s="194"/>
      <c r="AD276" s="194"/>
      <c r="AE276" s="194"/>
      <c r="AF276" s="194"/>
      <c r="AG276" s="197"/>
      <c r="AH276" s="194"/>
      <c r="AI276" s="194"/>
      <c r="AJ276" s="194"/>
      <c r="AK276" s="104">
        <v>272</v>
      </c>
      <c r="AL276" s="14">
        <f t="shared" si="335"/>
        <v>6</v>
      </c>
      <c r="AM276" s="14">
        <f>INDEX(挂机升级突破!DQ$6:DQ$57,卡牌消耗!$AT276)</f>
        <v>11</v>
      </c>
      <c r="AN276" s="14">
        <f>INDEX(挂机升级突破!DR$6:DR$57,卡牌消耗!$AT276)</f>
        <v>2</v>
      </c>
      <c r="AO276" s="14">
        <f>INDEX(挂机升级突破!DS$6:DS$57,卡牌消耗!$AT276)</f>
        <v>0</v>
      </c>
      <c r="AP276" s="14">
        <f>INDEX(挂机升级突破!$DP$6:$DP$57,卡牌消耗!AT276)</f>
        <v>48</v>
      </c>
      <c r="AQ276" s="14" t="str">
        <f t="shared" si="336"/>
        <v>项羽</v>
      </c>
      <c r="AR276" s="14">
        <f t="shared" si="337"/>
        <v>5</v>
      </c>
      <c r="AS276" s="14" t="str">
        <f t="shared" si="338"/>
        <v>项羽魂火-12</v>
      </c>
      <c r="AT276" s="14">
        <f t="shared" si="339"/>
        <v>12</v>
      </c>
      <c r="AU276" s="14" t="str">
        <f>IF(AM276&gt;0,INDEX(挂机升级突破!$DT$4:$ED$4,AM276),"")</f>
        <v>金币</v>
      </c>
      <c r="AV276" s="14">
        <f>ROUND(INDEX(挂机升级突破!$DJ$6:$DJ$57,卡牌消耗!AT276)*INDEX(卡牌消耗!$B$8:$F$8,AR276)/$Q$4/50,0)*50</f>
        <v>5450</v>
      </c>
      <c r="AW276" s="14" t="str">
        <f>IF(AN276&gt;0,INDEX(挂机升级突破!$DT$4:$ED$4,AN276),"")</f>
        <v>蓝色基础材料</v>
      </c>
      <c r="AX276" s="14">
        <f>ROUND(INDEX(挂机升级突破!$DT$6:$ED$57,卡牌消耗!AT276,AN276)*INDEX(卡牌消耗!$B$5:$F$5,AR276)/$Q$4/5,0)*5</f>
        <v>175</v>
      </c>
      <c r="AY276" s="14" t="str">
        <f>IF(AO276&gt;0,INDEX(挂机升级突破!$DT$4:$ED$4,AO276),"")</f>
        <v/>
      </c>
      <c r="AZ276" s="14" t="str">
        <f>IF(AO276&gt;0,ROUND(INDEX(挂机升级突破!$DT$6:$ED$57,卡牌消耗!AT276,AO276)*INDEX(卡牌消耗!$B$7:$F$7,AR276)/$Q$4,0),"")</f>
        <v/>
      </c>
      <c r="BA276" s="106"/>
      <c r="BB276" s="197"/>
      <c r="BC276" s="197"/>
      <c r="BD276" s="197"/>
      <c r="BE276" s="197"/>
      <c r="BF276" s="197"/>
      <c r="BG276" s="197"/>
      <c r="BH276" s="197"/>
      <c r="BI276" s="197"/>
      <c r="BJ276" s="197"/>
      <c r="BK276" s="197"/>
      <c r="BL276" s="104">
        <v>272</v>
      </c>
      <c r="BM276" s="14">
        <f t="shared" si="340"/>
        <v>14</v>
      </c>
      <c r="BN276" s="14">
        <f>INDEX(挂机升级突破!$EI$7:$EI$26,BS276)</f>
        <v>5</v>
      </c>
      <c r="BO276" s="14">
        <f>INDEX(挂机升级突破!$EJ$7:$EJ$26,BS276)</f>
        <v>2</v>
      </c>
      <c r="BP276" s="14">
        <f t="shared" si="341"/>
        <v>3</v>
      </c>
      <c r="BQ276" s="14">
        <f>INDEX(挂机升级突破!$EH$7:$EH$26,卡牌消耗!BS276)</f>
        <v>80</v>
      </c>
      <c r="BR276" s="14" t="str">
        <f t="shared" si="342"/>
        <v>石灵明</v>
      </c>
      <c r="BS276" s="14">
        <f t="shared" si="343"/>
        <v>12</v>
      </c>
      <c r="BT276" s="14" t="str">
        <f t="shared" si="344"/>
        <v>石灵明12突</v>
      </c>
      <c r="BU276" s="14" t="str">
        <f>IF(BN276&gt;0,INDEX(挂机升级突破!$ER$5:$EV$5,卡牌消耗!BN276),"")</f>
        <v>金币</v>
      </c>
      <c r="BV276" s="14">
        <f>IF(BN276&gt;0,ROUND(INDEX(挂机升级突破!$EV$7:$EV$26,卡牌消耗!BS276)*INDEX(卡牌消耗!$B$8:$F$8,BP276)/$Q$4/500,0)*500,"")</f>
        <v>25000</v>
      </c>
      <c r="BW276" s="14" t="str">
        <f>IF(BO276&gt;0,INDEX(挂机升级突破!$ER$5:$EV$5,卡牌消耗!BO276),"")</f>
        <v>乌金</v>
      </c>
      <c r="BX276" s="14">
        <f>IF(BO276&gt;0,ROUND(INDEX(挂机升级突破!$ER$7:$EU$26,卡牌消耗!BS276,卡牌消耗!BO276)*INDEX($B$6:$F$6,BP276)/$Q$4/5,0)*5,"")</f>
        <v>120</v>
      </c>
      <c r="BY276" s="193"/>
      <c r="BZ276" s="193"/>
      <c r="CA276" s="106"/>
      <c r="CS276" s="171"/>
      <c r="CT276" s="171"/>
      <c r="CU276" s="171"/>
      <c r="DI276" s="186">
        <v>272</v>
      </c>
      <c r="DJ276" s="14">
        <f t="shared" si="327"/>
        <v>55</v>
      </c>
      <c r="DK276" s="14">
        <f t="shared" si="330"/>
        <v>4</v>
      </c>
      <c r="DL276" s="14">
        <f t="shared" si="331"/>
        <v>1102031</v>
      </c>
      <c r="DM276" s="186" t="s">
        <v>1097</v>
      </c>
      <c r="DN276" s="14">
        <f t="shared" si="332"/>
        <v>2</v>
      </c>
      <c r="DO276" s="14" t="str">
        <f t="shared" si="333"/>
        <v>秦琼-2星</v>
      </c>
      <c r="DP276" s="186" t="s">
        <v>67</v>
      </c>
      <c r="DQ276" s="14">
        <f t="shared" si="328"/>
        <v>8000</v>
      </c>
      <c r="DR276" s="14" t="str">
        <f t="shared" si="334"/>
        <v>秦琼碎片</v>
      </c>
      <c r="DS276" s="14">
        <f t="shared" si="329"/>
        <v>80</v>
      </c>
    </row>
    <row r="277" spans="8:123" ht="16.5" x14ac:dyDescent="0.2">
      <c r="H277" s="15"/>
      <c r="I277" s="15"/>
      <c r="J277" s="15"/>
      <c r="K277" s="15"/>
      <c r="L277" s="15"/>
      <c r="M277" s="15"/>
      <c r="N277" s="15"/>
      <c r="O277" s="137"/>
      <c r="P277" s="141"/>
      <c r="Q277" s="141"/>
      <c r="R277" s="141"/>
      <c r="S277" s="141"/>
      <c r="T277" s="141"/>
      <c r="U277" s="141"/>
      <c r="V277" s="141"/>
      <c r="W277" s="141"/>
      <c r="X277" s="141"/>
      <c r="Y277" s="141"/>
      <c r="Z277" s="141"/>
      <c r="AA277" s="194"/>
      <c r="AB277" s="194"/>
      <c r="AC277" s="194"/>
      <c r="AD277" s="194"/>
      <c r="AE277" s="194"/>
      <c r="AF277" s="194"/>
      <c r="AG277" s="197"/>
      <c r="AH277" s="194"/>
      <c r="AI277" s="194"/>
      <c r="AJ277" s="194"/>
      <c r="AK277" s="104">
        <v>273</v>
      </c>
      <c r="AL277" s="14">
        <f t="shared" si="335"/>
        <v>6</v>
      </c>
      <c r="AM277" s="14">
        <f>INDEX(挂机升级突破!DQ$6:DQ$57,卡牌消耗!$AT277)</f>
        <v>11</v>
      </c>
      <c r="AN277" s="14">
        <f>INDEX(挂机升级突破!DR$6:DR$57,卡牌消耗!$AT277)</f>
        <v>2</v>
      </c>
      <c r="AO277" s="14">
        <f>INDEX(挂机升级突破!DS$6:DS$57,卡牌消耗!$AT277)</f>
        <v>0</v>
      </c>
      <c r="AP277" s="14">
        <f>INDEX(挂机升级突破!$DP$6:$DP$57,卡牌消耗!AT277)</f>
        <v>50</v>
      </c>
      <c r="AQ277" s="14" t="str">
        <f t="shared" si="336"/>
        <v>项羽</v>
      </c>
      <c r="AR277" s="14">
        <f t="shared" si="337"/>
        <v>5</v>
      </c>
      <c r="AS277" s="14" t="str">
        <f t="shared" si="338"/>
        <v>项羽魂火-13</v>
      </c>
      <c r="AT277" s="14">
        <f t="shared" si="339"/>
        <v>13</v>
      </c>
      <c r="AU277" s="14" t="str">
        <f>IF(AM277&gt;0,INDEX(挂机升级突破!$DT$4:$ED$4,AM277),"")</f>
        <v>金币</v>
      </c>
      <c r="AV277" s="14">
        <f>ROUND(INDEX(挂机升级突破!$DJ$6:$DJ$57,卡牌消耗!AT277)*INDEX(卡牌消耗!$B$8:$F$8,AR277)/$Q$4/50,0)*50</f>
        <v>5450</v>
      </c>
      <c r="AW277" s="14" t="str">
        <f>IF(AN277&gt;0,INDEX(挂机升级突破!$DT$4:$ED$4,AN277),"")</f>
        <v>蓝色基础材料</v>
      </c>
      <c r="AX277" s="14">
        <f>ROUND(INDEX(挂机升级突破!$DT$6:$ED$57,卡牌消耗!AT277,AN277)*INDEX(卡牌消耗!$B$5:$F$5,AR277)/$Q$4/5,0)*5</f>
        <v>175</v>
      </c>
      <c r="AY277" s="14" t="str">
        <f>IF(AO277&gt;0,INDEX(挂机升级突破!$DT$4:$ED$4,AO277),"")</f>
        <v/>
      </c>
      <c r="AZ277" s="14" t="str">
        <f>IF(AO277&gt;0,ROUND(INDEX(挂机升级突破!$DT$6:$ED$57,卡牌消耗!AT277,AO277)*INDEX(卡牌消耗!$B$7:$F$7,AR277)/$Q$4,0),"")</f>
        <v/>
      </c>
      <c r="BA277" s="106"/>
      <c r="BB277" s="197"/>
      <c r="BC277" s="197"/>
      <c r="BD277" s="197"/>
      <c r="BE277" s="197"/>
      <c r="BF277" s="197"/>
      <c r="BG277" s="197"/>
      <c r="BH277" s="197"/>
      <c r="BI277" s="197"/>
      <c r="BJ277" s="197"/>
      <c r="BK277" s="197"/>
      <c r="BL277" s="104">
        <v>273</v>
      </c>
      <c r="BM277" s="14">
        <f t="shared" si="340"/>
        <v>14</v>
      </c>
      <c r="BN277" s="14">
        <f>INDEX(挂机升级突破!$EI$7:$EI$26,BS277)</f>
        <v>5</v>
      </c>
      <c r="BO277" s="14">
        <f>INDEX(挂机升级突破!$EJ$7:$EJ$26,BS277)</f>
        <v>3</v>
      </c>
      <c r="BP277" s="14">
        <f t="shared" si="341"/>
        <v>3</v>
      </c>
      <c r="BQ277" s="14">
        <f>INDEX(挂机升级突破!$EH$7:$EH$26,卡牌消耗!BS277)</f>
        <v>87</v>
      </c>
      <c r="BR277" s="14" t="str">
        <f t="shared" si="342"/>
        <v>石灵明</v>
      </c>
      <c r="BS277" s="14">
        <f t="shared" si="343"/>
        <v>13</v>
      </c>
      <c r="BT277" s="14" t="str">
        <f t="shared" si="344"/>
        <v>石灵明13突</v>
      </c>
      <c r="BU277" s="14" t="str">
        <f>IF(BN277&gt;0,INDEX(挂机升级突破!$ER$5:$EV$5,卡牌消耗!BN277),"")</f>
        <v>金币</v>
      </c>
      <c r="BV277" s="14">
        <f>IF(BN277&gt;0,ROUND(INDEX(挂机升级突破!$EV$7:$EV$26,卡牌消耗!BS277)*INDEX(卡牌消耗!$B$8:$F$8,BP277)/$Q$4/500,0)*500,"")</f>
        <v>33500</v>
      </c>
      <c r="BW277" s="14" t="str">
        <f>IF(BO277&gt;0,INDEX(挂机升级突破!$ER$5:$EV$5,卡牌消耗!BO277),"")</f>
        <v>银母</v>
      </c>
      <c r="BX277" s="14">
        <f>IF(BO277&gt;0,ROUND(INDEX(挂机升级突破!$ER$7:$EU$26,卡牌消耗!BS277,卡牌消耗!BO277)*INDEX($B$6:$F$6,BP277)/$Q$4/5,0)*5,"")</f>
        <v>40</v>
      </c>
      <c r="BY277" s="193"/>
      <c r="BZ277" s="193"/>
      <c r="CA277" s="106"/>
      <c r="CS277" s="171"/>
      <c r="CT277" s="171"/>
      <c r="CU277" s="171"/>
      <c r="DI277" s="186">
        <v>273</v>
      </c>
      <c r="DJ277" s="14">
        <f t="shared" si="327"/>
        <v>55</v>
      </c>
      <c r="DK277" s="14">
        <f t="shared" si="330"/>
        <v>4</v>
      </c>
      <c r="DL277" s="14">
        <f t="shared" si="331"/>
        <v>1102031</v>
      </c>
      <c r="DM277" s="186" t="s">
        <v>1097</v>
      </c>
      <c r="DN277" s="14">
        <f t="shared" si="332"/>
        <v>3</v>
      </c>
      <c r="DO277" s="14" t="str">
        <f t="shared" si="333"/>
        <v>秦琼-3星</v>
      </c>
      <c r="DP277" s="186" t="s">
        <v>67</v>
      </c>
      <c r="DQ277" s="14">
        <f t="shared" si="328"/>
        <v>14000</v>
      </c>
      <c r="DR277" s="14" t="str">
        <f t="shared" si="334"/>
        <v>秦琼碎片</v>
      </c>
      <c r="DS277" s="14">
        <f t="shared" si="329"/>
        <v>80</v>
      </c>
    </row>
    <row r="278" spans="8:123" ht="16.5" x14ac:dyDescent="0.2">
      <c r="H278" s="15"/>
      <c r="I278" s="15"/>
      <c r="J278" s="15"/>
      <c r="K278" s="15"/>
      <c r="L278" s="15"/>
      <c r="M278" s="15"/>
      <c r="N278" s="15"/>
      <c r="O278" s="137"/>
      <c r="P278" s="141"/>
      <c r="Q278" s="141"/>
      <c r="R278" s="141"/>
      <c r="S278" s="141"/>
      <c r="T278" s="141"/>
      <c r="U278" s="141"/>
      <c r="V278" s="141"/>
      <c r="W278" s="141"/>
      <c r="X278" s="141"/>
      <c r="Y278" s="141"/>
      <c r="Z278" s="141"/>
      <c r="AA278" s="194"/>
      <c r="AB278" s="194"/>
      <c r="AC278" s="194"/>
      <c r="AD278" s="194"/>
      <c r="AE278" s="194"/>
      <c r="AF278" s="194"/>
      <c r="AG278" s="197"/>
      <c r="AH278" s="194"/>
      <c r="AI278" s="194"/>
      <c r="AJ278" s="194"/>
      <c r="AK278" s="104">
        <v>274</v>
      </c>
      <c r="AL278" s="14">
        <f t="shared" si="335"/>
        <v>6</v>
      </c>
      <c r="AM278" s="14">
        <f>INDEX(挂机升级突破!DQ$6:DQ$57,卡牌消耗!$AT278)</f>
        <v>11</v>
      </c>
      <c r="AN278" s="14">
        <f>INDEX(挂机升级突破!DR$6:DR$57,卡牌消耗!$AT278)</f>
        <v>3</v>
      </c>
      <c r="AO278" s="14">
        <f>INDEX(挂机升级突破!DS$6:DS$57,卡牌消耗!$AT278)</f>
        <v>0</v>
      </c>
      <c r="AP278" s="14">
        <f>INDEX(挂机升级突破!$DP$6:$DP$57,卡牌消耗!AT278)</f>
        <v>53</v>
      </c>
      <c r="AQ278" s="14" t="str">
        <f t="shared" si="336"/>
        <v>项羽</v>
      </c>
      <c r="AR278" s="14">
        <f t="shared" si="337"/>
        <v>5</v>
      </c>
      <c r="AS278" s="14" t="str">
        <f t="shared" si="338"/>
        <v>项羽魂火-14</v>
      </c>
      <c r="AT278" s="14">
        <f t="shared" si="339"/>
        <v>14</v>
      </c>
      <c r="AU278" s="14" t="str">
        <f>IF(AM278&gt;0,INDEX(挂机升级突破!$DT$4:$ED$4,AM278),"")</f>
        <v>金币</v>
      </c>
      <c r="AV278" s="14">
        <f>ROUND(INDEX(挂机升级突破!$DJ$6:$DJ$57,卡牌消耗!AT278)*INDEX(卡牌消耗!$B$8:$F$8,AR278)/$Q$4/50,0)*50</f>
        <v>6000</v>
      </c>
      <c r="AW278" s="14" t="str">
        <f>IF(AN278&gt;0,INDEX(挂机升级突破!$DT$4:$ED$4,AN278),"")</f>
        <v>紫色基础材料</v>
      </c>
      <c r="AX278" s="14">
        <f>ROUND(INDEX(挂机升级突破!$DT$6:$ED$57,卡牌消耗!AT278,AN278)*INDEX(卡牌消耗!$B$5:$F$5,AR278)/$Q$4/5,0)*5</f>
        <v>35</v>
      </c>
      <c r="AY278" s="14" t="str">
        <f>IF(AO278&gt;0,INDEX(挂机升级突破!$DT$4:$ED$4,AO278),"")</f>
        <v/>
      </c>
      <c r="AZ278" s="14" t="str">
        <f>IF(AO278&gt;0,ROUND(INDEX(挂机升级突破!$DT$6:$ED$57,卡牌消耗!AT278,AO278)*INDEX(卡牌消耗!$B$7:$F$7,AR278)/$Q$4,0),"")</f>
        <v/>
      </c>
      <c r="BA278" s="106"/>
      <c r="BB278" s="197"/>
      <c r="BC278" s="197"/>
      <c r="BD278" s="197"/>
      <c r="BE278" s="197"/>
      <c r="BF278" s="197"/>
      <c r="BG278" s="197"/>
      <c r="BH278" s="197"/>
      <c r="BI278" s="197"/>
      <c r="BJ278" s="197"/>
      <c r="BK278" s="197"/>
      <c r="BL278" s="104">
        <v>274</v>
      </c>
      <c r="BM278" s="14">
        <f t="shared" si="340"/>
        <v>14</v>
      </c>
      <c r="BN278" s="14">
        <f>INDEX(挂机升级突破!$EI$7:$EI$26,BS278)</f>
        <v>5</v>
      </c>
      <c r="BO278" s="14">
        <f>INDEX(挂机升级突破!$EJ$7:$EJ$26,BS278)</f>
        <v>3</v>
      </c>
      <c r="BP278" s="14">
        <f t="shared" si="341"/>
        <v>3</v>
      </c>
      <c r="BQ278" s="14">
        <f>INDEX(挂机升级突破!$EH$7:$EH$26,卡牌消耗!BS278)</f>
        <v>95</v>
      </c>
      <c r="BR278" s="14" t="str">
        <f t="shared" si="342"/>
        <v>石灵明</v>
      </c>
      <c r="BS278" s="14">
        <f t="shared" si="343"/>
        <v>14</v>
      </c>
      <c r="BT278" s="14" t="str">
        <f t="shared" si="344"/>
        <v>石灵明14突</v>
      </c>
      <c r="BU278" s="14" t="str">
        <f>IF(BN278&gt;0,INDEX(挂机升级突破!$ER$5:$EV$5,卡牌消耗!BN278),"")</f>
        <v>金币</v>
      </c>
      <c r="BV278" s="14">
        <f>IF(BN278&gt;0,ROUND(INDEX(挂机升级突破!$EV$7:$EV$26,卡牌消耗!BS278)*INDEX(卡牌消耗!$B$8:$F$8,BP278)/$Q$4/500,0)*500,"")</f>
        <v>33500</v>
      </c>
      <c r="BW278" s="14" t="str">
        <f>IF(BO278&gt;0,INDEX(挂机升级突破!$ER$5:$EV$5,卡牌消耗!BO278),"")</f>
        <v>银母</v>
      </c>
      <c r="BX278" s="14">
        <f>IF(BO278&gt;0,ROUND(INDEX(挂机升级突破!$ER$7:$EU$26,卡牌消耗!BS278,卡牌消耗!BO278)*INDEX($B$6:$F$6,BP278)/$Q$4/5,0)*5,"")</f>
        <v>55</v>
      </c>
      <c r="BY278" s="193"/>
      <c r="BZ278" s="193"/>
      <c r="CA278" s="106"/>
      <c r="CS278" s="171"/>
      <c r="CT278" s="171"/>
      <c r="CU278" s="171"/>
      <c r="DI278" s="186">
        <v>274</v>
      </c>
      <c r="DJ278" s="14">
        <f t="shared" si="327"/>
        <v>55</v>
      </c>
      <c r="DK278" s="14">
        <f t="shared" si="330"/>
        <v>4</v>
      </c>
      <c r="DL278" s="14">
        <f t="shared" si="331"/>
        <v>1102031</v>
      </c>
      <c r="DM278" s="186" t="s">
        <v>1097</v>
      </c>
      <c r="DN278" s="14">
        <f t="shared" si="332"/>
        <v>4</v>
      </c>
      <c r="DO278" s="14" t="str">
        <f t="shared" si="333"/>
        <v>秦琼-4星</v>
      </c>
      <c r="DP278" s="186" t="s">
        <v>67</v>
      </c>
      <c r="DQ278" s="14">
        <f t="shared" si="328"/>
        <v>32000</v>
      </c>
      <c r="DR278" s="14" t="str">
        <f t="shared" si="334"/>
        <v>秦琼碎片</v>
      </c>
      <c r="DS278" s="14">
        <f t="shared" si="329"/>
        <v>80</v>
      </c>
    </row>
    <row r="279" spans="8:123" ht="16.5" x14ac:dyDescent="0.2">
      <c r="H279" s="15"/>
      <c r="I279" s="15"/>
      <c r="J279" s="15"/>
      <c r="K279" s="15"/>
      <c r="L279" s="15"/>
      <c r="M279" s="15"/>
      <c r="N279" s="15"/>
      <c r="O279" s="137"/>
      <c r="P279" s="141"/>
      <c r="Q279" s="141"/>
      <c r="R279" s="141"/>
      <c r="S279" s="141"/>
      <c r="T279" s="141"/>
      <c r="U279" s="141"/>
      <c r="V279" s="141"/>
      <c r="W279" s="141"/>
      <c r="X279" s="141"/>
      <c r="Y279" s="141"/>
      <c r="Z279" s="141"/>
      <c r="AA279" s="194"/>
      <c r="AB279" s="194"/>
      <c r="AC279" s="194"/>
      <c r="AD279" s="194"/>
      <c r="AE279" s="194"/>
      <c r="AF279" s="194"/>
      <c r="AG279" s="197"/>
      <c r="AH279" s="194"/>
      <c r="AI279" s="194"/>
      <c r="AJ279" s="194"/>
      <c r="AK279" s="104">
        <v>275</v>
      </c>
      <c r="AL279" s="14">
        <f t="shared" si="335"/>
        <v>6</v>
      </c>
      <c r="AM279" s="14">
        <f>INDEX(挂机升级突破!DQ$6:DQ$57,卡牌消耗!$AT279)</f>
        <v>11</v>
      </c>
      <c r="AN279" s="14">
        <f>INDEX(挂机升级突破!DR$6:DR$57,卡牌消耗!$AT279)</f>
        <v>3</v>
      </c>
      <c r="AO279" s="14">
        <f>INDEX(挂机升级突破!DS$6:DS$57,卡牌消耗!$AT279)</f>
        <v>0</v>
      </c>
      <c r="AP279" s="14">
        <f>INDEX(挂机升级突破!$DP$6:$DP$57,卡牌消耗!AT279)</f>
        <v>55</v>
      </c>
      <c r="AQ279" s="14" t="str">
        <f t="shared" si="336"/>
        <v>项羽</v>
      </c>
      <c r="AR279" s="14">
        <f t="shared" si="337"/>
        <v>5</v>
      </c>
      <c r="AS279" s="14" t="str">
        <f t="shared" si="338"/>
        <v>项羽魂火-15</v>
      </c>
      <c r="AT279" s="14">
        <f t="shared" si="339"/>
        <v>15</v>
      </c>
      <c r="AU279" s="14" t="str">
        <f>IF(AM279&gt;0,INDEX(挂机升级突破!$DT$4:$ED$4,AM279),"")</f>
        <v>金币</v>
      </c>
      <c r="AV279" s="14">
        <f>ROUND(INDEX(挂机升级突破!$DJ$6:$DJ$57,卡牌消耗!AT279)*INDEX(卡牌消耗!$B$8:$F$8,AR279)/$Q$4/50,0)*50</f>
        <v>6550</v>
      </c>
      <c r="AW279" s="14" t="str">
        <f>IF(AN279&gt;0,INDEX(挂机升级突破!$DT$4:$ED$4,AN279),"")</f>
        <v>紫色基础材料</v>
      </c>
      <c r="AX279" s="14">
        <f>ROUND(INDEX(挂机升级突破!$DT$6:$ED$57,卡牌消耗!AT279,AN279)*INDEX(卡牌消耗!$B$5:$F$5,AR279)/$Q$4/5,0)*5</f>
        <v>35</v>
      </c>
      <c r="AY279" s="14" t="str">
        <f>IF(AO279&gt;0,INDEX(挂机升级突破!$DT$4:$ED$4,AO279),"")</f>
        <v/>
      </c>
      <c r="AZ279" s="14" t="str">
        <f>IF(AO279&gt;0,ROUND(INDEX(挂机升级突破!$DT$6:$ED$57,卡牌消耗!AT279,AO279)*INDEX(卡牌消耗!$B$7:$F$7,AR279)/$Q$4,0),"")</f>
        <v/>
      </c>
      <c r="BA279" s="106"/>
      <c r="BB279" s="197"/>
      <c r="BC279" s="197"/>
      <c r="BD279" s="197"/>
      <c r="BE279" s="197"/>
      <c r="BF279" s="197"/>
      <c r="BG279" s="197"/>
      <c r="BH279" s="197"/>
      <c r="BI279" s="197"/>
      <c r="BJ279" s="197"/>
      <c r="BK279" s="197"/>
      <c r="BL279" s="104">
        <v>275</v>
      </c>
      <c r="BM279" s="14">
        <f t="shared" si="340"/>
        <v>14</v>
      </c>
      <c r="BN279" s="14">
        <f>INDEX(挂机升级突破!$EI$7:$EI$26,BS279)</f>
        <v>5</v>
      </c>
      <c r="BO279" s="14">
        <f>INDEX(挂机升级突破!$EJ$7:$EJ$26,BS279)</f>
        <v>3</v>
      </c>
      <c r="BP279" s="14">
        <f t="shared" si="341"/>
        <v>3</v>
      </c>
      <c r="BQ279" s="14">
        <f>INDEX(挂机升级突破!$EH$7:$EH$26,卡牌消耗!BS279)</f>
        <v>102</v>
      </c>
      <c r="BR279" s="14" t="str">
        <f t="shared" si="342"/>
        <v>石灵明</v>
      </c>
      <c r="BS279" s="14">
        <f t="shared" si="343"/>
        <v>15</v>
      </c>
      <c r="BT279" s="14" t="str">
        <f t="shared" si="344"/>
        <v>石灵明15突</v>
      </c>
      <c r="BU279" s="14" t="str">
        <f>IF(BN279&gt;0,INDEX(挂机升级突破!$ER$5:$EV$5,卡牌消耗!BN279),"")</f>
        <v>金币</v>
      </c>
      <c r="BV279" s="14">
        <f>IF(BN279&gt;0,ROUND(INDEX(挂机升级突破!$EV$7:$EV$26,卡牌消耗!BS279)*INDEX(卡牌消耗!$B$8:$F$8,BP279)/$Q$4/500,0)*500,"")</f>
        <v>44500</v>
      </c>
      <c r="BW279" s="14" t="str">
        <f>IF(BO279&gt;0,INDEX(挂机升级突破!$ER$5:$EV$5,卡牌消耗!BO279),"")</f>
        <v>银母</v>
      </c>
      <c r="BX279" s="14">
        <f>IF(BO279&gt;0,ROUND(INDEX(挂机升级突破!$ER$7:$EU$26,卡牌消耗!BS279,卡牌消耗!BO279)*INDEX($B$6:$F$6,BP279)/$Q$4/5,0)*5,"")</f>
        <v>70</v>
      </c>
      <c r="BY279" s="193"/>
      <c r="BZ279" s="193"/>
      <c r="CA279" s="106"/>
      <c r="CS279" s="171"/>
      <c r="CT279" s="171"/>
      <c r="CU279" s="171"/>
      <c r="DI279" s="186">
        <v>275</v>
      </c>
      <c r="DJ279" s="14">
        <f t="shared" si="327"/>
        <v>55</v>
      </c>
      <c r="DK279" s="14">
        <f t="shared" si="330"/>
        <v>4</v>
      </c>
      <c r="DL279" s="14">
        <f t="shared" si="331"/>
        <v>1102031</v>
      </c>
      <c r="DM279" s="186" t="s">
        <v>1097</v>
      </c>
      <c r="DN279" s="14">
        <f t="shared" si="332"/>
        <v>5</v>
      </c>
      <c r="DO279" s="14" t="str">
        <f t="shared" si="333"/>
        <v>秦琼-5星</v>
      </c>
      <c r="DP279" s="186" t="s">
        <v>67</v>
      </c>
      <c r="DQ279" s="14">
        <f t="shared" si="328"/>
        <v>60000</v>
      </c>
      <c r="DR279" s="14" t="str">
        <f t="shared" si="334"/>
        <v>秦琼碎片</v>
      </c>
      <c r="DS279" s="14">
        <f t="shared" si="329"/>
        <v>80</v>
      </c>
    </row>
    <row r="280" spans="8:123" ht="16.5" x14ac:dyDescent="0.2">
      <c r="H280" s="15"/>
      <c r="I280" s="15"/>
      <c r="J280" s="15"/>
      <c r="K280" s="15"/>
      <c r="L280" s="15"/>
      <c r="M280" s="15"/>
      <c r="N280" s="15"/>
      <c r="O280" s="137"/>
      <c r="P280" s="141"/>
      <c r="Q280" s="141"/>
      <c r="R280" s="141"/>
      <c r="S280" s="141"/>
      <c r="T280" s="141"/>
      <c r="U280" s="141"/>
      <c r="V280" s="141"/>
      <c r="W280" s="141"/>
      <c r="X280" s="141"/>
      <c r="Y280" s="141"/>
      <c r="Z280" s="141"/>
      <c r="AA280" s="194"/>
      <c r="AB280" s="194"/>
      <c r="AC280" s="194"/>
      <c r="AD280" s="194"/>
      <c r="AE280" s="194"/>
      <c r="AF280" s="194"/>
      <c r="AG280" s="197"/>
      <c r="AH280" s="194"/>
      <c r="AI280" s="194"/>
      <c r="AJ280" s="194"/>
      <c r="AK280" s="104">
        <v>276</v>
      </c>
      <c r="AL280" s="14">
        <f t="shared" si="335"/>
        <v>6</v>
      </c>
      <c r="AM280" s="14">
        <f>INDEX(挂机升级突破!DQ$6:DQ$57,卡牌消耗!$AT280)</f>
        <v>11</v>
      </c>
      <c r="AN280" s="14">
        <f>INDEX(挂机升级突破!DR$6:DR$57,卡牌消耗!$AT280)</f>
        <v>3</v>
      </c>
      <c r="AO280" s="14">
        <f>INDEX(挂机升级突破!DS$6:DS$57,卡牌消耗!$AT280)</f>
        <v>0</v>
      </c>
      <c r="AP280" s="14">
        <f>INDEX(挂机升级突破!$DP$6:$DP$57,卡牌消耗!AT280)</f>
        <v>58</v>
      </c>
      <c r="AQ280" s="14" t="str">
        <f t="shared" si="336"/>
        <v>项羽</v>
      </c>
      <c r="AR280" s="14">
        <f t="shared" si="337"/>
        <v>5</v>
      </c>
      <c r="AS280" s="14" t="str">
        <f t="shared" si="338"/>
        <v>项羽魂火-16</v>
      </c>
      <c r="AT280" s="14">
        <f t="shared" si="339"/>
        <v>16</v>
      </c>
      <c r="AU280" s="14" t="str">
        <f>IF(AM280&gt;0,INDEX(挂机升级突破!$DT$4:$ED$4,AM280),"")</f>
        <v>金币</v>
      </c>
      <c r="AV280" s="14">
        <f>ROUND(INDEX(挂机升级突破!$DJ$6:$DJ$57,卡牌消耗!AT280)*INDEX(卡牌消耗!$B$8:$F$8,AR280)/$Q$4/50,0)*50</f>
        <v>6550</v>
      </c>
      <c r="AW280" s="14" t="str">
        <f>IF(AN280&gt;0,INDEX(挂机升级突破!$DT$4:$ED$4,AN280),"")</f>
        <v>紫色基础材料</v>
      </c>
      <c r="AX280" s="14">
        <f>ROUND(INDEX(挂机升级突破!$DT$6:$ED$57,卡牌消耗!AT280,AN280)*INDEX(卡牌消耗!$B$5:$F$5,AR280)/$Q$4/5,0)*5</f>
        <v>35</v>
      </c>
      <c r="AY280" s="14" t="str">
        <f>IF(AO280&gt;0,INDEX(挂机升级突破!$DT$4:$ED$4,AO280),"")</f>
        <v/>
      </c>
      <c r="AZ280" s="14" t="str">
        <f>IF(AO280&gt;0,ROUND(INDEX(挂机升级突破!$DT$6:$ED$57,卡牌消耗!AT280,AO280)*INDEX(卡牌消耗!$B$7:$F$7,AR280)/$Q$4,0),"")</f>
        <v/>
      </c>
      <c r="BA280" s="106"/>
      <c r="BB280" s="197"/>
      <c r="BC280" s="197"/>
      <c r="BD280" s="197"/>
      <c r="BE280" s="197"/>
      <c r="BF280" s="197"/>
      <c r="BG280" s="197"/>
      <c r="BH280" s="197"/>
      <c r="BI280" s="197"/>
      <c r="BJ280" s="197"/>
      <c r="BK280" s="197"/>
      <c r="BL280" s="104">
        <v>276</v>
      </c>
      <c r="BM280" s="14">
        <f t="shared" si="340"/>
        <v>14</v>
      </c>
      <c r="BN280" s="14">
        <f>INDEX(挂机升级突破!$EI$7:$EI$26,BS280)</f>
        <v>5</v>
      </c>
      <c r="BO280" s="14">
        <f>INDEX(挂机升级突破!$EJ$7:$EJ$26,BS280)</f>
        <v>3</v>
      </c>
      <c r="BP280" s="14">
        <f t="shared" si="341"/>
        <v>3</v>
      </c>
      <c r="BQ280" s="14">
        <f>INDEX(挂机升级突破!$EH$7:$EH$26,卡牌消耗!BS280)</f>
        <v>110</v>
      </c>
      <c r="BR280" s="14" t="str">
        <f t="shared" si="342"/>
        <v>石灵明</v>
      </c>
      <c r="BS280" s="14">
        <f t="shared" si="343"/>
        <v>16</v>
      </c>
      <c r="BT280" s="14" t="str">
        <f t="shared" si="344"/>
        <v>石灵明16突</v>
      </c>
      <c r="BU280" s="14" t="str">
        <f>IF(BN280&gt;0,INDEX(挂机升级突破!$ER$5:$EV$5,卡牌消耗!BN280),"")</f>
        <v>金币</v>
      </c>
      <c r="BV280" s="14">
        <f>IF(BN280&gt;0,ROUND(INDEX(挂机升级突破!$EV$7:$EV$26,卡牌消耗!BS280)*INDEX(卡牌消耗!$B$8:$F$8,BP280)/$Q$4/500,0)*500,"")</f>
        <v>80500</v>
      </c>
      <c r="BW280" s="14" t="str">
        <f>IF(BO280&gt;0,INDEX(挂机升级突破!$ER$5:$EV$5,卡牌消耗!BO280),"")</f>
        <v>银母</v>
      </c>
      <c r="BX280" s="14">
        <f>IF(BO280&gt;0,ROUND(INDEX(挂机升级突破!$ER$7:$EU$26,卡牌消耗!BS280,卡牌消耗!BO280)*INDEX($B$6:$F$6,BP280)/$Q$4/5,0)*5,"")</f>
        <v>90</v>
      </c>
      <c r="BY280" s="193"/>
      <c r="BZ280" s="193"/>
      <c r="CA280" s="106"/>
      <c r="CS280" s="171"/>
      <c r="CT280" s="171"/>
      <c r="CU280" s="171"/>
      <c r="DI280" s="186">
        <v>276</v>
      </c>
      <c r="DJ280" s="14">
        <f t="shared" si="327"/>
        <v>56</v>
      </c>
      <c r="DK280" s="14">
        <f t="shared" si="330"/>
        <v>2</v>
      </c>
      <c r="DL280" s="14">
        <f t="shared" si="331"/>
        <v>1102999</v>
      </c>
      <c r="DM280" s="186" t="s">
        <v>1097</v>
      </c>
      <c r="DN280" s="14">
        <f t="shared" si="332"/>
        <v>1</v>
      </c>
      <c r="DO280" s="14" t="str">
        <f t="shared" si="333"/>
        <v>R守护灵-1星</v>
      </c>
      <c r="DP280" s="186" t="s">
        <v>67</v>
      </c>
      <c r="DQ280" s="14">
        <f t="shared" si="328"/>
        <v>3000</v>
      </c>
      <c r="DR280" s="14" t="str">
        <f t="shared" si="334"/>
        <v>R守护灵碎片</v>
      </c>
      <c r="DS280" s="14">
        <f t="shared" si="329"/>
        <v>20</v>
      </c>
    </row>
    <row r="281" spans="8:123" ht="16.5" x14ac:dyDescent="0.2">
      <c r="H281" s="15"/>
      <c r="I281" s="15"/>
      <c r="J281" s="15"/>
      <c r="K281" s="15"/>
      <c r="L281" s="15"/>
      <c r="M281" s="15"/>
      <c r="N281" s="15"/>
      <c r="O281" s="137"/>
      <c r="P281" s="141"/>
      <c r="Q281" s="141"/>
      <c r="R281" s="141"/>
      <c r="S281" s="141"/>
      <c r="T281" s="141"/>
      <c r="U281" s="141"/>
      <c r="V281" s="141"/>
      <c r="W281" s="141"/>
      <c r="X281" s="141"/>
      <c r="Y281" s="141"/>
      <c r="Z281" s="141"/>
      <c r="AA281" s="194"/>
      <c r="AB281" s="194"/>
      <c r="AC281" s="194"/>
      <c r="AD281" s="194"/>
      <c r="AE281" s="194"/>
      <c r="AF281" s="194"/>
      <c r="AG281" s="197"/>
      <c r="AH281" s="194"/>
      <c r="AI281" s="194"/>
      <c r="AJ281" s="194"/>
      <c r="AK281" s="104">
        <v>277</v>
      </c>
      <c r="AL281" s="14">
        <f t="shared" si="335"/>
        <v>6</v>
      </c>
      <c r="AM281" s="14">
        <f>INDEX(挂机升级突破!DQ$6:DQ$57,卡牌消耗!$AT281)</f>
        <v>11</v>
      </c>
      <c r="AN281" s="14">
        <f>INDEX(挂机升级突破!DR$6:DR$57,卡牌消耗!$AT281)</f>
        <v>3</v>
      </c>
      <c r="AO281" s="14">
        <f>INDEX(挂机升级突破!DS$6:DS$57,卡牌消耗!$AT281)</f>
        <v>0</v>
      </c>
      <c r="AP281" s="14">
        <f>INDEX(挂机升级突破!$DP$6:$DP$57,卡牌消耗!AT281)</f>
        <v>60</v>
      </c>
      <c r="AQ281" s="14" t="str">
        <f t="shared" si="336"/>
        <v>项羽</v>
      </c>
      <c r="AR281" s="14">
        <f t="shared" si="337"/>
        <v>5</v>
      </c>
      <c r="AS281" s="14" t="str">
        <f t="shared" si="338"/>
        <v>项羽魂火-17</v>
      </c>
      <c r="AT281" s="14">
        <f t="shared" si="339"/>
        <v>17</v>
      </c>
      <c r="AU281" s="14" t="str">
        <f>IF(AM281&gt;0,INDEX(挂机升级突破!$DT$4:$ED$4,AM281),"")</f>
        <v>金币</v>
      </c>
      <c r="AV281" s="14">
        <f>ROUND(INDEX(挂机升级突破!$DJ$6:$DJ$57,卡牌消耗!AT281)*INDEX(卡牌消耗!$B$8:$F$8,AR281)/$Q$4/50,0)*50</f>
        <v>8200</v>
      </c>
      <c r="AW281" s="14" t="str">
        <f>IF(AN281&gt;0,INDEX(挂机升级突破!$DT$4:$ED$4,AN281),"")</f>
        <v>紫色基础材料</v>
      </c>
      <c r="AX281" s="14">
        <f>ROUND(INDEX(挂机升级突破!$DT$6:$ED$57,卡牌消耗!AT281,AN281)*INDEX(卡牌消耗!$B$5:$F$5,AR281)/$Q$4/5,0)*5</f>
        <v>70</v>
      </c>
      <c r="AY281" s="14" t="str">
        <f>IF(AO281&gt;0,INDEX(挂机升级突破!$DT$4:$ED$4,AO281),"")</f>
        <v/>
      </c>
      <c r="AZ281" s="14" t="str">
        <f>IF(AO281&gt;0,ROUND(INDEX(挂机升级突破!$DT$6:$ED$57,卡牌消耗!AT281,AO281)*INDEX(卡牌消耗!$B$7:$F$7,AR281)/$Q$4,0),"")</f>
        <v/>
      </c>
      <c r="BA281" s="106"/>
      <c r="BB281" s="197"/>
      <c r="BC281" s="197"/>
      <c r="BD281" s="197"/>
      <c r="BE281" s="197"/>
      <c r="BF281" s="197"/>
      <c r="BG281" s="197"/>
      <c r="BH281" s="197"/>
      <c r="BI281" s="197"/>
      <c r="BJ281" s="197"/>
      <c r="BK281" s="197"/>
      <c r="BL281" s="104">
        <v>277</v>
      </c>
      <c r="BM281" s="14">
        <f t="shared" si="340"/>
        <v>14</v>
      </c>
      <c r="BN281" s="14">
        <f>INDEX(挂机升级突破!$EI$7:$EI$26,BS281)</f>
        <v>5</v>
      </c>
      <c r="BO281" s="14">
        <f>INDEX(挂机升级突破!$EJ$7:$EJ$26,BS281)</f>
        <v>4</v>
      </c>
      <c r="BP281" s="14">
        <f t="shared" si="341"/>
        <v>3</v>
      </c>
      <c r="BQ281" s="14">
        <f>INDEX(挂机升级突破!$EH$7:$EH$26,卡牌消耗!BS281)</f>
        <v>117</v>
      </c>
      <c r="BR281" s="14" t="str">
        <f t="shared" si="342"/>
        <v>石灵明</v>
      </c>
      <c r="BS281" s="14">
        <f t="shared" si="343"/>
        <v>17</v>
      </c>
      <c r="BT281" s="14" t="str">
        <f t="shared" si="344"/>
        <v>石灵明17突</v>
      </c>
      <c r="BU281" s="14" t="str">
        <f>IF(BN281&gt;0,INDEX(挂机升级突破!$ER$5:$EV$5,卡牌消耗!BN281),"")</f>
        <v>金币</v>
      </c>
      <c r="BV281" s="14">
        <f>IF(BN281&gt;0,ROUND(INDEX(挂机升级突破!$EV$7:$EV$26,卡牌消耗!BS281)*INDEX(卡牌消耗!$B$8:$F$8,BP281)/$Q$4/500,0)*500,"")</f>
        <v>80500</v>
      </c>
      <c r="BW281" s="14" t="str">
        <f>IF(BO281&gt;0,INDEX(挂机升级突破!$ER$5:$EV$5,卡牌消耗!BO281),"")</f>
        <v>铀金</v>
      </c>
      <c r="BX281" s="14">
        <f>IF(BO281&gt;0,ROUND(INDEX(挂机升级突破!$ER$7:$EU$26,卡牌消耗!BS281,卡牌消耗!BO281)*INDEX($B$6:$F$6,BP281)/$Q$4/5,0)*5,"")</f>
        <v>20</v>
      </c>
      <c r="BY281" s="193"/>
      <c r="BZ281" s="193"/>
      <c r="CA281" s="106"/>
      <c r="CS281" s="171"/>
      <c r="CT281" s="171"/>
      <c r="CU281" s="171"/>
      <c r="DI281" s="186">
        <v>277</v>
      </c>
      <c r="DJ281" s="14">
        <f t="shared" si="327"/>
        <v>56</v>
      </c>
      <c r="DK281" s="14">
        <f t="shared" si="330"/>
        <v>2</v>
      </c>
      <c r="DL281" s="14">
        <f t="shared" si="331"/>
        <v>1102999</v>
      </c>
      <c r="DM281" s="186" t="s">
        <v>1097</v>
      </c>
      <c r="DN281" s="14">
        <f t="shared" si="332"/>
        <v>2</v>
      </c>
      <c r="DO281" s="14" t="str">
        <f t="shared" si="333"/>
        <v>R守护灵-2星</v>
      </c>
      <c r="DP281" s="186" t="s">
        <v>67</v>
      </c>
      <c r="DQ281" s="14">
        <f t="shared" si="328"/>
        <v>3500</v>
      </c>
      <c r="DR281" s="14" t="str">
        <f t="shared" si="334"/>
        <v>R守护灵碎片</v>
      </c>
      <c r="DS281" s="14">
        <f t="shared" si="329"/>
        <v>20</v>
      </c>
    </row>
    <row r="282" spans="8:123" ht="16.5" x14ac:dyDescent="0.2">
      <c r="H282" s="15"/>
      <c r="I282" s="15"/>
      <c r="J282" s="15"/>
      <c r="K282" s="15"/>
      <c r="L282" s="15"/>
      <c r="M282" s="15"/>
      <c r="N282" s="15"/>
      <c r="O282" s="137"/>
      <c r="P282" s="141"/>
      <c r="Q282" s="141"/>
      <c r="R282" s="141"/>
      <c r="S282" s="141"/>
      <c r="T282" s="141"/>
      <c r="U282" s="141"/>
      <c r="V282" s="141"/>
      <c r="W282" s="141"/>
      <c r="X282" s="141"/>
      <c r="Y282" s="141"/>
      <c r="Z282" s="141"/>
      <c r="AA282" s="194"/>
      <c r="AB282" s="194"/>
      <c r="AC282" s="194"/>
      <c r="AD282" s="194"/>
      <c r="AE282" s="194"/>
      <c r="AF282" s="194"/>
      <c r="AG282" s="197"/>
      <c r="AH282" s="194"/>
      <c r="AI282" s="194"/>
      <c r="AJ282" s="194"/>
      <c r="AK282" s="104">
        <v>278</v>
      </c>
      <c r="AL282" s="14">
        <f t="shared" si="335"/>
        <v>6</v>
      </c>
      <c r="AM282" s="14">
        <f>INDEX(挂机升级突破!DQ$6:DQ$57,卡牌消耗!$AT282)</f>
        <v>11</v>
      </c>
      <c r="AN282" s="14">
        <f>INDEX(挂机升级突破!DR$6:DR$57,卡牌消耗!$AT282)</f>
        <v>3</v>
      </c>
      <c r="AO282" s="14">
        <f>INDEX(挂机升级突破!DS$6:DS$57,卡牌消耗!$AT282)</f>
        <v>0</v>
      </c>
      <c r="AP282" s="14">
        <f>INDEX(挂机升级突破!$DP$6:$DP$57,卡牌消耗!AT282)</f>
        <v>63</v>
      </c>
      <c r="AQ282" s="14" t="str">
        <f t="shared" si="336"/>
        <v>项羽</v>
      </c>
      <c r="AR282" s="14">
        <f t="shared" si="337"/>
        <v>5</v>
      </c>
      <c r="AS282" s="14" t="str">
        <f t="shared" si="338"/>
        <v>项羽魂火-18</v>
      </c>
      <c r="AT282" s="14">
        <f t="shared" si="339"/>
        <v>18</v>
      </c>
      <c r="AU282" s="14" t="str">
        <f>IF(AM282&gt;0,INDEX(挂机升级突破!$DT$4:$ED$4,AM282),"")</f>
        <v>金币</v>
      </c>
      <c r="AV282" s="14">
        <f>ROUND(INDEX(挂机升级突破!$DJ$6:$DJ$57,卡牌消耗!AT282)*INDEX(卡牌消耗!$B$8:$F$8,AR282)/$Q$4/50,0)*50</f>
        <v>8200</v>
      </c>
      <c r="AW282" s="14" t="str">
        <f>IF(AN282&gt;0,INDEX(挂机升级突破!$DT$4:$ED$4,AN282),"")</f>
        <v>紫色基础材料</v>
      </c>
      <c r="AX282" s="14">
        <f>ROUND(INDEX(挂机升级突破!$DT$6:$ED$57,卡牌消耗!AT282,AN282)*INDEX(卡牌消耗!$B$5:$F$5,AR282)/$Q$4/5,0)*5</f>
        <v>70</v>
      </c>
      <c r="AY282" s="14" t="str">
        <f>IF(AO282&gt;0,INDEX(挂机升级突破!$DT$4:$ED$4,AO282),"")</f>
        <v/>
      </c>
      <c r="AZ282" s="14" t="str">
        <f>IF(AO282&gt;0,ROUND(INDEX(挂机升级突破!$DT$6:$ED$57,卡牌消耗!AT282,AO282)*INDEX(卡牌消耗!$B$7:$F$7,AR282)/$Q$4,0),"")</f>
        <v/>
      </c>
      <c r="BA282" s="106"/>
      <c r="BB282" s="197"/>
      <c r="BC282" s="197"/>
      <c r="BD282" s="197"/>
      <c r="BE282" s="197"/>
      <c r="BF282" s="197"/>
      <c r="BG282" s="197"/>
      <c r="BH282" s="197"/>
      <c r="BI282" s="197"/>
      <c r="BJ282" s="197"/>
      <c r="BK282" s="197"/>
      <c r="BL282" s="104">
        <v>278</v>
      </c>
      <c r="BM282" s="14">
        <f t="shared" si="340"/>
        <v>14</v>
      </c>
      <c r="BN282" s="14">
        <f>INDEX(挂机升级突破!$EI$7:$EI$26,BS282)</f>
        <v>5</v>
      </c>
      <c r="BO282" s="14">
        <f>INDEX(挂机升级突破!$EJ$7:$EJ$26,BS282)</f>
        <v>4</v>
      </c>
      <c r="BP282" s="14">
        <f t="shared" si="341"/>
        <v>3</v>
      </c>
      <c r="BQ282" s="14">
        <f>INDEX(挂机升级突破!$EH$7:$EH$26,卡牌消耗!BS282)</f>
        <v>125</v>
      </c>
      <c r="BR282" s="14" t="str">
        <f t="shared" si="342"/>
        <v>石灵明</v>
      </c>
      <c r="BS282" s="14">
        <f t="shared" si="343"/>
        <v>18</v>
      </c>
      <c r="BT282" s="14" t="str">
        <f t="shared" si="344"/>
        <v>石灵明18突</v>
      </c>
      <c r="BU282" s="14" t="str">
        <f>IF(BN282&gt;0,INDEX(挂机升级突破!$ER$5:$EV$5,卡牌消耗!BN282),"")</f>
        <v>金币</v>
      </c>
      <c r="BV282" s="14">
        <f>IF(BN282&gt;0,ROUND(INDEX(挂机升级突破!$EV$7:$EV$26,卡牌消耗!BS282)*INDEX(卡牌消耗!$B$8:$F$8,BP282)/$Q$4/500,0)*500,"")</f>
        <v>107500</v>
      </c>
      <c r="BW282" s="14" t="str">
        <f>IF(BO282&gt;0,INDEX(挂机升级突破!$ER$5:$EV$5,卡牌消耗!BO282),"")</f>
        <v>铀金</v>
      </c>
      <c r="BX282" s="14">
        <f>IF(BO282&gt;0,ROUND(INDEX(挂机升级突破!$ER$7:$EU$26,卡牌消耗!BS282,卡牌消耗!BO282)*INDEX($B$6:$F$6,BP282)/$Q$4/5,0)*5,"")</f>
        <v>25</v>
      </c>
      <c r="BY282" s="193"/>
      <c r="BZ282" s="193"/>
      <c r="CA282" s="106"/>
      <c r="CS282" s="171"/>
      <c r="CT282" s="171"/>
      <c r="CU282" s="171"/>
      <c r="DI282" s="186">
        <v>278</v>
      </c>
      <c r="DJ282" s="14">
        <f t="shared" si="327"/>
        <v>56</v>
      </c>
      <c r="DK282" s="14">
        <f t="shared" si="330"/>
        <v>2</v>
      </c>
      <c r="DL282" s="14">
        <f t="shared" si="331"/>
        <v>1102999</v>
      </c>
      <c r="DM282" s="186" t="s">
        <v>1097</v>
      </c>
      <c r="DN282" s="14">
        <f t="shared" si="332"/>
        <v>3</v>
      </c>
      <c r="DO282" s="14" t="str">
        <f t="shared" si="333"/>
        <v>R守护灵-3星</v>
      </c>
      <c r="DP282" s="186" t="s">
        <v>67</v>
      </c>
      <c r="DQ282" s="14">
        <f t="shared" si="328"/>
        <v>7000</v>
      </c>
      <c r="DR282" s="14" t="str">
        <f t="shared" si="334"/>
        <v>R守护灵碎片</v>
      </c>
      <c r="DS282" s="14">
        <f t="shared" si="329"/>
        <v>20</v>
      </c>
    </row>
    <row r="283" spans="8:123" ht="16.5" x14ac:dyDescent="0.2">
      <c r="H283" s="15"/>
      <c r="I283" s="15"/>
      <c r="J283" s="15"/>
      <c r="K283" s="15"/>
      <c r="L283" s="15"/>
      <c r="M283" s="15"/>
      <c r="N283" s="15"/>
      <c r="O283" s="137"/>
      <c r="P283" s="141"/>
      <c r="Q283" s="141"/>
      <c r="R283" s="141"/>
      <c r="S283" s="141"/>
      <c r="T283" s="141"/>
      <c r="U283" s="141"/>
      <c r="V283" s="141"/>
      <c r="W283" s="141"/>
      <c r="X283" s="141"/>
      <c r="Y283" s="141"/>
      <c r="Z283" s="141"/>
      <c r="AA283" s="194"/>
      <c r="AB283" s="194"/>
      <c r="AC283" s="194"/>
      <c r="AD283" s="194"/>
      <c r="AE283" s="194"/>
      <c r="AF283" s="194"/>
      <c r="AG283" s="197"/>
      <c r="AH283" s="194"/>
      <c r="AI283" s="194"/>
      <c r="AJ283" s="194"/>
      <c r="AK283" s="104">
        <v>279</v>
      </c>
      <c r="AL283" s="14">
        <f t="shared" si="335"/>
        <v>6</v>
      </c>
      <c r="AM283" s="14">
        <f>INDEX(挂机升级突破!DQ$6:DQ$57,卡牌消耗!$AT283)</f>
        <v>11</v>
      </c>
      <c r="AN283" s="14">
        <f>INDEX(挂机升级突破!DR$6:DR$57,卡牌消耗!$AT283)</f>
        <v>3</v>
      </c>
      <c r="AO283" s="14">
        <f>INDEX(挂机升级突破!DS$6:DS$57,卡牌消耗!$AT283)</f>
        <v>0</v>
      </c>
      <c r="AP283" s="14">
        <f>INDEX(挂机升级突破!$DP$6:$DP$57,卡牌消耗!AT283)</f>
        <v>65</v>
      </c>
      <c r="AQ283" s="14" t="str">
        <f t="shared" si="336"/>
        <v>项羽</v>
      </c>
      <c r="AR283" s="14">
        <f t="shared" si="337"/>
        <v>5</v>
      </c>
      <c r="AS283" s="14" t="str">
        <f t="shared" si="338"/>
        <v>项羽魂火-19</v>
      </c>
      <c r="AT283" s="14">
        <f t="shared" si="339"/>
        <v>19</v>
      </c>
      <c r="AU283" s="14" t="str">
        <f>IF(AM283&gt;0,INDEX(挂机升级突破!$DT$4:$ED$4,AM283),"")</f>
        <v>金币</v>
      </c>
      <c r="AV283" s="14">
        <f>ROUND(INDEX(挂机升级突破!$DJ$6:$DJ$57,卡牌消耗!AT283)*INDEX(卡牌消耗!$B$8:$F$8,AR283)/$Q$4/50,0)*50</f>
        <v>8200</v>
      </c>
      <c r="AW283" s="14" t="str">
        <f>IF(AN283&gt;0,INDEX(挂机升级突破!$DT$4:$ED$4,AN283),"")</f>
        <v>紫色基础材料</v>
      </c>
      <c r="AX283" s="14">
        <f>ROUND(INDEX(挂机升级突破!$DT$6:$ED$57,卡牌消耗!AT283,AN283)*INDEX(卡牌消耗!$B$5:$F$5,AR283)/$Q$4/5,0)*5</f>
        <v>70</v>
      </c>
      <c r="AY283" s="14" t="str">
        <f>IF(AO283&gt;0,INDEX(挂机升级突破!$DT$4:$ED$4,AO283),"")</f>
        <v/>
      </c>
      <c r="AZ283" s="14" t="str">
        <f>IF(AO283&gt;0,ROUND(INDEX(挂机升级突破!$DT$6:$ED$57,卡牌消耗!AT283,AO283)*INDEX(卡牌消耗!$B$7:$F$7,AR283)/$Q$4,0),"")</f>
        <v/>
      </c>
      <c r="BA283" s="106"/>
      <c r="BB283" s="197"/>
      <c r="BC283" s="197"/>
      <c r="BD283" s="197"/>
      <c r="BE283" s="197"/>
      <c r="BF283" s="197"/>
      <c r="BG283" s="197"/>
      <c r="BH283" s="197"/>
      <c r="BI283" s="197"/>
      <c r="BJ283" s="197"/>
      <c r="BK283" s="197"/>
      <c r="BL283" s="104">
        <v>279</v>
      </c>
      <c r="BM283" s="14">
        <f t="shared" si="340"/>
        <v>14</v>
      </c>
      <c r="BN283" s="14">
        <f>INDEX(挂机升级突破!$EI$7:$EI$26,BS283)</f>
        <v>5</v>
      </c>
      <c r="BO283" s="14">
        <f>INDEX(挂机升级突破!$EJ$7:$EJ$26,BS283)</f>
        <v>4</v>
      </c>
      <c r="BP283" s="14">
        <f t="shared" si="341"/>
        <v>3</v>
      </c>
      <c r="BQ283" s="14">
        <f>INDEX(挂机升级突破!$EH$7:$EH$26,卡牌消耗!BS283)</f>
        <v>132</v>
      </c>
      <c r="BR283" s="14" t="str">
        <f t="shared" si="342"/>
        <v>石灵明</v>
      </c>
      <c r="BS283" s="14">
        <f t="shared" si="343"/>
        <v>19</v>
      </c>
      <c r="BT283" s="14" t="str">
        <f t="shared" si="344"/>
        <v>石灵明19突</v>
      </c>
      <c r="BU283" s="14" t="str">
        <f>IF(BN283&gt;0,INDEX(挂机升级突破!$ER$5:$EV$5,卡牌消耗!BN283),"")</f>
        <v>金币</v>
      </c>
      <c r="BV283" s="14">
        <f>IF(BN283&gt;0,ROUND(INDEX(挂机升级突破!$EV$7:$EV$26,卡牌消耗!BS283)*INDEX(卡牌消耗!$B$8:$F$8,BP283)/$Q$4/500,0)*500,"")</f>
        <v>273500</v>
      </c>
      <c r="BW283" s="14" t="str">
        <f>IF(BO283&gt;0,INDEX(挂机升级突破!$ER$5:$EV$5,卡牌消耗!BO283),"")</f>
        <v>铀金</v>
      </c>
      <c r="BX283" s="14">
        <f>IF(BO283&gt;0,ROUND(INDEX(挂机升级突破!$ER$7:$EU$26,卡牌消耗!BS283,卡牌消耗!BO283)*INDEX($B$6:$F$6,BP283)/$Q$4/5,0)*5,"")</f>
        <v>35</v>
      </c>
      <c r="BY283" s="193"/>
      <c r="BZ283" s="193"/>
      <c r="CA283" s="106"/>
      <c r="CS283" s="171"/>
      <c r="CT283" s="171"/>
      <c r="CU283" s="171"/>
      <c r="DI283" s="186">
        <v>279</v>
      </c>
      <c r="DJ283" s="14">
        <f t="shared" si="327"/>
        <v>56</v>
      </c>
      <c r="DK283" s="14">
        <f t="shared" si="330"/>
        <v>2</v>
      </c>
      <c r="DL283" s="14">
        <f t="shared" si="331"/>
        <v>1102999</v>
      </c>
      <c r="DM283" s="186" t="s">
        <v>1097</v>
      </c>
      <c r="DN283" s="14">
        <f t="shared" si="332"/>
        <v>4</v>
      </c>
      <c r="DO283" s="14" t="str">
        <f t="shared" si="333"/>
        <v>R守护灵-4星</v>
      </c>
      <c r="DP283" s="186" t="s">
        <v>67</v>
      </c>
      <c r="DQ283" s="14">
        <f t="shared" si="328"/>
        <v>16000</v>
      </c>
      <c r="DR283" s="14" t="str">
        <f t="shared" si="334"/>
        <v>R守护灵碎片</v>
      </c>
      <c r="DS283" s="14">
        <f t="shared" si="329"/>
        <v>20</v>
      </c>
    </row>
    <row r="284" spans="8:123" ht="16.5" x14ac:dyDescent="0.2">
      <c r="H284" s="15"/>
      <c r="I284" s="15"/>
      <c r="J284" s="15"/>
      <c r="K284" s="15"/>
      <c r="L284" s="15"/>
      <c r="M284" s="15"/>
      <c r="N284" s="15"/>
      <c r="O284" s="137"/>
      <c r="P284" s="141"/>
      <c r="Q284" s="141"/>
      <c r="R284" s="141"/>
      <c r="S284" s="141"/>
      <c r="T284" s="141"/>
      <c r="U284" s="141"/>
      <c r="V284" s="141"/>
      <c r="W284" s="141"/>
      <c r="X284" s="141"/>
      <c r="Y284" s="141"/>
      <c r="Z284" s="141"/>
      <c r="AA284" s="194"/>
      <c r="AB284" s="194"/>
      <c r="AC284" s="194"/>
      <c r="AD284" s="194"/>
      <c r="AE284" s="194"/>
      <c r="AF284" s="194"/>
      <c r="AG284" s="197"/>
      <c r="AH284" s="194"/>
      <c r="AI284" s="194"/>
      <c r="AJ284" s="194"/>
      <c r="AK284" s="104">
        <v>280</v>
      </c>
      <c r="AL284" s="14">
        <f t="shared" si="335"/>
        <v>6</v>
      </c>
      <c r="AM284" s="14">
        <f>INDEX(挂机升级突破!DQ$6:DQ$57,卡牌消耗!$AT284)</f>
        <v>11</v>
      </c>
      <c r="AN284" s="14">
        <f>INDEX(挂机升级突破!DR$6:DR$57,卡牌消耗!$AT284)</f>
        <v>3</v>
      </c>
      <c r="AO284" s="14">
        <f>INDEX(挂机升级突破!DS$6:DS$57,卡牌消耗!$AT284)</f>
        <v>0</v>
      </c>
      <c r="AP284" s="14">
        <f>INDEX(挂机升级突破!$DP$6:$DP$57,卡牌消耗!AT284)</f>
        <v>68</v>
      </c>
      <c r="AQ284" s="14" t="str">
        <f t="shared" si="336"/>
        <v>项羽</v>
      </c>
      <c r="AR284" s="14">
        <f t="shared" si="337"/>
        <v>5</v>
      </c>
      <c r="AS284" s="14" t="str">
        <f t="shared" si="338"/>
        <v>项羽魂火-20</v>
      </c>
      <c r="AT284" s="14">
        <f t="shared" si="339"/>
        <v>20</v>
      </c>
      <c r="AU284" s="14" t="str">
        <f>IF(AM284&gt;0,INDEX(挂机升级突破!$DT$4:$ED$4,AM284),"")</f>
        <v>金币</v>
      </c>
      <c r="AV284" s="14">
        <f>ROUND(INDEX(挂机升级突破!$DJ$6:$DJ$57,卡牌消耗!AT284)*INDEX(卡牌消耗!$B$8:$F$8,AR284)/$Q$4/50,0)*50</f>
        <v>10050</v>
      </c>
      <c r="AW284" s="14" t="str">
        <f>IF(AN284&gt;0,INDEX(挂机升级突破!$DT$4:$ED$4,AN284),"")</f>
        <v>紫色基础材料</v>
      </c>
      <c r="AX284" s="14">
        <f>ROUND(INDEX(挂机升级突破!$DT$6:$ED$57,卡牌消耗!AT284,AN284)*INDEX(卡牌消耗!$B$5:$F$5,AR284)/$Q$4/5,0)*5</f>
        <v>105</v>
      </c>
      <c r="AY284" s="14" t="str">
        <f>IF(AO284&gt;0,INDEX(挂机升级突破!$DT$4:$ED$4,AO284),"")</f>
        <v/>
      </c>
      <c r="AZ284" s="14" t="str">
        <f>IF(AO284&gt;0,ROUND(INDEX(挂机升级突破!$DT$6:$ED$57,卡牌消耗!AT284,AO284)*INDEX(卡牌消耗!$B$7:$F$7,AR284)/$Q$4,0),"")</f>
        <v/>
      </c>
      <c r="BA284" s="106"/>
      <c r="BB284" s="197"/>
      <c r="BC284" s="197"/>
      <c r="BD284" s="197"/>
      <c r="BE284" s="197"/>
      <c r="BF284" s="197"/>
      <c r="BG284" s="197"/>
      <c r="BH284" s="197"/>
      <c r="BI284" s="197"/>
      <c r="BJ284" s="197"/>
      <c r="BK284" s="197"/>
      <c r="BL284" s="104">
        <v>280</v>
      </c>
      <c r="BM284" s="14">
        <f t="shared" si="340"/>
        <v>14</v>
      </c>
      <c r="BN284" s="14">
        <f>INDEX(挂机升级突破!$EI$7:$EI$26,BS284)</f>
        <v>5</v>
      </c>
      <c r="BO284" s="14">
        <f>INDEX(挂机升级突破!$EJ$7:$EJ$26,BS284)</f>
        <v>4</v>
      </c>
      <c r="BP284" s="14">
        <f t="shared" si="341"/>
        <v>3</v>
      </c>
      <c r="BQ284" s="14">
        <f>INDEX(挂机升级突破!$EH$7:$EH$26,卡牌消耗!BS284)</f>
        <v>140</v>
      </c>
      <c r="BR284" s="14" t="str">
        <f t="shared" si="342"/>
        <v>石灵明</v>
      </c>
      <c r="BS284" s="14">
        <f t="shared" si="343"/>
        <v>20</v>
      </c>
      <c r="BT284" s="14" t="str">
        <f t="shared" si="344"/>
        <v>石灵明20突</v>
      </c>
      <c r="BU284" s="14" t="str">
        <f>IF(BN284&gt;0,INDEX(挂机升级突破!$ER$5:$EV$5,卡牌消耗!BN284),"")</f>
        <v>金币</v>
      </c>
      <c r="BV284" s="14">
        <f>IF(BN284&gt;0,ROUND(INDEX(挂机升级突破!$EV$7:$EV$26,卡牌消耗!BS284)*INDEX(卡牌消耗!$B$8:$F$8,BP284)/$Q$4/500,0)*500,"")</f>
        <v>410500</v>
      </c>
      <c r="BW284" s="14" t="str">
        <f>IF(BO284&gt;0,INDEX(挂机升级突破!$ER$5:$EV$5,卡牌消耗!BO284),"")</f>
        <v>铀金</v>
      </c>
      <c r="BX284" s="14">
        <f>IF(BO284&gt;0,ROUND(INDEX(挂机升级突破!$ER$7:$EU$26,卡牌消耗!BS284,卡牌消耗!BO284)*INDEX($B$6:$F$6,BP284)/$Q$4/5,0)*5,"")</f>
        <v>40</v>
      </c>
      <c r="BY284" s="193"/>
      <c r="BZ284" s="193"/>
      <c r="CA284" s="106"/>
      <c r="CS284" s="171"/>
      <c r="CT284" s="171"/>
      <c r="CU284" s="171"/>
      <c r="DI284" s="186">
        <v>280</v>
      </c>
      <c r="DJ284" s="14">
        <f t="shared" si="327"/>
        <v>56</v>
      </c>
      <c r="DK284" s="14">
        <f t="shared" si="330"/>
        <v>2</v>
      </c>
      <c r="DL284" s="14">
        <f t="shared" si="331"/>
        <v>1102999</v>
      </c>
      <c r="DM284" s="186" t="s">
        <v>1097</v>
      </c>
      <c r="DN284" s="14">
        <f t="shared" si="332"/>
        <v>5</v>
      </c>
      <c r="DO284" s="14" t="str">
        <f t="shared" si="333"/>
        <v>R守护灵-5星</v>
      </c>
      <c r="DP284" s="186" t="s">
        <v>67</v>
      </c>
      <c r="DQ284" s="14">
        <f t="shared" si="328"/>
        <v>30000</v>
      </c>
      <c r="DR284" s="14" t="str">
        <f t="shared" si="334"/>
        <v>R守护灵碎片</v>
      </c>
      <c r="DS284" s="14">
        <f t="shared" si="329"/>
        <v>20</v>
      </c>
    </row>
    <row r="285" spans="8:123" ht="16.5" x14ac:dyDescent="0.2">
      <c r="H285" s="15"/>
      <c r="I285" s="15"/>
      <c r="J285" s="15"/>
      <c r="K285" s="15"/>
      <c r="L285" s="15"/>
      <c r="M285" s="15"/>
      <c r="N285" s="15"/>
      <c r="O285" s="137"/>
      <c r="P285" s="141"/>
      <c r="Q285" s="141"/>
      <c r="R285" s="141"/>
      <c r="S285" s="141"/>
      <c r="T285" s="141"/>
      <c r="U285" s="141"/>
      <c r="V285" s="141"/>
      <c r="W285" s="141"/>
      <c r="X285" s="141"/>
      <c r="Y285" s="141"/>
      <c r="Z285" s="141"/>
      <c r="AA285" s="194"/>
      <c r="AB285" s="194"/>
      <c r="AC285" s="194"/>
      <c r="AD285" s="194"/>
      <c r="AE285" s="194"/>
      <c r="AF285" s="194"/>
      <c r="AG285" s="197"/>
      <c r="AH285" s="194"/>
      <c r="AI285" s="194"/>
      <c r="AJ285" s="194"/>
      <c r="AK285" s="104">
        <v>281</v>
      </c>
      <c r="AL285" s="14">
        <f t="shared" si="335"/>
        <v>6</v>
      </c>
      <c r="AM285" s="14">
        <f>INDEX(挂机升级突破!DQ$6:DQ$57,卡牌消耗!$AT285)</f>
        <v>11</v>
      </c>
      <c r="AN285" s="14">
        <f>INDEX(挂机升级突破!DR$6:DR$57,卡牌消耗!$AT285)</f>
        <v>3</v>
      </c>
      <c r="AO285" s="14">
        <f>INDEX(挂机升级突破!DS$6:DS$57,卡牌消耗!$AT285)</f>
        <v>0</v>
      </c>
      <c r="AP285" s="14">
        <f>INDEX(挂机升级突破!$DP$6:$DP$57,卡牌消耗!AT285)</f>
        <v>70</v>
      </c>
      <c r="AQ285" s="14" t="str">
        <f t="shared" si="336"/>
        <v>项羽</v>
      </c>
      <c r="AR285" s="14">
        <f t="shared" si="337"/>
        <v>5</v>
      </c>
      <c r="AS285" s="14" t="str">
        <f t="shared" si="338"/>
        <v>项羽魂火-21</v>
      </c>
      <c r="AT285" s="14">
        <f t="shared" si="339"/>
        <v>21</v>
      </c>
      <c r="AU285" s="14" t="str">
        <f>IF(AM285&gt;0,INDEX(挂机升级突破!$DT$4:$ED$4,AM285),"")</f>
        <v>金币</v>
      </c>
      <c r="AV285" s="14">
        <f>ROUND(INDEX(挂机升级突破!$DJ$6:$DJ$57,卡牌消耗!AT285)*INDEX(卡牌消耗!$B$8:$F$8,AR285)/$Q$4/50,0)*50</f>
        <v>10050</v>
      </c>
      <c r="AW285" s="14" t="str">
        <f>IF(AN285&gt;0,INDEX(挂机升级突破!$DT$4:$ED$4,AN285),"")</f>
        <v>紫色基础材料</v>
      </c>
      <c r="AX285" s="14">
        <f>ROUND(INDEX(挂机升级突破!$DT$6:$ED$57,卡牌消耗!AT285,AN285)*INDEX(卡牌消耗!$B$5:$F$5,AR285)/$Q$4/5,0)*5</f>
        <v>105</v>
      </c>
      <c r="AY285" s="14" t="str">
        <f>IF(AO285&gt;0,INDEX(挂机升级突破!$DT$4:$ED$4,AO285),"")</f>
        <v/>
      </c>
      <c r="AZ285" s="14" t="str">
        <f>IF(AO285&gt;0,ROUND(INDEX(挂机升级突破!$DT$6:$ED$57,卡牌消耗!AT285,AO285)*INDEX(卡牌消耗!$B$7:$F$7,AR285)/$Q$4,0),"")</f>
        <v/>
      </c>
      <c r="BA285" s="106"/>
      <c r="BB285" s="197"/>
      <c r="BC285" s="197"/>
      <c r="BD285" s="197"/>
      <c r="BE285" s="197"/>
      <c r="BF285" s="197"/>
      <c r="BG285" s="197"/>
      <c r="BH285" s="197"/>
      <c r="BI285" s="197"/>
      <c r="BJ285" s="197"/>
      <c r="BK285" s="197"/>
      <c r="BL285" s="104">
        <v>281</v>
      </c>
      <c r="BM285" s="14">
        <f t="shared" si="340"/>
        <v>15</v>
      </c>
      <c r="BN285" s="14">
        <f>INDEX(挂机升级突破!$EI$7:$EI$26,BS285)</f>
        <v>0</v>
      </c>
      <c r="BO285" s="14">
        <f>INDEX(挂机升级突破!$EJ$7:$EJ$26,BS285)</f>
        <v>0</v>
      </c>
      <c r="BP285" s="14">
        <f t="shared" si="341"/>
        <v>2</v>
      </c>
      <c r="BQ285" s="14">
        <f>INDEX(挂机升级突破!$EH$7:$EH$26,卡牌消耗!BS285)</f>
        <v>1</v>
      </c>
      <c r="BR285" s="14" t="str">
        <f t="shared" si="342"/>
        <v>于禁</v>
      </c>
      <c r="BS285" s="14">
        <f t="shared" si="343"/>
        <v>1</v>
      </c>
      <c r="BT285" s="14" t="str">
        <f t="shared" si="344"/>
        <v>于禁1突</v>
      </c>
      <c r="BU285" s="14" t="str">
        <f>IF(BN285&gt;0,INDEX(挂机升级突破!$ER$5:$EV$5,卡牌消耗!BN285),"")</f>
        <v/>
      </c>
      <c r="BV285" s="14" t="str">
        <f>IF(BN285&gt;0,ROUND(INDEX(挂机升级突破!$EV$7:$EV$26,卡牌消耗!BS285)*INDEX(卡牌消耗!$B$8:$F$8,BP285)/$Q$4/500,0)*500,"")</f>
        <v/>
      </c>
      <c r="BW285" s="14" t="str">
        <f>IF(BO285&gt;0,INDEX(挂机升级突破!$ER$5:$EV$5,卡牌消耗!BO285),"")</f>
        <v/>
      </c>
      <c r="BX285" s="14" t="str">
        <f>IF(BO285&gt;0,ROUND(INDEX(挂机升级突破!$ER$7:$EU$26,卡牌消耗!BS285,卡牌消耗!BO285)*INDEX($B$6:$F$6,BP285)/$Q$4/5,0)*5,"")</f>
        <v/>
      </c>
      <c r="BY285" s="193"/>
      <c r="BZ285" s="193"/>
      <c r="CA285" s="106"/>
      <c r="CS285" s="171"/>
      <c r="CT285" s="171"/>
      <c r="CU285" s="171"/>
      <c r="DI285" s="186">
        <v>281</v>
      </c>
      <c r="DJ285" s="14">
        <f t="shared" si="327"/>
        <v>57</v>
      </c>
      <c r="DK285" s="14">
        <f t="shared" si="330"/>
        <v>3</v>
      </c>
      <c r="DL285" s="14">
        <f t="shared" si="331"/>
        <v>1102998</v>
      </c>
      <c r="DM285" s="186" t="s">
        <v>1097</v>
      </c>
      <c r="DN285" s="14">
        <f t="shared" si="332"/>
        <v>1</v>
      </c>
      <c r="DO285" s="14" t="str">
        <f t="shared" si="333"/>
        <v>SR守护灵-1星</v>
      </c>
      <c r="DP285" s="186" t="s">
        <v>67</v>
      </c>
      <c r="DQ285" s="14">
        <f t="shared" si="328"/>
        <v>4000</v>
      </c>
      <c r="DR285" s="14" t="str">
        <f t="shared" si="334"/>
        <v>SR守护灵碎片</v>
      </c>
      <c r="DS285" s="14">
        <f t="shared" si="329"/>
        <v>40</v>
      </c>
    </row>
    <row r="286" spans="8:123" ht="16.5" x14ac:dyDescent="0.2">
      <c r="H286" s="15"/>
      <c r="I286" s="15"/>
      <c r="J286" s="15"/>
      <c r="K286" s="15"/>
      <c r="L286" s="15"/>
      <c r="M286" s="15"/>
      <c r="N286" s="15"/>
      <c r="O286" s="137"/>
      <c r="P286" s="141"/>
      <c r="Q286" s="141"/>
      <c r="R286" s="141"/>
      <c r="S286" s="141"/>
      <c r="T286" s="141"/>
      <c r="U286" s="141"/>
      <c r="V286" s="141"/>
      <c r="W286" s="141"/>
      <c r="X286" s="141"/>
      <c r="Y286" s="141"/>
      <c r="Z286" s="141"/>
      <c r="AA286" s="194"/>
      <c r="AB286" s="194"/>
      <c r="AC286" s="194"/>
      <c r="AD286" s="194"/>
      <c r="AE286" s="194"/>
      <c r="AF286" s="194"/>
      <c r="AG286" s="197"/>
      <c r="AH286" s="194"/>
      <c r="AI286" s="194"/>
      <c r="AJ286" s="194"/>
      <c r="AK286" s="104">
        <v>282</v>
      </c>
      <c r="AL286" s="14">
        <f t="shared" si="335"/>
        <v>6</v>
      </c>
      <c r="AM286" s="14">
        <f>INDEX(挂机升级突破!DQ$6:DQ$57,卡牌消耗!$AT286)</f>
        <v>11</v>
      </c>
      <c r="AN286" s="14">
        <f>INDEX(挂机升级突破!DR$6:DR$57,卡牌消耗!$AT286)</f>
        <v>3</v>
      </c>
      <c r="AO286" s="14">
        <f>INDEX(挂机升级突破!DS$6:DS$57,卡牌消耗!$AT286)</f>
        <v>0</v>
      </c>
      <c r="AP286" s="14">
        <f>INDEX(挂机升级突破!$DP$6:$DP$57,卡牌消耗!AT286)</f>
        <v>73</v>
      </c>
      <c r="AQ286" s="14" t="str">
        <f t="shared" si="336"/>
        <v>项羽</v>
      </c>
      <c r="AR286" s="14">
        <f t="shared" si="337"/>
        <v>5</v>
      </c>
      <c r="AS286" s="14" t="str">
        <f t="shared" si="338"/>
        <v>项羽魂火-22</v>
      </c>
      <c r="AT286" s="14">
        <f t="shared" si="339"/>
        <v>22</v>
      </c>
      <c r="AU286" s="14" t="str">
        <f>IF(AM286&gt;0,INDEX(挂机升级突破!$DT$4:$ED$4,AM286),"")</f>
        <v>金币</v>
      </c>
      <c r="AV286" s="14">
        <f>ROUND(INDEX(挂机升级突破!$DJ$6:$DJ$57,卡牌消耗!AT286)*INDEX(卡牌消耗!$B$8:$F$8,AR286)/$Q$4/50,0)*50</f>
        <v>10050</v>
      </c>
      <c r="AW286" s="14" t="str">
        <f>IF(AN286&gt;0,INDEX(挂机升级突破!$DT$4:$ED$4,AN286),"")</f>
        <v>紫色基础材料</v>
      </c>
      <c r="AX286" s="14">
        <f>ROUND(INDEX(挂机升级突破!$DT$6:$ED$57,卡牌消耗!AT286,AN286)*INDEX(卡牌消耗!$B$5:$F$5,AR286)/$Q$4/5,0)*5</f>
        <v>105</v>
      </c>
      <c r="AY286" s="14" t="str">
        <f>IF(AO286&gt;0,INDEX(挂机升级突破!$DT$4:$ED$4,AO286),"")</f>
        <v/>
      </c>
      <c r="AZ286" s="14" t="str">
        <f>IF(AO286&gt;0,ROUND(INDEX(挂机升级突破!$DT$6:$ED$57,卡牌消耗!AT286,AO286)*INDEX(卡牌消耗!$B$7:$F$7,AR286)/$Q$4,0),"")</f>
        <v/>
      </c>
      <c r="BA286" s="106"/>
      <c r="BB286" s="197"/>
      <c r="BC286" s="197"/>
      <c r="BD286" s="197"/>
      <c r="BE286" s="197"/>
      <c r="BF286" s="197"/>
      <c r="BG286" s="197"/>
      <c r="BH286" s="197"/>
      <c r="BI286" s="197"/>
      <c r="BJ286" s="197"/>
      <c r="BK286" s="197"/>
      <c r="BL286" s="104">
        <v>282</v>
      </c>
      <c r="BM286" s="14">
        <f t="shared" si="340"/>
        <v>15</v>
      </c>
      <c r="BN286" s="14">
        <f>INDEX(挂机升级突破!$EI$7:$EI$26,BS286)</f>
        <v>5</v>
      </c>
      <c r="BO286" s="14">
        <f>INDEX(挂机升级突破!$EJ$7:$EJ$26,BS286)</f>
        <v>1</v>
      </c>
      <c r="BP286" s="14">
        <f t="shared" si="341"/>
        <v>2</v>
      </c>
      <c r="BQ286" s="14">
        <f>INDEX(挂机升级突破!$EH$7:$EH$26,卡牌消耗!BS286)</f>
        <v>5</v>
      </c>
      <c r="BR286" s="14" t="str">
        <f t="shared" si="342"/>
        <v>于禁</v>
      </c>
      <c r="BS286" s="14">
        <f t="shared" si="343"/>
        <v>2</v>
      </c>
      <c r="BT286" s="14" t="str">
        <f t="shared" si="344"/>
        <v>于禁2突</v>
      </c>
      <c r="BU286" s="14" t="str">
        <f>IF(BN286&gt;0,INDEX(挂机升级突破!$ER$5:$EV$5,卡牌消耗!BN286),"")</f>
        <v>金币</v>
      </c>
      <c r="BV286" s="14">
        <f>IF(BN286&gt;0,ROUND(INDEX(挂机升级突破!$EV$7:$EV$26,卡牌消耗!BS286)*INDEX(卡牌消耗!$B$8:$F$8,BP286)/$Q$4/500,0)*500,"")</f>
        <v>2000</v>
      </c>
      <c r="BW286" s="14" t="str">
        <f>IF(BO286&gt;0,INDEX(挂机升级突破!$ER$5:$EV$5,卡牌消耗!BO286),"")</f>
        <v>玄铁</v>
      </c>
      <c r="BX286" s="14">
        <f>IF(BO286&gt;0,ROUND(INDEX(挂机升级突破!$ER$7:$EU$26,卡牌消耗!BS286,卡牌消耗!BO286)*INDEX($B$6:$F$6,BP286)/$Q$4,0),"")</f>
        <v>1</v>
      </c>
      <c r="BY286" s="193"/>
      <c r="BZ286" s="193"/>
      <c r="CA286" s="106"/>
      <c r="CS286" s="171"/>
      <c r="CT286" s="171"/>
      <c r="CU286" s="171"/>
      <c r="DI286" s="186">
        <v>282</v>
      </c>
      <c r="DJ286" s="14">
        <f t="shared" si="327"/>
        <v>57</v>
      </c>
      <c r="DK286" s="14">
        <f t="shared" si="330"/>
        <v>3</v>
      </c>
      <c r="DL286" s="14">
        <f t="shared" si="331"/>
        <v>1102998</v>
      </c>
      <c r="DM286" s="186" t="s">
        <v>1097</v>
      </c>
      <c r="DN286" s="14">
        <f t="shared" si="332"/>
        <v>2</v>
      </c>
      <c r="DO286" s="14" t="str">
        <f t="shared" si="333"/>
        <v>SR守护灵-2星</v>
      </c>
      <c r="DP286" s="186" t="s">
        <v>67</v>
      </c>
      <c r="DQ286" s="14">
        <f t="shared" si="328"/>
        <v>5000</v>
      </c>
      <c r="DR286" s="14" t="str">
        <f t="shared" si="334"/>
        <v>SR守护灵碎片</v>
      </c>
      <c r="DS286" s="14">
        <f t="shared" si="329"/>
        <v>40</v>
      </c>
    </row>
    <row r="287" spans="8:123" ht="16.5" x14ac:dyDescent="0.2">
      <c r="H287" s="15"/>
      <c r="I287" s="15"/>
      <c r="J287" s="15"/>
      <c r="K287" s="15"/>
      <c r="L287" s="15"/>
      <c r="M287" s="15"/>
      <c r="N287" s="15"/>
      <c r="O287" s="137"/>
      <c r="P287" s="141"/>
      <c r="Q287" s="141"/>
      <c r="R287" s="141"/>
      <c r="S287" s="141"/>
      <c r="T287" s="141"/>
      <c r="U287" s="141"/>
      <c r="V287" s="141"/>
      <c r="W287" s="141"/>
      <c r="X287" s="141"/>
      <c r="Y287" s="141"/>
      <c r="Z287" s="141"/>
      <c r="AA287" s="194"/>
      <c r="AB287" s="194"/>
      <c r="AC287" s="194"/>
      <c r="AD287" s="194"/>
      <c r="AE287" s="194"/>
      <c r="AF287" s="194"/>
      <c r="AG287" s="197"/>
      <c r="AH287" s="194"/>
      <c r="AI287" s="194"/>
      <c r="AJ287" s="194"/>
      <c r="AK287" s="104">
        <v>283</v>
      </c>
      <c r="AL287" s="14">
        <f t="shared" si="335"/>
        <v>6</v>
      </c>
      <c r="AM287" s="14">
        <f>INDEX(挂机升级突破!DQ$6:DQ$57,卡牌消耗!$AT287)</f>
        <v>11</v>
      </c>
      <c r="AN287" s="14">
        <f>INDEX(挂机升级突破!DR$6:DR$57,卡牌消耗!$AT287)</f>
        <v>4</v>
      </c>
      <c r="AO287" s="14">
        <f>INDEX(挂机升级突破!DS$6:DS$57,卡牌消耗!$AT287)</f>
        <v>0</v>
      </c>
      <c r="AP287" s="14">
        <f>INDEX(挂机升级突破!$DP$6:$DP$57,卡牌消耗!AT287)</f>
        <v>75</v>
      </c>
      <c r="AQ287" s="14" t="str">
        <f t="shared" si="336"/>
        <v>项羽</v>
      </c>
      <c r="AR287" s="14">
        <f t="shared" si="337"/>
        <v>5</v>
      </c>
      <c r="AS287" s="14" t="str">
        <f t="shared" si="338"/>
        <v>项羽魂火-23</v>
      </c>
      <c r="AT287" s="14">
        <f t="shared" si="339"/>
        <v>23</v>
      </c>
      <c r="AU287" s="14" t="str">
        <f>IF(AM287&gt;0,INDEX(挂机升级突破!$DT$4:$ED$4,AM287),"")</f>
        <v>金币</v>
      </c>
      <c r="AV287" s="14">
        <f>ROUND(INDEX(挂机升级突破!$DJ$6:$DJ$57,卡牌消耗!AT287)*INDEX(卡牌消耗!$B$8:$F$8,AR287)/$Q$4/50,0)*50</f>
        <v>13800</v>
      </c>
      <c r="AW287" s="14" t="str">
        <f>IF(AN287&gt;0,INDEX(挂机升级突破!$DT$4:$ED$4,AN287),"")</f>
        <v>橙色基础材料</v>
      </c>
      <c r="AX287" s="14">
        <f>ROUND(INDEX(挂机升级突破!$DT$6:$ED$57,卡牌消耗!AT287,AN287)*INDEX(卡牌消耗!$B$5:$F$5,AR287)/$Q$4/5,0)*5</f>
        <v>30</v>
      </c>
      <c r="AY287" s="14" t="str">
        <f>IF(AO287&gt;0,INDEX(挂机升级突破!$DT$4:$ED$4,AO287),"")</f>
        <v/>
      </c>
      <c r="AZ287" s="14" t="str">
        <f>IF(AO287&gt;0,ROUND(INDEX(挂机升级突破!$DT$6:$ED$57,卡牌消耗!AT287,AO287)*INDEX(卡牌消耗!$B$7:$F$7,AR287)/$Q$4,0),"")</f>
        <v/>
      </c>
      <c r="BA287" s="106"/>
      <c r="BB287" s="197"/>
      <c r="BC287" s="197"/>
      <c r="BD287" s="197"/>
      <c r="BE287" s="197"/>
      <c r="BF287" s="197"/>
      <c r="BG287" s="197"/>
      <c r="BH287" s="197"/>
      <c r="BI287" s="197"/>
      <c r="BJ287" s="197"/>
      <c r="BK287" s="197"/>
      <c r="BL287" s="104">
        <v>283</v>
      </c>
      <c r="BM287" s="14">
        <f t="shared" si="340"/>
        <v>15</v>
      </c>
      <c r="BN287" s="14">
        <f>INDEX(挂机升级突破!$EI$7:$EI$26,BS287)</f>
        <v>5</v>
      </c>
      <c r="BO287" s="14">
        <f>INDEX(挂机升级突破!$EJ$7:$EJ$26,BS287)</f>
        <v>1</v>
      </c>
      <c r="BP287" s="14">
        <f t="shared" si="341"/>
        <v>2</v>
      </c>
      <c r="BQ287" s="14">
        <f>INDEX(挂机升级突破!$EH$7:$EH$26,卡牌消耗!BS287)</f>
        <v>15</v>
      </c>
      <c r="BR287" s="14" t="str">
        <f t="shared" si="342"/>
        <v>于禁</v>
      </c>
      <c r="BS287" s="14">
        <f t="shared" si="343"/>
        <v>3</v>
      </c>
      <c r="BT287" s="14" t="str">
        <f t="shared" si="344"/>
        <v>于禁3突</v>
      </c>
      <c r="BU287" s="14" t="str">
        <f>IF(BN287&gt;0,INDEX(挂机升级突破!$ER$5:$EV$5,卡牌消耗!BN287),"")</f>
        <v>金币</v>
      </c>
      <c r="BV287" s="14">
        <f>IF(BN287&gt;0,ROUND(INDEX(挂机升级突破!$EV$7:$EV$26,卡牌消耗!BS287)*INDEX(卡牌消耗!$B$8:$F$8,BP287)/$Q$4/500,0)*500,"")</f>
        <v>2000</v>
      </c>
      <c r="BW287" s="14" t="str">
        <f>IF(BO287&gt;0,INDEX(挂机升级突破!$ER$5:$EV$5,卡牌消耗!BO287),"")</f>
        <v>玄铁</v>
      </c>
      <c r="BX287" s="14">
        <f>IF(BO287&gt;0,ROUND(INDEX(挂机升级突破!$ER$7:$EU$26,卡牌消耗!BS287,卡牌消耗!BO287)*INDEX($B$6:$F$6,BP287)/$Q$4,0),"")</f>
        <v>4</v>
      </c>
      <c r="BY287" s="193"/>
      <c r="BZ287" s="193"/>
      <c r="CA287" s="106"/>
      <c r="CS287" s="171"/>
      <c r="CT287" s="171"/>
      <c r="CU287" s="171"/>
      <c r="DI287" s="186">
        <v>283</v>
      </c>
      <c r="DJ287" s="14">
        <f t="shared" si="327"/>
        <v>57</v>
      </c>
      <c r="DK287" s="14">
        <f t="shared" si="330"/>
        <v>3</v>
      </c>
      <c r="DL287" s="14">
        <f t="shared" si="331"/>
        <v>1102998</v>
      </c>
      <c r="DM287" s="186" t="s">
        <v>1097</v>
      </c>
      <c r="DN287" s="14">
        <f t="shared" si="332"/>
        <v>3</v>
      </c>
      <c r="DO287" s="14" t="str">
        <f t="shared" si="333"/>
        <v>SR守护灵-3星</v>
      </c>
      <c r="DP287" s="186" t="s">
        <v>67</v>
      </c>
      <c r="DQ287" s="14">
        <f t="shared" si="328"/>
        <v>10000</v>
      </c>
      <c r="DR287" s="14" t="str">
        <f t="shared" si="334"/>
        <v>SR守护灵碎片</v>
      </c>
      <c r="DS287" s="14">
        <f t="shared" si="329"/>
        <v>40</v>
      </c>
    </row>
    <row r="288" spans="8:123" ht="16.5" x14ac:dyDescent="0.2">
      <c r="H288" s="15"/>
      <c r="I288" s="15"/>
      <c r="J288" s="15"/>
      <c r="K288" s="15"/>
      <c r="L288" s="15"/>
      <c r="M288" s="15"/>
      <c r="N288" s="15"/>
      <c r="O288" s="137"/>
      <c r="P288" s="141"/>
      <c r="Q288" s="141"/>
      <c r="R288" s="141"/>
      <c r="S288" s="141"/>
      <c r="T288" s="141"/>
      <c r="U288" s="141"/>
      <c r="V288" s="141"/>
      <c r="W288" s="141"/>
      <c r="X288" s="141"/>
      <c r="Y288" s="141"/>
      <c r="Z288" s="141"/>
      <c r="AA288" s="194"/>
      <c r="AB288" s="194"/>
      <c r="AC288" s="194"/>
      <c r="AD288" s="194"/>
      <c r="AE288" s="194"/>
      <c r="AF288" s="194"/>
      <c r="AG288" s="197"/>
      <c r="AH288" s="194"/>
      <c r="AI288" s="194"/>
      <c r="AJ288" s="194"/>
      <c r="AK288" s="104">
        <v>284</v>
      </c>
      <c r="AL288" s="14">
        <f t="shared" si="335"/>
        <v>6</v>
      </c>
      <c r="AM288" s="14">
        <f>INDEX(挂机升级突破!DQ$6:DQ$57,卡牌消耗!$AT288)</f>
        <v>11</v>
      </c>
      <c r="AN288" s="14">
        <f>INDEX(挂机升级突破!DR$6:DR$57,卡牌消耗!$AT288)</f>
        <v>4</v>
      </c>
      <c r="AO288" s="14">
        <f>INDEX(挂机升级突破!DS$6:DS$57,卡牌消耗!$AT288)</f>
        <v>0</v>
      </c>
      <c r="AP288" s="14">
        <f>INDEX(挂机升级突破!$DP$6:$DP$57,卡牌消耗!AT288)</f>
        <v>78</v>
      </c>
      <c r="AQ288" s="14" t="str">
        <f t="shared" si="336"/>
        <v>项羽</v>
      </c>
      <c r="AR288" s="14">
        <f t="shared" si="337"/>
        <v>5</v>
      </c>
      <c r="AS288" s="14" t="str">
        <f t="shared" si="338"/>
        <v>项羽魂火-24</v>
      </c>
      <c r="AT288" s="14">
        <f t="shared" si="339"/>
        <v>24</v>
      </c>
      <c r="AU288" s="14" t="str">
        <f>IF(AM288&gt;0,INDEX(挂机升级突破!$DT$4:$ED$4,AM288),"")</f>
        <v>金币</v>
      </c>
      <c r="AV288" s="14">
        <f>ROUND(INDEX(挂机升级突破!$DJ$6:$DJ$57,卡牌消耗!AT288)*INDEX(卡牌消耗!$B$8:$F$8,AR288)/$Q$4/50,0)*50</f>
        <v>13800</v>
      </c>
      <c r="AW288" s="14" t="str">
        <f>IF(AN288&gt;0,INDEX(挂机升级突破!$DT$4:$ED$4,AN288),"")</f>
        <v>橙色基础材料</v>
      </c>
      <c r="AX288" s="14">
        <f>ROUND(INDEX(挂机升级突破!$DT$6:$ED$57,卡牌消耗!AT288,AN288)*INDEX(卡牌消耗!$B$5:$F$5,AR288)/$Q$4/5,0)*5</f>
        <v>30</v>
      </c>
      <c r="AY288" s="14" t="str">
        <f>IF(AO288&gt;0,INDEX(挂机升级突破!$DT$4:$ED$4,AO288),"")</f>
        <v/>
      </c>
      <c r="AZ288" s="14" t="str">
        <f>IF(AO288&gt;0,ROUND(INDEX(挂机升级突破!$DT$6:$ED$57,卡牌消耗!AT288,AO288)*INDEX(卡牌消耗!$B$7:$F$7,AR288)/$Q$4,0),"")</f>
        <v/>
      </c>
      <c r="BA288" s="106"/>
      <c r="BB288" s="197"/>
      <c r="BC288" s="197"/>
      <c r="BD288" s="197"/>
      <c r="BE288" s="197"/>
      <c r="BF288" s="197"/>
      <c r="BG288" s="197"/>
      <c r="BH288" s="197"/>
      <c r="BI288" s="197"/>
      <c r="BJ288" s="197"/>
      <c r="BK288" s="197"/>
      <c r="BL288" s="104">
        <v>284</v>
      </c>
      <c r="BM288" s="14">
        <f t="shared" si="340"/>
        <v>15</v>
      </c>
      <c r="BN288" s="14">
        <f>INDEX(挂机升级突破!$EI$7:$EI$26,BS288)</f>
        <v>5</v>
      </c>
      <c r="BO288" s="14">
        <f>INDEX(挂机升级突破!$EJ$7:$EJ$26,BS288)</f>
        <v>1</v>
      </c>
      <c r="BP288" s="14">
        <f t="shared" si="341"/>
        <v>2</v>
      </c>
      <c r="BQ288" s="14">
        <f>INDEX(挂机升级突破!$EH$7:$EH$26,卡牌消耗!BS288)</f>
        <v>25</v>
      </c>
      <c r="BR288" s="14" t="str">
        <f t="shared" si="342"/>
        <v>于禁</v>
      </c>
      <c r="BS288" s="14">
        <f t="shared" si="343"/>
        <v>4</v>
      </c>
      <c r="BT288" s="14" t="str">
        <f t="shared" si="344"/>
        <v>于禁4突</v>
      </c>
      <c r="BU288" s="14" t="str">
        <f>IF(BN288&gt;0,INDEX(挂机升级突破!$ER$5:$EV$5,卡牌消耗!BN288),"")</f>
        <v>金币</v>
      </c>
      <c r="BV288" s="14">
        <f>IF(BN288&gt;0,ROUND(INDEX(挂机升级突破!$EV$7:$EV$26,卡牌消耗!BS288)*INDEX(卡牌消耗!$B$8:$F$8,BP288)/$Q$4/500,0)*500,"")</f>
        <v>2500</v>
      </c>
      <c r="BW288" s="14" t="str">
        <f>IF(BO288&gt;0,INDEX(挂机升级突破!$ER$5:$EV$5,卡牌消耗!BO288),"")</f>
        <v>玄铁</v>
      </c>
      <c r="BX288" s="14">
        <f>IF(BO288&gt;0,ROUND(INDEX(挂机升级突破!$ER$7:$EU$26,卡牌消耗!BS288,卡牌消耗!BO288)*INDEX($B$6:$F$6,BP288)/$Q$4,0),"")</f>
        <v>13</v>
      </c>
      <c r="BY288" s="193"/>
      <c r="BZ288" s="193"/>
      <c r="CA288" s="106"/>
      <c r="CS288" s="171"/>
      <c r="CT288" s="171"/>
      <c r="CU288" s="171"/>
      <c r="DI288" s="186">
        <v>284</v>
      </c>
      <c r="DJ288" s="14">
        <f t="shared" si="327"/>
        <v>57</v>
      </c>
      <c r="DK288" s="14">
        <f t="shared" si="330"/>
        <v>3</v>
      </c>
      <c r="DL288" s="14">
        <f t="shared" si="331"/>
        <v>1102998</v>
      </c>
      <c r="DM288" s="186" t="s">
        <v>1097</v>
      </c>
      <c r="DN288" s="14">
        <f t="shared" si="332"/>
        <v>4</v>
      </c>
      <c r="DO288" s="14" t="str">
        <f t="shared" si="333"/>
        <v>SR守护灵-4星</v>
      </c>
      <c r="DP288" s="186" t="s">
        <v>67</v>
      </c>
      <c r="DQ288" s="14">
        <f t="shared" si="328"/>
        <v>20000</v>
      </c>
      <c r="DR288" s="14" t="str">
        <f t="shared" si="334"/>
        <v>SR守护灵碎片</v>
      </c>
      <c r="DS288" s="14">
        <f t="shared" si="329"/>
        <v>40</v>
      </c>
    </row>
    <row r="289" spans="8:123" ht="16.5" x14ac:dyDescent="0.2">
      <c r="H289" s="15"/>
      <c r="I289" s="15"/>
      <c r="J289" s="15"/>
      <c r="K289" s="15"/>
      <c r="L289" s="15"/>
      <c r="M289" s="15"/>
      <c r="N289" s="15"/>
      <c r="O289" s="137"/>
      <c r="P289" s="141"/>
      <c r="Q289" s="141"/>
      <c r="R289" s="141"/>
      <c r="S289" s="141"/>
      <c r="T289" s="141"/>
      <c r="U289" s="141"/>
      <c r="V289" s="141"/>
      <c r="W289" s="141"/>
      <c r="X289" s="141"/>
      <c r="Y289" s="141"/>
      <c r="Z289" s="141"/>
      <c r="AA289" s="194"/>
      <c r="AB289" s="194"/>
      <c r="AC289" s="194"/>
      <c r="AD289" s="194"/>
      <c r="AE289" s="194"/>
      <c r="AF289" s="194"/>
      <c r="AG289" s="197"/>
      <c r="AH289" s="194"/>
      <c r="AI289" s="194"/>
      <c r="AJ289" s="194"/>
      <c r="AK289" s="104">
        <v>285</v>
      </c>
      <c r="AL289" s="14">
        <f t="shared" si="335"/>
        <v>6</v>
      </c>
      <c r="AM289" s="14">
        <f>INDEX(挂机升级突破!DQ$6:DQ$57,卡牌消耗!$AT289)</f>
        <v>11</v>
      </c>
      <c r="AN289" s="14">
        <f>INDEX(挂机升级突破!DR$6:DR$57,卡牌消耗!$AT289)</f>
        <v>4</v>
      </c>
      <c r="AO289" s="14">
        <f>INDEX(挂机升级突破!DS$6:DS$57,卡牌消耗!$AT289)</f>
        <v>0</v>
      </c>
      <c r="AP289" s="14">
        <f>INDEX(挂机升级突破!$DP$6:$DP$57,卡牌消耗!AT289)</f>
        <v>80</v>
      </c>
      <c r="AQ289" s="14" t="str">
        <f t="shared" si="336"/>
        <v>项羽</v>
      </c>
      <c r="AR289" s="14">
        <f t="shared" si="337"/>
        <v>5</v>
      </c>
      <c r="AS289" s="14" t="str">
        <f t="shared" si="338"/>
        <v>项羽魂火-25</v>
      </c>
      <c r="AT289" s="14">
        <f t="shared" si="339"/>
        <v>25</v>
      </c>
      <c r="AU289" s="14" t="str">
        <f>IF(AM289&gt;0,INDEX(挂机升级突破!$DT$4:$ED$4,AM289),"")</f>
        <v>金币</v>
      </c>
      <c r="AV289" s="14">
        <f>ROUND(INDEX(挂机升级突破!$DJ$6:$DJ$57,卡牌消耗!AT289)*INDEX(卡牌消耗!$B$8:$F$8,AR289)/$Q$4/50,0)*50</f>
        <v>15050</v>
      </c>
      <c r="AW289" s="14" t="str">
        <f>IF(AN289&gt;0,INDEX(挂机升级突破!$DT$4:$ED$4,AN289),"")</f>
        <v>橙色基础材料</v>
      </c>
      <c r="AX289" s="14">
        <f>ROUND(INDEX(挂机升级突破!$DT$6:$ED$57,卡牌消耗!AT289,AN289)*INDEX(卡牌消耗!$B$5:$F$5,AR289)/$Q$4/5,0)*5</f>
        <v>30</v>
      </c>
      <c r="AY289" s="14" t="str">
        <f>IF(AO289&gt;0,INDEX(挂机升级突破!$DT$4:$ED$4,AO289),"")</f>
        <v/>
      </c>
      <c r="AZ289" s="14" t="str">
        <f>IF(AO289&gt;0,ROUND(INDEX(挂机升级突破!$DT$6:$ED$57,卡牌消耗!AT289,AO289)*INDEX(卡牌消耗!$B$7:$F$7,AR289)/$Q$4,0),"")</f>
        <v/>
      </c>
      <c r="BA289" s="106"/>
      <c r="BB289" s="197"/>
      <c r="BC289" s="197"/>
      <c r="BD289" s="197"/>
      <c r="BE289" s="197"/>
      <c r="BF289" s="197"/>
      <c r="BG289" s="197"/>
      <c r="BH289" s="197"/>
      <c r="BI289" s="197"/>
      <c r="BJ289" s="197"/>
      <c r="BK289" s="197"/>
      <c r="BL289" s="104">
        <v>285</v>
      </c>
      <c r="BM289" s="14">
        <f t="shared" si="340"/>
        <v>15</v>
      </c>
      <c r="BN289" s="14">
        <f>INDEX(挂机升级突破!$EI$7:$EI$26,BS289)</f>
        <v>5</v>
      </c>
      <c r="BO289" s="14">
        <f>INDEX(挂机升级突破!$EJ$7:$EJ$26,BS289)</f>
        <v>1</v>
      </c>
      <c r="BP289" s="14">
        <f t="shared" si="341"/>
        <v>2</v>
      </c>
      <c r="BQ289" s="14">
        <f>INDEX(挂机升级突破!$EH$7:$EH$26,卡牌消耗!BS289)</f>
        <v>35</v>
      </c>
      <c r="BR289" s="14" t="str">
        <f t="shared" si="342"/>
        <v>于禁</v>
      </c>
      <c r="BS289" s="14">
        <f t="shared" si="343"/>
        <v>5</v>
      </c>
      <c r="BT289" s="14" t="str">
        <f t="shared" si="344"/>
        <v>于禁5突</v>
      </c>
      <c r="BU289" s="14" t="str">
        <f>IF(BN289&gt;0,INDEX(挂机升级突破!$ER$5:$EV$5,卡牌消耗!BN289),"")</f>
        <v>金币</v>
      </c>
      <c r="BV289" s="14">
        <f>IF(BN289&gt;0,ROUND(INDEX(挂机升级突破!$EV$7:$EV$26,卡牌消耗!BS289)*INDEX(卡牌消耗!$B$8:$F$8,BP289)/$Q$4/500,0)*500,"")</f>
        <v>2500</v>
      </c>
      <c r="BW289" s="14" t="str">
        <f>IF(BO289&gt;0,INDEX(挂机升级突破!$ER$5:$EV$5,卡牌消耗!BO289),"")</f>
        <v>玄铁</v>
      </c>
      <c r="BX289" s="14">
        <f>IF(BO289&gt;0,ROUND(INDEX(挂机升级突破!$ER$7:$EU$26,卡牌消耗!BS289,卡牌消耗!BO289)*INDEX($B$6:$F$6,BP289)/$Q$4/5,0)*5,"")</f>
        <v>25</v>
      </c>
      <c r="BY289" s="193"/>
      <c r="BZ289" s="193"/>
      <c r="CA289" s="106"/>
      <c r="CS289" s="171"/>
      <c r="CT289" s="171"/>
      <c r="CU289" s="171"/>
      <c r="DI289" s="186">
        <v>285</v>
      </c>
      <c r="DJ289" s="14">
        <f t="shared" si="327"/>
        <v>57</v>
      </c>
      <c r="DK289" s="14">
        <f t="shared" si="330"/>
        <v>3</v>
      </c>
      <c r="DL289" s="14">
        <f t="shared" si="331"/>
        <v>1102998</v>
      </c>
      <c r="DM289" s="186" t="s">
        <v>1097</v>
      </c>
      <c r="DN289" s="14">
        <f t="shared" si="332"/>
        <v>5</v>
      </c>
      <c r="DO289" s="14" t="str">
        <f t="shared" si="333"/>
        <v>SR守护灵-5星</v>
      </c>
      <c r="DP289" s="186" t="s">
        <v>67</v>
      </c>
      <c r="DQ289" s="14">
        <f t="shared" si="328"/>
        <v>40000</v>
      </c>
      <c r="DR289" s="14" t="str">
        <f t="shared" si="334"/>
        <v>SR守护灵碎片</v>
      </c>
      <c r="DS289" s="14">
        <f t="shared" si="329"/>
        <v>40</v>
      </c>
    </row>
    <row r="290" spans="8:123" ht="16.5" x14ac:dyDescent="0.2">
      <c r="H290" s="15"/>
      <c r="I290" s="15"/>
      <c r="J290" s="15"/>
      <c r="K290" s="15"/>
      <c r="L290" s="15"/>
      <c r="M290" s="15"/>
      <c r="N290" s="15"/>
      <c r="O290" s="137"/>
      <c r="P290" s="141"/>
      <c r="Q290" s="141"/>
      <c r="R290" s="141"/>
      <c r="S290" s="141"/>
      <c r="T290" s="141"/>
      <c r="U290" s="141"/>
      <c r="V290" s="141"/>
      <c r="W290" s="141"/>
      <c r="X290" s="141"/>
      <c r="Y290" s="141"/>
      <c r="Z290" s="141"/>
      <c r="AA290" s="194"/>
      <c r="AB290" s="194"/>
      <c r="AC290" s="194"/>
      <c r="AD290" s="194"/>
      <c r="AE290" s="194"/>
      <c r="AF290" s="194"/>
      <c r="AG290" s="197"/>
      <c r="AH290" s="194"/>
      <c r="AI290" s="194"/>
      <c r="AJ290" s="194"/>
      <c r="AK290" s="104">
        <v>286</v>
      </c>
      <c r="AL290" s="14">
        <f t="shared" si="335"/>
        <v>6</v>
      </c>
      <c r="AM290" s="14">
        <f>INDEX(挂机升级突破!DQ$6:DQ$57,卡牌消耗!$AT290)</f>
        <v>11</v>
      </c>
      <c r="AN290" s="14">
        <f>INDEX(挂机升级突破!DR$6:DR$57,卡牌消耗!$AT290)</f>
        <v>4</v>
      </c>
      <c r="AO290" s="14">
        <f>INDEX(挂机升级突破!DS$6:DS$57,卡牌消耗!$AT290)</f>
        <v>0</v>
      </c>
      <c r="AP290" s="14">
        <f>INDEX(挂机升级突破!$DP$6:$DP$57,卡牌消耗!AT290)</f>
        <v>83</v>
      </c>
      <c r="AQ290" s="14" t="str">
        <f t="shared" si="336"/>
        <v>项羽</v>
      </c>
      <c r="AR290" s="14">
        <f t="shared" si="337"/>
        <v>5</v>
      </c>
      <c r="AS290" s="14" t="str">
        <f t="shared" si="338"/>
        <v>项羽魂火-26</v>
      </c>
      <c r="AT290" s="14">
        <f t="shared" si="339"/>
        <v>26</v>
      </c>
      <c r="AU290" s="14" t="str">
        <f>IF(AM290&gt;0,INDEX(挂机升级突破!$DT$4:$ED$4,AM290),"")</f>
        <v>金币</v>
      </c>
      <c r="AV290" s="14">
        <f>ROUND(INDEX(挂机升级突破!$DJ$6:$DJ$57,卡牌消耗!AT290)*INDEX(卡牌消耗!$B$8:$F$8,AR290)/$Q$4/50,0)*50</f>
        <v>17550</v>
      </c>
      <c r="AW290" s="14" t="str">
        <f>IF(AN290&gt;0,INDEX(挂机升级突破!$DT$4:$ED$4,AN290),"")</f>
        <v>橙色基础材料</v>
      </c>
      <c r="AX290" s="14">
        <f>ROUND(INDEX(挂机升级突破!$DT$6:$ED$57,卡牌消耗!AT290,AN290)*INDEX(卡牌消耗!$B$5:$F$5,AR290)/$Q$4/5,0)*5</f>
        <v>35</v>
      </c>
      <c r="AY290" s="14" t="str">
        <f>IF(AO290&gt;0,INDEX(挂机升级突破!$DT$4:$ED$4,AO290),"")</f>
        <v/>
      </c>
      <c r="AZ290" s="14" t="str">
        <f>IF(AO290&gt;0,ROUND(INDEX(挂机升级突破!$DT$6:$ED$57,卡牌消耗!AT290,AO290)*INDEX(卡牌消耗!$B$7:$F$7,AR290)/$Q$4,0),"")</f>
        <v/>
      </c>
      <c r="BA290" s="106"/>
      <c r="BB290" s="197"/>
      <c r="BC290" s="197"/>
      <c r="BD290" s="197"/>
      <c r="BE290" s="197"/>
      <c r="BF290" s="197"/>
      <c r="BG290" s="197"/>
      <c r="BH290" s="197"/>
      <c r="BI290" s="197"/>
      <c r="BJ290" s="197"/>
      <c r="BK290" s="197"/>
      <c r="BL290" s="104">
        <v>286</v>
      </c>
      <c r="BM290" s="14">
        <f t="shared" si="340"/>
        <v>15</v>
      </c>
      <c r="BN290" s="14">
        <f>INDEX(挂机升级突破!$EI$7:$EI$26,BS290)</f>
        <v>5</v>
      </c>
      <c r="BO290" s="14">
        <f>INDEX(挂机升级突破!$EJ$7:$EJ$26,BS290)</f>
        <v>1</v>
      </c>
      <c r="BP290" s="14">
        <f t="shared" si="341"/>
        <v>2</v>
      </c>
      <c r="BQ290" s="14">
        <f>INDEX(挂机升级突破!$EH$7:$EH$26,卡牌消耗!BS290)</f>
        <v>42</v>
      </c>
      <c r="BR290" s="14" t="str">
        <f t="shared" si="342"/>
        <v>于禁</v>
      </c>
      <c r="BS290" s="14">
        <f t="shared" si="343"/>
        <v>6</v>
      </c>
      <c r="BT290" s="14" t="str">
        <f t="shared" si="344"/>
        <v>于禁6突</v>
      </c>
      <c r="BU290" s="14" t="str">
        <f>IF(BN290&gt;0,INDEX(挂机升级突破!$ER$5:$EV$5,卡牌消耗!BN290),"")</f>
        <v>金币</v>
      </c>
      <c r="BV290" s="14">
        <f>IF(BN290&gt;0,ROUND(INDEX(挂机升级突破!$EV$7:$EV$26,卡牌消耗!BS290)*INDEX(卡牌消耗!$B$8:$F$8,BP290)/$Q$4/500,0)*500,"")</f>
        <v>3500</v>
      </c>
      <c r="BW290" s="14" t="str">
        <f>IF(BO290&gt;0,INDEX(挂机升级突破!$ER$5:$EV$5,卡牌消耗!BO290),"")</f>
        <v>玄铁</v>
      </c>
      <c r="BX290" s="14">
        <f>IF(BO290&gt;0,ROUND(INDEX(挂机升级突破!$ER$7:$EU$26,卡牌消耗!BS290,卡牌消耗!BO290)*INDEX($B$6:$F$6,BP290)/$Q$4/5,0)*5,"")</f>
        <v>40</v>
      </c>
      <c r="BY290" s="193"/>
      <c r="BZ290" s="193"/>
      <c r="CA290" s="106"/>
      <c r="CS290" s="171"/>
      <c r="CT290" s="171"/>
      <c r="CU290" s="171"/>
      <c r="DI290" s="186">
        <v>286</v>
      </c>
      <c r="DJ290" s="14">
        <f t="shared" si="327"/>
        <v>58</v>
      </c>
      <c r="DK290" s="14">
        <f t="shared" si="330"/>
        <v>4</v>
      </c>
      <c r="DL290" s="14">
        <f t="shared" si="331"/>
        <v>1102997</v>
      </c>
      <c r="DM290" s="186" t="s">
        <v>1097</v>
      </c>
      <c r="DN290" s="14">
        <f t="shared" si="332"/>
        <v>1</v>
      </c>
      <c r="DO290" s="14" t="str">
        <f t="shared" si="333"/>
        <v>SSR守护灵-1星</v>
      </c>
      <c r="DP290" s="186" t="s">
        <v>67</v>
      </c>
      <c r="DQ290" s="14">
        <f t="shared" si="328"/>
        <v>6000</v>
      </c>
      <c r="DR290" s="14" t="str">
        <f t="shared" si="334"/>
        <v>SSR守护灵碎片</v>
      </c>
      <c r="DS290" s="14">
        <f t="shared" si="329"/>
        <v>80</v>
      </c>
    </row>
    <row r="291" spans="8:123" ht="16.5" x14ac:dyDescent="0.2">
      <c r="H291" s="15"/>
      <c r="I291" s="15"/>
      <c r="J291" s="15"/>
      <c r="K291" s="15"/>
      <c r="L291" s="15"/>
      <c r="M291" s="15"/>
      <c r="N291" s="15"/>
      <c r="O291" s="137"/>
      <c r="P291" s="141"/>
      <c r="Q291" s="141"/>
      <c r="R291" s="141"/>
      <c r="S291" s="141"/>
      <c r="T291" s="141"/>
      <c r="U291" s="141"/>
      <c r="V291" s="141"/>
      <c r="W291" s="141"/>
      <c r="X291" s="141"/>
      <c r="Y291" s="141"/>
      <c r="Z291" s="141"/>
      <c r="AA291" s="194"/>
      <c r="AB291" s="194"/>
      <c r="AC291" s="194"/>
      <c r="AD291" s="194"/>
      <c r="AE291" s="194"/>
      <c r="AF291" s="194"/>
      <c r="AG291" s="197"/>
      <c r="AH291" s="194"/>
      <c r="AI291" s="194"/>
      <c r="AJ291" s="194"/>
      <c r="AK291" s="104">
        <v>287</v>
      </c>
      <c r="AL291" s="14">
        <f t="shared" si="335"/>
        <v>6</v>
      </c>
      <c r="AM291" s="14">
        <f>INDEX(挂机升级突破!DQ$6:DQ$57,卡牌消耗!$AT291)</f>
        <v>11</v>
      </c>
      <c r="AN291" s="14">
        <f>INDEX(挂机升级突破!DR$6:DR$57,卡牌消耗!$AT291)</f>
        <v>4</v>
      </c>
      <c r="AO291" s="14">
        <f>INDEX(挂机升级突破!DS$6:DS$57,卡牌消耗!$AT291)</f>
        <v>0</v>
      </c>
      <c r="AP291" s="14">
        <f>INDEX(挂机升级突破!$DP$6:$DP$57,卡牌消耗!AT291)</f>
        <v>85</v>
      </c>
      <c r="AQ291" s="14" t="str">
        <f t="shared" si="336"/>
        <v>项羽</v>
      </c>
      <c r="AR291" s="14">
        <f t="shared" si="337"/>
        <v>5</v>
      </c>
      <c r="AS291" s="14" t="str">
        <f t="shared" si="338"/>
        <v>项羽魂火-27</v>
      </c>
      <c r="AT291" s="14">
        <f t="shared" si="339"/>
        <v>27</v>
      </c>
      <c r="AU291" s="14" t="str">
        <f>IF(AM291&gt;0,INDEX(挂机升级突破!$DT$4:$ED$4,AM291),"")</f>
        <v>金币</v>
      </c>
      <c r="AV291" s="14">
        <f>ROUND(INDEX(挂机升级突破!$DJ$6:$DJ$57,卡牌消耗!AT291)*INDEX(卡牌消耗!$B$8:$F$8,AR291)/$Q$4/50,0)*50</f>
        <v>17550</v>
      </c>
      <c r="AW291" s="14" t="str">
        <f>IF(AN291&gt;0,INDEX(挂机升级突破!$DT$4:$ED$4,AN291),"")</f>
        <v>橙色基础材料</v>
      </c>
      <c r="AX291" s="14">
        <f>ROUND(INDEX(挂机升级突破!$DT$6:$ED$57,卡牌消耗!AT291,AN291)*INDEX(卡牌消耗!$B$5:$F$5,AR291)/$Q$4/5,0)*5</f>
        <v>35</v>
      </c>
      <c r="AY291" s="14" t="str">
        <f>IF(AO291&gt;0,INDEX(挂机升级突破!$DT$4:$ED$4,AO291),"")</f>
        <v/>
      </c>
      <c r="AZ291" s="14" t="str">
        <f>IF(AO291&gt;0,ROUND(INDEX(挂机升级突破!$DT$6:$ED$57,卡牌消耗!AT291,AO291)*INDEX(卡牌消耗!$B$7:$F$7,AR291)/$Q$4,0),"")</f>
        <v/>
      </c>
      <c r="BA291" s="106"/>
      <c r="BB291" s="197"/>
      <c r="BC291" s="197"/>
      <c r="BD291" s="197"/>
      <c r="BE291" s="197"/>
      <c r="BF291" s="197"/>
      <c r="BG291" s="197"/>
      <c r="BH291" s="197"/>
      <c r="BI291" s="197"/>
      <c r="BJ291" s="197"/>
      <c r="BK291" s="197"/>
      <c r="BL291" s="104">
        <v>287</v>
      </c>
      <c r="BM291" s="14">
        <f t="shared" si="340"/>
        <v>15</v>
      </c>
      <c r="BN291" s="14">
        <f>INDEX(挂机升级突破!$EI$7:$EI$26,BS291)</f>
        <v>5</v>
      </c>
      <c r="BO291" s="14">
        <f>INDEX(挂机升级突破!$EJ$7:$EJ$26,BS291)</f>
        <v>1</v>
      </c>
      <c r="BP291" s="14">
        <f t="shared" si="341"/>
        <v>2</v>
      </c>
      <c r="BQ291" s="14">
        <f>INDEX(挂机升级突破!$EH$7:$EH$26,卡牌消耗!BS291)</f>
        <v>47</v>
      </c>
      <c r="BR291" s="14" t="str">
        <f t="shared" si="342"/>
        <v>于禁</v>
      </c>
      <c r="BS291" s="14">
        <f t="shared" si="343"/>
        <v>7</v>
      </c>
      <c r="BT291" s="14" t="str">
        <f t="shared" si="344"/>
        <v>于禁7突</v>
      </c>
      <c r="BU291" s="14" t="str">
        <f>IF(BN291&gt;0,INDEX(挂机升级突破!$ER$5:$EV$5,卡牌消耗!BN291),"")</f>
        <v>金币</v>
      </c>
      <c r="BV291" s="14">
        <f>IF(BN291&gt;0,ROUND(INDEX(挂机升级突破!$EV$7:$EV$26,卡牌消耗!BS291)*INDEX(卡牌消耗!$B$8:$F$8,BP291)/$Q$4/500,0)*500,"")</f>
        <v>5500</v>
      </c>
      <c r="BW291" s="14" t="str">
        <f>IF(BO291&gt;0,INDEX(挂机升级突破!$ER$5:$EV$5,卡牌消耗!BO291),"")</f>
        <v>玄铁</v>
      </c>
      <c r="BX291" s="14">
        <f>IF(BO291&gt;0,ROUND(INDEX(挂机升级突破!$ER$7:$EU$26,卡牌消耗!BS291,卡牌消耗!BO291)*INDEX($B$6:$F$6,BP291)/$Q$4/5,0)*5,"")</f>
        <v>65</v>
      </c>
      <c r="BY291" s="193"/>
      <c r="BZ291" s="193"/>
      <c r="CA291" s="106"/>
      <c r="CS291" s="171"/>
      <c r="CT291" s="171"/>
      <c r="CU291" s="171"/>
      <c r="DI291" s="186">
        <v>287</v>
      </c>
      <c r="DJ291" s="14">
        <f t="shared" si="327"/>
        <v>58</v>
      </c>
      <c r="DK291" s="14">
        <f t="shared" si="330"/>
        <v>4</v>
      </c>
      <c r="DL291" s="14">
        <f t="shared" si="331"/>
        <v>1102997</v>
      </c>
      <c r="DM291" s="186" t="s">
        <v>1097</v>
      </c>
      <c r="DN291" s="14">
        <f t="shared" si="332"/>
        <v>2</v>
      </c>
      <c r="DO291" s="14" t="str">
        <f t="shared" si="333"/>
        <v>SSR守护灵-2星</v>
      </c>
      <c r="DP291" s="186" t="s">
        <v>67</v>
      </c>
      <c r="DQ291" s="14">
        <f t="shared" si="328"/>
        <v>8000</v>
      </c>
      <c r="DR291" s="14" t="str">
        <f t="shared" si="334"/>
        <v>SSR守护灵碎片</v>
      </c>
      <c r="DS291" s="14">
        <f t="shared" si="329"/>
        <v>80</v>
      </c>
    </row>
    <row r="292" spans="8:123" ht="16.5" x14ac:dyDescent="0.2">
      <c r="H292" s="15"/>
      <c r="I292" s="15"/>
      <c r="J292" s="15"/>
      <c r="K292" s="15"/>
      <c r="L292" s="15"/>
      <c r="M292" s="15"/>
      <c r="N292" s="15"/>
      <c r="O292" s="137"/>
      <c r="P292" s="141"/>
      <c r="Q292" s="141"/>
      <c r="R292" s="141"/>
      <c r="S292" s="141"/>
      <c r="T292" s="141"/>
      <c r="U292" s="141"/>
      <c r="V292" s="141"/>
      <c r="W292" s="141"/>
      <c r="X292" s="141"/>
      <c r="Y292" s="141"/>
      <c r="Z292" s="141"/>
      <c r="AA292" s="194"/>
      <c r="AB292" s="194"/>
      <c r="AC292" s="194"/>
      <c r="AD292" s="194"/>
      <c r="AE292" s="194"/>
      <c r="AF292" s="194"/>
      <c r="AG292" s="197"/>
      <c r="AH292" s="194"/>
      <c r="AI292" s="194"/>
      <c r="AJ292" s="194"/>
      <c r="AK292" s="104">
        <v>288</v>
      </c>
      <c r="AL292" s="14">
        <f t="shared" si="335"/>
        <v>6</v>
      </c>
      <c r="AM292" s="14">
        <f>INDEX(挂机升级突破!DQ$6:DQ$57,卡牌消耗!$AT292)</f>
        <v>11</v>
      </c>
      <c r="AN292" s="14">
        <f>INDEX(挂机升级突破!DR$6:DR$57,卡牌消耗!$AT292)</f>
        <v>4</v>
      </c>
      <c r="AO292" s="14">
        <f>INDEX(挂机升级突破!DS$6:DS$57,卡牌消耗!$AT292)</f>
        <v>0</v>
      </c>
      <c r="AP292" s="14">
        <f>INDEX(挂机升级突破!$DP$6:$DP$57,卡牌消耗!AT292)</f>
        <v>88</v>
      </c>
      <c r="AQ292" s="14" t="str">
        <f t="shared" si="336"/>
        <v>项羽</v>
      </c>
      <c r="AR292" s="14">
        <f t="shared" si="337"/>
        <v>5</v>
      </c>
      <c r="AS292" s="14" t="str">
        <f t="shared" si="338"/>
        <v>项羽魂火-28</v>
      </c>
      <c r="AT292" s="14">
        <f t="shared" si="339"/>
        <v>28</v>
      </c>
      <c r="AU292" s="14" t="str">
        <f>IF(AM292&gt;0,INDEX(挂机升级突破!$DT$4:$ED$4,AM292),"")</f>
        <v>金币</v>
      </c>
      <c r="AV292" s="14">
        <f>ROUND(INDEX(挂机升级突破!$DJ$6:$DJ$57,卡牌消耗!AT292)*INDEX(卡牌消耗!$B$8:$F$8,AR292)/$Q$4/50,0)*50</f>
        <v>17550</v>
      </c>
      <c r="AW292" s="14" t="str">
        <f>IF(AN292&gt;0,INDEX(挂机升级突破!$DT$4:$ED$4,AN292),"")</f>
        <v>橙色基础材料</v>
      </c>
      <c r="AX292" s="14">
        <f>ROUND(INDEX(挂机升级突破!$DT$6:$ED$57,卡牌消耗!AT292,AN292)*INDEX(卡牌消耗!$B$5:$F$5,AR292)/$Q$4/5,0)*5</f>
        <v>35</v>
      </c>
      <c r="AY292" s="14" t="str">
        <f>IF(AO292&gt;0,INDEX(挂机升级突破!$DT$4:$ED$4,AO292),"")</f>
        <v/>
      </c>
      <c r="AZ292" s="14" t="str">
        <f>IF(AO292&gt;0,ROUND(INDEX(挂机升级突破!$DT$6:$ED$57,卡牌消耗!AT292,AO292)*INDEX(卡牌消耗!$B$7:$F$7,AR292)/$Q$4,0),"")</f>
        <v/>
      </c>
      <c r="BA292" s="106"/>
      <c r="BB292" s="197"/>
      <c r="BC292" s="197"/>
      <c r="BD292" s="197"/>
      <c r="BE292" s="197"/>
      <c r="BF292" s="197"/>
      <c r="BG292" s="197"/>
      <c r="BH292" s="197"/>
      <c r="BI292" s="197"/>
      <c r="BJ292" s="197"/>
      <c r="BK292" s="197"/>
      <c r="BL292" s="104">
        <v>288</v>
      </c>
      <c r="BM292" s="14">
        <f t="shared" si="340"/>
        <v>15</v>
      </c>
      <c r="BN292" s="14">
        <f>INDEX(挂机升级突破!$EI$7:$EI$26,BS292)</f>
        <v>5</v>
      </c>
      <c r="BO292" s="14">
        <f>INDEX(挂机升级突破!$EJ$7:$EJ$26,BS292)</f>
        <v>1</v>
      </c>
      <c r="BP292" s="14">
        <f t="shared" si="341"/>
        <v>2</v>
      </c>
      <c r="BQ292" s="14">
        <f>INDEX(挂机升级突破!$EH$7:$EH$26,卡牌消耗!BS292)</f>
        <v>52</v>
      </c>
      <c r="BR292" s="14" t="str">
        <f t="shared" si="342"/>
        <v>于禁</v>
      </c>
      <c r="BS292" s="14">
        <f t="shared" si="343"/>
        <v>8</v>
      </c>
      <c r="BT292" s="14" t="str">
        <f t="shared" si="344"/>
        <v>于禁8突</v>
      </c>
      <c r="BU292" s="14" t="str">
        <f>IF(BN292&gt;0,INDEX(挂机升级突破!$ER$5:$EV$5,卡牌消耗!BN292),"")</f>
        <v>金币</v>
      </c>
      <c r="BV292" s="14">
        <f>IF(BN292&gt;0,ROUND(INDEX(挂机升级突破!$EV$7:$EV$26,卡牌消耗!BS292)*INDEX(卡牌消耗!$B$8:$F$8,BP292)/$Q$4/500,0)*500,"")</f>
        <v>5500</v>
      </c>
      <c r="BW292" s="14" t="str">
        <f>IF(BO292&gt;0,INDEX(挂机升级突破!$ER$5:$EV$5,卡牌消耗!BO292),"")</f>
        <v>玄铁</v>
      </c>
      <c r="BX292" s="14">
        <f>IF(BO292&gt;0,ROUND(INDEX(挂机升级突破!$ER$7:$EU$26,卡牌消耗!BS292,卡牌消耗!BO292)*INDEX($B$6:$F$6,BP292)/$Q$4/5,0)*5,"")</f>
        <v>120</v>
      </c>
      <c r="BY292" s="193"/>
      <c r="BZ292" s="193"/>
      <c r="CA292" s="106"/>
      <c r="CS292" s="171"/>
      <c r="CT292" s="171"/>
      <c r="CU292" s="171"/>
      <c r="DI292" s="186">
        <v>288</v>
      </c>
      <c r="DJ292" s="14">
        <f t="shared" si="327"/>
        <v>58</v>
      </c>
      <c r="DK292" s="14">
        <f t="shared" si="330"/>
        <v>4</v>
      </c>
      <c r="DL292" s="14">
        <f t="shared" si="331"/>
        <v>1102997</v>
      </c>
      <c r="DM292" s="186" t="s">
        <v>1097</v>
      </c>
      <c r="DN292" s="14">
        <f t="shared" si="332"/>
        <v>3</v>
      </c>
      <c r="DO292" s="14" t="str">
        <f t="shared" si="333"/>
        <v>SSR守护灵-3星</v>
      </c>
      <c r="DP292" s="186" t="s">
        <v>67</v>
      </c>
      <c r="DQ292" s="14">
        <f t="shared" si="328"/>
        <v>14000</v>
      </c>
      <c r="DR292" s="14" t="str">
        <f t="shared" si="334"/>
        <v>SSR守护灵碎片</v>
      </c>
      <c r="DS292" s="14">
        <f t="shared" si="329"/>
        <v>80</v>
      </c>
    </row>
    <row r="293" spans="8:123" ht="16.5" x14ac:dyDescent="0.2">
      <c r="H293" s="15"/>
      <c r="I293" s="15"/>
      <c r="J293" s="15"/>
      <c r="K293" s="15"/>
      <c r="L293" s="15"/>
      <c r="M293" s="15"/>
      <c r="N293" s="15"/>
      <c r="O293" s="137"/>
      <c r="P293" s="141"/>
      <c r="Q293" s="141"/>
      <c r="R293" s="141"/>
      <c r="S293" s="141"/>
      <c r="T293" s="141"/>
      <c r="U293" s="141"/>
      <c r="V293" s="141"/>
      <c r="W293" s="141"/>
      <c r="X293" s="141"/>
      <c r="Y293" s="141"/>
      <c r="Z293" s="141"/>
      <c r="AA293" s="194"/>
      <c r="AB293" s="194"/>
      <c r="AC293" s="194"/>
      <c r="AD293" s="194"/>
      <c r="AE293" s="194"/>
      <c r="AF293" s="194"/>
      <c r="AG293" s="197"/>
      <c r="AH293" s="194"/>
      <c r="AI293" s="194"/>
      <c r="AJ293" s="194"/>
      <c r="AK293" s="104">
        <v>289</v>
      </c>
      <c r="AL293" s="14">
        <f t="shared" si="335"/>
        <v>6</v>
      </c>
      <c r="AM293" s="14">
        <f>INDEX(挂机升级突破!DQ$6:DQ$57,卡牌消耗!$AT293)</f>
        <v>11</v>
      </c>
      <c r="AN293" s="14">
        <f>INDEX(挂机升级突破!DR$6:DR$57,卡牌消耗!$AT293)</f>
        <v>4</v>
      </c>
      <c r="AO293" s="14">
        <f>INDEX(挂机升级突破!DS$6:DS$57,卡牌消耗!$AT293)</f>
        <v>0</v>
      </c>
      <c r="AP293" s="14">
        <f>INDEX(挂机升级突破!$DP$6:$DP$57,卡牌消耗!AT293)</f>
        <v>90</v>
      </c>
      <c r="AQ293" s="14" t="str">
        <f t="shared" si="336"/>
        <v>项羽</v>
      </c>
      <c r="AR293" s="14">
        <f t="shared" si="337"/>
        <v>5</v>
      </c>
      <c r="AS293" s="14" t="str">
        <f t="shared" si="338"/>
        <v>项羽魂火-29</v>
      </c>
      <c r="AT293" s="14">
        <f t="shared" si="339"/>
        <v>29</v>
      </c>
      <c r="AU293" s="14" t="str">
        <f>IF(AM293&gt;0,INDEX(挂机升级突破!$DT$4:$ED$4,AM293),"")</f>
        <v>金币</v>
      </c>
      <c r="AV293" s="14">
        <f>ROUND(INDEX(挂机升级突破!$DJ$6:$DJ$57,卡牌消耗!AT293)*INDEX(卡牌消耗!$B$8:$F$8,AR293)/$Q$4/50,0)*50</f>
        <v>17800</v>
      </c>
      <c r="AW293" s="14" t="str">
        <f>IF(AN293&gt;0,INDEX(挂机升级突破!$DT$4:$ED$4,AN293),"")</f>
        <v>橙色基础材料</v>
      </c>
      <c r="AX293" s="14">
        <f>ROUND(INDEX(挂机升级突破!$DT$6:$ED$57,卡牌消耗!AT293,AN293)*INDEX(卡牌消耗!$B$5:$F$5,AR293)/$Q$4/5,0)*5</f>
        <v>40</v>
      </c>
      <c r="AY293" s="14" t="str">
        <f>IF(AO293&gt;0,INDEX(挂机升级突破!$DT$4:$ED$4,AO293),"")</f>
        <v/>
      </c>
      <c r="AZ293" s="14" t="str">
        <f>IF(AO293&gt;0,ROUND(INDEX(挂机升级突破!$DT$6:$ED$57,卡牌消耗!AT293,AO293)*INDEX(卡牌消耗!$B$7:$F$7,AR293)/$Q$4,0),"")</f>
        <v/>
      </c>
      <c r="BA293" s="106"/>
      <c r="BB293" s="197"/>
      <c r="BC293" s="197"/>
      <c r="BD293" s="197"/>
      <c r="BE293" s="197"/>
      <c r="BF293" s="197"/>
      <c r="BG293" s="197"/>
      <c r="BH293" s="197"/>
      <c r="BI293" s="197"/>
      <c r="BJ293" s="197"/>
      <c r="BK293" s="197"/>
      <c r="BL293" s="104">
        <v>289</v>
      </c>
      <c r="BM293" s="14">
        <f t="shared" si="340"/>
        <v>15</v>
      </c>
      <c r="BN293" s="14">
        <f>INDEX(挂机升级突破!$EI$7:$EI$26,BS293)</f>
        <v>5</v>
      </c>
      <c r="BO293" s="14">
        <f>INDEX(挂机升级突破!$EJ$7:$EJ$26,BS293)</f>
        <v>2</v>
      </c>
      <c r="BP293" s="14">
        <f t="shared" si="341"/>
        <v>2</v>
      </c>
      <c r="BQ293" s="14">
        <f>INDEX(挂机升级突破!$EH$7:$EH$26,卡牌消耗!BS293)</f>
        <v>57</v>
      </c>
      <c r="BR293" s="14" t="str">
        <f t="shared" si="342"/>
        <v>于禁</v>
      </c>
      <c r="BS293" s="14">
        <f t="shared" si="343"/>
        <v>9</v>
      </c>
      <c r="BT293" s="14" t="str">
        <f t="shared" si="344"/>
        <v>于禁9突</v>
      </c>
      <c r="BU293" s="14" t="str">
        <f>IF(BN293&gt;0,INDEX(挂机升级突破!$ER$5:$EV$5,卡牌消耗!BN293),"")</f>
        <v>金币</v>
      </c>
      <c r="BV293" s="14">
        <f>IF(BN293&gt;0,ROUND(INDEX(挂机升级突破!$EV$7:$EV$26,卡牌消耗!BS293)*INDEX(卡牌消耗!$B$8:$F$8,BP293)/$Q$4/500,0)*500,"")</f>
        <v>7500</v>
      </c>
      <c r="BW293" s="14" t="str">
        <f>IF(BO293&gt;0,INDEX(挂机升级突破!$ER$5:$EV$5,卡牌消耗!BO293),"")</f>
        <v>乌金</v>
      </c>
      <c r="BX293" s="14">
        <f>IF(BO293&gt;0,ROUND(INDEX(挂机升级突破!$ER$7:$EU$26,卡牌消耗!BS293,卡牌消耗!BO293)*INDEX($B$6:$F$6,BP293)/$Q$4/5,0)*5,"")</f>
        <v>40</v>
      </c>
      <c r="BY293" s="193"/>
      <c r="BZ293" s="193"/>
      <c r="CA293" s="106"/>
      <c r="CS293" s="171"/>
      <c r="CT293" s="171"/>
      <c r="CU293" s="171"/>
      <c r="DI293" s="186">
        <v>289</v>
      </c>
      <c r="DJ293" s="14">
        <f t="shared" si="327"/>
        <v>58</v>
      </c>
      <c r="DK293" s="14">
        <f t="shared" si="330"/>
        <v>4</v>
      </c>
      <c r="DL293" s="14">
        <f t="shared" si="331"/>
        <v>1102997</v>
      </c>
      <c r="DM293" s="186" t="s">
        <v>1097</v>
      </c>
      <c r="DN293" s="14">
        <f t="shared" si="332"/>
        <v>4</v>
      </c>
      <c r="DO293" s="14" t="str">
        <f t="shared" si="333"/>
        <v>SSR守护灵-4星</v>
      </c>
      <c r="DP293" s="186" t="s">
        <v>67</v>
      </c>
      <c r="DQ293" s="14">
        <f t="shared" si="328"/>
        <v>32000</v>
      </c>
      <c r="DR293" s="14" t="str">
        <f t="shared" si="334"/>
        <v>SSR守护灵碎片</v>
      </c>
      <c r="DS293" s="14">
        <f t="shared" si="329"/>
        <v>80</v>
      </c>
    </row>
    <row r="294" spans="8:123" ht="16.5" x14ac:dyDescent="0.2">
      <c r="H294" s="15"/>
      <c r="I294" s="15"/>
      <c r="J294" s="15"/>
      <c r="K294" s="15"/>
      <c r="L294" s="15"/>
      <c r="M294" s="15"/>
      <c r="N294" s="15"/>
      <c r="O294" s="137"/>
      <c r="P294" s="141"/>
      <c r="Q294" s="141"/>
      <c r="R294" s="141"/>
      <c r="S294" s="141"/>
      <c r="T294" s="141"/>
      <c r="U294" s="141"/>
      <c r="V294" s="141"/>
      <c r="W294" s="141"/>
      <c r="X294" s="141"/>
      <c r="Y294" s="141"/>
      <c r="Z294" s="141"/>
      <c r="AA294" s="194"/>
      <c r="AB294" s="194"/>
      <c r="AC294" s="194"/>
      <c r="AD294" s="194"/>
      <c r="AE294" s="194"/>
      <c r="AF294" s="194"/>
      <c r="AG294" s="197"/>
      <c r="AH294" s="194"/>
      <c r="AI294" s="194"/>
      <c r="AJ294" s="194"/>
      <c r="AK294" s="104">
        <v>290</v>
      </c>
      <c r="AL294" s="14">
        <f t="shared" si="335"/>
        <v>6</v>
      </c>
      <c r="AM294" s="14">
        <f>INDEX(挂机升级突破!DQ$6:DQ$57,卡牌消耗!$AT294)</f>
        <v>11</v>
      </c>
      <c r="AN294" s="14">
        <f>INDEX(挂机升级突破!DR$6:DR$57,卡牌消耗!$AT294)</f>
        <v>4</v>
      </c>
      <c r="AO294" s="14">
        <f>INDEX(挂机升级突破!DS$6:DS$57,卡牌消耗!$AT294)</f>
        <v>0</v>
      </c>
      <c r="AP294" s="14">
        <f>INDEX(挂机升级突破!$DP$6:$DP$57,卡牌消耗!AT294)</f>
        <v>93</v>
      </c>
      <c r="AQ294" s="14" t="str">
        <f t="shared" si="336"/>
        <v>项羽</v>
      </c>
      <c r="AR294" s="14">
        <f t="shared" si="337"/>
        <v>5</v>
      </c>
      <c r="AS294" s="14" t="str">
        <f t="shared" si="338"/>
        <v>项羽魂火-30</v>
      </c>
      <c r="AT294" s="14">
        <f t="shared" si="339"/>
        <v>30</v>
      </c>
      <c r="AU294" s="14" t="str">
        <f>IF(AM294&gt;0,INDEX(挂机升级突破!$DT$4:$ED$4,AM294),"")</f>
        <v>金币</v>
      </c>
      <c r="AV294" s="14">
        <f>ROUND(INDEX(挂机升级突破!$DJ$6:$DJ$57,卡牌消耗!AT294)*INDEX(卡牌消耗!$B$8:$F$8,AR294)/$Q$4/50,0)*50</f>
        <v>17800</v>
      </c>
      <c r="AW294" s="14" t="str">
        <f>IF(AN294&gt;0,INDEX(挂机升级突破!$DT$4:$ED$4,AN294),"")</f>
        <v>橙色基础材料</v>
      </c>
      <c r="AX294" s="14">
        <f>ROUND(INDEX(挂机升级突破!$DT$6:$ED$57,卡牌消耗!AT294,AN294)*INDEX(卡牌消耗!$B$5:$F$5,AR294)/$Q$4/5,0)*5</f>
        <v>40</v>
      </c>
      <c r="AY294" s="14" t="str">
        <f>IF(AO294&gt;0,INDEX(挂机升级突破!$DT$4:$ED$4,AO294),"")</f>
        <v/>
      </c>
      <c r="AZ294" s="14" t="str">
        <f>IF(AO294&gt;0,ROUND(INDEX(挂机升级突破!$DT$6:$ED$57,卡牌消耗!AT294,AO294)*INDEX(卡牌消耗!$B$7:$F$7,AR294)/$Q$4,0),"")</f>
        <v/>
      </c>
      <c r="BA294" s="106"/>
      <c r="BB294" s="197"/>
      <c r="BC294" s="197"/>
      <c r="BD294" s="197"/>
      <c r="BE294" s="197"/>
      <c r="BF294" s="197"/>
      <c r="BG294" s="197"/>
      <c r="BH294" s="197"/>
      <c r="BI294" s="197"/>
      <c r="BJ294" s="197"/>
      <c r="BK294" s="197"/>
      <c r="BL294" s="104">
        <v>290</v>
      </c>
      <c r="BM294" s="14">
        <f t="shared" si="340"/>
        <v>15</v>
      </c>
      <c r="BN294" s="14">
        <f>INDEX(挂机升级突破!$EI$7:$EI$26,BS294)</f>
        <v>5</v>
      </c>
      <c r="BO294" s="14">
        <f>INDEX(挂机升级突破!$EJ$7:$EJ$26,BS294)</f>
        <v>2</v>
      </c>
      <c r="BP294" s="14">
        <f t="shared" si="341"/>
        <v>2</v>
      </c>
      <c r="BQ294" s="14">
        <f>INDEX(挂机升级突破!$EH$7:$EH$26,卡牌消耗!BS294)</f>
        <v>65</v>
      </c>
      <c r="BR294" s="14" t="str">
        <f t="shared" si="342"/>
        <v>于禁</v>
      </c>
      <c r="BS294" s="14">
        <f t="shared" si="343"/>
        <v>10</v>
      </c>
      <c r="BT294" s="14" t="str">
        <f t="shared" si="344"/>
        <v>于禁10突</v>
      </c>
      <c r="BU294" s="14" t="str">
        <f>IF(BN294&gt;0,INDEX(挂机升级突破!$ER$5:$EV$5,卡牌消耗!BN294),"")</f>
        <v>金币</v>
      </c>
      <c r="BV294" s="14">
        <f>IF(BN294&gt;0,ROUND(INDEX(挂机升级突破!$EV$7:$EV$26,卡牌消耗!BS294)*INDEX(卡牌消耗!$B$8:$F$8,BP294)/$Q$4/500,0)*500,"")</f>
        <v>13000</v>
      </c>
      <c r="BW294" s="14" t="str">
        <f>IF(BO294&gt;0,INDEX(挂机升级突破!$ER$5:$EV$5,卡牌消耗!BO294),"")</f>
        <v>乌金</v>
      </c>
      <c r="BX294" s="14">
        <f>IF(BO294&gt;0,ROUND(INDEX(挂机升级突破!$ER$7:$EU$26,卡牌消耗!BS294,卡牌消耗!BO294)*INDEX($B$6:$F$6,BP294)/$Q$4/5,0)*5,"")</f>
        <v>55</v>
      </c>
      <c r="BY294" s="193"/>
      <c r="BZ294" s="193"/>
      <c r="CA294" s="106"/>
      <c r="CS294" s="171"/>
      <c r="CT294" s="171"/>
      <c r="CU294" s="171"/>
      <c r="DI294" s="186">
        <v>290</v>
      </c>
      <c r="DJ294" s="14">
        <f t="shared" si="327"/>
        <v>58</v>
      </c>
      <c r="DK294" s="14">
        <f t="shared" si="330"/>
        <v>4</v>
      </c>
      <c r="DL294" s="14">
        <f t="shared" si="331"/>
        <v>1102997</v>
      </c>
      <c r="DM294" s="186" t="s">
        <v>1097</v>
      </c>
      <c r="DN294" s="14">
        <f t="shared" si="332"/>
        <v>5</v>
      </c>
      <c r="DO294" s="14" t="str">
        <f t="shared" si="333"/>
        <v>SSR守护灵-5星</v>
      </c>
      <c r="DP294" s="186" t="s">
        <v>67</v>
      </c>
      <c r="DQ294" s="14">
        <f t="shared" si="328"/>
        <v>60000</v>
      </c>
      <c r="DR294" s="14" t="str">
        <f t="shared" si="334"/>
        <v>SSR守护灵碎片</v>
      </c>
      <c r="DS294" s="14">
        <f t="shared" si="329"/>
        <v>80</v>
      </c>
    </row>
    <row r="295" spans="8:123" ht="16.5" x14ac:dyDescent="0.2">
      <c r="H295" s="15"/>
      <c r="I295" s="15"/>
      <c r="J295" s="15"/>
      <c r="K295" s="15"/>
      <c r="L295" s="15"/>
      <c r="M295" s="15"/>
      <c r="N295" s="15"/>
      <c r="O295" s="137"/>
      <c r="P295" s="141"/>
      <c r="Q295" s="141"/>
      <c r="R295" s="141"/>
      <c r="S295" s="141"/>
      <c r="T295" s="141"/>
      <c r="U295" s="141"/>
      <c r="V295" s="141"/>
      <c r="W295" s="141"/>
      <c r="X295" s="141"/>
      <c r="Y295" s="141"/>
      <c r="Z295" s="141"/>
      <c r="AA295" s="194"/>
      <c r="AB295" s="194"/>
      <c r="AC295" s="194"/>
      <c r="AD295" s="194"/>
      <c r="AE295" s="194"/>
      <c r="AF295" s="194"/>
      <c r="AG295" s="197"/>
      <c r="AH295" s="194"/>
      <c r="AI295" s="194"/>
      <c r="AJ295" s="194"/>
      <c r="AK295" s="104">
        <v>291</v>
      </c>
      <c r="AL295" s="14">
        <f t="shared" si="335"/>
        <v>6</v>
      </c>
      <c r="AM295" s="14">
        <f>INDEX(挂机升级突破!DQ$6:DQ$57,卡牌消耗!$AT295)</f>
        <v>11</v>
      </c>
      <c r="AN295" s="14">
        <f>INDEX(挂机升级突破!DR$6:DR$57,卡牌消耗!$AT295)</f>
        <v>4</v>
      </c>
      <c r="AO295" s="14">
        <f>INDEX(挂机升级突破!DS$6:DS$57,卡牌消耗!$AT295)</f>
        <v>0</v>
      </c>
      <c r="AP295" s="14">
        <f>INDEX(挂机升级突破!$DP$6:$DP$57,卡牌消耗!AT295)</f>
        <v>95</v>
      </c>
      <c r="AQ295" s="14" t="str">
        <f t="shared" si="336"/>
        <v>项羽</v>
      </c>
      <c r="AR295" s="14">
        <f t="shared" si="337"/>
        <v>5</v>
      </c>
      <c r="AS295" s="14" t="str">
        <f t="shared" si="338"/>
        <v>项羽魂火-31</v>
      </c>
      <c r="AT295" s="14">
        <f t="shared" si="339"/>
        <v>31</v>
      </c>
      <c r="AU295" s="14" t="str">
        <f>IF(AM295&gt;0,INDEX(挂机升级突破!$DT$4:$ED$4,AM295),"")</f>
        <v>金币</v>
      </c>
      <c r="AV295" s="14">
        <f>ROUND(INDEX(挂机升级突破!$DJ$6:$DJ$57,卡牌消耗!AT295)*INDEX(卡牌消耗!$B$8:$F$8,AR295)/$Q$4/50,0)*50</f>
        <v>17800</v>
      </c>
      <c r="AW295" s="14" t="str">
        <f>IF(AN295&gt;0,INDEX(挂机升级突破!$DT$4:$ED$4,AN295),"")</f>
        <v>橙色基础材料</v>
      </c>
      <c r="AX295" s="14">
        <f>ROUND(INDEX(挂机升级突破!$DT$6:$ED$57,卡牌消耗!AT295,AN295)*INDEX(卡牌消耗!$B$5:$F$5,AR295)/$Q$4/5,0)*5</f>
        <v>40</v>
      </c>
      <c r="AY295" s="14" t="str">
        <f>IF(AO295&gt;0,INDEX(挂机升级突破!$DT$4:$ED$4,AO295),"")</f>
        <v/>
      </c>
      <c r="AZ295" s="14" t="str">
        <f>IF(AO295&gt;0,ROUND(INDEX(挂机升级突破!$DT$6:$ED$57,卡牌消耗!AT295,AO295)*INDEX(卡牌消耗!$B$7:$F$7,AR295)/$Q$4,0),"")</f>
        <v/>
      </c>
      <c r="BA295" s="106"/>
      <c r="BB295" s="197"/>
      <c r="BC295" s="197"/>
      <c r="BD295" s="197"/>
      <c r="BE295" s="197"/>
      <c r="BF295" s="197"/>
      <c r="BG295" s="197"/>
      <c r="BH295" s="197"/>
      <c r="BI295" s="197"/>
      <c r="BJ295" s="197"/>
      <c r="BK295" s="197"/>
      <c r="BL295" s="104">
        <v>291</v>
      </c>
      <c r="BM295" s="14">
        <f t="shared" si="340"/>
        <v>15</v>
      </c>
      <c r="BN295" s="14">
        <f>INDEX(挂机升级突破!$EI$7:$EI$26,BS295)</f>
        <v>5</v>
      </c>
      <c r="BO295" s="14">
        <f>INDEX(挂机升级突破!$EJ$7:$EJ$26,BS295)</f>
        <v>2</v>
      </c>
      <c r="BP295" s="14">
        <f t="shared" si="341"/>
        <v>2</v>
      </c>
      <c r="BQ295" s="14">
        <f>INDEX(挂机升级突破!$EH$7:$EH$26,卡牌消耗!BS295)</f>
        <v>72</v>
      </c>
      <c r="BR295" s="14" t="str">
        <f t="shared" si="342"/>
        <v>于禁</v>
      </c>
      <c r="BS295" s="14">
        <f t="shared" si="343"/>
        <v>11</v>
      </c>
      <c r="BT295" s="14" t="str">
        <f t="shared" si="344"/>
        <v>于禁11突</v>
      </c>
      <c r="BU295" s="14" t="str">
        <f>IF(BN295&gt;0,INDEX(挂机升级突破!$ER$5:$EV$5,卡牌消耗!BN295),"")</f>
        <v>金币</v>
      </c>
      <c r="BV295" s="14">
        <f>IF(BN295&gt;0,ROUND(INDEX(挂机升级突破!$EV$7:$EV$26,卡牌消耗!BS295)*INDEX(卡牌消耗!$B$8:$F$8,BP295)/$Q$4/500,0)*500,"")</f>
        <v>13000</v>
      </c>
      <c r="BW295" s="14" t="str">
        <f>IF(BO295&gt;0,INDEX(挂机升级突破!$ER$5:$EV$5,卡牌消耗!BO295),"")</f>
        <v>乌金</v>
      </c>
      <c r="BX295" s="14">
        <f>IF(BO295&gt;0,ROUND(INDEX(挂机升级突破!$ER$7:$EU$26,卡牌消耗!BS295,卡牌消耗!BO295)*INDEX($B$6:$F$6,BP295)/$Q$4/5,0)*5,"")</f>
        <v>75</v>
      </c>
      <c r="BY295" s="193"/>
      <c r="BZ295" s="193"/>
      <c r="CA295" s="106"/>
      <c r="CS295" s="171"/>
      <c r="CT295" s="171"/>
      <c r="CU295" s="171"/>
      <c r="DI295" s="186">
        <v>291</v>
      </c>
      <c r="DJ295" s="14">
        <f t="shared" si="327"/>
        <v>59</v>
      </c>
      <c r="DK295" s="14">
        <f t="shared" si="330"/>
        <v>5</v>
      </c>
      <c r="DL295" s="14">
        <f t="shared" si="331"/>
        <v>1102996</v>
      </c>
      <c r="DM295" s="186" t="s">
        <v>1097</v>
      </c>
      <c r="DN295" s="14">
        <f t="shared" si="332"/>
        <v>1</v>
      </c>
      <c r="DO295" s="14" t="str">
        <f t="shared" si="333"/>
        <v>UR守护灵-1星</v>
      </c>
      <c r="DP295" s="186" t="s">
        <v>67</v>
      </c>
      <c r="DQ295" s="14">
        <f t="shared" si="328"/>
        <v>9000</v>
      </c>
      <c r="DR295" s="14" t="str">
        <f t="shared" si="334"/>
        <v>UR守护灵碎片</v>
      </c>
      <c r="DS295" s="14">
        <f t="shared" si="329"/>
        <v>120</v>
      </c>
    </row>
    <row r="296" spans="8:123" ht="16.5" x14ac:dyDescent="0.2">
      <c r="H296" s="15"/>
      <c r="I296" s="15"/>
      <c r="J296" s="15"/>
      <c r="K296" s="15"/>
      <c r="L296" s="15"/>
      <c r="M296" s="15"/>
      <c r="N296" s="15"/>
      <c r="O296" s="137"/>
      <c r="P296" s="141"/>
      <c r="Q296" s="141"/>
      <c r="R296" s="141"/>
      <c r="S296" s="141"/>
      <c r="T296" s="141"/>
      <c r="U296" s="141"/>
      <c r="V296" s="141"/>
      <c r="W296" s="141"/>
      <c r="X296" s="141"/>
      <c r="Y296" s="141"/>
      <c r="Z296" s="141"/>
      <c r="AA296" s="194"/>
      <c r="AB296" s="194"/>
      <c r="AC296" s="194"/>
      <c r="AD296" s="194"/>
      <c r="AE296" s="194"/>
      <c r="AF296" s="194"/>
      <c r="AG296" s="197"/>
      <c r="AH296" s="194"/>
      <c r="AI296" s="194"/>
      <c r="AJ296" s="194"/>
      <c r="AK296" s="104">
        <v>292</v>
      </c>
      <c r="AL296" s="14">
        <f t="shared" si="335"/>
        <v>6</v>
      </c>
      <c r="AM296" s="14">
        <f>INDEX(挂机升级突破!DQ$6:DQ$57,卡牌消耗!$AT296)</f>
        <v>11</v>
      </c>
      <c r="AN296" s="14">
        <f>INDEX(挂机升级突破!DR$6:DR$57,卡牌消耗!$AT296)</f>
        <v>4</v>
      </c>
      <c r="AO296" s="14">
        <f>INDEX(挂机升级突破!DS$6:DS$57,卡牌消耗!$AT296)</f>
        <v>0</v>
      </c>
      <c r="AP296" s="14">
        <f>INDEX(挂机升级突破!$DP$6:$DP$57,卡牌消耗!AT296)</f>
        <v>98</v>
      </c>
      <c r="AQ296" s="14" t="str">
        <f t="shared" si="336"/>
        <v>项羽</v>
      </c>
      <c r="AR296" s="14">
        <f t="shared" si="337"/>
        <v>5</v>
      </c>
      <c r="AS296" s="14" t="str">
        <f t="shared" si="338"/>
        <v>项羽魂火-32</v>
      </c>
      <c r="AT296" s="14">
        <f t="shared" si="339"/>
        <v>32</v>
      </c>
      <c r="AU296" s="14" t="str">
        <f>IF(AM296&gt;0,INDEX(挂机升级突破!$DT$4:$ED$4,AM296),"")</f>
        <v>金币</v>
      </c>
      <c r="AV296" s="14">
        <f>ROUND(INDEX(挂机升级突破!$DJ$6:$DJ$57,卡牌消耗!AT296)*INDEX(卡牌消耗!$B$8:$F$8,AR296)/$Q$4/50,0)*50</f>
        <v>24450</v>
      </c>
      <c r="AW296" s="14" t="str">
        <f>IF(AN296&gt;0,INDEX(挂机升级突破!$DT$4:$ED$4,AN296),"")</f>
        <v>橙色基础材料</v>
      </c>
      <c r="AX296" s="14">
        <f>ROUND(INDEX(挂机升级突破!$DT$6:$ED$57,卡牌消耗!AT296,AN296)*INDEX(卡牌消耗!$B$5:$F$5,AR296)/$Q$4/5,0)*5</f>
        <v>40</v>
      </c>
      <c r="AY296" s="14" t="str">
        <f>IF(AO296&gt;0,INDEX(挂机升级突破!$DT$4:$ED$4,AO296),"")</f>
        <v/>
      </c>
      <c r="AZ296" s="14" t="str">
        <f>IF(AO296&gt;0,ROUND(INDEX(挂机升级突破!$DT$6:$ED$57,卡牌消耗!AT296,AO296)*INDEX(卡牌消耗!$B$7:$F$7,AR296)/$Q$4,0),"")</f>
        <v/>
      </c>
      <c r="BA296" s="106"/>
      <c r="BB296" s="197"/>
      <c r="BC296" s="197"/>
      <c r="BD296" s="197"/>
      <c r="BE296" s="197"/>
      <c r="BF296" s="197"/>
      <c r="BG296" s="197"/>
      <c r="BH296" s="197"/>
      <c r="BI296" s="197"/>
      <c r="BJ296" s="197"/>
      <c r="BK296" s="197"/>
      <c r="BL296" s="104">
        <v>292</v>
      </c>
      <c r="BM296" s="14">
        <f t="shared" si="340"/>
        <v>15</v>
      </c>
      <c r="BN296" s="14">
        <f>INDEX(挂机升级突破!$EI$7:$EI$26,BS296)</f>
        <v>5</v>
      </c>
      <c r="BO296" s="14">
        <f>INDEX(挂机升级突破!$EJ$7:$EJ$26,BS296)</f>
        <v>2</v>
      </c>
      <c r="BP296" s="14">
        <f t="shared" si="341"/>
        <v>2</v>
      </c>
      <c r="BQ296" s="14">
        <f>INDEX(挂机升级突破!$EH$7:$EH$26,卡牌消耗!BS296)</f>
        <v>80</v>
      </c>
      <c r="BR296" s="14" t="str">
        <f t="shared" si="342"/>
        <v>于禁</v>
      </c>
      <c r="BS296" s="14">
        <f t="shared" si="343"/>
        <v>12</v>
      </c>
      <c r="BT296" s="14" t="str">
        <f t="shared" si="344"/>
        <v>于禁12突</v>
      </c>
      <c r="BU296" s="14" t="str">
        <f>IF(BN296&gt;0,INDEX(挂机升级突破!$ER$5:$EV$5,卡牌消耗!BN296),"")</f>
        <v>金币</v>
      </c>
      <c r="BV296" s="14">
        <f>IF(BN296&gt;0,ROUND(INDEX(挂机升级突破!$EV$7:$EV$26,卡牌消耗!BS296)*INDEX(卡牌消耗!$B$8:$F$8,BP296)/$Q$4/500,0)*500,"")</f>
        <v>17500</v>
      </c>
      <c r="BW296" s="14" t="str">
        <f>IF(BO296&gt;0,INDEX(挂机升级突破!$ER$5:$EV$5,卡牌消耗!BO296),"")</f>
        <v>乌金</v>
      </c>
      <c r="BX296" s="14">
        <f>IF(BO296&gt;0,ROUND(INDEX(挂机升级突破!$ER$7:$EU$26,卡牌消耗!BS296,卡牌消耗!BO296)*INDEX($B$6:$F$6,BP296)/$Q$4/5,0)*5,"")</f>
        <v>95</v>
      </c>
      <c r="BY296" s="193"/>
      <c r="BZ296" s="193"/>
      <c r="CA296" s="106"/>
      <c r="CS296" s="171"/>
      <c r="CT296" s="171"/>
      <c r="CU296" s="171"/>
      <c r="DI296" s="186">
        <v>292</v>
      </c>
      <c r="DJ296" s="14">
        <f t="shared" si="327"/>
        <v>59</v>
      </c>
      <c r="DK296" s="14">
        <f t="shared" si="330"/>
        <v>5</v>
      </c>
      <c r="DL296" s="14">
        <f t="shared" si="331"/>
        <v>1102996</v>
      </c>
      <c r="DM296" s="186" t="s">
        <v>1097</v>
      </c>
      <c r="DN296" s="14">
        <f t="shared" si="332"/>
        <v>2</v>
      </c>
      <c r="DO296" s="14" t="str">
        <f t="shared" si="333"/>
        <v>UR守护灵-2星</v>
      </c>
      <c r="DP296" s="186" t="s">
        <v>67</v>
      </c>
      <c r="DQ296" s="14">
        <f t="shared" si="328"/>
        <v>12000</v>
      </c>
      <c r="DR296" s="14" t="str">
        <f t="shared" si="334"/>
        <v>UR守护灵碎片</v>
      </c>
      <c r="DS296" s="14">
        <f t="shared" si="329"/>
        <v>120</v>
      </c>
    </row>
    <row r="297" spans="8:123" ht="16.5" x14ac:dyDescent="0.2">
      <c r="H297" s="15"/>
      <c r="I297" s="15"/>
      <c r="J297" s="15"/>
      <c r="K297" s="15"/>
      <c r="L297" s="15"/>
      <c r="M297" s="15"/>
      <c r="N297" s="15"/>
      <c r="O297" s="137"/>
      <c r="P297" s="141"/>
      <c r="Q297" s="141"/>
      <c r="R297" s="141"/>
      <c r="S297" s="141"/>
      <c r="T297" s="141"/>
      <c r="U297" s="141"/>
      <c r="V297" s="141"/>
      <c r="W297" s="141"/>
      <c r="X297" s="141"/>
      <c r="Y297" s="141"/>
      <c r="Z297" s="141"/>
      <c r="AA297" s="194"/>
      <c r="AB297" s="194"/>
      <c r="AC297" s="194"/>
      <c r="AD297" s="194"/>
      <c r="AE297" s="194"/>
      <c r="AF297" s="194"/>
      <c r="AG297" s="197"/>
      <c r="AH297" s="194"/>
      <c r="AI297" s="194"/>
      <c r="AJ297" s="194"/>
      <c r="AK297" s="104">
        <v>293</v>
      </c>
      <c r="AL297" s="14">
        <f t="shared" si="335"/>
        <v>6</v>
      </c>
      <c r="AM297" s="14">
        <f>INDEX(挂机升级突破!DQ$6:DQ$57,卡牌消耗!$AT297)</f>
        <v>11</v>
      </c>
      <c r="AN297" s="14">
        <f>INDEX(挂机升级突破!DR$6:DR$57,卡牌消耗!$AT297)</f>
        <v>4</v>
      </c>
      <c r="AO297" s="14">
        <f>INDEX(挂机升级突破!DS$6:DS$57,卡牌消耗!$AT297)</f>
        <v>0</v>
      </c>
      <c r="AP297" s="14">
        <f>INDEX(挂机升级突破!$DP$6:$DP$57,卡牌消耗!AT297)</f>
        <v>100</v>
      </c>
      <c r="AQ297" s="14" t="str">
        <f t="shared" si="336"/>
        <v>项羽</v>
      </c>
      <c r="AR297" s="14">
        <f t="shared" si="337"/>
        <v>5</v>
      </c>
      <c r="AS297" s="14" t="str">
        <f t="shared" si="338"/>
        <v>项羽魂火-33</v>
      </c>
      <c r="AT297" s="14">
        <f t="shared" si="339"/>
        <v>33</v>
      </c>
      <c r="AU297" s="14" t="str">
        <f>IF(AM297&gt;0,INDEX(挂机升级突破!$DT$4:$ED$4,AM297),"")</f>
        <v>金币</v>
      </c>
      <c r="AV297" s="14">
        <f>ROUND(INDEX(挂机升级突破!$DJ$6:$DJ$57,卡牌消耗!AT297)*INDEX(卡牌消耗!$B$8:$F$8,AR297)/$Q$4/50,0)*50</f>
        <v>24450</v>
      </c>
      <c r="AW297" s="14" t="str">
        <f>IF(AN297&gt;0,INDEX(挂机升级突破!$DT$4:$ED$4,AN297),"")</f>
        <v>橙色基础材料</v>
      </c>
      <c r="AX297" s="14">
        <f>ROUND(INDEX(挂机升级突破!$DT$6:$ED$57,卡牌消耗!AT297,AN297)*INDEX(卡牌消耗!$B$5:$F$5,AR297)/$Q$4/5,0)*5</f>
        <v>40</v>
      </c>
      <c r="AY297" s="14" t="str">
        <f>IF(AO297&gt;0,INDEX(挂机升级突破!$DT$4:$ED$4,AO297),"")</f>
        <v/>
      </c>
      <c r="AZ297" s="14" t="str">
        <f>IF(AO297&gt;0,ROUND(INDEX(挂机升级突破!$DT$6:$ED$57,卡牌消耗!AT297,AO297)*INDEX(卡牌消耗!$B$7:$F$7,AR297)/$Q$4,0),"")</f>
        <v/>
      </c>
      <c r="BA297" s="106"/>
      <c r="BB297" s="197"/>
      <c r="BC297" s="197"/>
      <c r="BD297" s="197"/>
      <c r="BE297" s="197"/>
      <c r="BF297" s="197"/>
      <c r="BG297" s="197"/>
      <c r="BH297" s="197"/>
      <c r="BI297" s="197"/>
      <c r="BJ297" s="197"/>
      <c r="BK297" s="197"/>
      <c r="BL297" s="104">
        <v>293</v>
      </c>
      <c r="BM297" s="14">
        <f t="shared" si="340"/>
        <v>15</v>
      </c>
      <c r="BN297" s="14">
        <f>INDEX(挂机升级突破!$EI$7:$EI$26,BS297)</f>
        <v>5</v>
      </c>
      <c r="BO297" s="14">
        <f>INDEX(挂机升级突破!$EJ$7:$EJ$26,BS297)</f>
        <v>3</v>
      </c>
      <c r="BP297" s="14">
        <f t="shared" si="341"/>
        <v>2</v>
      </c>
      <c r="BQ297" s="14">
        <f>INDEX(挂机升级突破!$EH$7:$EH$26,卡牌消耗!BS297)</f>
        <v>87</v>
      </c>
      <c r="BR297" s="14" t="str">
        <f t="shared" si="342"/>
        <v>于禁</v>
      </c>
      <c r="BS297" s="14">
        <f t="shared" si="343"/>
        <v>13</v>
      </c>
      <c r="BT297" s="14" t="str">
        <f t="shared" si="344"/>
        <v>于禁13突</v>
      </c>
      <c r="BU297" s="14" t="str">
        <f>IF(BN297&gt;0,INDEX(挂机升级突破!$ER$5:$EV$5,卡牌消耗!BN297),"")</f>
        <v>金币</v>
      </c>
      <c r="BV297" s="14">
        <f>IF(BN297&gt;0,ROUND(INDEX(挂机升级突破!$EV$7:$EV$26,卡牌消耗!BS297)*INDEX(卡牌消耗!$B$8:$F$8,BP297)/$Q$4/500,0)*500,"")</f>
        <v>23500</v>
      </c>
      <c r="BW297" s="14" t="str">
        <f>IF(BO297&gt;0,INDEX(挂机升级突破!$ER$5:$EV$5,卡牌消耗!BO297),"")</f>
        <v>银母</v>
      </c>
      <c r="BX297" s="14">
        <f>IF(BO297&gt;0,ROUND(INDEX(挂机升级突破!$ER$7:$EU$26,卡牌消耗!BS297,卡牌消耗!BO297)*INDEX($B$6:$F$6,BP297)/$Q$4/5,0)*5,"")</f>
        <v>30</v>
      </c>
      <c r="BY297" s="193"/>
      <c r="BZ297" s="193"/>
      <c r="CA297" s="106"/>
      <c r="CS297" s="171"/>
      <c r="CT297" s="171"/>
      <c r="CU297" s="171"/>
      <c r="DI297" s="186">
        <v>293</v>
      </c>
      <c r="DJ297" s="14">
        <f t="shared" si="327"/>
        <v>59</v>
      </c>
      <c r="DK297" s="14">
        <f t="shared" si="330"/>
        <v>5</v>
      </c>
      <c r="DL297" s="14">
        <f t="shared" si="331"/>
        <v>1102996</v>
      </c>
      <c r="DM297" s="186" t="s">
        <v>1097</v>
      </c>
      <c r="DN297" s="14">
        <f t="shared" si="332"/>
        <v>3</v>
      </c>
      <c r="DO297" s="14" t="str">
        <f t="shared" si="333"/>
        <v>UR守护灵-3星</v>
      </c>
      <c r="DP297" s="186" t="s">
        <v>67</v>
      </c>
      <c r="DQ297" s="14">
        <f t="shared" si="328"/>
        <v>20000</v>
      </c>
      <c r="DR297" s="14" t="str">
        <f t="shared" si="334"/>
        <v>UR守护灵碎片</v>
      </c>
      <c r="DS297" s="14">
        <f t="shared" si="329"/>
        <v>120</v>
      </c>
    </row>
    <row r="298" spans="8:123" ht="16.5" x14ac:dyDescent="0.2">
      <c r="H298" s="15"/>
      <c r="I298" s="15"/>
      <c r="J298" s="15"/>
      <c r="K298" s="15"/>
      <c r="L298" s="15"/>
      <c r="M298" s="15"/>
      <c r="N298" s="15"/>
      <c r="O298" s="137"/>
      <c r="P298" s="141"/>
      <c r="Q298" s="141"/>
      <c r="R298" s="141"/>
      <c r="S298" s="141"/>
      <c r="T298" s="141"/>
      <c r="U298" s="141"/>
      <c r="V298" s="141"/>
      <c r="W298" s="141"/>
      <c r="X298" s="141"/>
      <c r="Y298" s="141"/>
      <c r="Z298" s="141"/>
      <c r="AA298" s="194"/>
      <c r="AB298" s="194"/>
      <c r="AC298" s="194"/>
      <c r="AD298" s="194"/>
      <c r="AE298" s="194"/>
      <c r="AF298" s="194"/>
      <c r="AG298" s="197"/>
      <c r="AH298" s="194"/>
      <c r="AI298" s="194"/>
      <c r="AJ298" s="194"/>
      <c r="AK298" s="104">
        <v>294</v>
      </c>
      <c r="AL298" s="14">
        <f t="shared" si="335"/>
        <v>6</v>
      </c>
      <c r="AM298" s="14">
        <f>INDEX(挂机升级突破!DQ$6:DQ$57,卡牌消耗!$AT298)</f>
        <v>11</v>
      </c>
      <c r="AN298" s="14">
        <f>INDEX(挂机升级突破!DR$6:DR$57,卡牌消耗!$AT298)</f>
        <v>4</v>
      </c>
      <c r="AO298" s="14">
        <f>INDEX(挂机升级突破!DS$6:DS$57,卡牌消耗!$AT298)</f>
        <v>0</v>
      </c>
      <c r="AP298" s="14">
        <f>INDEX(挂机升级突破!$DP$6:$DP$57,卡牌消耗!AT298)</f>
        <v>103</v>
      </c>
      <c r="AQ298" s="14" t="str">
        <f t="shared" si="336"/>
        <v>项羽</v>
      </c>
      <c r="AR298" s="14">
        <f t="shared" si="337"/>
        <v>5</v>
      </c>
      <c r="AS298" s="14" t="str">
        <f t="shared" si="338"/>
        <v>项羽魂火-34</v>
      </c>
      <c r="AT298" s="14">
        <f t="shared" si="339"/>
        <v>34</v>
      </c>
      <c r="AU298" s="14" t="str">
        <f>IF(AM298&gt;0,INDEX(挂机升级突破!$DT$4:$ED$4,AM298),"")</f>
        <v>金币</v>
      </c>
      <c r="AV298" s="14">
        <f>ROUND(INDEX(挂机升级突破!$DJ$6:$DJ$57,卡牌消耗!AT298)*INDEX(卡牌消耗!$B$8:$F$8,AR298)/$Q$4/50,0)*50</f>
        <v>24450</v>
      </c>
      <c r="AW298" s="14" t="str">
        <f>IF(AN298&gt;0,INDEX(挂机升级突破!$DT$4:$ED$4,AN298),"")</f>
        <v>橙色基础材料</v>
      </c>
      <c r="AX298" s="14">
        <f>ROUND(INDEX(挂机升级突破!$DT$6:$ED$57,卡牌消耗!AT298,AN298)*INDEX(卡牌消耗!$B$5:$F$5,AR298)/$Q$4/5,0)*5</f>
        <v>45</v>
      </c>
      <c r="AY298" s="14" t="str">
        <f>IF(AO298&gt;0,INDEX(挂机升级突破!$DT$4:$ED$4,AO298),"")</f>
        <v/>
      </c>
      <c r="AZ298" s="14" t="str">
        <f>IF(AO298&gt;0,ROUND(INDEX(挂机升级突破!$DT$6:$ED$57,卡牌消耗!AT298,AO298)*INDEX(卡牌消耗!$B$7:$F$7,AR298)/$Q$4,0),"")</f>
        <v/>
      </c>
      <c r="BA298" s="106"/>
      <c r="BB298" s="197"/>
      <c r="BC298" s="197"/>
      <c r="BD298" s="197"/>
      <c r="BE298" s="197"/>
      <c r="BF298" s="197"/>
      <c r="BG298" s="197"/>
      <c r="BH298" s="197"/>
      <c r="BI298" s="197"/>
      <c r="BJ298" s="197"/>
      <c r="BK298" s="197"/>
      <c r="BL298" s="104">
        <v>294</v>
      </c>
      <c r="BM298" s="14">
        <f t="shared" si="340"/>
        <v>15</v>
      </c>
      <c r="BN298" s="14">
        <f>INDEX(挂机升级突破!$EI$7:$EI$26,BS298)</f>
        <v>5</v>
      </c>
      <c r="BO298" s="14">
        <f>INDEX(挂机升级突破!$EJ$7:$EJ$26,BS298)</f>
        <v>3</v>
      </c>
      <c r="BP298" s="14">
        <f t="shared" si="341"/>
        <v>2</v>
      </c>
      <c r="BQ298" s="14">
        <f>INDEX(挂机升级突破!$EH$7:$EH$26,卡牌消耗!BS298)</f>
        <v>95</v>
      </c>
      <c r="BR298" s="14" t="str">
        <f t="shared" si="342"/>
        <v>于禁</v>
      </c>
      <c r="BS298" s="14">
        <f t="shared" si="343"/>
        <v>14</v>
      </c>
      <c r="BT298" s="14" t="str">
        <f t="shared" si="344"/>
        <v>于禁14突</v>
      </c>
      <c r="BU298" s="14" t="str">
        <f>IF(BN298&gt;0,INDEX(挂机升级突破!$ER$5:$EV$5,卡牌消耗!BN298),"")</f>
        <v>金币</v>
      </c>
      <c r="BV298" s="14">
        <f>IF(BN298&gt;0,ROUND(INDEX(挂机升级突破!$EV$7:$EV$26,卡牌消耗!BS298)*INDEX(卡牌消耗!$B$8:$F$8,BP298)/$Q$4/500,0)*500,"")</f>
        <v>23500</v>
      </c>
      <c r="BW298" s="14" t="str">
        <f>IF(BO298&gt;0,INDEX(挂机升级突破!$ER$5:$EV$5,卡牌消耗!BO298),"")</f>
        <v>银母</v>
      </c>
      <c r="BX298" s="14">
        <f>IF(BO298&gt;0,ROUND(INDEX(挂机升级突破!$ER$7:$EU$26,卡牌消耗!BS298,卡牌消耗!BO298)*INDEX($B$6:$F$6,BP298)/$Q$4/5,0)*5,"")</f>
        <v>45</v>
      </c>
      <c r="BY298" s="193"/>
      <c r="BZ298" s="193"/>
      <c r="CA298" s="106"/>
      <c r="CS298" s="171"/>
      <c r="CT298" s="171"/>
      <c r="CU298" s="171"/>
      <c r="DI298" s="186">
        <v>294</v>
      </c>
      <c r="DJ298" s="14">
        <f t="shared" si="327"/>
        <v>59</v>
      </c>
      <c r="DK298" s="14">
        <f t="shared" si="330"/>
        <v>5</v>
      </c>
      <c r="DL298" s="14">
        <f t="shared" si="331"/>
        <v>1102996</v>
      </c>
      <c r="DM298" s="186" t="s">
        <v>1097</v>
      </c>
      <c r="DN298" s="14">
        <f t="shared" si="332"/>
        <v>4</v>
      </c>
      <c r="DO298" s="14" t="str">
        <f t="shared" si="333"/>
        <v>UR守护灵-4星</v>
      </c>
      <c r="DP298" s="186" t="s">
        <v>67</v>
      </c>
      <c r="DQ298" s="14">
        <f t="shared" si="328"/>
        <v>50000</v>
      </c>
      <c r="DR298" s="14" t="str">
        <f t="shared" si="334"/>
        <v>UR守护灵碎片</v>
      </c>
      <c r="DS298" s="14">
        <f t="shared" si="329"/>
        <v>120</v>
      </c>
    </row>
    <row r="299" spans="8:123" ht="16.5" x14ac:dyDescent="0.2">
      <c r="H299" s="15"/>
      <c r="I299" s="15"/>
      <c r="J299" s="15"/>
      <c r="K299" s="15"/>
      <c r="L299" s="15"/>
      <c r="M299" s="15"/>
      <c r="N299" s="15"/>
      <c r="O299" s="137"/>
      <c r="P299" s="141"/>
      <c r="Q299" s="141"/>
      <c r="R299" s="141"/>
      <c r="S299" s="141"/>
      <c r="T299" s="141"/>
      <c r="U299" s="141"/>
      <c r="V299" s="141"/>
      <c r="W299" s="141"/>
      <c r="X299" s="141"/>
      <c r="Y299" s="141"/>
      <c r="Z299" s="141"/>
      <c r="AA299" s="194"/>
      <c r="AB299" s="194"/>
      <c r="AC299" s="194"/>
      <c r="AD299" s="194"/>
      <c r="AE299" s="194"/>
      <c r="AF299" s="194"/>
      <c r="AG299" s="197"/>
      <c r="AH299" s="194"/>
      <c r="AI299" s="194"/>
      <c r="AJ299" s="194"/>
      <c r="AK299" s="104">
        <v>295</v>
      </c>
      <c r="AL299" s="14">
        <f t="shared" si="335"/>
        <v>6</v>
      </c>
      <c r="AM299" s="14">
        <f>INDEX(挂机升级突破!DQ$6:DQ$57,卡牌消耗!$AT299)</f>
        <v>11</v>
      </c>
      <c r="AN299" s="14">
        <f>INDEX(挂机升级突破!DR$6:DR$57,卡牌消耗!$AT299)</f>
        <v>4</v>
      </c>
      <c r="AO299" s="14">
        <f>INDEX(挂机升级突破!DS$6:DS$57,卡牌消耗!$AT299)</f>
        <v>0</v>
      </c>
      <c r="AP299" s="14">
        <f>INDEX(挂机升级突破!$DP$6:$DP$57,卡牌消耗!AT299)</f>
        <v>105</v>
      </c>
      <c r="AQ299" s="14" t="str">
        <f t="shared" si="336"/>
        <v>项羽</v>
      </c>
      <c r="AR299" s="14">
        <f t="shared" si="337"/>
        <v>5</v>
      </c>
      <c r="AS299" s="14" t="str">
        <f t="shared" si="338"/>
        <v>项羽魂火-35</v>
      </c>
      <c r="AT299" s="14">
        <f t="shared" si="339"/>
        <v>35</v>
      </c>
      <c r="AU299" s="14" t="str">
        <f>IF(AM299&gt;0,INDEX(挂机升级突破!$DT$4:$ED$4,AM299),"")</f>
        <v>金币</v>
      </c>
      <c r="AV299" s="14">
        <f>ROUND(INDEX(挂机升级突破!$DJ$6:$DJ$57,卡牌消耗!AT299)*INDEX(卡牌消耗!$B$8:$F$8,AR299)/$Q$4/50,0)*50</f>
        <v>31100</v>
      </c>
      <c r="AW299" s="14" t="str">
        <f>IF(AN299&gt;0,INDEX(挂机升级突破!$DT$4:$ED$4,AN299),"")</f>
        <v>橙色基础材料</v>
      </c>
      <c r="AX299" s="14">
        <f>ROUND(INDEX(挂机升级突破!$DT$6:$ED$57,卡牌消耗!AT299,AN299)*INDEX(卡牌消耗!$B$5:$F$5,AR299)/$Q$4/5,0)*5</f>
        <v>45</v>
      </c>
      <c r="AY299" s="14" t="str">
        <f>IF(AO299&gt;0,INDEX(挂机升级突破!$DT$4:$ED$4,AO299),"")</f>
        <v/>
      </c>
      <c r="AZ299" s="14" t="str">
        <f>IF(AO299&gt;0,ROUND(INDEX(挂机升级突破!$DT$6:$ED$57,卡牌消耗!AT299,AO299)*INDEX(卡牌消耗!$B$7:$F$7,AR299)/$Q$4,0),"")</f>
        <v/>
      </c>
      <c r="BA299" s="106"/>
      <c r="BB299" s="197"/>
      <c r="BC299" s="197"/>
      <c r="BD299" s="197"/>
      <c r="BE299" s="197"/>
      <c r="BF299" s="197"/>
      <c r="BG299" s="197"/>
      <c r="BH299" s="197"/>
      <c r="BI299" s="197"/>
      <c r="BJ299" s="197"/>
      <c r="BK299" s="197"/>
      <c r="BL299" s="104">
        <v>295</v>
      </c>
      <c r="BM299" s="14">
        <f t="shared" si="340"/>
        <v>15</v>
      </c>
      <c r="BN299" s="14">
        <f>INDEX(挂机升级突破!$EI$7:$EI$26,BS299)</f>
        <v>5</v>
      </c>
      <c r="BO299" s="14">
        <f>INDEX(挂机升级突破!$EJ$7:$EJ$26,BS299)</f>
        <v>3</v>
      </c>
      <c r="BP299" s="14">
        <f t="shared" si="341"/>
        <v>2</v>
      </c>
      <c r="BQ299" s="14">
        <f>INDEX(挂机升级突破!$EH$7:$EH$26,卡牌消耗!BS299)</f>
        <v>102</v>
      </c>
      <c r="BR299" s="14" t="str">
        <f t="shared" si="342"/>
        <v>于禁</v>
      </c>
      <c r="BS299" s="14">
        <f t="shared" si="343"/>
        <v>15</v>
      </c>
      <c r="BT299" s="14" t="str">
        <f t="shared" si="344"/>
        <v>于禁15突</v>
      </c>
      <c r="BU299" s="14" t="str">
        <f>IF(BN299&gt;0,INDEX(挂机升级突破!$ER$5:$EV$5,卡牌消耗!BN299),"")</f>
        <v>金币</v>
      </c>
      <c r="BV299" s="14">
        <f>IF(BN299&gt;0,ROUND(INDEX(挂机升级突破!$EV$7:$EV$26,卡牌消耗!BS299)*INDEX(卡牌消耗!$B$8:$F$8,BP299)/$Q$4/500,0)*500,"")</f>
        <v>31000</v>
      </c>
      <c r="BW299" s="14" t="str">
        <f>IF(BO299&gt;0,INDEX(挂机升级突破!$ER$5:$EV$5,卡牌消耗!BO299),"")</f>
        <v>银母</v>
      </c>
      <c r="BX299" s="14">
        <f>IF(BO299&gt;0,ROUND(INDEX(挂机升级突破!$ER$7:$EU$26,卡牌消耗!BS299,卡牌消耗!BO299)*INDEX($B$6:$F$6,BP299)/$Q$4/5,0)*5,"")</f>
        <v>55</v>
      </c>
      <c r="BY299" s="193"/>
      <c r="BZ299" s="193"/>
      <c r="CA299" s="106"/>
      <c r="CS299" s="171"/>
      <c r="CT299" s="171"/>
      <c r="CU299" s="171"/>
      <c r="DI299" s="186">
        <v>295</v>
      </c>
      <c r="DJ299" s="14">
        <f t="shared" si="327"/>
        <v>59</v>
      </c>
      <c r="DK299" s="14">
        <f t="shared" si="330"/>
        <v>5</v>
      </c>
      <c r="DL299" s="14">
        <f t="shared" si="331"/>
        <v>1102996</v>
      </c>
      <c r="DM299" s="186" t="s">
        <v>1097</v>
      </c>
      <c r="DN299" s="14">
        <f t="shared" si="332"/>
        <v>5</v>
      </c>
      <c r="DO299" s="14" t="str">
        <f t="shared" si="333"/>
        <v>UR守护灵-5星</v>
      </c>
      <c r="DP299" s="186" t="s">
        <v>67</v>
      </c>
      <c r="DQ299" s="14">
        <f t="shared" si="328"/>
        <v>90000</v>
      </c>
      <c r="DR299" s="14" t="str">
        <f t="shared" si="334"/>
        <v>UR守护灵碎片</v>
      </c>
      <c r="DS299" s="14">
        <f t="shared" si="329"/>
        <v>120</v>
      </c>
    </row>
    <row r="300" spans="8:123" ht="16.5" x14ac:dyDescent="0.2">
      <c r="H300" s="15"/>
      <c r="I300" s="15"/>
      <c r="J300" s="15"/>
      <c r="K300" s="15"/>
      <c r="L300" s="15"/>
      <c r="M300" s="15"/>
      <c r="N300" s="15"/>
      <c r="O300" s="137"/>
      <c r="P300" s="141"/>
      <c r="Q300" s="141"/>
      <c r="R300" s="141"/>
      <c r="S300" s="141"/>
      <c r="T300" s="141"/>
      <c r="U300" s="141"/>
      <c r="V300" s="141"/>
      <c r="W300" s="141"/>
      <c r="X300" s="141"/>
      <c r="Y300" s="141"/>
      <c r="Z300" s="141"/>
      <c r="AA300" s="194"/>
      <c r="AB300" s="194"/>
      <c r="AC300" s="194"/>
      <c r="AD300" s="194"/>
      <c r="AE300" s="194"/>
      <c r="AF300" s="194"/>
      <c r="AG300" s="197"/>
      <c r="AH300" s="194"/>
      <c r="AI300" s="194"/>
      <c r="AJ300" s="194"/>
      <c r="AK300" s="104">
        <v>296</v>
      </c>
      <c r="AL300" s="14">
        <f t="shared" si="335"/>
        <v>6</v>
      </c>
      <c r="AM300" s="14">
        <f>INDEX(挂机升级突破!DQ$6:DQ$57,卡牌消耗!$AT300)</f>
        <v>11</v>
      </c>
      <c r="AN300" s="14">
        <f>INDEX(挂机升级突破!DR$6:DR$57,卡牌消耗!$AT300)</f>
        <v>4</v>
      </c>
      <c r="AO300" s="14">
        <f>INDEX(挂机升级突破!DS$6:DS$57,卡牌消耗!$AT300)</f>
        <v>0</v>
      </c>
      <c r="AP300" s="14">
        <f>INDEX(挂机升级突破!$DP$6:$DP$57,卡牌消耗!AT300)</f>
        <v>108</v>
      </c>
      <c r="AQ300" s="14" t="str">
        <f t="shared" si="336"/>
        <v>项羽</v>
      </c>
      <c r="AR300" s="14">
        <f t="shared" si="337"/>
        <v>5</v>
      </c>
      <c r="AS300" s="14" t="str">
        <f t="shared" si="338"/>
        <v>项羽魂火-36</v>
      </c>
      <c r="AT300" s="14">
        <f t="shared" si="339"/>
        <v>36</v>
      </c>
      <c r="AU300" s="14" t="str">
        <f>IF(AM300&gt;0,INDEX(挂机升级突破!$DT$4:$ED$4,AM300),"")</f>
        <v>金币</v>
      </c>
      <c r="AV300" s="14">
        <f>ROUND(INDEX(挂机升级突破!$DJ$6:$DJ$57,卡牌消耗!AT300)*INDEX(卡牌消耗!$B$8:$F$8,AR300)/$Q$4/50,0)*50</f>
        <v>31100</v>
      </c>
      <c r="AW300" s="14" t="str">
        <f>IF(AN300&gt;0,INDEX(挂机升级突破!$DT$4:$ED$4,AN300),"")</f>
        <v>橙色基础材料</v>
      </c>
      <c r="AX300" s="14">
        <f>ROUND(INDEX(挂机升级突破!$DT$6:$ED$57,卡牌消耗!AT300,AN300)*INDEX(卡牌消耗!$B$5:$F$5,AR300)/$Q$4/5,0)*5</f>
        <v>45</v>
      </c>
      <c r="AY300" s="14" t="str">
        <f>IF(AO300&gt;0,INDEX(挂机升级突破!$DT$4:$ED$4,AO300),"")</f>
        <v/>
      </c>
      <c r="AZ300" s="14" t="str">
        <f>IF(AO300&gt;0,ROUND(INDEX(挂机升级突破!$DT$6:$ED$57,卡牌消耗!AT300,AO300)*INDEX(卡牌消耗!$B$7:$F$7,AR300)/$Q$4,0),"")</f>
        <v/>
      </c>
      <c r="BA300" s="106"/>
      <c r="BB300" s="197"/>
      <c r="BC300" s="197"/>
      <c r="BD300" s="197"/>
      <c r="BE300" s="197"/>
      <c r="BF300" s="197"/>
      <c r="BG300" s="197"/>
      <c r="BH300" s="197"/>
      <c r="BI300" s="197"/>
      <c r="BJ300" s="197"/>
      <c r="BK300" s="197"/>
      <c r="BL300" s="104">
        <v>296</v>
      </c>
      <c r="BM300" s="14">
        <f t="shared" si="340"/>
        <v>15</v>
      </c>
      <c r="BN300" s="14">
        <f>INDEX(挂机升级突破!$EI$7:$EI$26,BS300)</f>
        <v>5</v>
      </c>
      <c r="BO300" s="14">
        <f>INDEX(挂机升级突破!$EJ$7:$EJ$26,BS300)</f>
        <v>3</v>
      </c>
      <c r="BP300" s="14">
        <f t="shared" si="341"/>
        <v>2</v>
      </c>
      <c r="BQ300" s="14">
        <f>INDEX(挂机升级突破!$EH$7:$EH$26,卡牌消耗!BS300)</f>
        <v>110</v>
      </c>
      <c r="BR300" s="14" t="str">
        <f t="shared" si="342"/>
        <v>于禁</v>
      </c>
      <c r="BS300" s="14">
        <f t="shared" si="343"/>
        <v>16</v>
      </c>
      <c r="BT300" s="14" t="str">
        <f t="shared" si="344"/>
        <v>于禁16突</v>
      </c>
      <c r="BU300" s="14" t="str">
        <f>IF(BN300&gt;0,INDEX(挂机升级突破!$ER$5:$EV$5,卡牌消耗!BN300),"")</f>
        <v>金币</v>
      </c>
      <c r="BV300" s="14">
        <f>IF(BN300&gt;0,ROUND(INDEX(挂机升级突破!$EV$7:$EV$26,卡牌消耗!BS300)*INDEX(卡牌消耗!$B$8:$F$8,BP300)/$Q$4/500,0)*500,"")</f>
        <v>56500</v>
      </c>
      <c r="BW300" s="14" t="str">
        <f>IF(BO300&gt;0,INDEX(挂机升级突破!$ER$5:$EV$5,卡牌消耗!BO300),"")</f>
        <v>银母</v>
      </c>
      <c r="BX300" s="14">
        <f>IF(BO300&gt;0,ROUND(INDEX(挂机升级突破!$ER$7:$EU$26,卡牌消耗!BS300,卡牌消耗!BO300)*INDEX($B$6:$F$6,BP300)/$Q$4/5,0)*5,"")</f>
        <v>75</v>
      </c>
      <c r="BY300" s="193"/>
      <c r="BZ300" s="193"/>
      <c r="CA300" s="106"/>
      <c r="CS300" s="171"/>
      <c r="CT300" s="171"/>
      <c r="CU300" s="171"/>
    </row>
    <row r="301" spans="8:123" ht="16.5" x14ac:dyDescent="0.2">
      <c r="H301" s="15"/>
      <c r="I301" s="15"/>
      <c r="J301" s="15"/>
      <c r="K301" s="15"/>
      <c r="L301" s="15"/>
      <c r="M301" s="15"/>
      <c r="N301" s="15"/>
      <c r="O301" s="137"/>
      <c r="P301" s="141"/>
      <c r="Q301" s="141"/>
      <c r="R301" s="141"/>
      <c r="S301" s="141"/>
      <c r="T301" s="141"/>
      <c r="U301" s="141"/>
      <c r="V301" s="141"/>
      <c r="W301" s="141"/>
      <c r="X301" s="141"/>
      <c r="Y301" s="141"/>
      <c r="Z301" s="141"/>
      <c r="AA301" s="194"/>
      <c r="AB301" s="194"/>
      <c r="AC301" s="194"/>
      <c r="AD301" s="194"/>
      <c r="AE301" s="194"/>
      <c r="AF301" s="194"/>
      <c r="AG301" s="197"/>
      <c r="AH301" s="194"/>
      <c r="AI301" s="194"/>
      <c r="AJ301" s="194"/>
      <c r="AK301" s="104">
        <v>297</v>
      </c>
      <c r="AL301" s="14">
        <f t="shared" si="335"/>
        <v>6</v>
      </c>
      <c r="AM301" s="14">
        <f>INDEX(挂机升级突破!DQ$6:DQ$57,卡牌消耗!$AT301)</f>
        <v>11</v>
      </c>
      <c r="AN301" s="14">
        <f>INDEX(挂机升级突破!DR$6:DR$57,卡牌消耗!$AT301)</f>
        <v>4</v>
      </c>
      <c r="AO301" s="14">
        <f>INDEX(挂机升级突破!DS$6:DS$57,卡牌消耗!$AT301)</f>
        <v>0</v>
      </c>
      <c r="AP301" s="14">
        <f>INDEX(挂机升级突破!$DP$6:$DP$57,卡牌消耗!AT301)</f>
        <v>110</v>
      </c>
      <c r="AQ301" s="14" t="str">
        <f t="shared" si="336"/>
        <v>项羽</v>
      </c>
      <c r="AR301" s="14">
        <f t="shared" si="337"/>
        <v>5</v>
      </c>
      <c r="AS301" s="14" t="str">
        <f t="shared" si="338"/>
        <v>项羽魂火-37</v>
      </c>
      <c r="AT301" s="14">
        <f t="shared" si="339"/>
        <v>37</v>
      </c>
      <c r="AU301" s="14" t="str">
        <f>IF(AM301&gt;0,INDEX(挂机升级突破!$DT$4:$ED$4,AM301),"")</f>
        <v>金币</v>
      </c>
      <c r="AV301" s="14">
        <f>ROUND(INDEX(挂机升级突破!$DJ$6:$DJ$57,卡牌消耗!AT301)*INDEX(卡牌消耗!$B$8:$F$8,AR301)/$Q$4/50,0)*50</f>
        <v>33350</v>
      </c>
      <c r="AW301" s="14" t="str">
        <f>IF(AN301&gt;0,INDEX(挂机升级突破!$DT$4:$ED$4,AN301),"")</f>
        <v>橙色基础材料</v>
      </c>
      <c r="AX301" s="14">
        <f>ROUND(INDEX(挂机升级突破!$DT$6:$ED$57,卡牌消耗!AT301,AN301)*INDEX(卡牌消耗!$B$5:$F$5,AR301)/$Q$4/5,0)*5</f>
        <v>45</v>
      </c>
      <c r="AY301" s="14" t="str">
        <f>IF(AO301&gt;0,INDEX(挂机升级突破!$DT$4:$ED$4,AO301),"")</f>
        <v/>
      </c>
      <c r="AZ301" s="14" t="str">
        <f>IF(AO301&gt;0,ROUND(INDEX(挂机升级突破!$DT$6:$ED$57,卡牌消耗!AT301,AO301)*INDEX(卡牌消耗!$B$7:$F$7,AR301)/$Q$4,0),"")</f>
        <v/>
      </c>
      <c r="BA301" s="106"/>
      <c r="BB301" s="197"/>
      <c r="BC301" s="197"/>
      <c r="BD301" s="197"/>
      <c r="BE301" s="197"/>
      <c r="BF301" s="197"/>
      <c r="BG301" s="197"/>
      <c r="BH301" s="197"/>
      <c r="BI301" s="197"/>
      <c r="BJ301" s="197"/>
      <c r="BK301" s="197"/>
      <c r="BL301" s="104">
        <v>297</v>
      </c>
      <c r="BM301" s="14">
        <f t="shared" si="340"/>
        <v>15</v>
      </c>
      <c r="BN301" s="14">
        <f>INDEX(挂机升级突破!$EI$7:$EI$26,BS301)</f>
        <v>5</v>
      </c>
      <c r="BO301" s="14">
        <f>INDEX(挂机升级突破!$EJ$7:$EJ$26,BS301)</f>
        <v>4</v>
      </c>
      <c r="BP301" s="14">
        <f t="shared" si="341"/>
        <v>2</v>
      </c>
      <c r="BQ301" s="14">
        <f>INDEX(挂机升级突破!$EH$7:$EH$26,卡牌消耗!BS301)</f>
        <v>117</v>
      </c>
      <c r="BR301" s="14" t="str">
        <f t="shared" si="342"/>
        <v>于禁</v>
      </c>
      <c r="BS301" s="14">
        <f t="shared" si="343"/>
        <v>17</v>
      </c>
      <c r="BT301" s="14" t="str">
        <f t="shared" si="344"/>
        <v>于禁17突</v>
      </c>
      <c r="BU301" s="14" t="str">
        <f>IF(BN301&gt;0,INDEX(挂机升级突破!$ER$5:$EV$5,卡牌消耗!BN301),"")</f>
        <v>金币</v>
      </c>
      <c r="BV301" s="14">
        <f>IF(BN301&gt;0,ROUND(INDEX(挂机升级突破!$EV$7:$EV$26,卡牌消耗!BS301)*INDEX(卡牌消耗!$B$8:$F$8,BP301)/$Q$4/500,0)*500,"")</f>
        <v>56500</v>
      </c>
      <c r="BW301" s="14" t="str">
        <f>IF(BO301&gt;0,INDEX(挂机升级突破!$ER$5:$EV$5,卡牌消耗!BO301),"")</f>
        <v>铀金</v>
      </c>
      <c r="BX301" s="14">
        <f>IF(BO301&gt;0,ROUND(INDEX(挂机升级突破!$ER$7:$EU$26,卡牌消耗!BS301,卡牌消耗!BO301)*INDEX($B$6:$F$6,BP301)/$Q$4/5,0)*5,"")</f>
        <v>15</v>
      </c>
      <c r="BY301" s="193"/>
      <c r="BZ301" s="193"/>
      <c r="CA301" s="106"/>
      <c r="CS301" s="171"/>
      <c r="CT301" s="171"/>
      <c r="CU301" s="171"/>
    </row>
    <row r="302" spans="8:123" ht="16.5" x14ac:dyDescent="0.2">
      <c r="H302" s="15"/>
      <c r="I302" s="15"/>
      <c r="J302" s="15"/>
      <c r="K302" s="15"/>
      <c r="L302" s="15"/>
      <c r="M302" s="15"/>
      <c r="N302" s="15"/>
      <c r="O302" s="137"/>
      <c r="P302" s="141"/>
      <c r="Q302" s="141"/>
      <c r="R302" s="141"/>
      <c r="S302" s="141"/>
      <c r="T302" s="141"/>
      <c r="U302" s="141"/>
      <c r="V302" s="141"/>
      <c r="W302" s="141"/>
      <c r="X302" s="141"/>
      <c r="Y302" s="141"/>
      <c r="Z302" s="141"/>
      <c r="AA302" s="194"/>
      <c r="AB302" s="194"/>
      <c r="AC302" s="194"/>
      <c r="AD302" s="194"/>
      <c r="AE302" s="194"/>
      <c r="AF302" s="194"/>
      <c r="AG302" s="197"/>
      <c r="AH302" s="194"/>
      <c r="AI302" s="194"/>
      <c r="AJ302" s="194"/>
      <c r="AK302" s="104">
        <v>298</v>
      </c>
      <c r="AL302" s="14">
        <f t="shared" si="335"/>
        <v>6</v>
      </c>
      <c r="AM302" s="14">
        <f>INDEX(挂机升级突破!DQ$6:DQ$57,卡牌消耗!$AT302)</f>
        <v>11</v>
      </c>
      <c r="AN302" s="14">
        <f>INDEX(挂机升级突破!DR$6:DR$57,卡牌消耗!$AT302)</f>
        <v>5</v>
      </c>
      <c r="AO302" s="14">
        <f>INDEX(挂机升级突破!DS$6:DS$57,卡牌消耗!$AT302)</f>
        <v>0</v>
      </c>
      <c r="AP302" s="14">
        <f>INDEX(挂机升级突破!$DP$6:$DP$57,卡牌消耗!AT302)</f>
        <v>113</v>
      </c>
      <c r="AQ302" s="14" t="str">
        <f t="shared" si="336"/>
        <v>项羽</v>
      </c>
      <c r="AR302" s="14">
        <f t="shared" si="337"/>
        <v>5</v>
      </c>
      <c r="AS302" s="14" t="str">
        <f t="shared" si="338"/>
        <v>项羽魂火-38</v>
      </c>
      <c r="AT302" s="14">
        <f t="shared" si="339"/>
        <v>38</v>
      </c>
      <c r="AU302" s="14" t="str">
        <f>IF(AM302&gt;0,INDEX(挂机升级突破!$DT$4:$ED$4,AM302),"")</f>
        <v>金币</v>
      </c>
      <c r="AV302" s="14">
        <f>ROUND(INDEX(挂机升级突破!$DJ$6:$DJ$57,卡牌消耗!AT302)*INDEX(卡牌消耗!$B$8:$F$8,AR302)/$Q$4/50,0)*50</f>
        <v>43000</v>
      </c>
      <c r="AW302" s="14" t="str">
        <f>IF(AN302&gt;0,INDEX(挂机升级突破!$DT$4:$ED$4,AN302),"")</f>
        <v>红色基础材料</v>
      </c>
      <c r="AX302" s="14">
        <f>ROUND(INDEX(挂机升级突破!$DT$6:$ED$57,卡牌消耗!AT302,AN302)*INDEX(卡牌消耗!$B$5:$F$5,AR302)/$Q$4/5,0)*5</f>
        <v>10</v>
      </c>
      <c r="AY302" s="14" t="str">
        <f>IF(AO302&gt;0,INDEX(挂机升级突破!$DT$4:$ED$4,AO302),"")</f>
        <v/>
      </c>
      <c r="AZ302" s="14" t="str">
        <f>IF(AO302&gt;0,ROUND(INDEX(挂机升级突破!$DT$6:$ED$57,卡牌消耗!AT302,AO302)*INDEX(卡牌消耗!$B$7:$F$7,AR302)/$Q$4,0),"")</f>
        <v/>
      </c>
      <c r="BA302" s="106"/>
      <c r="BB302" s="197"/>
      <c r="BC302" s="197"/>
      <c r="BD302" s="197"/>
      <c r="BE302" s="197"/>
      <c r="BF302" s="197"/>
      <c r="BG302" s="197"/>
      <c r="BH302" s="197"/>
      <c r="BI302" s="197"/>
      <c r="BJ302" s="197"/>
      <c r="BK302" s="197"/>
      <c r="BL302" s="104">
        <v>298</v>
      </c>
      <c r="BM302" s="14">
        <f t="shared" si="340"/>
        <v>15</v>
      </c>
      <c r="BN302" s="14">
        <f>INDEX(挂机升级突破!$EI$7:$EI$26,BS302)</f>
        <v>5</v>
      </c>
      <c r="BO302" s="14">
        <f>INDEX(挂机升级突破!$EJ$7:$EJ$26,BS302)</f>
        <v>4</v>
      </c>
      <c r="BP302" s="14">
        <f t="shared" si="341"/>
        <v>2</v>
      </c>
      <c r="BQ302" s="14">
        <f>INDEX(挂机升级突破!$EH$7:$EH$26,卡牌消耗!BS302)</f>
        <v>125</v>
      </c>
      <c r="BR302" s="14" t="str">
        <f t="shared" si="342"/>
        <v>于禁</v>
      </c>
      <c r="BS302" s="14">
        <f t="shared" si="343"/>
        <v>18</v>
      </c>
      <c r="BT302" s="14" t="str">
        <f t="shared" si="344"/>
        <v>于禁18突</v>
      </c>
      <c r="BU302" s="14" t="str">
        <f>IF(BN302&gt;0,INDEX(挂机升级突破!$ER$5:$EV$5,卡牌消耗!BN302),"")</f>
        <v>金币</v>
      </c>
      <c r="BV302" s="14">
        <f>IF(BN302&gt;0,ROUND(INDEX(挂机升级突破!$EV$7:$EV$26,卡牌消耗!BS302)*INDEX(卡牌消耗!$B$8:$F$8,BP302)/$Q$4/500,0)*500,"")</f>
        <v>75000</v>
      </c>
      <c r="BW302" s="14" t="str">
        <f>IF(BO302&gt;0,INDEX(挂机升级突破!$ER$5:$EV$5,卡牌消耗!BO302),"")</f>
        <v>铀金</v>
      </c>
      <c r="BX302" s="14">
        <f>IF(BO302&gt;0,ROUND(INDEX(挂机升级突破!$ER$7:$EU$26,卡牌消耗!BS302,卡牌消耗!BO302)*INDEX($B$6:$F$6,BP302)/$Q$4/5,0)*5,"")</f>
        <v>20</v>
      </c>
      <c r="BY302" s="193"/>
      <c r="BZ302" s="193"/>
      <c r="CA302" s="106"/>
      <c r="CS302" s="171"/>
      <c r="CT302" s="171"/>
      <c r="CU302" s="171"/>
    </row>
    <row r="303" spans="8:123" ht="16.5" x14ac:dyDescent="0.2">
      <c r="H303" s="15"/>
      <c r="I303" s="15"/>
      <c r="J303" s="15"/>
      <c r="K303" s="15"/>
      <c r="L303" s="15"/>
      <c r="M303" s="15"/>
      <c r="N303" s="15"/>
      <c r="O303" s="137"/>
      <c r="P303" s="141"/>
      <c r="Q303" s="141"/>
      <c r="R303" s="141"/>
      <c r="S303" s="141"/>
      <c r="T303" s="141"/>
      <c r="U303" s="141"/>
      <c r="V303" s="141"/>
      <c r="W303" s="141"/>
      <c r="X303" s="141"/>
      <c r="Y303" s="141"/>
      <c r="Z303" s="141"/>
      <c r="AA303" s="194"/>
      <c r="AB303" s="194"/>
      <c r="AC303" s="194"/>
      <c r="AD303" s="194"/>
      <c r="AE303" s="194"/>
      <c r="AF303" s="194"/>
      <c r="AG303" s="197"/>
      <c r="AH303" s="194"/>
      <c r="AI303" s="194"/>
      <c r="AJ303" s="194"/>
      <c r="AK303" s="104">
        <v>299</v>
      </c>
      <c r="AL303" s="14">
        <f t="shared" si="335"/>
        <v>6</v>
      </c>
      <c r="AM303" s="14">
        <f>INDEX(挂机升级突破!DQ$6:DQ$57,卡牌消耗!$AT303)</f>
        <v>11</v>
      </c>
      <c r="AN303" s="14">
        <f>INDEX(挂机升级突破!DR$6:DR$57,卡牌消耗!$AT303)</f>
        <v>5</v>
      </c>
      <c r="AO303" s="14">
        <f>INDEX(挂机升级突破!DS$6:DS$57,卡牌消耗!$AT303)</f>
        <v>0</v>
      </c>
      <c r="AP303" s="14">
        <f>INDEX(挂机升级突破!$DP$6:$DP$57,卡牌消耗!AT303)</f>
        <v>115</v>
      </c>
      <c r="AQ303" s="14" t="str">
        <f t="shared" si="336"/>
        <v>项羽</v>
      </c>
      <c r="AR303" s="14">
        <f t="shared" si="337"/>
        <v>5</v>
      </c>
      <c r="AS303" s="14" t="str">
        <f t="shared" si="338"/>
        <v>项羽魂火-39</v>
      </c>
      <c r="AT303" s="14">
        <f t="shared" si="339"/>
        <v>39</v>
      </c>
      <c r="AU303" s="14" t="str">
        <f>IF(AM303&gt;0,INDEX(挂机升级突破!$DT$4:$ED$4,AM303),"")</f>
        <v>金币</v>
      </c>
      <c r="AV303" s="14">
        <f>ROUND(INDEX(挂机升级突破!$DJ$6:$DJ$57,卡牌消耗!AT303)*INDEX(卡牌消耗!$B$8:$F$8,AR303)/$Q$4/50,0)*50</f>
        <v>43000</v>
      </c>
      <c r="AW303" s="14" t="str">
        <f>IF(AN303&gt;0,INDEX(挂机升级突破!$DT$4:$ED$4,AN303),"")</f>
        <v>红色基础材料</v>
      </c>
      <c r="AX303" s="14">
        <f>ROUND(INDEX(挂机升级突破!$DT$6:$ED$57,卡牌消耗!AT303,AN303)*INDEX(卡牌消耗!$B$5:$F$5,AR303)/$Q$4/5,0)*5</f>
        <v>10</v>
      </c>
      <c r="AY303" s="14" t="str">
        <f>IF(AO303&gt;0,INDEX(挂机升级突破!$DT$4:$ED$4,AO303),"")</f>
        <v/>
      </c>
      <c r="AZ303" s="14" t="str">
        <f>IF(AO303&gt;0,ROUND(INDEX(挂机升级突破!$DT$6:$ED$57,卡牌消耗!AT303,AO303)*INDEX(卡牌消耗!$B$7:$F$7,AR303)/$Q$4,0),"")</f>
        <v/>
      </c>
      <c r="BA303" s="106"/>
      <c r="BB303" s="197"/>
      <c r="BC303" s="197"/>
      <c r="BD303" s="197"/>
      <c r="BE303" s="197"/>
      <c r="BF303" s="197"/>
      <c r="BG303" s="197"/>
      <c r="BH303" s="197"/>
      <c r="BI303" s="197"/>
      <c r="BJ303" s="197"/>
      <c r="BK303" s="197"/>
      <c r="BL303" s="104">
        <v>299</v>
      </c>
      <c r="BM303" s="14">
        <f t="shared" si="340"/>
        <v>15</v>
      </c>
      <c r="BN303" s="14">
        <f>INDEX(挂机升级突破!$EI$7:$EI$26,BS303)</f>
        <v>5</v>
      </c>
      <c r="BO303" s="14">
        <f>INDEX(挂机升级突破!$EJ$7:$EJ$26,BS303)</f>
        <v>4</v>
      </c>
      <c r="BP303" s="14">
        <f t="shared" si="341"/>
        <v>2</v>
      </c>
      <c r="BQ303" s="14">
        <f>INDEX(挂机升级突破!$EH$7:$EH$26,卡牌消耗!BS303)</f>
        <v>132</v>
      </c>
      <c r="BR303" s="14" t="str">
        <f t="shared" si="342"/>
        <v>于禁</v>
      </c>
      <c r="BS303" s="14">
        <f t="shared" si="343"/>
        <v>19</v>
      </c>
      <c r="BT303" s="14" t="str">
        <f t="shared" si="344"/>
        <v>于禁19突</v>
      </c>
      <c r="BU303" s="14" t="str">
        <f>IF(BN303&gt;0,INDEX(挂机升级突破!$ER$5:$EV$5,卡牌消耗!BN303),"")</f>
        <v>金币</v>
      </c>
      <c r="BV303" s="14">
        <f>IF(BN303&gt;0,ROUND(INDEX(挂机升级突破!$EV$7:$EV$26,卡牌消耗!BS303)*INDEX(卡牌消耗!$B$8:$F$8,BP303)/$Q$4/500,0)*500,"")</f>
        <v>191500</v>
      </c>
      <c r="BW303" s="14" t="str">
        <f>IF(BO303&gt;0,INDEX(挂机升级突破!$ER$5:$EV$5,卡牌消耗!BO303),"")</f>
        <v>铀金</v>
      </c>
      <c r="BX303" s="14">
        <f>IF(BO303&gt;0,ROUND(INDEX(挂机升级突破!$ER$7:$EU$26,卡牌消耗!BS303,卡牌消耗!BO303)*INDEX($B$6:$F$6,BP303)/$Q$4/5,0)*5,"")</f>
        <v>25</v>
      </c>
      <c r="BY303" s="193"/>
      <c r="BZ303" s="193"/>
      <c r="CA303" s="106"/>
      <c r="CS303" s="171"/>
      <c r="CT303" s="171"/>
      <c r="CU303" s="171"/>
    </row>
    <row r="304" spans="8:123" ht="16.5" x14ac:dyDescent="0.2">
      <c r="H304" s="15"/>
      <c r="I304" s="15"/>
      <c r="J304" s="15"/>
      <c r="K304" s="15"/>
      <c r="L304" s="15"/>
      <c r="M304" s="15"/>
      <c r="N304" s="15"/>
      <c r="O304" s="137"/>
      <c r="P304" s="141"/>
      <c r="Q304" s="141"/>
      <c r="R304" s="141"/>
      <c r="S304" s="141"/>
      <c r="T304" s="141"/>
      <c r="U304" s="141"/>
      <c r="V304" s="141"/>
      <c r="W304" s="141"/>
      <c r="X304" s="141"/>
      <c r="Y304" s="141"/>
      <c r="Z304" s="141"/>
      <c r="AA304" s="194"/>
      <c r="AB304" s="194"/>
      <c r="AC304" s="194"/>
      <c r="AD304" s="194"/>
      <c r="AE304" s="194"/>
      <c r="AF304" s="194"/>
      <c r="AG304" s="197"/>
      <c r="AH304" s="194"/>
      <c r="AI304" s="194"/>
      <c r="AJ304" s="194"/>
      <c r="AK304" s="104">
        <v>300</v>
      </c>
      <c r="AL304" s="14">
        <f t="shared" si="335"/>
        <v>6</v>
      </c>
      <c r="AM304" s="14">
        <f>INDEX(挂机升级突破!DQ$6:DQ$57,卡牌消耗!$AT304)</f>
        <v>11</v>
      </c>
      <c r="AN304" s="14">
        <f>INDEX(挂机升级突破!DR$6:DR$57,卡牌消耗!$AT304)</f>
        <v>5</v>
      </c>
      <c r="AO304" s="14">
        <f>INDEX(挂机升级突破!DS$6:DS$57,卡牌消耗!$AT304)</f>
        <v>0</v>
      </c>
      <c r="AP304" s="14">
        <f>INDEX(挂机升级突破!$DP$6:$DP$57,卡牌消耗!AT304)</f>
        <v>118</v>
      </c>
      <c r="AQ304" s="14" t="str">
        <f t="shared" si="336"/>
        <v>项羽</v>
      </c>
      <c r="AR304" s="14">
        <f t="shared" si="337"/>
        <v>5</v>
      </c>
      <c r="AS304" s="14" t="str">
        <f t="shared" si="338"/>
        <v>项羽魂火-40</v>
      </c>
      <c r="AT304" s="14">
        <f t="shared" si="339"/>
        <v>40</v>
      </c>
      <c r="AU304" s="14" t="str">
        <f>IF(AM304&gt;0,INDEX(挂机升级突破!$DT$4:$ED$4,AM304),"")</f>
        <v>金币</v>
      </c>
      <c r="AV304" s="14">
        <f>ROUND(INDEX(挂机升级突破!$DJ$6:$DJ$57,卡牌消耗!AT304)*INDEX(卡牌消耗!$B$8:$F$8,AR304)/$Q$4/50,0)*50</f>
        <v>43000</v>
      </c>
      <c r="AW304" s="14" t="str">
        <f>IF(AN304&gt;0,INDEX(挂机升级突破!$DT$4:$ED$4,AN304),"")</f>
        <v>红色基础材料</v>
      </c>
      <c r="AX304" s="14">
        <f>ROUND(INDEX(挂机升级突破!$DT$6:$ED$57,卡牌消耗!AT304,AN304)*INDEX(卡牌消耗!$B$5:$F$5,AR304)/$Q$4/5,0)*5</f>
        <v>10</v>
      </c>
      <c r="AY304" s="14" t="str">
        <f>IF(AO304&gt;0,INDEX(挂机升级突破!$DT$4:$ED$4,AO304),"")</f>
        <v/>
      </c>
      <c r="AZ304" s="14" t="str">
        <f>IF(AO304&gt;0,ROUND(INDEX(挂机升级突破!$DT$6:$ED$57,卡牌消耗!AT304,AO304)*INDEX(卡牌消耗!$B$7:$F$7,AR304)/$Q$4,0),"")</f>
        <v/>
      </c>
      <c r="BA304" s="106"/>
      <c r="BB304" s="197"/>
      <c r="BC304" s="197"/>
      <c r="BD304" s="197"/>
      <c r="BE304" s="197"/>
      <c r="BF304" s="197"/>
      <c r="BG304" s="197"/>
      <c r="BH304" s="197"/>
      <c r="BI304" s="197"/>
      <c r="BJ304" s="197"/>
      <c r="BK304" s="197"/>
      <c r="BL304" s="104">
        <v>300</v>
      </c>
      <c r="BM304" s="14">
        <f t="shared" si="340"/>
        <v>15</v>
      </c>
      <c r="BN304" s="14">
        <f>INDEX(挂机升级突破!$EI$7:$EI$26,BS304)</f>
        <v>5</v>
      </c>
      <c r="BO304" s="14">
        <f>INDEX(挂机升级突破!$EJ$7:$EJ$26,BS304)</f>
        <v>4</v>
      </c>
      <c r="BP304" s="14">
        <f t="shared" si="341"/>
        <v>2</v>
      </c>
      <c r="BQ304" s="14">
        <f>INDEX(挂机升级突破!$EH$7:$EH$26,卡牌消耗!BS304)</f>
        <v>140</v>
      </c>
      <c r="BR304" s="14" t="str">
        <f t="shared" si="342"/>
        <v>于禁</v>
      </c>
      <c r="BS304" s="14">
        <f t="shared" si="343"/>
        <v>20</v>
      </c>
      <c r="BT304" s="14" t="str">
        <f t="shared" si="344"/>
        <v>于禁20突</v>
      </c>
      <c r="BU304" s="14" t="str">
        <f>IF(BN304&gt;0,INDEX(挂机升级突破!$ER$5:$EV$5,卡牌消耗!BN304),"")</f>
        <v>金币</v>
      </c>
      <c r="BV304" s="14">
        <f>IF(BN304&gt;0,ROUND(INDEX(挂机升级突破!$EV$7:$EV$26,卡牌消耗!BS304)*INDEX(卡牌消耗!$B$8:$F$8,BP304)/$Q$4/500,0)*500,"")</f>
        <v>287000</v>
      </c>
      <c r="BW304" s="14" t="str">
        <f>IF(BO304&gt;0,INDEX(挂机升级突破!$ER$5:$EV$5,卡牌消耗!BO304),"")</f>
        <v>铀金</v>
      </c>
      <c r="BX304" s="14">
        <f>IF(BO304&gt;0,ROUND(INDEX(挂机升级突破!$ER$7:$EU$26,卡牌消耗!BS304,卡牌消耗!BO304)*INDEX($B$6:$F$6,BP304)/$Q$4/5,0)*5,"")</f>
        <v>35</v>
      </c>
      <c r="BY304" s="193"/>
      <c r="BZ304" s="193"/>
      <c r="CA304" s="106"/>
      <c r="CS304" s="171"/>
      <c r="CT304" s="171"/>
      <c r="CU304" s="171"/>
    </row>
    <row r="305" spans="8:99" ht="16.5" x14ac:dyDescent="0.2">
      <c r="H305" s="15"/>
      <c r="I305" s="15"/>
      <c r="J305" s="15"/>
      <c r="K305" s="15"/>
      <c r="L305" s="15"/>
      <c r="M305" s="15"/>
      <c r="N305" s="15"/>
      <c r="O305" s="137"/>
      <c r="P305" s="141"/>
      <c r="Q305" s="141"/>
      <c r="R305" s="141"/>
      <c r="S305" s="141"/>
      <c r="T305" s="141"/>
      <c r="U305" s="141"/>
      <c r="V305" s="141"/>
      <c r="W305" s="141"/>
      <c r="X305" s="141"/>
      <c r="Y305" s="141"/>
      <c r="Z305" s="141"/>
      <c r="AA305" s="194"/>
      <c r="AB305" s="194"/>
      <c r="AC305" s="194"/>
      <c r="AD305" s="194"/>
      <c r="AE305" s="194"/>
      <c r="AF305" s="194"/>
      <c r="AG305" s="197"/>
      <c r="AH305" s="194"/>
      <c r="AI305" s="194"/>
      <c r="AJ305" s="194"/>
      <c r="AK305" s="104">
        <v>301</v>
      </c>
      <c r="AL305" s="14">
        <f t="shared" si="335"/>
        <v>6</v>
      </c>
      <c r="AM305" s="14">
        <f>INDEX(挂机升级突破!DQ$6:DQ$57,卡牌消耗!$AT305)</f>
        <v>11</v>
      </c>
      <c r="AN305" s="14">
        <f>INDEX(挂机升级突破!DR$6:DR$57,卡牌消耗!$AT305)</f>
        <v>5</v>
      </c>
      <c r="AO305" s="14">
        <f>INDEX(挂机升级突破!DS$6:DS$57,卡牌消耗!$AT305)</f>
        <v>10</v>
      </c>
      <c r="AP305" s="14">
        <f>INDEX(挂机升级突破!$DP$6:$DP$57,卡牌消耗!AT305)</f>
        <v>120</v>
      </c>
      <c r="AQ305" s="14" t="str">
        <f t="shared" si="336"/>
        <v>项羽</v>
      </c>
      <c r="AR305" s="14">
        <f t="shared" si="337"/>
        <v>5</v>
      </c>
      <c r="AS305" s="14" t="str">
        <f t="shared" si="338"/>
        <v>项羽魂火-41</v>
      </c>
      <c r="AT305" s="14">
        <f t="shared" si="339"/>
        <v>41</v>
      </c>
      <c r="AU305" s="14" t="str">
        <f>IF(AM305&gt;0,INDEX(挂机升级突破!$DT$4:$ED$4,AM305),"")</f>
        <v>金币</v>
      </c>
      <c r="AV305" s="14">
        <f>ROUND(INDEX(挂机升级突破!$DJ$6:$DJ$57,卡牌消耗!AT305)*INDEX(卡牌消耗!$B$8:$F$8,AR305)/$Q$4/50,0)*50</f>
        <v>59100</v>
      </c>
      <c r="AW305" s="14" t="str">
        <f>IF(AN305&gt;0,INDEX(挂机升级突破!$DT$4:$ED$4,AN305),"")</f>
        <v>红色基础材料</v>
      </c>
      <c r="AX305" s="14">
        <f>ROUND(INDEX(挂机升级突破!$DT$6:$ED$57,卡牌消耗!AT305,AN305)*INDEX(卡牌消耗!$B$5:$F$5,AR305)/$Q$4/5,0)*5</f>
        <v>15</v>
      </c>
      <c r="AY305" s="14" t="str">
        <f>IF(AO305&gt;0,INDEX(挂机升级突破!$DT$4:$ED$4,AO305),"")</f>
        <v>灵玉</v>
      </c>
      <c r="AZ305" s="14">
        <f>IF(AO305&gt;0,ROUND(INDEX(挂机升级突破!$DT$6:$ED$57,卡牌消耗!AT305,AO305)*INDEX(卡牌消耗!$B$7:$F$7,AR305)/$Q$4,0),"")</f>
        <v>4</v>
      </c>
      <c r="BA305" s="106"/>
      <c r="BB305" s="197"/>
      <c r="BC305" s="197"/>
      <c r="BD305" s="197"/>
      <c r="BE305" s="197"/>
      <c r="BF305" s="197"/>
      <c r="BG305" s="197"/>
      <c r="BH305" s="197"/>
      <c r="BI305" s="197"/>
      <c r="BJ305" s="197"/>
      <c r="BK305" s="197"/>
      <c r="BL305" s="104">
        <v>301</v>
      </c>
      <c r="BM305" s="14">
        <f t="shared" si="340"/>
        <v>16</v>
      </c>
      <c r="BN305" s="14">
        <f>INDEX(挂机升级突破!$EI$7:$EI$26,BS305)</f>
        <v>0</v>
      </c>
      <c r="BO305" s="14">
        <f>INDEX(挂机升级突破!$EJ$7:$EJ$26,BS305)</f>
        <v>0</v>
      </c>
      <c r="BP305" s="14">
        <f t="shared" si="341"/>
        <v>4</v>
      </c>
      <c r="BQ305" s="14">
        <f>INDEX(挂机升级突破!$EH$7:$EH$26,卡牌消耗!BS305)</f>
        <v>1</v>
      </c>
      <c r="BR305" s="14" t="str">
        <f t="shared" si="342"/>
        <v>西方龙</v>
      </c>
      <c r="BS305" s="14">
        <f t="shared" si="343"/>
        <v>1</v>
      </c>
      <c r="BT305" s="14" t="str">
        <f t="shared" si="344"/>
        <v>西方龙1突</v>
      </c>
      <c r="BU305" s="14" t="str">
        <f>IF(BN305&gt;0,INDEX(挂机升级突破!$ER$5:$EV$5,卡牌消耗!BN305),"")</f>
        <v/>
      </c>
      <c r="BV305" s="14" t="str">
        <f>IF(BN305&gt;0,ROUND(INDEX(挂机升级突破!$EV$7:$EV$26,卡牌消耗!BS305)*INDEX(卡牌消耗!$B$8:$F$8,BP305)/$Q$4/500,0)*500,"")</f>
        <v/>
      </c>
      <c r="BW305" s="14" t="str">
        <f>IF(BO305&gt;0,INDEX(挂机升级突破!$ER$5:$EV$5,卡牌消耗!BO305),"")</f>
        <v/>
      </c>
      <c r="BX305" s="14" t="str">
        <f>IF(BO305&gt;0,ROUND(INDEX(挂机升级突破!$ER$7:$EU$26,卡牌消耗!BS305,卡牌消耗!BO305)*INDEX($B$6:$F$6,BP305)/$Q$4/5,0)*5,"")</f>
        <v/>
      </c>
      <c r="BY305" s="193"/>
      <c r="BZ305" s="193"/>
      <c r="CA305" s="106"/>
      <c r="CS305" s="171"/>
      <c r="CT305" s="171"/>
      <c r="CU305" s="171"/>
    </row>
    <row r="306" spans="8:99" ht="16.5" x14ac:dyDescent="0.2">
      <c r="H306" s="15"/>
      <c r="I306" s="15"/>
      <c r="J306" s="15"/>
      <c r="K306" s="15"/>
      <c r="L306" s="15"/>
      <c r="M306" s="15"/>
      <c r="N306" s="15"/>
      <c r="O306" s="137"/>
      <c r="P306" s="141"/>
      <c r="Q306" s="141"/>
      <c r="R306" s="141"/>
      <c r="S306" s="141"/>
      <c r="T306" s="141"/>
      <c r="U306" s="141"/>
      <c r="V306" s="141"/>
      <c r="W306" s="141"/>
      <c r="X306" s="141"/>
      <c r="Y306" s="141"/>
      <c r="Z306" s="141"/>
      <c r="AA306" s="194"/>
      <c r="AB306" s="194"/>
      <c r="AC306" s="194"/>
      <c r="AD306" s="194"/>
      <c r="AE306" s="194"/>
      <c r="AF306" s="194"/>
      <c r="AG306" s="197"/>
      <c r="AH306" s="194"/>
      <c r="AI306" s="194"/>
      <c r="AJ306" s="194"/>
      <c r="AK306" s="104">
        <v>302</v>
      </c>
      <c r="AL306" s="14">
        <f t="shared" si="335"/>
        <v>6</v>
      </c>
      <c r="AM306" s="14">
        <f>INDEX(挂机升级突破!DQ$6:DQ$57,卡牌消耗!$AT306)</f>
        <v>11</v>
      </c>
      <c r="AN306" s="14">
        <f>INDEX(挂机升级突破!DR$6:DR$57,卡牌消耗!$AT306)</f>
        <v>5</v>
      </c>
      <c r="AO306" s="14">
        <f>INDEX(挂机升级突破!DS$6:DS$57,卡牌消耗!$AT306)</f>
        <v>10</v>
      </c>
      <c r="AP306" s="14">
        <f>INDEX(挂机升级突破!$DP$6:$DP$57,卡牌消耗!AT306)</f>
        <v>123</v>
      </c>
      <c r="AQ306" s="14" t="str">
        <f t="shared" si="336"/>
        <v>项羽</v>
      </c>
      <c r="AR306" s="14">
        <f t="shared" si="337"/>
        <v>5</v>
      </c>
      <c r="AS306" s="14" t="str">
        <f t="shared" si="338"/>
        <v>项羽魂火-42</v>
      </c>
      <c r="AT306" s="14">
        <f t="shared" si="339"/>
        <v>42</v>
      </c>
      <c r="AU306" s="14" t="str">
        <f>IF(AM306&gt;0,INDEX(挂机升级突破!$DT$4:$ED$4,AM306),"")</f>
        <v>金币</v>
      </c>
      <c r="AV306" s="14">
        <f>ROUND(INDEX(挂机升级突破!$DJ$6:$DJ$57,卡牌消耗!AT306)*INDEX(卡牌消耗!$B$8:$F$8,AR306)/$Q$4/50,0)*50</f>
        <v>59100</v>
      </c>
      <c r="AW306" s="14" t="str">
        <f>IF(AN306&gt;0,INDEX(挂机升级突破!$DT$4:$ED$4,AN306),"")</f>
        <v>红色基础材料</v>
      </c>
      <c r="AX306" s="14">
        <f>ROUND(INDEX(挂机升级突破!$DT$6:$ED$57,卡牌消耗!AT306,AN306)*INDEX(卡牌消耗!$B$5:$F$5,AR306)/$Q$4/5,0)*5</f>
        <v>15</v>
      </c>
      <c r="AY306" s="14" t="str">
        <f>IF(AO306&gt;0,INDEX(挂机升级突破!$DT$4:$ED$4,AO306),"")</f>
        <v>灵玉</v>
      </c>
      <c r="AZ306" s="14">
        <f>IF(AO306&gt;0,ROUND(INDEX(挂机升级突破!$DT$6:$ED$57,卡牌消耗!AT306,AO306)*INDEX(卡牌消耗!$B$7:$F$7,AR306)/$Q$4,0),"")</f>
        <v>4</v>
      </c>
      <c r="BA306" s="106"/>
      <c r="BB306" s="197"/>
      <c r="BC306" s="197"/>
      <c r="BD306" s="197"/>
      <c r="BE306" s="197"/>
      <c r="BF306" s="197"/>
      <c r="BG306" s="197"/>
      <c r="BH306" s="197"/>
      <c r="BI306" s="197"/>
      <c r="BJ306" s="197"/>
      <c r="BK306" s="197"/>
      <c r="BL306" s="104">
        <v>302</v>
      </c>
      <c r="BM306" s="14">
        <f t="shared" si="340"/>
        <v>16</v>
      </c>
      <c r="BN306" s="14">
        <f>INDEX(挂机升级突破!$EI$7:$EI$26,BS306)</f>
        <v>5</v>
      </c>
      <c r="BO306" s="14">
        <f>INDEX(挂机升级突破!$EJ$7:$EJ$26,BS306)</f>
        <v>1</v>
      </c>
      <c r="BP306" s="14">
        <f t="shared" si="341"/>
        <v>4</v>
      </c>
      <c r="BQ306" s="14">
        <f>INDEX(挂机升级突破!$EH$7:$EH$26,卡牌消耗!BS306)</f>
        <v>5</v>
      </c>
      <c r="BR306" s="14" t="str">
        <f t="shared" si="342"/>
        <v>西方龙</v>
      </c>
      <c r="BS306" s="14">
        <f t="shared" si="343"/>
        <v>2</v>
      </c>
      <c r="BT306" s="14" t="str">
        <f t="shared" si="344"/>
        <v>西方龙2突</v>
      </c>
      <c r="BU306" s="14" t="str">
        <f>IF(BN306&gt;0,INDEX(挂机升级突破!$ER$5:$EV$5,卡牌消耗!BN306),"")</f>
        <v>金币</v>
      </c>
      <c r="BV306" s="14">
        <f>IF(BN306&gt;0,ROUND(INDEX(挂机升级突破!$EV$7:$EV$26,卡牌消耗!BS306)*INDEX(卡牌消耗!$B$8:$F$8,BP306)/$Q$4/500,0)*500,"")</f>
        <v>4500</v>
      </c>
      <c r="BW306" s="14" t="str">
        <f>IF(BO306&gt;0,INDEX(挂机升级突破!$ER$5:$EV$5,卡牌消耗!BO306),"")</f>
        <v>玄铁</v>
      </c>
      <c r="BX306" s="14">
        <f>IF(BO306&gt;0,ROUND(INDEX(挂机升级突破!$ER$7:$EU$26,卡牌消耗!BS306,卡牌消耗!BO306)*INDEX($B$6:$F$6,BP306)/$Q$4,0),"")</f>
        <v>2</v>
      </c>
      <c r="BY306" s="193"/>
      <c r="BZ306" s="193"/>
      <c r="CA306" s="106"/>
      <c r="CS306" s="171"/>
      <c r="CT306" s="171"/>
      <c r="CU306" s="171"/>
    </row>
    <row r="307" spans="8:99" ht="16.5" x14ac:dyDescent="0.2">
      <c r="H307" s="15"/>
      <c r="I307" s="15"/>
      <c r="J307" s="15"/>
      <c r="K307" s="15"/>
      <c r="L307" s="15"/>
      <c r="M307" s="15"/>
      <c r="N307" s="15"/>
      <c r="O307" s="137"/>
      <c r="P307" s="141"/>
      <c r="Q307" s="141"/>
      <c r="R307" s="141"/>
      <c r="S307" s="141"/>
      <c r="T307" s="141"/>
      <c r="U307" s="141"/>
      <c r="V307" s="141"/>
      <c r="W307" s="141"/>
      <c r="X307" s="141"/>
      <c r="Y307" s="141"/>
      <c r="Z307" s="141"/>
      <c r="AA307" s="194"/>
      <c r="AB307" s="194"/>
      <c r="AC307" s="194"/>
      <c r="AD307" s="194"/>
      <c r="AE307" s="194"/>
      <c r="AF307" s="194"/>
      <c r="AG307" s="197"/>
      <c r="AH307" s="194"/>
      <c r="AI307" s="194"/>
      <c r="AJ307" s="194"/>
      <c r="AK307" s="104">
        <v>303</v>
      </c>
      <c r="AL307" s="14">
        <f t="shared" si="335"/>
        <v>6</v>
      </c>
      <c r="AM307" s="14">
        <f>INDEX(挂机升级突破!DQ$6:DQ$57,卡牌消耗!$AT307)</f>
        <v>11</v>
      </c>
      <c r="AN307" s="14">
        <f>INDEX(挂机升级突破!DR$6:DR$57,卡牌消耗!$AT307)</f>
        <v>5</v>
      </c>
      <c r="AO307" s="14">
        <f>INDEX(挂机升级突破!DS$6:DS$57,卡牌消耗!$AT307)</f>
        <v>10</v>
      </c>
      <c r="AP307" s="14">
        <f>INDEX(挂机升级突破!$DP$6:$DP$57,卡牌消耗!AT307)</f>
        <v>125</v>
      </c>
      <c r="AQ307" s="14" t="str">
        <f t="shared" si="336"/>
        <v>项羽</v>
      </c>
      <c r="AR307" s="14">
        <f t="shared" si="337"/>
        <v>5</v>
      </c>
      <c r="AS307" s="14" t="str">
        <f t="shared" si="338"/>
        <v>项羽魂火-43</v>
      </c>
      <c r="AT307" s="14">
        <f t="shared" si="339"/>
        <v>43</v>
      </c>
      <c r="AU307" s="14" t="str">
        <f>IF(AM307&gt;0,INDEX(挂机升级突破!$DT$4:$ED$4,AM307),"")</f>
        <v>金币</v>
      </c>
      <c r="AV307" s="14">
        <f>ROUND(INDEX(挂机升级突破!$DJ$6:$DJ$57,卡牌消耗!AT307)*INDEX(卡牌消耗!$B$8:$F$8,AR307)/$Q$4/50,0)*50</f>
        <v>59100</v>
      </c>
      <c r="AW307" s="14" t="str">
        <f>IF(AN307&gt;0,INDEX(挂机升级突破!$DT$4:$ED$4,AN307),"")</f>
        <v>红色基础材料</v>
      </c>
      <c r="AX307" s="14">
        <f>ROUND(INDEX(挂机升级突破!$DT$6:$ED$57,卡牌消耗!AT307,AN307)*INDEX(卡牌消耗!$B$5:$F$5,AR307)/$Q$4/5,0)*5</f>
        <v>15</v>
      </c>
      <c r="AY307" s="14" t="str">
        <f>IF(AO307&gt;0,INDEX(挂机升级突破!$DT$4:$ED$4,AO307),"")</f>
        <v>灵玉</v>
      </c>
      <c r="AZ307" s="14">
        <f>IF(AO307&gt;0,ROUND(INDEX(挂机升级突破!$DT$6:$ED$57,卡牌消耗!AT307,AO307)*INDEX(卡牌消耗!$B$7:$F$7,AR307)/$Q$4,0),"")</f>
        <v>4</v>
      </c>
      <c r="BA307" s="106"/>
      <c r="BB307" s="197"/>
      <c r="BC307" s="197"/>
      <c r="BD307" s="197"/>
      <c r="BE307" s="197"/>
      <c r="BF307" s="197"/>
      <c r="BG307" s="197"/>
      <c r="BH307" s="197"/>
      <c r="BI307" s="197"/>
      <c r="BJ307" s="197"/>
      <c r="BK307" s="197"/>
      <c r="BL307" s="104">
        <v>303</v>
      </c>
      <c r="BM307" s="14">
        <f t="shared" si="340"/>
        <v>16</v>
      </c>
      <c r="BN307" s="14">
        <f>INDEX(挂机升级突破!$EI$7:$EI$26,BS307)</f>
        <v>5</v>
      </c>
      <c r="BO307" s="14">
        <f>INDEX(挂机升级突破!$EJ$7:$EJ$26,BS307)</f>
        <v>1</v>
      </c>
      <c r="BP307" s="14">
        <f t="shared" si="341"/>
        <v>4</v>
      </c>
      <c r="BQ307" s="14">
        <f>INDEX(挂机升级突破!$EH$7:$EH$26,卡牌消耗!BS307)</f>
        <v>15</v>
      </c>
      <c r="BR307" s="14" t="str">
        <f t="shared" si="342"/>
        <v>西方龙</v>
      </c>
      <c r="BS307" s="14">
        <f t="shared" si="343"/>
        <v>3</v>
      </c>
      <c r="BT307" s="14" t="str">
        <f t="shared" si="344"/>
        <v>西方龙3突</v>
      </c>
      <c r="BU307" s="14" t="str">
        <f>IF(BN307&gt;0,INDEX(挂机升级突破!$ER$5:$EV$5,卡牌消耗!BN307),"")</f>
        <v>金币</v>
      </c>
      <c r="BV307" s="14">
        <f>IF(BN307&gt;0,ROUND(INDEX(挂机升级突破!$EV$7:$EV$26,卡牌消耗!BS307)*INDEX(卡牌消耗!$B$8:$F$8,BP307)/$Q$4/500,0)*500,"")</f>
        <v>4500</v>
      </c>
      <c r="BW307" s="14" t="str">
        <f>IF(BO307&gt;0,INDEX(挂机升级突破!$ER$5:$EV$5,卡牌消耗!BO307),"")</f>
        <v>玄铁</v>
      </c>
      <c r="BX307" s="14">
        <f>IF(BO307&gt;0,ROUND(INDEX(挂机升级突破!$ER$7:$EU$26,卡牌消耗!BS307,卡牌消耗!BO307)*INDEX($B$6:$F$6,BP307)/$Q$4,0),"")</f>
        <v>6</v>
      </c>
      <c r="BY307" s="193"/>
      <c r="BZ307" s="193"/>
      <c r="CA307" s="106"/>
      <c r="CS307" s="171"/>
      <c r="CT307" s="171"/>
      <c r="CU307" s="171"/>
    </row>
    <row r="308" spans="8:99" ht="16.5" x14ac:dyDescent="0.2">
      <c r="H308" s="15"/>
      <c r="I308" s="15"/>
      <c r="J308" s="15"/>
      <c r="K308" s="15"/>
      <c r="L308" s="15"/>
      <c r="M308" s="15"/>
      <c r="N308" s="15"/>
      <c r="O308" s="137"/>
      <c r="P308" s="141"/>
      <c r="Q308" s="141"/>
      <c r="R308" s="141"/>
      <c r="S308" s="141"/>
      <c r="T308" s="141"/>
      <c r="U308" s="141"/>
      <c r="V308" s="141"/>
      <c r="W308" s="141"/>
      <c r="X308" s="141"/>
      <c r="Y308" s="141"/>
      <c r="Z308" s="141"/>
      <c r="AA308" s="194"/>
      <c r="AB308" s="194"/>
      <c r="AC308" s="194"/>
      <c r="AD308" s="194"/>
      <c r="AE308" s="194"/>
      <c r="AF308" s="194"/>
      <c r="AG308" s="197"/>
      <c r="AH308" s="194"/>
      <c r="AI308" s="194"/>
      <c r="AJ308" s="194"/>
      <c r="AK308" s="104">
        <v>304</v>
      </c>
      <c r="AL308" s="14">
        <f t="shared" si="335"/>
        <v>6</v>
      </c>
      <c r="AM308" s="14">
        <f>INDEX(挂机升级突破!DQ$6:DQ$57,卡牌消耗!$AT308)</f>
        <v>11</v>
      </c>
      <c r="AN308" s="14">
        <f>INDEX(挂机升级突破!DR$6:DR$57,卡牌消耗!$AT308)</f>
        <v>5</v>
      </c>
      <c r="AO308" s="14">
        <f>INDEX(挂机升级突破!DS$6:DS$57,卡牌消耗!$AT308)</f>
        <v>10</v>
      </c>
      <c r="AP308" s="14">
        <f>INDEX(挂机升级突破!$DP$6:$DP$57,卡牌消耗!AT308)</f>
        <v>128</v>
      </c>
      <c r="AQ308" s="14" t="str">
        <f t="shared" si="336"/>
        <v>项羽</v>
      </c>
      <c r="AR308" s="14">
        <f t="shared" si="337"/>
        <v>5</v>
      </c>
      <c r="AS308" s="14" t="str">
        <f t="shared" si="338"/>
        <v>项羽魂火-44</v>
      </c>
      <c r="AT308" s="14">
        <f t="shared" si="339"/>
        <v>44</v>
      </c>
      <c r="AU308" s="14" t="str">
        <f>IF(AM308&gt;0,INDEX(挂机升级突破!$DT$4:$ED$4,AM308),"")</f>
        <v>金币</v>
      </c>
      <c r="AV308" s="14">
        <f>ROUND(INDEX(挂机升级突破!$DJ$6:$DJ$57,卡牌消耗!AT308)*INDEX(卡牌消耗!$B$8:$F$8,AR308)/$Q$4/50,0)*50</f>
        <v>75200</v>
      </c>
      <c r="AW308" s="14" t="str">
        <f>IF(AN308&gt;0,INDEX(挂机升级突破!$DT$4:$ED$4,AN308),"")</f>
        <v>红色基础材料</v>
      </c>
      <c r="AX308" s="14">
        <f>ROUND(INDEX(挂机升级突破!$DT$6:$ED$57,卡牌消耗!AT308,AN308)*INDEX(卡牌消耗!$B$5:$F$5,AR308)/$Q$4/5,0)*5</f>
        <v>15</v>
      </c>
      <c r="AY308" s="14" t="str">
        <f>IF(AO308&gt;0,INDEX(挂机升级突破!$DT$4:$ED$4,AO308),"")</f>
        <v>灵玉</v>
      </c>
      <c r="AZ308" s="14">
        <f>IF(AO308&gt;0,ROUND(INDEX(挂机升级突破!$DT$6:$ED$57,卡牌消耗!AT308,AO308)*INDEX(卡牌消耗!$B$7:$F$7,AR308)/$Q$4,0),"")</f>
        <v>4</v>
      </c>
      <c r="BA308" s="106"/>
      <c r="BB308" s="197"/>
      <c r="BC308" s="197"/>
      <c r="BD308" s="197"/>
      <c r="BE308" s="197"/>
      <c r="BF308" s="197"/>
      <c r="BG308" s="197"/>
      <c r="BH308" s="197"/>
      <c r="BI308" s="197"/>
      <c r="BJ308" s="197"/>
      <c r="BK308" s="197"/>
      <c r="BL308" s="104">
        <v>304</v>
      </c>
      <c r="BM308" s="14">
        <f t="shared" si="340"/>
        <v>16</v>
      </c>
      <c r="BN308" s="14">
        <f>INDEX(挂机升级突破!$EI$7:$EI$26,BS308)</f>
        <v>5</v>
      </c>
      <c r="BO308" s="14">
        <f>INDEX(挂机升级突破!$EJ$7:$EJ$26,BS308)</f>
        <v>1</v>
      </c>
      <c r="BP308" s="14">
        <f t="shared" si="341"/>
        <v>4</v>
      </c>
      <c r="BQ308" s="14">
        <f>INDEX(挂机升级突破!$EH$7:$EH$26,卡牌消耗!BS308)</f>
        <v>25</v>
      </c>
      <c r="BR308" s="14" t="str">
        <f t="shared" si="342"/>
        <v>西方龙</v>
      </c>
      <c r="BS308" s="14">
        <f t="shared" si="343"/>
        <v>4</v>
      </c>
      <c r="BT308" s="14" t="str">
        <f t="shared" si="344"/>
        <v>西方龙4突</v>
      </c>
      <c r="BU308" s="14" t="str">
        <f>IF(BN308&gt;0,INDEX(挂机升级突破!$ER$5:$EV$5,卡牌消耗!BN308),"")</f>
        <v>金币</v>
      </c>
      <c r="BV308" s="14">
        <f>IF(BN308&gt;0,ROUND(INDEX(挂机升级突破!$EV$7:$EV$26,卡牌消耗!BS308)*INDEX(卡牌消耗!$B$8:$F$8,BP308)/$Q$4/500,0)*500,"")</f>
        <v>5500</v>
      </c>
      <c r="BW308" s="14" t="str">
        <f>IF(BO308&gt;0,INDEX(挂机升级突破!$ER$5:$EV$5,卡牌消耗!BO308),"")</f>
        <v>玄铁</v>
      </c>
      <c r="BX308" s="14">
        <f>IF(BO308&gt;0,ROUND(INDEX(挂机升级突破!$ER$7:$EU$26,卡牌消耗!BS308,卡牌消耗!BO308)*INDEX($B$6:$F$6,BP308)/$Q$4,0),"")</f>
        <v>20</v>
      </c>
      <c r="BY308" s="193"/>
      <c r="BZ308" s="193"/>
      <c r="CA308" s="106"/>
      <c r="CS308" s="171"/>
      <c r="CT308" s="171"/>
      <c r="CU308" s="171"/>
    </row>
    <row r="309" spans="8:99" ht="16.5" x14ac:dyDescent="0.2">
      <c r="H309" s="15"/>
      <c r="I309" s="15"/>
      <c r="J309" s="15"/>
      <c r="K309" s="15"/>
      <c r="L309" s="15"/>
      <c r="M309" s="15"/>
      <c r="N309" s="15"/>
      <c r="O309" s="137"/>
      <c r="P309" s="141"/>
      <c r="Q309" s="141"/>
      <c r="R309" s="141"/>
      <c r="S309" s="141"/>
      <c r="T309" s="141"/>
      <c r="U309" s="141"/>
      <c r="V309" s="141"/>
      <c r="W309" s="141"/>
      <c r="X309" s="141"/>
      <c r="Y309" s="141"/>
      <c r="Z309" s="141"/>
      <c r="AA309" s="194"/>
      <c r="AB309" s="194"/>
      <c r="AC309" s="194"/>
      <c r="AD309" s="194"/>
      <c r="AE309" s="194"/>
      <c r="AF309" s="194"/>
      <c r="AG309" s="197"/>
      <c r="AH309" s="194"/>
      <c r="AI309" s="194"/>
      <c r="AJ309" s="194"/>
      <c r="AK309" s="104">
        <v>305</v>
      </c>
      <c r="AL309" s="14">
        <f t="shared" si="335"/>
        <v>6</v>
      </c>
      <c r="AM309" s="14">
        <f>INDEX(挂机升级突破!DQ$6:DQ$57,卡牌消耗!$AT309)</f>
        <v>11</v>
      </c>
      <c r="AN309" s="14">
        <f>INDEX(挂机升级突破!DR$6:DR$57,卡牌消耗!$AT309)</f>
        <v>5</v>
      </c>
      <c r="AO309" s="14">
        <f>INDEX(挂机升级突破!DS$6:DS$57,卡牌消耗!$AT309)</f>
        <v>10</v>
      </c>
      <c r="AP309" s="14">
        <f>INDEX(挂机升级突破!$DP$6:$DP$57,卡牌消耗!AT309)</f>
        <v>130</v>
      </c>
      <c r="AQ309" s="14" t="str">
        <f t="shared" si="336"/>
        <v>项羽</v>
      </c>
      <c r="AR309" s="14">
        <f t="shared" si="337"/>
        <v>5</v>
      </c>
      <c r="AS309" s="14" t="str">
        <f t="shared" si="338"/>
        <v>项羽魂火-45</v>
      </c>
      <c r="AT309" s="14">
        <f t="shared" si="339"/>
        <v>45</v>
      </c>
      <c r="AU309" s="14" t="str">
        <f>IF(AM309&gt;0,INDEX(挂机升级突破!$DT$4:$ED$4,AM309),"")</f>
        <v>金币</v>
      </c>
      <c r="AV309" s="14">
        <f>ROUND(INDEX(挂机升级突破!$DJ$6:$DJ$57,卡牌消耗!AT309)*INDEX(卡牌消耗!$B$8:$F$8,AR309)/$Q$4/50,0)*50</f>
        <v>75200</v>
      </c>
      <c r="AW309" s="14" t="str">
        <f>IF(AN309&gt;0,INDEX(挂机升级突破!$DT$4:$ED$4,AN309),"")</f>
        <v>红色基础材料</v>
      </c>
      <c r="AX309" s="14">
        <f>ROUND(INDEX(挂机升级突破!$DT$6:$ED$57,卡牌消耗!AT309,AN309)*INDEX(卡牌消耗!$B$5:$F$5,AR309)/$Q$4/5,0)*5</f>
        <v>15</v>
      </c>
      <c r="AY309" s="14" t="str">
        <f>IF(AO309&gt;0,INDEX(挂机升级突破!$DT$4:$ED$4,AO309),"")</f>
        <v>灵玉</v>
      </c>
      <c r="AZ309" s="14">
        <f>IF(AO309&gt;0,ROUND(INDEX(挂机升级突破!$DT$6:$ED$57,卡牌消耗!AT309,AO309)*INDEX(卡牌消耗!$B$7:$F$7,AR309)/$Q$4,0),"")</f>
        <v>4</v>
      </c>
      <c r="BA309" s="106"/>
      <c r="BB309" s="197"/>
      <c r="BC309" s="197"/>
      <c r="BD309" s="197"/>
      <c r="BE309" s="197"/>
      <c r="BF309" s="197"/>
      <c r="BG309" s="197"/>
      <c r="BH309" s="197"/>
      <c r="BI309" s="197"/>
      <c r="BJ309" s="197"/>
      <c r="BK309" s="197"/>
      <c r="BL309" s="104">
        <v>305</v>
      </c>
      <c r="BM309" s="14">
        <f t="shared" si="340"/>
        <v>16</v>
      </c>
      <c r="BN309" s="14">
        <f>INDEX(挂机升级突破!$EI$7:$EI$26,BS309)</f>
        <v>5</v>
      </c>
      <c r="BO309" s="14">
        <f>INDEX(挂机升级突破!$EJ$7:$EJ$26,BS309)</f>
        <v>1</v>
      </c>
      <c r="BP309" s="14">
        <f t="shared" si="341"/>
        <v>4</v>
      </c>
      <c r="BQ309" s="14">
        <f>INDEX(挂机升级突破!$EH$7:$EH$26,卡牌消耗!BS309)</f>
        <v>35</v>
      </c>
      <c r="BR309" s="14" t="str">
        <f t="shared" si="342"/>
        <v>西方龙</v>
      </c>
      <c r="BS309" s="14">
        <f t="shared" si="343"/>
        <v>5</v>
      </c>
      <c r="BT309" s="14" t="str">
        <f t="shared" si="344"/>
        <v>西方龙5突</v>
      </c>
      <c r="BU309" s="14" t="str">
        <f>IF(BN309&gt;0,INDEX(挂机升级突破!$ER$5:$EV$5,卡牌消耗!BN309),"")</f>
        <v>金币</v>
      </c>
      <c r="BV309" s="14">
        <f>IF(BN309&gt;0,ROUND(INDEX(挂机升级突破!$EV$7:$EV$26,卡牌消耗!BS309)*INDEX(卡牌消耗!$B$8:$F$8,BP309)/$Q$4/500,0)*500,"")</f>
        <v>5500</v>
      </c>
      <c r="BW309" s="14" t="str">
        <f>IF(BO309&gt;0,INDEX(挂机升级突破!$ER$5:$EV$5,卡牌消耗!BO309),"")</f>
        <v>玄铁</v>
      </c>
      <c r="BX309" s="14">
        <f>IF(BO309&gt;0,ROUND(INDEX(挂机升级突破!$ER$7:$EU$26,卡牌消耗!BS309,卡牌消耗!BO309)*INDEX($B$6:$F$6,BP309)/$Q$4/5,0)*5,"")</f>
        <v>40</v>
      </c>
      <c r="BY309" s="193"/>
      <c r="BZ309" s="193"/>
      <c r="CA309" s="106"/>
      <c r="CS309" s="171"/>
      <c r="CT309" s="171"/>
      <c r="CU309" s="171"/>
    </row>
    <row r="310" spans="8:99" ht="16.5" x14ac:dyDescent="0.2">
      <c r="H310" s="15"/>
      <c r="I310" s="15"/>
      <c r="J310" s="15"/>
      <c r="K310" s="15"/>
      <c r="L310" s="15"/>
      <c r="M310" s="15"/>
      <c r="N310" s="15"/>
      <c r="O310" s="137"/>
      <c r="P310" s="141"/>
      <c r="Q310" s="141"/>
      <c r="R310" s="141"/>
      <c r="S310" s="141"/>
      <c r="T310" s="141"/>
      <c r="U310" s="141"/>
      <c r="V310" s="141"/>
      <c r="W310" s="141"/>
      <c r="X310" s="141"/>
      <c r="Y310" s="141"/>
      <c r="Z310" s="141"/>
      <c r="AA310" s="194"/>
      <c r="AB310" s="194"/>
      <c r="AC310" s="194"/>
      <c r="AD310" s="194"/>
      <c r="AE310" s="194"/>
      <c r="AF310" s="194"/>
      <c r="AG310" s="197"/>
      <c r="AH310" s="194"/>
      <c r="AI310" s="194"/>
      <c r="AJ310" s="194"/>
      <c r="AK310" s="104">
        <v>306</v>
      </c>
      <c r="AL310" s="14">
        <f t="shared" si="335"/>
        <v>6</v>
      </c>
      <c r="AM310" s="14">
        <f>INDEX(挂机升级突破!DQ$6:DQ$57,卡牌消耗!$AT310)</f>
        <v>11</v>
      </c>
      <c r="AN310" s="14">
        <f>INDEX(挂机升级突破!DR$6:DR$57,卡牌消耗!$AT310)</f>
        <v>5</v>
      </c>
      <c r="AO310" s="14">
        <f>INDEX(挂机升级突破!DS$6:DS$57,卡牌消耗!$AT310)</f>
        <v>10</v>
      </c>
      <c r="AP310" s="14">
        <f>INDEX(挂机升级突破!$DP$6:$DP$57,卡牌消耗!AT310)</f>
        <v>133</v>
      </c>
      <c r="AQ310" s="14" t="str">
        <f t="shared" si="336"/>
        <v>项羽</v>
      </c>
      <c r="AR310" s="14">
        <f t="shared" si="337"/>
        <v>5</v>
      </c>
      <c r="AS310" s="14" t="str">
        <f t="shared" si="338"/>
        <v>项羽魂火-46</v>
      </c>
      <c r="AT310" s="14">
        <f t="shared" si="339"/>
        <v>46</v>
      </c>
      <c r="AU310" s="14" t="str">
        <f>IF(AM310&gt;0,INDEX(挂机升级突破!$DT$4:$ED$4,AM310),"")</f>
        <v>金币</v>
      </c>
      <c r="AV310" s="14">
        <f>ROUND(INDEX(挂机升级突破!$DJ$6:$DJ$57,卡牌消耗!AT310)*INDEX(卡牌消耗!$B$8:$F$8,AR310)/$Q$4/50,0)*50</f>
        <v>80600</v>
      </c>
      <c r="AW310" s="14" t="str">
        <f>IF(AN310&gt;0,INDEX(挂机升级突破!$DT$4:$ED$4,AN310),"")</f>
        <v>红色基础材料</v>
      </c>
      <c r="AX310" s="14">
        <f>ROUND(INDEX(挂机升级突破!$DT$6:$ED$57,卡牌消耗!AT310,AN310)*INDEX(卡牌消耗!$B$5:$F$5,AR310)/$Q$4/5,0)*5</f>
        <v>15</v>
      </c>
      <c r="AY310" s="14" t="str">
        <f>IF(AO310&gt;0,INDEX(挂机升级突破!$DT$4:$ED$4,AO310),"")</f>
        <v>灵玉</v>
      </c>
      <c r="AZ310" s="14">
        <f>IF(AO310&gt;0,ROUND(INDEX(挂机升级突破!$DT$6:$ED$57,卡牌消耗!AT310,AO310)*INDEX(卡牌消耗!$B$7:$F$7,AR310)/$Q$4,0),"")</f>
        <v>4</v>
      </c>
      <c r="BA310" s="106"/>
      <c r="BB310" s="197"/>
      <c r="BC310" s="197"/>
      <c r="BD310" s="197"/>
      <c r="BE310" s="197"/>
      <c r="BF310" s="197"/>
      <c r="BG310" s="197"/>
      <c r="BH310" s="197"/>
      <c r="BI310" s="197"/>
      <c r="BJ310" s="197"/>
      <c r="BK310" s="197"/>
      <c r="BL310" s="104">
        <v>306</v>
      </c>
      <c r="BM310" s="14">
        <f t="shared" si="340"/>
        <v>16</v>
      </c>
      <c r="BN310" s="14">
        <f>INDEX(挂机升级突破!$EI$7:$EI$26,BS310)</f>
        <v>5</v>
      </c>
      <c r="BO310" s="14">
        <f>INDEX(挂机升级突破!$EJ$7:$EJ$26,BS310)</f>
        <v>1</v>
      </c>
      <c r="BP310" s="14">
        <f t="shared" si="341"/>
        <v>4</v>
      </c>
      <c r="BQ310" s="14">
        <f>INDEX(挂机升级突破!$EH$7:$EH$26,卡牌消耗!BS310)</f>
        <v>42</v>
      </c>
      <c r="BR310" s="14" t="str">
        <f t="shared" si="342"/>
        <v>西方龙</v>
      </c>
      <c r="BS310" s="14">
        <f t="shared" si="343"/>
        <v>6</v>
      </c>
      <c r="BT310" s="14" t="str">
        <f t="shared" si="344"/>
        <v>西方龙6突</v>
      </c>
      <c r="BU310" s="14" t="str">
        <f>IF(BN310&gt;0,INDEX(挂机升级突破!$ER$5:$EV$5,卡牌消耗!BN310),"")</f>
        <v>金币</v>
      </c>
      <c r="BV310" s="14">
        <f>IF(BN310&gt;0,ROUND(INDEX(挂机升级突破!$EV$7:$EV$26,卡牌消耗!BS310)*INDEX(卡牌消耗!$B$8:$F$8,BP310)/$Q$4/500,0)*500,"")</f>
        <v>7500</v>
      </c>
      <c r="BW310" s="14" t="str">
        <f>IF(BO310&gt;0,INDEX(挂机升级突破!$ER$5:$EV$5,卡牌消耗!BO310),"")</f>
        <v>玄铁</v>
      </c>
      <c r="BX310" s="14">
        <f>IF(BO310&gt;0,ROUND(INDEX(挂机升级突破!$ER$7:$EU$26,卡牌消耗!BS310,卡牌消耗!BO310)*INDEX($B$6:$F$6,BP310)/$Q$4/5,0)*5,"")</f>
        <v>60</v>
      </c>
      <c r="BY310" s="193"/>
      <c r="BZ310" s="193"/>
      <c r="CA310" s="106"/>
      <c r="CS310" s="171"/>
      <c r="CT310" s="171"/>
      <c r="CU310" s="171"/>
    </row>
    <row r="311" spans="8:99" ht="16.5" x14ac:dyDescent="0.2">
      <c r="H311" s="15"/>
      <c r="I311" s="15"/>
      <c r="J311" s="15"/>
      <c r="K311" s="15"/>
      <c r="L311" s="15"/>
      <c r="M311" s="15"/>
      <c r="N311" s="15"/>
      <c r="O311" s="137"/>
      <c r="P311" s="141"/>
      <c r="Q311" s="141"/>
      <c r="R311" s="141"/>
      <c r="S311" s="141"/>
      <c r="T311" s="141"/>
      <c r="U311" s="141"/>
      <c r="V311" s="141"/>
      <c r="W311" s="141"/>
      <c r="X311" s="141"/>
      <c r="Y311" s="141"/>
      <c r="Z311" s="141"/>
      <c r="AA311" s="194"/>
      <c r="AB311" s="194"/>
      <c r="AC311" s="194"/>
      <c r="AD311" s="194"/>
      <c r="AE311" s="194"/>
      <c r="AF311" s="194"/>
      <c r="AG311" s="197"/>
      <c r="AH311" s="194"/>
      <c r="AI311" s="194"/>
      <c r="AJ311" s="194"/>
      <c r="AK311" s="104">
        <v>307</v>
      </c>
      <c r="AL311" s="14">
        <f t="shared" si="335"/>
        <v>6</v>
      </c>
      <c r="AM311" s="14">
        <f>INDEX(挂机升级突破!DQ$6:DQ$57,卡牌消耗!$AT311)</f>
        <v>11</v>
      </c>
      <c r="AN311" s="14">
        <f>INDEX(挂机升级突破!DR$6:DR$57,卡牌消耗!$AT311)</f>
        <v>5</v>
      </c>
      <c r="AO311" s="14">
        <f>INDEX(挂机升级突破!DS$6:DS$57,卡牌消耗!$AT311)</f>
        <v>10</v>
      </c>
      <c r="AP311" s="14">
        <f>INDEX(挂机升级突破!$DP$6:$DP$57,卡牌消耗!AT311)</f>
        <v>135</v>
      </c>
      <c r="AQ311" s="14" t="str">
        <f t="shared" si="336"/>
        <v>项羽</v>
      </c>
      <c r="AR311" s="14">
        <f t="shared" si="337"/>
        <v>5</v>
      </c>
      <c r="AS311" s="14" t="str">
        <f t="shared" si="338"/>
        <v>项羽魂火-47</v>
      </c>
      <c r="AT311" s="14">
        <f t="shared" si="339"/>
        <v>47</v>
      </c>
      <c r="AU311" s="14" t="str">
        <f>IF(AM311&gt;0,INDEX(挂机升级突破!$DT$4:$ED$4,AM311),"")</f>
        <v>金币</v>
      </c>
      <c r="AV311" s="14">
        <f>ROUND(INDEX(挂机升级突破!$DJ$6:$DJ$57,卡牌消耗!AT311)*INDEX(卡牌消耗!$B$8:$F$8,AR311)/$Q$4/50,0)*50</f>
        <v>164100</v>
      </c>
      <c r="AW311" s="14" t="str">
        <f>IF(AN311&gt;0,INDEX(挂机升级突破!$DT$4:$ED$4,AN311),"")</f>
        <v>红色基础材料</v>
      </c>
      <c r="AX311" s="14">
        <f>ROUND(INDEX(挂机升级突破!$DT$6:$ED$57,卡牌消耗!AT311,AN311)*INDEX(卡牌消耗!$B$5:$F$5,AR311)/$Q$4/5,0)*5</f>
        <v>15</v>
      </c>
      <c r="AY311" s="14" t="str">
        <f>IF(AO311&gt;0,INDEX(挂机升级突破!$DT$4:$ED$4,AO311),"")</f>
        <v>灵玉</v>
      </c>
      <c r="AZ311" s="14">
        <f>IF(AO311&gt;0,ROUND(INDEX(挂机升级突破!$DT$6:$ED$57,卡牌消耗!AT311,AO311)*INDEX(卡牌消耗!$B$7:$F$7,AR311)/$Q$4,0),"")</f>
        <v>4</v>
      </c>
      <c r="BA311" s="106"/>
      <c r="BB311" s="197"/>
      <c r="BC311" s="197"/>
      <c r="BD311" s="197"/>
      <c r="BE311" s="197"/>
      <c r="BF311" s="197"/>
      <c r="BG311" s="197"/>
      <c r="BH311" s="197"/>
      <c r="BI311" s="197"/>
      <c r="BJ311" s="197"/>
      <c r="BK311" s="197"/>
      <c r="BL311" s="104">
        <v>307</v>
      </c>
      <c r="BM311" s="14">
        <f t="shared" si="340"/>
        <v>16</v>
      </c>
      <c r="BN311" s="14">
        <f>INDEX(挂机升级突破!$EI$7:$EI$26,BS311)</f>
        <v>5</v>
      </c>
      <c r="BO311" s="14">
        <f>INDEX(挂机升级突破!$EJ$7:$EJ$26,BS311)</f>
        <v>1</v>
      </c>
      <c r="BP311" s="14">
        <f t="shared" si="341"/>
        <v>4</v>
      </c>
      <c r="BQ311" s="14">
        <f>INDEX(挂机升级突破!$EH$7:$EH$26,卡牌消耗!BS311)</f>
        <v>47</v>
      </c>
      <c r="BR311" s="14" t="str">
        <f t="shared" si="342"/>
        <v>西方龙</v>
      </c>
      <c r="BS311" s="14">
        <f t="shared" si="343"/>
        <v>7</v>
      </c>
      <c r="BT311" s="14" t="str">
        <f t="shared" si="344"/>
        <v>西方龙7突</v>
      </c>
      <c r="BU311" s="14" t="str">
        <f>IF(BN311&gt;0,INDEX(挂机升级突破!$ER$5:$EV$5,卡牌消耗!BN311),"")</f>
        <v>金币</v>
      </c>
      <c r="BV311" s="14">
        <f>IF(BN311&gt;0,ROUND(INDEX(挂机升级突破!$EV$7:$EV$26,卡牌消耗!BS311)*INDEX(卡牌消耗!$B$8:$F$8,BP311)/$Q$4/500,0)*500,"")</f>
        <v>12500</v>
      </c>
      <c r="BW311" s="14" t="str">
        <f>IF(BO311&gt;0,INDEX(挂机升级突破!$ER$5:$EV$5,卡牌消耗!BO311),"")</f>
        <v>玄铁</v>
      </c>
      <c r="BX311" s="14">
        <f>IF(BO311&gt;0,ROUND(INDEX(挂机升级突破!$ER$7:$EU$26,卡牌消耗!BS311,卡牌消耗!BO311)*INDEX($B$6:$F$6,BP311)/$Q$4/5,0)*5,"")</f>
        <v>100</v>
      </c>
      <c r="BY311" s="193"/>
      <c r="BZ311" s="193"/>
      <c r="CA311" s="106"/>
      <c r="CS311" s="171"/>
      <c r="CT311" s="171"/>
      <c r="CU311" s="171"/>
    </row>
    <row r="312" spans="8:99" ht="16.5" x14ac:dyDescent="0.2">
      <c r="H312" s="15"/>
      <c r="I312" s="15"/>
      <c r="J312" s="15"/>
      <c r="K312" s="15"/>
      <c r="L312" s="15"/>
      <c r="M312" s="15"/>
      <c r="N312" s="15"/>
      <c r="O312" s="137"/>
      <c r="P312" s="141"/>
      <c r="Q312" s="141"/>
      <c r="R312" s="141"/>
      <c r="S312" s="141"/>
      <c r="T312" s="141"/>
      <c r="U312" s="141"/>
      <c r="V312" s="141"/>
      <c r="W312" s="141"/>
      <c r="X312" s="141"/>
      <c r="Y312" s="141"/>
      <c r="Z312" s="141"/>
      <c r="AA312" s="194"/>
      <c r="AB312" s="194"/>
      <c r="AC312" s="194"/>
      <c r="AD312" s="194"/>
      <c r="AE312" s="194"/>
      <c r="AF312" s="194"/>
      <c r="AG312" s="197"/>
      <c r="AH312" s="194"/>
      <c r="AI312" s="194"/>
      <c r="AJ312" s="194"/>
      <c r="AK312" s="104">
        <v>308</v>
      </c>
      <c r="AL312" s="14">
        <f t="shared" si="335"/>
        <v>6</v>
      </c>
      <c r="AM312" s="14">
        <f>INDEX(挂机升级突破!DQ$6:DQ$57,卡牌消耗!$AT312)</f>
        <v>11</v>
      </c>
      <c r="AN312" s="14">
        <f>INDEX(挂机升级突破!DR$6:DR$57,卡牌消耗!$AT312)</f>
        <v>5</v>
      </c>
      <c r="AO312" s="14">
        <f>INDEX(挂机升级突破!DS$6:DS$57,卡牌消耗!$AT312)</f>
        <v>10</v>
      </c>
      <c r="AP312" s="14">
        <f>INDEX(挂机升级突破!$DP$6:$DP$57,卡牌消耗!AT312)</f>
        <v>138</v>
      </c>
      <c r="AQ312" s="14" t="str">
        <f t="shared" si="336"/>
        <v>项羽</v>
      </c>
      <c r="AR312" s="14">
        <f t="shared" si="337"/>
        <v>5</v>
      </c>
      <c r="AS312" s="14" t="str">
        <f t="shared" si="338"/>
        <v>项羽魂火-48</v>
      </c>
      <c r="AT312" s="14">
        <f t="shared" si="339"/>
        <v>48</v>
      </c>
      <c r="AU312" s="14" t="str">
        <f>IF(AM312&gt;0,INDEX(挂机升级突破!$DT$4:$ED$4,AM312),"")</f>
        <v>金币</v>
      </c>
      <c r="AV312" s="14">
        <f>ROUND(INDEX(挂机升级突破!$DJ$6:$DJ$57,卡牌消耗!AT312)*INDEX(卡牌消耗!$B$8:$F$8,AR312)/$Q$4/50,0)*50</f>
        <v>164100</v>
      </c>
      <c r="AW312" s="14" t="str">
        <f>IF(AN312&gt;0,INDEX(挂机升级突破!$DT$4:$ED$4,AN312),"")</f>
        <v>红色基础材料</v>
      </c>
      <c r="AX312" s="14">
        <f>ROUND(INDEX(挂机升级突破!$DT$6:$ED$57,卡牌消耗!AT312,AN312)*INDEX(卡牌消耗!$B$5:$F$5,AR312)/$Q$4/5,0)*5</f>
        <v>15</v>
      </c>
      <c r="AY312" s="14" t="str">
        <f>IF(AO312&gt;0,INDEX(挂机升级突破!$DT$4:$ED$4,AO312),"")</f>
        <v>灵玉</v>
      </c>
      <c r="AZ312" s="14">
        <f>IF(AO312&gt;0,ROUND(INDEX(挂机升级突破!$DT$6:$ED$57,卡牌消耗!AT312,AO312)*INDEX(卡牌消耗!$B$7:$F$7,AR312)/$Q$4,0),"")</f>
        <v>4</v>
      </c>
      <c r="BA312" s="106"/>
      <c r="BB312" s="197"/>
      <c r="BC312" s="197"/>
      <c r="BD312" s="197"/>
      <c r="BE312" s="197"/>
      <c r="BF312" s="197"/>
      <c r="BG312" s="197"/>
      <c r="BH312" s="197"/>
      <c r="BI312" s="197"/>
      <c r="BJ312" s="197"/>
      <c r="BK312" s="197"/>
      <c r="BL312" s="104">
        <v>308</v>
      </c>
      <c r="BM312" s="14">
        <f t="shared" si="340"/>
        <v>16</v>
      </c>
      <c r="BN312" s="14">
        <f>INDEX(挂机升级突破!$EI$7:$EI$26,BS312)</f>
        <v>5</v>
      </c>
      <c r="BO312" s="14">
        <f>INDEX(挂机升级突破!$EJ$7:$EJ$26,BS312)</f>
        <v>1</v>
      </c>
      <c r="BP312" s="14">
        <f t="shared" si="341"/>
        <v>4</v>
      </c>
      <c r="BQ312" s="14">
        <f>INDEX(挂机升级突破!$EH$7:$EH$26,卡牌消耗!BS312)</f>
        <v>52</v>
      </c>
      <c r="BR312" s="14" t="str">
        <f t="shared" si="342"/>
        <v>西方龙</v>
      </c>
      <c r="BS312" s="14">
        <f t="shared" si="343"/>
        <v>8</v>
      </c>
      <c r="BT312" s="14" t="str">
        <f t="shared" si="344"/>
        <v>西方龙8突</v>
      </c>
      <c r="BU312" s="14" t="str">
        <f>IF(BN312&gt;0,INDEX(挂机升级突破!$ER$5:$EV$5,卡牌消耗!BN312),"")</f>
        <v>金币</v>
      </c>
      <c r="BV312" s="14">
        <f>IF(BN312&gt;0,ROUND(INDEX(挂机升级突破!$EV$7:$EV$26,卡牌消耗!BS312)*INDEX(卡牌消耗!$B$8:$F$8,BP312)/$Q$4/500,0)*500,"")</f>
        <v>12500</v>
      </c>
      <c r="BW312" s="14" t="str">
        <f>IF(BO312&gt;0,INDEX(挂机升级突破!$ER$5:$EV$5,卡牌消耗!BO312),"")</f>
        <v>玄铁</v>
      </c>
      <c r="BX312" s="14">
        <f>IF(BO312&gt;0,ROUND(INDEX(挂机升级突破!$ER$7:$EU$26,卡牌消耗!BS312,卡牌消耗!BO312)*INDEX($B$6:$F$6,BP312)/$Q$4/5,0)*5,"")</f>
        <v>180</v>
      </c>
      <c r="BY312" s="193"/>
      <c r="BZ312" s="193"/>
      <c r="CA312" s="106"/>
      <c r="CS312" s="171"/>
      <c r="CT312" s="171"/>
      <c r="CU312" s="171"/>
    </row>
    <row r="313" spans="8:99" ht="16.5" x14ac:dyDescent="0.2">
      <c r="H313" s="15"/>
      <c r="I313" s="15"/>
      <c r="J313" s="15"/>
      <c r="K313" s="15"/>
      <c r="L313" s="15"/>
      <c r="M313" s="15"/>
      <c r="N313" s="15"/>
      <c r="O313" s="137"/>
      <c r="P313" s="141"/>
      <c r="Q313" s="141"/>
      <c r="R313" s="141"/>
      <c r="S313" s="141"/>
      <c r="T313" s="141"/>
      <c r="U313" s="141"/>
      <c r="V313" s="141"/>
      <c r="W313" s="141"/>
      <c r="X313" s="141"/>
      <c r="Y313" s="141"/>
      <c r="Z313" s="141"/>
      <c r="AA313" s="194"/>
      <c r="AB313" s="194"/>
      <c r="AC313" s="194"/>
      <c r="AD313" s="194"/>
      <c r="AE313" s="194"/>
      <c r="AF313" s="194"/>
      <c r="AG313" s="197"/>
      <c r="AH313" s="194"/>
      <c r="AI313" s="194"/>
      <c r="AJ313" s="194"/>
      <c r="AK313" s="104">
        <v>309</v>
      </c>
      <c r="AL313" s="14">
        <f t="shared" si="335"/>
        <v>6</v>
      </c>
      <c r="AM313" s="14">
        <f>INDEX(挂机升级突破!DQ$6:DQ$57,卡牌消耗!$AT313)</f>
        <v>11</v>
      </c>
      <c r="AN313" s="14">
        <f>INDEX(挂机升级突破!DR$6:DR$57,卡牌消耗!$AT313)</f>
        <v>5</v>
      </c>
      <c r="AO313" s="14">
        <f>INDEX(挂机升级突破!DS$6:DS$57,卡牌消耗!$AT313)</f>
        <v>10</v>
      </c>
      <c r="AP313" s="14">
        <f>INDEX(挂机升级突破!$DP$6:$DP$57,卡牌消耗!AT313)</f>
        <v>140</v>
      </c>
      <c r="AQ313" s="14" t="str">
        <f t="shared" si="336"/>
        <v>项羽</v>
      </c>
      <c r="AR313" s="14">
        <f t="shared" si="337"/>
        <v>5</v>
      </c>
      <c r="AS313" s="14" t="str">
        <f t="shared" si="338"/>
        <v>项羽魂火-49</v>
      </c>
      <c r="AT313" s="14">
        <f t="shared" si="339"/>
        <v>49</v>
      </c>
      <c r="AU313" s="14" t="str">
        <f>IF(AM313&gt;0,INDEX(挂机升级突破!$DT$4:$ED$4,AM313),"")</f>
        <v>金币</v>
      </c>
      <c r="AV313" s="14">
        <f>ROUND(INDEX(挂机升级突破!$DJ$6:$DJ$57,卡牌消耗!AT313)*INDEX(卡牌消耗!$B$8:$F$8,AR313)/$Q$4/50,0)*50</f>
        <v>164100</v>
      </c>
      <c r="AW313" s="14" t="str">
        <f>IF(AN313&gt;0,INDEX(挂机升级突破!$DT$4:$ED$4,AN313),"")</f>
        <v>红色基础材料</v>
      </c>
      <c r="AX313" s="14">
        <f>ROUND(INDEX(挂机升级突破!$DT$6:$ED$57,卡牌消耗!AT313,AN313)*INDEX(卡牌消耗!$B$5:$F$5,AR313)/$Q$4/5,0)*5</f>
        <v>20</v>
      </c>
      <c r="AY313" s="14" t="str">
        <f>IF(AO313&gt;0,INDEX(挂机升级突破!$DT$4:$ED$4,AO313),"")</f>
        <v>灵玉</v>
      </c>
      <c r="AZ313" s="14">
        <f>IF(AO313&gt;0,ROUND(INDEX(挂机升级突破!$DT$6:$ED$57,卡牌消耗!AT313,AO313)*INDEX(卡牌消耗!$B$7:$F$7,AR313)/$Q$4,0),"")</f>
        <v>4</v>
      </c>
      <c r="BA313" s="106"/>
      <c r="BB313" s="197"/>
      <c r="BC313" s="197"/>
      <c r="BD313" s="197"/>
      <c r="BE313" s="197"/>
      <c r="BF313" s="197"/>
      <c r="BG313" s="197"/>
      <c r="BH313" s="197"/>
      <c r="BI313" s="197"/>
      <c r="BJ313" s="197"/>
      <c r="BK313" s="197"/>
      <c r="BL313" s="104">
        <v>309</v>
      </c>
      <c r="BM313" s="14">
        <f t="shared" si="340"/>
        <v>16</v>
      </c>
      <c r="BN313" s="14">
        <f>INDEX(挂机升级突破!$EI$7:$EI$26,BS313)</f>
        <v>5</v>
      </c>
      <c r="BO313" s="14">
        <f>INDEX(挂机升级突破!$EJ$7:$EJ$26,BS313)</f>
        <v>2</v>
      </c>
      <c r="BP313" s="14">
        <f t="shared" si="341"/>
        <v>4</v>
      </c>
      <c r="BQ313" s="14">
        <f>INDEX(挂机升级突破!$EH$7:$EH$26,卡牌消耗!BS313)</f>
        <v>57</v>
      </c>
      <c r="BR313" s="14" t="str">
        <f t="shared" si="342"/>
        <v>西方龙</v>
      </c>
      <c r="BS313" s="14">
        <f t="shared" si="343"/>
        <v>9</v>
      </c>
      <c r="BT313" s="14" t="str">
        <f t="shared" si="344"/>
        <v>西方龙9突</v>
      </c>
      <c r="BU313" s="14" t="str">
        <f>IF(BN313&gt;0,INDEX(挂机升级突破!$ER$5:$EV$5,卡牌消耗!BN313),"")</f>
        <v>金币</v>
      </c>
      <c r="BV313" s="14">
        <f>IF(BN313&gt;0,ROUND(INDEX(挂机升级突破!$EV$7:$EV$26,卡牌消耗!BS313)*INDEX(卡牌消耗!$B$8:$F$8,BP313)/$Q$4/500,0)*500,"")</f>
        <v>16500</v>
      </c>
      <c r="BW313" s="14" t="str">
        <f>IF(BO313&gt;0,INDEX(挂机升级突破!$ER$5:$EV$5,卡牌消耗!BO313),"")</f>
        <v>乌金</v>
      </c>
      <c r="BX313" s="14">
        <f>IF(BO313&gt;0,ROUND(INDEX(挂机升级突破!$ER$7:$EU$26,卡牌消耗!BS313,卡牌消耗!BO313)*INDEX($B$6:$F$6,BP313)/$Q$4/5,0)*5,"")</f>
        <v>60</v>
      </c>
      <c r="BY313" s="193"/>
      <c r="BZ313" s="193"/>
      <c r="CA313" s="106"/>
      <c r="CS313" s="171"/>
      <c r="CT313" s="171"/>
      <c r="CU313" s="171"/>
    </row>
    <row r="314" spans="8:99" ht="16.5" x14ac:dyDescent="0.2">
      <c r="H314" s="15"/>
      <c r="I314" s="15"/>
      <c r="J314" s="15"/>
      <c r="K314" s="15"/>
      <c r="L314" s="15"/>
      <c r="M314" s="15"/>
      <c r="N314" s="15"/>
      <c r="O314" s="137"/>
      <c r="P314" s="141"/>
      <c r="Q314" s="141"/>
      <c r="R314" s="141"/>
      <c r="S314" s="141"/>
      <c r="T314" s="141"/>
      <c r="U314" s="141"/>
      <c r="V314" s="141"/>
      <c r="W314" s="141"/>
      <c r="X314" s="141"/>
      <c r="Y314" s="141"/>
      <c r="Z314" s="141"/>
      <c r="AA314" s="194"/>
      <c r="AB314" s="194"/>
      <c r="AC314" s="194"/>
      <c r="AD314" s="194"/>
      <c r="AE314" s="194"/>
      <c r="AF314" s="194"/>
      <c r="AG314" s="197"/>
      <c r="AH314" s="194"/>
      <c r="AI314" s="194"/>
      <c r="AJ314" s="194"/>
      <c r="AK314" s="104">
        <v>310</v>
      </c>
      <c r="AL314" s="14">
        <f t="shared" si="335"/>
        <v>6</v>
      </c>
      <c r="AM314" s="14">
        <f>INDEX(挂机升级突破!DQ$6:DQ$57,卡牌消耗!$AT314)</f>
        <v>11</v>
      </c>
      <c r="AN314" s="14">
        <f>INDEX(挂机升级突破!DR$6:DR$57,卡牌消耗!$AT314)</f>
        <v>5</v>
      </c>
      <c r="AO314" s="14">
        <f>INDEX(挂机升级突破!DS$6:DS$57,卡牌消耗!$AT314)</f>
        <v>10</v>
      </c>
      <c r="AP314" s="14">
        <f>INDEX(挂机升级突破!$DP$6:$DP$57,卡牌消耗!AT314)</f>
        <v>143</v>
      </c>
      <c r="AQ314" s="14" t="str">
        <f t="shared" si="336"/>
        <v>项羽</v>
      </c>
      <c r="AR314" s="14">
        <f t="shared" si="337"/>
        <v>5</v>
      </c>
      <c r="AS314" s="14" t="str">
        <f t="shared" si="338"/>
        <v>项羽魂火-50</v>
      </c>
      <c r="AT314" s="14">
        <f t="shared" si="339"/>
        <v>50</v>
      </c>
      <c r="AU314" s="14" t="str">
        <f>IF(AM314&gt;0,INDEX(挂机升级突破!$DT$4:$ED$4,AM314),"")</f>
        <v>金币</v>
      </c>
      <c r="AV314" s="14">
        <f>ROUND(INDEX(挂机升级突破!$DJ$6:$DJ$57,卡牌消耗!AT314)*INDEX(卡牌消耗!$B$8:$F$8,AR314)/$Q$4/50,0)*50</f>
        <v>273550</v>
      </c>
      <c r="AW314" s="14" t="str">
        <f>IF(AN314&gt;0,INDEX(挂机升级突破!$DT$4:$ED$4,AN314),"")</f>
        <v>红色基础材料</v>
      </c>
      <c r="AX314" s="14">
        <f>ROUND(INDEX(挂机升级突破!$DT$6:$ED$57,卡牌消耗!AT314,AN314)*INDEX(卡牌消耗!$B$5:$F$5,AR314)/$Q$4/5,0)*5</f>
        <v>20</v>
      </c>
      <c r="AY314" s="14" t="str">
        <f>IF(AO314&gt;0,INDEX(挂机升级突破!$DT$4:$ED$4,AO314),"")</f>
        <v>灵玉</v>
      </c>
      <c r="AZ314" s="14">
        <f>IF(AO314&gt;0,ROUND(INDEX(挂机升级突破!$DT$6:$ED$57,卡牌消耗!AT314,AO314)*INDEX(卡牌消耗!$B$7:$F$7,AR314)/$Q$4,0),"")</f>
        <v>4</v>
      </c>
      <c r="BA314" s="106"/>
      <c r="BB314" s="197"/>
      <c r="BC314" s="197"/>
      <c r="BD314" s="197"/>
      <c r="BE314" s="197"/>
      <c r="BF314" s="197"/>
      <c r="BG314" s="197"/>
      <c r="BH314" s="197"/>
      <c r="BI314" s="197"/>
      <c r="BJ314" s="197"/>
      <c r="BK314" s="197"/>
      <c r="BL314" s="104">
        <v>310</v>
      </c>
      <c r="BM314" s="14">
        <f t="shared" si="340"/>
        <v>16</v>
      </c>
      <c r="BN314" s="14">
        <f>INDEX(挂机升级突破!$EI$7:$EI$26,BS314)</f>
        <v>5</v>
      </c>
      <c r="BO314" s="14">
        <f>INDEX(挂机升级突破!$EJ$7:$EJ$26,BS314)</f>
        <v>2</v>
      </c>
      <c r="BP314" s="14">
        <f t="shared" si="341"/>
        <v>4</v>
      </c>
      <c r="BQ314" s="14">
        <f>INDEX(挂机升级突破!$EH$7:$EH$26,卡牌消耗!BS314)</f>
        <v>65</v>
      </c>
      <c r="BR314" s="14" t="str">
        <f t="shared" si="342"/>
        <v>西方龙</v>
      </c>
      <c r="BS314" s="14">
        <f t="shared" si="343"/>
        <v>10</v>
      </c>
      <c r="BT314" s="14" t="str">
        <f t="shared" si="344"/>
        <v>西方龙10突</v>
      </c>
      <c r="BU314" s="14" t="str">
        <f>IF(BN314&gt;0,INDEX(挂机升级突破!$ER$5:$EV$5,卡牌消耗!BN314),"")</f>
        <v>金币</v>
      </c>
      <c r="BV314" s="14">
        <f>IF(BN314&gt;0,ROUND(INDEX(挂机升级突破!$EV$7:$EV$26,卡牌消耗!BS314)*INDEX(卡牌消耗!$B$8:$F$8,BP314)/$Q$4/500,0)*500,"")</f>
        <v>28000</v>
      </c>
      <c r="BW314" s="14" t="str">
        <f>IF(BO314&gt;0,INDEX(挂机升级突破!$ER$5:$EV$5,卡牌消耗!BO314),"")</f>
        <v>乌金</v>
      </c>
      <c r="BX314" s="14">
        <f>IF(BO314&gt;0,ROUND(INDEX(挂机升级突破!$ER$7:$EU$26,卡牌消耗!BS314,卡牌消耗!BO314)*INDEX($B$6:$F$6,BP314)/$Q$4/5,0)*5,"")</f>
        <v>85</v>
      </c>
      <c r="BY314" s="193"/>
      <c r="BZ314" s="193"/>
      <c r="CA314" s="106"/>
      <c r="CS314" s="171"/>
      <c r="CT314" s="171"/>
      <c r="CU314" s="171"/>
    </row>
    <row r="315" spans="8:99" ht="16.5" x14ac:dyDescent="0.2">
      <c r="H315" s="15"/>
      <c r="I315" s="15"/>
      <c r="J315" s="15"/>
      <c r="K315" s="15"/>
      <c r="L315" s="15"/>
      <c r="M315" s="15"/>
      <c r="N315" s="15"/>
      <c r="O315" s="137"/>
      <c r="P315" s="141"/>
      <c r="Q315" s="141"/>
      <c r="R315" s="141"/>
      <c r="S315" s="141"/>
      <c r="T315" s="141"/>
      <c r="U315" s="141"/>
      <c r="V315" s="141"/>
      <c r="W315" s="141"/>
      <c r="X315" s="141"/>
      <c r="Y315" s="141"/>
      <c r="Z315" s="141"/>
      <c r="AA315" s="194"/>
      <c r="AB315" s="194"/>
      <c r="AC315" s="194"/>
      <c r="AD315" s="194"/>
      <c r="AE315" s="194"/>
      <c r="AF315" s="194"/>
      <c r="AG315" s="197"/>
      <c r="AH315" s="194"/>
      <c r="AI315" s="194"/>
      <c r="AJ315" s="194"/>
      <c r="AK315" s="104">
        <v>311</v>
      </c>
      <c r="AL315" s="14">
        <f t="shared" si="335"/>
        <v>6</v>
      </c>
      <c r="AM315" s="14">
        <f>INDEX(挂机升级突破!DQ$6:DQ$57,卡牌消耗!$AT315)</f>
        <v>11</v>
      </c>
      <c r="AN315" s="14">
        <f>INDEX(挂机升级突破!DR$6:DR$57,卡牌消耗!$AT315)</f>
        <v>5</v>
      </c>
      <c r="AO315" s="14">
        <f>INDEX(挂机升级突破!DS$6:DS$57,卡牌消耗!$AT315)</f>
        <v>10</v>
      </c>
      <c r="AP315" s="14">
        <f>INDEX(挂机升级突破!$DP$6:$DP$57,卡牌消耗!AT315)</f>
        <v>145</v>
      </c>
      <c r="AQ315" s="14" t="str">
        <f t="shared" si="336"/>
        <v>项羽</v>
      </c>
      <c r="AR315" s="14">
        <f t="shared" si="337"/>
        <v>5</v>
      </c>
      <c r="AS315" s="14" t="str">
        <f t="shared" si="338"/>
        <v>项羽魂火-51</v>
      </c>
      <c r="AT315" s="14">
        <f t="shared" si="339"/>
        <v>51</v>
      </c>
      <c r="AU315" s="14" t="str">
        <f>IF(AM315&gt;0,INDEX(挂机升级突破!$DT$4:$ED$4,AM315),"")</f>
        <v>金币</v>
      </c>
      <c r="AV315" s="14">
        <f>ROUND(INDEX(挂机升级突破!$DJ$6:$DJ$57,卡牌消耗!AT315)*INDEX(卡牌消耗!$B$8:$F$8,AR315)/$Q$4/50,0)*50</f>
        <v>300900</v>
      </c>
      <c r="AW315" s="14" t="str">
        <f>IF(AN315&gt;0,INDEX(挂机升级突破!$DT$4:$ED$4,AN315),"")</f>
        <v>红色基础材料</v>
      </c>
      <c r="AX315" s="14">
        <f>ROUND(INDEX(挂机升级突破!$DT$6:$ED$57,卡牌消耗!AT315,AN315)*INDEX(卡牌消耗!$B$5:$F$5,AR315)/$Q$4/5,0)*5</f>
        <v>20</v>
      </c>
      <c r="AY315" s="14" t="str">
        <f>IF(AO315&gt;0,INDEX(挂机升级突破!$DT$4:$ED$4,AO315),"")</f>
        <v>灵玉</v>
      </c>
      <c r="AZ315" s="14">
        <f>IF(AO315&gt;0,ROUND(INDEX(挂机升级突破!$DT$6:$ED$57,卡牌消耗!AT315,AO315)*INDEX(卡牌消耗!$B$7:$F$7,AR315)/$Q$4,0),"")</f>
        <v>4</v>
      </c>
      <c r="BA315" s="106"/>
      <c r="BB315" s="197"/>
      <c r="BC315" s="197"/>
      <c r="BD315" s="197"/>
      <c r="BE315" s="197"/>
      <c r="BF315" s="197"/>
      <c r="BG315" s="197"/>
      <c r="BH315" s="197"/>
      <c r="BI315" s="197"/>
      <c r="BJ315" s="197"/>
      <c r="BK315" s="197"/>
      <c r="BL315" s="104">
        <v>311</v>
      </c>
      <c r="BM315" s="14">
        <f t="shared" si="340"/>
        <v>16</v>
      </c>
      <c r="BN315" s="14">
        <f>INDEX(挂机升级突破!$EI$7:$EI$26,BS315)</f>
        <v>5</v>
      </c>
      <c r="BO315" s="14">
        <f>INDEX(挂机升级突破!$EJ$7:$EJ$26,BS315)</f>
        <v>2</v>
      </c>
      <c r="BP315" s="14">
        <f t="shared" si="341"/>
        <v>4</v>
      </c>
      <c r="BQ315" s="14">
        <f>INDEX(挂机升级突破!$EH$7:$EH$26,卡牌消耗!BS315)</f>
        <v>72</v>
      </c>
      <c r="BR315" s="14" t="str">
        <f t="shared" si="342"/>
        <v>西方龙</v>
      </c>
      <c r="BS315" s="14">
        <f t="shared" si="343"/>
        <v>11</v>
      </c>
      <c r="BT315" s="14" t="str">
        <f t="shared" si="344"/>
        <v>西方龙11突</v>
      </c>
      <c r="BU315" s="14" t="str">
        <f>IF(BN315&gt;0,INDEX(挂机升级突破!$ER$5:$EV$5,卡牌消耗!BN315),"")</f>
        <v>金币</v>
      </c>
      <c r="BV315" s="14">
        <f>IF(BN315&gt;0,ROUND(INDEX(挂机升级突破!$EV$7:$EV$26,卡牌消耗!BS315)*INDEX(卡牌消耗!$B$8:$F$8,BP315)/$Q$4/500,0)*500,"")</f>
        <v>28000</v>
      </c>
      <c r="BW315" s="14" t="str">
        <f>IF(BO315&gt;0,INDEX(挂机升级突破!$ER$5:$EV$5,卡牌消耗!BO315),"")</f>
        <v>乌金</v>
      </c>
      <c r="BX315" s="14">
        <f>IF(BO315&gt;0,ROUND(INDEX(挂机升级突破!$ER$7:$EU$26,卡牌消耗!BS315,卡牌消耗!BO315)*INDEX($B$6:$F$6,BP315)/$Q$4/5,0)*5,"")</f>
        <v>110</v>
      </c>
      <c r="BY315" s="193"/>
      <c r="BZ315" s="193"/>
      <c r="CA315" s="106"/>
      <c r="CS315" s="171"/>
      <c r="CT315" s="171"/>
      <c r="CU315" s="171"/>
    </row>
    <row r="316" spans="8:99" ht="16.5" x14ac:dyDescent="0.2">
      <c r="H316" s="15"/>
      <c r="I316" s="15"/>
      <c r="J316" s="15"/>
      <c r="K316" s="15"/>
      <c r="L316" s="15"/>
      <c r="M316" s="15"/>
      <c r="N316" s="15"/>
      <c r="O316" s="137"/>
      <c r="P316" s="141"/>
      <c r="Q316" s="141"/>
      <c r="R316" s="141"/>
      <c r="S316" s="141"/>
      <c r="T316" s="141"/>
      <c r="U316" s="141"/>
      <c r="V316" s="141"/>
      <c r="W316" s="141"/>
      <c r="X316" s="141"/>
      <c r="Y316" s="141"/>
      <c r="Z316" s="141"/>
      <c r="AA316" s="194"/>
      <c r="AB316" s="194"/>
      <c r="AC316" s="194"/>
      <c r="AD316" s="194"/>
      <c r="AE316" s="194"/>
      <c r="AF316" s="194"/>
      <c r="AG316" s="197"/>
      <c r="AH316" s="194"/>
      <c r="AI316" s="194"/>
      <c r="AJ316" s="194"/>
      <c r="AK316" s="104">
        <v>312</v>
      </c>
      <c r="AL316" s="14">
        <f t="shared" si="335"/>
        <v>6</v>
      </c>
      <c r="AM316" s="14">
        <f>INDEX(挂机升级突破!DQ$6:DQ$57,卡牌消耗!$AT316)</f>
        <v>11</v>
      </c>
      <c r="AN316" s="14">
        <f>INDEX(挂机升级突破!DR$6:DR$57,卡牌消耗!$AT316)</f>
        <v>5</v>
      </c>
      <c r="AO316" s="14">
        <f>INDEX(挂机升级突破!DS$6:DS$57,卡牌消耗!$AT316)</f>
        <v>10</v>
      </c>
      <c r="AP316" s="14">
        <f>INDEX(挂机升级突破!$DP$6:$DP$57,卡牌消耗!AT316)</f>
        <v>148</v>
      </c>
      <c r="AQ316" s="14" t="str">
        <f t="shared" si="336"/>
        <v>项羽</v>
      </c>
      <c r="AR316" s="14">
        <f t="shared" si="337"/>
        <v>5</v>
      </c>
      <c r="AS316" s="14" t="str">
        <f t="shared" si="338"/>
        <v>项羽魂火-52</v>
      </c>
      <c r="AT316" s="14">
        <f t="shared" si="339"/>
        <v>52</v>
      </c>
      <c r="AU316" s="14" t="str">
        <f>IF(AM316&gt;0,INDEX(挂机升级突破!$DT$4:$ED$4,AM316),"")</f>
        <v>金币</v>
      </c>
      <c r="AV316" s="14">
        <f>ROUND(INDEX(挂机升级突破!$DJ$6:$DJ$57,卡牌消耗!AT316)*INDEX(卡牌消耗!$B$8:$F$8,AR316)/$Q$4/50,0)*50</f>
        <v>300900</v>
      </c>
      <c r="AW316" s="14" t="str">
        <f>IF(AN316&gt;0,INDEX(挂机升级突破!$DT$4:$ED$4,AN316),"")</f>
        <v>红色基础材料</v>
      </c>
      <c r="AX316" s="14">
        <f>ROUND(INDEX(挂机升级突破!$DT$6:$ED$57,卡牌消耗!AT316,AN316)*INDEX(卡牌消耗!$B$5:$F$5,AR316)/$Q$4/5,0)*5</f>
        <v>20</v>
      </c>
      <c r="AY316" s="14" t="str">
        <f>IF(AO316&gt;0,INDEX(挂机升级突破!$DT$4:$ED$4,AO316),"")</f>
        <v>灵玉</v>
      </c>
      <c r="AZ316" s="14">
        <f>IF(AO316&gt;0,ROUND(INDEX(挂机升级突破!$DT$6:$ED$57,卡牌消耗!AT316,AO316)*INDEX(卡牌消耗!$B$7:$F$7,AR316)/$Q$4,0),"")</f>
        <v>4</v>
      </c>
      <c r="BA316" s="106"/>
      <c r="BB316" s="197"/>
      <c r="BC316" s="197"/>
      <c r="BD316" s="197"/>
      <c r="BE316" s="197"/>
      <c r="BF316" s="197"/>
      <c r="BG316" s="197"/>
      <c r="BH316" s="197"/>
      <c r="BI316" s="197"/>
      <c r="BJ316" s="197"/>
      <c r="BK316" s="197"/>
      <c r="BL316" s="104">
        <v>312</v>
      </c>
      <c r="BM316" s="14">
        <f t="shared" si="340"/>
        <v>16</v>
      </c>
      <c r="BN316" s="14">
        <f>INDEX(挂机升级突破!$EI$7:$EI$26,BS316)</f>
        <v>5</v>
      </c>
      <c r="BO316" s="14">
        <f>INDEX(挂机升级突破!$EJ$7:$EJ$26,BS316)</f>
        <v>2</v>
      </c>
      <c r="BP316" s="14">
        <f t="shared" si="341"/>
        <v>4</v>
      </c>
      <c r="BQ316" s="14">
        <f>INDEX(挂机升级突破!$EH$7:$EH$26,卡牌消耗!BS316)</f>
        <v>80</v>
      </c>
      <c r="BR316" s="14" t="str">
        <f t="shared" si="342"/>
        <v>西方龙</v>
      </c>
      <c r="BS316" s="14">
        <f t="shared" si="343"/>
        <v>12</v>
      </c>
      <c r="BT316" s="14" t="str">
        <f t="shared" si="344"/>
        <v>西方龙12突</v>
      </c>
      <c r="BU316" s="14" t="str">
        <f>IF(BN316&gt;0,INDEX(挂机升级突破!$ER$5:$EV$5,卡牌消耗!BN316),"")</f>
        <v>金币</v>
      </c>
      <c r="BV316" s="14">
        <f>IF(BN316&gt;0,ROUND(INDEX(挂机升级突破!$EV$7:$EV$26,卡牌消耗!BS316)*INDEX(卡牌消耗!$B$8:$F$8,BP316)/$Q$4/500,0)*500,"")</f>
        <v>37500</v>
      </c>
      <c r="BW316" s="14" t="str">
        <f>IF(BO316&gt;0,INDEX(挂机升级突破!$ER$5:$EV$5,卡牌消耗!BO316),"")</f>
        <v>乌金</v>
      </c>
      <c r="BX316" s="14">
        <f>IF(BO316&gt;0,ROUND(INDEX(挂机升级突破!$ER$7:$EU$26,卡牌消耗!BS316,卡牌消耗!BO316)*INDEX($B$6:$F$6,BP316)/$Q$4/5,0)*5,"")</f>
        <v>140</v>
      </c>
      <c r="BY316" s="193"/>
      <c r="BZ316" s="193"/>
      <c r="CA316" s="106"/>
      <c r="CS316" s="171"/>
      <c r="CT316" s="171"/>
      <c r="CU316" s="171"/>
    </row>
    <row r="317" spans="8:99" ht="16.5" x14ac:dyDescent="0.2">
      <c r="H317" s="15"/>
      <c r="I317" s="15"/>
      <c r="J317" s="15"/>
      <c r="K317" s="15"/>
      <c r="L317" s="15"/>
      <c r="M317" s="15"/>
      <c r="N317" s="15"/>
      <c r="O317" s="137"/>
      <c r="P317" s="141"/>
      <c r="Q317" s="141"/>
      <c r="R317" s="141"/>
      <c r="S317" s="141"/>
      <c r="T317" s="141"/>
      <c r="U317" s="141"/>
      <c r="V317" s="141"/>
      <c r="W317" s="141"/>
      <c r="X317" s="141"/>
      <c r="Y317" s="141"/>
      <c r="Z317" s="141"/>
      <c r="AA317" s="194"/>
      <c r="AB317" s="194"/>
      <c r="AC317" s="194"/>
      <c r="AD317" s="194"/>
      <c r="AE317" s="194"/>
      <c r="AF317" s="194"/>
      <c r="AG317" s="197"/>
      <c r="AH317" s="194"/>
      <c r="AI317" s="194"/>
      <c r="AJ317" s="194"/>
      <c r="AK317" s="104">
        <v>313</v>
      </c>
      <c r="AL317" s="14">
        <f t="shared" si="335"/>
        <v>7</v>
      </c>
      <c r="AM317" s="14">
        <f>INDEX(挂机升级突破!DQ$6:DQ$57,卡牌消耗!$AT317)</f>
        <v>11</v>
      </c>
      <c r="AN317" s="14">
        <f>INDEX(挂机升级突破!DR$6:DR$57,卡牌消耗!$AT317)</f>
        <v>1</v>
      </c>
      <c r="AO317" s="14">
        <f>INDEX(挂机升级突破!DS$6:DS$57,卡牌消耗!$AT317)</f>
        <v>0</v>
      </c>
      <c r="AP317" s="14">
        <f>INDEX(挂机升级突破!$DP$6:$DP$57,卡牌消耗!AT317)</f>
        <v>3</v>
      </c>
      <c r="AQ317" s="14" t="str">
        <f t="shared" si="336"/>
        <v>天使缇娜</v>
      </c>
      <c r="AR317" s="14">
        <f t="shared" si="337"/>
        <v>4</v>
      </c>
      <c r="AS317" s="14" t="str">
        <f t="shared" si="338"/>
        <v>天使缇娜魂火-1</v>
      </c>
      <c r="AT317" s="14">
        <f t="shared" si="339"/>
        <v>1</v>
      </c>
      <c r="AU317" s="14" t="str">
        <f>IF(AM317&gt;0,INDEX(挂机升级突破!$DT$4:$ED$4,AM317),"")</f>
        <v>金币</v>
      </c>
      <c r="AV317" s="14">
        <f>ROUND(INDEX(挂机升级突破!$DJ$6:$DJ$57,卡牌消耗!AT317)*INDEX(卡牌消耗!$B$8:$F$8,AR317)/$Q$4/50,0)*50</f>
        <v>1300</v>
      </c>
      <c r="AW317" s="14" t="str">
        <f>IF(AN317&gt;0,INDEX(挂机升级突破!$DT$4:$ED$4,AN317),"")</f>
        <v>绿色基础材料</v>
      </c>
      <c r="AX317" s="14">
        <f>ROUND(INDEX(挂机升级突破!$DT$6:$ED$57,卡牌消耗!AT317,AN317)*INDEX(卡牌消耗!$B$5:$F$5,AR317)/$Q$4/5,0)*5</f>
        <v>30</v>
      </c>
      <c r="AY317" s="14" t="str">
        <f>IF(AO317&gt;0,INDEX(挂机升级突破!$DT$4:$ED$4,AO317),"")</f>
        <v/>
      </c>
      <c r="AZ317" s="14" t="str">
        <f>IF(AO317&gt;0,ROUND(INDEX(挂机升级突破!$DT$6:$ED$57,卡牌消耗!AT317,AO317)*INDEX(卡牌消耗!$B$7:$F$7,AR317)/$Q$4,0),"")</f>
        <v/>
      </c>
      <c r="BA317" s="106"/>
      <c r="BB317" s="197"/>
      <c r="BC317" s="197"/>
      <c r="BD317" s="197"/>
      <c r="BE317" s="197"/>
      <c r="BF317" s="197"/>
      <c r="BG317" s="197"/>
      <c r="BH317" s="197"/>
      <c r="BI317" s="197"/>
      <c r="BJ317" s="197"/>
      <c r="BK317" s="197"/>
      <c r="BL317" s="104">
        <v>313</v>
      </c>
      <c r="BM317" s="14">
        <f t="shared" si="340"/>
        <v>16</v>
      </c>
      <c r="BN317" s="14">
        <f>INDEX(挂机升级突破!$EI$7:$EI$26,BS317)</f>
        <v>5</v>
      </c>
      <c r="BO317" s="14">
        <f>INDEX(挂机升级突破!$EJ$7:$EJ$26,BS317)</f>
        <v>3</v>
      </c>
      <c r="BP317" s="14">
        <f t="shared" si="341"/>
        <v>4</v>
      </c>
      <c r="BQ317" s="14">
        <f>INDEX(挂机升级突破!$EH$7:$EH$26,卡牌消耗!BS317)</f>
        <v>87</v>
      </c>
      <c r="BR317" s="14" t="str">
        <f t="shared" si="342"/>
        <v>西方龙</v>
      </c>
      <c r="BS317" s="14">
        <f t="shared" si="343"/>
        <v>13</v>
      </c>
      <c r="BT317" s="14" t="str">
        <f t="shared" si="344"/>
        <v>西方龙13突</v>
      </c>
      <c r="BU317" s="14" t="str">
        <f>IF(BN317&gt;0,INDEX(挂机升级突破!$ER$5:$EV$5,卡牌消耗!BN317),"")</f>
        <v>金币</v>
      </c>
      <c r="BV317" s="14">
        <f>IF(BN317&gt;0,ROUND(INDEX(挂机升级突破!$EV$7:$EV$26,卡牌消耗!BS317)*INDEX(卡牌消耗!$B$8:$F$8,BP317)/$Q$4/500,0)*500,"")</f>
        <v>50000</v>
      </c>
      <c r="BW317" s="14" t="str">
        <f>IF(BO317&gt;0,INDEX(挂机升级突破!$ER$5:$EV$5,卡牌消耗!BO317),"")</f>
        <v>银母</v>
      </c>
      <c r="BX317" s="14">
        <f>IF(BO317&gt;0,ROUND(INDEX(挂机升级突破!$ER$7:$EU$26,卡牌消耗!BS317,卡牌消耗!BO317)*INDEX($B$6:$F$6,BP317)/$Q$4/5,0)*5,"")</f>
        <v>45</v>
      </c>
      <c r="BY317" s="193"/>
      <c r="BZ317" s="193"/>
      <c r="CA317" s="106"/>
      <c r="CS317" s="171"/>
      <c r="CT317" s="171"/>
      <c r="CU317" s="171"/>
    </row>
    <row r="318" spans="8:99" ht="16.5" x14ac:dyDescent="0.2">
      <c r="H318" s="15"/>
      <c r="I318" s="15"/>
      <c r="J318" s="15"/>
      <c r="K318" s="15"/>
      <c r="L318" s="15"/>
      <c r="M318" s="15"/>
      <c r="N318" s="15"/>
      <c r="O318" s="137"/>
      <c r="P318" s="141"/>
      <c r="Q318" s="141"/>
      <c r="R318" s="141"/>
      <c r="S318" s="141"/>
      <c r="T318" s="141"/>
      <c r="U318" s="141"/>
      <c r="V318" s="141"/>
      <c r="W318" s="141"/>
      <c r="X318" s="141"/>
      <c r="Y318" s="141"/>
      <c r="Z318" s="141"/>
      <c r="AA318" s="194"/>
      <c r="AB318" s="194"/>
      <c r="AC318" s="194"/>
      <c r="AD318" s="194"/>
      <c r="AE318" s="194"/>
      <c r="AF318" s="194"/>
      <c r="AG318" s="197"/>
      <c r="AH318" s="194"/>
      <c r="AI318" s="194"/>
      <c r="AJ318" s="194"/>
      <c r="AK318" s="104">
        <v>314</v>
      </c>
      <c r="AL318" s="14">
        <f t="shared" si="335"/>
        <v>7</v>
      </c>
      <c r="AM318" s="14">
        <f>INDEX(挂机升级突破!DQ$6:DQ$57,卡牌消耗!$AT318)</f>
        <v>11</v>
      </c>
      <c r="AN318" s="14">
        <f>INDEX(挂机升级突破!DR$6:DR$57,卡牌消耗!$AT318)</f>
        <v>1</v>
      </c>
      <c r="AO318" s="14">
        <f>INDEX(挂机升级突破!DS$6:DS$57,卡牌消耗!$AT318)</f>
        <v>0</v>
      </c>
      <c r="AP318" s="14">
        <f>INDEX(挂机升级突破!$DP$6:$DP$57,卡牌消耗!AT318)</f>
        <v>8</v>
      </c>
      <c r="AQ318" s="14" t="str">
        <f t="shared" si="336"/>
        <v>天使缇娜</v>
      </c>
      <c r="AR318" s="14">
        <f t="shared" si="337"/>
        <v>4</v>
      </c>
      <c r="AS318" s="14" t="str">
        <f t="shared" si="338"/>
        <v>天使缇娜魂火-2</v>
      </c>
      <c r="AT318" s="14">
        <f t="shared" si="339"/>
        <v>2</v>
      </c>
      <c r="AU318" s="14" t="str">
        <f>IF(AM318&gt;0,INDEX(挂机升级突破!$DT$4:$ED$4,AM318),"")</f>
        <v>金币</v>
      </c>
      <c r="AV318" s="14">
        <f>ROUND(INDEX(挂机升级突破!$DJ$6:$DJ$57,卡牌消耗!AT318)*INDEX(卡牌消耗!$B$8:$F$8,AR318)/$Q$4/50,0)*50</f>
        <v>1550</v>
      </c>
      <c r="AW318" s="14" t="str">
        <f>IF(AN318&gt;0,INDEX(挂机升级突破!$DT$4:$ED$4,AN318),"")</f>
        <v>绿色基础材料</v>
      </c>
      <c r="AX318" s="14">
        <f>ROUND(INDEX(挂机升级突破!$DT$6:$ED$57,卡牌消耗!AT318,AN318)*INDEX(卡牌消耗!$B$5:$F$5,AR318)/$Q$4/5,0)*5</f>
        <v>105</v>
      </c>
      <c r="AY318" s="14" t="str">
        <f>IF(AO318&gt;0,INDEX(挂机升级突破!$DT$4:$ED$4,AO318),"")</f>
        <v/>
      </c>
      <c r="AZ318" s="14" t="str">
        <f>IF(AO318&gt;0,ROUND(INDEX(挂机升级突破!$DT$6:$ED$57,卡牌消耗!AT318,AO318)*INDEX(卡牌消耗!$B$7:$F$7,AR318)/$Q$4,0),"")</f>
        <v/>
      </c>
      <c r="BA318" s="106"/>
      <c r="BB318" s="197"/>
      <c r="BC318" s="197"/>
      <c r="BD318" s="197"/>
      <c r="BE318" s="197"/>
      <c r="BF318" s="197"/>
      <c r="BG318" s="197"/>
      <c r="BH318" s="197"/>
      <c r="BI318" s="197"/>
      <c r="BJ318" s="197"/>
      <c r="BK318" s="197"/>
      <c r="BL318" s="104">
        <v>314</v>
      </c>
      <c r="BM318" s="14">
        <f t="shared" si="340"/>
        <v>16</v>
      </c>
      <c r="BN318" s="14">
        <f>INDEX(挂机升级突破!$EI$7:$EI$26,BS318)</f>
        <v>5</v>
      </c>
      <c r="BO318" s="14">
        <f>INDEX(挂机升级突破!$EJ$7:$EJ$26,BS318)</f>
        <v>3</v>
      </c>
      <c r="BP318" s="14">
        <f t="shared" si="341"/>
        <v>4</v>
      </c>
      <c r="BQ318" s="14">
        <f>INDEX(挂机升级突破!$EH$7:$EH$26,卡牌消耗!BS318)</f>
        <v>95</v>
      </c>
      <c r="BR318" s="14" t="str">
        <f t="shared" si="342"/>
        <v>西方龙</v>
      </c>
      <c r="BS318" s="14">
        <f t="shared" si="343"/>
        <v>14</v>
      </c>
      <c r="BT318" s="14" t="str">
        <f t="shared" si="344"/>
        <v>西方龙14突</v>
      </c>
      <c r="BU318" s="14" t="str">
        <f>IF(BN318&gt;0,INDEX(挂机升级突破!$ER$5:$EV$5,卡牌消耗!BN318),"")</f>
        <v>金币</v>
      </c>
      <c r="BV318" s="14">
        <f>IF(BN318&gt;0,ROUND(INDEX(挂机升级突破!$EV$7:$EV$26,卡牌消耗!BS318)*INDEX(卡牌消耗!$B$8:$F$8,BP318)/$Q$4/500,0)*500,"")</f>
        <v>50000</v>
      </c>
      <c r="BW318" s="14" t="str">
        <f>IF(BO318&gt;0,INDEX(挂机升级突破!$ER$5:$EV$5,卡牌消耗!BO318),"")</f>
        <v>银母</v>
      </c>
      <c r="BX318" s="14">
        <f>IF(BO318&gt;0,ROUND(INDEX(挂机升级突破!$ER$7:$EU$26,卡牌消耗!BS318,卡牌消耗!BO318)*INDEX($B$6:$F$6,BP318)/$Q$4/5,0)*5,"")</f>
        <v>65</v>
      </c>
      <c r="BY318" s="193"/>
      <c r="BZ318" s="193"/>
      <c r="CA318" s="106"/>
      <c r="CS318" s="171"/>
      <c r="CT318" s="171"/>
      <c r="CU318" s="171"/>
    </row>
    <row r="319" spans="8:99" ht="16.5" x14ac:dyDescent="0.2">
      <c r="H319" s="15"/>
      <c r="I319" s="15"/>
      <c r="J319" s="15"/>
      <c r="K319" s="15"/>
      <c r="L319" s="15"/>
      <c r="M319" s="15"/>
      <c r="N319" s="15"/>
      <c r="O319" s="137"/>
      <c r="P319" s="141"/>
      <c r="Q319" s="141"/>
      <c r="R319" s="141"/>
      <c r="S319" s="141"/>
      <c r="T319" s="141"/>
      <c r="U319" s="141"/>
      <c r="V319" s="141"/>
      <c r="W319" s="141"/>
      <c r="X319" s="141"/>
      <c r="Y319" s="141"/>
      <c r="Z319" s="141"/>
      <c r="AA319" s="194"/>
      <c r="AB319" s="194"/>
      <c r="AC319" s="194"/>
      <c r="AD319" s="194"/>
      <c r="AE319" s="194"/>
      <c r="AF319" s="194"/>
      <c r="AG319" s="197"/>
      <c r="AH319" s="194"/>
      <c r="AI319" s="194"/>
      <c r="AJ319" s="194"/>
      <c r="AK319" s="104">
        <v>315</v>
      </c>
      <c r="AL319" s="14">
        <f t="shared" si="335"/>
        <v>7</v>
      </c>
      <c r="AM319" s="14">
        <f>INDEX(挂机升级突破!DQ$6:DQ$57,卡牌消耗!$AT319)</f>
        <v>11</v>
      </c>
      <c r="AN319" s="14">
        <f>INDEX(挂机升级突破!DR$6:DR$57,卡牌消耗!$AT319)</f>
        <v>1</v>
      </c>
      <c r="AO319" s="14">
        <f>INDEX(挂机升级突破!DS$6:DS$57,卡牌消耗!$AT319)</f>
        <v>0</v>
      </c>
      <c r="AP319" s="14">
        <f>INDEX(挂机升级突破!$DP$6:$DP$57,卡牌消耗!AT319)</f>
        <v>13</v>
      </c>
      <c r="AQ319" s="14" t="str">
        <f t="shared" si="336"/>
        <v>天使缇娜</v>
      </c>
      <c r="AR319" s="14">
        <f t="shared" si="337"/>
        <v>4</v>
      </c>
      <c r="AS319" s="14" t="str">
        <f t="shared" si="338"/>
        <v>天使缇娜魂火-3</v>
      </c>
      <c r="AT319" s="14">
        <f t="shared" si="339"/>
        <v>3</v>
      </c>
      <c r="AU319" s="14" t="str">
        <f>IF(AM319&gt;0,INDEX(挂机升级突破!$DT$4:$ED$4,AM319),"")</f>
        <v>金币</v>
      </c>
      <c r="AV319" s="14">
        <f>ROUND(INDEX(挂机升级突破!$DJ$6:$DJ$57,卡牌消耗!AT319)*INDEX(卡牌消耗!$B$8:$F$8,AR319)/$Q$4/50,0)*50</f>
        <v>1550</v>
      </c>
      <c r="AW319" s="14" t="str">
        <f>IF(AN319&gt;0,INDEX(挂机升级突破!$DT$4:$ED$4,AN319),"")</f>
        <v>绿色基础材料</v>
      </c>
      <c r="AX319" s="14">
        <f>ROUND(INDEX(挂机升级突破!$DT$6:$ED$57,卡牌消耗!AT319,AN319)*INDEX(卡牌消耗!$B$5:$F$5,AR319)/$Q$4/5,0)*5</f>
        <v>125</v>
      </c>
      <c r="AY319" s="14" t="str">
        <f>IF(AO319&gt;0,INDEX(挂机升级突破!$DT$4:$ED$4,AO319),"")</f>
        <v/>
      </c>
      <c r="AZ319" s="14" t="str">
        <f>IF(AO319&gt;0,ROUND(INDEX(挂机升级突破!$DT$6:$ED$57,卡牌消耗!AT319,AO319)*INDEX(卡牌消耗!$B$7:$F$7,AR319)/$Q$4,0),"")</f>
        <v/>
      </c>
      <c r="BA319" s="106"/>
      <c r="BB319" s="197"/>
      <c r="BC319" s="197"/>
      <c r="BD319" s="197"/>
      <c r="BE319" s="197"/>
      <c r="BF319" s="197"/>
      <c r="BG319" s="197"/>
      <c r="BH319" s="197"/>
      <c r="BI319" s="197"/>
      <c r="BJ319" s="197"/>
      <c r="BK319" s="197"/>
      <c r="BL319" s="104">
        <v>315</v>
      </c>
      <c r="BM319" s="14">
        <f t="shared" si="340"/>
        <v>16</v>
      </c>
      <c r="BN319" s="14">
        <f>INDEX(挂机升级突破!$EI$7:$EI$26,BS319)</f>
        <v>5</v>
      </c>
      <c r="BO319" s="14">
        <f>INDEX(挂机升级突破!$EJ$7:$EJ$26,BS319)</f>
        <v>3</v>
      </c>
      <c r="BP319" s="14">
        <f t="shared" si="341"/>
        <v>4</v>
      </c>
      <c r="BQ319" s="14">
        <f>INDEX(挂机升级突破!$EH$7:$EH$26,卡牌消耗!BS319)</f>
        <v>102</v>
      </c>
      <c r="BR319" s="14" t="str">
        <f t="shared" si="342"/>
        <v>西方龙</v>
      </c>
      <c r="BS319" s="14">
        <f t="shared" si="343"/>
        <v>15</v>
      </c>
      <c r="BT319" s="14" t="str">
        <f t="shared" si="344"/>
        <v>西方龙15突</v>
      </c>
      <c r="BU319" s="14" t="str">
        <f>IF(BN319&gt;0,INDEX(挂机升级突破!$ER$5:$EV$5,卡牌消耗!BN319),"")</f>
        <v>金币</v>
      </c>
      <c r="BV319" s="14">
        <f>IF(BN319&gt;0,ROUND(INDEX(挂机升级突破!$EV$7:$EV$26,卡牌消耗!BS319)*INDEX(卡牌消耗!$B$8:$F$8,BP319)/$Q$4/500,0)*500,"")</f>
        <v>66500</v>
      </c>
      <c r="BW319" s="14" t="str">
        <f>IF(BO319&gt;0,INDEX(挂机升级突破!$ER$5:$EV$5,卡牌消耗!BO319),"")</f>
        <v>银母</v>
      </c>
      <c r="BX319" s="14">
        <f>IF(BO319&gt;0,ROUND(INDEX(挂机升级突破!$ER$7:$EU$26,卡牌消耗!BS319,卡牌消耗!BO319)*INDEX($B$6:$F$6,BP319)/$Q$4/5,0)*5,"")</f>
        <v>85</v>
      </c>
      <c r="BY319" s="193"/>
      <c r="BZ319" s="193"/>
      <c r="CA319" s="106"/>
      <c r="CS319" s="171"/>
      <c r="CT319" s="171"/>
      <c r="CU319" s="171"/>
    </row>
    <row r="320" spans="8:99" ht="16.5" x14ac:dyDescent="0.2">
      <c r="H320" s="15"/>
      <c r="I320" s="15"/>
      <c r="J320" s="15"/>
      <c r="K320" s="15"/>
      <c r="L320" s="15"/>
      <c r="M320" s="15"/>
      <c r="N320" s="15"/>
      <c r="O320" s="137"/>
      <c r="P320" s="141"/>
      <c r="Q320" s="141"/>
      <c r="R320" s="141"/>
      <c r="S320" s="141"/>
      <c r="T320" s="141"/>
      <c r="U320" s="141"/>
      <c r="V320" s="141"/>
      <c r="W320" s="141"/>
      <c r="X320" s="141"/>
      <c r="Y320" s="141"/>
      <c r="Z320" s="141"/>
      <c r="AA320" s="194"/>
      <c r="AB320" s="194"/>
      <c r="AC320" s="194"/>
      <c r="AD320" s="194"/>
      <c r="AE320" s="194"/>
      <c r="AF320" s="194"/>
      <c r="AG320" s="197"/>
      <c r="AH320" s="194"/>
      <c r="AI320" s="194"/>
      <c r="AJ320" s="194"/>
      <c r="AK320" s="104">
        <v>316</v>
      </c>
      <c r="AL320" s="14">
        <f t="shared" si="335"/>
        <v>7</v>
      </c>
      <c r="AM320" s="14">
        <f>INDEX(挂机升级突破!DQ$6:DQ$57,卡牌消耗!$AT320)</f>
        <v>11</v>
      </c>
      <c r="AN320" s="14">
        <f>INDEX(挂机升级突破!DR$6:DR$57,卡牌消耗!$AT320)</f>
        <v>1</v>
      </c>
      <c r="AO320" s="14">
        <f>INDEX(挂机升级突破!DS$6:DS$57,卡牌消耗!$AT320)</f>
        <v>0</v>
      </c>
      <c r="AP320" s="14">
        <f>INDEX(挂机升级突破!$DP$6:$DP$57,卡牌消耗!AT320)</f>
        <v>18</v>
      </c>
      <c r="AQ320" s="14" t="str">
        <f t="shared" si="336"/>
        <v>天使缇娜</v>
      </c>
      <c r="AR320" s="14">
        <f t="shared" si="337"/>
        <v>4</v>
      </c>
      <c r="AS320" s="14" t="str">
        <f t="shared" si="338"/>
        <v>天使缇娜魂火-4</v>
      </c>
      <c r="AT320" s="14">
        <f t="shared" si="339"/>
        <v>4</v>
      </c>
      <c r="AU320" s="14" t="str">
        <f>IF(AM320&gt;0,INDEX(挂机升级突破!$DT$4:$ED$4,AM320),"")</f>
        <v>金币</v>
      </c>
      <c r="AV320" s="14">
        <f>ROUND(INDEX(挂机升级突破!$DJ$6:$DJ$57,卡牌消耗!AT320)*INDEX(卡牌消耗!$B$8:$F$8,AR320)/$Q$4/50,0)*50</f>
        <v>1550</v>
      </c>
      <c r="AW320" s="14" t="str">
        <f>IF(AN320&gt;0,INDEX(挂机升级突破!$DT$4:$ED$4,AN320),"")</f>
        <v>绿色基础材料</v>
      </c>
      <c r="AX320" s="14">
        <f>ROUND(INDEX(挂机升级突破!$DT$6:$ED$57,卡牌消耗!AT320,AN320)*INDEX(卡牌消耗!$B$5:$F$5,AR320)/$Q$4/5,0)*5</f>
        <v>170</v>
      </c>
      <c r="AY320" s="14" t="str">
        <f>IF(AO320&gt;0,INDEX(挂机升级突破!$DT$4:$ED$4,AO320),"")</f>
        <v/>
      </c>
      <c r="AZ320" s="14" t="str">
        <f>IF(AO320&gt;0,ROUND(INDEX(挂机升级突破!$DT$6:$ED$57,卡牌消耗!AT320,AO320)*INDEX(卡牌消耗!$B$7:$F$7,AR320)/$Q$4,0),"")</f>
        <v/>
      </c>
      <c r="BA320" s="106"/>
      <c r="BB320" s="197"/>
      <c r="BC320" s="197"/>
      <c r="BD320" s="197"/>
      <c r="BE320" s="197"/>
      <c r="BF320" s="197"/>
      <c r="BG320" s="197"/>
      <c r="BH320" s="197"/>
      <c r="BI320" s="197"/>
      <c r="BJ320" s="197"/>
      <c r="BK320" s="197"/>
      <c r="BL320" s="104">
        <v>316</v>
      </c>
      <c r="BM320" s="14">
        <f t="shared" si="340"/>
        <v>16</v>
      </c>
      <c r="BN320" s="14">
        <f>INDEX(挂机升级突破!$EI$7:$EI$26,BS320)</f>
        <v>5</v>
      </c>
      <c r="BO320" s="14">
        <f>INDEX(挂机升级突破!$EJ$7:$EJ$26,BS320)</f>
        <v>3</v>
      </c>
      <c r="BP320" s="14">
        <f t="shared" si="341"/>
        <v>4</v>
      </c>
      <c r="BQ320" s="14">
        <f>INDEX(挂机升级突破!$EH$7:$EH$26,卡牌消耗!BS320)</f>
        <v>110</v>
      </c>
      <c r="BR320" s="14" t="str">
        <f t="shared" si="342"/>
        <v>西方龙</v>
      </c>
      <c r="BS320" s="14">
        <f t="shared" si="343"/>
        <v>16</v>
      </c>
      <c r="BT320" s="14" t="str">
        <f t="shared" si="344"/>
        <v>西方龙16突</v>
      </c>
      <c r="BU320" s="14" t="str">
        <f>IF(BN320&gt;0,INDEX(挂机升级突破!$ER$5:$EV$5,卡牌消耗!BN320),"")</f>
        <v>金币</v>
      </c>
      <c r="BV320" s="14">
        <f>IF(BN320&gt;0,ROUND(INDEX(挂机升级突破!$EV$7:$EV$26,卡牌消耗!BS320)*INDEX(卡牌消耗!$B$8:$F$8,BP320)/$Q$4/500,0)*500,"")</f>
        <v>121000</v>
      </c>
      <c r="BW320" s="14" t="str">
        <f>IF(BO320&gt;0,INDEX(挂机升级突破!$ER$5:$EV$5,卡牌消耗!BO320),"")</f>
        <v>银母</v>
      </c>
      <c r="BX320" s="14">
        <f>IF(BO320&gt;0,ROUND(INDEX(挂机升级突破!$ER$7:$EU$26,卡牌消耗!BS320,卡牌消耗!BO320)*INDEX($B$6:$F$6,BP320)/$Q$4/5,0)*5,"")</f>
        <v>110</v>
      </c>
      <c r="BY320" s="193"/>
      <c r="BZ320" s="193"/>
      <c r="CA320" s="106"/>
      <c r="CS320" s="171"/>
      <c r="CT320" s="171"/>
      <c r="CU320" s="171"/>
    </row>
    <row r="321" spans="8:99" ht="16.5" x14ac:dyDescent="0.2">
      <c r="H321" s="15"/>
      <c r="I321" s="15"/>
      <c r="J321" s="15"/>
      <c r="K321" s="15"/>
      <c r="L321" s="15"/>
      <c r="M321" s="15"/>
      <c r="N321" s="15"/>
      <c r="O321" s="137"/>
      <c r="P321" s="141"/>
      <c r="Q321" s="141"/>
      <c r="R321" s="141"/>
      <c r="S321" s="141"/>
      <c r="T321" s="141"/>
      <c r="U321" s="141"/>
      <c r="V321" s="141"/>
      <c r="W321" s="141"/>
      <c r="X321" s="141"/>
      <c r="Y321" s="141"/>
      <c r="Z321" s="141"/>
      <c r="AA321" s="194"/>
      <c r="AB321" s="194"/>
      <c r="AC321" s="194"/>
      <c r="AD321" s="194"/>
      <c r="AE321" s="194"/>
      <c r="AF321" s="194"/>
      <c r="AG321" s="197"/>
      <c r="AH321" s="194"/>
      <c r="AI321" s="194"/>
      <c r="AJ321" s="194"/>
      <c r="AK321" s="104">
        <v>317</v>
      </c>
      <c r="AL321" s="14">
        <f t="shared" si="335"/>
        <v>7</v>
      </c>
      <c r="AM321" s="14">
        <f>INDEX(挂机升级突破!DQ$6:DQ$57,卡牌消耗!$AT321)</f>
        <v>11</v>
      </c>
      <c r="AN321" s="14">
        <f>INDEX(挂机升级突破!DR$6:DR$57,卡牌消耗!$AT321)</f>
        <v>1</v>
      </c>
      <c r="AO321" s="14">
        <f>INDEX(挂机升级突破!DS$6:DS$57,卡牌消耗!$AT321)</f>
        <v>0</v>
      </c>
      <c r="AP321" s="14">
        <f>INDEX(挂机升级突破!$DP$6:$DP$57,卡牌消耗!AT321)</f>
        <v>23</v>
      </c>
      <c r="AQ321" s="14" t="str">
        <f t="shared" si="336"/>
        <v>天使缇娜</v>
      </c>
      <c r="AR321" s="14">
        <f t="shared" si="337"/>
        <v>4</v>
      </c>
      <c r="AS321" s="14" t="str">
        <f t="shared" si="338"/>
        <v>天使缇娜魂火-5</v>
      </c>
      <c r="AT321" s="14">
        <f t="shared" si="339"/>
        <v>5</v>
      </c>
      <c r="AU321" s="14" t="str">
        <f>IF(AM321&gt;0,INDEX(挂机升级突破!$DT$4:$ED$4,AM321),"")</f>
        <v>金币</v>
      </c>
      <c r="AV321" s="14">
        <f>ROUND(INDEX(挂机升级突破!$DJ$6:$DJ$57,卡牌消耗!AT321)*INDEX(卡牌消耗!$B$8:$F$8,AR321)/$Q$4/50,0)*50</f>
        <v>1550</v>
      </c>
      <c r="AW321" s="14" t="str">
        <f>IF(AN321&gt;0,INDEX(挂机升级突破!$DT$4:$ED$4,AN321),"")</f>
        <v>绿色基础材料</v>
      </c>
      <c r="AX321" s="14">
        <f>ROUND(INDEX(挂机升级突破!$DT$6:$ED$57,卡牌消耗!AT321,AN321)*INDEX(卡牌消耗!$B$5:$F$5,AR321)/$Q$4/5,0)*5</f>
        <v>185</v>
      </c>
      <c r="AY321" s="14" t="str">
        <f>IF(AO321&gt;0,INDEX(挂机升级突破!$DT$4:$ED$4,AO321),"")</f>
        <v/>
      </c>
      <c r="AZ321" s="14" t="str">
        <f>IF(AO321&gt;0,ROUND(INDEX(挂机升级突破!$DT$6:$ED$57,卡牌消耗!AT321,AO321)*INDEX(卡牌消耗!$B$7:$F$7,AR321)/$Q$4,0),"")</f>
        <v/>
      </c>
      <c r="BA321" s="106"/>
      <c r="BB321" s="197"/>
      <c r="BC321" s="197"/>
      <c r="BD321" s="197"/>
      <c r="BE321" s="197"/>
      <c r="BF321" s="197"/>
      <c r="BG321" s="197"/>
      <c r="BH321" s="197"/>
      <c r="BI321" s="197"/>
      <c r="BJ321" s="197"/>
      <c r="BK321" s="197"/>
      <c r="BL321" s="104">
        <v>317</v>
      </c>
      <c r="BM321" s="14">
        <f t="shared" si="340"/>
        <v>16</v>
      </c>
      <c r="BN321" s="14">
        <f>INDEX(挂机升级突破!$EI$7:$EI$26,BS321)</f>
        <v>5</v>
      </c>
      <c r="BO321" s="14">
        <f>INDEX(挂机升级突破!$EJ$7:$EJ$26,BS321)</f>
        <v>4</v>
      </c>
      <c r="BP321" s="14">
        <f t="shared" si="341"/>
        <v>4</v>
      </c>
      <c r="BQ321" s="14">
        <f>INDEX(挂机升级突破!$EH$7:$EH$26,卡牌消耗!BS321)</f>
        <v>117</v>
      </c>
      <c r="BR321" s="14" t="str">
        <f t="shared" si="342"/>
        <v>西方龙</v>
      </c>
      <c r="BS321" s="14">
        <f t="shared" si="343"/>
        <v>17</v>
      </c>
      <c r="BT321" s="14" t="str">
        <f t="shared" si="344"/>
        <v>西方龙17突</v>
      </c>
      <c r="BU321" s="14" t="str">
        <f>IF(BN321&gt;0,INDEX(挂机升级突破!$ER$5:$EV$5,卡牌消耗!BN321),"")</f>
        <v>金币</v>
      </c>
      <c r="BV321" s="14">
        <f>IF(BN321&gt;0,ROUND(INDEX(挂机升级突破!$EV$7:$EV$26,卡牌消耗!BS321)*INDEX(卡牌消耗!$B$8:$F$8,BP321)/$Q$4/500,0)*500,"")</f>
        <v>121000</v>
      </c>
      <c r="BW321" s="14" t="str">
        <f>IF(BO321&gt;0,INDEX(挂机升级突破!$ER$5:$EV$5,卡牌消耗!BO321),"")</f>
        <v>铀金</v>
      </c>
      <c r="BX321" s="14">
        <f>IF(BO321&gt;0,ROUND(INDEX(挂机升级突破!$ER$7:$EU$26,卡牌消耗!BS321,卡牌消耗!BO321)*INDEX($B$6:$F$6,BP321)/$Q$4/5,0)*5,"")</f>
        <v>20</v>
      </c>
      <c r="BY321" s="193"/>
      <c r="BZ321" s="193"/>
      <c r="CA321" s="106"/>
      <c r="CS321" s="171"/>
      <c r="CT321" s="171"/>
      <c r="CU321" s="171"/>
    </row>
    <row r="322" spans="8:99" ht="16.5" x14ac:dyDescent="0.2">
      <c r="H322" s="15"/>
      <c r="I322" s="15"/>
      <c r="J322" s="15"/>
      <c r="K322" s="15"/>
      <c r="L322" s="15"/>
      <c r="M322" s="15"/>
      <c r="N322" s="15"/>
      <c r="O322" s="137"/>
      <c r="P322" s="141"/>
      <c r="Q322" s="141"/>
      <c r="R322" s="141"/>
      <c r="S322" s="141"/>
      <c r="T322" s="141"/>
      <c r="U322" s="141"/>
      <c r="V322" s="141"/>
      <c r="W322" s="141"/>
      <c r="X322" s="141"/>
      <c r="Y322" s="141"/>
      <c r="Z322" s="141"/>
      <c r="AA322" s="194"/>
      <c r="AB322" s="194"/>
      <c r="AC322" s="194"/>
      <c r="AD322" s="194"/>
      <c r="AE322" s="194"/>
      <c r="AF322" s="194"/>
      <c r="AG322" s="197"/>
      <c r="AH322" s="194"/>
      <c r="AI322" s="194"/>
      <c r="AJ322" s="194"/>
      <c r="AK322" s="104">
        <v>318</v>
      </c>
      <c r="AL322" s="14">
        <f t="shared" si="335"/>
        <v>7</v>
      </c>
      <c r="AM322" s="14">
        <f>INDEX(挂机升级突破!DQ$6:DQ$57,卡牌消耗!$AT322)</f>
        <v>11</v>
      </c>
      <c r="AN322" s="14">
        <f>INDEX(挂机升级突破!DR$6:DR$57,卡牌消耗!$AT322)</f>
        <v>2</v>
      </c>
      <c r="AO322" s="14">
        <f>INDEX(挂机升级突破!DS$6:DS$57,卡牌消耗!$AT322)</f>
        <v>0</v>
      </c>
      <c r="AP322" s="14">
        <f>INDEX(挂机升级突破!$DP$6:$DP$57,卡牌消耗!AT322)</f>
        <v>28</v>
      </c>
      <c r="AQ322" s="14" t="str">
        <f t="shared" si="336"/>
        <v>天使缇娜</v>
      </c>
      <c r="AR322" s="14">
        <f t="shared" si="337"/>
        <v>4</v>
      </c>
      <c r="AS322" s="14" t="str">
        <f t="shared" si="338"/>
        <v>天使缇娜魂火-6</v>
      </c>
      <c r="AT322" s="14">
        <f t="shared" si="339"/>
        <v>6</v>
      </c>
      <c r="AU322" s="14" t="str">
        <f>IF(AM322&gt;0,INDEX(挂机升级突破!$DT$4:$ED$4,AM322),"")</f>
        <v>金币</v>
      </c>
      <c r="AV322" s="14">
        <f>ROUND(INDEX(挂机升级突破!$DJ$6:$DJ$57,卡牌消耗!AT322)*INDEX(卡牌消耗!$B$8:$F$8,AR322)/$Q$4/50,0)*50</f>
        <v>1900</v>
      </c>
      <c r="AW322" s="14" t="str">
        <f>IF(AN322&gt;0,INDEX(挂机升级突破!$DT$4:$ED$4,AN322),"")</f>
        <v>蓝色基础材料</v>
      </c>
      <c r="AX322" s="14">
        <f>ROUND(INDEX(挂机升级突破!$DT$6:$ED$57,卡牌消耗!AT322,AN322)*INDEX(卡牌消耗!$B$5:$F$5,AR322)/$Q$4/5,0)*5</f>
        <v>35</v>
      </c>
      <c r="AY322" s="14" t="str">
        <f>IF(AO322&gt;0,INDEX(挂机升级突破!$DT$4:$ED$4,AO322),"")</f>
        <v/>
      </c>
      <c r="AZ322" s="14" t="str">
        <f>IF(AO322&gt;0,ROUND(INDEX(挂机升级突破!$DT$6:$ED$57,卡牌消耗!AT322,AO322)*INDEX(卡牌消耗!$B$7:$F$7,AR322)/$Q$4,0),"")</f>
        <v/>
      </c>
      <c r="BA322" s="106"/>
      <c r="BB322" s="197"/>
      <c r="BC322" s="197"/>
      <c r="BD322" s="197"/>
      <c r="BE322" s="197"/>
      <c r="BF322" s="197"/>
      <c r="BG322" s="197"/>
      <c r="BH322" s="197"/>
      <c r="BI322" s="197"/>
      <c r="BJ322" s="197"/>
      <c r="BK322" s="197"/>
      <c r="BL322" s="104">
        <v>318</v>
      </c>
      <c r="BM322" s="14">
        <f t="shared" si="340"/>
        <v>16</v>
      </c>
      <c r="BN322" s="14">
        <f>INDEX(挂机升级突破!$EI$7:$EI$26,BS322)</f>
        <v>5</v>
      </c>
      <c r="BO322" s="14">
        <f>INDEX(挂机升级突破!$EJ$7:$EJ$26,BS322)</f>
        <v>4</v>
      </c>
      <c r="BP322" s="14">
        <f t="shared" si="341"/>
        <v>4</v>
      </c>
      <c r="BQ322" s="14">
        <f>INDEX(挂机升级突破!$EH$7:$EH$26,卡牌消耗!BS322)</f>
        <v>125</v>
      </c>
      <c r="BR322" s="14" t="str">
        <f t="shared" si="342"/>
        <v>西方龙</v>
      </c>
      <c r="BS322" s="14">
        <f t="shared" si="343"/>
        <v>18</v>
      </c>
      <c r="BT322" s="14" t="str">
        <f t="shared" si="344"/>
        <v>西方龙18突</v>
      </c>
      <c r="BU322" s="14" t="str">
        <f>IF(BN322&gt;0,INDEX(挂机升级突破!$ER$5:$EV$5,卡牌消耗!BN322),"")</f>
        <v>金币</v>
      </c>
      <c r="BV322" s="14">
        <f>IF(BN322&gt;0,ROUND(INDEX(挂机升级突破!$EV$7:$EV$26,卡牌消耗!BS322)*INDEX(卡牌消耗!$B$8:$F$8,BP322)/$Q$4/500,0)*500,"")</f>
        <v>161000</v>
      </c>
      <c r="BW322" s="14" t="str">
        <f>IF(BO322&gt;0,INDEX(挂机升级突破!$ER$5:$EV$5,卡牌消耗!BO322),"")</f>
        <v>铀金</v>
      </c>
      <c r="BX322" s="14">
        <f>IF(BO322&gt;0,ROUND(INDEX(挂机升级突破!$ER$7:$EU$26,卡牌消耗!BS322,卡牌消耗!BO322)*INDEX($B$6:$F$6,BP322)/$Q$4/5,0)*5,"")</f>
        <v>30</v>
      </c>
      <c r="BY322" s="193"/>
      <c r="BZ322" s="193"/>
      <c r="CA322" s="106"/>
      <c r="CS322" s="171"/>
      <c r="CT322" s="171"/>
      <c r="CU322" s="171"/>
    </row>
    <row r="323" spans="8:99" ht="16.5" x14ac:dyDescent="0.2">
      <c r="H323" s="15"/>
      <c r="I323" s="15"/>
      <c r="J323" s="15"/>
      <c r="K323" s="15"/>
      <c r="L323" s="15"/>
      <c r="M323" s="15"/>
      <c r="N323" s="15"/>
      <c r="O323" s="137"/>
      <c r="P323" s="141"/>
      <c r="Q323" s="141"/>
      <c r="R323" s="141"/>
      <c r="S323" s="141"/>
      <c r="T323" s="141"/>
      <c r="U323" s="141"/>
      <c r="V323" s="141"/>
      <c r="W323" s="141"/>
      <c r="X323" s="141"/>
      <c r="Y323" s="141"/>
      <c r="Z323" s="141"/>
      <c r="AA323" s="194"/>
      <c r="AB323" s="194"/>
      <c r="AC323" s="194"/>
      <c r="AD323" s="194"/>
      <c r="AE323" s="194"/>
      <c r="AF323" s="194"/>
      <c r="AG323" s="197"/>
      <c r="AH323" s="194"/>
      <c r="AI323" s="194"/>
      <c r="AJ323" s="194"/>
      <c r="AK323" s="104">
        <v>319</v>
      </c>
      <c r="AL323" s="14">
        <f t="shared" si="335"/>
        <v>7</v>
      </c>
      <c r="AM323" s="14">
        <f>INDEX(挂机升级突破!DQ$6:DQ$57,卡牌消耗!$AT323)</f>
        <v>11</v>
      </c>
      <c r="AN323" s="14">
        <f>INDEX(挂机升级突破!DR$6:DR$57,卡牌消耗!$AT323)</f>
        <v>2</v>
      </c>
      <c r="AO323" s="14">
        <f>INDEX(挂机升级突破!DS$6:DS$57,卡牌消耗!$AT323)</f>
        <v>0</v>
      </c>
      <c r="AP323" s="14">
        <f>INDEX(挂机升级突破!$DP$6:$DP$57,卡牌消耗!AT323)</f>
        <v>33</v>
      </c>
      <c r="AQ323" s="14" t="str">
        <f t="shared" si="336"/>
        <v>天使缇娜</v>
      </c>
      <c r="AR323" s="14">
        <f t="shared" si="337"/>
        <v>4</v>
      </c>
      <c r="AS323" s="14" t="str">
        <f t="shared" si="338"/>
        <v>天使缇娜魂火-7</v>
      </c>
      <c r="AT323" s="14">
        <f t="shared" si="339"/>
        <v>7</v>
      </c>
      <c r="AU323" s="14" t="str">
        <f>IF(AM323&gt;0,INDEX(挂机升级突破!$DT$4:$ED$4,AM323),"")</f>
        <v>金币</v>
      </c>
      <c r="AV323" s="14">
        <f>ROUND(INDEX(挂机升级突破!$DJ$6:$DJ$57,卡牌消耗!AT323)*INDEX(卡牌消耗!$B$8:$F$8,AR323)/$Q$4/50,0)*50</f>
        <v>1900</v>
      </c>
      <c r="AW323" s="14" t="str">
        <f>IF(AN323&gt;0,INDEX(挂机升级突破!$DT$4:$ED$4,AN323),"")</f>
        <v>蓝色基础材料</v>
      </c>
      <c r="AX323" s="14">
        <f>ROUND(INDEX(挂机升级突破!$DT$6:$ED$57,卡牌消耗!AT323,AN323)*INDEX(卡牌消耗!$B$5:$F$5,AR323)/$Q$4/5,0)*5</f>
        <v>35</v>
      </c>
      <c r="AY323" s="14" t="str">
        <f>IF(AO323&gt;0,INDEX(挂机升级突破!$DT$4:$ED$4,AO323),"")</f>
        <v/>
      </c>
      <c r="AZ323" s="14" t="str">
        <f>IF(AO323&gt;0,ROUND(INDEX(挂机升级突破!$DT$6:$ED$57,卡牌消耗!AT323,AO323)*INDEX(卡牌消耗!$B$7:$F$7,AR323)/$Q$4,0),"")</f>
        <v/>
      </c>
      <c r="BA323" s="106"/>
      <c r="BB323" s="197"/>
      <c r="BC323" s="197"/>
      <c r="BD323" s="197"/>
      <c r="BE323" s="197"/>
      <c r="BF323" s="197"/>
      <c r="BG323" s="197"/>
      <c r="BH323" s="197"/>
      <c r="BI323" s="197"/>
      <c r="BJ323" s="197"/>
      <c r="BK323" s="197"/>
      <c r="BL323" s="104">
        <v>319</v>
      </c>
      <c r="BM323" s="14">
        <f t="shared" si="340"/>
        <v>16</v>
      </c>
      <c r="BN323" s="14">
        <f>INDEX(挂机升级突破!$EI$7:$EI$26,BS323)</f>
        <v>5</v>
      </c>
      <c r="BO323" s="14">
        <f>INDEX(挂机升级突破!$EJ$7:$EJ$26,BS323)</f>
        <v>4</v>
      </c>
      <c r="BP323" s="14">
        <f t="shared" si="341"/>
        <v>4</v>
      </c>
      <c r="BQ323" s="14">
        <f>INDEX(挂机升级突破!$EH$7:$EH$26,卡牌消耗!BS323)</f>
        <v>132</v>
      </c>
      <c r="BR323" s="14" t="str">
        <f t="shared" si="342"/>
        <v>西方龙</v>
      </c>
      <c r="BS323" s="14">
        <f t="shared" si="343"/>
        <v>19</v>
      </c>
      <c r="BT323" s="14" t="str">
        <f t="shared" si="344"/>
        <v>西方龙19突</v>
      </c>
      <c r="BU323" s="14" t="str">
        <f>IF(BN323&gt;0,INDEX(挂机升级突破!$ER$5:$EV$5,卡牌消耗!BN323),"")</f>
        <v>金币</v>
      </c>
      <c r="BV323" s="14">
        <f>IF(BN323&gt;0,ROUND(INDEX(挂机升级突破!$EV$7:$EV$26,卡牌消耗!BS323)*INDEX(卡牌消耗!$B$8:$F$8,BP323)/$Q$4/500,0)*500,"")</f>
        <v>410500</v>
      </c>
      <c r="BW323" s="14" t="str">
        <f>IF(BO323&gt;0,INDEX(挂机升级突破!$ER$5:$EV$5,卡牌消耗!BO323),"")</f>
        <v>铀金</v>
      </c>
      <c r="BX323" s="14">
        <f>IF(BO323&gt;0,ROUND(INDEX(挂机升级突破!$ER$7:$EU$26,卡牌消耗!BS323,卡牌消耗!BO323)*INDEX($B$6:$F$6,BP323)/$Q$4/5,0)*5,"")</f>
        <v>40</v>
      </c>
      <c r="BY323" s="193"/>
      <c r="BZ323" s="193"/>
      <c r="CA323" s="106"/>
      <c r="CS323" s="171"/>
      <c r="CT323" s="171"/>
      <c r="CU323" s="171"/>
    </row>
    <row r="324" spans="8:99" ht="16.5" x14ac:dyDescent="0.2">
      <c r="H324" s="15"/>
      <c r="I324" s="15"/>
      <c r="J324" s="15"/>
      <c r="K324" s="15"/>
      <c r="L324" s="15"/>
      <c r="M324" s="15"/>
      <c r="N324" s="15"/>
      <c r="O324" s="137"/>
      <c r="P324" s="141"/>
      <c r="Q324" s="141"/>
      <c r="R324" s="141"/>
      <c r="S324" s="141"/>
      <c r="T324" s="141"/>
      <c r="U324" s="141"/>
      <c r="V324" s="141"/>
      <c r="W324" s="141"/>
      <c r="X324" s="141"/>
      <c r="Y324" s="141"/>
      <c r="Z324" s="141"/>
      <c r="AA324" s="194"/>
      <c r="AB324" s="194"/>
      <c r="AC324" s="194"/>
      <c r="AD324" s="194"/>
      <c r="AE324" s="194"/>
      <c r="AF324" s="194"/>
      <c r="AG324" s="197"/>
      <c r="AH324" s="194"/>
      <c r="AI324" s="194"/>
      <c r="AJ324" s="194"/>
      <c r="AK324" s="104">
        <v>320</v>
      </c>
      <c r="AL324" s="14">
        <f t="shared" si="335"/>
        <v>7</v>
      </c>
      <c r="AM324" s="14">
        <f>INDEX(挂机升级突破!DQ$6:DQ$57,卡牌消耗!$AT324)</f>
        <v>11</v>
      </c>
      <c r="AN324" s="14">
        <f>INDEX(挂机升级突破!DR$6:DR$57,卡牌消耗!$AT324)</f>
        <v>2</v>
      </c>
      <c r="AO324" s="14">
        <f>INDEX(挂机升级突破!DS$6:DS$57,卡牌消耗!$AT324)</f>
        <v>0</v>
      </c>
      <c r="AP324" s="14">
        <f>INDEX(挂机升级突破!$DP$6:$DP$57,卡牌消耗!AT324)</f>
        <v>38</v>
      </c>
      <c r="AQ324" s="14" t="str">
        <f t="shared" si="336"/>
        <v>天使缇娜</v>
      </c>
      <c r="AR324" s="14">
        <f t="shared" si="337"/>
        <v>4</v>
      </c>
      <c r="AS324" s="14" t="str">
        <f t="shared" si="338"/>
        <v>天使缇娜魂火-8</v>
      </c>
      <c r="AT324" s="14">
        <f t="shared" si="339"/>
        <v>8</v>
      </c>
      <c r="AU324" s="14" t="str">
        <f>IF(AM324&gt;0,INDEX(挂机升级突破!$DT$4:$ED$4,AM324),"")</f>
        <v>金币</v>
      </c>
      <c r="AV324" s="14">
        <f>ROUND(INDEX(挂机升级突破!$DJ$6:$DJ$57,卡牌消耗!AT324)*INDEX(卡牌消耗!$B$8:$F$8,AR324)/$Q$4/50,0)*50</f>
        <v>2850</v>
      </c>
      <c r="AW324" s="14" t="str">
        <f>IF(AN324&gt;0,INDEX(挂机升级突破!$DT$4:$ED$4,AN324),"")</f>
        <v>蓝色基础材料</v>
      </c>
      <c r="AX324" s="14">
        <f>ROUND(INDEX(挂机升级突破!$DT$6:$ED$57,卡牌消耗!AT324,AN324)*INDEX(卡牌消耗!$B$5:$F$5,AR324)/$Q$4/5,0)*5</f>
        <v>70</v>
      </c>
      <c r="AY324" s="14" t="str">
        <f>IF(AO324&gt;0,INDEX(挂机升级突破!$DT$4:$ED$4,AO324),"")</f>
        <v/>
      </c>
      <c r="AZ324" s="14" t="str">
        <f>IF(AO324&gt;0,ROUND(INDEX(挂机升级突破!$DT$6:$ED$57,卡牌消耗!AT324,AO324)*INDEX(卡牌消耗!$B$7:$F$7,AR324)/$Q$4,0),"")</f>
        <v/>
      </c>
      <c r="BA324" s="106"/>
      <c r="BB324" s="197"/>
      <c r="BC324" s="197"/>
      <c r="BD324" s="197"/>
      <c r="BE324" s="197"/>
      <c r="BF324" s="197"/>
      <c r="BG324" s="197"/>
      <c r="BH324" s="197"/>
      <c r="BI324" s="197"/>
      <c r="BJ324" s="197"/>
      <c r="BK324" s="197"/>
      <c r="BL324" s="104">
        <v>320</v>
      </c>
      <c r="BM324" s="14">
        <f t="shared" si="340"/>
        <v>16</v>
      </c>
      <c r="BN324" s="14">
        <f>INDEX(挂机升级突破!$EI$7:$EI$26,BS324)</f>
        <v>5</v>
      </c>
      <c r="BO324" s="14">
        <f>INDEX(挂机升级突破!$EJ$7:$EJ$26,BS324)</f>
        <v>4</v>
      </c>
      <c r="BP324" s="14">
        <f t="shared" si="341"/>
        <v>4</v>
      </c>
      <c r="BQ324" s="14">
        <f>INDEX(挂机升级突破!$EH$7:$EH$26,卡牌消耗!BS324)</f>
        <v>140</v>
      </c>
      <c r="BR324" s="14" t="str">
        <f t="shared" si="342"/>
        <v>西方龙</v>
      </c>
      <c r="BS324" s="14">
        <f t="shared" si="343"/>
        <v>20</v>
      </c>
      <c r="BT324" s="14" t="str">
        <f t="shared" si="344"/>
        <v>西方龙20突</v>
      </c>
      <c r="BU324" s="14" t="str">
        <f>IF(BN324&gt;0,INDEX(挂机升级突破!$ER$5:$EV$5,卡牌消耗!BN324),"")</f>
        <v>金币</v>
      </c>
      <c r="BV324" s="14">
        <f>IF(BN324&gt;0,ROUND(INDEX(挂机升级突破!$EV$7:$EV$26,卡牌消耗!BS324)*INDEX(卡牌消耗!$B$8:$F$8,BP324)/$Q$4/500,0)*500,"")</f>
        <v>615500</v>
      </c>
      <c r="BW324" s="14" t="str">
        <f>IF(BO324&gt;0,INDEX(挂机升级突破!$ER$5:$EV$5,卡牌消耗!BO324),"")</f>
        <v>铀金</v>
      </c>
      <c r="BX324" s="14">
        <f>IF(BO324&gt;0,ROUND(INDEX(挂机升级突破!$ER$7:$EU$26,卡牌消耗!BS324,卡牌消耗!BO324)*INDEX($B$6:$F$6,BP324)/$Q$4/5,0)*5,"")</f>
        <v>50</v>
      </c>
      <c r="BY324" s="193"/>
      <c r="BZ324" s="193"/>
      <c r="CA324" s="106"/>
      <c r="CS324" s="171"/>
      <c r="CT324" s="171"/>
      <c r="CU324" s="171"/>
    </row>
    <row r="325" spans="8:99" ht="16.5" x14ac:dyDescent="0.2">
      <c r="H325" s="15"/>
      <c r="I325" s="15"/>
      <c r="J325" s="15"/>
      <c r="K325" s="15"/>
      <c r="L325" s="15"/>
      <c r="M325" s="15"/>
      <c r="N325" s="15"/>
      <c r="O325" s="137"/>
      <c r="P325" s="141"/>
      <c r="Q325" s="141"/>
      <c r="R325" s="141"/>
      <c r="S325" s="141"/>
      <c r="T325" s="141"/>
      <c r="U325" s="141"/>
      <c r="V325" s="141"/>
      <c r="W325" s="141"/>
      <c r="X325" s="141"/>
      <c r="Y325" s="141"/>
      <c r="Z325" s="141"/>
      <c r="AA325" s="194"/>
      <c r="AB325" s="194"/>
      <c r="AC325" s="194"/>
      <c r="AD325" s="194"/>
      <c r="AE325" s="194"/>
      <c r="AF325" s="194"/>
      <c r="AG325" s="197"/>
      <c r="AH325" s="194"/>
      <c r="AI325" s="194"/>
      <c r="AJ325" s="194"/>
      <c r="AK325" s="104">
        <v>321</v>
      </c>
      <c r="AL325" s="14">
        <f t="shared" si="335"/>
        <v>7</v>
      </c>
      <c r="AM325" s="14">
        <f>INDEX(挂机升级突破!DQ$6:DQ$57,卡牌消耗!$AT325)</f>
        <v>11</v>
      </c>
      <c r="AN325" s="14">
        <f>INDEX(挂机升级突破!DR$6:DR$57,卡牌消耗!$AT325)</f>
        <v>2</v>
      </c>
      <c r="AO325" s="14">
        <f>INDEX(挂机升级突破!DS$6:DS$57,卡牌消耗!$AT325)</f>
        <v>0</v>
      </c>
      <c r="AP325" s="14">
        <f>INDEX(挂机升级突破!$DP$6:$DP$57,卡牌消耗!AT325)</f>
        <v>40</v>
      </c>
      <c r="AQ325" s="14" t="str">
        <f t="shared" si="336"/>
        <v>天使缇娜</v>
      </c>
      <c r="AR325" s="14">
        <f t="shared" si="337"/>
        <v>4</v>
      </c>
      <c r="AS325" s="14" t="str">
        <f t="shared" si="338"/>
        <v>天使缇娜魂火-9</v>
      </c>
      <c r="AT325" s="14">
        <f t="shared" si="339"/>
        <v>9</v>
      </c>
      <c r="AU325" s="14" t="str">
        <f>IF(AM325&gt;0,INDEX(挂机升级突破!$DT$4:$ED$4,AM325),"")</f>
        <v>金币</v>
      </c>
      <c r="AV325" s="14">
        <f>ROUND(INDEX(挂机升级突破!$DJ$6:$DJ$57,卡牌消耗!AT325)*INDEX(卡牌消耗!$B$8:$F$8,AR325)/$Q$4/50,0)*50</f>
        <v>2850</v>
      </c>
      <c r="AW325" s="14" t="str">
        <f>IF(AN325&gt;0,INDEX(挂机升级突破!$DT$4:$ED$4,AN325),"")</f>
        <v>蓝色基础材料</v>
      </c>
      <c r="AX325" s="14">
        <f>ROUND(INDEX(挂机升级突破!$DT$6:$ED$57,卡牌消耗!AT325,AN325)*INDEX(卡牌消耗!$B$5:$F$5,AR325)/$Q$4/5,0)*5</f>
        <v>70</v>
      </c>
      <c r="AY325" s="14" t="str">
        <f>IF(AO325&gt;0,INDEX(挂机升级突破!$DT$4:$ED$4,AO325),"")</f>
        <v/>
      </c>
      <c r="AZ325" s="14" t="str">
        <f>IF(AO325&gt;0,ROUND(INDEX(挂机升级突破!$DT$6:$ED$57,卡牌消耗!AT325,AO325)*INDEX(卡牌消耗!$B$7:$F$7,AR325)/$Q$4,0),"")</f>
        <v/>
      </c>
      <c r="BA325" s="106"/>
      <c r="BB325" s="197"/>
      <c r="BC325" s="197"/>
      <c r="BD325" s="197"/>
      <c r="BE325" s="197"/>
      <c r="BF325" s="197"/>
      <c r="BG325" s="197"/>
      <c r="BH325" s="197"/>
      <c r="BI325" s="197"/>
      <c r="BJ325" s="197"/>
      <c r="BK325" s="197"/>
      <c r="BL325" s="104">
        <v>321</v>
      </c>
      <c r="BM325" s="14">
        <f t="shared" si="340"/>
        <v>17</v>
      </c>
      <c r="BN325" s="14">
        <f>INDEX(挂机升级突破!$EI$7:$EI$26,BS325)</f>
        <v>0</v>
      </c>
      <c r="BO325" s="14">
        <f>INDEX(挂机升级突破!$EJ$7:$EJ$26,BS325)</f>
        <v>0</v>
      </c>
      <c r="BP325" s="14">
        <f t="shared" si="341"/>
        <v>3</v>
      </c>
      <c r="BQ325" s="14">
        <f>INDEX(挂机升级突破!$EH$7:$EH$26,卡牌消耗!BS325)</f>
        <v>1</v>
      </c>
      <c r="BR325" s="14" t="str">
        <f t="shared" si="342"/>
        <v>飞廉</v>
      </c>
      <c r="BS325" s="14">
        <f t="shared" si="343"/>
        <v>1</v>
      </c>
      <c r="BT325" s="14" t="str">
        <f t="shared" si="344"/>
        <v>飞廉1突</v>
      </c>
      <c r="BU325" s="14" t="str">
        <f>IF(BN325&gt;0,INDEX(挂机升级突破!$ER$5:$EV$5,卡牌消耗!BN325),"")</f>
        <v/>
      </c>
      <c r="BV325" s="14" t="str">
        <f>IF(BN325&gt;0,ROUND(INDEX(挂机升级突破!$EV$7:$EV$26,卡牌消耗!BS325)*INDEX(卡牌消耗!$B$8:$F$8,BP325)/$Q$4/500,0)*500,"")</f>
        <v/>
      </c>
      <c r="BW325" s="14" t="str">
        <f>IF(BO325&gt;0,INDEX(挂机升级突破!$ER$5:$EV$5,卡牌消耗!BO325),"")</f>
        <v/>
      </c>
      <c r="BX325" s="14" t="str">
        <f>IF(BO325&gt;0,ROUND(INDEX(挂机升级突破!$ER$7:$EU$26,卡牌消耗!BS325,卡牌消耗!BO325)*INDEX($B$6:$F$6,BP325)/$Q$4/5,0)*5,"")</f>
        <v/>
      </c>
      <c r="BY325" s="193"/>
      <c r="BZ325" s="193"/>
      <c r="CA325" s="106"/>
      <c r="CS325" s="171"/>
      <c r="CT325" s="171"/>
      <c r="CU325" s="171"/>
    </row>
    <row r="326" spans="8:99" ht="16.5" x14ac:dyDescent="0.2">
      <c r="H326" s="15"/>
      <c r="I326" s="15"/>
      <c r="J326" s="15"/>
      <c r="K326" s="15"/>
      <c r="L326" s="15"/>
      <c r="M326" s="15"/>
      <c r="N326" s="15"/>
      <c r="O326" s="137"/>
      <c r="P326" s="141"/>
      <c r="Q326" s="141"/>
      <c r="R326" s="141"/>
      <c r="S326" s="141"/>
      <c r="T326" s="141"/>
      <c r="U326" s="141"/>
      <c r="V326" s="141"/>
      <c r="W326" s="141"/>
      <c r="X326" s="141"/>
      <c r="Y326" s="141"/>
      <c r="Z326" s="141"/>
      <c r="AA326" s="194"/>
      <c r="AB326" s="194"/>
      <c r="AC326" s="194"/>
      <c r="AD326" s="194"/>
      <c r="AE326" s="194"/>
      <c r="AF326" s="194"/>
      <c r="AG326" s="197"/>
      <c r="AH326" s="194"/>
      <c r="AI326" s="194"/>
      <c r="AJ326" s="194"/>
      <c r="AK326" s="104">
        <v>322</v>
      </c>
      <c r="AL326" s="14">
        <f t="shared" ref="AL326:AL389" si="345">INT((AK326-1)/52)+1</f>
        <v>7</v>
      </c>
      <c r="AM326" s="14">
        <f>INDEX(挂机升级突破!DQ$6:DQ$57,卡牌消耗!$AT326)</f>
        <v>11</v>
      </c>
      <c r="AN326" s="14">
        <f>INDEX(挂机升级突破!DR$6:DR$57,卡牌消耗!$AT326)</f>
        <v>2</v>
      </c>
      <c r="AO326" s="14">
        <f>INDEX(挂机升级突破!DS$6:DS$57,卡牌消耗!$AT326)</f>
        <v>0</v>
      </c>
      <c r="AP326" s="14">
        <f>INDEX(挂机升级突破!$DP$6:$DP$57,卡牌消耗!AT326)</f>
        <v>43</v>
      </c>
      <c r="AQ326" s="14" t="str">
        <f t="shared" ref="AQ326:AQ389" si="346">INDEX($B$13:$B$45,AL326)</f>
        <v>天使缇娜</v>
      </c>
      <c r="AR326" s="14">
        <f t="shared" ref="AR326:AR389" si="347">INDEX($C$13:$C$45,AL326)</f>
        <v>4</v>
      </c>
      <c r="AS326" s="14" t="str">
        <f t="shared" ref="AS326:AS389" si="348">AQ326&amp;"魂火-"&amp;AT326</f>
        <v>天使缇娜魂火-10</v>
      </c>
      <c r="AT326" s="14">
        <f t="shared" ref="AT326:AT389" si="349">AK326-(AL326-1)*52</f>
        <v>10</v>
      </c>
      <c r="AU326" s="14" t="str">
        <f>IF(AM326&gt;0,INDEX(挂机升级突破!$DT$4:$ED$4,AM326),"")</f>
        <v>金币</v>
      </c>
      <c r="AV326" s="14">
        <f>ROUND(INDEX(挂机升级突破!$DJ$6:$DJ$57,卡牌消耗!AT326)*INDEX(卡牌消耗!$B$8:$F$8,AR326)/$Q$4/50,0)*50</f>
        <v>4750</v>
      </c>
      <c r="AW326" s="14" t="str">
        <f>IF(AN326&gt;0,INDEX(挂机升级突破!$DT$4:$ED$4,AN326),"")</f>
        <v>蓝色基础材料</v>
      </c>
      <c r="AX326" s="14">
        <f>ROUND(INDEX(挂机升级突破!$DT$6:$ED$57,卡牌消耗!AT326,AN326)*INDEX(卡牌消耗!$B$5:$F$5,AR326)/$Q$4/5,0)*5</f>
        <v>105</v>
      </c>
      <c r="AY326" s="14" t="str">
        <f>IF(AO326&gt;0,INDEX(挂机升级突破!$DT$4:$ED$4,AO326),"")</f>
        <v/>
      </c>
      <c r="AZ326" s="14" t="str">
        <f>IF(AO326&gt;0,ROUND(INDEX(挂机升级突破!$DT$6:$ED$57,卡牌消耗!AT326,AO326)*INDEX(卡牌消耗!$B$7:$F$7,AR326)/$Q$4,0),"")</f>
        <v/>
      </c>
      <c r="BA326" s="106"/>
      <c r="BB326" s="197"/>
      <c r="BC326" s="197"/>
      <c r="BD326" s="197"/>
      <c r="BE326" s="197"/>
      <c r="BF326" s="197"/>
      <c r="BG326" s="197"/>
      <c r="BH326" s="197"/>
      <c r="BI326" s="197"/>
      <c r="BJ326" s="197"/>
      <c r="BK326" s="197"/>
      <c r="BL326" s="104">
        <v>322</v>
      </c>
      <c r="BM326" s="14">
        <f t="shared" ref="BM326:BM389" si="350">INT((BL326-1)/20)+1</f>
        <v>17</v>
      </c>
      <c r="BN326" s="14">
        <f>INDEX(挂机升级突破!$EI$7:$EI$26,BS326)</f>
        <v>5</v>
      </c>
      <c r="BO326" s="14">
        <f>INDEX(挂机升级突破!$EJ$7:$EJ$26,BS326)</f>
        <v>1</v>
      </c>
      <c r="BP326" s="14">
        <f t="shared" ref="BP326:BP389" si="351">INDEX($C$13:$C$45,BM326)</f>
        <v>3</v>
      </c>
      <c r="BQ326" s="14">
        <f>INDEX(挂机升级突破!$EH$7:$EH$26,卡牌消耗!BS326)</f>
        <v>5</v>
      </c>
      <c r="BR326" s="14" t="str">
        <f t="shared" ref="BR326:BR389" si="352">INDEX($B$13:$B$45,BM326)</f>
        <v>飞廉</v>
      </c>
      <c r="BS326" s="14">
        <f t="shared" ref="BS326:BS389" si="353">BL326-(BM326-1)*20</f>
        <v>2</v>
      </c>
      <c r="BT326" s="14" t="str">
        <f t="shared" ref="BT326:BT389" si="354">BR326&amp;BS326&amp;"突"</f>
        <v>飞廉2突</v>
      </c>
      <c r="BU326" s="14" t="str">
        <f>IF(BN326&gt;0,INDEX(挂机升级突破!$ER$5:$EV$5,卡牌消耗!BN326),"")</f>
        <v>金币</v>
      </c>
      <c r="BV326" s="14">
        <f>IF(BN326&gt;0,ROUND(INDEX(挂机升级突破!$EV$7:$EV$26,卡牌消耗!BS326)*INDEX(卡牌消耗!$B$8:$F$8,BP326)/$Q$4/500,0)*500,"")</f>
        <v>3000</v>
      </c>
      <c r="BW326" s="14" t="str">
        <f>IF(BO326&gt;0,INDEX(挂机升级突破!$ER$5:$EV$5,卡牌消耗!BO326),"")</f>
        <v>玄铁</v>
      </c>
      <c r="BX326" s="14">
        <f>IF(BO326&gt;0,ROUND(INDEX(挂机升级突破!$ER$7:$EU$26,卡牌消耗!BS326,卡牌消耗!BO326)*INDEX($B$6:$F$6,BP326)/$Q$4,0),"")</f>
        <v>2</v>
      </c>
      <c r="BY326" s="193"/>
      <c r="BZ326" s="193"/>
      <c r="CA326" s="106"/>
      <c r="CS326" s="171"/>
      <c r="CT326" s="171"/>
      <c r="CU326" s="171"/>
    </row>
    <row r="327" spans="8:99" ht="16.5" x14ac:dyDescent="0.2">
      <c r="H327" s="15"/>
      <c r="I327" s="15"/>
      <c r="J327" s="15"/>
      <c r="K327" s="15"/>
      <c r="L327" s="15"/>
      <c r="M327" s="15"/>
      <c r="N327" s="15"/>
      <c r="O327" s="137"/>
      <c r="P327" s="141"/>
      <c r="Q327" s="141"/>
      <c r="R327" s="141"/>
      <c r="S327" s="141"/>
      <c r="T327" s="141"/>
      <c r="U327" s="141"/>
      <c r="V327" s="141"/>
      <c r="W327" s="141"/>
      <c r="X327" s="141"/>
      <c r="Y327" s="141"/>
      <c r="Z327" s="141"/>
      <c r="AA327" s="194"/>
      <c r="AB327" s="194"/>
      <c r="AC327" s="194"/>
      <c r="AD327" s="194"/>
      <c r="AE327" s="194"/>
      <c r="AF327" s="194"/>
      <c r="AG327" s="197"/>
      <c r="AH327" s="194"/>
      <c r="AI327" s="194"/>
      <c r="AJ327" s="194"/>
      <c r="AK327" s="104">
        <v>323</v>
      </c>
      <c r="AL327" s="14">
        <f t="shared" si="345"/>
        <v>7</v>
      </c>
      <c r="AM327" s="14">
        <f>INDEX(挂机升级突破!DQ$6:DQ$57,卡牌消耗!$AT327)</f>
        <v>11</v>
      </c>
      <c r="AN327" s="14">
        <f>INDEX(挂机升级突破!DR$6:DR$57,卡牌消耗!$AT327)</f>
        <v>2</v>
      </c>
      <c r="AO327" s="14">
        <f>INDEX(挂机升级突破!DS$6:DS$57,卡牌消耗!$AT327)</f>
        <v>0</v>
      </c>
      <c r="AP327" s="14">
        <f>INDEX(挂机升级突破!$DP$6:$DP$57,卡牌消耗!AT327)</f>
        <v>45</v>
      </c>
      <c r="AQ327" s="14" t="str">
        <f t="shared" si="346"/>
        <v>天使缇娜</v>
      </c>
      <c r="AR327" s="14">
        <f t="shared" si="347"/>
        <v>4</v>
      </c>
      <c r="AS327" s="14" t="str">
        <f t="shared" si="348"/>
        <v>天使缇娜魂火-11</v>
      </c>
      <c r="AT327" s="14">
        <f t="shared" si="349"/>
        <v>11</v>
      </c>
      <c r="AU327" s="14" t="str">
        <f>IF(AM327&gt;0,INDEX(挂机升级突破!$DT$4:$ED$4,AM327),"")</f>
        <v>金币</v>
      </c>
      <c r="AV327" s="14">
        <f>ROUND(INDEX(挂机升级突破!$DJ$6:$DJ$57,卡牌消耗!AT327)*INDEX(卡牌消耗!$B$8:$F$8,AR327)/$Q$4/50,0)*50</f>
        <v>4750</v>
      </c>
      <c r="AW327" s="14" t="str">
        <f>IF(AN327&gt;0,INDEX(挂机升级突破!$DT$4:$ED$4,AN327),"")</f>
        <v>蓝色基础材料</v>
      </c>
      <c r="AX327" s="14">
        <f>ROUND(INDEX(挂机升级突破!$DT$6:$ED$57,卡牌消耗!AT327,AN327)*INDEX(卡牌消耗!$B$5:$F$5,AR327)/$Q$4/5,0)*5</f>
        <v>105</v>
      </c>
      <c r="AY327" s="14" t="str">
        <f>IF(AO327&gt;0,INDEX(挂机升级突破!$DT$4:$ED$4,AO327),"")</f>
        <v/>
      </c>
      <c r="AZ327" s="14" t="str">
        <f>IF(AO327&gt;0,ROUND(INDEX(挂机升级突破!$DT$6:$ED$57,卡牌消耗!AT327,AO327)*INDEX(卡牌消耗!$B$7:$F$7,AR327)/$Q$4,0),"")</f>
        <v/>
      </c>
      <c r="BA327" s="106"/>
      <c r="BB327" s="197"/>
      <c r="BC327" s="197"/>
      <c r="BD327" s="197"/>
      <c r="BE327" s="197"/>
      <c r="BF327" s="197"/>
      <c r="BG327" s="197"/>
      <c r="BH327" s="197"/>
      <c r="BI327" s="197"/>
      <c r="BJ327" s="197"/>
      <c r="BK327" s="197"/>
      <c r="BL327" s="104">
        <v>323</v>
      </c>
      <c r="BM327" s="14">
        <f t="shared" si="350"/>
        <v>17</v>
      </c>
      <c r="BN327" s="14">
        <f>INDEX(挂机升级突破!$EI$7:$EI$26,BS327)</f>
        <v>5</v>
      </c>
      <c r="BO327" s="14">
        <f>INDEX(挂机升级突破!$EJ$7:$EJ$26,BS327)</f>
        <v>1</v>
      </c>
      <c r="BP327" s="14">
        <f t="shared" si="351"/>
        <v>3</v>
      </c>
      <c r="BQ327" s="14">
        <f>INDEX(挂机升级突破!$EH$7:$EH$26,卡牌消耗!BS327)</f>
        <v>15</v>
      </c>
      <c r="BR327" s="14" t="str">
        <f t="shared" si="352"/>
        <v>飞廉</v>
      </c>
      <c r="BS327" s="14">
        <f t="shared" si="353"/>
        <v>3</v>
      </c>
      <c r="BT327" s="14" t="str">
        <f t="shared" si="354"/>
        <v>飞廉3突</v>
      </c>
      <c r="BU327" s="14" t="str">
        <f>IF(BN327&gt;0,INDEX(挂机升级突破!$ER$5:$EV$5,卡牌消耗!BN327),"")</f>
        <v>金币</v>
      </c>
      <c r="BV327" s="14">
        <f>IF(BN327&gt;0,ROUND(INDEX(挂机升级突破!$EV$7:$EV$26,卡牌消耗!BS327)*INDEX(卡牌消耗!$B$8:$F$8,BP327)/$Q$4/500,0)*500,"")</f>
        <v>3000</v>
      </c>
      <c r="BW327" s="14" t="str">
        <f>IF(BO327&gt;0,INDEX(挂机升级突破!$ER$5:$EV$5,卡牌消耗!BO327),"")</f>
        <v>玄铁</v>
      </c>
      <c r="BX327" s="14">
        <f>IF(BO327&gt;0,ROUND(INDEX(挂机升级突破!$ER$7:$EU$26,卡牌消耗!BS327,卡牌消耗!BO327)*INDEX($B$6:$F$6,BP327)/$Q$4,0),"")</f>
        <v>5</v>
      </c>
      <c r="BY327" s="193"/>
      <c r="BZ327" s="193"/>
      <c r="CA327" s="106"/>
      <c r="CS327" s="171"/>
      <c r="CT327" s="171"/>
      <c r="CU327" s="171"/>
    </row>
    <row r="328" spans="8:99" ht="16.5" x14ac:dyDescent="0.2">
      <c r="H328" s="15"/>
      <c r="I328" s="15"/>
      <c r="J328" s="15"/>
      <c r="K328" s="15"/>
      <c r="L328" s="15"/>
      <c r="M328" s="15"/>
      <c r="N328" s="15"/>
      <c r="O328" s="137"/>
      <c r="P328" s="141"/>
      <c r="Q328" s="141"/>
      <c r="R328" s="141"/>
      <c r="S328" s="141"/>
      <c r="T328" s="141"/>
      <c r="U328" s="141"/>
      <c r="V328" s="141"/>
      <c r="W328" s="141"/>
      <c r="X328" s="141"/>
      <c r="Y328" s="141"/>
      <c r="Z328" s="141"/>
      <c r="AA328" s="194"/>
      <c r="AB328" s="194"/>
      <c r="AC328" s="194"/>
      <c r="AD328" s="194"/>
      <c r="AE328" s="194"/>
      <c r="AF328" s="194"/>
      <c r="AG328" s="197"/>
      <c r="AH328" s="194"/>
      <c r="AI328" s="194"/>
      <c r="AJ328" s="194"/>
      <c r="AK328" s="104">
        <v>324</v>
      </c>
      <c r="AL328" s="14">
        <f t="shared" si="345"/>
        <v>7</v>
      </c>
      <c r="AM328" s="14">
        <f>INDEX(挂机升级突破!DQ$6:DQ$57,卡牌消耗!$AT328)</f>
        <v>11</v>
      </c>
      <c r="AN328" s="14">
        <f>INDEX(挂机升级突破!DR$6:DR$57,卡牌消耗!$AT328)</f>
        <v>2</v>
      </c>
      <c r="AO328" s="14">
        <f>INDEX(挂机升级突破!DS$6:DS$57,卡牌消耗!$AT328)</f>
        <v>0</v>
      </c>
      <c r="AP328" s="14">
        <f>INDEX(挂机升级突破!$DP$6:$DP$57,卡牌消耗!AT328)</f>
        <v>48</v>
      </c>
      <c r="AQ328" s="14" t="str">
        <f t="shared" si="346"/>
        <v>天使缇娜</v>
      </c>
      <c r="AR328" s="14">
        <f t="shared" si="347"/>
        <v>4</v>
      </c>
      <c r="AS328" s="14" t="str">
        <f t="shared" si="348"/>
        <v>天使缇娜魂火-12</v>
      </c>
      <c r="AT328" s="14">
        <f t="shared" si="349"/>
        <v>12</v>
      </c>
      <c r="AU328" s="14" t="str">
        <f>IF(AM328&gt;0,INDEX(挂机升级突破!$DT$4:$ED$4,AM328),"")</f>
        <v>金币</v>
      </c>
      <c r="AV328" s="14">
        <f>ROUND(INDEX(挂机升级突破!$DJ$6:$DJ$57,卡牌消耗!AT328)*INDEX(卡牌消耗!$B$8:$F$8,AR328)/$Q$4/50,0)*50</f>
        <v>4100</v>
      </c>
      <c r="AW328" s="14" t="str">
        <f>IF(AN328&gt;0,INDEX(挂机升级突破!$DT$4:$ED$4,AN328),"")</f>
        <v>蓝色基础材料</v>
      </c>
      <c r="AX328" s="14">
        <f>ROUND(INDEX(挂机升级突破!$DT$6:$ED$57,卡牌消耗!AT328,AN328)*INDEX(卡牌消耗!$B$5:$F$5,AR328)/$Q$4/5,0)*5</f>
        <v>140</v>
      </c>
      <c r="AY328" s="14" t="str">
        <f>IF(AO328&gt;0,INDEX(挂机升级突破!$DT$4:$ED$4,AO328),"")</f>
        <v/>
      </c>
      <c r="AZ328" s="14" t="str">
        <f>IF(AO328&gt;0,ROUND(INDEX(挂机升级突破!$DT$6:$ED$57,卡牌消耗!AT328,AO328)*INDEX(卡牌消耗!$B$7:$F$7,AR328)/$Q$4,0),"")</f>
        <v/>
      </c>
      <c r="BA328" s="106"/>
      <c r="BB328" s="197"/>
      <c r="BC328" s="197"/>
      <c r="BD328" s="197"/>
      <c r="BE328" s="197"/>
      <c r="BF328" s="197"/>
      <c r="BG328" s="197"/>
      <c r="BH328" s="197"/>
      <c r="BI328" s="197"/>
      <c r="BJ328" s="197"/>
      <c r="BK328" s="197"/>
      <c r="BL328" s="104">
        <v>324</v>
      </c>
      <c r="BM328" s="14">
        <f t="shared" si="350"/>
        <v>17</v>
      </c>
      <c r="BN328" s="14">
        <f>INDEX(挂机升级突破!$EI$7:$EI$26,BS328)</f>
        <v>5</v>
      </c>
      <c r="BO328" s="14">
        <f>INDEX(挂机升级突破!$EJ$7:$EJ$26,BS328)</f>
        <v>1</v>
      </c>
      <c r="BP328" s="14">
        <f t="shared" si="351"/>
        <v>3</v>
      </c>
      <c r="BQ328" s="14">
        <f>INDEX(挂机升级突破!$EH$7:$EH$26,卡牌消耗!BS328)</f>
        <v>25</v>
      </c>
      <c r="BR328" s="14" t="str">
        <f t="shared" si="352"/>
        <v>飞廉</v>
      </c>
      <c r="BS328" s="14">
        <f t="shared" si="353"/>
        <v>4</v>
      </c>
      <c r="BT328" s="14" t="str">
        <f t="shared" si="354"/>
        <v>飞廉4突</v>
      </c>
      <c r="BU328" s="14" t="str">
        <f>IF(BN328&gt;0,INDEX(挂机升级突破!$ER$5:$EV$5,卡牌消耗!BN328),"")</f>
        <v>金币</v>
      </c>
      <c r="BV328" s="14">
        <f>IF(BN328&gt;0,ROUND(INDEX(挂机升级突破!$EV$7:$EV$26,卡牌消耗!BS328)*INDEX(卡牌消耗!$B$8:$F$8,BP328)/$Q$4/500,0)*500,"")</f>
        <v>4000</v>
      </c>
      <c r="BW328" s="14" t="str">
        <f>IF(BO328&gt;0,INDEX(挂机升级突破!$ER$5:$EV$5,卡牌消耗!BO328),"")</f>
        <v>玄铁</v>
      </c>
      <c r="BX328" s="14">
        <f>IF(BO328&gt;0,ROUND(INDEX(挂机升级突破!$ER$7:$EU$26,卡牌消耗!BS328,卡牌消耗!BO328)*INDEX($B$6:$F$6,BP328)/$Q$4,0),"")</f>
        <v>17</v>
      </c>
      <c r="BY328" s="193"/>
      <c r="BZ328" s="193"/>
      <c r="CA328" s="106"/>
      <c r="CS328" s="171"/>
      <c r="CT328" s="171"/>
      <c r="CU328" s="171"/>
    </row>
    <row r="329" spans="8:99" ht="16.5" x14ac:dyDescent="0.2">
      <c r="H329" s="15"/>
      <c r="I329" s="15"/>
      <c r="J329" s="15"/>
      <c r="K329" s="15"/>
      <c r="L329" s="15"/>
      <c r="M329" s="15"/>
      <c r="N329" s="15"/>
      <c r="O329" s="137"/>
      <c r="P329" s="141"/>
      <c r="Q329" s="141"/>
      <c r="R329" s="141"/>
      <c r="S329" s="141"/>
      <c r="T329" s="141"/>
      <c r="U329" s="141"/>
      <c r="V329" s="141"/>
      <c r="W329" s="141"/>
      <c r="X329" s="141"/>
      <c r="Y329" s="141"/>
      <c r="Z329" s="141"/>
      <c r="AA329" s="194"/>
      <c r="AB329" s="194"/>
      <c r="AC329" s="194"/>
      <c r="AD329" s="194"/>
      <c r="AE329" s="194"/>
      <c r="AF329" s="194"/>
      <c r="AG329" s="197"/>
      <c r="AH329" s="194"/>
      <c r="AI329" s="194"/>
      <c r="AJ329" s="194"/>
      <c r="AK329" s="104">
        <v>325</v>
      </c>
      <c r="AL329" s="14">
        <f t="shared" si="345"/>
        <v>7</v>
      </c>
      <c r="AM329" s="14">
        <f>INDEX(挂机升级突破!DQ$6:DQ$57,卡牌消耗!$AT329)</f>
        <v>11</v>
      </c>
      <c r="AN329" s="14">
        <f>INDEX(挂机升级突破!DR$6:DR$57,卡牌消耗!$AT329)</f>
        <v>2</v>
      </c>
      <c r="AO329" s="14">
        <f>INDEX(挂机升级突破!DS$6:DS$57,卡牌消耗!$AT329)</f>
        <v>0</v>
      </c>
      <c r="AP329" s="14">
        <f>INDEX(挂机升级突破!$DP$6:$DP$57,卡牌消耗!AT329)</f>
        <v>50</v>
      </c>
      <c r="AQ329" s="14" t="str">
        <f t="shared" si="346"/>
        <v>天使缇娜</v>
      </c>
      <c r="AR329" s="14">
        <f t="shared" si="347"/>
        <v>4</v>
      </c>
      <c r="AS329" s="14" t="str">
        <f t="shared" si="348"/>
        <v>天使缇娜魂火-13</v>
      </c>
      <c r="AT329" s="14">
        <f t="shared" si="349"/>
        <v>13</v>
      </c>
      <c r="AU329" s="14" t="str">
        <f>IF(AM329&gt;0,INDEX(挂机升级突破!$DT$4:$ED$4,AM329),"")</f>
        <v>金币</v>
      </c>
      <c r="AV329" s="14">
        <f>ROUND(INDEX(挂机升级突破!$DJ$6:$DJ$57,卡牌消耗!AT329)*INDEX(卡牌消耗!$B$8:$F$8,AR329)/$Q$4/50,0)*50</f>
        <v>4100</v>
      </c>
      <c r="AW329" s="14" t="str">
        <f>IF(AN329&gt;0,INDEX(挂机升级突破!$DT$4:$ED$4,AN329),"")</f>
        <v>蓝色基础材料</v>
      </c>
      <c r="AX329" s="14">
        <f>ROUND(INDEX(挂机升级突破!$DT$6:$ED$57,卡牌消耗!AT329,AN329)*INDEX(卡牌消耗!$B$5:$F$5,AR329)/$Q$4/5,0)*5</f>
        <v>140</v>
      </c>
      <c r="AY329" s="14" t="str">
        <f>IF(AO329&gt;0,INDEX(挂机升级突破!$DT$4:$ED$4,AO329),"")</f>
        <v/>
      </c>
      <c r="AZ329" s="14" t="str">
        <f>IF(AO329&gt;0,ROUND(INDEX(挂机升级突破!$DT$6:$ED$57,卡牌消耗!AT329,AO329)*INDEX(卡牌消耗!$B$7:$F$7,AR329)/$Q$4,0),"")</f>
        <v/>
      </c>
      <c r="BA329" s="106"/>
      <c r="BB329" s="197"/>
      <c r="BC329" s="197"/>
      <c r="BD329" s="197"/>
      <c r="BE329" s="197"/>
      <c r="BF329" s="197"/>
      <c r="BG329" s="197"/>
      <c r="BH329" s="197"/>
      <c r="BI329" s="197"/>
      <c r="BJ329" s="197"/>
      <c r="BK329" s="197"/>
      <c r="BL329" s="104">
        <v>325</v>
      </c>
      <c r="BM329" s="14">
        <f t="shared" si="350"/>
        <v>17</v>
      </c>
      <c r="BN329" s="14">
        <f>INDEX(挂机升级突破!$EI$7:$EI$26,BS329)</f>
        <v>5</v>
      </c>
      <c r="BO329" s="14">
        <f>INDEX(挂机升级突破!$EJ$7:$EJ$26,BS329)</f>
        <v>1</v>
      </c>
      <c r="BP329" s="14">
        <f t="shared" si="351"/>
        <v>3</v>
      </c>
      <c r="BQ329" s="14">
        <f>INDEX(挂机升级突破!$EH$7:$EH$26,卡牌消耗!BS329)</f>
        <v>35</v>
      </c>
      <c r="BR329" s="14" t="str">
        <f t="shared" si="352"/>
        <v>飞廉</v>
      </c>
      <c r="BS329" s="14">
        <f t="shared" si="353"/>
        <v>5</v>
      </c>
      <c r="BT329" s="14" t="str">
        <f t="shared" si="354"/>
        <v>飞廉5突</v>
      </c>
      <c r="BU329" s="14" t="str">
        <f>IF(BN329&gt;0,INDEX(挂机升级突破!$ER$5:$EV$5,卡牌消耗!BN329),"")</f>
        <v>金币</v>
      </c>
      <c r="BV329" s="14">
        <f>IF(BN329&gt;0,ROUND(INDEX(挂机升级突破!$EV$7:$EV$26,卡牌消耗!BS329)*INDEX(卡牌消耗!$B$8:$F$8,BP329)/$Q$4/500,0)*500,"")</f>
        <v>4000</v>
      </c>
      <c r="BW329" s="14" t="str">
        <f>IF(BO329&gt;0,INDEX(挂机升级突破!$ER$5:$EV$5,卡牌消耗!BO329),"")</f>
        <v>玄铁</v>
      </c>
      <c r="BX329" s="14">
        <f>IF(BO329&gt;0,ROUND(INDEX(挂机升级突破!$ER$7:$EU$26,卡牌消耗!BS329,卡牌消耗!BO329)*INDEX($B$6:$F$6,BP329)/$Q$4/5,0)*5,"")</f>
        <v>35</v>
      </c>
      <c r="BY329" s="193"/>
      <c r="BZ329" s="193"/>
      <c r="CA329" s="106"/>
      <c r="CS329" s="171"/>
      <c r="CT329" s="171"/>
      <c r="CU329" s="171"/>
    </row>
    <row r="330" spans="8:99" ht="16.5" x14ac:dyDescent="0.2">
      <c r="H330" s="15"/>
      <c r="I330" s="15"/>
      <c r="J330" s="15"/>
      <c r="K330" s="15"/>
      <c r="L330" s="15"/>
      <c r="M330" s="15"/>
      <c r="N330" s="15"/>
      <c r="O330" s="137"/>
      <c r="P330" s="141"/>
      <c r="Q330" s="141"/>
      <c r="R330" s="141"/>
      <c r="S330" s="141"/>
      <c r="T330" s="141"/>
      <c r="U330" s="141"/>
      <c r="V330" s="141"/>
      <c r="W330" s="141"/>
      <c r="X330" s="141"/>
      <c r="Y330" s="141"/>
      <c r="Z330" s="141"/>
      <c r="AA330" s="194"/>
      <c r="AB330" s="194"/>
      <c r="AC330" s="194"/>
      <c r="AD330" s="194"/>
      <c r="AE330" s="194"/>
      <c r="AF330" s="194"/>
      <c r="AG330" s="197"/>
      <c r="AH330" s="194"/>
      <c r="AI330" s="194"/>
      <c r="AJ330" s="194"/>
      <c r="AK330" s="104">
        <v>326</v>
      </c>
      <c r="AL330" s="14">
        <f t="shared" si="345"/>
        <v>7</v>
      </c>
      <c r="AM330" s="14">
        <f>INDEX(挂机升级突破!DQ$6:DQ$57,卡牌消耗!$AT330)</f>
        <v>11</v>
      </c>
      <c r="AN330" s="14">
        <f>INDEX(挂机升级突破!DR$6:DR$57,卡牌消耗!$AT330)</f>
        <v>3</v>
      </c>
      <c r="AO330" s="14">
        <f>INDEX(挂机升级突破!DS$6:DS$57,卡牌消耗!$AT330)</f>
        <v>0</v>
      </c>
      <c r="AP330" s="14">
        <f>INDEX(挂机升级突破!$DP$6:$DP$57,卡牌消耗!AT330)</f>
        <v>53</v>
      </c>
      <c r="AQ330" s="14" t="str">
        <f t="shared" si="346"/>
        <v>天使缇娜</v>
      </c>
      <c r="AR330" s="14">
        <f t="shared" si="347"/>
        <v>4</v>
      </c>
      <c r="AS330" s="14" t="str">
        <f t="shared" si="348"/>
        <v>天使缇娜魂火-14</v>
      </c>
      <c r="AT330" s="14">
        <f t="shared" si="349"/>
        <v>14</v>
      </c>
      <c r="AU330" s="14" t="str">
        <f>IF(AM330&gt;0,INDEX(挂机升级突破!$DT$4:$ED$4,AM330),"")</f>
        <v>金币</v>
      </c>
      <c r="AV330" s="14">
        <f>ROUND(INDEX(挂机升级突破!$DJ$6:$DJ$57,卡牌消耗!AT330)*INDEX(卡牌消耗!$B$8:$F$8,AR330)/$Q$4/50,0)*50</f>
        <v>4500</v>
      </c>
      <c r="AW330" s="14" t="str">
        <f>IF(AN330&gt;0,INDEX(挂机升级突破!$DT$4:$ED$4,AN330),"")</f>
        <v>紫色基础材料</v>
      </c>
      <c r="AX330" s="14">
        <f>ROUND(INDEX(挂机升级突破!$DT$6:$ED$57,卡牌消耗!AT330,AN330)*INDEX(卡牌消耗!$B$5:$F$5,AR330)/$Q$4/5,0)*5</f>
        <v>30</v>
      </c>
      <c r="AY330" s="14" t="str">
        <f>IF(AO330&gt;0,INDEX(挂机升级突破!$DT$4:$ED$4,AO330),"")</f>
        <v/>
      </c>
      <c r="AZ330" s="14" t="str">
        <f>IF(AO330&gt;0,ROUND(INDEX(挂机升级突破!$DT$6:$ED$57,卡牌消耗!AT330,AO330)*INDEX(卡牌消耗!$B$7:$F$7,AR330)/$Q$4,0),"")</f>
        <v/>
      </c>
      <c r="BA330" s="106"/>
      <c r="BB330" s="197"/>
      <c r="BC330" s="197"/>
      <c r="BD330" s="197"/>
      <c r="BE330" s="197"/>
      <c r="BF330" s="197"/>
      <c r="BG330" s="197"/>
      <c r="BH330" s="197"/>
      <c r="BI330" s="197"/>
      <c r="BJ330" s="197"/>
      <c r="BK330" s="197"/>
      <c r="BL330" s="104">
        <v>326</v>
      </c>
      <c r="BM330" s="14">
        <f t="shared" si="350"/>
        <v>17</v>
      </c>
      <c r="BN330" s="14">
        <f>INDEX(挂机升级突破!$EI$7:$EI$26,BS330)</f>
        <v>5</v>
      </c>
      <c r="BO330" s="14">
        <f>INDEX(挂机升级突破!$EJ$7:$EJ$26,BS330)</f>
        <v>1</v>
      </c>
      <c r="BP330" s="14">
        <f t="shared" si="351"/>
        <v>3</v>
      </c>
      <c r="BQ330" s="14">
        <f>INDEX(挂机升级突破!$EH$7:$EH$26,卡牌消耗!BS330)</f>
        <v>42</v>
      </c>
      <c r="BR330" s="14" t="str">
        <f t="shared" si="352"/>
        <v>飞廉</v>
      </c>
      <c r="BS330" s="14">
        <f t="shared" si="353"/>
        <v>6</v>
      </c>
      <c r="BT330" s="14" t="str">
        <f t="shared" si="354"/>
        <v>飞廉6突</v>
      </c>
      <c r="BU330" s="14" t="str">
        <f>IF(BN330&gt;0,INDEX(挂机升级突破!$ER$5:$EV$5,卡牌消耗!BN330),"")</f>
        <v>金币</v>
      </c>
      <c r="BV330" s="14">
        <f>IF(BN330&gt;0,ROUND(INDEX(挂机升级突破!$EV$7:$EV$26,卡牌消耗!BS330)*INDEX(卡牌消耗!$B$8:$F$8,BP330)/$Q$4/500,0)*500,"")</f>
        <v>5000</v>
      </c>
      <c r="BW330" s="14" t="str">
        <f>IF(BO330&gt;0,INDEX(挂机升级突破!$ER$5:$EV$5,卡牌消耗!BO330),"")</f>
        <v>玄铁</v>
      </c>
      <c r="BX330" s="14">
        <f>IF(BO330&gt;0,ROUND(INDEX(挂机升级突破!$ER$7:$EU$26,卡牌消耗!BS330,卡牌消耗!BO330)*INDEX($B$6:$F$6,BP330)/$Q$4/5,0)*5,"")</f>
        <v>50</v>
      </c>
      <c r="BY330" s="193"/>
      <c r="BZ330" s="193"/>
      <c r="CA330" s="106"/>
      <c r="CS330" s="171"/>
      <c r="CT330" s="171"/>
      <c r="CU330" s="171"/>
    </row>
    <row r="331" spans="8:99" ht="16.5" x14ac:dyDescent="0.2">
      <c r="H331" s="15"/>
      <c r="I331" s="15"/>
      <c r="J331" s="15"/>
      <c r="K331" s="15"/>
      <c r="L331" s="15"/>
      <c r="M331" s="15"/>
      <c r="N331" s="15"/>
      <c r="O331" s="137"/>
      <c r="P331" s="141"/>
      <c r="Q331" s="141"/>
      <c r="R331" s="141"/>
      <c r="S331" s="141"/>
      <c r="T331" s="141"/>
      <c r="U331" s="141"/>
      <c r="V331" s="141"/>
      <c r="W331" s="141"/>
      <c r="X331" s="141"/>
      <c r="Y331" s="141"/>
      <c r="Z331" s="141"/>
      <c r="AA331" s="194"/>
      <c r="AB331" s="194"/>
      <c r="AC331" s="194"/>
      <c r="AD331" s="194"/>
      <c r="AE331" s="194"/>
      <c r="AF331" s="194"/>
      <c r="AG331" s="197"/>
      <c r="AH331" s="194"/>
      <c r="AI331" s="194"/>
      <c r="AJ331" s="194"/>
      <c r="AK331" s="104">
        <v>327</v>
      </c>
      <c r="AL331" s="14">
        <f t="shared" si="345"/>
        <v>7</v>
      </c>
      <c r="AM331" s="14">
        <f>INDEX(挂机升级突破!DQ$6:DQ$57,卡牌消耗!$AT331)</f>
        <v>11</v>
      </c>
      <c r="AN331" s="14">
        <f>INDEX(挂机升级突破!DR$6:DR$57,卡牌消耗!$AT331)</f>
        <v>3</v>
      </c>
      <c r="AO331" s="14">
        <f>INDEX(挂机升级突破!DS$6:DS$57,卡牌消耗!$AT331)</f>
        <v>0</v>
      </c>
      <c r="AP331" s="14">
        <f>INDEX(挂机升级突破!$DP$6:$DP$57,卡牌消耗!AT331)</f>
        <v>55</v>
      </c>
      <c r="AQ331" s="14" t="str">
        <f t="shared" si="346"/>
        <v>天使缇娜</v>
      </c>
      <c r="AR331" s="14">
        <f t="shared" si="347"/>
        <v>4</v>
      </c>
      <c r="AS331" s="14" t="str">
        <f t="shared" si="348"/>
        <v>天使缇娜魂火-15</v>
      </c>
      <c r="AT331" s="14">
        <f t="shared" si="349"/>
        <v>15</v>
      </c>
      <c r="AU331" s="14" t="str">
        <f>IF(AM331&gt;0,INDEX(挂机升级突破!$DT$4:$ED$4,AM331),"")</f>
        <v>金币</v>
      </c>
      <c r="AV331" s="14">
        <f>ROUND(INDEX(挂机升级突破!$DJ$6:$DJ$57,卡牌消耗!AT331)*INDEX(卡牌消耗!$B$8:$F$8,AR331)/$Q$4/50,0)*50</f>
        <v>4900</v>
      </c>
      <c r="AW331" s="14" t="str">
        <f>IF(AN331&gt;0,INDEX(挂机升级突破!$DT$4:$ED$4,AN331),"")</f>
        <v>紫色基础材料</v>
      </c>
      <c r="AX331" s="14">
        <f>ROUND(INDEX(挂机升级突破!$DT$6:$ED$57,卡牌消耗!AT331,AN331)*INDEX(卡牌消耗!$B$5:$F$5,AR331)/$Q$4/5,0)*5</f>
        <v>30</v>
      </c>
      <c r="AY331" s="14" t="str">
        <f>IF(AO331&gt;0,INDEX(挂机升级突破!$DT$4:$ED$4,AO331),"")</f>
        <v/>
      </c>
      <c r="AZ331" s="14" t="str">
        <f>IF(AO331&gt;0,ROUND(INDEX(挂机升级突破!$DT$6:$ED$57,卡牌消耗!AT331,AO331)*INDEX(卡牌消耗!$B$7:$F$7,AR331)/$Q$4,0),"")</f>
        <v/>
      </c>
      <c r="BA331" s="106"/>
      <c r="BB331" s="197"/>
      <c r="BC331" s="197"/>
      <c r="BD331" s="197"/>
      <c r="BE331" s="197"/>
      <c r="BF331" s="197"/>
      <c r="BG331" s="197"/>
      <c r="BH331" s="197"/>
      <c r="BI331" s="197"/>
      <c r="BJ331" s="197"/>
      <c r="BK331" s="197"/>
      <c r="BL331" s="104">
        <v>327</v>
      </c>
      <c r="BM331" s="14">
        <f t="shared" si="350"/>
        <v>17</v>
      </c>
      <c r="BN331" s="14">
        <f>INDEX(挂机升级突破!$EI$7:$EI$26,BS331)</f>
        <v>5</v>
      </c>
      <c r="BO331" s="14">
        <f>INDEX(挂机升级突破!$EJ$7:$EJ$26,BS331)</f>
        <v>1</v>
      </c>
      <c r="BP331" s="14">
        <f t="shared" si="351"/>
        <v>3</v>
      </c>
      <c r="BQ331" s="14">
        <f>INDEX(挂机升级突破!$EH$7:$EH$26,卡牌消耗!BS331)</f>
        <v>47</v>
      </c>
      <c r="BR331" s="14" t="str">
        <f t="shared" si="352"/>
        <v>飞廉</v>
      </c>
      <c r="BS331" s="14">
        <f t="shared" si="353"/>
        <v>7</v>
      </c>
      <c r="BT331" s="14" t="str">
        <f t="shared" si="354"/>
        <v>飞廉7突</v>
      </c>
      <c r="BU331" s="14" t="str">
        <f>IF(BN331&gt;0,INDEX(挂机升级突破!$ER$5:$EV$5,卡牌消耗!BN331),"")</f>
        <v>金币</v>
      </c>
      <c r="BV331" s="14">
        <f>IF(BN331&gt;0,ROUND(INDEX(挂机升级突破!$EV$7:$EV$26,卡牌消耗!BS331)*INDEX(卡牌消耗!$B$8:$F$8,BP331)/$Q$4/500,0)*500,"")</f>
        <v>8000</v>
      </c>
      <c r="BW331" s="14" t="str">
        <f>IF(BO331&gt;0,INDEX(挂机升级突破!$ER$5:$EV$5,卡牌消耗!BO331),"")</f>
        <v>玄铁</v>
      </c>
      <c r="BX331" s="14">
        <f>IF(BO331&gt;0,ROUND(INDEX(挂机升级突破!$ER$7:$EU$26,卡牌消耗!BS331,卡牌消耗!BO331)*INDEX($B$6:$F$6,BP331)/$Q$4/5,0)*5,"")</f>
        <v>85</v>
      </c>
      <c r="BY331" s="193"/>
      <c r="BZ331" s="193"/>
      <c r="CA331" s="106"/>
      <c r="CS331" s="171"/>
      <c r="CT331" s="171"/>
      <c r="CU331" s="171"/>
    </row>
    <row r="332" spans="8:99" ht="16.5" x14ac:dyDescent="0.2">
      <c r="H332" s="15"/>
      <c r="I332" s="15"/>
      <c r="J332" s="15"/>
      <c r="K332" s="15"/>
      <c r="L332" s="15"/>
      <c r="M332" s="15"/>
      <c r="N332" s="15"/>
      <c r="O332" s="137"/>
      <c r="P332" s="141"/>
      <c r="Q332" s="141"/>
      <c r="R332" s="141"/>
      <c r="S332" s="141"/>
      <c r="T332" s="141"/>
      <c r="U332" s="141"/>
      <c r="V332" s="141"/>
      <c r="W332" s="141"/>
      <c r="X332" s="141"/>
      <c r="Y332" s="141"/>
      <c r="Z332" s="141"/>
      <c r="AA332" s="194"/>
      <c r="AB332" s="194"/>
      <c r="AC332" s="194"/>
      <c r="AD332" s="194"/>
      <c r="AE332" s="194"/>
      <c r="AF332" s="194"/>
      <c r="AG332" s="197"/>
      <c r="AH332" s="194"/>
      <c r="AI332" s="194"/>
      <c r="AJ332" s="194"/>
      <c r="AK332" s="104">
        <v>328</v>
      </c>
      <c r="AL332" s="14">
        <f t="shared" si="345"/>
        <v>7</v>
      </c>
      <c r="AM332" s="14">
        <f>INDEX(挂机升级突破!DQ$6:DQ$57,卡牌消耗!$AT332)</f>
        <v>11</v>
      </c>
      <c r="AN332" s="14">
        <f>INDEX(挂机升级突破!DR$6:DR$57,卡牌消耗!$AT332)</f>
        <v>3</v>
      </c>
      <c r="AO332" s="14">
        <f>INDEX(挂机升级突破!DS$6:DS$57,卡牌消耗!$AT332)</f>
        <v>0</v>
      </c>
      <c r="AP332" s="14">
        <f>INDEX(挂机升级突破!$DP$6:$DP$57,卡牌消耗!AT332)</f>
        <v>58</v>
      </c>
      <c r="AQ332" s="14" t="str">
        <f t="shared" si="346"/>
        <v>天使缇娜</v>
      </c>
      <c r="AR332" s="14">
        <f t="shared" si="347"/>
        <v>4</v>
      </c>
      <c r="AS332" s="14" t="str">
        <f t="shared" si="348"/>
        <v>天使缇娜魂火-16</v>
      </c>
      <c r="AT332" s="14">
        <f t="shared" si="349"/>
        <v>16</v>
      </c>
      <c r="AU332" s="14" t="str">
        <f>IF(AM332&gt;0,INDEX(挂机升级突破!$DT$4:$ED$4,AM332),"")</f>
        <v>金币</v>
      </c>
      <c r="AV332" s="14">
        <f>ROUND(INDEX(挂机升级突破!$DJ$6:$DJ$57,卡牌消耗!AT332)*INDEX(卡牌消耗!$B$8:$F$8,AR332)/$Q$4/50,0)*50</f>
        <v>4900</v>
      </c>
      <c r="AW332" s="14" t="str">
        <f>IF(AN332&gt;0,INDEX(挂机升级突破!$DT$4:$ED$4,AN332),"")</f>
        <v>紫色基础材料</v>
      </c>
      <c r="AX332" s="14">
        <f>ROUND(INDEX(挂机升级突破!$DT$6:$ED$57,卡牌消耗!AT332,AN332)*INDEX(卡牌消耗!$B$5:$F$5,AR332)/$Q$4/5,0)*5</f>
        <v>30</v>
      </c>
      <c r="AY332" s="14" t="str">
        <f>IF(AO332&gt;0,INDEX(挂机升级突破!$DT$4:$ED$4,AO332),"")</f>
        <v/>
      </c>
      <c r="AZ332" s="14" t="str">
        <f>IF(AO332&gt;0,ROUND(INDEX(挂机升级突破!$DT$6:$ED$57,卡牌消耗!AT332,AO332)*INDEX(卡牌消耗!$B$7:$F$7,AR332)/$Q$4,0),"")</f>
        <v/>
      </c>
      <c r="BA332" s="106"/>
      <c r="BB332" s="197"/>
      <c r="BC332" s="197"/>
      <c r="BD332" s="197"/>
      <c r="BE332" s="197"/>
      <c r="BF332" s="197"/>
      <c r="BG332" s="197"/>
      <c r="BH332" s="197"/>
      <c r="BI332" s="197"/>
      <c r="BJ332" s="197"/>
      <c r="BK332" s="197"/>
      <c r="BL332" s="104">
        <v>328</v>
      </c>
      <c r="BM332" s="14">
        <f t="shared" si="350"/>
        <v>17</v>
      </c>
      <c r="BN332" s="14">
        <f>INDEX(挂机升级突破!$EI$7:$EI$26,BS332)</f>
        <v>5</v>
      </c>
      <c r="BO332" s="14">
        <f>INDEX(挂机升级突破!$EJ$7:$EJ$26,BS332)</f>
        <v>1</v>
      </c>
      <c r="BP332" s="14">
        <f t="shared" si="351"/>
        <v>3</v>
      </c>
      <c r="BQ332" s="14">
        <f>INDEX(挂机升级突破!$EH$7:$EH$26,卡牌消耗!BS332)</f>
        <v>52</v>
      </c>
      <c r="BR332" s="14" t="str">
        <f t="shared" si="352"/>
        <v>飞廉</v>
      </c>
      <c r="BS332" s="14">
        <f t="shared" si="353"/>
        <v>8</v>
      </c>
      <c r="BT332" s="14" t="str">
        <f t="shared" si="354"/>
        <v>飞廉8突</v>
      </c>
      <c r="BU332" s="14" t="str">
        <f>IF(BN332&gt;0,INDEX(挂机升级突破!$ER$5:$EV$5,卡牌消耗!BN332),"")</f>
        <v>金币</v>
      </c>
      <c r="BV332" s="14">
        <f>IF(BN332&gt;0,ROUND(INDEX(挂机升级突破!$EV$7:$EV$26,卡牌消耗!BS332)*INDEX(卡牌消耗!$B$8:$F$8,BP332)/$Q$4/500,0)*500,"")</f>
        <v>8000</v>
      </c>
      <c r="BW332" s="14" t="str">
        <f>IF(BO332&gt;0,INDEX(挂机升级突破!$ER$5:$EV$5,卡牌消耗!BO332),"")</f>
        <v>玄铁</v>
      </c>
      <c r="BX332" s="14">
        <f>IF(BO332&gt;0,ROUND(INDEX(挂机升级突破!$ER$7:$EU$26,卡牌消耗!BS332,卡牌消耗!BO332)*INDEX($B$6:$F$6,BP332)/$Q$4/5,0)*5,"")</f>
        <v>150</v>
      </c>
      <c r="BY332" s="193"/>
      <c r="BZ332" s="193"/>
      <c r="CA332" s="106"/>
      <c r="CS332" s="171"/>
      <c r="CT332" s="171"/>
      <c r="CU332" s="171"/>
    </row>
    <row r="333" spans="8:99" ht="16.5" x14ac:dyDescent="0.2">
      <c r="H333" s="15"/>
      <c r="I333" s="15"/>
      <c r="J333" s="15"/>
      <c r="K333" s="15"/>
      <c r="L333" s="15"/>
      <c r="M333" s="15"/>
      <c r="N333" s="15"/>
      <c r="O333" s="137"/>
      <c r="P333" s="141"/>
      <c r="Q333" s="141"/>
      <c r="R333" s="141"/>
      <c r="S333" s="141"/>
      <c r="T333" s="141"/>
      <c r="U333" s="141"/>
      <c r="V333" s="141"/>
      <c r="W333" s="141"/>
      <c r="X333" s="141"/>
      <c r="Y333" s="141"/>
      <c r="Z333" s="141"/>
      <c r="AA333" s="194"/>
      <c r="AB333" s="194"/>
      <c r="AC333" s="194"/>
      <c r="AD333" s="194"/>
      <c r="AE333" s="194"/>
      <c r="AF333" s="194"/>
      <c r="AG333" s="197"/>
      <c r="AH333" s="194"/>
      <c r="AI333" s="194"/>
      <c r="AJ333" s="194"/>
      <c r="AK333" s="104">
        <v>329</v>
      </c>
      <c r="AL333" s="14">
        <f t="shared" si="345"/>
        <v>7</v>
      </c>
      <c r="AM333" s="14">
        <f>INDEX(挂机升级突破!DQ$6:DQ$57,卡牌消耗!$AT333)</f>
        <v>11</v>
      </c>
      <c r="AN333" s="14">
        <f>INDEX(挂机升级突破!DR$6:DR$57,卡牌消耗!$AT333)</f>
        <v>3</v>
      </c>
      <c r="AO333" s="14">
        <f>INDEX(挂机升级突破!DS$6:DS$57,卡牌消耗!$AT333)</f>
        <v>0</v>
      </c>
      <c r="AP333" s="14">
        <f>INDEX(挂机升级突破!$DP$6:$DP$57,卡牌消耗!AT333)</f>
        <v>60</v>
      </c>
      <c r="AQ333" s="14" t="str">
        <f t="shared" si="346"/>
        <v>天使缇娜</v>
      </c>
      <c r="AR333" s="14">
        <f t="shared" si="347"/>
        <v>4</v>
      </c>
      <c r="AS333" s="14" t="str">
        <f t="shared" si="348"/>
        <v>天使缇娜魂火-17</v>
      </c>
      <c r="AT333" s="14">
        <f t="shared" si="349"/>
        <v>17</v>
      </c>
      <c r="AU333" s="14" t="str">
        <f>IF(AM333&gt;0,INDEX(挂机升级突破!$DT$4:$ED$4,AM333),"")</f>
        <v>金币</v>
      </c>
      <c r="AV333" s="14">
        <f>ROUND(INDEX(挂机升级突破!$DJ$6:$DJ$57,卡牌消耗!AT333)*INDEX(卡牌消耗!$B$8:$F$8,AR333)/$Q$4/50,0)*50</f>
        <v>6150</v>
      </c>
      <c r="AW333" s="14" t="str">
        <f>IF(AN333&gt;0,INDEX(挂机升级突破!$DT$4:$ED$4,AN333),"")</f>
        <v>紫色基础材料</v>
      </c>
      <c r="AX333" s="14">
        <f>ROUND(INDEX(挂机升级突破!$DT$6:$ED$57,卡牌消耗!AT333,AN333)*INDEX(卡牌消耗!$B$5:$F$5,AR333)/$Q$4/5,0)*5</f>
        <v>55</v>
      </c>
      <c r="AY333" s="14" t="str">
        <f>IF(AO333&gt;0,INDEX(挂机升级突破!$DT$4:$ED$4,AO333),"")</f>
        <v/>
      </c>
      <c r="AZ333" s="14" t="str">
        <f>IF(AO333&gt;0,ROUND(INDEX(挂机升级突破!$DT$6:$ED$57,卡牌消耗!AT333,AO333)*INDEX(卡牌消耗!$B$7:$F$7,AR333)/$Q$4,0),"")</f>
        <v/>
      </c>
      <c r="BA333" s="106"/>
      <c r="BB333" s="197"/>
      <c r="BC333" s="197"/>
      <c r="BD333" s="197"/>
      <c r="BE333" s="197"/>
      <c r="BF333" s="197"/>
      <c r="BG333" s="197"/>
      <c r="BH333" s="197"/>
      <c r="BI333" s="197"/>
      <c r="BJ333" s="197"/>
      <c r="BK333" s="197"/>
      <c r="BL333" s="104">
        <v>329</v>
      </c>
      <c r="BM333" s="14">
        <f t="shared" si="350"/>
        <v>17</v>
      </c>
      <c r="BN333" s="14">
        <f>INDEX(挂机升级突破!$EI$7:$EI$26,BS333)</f>
        <v>5</v>
      </c>
      <c r="BO333" s="14">
        <f>INDEX(挂机升级突破!$EJ$7:$EJ$26,BS333)</f>
        <v>2</v>
      </c>
      <c r="BP333" s="14">
        <f t="shared" si="351"/>
        <v>3</v>
      </c>
      <c r="BQ333" s="14">
        <f>INDEX(挂机升级突破!$EH$7:$EH$26,卡牌消耗!BS333)</f>
        <v>57</v>
      </c>
      <c r="BR333" s="14" t="str">
        <f t="shared" si="352"/>
        <v>飞廉</v>
      </c>
      <c r="BS333" s="14">
        <f t="shared" si="353"/>
        <v>9</v>
      </c>
      <c r="BT333" s="14" t="str">
        <f t="shared" si="354"/>
        <v>飞廉9突</v>
      </c>
      <c r="BU333" s="14" t="str">
        <f>IF(BN333&gt;0,INDEX(挂机升级突破!$ER$5:$EV$5,卡牌消耗!BN333),"")</f>
        <v>金币</v>
      </c>
      <c r="BV333" s="14">
        <f>IF(BN333&gt;0,ROUND(INDEX(挂机升级突破!$EV$7:$EV$26,卡牌消耗!BS333)*INDEX(卡牌消耗!$B$8:$F$8,BP333)/$Q$4/500,0)*500,"")</f>
        <v>11000</v>
      </c>
      <c r="BW333" s="14" t="str">
        <f>IF(BO333&gt;0,INDEX(挂机升级突破!$ER$5:$EV$5,卡牌消耗!BO333),"")</f>
        <v>乌金</v>
      </c>
      <c r="BX333" s="14">
        <f>IF(BO333&gt;0,ROUND(INDEX(挂机升级突破!$ER$7:$EU$26,卡牌消耗!BS333,卡牌消耗!BO333)*INDEX($B$6:$F$6,BP333)/$Q$4/5,0)*5,"")</f>
        <v>50</v>
      </c>
      <c r="BY333" s="193"/>
      <c r="BZ333" s="193"/>
      <c r="CA333" s="106"/>
      <c r="CS333" s="171"/>
      <c r="CT333" s="171"/>
      <c r="CU333" s="171"/>
    </row>
    <row r="334" spans="8:99" ht="16.5" x14ac:dyDescent="0.2">
      <c r="H334" s="15"/>
      <c r="I334" s="15"/>
      <c r="J334" s="15"/>
      <c r="K334" s="15"/>
      <c r="L334" s="15"/>
      <c r="M334" s="15"/>
      <c r="N334" s="15"/>
      <c r="O334" s="137"/>
      <c r="P334" s="141"/>
      <c r="Q334" s="141"/>
      <c r="R334" s="141"/>
      <c r="S334" s="141"/>
      <c r="T334" s="141"/>
      <c r="U334" s="141"/>
      <c r="V334" s="141"/>
      <c r="W334" s="141"/>
      <c r="X334" s="141"/>
      <c r="Y334" s="141"/>
      <c r="Z334" s="141"/>
      <c r="AA334" s="194"/>
      <c r="AB334" s="194"/>
      <c r="AC334" s="194"/>
      <c r="AD334" s="194"/>
      <c r="AE334" s="194"/>
      <c r="AF334" s="194"/>
      <c r="AG334" s="197"/>
      <c r="AH334" s="194"/>
      <c r="AI334" s="194"/>
      <c r="AJ334" s="194"/>
      <c r="AK334" s="104">
        <v>330</v>
      </c>
      <c r="AL334" s="14">
        <f t="shared" si="345"/>
        <v>7</v>
      </c>
      <c r="AM334" s="14">
        <f>INDEX(挂机升级突破!DQ$6:DQ$57,卡牌消耗!$AT334)</f>
        <v>11</v>
      </c>
      <c r="AN334" s="14">
        <f>INDEX(挂机升级突破!DR$6:DR$57,卡牌消耗!$AT334)</f>
        <v>3</v>
      </c>
      <c r="AO334" s="14">
        <f>INDEX(挂机升级突破!DS$6:DS$57,卡牌消耗!$AT334)</f>
        <v>0</v>
      </c>
      <c r="AP334" s="14">
        <f>INDEX(挂机升级突破!$DP$6:$DP$57,卡牌消耗!AT334)</f>
        <v>63</v>
      </c>
      <c r="AQ334" s="14" t="str">
        <f t="shared" si="346"/>
        <v>天使缇娜</v>
      </c>
      <c r="AR334" s="14">
        <f t="shared" si="347"/>
        <v>4</v>
      </c>
      <c r="AS334" s="14" t="str">
        <f t="shared" si="348"/>
        <v>天使缇娜魂火-18</v>
      </c>
      <c r="AT334" s="14">
        <f t="shared" si="349"/>
        <v>18</v>
      </c>
      <c r="AU334" s="14" t="str">
        <f>IF(AM334&gt;0,INDEX(挂机升级突破!$DT$4:$ED$4,AM334),"")</f>
        <v>金币</v>
      </c>
      <c r="AV334" s="14">
        <f>ROUND(INDEX(挂机升级突破!$DJ$6:$DJ$57,卡牌消耗!AT334)*INDEX(卡牌消耗!$B$8:$F$8,AR334)/$Q$4/50,0)*50</f>
        <v>6150</v>
      </c>
      <c r="AW334" s="14" t="str">
        <f>IF(AN334&gt;0,INDEX(挂机升级突破!$DT$4:$ED$4,AN334),"")</f>
        <v>紫色基础材料</v>
      </c>
      <c r="AX334" s="14">
        <f>ROUND(INDEX(挂机升级突破!$DT$6:$ED$57,卡牌消耗!AT334,AN334)*INDEX(卡牌消耗!$B$5:$F$5,AR334)/$Q$4/5,0)*5</f>
        <v>55</v>
      </c>
      <c r="AY334" s="14" t="str">
        <f>IF(AO334&gt;0,INDEX(挂机升级突破!$DT$4:$ED$4,AO334),"")</f>
        <v/>
      </c>
      <c r="AZ334" s="14" t="str">
        <f>IF(AO334&gt;0,ROUND(INDEX(挂机升级突破!$DT$6:$ED$57,卡牌消耗!AT334,AO334)*INDEX(卡牌消耗!$B$7:$F$7,AR334)/$Q$4,0),"")</f>
        <v/>
      </c>
      <c r="BA334" s="106"/>
      <c r="BB334" s="197"/>
      <c r="BC334" s="197"/>
      <c r="BD334" s="197"/>
      <c r="BE334" s="197"/>
      <c r="BF334" s="197"/>
      <c r="BG334" s="197"/>
      <c r="BH334" s="197"/>
      <c r="BI334" s="197"/>
      <c r="BJ334" s="197"/>
      <c r="BK334" s="197"/>
      <c r="BL334" s="104">
        <v>330</v>
      </c>
      <c r="BM334" s="14">
        <f t="shared" si="350"/>
        <v>17</v>
      </c>
      <c r="BN334" s="14">
        <f>INDEX(挂机升级突破!$EI$7:$EI$26,BS334)</f>
        <v>5</v>
      </c>
      <c r="BO334" s="14">
        <f>INDEX(挂机升级突破!$EJ$7:$EJ$26,BS334)</f>
        <v>2</v>
      </c>
      <c r="BP334" s="14">
        <f t="shared" si="351"/>
        <v>3</v>
      </c>
      <c r="BQ334" s="14">
        <f>INDEX(挂机升级突破!$EH$7:$EH$26,卡牌消耗!BS334)</f>
        <v>65</v>
      </c>
      <c r="BR334" s="14" t="str">
        <f t="shared" si="352"/>
        <v>飞廉</v>
      </c>
      <c r="BS334" s="14">
        <f t="shared" si="353"/>
        <v>10</v>
      </c>
      <c r="BT334" s="14" t="str">
        <f t="shared" si="354"/>
        <v>飞廉10突</v>
      </c>
      <c r="BU334" s="14" t="str">
        <f>IF(BN334&gt;0,INDEX(挂机升级突破!$ER$5:$EV$5,卡牌消耗!BN334),"")</f>
        <v>金币</v>
      </c>
      <c r="BV334" s="14">
        <f>IF(BN334&gt;0,ROUND(INDEX(挂机升级突破!$EV$7:$EV$26,卡牌消耗!BS334)*INDEX(卡牌消耗!$B$8:$F$8,BP334)/$Q$4/500,0)*500,"")</f>
        <v>19000</v>
      </c>
      <c r="BW334" s="14" t="str">
        <f>IF(BO334&gt;0,INDEX(挂机升级突破!$ER$5:$EV$5,卡牌消耗!BO334),"")</f>
        <v>乌金</v>
      </c>
      <c r="BX334" s="14">
        <f>IF(BO334&gt;0,ROUND(INDEX(挂机升级突破!$ER$7:$EU$26,卡牌消耗!BS334,卡牌消耗!BO334)*INDEX($B$6:$F$6,BP334)/$Q$4/5,0)*5,"")</f>
        <v>70</v>
      </c>
      <c r="BY334" s="193"/>
      <c r="BZ334" s="193"/>
      <c r="CA334" s="106"/>
      <c r="CS334" s="171"/>
      <c r="CT334" s="171"/>
      <c r="CU334" s="171"/>
    </row>
    <row r="335" spans="8:99" ht="16.5" x14ac:dyDescent="0.2">
      <c r="H335" s="15"/>
      <c r="I335" s="15"/>
      <c r="J335" s="15"/>
      <c r="K335" s="15"/>
      <c r="L335" s="15"/>
      <c r="M335" s="15"/>
      <c r="N335" s="15"/>
      <c r="O335" s="137"/>
      <c r="P335" s="141"/>
      <c r="Q335" s="141"/>
      <c r="R335" s="141"/>
      <c r="S335" s="141"/>
      <c r="T335" s="141"/>
      <c r="U335" s="141"/>
      <c r="V335" s="141"/>
      <c r="W335" s="141"/>
      <c r="X335" s="141"/>
      <c r="Y335" s="141"/>
      <c r="Z335" s="141"/>
      <c r="AA335" s="194"/>
      <c r="AB335" s="194"/>
      <c r="AC335" s="194"/>
      <c r="AD335" s="194"/>
      <c r="AE335" s="194"/>
      <c r="AF335" s="194"/>
      <c r="AG335" s="197"/>
      <c r="AH335" s="194"/>
      <c r="AI335" s="194"/>
      <c r="AJ335" s="194"/>
      <c r="AK335" s="104">
        <v>331</v>
      </c>
      <c r="AL335" s="14">
        <f t="shared" si="345"/>
        <v>7</v>
      </c>
      <c r="AM335" s="14">
        <f>INDEX(挂机升级突破!DQ$6:DQ$57,卡牌消耗!$AT335)</f>
        <v>11</v>
      </c>
      <c r="AN335" s="14">
        <f>INDEX(挂机升级突破!DR$6:DR$57,卡牌消耗!$AT335)</f>
        <v>3</v>
      </c>
      <c r="AO335" s="14">
        <f>INDEX(挂机升级突破!DS$6:DS$57,卡牌消耗!$AT335)</f>
        <v>0</v>
      </c>
      <c r="AP335" s="14">
        <f>INDEX(挂机升级突破!$DP$6:$DP$57,卡牌消耗!AT335)</f>
        <v>65</v>
      </c>
      <c r="AQ335" s="14" t="str">
        <f t="shared" si="346"/>
        <v>天使缇娜</v>
      </c>
      <c r="AR335" s="14">
        <f t="shared" si="347"/>
        <v>4</v>
      </c>
      <c r="AS335" s="14" t="str">
        <f t="shared" si="348"/>
        <v>天使缇娜魂火-19</v>
      </c>
      <c r="AT335" s="14">
        <f t="shared" si="349"/>
        <v>19</v>
      </c>
      <c r="AU335" s="14" t="str">
        <f>IF(AM335&gt;0,INDEX(挂机升级突破!$DT$4:$ED$4,AM335),"")</f>
        <v>金币</v>
      </c>
      <c r="AV335" s="14">
        <f>ROUND(INDEX(挂机升级突破!$DJ$6:$DJ$57,卡牌消耗!AT335)*INDEX(卡牌消耗!$B$8:$F$8,AR335)/$Q$4/50,0)*50</f>
        <v>6150</v>
      </c>
      <c r="AW335" s="14" t="str">
        <f>IF(AN335&gt;0,INDEX(挂机升级突破!$DT$4:$ED$4,AN335),"")</f>
        <v>紫色基础材料</v>
      </c>
      <c r="AX335" s="14">
        <f>ROUND(INDEX(挂机升级突破!$DT$6:$ED$57,卡牌消耗!AT335,AN335)*INDEX(卡牌消耗!$B$5:$F$5,AR335)/$Q$4/5,0)*5</f>
        <v>55</v>
      </c>
      <c r="AY335" s="14" t="str">
        <f>IF(AO335&gt;0,INDEX(挂机升级突破!$DT$4:$ED$4,AO335),"")</f>
        <v/>
      </c>
      <c r="AZ335" s="14" t="str">
        <f>IF(AO335&gt;0,ROUND(INDEX(挂机升级突破!$DT$6:$ED$57,卡牌消耗!AT335,AO335)*INDEX(卡牌消耗!$B$7:$F$7,AR335)/$Q$4,0),"")</f>
        <v/>
      </c>
      <c r="BA335" s="106"/>
      <c r="BB335" s="197"/>
      <c r="BC335" s="197"/>
      <c r="BD335" s="197"/>
      <c r="BE335" s="197"/>
      <c r="BF335" s="197"/>
      <c r="BG335" s="197"/>
      <c r="BH335" s="197"/>
      <c r="BI335" s="197"/>
      <c r="BJ335" s="197"/>
      <c r="BK335" s="197"/>
      <c r="BL335" s="104">
        <v>331</v>
      </c>
      <c r="BM335" s="14">
        <f t="shared" si="350"/>
        <v>17</v>
      </c>
      <c r="BN335" s="14">
        <f>INDEX(挂机升级突破!$EI$7:$EI$26,BS335)</f>
        <v>5</v>
      </c>
      <c r="BO335" s="14">
        <f>INDEX(挂机升级突破!$EJ$7:$EJ$26,BS335)</f>
        <v>2</v>
      </c>
      <c r="BP335" s="14">
        <f t="shared" si="351"/>
        <v>3</v>
      </c>
      <c r="BQ335" s="14">
        <f>INDEX(挂机升级突破!$EH$7:$EH$26,卡牌消耗!BS335)</f>
        <v>72</v>
      </c>
      <c r="BR335" s="14" t="str">
        <f t="shared" si="352"/>
        <v>飞廉</v>
      </c>
      <c r="BS335" s="14">
        <f t="shared" si="353"/>
        <v>11</v>
      </c>
      <c r="BT335" s="14" t="str">
        <f t="shared" si="354"/>
        <v>飞廉11突</v>
      </c>
      <c r="BU335" s="14" t="str">
        <f>IF(BN335&gt;0,INDEX(挂机升级突破!$ER$5:$EV$5,卡牌消耗!BN335),"")</f>
        <v>金币</v>
      </c>
      <c r="BV335" s="14">
        <f>IF(BN335&gt;0,ROUND(INDEX(挂机升级突破!$EV$7:$EV$26,卡牌消耗!BS335)*INDEX(卡牌消耗!$B$8:$F$8,BP335)/$Q$4/500,0)*500,"")</f>
        <v>19000</v>
      </c>
      <c r="BW335" s="14" t="str">
        <f>IF(BO335&gt;0,INDEX(挂机升级突破!$ER$5:$EV$5,卡牌消耗!BO335),"")</f>
        <v>乌金</v>
      </c>
      <c r="BX335" s="14">
        <f>IF(BO335&gt;0,ROUND(INDEX(挂机升级突破!$ER$7:$EU$26,卡牌消耗!BS335,卡牌消耗!BO335)*INDEX($B$6:$F$6,BP335)/$Q$4/5,0)*5,"")</f>
        <v>90</v>
      </c>
      <c r="BY335" s="193"/>
      <c r="BZ335" s="193"/>
      <c r="CA335" s="106"/>
      <c r="CS335" s="171"/>
      <c r="CT335" s="171"/>
      <c r="CU335" s="171"/>
    </row>
    <row r="336" spans="8:99" ht="16.5" x14ac:dyDescent="0.2">
      <c r="H336" s="15"/>
      <c r="I336" s="15"/>
      <c r="J336" s="15"/>
      <c r="K336" s="15"/>
      <c r="L336" s="15"/>
      <c r="M336" s="15"/>
      <c r="N336" s="15"/>
      <c r="O336" s="137"/>
      <c r="P336" s="141"/>
      <c r="Q336" s="141"/>
      <c r="R336" s="141"/>
      <c r="S336" s="141"/>
      <c r="T336" s="141"/>
      <c r="U336" s="141"/>
      <c r="V336" s="141"/>
      <c r="W336" s="141"/>
      <c r="X336" s="141"/>
      <c r="Y336" s="141"/>
      <c r="Z336" s="141"/>
      <c r="AA336" s="194"/>
      <c r="AB336" s="194"/>
      <c r="AC336" s="194"/>
      <c r="AD336" s="194"/>
      <c r="AE336" s="194"/>
      <c r="AF336" s="194"/>
      <c r="AG336" s="197"/>
      <c r="AH336" s="194"/>
      <c r="AI336" s="194"/>
      <c r="AJ336" s="194"/>
      <c r="AK336" s="104">
        <v>332</v>
      </c>
      <c r="AL336" s="14">
        <f t="shared" si="345"/>
        <v>7</v>
      </c>
      <c r="AM336" s="14">
        <f>INDEX(挂机升级突破!DQ$6:DQ$57,卡牌消耗!$AT336)</f>
        <v>11</v>
      </c>
      <c r="AN336" s="14">
        <f>INDEX(挂机升级突破!DR$6:DR$57,卡牌消耗!$AT336)</f>
        <v>3</v>
      </c>
      <c r="AO336" s="14">
        <f>INDEX(挂机升级突破!DS$6:DS$57,卡牌消耗!$AT336)</f>
        <v>0</v>
      </c>
      <c r="AP336" s="14">
        <f>INDEX(挂机升级突破!$DP$6:$DP$57,卡牌消耗!AT336)</f>
        <v>68</v>
      </c>
      <c r="AQ336" s="14" t="str">
        <f t="shared" si="346"/>
        <v>天使缇娜</v>
      </c>
      <c r="AR336" s="14">
        <f t="shared" si="347"/>
        <v>4</v>
      </c>
      <c r="AS336" s="14" t="str">
        <f t="shared" si="348"/>
        <v>天使缇娜魂火-20</v>
      </c>
      <c r="AT336" s="14">
        <f t="shared" si="349"/>
        <v>20</v>
      </c>
      <c r="AU336" s="14" t="str">
        <f>IF(AM336&gt;0,INDEX(挂机升级突破!$DT$4:$ED$4,AM336),"")</f>
        <v>金币</v>
      </c>
      <c r="AV336" s="14">
        <f>ROUND(INDEX(挂机升级突破!$DJ$6:$DJ$57,卡牌消耗!AT336)*INDEX(卡牌消耗!$B$8:$F$8,AR336)/$Q$4/50,0)*50</f>
        <v>7550</v>
      </c>
      <c r="AW336" s="14" t="str">
        <f>IF(AN336&gt;0,INDEX(挂机升级突破!$DT$4:$ED$4,AN336),"")</f>
        <v>紫色基础材料</v>
      </c>
      <c r="AX336" s="14">
        <f>ROUND(INDEX(挂机升级突破!$DT$6:$ED$57,卡牌消耗!AT336,AN336)*INDEX(卡牌消耗!$B$5:$F$5,AR336)/$Q$4/5,0)*5</f>
        <v>85</v>
      </c>
      <c r="AY336" s="14" t="str">
        <f>IF(AO336&gt;0,INDEX(挂机升级突破!$DT$4:$ED$4,AO336),"")</f>
        <v/>
      </c>
      <c r="AZ336" s="14" t="str">
        <f>IF(AO336&gt;0,ROUND(INDEX(挂机升级突破!$DT$6:$ED$57,卡牌消耗!AT336,AO336)*INDEX(卡牌消耗!$B$7:$F$7,AR336)/$Q$4,0),"")</f>
        <v/>
      </c>
      <c r="BA336" s="106"/>
      <c r="BB336" s="197"/>
      <c r="BC336" s="197"/>
      <c r="BD336" s="197"/>
      <c r="BE336" s="197"/>
      <c r="BF336" s="197"/>
      <c r="BG336" s="197"/>
      <c r="BH336" s="197"/>
      <c r="BI336" s="197"/>
      <c r="BJ336" s="197"/>
      <c r="BK336" s="197"/>
      <c r="BL336" s="104">
        <v>332</v>
      </c>
      <c r="BM336" s="14">
        <f t="shared" si="350"/>
        <v>17</v>
      </c>
      <c r="BN336" s="14">
        <f>INDEX(挂机升级突破!$EI$7:$EI$26,BS336)</f>
        <v>5</v>
      </c>
      <c r="BO336" s="14">
        <f>INDEX(挂机升级突破!$EJ$7:$EJ$26,BS336)</f>
        <v>2</v>
      </c>
      <c r="BP336" s="14">
        <f t="shared" si="351"/>
        <v>3</v>
      </c>
      <c r="BQ336" s="14">
        <f>INDEX(挂机升级突破!$EH$7:$EH$26,卡牌消耗!BS336)</f>
        <v>80</v>
      </c>
      <c r="BR336" s="14" t="str">
        <f t="shared" si="352"/>
        <v>飞廉</v>
      </c>
      <c r="BS336" s="14">
        <f t="shared" si="353"/>
        <v>12</v>
      </c>
      <c r="BT336" s="14" t="str">
        <f t="shared" si="354"/>
        <v>飞廉12突</v>
      </c>
      <c r="BU336" s="14" t="str">
        <f>IF(BN336&gt;0,INDEX(挂机升级突破!$ER$5:$EV$5,卡牌消耗!BN336),"")</f>
        <v>金币</v>
      </c>
      <c r="BV336" s="14">
        <f>IF(BN336&gt;0,ROUND(INDEX(挂机升级突破!$EV$7:$EV$26,卡牌消耗!BS336)*INDEX(卡牌消耗!$B$8:$F$8,BP336)/$Q$4/500,0)*500,"")</f>
        <v>25000</v>
      </c>
      <c r="BW336" s="14" t="str">
        <f>IF(BO336&gt;0,INDEX(挂机升级突破!$ER$5:$EV$5,卡牌消耗!BO336),"")</f>
        <v>乌金</v>
      </c>
      <c r="BX336" s="14">
        <f>IF(BO336&gt;0,ROUND(INDEX(挂机升级突破!$ER$7:$EU$26,卡牌消耗!BS336,卡牌消耗!BO336)*INDEX($B$6:$F$6,BP336)/$Q$4/5,0)*5,"")</f>
        <v>120</v>
      </c>
      <c r="BY336" s="193"/>
      <c r="BZ336" s="193"/>
      <c r="CA336" s="106"/>
      <c r="CS336" s="171"/>
      <c r="CT336" s="171"/>
      <c r="CU336" s="171"/>
    </row>
    <row r="337" spans="8:99" ht="16.5" x14ac:dyDescent="0.2">
      <c r="H337" s="15"/>
      <c r="I337" s="15"/>
      <c r="J337" s="15"/>
      <c r="K337" s="15"/>
      <c r="L337" s="15"/>
      <c r="M337" s="15"/>
      <c r="N337" s="15"/>
      <c r="O337" s="137"/>
      <c r="P337" s="141"/>
      <c r="Q337" s="141"/>
      <c r="R337" s="141"/>
      <c r="S337" s="141"/>
      <c r="T337" s="141"/>
      <c r="U337" s="141"/>
      <c r="V337" s="141"/>
      <c r="W337" s="141"/>
      <c r="X337" s="141"/>
      <c r="Y337" s="141"/>
      <c r="Z337" s="141"/>
      <c r="AA337" s="194"/>
      <c r="AB337" s="194"/>
      <c r="AC337" s="194"/>
      <c r="AD337" s="194"/>
      <c r="AE337" s="194"/>
      <c r="AF337" s="194"/>
      <c r="AG337" s="197"/>
      <c r="AH337" s="194"/>
      <c r="AI337" s="194"/>
      <c r="AJ337" s="194"/>
      <c r="AK337" s="104">
        <v>333</v>
      </c>
      <c r="AL337" s="14">
        <f t="shared" si="345"/>
        <v>7</v>
      </c>
      <c r="AM337" s="14">
        <f>INDEX(挂机升级突破!DQ$6:DQ$57,卡牌消耗!$AT337)</f>
        <v>11</v>
      </c>
      <c r="AN337" s="14">
        <f>INDEX(挂机升级突破!DR$6:DR$57,卡牌消耗!$AT337)</f>
        <v>3</v>
      </c>
      <c r="AO337" s="14">
        <f>INDEX(挂机升级突破!DS$6:DS$57,卡牌消耗!$AT337)</f>
        <v>0</v>
      </c>
      <c r="AP337" s="14">
        <f>INDEX(挂机升级突破!$DP$6:$DP$57,卡牌消耗!AT337)</f>
        <v>70</v>
      </c>
      <c r="AQ337" s="14" t="str">
        <f t="shared" si="346"/>
        <v>天使缇娜</v>
      </c>
      <c r="AR337" s="14">
        <f t="shared" si="347"/>
        <v>4</v>
      </c>
      <c r="AS337" s="14" t="str">
        <f t="shared" si="348"/>
        <v>天使缇娜魂火-21</v>
      </c>
      <c r="AT337" s="14">
        <f t="shared" si="349"/>
        <v>21</v>
      </c>
      <c r="AU337" s="14" t="str">
        <f>IF(AM337&gt;0,INDEX(挂机升级突破!$DT$4:$ED$4,AM337),"")</f>
        <v>金币</v>
      </c>
      <c r="AV337" s="14">
        <f>ROUND(INDEX(挂机升级突破!$DJ$6:$DJ$57,卡牌消耗!AT337)*INDEX(卡牌消耗!$B$8:$F$8,AR337)/$Q$4/50,0)*50</f>
        <v>7550</v>
      </c>
      <c r="AW337" s="14" t="str">
        <f>IF(AN337&gt;0,INDEX(挂机升级突破!$DT$4:$ED$4,AN337),"")</f>
        <v>紫色基础材料</v>
      </c>
      <c r="AX337" s="14">
        <f>ROUND(INDEX(挂机升级突破!$DT$6:$ED$57,卡牌消耗!AT337,AN337)*INDEX(卡牌消耗!$B$5:$F$5,AR337)/$Q$4/5,0)*5</f>
        <v>85</v>
      </c>
      <c r="AY337" s="14" t="str">
        <f>IF(AO337&gt;0,INDEX(挂机升级突破!$DT$4:$ED$4,AO337),"")</f>
        <v/>
      </c>
      <c r="AZ337" s="14" t="str">
        <f>IF(AO337&gt;0,ROUND(INDEX(挂机升级突破!$DT$6:$ED$57,卡牌消耗!AT337,AO337)*INDEX(卡牌消耗!$B$7:$F$7,AR337)/$Q$4,0),"")</f>
        <v/>
      </c>
      <c r="BA337" s="106"/>
      <c r="BB337" s="197"/>
      <c r="BC337" s="197"/>
      <c r="BD337" s="197"/>
      <c r="BE337" s="197"/>
      <c r="BF337" s="197"/>
      <c r="BG337" s="197"/>
      <c r="BH337" s="197"/>
      <c r="BI337" s="197"/>
      <c r="BJ337" s="197"/>
      <c r="BK337" s="197"/>
      <c r="BL337" s="104">
        <v>333</v>
      </c>
      <c r="BM337" s="14">
        <f t="shared" si="350"/>
        <v>17</v>
      </c>
      <c r="BN337" s="14">
        <f>INDEX(挂机升级突破!$EI$7:$EI$26,BS337)</f>
        <v>5</v>
      </c>
      <c r="BO337" s="14">
        <f>INDEX(挂机升级突破!$EJ$7:$EJ$26,BS337)</f>
        <v>3</v>
      </c>
      <c r="BP337" s="14">
        <f t="shared" si="351"/>
        <v>3</v>
      </c>
      <c r="BQ337" s="14">
        <f>INDEX(挂机升级突破!$EH$7:$EH$26,卡牌消耗!BS337)</f>
        <v>87</v>
      </c>
      <c r="BR337" s="14" t="str">
        <f t="shared" si="352"/>
        <v>飞廉</v>
      </c>
      <c r="BS337" s="14">
        <f t="shared" si="353"/>
        <v>13</v>
      </c>
      <c r="BT337" s="14" t="str">
        <f t="shared" si="354"/>
        <v>飞廉13突</v>
      </c>
      <c r="BU337" s="14" t="str">
        <f>IF(BN337&gt;0,INDEX(挂机升级突破!$ER$5:$EV$5,卡牌消耗!BN337),"")</f>
        <v>金币</v>
      </c>
      <c r="BV337" s="14">
        <f>IF(BN337&gt;0,ROUND(INDEX(挂机升级突破!$EV$7:$EV$26,卡牌消耗!BS337)*INDEX(卡牌消耗!$B$8:$F$8,BP337)/$Q$4/500,0)*500,"")</f>
        <v>33500</v>
      </c>
      <c r="BW337" s="14" t="str">
        <f>IF(BO337&gt;0,INDEX(挂机升级突破!$ER$5:$EV$5,卡牌消耗!BO337),"")</f>
        <v>银母</v>
      </c>
      <c r="BX337" s="14">
        <f>IF(BO337&gt;0,ROUND(INDEX(挂机升级突破!$ER$7:$EU$26,卡牌消耗!BS337,卡牌消耗!BO337)*INDEX($B$6:$F$6,BP337)/$Q$4/5,0)*5,"")</f>
        <v>40</v>
      </c>
      <c r="BY337" s="193"/>
      <c r="BZ337" s="193"/>
      <c r="CA337" s="106"/>
      <c r="CS337" s="171"/>
      <c r="CT337" s="171"/>
      <c r="CU337" s="171"/>
    </row>
    <row r="338" spans="8:99" ht="16.5" x14ac:dyDescent="0.2">
      <c r="H338" s="15"/>
      <c r="I338" s="15"/>
      <c r="J338" s="15"/>
      <c r="K338" s="15"/>
      <c r="L338" s="15"/>
      <c r="M338" s="15"/>
      <c r="N338" s="15"/>
      <c r="O338" s="137"/>
      <c r="P338" s="141"/>
      <c r="Q338" s="141"/>
      <c r="R338" s="141"/>
      <c r="S338" s="141"/>
      <c r="T338" s="141"/>
      <c r="U338" s="141"/>
      <c r="V338" s="141"/>
      <c r="W338" s="141"/>
      <c r="X338" s="141"/>
      <c r="Y338" s="141"/>
      <c r="Z338" s="141"/>
      <c r="AA338" s="194"/>
      <c r="AB338" s="194"/>
      <c r="AC338" s="194"/>
      <c r="AD338" s="194"/>
      <c r="AE338" s="194"/>
      <c r="AF338" s="194"/>
      <c r="AG338" s="197"/>
      <c r="AH338" s="194"/>
      <c r="AI338" s="194"/>
      <c r="AJ338" s="194"/>
      <c r="AK338" s="104">
        <v>334</v>
      </c>
      <c r="AL338" s="14">
        <f t="shared" si="345"/>
        <v>7</v>
      </c>
      <c r="AM338" s="14">
        <f>INDEX(挂机升级突破!DQ$6:DQ$57,卡牌消耗!$AT338)</f>
        <v>11</v>
      </c>
      <c r="AN338" s="14">
        <f>INDEX(挂机升级突破!DR$6:DR$57,卡牌消耗!$AT338)</f>
        <v>3</v>
      </c>
      <c r="AO338" s="14">
        <f>INDEX(挂机升级突破!DS$6:DS$57,卡牌消耗!$AT338)</f>
        <v>0</v>
      </c>
      <c r="AP338" s="14">
        <f>INDEX(挂机升级突破!$DP$6:$DP$57,卡牌消耗!AT338)</f>
        <v>73</v>
      </c>
      <c r="AQ338" s="14" t="str">
        <f t="shared" si="346"/>
        <v>天使缇娜</v>
      </c>
      <c r="AR338" s="14">
        <f t="shared" si="347"/>
        <v>4</v>
      </c>
      <c r="AS338" s="14" t="str">
        <f t="shared" si="348"/>
        <v>天使缇娜魂火-22</v>
      </c>
      <c r="AT338" s="14">
        <f t="shared" si="349"/>
        <v>22</v>
      </c>
      <c r="AU338" s="14" t="str">
        <f>IF(AM338&gt;0,INDEX(挂机升级突破!$DT$4:$ED$4,AM338),"")</f>
        <v>金币</v>
      </c>
      <c r="AV338" s="14">
        <f>ROUND(INDEX(挂机升级突破!$DJ$6:$DJ$57,卡牌消耗!AT338)*INDEX(卡牌消耗!$B$8:$F$8,AR338)/$Q$4/50,0)*50</f>
        <v>7550</v>
      </c>
      <c r="AW338" s="14" t="str">
        <f>IF(AN338&gt;0,INDEX(挂机升级突破!$DT$4:$ED$4,AN338),"")</f>
        <v>紫色基础材料</v>
      </c>
      <c r="AX338" s="14">
        <f>ROUND(INDEX(挂机升级突破!$DT$6:$ED$57,卡牌消耗!AT338,AN338)*INDEX(卡牌消耗!$B$5:$F$5,AR338)/$Q$4/5,0)*5</f>
        <v>85</v>
      </c>
      <c r="AY338" s="14" t="str">
        <f>IF(AO338&gt;0,INDEX(挂机升级突破!$DT$4:$ED$4,AO338),"")</f>
        <v/>
      </c>
      <c r="AZ338" s="14" t="str">
        <f>IF(AO338&gt;0,ROUND(INDEX(挂机升级突破!$DT$6:$ED$57,卡牌消耗!AT338,AO338)*INDEX(卡牌消耗!$B$7:$F$7,AR338)/$Q$4,0),"")</f>
        <v/>
      </c>
      <c r="BA338" s="106"/>
      <c r="BB338" s="197"/>
      <c r="BC338" s="197"/>
      <c r="BD338" s="197"/>
      <c r="BE338" s="197"/>
      <c r="BF338" s="197"/>
      <c r="BG338" s="197"/>
      <c r="BH338" s="197"/>
      <c r="BI338" s="197"/>
      <c r="BJ338" s="197"/>
      <c r="BK338" s="197"/>
      <c r="BL338" s="104">
        <v>334</v>
      </c>
      <c r="BM338" s="14">
        <f t="shared" si="350"/>
        <v>17</v>
      </c>
      <c r="BN338" s="14">
        <f>INDEX(挂机升级突破!$EI$7:$EI$26,BS338)</f>
        <v>5</v>
      </c>
      <c r="BO338" s="14">
        <f>INDEX(挂机升级突破!$EJ$7:$EJ$26,BS338)</f>
        <v>3</v>
      </c>
      <c r="BP338" s="14">
        <f t="shared" si="351"/>
        <v>3</v>
      </c>
      <c r="BQ338" s="14">
        <f>INDEX(挂机升级突破!$EH$7:$EH$26,卡牌消耗!BS338)</f>
        <v>95</v>
      </c>
      <c r="BR338" s="14" t="str">
        <f t="shared" si="352"/>
        <v>飞廉</v>
      </c>
      <c r="BS338" s="14">
        <f t="shared" si="353"/>
        <v>14</v>
      </c>
      <c r="BT338" s="14" t="str">
        <f t="shared" si="354"/>
        <v>飞廉14突</v>
      </c>
      <c r="BU338" s="14" t="str">
        <f>IF(BN338&gt;0,INDEX(挂机升级突破!$ER$5:$EV$5,卡牌消耗!BN338),"")</f>
        <v>金币</v>
      </c>
      <c r="BV338" s="14">
        <f>IF(BN338&gt;0,ROUND(INDEX(挂机升级突破!$EV$7:$EV$26,卡牌消耗!BS338)*INDEX(卡牌消耗!$B$8:$F$8,BP338)/$Q$4/500,0)*500,"")</f>
        <v>33500</v>
      </c>
      <c r="BW338" s="14" t="str">
        <f>IF(BO338&gt;0,INDEX(挂机升级突破!$ER$5:$EV$5,卡牌消耗!BO338),"")</f>
        <v>银母</v>
      </c>
      <c r="BX338" s="14">
        <f>IF(BO338&gt;0,ROUND(INDEX(挂机升级突破!$ER$7:$EU$26,卡牌消耗!BS338,卡牌消耗!BO338)*INDEX($B$6:$F$6,BP338)/$Q$4/5,0)*5,"")</f>
        <v>55</v>
      </c>
      <c r="BY338" s="193"/>
      <c r="BZ338" s="193"/>
      <c r="CA338" s="106"/>
      <c r="CS338" s="171"/>
      <c r="CT338" s="171"/>
      <c r="CU338" s="171"/>
    </row>
    <row r="339" spans="8:99" ht="16.5" x14ac:dyDescent="0.2">
      <c r="H339" s="15"/>
      <c r="I339" s="15"/>
      <c r="J339" s="15"/>
      <c r="K339" s="15"/>
      <c r="L339" s="15"/>
      <c r="M339" s="15"/>
      <c r="N339" s="15"/>
      <c r="O339" s="137"/>
      <c r="P339" s="141"/>
      <c r="Q339" s="141"/>
      <c r="R339" s="141"/>
      <c r="S339" s="141"/>
      <c r="T339" s="141"/>
      <c r="U339" s="141"/>
      <c r="V339" s="141"/>
      <c r="W339" s="141"/>
      <c r="X339" s="141"/>
      <c r="Y339" s="141"/>
      <c r="Z339" s="141"/>
      <c r="AA339" s="194"/>
      <c r="AB339" s="194"/>
      <c r="AC339" s="194"/>
      <c r="AD339" s="194"/>
      <c r="AE339" s="194"/>
      <c r="AF339" s="194"/>
      <c r="AG339" s="197"/>
      <c r="AH339" s="194"/>
      <c r="AI339" s="194"/>
      <c r="AJ339" s="194"/>
      <c r="AK339" s="104">
        <v>335</v>
      </c>
      <c r="AL339" s="14">
        <f t="shared" si="345"/>
        <v>7</v>
      </c>
      <c r="AM339" s="14">
        <f>INDEX(挂机升级突破!DQ$6:DQ$57,卡牌消耗!$AT339)</f>
        <v>11</v>
      </c>
      <c r="AN339" s="14">
        <f>INDEX(挂机升级突破!DR$6:DR$57,卡牌消耗!$AT339)</f>
        <v>4</v>
      </c>
      <c r="AO339" s="14">
        <f>INDEX(挂机升级突破!DS$6:DS$57,卡牌消耗!$AT339)</f>
        <v>0</v>
      </c>
      <c r="AP339" s="14">
        <f>INDEX(挂机升级突破!$DP$6:$DP$57,卡牌消耗!AT339)</f>
        <v>75</v>
      </c>
      <c r="AQ339" s="14" t="str">
        <f t="shared" si="346"/>
        <v>天使缇娜</v>
      </c>
      <c r="AR339" s="14">
        <f t="shared" si="347"/>
        <v>4</v>
      </c>
      <c r="AS339" s="14" t="str">
        <f t="shared" si="348"/>
        <v>天使缇娜魂火-23</v>
      </c>
      <c r="AT339" s="14">
        <f t="shared" si="349"/>
        <v>23</v>
      </c>
      <c r="AU339" s="14" t="str">
        <f>IF(AM339&gt;0,INDEX(挂机升级突破!$DT$4:$ED$4,AM339),"")</f>
        <v>金币</v>
      </c>
      <c r="AV339" s="14">
        <f>ROUND(INDEX(挂机升级突破!$DJ$6:$DJ$57,卡牌消耗!AT339)*INDEX(卡牌消耗!$B$8:$F$8,AR339)/$Q$4/50,0)*50</f>
        <v>10350</v>
      </c>
      <c r="AW339" s="14" t="str">
        <f>IF(AN339&gt;0,INDEX(挂机升级突破!$DT$4:$ED$4,AN339),"")</f>
        <v>橙色基础材料</v>
      </c>
      <c r="AX339" s="14">
        <f>ROUND(INDEX(挂机升级突破!$DT$6:$ED$57,卡牌消耗!AT339,AN339)*INDEX(卡牌消耗!$B$5:$F$5,AR339)/$Q$4/5,0)*5</f>
        <v>25</v>
      </c>
      <c r="AY339" s="14" t="str">
        <f>IF(AO339&gt;0,INDEX(挂机升级突破!$DT$4:$ED$4,AO339),"")</f>
        <v/>
      </c>
      <c r="AZ339" s="14" t="str">
        <f>IF(AO339&gt;0,ROUND(INDEX(挂机升级突破!$DT$6:$ED$57,卡牌消耗!AT339,AO339)*INDEX(卡牌消耗!$B$7:$F$7,AR339)/$Q$4,0),"")</f>
        <v/>
      </c>
      <c r="BA339" s="106"/>
      <c r="BB339" s="197"/>
      <c r="BC339" s="197"/>
      <c r="BD339" s="197"/>
      <c r="BE339" s="197"/>
      <c r="BF339" s="197"/>
      <c r="BG339" s="197"/>
      <c r="BH339" s="197"/>
      <c r="BI339" s="197"/>
      <c r="BJ339" s="197"/>
      <c r="BK339" s="197"/>
      <c r="BL339" s="104">
        <v>335</v>
      </c>
      <c r="BM339" s="14">
        <f t="shared" si="350"/>
        <v>17</v>
      </c>
      <c r="BN339" s="14">
        <f>INDEX(挂机升级突破!$EI$7:$EI$26,BS339)</f>
        <v>5</v>
      </c>
      <c r="BO339" s="14">
        <f>INDEX(挂机升级突破!$EJ$7:$EJ$26,BS339)</f>
        <v>3</v>
      </c>
      <c r="BP339" s="14">
        <f t="shared" si="351"/>
        <v>3</v>
      </c>
      <c r="BQ339" s="14">
        <f>INDEX(挂机升级突破!$EH$7:$EH$26,卡牌消耗!BS339)</f>
        <v>102</v>
      </c>
      <c r="BR339" s="14" t="str">
        <f t="shared" si="352"/>
        <v>飞廉</v>
      </c>
      <c r="BS339" s="14">
        <f t="shared" si="353"/>
        <v>15</v>
      </c>
      <c r="BT339" s="14" t="str">
        <f t="shared" si="354"/>
        <v>飞廉15突</v>
      </c>
      <c r="BU339" s="14" t="str">
        <f>IF(BN339&gt;0,INDEX(挂机升级突破!$ER$5:$EV$5,卡牌消耗!BN339),"")</f>
        <v>金币</v>
      </c>
      <c r="BV339" s="14">
        <f>IF(BN339&gt;0,ROUND(INDEX(挂机升级突破!$EV$7:$EV$26,卡牌消耗!BS339)*INDEX(卡牌消耗!$B$8:$F$8,BP339)/$Q$4/500,0)*500,"")</f>
        <v>44500</v>
      </c>
      <c r="BW339" s="14" t="str">
        <f>IF(BO339&gt;0,INDEX(挂机升级突破!$ER$5:$EV$5,卡牌消耗!BO339),"")</f>
        <v>银母</v>
      </c>
      <c r="BX339" s="14">
        <f>IF(BO339&gt;0,ROUND(INDEX(挂机升级突破!$ER$7:$EU$26,卡牌消耗!BS339,卡牌消耗!BO339)*INDEX($B$6:$F$6,BP339)/$Q$4/5,0)*5,"")</f>
        <v>70</v>
      </c>
      <c r="BY339" s="193"/>
      <c r="BZ339" s="193"/>
      <c r="CA339" s="106"/>
      <c r="CS339" s="171"/>
      <c r="CT339" s="171"/>
      <c r="CU339" s="171"/>
    </row>
    <row r="340" spans="8:99" ht="16.5" x14ac:dyDescent="0.2">
      <c r="H340" s="15"/>
      <c r="I340" s="15"/>
      <c r="J340" s="15"/>
      <c r="K340" s="15"/>
      <c r="L340" s="15"/>
      <c r="M340" s="15"/>
      <c r="N340" s="15"/>
      <c r="O340" s="137"/>
      <c r="P340" s="141"/>
      <c r="Q340" s="141"/>
      <c r="R340" s="141"/>
      <c r="S340" s="141"/>
      <c r="T340" s="141"/>
      <c r="U340" s="141"/>
      <c r="V340" s="141"/>
      <c r="W340" s="141"/>
      <c r="X340" s="141"/>
      <c r="Y340" s="141"/>
      <c r="Z340" s="141"/>
      <c r="AA340" s="194"/>
      <c r="AB340" s="194"/>
      <c r="AC340" s="194"/>
      <c r="AD340" s="194"/>
      <c r="AE340" s="194"/>
      <c r="AF340" s="194"/>
      <c r="AG340" s="197"/>
      <c r="AH340" s="194"/>
      <c r="AI340" s="194"/>
      <c r="AJ340" s="194"/>
      <c r="AK340" s="104">
        <v>336</v>
      </c>
      <c r="AL340" s="14">
        <f t="shared" si="345"/>
        <v>7</v>
      </c>
      <c r="AM340" s="14">
        <f>INDEX(挂机升级突破!DQ$6:DQ$57,卡牌消耗!$AT340)</f>
        <v>11</v>
      </c>
      <c r="AN340" s="14">
        <f>INDEX(挂机升级突破!DR$6:DR$57,卡牌消耗!$AT340)</f>
        <v>4</v>
      </c>
      <c r="AO340" s="14">
        <f>INDEX(挂机升级突破!DS$6:DS$57,卡牌消耗!$AT340)</f>
        <v>0</v>
      </c>
      <c r="AP340" s="14">
        <f>INDEX(挂机升级突破!$DP$6:$DP$57,卡牌消耗!AT340)</f>
        <v>78</v>
      </c>
      <c r="AQ340" s="14" t="str">
        <f t="shared" si="346"/>
        <v>天使缇娜</v>
      </c>
      <c r="AR340" s="14">
        <f t="shared" si="347"/>
        <v>4</v>
      </c>
      <c r="AS340" s="14" t="str">
        <f t="shared" si="348"/>
        <v>天使缇娜魂火-24</v>
      </c>
      <c r="AT340" s="14">
        <f t="shared" si="349"/>
        <v>24</v>
      </c>
      <c r="AU340" s="14" t="str">
        <f>IF(AM340&gt;0,INDEX(挂机升级突破!$DT$4:$ED$4,AM340),"")</f>
        <v>金币</v>
      </c>
      <c r="AV340" s="14">
        <f>ROUND(INDEX(挂机升级突破!$DJ$6:$DJ$57,卡牌消耗!AT340)*INDEX(卡牌消耗!$B$8:$F$8,AR340)/$Q$4/50,0)*50</f>
        <v>10350</v>
      </c>
      <c r="AW340" s="14" t="str">
        <f>IF(AN340&gt;0,INDEX(挂机升级突破!$DT$4:$ED$4,AN340),"")</f>
        <v>橙色基础材料</v>
      </c>
      <c r="AX340" s="14">
        <f>ROUND(INDEX(挂机升级突破!$DT$6:$ED$57,卡牌消耗!AT340,AN340)*INDEX(卡牌消耗!$B$5:$F$5,AR340)/$Q$4/5,0)*5</f>
        <v>25</v>
      </c>
      <c r="AY340" s="14" t="str">
        <f>IF(AO340&gt;0,INDEX(挂机升级突破!$DT$4:$ED$4,AO340),"")</f>
        <v/>
      </c>
      <c r="AZ340" s="14" t="str">
        <f>IF(AO340&gt;0,ROUND(INDEX(挂机升级突破!$DT$6:$ED$57,卡牌消耗!AT340,AO340)*INDEX(卡牌消耗!$B$7:$F$7,AR340)/$Q$4,0),"")</f>
        <v/>
      </c>
      <c r="BA340" s="106"/>
      <c r="BB340" s="197"/>
      <c r="BC340" s="197"/>
      <c r="BD340" s="197"/>
      <c r="BE340" s="197"/>
      <c r="BF340" s="197"/>
      <c r="BG340" s="197"/>
      <c r="BH340" s="197"/>
      <c r="BI340" s="197"/>
      <c r="BJ340" s="197"/>
      <c r="BK340" s="197"/>
      <c r="BL340" s="104">
        <v>336</v>
      </c>
      <c r="BM340" s="14">
        <f t="shared" si="350"/>
        <v>17</v>
      </c>
      <c r="BN340" s="14">
        <f>INDEX(挂机升级突破!$EI$7:$EI$26,BS340)</f>
        <v>5</v>
      </c>
      <c r="BO340" s="14">
        <f>INDEX(挂机升级突破!$EJ$7:$EJ$26,BS340)</f>
        <v>3</v>
      </c>
      <c r="BP340" s="14">
        <f t="shared" si="351"/>
        <v>3</v>
      </c>
      <c r="BQ340" s="14">
        <f>INDEX(挂机升级突破!$EH$7:$EH$26,卡牌消耗!BS340)</f>
        <v>110</v>
      </c>
      <c r="BR340" s="14" t="str">
        <f t="shared" si="352"/>
        <v>飞廉</v>
      </c>
      <c r="BS340" s="14">
        <f t="shared" si="353"/>
        <v>16</v>
      </c>
      <c r="BT340" s="14" t="str">
        <f t="shared" si="354"/>
        <v>飞廉16突</v>
      </c>
      <c r="BU340" s="14" t="str">
        <f>IF(BN340&gt;0,INDEX(挂机升级突破!$ER$5:$EV$5,卡牌消耗!BN340),"")</f>
        <v>金币</v>
      </c>
      <c r="BV340" s="14">
        <f>IF(BN340&gt;0,ROUND(INDEX(挂机升级突破!$EV$7:$EV$26,卡牌消耗!BS340)*INDEX(卡牌消耗!$B$8:$F$8,BP340)/$Q$4/500,0)*500,"")</f>
        <v>80500</v>
      </c>
      <c r="BW340" s="14" t="str">
        <f>IF(BO340&gt;0,INDEX(挂机升级突破!$ER$5:$EV$5,卡牌消耗!BO340),"")</f>
        <v>银母</v>
      </c>
      <c r="BX340" s="14">
        <f>IF(BO340&gt;0,ROUND(INDEX(挂机升级突破!$ER$7:$EU$26,卡牌消耗!BS340,卡牌消耗!BO340)*INDEX($B$6:$F$6,BP340)/$Q$4/5,0)*5,"")</f>
        <v>90</v>
      </c>
      <c r="BY340" s="193"/>
      <c r="BZ340" s="193"/>
      <c r="CA340" s="106"/>
      <c r="CS340" s="171"/>
      <c r="CT340" s="171"/>
      <c r="CU340" s="171"/>
    </row>
    <row r="341" spans="8:99" ht="16.5" x14ac:dyDescent="0.2">
      <c r="H341" s="15"/>
      <c r="I341" s="15"/>
      <c r="J341" s="15"/>
      <c r="K341" s="15"/>
      <c r="L341" s="15"/>
      <c r="M341" s="15"/>
      <c r="N341" s="15"/>
      <c r="O341" s="137"/>
      <c r="P341" s="141"/>
      <c r="Q341" s="141"/>
      <c r="R341" s="141"/>
      <c r="S341" s="141"/>
      <c r="T341" s="141"/>
      <c r="U341" s="141"/>
      <c r="V341" s="141"/>
      <c r="W341" s="141"/>
      <c r="X341" s="141"/>
      <c r="Y341" s="141"/>
      <c r="Z341" s="141"/>
      <c r="AA341" s="194"/>
      <c r="AB341" s="194"/>
      <c r="AC341" s="194"/>
      <c r="AD341" s="194"/>
      <c r="AE341" s="194"/>
      <c r="AF341" s="194"/>
      <c r="AG341" s="197"/>
      <c r="AH341" s="194"/>
      <c r="AI341" s="194"/>
      <c r="AJ341" s="194"/>
      <c r="AK341" s="104">
        <v>337</v>
      </c>
      <c r="AL341" s="14">
        <f t="shared" si="345"/>
        <v>7</v>
      </c>
      <c r="AM341" s="14">
        <f>INDEX(挂机升级突破!DQ$6:DQ$57,卡牌消耗!$AT341)</f>
        <v>11</v>
      </c>
      <c r="AN341" s="14">
        <f>INDEX(挂机升级突破!DR$6:DR$57,卡牌消耗!$AT341)</f>
        <v>4</v>
      </c>
      <c r="AO341" s="14">
        <f>INDEX(挂机升级突破!DS$6:DS$57,卡牌消耗!$AT341)</f>
        <v>0</v>
      </c>
      <c r="AP341" s="14">
        <f>INDEX(挂机升级突破!$DP$6:$DP$57,卡牌消耗!AT341)</f>
        <v>80</v>
      </c>
      <c r="AQ341" s="14" t="str">
        <f t="shared" si="346"/>
        <v>天使缇娜</v>
      </c>
      <c r="AR341" s="14">
        <f t="shared" si="347"/>
        <v>4</v>
      </c>
      <c r="AS341" s="14" t="str">
        <f t="shared" si="348"/>
        <v>天使缇娜魂火-25</v>
      </c>
      <c r="AT341" s="14">
        <f t="shared" si="349"/>
        <v>25</v>
      </c>
      <c r="AU341" s="14" t="str">
        <f>IF(AM341&gt;0,INDEX(挂机升级突破!$DT$4:$ED$4,AM341),"")</f>
        <v>金币</v>
      </c>
      <c r="AV341" s="14">
        <f>ROUND(INDEX(挂机升级突破!$DJ$6:$DJ$57,卡牌消耗!AT341)*INDEX(卡牌消耗!$B$8:$F$8,AR341)/$Q$4/50,0)*50</f>
        <v>11300</v>
      </c>
      <c r="AW341" s="14" t="str">
        <f>IF(AN341&gt;0,INDEX(挂机升级突破!$DT$4:$ED$4,AN341),"")</f>
        <v>橙色基础材料</v>
      </c>
      <c r="AX341" s="14">
        <f>ROUND(INDEX(挂机升级突破!$DT$6:$ED$57,卡牌消耗!AT341,AN341)*INDEX(卡牌消耗!$B$5:$F$5,AR341)/$Q$4/5,0)*5</f>
        <v>25</v>
      </c>
      <c r="AY341" s="14" t="str">
        <f>IF(AO341&gt;0,INDEX(挂机升级突破!$DT$4:$ED$4,AO341),"")</f>
        <v/>
      </c>
      <c r="AZ341" s="14" t="str">
        <f>IF(AO341&gt;0,ROUND(INDEX(挂机升级突破!$DT$6:$ED$57,卡牌消耗!AT341,AO341)*INDEX(卡牌消耗!$B$7:$F$7,AR341)/$Q$4,0),"")</f>
        <v/>
      </c>
      <c r="BA341" s="106"/>
      <c r="BB341" s="197"/>
      <c r="BC341" s="197"/>
      <c r="BD341" s="197"/>
      <c r="BE341" s="197"/>
      <c r="BF341" s="197"/>
      <c r="BG341" s="197"/>
      <c r="BH341" s="197"/>
      <c r="BI341" s="197"/>
      <c r="BJ341" s="197"/>
      <c r="BK341" s="197"/>
      <c r="BL341" s="104">
        <v>337</v>
      </c>
      <c r="BM341" s="14">
        <f t="shared" si="350"/>
        <v>17</v>
      </c>
      <c r="BN341" s="14">
        <f>INDEX(挂机升级突破!$EI$7:$EI$26,BS341)</f>
        <v>5</v>
      </c>
      <c r="BO341" s="14">
        <f>INDEX(挂机升级突破!$EJ$7:$EJ$26,BS341)</f>
        <v>4</v>
      </c>
      <c r="BP341" s="14">
        <f t="shared" si="351"/>
        <v>3</v>
      </c>
      <c r="BQ341" s="14">
        <f>INDEX(挂机升级突破!$EH$7:$EH$26,卡牌消耗!BS341)</f>
        <v>117</v>
      </c>
      <c r="BR341" s="14" t="str">
        <f t="shared" si="352"/>
        <v>飞廉</v>
      </c>
      <c r="BS341" s="14">
        <f t="shared" si="353"/>
        <v>17</v>
      </c>
      <c r="BT341" s="14" t="str">
        <f t="shared" si="354"/>
        <v>飞廉17突</v>
      </c>
      <c r="BU341" s="14" t="str">
        <f>IF(BN341&gt;0,INDEX(挂机升级突破!$ER$5:$EV$5,卡牌消耗!BN341),"")</f>
        <v>金币</v>
      </c>
      <c r="BV341" s="14">
        <f>IF(BN341&gt;0,ROUND(INDEX(挂机升级突破!$EV$7:$EV$26,卡牌消耗!BS341)*INDEX(卡牌消耗!$B$8:$F$8,BP341)/$Q$4/500,0)*500,"")</f>
        <v>80500</v>
      </c>
      <c r="BW341" s="14" t="str">
        <f>IF(BO341&gt;0,INDEX(挂机升级突破!$ER$5:$EV$5,卡牌消耗!BO341),"")</f>
        <v>铀金</v>
      </c>
      <c r="BX341" s="14">
        <f>IF(BO341&gt;0,ROUND(INDEX(挂机升级突破!$ER$7:$EU$26,卡牌消耗!BS341,卡牌消耗!BO341)*INDEX($B$6:$F$6,BP341)/$Q$4/5,0)*5,"")</f>
        <v>20</v>
      </c>
      <c r="BY341" s="193"/>
      <c r="BZ341" s="193"/>
      <c r="CA341" s="106"/>
      <c r="CS341" s="171"/>
      <c r="CT341" s="171"/>
      <c r="CU341" s="171"/>
    </row>
    <row r="342" spans="8:99" ht="16.5" x14ac:dyDescent="0.2">
      <c r="H342" s="15"/>
      <c r="I342" s="15"/>
      <c r="J342" s="15"/>
      <c r="K342" s="15"/>
      <c r="L342" s="15"/>
      <c r="M342" s="15"/>
      <c r="N342" s="15"/>
      <c r="O342" s="137"/>
      <c r="P342" s="141"/>
      <c r="Q342" s="141"/>
      <c r="R342" s="141"/>
      <c r="S342" s="141"/>
      <c r="T342" s="141"/>
      <c r="U342" s="141"/>
      <c r="V342" s="141"/>
      <c r="W342" s="141"/>
      <c r="X342" s="141"/>
      <c r="Y342" s="141"/>
      <c r="Z342" s="141"/>
      <c r="AA342" s="194"/>
      <c r="AB342" s="194"/>
      <c r="AC342" s="194"/>
      <c r="AD342" s="194"/>
      <c r="AE342" s="194"/>
      <c r="AF342" s="194"/>
      <c r="AG342" s="197"/>
      <c r="AH342" s="194"/>
      <c r="AI342" s="194"/>
      <c r="AJ342" s="194"/>
      <c r="AK342" s="104">
        <v>338</v>
      </c>
      <c r="AL342" s="14">
        <f t="shared" si="345"/>
        <v>7</v>
      </c>
      <c r="AM342" s="14">
        <f>INDEX(挂机升级突破!DQ$6:DQ$57,卡牌消耗!$AT342)</f>
        <v>11</v>
      </c>
      <c r="AN342" s="14">
        <f>INDEX(挂机升级突破!DR$6:DR$57,卡牌消耗!$AT342)</f>
        <v>4</v>
      </c>
      <c r="AO342" s="14">
        <f>INDEX(挂机升级突破!DS$6:DS$57,卡牌消耗!$AT342)</f>
        <v>0</v>
      </c>
      <c r="AP342" s="14">
        <f>INDEX(挂机升级突破!$DP$6:$DP$57,卡牌消耗!AT342)</f>
        <v>83</v>
      </c>
      <c r="AQ342" s="14" t="str">
        <f t="shared" si="346"/>
        <v>天使缇娜</v>
      </c>
      <c r="AR342" s="14">
        <f t="shared" si="347"/>
        <v>4</v>
      </c>
      <c r="AS342" s="14" t="str">
        <f t="shared" si="348"/>
        <v>天使缇娜魂火-26</v>
      </c>
      <c r="AT342" s="14">
        <f t="shared" si="349"/>
        <v>26</v>
      </c>
      <c r="AU342" s="14" t="str">
        <f>IF(AM342&gt;0,INDEX(挂机升级突破!$DT$4:$ED$4,AM342),"")</f>
        <v>金币</v>
      </c>
      <c r="AV342" s="14">
        <f>ROUND(INDEX(挂机升级突破!$DJ$6:$DJ$57,卡牌消耗!AT342)*INDEX(卡牌消耗!$B$8:$F$8,AR342)/$Q$4/50,0)*50</f>
        <v>13150</v>
      </c>
      <c r="AW342" s="14" t="str">
        <f>IF(AN342&gt;0,INDEX(挂机升级突破!$DT$4:$ED$4,AN342),"")</f>
        <v>橙色基础材料</v>
      </c>
      <c r="AX342" s="14">
        <f>ROUND(INDEX(挂机升级突破!$DT$6:$ED$57,卡牌消耗!AT342,AN342)*INDEX(卡牌消耗!$B$5:$F$5,AR342)/$Q$4/5,0)*5</f>
        <v>30</v>
      </c>
      <c r="AY342" s="14" t="str">
        <f>IF(AO342&gt;0,INDEX(挂机升级突破!$DT$4:$ED$4,AO342),"")</f>
        <v/>
      </c>
      <c r="AZ342" s="14" t="str">
        <f>IF(AO342&gt;0,ROUND(INDEX(挂机升级突破!$DT$6:$ED$57,卡牌消耗!AT342,AO342)*INDEX(卡牌消耗!$B$7:$F$7,AR342)/$Q$4,0),"")</f>
        <v/>
      </c>
      <c r="BA342" s="106"/>
      <c r="BB342" s="197"/>
      <c r="BC342" s="197"/>
      <c r="BD342" s="197"/>
      <c r="BE342" s="197"/>
      <c r="BF342" s="197"/>
      <c r="BG342" s="197"/>
      <c r="BH342" s="197"/>
      <c r="BI342" s="197"/>
      <c r="BJ342" s="197"/>
      <c r="BK342" s="197"/>
      <c r="BL342" s="104">
        <v>338</v>
      </c>
      <c r="BM342" s="14">
        <f t="shared" si="350"/>
        <v>17</v>
      </c>
      <c r="BN342" s="14">
        <f>INDEX(挂机升级突破!$EI$7:$EI$26,BS342)</f>
        <v>5</v>
      </c>
      <c r="BO342" s="14">
        <f>INDEX(挂机升级突破!$EJ$7:$EJ$26,BS342)</f>
        <v>4</v>
      </c>
      <c r="BP342" s="14">
        <f t="shared" si="351"/>
        <v>3</v>
      </c>
      <c r="BQ342" s="14">
        <f>INDEX(挂机升级突破!$EH$7:$EH$26,卡牌消耗!BS342)</f>
        <v>125</v>
      </c>
      <c r="BR342" s="14" t="str">
        <f t="shared" si="352"/>
        <v>飞廉</v>
      </c>
      <c r="BS342" s="14">
        <f t="shared" si="353"/>
        <v>18</v>
      </c>
      <c r="BT342" s="14" t="str">
        <f t="shared" si="354"/>
        <v>飞廉18突</v>
      </c>
      <c r="BU342" s="14" t="str">
        <f>IF(BN342&gt;0,INDEX(挂机升级突破!$ER$5:$EV$5,卡牌消耗!BN342),"")</f>
        <v>金币</v>
      </c>
      <c r="BV342" s="14">
        <f>IF(BN342&gt;0,ROUND(INDEX(挂机升级突破!$EV$7:$EV$26,卡牌消耗!BS342)*INDEX(卡牌消耗!$B$8:$F$8,BP342)/$Q$4/500,0)*500,"")</f>
        <v>107500</v>
      </c>
      <c r="BW342" s="14" t="str">
        <f>IF(BO342&gt;0,INDEX(挂机升级突破!$ER$5:$EV$5,卡牌消耗!BO342),"")</f>
        <v>铀金</v>
      </c>
      <c r="BX342" s="14">
        <f>IF(BO342&gt;0,ROUND(INDEX(挂机升级突破!$ER$7:$EU$26,卡牌消耗!BS342,卡牌消耗!BO342)*INDEX($B$6:$F$6,BP342)/$Q$4/5,0)*5,"")</f>
        <v>25</v>
      </c>
      <c r="BY342" s="193"/>
      <c r="BZ342" s="193"/>
      <c r="CA342" s="106"/>
      <c r="CS342" s="171"/>
      <c r="CT342" s="171"/>
      <c r="CU342" s="171"/>
    </row>
    <row r="343" spans="8:99" ht="16.5" x14ac:dyDescent="0.2">
      <c r="H343" s="15"/>
      <c r="I343" s="15"/>
      <c r="J343" s="15"/>
      <c r="K343" s="15"/>
      <c r="L343" s="15"/>
      <c r="M343" s="15"/>
      <c r="N343" s="15"/>
      <c r="O343" s="137"/>
      <c r="P343" s="141"/>
      <c r="Q343" s="141"/>
      <c r="R343" s="141"/>
      <c r="S343" s="141"/>
      <c r="T343" s="141"/>
      <c r="U343" s="141"/>
      <c r="V343" s="141"/>
      <c r="W343" s="141"/>
      <c r="X343" s="141"/>
      <c r="Y343" s="141"/>
      <c r="Z343" s="141"/>
      <c r="AA343" s="194"/>
      <c r="AB343" s="194"/>
      <c r="AC343" s="194"/>
      <c r="AD343" s="194"/>
      <c r="AE343" s="194"/>
      <c r="AF343" s="194"/>
      <c r="AG343" s="197"/>
      <c r="AH343" s="194"/>
      <c r="AI343" s="194"/>
      <c r="AJ343" s="194"/>
      <c r="AK343" s="104">
        <v>339</v>
      </c>
      <c r="AL343" s="14">
        <f t="shared" si="345"/>
        <v>7</v>
      </c>
      <c r="AM343" s="14">
        <f>INDEX(挂机升级突破!DQ$6:DQ$57,卡牌消耗!$AT343)</f>
        <v>11</v>
      </c>
      <c r="AN343" s="14">
        <f>INDEX(挂机升级突破!DR$6:DR$57,卡牌消耗!$AT343)</f>
        <v>4</v>
      </c>
      <c r="AO343" s="14">
        <f>INDEX(挂机升级突破!DS$6:DS$57,卡牌消耗!$AT343)</f>
        <v>0</v>
      </c>
      <c r="AP343" s="14">
        <f>INDEX(挂机升级突破!$DP$6:$DP$57,卡牌消耗!AT343)</f>
        <v>85</v>
      </c>
      <c r="AQ343" s="14" t="str">
        <f t="shared" si="346"/>
        <v>天使缇娜</v>
      </c>
      <c r="AR343" s="14">
        <f t="shared" si="347"/>
        <v>4</v>
      </c>
      <c r="AS343" s="14" t="str">
        <f t="shared" si="348"/>
        <v>天使缇娜魂火-27</v>
      </c>
      <c r="AT343" s="14">
        <f t="shared" si="349"/>
        <v>27</v>
      </c>
      <c r="AU343" s="14" t="str">
        <f>IF(AM343&gt;0,INDEX(挂机升级突破!$DT$4:$ED$4,AM343),"")</f>
        <v>金币</v>
      </c>
      <c r="AV343" s="14">
        <f>ROUND(INDEX(挂机升级突破!$DJ$6:$DJ$57,卡牌消耗!AT343)*INDEX(卡牌消耗!$B$8:$F$8,AR343)/$Q$4/50,0)*50</f>
        <v>13150</v>
      </c>
      <c r="AW343" s="14" t="str">
        <f>IF(AN343&gt;0,INDEX(挂机升级突破!$DT$4:$ED$4,AN343),"")</f>
        <v>橙色基础材料</v>
      </c>
      <c r="AX343" s="14">
        <f>ROUND(INDEX(挂机升级突破!$DT$6:$ED$57,卡牌消耗!AT343,AN343)*INDEX(卡牌消耗!$B$5:$F$5,AR343)/$Q$4/5,0)*5</f>
        <v>30</v>
      </c>
      <c r="AY343" s="14" t="str">
        <f>IF(AO343&gt;0,INDEX(挂机升级突破!$DT$4:$ED$4,AO343),"")</f>
        <v/>
      </c>
      <c r="AZ343" s="14" t="str">
        <f>IF(AO343&gt;0,ROUND(INDEX(挂机升级突破!$DT$6:$ED$57,卡牌消耗!AT343,AO343)*INDEX(卡牌消耗!$B$7:$F$7,AR343)/$Q$4,0),"")</f>
        <v/>
      </c>
      <c r="BA343" s="106"/>
      <c r="BB343" s="197"/>
      <c r="BC343" s="197"/>
      <c r="BD343" s="197"/>
      <c r="BE343" s="197"/>
      <c r="BF343" s="197"/>
      <c r="BG343" s="197"/>
      <c r="BH343" s="197"/>
      <c r="BI343" s="197"/>
      <c r="BJ343" s="197"/>
      <c r="BK343" s="197"/>
      <c r="BL343" s="104">
        <v>339</v>
      </c>
      <c r="BM343" s="14">
        <f t="shared" si="350"/>
        <v>17</v>
      </c>
      <c r="BN343" s="14">
        <f>INDEX(挂机升级突破!$EI$7:$EI$26,BS343)</f>
        <v>5</v>
      </c>
      <c r="BO343" s="14">
        <f>INDEX(挂机升级突破!$EJ$7:$EJ$26,BS343)</f>
        <v>4</v>
      </c>
      <c r="BP343" s="14">
        <f t="shared" si="351"/>
        <v>3</v>
      </c>
      <c r="BQ343" s="14">
        <f>INDEX(挂机升级突破!$EH$7:$EH$26,卡牌消耗!BS343)</f>
        <v>132</v>
      </c>
      <c r="BR343" s="14" t="str">
        <f t="shared" si="352"/>
        <v>飞廉</v>
      </c>
      <c r="BS343" s="14">
        <f t="shared" si="353"/>
        <v>19</v>
      </c>
      <c r="BT343" s="14" t="str">
        <f t="shared" si="354"/>
        <v>飞廉19突</v>
      </c>
      <c r="BU343" s="14" t="str">
        <f>IF(BN343&gt;0,INDEX(挂机升级突破!$ER$5:$EV$5,卡牌消耗!BN343),"")</f>
        <v>金币</v>
      </c>
      <c r="BV343" s="14">
        <f>IF(BN343&gt;0,ROUND(INDEX(挂机升级突破!$EV$7:$EV$26,卡牌消耗!BS343)*INDEX(卡牌消耗!$B$8:$F$8,BP343)/$Q$4/500,0)*500,"")</f>
        <v>273500</v>
      </c>
      <c r="BW343" s="14" t="str">
        <f>IF(BO343&gt;0,INDEX(挂机升级突破!$ER$5:$EV$5,卡牌消耗!BO343),"")</f>
        <v>铀金</v>
      </c>
      <c r="BX343" s="14">
        <f>IF(BO343&gt;0,ROUND(INDEX(挂机升级突破!$ER$7:$EU$26,卡牌消耗!BS343,卡牌消耗!BO343)*INDEX($B$6:$F$6,BP343)/$Q$4/5,0)*5,"")</f>
        <v>35</v>
      </c>
      <c r="BY343" s="193"/>
      <c r="BZ343" s="193"/>
      <c r="CA343" s="106"/>
      <c r="CS343" s="171"/>
      <c r="CT343" s="171"/>
      <c r="CU343" s="171"/>
    </row>
    <row r="344" spans="8:99" ht="16.5" x14ac:dyDescent="0.2">
      <c r="H344" s="15"/>
      <c r="I344" s="15"/>
      <c r="J344" s="15"/>
      <c r="K344" s="15"/>
      <c r="L344" s="15"/>
      <c r="M344" s="15"/>
      <c r="N344" s="15"/>
      <c r="O344" s="137"/>
      <c r="P344" s="141"/>
      <c r="Q344" s="141"/>
      <c r="R344" s="141"/>
      <c r="S344" s="141"/>
      <c r="T344" s="141"/>
      <c r="U344" s="141"/>
      <c r="V344" s="141"/>
      <c r="W344" s="141"/>
      <c r="X344" s="141"/>
      <c r="Y344" s="141"/>
      <c r="Z344" s="141"/>
      <c r="AA344" s="194"/>
      <c r="AB344" s="194"/>
      <c r="AC344" s="194"/>
      <c r="AD344" s="194"/>
      <c r="AE344" s="194"/>
      <c r="AF344" s="194"/>
      <c r="AG344" s="197"/>
      <c r="AH344" s="194"/>
      <c r="AI344" s="194"/>
      <c r="AJ344" s="194"/>
      <c r="AK344" s="104">
        <v>340</v>
      </c>
      <c r="AL344" s="14">
        <f t="shared" si="345"/>
        <v>7</v>
      </c>
      <c r="AM344" s="14">
        <f>INDEX(挂机升级突破!DQ$6:DQ$57,卡牌消耗!$AT344)</f>
        <v>11</v>
      </c>
      <c r="AN344" s="14">
        <f>INDEX(挂机升级突破!DR$6:DR$57,卡牌消耗!$AT344)</f>
        <v>4</v>
      </c>
      <c r="AO344" s="14">
        <f>INDEX(挂机升级突破!DS$6:DS$57,卡牌消耗!$AT344)</f>
        <v>0</v>
      </c>
      <c r="AP344" s="14">
        <f>INDEX(挂机升级突破!$DP$6:$DP$57,卡牌消耗!AT344)</f>
        <v>88</v>
      </c>
      <c r="AQ344" s="14" t="str">
        <f t="shared" si="346"/>
        <v>天使缇娜</v>
      </c>
      <c r="AR344" s="14">
        <f t="shared" si="347"/>
        <v>4</v>
      </c>
      <c r="AS344" s="14" t="str">
        <f t="shared" si="348"/>
        <v>天使缇娜魂火-28</v>
      </c>
      <c r="AT344" s="14">
        <f t="shared" si="349"/>
        <v>28</v>
      </c>
      <c r="AU344" s="14" t="str">
        <f>IF(AM344&gt;0,INDEX(挂机升级突破!$DT$4:$ED$4,AM344),"")</f>
        <v>金币</v>
      </c>
      <c r="AV344" s="14">
        <f>ROUND(INDEX(挂机升级突破!$DJ$6:$DJ$57,卡牌消耗!AT344)*INDEX(卡牌消耗!$B$8:$F$8,AR344)/$Q$4/50,0)*50</f>
        <v>13150</v>
      </c>
      <c r="AW344" s="14" t="str">
        <f>IF(AN344&gt;0,INDEX(挂机升级突破!$DT$4:$ED$4,AN344),"")</f>
        <v>橙色基础材料</v>
      </c>
      <c r="AX344" s="14">
        <f>ROUND(INDEX(挂机升级突破!$DT$6:$ED$57,卡牌消耗!AT344,AN344)*INDEX(卡牌消耗!$B$5:$F$5,AR344)/$Q$4/5,0)*5</f>
        <v>30</v>
      </c>
      <c r="AY344" s="14" t="str">
        <f>IF(AO344&gt;0,INDEX(挂机升级突破!$DT$4:$ED$4,AO344),"")</f>
        <v/>
      </c>
      <c r="AZ344" s="14" t="str">
        <f>IF(AO344&gt;0,ROUND(INDEX(挂机升级突破!$DT$6:$ED$57,卡牌消耗!AT344,AO344)*INDEX(卡牌消耗!$B$7:$F$7,AR344)/$Q$4,0),"")</f>
        <v/>
      </c>
      <c r="BA344" s="106"/>
      <c r="BB344" s="197"/>
      <c r="BC344" s="197"/>
      <c r="BD344" s="197"/>
      <c r="BE344" s="197"/>
      <c r="BF344" s="197"/>
      <c r="BG344" s="197"/>
      <c r="BH344" s="197"/>
      <c r="BI344" s="197"/>
      <c r="BJ344" s="197"/>
      <c r="BK344" s="197"/>
      <c r="BL344" s="104">
        <v>340</v>
      </c>
      <c r="BM344" s="14">
        <f t="shared" si="350"/>
        <v>17</v>
      </c>
      <c r="BN344" s="14">
        <f>INDEX(挂机升级突破!$EI$7:$EI$26,BS344)</f>
        <v>5</v>
      </c>
      <c r="BO344" s="14">
        <f>INDEX(挂机升级突破!$EJ$7:$EJ$26,BS344)</f>
        <v>4</v>
      </c>
      <c r="BP344" s="14">
        <f t="shared" si="351"/>
        <v>3</v>
      </c>
      <c r="BQ344" s="14">
        <f>INDEX(挂机升级突破!$EH$7:$EH$26,卡牌消耗!BS344)</f>
        <v>140</v>
      </c>
      <c r="BR344" s="14" t="str">
        <f t="shared" si="352"/>
        <v>飞廉</v>
      </c>
      <c r="BS344" s="14">
        <f t="shared" si="353"/>
        <v>20</v>
      </c>
      <c r="BT344" s="14" t="str">
        <f t="shared" si="354"/>
        <v>飞廉20突</v>
      </c>
      <c r="BU344" s="14" t="str">
        <f>IF(BN344&gt;0,INDEX(挂机升级突破!$ER$5:$EV$5,卡牌消耗!BN344),"")</f>
        <v>金币</v>
      </c>
      <c r="BV344" s="14">
        <f>IF(BN344&gt;0,ROUND(INDEX(挂机升级突破!$EV$7:$EV$26,卡牌消耗!BS344)*INDEX(卡牌消耗!$B$8:$F$8,BP344)/$Q$4/500,0)*500,"")</f>
        <v>410500</v>
      </c>
      <c r="BW344" s="14" t="str">
        <f>IF(BO344&gt;0,INDEX(挂机升级突破!$ER$5:$EV$5,卡牌消耗!BO344),"")</f>
        <v>铀金</v>
      </c>
      <c r="BX344" s="14">
        <f>IF(BO344&gt;0,ROUND(INDEX(挂机升级突破!$ER$7:$EU$26,卡牌消耗!BS344,卡牌消耗!BO344)*INDEX($B$6:$F$6,BP344)/$Q$4/5,0)*5,"")</f>
        <v>40</v>
      </c>
      <c r="BY344" s="193"/>
      <c r="BZ344" s="193"/>
      <c r="CA344" s="106"/>
      <c r="CS344" s="171"/>
      <c r="CT344" s="171"/>
      <c r="CU344" s="171"/>
    </row>
    <row r="345" spans="8:99" ht="16.5" x14ac:dyDescent="0.2">
      <c r="H345" s="15"/>
      <c r="I345" s="15"/>
      <c r="J345" s="15"/>
      <c r="K345" s="15"/>
      <c r="L345" s="15"/>
      <c r="M345" s="15"/>
      <c r="N345" s="15"/>
      <c r="O345" s="137"/>
      <c r="P345" s="141"/>
      <c r="Q345" s="141"/>
      <c r="R345" s="141"/>
      <c r="S345" s="141"/>
      <c r="T345" s="141"/>
      <c r="U345" s="141"/>
      <c r="V345" s="141"/>
      <c r="W345" s="141"/>
      <c r="X345" s="141"/>
      <c r="Y345" s="141"/>
      <c r="Z345" s="141"/>
      <c r="AA345" s="194"/>
      <c r="AB345" s="194"/>
      <c r="AC345" s="194"/>
      <c r="AD345" s="194"/>
      <c r="AE345" s="194"/>
      <c r="AF345" s="194"/>
      <c r="AG345" s="197"/>
      <c r="AH345" s="194"/>
      <c r="AI345" s="194"/>
      <c r="AJ345" s="194"/>
      <c r="AK345" s="104">
        <v>341</v>
      </c>
      <c r="AL345" s="14">
        <f t="shared" si="345"/>
        <v>7</v>
      </c>
      <c r="AM345" s="14">
        <f>INDEX(挂机升级突破!DQ$6:DQ$57,卡牌消耗!$AT345)</f>
        <v>11</v>
      </c>
      <c r="AN345" s="14">
        <f>INDEX(挂机升级突破!DR$6:DR$57,卡牌消耗!$AT345)</f>
        <v>4</v>
      </c>
      <c r="AO345" s="14">
        <f>INDEX(挂机升级突破!DS$6:DS$57,卡牌消耗!$AT345)</f>
        <v>0</v>
      </c>
      <c r="AP345" s="14">
        <f>INDEX(挂机升级突破!$DP$6:$DP$57,卡牌消耗!AT345)</f>
        <v>90</v>
      </c>
      <c r="AQ345" s="14" t="str">
        <f t="shared" si="346"/>
        <v>天使缇娜</v>
      </c>
      <c r="AR345" s="14">
        <f t="shared" si="347"/>
        <v>4</v>
      </c>
      <c r="AS345" s="14" t="str">
        <f t="shared" si="348"/>
        <v>天使缇娜魂火-29</v>
      </c>
      <c r="AT345" s="14">
        <f t="shared" si="349"/>
        <v>29</v>
      </c>
      <c r="AU345" s="14" t="str">
        <f>IF(AM345&gt;0,INDEX(挂机升级突破!$DT$4:$ED$4,AM345),"")</f>
        <v>金币</v>
      </c>
      <c r="AV345" s="14">
        <f>ROUND(INDEX(挂机升级突破!$DJ$6:$DJ$57,卡牌消耗!AT345)*INDEX(卡牌消耗!$B$8:$F$8,AR345)/$Q$4/50,0)*50</f>
        <v>13350</v>
      </c>
      <c r="AW345" s="14" t="str">
        <f>IF(AN345&gt;0,INDEX(挂机升级突破!$DT$4:$ED$4,AN345),"")</f>
        <v>橙色基础材料</v>
      </c>
      <c r="AX345" s="14">
        <f>ROUND(INDEX(挂机升级突破!$DT$6:$ED$57,卡牌消耗!AT345,AN345)*INDEX(卡牌消耗!$B$5:$F$5,AR345)/$Q$4/5,0)*5</f>
        <v>30</v>
      </c>
      <c r="AY345" s="14" t="str">
        <f>IF(AO345&gt;0,INDEX(挂机升级突破!$DT$4:$ED$4,AO345),"")</f>
        <v/>
      </c>
      <c r="AZ345" s="14" t="str">
        <f>IF(AO345&gt;0,ROUND(INDEX(挂机升级突破!$DT$6:$ED$57,卡牌消耗!AT345,AO345)*INDEX(卡牌消耗!$B$7:$F$7,AR345)/$Q$4,0),"")</f>
        <v/>
      </c>
      <c r="BA345" s="106"/>
      <c r="BB345" s="197"/>
      <c r="BC345" s="197"/>
      <c r="BD345" s="197"/>
      <c r="BE345" s="197"/>
      <c r="BF345" s="197"/>
      <c r="BG345" s="197"/>
      <c r="BH345" s="197"/>
      <c r="BI345" s="197"/>
      <c r="BJ345" s="197"/>
      <c r="BK345" s="197"/>
      <c r="BL345" s="104">
        <v>341</v>
      </c>
      <c r="BM345" s="14">
        <f t="shared" si="350"/>
        <v>18</v>
      </c>
      <c r="BN345" s="14">
        <f>INDEX(挂机升级突破!$EI$7:$EI$26,BS345)</f>
        <v>0</v>
      </c>
      <c r="BO345" s="14">
        <f>INDEX(挂机升级突破!$EJ$7:$EJ$26,BS345)</f>
        <v>0</v>
      </c>
      <c r="BP345" s="14">
        <f t="shared" si="351"/>
        <v>2</v>
      </c>
      <c r="BQ345" s="14">
        <f>INDEX(挂机升级突破!$EH$7:$EH$26,卡牌消耗!BS345)</f>
        <v>1</v>
      </c>
      <c r="BR345" s="14" t="str">
        <f t="shared" si="352"/>
        <v>噬日</v>
      </c>
      <c r="BS345" s="14">
        <f t="shared" si="353"/>
        <v>1</v>
      </c>
      <c r="BT345" s="14" t="str">
        <f t="shared" si="354"/>
        <v>噬日1突</v>
      </c>
      <c r="BU345" s="14" t="str">
        <f>IF(BN345&gt;0,INDEX(挂机升级突破!$ER$5:$EV$5,卡牌消耗!BN345),"")</f>
        <v/>
      </c>
      <c r="BV345" s="14" t="str">
        <f>IF(BN345&gt;0,ROUND(INDEX(挂机升级突破!$EV$7:$EV$26,卡牌消耗!BS345)*INDEX(卡牌消耗!$B$8:$F$8,BP345)/$Q$4/500,0)*500,"")</f>
        <v/>
      </c>
      <c r="BW345" s="14" t="str">
        <f>IF(BO345&gt;0,INDEX(挂机升级突破!$ER$5:$EV$5,卡牌消耗!BO345),"")</f>
        <v/>
      </c>
      <c r="BX345" s="14" t="str">
        <f>IF(BO345&gt;0,ROUND(INDEX(挂机升级突破!$ER$7:$EU$26,卡牌消耗!BS345,卡牌消耗!BO345)*INDEX($B$6:$F$6,BP345)/$Q$4/5,0)*5,"")</f>
        <v/>
      </c>
      <c r="BY345" s="193"/>
      <c r="BZ345" s="193"/>
      <c r="CA345" s="106"/>
      <c r="CS345" s="171"/>
      <c r="CT345" s="171"/>
      <c r="CU345" s="171"/>
    </row>
    <row r="346" spans="8:99" ht="16.5" x14ac:dyDescent="0.2">
      <c r="H346" s="15"/>
      <c r="I346" s="15"/>
      <c r="J346" s="15"/>
      <c r="K346" s="15"/>
      <c r="L346" s="15"/>
      <c r="M346" s="15"/>
      <c r="N346" s="15"/>
      <c r="O346" s="137"/>
      <c r="P346" s="141"/>
      <c r="Q346" s="141"/>
      <c r="R346" s="141"/>
      <c r="S346" s="141"/>
      <c r="T346" s="141"/>
      <c r="U346" s="141"/>
      <c r="V346" s="141"/>
      <c r="W346" s="141"/>
      <c r="X346" s="141"/>
      <c r="Y346" s="141"/>
      <c r="Z346" s="141"/>
      <c r="AA346" s="194"/>
      <c r="AB346" s="194"/>
      <c r="AC346" s="194"/>
      <c r="AD346" s="194"/>
      <c r="AE346" s="194"/>
      <c r="AF346" s="194"/>
      <c r="AG346" s="197"/>
      <c r="AH346" s="194"/>
      <c r="AI346" s="194"/>
      <c r="AJ346" s="194"/>
      <c r="AK346" s="104">
        <v>342</v>
      </c>
      <c r="AL346" s="14">
        <f t="shared" si="345"/>
        <v>7</v>
      </c>
      <c r="AM346" s="14">
        <f>INDEX(挂机升级突破!DQ$6:DQ$57,卡牌消耗!$AT346)</f>
        <v>11</v>
      </c>
      <c r="AN346" s="14">
        <f>INDEX(挂机升级突破!DR$6:DR$57,卡牌消耗!$AT346)</f>
        <v>4</v>
      </c>
      <c r="AO346" s="14">
        <f>INDEX(挂机升级突破!DS$6:DS$57,卡牌消耗!$AT346)</f>
        <v>0</v>
      </c>
      <c r="AP346" s="14">
        <f>INDEX(挂机升级突破!$DP$6:$DP$57,卡牌消耗!AT346)</f>
        <v>93</v>
      </c>
      <c r="AQ346" s="14" t="str">
        <f t="shared" si="346"/>
        <v>天使缇娜</v>
      </c>
      <c r="AR346" s="14">
        <f t="shared" si="347"/>
        <v>4</v>
      </c>
      <c r="AS346" s="14" t="str">
        <f t="shared" si="348"/>
        <v>天使缇娜魂火-30</v>
      </c>
      <c r="AT346" s="14">
        <f t="shared" si="349"/>
        <v>30</v>
      </c>
      <c r="AU346" s="14" t="str">
        <f>IF(AM346&gt;0,INDEX(挂机升级突破!$DT$4:$ED$4,AM346),"")</f>
        <v>金币</v>
      </c>
      <c r="AV346" s="14">
        <f>ROUND(INDEX(挂机升级突破!$DJ$6:$DJ$57,卡牌消耗!AT346)*INDEX(卡牌消耗!$B$8:$F$8,AR346)/$Q$4/50,0)*50</f>
        <v>13350</v>
      </c>
      <c r="AW346" s="14" t="str">
        <f>IF(AN346&gt;0,INDEX(挂机升级突破!$DT$4:$ED$4,AN346),"")</f>
        <v>橙色基础材料</v>
      </c>
      <c r="AX346" s="14">
        <f>ROUND(INDEX(挂机升级突破!$DT$6:$ED$57,卡牌消耗!AT346,AN346)*INDEX(卡牌消耗!$B$5:$F$5,AR346)/$Q$4/5,0)*5</f>
        <v>30</v>
      </c>
      <c r="AY346" s="14" t="str">
        <f>IF(AO346&gt;0,INDEX(挂机升级突破!$DT$4:$ED$4,AO346),"")</f>
        <v/>
      </c>
      <c r="AZ346" s="14" t="str">
        <f>IF(AO346&gt;0,ROUND(INDEX(挂机升级突破!$DT$6:$ED$57,卡牌消耗!AT346,AO346)*INDEX(卡牌消耗!$B$7:$F$7,AR346)/$Q$4,0),"")</f>
        <v/>
      </c>
      <c r="BA346" s="106"/>
      <c r="BB346" s="197"/>
      <c r="BC346" s="197"/>
      <c r="BD346" s="197"/>
      <c r="BE346" s="197"/>
      <c r="BF346" s="197"/>
      <c r="BG346" s="197"/>
      <c r="BH346" s="197"/>
      <c r="BI346" s="197"/>
      <c r="BJ346" s="197"/>
      <c r="BK346" s="197"/>
      <c r="BL346" s="104">
        <v>342</v>
      </c>
      <c r="BM346" s="14">
        <f t="shared" si="350"/>
        <v>18</v>
      </c>
      <c r="BN346" s="14">
        <f>INDEX(挂机升级突破!$EI$7:$EI$26,BS346)</f>
        <v>5</v>
      </c>
      <c r="BO346" s="14">
        <f>INDEX(挂机升级突破!$EJ$7:$EJ$26,BS346)</f>
        <v>1</v>
      </c>
      <c r="BP346" s="14">
        <f t="shared" si="351"/>
        <v>2</v>
      </c>
      <c r="BQ346" s="14">
        <f>INDEX(挂机升级突破!$EH$7:$EH$26,卡牌消耗!BS346)</f>
        <v>5</v>
      </c>
      <c r="BR346" s="14" t="str">
        <f t="shared" si="352"/>
        <v>噬日</v>
      </c>
      <c r="BS346" s="14">
        <f t="shared" si="353"/>
        <v>2</v>
      </c>
      <c r="BT346" s="14" t="str">
        <f t="shared" si="354"/>
        <v>噬日2突</v>
      </c>
      <c r="BU346" s="14" t="str">
        <f>IF(BN346&gt;0,INDEX(挂机升级突破!$ER$5:$EV$5,卡牌消耗!BN346),"")</f>
        <v>金币</v>
      </c>
      <c r="BV346" s="14">
        <f>IF(BN346&gt;0,ROUND(INDEX(挂机升级突破!$EV$7:$EV$26,卡牌消耗!BS346)*INDEX(卡牌消耗!$B$8:$F$8,BP346)/$Q$4/500,0)*500,"")</f>
        <v>2000</v>
      </c>
      <c r="BW346" s="14" t="str">
        <f>IF(BO346&gt;0,INDEX(挂机升级突破!$ER$5:$EV$5,卡牌消耗!BO346),"")</f>
        <v>玄铁</v>
      </c>
      <c r="BX346" s="14">
        <f>IF(BO346&gt;0,ROUND(INDEX(挂机升级突破!$ER$7:$EU$26,卡牌消耗!BS346,卡牌消耗!BO346)*INDEX($B$6:$F$6,BP346)/$Q$4,0),"")</f>
        <v>1</v>
      </c>
      <c r="BY346" s="193"/>
      <c r="BZ346" s="193"/>
      <c r="CA346" s="106"/>
      <c r="CS346" s="171"/>
      <c r="CT346" s="171"/>
      <c r="CU346" s="171"/>
    </row>
    <row r="347" spans="8:99" ht="16.5" x14ac:dyDescent="0.2">
      <c r="H347" s="15"/>
      <c r="I347" s="15"/>
      <c r="J347" s="15"/>
      <c r="K347" s="15"/>
      <c r="L347" s="15"/>
      <c r="M347" s="15"/>
      <c r="N347" s="15"/>
      <c r="O347" s="137"/>
      <c r="P347" s="141"/>
      <c r="Q347" s="141"/>
      <c r="R347" s="141"/>
      <c r="S347" s="141"/>
      <c r="T347" s="141"/>
      <c r="U347" s="141"/>
      <c r="V347" s="141"/>
      <c r="W347" s="141"/>
      <c r="X347" s="141"/>
      <c r="Y347" s="141"/>
      <c r="Z347" s="141"/>
      <c r="AA347" s="194"/>
      <c r="AB347" s="194"/>
      <c r="AC347" s="194"/>
      <c r="AD347" s="194"/>
      <c r="AE347" s="194"/>
      <c r="AF347" s="194"/>
      <c r="AG347" s="197"/>
      <c r="AH347" s="194"/>
      <c r="AI347" s="194"/>
      <c r="AJ347" s="194"/>
      <c r="AK347" s="104">
        <v>343</v>
      </c>
      <c r="AL347" s="14">
        <f t="shared" si="345"/>
        <v>7</v>
      </c>
      <c r="AM347" s="14">
        <f>INDEX(挂机升级突破!DQ$6:DQ$57,卡牌消耗!$AT347)</f>
        <v>11</v>
      </c>
      <c r="AN347" s="14">
        <f>INDEX(挂机升级突破!DR$6:DR$57,卡牌消耗!$AT347)</f>
        <v>4</v>
      </c>
      <c r="AO347" s="14">
        <f>INDEX(挂机升级突破!DS$6:DS$57,卡牌消耗!$AT347)</f>
        <v>0</v>
      </c>
      <c r="AP347" s="14">
        <f>INDEX(挂机升级突破!$DP$6:$DP$57,卡牌消耗!AT347)</f>
        <v>95</v>
      </c>
      <c r="AQ347" s="14" t="str">
        <f t="shared" si="346"/>
        <v>天使缇娜</v>
      </c>
      <c r="AR347" s="14">
        <f t="shared" si="347"/>
        <v>4</v>
      </c>
      <c r="AS347" s="14" t="str">
        <f t="shared" si="348"/>
        <v>天使缇娜魂火-31</v>
      </c>
      <c r="AT347" s="14">
        <f t="shared" si="349"/>
        <v>31</v>
      </c>
      <c r="AU347" s="14" t="str">
        <f>IF(AM347&gt;0,INDEX(挂机升级突破!$DT$4:$ED$4,AM347),"")</f>
        <v>金币</v>
      </c>
      <c r="AV347" s="14">
        <f>ROUND(INDEX(挂机升级突破!$DJ$6:$DJ$57,卡牌消耗!AT347)*INDEX(卡牌消耗!$B$8:$F$8,AR347)/$Q$4/50,0)*50</f>
        <v>13350</v>
      </c>
      <c r="AW347" s="14" t="str">
        <f>IF(AN347&gt;0,INDEX(挂机升级突破!$DT$4:$ED$4,AN347),"")</f>
        <v>橙色基础材料</v>
      </c>
      <c r="AX347" s="14">
        <f>ROUND(INDEX(挂机升级突破!$DT$6:$ED$57,卡牌消耗!AT347,AN347)*INDEX(卡牌消耗!$B$5:$F$5,AR347)/$Q$4/5,0)*5</f>
        <v>30</v>
      </c>
      <c r="AY347" s="14" t="str">
        <f>IF(AO347&gt;0,INDEX(挂机升级突破!$DT$4:$ED$4,AO347),"")</f>
        <v/>
      </c>
      <c r="AZ347" s="14" t="str">
        <f>IF(AO347&gt;0,ROUND(INDEX(挂机升级突破!$DT$6:$ED$57,卡牌消耗!AT347,AO347)*INDEX(卡牌消耗!$B$7:$F$7,AR347)/$Q$4,0),"")</f>
        <v/>
      </c>
      <c r="BA347" s="106"/>
      <c r="BB347" s="197"/>
      <c r="BC347" s="197"/>
      <c r="BD347" s="197"/>
      <c r="BE347" s="197"/>
      <c r="BF347" s="197"/>
      <c r="BG347" s="197"/>
      <c r="BH347" s="197"/>
      <c r="BI347" s="197"/>
      <c r="BJ347" s="197"/>
      <c r="BK347" s="197"/>
      <c r="BL347" s="104">
        <v>343</v>
      </c>
      <c r="BM347" s="14">
        <f t="shared" si="350"/>
        <v>18</v>
      </c>
      <c r="BN347" s="14">
        <f>INDEX(挂机升级突破!$EI$7:$EI$26,BS347)</f>
        <v>5</v>
      </c>
      <c r="BO347" s="14">
        <f>INDEX(挂机升级突破!$EJ$7:$EJ$26,BS347)</f>
        <v>1</v>
      </c>
      <c r="BP347" s="14">
        <f t="shared" si="351"/>
        <v>2</v>
      </c>
      <c r="BQ347" s="14">
        <f>INDEX(挂机升级突破!$EH$7:$EH$26,卡牌消耗!BS347)</f>
        <v>15</v>
      </c>
      <c r="BR347" s="14" t="str">
        <f t="shared" si="352"/>
        <v>噬日</v>
      </c>
      <c r="BS347" s="14">
        <f t="shared" si="353"/>
        <v>3</v>
      </c>
      <c r="BT347" s="14" t="str">
        <f t="shared" si="354"/>
        <v>噬日3突</v>
      </c>
      <c r="BU347" s="14" t="str">
        <f>IF(BN347&gt;0,INDEX(挂机升级突破!$ER$5:$EV$5,卡牌消耗!BN347),"")</f>
        <v>金币</v>
      </c>
      <c r="BV347" s="14">
        <f>IF(BN347&gt;0,ROUND(INDEX(挂机升级突破!$EV$7:$EV$26,卡牌消耗!BS347)*INDEX(卡牌消耗!$B$8:$F$8,BP347)/$Q$4/500,0)*500,"")</f>
        <v>2000</v>
      </c>
      <c r="BW347" s="14" t="str">
        <f>IF(BO347&gt;0,INDEX(挂机升级突破!$ER$5:$EV$5,卡牌消耗!BO347),"")</f>
        <v>玄铁</v>
      </c>
      <c r="BX347" s="14">
        <f>IF(BO347&gt;0,ROUND(INDEX(挂机升级突破!$ER$7:$EU$26,卡牌消耗!BS347,卡牌消耗!BO347)*INDEX($B$6:$F$6,BP347)/$Q$4,0),"")</f>
        <v>4</v>
      </c>
      <c r="BY347" s="193"/>
      <c r="BZ347" s="193"/>
      <c r="CA347" s="106"/>
      <c r="CS347" s="171"/>
      <c r="CT347" s="171"/>
      <c r="CU347" s="171"/>
    </row>
    <row r="348" spans="8:99" ht="16.5" x14ac:dyDescent="0.2">
      <c r="H348" s="15"/>
      <c r="I348" s="15"/>
      <c r="J348" s="15"/>
      <c r="K348" s="15"/>
      <c r="L348" s="15"/>
      <c r="M348" s="15"/>
      <c r="N348" s="15"/>
      <c r="O348" s="137"/>
      <c r="P348" s="141"/>
      <c r="Q348" s="141"/>
      <c r="R348" s="141"/>
      <c r="S348" s="141"/>
      <c r="T348" s="141"/>
      <c r="U348" s="141"/>
      <c r="V348" s="141"/>
      <c r="W348" s="141"/>
      <c r="X348" s="141"/>
      <c r="Y348" s="141"/>
      <c r="Z348" s="141"/>
      <c r="AA348" s="194"/>
      <c r="AB348" s="194"/>
      <c r="AC348" s="194"/>
      <c r="AD348" s="194"/>
      <c r="AE348" s="194"/>
      <c r="AF348" s="194"/>
      <c r="AG348" s="197"/>
      <c r="AH348" s="194"/>
      <c r="AI348" s="194"/>
      <c r="AJ348" s="194"/>
      <c r="AK348" s="104">
        <v>344</v>
      </c>
      <c r="AL348" s="14">
        <f t="shared" si="345"/>
        <v>7</v>
      </c>
      <c r="AM348" s="14">
        <f>INDEX(挂机升级突破!DQ$6:DQ$57,卡牌消耗!$AT348)</f>
        <v>11</v>
      </c>
      <c r="AN348" s="14">
        <f>INDEX(挂机升级突破!DR$6:DR$57,卡牌消耗!$AT348)</f>
        <v>4</v>
      </c>
      <c r="AO348" s="14">
        <f>INDEX(挂机升级突破!DS$6:DS$57,卡牌消耗!$AT348)</f>
        <v>0</v>
      </c>
      <c r="AP348" s="14">
        <f>INDEX(挂机升级突破!$DP$6:$DP$57,卡牌消耗!AT348)</f>
        <v>98</v>
      </c>
      <c r="AQ348" s="14" t="str">
        <f t="shared" si="346"/>
        <v>天使缇娜</v>
      </c>
      <c r="AR348" s="14">
        <f t="shared" si="347"/>
        <v>4</v>
      </c>
      <c r="AS348" s="14" t="str">
        <f t="shared" si="348"/>
        <v>天使缇娜魂火-32</v>
      </c>
      <c r="AT348" s="14">
        <f t="shared" si="349"/>
        <v>32</v>
      </c>
      <c r="AU348" s="14" t="str">
        <f>IF(AM348&gt;0,INDEX(挂机升级突破!$DT$4:$ED$4,AM348),"")</f>
        <v>金币</v>
      </c>
      <c r="AV348" s="14">
        <f>ROUND(INDEX(挂机升级突破!$DJ$6:$DJ$57,卡牌消耗!AT348)*INDEX(卡牌消耗!$B$8:$F$8,AR348)/$Q$4/50,0)*50</f>
        <v>18350</v>
      </c>
      <c r="AW348" s="14" t="str">
        <f>IF(AN348&gt;0,INDEX(挂机升级突破!$DT$4:$ED$4,AN348),"")</f>
        <v>橙色基础材料</v>
      </c>
      <c r="AX348" s="14">
        <f>ROUND(INDEX(挂机升级突破!$DT$6:$ED$57,卡牌消耗!AT348,AN348)*INDEX(卡牌消耗!$B$5:$F$5,AR348)/$Q$4/5,0)*5</f>
        <v>30</v>
      </c>
      <c r="AY348" s="14" t="str">
        <f>IF(AO348&gt;0,INDEX(挂机升级突破!$DT$4:$ED$4,AO348),"")</f>
        <v/>
      </c>
      <c r="AZ348" s="14" t="str">
        <f>IF(AO348&gt;0,ROUND(INDEX(挂机升级突破!$DT$6:$ED$57,卡牌消耗!AT348,AO348)*INDEX(卡牌消耗!$B$7:$F$7,AR348)/$Q$4,0),"")</f>
        <v/>
      </c>
      <c r="BA348" s="106"/>
      <c r="BB348" s="197"/>
      <c r="BC348" s="197"/>
      <c r="BD348" s="197"/>
      <c r="BE348" s="197"/>
      <c r="BF348" s="197"/>
      <c r="BG348" s="197"/>
      <c r="BH348" s="197"/>
      <c r="BI348" s="197"/>
      <c r="BJ348" s="197"/>
      <c r="BK348" s="197"/>
      <c r="BL348" s="104">
        <v>344</v>
      </c>
      <c r="BM348" s="14">
        <f t="shared" si="350"/>
        <v>18</v>
      </c>
      <c r="BN348" s="14">
        <f>INDEX(挂机升级突破!$EI$7:$EI$26,BS348)</f>
        <v>5</v>
      </c>
      <c r="BO348" s="14">
        <f>INDEX(挂机升级突破!$EJ$7:$EJ$26,BS348)</f>
        <v>1</v>
      </c>
      <c r="BP348" s="14">
        <f t="shared" si="351"/>
        <v>2</v>
      </c>
      <c r="BQ348" s="14">
        <f>INDEX(挂机升级突破!$EH$7:$EH$26,卡牌消耗!BS348)</f>
        <v>25</v>
      </c>
      <c r="BR348" s="14" t="str">
        <f t="shared" si="352"/>
        <v>噬日</v>
      </c>
      <c r="BS348" s="14">
        <f t="shared" si="353"/>
        <v>4</v>
      </c>
      <c r="BT348" s="14" t="str">
        <f t="shared" si="354"/>
        <v>噬日4突</v>
      </c>
      <c r="BU348" s="14" t="str">
        <f>IF(BN348&gt;0,INDEX(挂机升级突破!$ER$5:$EV$5,卡牌消耗!BN348),"")</f>
        <v>金币</v>
      </c>
      <c r="BV348" s="14">
        <f>IF(BN348&gt;0,ROUND(INDEX(挂机升级突破!$EV$7:$EV$26,卡牌消耗!BS348)*INDEX(卡牌消耗!$B$8:$F$8,BP348)/$Q$4/500,0)*500,"")</f>
        <v>2500</v>
      </c>
      <c r="BW348" s="14" t="str">
        <f>IF(BO348&gt;0,INDEX(挂机升级突破!$ER$5:$EV$5,卡牌消耗!BO348),"")</f>
        <v>玄铁</v>
      </c>
      <c r="BX348" s="14">
        <f>IF(BO348&gt;0,ROUND(INDEX(挂机升级突破!$ER$7:$EU$26,卡牌消耗!BS348,卡牌消耗!BO348)*INDEX($B$6:$F$6,BP348)/$Q$4,0),"")</f>
        <v>13</v>
      </c>
      <c r="BY348" s="193"/>
      <c r="BZ348" s="193"/>
      <c r="CA348" s="106"/>
      <c r="CS348" s="171"/>
      <c r="CT348" s="171"/>
      <c r="CU348" s="171"/>
    </row>
    <row r="349" spans="8:99" ht="16.5" x14ac:dyDescent="0.2">
      <c r="H349" s="15"/>
      <c r="I349" s="15"/>
      <c r="J349" s="15"/>
      <c r="K349" s="15"/>
      <c r="L349" s="15"/>
      <c r="M349" s="15"/>
      <c r="N349" s="15"/>
      <c r="O349" s="137"/>
      <c r="P349" s="141"/>
      <c r="Q349" s="141"/>
      <c r="R349" s="141"/>
      <c r="S349" s="141"/>
      <c r="T349" s="141"/>
      <c r="U349" s="141"/>
      <c r="V349" s="141"/>
      <c r="W349" s="141"/>
      <c r="X349" s="141"/>
      <c r="Y349" s="141"/>
      <c r="Z349" s="141"/>
      <c r="AA349" s="194"/>
      <c r="AB349" s="194"/>
      <c r="AC349" s="194"/>
      <c r="AD349" s="194"/>
      <c r="AE349" s="194"/>
      <c r="AF349" s="194"/>
      <c r="AG349" s="197"/>
      <c r="AH349" s="194"/>
      <c r="AI349" s="194"/>
      <c r="AJ349" s="194"/>
      <c r="AK349" s="104">
        <v>345</v>
      </c>
      <c r="AL349" s="14">
        <f t="shared" si="345"/>
        <v>7</v>
      </c>
      <c r="AM349" s="14">
        <f>INDEX(挂机升级突破!DQ$6:DQ$57,卡牌消耗!$AT349)</f>
        <v>11</v>
      </c>
      <c r="AN349" s="14">
        <f>INDEX(挂机升级突破!DR$6:DR$57,卡牌消耗!$AT349)</f>
        <v>4</v>
      </c>
      <c r="AO349" s="14">
        <f>INDEX(挂机升级突破!DS$6:DS$57,卡牌消耗!$AT349)</f>
        <v>0</v>
      </c>
      <c r="AP349" s="14">
        <f>INDEX(挂机升级突破!$DP$6:$DP$57,卡牌消耗!AT349)</f>
        <v>100</v>
      </c>
      <c r="AQ349" s="14" t="str">
        <f t="shared" si="346"/>
        <v>天使缇娜</v>
      </c>
      <c r="AR349" s="14">
        <f t="shared" si="347"/>
        <v>4</v>
      </c>
      <c r="AS349" s="14" t="str">
        <f t="shared" si="348"/>
        <v>天使缇娜魂火-33</v>
      </c>
      <c r="AT349" s="14">
        <f t="shared" si="349"/>
        <v>33</v>
      </c>
      <c r="AU349" s="14" t="str">
        <f>IF(AM349&gt;0,INDEX(挂机升级突破!$DT$4:$ED$4,AM349),"")</f>
        <v>金币</v>
      </c>
      <c r="AV349" s="14">
        <f>ROUND(INDEX(挂机升级突破!$DJ$6:$DJ$57,卡牌消耗!AT349)*INDEX(卡牌消耗!$B$8:$F$8,AR349)/$Q$4/50,0)*50</f>
        <v>18350</v>
      </c>
      <c r="AW349" s="14" t="str">
        <f>IF(AN349&gt;0,INDEX(挂机升级突破!$DT$4:$ED$4,AN349),"")</f>
        <v>橙色基础材料</v>
      </c>
      <c r="AX349" s="14">
        <f>ROUND(INDEX(挂机升级突破!$DT$6:$ED$57,卡牌消耗!AT349,AN349)*INDEX(卡牌消耗!$B$5:$F$5,AR349)/$Q$4/5,0)*5</f>
        <v>30</v>
      </c>
      <c r="AY349" s="14" t="str">
        <f>IF(AO349&gt;0,INDEX(挂机升级突破!$DT$4:$ED$4,AO349),"")</f>
        <v/>
      </c>
      <c r="AZ349" s="14" t="str">
        <f>IF(AO349&gt;0,ROUND(INDEX(挂机升级突破!$DT$6:$ED$57,卡牌消耗!AT349,AO349)*INDEX(卡牌消耗!$B$7:$F$7,AR349)/$Q$4,0),"")</f>
        <v/>
      </c>
      <c r="BA349" s="106"/>
      <c r="BB349" s="197"/>
      <c r="BC349" s="197"/>
      <c r="BD349" s="197"/>
      <c r="BE349" s="197"/>
      <c r="BF349" s="197"/>
      <c r="BG349" s="197"/>
      <c r="BH349" s="197"/>
      <c r="BI349" s="197"/>
      <c r="BJ349" s="197"/>
      <c r="BK349" s="197"/>
      <c r="BL349" s="104">
        <v>345</v>
      </c>
      <c r="BM349" s="14">
        <f t="shared" si="350"/>
        <v>18</v>
      </c>
      <c r="BN349" s="14">
        <f>INDEX(挂机升级突破!$EI$7:$EI$26,BS349)</f>
        <v>5</v>
      </c>
      <c r="BO349" s="14">
        <f>INDEX(挂机升级突破!$EJ$7:$EJ$26,BS349)</f>
        <v>1</v>
      </c>
      <c r="BP349" s="14">
        <f t="shared" si="351"/>
        <v>2</v>
      </c>
      <c r="BQ349" s="14">
        <f>INDEX(挂机升级突破!$EH$7:$EH$26,卡牌消耗!BS349)</f>
        <v>35</v>
      </c>
      <c r="BR349" s="14" t="str">
        <f t="shared" si="352"/>
        <v>噬日</v>
      </c>
      <c r="BS349" s="14">
        <f t="shared" si="353"/>
        <v>5</v>
      </c>
      <c r="BT349" s="14" t="str">
        <f t="shared" si="354"/>
        <v>噬日5突</v>
      </c>
      <c r="BU349" s="14" t="str">
        <f>IF(BN349&gt;0,INDEX(挂机升级突破!$ER$5:$EV$5,卡牌消耗!BN349),"")</f>
        <v>金币</v>
      </c>
      <c r="BV349" s="14">
        <f>IF(BN349&gt;0,ROUND(INDEX(挂机升级突破!$EV$7:$EV$26,卡牌消耗!BS349)*INDEX(卡牌消耗!$B$8:$F$8,BP349)/$Q$4/500,0)*500,"")</f>
        <v>2500</v>
      </c>
      <c r="BW349" s="14" t="str">
        <f>IF(BO349&gt;0,INDEX(挂机升级突破!$ER$5:$EV$5,卡牌消耗!BO349),"")</f>
        <v>玄铁</v>
      </c>
      <c r="BX349" s="14">
        <f>IF(BO349&gt;0,ROUND(INDEX(挂机升级突破!$ER$7:$EU$26,卡牌消耗!BS349,卡牌消耗!BO349)*INDEX($B$6:$F$6,BP349)/$Q$4/5,0)*5,"")</f>
        <v>25</v>
      </c>
      <c r="BY349" s="193"/>
      <c r="BZ349" s="193"/>
      <c r="CA349" s="106"/>
      <c r="CS349" s="171"/>
      <c r="CT349" s="171"/>
      <c r="CU349" s="171"/>
    </row>
    <row r="350" spans="8:99" ht="16.5" x14ac:dyDescent="0.2">
      <c r="H350" s="15"/>
      <c r="I350" s="15"/>
      <c r="J350" s="15"/>
      <c r="K350" s="15"/>
      <c r="L350" s="15"/>
      <c r="M350" s="15"/>
      <c r="N350" s="15"/>
      <c r="O350" s="137"/>
      <c r="P350" s="141"/>
      <c r="Q350" s="141"/>
      <c r="R350" s="141"/>
      <c r="S350" s="141"/>
      <c r="T350" s="141"/>
      <c r="U350" s="141"/>
      <c r="V350" s="141"/>
      <c r="W350" s="141"/>
      <c r="X350" s="141"/>
      <c r="Y350" s="141"/>
      <c r="Z350" s="141"/>
      <c r="AA350" s="194"/>
      <c r="AB350" s="194"/>
      <c r="AC350" s="194"/>
      <c r="AD350" s="194"/>
      <c r="AE350" s="194"/>
      <c r="AF350" s="194"/>
      <c r="AG350" s="197"/>
      <c r="AH350" s="194"/>
      <c r="AI350" s="194"/>
      <c r="AJ350" s="194"/>
      <c r="AK350" s="104">
        <v>346</v>
      </c>
      <c r="AL350" s="14">
        <f t="shared" si="345"/>
        <v>7</v>
      </c>
      <c r="AM350" s="14">
        <f>INDEX(挂机升级突破!DQ$6:DQ$57,卡牌消耗!$AT350)</f>
        <v>11</v>
      </c>
      <c r="AN350" s="14">
        <f>INDEX(挂机升级突破!DR$6:DR$57,卡牌消耗!$AT350)</f>
        <v>4</v>
      </c>
      <c r="AO350" s="14">
        <f>INDEX(挂机升级突破!DS$6:DS$57,卡牌消耗!$AT350)</f>
        <v>0</v>
      </c>
      <c r="AP350" s="14">
        <f>INDEX(挂机升级突破!$DP$6:$DP$57,卡牌消耗!AT350)</f>
        <v>103</v>
      </c>
      <c r="AQ350" s="14" t="str">
        <f t="shared" si="346"/>
        <v>天使缇娜</v>
      </c>
      <c r="AR350" s="14">
        <f t="shared" si="347"/>
        <v>4</v>
      </c>
      <c r="AS350" s="14" t="str">
        <f t="shared" si="348"/>
        <v>天使缇娜魂火-34</v>
      </c>
      <c r="AT350" s="14">
        <f t="shared" si="349"/>
        <v>34</v>
      </c>
      <c r="AU350" s="14" t="str">
        <f>IF(AM350&gt;0,INDEX(挂机升级突破!$DT$4:$ED$4,AM350),"")</f>
        <v>金币</v>
      </c>
      <c r="AV350" s="14">
        <f>ROUND(INDEX(挂机升级突破!$DJ$6:$DJ$57,卡牌消耗!AT350)*INDEX(卡牌消耗!$B$8:$F$8,AR350)/$Q$4/50,0)*50</f>
        <v>18350</v>
      </c>
      <c r="AW350" s="14" t="str">
        <f>IF(AN350&gt;0,INDEX(挂机升级突破!$DT$4:$ED$4,AN350),"")</f>
        <v>橙色基础材料</v>
      </c>
      <c r="AX350" s="14">
        <f>ROUND(INDEX(挂机升级突破!$DT$6:$ED$57,卡牌消耗!AT350,AN350)*INDEX(卡牌消耗!$B$5:$F$5,AR350)/$Q$4/5,0)*5</f>
        <v>35</v>
      </c>
      <c r="AY350" s="14" t="str">
        <f>IF(AO350&gt;0,INDEX(挂机升级突破!$DT$4:$ED$4,AO350),"")</f>
        <v/>
      </c>
      <c r="AZ350" s="14" t="str">
        <f>IF(AO350&gt;0,ROUND(INDEX(挂机升级突破!$DT$6:$ED$57,卡牌消耗!AT350,AO350)*INDEX(卡牌消耗!$B$7:$F$7,AR350)/$Q$4,0),"")</f>
        <v/>
      </c>
      <c r="BA350" s="106"/>
      <c r="BB350" s="197"/>
      <c r="BC350" s="197"/>
      <c r="BD350" s="197"/>
      <c r="BE350" s="197"/>
      <c r="BF350" s="197"/>
      <c r="BG350" s="197"/>
      <c r="BH350" s="197"/>
      <c r="BI350" s="197"/>
      <c r="BJ350" s="197"/>
      <c r="BK350" s="197"/>
      <c r="BL350" s="104">
        <v>346</v>
      </c>
      <c r="BM350" s="14">
        <f t="shared" si="350"/>
        <v>18</v>
      </c>
      <c r="BN350" s="14">
        <f>INDEX(挂机升级突破!$EI$7:$EI$26,BS350)</f>
        <v>5</v>
      </c>
      <c r="BO350" s="14">
        <f>INDEX(挂机升级突破!$EJ$7:$EJ$26,BS350)</f>
        <v>1</v>
      </c>
      <c r="BP350" s="14">
        <f t="shared" si="351"/>
        <v>2</v>
      </c>
      <c r="BQ350" s="14">
        <f>INDEX(挂机升级突破!$EH$7:$EH$26,卡牌消耗!BS350)</f>
        <v>42</v>
      </c>
      <c r="BR350" s="14" t="str">
        <f t="shared" si="352"/>
        <v>噬日</v>
      </c>
      <c r="BS350" s="14">
        <f t="shared" si="353"/>
        <v>6</v>
      </c>
      <c r="BT350" s="14" t="str">
        <f t="shared" si="354"/>
        <v>噬日6突</v>
      </c>
      <c r="BU350" s="14" t="str">
        <f>IF(BN350&gt;0,INDEX(挂机升级突破!$ER$5:$EV$5,卡牌消耗!BN350),"")</f>
        <v>金币</v>
      </c>
      <c r="BV350" s="14">
        <f>IF(BN350&gt;0,ROUND(INDEX(挂机升级突破!$EV$7:$EV$26,卡牌消耗!BS350)*INDEX(卡牌消耗!$B$8:$F$8,BP350)/$Q$4/500,0)*500,"")</f>
        <v>3500</v>
      </c>
      <c r="BW350" s="14" t="str">
        <f>IF(BO350&gt;0,INDEX(挂机升级突破!$ER$5:$EV$5,卡牌消耗!BO350),"")</f>
        <v>玄铁</v>
      </c>
      <c r="BX350" s="14">
        <f>IF(BO350&gt;0,ROUND(INDEX(挂机升级突破!$ER$7:$EU$26,卡牌消耗!BS350,卡牌消耗!BO350)*INDEX($B$6:$F$6,BP350)/$Q$4/5,0)*5,"")</f>
        <v>40</v>
      </c>
      <c r="BY350" s="193"/>
      <c r="BZ350" s="193"/>
      <c r="CA350" s="106"/>
      <c r="CS350" s="171"/>
      <c r="CT350" s="171"/>
      <c r="CU350" s="171"/>
    </row>
    <row r="351" spans="8:99" ht="16.5" x14ac:dyDescent="0.2">
      <c r="H351" s="15"/>
      <c r="I351" s="15"/>
      <c r="J351" s="15"/>
      <c r="K351" s="15"/>
      <c r="L351" s="15"/>
      <c r="M351" s="15"/>
      <c r="N351" s="15"/>
      <c r="O351" s="137"/>
      <c r="P351" s="141"/>
      <c r="Q351" s="141"/>
      <c r="R351" s="141"/>
      <c r="S351" s="141"/>
      <c r="T351" s="141"/>
      <c r="U351" s="141"/>
      <c r="V351" s="141"/>
      <c r="W351" s="141"/>
      <c r="X351" s="141"/>
      <c r="Y351" s="141"/>
      <c r="Z351" s="141"/>
      <c r="AA351" s="194"/>
      <c r="AB351" s="194"/>
      <c r="AC351" s="194"/>
      <c r="AD351" s="194"/>
      <c r="AE351" s="194"/>
      <c r="AF351" s="194"/>
      <c r="AG351" s="197"/>
      <c r="AH351" s="194"/>
      <c r="AI351" s="194"/>
      <c r="AJ351" s="194"/>
      <c r="AK351" s="104">
        <v>347</v>
      </c>
      <c r="AL351" s="14">
        <f t="shared" si="345"/>
        <v>7</v>
      </c>
      <c r="AM351" s="14">
        <f>INDEX(挂机升级突破!DQ$6:DQ$57,卡牌消耗!$AT351)</f>
        <v>11</v>
      </c>
      <c r="AN351" s="14">
        <f>INDEX(挂机升级突破!DR$6:DR$57,卡牌消耗!$AT351)</f>
        <v>4</v>
      </c>
      <c r="AO351" s="14">
        <f>INDEX(挂机升级突破!DS$6:DS$57,卡牌消耗!$AT351)</f>
        <v>0</v>
      </c>
      <c r="AP351" s="14">
        <f>INDEX(挂机升级突破!$DP$6:$DP$57,卡牌消耗!AT351)</f>
        <v>105</v>
      </c>
      <c r="AQ351" s="14" t="str">
        <f t="shared" si="346"/>
        <v>天使缇娜</v>
      </c>
      <c r="AR351" s="14">
        <f t="shared" si="347"/>
        <v>4</v>
      </c>
      <c r="AS351" s="14" t="str">
        <f t="shared" si="348"/>
        <v>天使缇娜魂火-35</v>
      </c>
      <c r="AT351" s="14">
        <f t="shared" si="349"/>
        <v>35</v>
      </c>
      <c r="AU351" s="14" t="str">
        <f>IF(AM351&gt;0,INDEX(挂机升级突破!$DT$4:$ED$4,AM351),"")</f>
        <v>金币</v>
      </c>
      <c r="AV351" s="14">
        <f>ROUND(INDEX(挂机升级突破!$DJ$6:$DJ$57,卡牌消耗!AT351)*INDEX(卡牌消耗!$B$8:$F$8,AR351)/$Q$4/50,0)*50</f>
        <v>23350</v>
      </c>
      <c r="AW351" s="14" t="str">
        <f>IF(AN351&gt;0,INDEX(挂机升级突破!$DT$4:$ED$4,AN351),"")</f>
        <v>橙色基础材料</v>
      </c>
      <c r="AX351" s="14">
        <f>ROUND(INDEX(挂机升级突破!$DT$6:$ED$57,卡牌消耗!AT351,AN351)*INDEX(卡牌消耗!$B$5:$F$5,AR351)/$Q$4/5,0)*5</f>
        <v>35</v>
      </c>
      <c r="AY351" s="14" t="str">
        <f>IF(AO351&gt;0,INDEX(挂机升级突破!$DT$4:$ED$4,AO351),"")</f>
        <v/>
      </c>
      <c r="AZ351" s="14" t="str">
        <f>IF(AO351&gt;0,ROUND(INDEX(挂机升级突破!$DT$6:$ED$57,卡牌消耗!AT351,AO351)*INDEX(卡牌消耗!$B$7:$F$7,AR351)/$Q$4,0),"")</f>
        <v/>
      </c>
      <c r="BA351" s="106"/>
      <c r="BB351" s="197"/>
      <c r="BC351" s="197"/>
      <c r="BD351" s="197"/>
      <c r="BE351" s="197"/>
      <c r="BF351" s="197"/>
      <c r="BG351" s="197"/>
      <c r="BH351" s="197"/>
      <c r="BI351" s="197"/>
      <c r="BJ351" s="197"/>
      <c r="BK351" s="197"/>
      <c r="BL351" s="104">
        <v>347</v>
      </c>
      <c r="BM351" s="14">
        <f t="shared" si="350"/>
        <v>18</v>
      </c>
      <c r="BN351" s="14">
        <f>INDEX(挂机升级突破!$EI$7:$EI$26,BS351)</f>
        <v>5</v>
      </c>
      <c r="BO351" s="14">
        <f>INDEX(挂机升级突破!$EJ$7:$EJ$26,BS351)</f>
        <v>1</v>
      </c>
      <c r="BP351" s="14">
        <f t="shared" si="351"/>
        <v>2</v>
      </c>
      <c r="BQ351" s="14">
        <f>INDEX(挂机升级突破!$EH$7:$EH$26,卡牌消耗!BS351)</f>
        <v>47</v>
      </c>
      <c r="BR351" s="14" t="str">
        <f t="shared" si="352"/>
        <v>噬日</v>
      </c>
      <c r="BS351" s="14">
        <f t="shared" si="353"/>
        <v>7</v>
      </c>
      <c r="BT351" s="14" t="str">
        <f t="shared" si="354"/>
        <v>噬日7突</v>
      </c>
      <c r="BU351" s="14" t="str">
        <f>IF(BN351&gt;0,INDEX(挂机升级突破!$ER$5:$EV$5,卡牌消耗!BN351),"")</f>
        <v>金币</v>
      </c>
      <c r="BV351" s="14">
        <f>IF(BN351&gt;0,ROUND(INDEX(挂机升级突破!$EV$7:$EV$26,卡牌消耗!BS351)*INDEX(卡牌消耗!$B$8:$F$8,BP351)/$Q$4/500,0)*500,"")</f>
        <v>5500</v>
      </c>
      <c r="BW351" s="14" t="str">
        <f>IF(BO351&gt;0,INDEX(挂机升级突破!$ER$5:$EV$5,卡牌消耗!BO351),"")</f>
        <v>玄铁</v>
      </c>
      <c r="BX351" s="14">
        <f>IF(BO351&gt;0,ROUND(INDEX(挂机升级突破!$ER$7:$EU$26,卡牌消耗!BS351,卡牌消耗!BO351)*INDEX($B$6:$F$6,BP351)/$Q$4/5,0)*5,"")</f>
        <v>65</v>
      </c>
      <c r="BY351" s="193"/>
      <c r="BZ351" s="193"/>
      <c r="CA351" s="106"/>
      <c r="CS351" s="171"/>
      <c r="CT351" s="171"/>
      <c r="CU351" s="171"/>
    </row>
    <row r="352" spans="8:99" ht="16.5" x14ac:dyDescent="0.2">
      <c r="H352" s="15"/>
      <c r="I352" s="15"/>
      <c r="J352" s="15"/>
      <c r="K352" s="15"/>
      <c r="L352" s="15"/>
      <c r="M352" s="15"/>
      <c r="N352" s="15"/>
      <c r="O352" s="137"/>
      <c r="P352" s="141"/>
      <c r="Q352" s="141"/>
      <c r="R352" s="141"/>
      <c r="S352" s="141"/>
      <c r="T352" s="141"/>
      <c r="U352" s="141"/>
      <c r="V352" s="141"/>
      <c r="W352" s="141"/>
      <c r="X352" s="141"/>
      <c r="Y352" s="141"/>
      <c r="Z352" s="141"/>
      <c r="AA352" s="194"/>
      <c r="AB352" s="194"/>
      <c r="AC352" s="194"/>
      <c r="AD352" s="194"/>
      <c r="AE352" s="194"/>
      <c r="AF352" s="194"/>
      <c r="AG352" s="197"/>
      <c r="AH352" s="194"/>
      <c r="AI352" s="194"/>
      <c r="AJ352" s="194"/>
      <c r="AK352" s="104">
        <v>348</v>
      </c>
      <c r="AL352" s="14">
        <f t="shared" si="345"/>
        <v>7</v>
      </c>
      <c r="AM352" s="14">
        <f>INDEX(挂机升级突破!DQ$6:DQ$57,卡牌消耗!$AT352)</f>
        <v>11</v>
      </c>
      <c r="AN352" s="14">
        <f>INDEX(挂机升级突破!DR$6:DR$57,卡牌消耗!$AT352)</f>
        <v>4</v>
      </c>
      <c r="AO352" s="14">
        <f>INDEX(挂机升级突破!DS$6:DS$57,卡牌消耗!$AT352)</f>
        <v>0</v>
      </c>
      <c r="AP352" s="14">
        <f>INDEX(挂机升级突破!$DP$6:$DP$57,卡牌消耗!AT352)</f>
        <v>108</v>
      </c>
      <c r="AQ352" s="14" t="str">
        <f t="shared" si="346"/>
        <v>天使缇娜</v>
      </c>
      <c r="AR352" s="14">
        <f t="shared" si="347"/>
        <v>4</v>
      </c>
      <c r="AS352" s="14" t="str">
        <f t="shared" si="348"/>
        <v>天使缇娜魂火-36</v>
      </c>
      <c r="AT352" s="14">
        <f t="shared" si="349"/>
        <v>36</v>
      </c>
      <c r="AU352" s="14" t="str">
        <f>IF(AM352&gt;0,INDEX(挂机升级突破!$DT$4:$ED$4,AM352),"")</f>
        <v>金币</v>
      </c>
      <c r="AV352" s="14">
        <f>ROUND(INDEX(挂机升级突破!$DJ$6:$DJ$57,卡牌消耗!AT352)*INDEX(卡牌消耗!$B$8:$F$8,AR352)/$Q$4/50,0)*50</f>
        <v>23350</v>
      </c>
      <c r="AW352" s="14" t="str">
        <f>IF(AN352&gt;0,INDEX(挂机升级突破!$DT$4:$ED$4,AN352),"")</f>
        <v>橙色基础材料</v>
      </c>
      <c r="AX352" s="14">
        <f>ROUND(INDEX(挂机升级突破!$DT$6:$ED$57,卡牌消耗!AT352,AN352)*INDEX(卡牌消耗!$B$5:$F$5,AR352)/$Q$4/5,0)*5</f>
        <v>35</v>
      </c>
      <c r="AY352" s="14" t="str">
        <f>IF(AO352&gt;0,INDEX(挂机升级突破!$DT$4:$ED$4,AO352),"")</f>
        <v/>
      </c>
      <c r="AZ352" s="14" t="str">
        <f>IF(AO352&gt;0,ROUND(INDEX(挂机升级突破!$DT$6:$ED$57,卡牌消耗!AT352,AO352)*INDEX(卡牌消耗!$B$7:$F$7,AR352)/$Q$4,0),"")</f>
        <v/>
      </c>
      <c r="BA352" s="106"/>
      <c r="BB352" s="197"/>
      <c r="BC352" s="197"/>
      <c r="BD352" s="197"/>
      <c r="BE352" s="197"/>
      <c r="BF352" s="197"/>
      <c r="BG352" s="197"/>
      <c r="BH352" s="197"/>
      <c r="BI352" s="197"/>
      <c r="BJ352" s="197"/>
      <c r="BK352" s="197"/>
      <c r="BL352" s="104">
        <v>348</v>
      </c>
      <c r="BM352" s="14">
        <f t="shared" si="350"/>
        <v>18</v>
      </c>
      <c r="BN352" s="14">
        <f>INDEX(挂机升级突破!$EI$7:$EI$26,BS352)</f>
        <v>5</v>
      </c>
      <c r="BO352" s="14">
        <f>INDEX(挂机升级突破!$EJ$7:$EJ$26,BS352)</f>
        <v>1</v>
      </c>
      <c r="BP352" s="14">
        <f t="shared" si="351"/>
        <v>2</v>
      </c>
      <c r="BQ352" s="14">
        <f>INDEX(挂机升级突破!$EH$7:$EH$26,卡牌消耗!BS352)</f>
        <v>52</v>
      </c>
      <c r="BR352" s="14" t="str">
        <f t="shared" si="352"/>
        <v>噬日</v>
      </c>
      <c r="BS352" s="14">
        <f t="shared" si="353"/>
        <v>8</v>
      </c>
      <c r="BT352" s="14" t="str">
        <f t="shared" si="354"/>
        <v>噬日8突</v>
      </c>
      <c r="BU352" s="14" t="str">
        <f>IF(BN352&gt;0,INDEX(挂机升级突破!$ER$5:$EV$5,卡牌消耗!BN352),"")</f>
        <v>金币</v>
      </c>
      <c r="BV352" s="14">
        <f>IF(BN352&gt;0,ROUND(INDEX(挂机升级突破!$EV$7:$EV$26,卡牌消耗!BS352)*INDEX(卡牌消耗!$B$8:$F$8,BP352)/$Q$4/500,0)*500,"")</f>
        <v>5500</v>
      </c>
      <c r="BW352" s="14" t="str">
        <f>IF(BO352&gt;0,INDEX(挂机升级突破!$ER$5:$EV$5,卡牌消耗!BO352),"")</f>
        <v>玄铁</v>
      </c>
      <c r="BX352" s="14">
        <f>IF(BO352&gt;0,ROUND(INDEX(挂机升级突破!$ER$7:$EU$26,卡牌消耗!BS352,卡牌消耗!BO352)*INDEX($B$6:$F$6,BP352)/$Q$4/5,0)*5,"")</f>
        <v>120</v>
      </c>
      <c r="BY352" s="193"/>
      <c r="BZ352" s="193"/>
      <c r="CA352" s="106"/>
      <c r="CS352" s="171"/>
      <c r="CT352" s="171"/>
      <c r="CU352" s="171"/>
    </row>
    <row r="353" spans="8:99" ht="16.5" x14ac:dyDescent="0.2">
      <c r="H353" s="15"/>
      <c r="I353" s="15"/>
      <c r="J353" s="15"/>
      <c r="K353" s="15"/>
      <c r="L353" s="15"/>
      <c r="M353" s="15"/>
      <c r="N353" s="15"/>
      <c r="O353" s="137"/>
      <c r="P353" s="141"/>
      <c r="Q353" s="141"/>
      <c r="R353" s="141"/>
      <c r="S353" s="141"/>
      <c r="T353" s="141"/>
      <c r="U353" s="141"/>
      <c r="V353" s="141"/>
      <c r="W353" s="141"/>
      <c r="X353" s="141"/>
      <c r="Y353" s="141"/>
      <c r="Z353" s="141"/>
      <c r="AA353" s="194"/>
      <c r="AB353" s="194"/>
      <c r="AC353" s="194"/>
      <c r="AD353" s="194"/>
      <c r="AE353" s="194"/>
      <c r="AF353" s="194"/>
      <c r="AG353" s="197"/>
      <c r="AH353" s="194"/>
      <c r="AI353" s="194"/>
      <c r="AJ353" s="194"/>
      <c r="AK353" s="104">
        <v>349</v>
      </c>
      <c r="AL353" s="14">
        <f t="shared" si="345"/>
        <v>7</v>
      </c>
      <c r="AM353" s="14">
        <f>INDEX(挂机升级突破!DQ$6:DQ$57,卡牌消耗!$AT353)</f>
        <v>11</v>
      </c>
      <c r="AN353" s="14">
        <f>INDEX(挂机升级突破!DR$6:DR$57,卡牌消耗!$AT353)</f>
        <v>4</v>
      </c>
      <c r="AO353" s="14">
        <f>INDEX(挂机升级突破!DS$6:DS$57,卡牌消耗!$AT353)</f>
        <v>0</v>
      </c>
      <c r="AP353" s="14">
        <f>INDEX(挂机升级突破!$DP$6:$DP$57,卡牌消耗!AT353)</f>
        <v>110</v>
      </c>
      <c r="AQ353" s="14" t="str">
        <f t="shared" si="346"/>
        <v>天使缇娜</v>
      </c>
      <c r="AR353" s="14">
        <f t="shared" si="347"/>
        <v>4</v>
      </c>
      <c r="AS353" s="14" t="str">
        <f t="shared" si="348"/>
        <v>天使缇娜魂火-37</v>
      </c>
      <c r="AT353" s="14">
        <f t="shared" si="349"/>
        <v>37</v>
      </c>
      <c r="AU353" s="14" t="str">
        <f>IF(AM353&gt;0,INDEX(挂机升级突破!$DT$4:$ED$4,AM353),"")</f>
        <v>金币</v>
      </c>
      <c r="AV353" s="14">
        <f>ROUND(INDEX(挂机升级突破!$DJ$6:$DJ$57,卡牌消耗!AT353)*INDEX(卡牌消耗!$B$8:$F$8,AR353)/$Q$4/50,0)*50</f>
        <v>25000</v>
      </c>
      <c r="AW353" s="14" t="str">
        <f>IF(AN353&gt;0,INDEX(挂机升级突破!$DT$4:$ED$4,AN353),"")</f>
        <v>橙色基础材料</v>
      </c>
      <c r="AX353" s="14">
        <f>ROUND(INDEX(挂机升级突破!$DT$6:$ED$57,卡牌消耗!AT353,AN353)*INDEX(卡牌消耗!$B$5:$F$5,AR353)/$Q$4/5,0)*5</f>
        <v>35</v>
      </c>
      <c r="AY353" s="14" t="str">
        <f>IF(AO353&gt;0,INDEX(挂机升级突破!$DT$4:$ED$4,AO353),"")</f>
        <v/>
      </c>
      <c r="AZ353" s="14" t="str">
        <f>IF(AO353&gt;0,ROUND(INDEX(挂机升级突破!$DT$6:$ED$57,卡牌消耗!AT353,AO353)*INDEX(卡牌消耗!$B$7:$F$7,AR353)/$Q$4,0),"")</f>
        <v/>
      </c>
      <c r="BA353" s="106"/>
      <c r="BB353" s="197"/>
      <c r="BC353" s="197"/>
      <c r="BD353" s="197"/>
      <c r="BE353" s="197"/>
      <c r="BF353" s="197"/>
      <c r="BG353" s="197"/>
      <c r="BH353" s="197"/>
      <c r="BI353" s="197"/>
      <c r="BJ353" s="197"/>
      <c r="BK353" s="197"/>
      <c r="BL353" s="104">
        <v>349</v>
      </c>
      <c r="BM353" s="14">
        <f t="shared" si="350"/>
        <v>18</v>
      </c>
      <c r="BN353" s="14">
        <f>INDEX(挂机升级突破!$EI$7:$EI$26,BS353)</f>
        <v>5</v>
      </c>
      <c r="BO353" s="14">
        <f>INDEX(挂机升级突破!$EJ$7:$EJ$26,BS353)</f>
        <v>2</v>
      </c>
      <c r="BP353" s="14">
        <f t="shared" si="351"/>
        <v>2</v>
      </c>
      <c r="BQ353" s="14">
        <f>INDEX(挂机升级突破!$EH$7:$EH$26,卡牌消耗!BS353)</f>
        <v>57</v>
      </c>
      <c r="BR353" s="14" t="str">
        <f t="shared" si="352"/>
        <v>噬日</v>
      </c>
      <c r="BS353" s="14">
        <f t="shared" si="353"/>
        <v>9</v>
      </c>
      <c r="BT353" s="14" t="str">
        <f t="shared" si="354"/>
        <v>噬日9突</v>
      </c>
      <c r="BU353" s="14" t="str">
        <f>IF(BN353&gt;0,INDEX(挂机升级突破!$ER$5:$EV$5,卡牌消耗!BN353),"")</f>
        <v>金币</v>
      </c>
      <c r="BV353" s="14">
        <f>IF(BN353&gt;0,ROUND(INDEX(挂机升级突破!$EV$7:$EV$26,卡牌消耗!BS353)*INDEX(卡牌消耗!$B$8:$F$8,BP353)/$Q$4/500,0)*500,"")</f>
        <v>7500</v>
      </c>
      <c r="BW353" s="14" t="str">
        <f>IF(BO353&gt;0,INDEX(挂机升级突破!$ER$5:$EV$5,卡牌消耗!BO353),"")</f>
        <v>乌金</v>
      </c>
      <c r="BX353" s="14">
        <f>IF(BO353&gt;0,ROUND(INDEX(挂机升级突破!$ER$7:$EU$26,卡牌消耗!BS353,卡牌消耗!BO353)*INDEX($B$6:$F$6,BP353)/$Q$4/5,0)*5,"")</f>
        <v>40</v>
      </c>
      <c r="BY353" s="193"/>
      <c r="BZ353" s="193"/>
      <c r="CA353" s="106"/>
      <c r="CS353" s="171"/>
      <c r="CT353" s="171"/>
      <c r="CU353" s="171"/>
    </row>
    <row r="354" spans="8:99" ht="16.5" x14ac:dyDescent="0.2">
      <c r="H354" s="15"/>
      <c r="I354" s="15"/>
      <c r="J354" s="15"/>
      <c r="K354" s="15"/>
      <c r="L354" s="15"/>
      <c r="M354" s="15"/>
      <c r="N354" s="15"/>
      <c r="O354" s="137"/>
      <c r="P354" s="141"/>
      <c r="Q354" s="141"/>
      <c r="R354" s="141"/>
      <c r="S354" s="141"/>
      <c r="T354" s="141"/>
      <c r="U354" s="141"/>
      <c r="V354" s="141"/>
      <c r="W354" s="141"/>
      <c r="X354" s="141"/>
      <c r="Y354" s="141"/>
      <c r="Z354" s="141"/>
      <c r="AA354" s="194"/>
      <c r="AB354" s="194"/>
      <c r="AC354" s="194"/>
      <c r="AD354" s="194"/>
      <c r="AE354" s="194"/>
      <c r="AF354" s="194"/>
      <c r="AG354" s="197"/>
      <c r="AH354" s="194"/>
      <c r="AI354" s="194"/>
      <c r="AJ354" s="194"/>
      <c r="AK354" s="104">
        <v>350</v>
      </c>
      <c r="AL354" s="14">
        <f t="shared" si="345"/>
        <v>7</v>
      </c>
      <c r="AM354" s="14">
        <f>INDEX(挂机升级突破!DQ$6:DQ$57,卡牌消耗!$AT354)</f>
        <v>11</v>
      </c>
      <c r="AN354" s="14">
        <f>INDEX(挂机升级突破!DR$6:DR$57,卡牌消耗!$AT354)</f>
        <v>5</v>
      </c>
      <c r="AO354" s="14">
        <f>INDEX(挂机升级突破!DS$6:DS$57,卡牌消耗!$AT354)</f>
        <v>0</v>
      </c>
      <c r="AP354" s="14">
        <f>INDEX(挂机升级突破!$DP$6:$DP$57,卡牌消耗!AT354)</f>
        <v>113</v>
      </c>
      <c r="AQ354" s="14" t="str">
        <f t="shared" si="346"/>
        <v>天使缇娜</v>
      </c>
      <c r="AR354" s="14">
        <f t="shared" si="347"/>
        <v>4</v>
      </c>
      <c r="AS354" s="14" t="str">
        <f t="shared" si="348"/>
        <v>天使缇娜魂火-38</v>
      </c>
      <c r="AT354" s="14">
        <f t="shared" si="349"/>
        <v>38</v>
      </c>
      <c r="AU354" s="14" t="str">
        <f>IF(AM354&gt;0,INDEX(挂机升级突破!$DT$4:$ED$4,AM354),"")</f>
        <v>金币</v>
      </c>
      <c r="AV354" s="14">
        <f>ROUND(INDEX(挂机升级突破!$DJ$6:$DJ$57,卡牌消耗!AT354)*INDEX(卡牌消耗!$B$8:$F$8,AR354)/$Q$4/50,0)*50</f>
        <v>32250</v>
      </c>
      <c r="AW354" s="14" t="str">
        <f>IF(AN354&gt;0,INDEX(挂机升级突破!$DT$4:$ED$4,AN354),"")</f>
        <v>红色基础材料</v>
      </c>
      <c r="AX354" s="14">
        <f>ROUND(INDEX(挂机升级突破!$DT$6:$ED$57,卡牌消耗!AT354,AN354)*INDEX(卡牌消耗!$B$5:$F$5,AR354)/$Q$4/5,0)*5</f>
        <v>10</v>
      </c>
      <c r="AY354" s="14" t="str">
        <f>IF(AO354&gt;0,INDEX(挂机升级突破!$DT$4:$ED$4,AO354),"")</f>
        <v/>
      </c>
      <c r="AZ354" s="14" t="str">
        <f>IF(AO354&gt;0,ROUND(INDEX(挂机升级突破!$DT$6:$ED$57,卡牌消耗!AT354,AO354)*INDEX(卡牌消耗!$B$7:$F$7,AR354)/$Q$4,0),"")</f>
        <v/>
      </c>
      <c r="BA354" s="106"/>
      <c r="BB354" s="197"/>
      <c r="BC354" s="197"/>
      <c r="BD354" s="197"/>
      <c r="BE354" s="197"/>
      <c r="BF354" s="197"/>
      <c r="BG354" s="197"/>
      <c r="BH354" s="197"/>
      <c r="BI354" s="197"/>
      <c r="BJ354" s="197"/>
      <c r="BK354" s="197"/>
      <c r="BL354" s="104">
        <v>350</v>
      </c>
      <c r="BM354" s="14">
        <f t="shared" si="350"/>
        <v>18</v>
      </c>
      <c r="BN354" s="14">
        <f>INDEX(挂机升级突破!$EI$7:$EI$26,BS354)</f>
        <v>5</v>
      </c>
      <c r="BO354" s="14">
        <f>INDEX(挂机升级突破!$EJ$7:$EJ$26,BS354)</f>
        <v>2</v>
      </c>
      <c r="BP354" s="14">
        <f t="shared" si="351"/>
        <v>2</v>
      </c>
      <c r="BQ354" s="14">
        <f>INDEX(挂机升级突破!$EH$7:$EH$26,卡牌消耗!BS354)</f>
        <v>65</v>
      </c>
      <c r="BR354" s="14" t="str">
        <f t="shared" si="352"/>
        <v>噬日</v>
      </c>
      <c r="BS354" s="14">
        <f t="shared" si="353"/>
        <v>10</v>
      </c>
      <c r="BT354" s="14" t="str">
        <f t="shared" si="354"/>
        <v>噬日10突</v>
      </c>
      <c r="BU354" s="14" t="str">
        <f>IF(BN354&gt;0,INDEX(挂机升级突破!$ER$5:$EV$5,卡牌消耗!BN354),"")</f>
        <v>金币</v>
      </c>
      <c r="BV354" s="14">
        <f>IF(BN354&gt;0,ROUND(INDEX(挂机升级突破!$EV$7:$EV$26,卡牌消耗!BS354)*INDEX(卡牌消耗!$B$8:$F$8,BP354)/$Q$4/500,0)*500,"")</f>
        <v>13000</v>
      </c>
      <c r="BW354" s="14" t="str">
        <f>IF(BO354&gt;0,INDEX(挂机升级突破!$ER$5:$EV$5,卡牌消耗!BO354),"")</f>
        <v>乌金</v>
      </c>
      <c r="BX354" s="14">
        <f>IF(BO354&gt;0,ROUND(INDEX(挂机升级突破!$ER$7:$EU$26,卡牌消耗!BS354,卡牌消耗!BO354)*INDEX($B$6:$F$6,BP354)/$Q$4/5,0)*5,"")</f>
        <v>55</v>
      </c>
      <c r="BY354" s="193"/>
      <c r="BZ354" s="193"/>
      <c r="CA354" s="106"/>
      <c r="CS354" s="171"/>
      <c r="CT354" s="171"/>
      <c r="CU354" s="171"/>
    </row>
    <row r="355" spans="8:99" ht="16.5" x14ac:dyDescent="0.2">
      <c r="H355" s="15"/>
      <c r="I355" s="15"/>
      <c r="J355" s="15"/>
      <c r="K355" s="15"/>
      <c r="L355" s="15"/>
      <c r="M355" s="15"/>
      <c r="N355" s="15"/>
      <c r="O355" s="137"/>
      <c r="P355" s="141"/>
      <c r="Q355" s="141"/>
      <c r="R355" s="141"/>
      <c r="S355" s="141"/>
      <c r="T355" s="141"/>
      <c r="U355" s="141"/>
      <c r="V355" s="141"/>
      <c r="W355" s="141"/>
      <c r="X355" s="141"/>
      <c r="Y355" s="141"/>
      <c r="Z355" s="141"/>
      <c r="AA355" s="194"/>
      <c r="AB355" s="194"/>
      <c r="AC355" s="194"/>
      <c r="AD355" s="194"/>
      <c r="AE355" s="194"/>
      <c r="AF355" s="194"/>
      <c r="AG355" s="197"/>
      <c r="AH355" s="194"/>
      <c r="AI355" s="194"/>
      <c r="AJ355" s="194"/>
      <c r="AK355" s="104">
        <v>351</v>
      </c>
      <c r="AL355" s="14">
        <f t="shared" si="345"/>
        <v>7</v>
      </c>
      <c r="AM355" s="14">
        <f>INDEX(挂机升级突破!DQ$6:DQ$57,卡牌消耗!$AT355)</f>
        <v>11</v>
      </c>
      <c r="AN355" s="14">
        <f>INDEX(挂机升级突破!DR$6:DR$57,卡牌消耗!$AT355)</f>
        <v>5</v>
      </c>
      <c r="AO355" s="14">
        <f>INDEX(挂机升级突破!DS$6:DS$57,卡牌消耗!$AT355)</f>
        <v>0</v>
      </c>
      <c r="AP355" s="14">
        <f>INDEX(挂机升级突破!$DP$6:$DP$57,卡牌消耗!AT355)</f>
        <v>115</v>
      </c>
      <c r="AQ355" s="14" t="str">
        <f t="shared" si="346"/>
        <v>天使缇娜</v>
      </c>
      <c r="AR355" s="14">
        <f t="shared" si="347"/>
        <v>4</v>
      </c>
      <c r="AS355" s="14" t="str">
        <f t="shared" si="348"/>
        <v>天使缇娜魂火-39</v>
      </c>
      <c r="AT355" s="14">
        <f t="shared" si="349"/>
        <v>39</v>
      </c>
      <c r="AU355" s="14" t="str">
        <f>IF(AM355&gt;0,INDEX(挂机升级突破!$DT$4:$ED$4,AM355),"")</f>
        <v>金币</v>
      </c>
      <c r="AV355" s="14">
        <f>ROUND(INDEX(挂机升级突破!$DJ$6:$DJ$57,卡牌消耗!AT355)*INDEX(卡牌消耗!$B$8:$F$8,AR355)/$Q$4/50,0)*50</f>
        <v>32250</v>
      </c>
      <c r="AW355" s="14" t="str">
        <f>IF(AN355&gt;0,INDEX(挂机升级突破!$DT$4:$ED$4,AN355),"")</f>
        <v>红色基础材料</v>
      </c>
      <c r="AX355" s="14">
        <f>ROUND(INDEX(挂机升级突破!$DT$6:$ED$57,卡牌消耗!AT355,AN355)*INDEX(卡牌消耗!$B$5:$F$5,AR355)/$Q$4/5,0)*5</f>
        <v>10</v>
      </c>
      <c r="AY355" s="14" t="str">
        <f>IF(AO355&gt;0,INDEX(挂机升级突破!$DT$4:$ED$4,AO355),"")</f>
        <v/>
      </c>
      <c r="AZ355" s="14" t="str">
        <f>IF(AO355&gt;0,ROUND(INDEX(挂机升级突破!$DT$6:$ED$57,卡牌消耗!AT355,AO355)*INDEX(卡牌消耗!$B$7:$F$7,AR355)/$Q$4,0),"")</f>
        <v/>
      </c>
      <c r="BA355" s="106"/>
      <c r="BB355" s="197"/>
      <c r="BC355" s="197"/>
      <c r="BD355" s="197"/>
      <c r="BE355" s="197"/>
      <c r="BF355" s="197"/>
      <c r="BG355" s="197"/>
      <c r="BH355" s="197"/>
      <c r="BI355" s="197"/>
      <c r="BJ355" s="197"/>
      <c r="BK355" s="197"/>
      <c r="BL355" s="104">
        <v>351</v>
      </c>
      <c r="BM355" s="14">
        <f t="shared" si="350"/>
        <v>18</v>
      </c>
      <c r="BN355" s="14">
        <f>INDEX(挂机升级突破!$EI$7:$EI$26,BS355)</f>
        <v>5</v>
      </c>
      <c r="BO355" s="14">
        <f>INDEX(挂机升级突破!$EJ$7:$EJ$26,BS355)</f>
        <v>2</v>
      </c>
      <c r="BP355" s="14">
        <f t="shared" si="351"/>
        <v>2</v>
      </c>
      <c r="BQ355" s="14">
        <f>INDEX(挂机升级突破!$EH$7:$EH$26,卡牌消耗!BS355)</f>
        <v>72</v>
      </c>
      <c r="BR355" s="14" t="str">
        <f t="shared" si="352"/>
        <v>噬日</v>
      </c>
      <c r="BS355" s="14">
        <f t="shared" si="353"/>
        <v>11</v>
      </c>
      <c r="BT355" s="14" t="str">
        <f t="shared" si="354"/>
        <v>噬日11突</v>
      </c>
      <c r="BU355" s="14" t="str">
        <f>IF(BN355&gt;0,INDEX(挂机升级突破!$ER$5:$EV$5,卡牌消耗!BN355),"")</f>
        <v>金币</v>
      </c>
      <c r="BV355" s="14">
        <f>IF(BN355&gt;0,ROUND(INDEX(挂机升级突破!$EV$7:$EV$26,卡牌消耗!BS355)*INDEX(卡牌消耗!$B$8:$F$8,BP355)/$Q$4/500,0)*500,"")</f>
        <v>13000</v>
      </c>
      <c r="BW355" s="14" t="str">
        <f>IF(BO355&gt;0,INDEX(挂机升级突破!$ER$5:$EV$5,卡牌消耗!BO355),"")</f>
        <v>乌金</v>
      </c>
      <c r="BX355" s="14">
        <f>IF(BO355&gt;0,ROUND(INDEX(挂机升级突破!$ER$7:$EU$26,卡牌消耗!BS355,卡牌消耗!BO355)*INDEX($B$6:$F$6,BP355)/$Q$4/5,0)*5,"")</f>
        <v>75</v>
      </c>
      <c r="BY355" s="193"/>
      <c r="BZ355" s="193"/>
      <c r="CA355" s="106"/>
      <c r="CS355" s="171"/>
      <c r="CT355" s="171"/>
      <c r="CU355" s="171"/>
    </row>
    <row r="356" spans="8:99" ht="16.5" x14ac:dyDescent="0.2">
      <c r="H356" s="15"/>
      <c r="I356" s="15"/>
      <c r="J356" s="15"/>
      <c r="K356" s="15"/>
      <c r="L356" s="15"/>
      <c r="M356" s="15"/>
      <c r="N356" s="15"/>
      <c r="O356" s="137"/>
      <c r="P356" s="141"/>
      <c r="Q356" s="141"/>
      <c r="R356" s="141"/>
      <c r="S356" s="141"/>
      <c r="T356" s="141"/>
      <c r="U356" s="141"/>
      <c r="V356" s="141"/>
      <c r="W356" s="141"/>
      <c r="X356" s="141"/>
      <c r="Y356" s="141"/>
      <c r="Z356" s="141"/>
      <c r="AA356" s="194"/>
      <c r="AB356" s="194"/>
      <c r="AC356" s="194"/>
      <c r="AD356" s="194"/>
      <c r="AE356" s="194"/>
      <c r="AF356" s="194"/>
      <c r="AG356" s="197"/>
      <c r="AH356" s="194"/>
      <c r="AI356" s="194"/>
      <c r="AJ356" s="194"/>
      <c r="AK356" s="104">
        <v>352</v>
      </c>
      <c r="AL356" s="14">
        <f t="shared" si="345"/>
        <v>7</v>
      </c>
      <c r="AM356" s="14">
        <f>INDEX(挂机升级突破!DQ$6:DQ$57,卡牌消耗!$AT356)</f>
        <v>11</v>
      </c>
      <c r="AN356" s="14">
        <f>INDEX(挂机升级突破!DR$6:DR$57,卡牌消耗!$AT356)</f>
        <v>5</v>
      </c>
      <c r="AO356" s="14">
        <f>INDEX(挂机升级突破!DS$6:DS$57,卡牌消耗!$AT356)</f>
        <v>0</v>
      </c>
      <c r="AP356" s="14">
        <f>INDEX(挂机升级突破!$DP$6:$DP$57,卡牌消耗!AT356)</f>
        <v>118</v>
      </c>
      <c r="AQ356" s="14" t="str">
        <f t="shared" si="346"/>
        <v>天使缇娜</v>
      </c>
      <c r="AR356" s="14">
        <f t="shared" si="347"/>
        <v>4</v>
      </c>
      <c r="AS356" s="14" t="str">
        <f t="shared" si="348"/>
        <v>天使缇娜魂火-40</v>
      </c>
      <c r="AT356" s="14">
        <f t="shared" si="349"/>
        <v>40</v>
      </c>
      <c r="AU356" s="14" t="str">
        <f>IF(AM356&gt;0,INDEX(挂机升级突破!$DT$4:$ED$4,AM356),"")</f>
        <v>金币</v>
      </c>
      <c r="AV356" s="14">
        <f>ROUND(INDEX(挂机升级突破!$DJ$6:$DJ$57,卡牌消耗!AT356)*INDEX(卡牌消耗!$B$8:$F$8,AR356)/$Q$4/50,0)*50</f>
        <v>32250</v>
      </c>
      <c r="AW356" s="14" t="str">
        <f>IF(AN356&gt;0,INDEX(挂机升级突破!$DT$4:$ED$4,AN356),"")</f>
        <v>红色基础材料</v>
      </c>
      <c r="AX356" s="14">
        <f>ROUND(INDEX(挂机升级突破!$DT$6:$ED$57,卡牌消耗!AT356,AN356)*INDEX(卡牌消耗!$B$5:$F$5,AR356)/$Q$4/5,0)*5</f>
        <v>10</v>
      </c>
      <c r="AY356" s="14" t="str">
        <f>IF(AO356&gt;0,INDEX(挂机升级突破!$DT$4:$ED$4,AO356),"")</f>
        <v/>
      </c>
      <c r="AZ356" s="14" t="str">
        <f>IF(AO356&gt;0,ROUND(INDEX(挂机升级突破!$DT$6:$ED$57,卡牌消耗!AT356,AO356)*INDEX(卡牌消耗!$B$7:$F$7,AR356)/$Q$4,0),"")</f>
        <v/>
      </c>
      <c r="BA356" s="106"/>
      <c r="BB356" s="197"/>
      <c r="BC356" s="197"/>
      <c r="BD356" s="197"/>
      <c r="BE356" s="197"/>
      <c r="BF356" s="197"/>
      <c r="BG356" s="197"/>
      <c r="BH356" s="197"/>
      <c r="BI356" s="197"/>
      <c r="BJ356" s="197"/>
      <c r="BK356" s="197"/>
      <c r="BL356" s="104">
        <v>352</v>
      </c>
      <c r="BM356" s="14">
        <f t="shared" si="350"/>
        <v>18</v>
      </c>
      <c r="BN356" s="14">
        <f>INDEX(挂机升级突破!$EI$7:$EI$26,BS356)</f>
        <v>5</v>
      </c>
      <c r="BO356" s="14">
        <f>INDEX(挂机升级突破!$EJ$7:$EJ$26,BS356)</f>
        <v>2</v>
      </c>
      <c r="BP356" s="14">
        <f t="shared" si="351"/>
        <v>2</v>
      </c>
      <c r="BQ356" s="14">
        <f>INDEX(挂机升级突破!$EH$7:$EH$26,卡牌消耗!BS356)</f>
        <v>80</v>
      </c>
      <c r="BR356" s="14" t="str">
        <f t="shared" si="352"/>
        <v>噬日</v>
      </c>
      <c r="BS356" s="14">
        <f t="shared" si="353"/>
        <v>12</v>
      </c>
      <c r="BT356" s="14" t="str">
        <f t="shared" si="354"/>
        <v>噬日12突</v>
      </c>
      <c r="BU356" s="14" t="str">
        <f>IF(BN356&gt;0,INDEX(挂机升级突破!$ER$5:$EV$5,卡牌消耗!BN356),"")</f>
        <v>金币</v>
      </c>
      <c r="BV356" s="14">
        <f>IF(BN356&gt;0,ROUND(INDEX(挂机升级突破!$EV$7:$EV$26,卡牌消耗!BS356)*INDEX(卡牌消耗!$B$8:$F$8,BP356)/$Q$4/500,0)*500,"")</f>
        <v>17500</v>
      </c>
      <c r="BW356" s="14" t="str">
        <f>IF(BO356&gt;0,INDEX(挂机升级突破!$ER$5:$EV$5,卡牌消耗!BO356),"")</f>
        <v>乌金</v>
      </c>
      <c r="BX356" s="14">
        <f>IF(BO356&gt;0,ROUND(INDEX(挂机升级突破!$ER$7:$EU$26,卡牌消耗!BS356,卡牌消耗!BO356)*INDEX($B$6:$F$6,BP356)/$Q$4/5,0)*5,"")</f>
        <v>95</v>
      </c>
      <c r="BY356" s="193"/>
      <c r="BZ356" s="193"/>
      <c r="CA356" s="106"/>
      <c r="CS356" s="171"/>
      <c r="CT356" s="171"/>
      <c r="CU356" s="171"/>
    </row>
    <row r="357" spans="8:99" ht="16.5" x14ac:dyDescent="0.2">
      <c r="H357" s="15"/>
      <c r="I357" s="15"/>
      <c r="J357" s="15"/>
      <c r="K357" s="15"/>
      <c r="L357" s="15"/>
      <c r="M357" s="15"/>
      <c r="N357" s="15"/>
      <c r="O357" s="137"/>
      <c r="P357" s="141"/>
      <c r="Q357" s="141"/>
      <c r="R357" s="141"/>
      <c r="S357" s="141"/>
      <c r="T357" s="141"/>
      <c r="U357" s="141"/>
      <c r="V357" s="141"/>
      <c r="W357" s="141"/>
      <c r="X357" s="141"/>
      <c r="Y357" s="141"/>
      <c r="Z357" s="141"/>
      <c r="AA357" s="194"/>
      <c r="AB357" s="194"/>
      <c r="AC357" s="194"/>
      <c r="AD357" s="194"/>
      <c r="AE357" s="194"/>
      <c r="AF357" s="194"/>
      <c r="AG357" s="197"/>
      <c r="AH357" s="194"/>
      <c r="AI357" s="194"/>
      <c r="AJ357" s="194"/>
      <c r="AK357" s="104">
        <v>353</v>
      </c>
      <c r="AL357" s="14">
        <f t="shared" si="345"/>
        <v>7</v>
      </c>
      <c r="AM357" s="14">
        <f>INDEX(挂机升级突破!DQ$6:DQ$57,卡牌消耗!$AT357)</f>
        <v>11</v>
      </c>
      <c r="AN357" s="14">
        <f>INDEX(挂机升级突破!DR$6:DR$57,卡牌消耗!$AT357)</f>
        <v>5</v>
      </c>
      <c r="AO357" s="14">
        <f>INDEX(挂机升级突破!DS$6:DS$57,卡牌消耗!$AT357)</f>
        <v>10</v>
      </c>
      <c r="AP357" s="14">
        <f>INDEX(挂机升级突破!$DP$6:$DP$57,卡牌消耗!AT357)</f>
        <v>120</v>
      </c>
      <c r="AQ357" s="14" t="str">
        <f t="shared" si="346"/>
        <v>天使缇娜</v>
      </c>
      <c r="AR357" s="14">
        <f t="shared" si="347"/>
        <v>4</v>
      </c>
      <c r="AS357" s="14" t="str">
        <f t="shared" si="348"/>
        <v>天使缇娜魂火-41</v>
      </c>
      <c r="AT357" s="14">
        <f t="shared" si="349"/>
        <v>41</v>
      </c>
      <c r="AU357" s="14" t="str">
        <f>IF(AM357&gt;0,INDEX(挂机升级突破!$DT$4:$ED$4,AM357),"")</f>
        <v>金币</v>
      </c>
      <c r="AV357" s="14">
        <f>ROUND(INDEX(挂机升级突破!$DJ$6:$DJ$57,卡牌消耗!AT357)*INDEX(卡牌消耗!$B$8:$F$8,AR357)/$Q$4/50,0)*50</f>
        <v>44300</v>
      </c>
      <c r="AW357" s="14" t="str">
        <f>IF(AN357&gt;0,INDEX(挂机升级突破!$DT$4:$ED$4,AN357),"")</f>
        <v>红色基础材料</v>
      </c>
      <c r="AX357" s="14">
        <f>ROUND(INDEX(挂机升级突破!$DT$6:$ED$57,卡牌消耗!AT357,AN357)*INDEX(卡牌消耗!$B$5:$F$5,AR357)/$Q$4/5,0)*5</f>
        <v>10</v>
      </c>
      <c r="AY357" s="14" t="str">
        <f>IF(AO357&gt;0,INDEX(挂机升级突破!$DT$4:$ED$4,AO357),"")</f>
        <v>灵玉</v>
      </c>
      <c r="AZ357" s="14">
        <f>IF(AO357&gt;0,ROUND(INDEX(挂机升级突破!$DT$6:$ED$57,卡牌消耗!AT357,AO357)*INDEX(卡牌消耗!$B$7:$F$7,AR357)/$Q$4,0),"")</f>
        <v>3</v>
      </c>
      <c r="BA357" s="106"/>
      <c r="BB357" s="197"/>
      <c r="BC357" s="197"/>
      <c r="BD357" s="197"/>
      <c r="BE357" s="197"/>
      <c r="BF357" s="197"/>
      <c r="BG357" s="197"/>
      <c r="BH357" s="197"/>
      <c r="BI357" s="197"/>
      <c r="BJ357" s="197"/>
      <c r="BK357" s="197"/>
      <c r="BL357" s="104">
        <v>353</v>
      </c>
      <c r="BM357" s="14">
        <f t="shared" si="350"/>
        <v>18</v>
      </c>
      <c r="BN357" s="14">
        <f>INDEX(挂机升级突破!$EI$7:$EI$26,BS357)</f>
        <v>5</v>
      </c>
      <c r="BO357" s="14">
        <f>INDEX(挂机升级突破!$EJ$7:$EJ$26,BS357)</f>
        <v>3</v>
      </c>
      <c r="BP357" s="14">
        <f t="shared" si="351"/>
        <v>2</v>
      </c>
      <c r="BQ357" s="14">
        <f>INDEX(挂机升级突破!$EH$7:$EH$26,卡牌消耗!BS357)</f>
        <v>87</v>
      </c>
      <c r="BR357" s="14" t="str">
        <f t="shared" si="352"/>
        <v>噬日</v>
      </c>
      <c r="BS357" s="14">
        <f t="shared" si="353"/>
        <v>13</v>
      </c>
      <c r="BT357" s="14" t="str">
        <f t="shared" si="354"/>
        <v>噬日13突</v>
      </c>
      <c r="BU357" s="14" t="str">
        <f>IF(BN357&gt;0,INDEX(挂机升级突破!$ER$5:$EV$5,卡牌消耗!BN357),"")</f>
        <v>金币</v>
      </c>
      <c r="BV357" s="14">
        <f>IF(BN357&gt;0,ROUND(INDEX(挂机升级突破!$EV$7:$EV$26,卡牌消耗!BS357)*INDEX(卡牌消耗!$B$8:$F$8,BP357)/$Q$4/500,0)*500,"")</f>
        <v>23500</v>
      </c>
      <c r="BW357" s="14" t="str">
        <f>IF(BO357&gt;0,INDEX(挂机升级突破!$ER$5:$EV$5,卡牌消耗!BO357),"")</f>
        <v>银母</v>
      </c>
      <c r="BX357" s="14">
        <f>IF(BO357&gt;0,ROUND(INDEX(挂机升级突破!$ER$7:$EU$26,卡牌消耗!BS357,卡牌消耗!BO357)*INDEX($B$6:$F$6,BP357)/$Q$4/5,0)*5,"")</f>
        <v>30</v>
      </c>
      <c r="BY357" s="193"/>
      <c r="BZ357" s="193"/>
      <c r="CA357" s="106"/>
      <c r="CS357" s="171"/>
      <c r="CT357" s="171"/>
      <c r="CU357" s="171"/>
    </row>
    <row r="358" spans="8:99" ht="16.5" x14ac:dyDescent="0.2">
      <c r="H358" s="15"/>
      <c r="I358" s="15"/>
      <c r="J358" s="15"/>
      <c r="K358" s="15"/>
      <c r="L358" s="15"/>
      <c r="M358" s="15"/>
      <c r="N358" s="15"/>
      <c r="O358" s="137"/>
      <c r="P358" s="141"/>
      <c r="Q358" s="141"/>
      <c r="R358" s="141"/>
      <c r="S358" s="141"/>
      <c r="T358" s="141"/>
      <c r="U358" s="141"/>
      <c r="V358" s="141"/>
      <c r="W358" s="141"/>
      <c r="X358" s="141"/>
      <c r="Y358" s="141"/>
      <c r="Z358" s="141"/>
      <c r="AA358" s="194"/>
      <c r="AB358" s="194"/>
      <c r="AC358" s="194"/>
      <c r="AD358" s="194"/>
      <c r="AE358" s="194"/>
      <c r="AF358" s="194"/>
      <c r="AG358" s="197"/>
      <c r="AH358" s="194"/>
      <c r="AI358" s="194"/>
      <c r="AJ358" s="194"/>
      <c r="AK358" s="104">
        <v>354</v>
      </c>
      <c r="AL358" s="14">
        <f t="shared" si="345"/>
        <v>7</v>
      </c>
      <c r="AM358" s="14">
        <f>INDEX(挂机升级突破!DQ$6:DQ$57,卡牌消耗!$AT358)</f>
        <v>11</v>
      </c>
      <c r="AN358" s="14">
        <f>INDEX(挂机升级突破!DR$6:DR$57,卡牌消耗!$AT358)</f>
        <v>5</v>
      </c>
      <c r="AO358" s="14">
        <f>INDEX(挂机升级突破!DS$6:DS$57,卡牌消耗!$AT358)</f>
        <v>10</v>
      </c>
      <c r="AP358" s="14">
        <f>INDEX(挂机升级突破!$DP$6:$DP$57,卡牌消耗!AT358)</f>
        <v>123</v>
      </c>
      <c r="AQ358" s="14" t="str">
        <f t="shared" si="346"/>
        <v>天使缇娜</v>
      </c>
      <c r="AR358" s="14">
        <f t="shared" si="347"/>
        <v>4</v>
      </c>
      <c r="AS358" s="14" t="str">
        <f t="shared" si="348"/>
        <v>天使缇娜魂火-42</v>
      </c>
      <c r="AT358" s="14">
        <f t="shared" si="349"/>
        <v>42</v>
      </c>
      <c r="AU358" s="14" t="str">
        <f>IF(AM358&gt;0,INDEX(挂机升级突破!$DT$4:$ED$4,AM358),"")</f>
        <v>金币</v>
      </c>
      <c r="AV358" s="14">
        <f>ROUND(INDEX(挂机升级突破!$DJ$6:$DJ$57,卡牌消耗!AT358)*INDEX(卡牌消耗!$B$8:$F$8,AR358)/$Q$4/50,0)*50</f>
        <v>44300</v>
      </c>
      <c r="AW358" s="14" t="str">
        <f>IF(AN358&gt;0,INDEX(挂机升级突破!$DT$4:$ED$4,AN358),"")</f>
        <v>红色基础材料</v>
      </c>
      <c r="AX358" s="14">
        <f>ROUND(INDEX(挂机升级突破!$DT$6:$ED$57,卡牌消耗!AT358,AN358)*INDEX(卡牌消耗!$B$5:$F$5,AR358)/$Q$4/5,0)*5</f>
        <v>10</v>
      </c>
      <c r="AY358" s="14" t="str">
        <f>IF(AO358&gt;0,INDEX(挂机升级突破!$DT$4:$ED$4,AO358),"")</f>
        <v>灵玉</v>
      </c>
      <c r="AZ358" s="14">
        <f>IF(AO358&gt;0,ROUND(INDEX(挂机升级突破!$DT$6:$ED$57,卡牌消耗!AT358,AO358)*INDEX(卡牌消耗!$B$7:$F$7,AR358)/$Q$4,0),"")</f>
        <v>3</v>
      </c>
      <c r="BA358" s="106"/>
      <c r="BB358" s="197"/>
      <c r="BC358" s="197"/>
      <c r="BD358" s="197"/>
      <c r="BE358" s="197"/>
      <c r="BF358" s="197"/>
      <c r="BG358" s="197"/>
      <c r="BH358" s="197"/>
      <c r="BI358" s="197"/>
      <c r="BJ358" s="197"/>
      <c r="BK358" s="197"/>
      <c r="BL358" s="104">
        <v>354</v>
      </c>
      <c r="BM358" s="14">
        <f t="shared" si="350"/>
        <v>18</v>
      </c>
      <c r="BN358" s="14">
        <f>INDEX(挂机升级突破!$EI$7:$EI$26,BS358)</f>
        <v>5</v>
      </c>
      <c r="BO358" s="14">
        <f>INDEX(挂机升级突破!$EJ$7:$EJ$26,BS358)</f>
        <v>3</v>
      </c>
      <c r="BP358" s="14">
        <f t="shared" si="351"/>
        <v>2</v>
      </c>
      <c r="BQ358" s="14">
        <f>INDEX(挂机升级突破!$EH$7:$EH$26,卡牌消耗!BS358)</f>
        <v>95</v>
      </c>
      <c r="BR358" s="14" t="str">
        <f t="shared" si="352"/>
        <v>噬日</v>
      </c>
      <c r="BS358" s="14">
        <f t="shared" si="353"/>
        <v>14</v>
      </c>
      <c r="BT358" s="14" t="str">
        <f t="shared" si="354"/>
        <v>噬日14突</v>
      </c>
      <c r="BU358" s="14" t="str">
        <f>IF(BN358&gt;0,INDEX(挂机升级突破!$ER$5:$EV$5,卡牌消耗!BN358),"")</f>
        <v>金币</v>
      </c>
      <c r="BV358" s="14">
        <f>IF(BN358&gt;0,ROUND(INDEX(挂机升级突破!$EV$7:$EV$26,卡牌消耗!BS358)*INDEX(卡牌消耗!$B$8:$F$8,BP358)/$Q$4/500,0)*500,"")</f>
        <v>23500</v>
      </c>
      <c r="BW358" s="14" t="str">
        <f>IF(BO358&gt;0,INDEX(挂机升级突破!$ER$5:$EV$5,卡牌消耗!BO358),"")</f>
        <v>银母</v>
      </c>
      <c r="BX358" s="14">
        <f>IF(BO358&gt;0,ROUND(INDEX(挂机升级突破!$ER$7:$EU$26,卡牌消耗!BS358,卡牌消耗!BO358)*INDEX($B$6:$F$6,BP358)/$Q$4/5,0)*5,"")</f>
        <v>45</v>
      </c>
      <c r="BY358" s="193"/>
      <c r="BZ358" s="193"/>
      <c r="CA358" s="106"/>
      <c r="CS358" s="171"/>
      <c r="CT358" s="171"/>
      <c r="CU358" s="171"/>
    </row>
    <row r="359" spans="8:99" ht="16.5" x14ac:dyDescent="0.2">
      <c r="H359" s="15"/>
      <c r="I359" s="15"/>
      <c r="J359" s="15"/>
      <c r="K359" s="15"/>
      <c r="L359" s="15"/>
      <c r="M359" s="15"/>
      <c r="N359" s="15"/>
      <c r="O359" s="137"/>
      <c r="P359" s="141"/>
      <c r="Q359" s="141"/>
      <c r="R359" s="141"/>
      <c r="S359" s="141"/>
      <c r="T359" s="141"/>
      <c r="U359" s="141"/>
      <c r="V359" s="141"/>
      <c r="W359" s="141"/>
      <c r="X359" s="141"/>
      <c r="Y359" s="141"/>
      <c r="Z359" s="141"/>
      <c r="AA359" s="194"/>
      <c r="AB359" s="194"/>
      <c r="AC359" s="194"/>
      <c r="AD359" s="194"/>
      <c r="AE359" s="194"/>
      <c r="AF359" s="194"/>
      <c r="AG359" s="197"/>
      <c r="AH359" s="194"/>
      <c r="AI359" s="194"/>
      <c r="AJ359" s="194"/>
      <c r="AK359" s="104">
        <v>355</v>
      </c>
      <c r="AL359" s="14">
        <f t="shared" si="345"/>
        <v>7</v>
      </c>
      <c r="AM359" s="14">
        <f>INDEX(挂机升级突破!DQ$6:DQ$57,卡牌消耗!$AT359)</f>
        <v>11</v>
      </c>
      <c r="AN359" s="14">
        <f>INDEX(挂机升级突破!DR$6:DR$57,卡牌消耗!$AT359)</f>
        <v>5</v>
      </c>
      <c r="AO359" s="14">
        <f>INDEX(挂机升级突破!DS$6:DS$57,卡牌消耗!$AT359)</f>
        <v>10</v>
      </c>
      <c r="AP359" s="14">
        <f>INDEX(挂机升级突破!$DP$6:$DP$57,卡牌消耗!AT359)</f>
        <v>125</v>
      </c>
      <c r="AQ359" s="14" t="str">
        <f t="shared" si="346"/>
        <v>天使缇娜</v>
      </c>
      <c r="AR359" s="14">
        <f t="shared" si="347"/>
        <v>4</v>
      </c>
      <c r="AS359" s="14" t="str">
        <f t="shared" si="348"/>
        <v>天使缇娜魂火-43</v>
      </c>
      <c r="AT359" s="14">
        <f t="shared" si="349"/>
        <v>43</v>
      </c>
      <c r="AU359" s="14" t="str">
        <f>IF(AM359&gt;0,INDEX(挂机升级突破!$DT$4:$ED$4,AM359),"")</f>
        <v>金币</v>
      </c>
      <c r="AV359" s="14">
        <f>ROUND(INDEX(挂机升级突破!$DJ$6:$DJ$57,卡牌消耗!AT359)*INDEX(卡牌消耗!$B$8:$F$8,AR359)/$Q$4/50,0)*50</f>
        <v>44300</v>
      </c>
      <c r="AW359" s="14" t="str">
        <f>IF(AN359&gt;0,INDEX(挂机升级突破!$DT$4:$ED$4,AN359),"")</f>
        <v>红色基础材料</v>
      </c>
      <c r="AX359" s="14">
        <f>ROUND(INDEX(挂机升级突破!$DT$6:$ED$57,卡牌消耗!AT359,AN359)*INDEX(卡牌消耗!$B$5:$F$5,AR359)/$Q$4/5,0)*5</f>
        <v>10</v>
      </c>
      <c r="AY359" s="14" t="str">
        <f>IF(AO359&gt;0,INDEX(挂机升级突破!$DT$4:$ED$4,AO359),"")</f>
        <v>灵玉</v>
      </c>
      <c r="AZ359" s="14">
        <f>IF(AO359&gt;0,ROUND(INDEX(挂机升级突破!$DT$6:$ED$57,卡牌消耗!AT359,AO359)*INDEX(卡牌消耗!$B$7:$F$7,AR359)/$Q$4,0),"")</f>
        <v>3</v>
      </c>
      <c r="BA359" s="106"/>
      <c r="BB359" s="197"/>
      <c r="BC359" s="197"/>
      <c r="BD359" s="197"/>
      <c r="BE359" s="197"/>
      <c r="BF359" s="197"/>
      <c r="BG359" s="197"/>
      <c r="BH359" s="197"/>
      <c r="BI359" s="197"/>
      <c r="BJ359" s="197"/>
      <c r="BK359" s="197"/>
      <c r="BL359" s="104">
        <v>355</v>
      </c>
      <c r="BM359" s="14">
        <f t="shared" si="350"/>
        <v>18</v>
      </c>
      <c r="BN359" s="14">
        <f>INDEX(挂机升级突破!$EI$7:$EI$26,BS359)</f>
        <v>5</v>
      </c>
      <c r="BO359" s="14">
        <f>INDEX(挂机升级突破!$EJ$7:$EJ$26,BS359)</f>
        <v>3</v>
      </c>
      <c r="BP359" s="14">
        <f t="shared" si="351"/>
        <v>2</v>
      </c>
      <c r="BQ359" s="14">
        <f>INDEX(挂机升级突破!$EH$7:$EH$26,卡牌消耗!BS359)</f>
        <v>102</v>
      </c>
      <c r="BR359" s="14" t="str">
        <f t="shared" si="352"/>
        <v>噬日</v>
      </c>
      <c r="BS359" s="14">
        <f t="shared" si="353"/>
        <v>15</v>
      </c>
      <c r="BT359" s="14" t="str">
        <f t="shared" si="354"/>
        <v>噬日15突</v>
      </c>
      <c r="BU359" s="14" t="str">
        <f>IF(BN359&gt;0,INDEX(挂机升级突破!$ER$5:$EV$5,卡牌消耗!BN359),"")</f>
        <v>金币</v>
      </c>
      <c r="BV359" s="14">
        <f>IF(BN359&gt;0,ROUND(INDEX(挂机升级突破!$EV$7:$EV$26,卡牌消耗!BS359)*INDEX(卡牌消耗!$B$8:$F$8,BP359)/$Q$4/500,0)*500,"")</f>
        <v>31000</v>
      </c>
      <c r="BW359" s="14" t="str">
        <f>IF(BO359&gt;0,INDEX(挂机升级突破!$ER$5:$EV$5,卡牌消耗!BO359),"")</f>
        <v>银母</v>
      </c>
      <c r="BX359" s="14">
        <f>IF(BO359&gt;0,ROUND(INDEX(挂机升级突破!$ER$7:$EU$26,卡牌消耗!BS359,卡牌消耗!BO359)*INDEX($B$6:$F$6,BP359)/$Q$4/5,0)*5,"")</f>
        <v>55</v>
      </c>
      <c r="BY359" s="193"/>
      <c r="BZ359" s="193"/>
      <c r="CA359" s="106"/>
      <c r="CS359" s="171"/>
      <c r="CT359" s="171"/>
      <c r="CU359" s="171"/>
    </row>
    <row r="360" spans="8:99" ht="16.5" x14ac:dyDescent="0.2">
      <c r="H360" s="15"/>
      <c r="I360" s="15"/>
      <c r="J360" s="15"/>
      <c r="K360" s="15"/>
      <c r="L360" s="15"/>
      <c r="M360" s="15"/>
      <c r="N360" s="15"/>
      <c r="O360" s="137"/>
      <c r="P360" s="141"/>
      <c r="Q360" s="141"/>
      <c r="R360" s="141"/>
      <c r="S360" s="141"/>
      <c r="T360" s="141"/>
      <c r="U360" s="141"/>
      <c r="V360" s="141"/>
      <c r="W360" s="141"/>
      <c r="X360" s="141"/>
      <c r="Y360" s="141"/>
      <c r="Z360" s="141"/>
      <c r="AA360" s="194"/>
      <c r="AB360" s="194"/>
      <c r="AC360" s="194"/>
      <c r="AD360" s="194"/>
      <c r="AE360" s="194"/>
      <c r="AF360" s="194"/>
      <c r="AG360" s="197"/>
      <c r="AH360" s="194"/>
      <c r="AI360" s="194"/>
      <c r="AJ360" s="194"/>
      <c r="AK360" s="104">
        <v>356</v>
      </c>
      <c r="AL360" s="14">
        <f t="shared" si="345"/>
        <v>7</v>
      </c>
      <c r="AM360" s="14">
        <f>INDEX(挂机升级突破!DQ$6:DQ$57,卡牌消耗!$AT360)</f>
        <v>11</v>
      </c>
      <c r="AN360" s="14">
        <f>INDEX(挂机升级突破!DR$6:DR$57,卡牌消耗!$AT360)</f>
        <v>5</v>
      </c>
      <c r="AO360" s="14">
        <f>INDEX(挂机升级突破!DS$6:DS$57,卡牌消耗!$AT360)</f>
        <v>10</v>
      </c>
      <c r="AP360" s="14">
        <f>INDEX(挂机升级突破!$DP$6:$DP$57,卡牌消耗!AT360)</f>
        <v>128</v>
      </c>
      <c r="AQ360" s="14" t="str">
        <f t="shared" si="346"/>
        <v>天使缇娜</v>
      </c>
      <c r="AR360" s="14">
        <f t="shared" si="347"/>
        <v>4</v>
      </c>
      <c r="AS360" s="14" t="str">
        <f t="shared" si="348"/>
        <v>天使缇娜魂火-44</v>
      </c>
      <c r="AT360" s="14">
        <f t="shared" si="349"/>
        <v>44</v>
      </c>
      <c r="AU360" s="14" t="str">
        <f>IF(AM360&gt;0,INDEX(挂机升级突破!$DT$4:$ED$4,AM360),"")</f>
        <v>金币</v>
      </c>
      <c r="AV360" s="14">
        <f>ROUND(INDEX(挂机升级突破!$DJ$6:$DJ$57,卡牌消耗!AT360)*INDEX(卡牌消耗!$B$8:$F$8,AR360)/$Q$4/50,0)*50</f>
        <v>56400</v>
      </c>
      <c r="AW360" s="14" t="str">
        <f>IF(AN360&gt;0,INDEX(挂机升级突破!$DT$4:$ED$4,AN360),"")</f>
        <v>红色基础材料</v>
      </c>
      <c r="AX360" s="14">
        <f>ROUND(INDEX(挂机升级突破!$DT$6:$ED$57,卡牌消耗!AT360,AN360)*INDEX(卡牌消耗!$B$5:$F$5,AR360)/$Q$4/5,0)*5</f>
        <v>15</v>
      </c>
      <c r="AY360" s="14" t="str">
        <f>IF(AO360&gt;0,INDEX(挂机升级突破!$DT$4:$ED$4,AO360),"")</f>
        <v>灵玉</v>
      </c>
      <c r="AZ360" s="14">
        <f>IF(AO360&gt;0,ROUND(INDEX(挂机升级突破!$DT$6:$ED$57,卡牌消耗!AT360,AO360)*INDEX(卡牌消耗!$B$7:$F$7,AR360)/$Q$4,0),"")</f>
        <v>3</v>
      </c>
      <c r="BA360" s="106"/>
      <c r="BB360" s="197"/>
      <c r="BC360" s="197"/>
      <c r="BD360" s="197"/>
      <c r="BE360" s="197"/>
      <c r="BF360" s="197"/>
      <c r="BG360" s="197"/>
      <c r="BH360" s="197"/>
      <c r="BI360" s="197"/>
      <c r="BJ360" s="197"/>
      <c r="BK360" s="197"/>
      <c r="BL360" s="104">
        <v>356</v>
      </c>
      <c r="BM360" s="14">
        <f t="shared" si="350"/>
        <v>18</v>
      </c>
      <c r="BN360" s="14">
        <f>INDEX(挂机升级突破!$EI$7:$EI$26,BS360)</f>
        <v>5</v>
      </c>
      <c r="BO360" s="14">
        <f>INDEX(挂机升级突破!$EJ$7:$EJ$26,BS360)</f>
        <v>3</v>
      </c>
      <c r="BP360" s="14">
        <f t="shared" si="351"/>
        <v>2</v>
      </c>
      <c r="BQ360" s="14">
        <f>INDEX(挂机升级突破!$EH$7:$EH$26,卡牌消耗!BS360)</f>
        <v>110</v>
      </c>
      <c r="BR360" s="14" t="str">
        <f t="shared" si="352"/>
        <v>噬日</v>
      </c>
      <c r="BS360" s="14">
        <f t="shared" si="353"/>
        <v>16</v>
      </c>
      <c r="BT360" s="14" t="str">
        <f t="shared" si="354"/>
        <v>噬日16突</v>
      </c>
      <c r="BU360" s="14" t="str">
        <f>IF(BN360&gt;0,INDEX(挂机升级突破!$ER$5:$EV$5,卡牌消耗!BN360),"")</f>
        <v>金币</v>
      </c>
      <c r="BV360" s="14">
        <f>IF(BN360&gt;0,ROUND(INDEX(挂机升级突破!$EV$7:$EV$26,卡牌消耗!BS360)*INDEX(卡牌消耗!$B$8:$F$8,BP360)/$Q$4/500,0)*500,"")</f>
        <v>56500</v>
      </c>
      <c r="BW360" s="14" t="str">
        <f>IF(BO360&gt;0,INDEX(挂机升级突破!$ER$5:$EV$5,卡牌消耗!BO360),"")</f>
        <v>银母</v>
      </c>
      <c r="BX360" s="14">
        <f>IF(BO360&gt;0,ROUND(INDEX(挂机升级突破!$ER$7:$EU$26,卡牌消耗!BS360,卡牌消耗!BO360)*INDEX($B$6:$F$6,BP360)/$Q$4/5,0)*5,"")</f>
        <v>75</v>
      </c>
      <c r="BY360" s="193"/>
      <c r="BZ360" s="193"/>
      <c r="CA360" s="106"/>
      <c r="CS360" s="171"/>
      <c r="CT360" s="171"/>
      <c r="CU360" s="171"/>
    </row>
    <row r="361" spans="8:99" ht="16.5" x14ac:dyDescent="0.2">
      <c r="H361" s="15"/>
      <c r="I361" s="15"/>
      <c r="J361" s="15"/>
      <c r="K361" s="15"/>
      <c r="L361" s="15"/>
      <c r="M361" s="15"/>
      <c r="N361" s="15"/>
      <c r="O361" s="137"/>
      <c r="P361" s="141"/>
      <c r="Q361" s="141"/>
      <c r="R361" s="141"/>
      <c r="S361" s="141"/>
      <c r="T361" s="141"/>
      <c r="U361" s="141"/>
      <c r="V361" s="141"/>
      <c r="W361" s="141"/>
      <c r="X361" s="141"/>
      <c r="Y361" s="141"/>
      <c r="Z361" s="141"/>
      <c r="AA361" s="194"/>
      <c r="AB361" s="194"/>
      <c r="AC361" s="194"/>
      <c r="AD361" s="194"/>
      <c r="AE361" s="194"/>
      <c r="AF361" s="194"/>
      <c r="AG361" s="197"/>
      <c r="AH361" s="194"/>
      <c r="AI361" s="194"/>
      <c r="AJ361" s="194"/>
      <c r="AK361" s="104">
        <v>357</v>
      </c>
      <c r="AL361" s="14">
        <f t="shared" si="345"/>
        <v>7</v>
      </c>
      <c r="AM361" s="14">
        <f>INDEX(挂机升级突破!DQ$6:DQ$57,卡牌消耗!$AT361)</f>
        <v>11</v>
      </c>
      <c r="AN361" s="14">
        <f>INDEX(挂机升级突破!DR$6:DR$57,卡牌消耗!$AT361)</f>
        <v>5</v>
      </c>
      <c r="AO361" s="14">
        <f>INDEX(挂机升级突破!DS$6:DS$57,卡牌消耗!$AT361)</f>
        <v>10</v>
      </c>
      <c r="AP361" s="14">
        <f>INDEX(挂机升级突破!$DP$6:$DP$57,卡牌消耗!AT361)</f>
        <v>130</v>
      </c>
      <c r="AQ361" s="14" t="str">
        <f t="shared" si="346"/>
        <v>天使缇娜</v>
      </c>
      <c r="AR361" s="14">
        <f t="shared" si="347"/>
        <v>4</v>
      </c>
      <c r="AS361" s="14" t="str">
        <f t="shared" si="348"/>
        <v>天使缇娜魂火-45</v>
      </c>
      <c r="AT361" s="14">
        <f t="shared" si="349"/>
        <v>45</v>
      </c>
      <c r="AU361" s="14" t="str">
        <f>IF(AM361&gt;0,INDEX(挂机升级突破!$DT$4:$ED$4,AM361),"")</f>
        <v>金币</v>
      </c>
      <c r="AV361" s="14">
        <f>ROUND(INDEX(挂机升级突破!$DJ$6:$DJ$57,卡牌消耗!AT361)*INDEX(卡牌消耗!$B$8:$F$8,AR361)/$Q$4/50,0)*50</f>
        <v>56400</v>
      </c>
      <c r="AW361" s="14" t="str">
        <f>IF(AN361&gt;0,INDEX(挂机升级突破!$DT$4:$ED$4,AN361),"")</f>
        <v>红色基础材料</v>
      </c>
      <c r="AX361" s="14">
        <f>ROUND(INDEX(挂机升级突破!$DT$6:$ED$57,卡牌消耗!AT361,AN361)*INDEX(卡牌消耗!$B$5:$F$5,AR361)/$Q$4/5,0)*5</f>
        <v>15</v>
      </c>
      <c r="AY361" s="14" t="str">
        <f>IF(AO361&gt;0,INDEX(挂机升级突破!$DT$4:$ED$4,AO361),"")</f>
        <v>灵玉</v>
      </c>
      <c r="AZ361" s="14">
        <f>IF(AO361&gt;0,ROUND(INDEX(挂机升级突破!$DT$6:$ED$57,卡牌消耗!AT361,AO361)*INDEX(卡牌消耗!$B$7:$F$7,AR361)/$Q$4,0),"")</f>
        <v>3</v>
      </c>
      <c r="BA361" s="106"/>
      <c r="BB361" s="197"/>
      <c r="BC361" s="197"/>
      <c r="BD361" s="197"/>
      <c r="BE361" s="197"/>
      <c r="BF361" s="197"/>
      <c r="BG361" s="197"/>
      <c r="BH361" s="197"/>
      <c r="BI361" s="197"/>
      <c r="BJ361" s="197"/>
      <c r="BK361" s="197"/>
      <c r="BL361" s="104">
        <v>357</v>
      </c>
      <c r="BM361" s="14">
        <f t="shared" si="350"/>
        <v>18</v>
      </c>
      <c r="BN361" s="14">
        <f>INDEX(挂机升级突破!$EI$7:$EI$26,BS361)</f>
        <v>5</v>
      </c>
      <c r="BO361" s="14">
        <f>INDEX(挂机升级突破!$EJ$7:$EJ$26,BS361)</f>
        <v>4</v>
      </c>
      <c r="BP361" s="14">
        <f t="shared" si="351"/>
        <v>2</v>
      </c>
      <c r="BQ361" s="14">
        <f>INDEX(挂机升级突破!$EH$7:$EH$26,卡牌消耗!BS361)</f>
        <v>117</v>
      </c>
      <c r="BR361" s="14" t="str">
        <f t="shared" si="352"/>
        <v>噬日</v>
      </c>
      <c r="BS361" s="14">
        <f t="shared" si="353"/>
        <v>17</v>
      </c>
      <c r="BT361" s="14" t="str">
        <f t="shared" si="354"/>
        <v>噬日17突</v>
      </c>
      <c r="BU361" s="14" t="str">
        <f>IF(BN361&gt;0,INDEX(挂机升级突破!$ER$5:$EV$5,卡牌消耗!BN361),"")</f>
        <v>金币</v>
      </c>
      <c r="BV361" s="14">
        <f>IF(BN361&gt;0,ROUND(INDEX(挂机升级突破!$EV$7:$EV$26,卡牌消耗!BS361)*INDEX(卡牌消耗!$B$8:$F$8,BP361)/$Q$4/500,0)*500,"")</f>
        <v>56500</v>
      </c>
      <c r="BW361" s="14" t="str">
        <f>IF(BO361&gt;0,INDEX(挂机升级突破!$ER$5:$EV$5,卡牌消耗!BO361),"")</f>
        <v>铀金</v>
      </c>
      <c r="BX361" s="14">
        <f>IF(BO361&gt;0,ROUND(INDEX(挂机升级突破!$ER$7:$EU$26,卡牌消耗!BS361,卡牌消耗!BO361)*INDEX($B$6:$F$6,BP361)/$Q$4/5,0)*5,"")</f>
        <v>15</v>
      </c>
      <c r="BY361" s="193"/>
      <c r="BZ361" s="193"/>
      <c r="CA361" s="106"/>
      <c r="CS361" s="171"/>
      <c r="CT361" s="171"/>
      <c r="CU361" s="171"/>
    </row>
    <row r="362" spans="8:99" ht="16.5" x14ac:dyDescent="0.2">
      <c r="H362" s="15"/>
      <c r="I362" s="15"/>
      <c r="J362" s="15"/>
      <c r="K362" s="15"/>
      <c r="L362" s="15"/>
      <c r="M362" s="15"/>
      <c r="N362" s="15"/>
      <c r="O362" s="137"/>
      <c r="P362" s="141"/>
      <c r="Q362" s="141"/>
      <c r="R362" s="141"/>
      <c r="S362" s="141"/>
      <c r="T362" s="141"/>
      <c r="U362" s="141"/>
      <c r="V362" s="141"/>
      <c r="W362" s="141"/>
      <c r="X362" s="141"/>
      <c r="Y362" s="141"/>
      <c r="Z362" s="141"/>
      <c r="AA362" s="194"/>
      <c r="AB362" s="194"/>
      <c r="AC362" s="194"/>
      <c r="AD362" s="194"/>
      <c r="AE362" s="194"/>
      <c r="AF362" s="194"/>
      <c r="AG362" s="197"/>
      <c r="AH362" s="194"/>
      <c r="AI362" s="194"/>
      <c r="AJ362" s="194"/>
      <c r="AK362" s="104">
        <v>358</v>
      </c>
      <c r="AL362" s="14">
        <f t="shared" si="345"/>
        <v>7</v>
      </c>
      <c r="AM362" s="14">
        <f>INDEX(挂机升级突破!DQ$6:DQ$57,卡牌消耗!$AT362)</f>
        <v>11</v>
      </c>
      <c r="AN362" s="14">
        <f>INDEX(挂机升级突破!DR$6:DR$57,卡牌消耗!$AT362)</f>
        <v>5</v>
      </c>
      <c r="AO362" s="14">
        <f>INDEX(挂机升级突破!DS$6:DS$57,卡牌消耗!$AT362)</f>
        <v>10</v>
      </c>
      <c r="AP362" s="14">
        <f>INDEX(挂机升级突破!$DP$6:$DP$57,卡牌消耗!AT362)</f>
        <v>133</v>
      </c>
      <c r="AQ362" s="14" t="str">
        <f t="shared" si="346"/>
        <v>天使缇娜</v>
      </c>
      <c r="AR362" s="14">
        <f t="shared" si="347"/>
        <v>4</v>
      </c>
      <c r="AS362" s="14" t="str">
        <f t="shared" si="348"/>
        <v>天使缇娜魂火-46</v>
      </c>
      <c r="AT362" s="14">
        <f t="shared" si="349"/>
        <v>46</v>
      </c>
      <c r="AU362" s="14" t="str">
        <f>IF(AM362&gt;0,INDEX(挂机升级突破!$DT$4:$ED$4,AM362),"")</f>
        <v>金币</v>
      </c>
      <c r="AV362" s="14">
        <f>ROUND(INDEX(挂机升级突破!$DJ$6:$DJ$57,卡牌消耗!AT362)*INDEX(卡牌消耗!$B$8:$F$8,AR362)/$Q$4/50,0)*50</f>
        <v>60450</v>
      </c>
      <c r="AW362" s="14" t="str">
        <f>IF(AN362&gt;0,INDEX(挂机升级突破!$DT$4:$ED$4,AN362),"")</f>
        <v>红色基础材料</v>
      </c>
      <c r="AX362" s="14">
        <f>ROUND(INDEX(挂机升级突破!$DT$6:$ED$57,卡牌消耗!AT362,AN362)*INDEX(卡牌消耗!$B$5:$F$5,AR362)/$Q$4/5,0)*5</f>
        <v>15</v>
      </c>
      <c r="AY362" s="14" t="str">
        <f>IF(AO362&gt;0,INDEX(挂机升级突破!$DT$4:$ED$4,AO362),"")</f>
        <v>灵玉</v>
      </c>
      <c r="AZ362" s="14">
        <f>IF(AO362&gt;0,ROUND(INDEX(挂机升级突破!$DT$6:$ED$57,卡牌消耗!AT362,AO362)*INDEX(卡牌消耗!$B$7:$F$7,AR362)/$Q$4,0),"")</f>
        <v>3</v>
      </c>
      <c r="BA362" s="106"/>
      <c r="BB362" s="197"/>
      <c r="BC362" s="197"/>
      <c r="BD362" s="197"/>
      <c r="BE362" s="197"/>
      <c r="BF362" s="197"/>
      <c r="BG362" s="197"/>
      <c r="BH362" s="197"/>
      <c r="BI362" s="197"/>
      <c r="BJ362" s="197"/>
      <c r="BK362" s="197"/>
      <c r="BL362" s="104">
        <v>358</v>
      </c>
      <c r="BM362" s="14">
        <f t="shared" si="350"/>
        <v>18</v>
      </c>
      <c r="BN362" s="14">
        <f>INDEX(挂机升级突破!$EI$7:$EI$26,BS362)</f>
        <v>5</v>
      </c>
      <c r="BO362" s="14">
        <f>INDEX(挂机升级突破!$EJ$7:$EJ$26,BS362)</f>
        <v>4</v>
      </c>
      <c r="BP362" s="14">
        <f t="shared" si="351"/>
        <v>2</v>
      </c>
      <c r="BQ362" s="14">
        <f>INDEX(挂机升级突破!$EH$7:$EH$26,卡牌消耗!BS362)</f>
        <v>125</v>
      </c>
      <c r="BR362" s="14" t="str">
        <f t="shared" si="352"/>
        <v>噬日</v>
      </c>
      <c r="BS362" s="14">
        <f t="shared" si="353"/>
        <v>18</v>
      </c>
      <c r="BT362" s="14" t="str">
        <f t="shared" si="354"/>
        <v>噬日18突</v>
      </c>
      <c r="BU362" s="14" t="str">
        <f>IF(BN362&gt;0,INDEX(挂机升级突破!$ER$5:$EV$5,卡牌消耗!BN362),"")</f>
        <v>金币</v>
      </c>
      <c r="BV362" s="14">
        <f>IF(BN362&gt;0,ROUND(INDEX(挂机升级突破!$EV$7:$EV$26,卡牌消耗!BS362)*INDEX(卡牌消耗!$B$8:$F$8,BP362)/$Q$4/500,0)*500,"")</f>
        <v>75000</v>
      </c>
      <c r="BW362" s="14" t="str">
        <f>IF(BO362&gt;0,INDEX(挂机升级突破!$ER$5:$EV$5,卡牌消耗!BO362),"")</f>
        <v>铀金</v>
      </c>
      <c r="BX362" s="14">
        <f>IF(BO362&gt;0,ROUND(INDEX(挂机升级突破!$ER$7:$EU$26,卡牌消耗!BS362,卡牌消耗!BO362)*INDEX($B$6:$F$6,BP362)/$Q$4/5,0)*5,"")</f>
        <v>20</v>
      </c>
      <c r="BY362" s="193"/>
      <c r="BZ362" s="193"/>
      <c r="CA362" s="106"/>
      <c r="CS362" s="171"/>
      <c r="CT362" s="171"/>
      <c r="CU362" s="171"/>
    </row>
    <row r="363" spans="8:99" ht="16.5" x14ac:dyDescent="0.2">
      <c r="H363" s="15"/>
      <c r="I363" s="15"/>
      <c r="J363" s="15"/>
      <c r="K363" s="15"/>
      <c r="L363" s="15"/>
      <c r="M363" s="15"/>
      <c r="N363" s="15"/>
      <c r="O363" s="137"/>
      <c r="P363" s="141"/>
      <c r="Q363" s="141"/>
      <c r="R363" s="141"/>
      <c r="S363" s="141"/>
      <c r="T363" s="141"/>
      <c r="U363" s="141"/>
      <c r="V363" s="141"/>
      <c r="W363" s="141"/>
      <c r="X363" s="141"/>
      <c r="Y363" s="141"/>
      <c r="Z363" s="141"/>
      <c r="AA363" s="194"/>
      <c r="AB363" s="194"/>
      <c r="AC363" s="194"/>
      <c r="AD363" s="194"/>
      <c r="AE363" s="194"/>
      <c r="AF363" s="194"/>
      <c r="AG363" s="197"/>
      <c r="AH363" s="194"/>
      <c r="AI363" s="194"/>
      <c r="AJ363" s="194"/>
      <c r="AK363" s="104">
        <v>359</v>
      </c>
      <c r="AL363" s="14">
        <f t="shared" si="345"/>
        <v>7</v>
      </c>
      <c r="AM363" s="14">
        <f>INDEX(挂机升级突破!DQ$6:DQ$57,卡牌消耗!$AT363)</f>
        <v>11</v>
      </c>
      <c r="AN363" s="14">
        <f>INDEX(挂机升级突破!DR$6:DR$57,卡牌消耗!$AT363)</f>
        <v>5</v>
      </c>
      <c r="AO363" s="14">
        <f>INDEX(挂机升级突破!DS$6:DS$57,卡牌消耗!$AT363)</f>
        <v>10</v>
      </c>
      <c r="AP363" s="14">
        <f>INDEX(挂机升级突破!$DP$6:$DP$57,卡牌消耗!AT363)</f>
        <v>135</v>
      </c>
      <c r="AQ363" s="14" t="str">
        <f t="shared" si="346"/>
        <v>天使缇娜</v>
      </c>
      <c r="AR363" s="14">
        <f t="shared" si="347"/>
        <v>4</v>
      </c>
      <c r="AS363" s="14" t="str">
        <f t="shared" si="348"/>
        <v>天使缇娜魂火-47</v>
      </c>
      <c r="AT363" s="14">
        <f t="shared" si="349"/>
        <v>47</v>
      </c>
      <c r="AU363" s="14" t="str">
        <f>IF(AM363&gt;0,INDEX(挂机升级突破!$DT$4:$ED$4,AM363),"")</f>
        <v>金币</v>
      </c>
      <c r="AV363" s="14">
        <f>ROUND(INDEX(挂机升级突破!$DJ$6:$DJ$57,卡牌消耗!AT363)*INDEX(卡牌消耗!$B$8:$F$8,AR363)/$Q$4/50,0)*50</f>
        <v>123100</v>
      </c>
      <c r="AW363" s="14" t="str">
        <f>IF(AN363&gt;0,INDEX(挂机升级突破!$DT$4:$ED$4,AN363),"")</f>
        <v>红色基础材料</v>
      </c>
      <c r="AX363" s="14">
        <f>ROUND(INDEX(挂机升级突破!$DT$6:$ED$57,卡牌消耗!AT363,AN363)*INDEX(卡牌消耗!$B$5:$F$5,AR363)/$Q$4/5,0)*5</f>
        <v>15</v>
      </c>
      <c r="AY363" s="14" t="str">
        <f>IF(AO363&gt;0,INDEX(挂机升级突破!$DT$4:$ED$4,AO363),"")</f>
        <v>灵玉</v>
      </c>
      <c r="AZ363" s="14">
        <f>IF(AO363&gt;0,ROUND(INDEX(挂机升级突破!$DT$6:$ED$57,卡牌消耗!AT363,AO363)*INDEX(卡牌消耗!$B$7:$F$7,AR363)/$Q$4,0),"")</f>
        <v>3</v>
      </c>
      <c r="BA363" s="106"/>
      <c r="BB363" s="197"/>
      <c r="BC363" s="197"/>
      <c r="BD363" s="197"/>
      <c r="BE363" s="197"/>
      <c r="BF363" s="197"/>
      <c r="BG363" s="197"/>
      <c r="BH363" s="197"/>
      <c r="BI363" s="197"/>
      <c r="BJ363" s="197"/>
      <c r="BK363" s="197"/>
      <c r="BL363" s="104">
        <v>359</v>
      </c>
      <c r="BM363" s="14">
        <f t="shared" si="350"/>
        <v>18</v>
      </c>
      <c r="BN363" s="14">
        <f>INDEX(挂机升级突破!$EI$7:$EI$26,BS363)</f>
        <v>5</v>
      </c>
      <c r="BO363" s="14">
        <f>INDEX(挂机升级突破!$EJ$7:$EJ$26,BS363)</f>
        <v>4</v>
      </c>
      <c r="BP363" s="14">
        <f t="shared" si="351"/>
        <v>2</v>
      </c>
      <c r="BQ363" s="14">
        <f>INDEX(挂机升级突破!$EH$7:$EH$26,卡牌消耗!BS363)</f>
        <v>132</v>
      </c>
      <c r="BR363" s="14" t="str">
        <f t="shared" si="352"/>
        <v>噬日</v>
      </c>
      <c r="BS363" s="14">
        <f t="shared" si="353"/>
        <v>19</v>
      </c>
      <c r="BT363" s="14" t="str">
        <f t="shared" si="354"/>
        <v>噬日19突</v>
      </c>
      <c r="BU363" s="14" t="str">
        <f>IF(BN363&gt;0,INDEX(挂机升级突破!$ER$5:$EV$5,卡牌消耗!BN363),"")</f>
        <v>金币</v>
      </c>
      <c r="BV363" s="14">
        <f>IF(BN363&gt;0,ROUND(INDEX(挂机升级突破!$EV$7:$EV$26,卡牌消耗!BS363)*INDEX(卡牌消耗!$B$8:$F$8,BP363)/$Q$4/500,0)*500,"")</f>
        <v>191500</v>
      </c>
      <c r="BW363" s="14" t="str">
        <f>IF(BO363&gt;0,INDEX(挂机升级突破!$ER$5:$EV$5,卡牌消耗!BO363),"")</f>
        <v>铀金</v>
      </c>
      <c r="BX363" s="14">
        <f>IF(BO363&gt;0,ROUND(INDEX(挂机升级突破!$ER$7:$EU$26,卡牌消耗!BS363,卡牌消耗!BO363)*INDEX($B$6:$F$6,BP363)/$Q$4/5,0)*5,"")</f>
        <v>25</v>
      </c>
      <c r="BY363" s="193"/>
      <c r="BZ363" s="193"/>
      <c r="CA363" s="106"/>
      <c r="CS363" s="171"/>
      <c r="CT363" s="171"/>
      <c r="CU363" s="171"/>
    </row>
    <row r="364" spans="8:99" ht="16.5" x14ac:dyDescent="0.2">
      <c r="H364" s="15"/>
      <c r="I364" s="15"/>
      <c r="J364" s="15"/>
      <c r="K364" s="15"/>
      <c r="L364" s="15"/>
      <c r="M364" s="15"/>
      <c r="N364" s="15"/>
      <c r="O364" s="137"/>
      <c r="P364" s="141"/>
      <c r="Q364" s="141"/>
      <c r="R364" s="141"/>
      <c r="S364" s="141"/>
      <c r="T364" s="141"/>
      <c r="U364" s="141"/>
      <c r="V364" s="141"/>
      <c r="W364" s="141"/>
      <c r="X364" s="141"/>
      <c r="Y364" s="141"/>
      <c r="Z364" s="141"/>
      <c r="AA364" s="194"/>
      <c r="AB364" s="194"/>
      <c r="AC364" s="194"/>
      <c r="AD364" s="194"/>
      <c r="AE364" s="194"/>
      <c r="AF364" s="194"/>
      <c r="AG364" s="197"/>
      <c r="AH364" s="194"/>
      <c r="AI364" s="194"/>
      <c r="AJ364" s="194"/>
      <c r="AK364" s="104">
        <v>360</v>
      </c>
      <c r="AL364" s="14">
        <f t="shared" si="345"/>
        <v>7</v>
      </c>
      <c r="AM364" s="14">
        <f>INDEX(挂机升级突破!DQ$6:DQ$57,卡牌消耗!$AT364)</f>
        <v>11</v>
      </c>
      <c r="AN364" s="14">
        <f>INDEX(挂机升级突破!DR$6:DR$57,卡牌消耗!$AT364)</f>
        <v>5</v>
      </c>
      <c r="AO364" s="14">
        <f>INDEX(挂机升级突破!DS$6:DS$57,卡牌消耗!$AT364)</f>
        <v>10</v>
      </c>
      <c r="AP364" s="14">
        <f>INDEX(挂机升级突破!$DP$6:$DP$57,卡牌消耗!AT364)</f>
        <v>138</v>
      </c>
      <c r="AQ364" s="14" t="str">
        <f t="shared" si="346"/>
        <v>天使缇娜</v>
      </c>
      <c r="AR364" s="14">
        <f t="shared" si="347"/>
        <v>4</v>
      </c>
      <c r="AS364" s="14" t="str">
        <f t="shared" si="348"/>
        <v>天使缇娜魂火-48</v>
      </c>
      <c r="AT364" s="14">
        <f t="shared" si="349"/>
        <v>48</v>
      </c>
      <c r="AU364" s="14" t="str">
        <f>IF(AM364&gt;0,INDEX(挂机升级突破!$DT$4:$ED$4,AM364),"")</f>
        <v>金币</v>
      </c>
      <c r="AV364" s="14">
        <f>ROUND(INDEX(挂机升级突破!$DJ$6:$DJ$57,卡牌消耗!AT364)*INDEX(卡牌消耗!$B$8:$F$8,AR364)/$Q$4/50,0)*50</f>
        <v>123100</v>
      </c>
      <c r="AW364" s="14" t="str">
        <f>IF(AN364&gt;0,INDEX(挂机升级突破!$DT$4:$ED$4,AN364),"")</f>
        <v>红色基础材料</v>
      </c>
      <c r="AX364" s="14">
        <f>ROUND(INDEX(挂机升级突破!$DT$6:$ED$57,卡牌消耗!AT364,AN364)*INDEX(卡牌消耗!$B$5:$F$5,AR364)/$Q$4/5,0)*5</f>
        <v>15</v>
      </c>
      <c r="AY364" s="14" t="str">
        <f>IF(AO364&gt;0,INDEX(挂机升级突破!$DT$4:$ED$4,AO364),"")</f>
        <v>灵玉</v>
      </c>
      <c r="AZ364" s="14">
        <f>IF(AO364&gt;0,ROUND(INDEX(挂机升级突破!$DT$6:$ED$57,卡牌消耗!AT364,AO364)*INDEX(卡牌消耗!$B$7:$F$7,AR364)/$Q$4,0),"")</f>
        <v>3</v>
      </c>
      <c r="BA364" s="106"/>
      <c r="BB364" s="197"/>
      <c r="BC364" s="197"/>
      <c r="BD364" s="197"/>
      <c r="BE364" s="197"/>
      <c r="BF364" s="197"/>
      <c r="BG364" s="197"/>
      <c r="BH364" s="197"/>
      <c r="BI364" s="197"/>
      <c r="BJ364" s="197"/>
      <c r="BK364" s="197"/>
      <c r="BL364" s="104">
        <v>360</v>
      </c>
      <c r="BM364" s="14">
        <f t="shared" si="350"/>
        <v>18</v>
      </c>
      <c r="BN364" s="14">
        <f>INDEX(挂机升级突破!$EI$7:$EI$26,BS364)</f>
        <v>5</v>
      </c>
      <c r="BO364" s="14">
        <f>INDEX(挂机升级突破!$EJ$7:$EJ$26,BS364)</f>
        <v>4</v>
      </c>
      <c r="BP364" s="14">
        <f t="shared" si="351"/>
        <v>2</v>
      </c>
      <c r="BQ364" s="14">
        <f>INDEX(挂机升级突破!$EH$7:$EH$26,卡牌消耗!BS364)</f>
        <v>140</v>
      </c>
      <c r="BR364" s="14" t="str">
        <f t="shared" si="352"/>
        <v>噬日</v>
      </c>
      <c r="BS364" s="14">
        <f t="shared" si="353"/>
        <v>20</v>
      </c>
      <c r="BT364" s="14" t="str">
        <f t="shared" si="354"/>
        <v>噬日20突</v>
      </c>
      <c r="BU364" s="14" t="str">
        <f>IF(BN364&gt;0,INDEX(挂机升级突破!$ER$5:$EV$5,卡牌消耗!BN364),"")</f>
        <v>金币</v>
      </c>
      <c r="BV364" s="14">
        <f>IF(BN364&gt;0,ROUND(INDEX(挂机升级突破!$EV$7:$EV$26,卡牌消耗!BS364)*INDEX(卡牌消耗!$B$8:$F$8,BP364)/$Q$4/500,0)*500,"")</f>
        <v>287000</v>
      </c>
      <c r="BW364" s="14" t="str">
        <f>IF(BO364&gt;0,INDEX(挂机升级突破!$ER$5:$EV$5,卡牌消耗!BO364),"")</f>
        <v>铀金</v>
      </c>
      <c r="BX364" s="14">
        <f>IF(BO364&gt;0,ROUND(INDEX(挂机升级突破!$ER$7:$EU$26,卡牌消耗!BS364,卡牌消耗!BO364)*INDEX($B$6:$F$6,BP364)/$Q$4/5,0)*5,"")</f>
        <v>35</v>
      </c>
      <c r="BY364" s="193"/>
      <c r="BZ364" s="193"/>
      <c r="CA364" s="106"/>
      <c r="CS364" s="171"/>
      <c r="CT364" s="171"/>
      <c r="CU364" s="171"/>
    </row>
    <row r="365" spans="8:99" ht="16.5" x14ac:dyDescent="0.2">
      <c r="H365" s="15"/>
      <c r="I365" s="15"/>
      <c r="J365" s="15"/>
      <c r="K365" s="15"/>
      <c r="L365" s="15"/>
      <c r="M365" s="15"/>
      <c r="N365" s="15"/>
      <c r="O365" s="137"/>
      <c r="P365" s="141"/>
      <c r="Q365" s="141"/>
      <c r="R365" s="141"/>
      <c r="S365" s="141"/>
      <c r="T365" s="141"/>
      <c r="U365" s="141"/>
      <c r="V365" s="141"/>
      <c r="W365" s="141"/>
      <c r="X365" s="141"/>
      <c r="Y365" s="141"/>
      <c r="Z365" s="141"/>
      <c r="AA365" s="194"/>
      <c r="AB365" s="194"/>
      <c r="AC365" s="194"/>
      <c r="AD365" s="194"/>
      <c r="AE365" s="194"/>
      <c r="AF365" s="194"/>
      <c r="AG365" s="197"/>
      <c r="AH365" s="194"/>
      <c r="AI365" s="194"/>
      <c r="AJ365" s="194"/>
      <c r="AK365" s="104">
        <v>361</v>
      </c>
      <c r="AL365" s="14">
        <f t="shared" si="345"/>
        <v>7</v>
      </c>
      <c r="AM365" s="14">
        <f>INDEX(挂机升级突破!DQ$6:DQ$57,卡牌消耗!$AT365)</f>
        <v>11</v>
      </c>
      <c r="AN365" s="14">
        <f>INDEX(挂机升级突破!DR$6:DR$57,卡牌消耗!$AT365)</f>
        <v>5</v>
      </c>
      <c r="AO365" s="14">
        <f>INDEX(挂机升级突破!DS$6:DS$57,卡牌消耗!$AT365)</f>
        <v>10</v>
      </c>
      <c r="AP365" s="14">
        <f>INDEX(挂机升级突破!$DP$6:$DP$57,卡牌消耗!AT365)</f>
        <v>140</v>
      </c>
      <c r="AQ365" s="14" t="str">
        <f t="shared" si="346"/>
        <v>天使缇娜</v>
      </c>
      <c r="AR365" s="14">
        <f t="shared" si="347"/>
        <v>4</v>
      </c>
      <c r="AS365" s="14" t="str">
        <f t="shared" si="348"/>
        <v>天使缇娜魂火-49</v>
      </c>
      <c r="AT365" s="14">
        <f t="shared" si="349"/>
        <v>49</v>
      </c>
      <c r="AU365" s="14" t="str">
        <f>IF(AM365&gt;0,INDEX(挂机升级突破!$DT$4:$ED$4,AM365),"")</f>
        <v>金币</v>
      </c>
      <c r="AV365" s="14">
        <f>ROUND(INDEX(挂机升级突破!$DJ$6:$DJ$57,卡牌消耗!AT365)*INDEX(卡牌消耗!$B$8:$F$8,AR365)/$Q$4/50,0)*50</f>
        <v>123100</v>
      </c>
      <c r="AW365" s="14" t="str">
        <f>IF(AN365&gt;0,INDEX(挂机升级突破!$DT$4:$ED$4,AN365),"")</f>
        <v>红色基础材料</v>
      </c>
      <c r="AX365" s="14">
        <f>ROUND(INDEX(挂机升级突破!$DT$6:$ED$57,卡牌消耗!AT365,AN365)*INDEX(卡牌消耗!$B$5:$F$5,AR365)/$Q$4/5,0)*5</f>
        <v>15</v>
      </c>
      <c r="AY365" s="14" t="str">
        <f>IF(AO365&gt;0,INDEX(挂机升级突破!$DT$4:$ED$4,AO365),"")</f>
        <v>灵玉</v>
      </c>
      <c r="AZ365" s="14">
        <f>IF(AO365&gt;0,ROUND(INDEX(挂机升级突破!$DT$6:$ED$57,卡牌消耗!AT365,AO365)*INDEX(卡牌消耗!$B$7:$F$7,AR365)/$Q$4,0),"")</f>
        <v>3</v>
      </c>
      <c r="BA365" s="106"/>
      <c r="BB365" s="197"/>
      <c r="BC365" s="197"/>
      <c r="BD365" s="197"/>
      <c r="BE365" s="197"/>
      <c r="BF365" s="197"/>
      <c r="BG365" s="197"/>
      <c r="BH365" s="197"/>
      <c r="BI365" s="197"/>
      <c r="BJ365" s="197"/>
      <c r="BK365" s="197"/>
      <c r="BL365" s="104">
        <v>361</v>
      </c>
      <c r="BM365" s="14">
        <f t="shared" si="350"/>
        <v>19</v>
      </c>
      <c r="BN365" s="14">
        <f>INDEX(挂机升级突破!$EI$7:$EI$26,BS365)</f>
        <v>0</v>
      </c>
      <c r="BO365" s="14">
        <f>INDEX(挂机升级突破!$EJ$7:$EJ$26,BS365)</f>
        <v>0</v>
      </c>
      <c r="BP365" s="14">
        <f t="shared" si="351"/>
        <v>2</v>
      </c>
      <c r="BQ365" s="14">
        <f>INDEX(挂机升级突破!$EH$7:$EH$26,卡牌消耗!BS365)</f>
        <v>1</v>
      </c>
      <c r="BR365" s="14" t="str">
        <f t="shared" si="352"/>
        <v>食火蜥</v>
      </c>
      <c r="BS365" s="14">
        <f t="shared" si="353"/>
        <v>1</v>
      </c>
      <c r="BT365" s="14" t="str">
        <f t="shared" si="354"/>
        <v>食火蜥1突</v>
      </c>
      <c r="BU365" s="14" t="str">
        <f>IF(BN365&gt;0,INDEX(挂机升级突破!$ER$5:$EV$5,卡牌消耗!BN365),"")</f>
        <v/>
      </c>
      <c r="BV365" s="14" t="str">
        <f>IF(BN365&gt;0,ROUND(INDEX(挂机升级突破!$EV$7:$EV$26,卡牌消耗!BS365)*INDEX(卡牌消耗!$B$8:$F$8,BP365)/$Q$4/500,0)*500,"")</f>
        <v/>
      </c>
      <c r="BW365" s="14" t="str">
        <f>IF(BO365&gt;0,INDEX(挂机升级突破!$ER$5:$EV$5,卡牌消耗!BO365),"")</f>
        <v/>
      </c>
      <c r="BX365" s="14" t="str">
        <f>IF(BO365&gt;0,ROUND(INDEX(挂机升级突破!$ER$7:$EU$26,卡牌消耗!BS365,卡牌消耗!BO365)*INDEX($B$6:$F$6,BP365)/$Q$4/5,0)*5,"")</f>
        <v/>
      </c>
      <c r="BY365" s="193"/>
      <c r="BZ365" s="193"/>
      <c r="CA365" s="106"/>
      <c r="CS365" s="171"/>
      <c r="CT365" s="171"/>
      <c r="CU365" s="171"/>
    </row>
    <row r="366" spans="8:99" ht="16.5" x14ac:dyDescent="0.2">
      <c r="H366" s="15"/>
      <c r="I366" s="15"/>
      <c r="J366" s="15"/>
      <c r="K366" s="15"/>
      <c r="L366" s="15"/>
      <c r="M366" s="15"/>
      <c r="N366" s="15"/>
      <c r="O366" s="137"/>
      <c r="P366" s="141"/>
      <c r="Q366" s="141"/>
      <c r="R366" s="141"/>
      <c r="S366" s="141"/>
      <c r="T366" s="141"/>
      <c r="U366" s="141"/>
      <c r="V366" s="141"/>
      <c r="W366" s="141"/>
      <c r="X366" s="141"/>
      <c r="Y366" s="141"/>
      <c r="Z366" s="141"/>
      <c r="AA366" s="194"/>
      <c r="AB366" s="194"/>
      <c r="AC366" s="194"/>
      <c r="AD366" s="194"/>
      <c r="AE366" s="194"/>
      <c r="AF366" s="194"/>
      <c r="AG366" s="197"/>
      <c r="AH366" s="194"/>
      <c r="AI366" s="194"/>
      <c r="AJ366" s="194"/>
      <c r="AK366" s="104">
        <v>362</v>
      </c>
      <c r="AL366" s="14">
        <f t="shared" si="345"/>
        <v>7</v>
      </c>
      <c r="AM366" s="14">
        <f>INDEX(挂机升级突破!DQ$6:DQ$57,卡牌消耗!$AT366)</f>
        <v>11</v>
      </c>
      <c r="AN366" s="14">
        <f>INDEX(挂机升级突破!DR$6:DR$57,卡牌消耗!$AT366)</f>
        <v>5</v>
      </c>
      <c r="AO366" s="14">
        <f>INDEX(挂机升级突破!DS$6:DS$57,卡牌消耗!$AT366)</f>
        <v>10</v>
      </c>
      <c r="AP366" s="14">
        <f>INDEX(挂机升级突破!$DP$6:$DP$57,卡牌消耗!AT366)</f>
        <v>143</v>
      </c>
      <c r="AQ366" s="14" t="str">
        <f t="shared" si="346"/>
        <v>天使缇娜</v>
      </c>
      <c r="AR366" s="14">
        <f t="shared" si="347"/>
        <v>4</v>
      </c>
      <c r="AS366" s="14" t="str">
        <f t="shared" si="348"/>
        <v>天使缇娜魂火-50</v>
      </c>
      <c r="AT366" s="14">
        <f t="shared" si="349"/>
        <v>50</v>
      </c>
      <c r="AU366" s="14" t="str">
        <f>IF(AM366&gt;0,INDEX(挂机升级突破!$DT$4:$ED$4,AM366),"")</f>
        <v>金币</v>
      </c>
      <c r="AV366" s="14">
        <f>ROUND(INDEX(挂机升级突破!$DJ$6:$DJ$57,卡牌消耗!AT366)*INDEX(卡牌消耗!$B$8:$F$8,AR366)/$Q$4/50,0)*50</f>
        <v>205150</v>
      </c>
      <c r="AW366" s="14" t="str">
        <f>IF(AN366&gt;0,INDEX(挂机升级突破!$DT$4:$ED$4,AN366),"")</f>
        <v>红色基础材料</v>
      </c>
      <c r="AX366" s="14">
        <f>ROUND(INDEX(挂机升级突破!$DT$6:$ED$57,卡牌消耗!AT366,AN366)*INDEX(卡牌消耗!$B$5:$F$5,AR366)/$Q$4/5,0)*5</f>
        <v>15</v>
      </c>
      <c r="AY366" s="14" t="str">
        <f>IF(AO366&gt;0,INDEX(挂机升级突破!$DT$4:$ED$4,AO366),"")</f>
        <v>灵玉</v>
      </c>
      <c r="AZ366" s="14">
        <f>IF(AO366&gt;0,ROUND(INDEX(挂机升级突破!$DT$6:$ED$57,卡牌消耗!AT366,AO366)*INDEX(卡牌消耗!$B$7:$F$7,AR366)/$Q$4,0),"")</f>
        <v>3</v>
      </c>
      <c r="BA366" s="106"/>
      <c r="BB366" s="197"/>
      <c r="BC366" s="197"/>
      <c r="BD366" s="197"/>
      <c r="BE366" s="197"/>
      <c r="BF366" s="197"/>
      <c r="BG366" s="197"/>
      <c r="BH366" s="197"/>
      <c r="BI366" s="197"/>
      <c r="BJ366" s="197"/>
      <c r="BK366" s="197"/>
      <c r="BL366" s="104">
        <v>362</v>
      </c>
      <c r="BM366" s="14">
        <f t="shared" si="350"/>
        <v>19</v>
      </c>
      <c r="BN366" s="14">
        <f>INDEX(挂机升级突破!$EI$7:$EI$26,BS366)</f>
        <v>5</v>
      </c>
      <c r="BO366" s="14">
        <f>INDEX(挂机升级突破!$EJ$7:$EJ$26,BS366)</f>
        <v>1</v>
      </c>
      <c r="BP366" s="14">
        <f t="shared" si="351"/>
        <v>2</v>
      </c>
      <c r="BQ366" s="14">
        <f>INDEX(挂机升级突破!$EH$7:$EH$26,卡牌消耗!BS366)</f>
        <v>5</v>
      </c>
      <c r="BR366" s="14" t="str">
        <f t="shared" si="352"/>
        <v>食火蜥</v>
      </c>
      <c r="BS366" s="14">
        <f t="shared" si="353"/>
        <v>2</v>
      </c>
      <c r="BT366" s="14" t="str">
        <f t="shared" si="354"/>
        <v>食火蜥2突</v>
      </c>
      <c r="BU366" s="14" t="str">
        <f>IF(BN366&gt;0,INDEX(挂机升级突破!$ER$5:$EV$5,卡牌消耗!BN366),"")</f>
        <v>金币</v>
      </c>
      <c r="BV366" s="14">
        <f>IF(BN366&gt;0,ROUND(INDEX(挂机升级突破!$EV$7:$EV$26,卡牌消耗!BS366)*INDEX(卡牌消耗!$B$8:$F$8,BP366)/$Q$4/500,0)*500,"")</f>
        <v>2000</v>
      </c>
      <c r="BW366" s="14" t="str">
        <f>IF(BO366&gt;0,INDEX(挂机升级突破!$ER$5:$EV$5,卡牌消耗!BO366),"")</f>
        <v>玄铁</v>
      </c>
      <c r="BX366" s="14">
        <f>IF(BO366&gt;0,ROUND(INDEX(挂机升级突破!$ER$7:$EU$26,卡牌消耗!BS366,卡牌消耗!BO366)*INDEX($B$6:$F$6,BP366)/$Q$4,0),"")</f>
        <v>1</v>
      </c>
      <c r="BY366" s="193"/>
      <c r="BZ366" s="193"/>
      <c r="CA366" s="106"/>
      <c r="CS366" s="171"/>
      <c r="CT366" s="171"/>
      <c r="CU366" s="171"/>
    </row>
    <row r="367" spans="8:99" ht="16.5" x14ac:dyDescent="0.2">
      <c r="H367" s="15"/>
      <c r="I367" s="15"/>
      <c r="J367" s="15"/>
      <c r="K367" s="15"/>
      <c r="L367" s="15"/>
      <c r="M367" s="15"/>
      <c r="N367" s="15"/>
      <c r="O367" s="137"/>
      <c r="P367" s="141"/>
      <c r="Q367" s="141"/>
      <c r="R367" s="141"/>
      <c r="S367" s="141"/>
      <c r="T367" s="141"/>
      <c r="U367" s="141"/>
      <c r="V367" s="141"/>
      <c r="W367" s="141"/>
      <c r="X367" s="141"/>
      <c r="Y367" s="141"/>
      <c r="Z367" s="141"/>
      <c r="AA367" s="194"/>
      <c r="AB367" s="194"/>
      <c r="AC367" s="194"/>
      <c r="AD367" s="194"/>
      <c r="AE367" s="194"/>
      <c r="AF367" s="194"/>
      <c r="AG367" s="197"/>
      <c r="AH367" s="194"/>
      <c r="AI367" s="194"/>
      <c r="AJ367" s="194"/>
      <c r="AK367" s="104">
        <v>363</v>
      </c>
      <c r="AL367" s="14">
        <f t="shared" si="345"/>
        <v>7</v>
      </c>
      <c r="AM367" s="14">
        <f>INDEX(挂机升级突破!DQ$6:DQ$57,卡牌消耗!$AT367)</f>
        <v>11</v>
      </c>
      <c r="AN367" s="14">
        <f>INDEX(挂机升级突破!DR$6:DR$57,卡牌消耗!$AT367)</f>
        <v>5</v>
      </c>
      <c r="AO367" s="14">
        <f>INDEX(挂机升级突破!DS$6:DS$57,卡牌消耗!$AT367)</f>
        <v>10</v>
      </c>
      <c r="AP367" s="14">
        <f>INDEX(挂机升级突破!$DP$6:$DP$57,卡牌消耗!AT367)</f>
        <v>145</v>
      </c>
      <c r="AQ367" s="14" t="str">
        <f t="shared" si="346"/>
        <v>天使缇娜</v>
      </c>
      <c r="AR367" s="14">
        <f t="shared" si="347"/>
        <v>4</v>
      </c>
      <c r="AS367" s="14" t="str">
        <f t="shared" si="348"/>
        <v>天使缇娜魂火-51</v>
      </c>
      <c r="AT367" s="14">
        <f t="shared" si="349"/>
        <v>51</v>
      </c>
      <c r="AU367" s="14" t="str">
        <f>IF(AM367&gt;0,INDEX(挂机升级突破!$DT$4:$ED$4,AM367),"")</f>
        <v>金币</v>
      </c>
      <c r="AV367" s="14">
        <f>ROUND(INDEX(挂机升级突破!$DJ$6:$DJ$57,卡牌消耗!AT367)*INDEX(卡牌消耗!$B$8:$F$8,AR367)/$Q$4/50,0)*50</f>
        <v>225650</v>
      </c>
      <c r="AW367" s="14" t="str">
        <f>IF(AN367&gt;0,INDEX(挂机升级突破!$DT$4:$ED$4,AN367),"")</f>
        <v>红色基础材料</v>
      </c>
      <c r="AX367" s="14">
        <f>ROUND(INDEX(挂机升级突破!$DT$6:$ED$57,卡牌消耗!AT367,AN367)*INDEX(卡牌消耗!$B$5:$F$5,AR367)/$Q$4/5,0)*5</f>
        <v>15</v>
      </c>
      <c r="AY367" s="14" t="str">
        <f>IF(AO367&gt;0,INDEX(挂机升级突破!$DT$4:$ED$4,AO367),"")</f>
        <v>灵玉</v>
      </c>
      <c r="AZ367" s="14">
        <f>IF(AO367&gt;0,ROUND(INDEX(挂机升级突破!$DT$6:$ED$57,卡牌消耗!AT367,AO367)*INDEX(卡牌消耗!$B$7:$F$7,AR367)/$Q$4,0),"")</f>
        <v>3</v>
      </c>
      <c r="BA367" s="106"/>
      <c r="BB367" s="197"/>
      <c r="BC367" s="197"/>
      <c r="BD367" s="197"/>
      <c r="BE367" s="197"/>
      <c r="BF367" s="197"/>
      <c r="BG367" s="197"/>
      <c r="BH367" s="197"/>
      <c r="BI367" s="197"/>
      <c r="BJ367" s="197"/>
      <c r="BK367" s="197"/>
      <c r="BL367" s="104">
        <v>363</v>
      </c>
      <c r="BM367" s="14">
        <f t="shared" si="350"/>
        <v>19</v>
      </c>
      <c r="BN367" s="14">
        <f>INDEX(挂机升级突破!$EI$7:$EI$26,BS367)</f>
        <v>5</v>
      </c>
      <c r="BO367" s="14">
        <f>INDEX(挂机升级突破!$EJ$7:$EJ$26,BS367)</f>
        <v>1</v>
      </c>
      <c r="BP367" s="14">
        <f t="shared" si="351"/>
        <v>2</v>
      </c>
      <c r="BQ367" s="14">
        <f>INDEX(挂机升级突破!$EH$7:$EH$26,卡牌消耗!BS367)</f>
        <v>15</v>
      </c>
      <c r="BR367" s="14" t="str">
        <f t="shared" si="352"/>
        <v>食火蜥</v>
      </c>
      <c r="BS367" s="14">
        <f t="shared" si="353"/>
        <v>3</v>
      </c>
      <c r="BT367" s="14" t="str">
        <f t="shared" si="354"/>
        <v>食火蜥3突</v>
      </c>
      <c r="BU367" s="14" t="str">
        <f>IF(BN367&gt;0,INDEX(挂机升级突破!$ER$5:$EV$5,卡牌消耗!BN367),"")</f>
        <v>金币</v>
      </c>
      <c r="BV367" s="14">
        <f>IF(BN367&gt;0,ROUND(INDEX(挂机升级突破!$EV$7:$EV$26,卡牌消耗!BS367)*INDEX(卡牌消耗!$B$8:$F$8,BP367)/$Q$4/500,0)*500,"")</f>
        <v>2000</v>
      </c>
      <c r="BW367" s="14" t="str">
        <f>IF(BO367&gt;0,INDEX(挂机升级突破!$ER$5:$EV$5,卡牌消耗!BO367),"")</f>
        <v>玄铁</v>
      </c>
      <c r="BX367" s="14">
        <f>IF(BO367&gt;0,ROUND(INDEX(挂机升级突破!$ER$7:$EU$26,卡牌消耗!BS367,卡牌消耗!BO367)*INDEX($B$6:$F$6,BP367)/$Q$4,0),"")</f>
        <v>4</v>
      </c>
      <c r="BY367" s="193"/>
      <c r="BZ367" s="193"/>
      <c r="CA367" s="106"/>
      <c r="CS367" s="171"/>
      <c r="CT367" s="171"/>
      <c r="CU367" s="171"/>
    </row>
    <row r="368" spans="8:99" ht="16.5" x14ac:dyDescent="0.2">
      <c r="H368" s="15"/>
      <c r="I368" s="15"/>
      <c r="J368" s="15"/>
      <c r="K368" s="15"/>
      <c r="L368" s="15"/>
      <c r="M368" s="15"/>
      <c r="N368" s="15"/>
      <c r="O368" s="137"/>
      <c r="P368" s="141"/>
      <c r="Q368" s="141"/>
      <c r="R368" s="141"/>
      <c r="S368" s="141"/>
      <c r="T368" s="141"/>
      <c r="U368" s="141"/>
      <c r="V368" s="141"/>
      <c r="W368" s="141"/>
      <c r="X368" s="141"/>
      <c r="Y368" s="141"/>
      <c r="Z368" s="141"/>
      <c r="AA368" s="194"/>
      <c r="AB368" s="194"/>
      <c r="AC368" s="194"/>
      <c r="AD368" s="194"/>
      <c r="AE368" s="194"/>
      <c r="AF368" s="194"/>
      <c r="AG368" s="197"/>
      <c r="AH368" s="194"/>
      <c r="AI368" s="194"/>
      <c r="AJ368" s="194"/>
      <c r="AK368" s="104">
        <v>364</v>
      </c>
      <c r="AL368" s="14">
        <f t="shared" si="345"/>
        <v>7</v>
      </c>
      <c r="AM368" s="14">
        <f>INDEX(挂机升级突破!DQ$6:DQ$57,卡牌消耗!$AT368)</f>
        <v>11</v>
      </c>
      <c r="AN368" s="14">
        <f>INDEX(挂机升级突破!DR$6:DR$57,卡牌消耗!$AT368)</f>
        <v>5</v>
      </c>
      <c r="AO368" s="14">
        <f>INDEX(挂机升级突破!DS$6:DS$57,卡牌消耗!$AT368)</f>
        <v>10</v>
      </c>
      <c r="AP368" s="14">
        <f>INDEX(挂机升级突破!$DP$6:$DP$57,卡牌消耗!AT368)</f>
        <v>148</v>
      </c>
      <c r="AQ368" s="14" t="str">
        <f t="shared" si="346"/>
        <v>天使缇娜</v>
      </c>
      <c r="AR368" s="14">
        <f t="shared" si="347"/>
        <v>4</v>
      </c>
      <c r="AS368" s="14" t="str">
        <f t="shared" si="348"/>
        <v>天使缇娜魂火-52</v>
      </c>
      <c r="AT368" s="14">
        <f t="shared" si="349"/>
        <v>52</v>
      </c>
      <c r="AU368" s="14" t="str">
        <f>IF(AM368&gt;0,INDEX(挂机升级突破!$DT$4:$ED$4,AM368),"")</f>
        <v>金币</v>
      </c>
      <c r="AV368" s="14">
        <f>ROUND(INDEX(挂机升级突破!$DJ$6:$DJ$57,卡牌消耗!AT368)*INDEX(卡牌消耗!$B$8:$F$8,AR368)/$Q$4/50,0)*50</f>
        <v>225650</v>
      </c>
      <c r="AW368" s="14" t="str">
        <f>IF(AN368&gt;0,INDEX(挂机升级突破!$DT$4:$ED$4,AN368),"")</f>
        <v>红色基础材料</v>
      </c>
      <c r="AX368" s="14">
        <f>ROUND(INDEX(挂机升级突破!$DT$6:$ED$57,卡牌消耗!AT368,AN368)*INDEX(卡牌消耗!$B$5:$F$5,AR368)/$Q$4/5,0)*5</f>
        <v>15</v>
      </c>
      <c r="AY368" s="14" t="str">
        <f>IF(AO368&gt;0,INDEX(挂机升级突破!$DT$4:$ED$4,AO368),"")</f>
        <v>灵玉</v>
      </c>
      <c r="AZ368" s="14">
        <f>IF(AO368&gt;0,ROUND(INDEX(挂机升级突破!$DT$6:$ED$57,卡牌消耗!AT368,AO368)*INDEX(卡牌消耗!$B$7:$F$7,AR368)/$Q$4,0),"")</f>
        <v>3</v>
      </c>
      <c r="BA368" s="106"/>
      <c r="BB368" s="197"/>
      <c r="BC368" s="197"/>
      <c r="BD368" s="197"/>
      <c r="BE368" s="197"/>
      <c r="BF368" s="197"/>
      <c r="BG368" s="197"/>
      <c r="BH368" s="197"/>
      <c r="BI368" s="197"/>
      <c r="BJ368" s="197"/>
      <c r="BK368" s="197"/>
      <c r="BL368" s="104">
        <v>364</v>
      </c>
      <c r="BM368" s="14">
        <f t="shared" si="350"/>
        <v>19</v>
      </c>
      <c r="BN368" s="14">
        <f>INDEX(挂机升级突破!$EI$7:$EI$26,BS368)</f>
        <v>5</v>
      </c>
      <c r="BO368" s="14">
        <f>INDEX(挂机升级突破!$EJ$7:$EJ$26,BS368)</f>
        <v>1</v>
      </c>
      <c r="BP368" s="14">
        <f t="shared" si="351"/>
        <v>2</v>
      </c>
      <c r="BQ368" s="14">
        <f>INDEX(挂机升级突破!$EH$7:$EH$26,卡牌消耗!BS368)</f>
        <v>25</v>
      </c>
      <c r="BR368" s="14" t="str">
        <f t="shared" si="352"/>
        <v>食火蜥</v>
      </c>
      <c r="BS368" s="14">
        <f t="shared" si="353"/>
        <v>4</v>
      </c>
      <c r="BT368" s="14" t="str">
        <f t="shared" si="354"/>
        <v>食火蜥4突</v>
      </c>
      <c r="BU368" s="14" t="str">
        <f>IF(BN368&gt;0,INDEX(挂机升级突破!$ER$5:$EV$5,卡牌消耗!BN368),"")</f>
        <v>金币</v>
      </c>
      <c r="BV368" s="14">
        <f>IF(BN368&gt;0,ROUND(INDEX(挂机升级突破!$EV$7:$EV$26,卡牌消耗!BS368)*INDEX(卡牌消耗!$B$8:$F$8,BP368)/$Q$4/500,0)*500,"")</f>
        <v>2500</v>
      </c>
      <c r="BW368" s="14" t="str">
        <f>IF(BO368&gt;0,INDEX(挂机升级突破!$ER$5:$EV$5,卡牌消耗!BO368),"")</f>
        <v>玄铁</v>
      </c>
      <c r="BX368" s="14">
        <f>IF(BO368&gt;0,ROUND(INDEX(挂机升级突破!$ER$7:$EU$26,卡牌消耗!BS368,卡牌消耗!BO368)*INDEX($B$6:$F$6,BP368)/$Q$4,0),"")</f>
        <v>13</v>
      </c>
      <c r="BY368" s="193"/>
      <c r="BZ368" s="193"/>
      <c r="CA368" s="106"/>
      <c r="CS368" s="171"/>
      <c r="CT368" s="171"/>
      <c r="CU368" s="171"/>
    </row>
    <row r="369" spans="8:99" ht="16.5" x14ac:dyDescent="0.2">
      <c r="H369" s="15"/>
      <c r="I369" s="15"/>
      <c r="J369" s="15"/>
      <c r="K369" s="15"/>
      <c r="L369" s="15"/>
      <c r="M369" s="15"/>
      <c r="N369" s="15"/>
      <c r="O369" s="137"/>
      <c r="P369" s="141"/>
      <c r="Q369" s="141"/>
      <c r="R369" s="141"/>
      <c r="S369" s="141"/>
      <c r="T369" s="141"/>
      <c r="U369" s="141"/>
      <c r="V369" s="141"/>
      <c r="W369" s="141"/>
      <c r="X369" s="141"/>
      <c r="Y369" s="141"/>
      <c r="Z369" s="141"/>
      <c r="AA369" s="194"/>
      <c r="AB369" s="194"/>
      <c r="AC369" s="194"/>
      <c r="AD369" s="194"/>
      <c r="AE369" s="194"/>
      <c r="AF369" s="194"/>
      <c r="AG369" s="197"/>
      <c r="AH369" s="194"/>
      <c r="AI369" s="194"/>
      <c r="AJ369" s="194"/>
      <c r="AK369" s="104">
        <v>365</v>
      </c>
      <c r="AL369" s="14">
        <f t="shared" si="345"/>
        <v>8</v>
      </c>
      <c r="AM369" s="14">
        <f>INDEX(挂机升级突破!DQ$6:DQ$57,卡牌消耗!$AT369)</f>
        <v>11</v>
      </c>
      <c r="AN369" s="14">
        <f>INDEX(挂机升级突破!DR$6:DR$57,卡牌消耗!$AT369)</f>
        <v>1</v>
      </c>
      <c r="AO369" s="14">
        <f>INDEX(挂机升级突破!DS$6:DS$57,卡牌消耗!$AT369)</f>
        <v>0</v>
      </c>
      <c r="AP369" s="14">
        <f>INDEX(挂机升级突破!$DP$6:$DP$57,卡牌消耗!AT369)</f>
        <v>3</v>
      </c>
      <c r="AQ369" s="14" t="str">
        <f t="shared" si="346"/>
        <v>夏侯渊</v>
      </c>
      <c r="AR369" s="14">
        <f t="shared" si="347"/>
        <v>4</v>
      </c>
      <c r="AS369" s="14" t="str">
        <f t="shared" si="348"/>
        <v>夏侯渊魂火-1</v>
      </c>
      <c r="AT369" s="14">
        <f t="shared" si="349"/>
        <v>1</v>
      </c>
      <c r="AU369" s="14" t="str">
        <f>IF(AM369&gt;0,INDEX(挂机升级突破!$DT$4:$ED$4,AM369),"")</f>
        <v>金币</v>
      </c>
      <c r="AV369" s="14">
        <f>ROUND(INDEX(挂机升级突破!$DJ$6:$DJ$57,卡牌消耗!AT369)*INDEX(卡牌消耗!$B$8:$F$8,AR369)/$Q$4/50,0)*50</f>
        <v>1300</v>
      </c>
      <c r="AW369" s="14" t="str">
        <f>IF(AN369&gt;0,INDEX(挂机升级突破!$DT$4:$ED$4,AN369),"")</f>
        <v>绿色基础材料</v>
      </c>
      <c r="AX369" s="14">
        <f>ROUND(INDEX(挂机升级突破!$DT$6:$ED$57,卡牌消耗!AT369,AN369)*INDEX(卡牌消耗!$B$5:$F$5,AR369)/$Q$4/5,0)*5</f>
        <v>30</v>
      </c>
      <c r="AY369" s="14" t="str">
        <f>IF(AO369&gt;0,INDEX(挂机升级突破!$DT$4:$ED$4,AO369),"")</f>
        <v/>
      </c>
      <c r="AZ369" s="14" t="str">
        <f>IF(AO369&gt;0,ROUND(INDEX(挂机升级突破!$DT$6:$ED$57,卡牌消耗!AT369,AO369)*INDEX(卡牌消耗!$B$7:$F$7,AR369)/$Q$4,0),"")</f>
        <v/>
      </c>
      <c r="BA369" s="106"/>
      <c r="BB369" s="197"/>
      <c r="BC369" s="197"/>
      <c r="BD369" s="197"/>
      <c r="BE369" s="197"/>
      <c r="BF369" s="197"/>
      <c r="BG369" s="197"/>
      <c r="BH369" s="197"/>
      <c r="BI369" s="197"/>
      <c r="BJ369" s="197"/>
      <c r="BK369" s="197"/>
      <c r="BL369" s="104">
        <v>365</v>
      </c>
      <c r="BM369" s="14">
        <f t="shared" si="350"/>
        <v>19</v>
      </c>
      <c r="BN369" s="14">
        <f>INDEX(挂机升级突破!$EI$7:$EI$26,BS369)</f>
        <v>5</v>
      </c>
      <c r="BO369" s="14">
        <f>INDEX(挂机升级突破!$EJ$7:$EJ$26,BS369)</f>
        <v>1</v>
      </c>
      <c r="BP369" s="14">
        <f t="shared" si="351"/>
        <v>2</v>
      </c>
      <c r="BQ369" s="14">
        <f>INDEX(挂机升级突破!$EH$7:$EH$26,卡牌消耗!BS369)</f>
        <v>35</v>
      </c>
      <c r="BR369" s="14" t="str">
        <f t="shared" si="352"/>
        <v>食火蜥</v>
      </c>
      <c r="BS369" s="14">
        <f t="shared" si="353"/>
        <v>5</v>
      </c>
      <c r="BT369" s="14" t="str">
        <f t="shared" si="354"/>
        <v>食火蜥5突</v>
      </c>
      <c r="BU369" s="14" t="str">
        <f>IF(BN369&gt;0,INDEX(挂机升级突破!$ER$5:$EV$5,卡牌消耗!BN369),"")</f>
        <v>金币</v>
      </c>
      <c r="BV369" s="14">
        <f>IF(BN369&gt;0,ROUND(INDEX(挂机升级突破!$EV$7:$EV$26,卡牌消耗!BS369)*INDEX(卡牌消耗!$B$8:$F$8,BP369)/$Q$4/500,0)*500,"")</f>
        <v>2500</v>
      </c>
      <c r="BW369" s="14" t="str">
        <f>IF(BO369&gt;0,INDEX(挂机升级突破!$ER$5:$EV$5,卡牌消耗!BO369),"")</f>
        <v>玄铁</v>
      </c>
      <c r="BX369" s="14">
        <f>IF(BO369&gt;0,ROUND(INDEX(挂机升级突破!$ER$7:$EU$26,卡牌消耗!BS369,卡牌消耗!BO369)*INDEX($B$6:$F$6,BP369)/$Q$4/5,0)*5,"")</f>
        <v>25</v>
      </c>
      <c r="BY369" s="193"/>
      <c r="BZ369" s="193"/>
      <c r="CA369" s="106"/>
      <c r="CS369" s="171"/>
      <c r="CT369" s="171"/>
      <c r="CU369" s="171"/>
    </row>
    <row r="370" spans="8:99" ht="16.5" x14ac:dyDescent="0.2">
      <c r="H370" s="15"/>
      <c r="I370" s="15"/>
      <c r="J370" s="15"/>
      <c r="K370" s="15"/>
      <c r="L370" s="15"/>
      <c r="M370" s="15"/>
      <c r="N370" s="15"/>
      <c r="O370" s="137"/>
      <c r="P370" s="141"/>
      <c r="Q370" s="141"/>
      <c r="R370" s="141"/>
      <c r="S370" s="141"/>
      <c r="T370" s="141"/>
      <c r="U370" s="141"/>
      <c r="V370" s="141"/>
      <c r="W370" s="141"/>
      <c r="X370" s="141"/>
      <c r="Y370" s="141"/>
      <c r="Z370" s="141"/>
      <c r="AA370" s="194"/>
      <c r="AB370" s="194"/>
      <c r="AC370" s="194"/>
      <c r="AD370" s="194"/>
      <c r="AE370" s="194"/>
      <c r="AF370" s="194"/>
      <c r="AG370" s="197"/>
      <c r="AH370" s="194"/>
      <c r="AI370" s="194"/>
      <c r="AJ370" s="194"/>
      <c r="AK370" s="104">
        <v>366</v>
      </c>
      <c r="AL370" s="14">
        <f t="shared" si="345"/>
        <v>8</v>
      </c>
      <c r="AM370" s="14">
        <f>INDEX(挂机升级突破!DQ$6:DQ$57,卡牌消耗!$AT370)</f>
        <v>11</v>
      </c>
      <c r="AN370" s="14">
        <f>INDEX(挂机升级突破!DR$6:DR$57,卡牌消耗!$AT370)</f>
        <v>1</v>
      </c>
      <c r="AO370" s="14">
        <f>INDEX(挂机升级突破!DS$6:DS$57,卡牌消耗!$AT370)</f>
        <v>0</v>
      </c>
      <c r="AP370" s="14">
        <f>INDEX(挂机升级突破!$DP$6:$DP$57,卡牌消耗!AT370)</f>
        <v>8</v>
      </c>
      <c r="AQ370" s="14" t="str">
        <f t="shared" si="346"/>
        <v>夏侯渊</v>
      </c>
      <c r="AR370" s="14">
        <f t="shared" si="347"/>
        <v>4</v>
      </c>
      <c r="AS370" s="14" t="str">
        <f t="shared" si="348"/>
        <v>夏侯渊魂火-2</v>
      </c>
      <c r="AT370" s="14">
        <f t="shared" si="349"/>
        <v>2</v>
      </c>
      <c r="AU370" s="14" t="str">
        <f>IF(AM370&gt;0,INDEX(挂机升级突破!$DT$4:$ED$4,AM370),"")</f>
        <v>金币</v>
      </c>
      <c r="AV370" s="14">
        <f>ROUND(INDEX(挂机升级突破!$DJ$6:$DJ$57,卡牌消耗!AT370)*INDEX(卡牌消耗!$B$8:$F$8,AR370)/$Q$4/50,0)*50</f>
        <v>1550</v>
      </c>
      <c r="AW370" s="14" t="str">
        <f>IF(AN370&gt;0,INDEX(挂机升级突破!$DT$4:$ED$4,AN370),"")</f>
        <v>绿色基础材料</v>
      </c>
      <c r="AX370" s="14">
        <f>ROUND(INDEX(挂机升级突破!$DT$6:$ED$57,卡牌消耗!AT370,AN370)*INDEX(卡牌消耗!$B$5:$F$5,AR370)/$Q$4/5,0)*5</f>
        <v>105</v>
      </c>
      <c r="AY370" s="14" t="str">
        <f>IF(AO370&gt;0,INDEX(挂机升级突破!$DT$4:$ED$4,AO370),"")</f>
        <v/>
      </c>
      <c r="AZ370" s="14" t="str">
        <f>IF(AO370&gt;0,ROUND(INDEX(挂机升级突破!$DT$6:$ED$57,卡牌消耗!AT370,AO370)*INDEX(卡牌消耗!$B$7:$F$7,AR370)/$Q$4,0),"")</f>
        <v/>
      </c>
      <c r="BA370" s="106"/>
      <c r="BB370" s="197"/>
      <c r="BC370" s="197"/>
      <c r="BD370" s="197"/>
      <c r="BE370" s="197"/>
      <c r="BF370" s="197"/>
      <c r="BG370" s="197"/>
      <c r="BH370" s="197"/>
      <c r="BI370" s="197"/>
      <c r="BJ370" s="197"/>
      <c r="BK370" s="197"/>
      <c r="BL370" s="104">
        <v>366</v>
      </c>
      <c r="BM370" s="14">
        <f t="shared" si="350"/>
        <v>19</v>
      </c>
      <c r="BN370" s="14">
        <f>INDEX(挂机升级突破!$EI$7:$EI$26,BS370)</f>
        <v>5</v>
      </c>
      <c r="BO370" s="14">
        <f>INDEX(挂机升级突破!$EJ$7:$EJ$26,BS370)</f>
        <v>1</v>
      </c>
      <c r="BP370" s="14">
        <f t="shared" si="351"/>
        <v>2</v>
      </c>
      <c r="BQ370" s="14">
        <f>INDEX(挂机升级突破!$EH$7:$EH$26,卡牌消耗!BS370)</f>
        <v>42</v>
      </c>
      <c r="BR370" s="14" t="str">
        <f t="shared" si="352"/>
        <v>食火蜥</v>
      </c>
      <c r="BS370" s="14">
        <f t="shared" si="353"/>
        <v>6</v>
      </c>
      <c r="BT370" s="14" t="str">
        <f t="shared" si="354"/>
        <v>食火蜥6突</v>
      </c>
      <c r="BU370" s="14" t="str">
        <f>IF(BN370&gt;0,INDEX(挂机升级突破!$ER$5:$EV$5,卡牌消耗!BN370),"")</f>
        <v>金币</v>
      </c>
      <c r="BV370" s="14">
        <f>IF(BN370&gt;0,ROUND(INDEX(挂机升级突破!$EV$7:$EV$26,卡牌消耗!BS370)*INDEX(卡牌消耗!$B$8:$F$8,BP370)/$Q$4/500,0)*500,"")</f>
        <v>3500</v>
      </c>
      <c r="BW370" s="14" t="str">
        <f>IF(BO370&gt;0,INDEX(挂机升级突破!$ER$5:$EV$5,卡牌消耗!BO370),"")</f>
        <v>玄铁</v>
      </c>
      <c r="BX370" s="14">
        <f>IF(BO370&gt;0,ROUND(INDEX(挂机升级突破!$ER$7:$EU$26,卡牌消耗!BS370,卡牌消耗!BO370)*INDEX($B$6:$F$6,BP370)/$Q$4/5,0)*5,"")</f>
        <v>40</v>
      </c>
      <c r="BY370" s="193"/>
      <c r="BZ370" s="193"/>
      <c r="CA370" s="106"/>
      <c r="CS370" s="171"/>
      <c r="CT370" s="171"/>
      <c r="CU370" s="171"/>
    </row>
    <row r="371" spans="8:99" ht="16.5" x14ac:dyDescent="0.2">
      <c r="H371" s="15"/>
      <c r="I371" s="15"/>
      <c r="J371" s="15"/>
      <c r="K371" s="15"/>
      <c r="L371" s="15"/>
      <c r="M371" s="15"/>
      <c r="N371" s="15"/>
      <c r="O371" s="137"/>
      <c r="P371" s="141"/>
      <c r="Q371" s="141"/>
      <c r="R371" s="141"/>
      <c r="S371" s="141"/>
      <c r="T371" s="141"/>
      <c r="U371" s="141"/>
      <c r="V371" s="141"/>
      <c r="W371" s="141"/>
      <c r="X371" s="141"/>
      <c r="Y371" s="141"/>
      <c r="Z371" s="141"/>
      <c r="AA371" s="194"/>
      <c r="AB371" s="194"/>
      <c r="AC371" s="194"/>
      <c r="AD371" s="194"/>
      <c r="AE371" s="194"/>
      <c r="AF371" s="194"/>
      <c r="AG371" s="197"/>
      <c r="AH371" s="194"/>
      <c r="AI371" s="194"/>
      <c r="AJ371" s="194"/>
      <c r="AK371" s="104">
        <v>367</v>
      </c>
      <c r="AL371" s="14">
        <f t="shared" si="345"/>
        <v>8</v>
      </c>
      <c r="AM371" s="14">
        <f>INDEX(挂机升级突破!DQ$6:DQ$57,卡牌消耗!$AT371)</f>
        <v>11</v>
      </c>
      <c r="AN371" s="14">
        <f>INDEX(挂机升级突破!DR$6:DR$57,卡牌消耗!$AT371)</f>
        <v>1</v>
      </c>
      <c r="AO371" s="14">
        <f>INDEX(挂机升级突破!DS$6:DS$57,卡牌消耗!$AT371)</f>
        <v>0</v>
      </c>
      <c r="AP371" s="14">
        <f>INDEX(挂机升级突破!$DP$6:$DP$57,卡牌消耗!AT371)</f>
        <v>13</v>
      </c>
      <c r="AQ371" s="14" t="str">
        <f t="shared" si="346"/>
        <v>夏侯渊</v>
      </c>
      <c r="AR371" s="14">
        <f t="shared" si="347"/>
        <v>4</v>
      </c>
      <c r="AS371" s="14" t="str">
        <f t="shared" si="348"/>
        <v>夏侯渊魂火-3</v>
      </c>
      <c r="AT371" s="14">
        <f t="shared" si="349"/>
        <v>3</v>
      </c>
      <c r="AU371" s="14" t="str">
        <f>IF(AM371&gt;0,INDEX(挂机升级突破!$DT$4:$ED$4,AM371),"")</f>
        <v>金币</v>
      </c>
      <c r="AV371" s="14">
        <f>ROUND(INDEX(挂机升级突破!$DJ$6:$DJ$57,卡牌消耗!AT371)*INDEX(卡牌消耗!$B$8:$F$8,AR371)/$Q$4/50,0)*50</f>
        <v>1550</v>
      </c>
      <c r="AW371" s="14" t="str">
        <f>IF(AN371&gt;0,INDEX(挂机升级突破!$DT$4:$ED$4,AN371),"")</f>
        <v>绿色基础材料</v>
      </c>
      <c r="AX371" s="14">
        <f>ROUND(INDEX(挂机升级突破!$DT$6:$ED$57,卡牌消耗!AT371,AN371)*INDEX(卡牌消耗!$B$5:$F$5,AR371)/$Q$4/5,0)*5</f>
        <v>125</v>
      </c>
      <c r="AY371" s="14" t="str">
        <f>IF(AO371&gt;0,INDEX(挂机升级突破!$DT$4:$ED$4,AO371),"")</f>
        <v/>
      </c>
      <c r="AZ371" s="14" t="str">
        <f>IF(AO371&gt;0,ROUND(INDEX(挂机升级突破!$DT$6:$ED$57,卡牌消耗!AT371,AO371)*INDEX(卡牌消耗!$B$7:$F$7,AR371)/$Q$4,0),"")</f>
        <v/>
      </c>
      <c r="BA371" s="106"/>
      <c r="BB371" s="197"/>
      <c r="BC371" s="197"/>
      <c r="BD371" s="197"/>
      <c r="BE371" s="197"/>
      <c r="BF371" s="197"/>
      <c r="BG371" s="197"/>
      <c r="BH371" s="197"/>
      <c r="BI371" s="197"/>
      <c r="BJ371" s="197"/>
      <c r="BK371" s="197"/>
      <c r="BL371" s="104">
        <v>367</v>
      </c>
      <c r="BM371" s="14">
        <f t="shared" si="350"/>
        <v>19</v>
      </c>
      <c r="BN371" s="14">
        <f>INDEX(挂机升级突破!$EI$7:$EI$26,BS371)</f>
        <v>5</v>
      </c>
      <c r="BO371" s="14">
        <f>INDEX(挂机升级突破!$EJ$7:$EJ$26,BS371)</f>
        <v>1</v>
      </c>
      <c r="BP371" s="14">
        <f t="shared" si="351"/>
        <v>2</v>
      </c>
      <c r="BQ371" s="14">
        <f>INDEX(挂机升级突破!$EH$7:$EH$26,卡牌消耗!BS371)</f>
        <v>47</v>
      </c>
      <c r="BR371" s="14" t="str">
        <f t="shared" si="352"/>
        <v>食火蜥</v>
      </c>
      <c r="BS371" s="14">
        <f t="shared" si="353"/>
        <v>7</v>
      </c>
      <c r="BT371" s="14" t="str">
        <f t="shared" si="354"/>
        <v>食火蜥7突</v>
      </c>
      <c r="BU371" s="14" t="str">
        <f>IF(BN371&gt;0,INDEX(挂机升级突破!$ER$5:$EV$5,卡牌消耗!BN371),"")</f>
        <v>金币</v>
      </c>
      <c r="BV371" s="14">
        <f>IF(BN371&gt;0,ROUND(INDEX(挂机升级突破!$EV$7:$EV$26,卡牌消耗!BS371)*INDEX(卡牌消耗!$B$8:$F$8,BP371)/$Q$4/500,0)*500,"")</f>
        <v>5500</v>
      </c>
      <c r="BW371" s="14" t="str">
        <f>IF(BO371&gt;0,INDEX(挂机升级突破!$ER$5:$EV$5,卡牌消耗!BO371),"")</f>
        <v>玄铁</v>
      </c>
      <c r="BX371" s="14">
        <f>IF(BO371&gt;0,ROUND(INDEX(挂机升级突破!$ER$7:$EU$26,卡牌消耗!BS371,卡牌消耗!BO371)*INDEX($B$6:$F$6,BP371)/$Q$4/5,0)*5,"")</f>
        <v>65</v>
      </c>
      <c r="BY371" s="193"/>
      <c r="BZ371" s="193"/>
      <c r="CA371" s="106"/>
      <c r="CS371" s="171"/>
      <c r="CT371" s="171"/>
      <c r="CU371" s="171"/>
    </row>
    <row r="372" spans="8:99" ht="16.5" x14ac:dyDescent="0.2">
      <c r="H372" s="15"/>
      <c r="I372" s="15"/>
      <c r="J372" s="15"/>
      <c r="K372" s="15"/>
      <c r="L372" s="15"/>
      <c r="M372" s="15"/>
      <c r="N372" s="15"/>
      <c r="O372" s="137"/>
      <c r="P372" s="141"/>
      <c r="Q372" s="141"/>
      <c r="R372" s="141"/>
      <c r="S372" s="141"/>
      <c r="T372" s="141"/>
      <c r="U372" s="141"/>
      <c r="V372" s="141"/>
      <c r="W372" s="141"/>
      <c r="X372" s="141"/>
      <c r="Y372" s="141"/>
      <c r="Z372" s="141"/>
      <c r="AA372" s="194"/>
      <c r="AB372" s="194"/>
      <c r="AC372" s="194"/>
      <c r="AD372" s="194"/>
      <c r="AE372" s="194"/>
      <c r="AF372" s="194"/>
      <c r="AG372" s="197"/>
      <c r="AH372" s="194"/>
      <c r="AI372" s="194"/>
      <c r="AJ372" s="194"/>
      <c r="AK372" s="104">
        <v>368</v>
      </c>
      <c r="AL372" s="14">
        <f t="shared" si="345"/>
        <v>8</v>
      </c>
      <c r="AM372" s="14">
        <f>INDEX(挂机升级突破!DQ$6:DQ$57,卡牌消耗!$AT372)</f>
        <v>11</v>
      </c>
      <c r="AN372" s="14">
        <f>INDEX(挂机升级突破!DR$6:DR$57,卡牌消耗!$AT372)</f>
        <v>1</v>
      </c>
      <c r="AO372" s="14">
        <f>INDEX(挂机升级突破!DS$6:DS$57,卡牌消耗!$AT372)</f>
        <v>0</v>
      </c>
      <c r="AP372" s="14">
        <f>INDEX(挂机升级突破!$DP$6:$DP$57,卡牌消耗!AT372)</f>
        <v>18</v>
      </c>
      <c r="AQ372" s="14" t="str">
        <f t="shared" si="346"/>
        <v>夏侯渊</v>
      </c>
      <c r="AR372" s="14">
        <f t="shared" si="347"/>
        <v>4</v>
      </c>
      <c r="AS372" s="14" t="str">
        <f t="shared" si="348"/>
        <v>夏侯渊魂火-4</v>
      </c>
      <c r="AT372" s="14">
        <f t="shared" si="349"/>
        <v>4</v>
      </c>
      <c r="AU372" s="14" t="str">
        <f>IF(AM372&gt;0,INDEX(挂机升级突破!$DT$4:$ED$4,AM372),"")</f>
        <v>金币</v>
      </c>
      <c r="AV372" s="14">
        <f>ROUND(INDEX(挂机升级突破!$DJ$6:$DJ$57,卡牌消耗!AT372)*INDEX(卡牌消耗!$B$8:$F$8,AR372)/$Q$4/50,0)*50</f>
        <v>1550</v>
      </c>
      <c r="AW372" s="14" t="str">
        <f>IF(AN372&gt;0,INDEX(挂机升级突破!$DT$4:$ED$4,AN372),"")</f>
        <v>绿色基础材料</v>
      </c>
      <c r="AX372" s="14">
        <f>ROUND(INDEX(挂机升级突破!$DT$6:$ED$57,卡牌消耗!AT372,AN372)*INDEX(卡牌消耗!$B$5:$F$5,AR372)/$Q$4/5,0)*5</f>
        <v>170</v>
      </c>
      <c r="AY372" s="14" t="str">
        <f>IF(AO372&gt;0,INDEX(挂机升级突破!$DT$4:$ED$4,AO372),"")</f>
        <v/>
      </c>
      <c r="AZ372" s="14" t="str">
        <f>IF(AO372&gt;0,ROUND(INDEX(挂机升级突破!$DT$6:$ED$57,卡牌消耗!AT372,AO372)*INDEX(卡牌消耗!$B$7:$F$7,AR372)/$Q$4,0),"")</f>
        <v/>
      </c>
      <c r="BA372" s="106"/>
      <c r="BB372" s="197"/>
      <c r="BC372" s="197"/>
      <c r="BD372" s="197"/>
      <c r="BE372" s="197"/>
      <c r="BF372" s="197"/>
      <c r="BG372" s="197"/>
      <c r="BH372" s="197"/>
      <c r="BI372" s="197"/>
      <c r="BJ372" s="197"/>
      <c r="BK372" s="197"/>
      <c r="BL372" s="104">
        <v>368</v>
      </c>
      <c r="BM372" s="14">
        <f t="shared" si="350"/>
        <v>19</v>
      </c>
      <c r="BN372" s="14">
        <f>INDEX(挂机升级突破!$EI$7:$EI$26,BS372)</f>
        <v>5</v>
      </c>
      <c r="BO372" s="14">
        <f>INDEX(挂机升级突破!$EJ$7:$EJ$26,BS372)</f>
        <v>1</v>
      </c>
      <c r="BP372" s="14">
        <f t="shared" si="351"/>
        <v>2</v>
      </c>
      <c r="BQ372" s="14">
        <f>INDEX(挂机升级突破!$EH$7:$EH$26,卡牌消耗!BS372)</f>
        <v>52</v>
      </c>
      <c r="BR372" s="14" t="str">
        <f t="shared" si="352"/>
        <v>食火蜥</v>
      </c>
      <c r="BS372" s="14">
        <f t="shared" si="353"/>
        <v>8</v>
      </c>
      <c r="BT372" s="14" t="str">
        <f t="shared" si="354"/>
        <v>食火蜥8突</v>
      </c>
      <c r="BU372" s="14" t="str">
        <f>IF(BN372&gt;0,INDEX(挂机升级突破!$ER$5:$EV$5,卡牌消耗!BN372),"")</f>
        <v>金币</v>
      </c>
      <c r="BV372" s="14">
        <f>IF(BN372&gt;0,ROUND(INDEX(挂机升级突破!$EV$7:$EV$26,卡牌消耗!BS372)*INDEX(卡牌消耗!$B$8:$F$8,BP372)/$Q$4/500,0)*500,"")</f>
        <v>5500</v>
      </c>
      <c r="BW372" s="14" t="str">
        <f>IF(BO372&gt;0,INDEX(挂机升级突破!$ER$5:$EV$5,卡牌消耗!BO372),"")</f>
        <v>玄铁</v>
      </c>
      <c r="BX372" s="14">
        <f>IF(BO372&gt;0,ROUND(INDEX(挂机升级突破!$ER$7:$EU$26,卡牌消耗!BS372,卡牌消耗!BO372)*INDEX($B$6:$F$6,BP372)/$Q$4/5,0)*5,"")</f>
        <v>120</v>
      </c>
      <c r="BY372" s="193"/>
      <c r="BZ372" s="193"/>
      <c r="CA372" s="106"/>
      <c r="CS372" s="171"/>
      <c r="CT372" s="171"/>
      <c r="CU372" s="171"/>
    </row>
    <row r="373" spans="8:99" ht="16.5" x14ac:dyDescent="0.2">
      <c r="H373" s="15"/>
      <c r="I373" s="15"/>
      <c r="J373" s="15"/>
      <c r="K373" s="15"/>
      <c r="L373" s="15"/>
      <c r="M373" s="15"/>
      <c r="N373" s="15"/>
      <c r="O373" s="137"/>
      <c r="P373" s="141"/>
      <c r="Q373" s="141"/>
      <c r="R373" s="141"/>
      <c r="S373" s="141"/>
      <c r="T373" s="141"/>
      <c r="U373" s="141"/>
      <c r="V373" s="141"/>
      <c r="W373" s="141"/>
      <c r="X373" s="141"/>
      <c r="Y373" s="141"/>
      <c r="Z373" s="141"/>
      <c r="AA373" s="194"/>
      <c r="AB373" s="194"/>
      <c r="AC373" s="194"/>
      <c r="AD373" s="194"/>
      <c r="AE373" s="194"/>
      <c r="AF373" s="194"/>
      <c r="AG373" s="197"/>
      <c r="AH373" s="194"/>
      <c r="AI373" s="194"/>
      <c r="AJ373" s="194"/>
      <c r="AK373" s="104">
        <v>369</v>
      </c>
      <c r="AL373" s="14">
        <f t="shared" si="345"/>
        <v>8</v>
      </c>
      <c r="AM373" s="14">
        <f>INDEX(挂机升级突破!DQ$6:DQ$57,卡牌消耗!$AT373)</f>
        <v>11</v>
      </c>
      <c r="AN373" s="14">
        <f>INDEX(挂机升级突破!DR$6:DR$57,卡牌消耗!$AT373)</f>
        <v>1</v>
      </c>
      <c r="AO373" s="14">
        <f>INDEX(挂机升级突破!DS$6:DS$57,卡牌消耗!$AT373)</f>
        <v>0</v>
      </c>
      <c r="AP373" s="14">
        <f>INDEX(挂机升级突破!$DP$6:$DP$57,卡牌消耗!AT373)</f>
        <v>23</v>
      </c>
      <c r="AQ373" s="14" t="str">
        <f t="shared" si="346"/>
        <v>夏侯渊</v>
      </c>
      <c r="AR373" s="14">
        <f t="shared" si="347"/>
        <v>4</v>
      </c>
      <c r="AS373" s="14" t="str">
        <f t="shared" si="348"/>
        <v>夏侯渊魂火-5</v>
      </c>
      <c r="AT373" s="14">
        <f t="shared" si="349"/>
        <v>5</v>
      </c>
      <c r="AU373" s="14" t="str">
        <f>IF(AM373&gt;0,INDEX(挂机升级突破!$DT$4:$ED$4,AM373),"")</f>
        <v>金币</v>
      </c>
      <c r="AV373" s="14">
        <f>ROUND(INDEX(挂机升级突破!$DJ$6:$DJ$57,卡牌消耗!AT373)*INDEX(卡牌消耗!$B$8:$F$8,AR373)/$Q$4/50,0)*50</f>
        <v>1550</v>
      </c>
      <c r="AW373" s="14" t="str">
        <f>IF(AN373&gt;0,INDEX(挂机升级突破!$DT$4:$ED$4,AN373),"")</f>
        <v>绿色基础材料</v>
      </c>
      <c r="AX373" s="14">
        <f>ROUND(INDEX(挂机升级突破!$DT$6:$ED$57,卡牌消耗!AT373,AN373)*INDEX(卡牌消耗!$B$5:$F$5,AR373)/$Q$4/5,0)*5</f>
        <v>185</v>
      </c>
      <c r="AY373" s="14" t="str">
        <f>IF(AO373&gt;0,INDEX(挂机升级突破!$DT$4:$ED$4,AO373),"")</f>
        <v/>
      </c>
      <c r="AZ373" s="14" t="str">
        <f>IF(AO373&gt;0,ROUND(INDEX(挂机升级突破!$DT$6:$ED$57,卡牌消耗!AT373,AO373)*INDEX(卡牌消耗!$B$7:$F$7,AR373)/$Q$4,0),"")</f>
        <v/>
      </c>
      <c r="BA373" s="106"/>
      <c r="BB373" s="197"/>
      <c r="BC373" s="197"/>
      <c r="BD373" s="197"/>
      <c r="BE373" s="197"/>
      <c r="BF373" s="197"/>
      <c r="BG373" s="197"/>
      <c r="BH373" s="197"/>
      <c r="BI373" s="197"/>
      <c r="BJ373" s="197"/>
      <c r="BK373" s="197"/>
      <c r="BL373" s="104">
        <v>369</v>
      </c>
      <c r="BM373" s="14">
        <f t="shared" si="350"/>
        <v>19</v>
      </c>
      <c r="BN373" s="14">
        <f>INDEX(挂机升级突破!$EI$7:$EI$26,BS373)</f>
        <v>5</v>
      </c>
      <c r="BO373" s="14">
        <f>INDEX(挂机升级突破!$EJ$7:$EJ$26,BS373)</f>
        <v>2</v>
      </c>
      <c r="BP373" s="14">
        <f t="shared" si="351"/>
        <v>2</v>
      </c>
      <c r="BQ373" s="14">
        <f>INDEX(挂机升级突破!$EH$7:$EH$26,卡牌消耗!BS373)</f>
        <v>57</v>
      </c>
      <c r="BR373" s="14" t="str">
        <f t="shared" si="352"/>
        <v>食火蜥</v>
      </c>
      <c r="BS373" s="14">
        <f t="shared" si="353"/>
        <v>9</v>
      </c>
      <c r="BT373" s="14" t="str">
        <f t="shared" si="354"/>
        <v>食火蜥9突</v>
      </c>
      <c r="BU373" s="14" t="str">
        <f>IF(BN373&gt;0,INDEX(挂机升级突破!$ER$5:$EV$5,卡牌消耗!BN373),"")</f>
        <v>金币</v>
      </c>
      <c r="BV373" s="14">
        <f>IF(BN373&gt;0,ROUND(INDEX(挂机升级突破!$EV$7:$EV$26,卡牌消耗!BS373)*INDEX(卡牌消耗!$B$8:$F$8,BP373)/$Q$4/500,0)*500,"")</f>
        <v>7500</v>
      </c>
      <c r="BW373" s="14" t="str">
        <f>IF(BO373&gt;0,INDEX(挂机升级突破!$ER$5:$EV$5,卡牌消耗!BO373),"")</f>
        <v>乌金</v>
      </c>
      <c r="BX373" s="14">
        <f>IF(BO373&gt;0,ROUND(INDEX(挂机升级突破!$ER$7:$EU$26,卡牌消耗!BS373,卡牌消耗!BO373)*INDEX($B$6:$F$6,BP373)/$Q$4/5,0)*5,"")</f>
        <v>40</v>
      </c>
      <c r="BY373" s="193"/>
      <c r="BZ373" s="193"/>
      <c r="CA373" s="106"/>
      <c r="CS373" s="171"/>
      <c r="CT373" s="171"/>
      <c r="CU373" s="171"/>
    </row>
    <row r="374" spans="8:99" ht="16.5" x14ac:dyDescent="0.2">
      <c r="H374" s="15"/>
      <c r="I374" s="15"/>
      <c r="J374" s="15"/>
      <c r="K374" s="15"/>
      <c r="L374" s="15"/>
      <c r="M374" s="15"/>
      <c r="N374" s="15"/>
      <c r="O374" s="137"/>
      <c r="P374" s="141"/>
      <c r="Q374" s="141"/>
      <c r="R374" s="141"/>
      <c r="S374" s="141"/>
      <c r="T374" s="141"/>
      <c r="U374" s="141"/>
      <c r="V374" s="141"/>
      <c r="W374" s="141"/>
      <c r="X374" s="141"/>
      <c r="Y374" s="141"/>
      <c r="Z374" s="141"/>
      <c r="AA374" s="194"/>
      <c r="AB374" s="194"/>
      <c r="AC374" s="194"/>
      <c r="AD374" s="194"/>
      <c r="AE374" s="194"/>
      <c r="AF374" s="194"/>
      <c r="AG374" s="197"/>
      <c r="AH374" s="194"/>
      <c r="AI374" s="194"/>
      <c r="AJ374" s="194"/>
      <c r="AK374" s="104">
        <v>370</v>
      </c>
      <c r="AL374" s="14">
        <f t="shared" si="345"/>
        <v>8</v>
      </c>
      <c r="AM374" s="14">
        <f>INDEX(挂机升级突破!DQ$6:DQ$57,卡牌消耗!$AT374)</f>
        <v>11</v>
      </c>
      <c r="AN374" s="14">
        <f>INDEX(挂机升级突破!DR$6:DR$57,卡牌消耗!$AT374)</f>
        <v>2</v>
      </c>
      <c r="AO374" s="14">
        <f>INDEX(挂机升级突破!DS$6:DS$57,卡牌消耗!$AT374)</f>
        <v>0</v>
      </c>
      <c r="AP374" s="14">
        <f>INDEX(挂机升级突破!$DP$6:$DP$57,卡牌消耗!AT374)</f>
        <v>28</v>
      </c>
      <c r="AQ374" s="14" t="str">
        <f t="shared" si="346"/>
        <v>夏侯渊</v>
      </c>
      <c r="AR374" s="14">
        <f t="shared" si="347"/>
        <v>4</v>
      </c>
      <c r="AS374" s="14" t="str">
        <f t="shared" si="348"/>
        <v>夏侯渊魂火-6</v>
      </c>
      <c r="AT374" s="14">
        <f t="shared" si="349"/>
        <v>6</v>
      </c>
      <c r="AU374" s="14" t="str">
        <f>IF(AM374&gt;0,INDEX(挂机升级突破!$DT$4:$ED$4,AM374),"")</f>
        <v>金币</v>
      </c>
      <c r="AV374" s="14">
        <f>ROUND(INDEX(挂机升级突破!$DJ$6:$DJ$57,卡牌消耗!AT374)*INDEX(卡牌消耗!$B$8:$F$8,AR374)/$Q$4/50,0)*50</f>
        <v>1900</v>
      </c>
      <c r="AW374" s="14" t="str">
        <f>IF(AN374&gt;0,INDEX(挂机升级突破!$DT$4:$ED$4,AN374),"")</f>
        <v>蓝色基础材料</v>
      </c>
      <c r="AX374" s="14">
        <f>ROUND(INDEX(挂机升级突破!$DT$6:$ED$57,卡牌消耗!AT374,AN374)*INDEX(卡牌消耗!$B$5:$F$5,AR374)/$Q$4/5,0)*5</f>
        <v>35</v>
      </c>
      <c r="AY374" s="14" t="str">
        <f>IF(AO374&gt;0,INDEX(挂机升级突破!$DT$4:$ED$4,AO374),"")</f>
        <v/>
      </c>
      <c r="AZ374" s="14" t="str">
        <f>IF(AO374&gt;0,ROUND(INDEX(挂机升级突破!$DT$6:$ED$57,卡牌消耗!AT374,AO374)*INDEX(卡牌消耗!$B$7:$F$7,AR374)/$Q$4,0),"")</f>
        <v/>
      </c>
      <c r="BA374" s="106"/>
      <c r="BB374" s="197"/>
      <c r="BC374" s="197"/>
      <c r="BD374" s="197"/>
      <c r="BE374" s="197"/>
      <c r="BF374" s="197"/>
      <c r="BG374" s="197"/>
      <c r="BH374" s="197"/>
      <c r="BI374" s="197"/>
      <c r="BJ374" s="197"/>
      <c r="BK374" s="197"/>
      <c r="BL374" s="104">
        <v>370</v>
      </c>
      <c r="BM374" s="14">
        <f t="shared" si="350"/>
        <v>19</v>
      </c>
      <c r="BN374" s="14">
        <f>INDEX(挂机升级突破!$EI$7:$EI$26,BS374)</f>
        <v>5</v>
      </c>
      <c r="BO374" s="14">
        <f>INDEX(挂机升级突破!$EJ$7:$EJ$26,BS374)</f>
        <v>2</v>
      </c>
      <c r="BP374" s="14">
        <f t="shared" si="351"/>
        <v>2</v>
      </c>
      <c r="BQ374" s="14">
        <f>INDEX(挂机升级突破!$EH$7:$EH$26,卡牌消耗!BS374)</f>
        <v>65</v>
      </c>
      <c r="BR374" s="14" t="str">
        <f t="shared" si="352"/>
        <v>食火蜥</v>
      </c>
      <c r="BS374" s="14">
        <f t="shared" si="353"/>
        <v>10</v>
      </c>
      <c r="BT374" s="14" t="str">
        <f t="shared" si="354"/>
        <v>食火蜥10突</v>
      </c>
      <c r="BU374" s="14" t="str">
        <f>IF(BN374&gt;0,INDEX(挂机升级突破!$ER$5:$EV$5,卡牌消耗!BN374),"")</f>
        <v>金币</v>
      </c>
      <c r="BV374" s="14">
        <f>IF(BN374&gt;0,ROUND(INDEX(挂机升级突破!$EV$7:$EV$26,卡牌消耗!BS374)*INDEX(卡牌消耗!$B$8:$F$8,BP374)/$Q$4/500,0)*500,"")</f>
        <v>13000</v>
      </c>
      <c r="BW374" s="14" t="str">
        <f>IF(BO374&gt;0,INDEX(挂机升级突破!$ER$5:$EV$5,卡牌消耗!BO374),"")</f>
        <v>乌金</v>
      </c>
      <c r="BX374" s="14">
        <f>IF(BO374&gt;0,ROUND(INDEX(挂机升级突破!$ER$7:$EU$26,卡牌消耗!BS374,卡牌消耗!BO374)*INDEX($B$6:$F$6,BP374)/$Q$4/5,0)*5,"")</f>
        <v>55</v>
      </c>
      <c r="BY374" s="193"/>
      <c r="BZ374" s="193"/>
      <c r="CA374" s="106"/>
      <c r="CS374" s="171"/>
      <c r="CT374" s="171"/>
      <c r="CU374" s="171"/>
    </row>
    <row r="375" spans="8:99" ht="16.5" x14ac:dyDescent="0.2">
      <c r="H375" s="15"/>
      <c r="I375" s="15"/>
      <c r="J375" s="15"/>
      <c r="K375" s="15"/>
      <c r="L375" s="15"/>
      <c r="M375" s="15"/>
      <c r="N375" s="15"/>
      <c r="O375" s="137"/>
      <c r="P375" s="141"/>
      <c r="Q375" s="141"/>
      <c r="R375" s="141"/>
      <c r="S375" s="141"/>
      <c r="T375" s="141"/>
      <c r="U375" s="141"/>
      <c r="V375" s="141"/>
      <c r="W375" s="141"/>
      <c r="X375" s="141"/>
      <c r="Y375" s="141"/>
      <c r="Z375" s="141"/>
      <c r="AA375" s="194"/>
      <c r="AB375" s="194"/>
      <c r="AC375" s="194"/>
      <c r="AD375" s="194"/>
      <c r="AE375" s="194"/>
      <c r="AF375" s="194"/>
      <c r="AG375" s="197"/>
      <c r="AH375" s="194"/>
      <c r="AI375" s="194"/>
      <c r="AJ375" s="194"/>
      <c r="AK375" s="104">
        <v>371</v>
      </c>
      <c r="AL375" s="14">
        <f t="shared" si="345"/>
        <v>8</v>
      </c>
      <c r="AM375" s="14">
        <f>INDEX(挂机升级突破!DQ$6:DQ$57,卡牌消耗!$AT375)</f>
        <v>11</v>
      </c>
      <c r="AN375" s="14">
        <f>INDEX(挂机升级突破!DR$6:DR$57,卡牌消耗!$AT375)</f>
        <v>2</v>
      </c>
      <c r="AO375" s="14">
        <f>INDEX(挂机升级突破!DS$6:DS$57,卡牌消耗!$AT375)</f>
        <v>0</v>
      </c>
      <c r="AP375" s="14">
        <f>INDEX(挂机升级突破!$DP$6:$DP$57,卡牌消耗!AT375)</f>
        <v>33</v>
      </c>
      <c r="AQ375" s="14" t="str">
        <f t="shared" si="346"/>
        <v>夏侯渊</v>
      </c>
      <c r="AR375" s="14">
        <f t="shared" si="347"/>
        <v>4</v>
      </c>
      <c r="AS375" s="14" t="str">
        <f t="shared" si="348"/>
        <v>夏侯渊魂火-7</v>
      </c>
      <c r="AT375" s="14">
        <f t="shared" si="349"/>
        <v>7</v>
      </c>
      <c r="AU375" s="14" t="str">
        <f>IF(AM375&gt;0,INDEX(挂机升级突破!$DT$4:$ED$4,AM375),"")</f>
        <v>金币</v>
      </c>
      <c r="AV375" s="14">
        <f>ROUND(INDEX(挂机升级突破!$DJ$6:$DJ$57,卡牌消耗!AT375)*INDEX(卡牌消耗!$B$8:$F$8,AR375)/$Q$4/50,0)*50</f>
        <v>1900</v>
      </c>
      <c r="AW375" s="14" t="str">
        <f>IF(AN375&gt;0,INDEX(挂机升级突破!$DT$4:$ED$4,AN375),"")</f>
        <v>蓝色基础材料</v>
      </c>
      <c r="AX375" s="14">
        <f>ROUND(INDEX(挂机升级突破!$DT$6:$ED$57,卡牌消耗!AT375,AN375)*INDEX(卡牌消耗!$B$5:$F$5,AR375)/$Q$4/5,0)*5</f>
        <v>35</v>
      </c>
      <c r="AY375" s="14" t="str">
        <f>IF(AO375&gt;0,INDEX(挂机升级突破!$DT$4:$ED$4,AO375),"")</f>
        <v/>
      </c>
      <c r="AZ375" s="14" t="str">
        <f>IF(AO375&gt;0,ROUND(INDEX(挂机升级突破!$DT$6:$ED$57,卡牌消耗!AT375,AO375)*INDEX(卡牌消耗!$B$7:$F$7,AR375)/$Q$4,0),"")</f>
        <v/>
      </c>
      <c r="BA375" s="106"/>
      <c r="BB375" s="197"/>
      <c r="BC375" s="197"/>
      <c r="BD375" s="197"/>
      <c r="BE375" s="197"/>
      <c r="BF375" s="197"/>
      <c r="BG375" s="197"/>
      <c r="BH375" s="197"/>
      <c r="BI375" s="197"/>
      <c r="BJ375" s="197"/>
      <c r="BK375" s="197"/>
      <c r="BL375" s="104">
        <v>371</v>
      </c>
      <c r="BM375" s="14">
        <f t="shared" si="350"/>
        <v>19</v>
      </c>
      <c r="BN375" s="14">
        <f>INDEX(挂机升级突破!$EI$7:$EI$26,BS375)</f>
        <v>5</v>
      </c>
      <c r="BO375" s="14">
        <f>INDEX(挂机升级突破!$EJ$7:$EJ$26,BS375)</f>
        <v>2</v>
      </c>
      <c r="BP375" s="14">
        <f t="shared" si="351"/>
        <v>2</v>
      </c>
      <c r="BQ375" s="14">
        <f>INDEX(挂机升级突破!$EH$7:$EH$26,卡牌消耗!BS375)</f>
        <v>72</v>
      </c>
      <c r="BR375" s="14" t="str">
        <f t="shared" si="352"/>
        <v>食火蜥</v>
      </c>
      <c r="BS375" s="14">
        <f t="shared" si="353"/>
        <v>11</v>
      </c>
      <c r="BT375" s="14" t="str">
        <f t="shared" si="354"/>
        <v>食火蜥11突</v>
      </c>
      <c r="BU375" s="14" t="str">
        <f>IF(BN375&gt;0,INDEX(挂机升级突破!$ER$5:$EV$5,卡牌消耗!BN375),"")</f>
        <v>金币</v>
      </c>
      <c r="BV375" s="14">
        <f>IF(BN375&gt;0,ROUND(INDEX(挂机升级突破!$EV$7:$EV$26,卡牌消耗!BS375)*INDEX(卡牌消耗!$B$8:$F$8,BP375)/$Q$4/500,0)*500,"")</f>
        <v>13000</v>
      </c>
      <c r="BW375" s="14" t="str">
        <f>IF(BO375&gt;0,INDEX(挂机升级突破!$ER$5:$EV$5,卡牌消耗!BO375),"")</f>
        <v>乌金</v>
      </c>
      <c r="BX375" s="14">
        <f>IF(BO375&gt;0,ROUND(INDEX(挂机升级突破!$ER$7:$EU$26,卡牌消耗!BS375,卡牌消耗!BO375)*INDEX($B$6:$F$6,BP375)/$Q$4/5,0)*5,"")</f>
        <v>75</v>
      </c>
      <c r="BY375" s="193"/>
      <c r="BZ375" s="193"/>
      <c r="CA375" s="106"/>
      <c r="CS375" s="171"/>
      <c r="CT375" s="171"/>
      <c r="CU375" s="171"/>
    </row>
    <row r="376" spans="8:99" ht="16.5" x14ac:dyDescent="0.2">
      <c r="H376" s="15"/>
      <c r="I376" s="15"/>
      <c r="J376" s="15"/>
      <c r="K376" s="15"/>
      <c r="L376" s="15"/>
      <c r="M376" s="15"/>
      <c r="N376" s="15"/>
      <c r="O376" s="137"/>
      <c r="P376" s="141"/>
      <c r="Q376" s="141"/>
      <c r="R376" s="141"/>
      <c r="S376" s="141"/>
      <c r="T376" s="141"/>
      <c r="U376" s="141"/>
      <c r="V376" s="141"/>
      <c r="W376" s="141"/>
      <c r="X376" s="141"/>
      <c r="Y376" s="141"/>
      <c r="Z376" s="141"/>
      <c r="AA376" s="194"/>
      <c r="AB376" s="194"/>
      <c r="AC376" s="194"/>
      <c r="AD376" s="194"/>
      <c r="AE376" s="194"/>
      <c r="AF376" s="194"/>
      <c r="AG376" s="197"/>
      <c r="AH376" s="194"/>
      <c r="AI376" s="194"/>
      <c r="AJ376" s="194"/>
      <c r="AK376" s="104">
        <v>372</v>
      </c>
      <c r="AL376" s="14">
        <f t="shared" si="345"/>
        <v>8</v>
      </c>
      <c r="AM376" s="14">
        <f>INDEX(挂机升级突破!DQ$6:DQ$57,卡牌消耗!$AT376)</f>
        <v>11</v>
      </c>
      <c r="AN376" s="14">
        <f>INDEX(挂机升级突破!DR$6:DR$57,卡牌消耗!$AT376)</f>
        <v>2</v>
      </c>
      <c r="AO376" s="14">
        <f>INDEX(挂机升级突破!DS$6:DS$57,卡牌消耗!$AT376)</f>
        <v>0</v>
      </c>
      <c r="AP376" s="14">
        <f>INDEX(挂机升级突破!$DP$6:$DP$57,卡牌消耗!AT376)</f>
        <v>38</v>
      </c>
      <c r="AQ376" s="14" t="str">
        <f t="shared" si="346"/>
        <v>夏侯渊</v>
      </c>
      <c r="AR376" s="14">
        <f t="shared" si="347"/>
        <v>4</v>
      </c>
      <c r="AS376" s="14" t="str">
        <f t="shared" si="348"/>
        <v>夏侯渊魂火-8</v>
      </c>
      <c r="AT376" s="14">
        <f t="shared" si="349"/>
        <v>8</v>
      </c>
      <c r="AU376" s="14" t="str">
        <f>IF(AM376&gt;0,INDEX(挂机升级突破!$DT$4:$ED$4,AM376),"")</f>
        <v>金币</v>
      </c>
      <c r="AV376" s="14">
        <f>ROUND(INDEX(挂机升级突破!$DJ$6:$DJ$57,卡牌消耗!AT376)*INDEX(卡牌消耗!$B$8:$F$8,AR376)/$Q$4/50,0)*50</f>
        <v>2850</v>
      </c>
      <c r="AW376" s="14" t="str">
        <f>IF(AN376&gt;0,INDEX(挂机升级突破!$DT$4:$ED$4,AN376),"")</f>
        <v>蓝色基础材料</v>
      </c>
      <c r="AX376" s="14">
        <f>ROUND(INDEX(挂机升级突破!$DT$6:$ED$57,卡牌消耗!AT376,AN376)*INDEX(卡牌消耗!$B$5:$F$5,AR376)/$Q$4/5,0)*5</f>
        <v>70</v>
      </c>
      <c r="AY376" s="14" t="str">
        <f>IF(AO376&gt;0,INDEX(挂机升级突破!$DT$4:$ED$4,AO376),"")</f>
        <v/>
      </c>
      <c r="AZ376" s="14" t="str">
        <f>IF(AO376&gt;0,ROUND(INDEX(挂机升级突破!$DT$6:$ED$57,卡牌消耗!AT376,AO376)*INDEX(卡牌消耗!$B$7:$F$7,AR376)/$Q$4,0),"")</f>
        <v/>
      </c>
      <c r="BA376" s="106"/>
      <c r="BB376" s="197"/>
      <c r="BC376" s="197"/>
      <c r="BD376" s="197"/>
      <c r="BE376" s="197"/>
      <c r="BF376" s="197"/>
      <c r="BG376" s="197"/>
      <c r="BH376" s="197"/>
      <c r="BI376" s="197"/>
      <c r="BJ376" s="197"/>
      <c r="BK376" s="197"/>
      <c r="BL376" s="104">
        <v>372</v>
      </c>
      <c r="BM376" s="14">
        <f t="shared" si="350"/>
        <v>19</v>
      </c>
      <c r="BN376" s="14">
        <f>INDEX(挂机升级突破!$EI$7:$EI$26,BS376)</f>
        <v>5</v>
      </c>
      <c r="BO376" s="14">
        <f>INDEX(挂机升级突破!$EJ$7:$EJ$26,BS376)</f>
        <v>2</v>
      </c>
      <c r="BP376" s="14">
        <f t="shared" si="351"/>
        <v>2</v>
      </c>
      <c r="BQ376" s="14">
        <f>INDEX(挂机升级突破!$EH$7:$EH$26,卡牌消耗!BS376)</f>
        <v>80</v>
      </c>
      <c r="BR376" s="14" t="str">
        <f t="shared" si="352"/>
        <v>食火蜥</v>
      </c>
      <c r="BS376" s="14">
        <f t="shared" si="353"/>
        <v>12</v>
      </c>
      <c r="BT376" s="14" t="str">
        <f t="shared" si="354"/>
        <v>食火蜥12突</v>
      </c>
      <c r="BU376" s="14" t="str">
        <f>IF(BN376&gt;0,INDEX(挂机升级突破!$ER$5:$EV$5,卡牌消耗!BN376),"")</f>
        <v>金币</v>
      </c>
      <c r="BV376" s="14">
        <f>IF(BN376&gt;0,ROUND(INDEX(挂机升级突破!$EV$7:$EV$26,卡牌消耗!BS376)*INDEX(卡牌消耗!$B$8:$F$8,BP376)/$Q$4/500,0)*500,"")</f>
        <v>17500</v>
      </c>
      <c r="BW376" s="14" t="str">
        <f>IF(BO376&gt;0,INDEX(挂机升级突破!$ER$5:$EV$5,卡牌消耗!BO376),"")</f>
        <v>乌金</v>
      </c>
      <c r="BX376" s="14">
        <f>IF(BO376&gt;0,ROUND(INDEX(挂机升级突破!$ER$7:$EU$26,卡牌消耗!BS376,卡牌消耗!BO376)*INDEX($B$6:$F$6,BP376)/$Q$4/5,0)*5,"")</f>
        <v>95</v>
      </c>
      <c r="BY376" s="193"/>
      <c r="BZ376" s="193"/>
      <c r="CA376" s="106"/>
      <c r="CS376" s="171"/>
      <c r="CT376" s="171"/>
      <c r="CU376" s="171"/>
    </row>
    <row r="377" spans="8:99" ht="16.5" x14ac:dyDescent="0.2">
      <c r="H377" s="15"/>
      <c r="I377" s="15"/>
      <c r="J377" s="15"/>
      <c r="K377" s="15"/>
      <c r="L377" s="15"/>
      <c r="M377" s="15"/>
      <c r="N377" s="15"/>
      <c r="O377" s="137"/>
      <c r="P377" s="141"/>
      <c r="Q377" s="141"/>
      <c r="R377" s="141"/>
      <c r="S377" s="141"/>
      <c r="T377" s="141"/>
      <c r="U377" s="141"/>
      <c r="V377" s="141"/>
      <c r="W377" s="141"/>
      <c r="X377" s="141"/>
      <c r="Y377" s="141"/>
      <c r="Z377" s="141"/>
      <c r="AA377" s="194"/>
      <c r="AB377" s="194"/>
      <c r="AC377" s="194"/>
      <c r="AD377" s="194"/>
      <c r="AE377" s="194"/>
      <c r="AF377" s="194"/>
      <c r="AG377" s="197"/>
      <c r="AH377" s="194"/>
      <c r="AI377" s="194"/>
      <c r="AJ377" s="194"/>
      <c r="AK377" s="104">
        <v>373</v>
      </c>
      <c r="AL377" s="14">
        <f t="shared" si="345"/>
        <v>8</v>
      </c>
      <c r="AM377" s="14">
        <f>INDEX(挂机升级突破!DQ$6:DQ$57,卡牌消耗!$AT377)</f>
        <v>11</v>
      </c>
      <c r="AN377" s="14">
        <f>INDEX(挂机升级突破!DR$6:DR$57,卡牌消耗!$AT377)</f>
        <v>2</v>
      </c>
      <c r="AO377" s="14">
        <f>INDEX(挂机升级突破!DS$6:DS$57,卡牌消耗!$AT377)</f>
        <v>0</v>
      </c>
      <c r="AP377" s="14">
        <f>INDEX(挂机升级突破!$DP$6:$DP$57,卡牌消耗!AT377)</f>
        <v>40</v>
      </c>
      <c r="AQ377" s="14" t="str">
        <f t="shared" si="346"/>
        <v>夏侯渊</v>
      </c>
      <c r="AR377" s="14">
        <f t="shared" si="347"/>
        <v>4</v>
      </c>
      <c r="AS377" s="14" t="str">
        <f t="shared" si="348"/>
        <v>夏侯渊魂火-9</v>
      </c>
      <c r="AT377" s="14">
        <f t="shared" si="349"/>
        <v>9</v>
      </c>
      <c r="AU377" s="14" t="str">
        <f>IF(AM377&gt;0,INDEX(挂机升级突破!$DT$4:$ED$4,AM377),"")</f>
        <v>金币</v>
      </c>
      <c r="AV377" s="14">
        <f>ROUND(INDEX(挂机升级突破!$DJ$6:$DJ$57,卡牌消耗!AT377)*INDEX(卡牌消耗!$B$8:$F$8,AR377)/$Q$4/50,0)*50</f>
        <v>2850</v>
      </c>
      <c r="AW377" s="14" t="str">
        <f>IF(AN377&gt;0,INDEX(挂机升级突破!$DT$4:$ED$4,AN377),"")</f>
        <v>蓝色基础材料</v>
      </c>
      <c r="AX377" s="14">
        <f>ROUND(INDEX(挂机升级突破!$DT$6:$ED$57,卡牌消耗!AT377,AN377)*INDEX(卡牌消耗!$B$5:$F$5,AR377)/$Q$4/5,0)*5</f>
        <v>70</v>
      </c>
      <c r="AY377" s="14" t="str">
        <f>IF(AO377&gt;0,INDEX(挂机升级突破!$DT$4:$ED$4,AO377),"")</f>
        <v/>
      </c>
      <c r="AZ377" s="14" t="str">
        <f>IF(AO377&gt;0,ROUND(INDEX(挂机升级突破!$DT$6:$ED$57,卡牌消耗!AT377,AO377)*INDEX(卡牌消耗!$B$7:$F$7,AR377)/$Q$4,0),"")</f>
        <v/>
      </c>
      <c r="BA377" s="106"/>
      <c r="BB377" s="197"/>
      <c r="BC377" s="197"/>
      <c r="BD377" s="197"/>
      <c r="BE377" s="197"/>
      <c r="BF377" s="197"/>
      <c r="BG377" s="197"/>
      <c r="BH377" s="197"/>
      <c r="BI377" s="197"/>
      <c r="BJ377" s="197"/>
      <c r="BK377" s="197"/>
      <c r="BL377" s="104">
        <v>373</v>
      </c>
      <c r="BM377" s="14">
        <f t="shared" si="350"/>
        <v>19</v>
      </c>
      <c r="BN377" s="14">
        <f>INDEX(挂机升级突破!$EI$7:$EI$26,BS377)</f>
        <v>5</v>
      </c>
      <c r="BO377" s="14">
        <f>INDEX(挂机升级突破!$EJ$7:$EJ$26,BS377)</f>
        <v>3</v>
      </c>
      <c r="BP377" s="14">
        <f t="shared" si="351"/>
        <v>2</v>
      </c>
      <c r="BQ377" s="14">
        <f>INDEX(挂机升级突破!$EH$7:$EH$26,卡牌消耗!BS377)</f>
        <v>87</v>
      </c>
      <c r="BR377" s="14" t="str">
        <f t="shared" si="352"/>
        <v>食火蜥</v>
      </c>
      <c r="BS377" s="14">
        <f t="shared" si="353"/>
        <v>13</v>
      </c>
      <c r="BT377" s="14" t="str">
        <f t="shared" si="354"/>
        <v>食火蜥13突</v>
      </c>
      <c r="BU377" s="14" t="str">
        <f>IF(BN377&gt;0,INDEX(挂机升级突破!$ER$5:$EV$5,卡牌消耗!BN377),"")</f>
        <v>金币</v>
      </c>
      <c r="BV377" s="14">
        <f>IF(BN377&gt;0,ROUND(INDEX(挂机升级突破!$EV$7:$EV$26,卡牌消耗!BS377)*INDEX(卡牌消耗!$B$8:$F$8,BP377)/$Q$4/500,0)*500,"")</f>
        <v>23500</v>
      </c>
      <c r="BW377" s="14" t="str">
        <f>IF(BO377&gt;0,INDEX(挂机升级突破!$ER$5:$EV$5,卡牌消耗!BO377),"")</f>
        <v>银母</v>
      </c>
      <c r="BX377" s="14">
        <f>IF(BO377&gt;0,ROUND(INDEX(挂机升级突破!$ER$7:$EU$26,卡牌消耗!BS377,卡牌消耗!BO377)*INDEX($B$6:$F$6,BP377)/$Q$4/5,0)*5,"")</f>
        <v>30</v>
      </c>
      <c r="BY377" s="193"/>
      <c r="BZ377" s="193"/>
      <c r="CA377" s="106"/>
      <c r="CS377" s="171"/>
      <c r="CT377" s="171"/>
      <c r="CU377" s="171"/>
    </row>
    <row r="378" spans="8:99" ht="16.5" x14ac:dyDescent="0.2">
      <c r="H378" s="15"/>
      <c r="I378" s="15"/>
      <c r="J378" s="15"/>
      <c r="K378" s="15"/>
      <c r="L378" s="15"/>
      <c r="M378" s="15"/>
      <c r="N378" s="15"/>
      <c r="O378" s="137"/>
      <c r="P378" s="141"/>
      <c r="Q378" s="141"/>
      <c r="R378" s="141"/>
      <c r="S378" s="141"/>
      <c r="T378" s="141"/>
      <c r="U378" s="141"/>
      <c r="V378" s="141"/>
      <c r="W378" s="141"/>
      <c r="X378" s="141"/>
      <c r="Y378" s="141"/>
      <c r="Z378" s="141"/>
      <c r="AA378" s="194"/>
      <c r="AB378" s="194"/>
      <c r="AC378" s="194"/>
      <c r="AD378" s="194"/>
      <c r="AE378" s="194"/>
      <c r="AF378" s="194"/>
      <c r="AG378" s="197"/>
      <c r="AH378" s="194"/>
      <c r="AI378" s="194"/>
      <c r="AJ378" s="194"/>
      <c r="AK378" s="104">
        <v>374</v>
      </c>
      <c r="AL378" s="14">
        <f t="shared" si="345"/>
        <v>8</v>
      </c>
      <c r="AM378" s="14">
        <f>INDEX(挂机升级突破!DQ$6:DQ$57,卡牌消耗!$AT378)</f>
        <v>11</v>
      </c>
      <c r="AN378" s="14">
        <f>INDEX(挂机升级突破!DR$6:DR$57,卡牌消耗!$AT378)</f>
        <v>2</v>
      </c>
      <c r="AO378" s="14">
        <f>INDEX(挂机升级突破!DS$6:DS$57,卡牌消耗!$AT378)</f>
        <v>0</v>
      </c>
      <c r="AP378" s="14">
        <f>INDEX(挂机升级突破!$DP$6:$DP$57,卡牌消耗!AT378)</f>
        <v>43</v>
      </c>
      <c r="AQ378" s="14" t="str">
        <f t="shared" si="346"/>
        <v>夏侯渊</v>
      </c>
      <c r="AR378" s="14">
        <f t="shared" si="347"/>
        <v>4</v>
      </c>
      <c r="AS378" s="14" t="str">
        <f t="shared" si="348"/>
        <v>夏侯渊魂火-10</v>
      </c>
      <c r="AT378" s="14">
        <f t="shared" si="349"/>
        <v>10</v>
      </c>
      <c r="AU378" s="14" t="str">
        <f>IF(AM378&gt;0,INDEX(挂机升级突破!$DT$4:$ED$4,AM378),"")</f>
        <v>金币</v>
      </c>
      <c r="AV378" s="14">
        <f>ROUND(INDEX(挂机升级突破!$DJ$6:$DJ$57,卡牌消耗!AT378)*INDEX(卡牌消耗!$B$8:$F$8,AR378)/$Q$4/50,0)*50</f>
        <v>4750</v>
      </c>
      <c r="AW378" s="14" t="str">
        <f>IF(AN378&gt;0,INDEX(挂机升级突破!$DT$4:$ED$4,AN378),"")</f>
        <v>蓝色基础材料</v>
      </c>
      <c r="AX378" s="14">
        <f>ROUND(INDEX(挂机升级突破!$DT$6:$ED$57,卡牌消耗!AT378,AN378)*INDEX(卡牌消耗!$B$5:$F$5,AR378)/$Q$4/5,0)*5</f>
        <v>105</v>
      </c>
      <c r="AY378" s="14" t="str">
        <f>IF(AO378&gt;0,INDEX(挂机升级突破!$DT$4:$ED$4,AO378),"")</f>
        <v/>
      </c>
      <c r="AZ378" s="14" t="str">
        <f>IF(AO378&gt;0,ROUND(INDEX(挂机升级突破!$DT$6:$ED$57,卡牌消耗!AT378,AO378)*INDEX(卡牌消耗!$B$7:$F$7,AR378)/$Q$4,0),"")</f>
        <v/>
      </c>
      <c r="BA378" s="106"/>
      <c r="BB378" s="197"/>
      <c r="BC378" s="197"/>
      <c r="BD378" s="197"/>
      <c r="BE378" s="197"/>
      <c r="BF378" s="197"/>
      <c r="BG378" s="197"/>
      <c r="BH378" s="197"/>
      <c r="BI378" s="197"/>
      <c r="BJ378" s="197"/>
      <c r="BK378" s="197"/>
      <c r="BL378" s="104">
        <v>374</v>
      </c>
      <c r="BM378" s="14">
        <f t="shared" si="350"/>
        <v>19</v>
      </c>
      <c r="BN378" s="14">
        <f>INDEX(挂机升级突破!$EI$7:$EI$26,BS378)</f>
        <v>5</v>
      </c>
      <c r="BO378" s="14">
        <f>INDEX(挂机升级突破!$EJ$7:$EJ$26,BS378)</f>
        <v>3</v>
      </c>
      <c r="BP378" s="14">
        <f t="shared" si="351"/>
        <v>2</v>
      </c>
      <c r="BQ378" s="14">
        <f>INDEX(挂机升级突破!$EH$7:$EH$26,卡牌消耗!BS378)</f>
        <v>95</v>
      </c>
      <c r="BR378" s="14" t="str">
        <f t="shared" si="352"/>
        <v>食火蜥</v>
      </c>
      <c r="BS378" s="14">
        <f t="shared" si="353"/>
        <v>14</v>
      </c>
      <c r="BT378" s="14" t="str">
        <f t="shared" si="354"/>
        <v>食火蜥14突</v>
      </c>
      <c r="BU378" s="14" t="str">
        <f>IF(BN378&gt;0,INDEX(挂机升级突破!$ER$5:$EV$5,卡牌消耗!BN378),"")</f>
        <v>金币</v>
      </c>
      <c r="BV378" s="14">
        <f>IF(BN378&gt;0,ROUND(INDEX(挂机升级突破!$EV$7:$EV$26,卡牌消耗!BS378)*INDEX(卡牌消耗!$B$8:$F$8,BP378)/$Q$4/500,0)*500,"")</f>
        <v>23500</v>
      </c>
      <c r="BW378" s="14" t="str">
        <f>IF(BO378&gt;0,INDEX(挂机升级突破!$ER$5:$EV$5,卡牌消耗!BO378),"")</f>
        <v>银母</v>
      </c>
      <c r="BX378" s="14">
        <f>IF(BO378&gt;0,ROUND(INDEX(挂机升级突破!$ER$7:$EU$26,卡牌消耗!BS378,卡牌消耗!BO378)*INDEX($B$6:$F$6,BP378)/$Q$4/5,0)*5,"")</f>
        <v>45</v>
      </c>
      <c r="BY378" s="193"/>
      <c r="BZ378" s="193"/>
      <c r="CA378" s="106"/>
      <c r="CS378" s="171"/>
      <c r="CT378" s="171"/>
      <c r="CU378" s="171"/>
    </row>
    <row r="379" spans="8:99" ht="16.5" x14ac:dyDescent="0.2">
      <c r="H379" s="15"/>
      <c r="I379" s="15"/>
      <c r="J379" s="15"/>
      <c r="K379" s="15"/>
      <c r="L379" s="15"/>
      <c r="M379" s="15"/>
      <c r="N379" s="15"/>
      <c r="O379" s="137"/>
      <c r="P379" s="141"/>
      <c r="Q379" s="141"/>
      <c r="R379" s="141"/>
      <c r="S379" s="141"/>
      <c r="T379" s="141"/>
      <c r="U379" s="141"/>
      <c r="V379" s="141"/>
      <c r="W379" s="141"/>
      <c r="X379" s="141"/>
      <c r="Y379" s="141"/>
      <c r="Z379" s="141"/>
      <c r="AA379" s="194"/>
      <c r="AB379" s="194"/>
      <c r="AC379" s="194"/>
      <c r="AD379" s="194"/>
      <c r="AE379" s="194"/>
      <c r="AF379" s="194"/>
      <c r="AG379" s="197"/>
      <c r="AH379" s="194"/>
      <c r="AI379" s="194"/>
      <c r="AJ379" s="194"/>
      <c r="AK379" s="104">
        <v>375</v>
      </c>
      <c r="AL379" s="14">
        <f t="shared" si="345"/>
        <v>8</v>
      </c>
      <c r="AM379" s="14">
        <f>INDEX(挂机升级突破!DQ$6:DQ$57,卡牌消耗!$AT379)</f>
        <v>11</v>
      </c>
      <c r="AN379" s="14">
        <f>INDEX(挂机升级突破!DR$6:DR$57,卡牌消耗!$AT379)</f>
        <v>2</v>
      </c>
      <c r="AO379" s="14">
        <f>INDEX(挂机升级突破!DS$6:DS$57,卡牌消耗!$AT379)</f>
        <v>0</v>
      </c>
      <c r="AP379" s="14">
        <f>INDEX(挂机升级突破!$DP$6:$DP$57,卡牌消耗!AT379)</f>
        <v>45</v>
      </c>
      <c r="AQ379" s="14" t="str">
        <f t="shared" si="346"/>
        <v>夏侯渊</v>
      </c>
      <c r="AR379" s="14">
        <f t="shared" si="347"/>
        <v>4</v>
      </c>
      <c r="AS379" s="14" t="str">
        <f t="shared" si="348"/>
        <v>夏侯渊魂火-11</v>
      </c>
      <c r="AT379" s="14">
        <f t="shared" si="349"/>
        <v>11</v>
      </c>
      <c r="AU379" s="14" t="str">
        <f>IF(AM379&gt;0,INDEX(挂机升级突破!$DT$4:$ED$4,AM379),"")</f>
        <v>金币</v>
      </c>
      <c r="AV379" s="14">
        <f>ROUND(INDEX(挂机升级突破!$DJ$6:$DJ$57,卡牌消耗!AT379)*INDEX(卡牌消耗!$B$8:$F$8,AR379)/$Q$4/50,0)*50</f>
        <v>4750</v>
      </c>
      <c r="AW379" s="14" t="str">
        <f>IF(AN379&gt;0,INDEX(挂机升级突破!$DT$4:$ED$4,AN379),"")</f>
        <v>蓝色基础材料</v>
      </c>
      <c r="AX379" s="14">
        <f>ROUND(INDEX(挂机升级突破!$DT$6:$ED$57,卡牌消耗!AT379,AN379)*INDEX(卡牌消耗!$B$5:$F$5,AR379)/$Q$4/5,0)*5</f>
        <v>105</v>
      </c>
      <c r="AY379" s="14" t="str">
        <f>IF(AO379&gt;0,INDEX(挂机升级突破!$DT$4:$ED$4,AO379),"")</f>
        <v/>
      </c>
      <c r="AZ379" s="14" t="str">
        <f>IF(AO379&gt;0,ROUND(INDEX(挂机升级突破!$DT$6:$ED$57,卡牌消耗!AT379,AO379)*INDEX(卡牌消耗!$B$7:$F$7,AR379)/$Q$4,0),"")</f>
        <v/>
      </c>
      <c r="BA379" s="106"/>
      <c r="BB379" s="197"/>
      <c r="BC379" s="197"/>
      <c r="BD379" s="197"/>
      <c r="BE379" s="197"/>
      <c r="BF379" s="197"/>
      <c r="BG379" s="197"/>
      <c r="BH379" s="197"/>
      <c r="BI379" s="197"/>
      <c r="BJ379" s="197"/>
      <c r="BK379" s="197"/>
      <c r="BL379" s="104">
        <v>375</v>
      </c>
      <c r="BM379" s="14">
        <f t="shared" si="350"/>
        <v>19</v>
      </c>
      <c r="BN379" s="14">
        <f>INDEX(挂机升级突破!$EI$7:$EI$26,BS379)</f>
        <v>5</v>
      </c>
      <c r="BO379" s="14">
        <f>INDEX(挂机升级突破!$EJ$7:$EJ$26,BS379)</f>
        <v>3</v>
      </c>
      <c r="BP379" s="14">
        <f t="shared" si="351"/>
        <v>2</v>
      </c>
      <c r="BQ379" s="14">
        <f>INDEX(挂机升级突破!$EH$7:$EH$26,卡牌消耗!BS379)</f>
        <v>102</v>
      </c>
      <c r="BR379" s="14" t="str">
        <f t="shared" si="352"/>
        <v>食火蜥</v>
      </c>
      <c r="BS379" s="14">
        <f t="shared" si="353"/>
        <v>15</v>
      </c>
      <c r="BT379" s="14" t="str">
        <f t="shared" si="354"/>
        <v>食火蜥15突</v>
      </c>
      <c r="BU379" s="14" t="str">
        <f>IF(BN379&gt;0,INDEX(挂机升级突破!$ER$5:$EV$5,卡牌消耗!BN379),"")</f>
        <v>金币</v>
      </c>
      <c r="BV379" s="14">
        <f>IF(BN379&gt;0,ROUND(INDEX(挂机升级突破!$EV$7:$EV$26,卡牌消耗!BS379)*INDEX(卡牌消耗!$B$8:$F$8,BP379)/$Q$4/500,0)*500,"")</f>
        <v>31000</v>
      </c>
      <c r="BW379" s="14" t="str">
        <f>IF(BO379&gt;0,INDEX(挂机升级突破!$ER$5:$EV$5,卡牌消耗!BO379),"")</f>
        <v>银母</v>
      </c>
      <c r="BX379" s="14">
        <f>IF(BO379&gt;0,ROUND(INDEX(挂机升级突破!$ER$7:$EU$26,卡牌消耗!BS379,卡牌消耗!BO379)*INDEX($B$6:$F$6,BP379)/$Q$4/5,0)*5,"")</f>
        <v>55</v>
      </c>
      <c r="BY379" s="193"/>
      <c r="BZ379" s="193"/>
      <c r="CA379" s="106"/>
      <c r="CS379" s="171"/>
      <c r="CT379" s="171"/>
      <c r="CU379" s="171"/>
    </row>
    <row r="380" spans="8:99" ht="16.5" x14ac:dyDescent="0.2">
      <c r="H380" s="15"/>
      <c r="I380" s="15"/>
      <c r="J380" s="15"/>
      <c r="K380" s="15"/>
      <c r="L380" s="15"/>
      <c r="M380" s="15"/>
      <c r="N380" s="15"/>
      <c r="O380" s="137"/>
      <c r="P380" s="141"/>
      <c r="Q380" s="141"/>
      <c r="R380" s="141"/>
      <c r="S380" s="141"/>
      <c r="T380" s="141"/>
      <c r="U380" s="141"/>
      <c r="V380" s="141"/>
      <c r="W380" s="141"/>
      <c r="X380" s="141"/>
      <c r="Y380" s="141"/>
      <c r="Z380" s="141"/>
      <c r="AA380" s="194"/>
      <c r="AB380" s="194"/>
      <c r="AC380" s="194"/>
      <c r="AD380" s="194"/>
      <c r="AE380" s="194"/>
      <c r="AF380" s="194"/>
      <c r="AG380" s="197"/>
      <c r="AH380" s="194"/>
      <c r="AI380" s="194"/>
      <c r="AJ380" s="194"/>
      <c r="AK380" s="104">
        <v>376</v>
      </c>
      <c r="AL380" s="14">
        <f t="shared" si="345"/>
        <v>8</v>
      </c>
      <c r="AM380" s="14">
        <f>INDEX(挂机升级突破!DQ$6:DQ$57,卡牌消耗!$AT380)</f>
        <v>11</v>
      </c>
      <c r="AN380" s="14">
        <f>INDEX(挂机升级突破!DR$6:DR$57,卡牌消耗!$AT380)</f>
        <v>2</v>
      </c>
      <c r="AO380" s="14">
        <f>INDEX(挂机升级突破!DS$6:DS$57,卡牌消耗!$AT380)</f>
        <v>0</v>
      </c>
      <c r="AP380" s="14">
        <f>INDEX(挂机升级突破!$DP$6:$DP$57,卡牌消耗!AT380)</f>
        <v>48</v>
      </c>
      <c r="AQ380" s="14" t="str">
        <f t="shared" si="346"/>
        <v>夏侯渊</v>
      </c>
      <c r="AR380" s="14">
        <f t="shared" si="347"/>
        <v>4</v>
      </c>
      <c r="AS380" s="14" t="str">
        <f t="shared" si="348"/>
        <v>夏侯渊魂火-12</v>
      </c>
      <c r="AT380" s="14">
        <f t="shared" si="349"/>
        <v>12</v>
      </c>
      <c r="AU380" s="14" t="str">
        <f>IF(AM380&gt;0,INDEX(挂机升级突破!$DT$4:$ED$4,AM380),"")</f>
        <v>金币</v>
      </c>
      <c r="AV380" s="14">
        <f>ROUND(INDEX(挂机升级突破!$DJ$6:$DJ$57,卡牌消耗!AT380)*INDEX(卡牌消耗!$B$8:$F$8,AR380)/$Q$4/50,0)*50</f>
        <v>4100</v>
      </c>
      <c r="AW380" s="14" t="str">
        <f>IF(AN380&gt;0,INDEX(挂机升级突破!$DT$4:$ED$4,AN380),"")</f>
        <v>蓝色基础材料</v>
      </c>
      <c r="AX380" s="14">
        <f>ROUND(INDEX(挂机升级突破!$DT$6:$ED$57,卡牌消耗!AT380,AN380)*INDEX(卡牌消耗!$B$5:$F$5,AR380)/$Q$4/5,0)*5</f>
        <v>140</v>
      </c>
      <c r="AY380" s="14" t="str">
        <f>IF(AO380&gt;0,INDEX(挂机升级突破!$DT$4:$ED$4,AO380),"")</f>
        <v/>
      </c>
      <c r="AZ380" s="14" t="str">
        <f>IF(AO380&gt;0,ROUND(INDEX(挂机升级突破!$DT$6:$ED$57,卡牌消耗!AT380,AO380)*INDEX(卡牌消耗!$B$7:$F$7,AR380)/$Q$4,0),"")</f>
        <v/>
      </c>
      <c r="BA380" s="106"/>
      <c r="BB380" s="197"/>
      <c r="BC380" s="197"/>
      <c r="BD380" s="197"/>
      <c r="BE380" s="197"/>
      <c r="BF380" s="197"/>
      <c r="BG380" s="197"/>
      <c r="BH380" s="197"/>
      <c r="BI380" s="197"/>
      <c r="BJ380" s="197"/>
      <c r="BK380" s="197"/>
      <c r="BL380" s="104">
        <v>376</v>
      </c>
      <c r="BM380" s="14">
        <f t="shared" si="350"/>
        <v>19</v>
      </c>
      <c r="BN380" s="14">
        <f>INDEX(挂机升级突破!$EI$7:$EI$26,BS380)</f>
        <v>5</v>
      </c>
      <c r="BO380" s="14">
        <f>INDEX(挂机升级突破!$EJ$7:$EJ$26,BS380)</f>
        <v>3</v>
      </c>
      <c r="BP380" s="14">
        <f t="shared" si="351"/>
        <v>2</v>
      </c>
      <c r="BQ380" s="14">
        <f>INDEX(挂机升级突破!$EH$7:$EH$26,卡牌消耗!BS380)</f>
        <v>110</v>
      </c>
      <c r="BR380" s="14" t="str">
        <f t="shared" si="352"/>
        <v>食火蜥</v>
      </c>
      <c r="BS380" s="14">
        <f t="shared" si="353"/>
        <v>16</v>
      </c>
      <c r="BT380" s="14" t="str">
        <f t="shared" si="354"/>
        <v>食火蜥16突</v>
      </c>
      <c r="BU380" s="14" t="str">
        <f>IF(BN380&gt;0,INDEX(挂机升级突破!$ER$5:$EV$5,卡牌消耗!BN380),"")</f>
        <v>金币</v>
      </c>
      <c r="BV380" s="14">
        <f>IF(BN380&gt;0,ROUND(INDEX(挂机升级突破!$EV$7:$EV$26,卡牌消耗!BS380)*INDEX(卡牌消耗!$B$8:$F$8,BP380)/$Q$4/500,0)*500,"")</f>
        <v>56500</v>
      </c>
      <c r="BW380" s="14" t="str">
        <f>IF(BO380&gt;0,INDEX(挂机升级突破!$ER$5:$EV$5,卡牌消耗!BO380),"")</f>
        <v>银母</v>
      </c>
      <c r="BX380" s="14">
        <f>IF(BO380&gt;0,ROUND(INDEX(挂机升级突破!$ER$7:$EU$26,卡牌消耗!BS380,卡牌消耗!BO380)*INDEX($B$6:$F$6,BP380)/$Q$4/5,0)*5,"")</f>
        <v>75</v>
      </c>
      <c r="BY380" s="193"/>
      <c r="BZ380" s="193"/>
      <c r="CA380" s="106"/>
      <c r="CS380" s="171"/>
      <c r="CT380" s="171"/>
      <c r="CU380" s="171"/>
    </row>
    <row r="381" spans="8:99" ht="16.5" x14ac:dyDescent="0.2">
      <c r="H381" s="15"/>
      <c r="I381" s="15"/>
      <c r="J381" s="15"/>
      <c r="K381" s="15"/>
      <c r="L381" s="15"/>
      <c r="M381" s="15"/>
      <c r="N381" s="15"/>
      <c r="O381" s="137"/>
      <c r="P381" s="141"/>
      <c r="Q381" s="141"/>
      <c r="R381" s="141"/>
      <c r="S381" s="141"/>
      <c r="T381" s="141"/>
      <c r="U381" s="141"/>
      <c r="V381" s="141"/>
      <c r="W381" s="141"/>
      <c r="X381" s="141"/>
      <c r="Y381" s="141"/>
      <c r="Z381" s="141"/>
      <c r="AA381" s="194"/>
      <c r="AB381" s="194"/>
      <c r="AC381" s="194"/>
      <c r="AD381" s="194"/>
      <c r="AE381" s="194"/>
      <c r="AF381" s="194"/>
      <c r="AG381" s="197"/>
      <c r="AH381" s="194"/>
      <c r="AI381" s="194"/>
      <c r="AJ381" s="194"/>
      <c r="AK381" s="104">
        <v>377</v>
      </c>
      <c r="AL381" s="14">
        <f t="shared" si="345"/>
        <v>8</v>
      </c>
      <c r="AM381" s="14">
        <f>INDEX(挂机升级突破!DQ$6:DQ$57,卡牌消耗!$AT381)</f>
        <v>11</v>
      </c>
      <c r="AN381" s="14">
        <f>INDEX(挂机升级突破!DR$6:DR$57,卡牌消耗!$AT381)</f>
        <v>2</v>
      </c>
      <c r="AO381" s="14">
        <f>INDEX(挂机升级突破!DS$6:DS$57,卡牌消耗!$AT381)</f>
        <v>0</v>
      </c>
      <c r="AP381" s="14">
        <f>INDEX(挂机升级突破!$DP$6:$DP$57,卡牌消耗!AT381)</f>
        <v>50</v>
      </c>
      <c r="AQ381" s="14" t="str">
        <f t="shared" si="346"/>
        <v>夏侯渊</v>
      </c>
      <c r="AR381" s="14">
        <f t="shared" si="347"/>
        <v>4</v>
      </c>
      <c r="AS381" s="14" t="str">
        <f t="shared" si="348"/>
        <v>夏侯渊魂火-13</v>
      </c>
      <c r="AT381" s="14">
        <f t="shared" si="349"/>
        <v>13</v>
      </c>
      <c r="AU381" s="14" t="str">
        <f>IF(AM381&gt;0,INDEX(挂机升级突破!$DT$4:$ED$4,AM381),"")</f>
        <v>金币</v>
      </c>
      <c r="AV381" s="14">
        <f>ROUND(INDEX(挂机升级突破!$DJ$6:$DJ$57,卡牌消耗!AT381)*INDEX(卡牌消耗!$B$8:$F$8,AR381)/$Q$4/50,0)*50</f>
        <v>4100</v>
      </c>
      <c r="AW381" s="14" t="str">
        <f>IF(AN381&gt;0,INDEX(挂机升级突破!$DT$4:$ED$4,AN381),"")</f>
        <v>蓝色基础材料</v>
      </c>
      <c r="AX381" s="14">
        <f>ROUND(INDEX(挂机升级突破!$DT$6:$ED$57,卡牌消耗!AT381,AN381)*INDEX(卡牌消耗!$B$5:$F$5,AR381)/$Q$4/5,0)*5</f>
        <v>140</v>
      </c>
      <c r="AY381" s="14" t="str">
        <f>IF(AO381&gt;0,INDEX(挂机升级突破!$DT$4:$ED$4,AO381),"")</f>
        <v/>
      </c>
      <c r="AZ381" s="14" t="str">
        <f>IF(AO381&gt;0,ROUND(INDEX(挂机升级突破!$DT$6:$ED$57,卡牌消耗!AT381,AO381)*INDEX(卡牌消耗!$B$7:$F$7,AR381)/$Q$4,0),"")</f>
        <v/>
      </c>
      <c r="BA381" s="106"/>
      <c r="BB381" s="197"/>
      <c r="BC381" s="197"/>
      <c r="BD381" s="197"/>
      <c r="BE381" s="197"/>
      <c r="BF381" s="197"/>
      <c r="BG381" s="197"/>
      <c r="BH381" s="197"/>
      <c r="BI381" s="197"/>
      <c r="BJ381" s="197"/>
      <c r="BK381" s="197"/>
      <c r="BL381" s="104">
        <v>377</v>
      </c>
      <c r="BM381" s="14">
        <f t="shared" si="350"/>
        <v>19</v>
      </c>
      <c r="BN381" s="14">
        <f>INDEX(挂机升级突破!$EI$7:$EI$26,BS381)</f>
        <v>5</v>
      </c>
      <c r="BO381" s="14">
        <f>INDEX(挂机升级突破!$EJ$7:$EJ$26,BS381)</f>
        <v>4</v>
      </c>
      <c r="BP381" s="14">
        <f t="shared" si="351"/>
        <v>2</v>
      </c>
      <c r="BQ381" s="14">
        <f>INDEX(挂机升级突破!$EH$7:$EH$26,卡牌消耗!BS381)</f>
        <v>117</v>
      </c>
      <c r="BR381" s="14" t="str">
        <f t="shared" si="352"/>
        <v>食火蜥</v>
      </c>
      <c r="BS381" s="14">
        <f t="shared" si="353"/>
        <v>17</v>
      </c>
      <c r="BT381" s="14" t="str">
        <f t="shared" si="354"/>
        <v>食火蜥17突</v>
      </c>
      <c r="BU381" s="14" t="str">
        <f>IF(BN381&gt;0,INDEX(挂机升级突破!$ER$5:$EV$5,卡牌消耗!BN381),"")</f>
        <v>金币</v>
      </c>
      <c r="BV381" s="14">
        <f>IF(BN381&gt;0,ROUND(INDEX(挂机升级突破!$EV$7:$EV$26,卡牌消耗!BS381)*INDEX(卡牌消耗!$B$8:$F$8,BP381)/$Q$4/500,0)*500,"")</f>
        <v>56500</v>
      </c>
      <c r="BW381" s="14" t="str">
        <f>IF(BO381&gt;0,INDEX(挂机升级突破!$ER$5:$EV$5,卡牌消耗!BO381),"")</f>
        <v>铀金</v>
      </c>
      <c r="BX381" s="14">
        <f>IF(BO381&gt;0,ROUND(INDEX(挂机升级突破!$ER$7:$EU$26,卡牌消耗!BS381,卡牌消耗!BO381)*INDEX($B$6:$F$6,BP381)/$Q$4/5,0)*5,"")</f>
        <v>15</v>
      </c>
      <c r="BY381" s="193"/>
      <c r="BZ381" s="193"/>
      <c r="CA381" s="106"/>
      <c r="CS381" s="171"/>
      <c r="CT381" s="171"/>
      <c r="CU381" s="171"/>
    </row>
    <row r="382" spans="8:99" ht="16.5" x14ac:dyDescent="0.2">
      <c r="H382" s="15"/>
      <c r="I382" s="15"/>
      <c r="J382" s="15"/>
      <c r="K382" s="15"/>
      <c r="L382" s="15"/>
      <c r="M382" s="15"/>
      <c r="N382" s="15"/>
      <c r="O382" s="137"/>
      <c r="P382" s="141"/>
      <c r="Q382" s="141"/>
      <c r="R382" s="141"/>
      <c r="S382" s="141"/>
      <c r="T382" s="141"/>
      <c r="U382" s="141"/>
      <c r="V382" s="141"/>
      <c r="W382" s="141"/>
      <c r="X382" s="141"/>
      <c r="Y382" s="141"/>
      <c r="Z382" s="141"/>
      <c r="AA382" s="194"/>
      <c r="AB382" s="194"/>
      <c r="AC382" s="194"/>
      <c r="AD382" s="194"/>
      <c r="AE382" s="194"/>
      <c r="AF382" s="194"/>
      <c r="AG382" s="197"/>
      <c r="AH382" s="194"/>
      <c r="AI382" s="194"/>
      <c r="AJ382" s="194"/>
      <c r="AK382" s="104">
        <v>378</v>
      </c>
      <c r="AL382" s="14">
        <f t="shared" si="345"/>
        <v>8</v>
      </c>
      <c r="AM382" s="14">
        <f>INDEX(挂机升级突破!DQ$6:DQ$57,卡牌消耗!$AT382)</f>
        <v>11</v>
      </c>
      <c r="AN382" s="14">
        <f>INDEX(挂机升级突破!DR$6:DR$57,卡牌消耗!$AT382)</f>
        <v>3</v>
      </c>
      <c r="AO382" s="14">
        <f>INDEX(挂机升级突破!DS$6:DS$57,卡牌消耗!$AT382)</f>
        <v>0</v>
      </c>
      <c r="AP382" s="14">
        <f>INDEX(挂机升级突破!$DP$6:$DP$57,卡牌消耗!AT382)</f>
        <v>53</v>
      </c>
      <c r="AQ382" s="14" t="str">
        <f t="shared" si="346"/>
        <v>夏侯渊</v>
      </c>
      <c r="AR382" s="14">
        <f t="shared" si="347"/>
        <v>4</v>
      </c>
      <c r="AS382" s="14" t="str">
        <f t="shared" si="348"/>
        <v>夏侯渊魂火-14</v>
      </c>
      <c r="AT382" s="14">
        <f t="shared" si="349"/>
        <v>14</v>
      </c>
      <c r="AU382" s="14" t="str">
        <f>IF(AM382&gt;0,INDEX(挂机升级突破!$DT$4:$ED$4,AM382),"")</f>
        <v>金币</v>
      </c>
      <c r="AV382" s="14">
        <f>ROUND(INDEX(挂机升级突破!$DJ$6:$DJ$57,卡牌消耗!AT382)*INDEX(卡牌消耗!$B$8:$F$8,AR382)/$Q$4/50,0)*50</f>
        <v>4500</v>
      </c>
      <c r="AW382" s="14" t="str">
        <f>IF(AN382&gt;0,INDEX(挂机升级突破!$DT$4:$ED$4,AN382),"")</f>
        <v>紫色基础材料</v>
      </c>
      <c r="AX382" s="14">
        <f>ROUND(INDEX(挂机升级突破!$DT$6:$ED$57,卡牌消耗!AT382,AN382)*INDEX(卡牌消耗!$B$5:$F$5,AR382)/$Q$4/5,0)*5</f>
        <v>30</v>
      </c>
      <c r="AY382" s="14" t="str">
        <f>IF(AO382&gt;0,INDEX(挂机升级突破!$DT$4:$ED$4,AO382),"")</f>
        <v/>
      </c>
      <c r="AZ382" s="14" t="str">
        <f>IF(AO382&gt;0,ROUND(INDEX(挂机升级突破!$DT$6:$ED$57,卡牌消耗!AT382,AO382)*INDEX(卡牌消耗!$B$7:$F$7,AR382)/$Q$4,0),"")</f>
        <v/>
      </c>
      <c r="BA382" s="106"/>
      <c r="BB382" s="197"/>
      <c r="BC382" s="197"/>
      <c r="BD382" s="197"/>
      <c r="BE382" s="197"/>
      <c r="BF382" s="197"/>
      <c r="BG382" s="197"/>
      <c r="BH382" s="197"/>
      <c r="BI382" s="197"/>
      <c r="BJ382" s="197"/>
      <c r="BK382" s="197"/>
      <c r="BL382" s="104">
        <v>378</v>
      </c>
      <c r="BM382" s="14">
        <f t="shared" si="350"/>
        <v>19</v>
      </c>
      <c r="BN382" s="14">
        <f>INDEX(挂机升级突破!$EI$7:$EI$26,BS382)</f>
        <v>5</v>
      </c>
      <c r="BO382" s="14">
        <f>INDEX(挂机升级突破!$EJ$7:$EJ$26,BS382)</f>
        <v>4</v>
      </c>
      <c r="BP382" s="14">
        <f t="shared" si="351"/>
        <v>2</v>
      </c>
      <c r="BQ382" s="14">
        <f>INDEX(挂机升级突破!$EH$7:$EH$26,卡牌消耗!BS382)</f>
        <v>125</v>
      </c>
      <c r="BR382" s="14" t="str">
        <f t="shared" si="352"/>
        <v>食火蜥</v>
      </c>
      <c r="BS382" s="14">
        <f t="shared" si="353"/>
        <v>18</v>
      </c>
      <c r="BT382" s="14" t="str">
        <f t="shared" si="354"/>
        <v>食火蜥18突</v>
      </c>
      <c r="BU382" s="14" t="str">
        <f>IF(BN382&gt;0,INDEX(挂机升级突破!$ER$5:$EV$5,卡牌消耗!BN382),"")</f>
        <v>金币</v>
      </c>
      <c r="BV382" s="14">
        <f>IF(BN382&gt;0,ROUND(INDEX(挂机升级突破!$EV$7:$EV$26,卡牌消耗!BS382)*INDEX(卡牌消耗!$B$8:$F$8,BP382)/$Q$4/500,0)*500,"")</f>
        <v>75000</v>
      </c>
      <c r="BW382" s="14" t="str">
        <f>IF(BO382&gt;0,INDEX(挂机升级突破!$ER$5:$EV$5,卡牌消耗!BO382),"")</f>
        <v>铀金</v>
      </c>
      <c r="BX382" s="14">
        <f>IF(BO382&gt;0,ROUND(INDEX(挂机升级突破!$ER$7:$EU$26,卡牌消耗!BS382,卡牌消耗!BO382)*INDEX($B$6:$F$6,BP382)/$Q$4/5,0)*5,"")</f>
        <v>20</v>
      </c>
      <c r="BY382" s="193"/>
      <c r="BZ382" s="193"/>
      <c r="CA382" s="106"/>
      <c r="CS382" s="171"/>
      <c r="CT382" s="171"/>
      <c r="CU382" s="171"/>
    </row>
    <row r="383" spans="8:99" ht="16.5" x14ac:dyDescent="0.2">
      <c r="H383" s="15"/>
      <c r="I383" s="15"/>
      <c r="J383" s="15"/>
      <c r="K383" s="15"/>
      <c r="L383" s="15"/>
      <c r="M383" s="15"/>
      <c r="N383" s="15"/>
      <c r="O383" s="137"/>
      <c r="P383" s="141"/>
      <c r="Q383" s="141"/>
      <c r="R383" s="141"/>
      <c r="S383" s="141"/>
      <c r="T383" s="141"/>
      <c r="U383" s="141"/>
      <c r="V383" s="141"/>
      <c r="W383" s="141"/>
      <c r="X383" s="141"/>
      <c r="Y383" s="141"/>
      <c r="Z383" s="141"/>
      <c r="AA383" s="194"/>
      <c r="AB383" s="194"/>
      <c r="AC383" s="194"/>
      <c r="AD383" s="194"/>
      <c r="AE383" s="194"/>
      <c r="AF383" s="194"/>
      <c r="AG383" s="197"/>
      <c r="AH383" s="194"/>
      <c r="AI383" s="194"/>
      <c r="AJ383" s="194"/>
      <c r="AK383" s="104">
        <v>379</v>
      </c>
      <c r="AL383" s="14">
        <f t="shared" si="345"/>
        <v>8</v>
      </c>
      <c r="AM383" s="14">
        <f>INDEX(挂机升级突破!DQ$6:DQ$57,卡牌消耗!$AT383)</f>
        <v>11</v>
      </c>
      <c r="AN383" s="14">
        <f>INDEX(挂机升级突破!DR$6:DR$57,卡牌消耗!$AT383)</f>
        <v>3</v>
      </c>
      <c r="AO383" s="14">
        <f>INDEX(挂机升级突破!DS$6:DS$57,卡牌消耗!$AT383)</f>
        <v>0</v>
      </c>
      <c r="AP383" s="14">
        <f>INDEX(挂机升级突破!$DP$6:$DP$57,卡牌消耗!AT383)</f>
        <v>55</v>
      </c>
      <c r="AQ383" s="14" t="str">
        <f t="shared" si="346"/>
        <v>夏侯渊</v>
      </c>
      <c r="AR383" s="14">
        <f t="shared" si="347"/>
        <v>4</v>
      </c>
      <c r="AS383" s="14" t="str">
        <f t="shared" si="348"/>
        <v>夏侯渊魂火-15</v>
      </c>
      <c r="AT383" s="14">
        <f t="shared" si="349"/>
        <v>15</v>
      </c>
      <c r="AU383" s="14" t="str">
        <f>IF(AM383&gt;0,INDEX(挂机升级突破!$DT$4:$ED$4,AM383),"")</f>
        <v>金币</v>
      </c>
      <c r="AV383" s="14">
        <f>ROUND(INDEX(挂机升级突破!$DJ$6:$DJ$57,卡牌消耗!AT383)*INDEX(卡牌消耗!$B$8:$F$8,AR383)/$Q$4/50,0)*50</f>
        <v>4900</v>
      </c>
      <c r="AW383" s="14" t="str">
        <f>IF(AN383&gt;0,INDEX(挂机升级突破!$DT$4:$ED$4,AN383),"")</f>
        <v>紫色基础材料</v>
      </c>
      <c r="AX383" s="14">
        <f>ROUND(INDEX(挂机升级突破!$DT$6:$ED$57,卡牌消耗!AT383,AN383)*INDEX(卡牌消耗!$B$5:$F$5,AR383)/$Q$4/5,0)*5</f>
        <v>30</v>
      </c>
      <c r="AY383" s="14" t="str">
        <f>IF(AO383&gt;0,INDEX(挂机升级突破!$DT$4:$ED$4,AO383),"")</f>
        <v/>
      </c>
      <c r="AZ383" s="14" t="str">
        <f>IF(AO383&gt;0,ROUND(INDEX(挂机升级突破!$DT$6:$ED$57,卡牌消耗!AT383,AO383)*INDEX(卡牌消耗!$B$7:$F$7,AR383)/$Q$4,0),"")</f>
        <v/>
      </c>
      <c r="BA383" s="106"/>
      <c r="BB383" s="197"/>
      <c r="BC383" s="197"/>
      <c r="BD383" s="197"/>
      <c r="BE383" s="197"/>
      <c r="BF383" s="197"/>
      <c r="BG383" s="197"/>
      <c r="BH383" s="197"/>
      <c r="BI383" s="197"/>
      <c r="BJ383" s="197"/>
      <c r="BK383" s="197"/>
      <c r="BL383" s="104">
        <v>379</v>
      </c>
      <c r="BM383" s="14">
        <f t="shared" si="350"/>
        <v>19</v>
      </c>
      <c r="BN383" s="14">
        <f>INDEX(挂机升级突破!$EI$7:$EI$26,BS383)</f>
        <v>5</v>
      </c>
      <c r="BO383" s="14">
        <f>INDEX(挂机升级突破!$EJ$7:$EJ$26,BS383)</f>
        <v>4</v>
      </c>
      <c r="BP383" s="14">
        <f t="shared" si="351"/>
        <v>2</v>
      </c>
      <c r="BQ383" s="14">
        <f>INDEX(挂机升级突破!$EH$7:$EH$26,卡牌消耗!BS383)</f>
        <v>132</v>
      </c>
      <c r="BR383" s="14" t="str">
        <f t="shared" si="352"/>
        <v>食火蜥</v>
      </c>
      <c r="BS383" s="14">
        <f t="shared" si="353"/>
        <v>19</v>
      </c>
      <c r="BT383" s="14" t="str">
        <f t="shared" si="354"/>
        <v>食火蜥19突</v>
      </c>
      <c r="BU383" s="14" t="str">
        <f>IF(BN383&gt;0,INDEX(挂机升级突破!$ER$5:$EV$5,卡牌消耗!BN383),"")</f>
        <v>金币</v>
      </c>
      <c r="BV383" s="14">
        <f>IF(BN383&gt;0,ROUND(INDEX(挂机升级突破!$EV$7:$EV$26,卡牌消耗!BS383)*INDEX(卡牌消耗!$B$8:$F$8,BP383)/$Q$4/500,0)*500,"")</f>
        <v>191500</v>
      </c>
      <c r="BW383" s="14" t="str">
        <f>IF(BO383&gt;0,INDEX(挂机升级突破!$ER$5:$EV$5,卡牌消耗!BO383),"")</f>
        <v>铀金</v>
      </c>
      <c r="BX383" s="14">
        <f>IF(BO383&gt;0,ROUND(INDEX(挂机升级突破!$ER$7:$EU$26,卡牌消耗!BS383,卡牌消耗!BO383)*INDEX($B$6:$F$6,BP383)/$Q$4/5,0)*5,"")</f>
        <v>25</v>
      </c>
      <c r="BY383" s="193"/>
      <c r="BZ383" s="193"/>
      <c r="CA383" s="106"/>
      <c r="CS383" s="171"/>
      <c r="CT383" s="171"/>
      <c r="CU383" s="171"/>
    </row>
    <row r="384" spans="8:99" ht="16.5" x14ac:dyDescent="0.2">
      <c r="H384" s="15"/>
      <c r="I384" s="15"/>
      <c r="J384" s="15"/>
      <c r="K384" s="15"/>
      <c r="L384" s="15"/>
      <c r="M384" s="15"/>
      <c r="N384" s="15"/>
      <c r="O384" s="137"/>
      <c r="P384" s="141"/>
      <c r="Q384" s="141"/>
      <c r="R384" s="141"/>
      <c r="S384" s="141"/>
      <c r="T384" s="141"/>
      <c r="U384" s="141"/>
      <c r="V384" s="141"/>
      <c r="W384" s="141"/>
      <c r="X384" s="141"/>
      <c r="Y384" s="141"/>
      <c r="Z384" s="141"/>
      <c r="AA384" s="194"/>
      <c r="AB384" s="194"/>
      <c r="AC384" s="194"/>
      <c r="AD384" s="194"/>
      <c r="AE384" s="194"/>
      <c r="AF384" s="194"/>
      <c r="AG384" s="197"/>
      <c r="AH384" s="194"/>
      <c r="AI384" s="194"/>
      <c r="AJ384" s="194"/>
      <c r="AK384" s="104">
        <v>380</v>
      </c>
      <c r="AL384" s="14">
        <f t="shared" si="345"/>
        <v>8</v>
      </c>
      <c r="AM384" s="14">
        <f>INDEX(挂机升级突破!DQ$6:DQ$57,卡牌消耗!$AT384)</f>
        <v>11</v>
      </c>
      <c r="AN384" s="14">
        <f>INDEX(挂机升级突破!DR$6:DR$57,卡牌消耗!$AT384)</f>
        <v>3</v>
      </c>
      <c r="AO384" s="14">
        <f>INDEX(挂机升级突破!DS$6:DS$57,卡牌消耗!$AT384)</f>
        <v>0</v>
      </c>
      <c r="AP384" s="14">
        <f>INDEX(挂机升级突破!$DP$6:$DP$57,卡牌消耗!AT384)</f>
        <v>58</v>
      </c>
      <c r="AQ384" s="14" t="str">
        <f t="shared" si="346"/>
        <v>夏侯渊</v>
      </c>
      <c r="AR384" s="14">
        <f t="shared" si="347"/>
        <v>4</v>
      </c>
      <c r="AS384" s="14" t="str">
        <f t="shared" si="348"/>
        <v>夏侯渊魂火-16</v>
      </c>
      <c r="AT384" s="14">
        <f t="shared" si="349"/>
        <v>16</v>
      </c>
      <c r="AU384" s="14" t="str">
        <f>IF(AM384&gt;0,INDEX(挂机升级突破!$DT$4:$ED$4,AM384),"")</f>
        <v>金币</v>
      </c>
      <c r="AV384" s="14">
        <f>ROUND(INDEX(挂机升级突破!$DJ$6:$DJ$57,卡牌消耗!AT384)*INDEX(卡牌消耗!$B$8:$F$8,AR384)/$Q$4/50,0)*50</f>
        <v>4900</v>
      </c>
      <c r="AW384" s="14" t="str">
        <f>IF(AN384&gt;0,INDEX(挂机升级突破!$DT$4:$ED$4,AN384),"")</f>
        <v>紫色基础材料</v>
      </c>
      <c r="AX384" s="14">
        <f>ROUND(INDEX(挂机升级突破!$DT$6:$ED$57,卡牌消耗!AT384,AN384)*INDEX(卡牌消耗!$B$5:$F$5,AR384)/$Q$4/5,0)*5</f>
        <v>30</v>
      </c>
      <c r="AY384" s="14" t="str">
        <f>IF(AO384&gt;0,INDEX(挂机升级突破!$DT$4:$ED$4,AO384),"")</f>
        <v/>
      </c>
      <c r="AZ384" s="14" t="str">
        <f>IF(AO384&gt;0,ROUND(INDEX(挂机升级突破!$DT$6:$ED$57,卡牌消耗!AT384,AO384)*INDEX(卡牌消耗!$B$7:$F$7,AR384)/$Q$4,0),"")</f>
        <v/>
      </c>
      <c r="BA384" s="106"/>
      <c r="BB384" s="197"/>
      <c r="BC384" s="197"/>
      <c r="BD384" s="197"/>
      <c r="BE384" s="197"/>
      <c r="BF384" s="197"/>
      <c r="BG384" s="197"/>
      <c r="BH384" s="197"/>
      <c r="BI384" s="197"/>
      <c r="BJ384" s="197"/>
      <c r="BK384" s="197"/>
      <c r="BL384" s="104">
        <v>380</v>
      </c>
      <c r="BM384" s="14">
        <f t="shared" si="350"/>
        <v>19</v>
      </c>
      <c r="BN384" s="14">
        <f>INDEX(挂机升级突破!$EI$7:$EI$26,BS384)</f>
        <v>5</v>
      </c>
      <c r="BO384" s="14">
        <f>INDEX(挂机升级突破!$EJ$7:$EJ$26,BS384)</f>
        <v>4</v>
      </c>
      <c r="BP384" s="14">
        <f t="shared" si="351"/>
        <v>2</v>
      </c>
      <c r="BQ384" s="14">
        <f>INDEX(挂机升级突破!$EH$7:$EH$26,卡牌消耗!BS384)</f>
        <v>140</v>
      </c>
      <c r="BR384" s="14" t="str">
        <f t="shared" si="352"/>
        <v>食火蜥</v>
      </c>
      <c r="BS384" s="14">
        <f t="shared" si="353"/>
        <v>20</v>
      </c>
      <c r="BT384" s="14" t="str">
        <f t="shared" si="354"/>
        <v>食火蜥20突</v>
      </c>
      <c r="BU384" s="14" t="str">
        <f>IF(BN384&gt;0,INDEX(挂机升级突破!$ER$5:$EV$5,卡牌消耗!BN384),"")</f>
        <v>金币</v>
      </c>
      <c r="BV384" s="14">
        <f>IF(BN384&gt;0,ROUND(INDEX(挂机升级突破!$EV$7:$EV$26,卡牌消耗!BS384)*INDEX(卡牌消耗!$B$8:$F$8,BP384)/$Q$4/500,0)*500,"")</f>
        <v>287000</v>
      </c>
      <c r="BW384" s="14" t="str">
        <f>IF(BO384&gt;0,INDEX(挂机升级突破!$ER$5:$EV$5,卡牌消耗!BO384),"")</f>
        <v>铀金</v>
      </c>
      <c r="BX384" s="14">
        <f>IF(BO384&gt;0,ROUND(INDEX(挂机升级突破!$ER$7:$EU$26,卡牌消耗!BS384,卡牌消耗!BO384)*INDEX($B$6:$F$6,BP384)/$Q$4/5,0)*5,"")</f>
        <v>35</v>
      </c>
      <c r="BY384" s="193"/>
      <c r="BZ384" s="193"/>
      <c r="CA384" s="106"/>
      <c r="CS384" s="171"/>
      <c r="CT384" s="171"/>
      <c r="CU384" s="171"/>
    </row>
    <row r="385" spans="8:99" ht="16.5" x14ac:dyDescent="0.2">
      <c r="H385" s="15"/>
      <c r="I385" s="15"/>
      <c r="J385" s="15"/>
      <c r="K385" s="15"/>
      <c r="L385" s="15"/>
      <c r="M385" s="15"/>
      <c r="N385" s="15"/>
      <c r="O385" s="137"/>
      <c r="P385" s="141"/>
      <c r="Q385" s="141"/>
      <c r="R385" s="141"/>
      <c r="S385" s="141"/>
      <c r="T385" s="141"/>
      <c r="U385" s="141"/>
      <c r="V385" s="141"/>
      <c r="W385" s="141"/>
      <c r="X385" s="141"/>
      <c r="Y385" s="141"/>
      <c r="Z385" s="141"/>
      <c r="AA385" s="194"/>
      <c r="AB385" s="194"/>
      <c r="AC385" s="194"/>
      <c r="AD385" s="194"/>
      <c r="AE385" s="194"/>
      <c r="AF385" s="194"/>
      <c r="AG385" s="197"/>
      <c r="AH385" s="194"/>
      <c r="AI385" s="194"/>
      <c r="AJ385" s="194"/>
      <c r="AK385" s="104">
        <v>381</v>
      </c>
      <c r="AL385" s="14">
        <f t="shared" si="345"/>
        <v>8</v>
      </c>
      <c r="AM385" s="14">
        <f>INDEX(挂机升级突破!DQ$6:DQ$57,卡牌消耗!$AT385)</f>
        <v>11</v>
      </c>
      <c r="AN385" s="14">
        <f>INDEX(挂机升级突破!DR$6:DR$57,卡牌消耗!$AT385)</f>
        <v>3</v>
      </c>
      <c r="AO385" s="14">
        <f>INDEX(挂机升级突破!DS$6:DS$57,卡牌消耗!$AT385)</f>
        <v>0</v>
      </c>
      <c r="AP385" s="14">
        <f>INDEX(挂机升级突破!$DP$6:$DP$57,卡牌消耗!AT385)</f>
        <v>60</v>
      </c>
      <c r="AQ385" s="14" t="str">
        <f t="shared" si="346"/>
        <v>夏侯渊</v>
      </c>
      <c r="AR385" s="14">
        <f t="shared" si="347"/>
        <v>4</v>
      </c>
      <c r="AS385" s="14" t="str">
        <f t="shared" si="348"/>
        <v>夏侯渊魂火-17</v>
      </c>
      <c r="AT385" s="14">
        <f t="shared" si="349"/>
        <v>17</v>
      </c>
      <c r="AU385" s="14" t="str">
        <f>IF(AM385&gt;0,INDEX(挂机升级突破!$DT$4:$ED$4,AM385),"")</f>
        <v>金币</v>
      </c>
      <c r="AV385" s="14">
        <f>ROUND(INDEX(挂机升级突破!$DJ$6:$DJ$57,卡牌消耗!AT385)*INDEX(卡牌消耗!$B$8:$F$8,AR385)/$Q$4/50,0)*50</f>
        <v>6150</v>
      </c>
      <c r="AW385" s="14" t="str">
        <f>IF(AN385&gt;0,INDEX(挂机升级突破!$DT$4:$ED$4,AN385),"")</f>
        <v>紫色基础材料</v>
      </c>
      <c r="AX385" s="14">
        <f>ROUND(INDEX(挂机升级突破!$DT$6:$ED$57,卡牌消耗!AT385,AN385)*INDEX(卡牌消耗!$B$5:$F$5,AR385)/$Q$4/5,0)*5</f>
        <v>55</v>
      </c>
      <c r="AY385" s="14" t="str">
        <f>IF(AO385&gt;0,INDEX(挂机升级突破!$DT$4:$ED$4,AO385),"")</f>
        <v/>
      </c>
      <c r="AZ385" s="14" t="str">
        <f>IF(AO385&gt;0,ROUND(INDEX(挂机升级突破!$DT$6:$ED$57,卡牌消耗!AT385,AO385)*INDEX(卡牌消耗!$B$7:$F$7,AR385)/$Q$4,0),"")</f>
        <v/>
      </c>
      <c r="BA385" s="106"/>
      <c r="BB385" s="197"/>
      <c r="BC385" s="197"/>
      <c r="BD385" s="197"/>
      <c r="BE385" s="197"/>
      <c r="BF385" s="197"/>
      <c r="BG385" s="197"/>
      <c r="BH385" s="197"/>
      <c r="BI385" s="197"/>
      <c r="BJ385" s="197"/>
      <c r="BK385" s="197"/>
      <c r="BL385" s="104">
        <v>381</v>
      </c>
      <c r="BM385" s="14">
        <f t="shared" si="350"/>
        <v>20</v>
      </c>
      <c r="BN385" s="14">
        <f>INDEX(挂机升级突破!$EI$7:$EI$26,BS385)</f>
        <v>0</v>
      </c>
      <c r="BO385" s="14">
        <f>INDEX(挂机升级突破!$EJ$7:$EJ$26,BS385)</f>
        <v>0</v>
      </c>
      <c r="BP385" s="14">
        <f t="shared" si="351"/>
        <v>3</v>
      </c>
      <c r="BQ385" s="14">
        <f>INDEX(挂机升级突破!$EH$7:$EH$26,卡牌消耗!BS385)</f>
        <v>1</v>
      </c>
      <c r="BR385" s="14" t="str">
        <f t="shared" si="352"/>
        <v>高顺</v>
      </c>
      <c r="BS385" s="14">
        <f t="shared" si="353"/>
        <v>1</v>
      </c>
      <c r="BT385" s="14" t="str">
        <f t="shared" si="354"/>
        <v>高顺1突</v>
      </c>
      <c r="BU385" s="14" t="str">
        <f>IF(BN385&gt;0,INDEX(挂机升级突破!$ER$5:$EV$5,卡牌消耗!BN385),"")</f>
        <v/>
      </c>
      <c r="BV385" s="14" t="str">
        <f>IF(BN385&gt;0,ROUND(INDEX(挂机升级突破!$EV$7:$EV$26,卡牌消耗!BS385)*INDEX(卡牌消耗!$B$8:$F$8,BP385)/$Q$4/500,0)*500,"")</f>
        <v/>
      </c>
      <c r="BW385" s="14" t="str">
        <f>IF(BO385&gt;0,INDEX(挂机升级突破!$ER$5:$EV$5,卡牌消耗!BO385),"")</f>
        <v/>
      </c>
      <c r="BX385" s="14" t="str">
        <f>IF(BO385&gt;0,ROUND(INDEX(挂机升级突破!$ER$7:$EU$26,卡牌消耗!BS385,卡牌消耗!BO385)*INDEX($B$6:$F$6,BP385)/$Q$4/5,0)*5,"")</f>
        <v/>
      </c>
      <c r="BY385" s="193"/>
      <c r="BZ385" s="193"/>
      <c r="CA385" s="106"/>
      <c r="CS385" s="171"/>
      <c r="CT385" s="171"/>
      <c r="CU385" s="171"/>
    </row>
    <row r="386" spans="8:99" ht="16.5" x14ac:dyDescent="0.2">
      <c r="H386" s="15"/>
      <c r="I386" s="15"/>
      <c r="J386" s="15"/>
      <c r="K386" s="15"/>
      <c r="L386" s="15"/>
      <c r="M386" s="15"/>
      <c r="N386" s="15"/>
      <c r="O386" s="137"/>
      <c r="P386" s="141"/>
      <c r="Q386" s="141"/>
      <c r="R386" s="141"/>
      <c r="S386" s="141"/>
      <c r="T386" s="141"/>
      <c r="U386" s="141"/>
      <c r="V386" s="141"/>
      <c r="W386" s="141"/>
      <c r="X386" s="141"/>
      <c r="Y386" s="141"/>
      <c r="Z386" s="141"/>
      <c r="AA386" s="194"/>
      <c r="AB386" s="194"/>
      <c r="AC386" s="194"/>
      <c r="AD386" s="194"/>
      <c r="AE386" s="194"/>
      <c r="AF386" s="194"/>
      <c r="AG386" s="197"/>
      <c r="AH386" s="194"/>
      <c r="AI386" s="194"/>
      <c r="AJ386" s="194"/>
      <c r="AK386" s="104">
        <v>382</v>
      </c>
      <c r="AL386" s="14">
        <f t="shared" si="345"/>
        <v>8</v>
      </c>
      <c r="AM386" s="14">
        <f>INDEX(挂机升级突破!DQ$6:DQ$57,卡牌消耗!$AT386)</f>
        <v>11</v>
      </c>
      <c r="AN386" s="14">
        <f>INDEX(挂机升级突破!DR$6:DR$57,卡牌消耗!$AT386)</f>
        <v>3</v>
      </c>
      <c r="AO386" s="14">
        <f>INDEX(挂机升级突破!DS$6:DS$57,卡牌消耗!$AT386)</f>
        <v>0</v>
      </c>
      <c r="AP386" s="14">
        <f>INDEX(挂机升级突破!$DP$6:$DP$57,卡牌消耗!AT386)</f>
        <v>63</v>
      </c>
      <c r="AQ386" s="14" t="str">
        <f t="shared" si="346"/>
        <v>夏侯渊</v>
      </c>
      <c r="AR386" s="14">
        <f t="shared" si="347"/>
        <v>4</v>
      </c>
      <c r="AS386" s="14" t="str">
        <f t="shared" si="348"/>
        <v>夏侯渊魂火-18</v>
      </c>
      <c r="AT386" s="14">
        <f t="shared" si="349"/>
        <v>18</v>
      </c>
      <c r="AU386" s="14" t="str">
        <f>IF(AM386&gt;0,INDEX(挂机升级突破!$DT$4:$ED$4,AM386),"")</f>
        <v>金币</v>
      </c>
      <c r="AV386" s="14">
        <f>ROUND(INDEX(挂机升级突破!$DJ$6:$DJ$57,卡牌消耗!AT386)*INDEX(卡牌消耗!$B$8:$F$8,AR386)/$Q$4/50,0)*50</f>
        <v>6150</v>
      </c>
      <c r="AW386" s="14" t="str">
        <f>IF(AN386&gt;0,INDEX(挂机升级突破!$DT$4:$ED$4,AN386),"")</f>
        <v>紫色基础材料</v>
      </c>
      <c r="AX386" s="14">
        <f>ROUND(INDEX(挂机升级突破!$DT$6:$ED$57,卡牌消耗!AT386,AN386)*INDEX(卡牌消耗!$B$5:$F$5,AR386)/$Q$4/5,0)*5</f>
        <v>55</v>
      </c>
      <c r="AY386" s="14" t="str">
        <f>IF(AO386&gt;0,INDEX(挂机升级突破!$DT$4:$ED$4,AO386),"")</f>
        <v/>
      </c>
      <c r="AZ386" s="14" t="str">
        <f>IF(AO386&gt;0,ROUND(INDEX(挂机升级突破!$DT$6:$ED$57,卡牌消耗!AT386,AO386)*INDEX(卡牌消耗!$B$7:$F$7,AR386)/$Q$4,0),"")</f>
        <v/>
      </c>
      <c r="BA386" s="106"/>
      <c r="BB386" s="197"/>
      <c r="BC386" s="197"/>
      <c r="BD386" s="197"/>
      <c r="BE386" s="197"/>
      <c r="BF386" s="197"/>
      <c r="BG386" s="197"/>
      <c r="BH386" s="197"/>
      <c r="BI386" s="197"/>
      <c r="BJ386" s="197"/>
      <c r="BK386" s="197"/>
      <c r="BL386" s="104">
        <v>382</v>
      </c>
      <c r="BM386" s="14">
        <f t="shared" si="350"/>
        <v>20</v>
      </c>
      <c r="BN386" s="14">
        <f>INDEX(挂机升级突破!$EI$7:$EI$26,BS386)</f>
        <v>5</v>
      </c>
      <c r="BO386" s="14">
        <f>INDEX(挂机升级突破!$EJ$7:$EJ$26,BS386)</f>
        <v>1</v>
      </c>
      <c r="BP386" s="14">
        <f t="shared" si="351"/>
        <v>3</v>
      </c>
      <c r="BQ386" s="14">
        <f>INDEX(挂机升级突破!$EH$7:$EH$26,卡牌消耗!BS386)</f>
        <v>5</v>
      </c>
      <c r="BR386" s="14" t="str">
        <f t="shared" si="352"/>
        <v>高顺</v>
      </c>
      <c r="BS386" s="14">
        <f t="shared" si="353"/>
        <v>2</v>
      </c>
      <c r="BT386" s="14" t="str">
        <f t="shared" si="354"/>
        <v>高顺2突</v>
      </c>
      <c r="BU386" s="14" t="str">
        <f>IF(BN386&gt;0,INDEX(挂机升级突破!$ER$5:$EV$5,卡牌消耗!BN386),"")</f>
        <v>金币</v>
      </c>
      <c r="BV386" s="14">
        <f>IF(BN386&gt;0,ROUND(INDEX(挂机升级突破!$EV$7:$EV$26,卡牌消耗!BS386)*INDEX(卡牌消耗!$B$8:$F$8,BP386)/$Q$4/500,0)*500,"")</f>
        <v>3000</v>
      </c>
      <c r="BW386" s="14" t="str">
        <f>IF(BO386&gt;0,INDEX(挂机升级突破!$ER$5:$EV$5,卡牌消耗!BO386),"")</f>
        <v>玄铁</v>
      </c>
      <c r="BX386" s="14">
        <f>IF(BO386&gt;0,ROUND(INDEX(挂机升级突破!$ER$7:$EU$26,卡牌消耗!BS386,卡牌消耗!BO386)*INDEX($B$6:$F$6,BP386)/$Q$4,0),"")</f>
        <v>2</v>
      </c>
      <c r="BY386" s="193"/>
      <c r="BZ386" s="193"/>
      <c r="CA386" s="106"/>
      <c r="CS386" s="171"/>
      <c r="CT386" s="171"/>
      <c r="CU386" s="171"/>
    </row>
    <row r="387" spans="8:99" ht="16.5" x14ac:dyDescent="0.2">
      <c r="H387" s="15"/>
      <c r="I387" s="15"/>
      <c r="J387" s="15"/>
      <c r="K387" s="15"/>
      <c r="L387" s="15"/>
      <c r="M387" s="15"/>
      <c r="N387" s="15"/>
      <c r="O387" s="137"/>
      <c r="P387" s="141"/>
      <c r="Q387" s="141"/>
      <c r="R387" s="141"/>
      <c r="S387" s="141"/>
      <c r="T387" s="141"/>
      <c r="U387" s="141"/>
      <c r="V387" s="141"/>
      <c r="W387" s="141"/>
      <c r="X387" s="141"/>
      <c r="Y387" s="141"/>
      <c r="Z387" s="141"/>
      <c r="AA387" s="194"/>
      <c r="AB387" s="194"/>
      <c r="AC387" s="194"/>
      <c r="AD387" s="194"/>
      <c r="AE387" s="194"/>
      <c r="AF387" s="194"/>
      <c r="AG387" s="197"/>
      <c r="AH387" s="194"/>
      <c r="AI387" s="194"/>
      <c r="AJ387" s="194"/>
      <c r="AK387" s="104">
        <v>383</v>
      </c>
      <c r="AL387" s="14">
        <f t="shared" si="345"/>
        <v>8</v>
      </c>
      <c r="AM387" s="14">
        <f>INDEX(挂机升级突破!DQ$6:DQ$57,卡牌消耗!$AT387)</f>
        <v>11</v>
      </c>
      <c r="AN387" s="14">
        <f>INDEX(挂机升级突破!DR$6:DR$57,卡牌消耗!$AT387)</f>
        <v>3</v>
      </c>
      <c r="AO387" s="14">
        <f>INDEX(挂机升级突破!DS$6:DS$57,卡牌消耗!$AT387)</f>
        <v>0</v>
      </c>
      <c r="AP387" s="14">
        <f>INDEX(挂机升级突破!$DP$6:$DP$57,卡牌消耗!AT387)</f>
        <v>65</v>
      </c>
      <c r="AQ387" s="14" t="str">
        <f t="shared" si="346"/>
        <v>夏侯渊</v>
      </c>
      <c r="AR387" s="14">
        <f t="shared" si="347"/>
        <v>4</v>
      </c>
      <c r="AS387" s="14" t="str">
        <f t="shared" si="348"/>
        <v>夏侯渊魂火-19</v>
      </c>
      <c r="AT387" s="14">
        <f t="shared" si="349"/>
        <v>19</v>
      </c>
      <c r="AU387" s="14" t="str">
        <f>IF(AM387&gt;0,INDEX(挂机升级突破!$DT$4:$ED$4,AM387),"")</f>
        <v>金币</v>
      </c>
      <c r="AV387" s="14">
        <f>ROUND(INDEX(挂机升级突破!$DJ$6:$DJ$57,卡牌消耗!AT387)*INDEX(卡牌消耗!$B$8:$F$8,AR387)/$Q$4/50,0)*50</f>
        <v>6150</v>
      </c>
      <c r="AW387" s="14" t="str">
        <f>IF(AN387&gt;0,INDEX(挂机升级突破!$DT$4:$ED$4,AN387),"")</f>
        <v>紫色基础材料</v>
      </c>
      <c r="AX387" s="14">
        <f>ROUND(INDEX(挂机升级突破!$DT$6:$ED$57,卡牌消耗!AT387,AN387)*INDEX(卡牌消耗!$B$5:$F$5,AR387)/$Q$4/5,0)*5</f>
        <v>55</v>
      </c>
      <c r="AY387" s="14" t="str">
        <f>IF(AO387&gt;0,INDEX(挂机升级突破!$DT$4:$ED$4,AO387),"")</f>
        <v/>
      </c>
      <c r="AZ387" s="14" t="str">
        <f>IF(AO387&gt;0,ROUND(INDEX(挂机升级突破!$DT$6:$ED$57,卡牌消耗!AT387,AO387)*INDEX(卡牌消耗!$B$7:$F$7,AR387)/$Q$4,0),"")</f>
        <v/>
      </c>
      <c r="BA387" s="106"/>
      <c r="BB387" s="197"/>
      <c r="BC387" s="197"/>
      <c r="BD387" s="197"/>
      <c r="BE387" s="197"/>
      <c r="BF387" s="197"/>
      <c r="BG387" s="197"/>
      <c r="BH387" s="197"/>
      <c r="BI387" s="197"/>
      <c r="BJ387" s="197"/>
      <c r="BK387" s="197"/>
      <c r="BL387" s="104">
        <v>383</v>
      </c>
      <c r="BM387" s="14">
        <f t="shared" si="350"/>
        <v>20</v>
      </c>
      <c r="BN387" s="14">
        <f>INDEX(挂机升级突破!$EI$7:$EI$26,BS387)</f>
        <v>5</v>
      </c>
      <c r="BO387" s="14">
        <f>INDEX(挂机升级突破!$EJ$7:$EJ$26,BS387)</f>
        <v>1</v>
      </c>
      <c r="BP387" s="14">
        <f t="shared" si="351"/>
        <v>3</v>
      </c>
      <c r="BQ387" s="14">
        <f>INDEX(挂机升级突破!$EH$7:$EH$26,卡牌消耗!BS387)</f>
        <v>15</v>
      </c>
      <c r="BR387" s="14" t="str">
        <f t="shared" si="352"/>
        <v>高顺</v>
      </c>
      <c r="BS387" s="14">
        <f t="shared" si="353"/>
        <v>3</v>
      </c>
      <c r="BT387" s="14" t="str">
        <f t="shared" si="354"/>
        <v>高顺3突</v>
      </c>
      <c r="BU387" s="14" t="str">
        <f>IF(BN387&gt;0,INDEX(挂机升级突破!$ER$5:$EV$5,卡牌消耗!BN387),"")</f>
        <v>金币</v>
      </c>
      <c r="BV387" s="14">
        <f>IF(BN387&gt;0,ROUND(INDEX(挂机升级突破!$EV$7:$EV$26,卡牌消耗!BS387)*INDEX(卡牌消耗!$B$8:$F$8,BP387)/$Q$4/500,0)*500,"")</f>
        <v>3000</v>
      </c>
      <c r="BW387" s="14" t="str">
        <f>IF(BO387&gt;0,INDEX(挂机升级突破!$ER$5:$EV$5,卡牌消耗!BO387),"")</f>
        <v>玄铁</v>
      </c>
      <c r="BX387" s="14">
        <f>IF(BO387&gt;0,ROUND(INDEX(挂机升级突破!$ER$7:$EU$26,卡牌消耗!BS387,卡牌消耗!BO387)*INDEX($B$6:$F$6,BP387)/$Q$4,0),"")</f>
        <v>5</v>
      </c>
      <c r="BY387" s="193"/>
      <c r="BZ387" s="193"/>
      <c r="CA387" s="106"/>
      <c r="CS387" s="171"/>
      <c r="CT387" s="171"/>
      <c r="CU387" s="171"/>
    </row>
    <row r="388" spans="8:99" ht="16.5" x14ac:dyDescent="0.2">
      <c r="H388" s="15"/>
      <c r="I388" s="15"/>
      <c r="J388" s="15"/>
      <c r="K388" s="15"/>
      <c r="L388" s="15"/>
      <c r="M388" s="15"/>
      <c r="N388" s="15"/>
      <c r="O388" s="137"/>
      <c r="P388" s="141"/>
      <c r="Q388" s="141"/>
      <c r="R388" s="141"/>
      <c r="S388" s="141"/>
      <c r="T388" s="141"/>
      <c r="U388" s="141"/>
      <c r="V388" s="141"/>
      <c r="W388" s="141"/>
      <c r="X388" s="141"/>
      <c r="Y388" s="141"/>
      <c r="Z388" s="141"/>
      <c r="AA388" s="194"/>
      <c r="AB388" s="194"/>
      <c r="AC388" s="194"/>
      <c r="AD388" s="194"/>
      <c r="AE388" s="194"/>
      <c r="AF388" s="194"/>
      <c r="AG388" s="197"/>
      <c r="AH388" s="194"/>
      <c r="AI388" s="194"/>
      <c r="AJ388" s="194"/>
      <c r="AK388" s="104">
        <v>384</v>
      </c>
      <c r="AL388" s="14">
        <f t="shared" si="345"/>
        <v>8</v>
      </c>
      <c r="AM388" s="14">
        <f>INDEX(挂机升级突破!DQ$6:DQ$57,卡牌消耗!$AT388)</f>
        <v>11</v>
      </c>
      <c r="AN388" s="14">
        <f>INDEX(挂机升级突破!DR$6:DR$57,卡牌消耗!$AT388)</f>
        <v>3</v>
      </c>
      <c r="AO388" s="14">
        <f>INDEX(挂机升级突破!DS$6:DS$57,卡牌消耗!$AT388)</f>
        <v>0</v>
      </c>
      <c r="AP388" s="14">
        <f>INDEX(挂机升级突破!$DP$6:$DP$57,卡牌消耗!AT388)</f>
        <v>68</v>
      </c>
      <c r="AQ388" s="14" t="str">
        <f t="shared" si="346"/>
        <v>夏侯渊</v>
      </c>
      <c r="AR388" s="14">
        <f t="shared" si="347"/>
        <v>4</v>
      </c>
      <c r="AS388" s="14" t="str">
        <f t="shared" si="348"/>
        <v>夏侯渊魂火-20</v>
      </c>
      <c r="AT388" s="14">
        <f t="shared" si="349"/>
        <v>20</v>
      </c>
      <c r="AU388" s="14" t="str">
        <f>IF(AM388&gt;0,INDEX(挂机升级突破!$DT$4:$ED$4,AM388),"")</f>
        <v>金币</v>
      </c>
      <c r="AV388" s="14">
        <f>ROUND(INDEX(挂机升级突破!$DJ$6:$DJ$57,卡牌消耗!AT388)*INDEX(卡牌消耗!$B$8:$F$8,AR388)/$Q$4/50,0)*50</f>
        <v>7550</v>
      </c>
      <c r="AW388" s="14" t="str">
        <f>IF(AN388&gt;0,INDEX(挂机升级突破!$DT$4:$ED$4,AN388),"")</f>
        <v>紫色基础材料</v>
      </c>
      <c r="AX388" s="14">
        <f>ROUND(INDEX(挂机升级突破!$DT$6:$ED$57,卡牌消耗!AT388,AN388)*INDEX(卡牌消耗!$B$5:$F$5,AR388)/$Q$4/5,0)*5</f>
        <v>85</v>
      </c>
      <c r="AY388" s="14" t="str">
        <f>IF(AO388&gt;0,INDEX(挂机升级突破!$DT$4:$ED$4,AO388),"")</f>
        <v/>
      </c>
      <c r="AZ388" s="14" t="str">
        <f>IF(AO388&gt;0,ROUND(INDEX(挂机升级突破!$DT$6:$ED$57,卡牌消耗!AT388,AO388)*INDEX(卡牌消耗!$B$7:$F$7,AR388)/$Q$4,0),"")</f>
        <v/>
      </c>
      <c r="BA388" s="106"/>
      <c r="BB388" s="197"/>
      <c r="BC388" s="197"/>
      <c r="BD388" s="197"/>
      <c r="BE388" s="197"/>
      <c r="BF388" s="197"/>
      <c r="BG388" s="197"/>
      <c r="BH388" s="197"/>
      <c r="BI388" s="197"/>
      <c r="BJ388" s="197"/>
      <c r="BK388" s="197"/>
      <c r="BL388" s="104">
        <v>384</v>
      </c>
      <c r="BM388" s="14">
        <f t="shared" si="350"/>
        <v>20</v>
      </c>
      <c r="BN388" s="14">
        <f>INDEX(挂机升级突破!$EI$7:$EI$26,BS388)</f>
        <v>5</v>
      </c>
      <c r="BO388" s="14">
        <f>INDEX(挂机升级突破!$EJ$7:$EJ$26,BS388)</f>
        <v>1</v>
      </c>
      <c r="BP388" s="14">
        <f t="shared" si="351"/>
        <v>3</v>
      </c>
      <c r="BQ388" s="14">
        <f>INDEX(挂机升级突破!$EH$7:$EH$26,卡牌消耗!BS388)</f>
        <v>25</v>
      </c>
      <c r="BR388" s="14" t="str">
        <f t="shared" si="352"/>
        <v>高顺</v>
      </c>
      <c r="BS388" s="14">
        <f t="shared" si="353"/>
        <v>4</v>
      </c>
      <c r="BT388" s="14" t="str">
        <f t="shared" si="354"/>
        <v>高顺4突</v>
      </c>
      <c r="BU388" s="14" t="str">
        <f>IF(BN388&gt;0,INDEX(挂机升级突破!$ER$5:$EV$5,卡牌消耗!BN388),"")</f>
        <v>金币</v>
      </c>
      <c r="BV388" s="14">
        <f>IF(BN388&gt;0,ROUND(INDEX(挂机升级突破!$EV$7:$EV$26,卡牌消耗!BS388)*INDEX(卡牌消耗!$B$8:$F$8,BP388)/$Q$4/500,0)*500,"")</f>
        <v>4000</v>
      </c>
      <c r="BW388" s="14" t="str">
        <f>IF(BO388&gt;0,INDEX(挂机升级突破!$ER$5:$EV$5,卡牌消耗!BO388),"")</f>
        <v>玄铁</v>
      </c>
      <c r="BX388" s="14">
        <f>IF(BO388&gt;0,ROUND(INDEX(挂机升级突破!$ER$7:$EU$26,卡牌消耗!BS388,卡牌消耗!BO388)*INDEX($B$6:$F$6,BP388)/$Q$4,0),"")</f>
        <v>17</v>
      </c>
      <c r="BY388" s="193"/>
      <c r="BZ388" s="193"/>
      <c r="CA388" s="106"/>
      <c r="CS388" s="171"/>
      <c r="CT388" s="171"/>
      <c r="CU388" s="171"/>
    </row>
    <row r="389" spans="8:99" ht="16.5" x14ac:dyDescent="0.2">
      <c r="H389" s="15"/>
      <c r="I389" s="15"/>
      <c r="J389" s="15"/>
      <c r="K389" s="15"/>
      <c r="L389" s="15"/>
      <c r="M389" s="15"/>
      <c r="N389" s="15"/>
      <c r="O389" s="137"/>
      <c r="P389" s="141"/>
      <c r="Q389" s="141"/>
      <c r="R389" s="141"/>
      <c r="S389" s="141"/>
      <c r="T389" s="141"/>
      <c r="U389" s="141"/>
      <c r="V389" s="141"/>
      <c r="W389" s="141"/>
      <c r="X389" s="141"/>
      <c r="Y389" s="141"/>
      <c r="Z389" s="141"/>
      <c r="AA389" s="194"/>
      <c r="AB389" s="194"/>
      <c r="AC389" s="194"/>
      <c r="AD389" s="194"/>
      <c r="AE389" s="194"/>
      <c r="AF389" s="194"/>
      <c r="AG389" s="197"/>
      <c r="AH389" s="194"/>
      <c r="AI389" s="194"/>
      <c r="AJ389" s="194"/>
      <c r="AK389" s="104">
        <v>385</v>
      </c>
      <c r="AL389" s="14">
        <f t="shared" si="345"/>
        <v>8</v>
      </c>
      <c r="AM389" s="14">
        <f>INDEX(挂机升级突破!DQ$6:DQ$57,卡牌消耗!$AT389)</f>
        <v>11</v>
      </c>
      <c r="AN389" s="14">
        <f>INDEX(挂机升级突破!DR$6:DR$57,卡牌消耗!$AT389)</f>
        <v>3</v>
      </c>
      <c r="AO389" s="14">
        <f>INDEX(挂机升级突破!DS$6:DS$57,卡牌消耗!$AT389)</f>
        <v>0</v>
      </c>
      <c r="AP389" s="14">
        <f>INDEX(挂机升级突破!$DP$6:$DP$57,卡牌消耗!AT389)</f>
        <v>70</v>
      </c>
      <c r="AQ389" s="14" t="str">
        <f t="shared" si="346"/>
        <v>夏侯渊</v>
      </c>
      <c r="AR389" s="14">
        <f t="shared" si="347"/>
        <v>4</v>
      </c>
      <c r="AS389" s="14" t="str">
        <f t="shared" si="348"/>
        <v>夏侯渊魂火-21</v>
      </c>
      <c r="AT389" s="14">
        <f t="shared" si="349"/>
        <v>21</v>
      </c>
      <c r="AU389" s="14" t="str">
        <f>IF(AM389&gt;0,INDEX(挂机升级突破!$DT$4:$ED$4,AM389),"")</f>
        <v>金币</v>
      </c>
      <c r="AV389" s="14">
        <f>ROUND(INDEX(挂机升级突破!$DJ$6:$DJ$57,卡牌消耗!AT389)*INDEX(卡牌消耗!$B$8:$F$8,AR389)/$Q$4/50,0)*50</f>
        <v>7550</v>
      </c>
      <c r="AW389" s="14" t="str">
        <f>IF(AN389&gt;0,INDEX(挂机升级突破!$DT$4:$ED$4,AN389),"")</f>
        <v>紫色基础材料</v>
      </c>
      <c r="AX389" s="14">
        <f>ROUND(INDEX(挂机升级突破!$DT$6:$ED$57,卡牌消耗!AT389,AN389)*INDEX(卡牌消耗!$B$5:$F$5,AR389)/$Q$4/5,0)*5</f>
        <v>85</v>
      </c>
      <c r="AY389" s="14" t="str">
        <f>IF(AO389&gt;0,INDEX(挂机升级突破!$DT$4:$ED$4,AO389),"")</f>
        <v/>
      </c>
      <c r="AZ389" s="14" t="str">
        <f>IF(AO389&gt;0,ROUND(INDEX(挂机升级突破!$DT$6:$ED$57,卡牌消耗!AT389,AO389)*INDEX(卡牌消耗!$B$7:$F$7,AR389)/$Q$4,0),"")</f>
        <v/>
      </c>
      <c r="BA389" s="106"/>
      <c r="BB389" s="197"/>
      <c r="BC389" s="197"/>
      <c r="BD389" s="197"/>
      <c r="BE389" s="197"/>
      <c r="BF389" s="197"/>
      <c r="BG389" s="197"/>
      <c r="BH389" s="197"/>
      <c r="BI389" s="197"/>
      <c r="BJ389" s="197"/>
      <c r="BK389" s="197"/>
      <c r="BL389" s="104">
        <v>385</v>
      </c>
      <c r="BM389" s="14">
        <f t="shared" si="350"/>
        <v>20</v>
      </c>
      <c r="BN389" s="14">
        <f>INDEX(挂机升级突破!$EI$7:$EI$26,BS389)</f>
        <v>5</v>
      </c>
      <c r="BO389" s="14">
        <f>INDEX(挂机升级突破!$EJ$7:$EJ$26,BS389)</f>
        <v>1</v>
      </c>
      <c r="BP389" s="14">
        <f t="shared" si="351"/>
        <v>3</v>
      </c>
      <c r="BQ389" s="14">
        <f>INDEX(挂机升级突破!$EH$7:$EH$26,卡牌消耗!BS389)</f>
        <v>35</v>
      </c>
      <c r="BR389" s="14" t="str">
        <f t="shared" si="352"/>
        <v>高顺</v>
      </c>
      <c r="BS389" s="14">
        <f t="shared" si="353"/>
        <v>5</v>
      </c>
      <c r="BT389" s="14" t="str">
        <f t="shared" si="354"/>
        <v>高顺5突</v>
      </c>
      <c r="BU389" s="14" t="str">
        <f>IF(BN389&gt;0,INDEX(挂机升级突破!$ER$5:$EV$5,卡牌消耗!BN389),"")</f>
        <v>金币</v>
      </c>
      <c r="BV389" s="14">
        <f>IF(BN389&gt;0,ROUND(INDEX(挂机升级突破!$EV$7:$EV$26,卡牌消耗!BS389)*INDEX(卡牌消耗!$B$8:$F$8,BP389)/$Q$4/500,0)*500,"")</f>
        <v>4000</v>
      </c>
      <c r="BW389" s="14" t="str">
        <f>IF(BO389&gt;0,INDEX(挂机升级突破!$ER$5:$EV$5,卡牌消耗!BO389),"")</f>
        <v>玄铁</v>
      </c>
      <c r="BX389" s="14">
        <f>IF(BO389&gt;0,ROUND(INDEX(挂机升级突破!$ER$7:$EU$26,卡牌消耗!BS389,卡牌消耗!BO389)*INDEX($B$6:$F$6,BP389)/$Q$4/5,0)*5,"")</f>
        <v>35</v>
      </c>
      <c r="BY389" s="193"/>
      <c r="BZ389" s="193"/>
      <c r="CA389" s="106"/>
      <c r="CS389" s="171"/>
      <c r="CT389" s="171"/>
      <c r="CU389" s="171"/>
    </row>
    <row r="390" spans="8:99" ht="16.5" x14ac:dyDescent="0.2">
      <c r="H390" s="15"/>
      <c r="I390" s="15"/>
      <c r="J390" s="15"/>
      <c r="K390" s="15"/>
      <c r="L390" s="15"/>
      <c r="M390" s="15"/>
      <c r="N390" s="15"/>
      <c r="O390" s="137"/>
      <c r="P390" s="141"/>
      <c r="Q390" s="141"/>
      <c r="R390" s="141"/>
      <c r="S390" s="141"/>
      <c r="T390" s="141"/>
      <c r="U390" s="141"/>
      <c r="V390" s="141"/>
      <c r="W390" s="141"/>
      <c r="X390" s="141"/>
      <c r="Y390" s="141"/>
      <c r="Z390" s="141"/>
      <c r="AA390" s="194"/>
      <c r="AB390" s="194"/>
      <c r="AC390" s="194"/>
      <c r="AD390" s="194"/>
      <c r="AE390" s="194"/>
      <c r="AF390" s="194"/>
      <c r="AG390" s="197"/>
      <c r="AH390" s="194"/>
      <c r="AI390" s="194"/>
      <c r="AJ390" s="194"/>
      <c r="AK390" s="104">
        <v>386</v>
      </c>
      <c r="AL390" s="14">
        <f t="shared" ref="AL390:AL453" si="355">INT((AK390-1)/52)+1</f>
        <v>8</v>
      </c>
      <c r="AM390" s="14">
        <f>INDEX(挂机升级突破!DQ$6:DQ$57,卡牌消耗!$AT390)</f>
        <v>11</v>
      </c>
      <c r="AN390" s="14">
        <f>INDEX(挂机升级突破!DR$6:DR$57,卡牌消耗!$AT390)</f>
        <v>3</v>
      </c>
      <c r="AO390" s="14">
        <f>INDEX(挂机升级突破!DS$6:DS$57,卡牌消耗!$AT390)</f>
        <v>0</v>
      </c>
      <c r="AP390" s="14">
        <f>INDEX(挂机升级突破!$DP$6:$DP$57,卡牌消耗!AT390)</f>
        <v>73</v>
      </c>
      <c r="AQ390" s="14" t="str">
        <f t="shared" ref="AQ390:AQ453" si="356">INDEX($B$13:$B$45,AL390)</f>
        <v>夏侯渊</v>
      </c>
      <c r="AR390" s="14">
        <f t="shared" ref="AR390:AR453" si="357">INDEX($C$13:$C$45,AL390)</f>
        <v>4</v>
      </c>
      <c r="AS390" s="14" t="str">
        <f t="shared" ref="AS390:AS453" si="358">AQ390&amp;"魂火-"&amp;AT390</f>
        <v>夏侯渊魂火-22</v>
      </c>
      <c r="AT390" s="14">
        <f t="shared" ref="AT390:AT453" si="359">AK390-(AL390-1)*52</f>
        <v>22</v>
      </c>
      <c r="AU390" s="14" t="str">
        <f>IF(AM390&gt;0,INDEX(挂机升级突破!$DT$4:$ED$4,AM390),"")</f>
        <v>金币</v>
      </c>
      <c r="AV390" s="14">
        <f>ROUND(INDEX(挂机升级突破!$DJ$6:$DJ$57,卡牌消耗!AT390)*INDEX(卡牌消耗!$B$8:$F$8,AR390)/$Q$4/50,0)*50</f>
        <v>7550</v>
      </c>
      <c r="AW390" s="14" t="str">
        <f>IF(AN390&gt;0,INDEX(挂机升级突破!$DT$4:$ED$4,AN390),"")</f>
        <v>紫色基础材料</v>
      </c>
      <c r="AX390" s="14">
        <f>ROUND(INDEX(挂机升级突破!$DT$6:$ED$57,卡牌消耗!AT390,AN390)*INDEX(卡牌消耗!$B$5:$F$5,AR390)/$Q$4/5,0)*5</f>
        <v>85</v>
      </c>
      <c r="AY390" s="14" t="str">
        <f>IF(AO390&gt;0,INDEX(挂机升级突破!$DT$4:$ED$4,AO390),"")</f>
        <v/>
      </c>
      <c r="AZ390" s="14" t="str">
        <f>IF(AO390&gt;0,ROUND(INDEX(挂机升级突破!$DT$6:$ED$57,卡牌消耗!AT390,AO390)*INDEX(卡牌消耗!$B$7:$F$7,AR390)/$Q$4,0),"")</f>
        <v/>
      </c>
      <c r="BA390" s="106"/>
      <c r="BB390" s="197"/>
      <c r="BC390" s="197"/>
      <c r="BD390" s="197"/>
      <c r="BE390" s="197"/>
      <c r="BF390" s="197"/>
      <c r="BG390" s="197"/>
      <c r="BH390" s="197"/>
      <c r="BI390" s="197"/>
      <c r="BJ390" s="197"/>
      <c r="BK390" s="197"/>
      <c r="BL390" s="104">
        <v>386</v>
      </c>
      <c r="BM390" s="14">
        <f t="shared" ref="BM390:BM453" si="360">INT((BL390-1)/20)+1</f>
        <v>20</v>
      </c>
      <c r="BN390" s="14">
        <f>INDEX(挂机升级突破!$EI$7:$EI$26,BS390)</f>
        <v>5</v>
      </c>
      <c r="BO390" s="14">
        <f>INDEX(挂机升级突破!$EJ$7:$EJ$26,BS390)</f>
        <v>1</v>
      </c>
      <c r="BP390" s="14">
        <f t="shared" ref="BP390:BP453" si="361">INDEX($C$13:$C$45,BM390)</f>
        <v>3</v>
      </c>
      <c r="BQ390" s="14">
        <f>INDEX(挂机升级突破!$EH$7:$EH$26,卡牌消耗!BS390)</f>
        <v>42</v>
      </c>
      <c r="BR390" s="14" t="str">
        <f t="shared" ref="BR390:BR453" si="362">INDEX($B$13:$B$45,BM390)</f>
        <v>高顺</v>
      </c>
      <c r="BS390" s="14">
        <f t="shared" ref="BS390:BS453" si="363">BL390-(BM390-1)*20</f>
        <v>6</v>
      </c>
      <c r="BT390" s="14" t="str">
        <f t="shared" ref="BT390:BT453" si="364">BR390&amp;BS390&amp;"突"</f>
        <v>高顺6突</v>
      </c>
      <c r="BU390" s="14" t="str">
        <f>IF(BN390&gt;0,INDEX(挂机升级突破!$ER$5:$EV$5,卡牌消耗!BN390),"")</f>
        <v>金币</v>
      </c>
      <c r="BV390" s="14">
        <f>IF(BN390&gt;0,ROUND(INDEX(挂机升级突破!$EV$7:$EV$26,卡牌消耗!BS390)*INDEX(卡牌消耗!$B$8:$F$8,BP390)/$Q$4/500,0)*500,"")</f>
        <v>5000</v>
      </c>
      <c r="BW390" s="14" t="str">
        <f>IF(BO390&gt;0,INDEX(挂机升级突破!$ER$5:$EV$5,卡牌消耗!BO390),"")</f>
        <v>玄铁</v>
      </c>
      <c r="BX390" s="14">
        <f>IF(BO390&gt;0,ROUND(INDEX(挂机升级突破!$ER$7:$EU$26,卡牌消耗!BS390,卡牌消耗!BO390)*INDEX($B$6:$F$6,BP390)/$Q$4/5,0)*5,"")</f>
        <v>50</v>
      </c>
      <c r="BY390" s="193"/>
      <c r="BZ390" s="193"/>
      <c r="CA390" s="106"/>
      <c r="CS390" s="171"/>
      <c r="CT390" s="171"/>
      <c r="CU390" s="171"/>
    </row>
    <row r="391" spans="8:99" ht="16.5" x14ac:dyDescent="0.2">
      <c r="H391" s="15"/>
      <c r="I391" s="15"/>
      <c r="J391" s="15"/>
      <c r="K391" s="15"/>
      <c r="L391" s="15"/>
      <c r="M391" s="15"/>
      <c r="N391" s="15"/>
      <c r="O391" s="137"/>
      <c r="P391" s="141"/>
      <c r="Q391" s="141"/>
      <c r="R391" s="141"/>
      <c r="S391" s="141"/>
      <c r="T391" s="141"/>
      <c r="U391" s="141"/>
      <c r="V391" s="141"/>
      <c r="W391" s="141"/>
      <c r="X391" s="141"/>
      <c r="Y391" s="141"/>
      <c r="Z391" s="141"/>
      <c r="AA391" s="194"/>
      <c r="AB391" s="194"/>
      <c r="AC391" s="194"/>
      <c r="AD391" s="194"/>
      <c r="AE391" s="194"/>
      <c r="AF391" s="194"/>
      <c r="AG391" s="197"/>
      <c r="AH391" s="194"/>
      <c r="AI391" s="194"/>
      <c r="AJ391" s="194"/>
      <c r="AK391" s="104">
        <v>387</v>
      </c>
      <c r="AL391" s="14">
        <f t="shared" si="355"/>
        <v>8</v>
      </c>
      <c r="AM391" s="14">
        <f>INDEX(挂机升级突破!DQ$6:DQ$57,卡牌消耗!$AT391)</f>
        <v>11</v>
      </c>
      <c r="AN391" s="14">
        <f>INDEX(挂机升级突破!DR$6:DR$57,卡牌消耗!$AT391)</f>
        <v>4</v>
      </c>
      <c r="AO391" s="14">
        <f>INDEX(挂机升级突破!DS$6:DS$57,卡牌消耗!$AT391)</f>
        <v>0</v>
      </c>
      <c r="AP391" s="14">
        <f>INDEX(挂机升级突破!$DP$6:$DP$57,卡牌消耗!AT391)</f>
        <v>75</v>
      </c>
      <c r="AQ391" s="14" t="str">
        <f t="shared" si="356"/>
        <v>夏侯渊</v>
      </c>
      <c r="AR391" s="14">
        <f t="shared" si="357"/>
        <v>4</v>
      </c>
      <c r="AS391" s="14" t="str">
        <f t="shared" si="358"/>
        <v>夏侯渊魂火-23</v>
      </c>
      <c r="AT391" s="14">
        <f t="shared" si="359"/>
        <v>23</v>
      </c>
      <c r="AU391" s="14" t="str">
        <f>IF(AM391&gt;0,INDEX(挂机升级突破!$DT$4:$ED$4,AM391),"")</f>
        <v>金币</v>
      </c>
      <c r="AV391" s="14">
        <f>ROUND(INDEX(挂机升级突破!$DJ$6:$DJ$57,卡牌消耗!AT391)*INDEX(卡牌消耗!$B$8:$F$8,AR391)/$Q$4/50,0)*50</f>
        <v>10350</v>
      </c>
      <c r="AW391" s="14" t="str">
        <f>IF(AN391&gt;0,INDEX(挂机升级突破!$DT$4:$ED$4,AN391),"")</f>
        <v>橙色基础材料</v>
      </c>
      <c r="AX391" s="14">
        <f>ROUND(INDEX(挂机升级突破!$DT$6:$ED$57,卡牌消耗!AT391,AN391)*INDEX(卡牌消耗!$B$5:$F$5,AR391)/$Q$4/5,0)*5</f>
        <v>25</v>
      </c>
      <c r="AY391" s="14" t="str">
        <f>IF(AO391&gt;0,INDEX(挂机升级突破!$DT$4:$ED$4,AO391),"")</f>
        <v/>
      </c>
      <c r="AZ391" s="14" t="str">
        <f>IF(AO391&gt;0,ROUND(INDEX(挂机升级突破!$DT$6:$ED$57,卡牌消耗!AT391,AO391)*INDEX(卡牌消耗!$B$7:$F$7,AR391)/$Q$4,0),"")</f>
        <v/>
      </c>
      <c r="BA391" s="106"/>
      <c r="BB391" s="197"/>
      <c r="BC391" s="197"/>
      <c r="BD391" s="197"/>
      <c r="BE391" s="197"/>
      <c r="BF391" s="197"/>
      <c r="BG391" s="197"/>
      <c r="BH391" s="197"/>
      <c r="BI391" s="197"/>
      <c r="BJ391" s="197"/>
      <c r="BK391" s="197"/>
      <c r="BL391" s="104">
        <v>387</v>
      </c>
      <c r="BM391" s="14">
        <f t="shared" si="360"/>
        <v>20</v>
      </c>
      <c r="BN391" s="14">
        <f>INDEX(挂机升级突破!$EI$7:$EI$26,BS391)</f>
        <v>5</v>
      </c>
      <c r="BO391" s="14">
        <f>INDEX(挂机升级突破!$EJ$7:$EJ$26,BS391)</f>
        <v>1</v>
      </c>
      <c r="BP391" s="14">
        <f t="shared" si="361"/>
        <v>3</v>
      </c>
      <c r="BQ391" s="14">
        <f>INDEX(挂机升级突破!$EH$7:$EH$26,卡牌消耗!BS391)</f>
        <v>47</v>
      </c>
      <c r="BR391" s="14" t="str">
        <f t="shared" si="362"/>
        <v>高顺</v>
      </c>
      <c r="BS391" s="14">
        <f t="shared" si="363"/>
        <v>7</v>
      </c>
      <c r="BT391" s="14" t="str">
        <f t="shared" si="364"/>
        <v>高顺7突</v>
      </c>
      <c r="BU391" s="14" t="str">
        <f>IF(BN391&gt;0,INDEX(挂机升级突破!$ER$5:$EV$5,卡牌消耗!BN391),"")</f>
        <v>金币</v>
      </c>
      <c r="BV391" s="14">
        <f>IF(BN391&gt;0,ROUND(INDEX(挂机升级突破!$EV$7:$EV$26,卡牌消耗!BS391)*INDEX(卡牌消耗!$B$8:$F$8,BP391)/$Q$4/500,0)*500,"")</f>
        <v>8000</v>
      </c>
      <c r="BW391" s="14" t="str">
        <f>IF(BO391&gt;0,INDEX(挂机升级突破!$ER$5:$EV$5,卡牌消耗!BO391),"")</f>
        <v>玄铁</v>
      </c>
      <c r="BX391" s="14">
        <f>IF(BO391&gt;0,ROUND(INDEX(挂机升级突破!$ER$7:$EU$26,卡牌消耗!BS391,卡牌消耗!BO391)*INDEX($B$6:$F$6,BP391)/$Q$4/5,0)*5,"")</f>
        <v>85</v>
      </c>
      <c r="BY391" s="193"/>
      <c r="BZ391" s="193"/>
      <c r="CA391" s="106"/>
      <c r="CS391" s="171"/>
      <c r="CT391" s="171"/>
      <c r="CU391" s="171"/>
    </row>
    <row r="392" spans="8:99" ht="16.5" x14ac:dyDescent="0.2">
      <c r="H392" s="15"/>
      <c r="I392" s="15"/>
      <c r="J392" s="15"/>
      <c r="K392" s="15"/>
      <c r="L392" s="15"/>
      <c r="M392" s="15"/>
      <c r="N392" s="15"/>
      <c r="O392" s="137"/>
      <c r="P392" s="141"/>
      <c r="Q392" s="141"/>
      <c r="R392" s="141"/>
      <c r="S392" s="141"/>
      <c r="T392" s="141"/>
      <c r="U392" s="141"/>
      <c r="V392" s="141"/>
      <c r="W392" s="141"/>
      <c r="X392" s="141"/>
      <c r="Y392" s="141"/>
      <c r="Z392" s="141"/>
      <c r="AA392" s="194"/>
      <c r="AB392" s="194"/>
      <c r="AC392" s="194"/>
      <c r="AD392" s="194"/>
      <c r="AE392" s="194"/>
      <c r="AF392" s="194"/>
      <c r="AG392" s="197"/>
      <c r="AH392" s="194"/>
      <c r="AI392" s="194"/>
      <c r="AJ392" s="194"/>
      <c r="AK392" s="104">
        <v>388</v>
      </c>
      <c r="AL392" s="14">
        <f t="shared" si="355"/>
        <v>8</v>
      </c>
      <c r="AM392" s="14">
        <f>INDEX(挂机升级突破!DQ$6:DQ$57,卡牌消耗!$AT392)</f>
        <v>11</v>
      </c>
      <c r="AN392" s="14">
        <f>INDEX(挂机升级突破!DR$6:DR$57,卡牌消耗!$AT392)</f>
        <v>4</v>
      </c>
      <c r="AO392" s="14">
        <f>INDEX(挂机升级突破!DS$6:DS$57,卡牌消耗!$AT392)</f>
        <v>0</v>
      </c>
      <c r="AP392" s="14">
        <f>INDEX(挂机升级突破!$DP$6:$DP$57,卡牌消耗!AT392)</f>
        <v>78</v>
      </c>
      <c r="AQ392" s="14" t="str">
        <f t="shared" si="356"/>
        <v>夏侯渊</v>
      </c>
      <c r="AR392" s="14">
        <f t="shared" si="357"/>
        <v>4</v>
      </c>
      <c r="AS392" s="14" t="str">
        <f t="shared" si="358"/>
        <v>夏侯渊魂火-24</v>
      </c>
      <c r="AT392" s="14">
        <f t="shared" si="359"/>
        <v>24</v>
      </c>
      <c r="AU392" s="14" t="str">
        <f>IF(AM392&gt;0,INDEX(挂机升级突破!$DT$4:$ED$4,AM392),"")</f>
        <v>金币</v>
      </c>
      <c r="AV392" s="14">
        <f>ROUND(INDEX(挂机升级突破!$DJ$6:$DJ$57,卡牌消耗!AT392)*INDEX(卡牌消耗!$B$8:$F$8,AR392)/$Q$4/50,0)*50</f>
        <v>10350</v>
      </c>
      <c r="AW392" s="14" t="str">
        <f>IF(AN392&gt;0,INDEX(挂机升级突破!$DT$4:$ED$4,AN392),"")</f>
        <v>橙色基础材料</v>
      </c>
      <c r="AX392" s="14">
        <f>ROUND(INDEX(挂机升级突破!$DT$6:$ED$57,卡牌消耗!AT392,AN392)*INDEX(卡牌消耗!$B$5:$F$5,AR392)/$Q$4/5,0)*5</f>
        <v>25</v>
      </c>
      <c r="AY392" s="14" t="str">
        <f>IF(AO392&gt;0,INDEX(挂机升级突破!$DT$4:$ED$4,AO392),"")</f>
        <v/>
      </c>
      <c r="AZ392" s="14" t="str">
        <f>IF(AO392&gt;0,ROUND(INDEX(挂机升级突破!$DT$6:$ED$57,卡牌消耗!AT392,AO392)*INDEX(卡牌消耗!$B$7:$F$7,AR392)/$Q$4,0),"")</f>
        <v/>
      </c>
      <c r="BA392" s="106"/>
      <c r="BB392" s="197"/>
      <c r="BC392" s="197"/>
      <c r="BD392" s="197"/>
      <c r="BE392" s="197"/>
      <c r="BF392" s="197"/>
      <c r="BG392" s="197"/>
      <c r="BH392" s="197"/>
      <c r="BI392" s="197"/>
      <c r="BJ392" s="197"/>
      <c r="BK392" s="197"/>
      <c r="BL392" s="104">
        <v>388</v>
      </c>
      <c r="BM392" s="14">
        <f t="shared" si="360"/>
        <v>20</v>
      </c>
      <c r="BN392" s="14">
        <f>INDEX(挂机升级突破!$EI$7:$EI$26,BS392)</f>
        <v>5</v>
      </c>
      <c r="BO392" s="14">
        <f>INDEX(挂机升级突破!$EJ$7:$EJ$26,BS392)</f>
        <v>1</v>
      </c>
      <c r="BP392" s="14">
        <f t="shared" si="361"/>
        <v>3</v>
      </c>
      <c r="BQ392" s="14">
        <f>INDEX(挂机升级突破!$EH$7:$EH$26,卡牌消耗!BS392)</f>
        <v>52</v>
      </c>
      <c r="BR392" s="14" t="str">
        <f t="shared" si="362"/>
        <v>高顺</v>
      </c>
      <c r="BS392" s="14">
        <f t="shared" si="363"/>
        <v>8</v>
      </c>
      <c r="BT392" s="14" t="str">
        <f t="shared" si="364"/>
        <v>高顺8突</v>
      </c>
      <c r="BU392" s="14" t="str">
        <f>IF(BN392&gt;0,INDEX(挂机升级突破!$ER$5:$EV$5,卡牌消耗!BN392),"")</f>
        <v>金币</v>
      </c>
      <c r="BV392" s="14">
        <f>IF(BN392&gt;0,ROUND(INDEX(挂机升级突破!$EV$7:$EV$26,卡牌消耗!BS392)*INDEX(卡牌消耗!$B$8:$F$8,BP392)/$Q$4/500,0)*500,"")</f>
        <v>8000</v>
      </c>
      <c r="BW392" s="14" t="str">
        <f>IF(BO392&gt;0,INDEX(挂机升级突破!$ER$5:$EV$5,卡牌消耗!BO392),"")</f>
        <v>玄铁</v>
      </c>
      <c r="BX392" s="14">
        <f>IF(BO392&gt;0,ROUND(INDEX(挂机升级突破!$ER$7:$EU$26,卡牌消耗!BS392,卡牌消耗!BO392)*INDEX($B$6:$F$6,BP392)/$Q$4/5,0)*5,"")</f>
        <v>150</v>
      </c>
      <c r="BY392" s="193"/>
      <c r="BZ392" s="193"/>
      <c r="CA392" s="106"/>
      <c r="CS392" s="171"/>
      <c r="CT392" s="171"/>
      <c r="CU392" s="171"/>
    </row>
    <row r="393" spans="8:99" ht="16.5" x14ac:dyDescent="0.2">
      <c r="H393" s="15"/>
      <c r="I393" s="15"/>
      <c r="J393" s="15"/>
      <c r="K393" s="15"/>
      <c r="L393" s="15"/>
      <c r="M393" s="15"/>
      <c r="N393" s="15"/>
      <c r="O393" s="137"/>
      <c r="P393" s="141"/>
      <c r="Q393" s="141"/>
      <c r="R393" s="141"/>
      <c r="S393" s="141"/>
      <c r="T393" s="141"/>
      <c r="U393" s="141"/>
      <c r="V393" s="141"/>
      <c r="W393" s="141"/>
      <c r="X393" s="141"/>
      <c r="Y393" s="141"/>
      <c r="Z393" s="141"/>
      <c r="AA393" s="194"/>
      <c r="AB393" s="194"/>
      <c r="AC393" s="194"/>
      <c r="AD393" s="194"/>
      <c r="AE393" s="194"/>
      <c r="AF393" s="194"/>
      <c r="AG393" s="197"/>
      <c r="AH393" s="194"/>
      <c r="AI393" s="194"/>
      <c r="AJ393" s="194"/>
      <c r="AK393" s="104">
        <v>389</v>
      </c>
      <c r="AL393" s="14">
        <f t="shared" si="355"/>
        <v>8</v>
      </c>
      <c r="AM393" s="14">
        <f>INDEX(挂机升级突破!DQ$6:DQ$57,卡牌消耗!$AT393)</f>
        <v>11</v>
      </c>
      <c r="AN393" s="14">
        <f>INDEX(挂机升级突破!DR$6:DR$57,卡牌消耗!$AT393)</f>
        <v>4</v>
      </c>
      <c r="AO393" s="14">
        <f>INDEX(挂机升级突破!DS$6:DS$57,卡牌消耗!$AT393)</f>
        <v>0</v>
      </c>
      <c r="AP393" s="14">
        <f>INDEX(挂机升级突破!$DP$6:$DP$57,卡牌消耗!AT393)</f>
        <v>80</v>
      </c>
      <c r="AQ393" s="14" t="str">
        <f t="shared" si="356"/>
        <v>夏侯渊</v>
      </c>
      <c r="AR393" s="14">
        <f t="shared" si="357"/>
        <v>4</v>
      </c>
      <c r="AS393" s="14" t="str">
        <f t="shared" si="358"/>
        <v>夏侯渊魂火-25</v>
      </c>
      <c r="AT393" s="14">
        <f t="shared" si="359"/>
        <v>25</v>
      </c>
      <c r="AU393" s="14" t="str">
        <f>IF(AM393&gt;0,INDEX(挂机升级突破!$DT$4:$ED$4,AM393),"")</f>
        <v>金币</v>
      </c>
      <c r="AV393" s="14">
        <f>ROUND(INDEX(挂机升级突破!$DJ$6:$DJ$57,卡牌消耗!AT393)*INDEX(卡牌消耗!$B$8:$F$8,AR393)/$Q$4/50,0)*50</f>
        <v>11300</v>
      </c>
      <c r="AW393" s="14" t="str">
        <f>IF(AN393&gt;0,INDEX(挂机升级突破!$DT$4:$ED$4,AN393),"")</f>
        <v>橙色基础材料</v>
      </c>
      <c r="AX393" s="14">
        <f>ROUND(INDEX(挂机升级突破!$DT$6:$ED$57,卡牌消耗!AT393,AN393)*INDEX(卡牌消耗!$B$5:$F$5,AR393)/$Q$4/5,0)*5</f>
        <v>25</v>
      </c>
      <c r="AY393" s="14" t="str">
        <f>IF(AO393&gt;0,INDEX(挂机升级突破!$DT$4:$ED$4,AO393),"")</f>
        <v/>
      </c>
      <c r="AZ393" s="14" t="str">
        <f>IF(AO393&gt;0,ROUND(INDEX(挂机升级突破!$DT$6:$ED$57,卡牌消耗!AT393,AO393)*INDEX(卡牌消耗!$B$7:$F$7,AR393)/$Q$4,0),"")</f>
        <v/>
      </c>
      <c r="BA393" s="106"/>
      <c r="BB393" s="197"/>
      <c r="BC393" s="197"/>
      <c r="BD393" s="197"/>
      <c r="BE393" s="197"/>
      <c r="BF393" s="197"/>
      <c r="BG393" s="197"/>
      <c r="BH393" s="197"/>
      <c r="BI393" s="197"/>
      <c r="BJ393" s="197"/>
      <c r="BK393" s="197"/>
      <c r="BL393" s="104">
        <v>389</v>
      </c>
      <c r="BM393" s="14">
        <f t="shared" si="360"/>
        <v>20</v>
      </c>
      <c r="BN393" s="14">
        <f>INDEX(挂机升级突破!$EI$7:$EI$26,BS393)</f>
        <v>5</v>
      </c>
      <c r="BO393" s="14">
        <f>INDEX(挂机升级突破!$EJ$7:$EJ$26,BS393)</f>
        <v>2</v>
      </c>
      <c r="BP393" s="14">
        <f t="shared" si="361"/>
        <v>3</v>
      </c>
      <c r="BQ393" s="14">
        <f>INDEX(挂机升级突破!$EH$7:$EH$26,卡牌消耗!BS393)</f>
        <v>57</v>
      </c>
      <c r="BR393" s="14" t="str">
        <f t="shared" si="362"/>
        <v>高顺</v>
      </c>
      <c r="BS393" s="14">
        <f t="shared" si="363"/>
        <v>9</v>
      </c>
      <c r="BT393" s="14" t="str">
        <f t="shared" si="364"/>
        <v>高顺9突</v>
      </c>
      <c r="BU393" s="14" t="str">
        <f>IF(BN393&gt;0,INDEX(挂机升级突破!$ER$5:$EV$5,卡牌消耗!BN393),"")</f>
        <v>金币</v>
      </c>
      <c r="BV393" s="14">
        <f>IF(BN393&gt;0,ROUND(INDEX(挂机升级突破!$EV$7:$EV$26,卡牌消耗!BS393)*INDEX(卡牌消耗!$B$8:$F$8,BP393)/$Q$4/500,0)*500,"")</f>
        <v>11000</v>
      </c>
      <c r="BW393" s="14" t="str">
        <f>IF(BO393&gt;0,INDEX(挂机升级突破!$ER$5:$EV$5,卡牌消耗!BO393),"")</f>
        <v>乌金</v>
      </c>
      <c r="BX393" s="14">
        <f>IF(BO393&gt;0,ROUND(INDEX(挂机升级突破!$ER$7:$EU$26,卡牌消耗!BS393,卡牌消耗!BO393)*INDEX($B$6:$F$6,BP393)/$Q$4/5,0)*5,"")</f>
        <v>50</v>
      </c>
      <c r="BY393" s="193"/>
      <c r="BZ393" s="193"/>
      <c r="CA393" s="106"/>
      <c r="CS393" s="171"/>
      <c r="CT393" s="171"/>
      <c r="CU393" s="171"/>
    </row>
    <row r="394" spans="8:99" ht="16.5" x14ac:dyDescent="0.2">
      <c r="H394" s="15"/>
      <c r="I394" s="15"/>
      <c r="J394" s="15"/>
      <c r="K394" s="15"/>
      <c r="L394" s="15"/>
      <c r="M394" s="15"/>
      <c r="N394" s="15"/>
      <c r="O394" s="137"/>
      <c r="P394" s="141"/>
      <c r="Q394" s="141"/>
      <c r="R394" s="141"/>
      <c r="S394" s="141"/>
      <c r="T394" s="141"/>
      <c r="U394" s="141"/>
      <c r="V394" s="141"/>
      <c r="W394" s="141"/>
      <c r="X394" s="141"/>
      <c r="Y394" s="141"/>
      <c r="Z394" s="141"/>
      <c r="AA394" s="194"/>
      <c r="AB394" s="194"/>
      <c r="AC394" s="194"/>
      <c r="AD394" s="194"/>
      <c r="AE394" s="194"/>
      <c r="AF394" s="194"/>
      <c r="AG394" s="197"/>
      <c r="AH394" s="194"/>
      <c r="AI394" s="194"/>
      <c r="AJ394" s="194"/>
      <c r="AK394" s="104">
        <v>390</v>
      </c>
      <c r="AL394" s="14">
        <f t="shared" si="355"/>
        <v>8</v>
      </c>
      <c r="AM394" s="14">
        <f>INDEX(挂机升级突破!DQ$6:DQ$57,卡牌消耗!$AT394)</f>
        <v>11</v>
      </c>
      <c r="AN394" s="14">
        <f>INDEX(挂机升级突破!DR$6:DR$57,卡牌消耗!$AT394)</f>
        <v>4</v>
      </c>
      <c r="AO394" s="14">
        <f>INDEX(挂机升级突破!DS$6:DS$57,卡牌消耗!$AT394)</f>
        <v>0</v>
      </c>
      <c r="AP394" s="14">
        <f>INDEX(挂机升级突破!$DP$6:$DP$57,卡牌消耗!AT394)</f>
        <v>83</v>
      </c>
      <c r="AQ394" s="14" t="str">
        <f t="shared" si="356"/>
        <v>夏侯渊</v>
      </c>
      <c r="AR394" s="14">
        <f t="shared" si="357"/>
        <v>4</v>
      </c>
      <c r="AS394" s="14" t="str">
        <f t="shared" si="358"/>
        <v>夏侯渊魂火-26</v>
      </c>
      <c r="AT394" s="14">
        <f t="shared" si="359"/>
        <v>26</v>
      </c>
      <c r="AU394" s="14" t="str">
        <f>IF(AM394&gt;0,INDEX(挂机升级突破!$DT$4:$ED$4,AM394),"")</f>
        <v>金币</v>
      </c>
      <c r="AV394" s="14">
        <f>ROUND(INDEX(挂机升级突破!$DJ$6:$DJ$57,卡牌消耗!AT394)*INDEX(卡牌消耗!$B$8:$F$8,AR394)/$Q$4/50,0)*50</f>
        <v>13150</v>
      </c>
      <c r="AW394" s="14" t="str">
        <f>IF(AN394&gt;0,INDEX(挂机升级突破!$DT$4:$ED$4,AN394),"")</f>
        <v>橙色基础材料</v>
      </c>
      <c r="AX394" s="14">
        <f>ROUND(INDEX(挂机升级突破!$DT$6:$ED$57,卡牌消耗!AT394,AN394)*INDEX(卡牌消耗!$B$5:$F$5,AR394)/$Q$4/5,0)*5</f>
        <v>30</v>
      </c>
      <c r="AY394" s="14" t="str">
        <f>IF(AO394&gt;0,INDEX(挂机升级突破!$DT$4:$ED$4,AO394),"")</f>
        <v/>
      </c>
      <c r="AZ394" s="14" t="str">
        <f>IF(AO394&gt;0,ROUND(INDEX(挂机升级突破!$DT$6:$ED$57,卡牌消耗!AT394,AO394)*INDEX(卡牌消耗!$B$7:$F$7,AR394)/$Q$4,0),"")</f>
        <v/>
      </c>
      <c r="BA394" s="106"/>
      <c r="BB394" s="197"/>
      <c r="BC394" s="197"/>
      <c r="BD394" s="197"/>
      <c r="BE394" s="197"/>
      <c r="BF394" s="197"/>
      <c r="BG394" s="197"/>
      <c r="BH394" s="197"/>
      <c r="BI394" s="197"/>
      <c r="BJ394" s="197"/>
      <c r="BK394" s="197"/>
      <c r="BL394" s="104">
        <v>390</v>
      </c>
      <c r="BM394" s="14">
        <f t="shared" si="360"/>
        <v>20</v>
      </c>
      <c r="BN394" s="14">
        <f>INDEX(挂机升级突破!$EI$7:$EI$26,BS394)</f>
        <v>5</v>
      </c>
      <c r="BO394" s="14">
        <f>INDEX(挂机升级突破!$EJ$7:$EJ$26,BS394)</f>
        <v>2</v>
      </c>
      <c r="BP394" s="14">
        <f t="shared" si="361"/>
        <v>3</v>
      </c>
      <c r="BQ394" s="14">
        <f>INDEX(挂机升级突破!$EH$7:$EH$26,卡牌消耗!BS394)</f>
        <v>65</v>
      </c>
      <c r="BR394" s="14" t="str">
        <f t="shared" si="362"/>
        <v>高顺</v>
      </c>
      <c r="BS394" s="14">
        <f t="shared" si="363"/>
        <v>10</v>
      </c>
      <c r="BT394" s="14" t="str">
        <f t="shared" si="364"/>
        <v>高顺10突</v>
      </c>
      <c r="BU394" s="14" t="str">
        <f>IF(BN394&gt;0,INDEX(挂机升级突破!$ER$5:$EV$5,卡牌消耗!BN394),"")</f>
        <v>金币</v>
      </c>
      <c r="BV394" s="14">
        <f>IF(BN394&gt;0,ROUND(INDEX(挂机升级突破!$EV$7:$EV$26,卡牌消耗!BS394)*INDEX(卡牌消耗!$B$8:$F$8,BP394)/$Q$4/500,0)*500,"")</f>
        <v>19000</v>
      </c>
      <c r="BW394" s="14" t="str">
        <f>IF(BO394&gt;0,INDEX(挂机升级突破!$ER$5:$EV$5,卡牌消耗!BO394),"")</f>
        <v>乌金</v>
      </c>
      <c r="BX394" s="14">
        <f>IF(BO394&gt;0,ROUND(INDEX(挂机升级突破!$ER$7:$EU$26,卡牌消耗!BS394,卡牌消耗!BO394)*INDEX($B$6:$F$6,BP394)/$Q$4/5,0)*5,"")</f>
        <v>70</v>
      </c>
      <c r="BY394" s="193"/>
      <c r="BZ394" s="193"/>
      <c r="CA394" s="106"/>
      <c r="CS394" s="171"/>
      <c r="CT394" s="171"/>
      <c r="CU394" s="171"/>
    </row>
    <row r="395" spans="8:99" ht="16.5" x14ac:dyDescent="0.2">
      <c r="H395" s="15"/>
      <c r="I395" s="15"/>
      <c r="J395" s="15"/>
      <c r="K395" s="15"/>
      <c r="L395" s="15"/>
      <c r="M395" s="15"/>
      <c r="N395" s="15"/>
      <c r="O395" s="137"/>
      <c r="P395" s="141"/>
      <c r="Q395" s="141"/>
      <c r="R395" s="141"/>
      <c r="S395" s="141"/>
      <c r="T395" s="141"/>
      <c r="U395" s="141"/>
      <c r="V395" s="141"/>
      <c r="W395" s="141"/>
      <c r="X395" s="141"/>
      <c r="Y395" s="141"/>
      <c r="Z395" s="141"/>
      <c r="AA395" s="194"/>
      <c r="AB395" s="194"/>
      <c r="AC395" s="194"/>
      <c r="AD395" s="194"/>
      <c r="AE395" s="194"/>
      <c r="AF395" s="194"/>
      <c r="AG395" s="197"/>
      <c r="AH395" s="194"/>
      <c r="AI395" s="194"/>
      <c r="AJ395" s="194"/>
      <c r="AK395" s="104">
        <v>391</v>
      </c>
      <c r="AL395" s="14">
        <f t="shared" si="355"/>
        <v>8</v>
      </c>
      <c r="AM395" s="14">
        <f>INDEX(挂机升级突破!DQ$6:DQ$57,卡牌消耗!$AT395)</f>
        <v>11</v>
      </c>
      <c r="AN395" s="14">
        <f>INDEX(挂机升级突破!DR$6:DR$57,卡牌消耗!$AT395)</f>
        <v>4</v>
      </c>
      <c r="AO395" s="14">
        <f>INDEX(挂机升级突破!DS$6:DS$57,卡牌消耗!$AT395)</f>
        <v>0</v>
      </c>
      <c r="AP395" s="14">
        <f>INDEX(挂机升级突破!$DP$6:$DP$57,卡牌消耗!AT395)</f>
        <v>85</v>
      </c>
      <c r="AQ395" s="14" t="str">
        <f t="shared" si="356"/>
        <v>夏侯渊</v>
      </c>
      <c r="AR395" s="14">
        <f t="shared" si="357"/>
        <v>4</v>
      </c>
      <c r="AS395" s="14" t="str">
        <f t="shared" si="358"/>
        <v>夏侯渊魂火-27</v>
      </c>
      <c r="AT395" s="14">
        <f t="shared" si="359"/>
        <v>27</v>
      </c>
      <c r="AU395" s="14" t="str">
        <f>IF(AM395&gt;0,INDEX(挂机升级突破!$DT$4:$ED$4,AM395),"")</f>
        <v>金币</v>
      </c>
      <c r="AV395" s="14">
        <f>ROUND(INDEX(挂机升级突破!$DJ$6:$DJ$57,卡牌消耗!AT395)*INDEX(卡牌消耗!$B$8:$F$8,AR395)/$Q$4/50,0)*50</f>
        <v>13150</v>
      </c>
      <c r="AW395" s="14" t="str">
        <f>IF(AN395&gt;0,INDEX(挂机升级突破!$DT$4:$ED$4,AN395),"")</f>
        <v>橙色基础材料</v>
      </c>
      <c r="AX395" s="14">
        <f>ROUND(INDEX(挂机升级突破!$DT$6:$ED$57,卡牌消耗!AT395,AN395)*INDEX(卡牌消耗!$B$5:$F$5,AR395)/$Q$4/5,0)*5</f>
        <v>30</v>
      </c>
      <c r="AY395" s="14" t="str">
        <f>IF(AO395&gt;0,INDEX(挂机升级突破!$DT$4:$ED$4,AO395),"")</f>
        <v/>
      </c>
      <c r="AZ395" s="14" t="str">
        <f>IF(AO395&gt;0,ROUND(INDEX(挂机升级突破!$DT$6:$ED$57,卡牌消耗!AT395,AO395)*INDEX(卡牌消耗!$B$7:$F$7,AR395)/$Q$4,0),"")</f>
        <v/>
      </c>
      <c r="BA395" s="106"/>
      <c r="BB395" s="197"/>
      <c r="BC395" s="197"/>
      <c r="BD395" s="197"/>
      <c r="BE395" s="197"/>
      <c r="BF395" s="197"/>
      <c r="BG395" s="197"/>
      <c r="BH395" s="197"/>
      <c r="BI395" s="197"/>
      <c r="BJ395" s="197"/>
      <c r="BK395" s="197"/>
      <c r="BL395" s="104">
        <v>391</v>
      </c>
      <c r="BM395" s="14">
        <f t="shared" si="360"/>
        <v>20</v>
      </c>
      <c r="BN395" s="14">
        <f>INDEX(挂机升级突破!$EI$7:$EI$26,BS395)</f>
        <v>5</v>
      </c>
      <c r="BO395" s="14">
        <f>INDEX(挂机升级突破!$EJ$7:$EJ$26,BS395)</f>
        <v>2</v>
      </c>
      <c r="BP395" s="14">
        <f t="shared" si="361"/>
        <v>3</v>
      </c>
      <c r="BQ395" s="14">
        <f>INDEX(挂机升级突破!$EH$7:$EH$26,卡牌消耗!BS395)</f>
        <v>72</v>
      </c>
      <c r="BR395" s="14" t="str">
        <f t="shared" si="362"/>
        <v>高顺</v>
      </c>
      <c r="BS395" s="14">
        <f t="shared" si="363"/>
        <v>11</v>
      </c>
      <c r="BT395" s="14" t="str">
        <f t="shared" si="364"/>
        <v>高顺11突</v>
      </c>
      <c r="BU395" s="14" t="str">
        <f>IF(BN395&gt;0,INDEX(挂机升级突破!$ER$5:$EV$5,卡牌消耗!BN395),"")</f>
        <v>金币</v>
      </c>
      <c r="BV395" s="14">
        <f>IF(BN395&gt;0,ROUND(INDEX(挂机升级突破!$EV$7:$EV$26,卡牌消耗!BS395)*INDEX(卡牌消耗!$B$8:$F$8,BP395)/$Q$4/500,0)*500,"")</f>
        <v>19000</v>
      </c>
      <c r="BW395" s="14" t="str">
        <f>IF(BO395&gt;0,INDEX(挂机升级突破!$ER$5:$EV$5,卡牌消耗!BO395),"")</f>
        <v>乌金</v>
      </c>
      <c r="BX395" s="14">
        <f>IF(BO395&gt;0,ROUND(INDEX(挂机升级突破!$ER$7:$EU$26,卡牌消耗!BS395,卡牌消耗!BO395)*INDEX($B$6:$F$6,BP395)/$Q$4/5,0)*5,"")</f>
        <v>90</v>
      </c>
      <c r="BY395" s="193"/>
      <c r="BZ395" s="193"/>
      <c r="CA395" s="106"/>
      <c r="CS395" s="171"/>
      <c r="CT395" s="171"/>
      <c r="CU395" s="171"/>
    </row>
    <row r="396" spans="8:99" ht="16.5" x14ac:dyDescent="0.2">
      <c r="H396" s="15"/>
      <c r="I396" s="15"/>
      <c r="J396" s="15"/>
      <c r="K396" s="15"/>
      <c r="L396" s="15"/>
      <c r="M396" s="15"/>
      <c r="N396" s="15"/>
      <c r="O396" s="137"/>
      <c r="P396" s="141"/>
      <c r="Q396" s="141"/>
      <c r="R396" s="141"/>
      <c r="S396" s="141"/>
      <c r="T396" s="141"/>
      <c r="U396" s="141"/>
      <c r="V396" s="141"/>
      <c r="W396" s="141"/>
      <c r="X396" s="141"/>
      <c r="Y396" s="141"/>
      <c r="Z396" s="141"/>
      <c r="AA396" s="194"/>
      <c r="AB396" s="194"/>
      <c r="AC396" s="194"/>
      <c r="AD396" s="194"/>
      <c r="AE396" s="194"/>
      <c r="AF396" s="194"/>
      <c r="AG396" s="197"/>
      <c r="AH396" s="194"/>
      <c r="AI396" s="194"/>
      <c r="AJ396" s="194"/>
      <c r="AK396" s="104">
        <v>392</v>
      </c>
      <c r="AL396" s="14">
        <f t="shared" si="355"/>
        <v>8</v>
      </c>
      <c r="AM396" s="14">
        <f>INDEX(挂机升级突破!DQ$6:DQ$57,卡牌消耗!$AT396)</f>
        <v>11</v>
      </c>
      <c r="AN396" s="14">
        <f>INDEX(挂机升级突破!DR$6:DR$57,卡牌消耗!$AT396)</f>
        <v>4</v>
      </c>
      <c r="AO396" s="14">
        <f>INDEX(挂机升级突破!DS$6:DS$57,卡牌消耗!$AT396)</f>
        <v>0</v>
      </c>
      <c r="AP396" s="14">
        <f>INDEX(挂机升级突破!$DP$6:$DP$57,卡牌消耗!AT396)</f>
        <v>88</v>
      </c>
      <c r="AQ396" s="14" t="str">
        <f t="shared" si="356"/>
        <v>夏侯渊</v>
      </c>
      <c r="AR396" s="14">
        <f t="shared" si="357"/>
        <v>4</v>
      </c>
      <c r="AS396" s="14" t="str">
        <f t="shared" si="358"/>
        <v>夏侯渊魂火-28</v>
      </c>
      <c r="AT396" s="14">
        <f t="shared" si="359"/>
        <v>28</v>
      </c>
      <c r="AU396" s="14" t="str">
        <f>IF(AM396&gt;0,INDEX(挂机升级突破!$DT$4:$ED$4,AM396),"")</f>
        <v>金币</v>
      </c>
      <c r="AV396" s="14">
        <f>ROUND(INDEX(挂机升级突破!$DJ$6:$DJ$57,卡牌消耗!AT396)*INDEX(卡牌消耗!$B$8:$F$8,AR396)/$Q$4/50,0)*50</f>
        <v>13150</v>
      </c>
      <c r="AW396" s="14" t="str">
        <f>IF(AN396&gt;0,INDEX(挂机升级突破!$DT$4:$ED$4,AN396),"")</f>
        <v>橙色基础材料</v>
      </c>
      <c r="AX396" s="14">
        <f>ROUND(INDEX(挂机升级突破!$DT$6:$ED$57,卡牌消耗!AT396,AN396)*INDEX(卡牌消耗!$B$5:$F$5,AR396)/$Q$4/5,0)*5</f>
        <v>30</v>
      </c>
      <c r="AY396" s="14" t="str">
        <f>IF(AO396&gt;0,INDEX(挂机升级突破!$DT$4:$ED$4,AO396),"")</f>
        <v/>
      </c>
      <c r="AZ396" s="14" t="str">
        <f>IF(AO396&gt;0,ROUND(INDEX(挂机升级突破!$DT$6:$ED$57,卡牌消耗!AT396,AO396)*INDEX(卡牌消耗!$B$7:$F$7,AR396)/$Q$4,0),"")</f>
        <v/>
      </c>
      <c r="BA396" s="106"/>
      <c r="BB396" s="197"/>
      <c r="BC396" s="197"/>
      <c r="BD396" s="197"/>
      <c r="BE396" s="197"/>
      <c r="BF396" s="197"/>
      <c r="BG396" s="197"/>
      <c r="BH396" s="197"/>
      <c r="BI396" s="197"/>
      <c r="BJ396" s="197"/>
      <c r="BK396" s="197"/>
      <c r="BL396" s="104">
        <v>392</v>
      </c>
      <c r="BM396" s="14">
        <f t="shared" si="360"/>
        <v>20</v>
      </c>
      <c r="BN396" s="14">
        <f>INDEX(挂机升级突破!$EI$7:$EI$26,BS396)</f>
        <v>5</v>
      </c>
      <c r="BO396" s="14">
        <f>INDEX(挂机升级突破!$EJ$7:$EJ$26,BS396)</f>
        <v>2</v>
      </c>
      <c r="BP396" s="14">
        <f t="shared" si="361"/>
        <v>3</v>
      </c>
      <c r="BQ396" s="14">
        <f>INDEX(挂机升级突破!$EH$7:$EH$26,卡牌消耗!BS396)</f>
        <v>80</v>
      </c>
      <c r="BR396" s="14" t="str">
        <f t="shared" si="362"/>
        <v>高顺</v>
      </c>
      <c r="BS396" s="14">
        <f t="shared" si="363"/>
        <v>12</v>
      </c>
      <c r="BT396" s="14" t="str">
        <f t="shared" si="364"/>
        <v>高顺12突</v>
      </c>
      <c r="BU396" s="14" t="str">
        <f>IF(BN396&gt;0,INDEX(挂机升级突破!$ER$5:$EV$5,卡牌消耗!BN396),"")</f>
        <v>金币</v>
      </c>
      <c r="BV396" s="14">
        <f>IF(BN396&gt;0,ROUND(INDEX(挂机升级突破!$EV$7:$EV$26,卡牌消耗!BS396)*INDEX(卡牌消耗!$B$8:$F$8,BP396)/$Q$4/500,0)*500,"")</f>
        <v>25000</v>
      </c>
      <c r="BW396" s="14" t="str">
        <f>IF(BO396&gt;0,INDEX(挂机升级突破!$ER$5:$EV$5,卡牌消耗!BO396),"")</f>
        <v>乌金</v>
      </c>
      <c r="BX396" s="14">
        <f>IF(BO396&gt;0,ROUND(INDEX(挂机升级突破!$ER$7:$EU$26,卡牌消耗!BS396,卡牌消耗!BO396)*INDEX($B$6:$F$6,BP396)/$Q$4/5,0)*5,"")</f>
        <v>120</v>
      </c>
      <c r="BY396" s="193"/>
      <c r="BZ396" s="193"/>
      <c r="CA396" s="106"/>
      <c r="CS396" s="171"/>
      <c r="CT396" s="171"/>
      <c r="CU396" s="171"/>
    </row>
    <row r="397" spans="8:99" ht="16.5" x14ac:dyDescent="0.2">
      <c r="H397" s="15"/>
      <c r="I397" s="15"/>
      <c r="J397" s="15"/>
      <c r="K397" s="15"/>
      <c r="L397" s="15"/>
      <c r="M397" s="15"/>
      <c r="N397" s="15"/>
      <c r="O397" s="137"/>
      <c r="P397" s="141"/>
      <c r="Q397" s="141"/>
      <c r="R397" s="141"/>
      <c r="S397" s="141"/>
      <c r="T397" s="141"/>
      <c r="U397" s="141"/>
      <c r="V397" s="141"/>
      <c r="W397" s="141"/>
      <c r="X397" s="141"/>
      <c r="Y397" s="141"/>
      <c r="Z397" s="141"/>
      <c r="AA397" s="194"/>
      <c r="AB397" s="194"/>
      <c r="AC397" s="194"/>
      <c r="AD397" s="194"/>
      <c r="AE397" s="194"/>
      <c r="AF397" s="194"/>
      <c r="AG397" s="197"/>
      <c r="AH397" s="194"/>
      <c r="AI397" s="194"/>
      <c r="AJ397" s="194"/>
      <c r="AK397" s="104">
        <v>393</v>
      </c>
      <c r="AL397" s="14">
        <f t="shared" si="355"/>
        <v>8</v>
      </c>
      <c r="AM397" s="14">
        <f>INDEX(挂机升级突破!DQ$6:DQ$57,卡牌消耗!$AT397)</f>
        <v>11</v>
      </c>
      <c r="AN397" s="14">
        <f>INDEX(挂机升级突破!DR$6:DR$57,卡牌消耗!$AT397)</f>
        <v>4</v>
      </c>
      <c r="AO397" s="14">
        <f>INDEX(挂机升级突破!DS$6:DS$57,卡牌消耗!$AT397)</f>
        <v>0</v>
      </c>
      <c r="AP397" s="14">
        <f>INDEX(挂机升级突破!$DP$6:$DP$57,卡牌消耗!AT397)</f>
        <v>90</v>
      </c>
      <c r="AQ397" s="14" t="str">
        <f t="shared" si="356"/>
        <v>夏侯渊</v>
      </c>
      <c r="AR397" s="14">
        <f t="shared" si="357"/>
        <v>4</v>
      </c>
      <c r="AS397" s="14" t="str">
        <f t="shared" si="358"/>
        <v>夏侯渊魂火-29</v>
      </c>
      <c r="AT397" s="14">
        <f t="shared" si="359"/>
        <v>29</v>
      </c>
      <c r="AU397" s="14" t="str">
        <f>IF(AM397&gt;0,INDEX(挂机升级突破!$DT$4:$ED$4,AM397),"")</f>
        <v>金币</v>
      </c>
      <c r="AV397" s="14">
        <f>ROUND(INDEX(挂机升级突破!$DJ$6:$DJ$57,卡牌消耗!AT397)*INDEX(卡牌消耗!$B$8:$F$8,AR397)/$Q$4/50,0)*50</f>
        <v>13350</v>
      </c>
      <c r="AW397" s="14" t="str">
        <f>IF(AN397&gt;0,INDEX(挂机升级突破!$DT$4:$ED$4,AN397),"")</f>
        <v>橙色基础材料</v>
      </c>
      <c r="AX397" s="14">
        <f>ROUND(INDEX(挂机升级突破!$DT$6:$ED$57,卡牌消耗!AT397,AN397)*INDEX(卡牌消耗!$B$5:$F$5,AR397)/$Q$4/5,0)*5</f>
        <v>30</v>
      </c>
      <c r="AY397" s="14" t="str">
        <f>IF(AO397&gt;0,INDEX(挂机升级突破!$DT$4:$ED$4,AO397),"")</f>
        <v/>
      </c>
      <c r="AZ397" s="14" t="str">
        <f>IF(AO397&gt;0,ROUND(INDEX(挂机升级突破!$DT$6:$ED$57,卡牌消耗!AT397,AO397)*INDEX(卡牌消耗!$B$7:$F$7,AR397)/$Q$4,0),"")</f>
        <v/>
      </c>
      <c r="BA397" s="106"/>
      <c r="BB397" s="197"/>
      <c r="BC397" s="197"/>
      <c r="BD397" s="197"/>
      <c r="BE397" s="197"/>
      <c r="BF397" s="197"/>
      <c r="BG397" s="197"/>
      <c r="BH397" s="197"/>
      <c r="BI397" s="197"/>
      <c r="BJ397" s="197"/>
      <c r="BK397" s="197"/>
      <c r="BL397" s="104">
        <v>393</v>
      </c>
      <c r="BM397" s="14">
        <f t="shared" si="360"/>
        <v>20</v>
      </c>
      <c r="BN397" s="14">
        <f>INDEX(挂机升级突破!$EI$7:$EI$26,BS397)</f>
        <v>5</v>
      </c>
      <c r="BO397" s="14">
        <f>INDEX(挂机升级突破!$EJ$7:$EJ$26,BS397)</f>
        <v>3</v>
      </c>
      <c r="BP397" s="14">
        <f t="shared" si="361"/>
        <v>3</v>
      </c>
      <c r="BQ397" s="14">
        <f>INDEX(挂机升级突破!$EH$7:$EH$26,卡牌消耗!BS397)</f>
        <v>87</v>
      </c>
      <c r="BR397" s="14" t="str">
        <f t="shared" si="362"/>
        <v>高顺</v>
      </c>
      <c r="BS397" s="14">
        <f t="shared" si="363"/>
        <v>13</v>
      </c>
      <c r="BT397" s="14" t="str">
        <f t="shared" si="364"/>
        <v>高顺13突</v>
      </c>
      <c r="BU397" s="14" t="str">
        <f>IF(BN397&gt;0,INDEX(挂机升级突破!$ER$5:$EV$5,卡牌消耗!BN397),"")</f>
        <v>金币</v>
      </c>
      <c r="BV397" s="14">
        <f>IF(BN397&gt;0,ROUND(INDEX(挂机升级突破!$EV$7:$EV$26,卡牌消耗!BS397)*INDEX(卡牌消耗!$B$8:$F$8,BP397)/$Q$4/500,0)*500,"")</f>
        <v>33500</v>
      </c>
      <c r="BW397" s="14" t="str">
        <f>IF(BO397&gt;0,INDEX(挂机升级突破!$ER$5:$EV$5,卡牌消耗!BO397),"")</f>
        <v>银母</v>
      </c>
      <c r="BX397" s="14">
        <f>IF(BO397&gt;0,ROUND(INDEX(挂机升级突破!$ER$7:$EU$26,卡牌消耗!BS397,卡牌消耗!BO397)*INDEX($B$6:$F$6,BP397)/$Q$4/5,0)*5,"")</f>
        <v>40</v>
      </c>
      <c r="BY397" s="193"/>
      <c r="BZ397" s="193"/>
      <c r="CA397" s="106"/>
      <c r="CS397" s="171"/>
      <c r="CT397" s="171"/>
      <c r="CU397" s="171"/>
    </row>
    <row r="398" spans="8:99" ht="16.5" x14ac:dyDescent="0.2">
      <c r="H398" s="15"/>
      <c r="I398" s="15"/>
      <c r="J398" s="15"/>
      <c r="K398" s="15"/>
      <c r="L398" s="15"/>
      <c r="M398" s="15"/>
      <c r="N398" s="15"/>
      <c r="O398" s="137"/>
      <c r="P398" s="141"/>
      <c r="Q398" s="141"/>
      <c r="R398" s="141"/>
      <c r="S398" s="141"/>
      <c r="T398" s="141"/>
      <c r="U398" s="141"/>
      <c r="V398" s="141"/>
      <c r="W398" s="141"/>
      <c r="X398" s="141"/>
      <c r="Y398" s="141"/>
      <c r="Z398" s="141"/>
      <c r="AA398" s="194"/>
      <c r="AB398" s="194"/>
      <c r="AC398" s="194"/>
      <c r="AD398" s="194"/>
      <c r="AE398" s="194"/>
      <c r="AF398" s="194"/>
      <c r="AG398" s="197"/>
      <c r="AH398" s="194"/>
      <c r="AI398" s="194"/>
      <c r="AJ398" s="194"/>
      <c r="AK398" s="104">
        <v>394</v>
      </c>
      <c r="AL398" s="14">
        <f t="shared" si="355"/>
        <v>8</v>
      </c>
      <c r="AM398" s="14">
        <f>INDEX(挂机升级突破!DQ$6:DQ$57,卡牌消耗!$AT398)</f>
        <v>11</v>
      </c>
      <c r="AN398" s="14">
        <f>INDEX(挂机升级突破!DR$6:DR$57,卡牌消耗!$AT398)</f>
        <v>4</v>
      </c>
      <c r="AO398" s="14">
        <f>INDEX(挂机升级突破!DS$6:DS$57,卡牌消耗!$AT398)</f>
        <v>0</v>
      </c>
      <c r="AP398" s="14">
        <f>INDEX(挂机升级突破!$DP$6:$DP$57,卡牌消耗!AT398)</f>
        <v>93</v>
      </c>
      <c r="AQ398" s="14" t="str">
        <f t="shared" si="356"/>
        <v>夏侯渊</v>
      </c>
      <c r="AR398" s="14">
        <f t="shared" si="357"/>
        <v>4</v>
      </c>
      <c r="AS398" s="14" t="str">
        <f t="shared" si="358"/>
        <v>夏侯渊魂火-30</v>
      </c>
      <c r="AT398" s="14">
        <f t="shared" si="359"/>
        <v>30</v>
      </c>
      <c r="AU398" s="14" t="str">
        <f>IF(AM398&gt;0,INDEX(挂机升级突破!$DT$4:$ED$4,AM398),"")</f>
        <v>金币</v>
      </c>
      <c r="AV398" s="14">
        <f>ROUND(INDEX(挂机升级突破!$DJ$6:$DJ$57,卡牌消耗!AT398)*INDEX(卡牌消耗!$B$8:$F$8,AR398)/$Q$4/50,0)*50</f>
        <v>13350</v>
      </c>
      <c r="AW398" s="14" t="str">
        <f>IF(AN398&gt;0,INDEX(挂机升级突破!$DT$4:$ED$4,AN398),"")</f>
        <v>橙色基础材料</v>
      </c>
      <c r="AX398" s="14">
        <f>ROUND(INDEX(挂机升级突破!$DT$6:$ED$57,卡牌消耗!AT398,AN398)*INDEX(卡牌消耗!$B$5:$F$5,AR398)/$Q$4/5,0)*5</f>
        <v>30</v>
      </c>
      <c r="AY398" s="14" t="str">
        <f>IF(AO398&gt;0,INDEX(挂机升级突破!$DT$4:$ED$4,AO398),"")</f>
        <v/>
      </c>
      <c r="AZ398" s="14" t="str">
        <f>IF(AO398&gt;0,ROUND(INDEX(挂机升级突破!$DT$6:$ED$57,卡牌消耗!AT398,AO398)*INDEX(卡牌消耗!$B$7:$F$7,AR398)/$Q$4,0),"")</f>
        <v/>
      </c>
      <c r="BA398" s="106"/>
      <c r="BB398" s="197"/>
      <c r="BC398" s="197"/>
      <c r="BD398" s="197"/>
      <c r="BE398" s="197"/>
      <c r="BF398" s="197"/>
      <c r="BG398" s="197"/>
      <c r="BH398" s="197"/>
      <c r="BI398" s="197"/>
      <c r="BJ398" s="197"/>
      <c r="BK398" s="197"/>
      <c r="BL398" s="104">
        <v>394</v>
      </c>
      <c r="BM398" s="14">
        <f t="shared" si="360"/>
        <v>20</v>
      </c>
      <c r="BN398" s="14">
        <f>INDEX(挂机升级突破!$EI$7:$EI$26,BS398)</f>
        <v>5</v>
      </c>
      <c r="BO398" s="14">
        <f>INDEX(挂机升级突破!$EJ$7:$EJ$26,BS398)</f>
        <v>3</v>
      </c>
      <c r="BP398" s="14">
        <f t="shared" si="361"/>
        <v>3</v>
      </c>
      <c r="BQ398" s="14">
        <f>INDEX(挂机升级突破!$EH$7:$EH$26,卡牌消耗!BS398)</f>
        <v>95</v>
      </c>
      <c r="BR398" s="14" t="str">
        <f t="shared" si="362"/>
        <v>高顺</v>
      </c>
      <c r="BS398" s="14">
        <f t="shared" si="363"/>
        <v>14</v>
      </c>
      <c r="BT398" s="14" t="str">
        <f t="shared" si="364"/>
        <v>高顺14突</v>
      </c>
      <c r="BU398" s="14" t="str">
        <f>IF(BN398&gt;0,INDEX(挂机升级突破!$ER$5:$EV$5,卡牌消耗!BN398),"")</f>
        <v>金币</v>
      </c>
      <c r="BV398" s="14">
        <f>IF(BN398&gt;0,ROUND(INDEX(挂机升级突破!$EV$7:$EV$26,卡牌消耗!BS398)*INDEX(卡牌消耗!$B$8:$F$8,BP398)/$Q$4/500,0)*500,"")</f>
        <v>33500</v>
      </c>
      <c r="BW398" s="14" t="str">
        <f>IF(BO398&gt;0,INDEX(挂机升级突破!$ER$5:$EV$5,卡牌消耗!BO398),"")</f>
        <v>银母</v>
      </c>
      <c r="BX398" s="14">
        <f>IF(BO398&gt;0,ROUND(INDEX(挂机升级突破!$ER$7:$EU$26,卡牌消耗!BS398,卡牌消耗!BO398)*INDEX($B$6:$F$6,BP398)/$Q$4/5,0)*5,"")</f>
        <v>55</v>
      </c>
      <c r="BY398" s="193"/>
      <c r="BZ398" s="193"/>
      <c r="CA398" s="106"/>
      <c r="CS398" s="171"/>
      <c r="CT398" s="171"/>
      <c r="CU398" s="171"/>
    </row>
    <row r="399" spans="8:99" ht="16.5" x14ac:dyDescent="0.2">
      <c r="H399" s="15"/>
      <c r="I399" s="15"/>
      <c r="J399" s="15"/>
      <c r="K399" s="15"/>
      <c r="L399" s="15"/>
      <c r="M399" s="15"/>
      <c r="N399" s="15"/>
      <c r="O399" s="137"/>
      <c r="P399" s="141"/>
      <c r="Q399" s="141"/>
      <c r="R399" s="141"/>
      <c r="S399" s="141"/>
      <c r="T399" s="141"/>
      <c r="U399" s="141"/>
      <c r="V399" s="141"/>
      <c r="W399" s="141"/>
      <c r="X399" s="141"/>
      <c r="Y399" s="141"/>
      <c r="Z399" s="141"/>
      <c r="AA399" s="194"/>
      <c r="AB399" s="194"/>
      <c r="AC399" s="194"/>
      <c r="AD399" s="194"/>
      <c r="AE399" s="194"/>
      <c r="AF399" s="194"/>
      <c r="AG399" s="197"/>
      <c r="AH399" s="194"/>
      <c r="AI399" s="194"/>
      <c r="AJ399" s="194"/>
      <c r="AK399" s="104">
        <v>395</v>
      </c>
      <c r="AL399" s="14">
        <f t="shared" si="355"/>
        <v>8</v>
      </c>
      <c r="AM399" s="14">
        <f>INDEX(挂机升级突破!DQ$6:DQ$57,卡牌消耗!$AT399)</f>
        <v>11</v>
      </c>
      <c r="AN399" s="14">
        <f>INDEX(挂机升级突破!DR$6:DR$57,卡牌消耗!$AT399)</f>
        <v>4</v>
      </c>
      <c r="AO399" s="14">
        <f>INDEX(挂机升级突破!DS$6:DS$57,卡牌消耗!$AT399)</f>
        <v>0</v>
      </c>
      <c r="AP399" s="14">
        <f>INDEX(挂机升级突破!$DP$6:$DP$57,卡牌消耗!AT399)</f>
        <v>95</v>
      </c>
      <c r="AQ399" s="14" t="str">
        <f t="shared" si="356"/>
        <v>夏侯渊</v>
      </c>
      <c r="AR399" s="14">
        <f t="shared" si="357"/>
        <v>4</v>
      </c>
      <c r="AS399" s="14" t="str">
        <f t="shared" si="358"/>
        <v>夏侯渊魂火-31</v>
      </c>
      <c r="AT399" s="14">
        <f t="shared" si="359"/>
        <v>31</v>
      </c>
      <c r="AU399" s="14" t="str">
        <f>IF(AM399&gt;0,INDEX(挂机升级突破!$DT$4:$ED$4,AM399),"")</f>
        <v>金币</v>
      </c>
      <c r="AV399" s="14">
        <f>ROUND(INDEX(挂机升级突破!$DJ$6:$DJ$57,卡牌消耗!AT399)*INDEX(卡牌消耗!$B$8:$F$8,AR399)/$Q$4/50,0)*50</f>
        <v>13350</v>
      </c>
      <c r="AW399" s="14" t="str">
        <f>IF(AN399&gt;0,INDEX(挂机升级突破!$DT$4:$ED$4,AN399),"")</f>
        <v>橙色基础材料</v>
      </c>
      <c r="AX399" s="14">
        <f>ROUND(INDEX(挂机升级突破!$DT$6:$ED$57,卡牌消耗!AT399,AN399)*INDEX(卡牌消耗!$B$5:$F$5,AR399)/$Q$4/5,0)*5</f>
        <v>30</v>
      </c>
      <c r="AY399" s="14" t="str">
        <f>IF(AO399&gt;0,INDEX(挂机升级突破!$DT$4:$ED$4,AO399),"")</f>
        <v/>
      </c>
      <c r="AZ399" s="14" t="str">
        <f>IF(AO399&gt;0,ROUND(INDEX(挂机升级突破!$DT$6:$ED$57,卡牌消耗!AT399,AO399)*INDEX(卡牌消耗!$B$7:$F$7,AR399)/$Q$4,0),"")</f>
        <v/>
      </c>
      <c r="BA399" s="106"/>
      <c r="BB399" s="197"/>
      <c r="BC399" s="197"/>
      <c r="BD399" s="197"/>
      <c r="BE399" s="197"/>
      <c r="BF399" s="197"/>
      <c r="BG399" s="197"/>
      <c r="BH399" s="197"/>
      <c r="BI399" s="197"/>
      <c r="BJ399" s="197"/>
      <c r="BK399" s="197"/>
      <c r="BL399" s="104">
        <v>395</v>
      </c>
      <c r="BM399" s="14">
        <f t="shared" si="360"/>
        <v>20</v>
      </c>
      <c r="BN399" s="14">
        <f>INDEX(挂机升级突破!$EI$7:$EI$26,BS399)</f>
        <v>5</v>
      </c>
      <c r="BO399" s="14">
        <f>INDEX(挂机升级突破!$EJ$7:$EJ$26,BS399)</f>
        <v>3</v>
      </c>
      <c r="BP399" s="14">
        <f t="shared" si="361"/>
        <v>3</v>
      </c>
      <c r="BQ399" s="14">
        <f>INDEX(挂机升级突破!$EH$7:$EH$26,卡牌消耗!BS399)</f>
        <v>102</v>
      </c>
      <c r="BR399" s="14" t="str">
        <f t="shared" si="362"/>
        <v>高顺</v>
      </c>
      <c r="BS399" s="14">
        <f t="shared" si="363"/>
        <v>15</v>
      </c>
      <c r="BT399" s="14" t="str">
        <f t="shared" si="364"/>
        <v>高顺15突</v>
      </c>
      <c r="BU399" s="14" t="str">
        <f>IF(BN399&gt;0,INDEX(挂机升级突破!$ER$5:$EV$5,卡牌消耗!BN399),"")</f>
        <v>金币</v>
      </c>
      <c r="BV399" s="14">
        <f>IF(BN399&gt;0,ROUND(INDEX(挂机升级突破!$EV$7:$EV$26,卡牌消耗!BS399)*INDEX(卡牌消耗!$B$8:$F$8,BP399)/$Q$4/500,0)*500,"")</f>
        <v>44500</v>
      </c>
      <c r="BW399" s="14" t="str">
        <f>IF(BO399&gt;0,INDEX(挂机升级突破!$ER$5:$EV$5,卡牌消耗!BO399),"")</f>
        <v>银母</v>
      </c>
      <c r="BX399" s="14">
        <f>IF(BO399&gt;0,ROUND(INDEX(挂机升级突破!$ER$7:$EU$26,卡牌消耗!BS399,卡牌消耗!BO399)*INDEX($B$6:$F$6,BP399)/$Q$4/5,0)*5,"")</f>
        <v>70</v>
      </c>
      <c r="BY399" s="193"/>
      <c r="BZ399" s="193"/>
      <c r="CA399" s="106"/>
      <c r="CS399" s="171"/>
      <c r="CT399" s="171"/>
      <c r="CU399" s="171"/>
    </row>
    <row r="400" spans="8:99" ht="16.5" x14ac:dyDescent="0.2">
      <c r="H400" s="15"/>
      <c r="I400" s="15"/>
      <c r="J400" s="15"/>
      <c r="K400" s="15"/>
      <c r="L400" s="15"/>
      <c r="M400" s="15"/>
      <c r="N400" s="15"/>
      <c r="O400" s="137"/>
      <c r="P400" s="141"/>
      <c r="Q400" s="141"/>
      <c r="R400" s="141"/>
      <c r="S400" s="141"/>
      <c r="T400" s="141"/>
      <c r="U400" s="141"/>
      <c r="V400" s="141"/>
      <c r="W400" s="141"/>
      <c r="X400" s="141"/>
      <c r="Y400" s="141"/>
      <c r="Z400" s="141"/>
      <c r="AA400" s="194"/>
      <c r="AB400" s="194"/>
      <c r="AC400" s="194"/>
      <c r="AD400" s="194"/>
      <c r="AE400" s="194"/>
      <c r="AF400" s="194"/>
      <c r="AG400" s="197"/>
      <c r="AH400" s="194"/>
      <c r="AI400" s="194"/>
      <c r="AJ400" s="194"/>
      <c r="AK400" s="104">
        <v>396</v>
      </c>
      <c r="AL400" s="14">
        <f t="shared" si="355"/>
        <v>8</v>
      </c>
      <c r="AM400" s="14">
        <f>INDEX(挂机升级突破!DQ$6:DQ$57,卡牌消耗!$AT400)</f>
        <v>11</v>
      </c>
      <c r="AN400" s="14">
        <f>INDEX(挂机升级突破!DR$6:DR$57,卡牌消耗!$AT400)</f>
        <v>4</v>
      </c>
      <c r="AO400" s="14">
        <f>INDEX(挂机升级突破!DS$6:DS$57,卡牌消耗!$AT400)</f>
        <v>0</v>
      </c>
      <c r="AP400" s="14">
        <f>INDEX(挂机升级突破!$DP$6:$DP$57,卡牌消耗!AT400)</f>
        <v>98</v>
      </c>
      <c r="AQ400" s="14" t="str">
        <f t="shared" si="356"/>
        <v>夏侯渊</v>
      </c>
      <c r="AR400" s="14">
        <f t="shared" si="357"/>
        <v>4</v>
      </c>
      <c r="AS400" s="14" t="str">
        <f t="shared" si="358"/>
        <v>夏侯渊魂火-32</v>
      </c>
      <c r="AT400" s="14">
        <f t="shared" si="359"/>
        <v>32</v>
      </c>
      <c r="AU400" s="14" t="str">
        <f>IF(AM400&gt;0,INDEX(挂机升级突破!$DT$4:$ED$4,AM400),"")</f>
        <v>金币</v>
      </c>
      <c r="AV400" s="14">
        <f>ROUND(INDEX(挂机升级突破!$DJ$6:$DJ$57,卡牌消耗!AT400)*INDEX(卡牌消耗!$B$8:$F$8,AR400)/$Q$4/50,0)*50</f>
        <v>18350</v>
      </c>
      <c r="AW400" s="14" t="str">
        <f>IF(AN400&gt;0,INDEX(挂机升级突破!$DT$4:$ED$4,AN400),"")</f>
        <v>橙色基础材料</v>
      </c>
      <c r="AX400" s="14">
        <f>ROUND(INDEX(挂机升级突破!$DT$6:$ED$57,卡牌消耗!AT400,AN400)*INDEX(卡牌消耗!$B$5:$F$5,AR400)/$Q$4/5,0)*5</f>
        <v>30</v>
      </c>
      <c r="AY400" s="14" t="str">
        <f>IF(AO400&gt;0,INDEX(挂机升级突破!$DT$4:$ED$4,AO400),"")</f>
        <v/>
      </c>
      <c r="AZ400" s="14" t="str">
        <f>IF(AO400&gt;0,ROUND(INDEX(挂机升级突破!$DT$6:$ED$57,卡牌消耗!AT400,AO400)*INDEX(卡牌消耗!$B$7:$F$7,AR400)/$Q$4,0),"")</f>
        <v/>
      </c>
      <c r="BA400" s="106"/>
      <c r="BB400" s="197"/>
      <c r="BC400" s="197"/>
      <c r="BD400" s="197"/>
      <c r="BE400" s="197"/>
      <c r="BF400" s="197"/>
      <c r="BG400" s="197"/>
      <c r="BH400" s="197"/>
      <c r="BI400" s="197"/>
      <c r="BJ400" s="197"/>
      <c r="BK400" s="197"/>
      <c r="BL400" s="104">
        <v>396</v>
      </c>
      <c r="BM400" s="14">
        <f t="shared" si="360"/>
        <v>20</v>
      </c>
      <c r="BN400" s="14">
        <f>INDEX(挂机升级突破!$EI$7:$EI$26,BS400)</f>
        <v>5</v>
      </c>
      <c r="BO400" s="14">
        <f>INDEX(挂机升级突破!$EJ$7:$EJ$26,BS400)</f>
        <v>3</v>
      </c>
      <c r="BP400" s="14">
        <f t="shared" si="361"/>
        <v>3</v>
      </c>
      <c r="BQ400" s="14">
        <f>INDEX(挂机升级突破!$EH$7:$EH$26,卡牌消耗!BS400)</f>
        <v>110</v>
      </c>
      <c r="BR400" s="14" t="str">
        <f t="shared" si="362"/>
        <v>高顺</v>
      </c>
      <c r="BS400" s="14">
        <f t="shared" si="363"/>
        <v>16</v>
      </c>
      <c r="BT400" s="14" t="str">
        <f t="shared" si="364"/>
        <v>高顺16突</v>
      </c>
      <c r="BU400" s="14" t="str">
        <f>IF(BN400&gt;0,INDEX(挂机升级突破!$ER$5:$EV$5,卡牌消耗!BN400),"")</f>
        <v>金币</v>
      </c>
      <c r="BV400" s="14">
        <f>IF(BN400&gt;0,ROUND(INDEX(挂机升级突破!$EV$7:$EV$26,卡牌消耗!BS400)*INDEX(卡牌消耗!$B$8:$F$8,BP400)/$Q$4/500,0)*500,"")</f>
        <v>80500</v>
      </c>
      <c r="BW400" s="14" t="str">
        <f>IF(BO400&gt;0,INDEX(挂机升级突破!$ER$5:$EV$5,卡牌消耗!BO400),"")</f>
        <v>银母</v>
      </c>
      <c r="BX400" s="14">
        <f>IF(BO400&gt;0,ROUND(INDEX(挂机升级突破!$ER$7:$EU$26,卡牌消耗!BS400,卡牌消耗!BO400)*INDEX($B$6:$F$6,BP400)/$Q$4/5,0)*5,"")</f>
        <v>90</v>
      </c>
      <c r="BY400" s="193"/>
      <c r="BZ400" s="193"/>
      <c r="CA400" s="106"/>
      <c r="CS400" s="171"/>
      <c r="CT400" s="171"/>
      <c r="CU400" s="171"/>
    </row>
    <row r="401" spans="8:99" ht="16.5" x14ac:dyDescent="0.2">
      <c r="H401" s="15"/>
      <c r="I401" s="15"/>
      <c r="J401" s="15"/>
      <c r="K401" s="15"/>
      <c r="L401" s="15"/>
      <c r="M401" s="15"/>
      <c r="N401" s="15"/>
      <c r="O401" s="137"/>
      <c r="P401" s="141"/>
      <c r="Q401" s="141"/>
      <c r="R401" s="141"/>
      <c r="S401" s="141"/>
      <c r="T401" s="141"/>
      <c r="U401" s="141"/>
      <c r="V401" s="141"/>
      <c r="W401" s="141"/>
      <c r="X401" s="141"/>
      <c r="Y401" s="141"/>
      <c r="Z401" s="141"/>
      <c r="AA401" s="194"/>
      <c r="AB401" s="194"/>
      <c r="AC401" s="194"/>
      <c r="AD401" s="194"/>
      <c r="AE401" s="194"/>
      <c r="AF401" s="194"/>
      <c r="AG401" s="197"/>
      <c r="AH401" s="194"/>
      <c r="AI401" s="194"/>
      <c r="AJ401" s="194"/>
      <c r="AK401" s="104">
        <v>397</v>
      </c>
      <c r="AL401" s="14">
        <f t="shared" si="355"/>
        <v>8</v>
      </c>
      <c r="AM401" s="14">
        <f>INDEX(挂机升级突破!DQ$6:DQ$57,卡牌消耗!$AT401)</f>
        <v>11</v>
      </c>
      <c r="AN401" s="14">
        <f>INDEX(挂机升级突破!DR$6:DR$57,卡牌消耗!$AT401)</f>
        <v>4</v>
      </c>
      <c r="AO401" s="14">
        <f>INDEX(挂机升级突破!DS$6:DS$57,卡牌消耗!$AT401)</f>
        <v>0</v>
      </c>
      <c r="AP401" s="14">
        <f>INDEX(挂机升级突破!$DP$6:$DP$57,卡牌消耗!AT401)</f>
        <v>100</v>
      </c>
      <c r="AQ401" s="14" t="str">
        <f t="shared" si="356"/>
        <v>夏侯渊</v>
      </c>
      <c r="AR401" s="14">
        <f t="shared" si="357"/>
        <v>4</v>
      </c>
      <c r="AS401" s="14" t="str">
        <f t="shared" si="358"/>
        <v>夏侯渊魂火-33</v>
      </c>
      <c r="AT401" s="14">
        <f t="shared" si="359"/>
        <v>33</v>
      </c>
      <c r="AU401" s="14" t="str">
        <f>IF(AM401&gt;0,INDEX(挂机升级突破!$DT$4:$ED$4,AM401),"")</f>
        <v>金币</v>
      </c>
      <c r="AV401" s="14">
        <f>ROUND(INDEX(挂机升级突破!$DJ$6:$DJ$57,卡牌消耗!AT401)*INDEX(卡牌消耗!$B$8:$F$8,AR401)/$Q$4/50,0)*50</f>
        <v>18350</v>
      </c>
      <c r="AW401" s="14" t="str">
        <f>IF(AN401&gt;0,INDEX(挂机升级突破!$DT$4:$ED$4,AN401),"")</f>
        <v>橙色基础材料</v>
      </c>
      <c r="AX401" s="14">
        <f>ROUND(INDEX(挂机升级突破!$DT$6:$ED$57,卡牌消耗!AT401,AN401)*INDEX(卡牌消耗!$B$5:$F$5,AR401)/$Q$4/5,0)*5</f>
        <v>30</v>
      </c>
      <c r="AY401" s="14" t="str">
        <f>IF(AO401&gt;0,INDEX(挂机升级突破!$DT$4:$ED$4,AO401),"")</f>
        <v/>
      </c>
      <c r="AZ401" s="14" t="str">
        <f>IF(AO401&gt;0,ROUND(INDEX(挂机升级突破!$DT$6:$ED$57,卡牌消耗!AT401,AO401)*INDEX(卡牌消耗!$B$7:$F$7,AR401)/$Q$4,0),"")</f>
        <v/>
      </c>
      <c r="BA401" s="106"/>
      <c r="BB401" s="197"/>
      <c r="BC401" s="197"/>
      <c r="BD401" s="197"/>
      <c r="BE401" s="197"/>
      <c r="BF401" s="197"/>
      <c r="BG401" s="197"/>
      <c r="BH401" s="197"/>
      <c r="BI401" s="197"/>
      <c r="BJ401" s="197"/>
      <c r="BK401" s="197"/>
      <c r="BL401" s="104">
        <v>397</v>
      </c>
      <c r="BM401" s="14">
        <f t="shared" si="360"/>
        <v>20</v>
      </c>
      <c r="BN401" s="14">
        <f>INDEX(挂机升级突破!$EI$7:$EI$26,BS401)</f>
        <v>5</v>
      </c>
      <c r="BO401" s="14">
        <f>INDEX(挂机升级突破!$EJ$7:$EJ$26,BS401)</f>
        <v>4</v>
      </c>
      <c r="BP401" s="14">
        <f t="shared" si="361"/>
        <v>3</v>
      </c>
      <c r="BQ401" s="14">
        <f>INDEX(挂机升级突破!$EH$7:$EH$26,卡牌消耗!BS401)</f>
        <v>117</v>
      </c>
      <c r="BR401" s="14" t="str">
        <f t="shared" si="362"/>
        <v>高顺</v>
      </c>
      <c r="BS401" s="14">
        <f t="shared" si="363"/>
        <v>17</v>
      </c>
      <c r="BT401" s="14" t="str">
        <f t="shared" si="364"/>
        <v>高顺17突</v>
      </c>
      <c r="BU401" s="14" t="str">
        <f>IF(BN401&gt;0,INDEX(挂机升级突破!$ER$5:$EV$5,卡牌消耗!BN401),"")</f>
        <v>金币</v>
      </c>
      <c r="BV401" s="14">
        <f>IF(BN401&gt;0,ROUND(INDEX(挂机升级突破!$EV$7:$EV$26,卡牌消耗!BS401)*INDEX(卡牌消耗!$B$8:$F$8,BP401)/$Q$4/500,0)*500,"")</f>
        <v>80500</v>
      </c>
      <c r="BW401" s="14" t="str">
        <f>IF(BO401&gt;0,INDEX(挂机升级突破!$ER$5:$EV$5,卡牌消耗!BO401),"")</f>
        <v>铀金</v>
      </c>
      <c r="BX401" s="14">
        <f>IF(BO401&gt;0,ROUND(INDEX(挂机升级突破!$ER$7:$EU$26,卡牌消耗!BS401,卡牌消耗!BO401)*INDEX($B$6:$F$6,BP401)/$Q$4/5,0)*5,"")</f>
        <v>20</v>
      </c>
      <c r="BY401" s="193"/>
      <c r="BZ401" s="193"/>
      <c r="CA401" s="106"/>
      <c r="CS401" s="171"/>
      <c r="CT401" s="171"/>
      <c r="CU401" s="171"/>
    </row>
    <row r="402" spans="8:99" ht="16.5" x14ac:dyDescent="0.2">
      <c r="H402" s="15"/>
      <c r="I402" s="15"/>
      <c r="J402" s="15"/>
      <c r="K402" s="15"/>
      <c r="L402" s="15"/>
      <c r="M402" s="15"/>
      <c r="N402" s="15"/>
      <c r="O402" s="137"/>
      <c r="P402" s="141"/>
      <c r="Q402" s="141"/>
      <c r="R402" s="141"/>
      <c r="S402" s="141"/>
      <c r="T402" s="141"/>
      <c r="U402" s="141"/>
      <c r="V402" s="141"/>
      <c r="W402" s="141"/>
      <c r="X402" s="141"/>
      <c r="Y402" s="141"/>
      <c r="Z402" s="141"/>
      <c r="AA402" s="194"/>
      <c r="AB402" s="194"/>
      <c r="AC402" s="194"/>
      <c r="AD402" s="194"/>
      <c r="AE402" s="194"/>
      <c r="AF402" s="194"/>
      <c r="AG402" s="197"/>
      <c r="AH402" s="194"/>
      <c r="AI402" s="194"/>
      <c r="AJ402" s="194"/>
      <c r="AK402" s="104">
        <v>398</v>
      </c>
      <c r="AL402" s="14">
        <f t="shared" si="355"/>
        <v>8</v>
      </c>
      <c r="AM402" s="14">
        <f>INDEX(挂机升级突破!DQ$6:DQ$57,卡牌消耗!$AT402)</f>
        <v>11</v>
      </c>
      <c r="AN402" s="14">
        <f>INDEX(挂机升级突破!DR$6:DR$57,卡牌消耗!$AT402)</f>
        <v>4</v>
      </c>
      <c r="AO402" s="14">
        <f>INDEX(挂机升级突破!DS$6:DS$57,卡牌消耗!$AT402)</f>
        <v>0</v>
      </c>
      <c r="AP402" s="14">
        <f>INDEX(挂机升级突破!$DP$6:$DP$57,卡牌消耗!AT402)</f>
        <v>103</v>
      </c>
      <c r="AQ402" s="14" t="str">
        <f t="shared" si="356"/>
        <v>夏侯渊</v>
      </c>
      <c r="AR402" s="14">
        <f t="shared" si="357"/>
        <v>4</v>
      </c>
      <c r="AS402" s="14" t="str">
        <f t="shared" si="358"/>
        <v>夏侯渊魂火-34</v>
      </c>
      <c r="AT402" s="14">
        <f t="shared" si="359"/>
        <v>34</v>
      </c>
      <c r="AU402" s="14" t="str">
        <f>IF(AM402&gt;0,INDEX(挂机升级突破!$DT$4:$ED$4,AM402),"")</f>
        <v>金币</v>
      </c>
      <c r="AV402" s="14">
        <f>ROUND(INDEX(挂机升级突破!$DJ$6:$DJ$57,卡牌消耗!AT402)*INDEX(卡牌消耗!$B$8:$F$8,AR402)/$Q$4/50,0)*50</f>
        <v>18350</v>
      </c>
      <c r="AW402" s="14" t="str">
        <f>IF(AN402&gt;0,INDEX(挂机升级突破!$DT$4:$ED$4,AN402),"")</f>
        <v>橙色基础材料</v>
      </c>
      <c r="AX402" s="14">
        <f>ROUND(INDEX(挂机升级突破!$DT$6:$ED$57,卡牌消耗!AT402,AN402)*INDEX(卡牌消耗!$B$5:$F$5,AR402)/$Q$4/5,0)*5</f>
        <v>35</v>
      </c>
      <c r="AY402" s="14" t="str">
        <f>IF(AO402&gt;0,INDEX(挂机升级突破!$DT$4:$ED$4,AO402),"")</f>
        <v/>
      </c>
      <c r="AZ402" s="14" t="str">
        <f>IF(AO402&gt;0,ROUND(INDEX(挂机升级突破!$DT$6:$ED$57,卡牌消耗!AT402,AO402)*INDEX(卡牌消耗!$B$7:$F$7,AR402)/$Q$4,0),"")</f>
        <v/>
      </c>
      <c r="BA402" s="106"/>
      <c r="BB402" s="197"/>
      <c r="BC402" s="197"/>
      <c r="BD402" s="197"/>
      <c r="BE402" s="197"/>
      <c r="BF402" s="197"/>
      <c r="BG402" s="197"/>
      <c r="BH402" s="197"/>
      <c r="BI402" s="197"/>
      <c r="BJ402" s="197"/>
      <c r="BK402" s="197"/>
      <c r="BL402" s="104">
        <v>398</v>
      </c>
      <c r="BM402" s="14">
        <f t="shared" si="360"/>
        <v>20</v>
      </c>
      <c r="BN402" s="14">
        <f>INDEX(挂机升级突破!$EI$7:$EI$26,BS402)</f>
        <v>5</v>
      </c>
      <c r="BO402" s="14">
        <f>INDEX(挂机升级突破!$EJ$7:$EJ$26,BS402)</f>
        <v>4</v>
      </c>
      <c r="BP402" s="14">
        <f t="shared" si="361"/>
        <v>3</v>
      </c>
      <c r="BQ402" s="14">
        <f>INDEX(挂机升级突破!$EH$7:$EH$26,卡牌消耗!BS402)</f>
        <v>125</v>
      </c>
      <c r="BR402" s="14" t="str">
        <f t="shared" si="362"/>
        <v>高顺</v>
      </c>
      <c r="BS402" s="14">
        <f t="shared" si="363"/>
        <v>18</v>
      </c>
      <c r="BT402" s="14" t="str">
        <f t="shared" si="364"/>
        <v>高顺18突</v>
      </c>
      <c r="BU402" s="14" t="str">
        <f>IF(BN402&gt;0,INDEX(挂机升级突破!$ER$5:$EV$5,卡牌消耗!BN402),"")</f>
        <v>金币</v>
      </c>
      <c r="BV402" s="14">
        <f>IF(BN402&gt;0,ROUND(INDEX(挂机升级突破!$EV$7:$EV$26,卡牌消耗!BS402)*INDEX(卡牌消耗!$B$8:$F$8,BP402)/$Q$4/500,0)*500,"")</f>
        <v>107500</v>
      </c>
      <c r="BW402" s="14" t="str">
        <f>IF(BO402&gt;0,INDEX(挂机升级突破!$ER$5:$EV$5,卡牌消耗!BO402),"")</f>
        <v>铀金</v>
      </c>
      <c r="BX402" s="14">
        <f>IF(BO402&gt;0,ROUND(INDEX(挂机升级突破!$ER$7:$EU$26,卡牌消耗!BS402,卡牌消耗!BO402)*INDEX($B$6:$F$6,BP402)/$Q$4/5,0)*5,"")</f>
        <v>25</v>
      </c>
      <c r="BY402" s="193"/>
      <c r="BZ402" s="193"/>
      <c r="CA402" s="106"/>
      <c r="CS402" s="171"/>
      <c r="CT402" s="171"/>
      <c r="CU402" s="171"/>
    </row>
    <row r="403" spans="8:99" ht="16.5" x14ac:dyDescent="0.2">
      <c r="H403" s="15"/>
      <c r="I403" s="15"/>
      <c r="J403" s="15"/>
      <c r="K403" s="15"/>
      <c r="L403" s="15"/>
      <c r="M403" s="15"/>
      <c r="N403" s="15"/>
      <c r="O403" s="137"/>
      <c r="P403" s="141"/>
      <c r="Q403" s="141"/>
      <c r="R403" s="141"/>
      <c r="S403" s="141"/>
      <c r="T403" s="141"/>
      <c r="U403" s="141"/>
      <c r="V403" s="141"/>
      <c r="W403" s="141"/>
      <c r="X403" s="141"/>
      <c r="Y403" s="141"/>
      <c r="Z403" s="141"/>
      <c r="AA403" s="194"/>
      <c r="AB403" s="194"/>
      <c r="AC403" s="194"/>
      <c r="AD403" s="194"/>
      <c r="AE403" s="194"/>
      <c r="AF403" s="194"/>
      <c r="AG403" s="197"/>
      <c r="AH403" s="194"/>
      <c r="AI403" s="194"/>
      <c r="AJ403" s="194"/>
      <c r="AK403" s="104">
        <v>399</v>
      </c>
      <c r="AL403" s="14">
        <f t="shared" si="355"/>
        <v>8</v>
      </c>
      <c r="AM403" s="14">
        <f>INDEX(挂机升级突破!DQ$6:DQ$57,卡牌消耗!$AT403)</f>
        <v>11</v>
      </c>
      <c r="AN403" s="14">
        <f>INDEX(挂机升级突破!DR$6:DR$57,卡牌消耗!$AT403)</f>
        <v>4</v>
      </c>
      <c r="AO403" s="14">
        <f>INDEX(挂机升级突破!DS$6:DS$57,卡牌消耗!$AT403)</f>
        <v>0</v>
      </c>
      <c r="AP403" s="14">
        <f>INDEX(挂机升级突破!$DP$6:$DP$57,卡牌消耗!AT403)</f>
        <v>105</v>
      </c>
      <c r="AQ403" s="14" t="str">
        <f t="shared" si="356"/>
        <v>夏侯渊</v>
      </c>
      <c r="AR403" s="14">
        <f t="shared" si="357"/>
        <v>4</v>
      </c>
      <c r="AS403" s="14" t="str">
        <f t="shared" si="358"/>
        <v>夏侯渊魂火-35</v>
      </c>
      <c r="AT403" s="14">
        <f t="shared" si="359"/>
        <v>35</v>
      </c>
      <c r="AU403" s="14" t="str">
        <f>IF(AM403&gt;0,INDEX(挂机升级突破!$DT$4:$ED$4,AM403),"")</f>
        <v>金币</v>
      </c>
      <c r="AV403" s="14">
        <f>ROUND(INDEX(挂机升级突破!$DJ$6:$DJ$57,卡牌消耗!AT403)*INDEX(卡牌消耗!$B$8:$F$8,AR403)/$Q$4/50,0)*50</f>
        <v>23350</v>
      </c>
      <c r="AW403" s="14" t="str">
        <f>IF(AN403&gt;0,INDEX(挂机升级突破!$DT$4:$ED$4,AN403),"")</f>
        <v>橙色基础材料</v>
      </c>
      <c r="AX403" s="14">
        <f>ROUND(INDEX(挂机升级突破!$DT$6:$ED$57,卡牌消耗!AT403,AN403)*INDEX(卡牌消耗!$B$5:$F$5,AR403)/$Q$4/5,0)*5</f>
        <v>35</v>
      </c>
      <c r="AY403" s="14" t="str">
        <f>IF(AO403&gt;0,INDEX(挂机升级突破!$DT$4:$ED$4,AO403),"")</f>
        <v/>
      </c>
      <c r="AZ403" s="14" t="str">
        <f>IF(AO403&gt;0,ROUND(INDEX(挂机升级突破!$DT$6:$ED$57,卡牌消耗!AT403,AO403)*INDEX(卡牌消耗!$B$7:$F$7,AR403)/$Q$4,0),"")</f>
        <v/>
      </c>
      <c r="BA403" s="106"/>
      <c r="BB403" s="197"/>
      <c r="BC403" s="197"/>
      <c r="BD403" s="197"/>
      <c r="BE403" s="197"/>
      <c r="BF403" s="197"/>
      <c r="BG403" s="197"/>
      <c r="BH403" s="197"/>
      <c r="BI403" s="197"/>
      <c r="BJ403" s="197"/>
      <c r="BK403" s="197"/>
      <c r="BL403" s="104">
        <v>399</v>
      </c>
      <c r="BM403" s="14">
        <f t="shared" si="360"/>
        <v>20</v>
      </c>
      <c r="BN403" s="14">
        <f>INDEX(挂机升级突破!$EI$7:$EI$26,BS403)</f>
        <v>5</v>
      </c>
      <c r="BO403" s="14">
        <f>INDEX(挂机升级突破!$EJ$7:$EJ$26,BS403)</f>
        <v>4</v>
      </c>
      <c r="BP403" s="14">
        <f t="shared" si="361"/>
        <v>3</v>
      </c>
      <c r="BQ403" s="14">
        <f>INDEX(挂机升级突破!$EH$7:$EH$26,卡牌消耗!BS403)</f>
        <v>132</v>
      </c>
      <c r="BR403" s="14" t="str">
        <f t="shared" si="362"/>
        <v>高顺</v>
      </c>
      <c r="BS403" s="14">
        <f t="shared" si="363"/>
        <v>19</v>
      </c>
      <c r="BT403" s="14" t="str">
        <f t="shared" si="364"/>
        <v>高顺19突</v>
      </c>
      <c r="BU403" s="14" t="str">
        <f>IF(BN403&gt;0,INDEX(挂机升级突破!$ER$5:$EV$5,卡牌消耗!BN403),"")</f>
        <v>金币</v>
      </c>
      <c r="BV403" s="14">
        <f>IF(BN403&gt;0,ROUND(INDEX(挂机升级突破!$EV$7:$EV$26,卡牌消耗!BS403)*INDEX(卡牌消耗!$B$8:$F$8,BP403)/$Q$4/500,0)*500,"")</f>
        <v>273500</v>
      </c>
      <c r="BW403" s="14" t="str">
        <f>IF(BO403&gt;0,INDEX(挂机升级突破!$ER$5:$EV$5,卡牌消耗!BO403),"")</f>
        <v>铀金</v>
      </c>
      <c r="BX403" s="14">
        <f>IF(BO403&gt;0,ROUND(INDEX(挂机升级突破!$ER$7:$EU$26,卡牌消耗!BS403,卡牌消耗!BO403)*INDEX($B$6:$F$6,BP403)/$Q$4/5,0)*5,"")</f>
        <v>35</v>
      </c>
      <c r="BY403" s="193"/>
      <c r="BZ403" s="193"/>
      <c r="CA403" s="106"/>
      <c r="CS403" s="171"/>
      <c r="CT403" s="171"/>
      <c r="CU403" s="171"/>
    </row>
    <row r="404" spans="8:99" ht="16.5" x14ac:dyDescent="0.2">
      <c r="H404" s="15"/>
      <c r="I404" s="15"/>
      <c r="J404" s="15"/>
      <c r="K404" s="15"/>
      <c r="L404" s="15"/>
      <c r="M404" s="15"/>
      <c r="N404" s="15"/>
      <c r="O404" s="137"/>
      <c r="P404" s="141"/>
      <c r="Q404" s="141"/>
      <c r="R404" s="141"/>
      <c r="S404" s="141"/>
      <c r="T404" s="141"/>
      <c r="U404" s="141"/>
      <c r="V404" s="141"/>
      <c r="W404" s="141"/>
      <c r="X404" s="141"/>
      <c r="Y404" s="141"/>
      <c r="Z404" s="141"/>
      <c r="AA404" s="194"/>
      <c r="AB404" s="194"/>
      <c r="AC404" s="194"/>
      <c r="AD404" s="194"/>
      <c r="AE404" s="194"/>
      <c r="AF404" s="194"/>
      <c r="AG404" s="197"/>
      <c r="AH404" s="194"/>
      <c r="AI404" s="194"/>
      <c r="AJ404" s="194"/>
      <c r="AK404" s="104">
        <v>400</v>
      </c>
      <c r="AL404" s="14">
        <f t="shared" si="355"/>
        <v>8</v>
      </c>
      <c r="AM404" s="14">
        <f>INDEX(挂机升级突破!DQ$6:DQ$57,卡牌消耗!$AT404)</f>
        <v>11</v>
      </c>
      <c r="AN404" s="14">
        <f>INDEX(挂机升级突破!DR$6:DR$57,卡牌消耗!$AT404)</f>
        <v>4</v>
      </c>
      <c r="AO404" s="14">
        <f>INDEX(挂机升级突破!DS$6:DS$57,卡牌消耗!$AT404)</f>
        <v>0</v>
      </c>
      <c r="AP404" s="14">
        <f>INDEX(挂机升级突破!$DP$6:$DP$57,卡牌消耗!AT404)</f>
        <v>108</v>
      </c>
      <c r="AQ404" s="14" t="str">
        <f t="shared" si="356"/>
        <v>夏侯渊</v>
      </c>
      <c r="AR404" s="14">
        <f t="shared" si="357"/>
        <v>4</v>
      </c>
      <c r="AS404" s="14" t="str">
        <f t="shared" si="358"/>
        <v>夏侯渊魂火-36</v>
      </c>
      <c r="AT404" s="14">
        <f t="shared" si="359"/>
        <v>36</v>
      </c>
      <c r="AU404" s="14" t="str">
        <f>IF(AM404&gt;0,INDEX(挂机升级突破!$DT$4:$ED$4,AM404),"")</f>
        <v>金币</v>
      </c>
      <c r="AV404" s="14">
        <f>ROUND(INDEX(挂机升级突破!$DJ$6:$DJ$57,卡牌消耗!AT404)*INDEX(卡牌消耗!$B$8:$F$8,AR404)/$Q$4/50,0)*50</f>
        <v>23350</v>
      </c>
      <c r="AW404" s="14" t="str">
        <f>IF(AN404&gt;0,INDEX(挂机升级突破!$DT$4:$ED$4,AN404),"")</f>
        <v>橙色基础材料</v>
      </c>
      <c r="AX404" s="14">
        <f>ROUND(INDEX(挂机升级突破!$DT$6:$ED$57,卡牌消耗!AT404,AN404)*INDEX(卡牌消耗!$B$5:$F$5,AR404)/$Q$4/5,0)*5</f>
        <v>35</v>
      </c>
      <c r="AY404" s="14" t="str">
        <f>IF(AO404&gt;0,INDEX(挂机升级突破!$DT$4:$ED$4,AO404),"")</f>
        <v/>
      </c>
      <c r="AZ404" s="14" t="str">
        <f>IF(AO404&gt;0,ROUND(INDEX(挂机升级突破!$DT$6:$ED$57,卡牌消耗!AT404,AO404)*INDEX(卡牌消耗!$B$7:$F$7,AR404)/$Q$4,0),"")</f>
        <v/>
      </c>
      <c r="BA404" s="106"/>
      <c r="BB404" s="197"/>
      <c r="BC404" s="197"/>
      <c r="BD404" s="197"/>
      <c r="BE404" s="197"/>
      <c r="BF404" s="197"/>
      <c r="BG404" s="197"/>
      <c r="BH404" s="197"/>
      <c r="BI404" s="197"/>
      <c r="BJ404" s="197"/>
      <c r="BK404" s="197"/>
      <c r="BL404" s="104">
        <v>400</v>
      </c>
      <c r="BM404" s="14">
        <f t="shared" si="360"/>
        <v>20</v>
      </c>
      <c r="BN404" s="14">
        <f>INDEX(挂机升级突破!$EI$7:$EI$26,BS404)</f>
        <v>5</v>
      </c>
      <c r="BO404" s="14">
        <f>INDEX(挂机升级突破!$EJ$7:$EJ$26,BS404)</f>
        <v>4</v>
      </c>
      <c r="BP404" s="14">
        <f t="shared" si="361"/>
        <v>3</v>
      </c>
      <c r="BQ404" s="14">
        <f>INDEX(挂机升级突破!$EH$7:$EH$26,卡牌消耗!BS404)</f>
        <v>140</v>
      </c>
      <c r="BR404" s="14" t="str">
        <f t="shared" si="362"/>
        <v>高顺</v>
      </c>
      <c r="BS404" s="14">
        <f t="shared" si="363"/>
        <v>20</v>
      </c>
      <c r="BT404" s="14" t="str">
        <f t="shared" si="364"/>
        <v>高顺20突</v>
      </c>
      <c r="BU404" s="14" t="str">
        <f>IF(BN404&gt;0,INDEX(挂机升级突破!$ER$5:$EV$5,卡牌消耗!BN404),"")</f>
        <v>金币</v>
      </c>
      <c r="BV404" s="14">
        <f>IF(BN404&gt;0,ROUND(INDEX(挂机升级突破!$EV$7:$EV$26,卡牌消耗!BS404)*INDEX(卡牌消耗!$B$8:$F$8,BP404)/$Q$4/500,0)*500,"")</f>
        <v>410500</v>
      </c>
      <c r="BW404" s="14" t="str">
        <f>IF(BO404&gt;0,INDEX(挂机升级突破!$ER$5:$EV$5,卡牌消耗!BO404),"")</f>
        <v>铀金</v>
      </c>
      <c r="BX404" s="14">
        <f>IF(BO404&gt;0,ROUND(INDEX(挂机升级突破!$ER$7:$EU$26,卡牌消耗!BS404,卡牌消耗!BO404)*INDEX($B$6:$F$6,BP404)/$Q$4/5,0)*5,"")</f>
        <v>40</v>
      </c>
      <c r="BY404" s="193"/>
      <c r="BZ404" s="193"/>
      <c r="CA404" s="106"/>
      <c r="CS404" s="171"/>
      <c r="CT404" s="171"/>
      <c r="CU404" s="171"/>
    </row>
    <row r="405" spans="8:99" ht="16.5" x14ac:dyDescent="0.2">
      <c r="H405" s="15"/>
      <c r="I405" s="15"/>
      <c r="J405" s="15"/>
      <c r="K405" s="15"/>
      <c r="L405" s="15"/>
      <c r="M405" s="15"/>
      <c r="N405" s="15"/>
      <c r="O405" s="137"/>
      <c r="P405" s="141"/>
      <c r="Q405" s="141"/>
      <c r="R405" s="141"/>
      <c r="S405" s="141"/>
      <c r="T405" s="141"/>
      <c r="U405" s="141"/>
      <c r="V405" s="141"/>
      <c r="W405" s="141"/>
      <c r="X405" s="141"/>
      <c r="Y405" s="141"/>
      <c r="Z405" s="141"/>
      <c r="AA405" s="194"/>
      <c r="AB405" s="194"/>
      <c r="AC405" s="194"/>
      <c r="AD405" s="194"/>
      <c r="AE405" s="194"/>
      <c r="AF405" s="194"/>
      <c r="AG405" s="197"/>
      <c r="AH405" s="194"/>
      <c r="AI405" s="194"/>
      <c r="AJ405" s="194"/>
      <c r="AK405" s="104">
        <v>401</v>
      </c>
      <c r="AL405" s="14">
        <f t="shared" si="355"/>
        <v>8</v>
      </c>
      <c r="AM405" s="14">
        <f>INDEX(挂机升级突破!DQ$6:DQ$57,卡牌消耗!$AT405)</f>
        <v>11</v>
      </c>
      <c r="AN405" s="14">
        <f>INDEX(挂机升级突破!DR$6:DR$57,卡牌消耗!$AT405)</f>
        <v>4</v>
      </c>
      <c r="AO405" s="14">
        <f>INDEX(挂机升级突破!DS$6:DS$57,卡牌消耗!$AT405)</f>
        <v>0</v>
      </c>
      <c r="AP405" s="14">
        <f>INDEX(挂机升级突破!$DP$6:$DP$57,卡牌消耗!AT405)</f>
        <v>110</v>
      </c>
      <c r="AQ405" s="14" t="str">
        <f t="shared" si="356"/>
        <v>夏侯渊</v>
      </c>
      <c r="AR405" s="14">
        <f t="shared" si="357"/>
        <v>4</v>
      </c>
      <c r="AS405" s="14" t="str">
        <f t="shared" si="358"/>
        <v>夏侯渊魂火-37</v>
      </c>
      <c r="AT405" s="14">
        <f t="shared" si="359"/>
        <v>37</v>
      </c>
      <c r="AU405" s="14" t="str">
        <f>IF(AM405&gt;0,INDEX(挂机升级突破!$DT$4:$ED$4,AM405),"")</f>
        <v>金币</v>
      </c>
      <c r="AV405" s="14">
        <f>ROUND(INDEX(挂机升级突破!$DJ$6:$DJ$57,卡牌消耗!AT405)*INDEX(卡牌消耗!$B$8:$F$8,AR405)/$Q$4/50,0)*50</f>
        <v>25000</v>
      </c>
      <c r="AW405" s="14" t="str">
        <f>IF(AN405&gt;0,INDEX(挂机升级突破!$DT$4:$ED$4,AN405),"")</f>
        <v>橙色基础材料</v>
      </c>
      <c r="AX405" s="14">
        <f>ROUND(INDEX(挂机升级突破!$DT$6:$ED$57,卡牌消耗!AT405,AN405)*INDEX(卡牌消耗!$B$5:$F$5,AR405)/$Q$4/5,0)*5</f>
        <v>35</v>
      </c>
      <c r="AY405" s="14" t="str">
        <f>IF(AO405&gt;0,INDEX(挂机升级突破!$DT$4:$ED$4,AO405),"")</f>
        <v/>
      </c>
      <c r="AZ405" s="14" t="str">
        <f>IF(AO405&gt;0,ROUND(INDEX(挂机升级突破!$DT$6:$ED$57,卡牌消耗!AT405,AO405)*INDEX(卡牌消耗!$B$7:$F$7,AR405)/$Q$4,0),"")</f>
        <v/>
      </c>
      <c r="BA405" s="106"/>
      <c r="BB405" s="197"/>
      <c r="BC405" s="197"/>
      <c r="BD405" s="197"/>
      <c r="BE405" s="197"/>
      <c r="BF405" s="197"/>
      <c r="BG405" s="197"/>
      <c r="BH405" s="197"/>
      <c r="BI405" s="197"/>
      <c r="BJ405" s="197"/>
      <c r="BK405" s="197"/>
      <c r="BL405" s="104">
        <v>401</v>
      </c>
      <c r="BM405" s="14">
        <f t="shared" si="360"/>
        <v>21</v>
      </c>
      <c r="BN405" s="14">
        <f>INDEX(挂机升级突破!$EI$7:$EI$26,BS405)</f>
        <v>0</v>
      </c>
      <c r="BO405" s="14">
        <f>INDEX(挂机升级突破!$EJ$7:$EJ$26,BS405)</f>
        <v>0</v>
      </c>
      <c r="BP405" s="14">
        <f t="shared" si="361"/>
        <v>3</v>
      </c>
      <c r="BQ405" s="14">
        <f>INDEX(挂机升级突破!$EH$7:$EH$26,卡牌消耗!BS405)</f>
        <v>1</v>
      </c>
      <c r="BR405" s="14" t="str">
        <f t="shared" si="362"/>
        <v>烈风螳螂</v>
      </c>
      <c r="BS405" s="14">
        <f t="shared" si="363"/>
        <v>1</v>
      </c>
      <c r="BT405" s="14" t="str">
        <f t="shared" si="364"/>
        <v>烈风螳螂1突</v>
      </c>
      <c r="BU405" s="14" t="str">
        <f>IF(BN405&gt;0,INDEX(挂机升级突破!$ER$5:$EV$5,卡牌消耗!BN405),"")</f>
        <v/>
      </c>
      <c r="BV405" s="14" t="str">
        <f>IF(BN405&gt;0,ROUND(INDEX(挂机升级突破!$EV$7:$EV$26,卡牌消耗!BS405)*INDEX(卡牌消耗!$B$8:$F$8,BP405)/$Q$4/500,0)*500,"")</f>
        <v/>
      </c>
      <c r="BW405" s="14" t="str">
        <f>IF(BO405&gt;0,INDEX(挂机升级突破!$ER$5:$EV$5,卡牌消耗!BO405),"")</f>
        <v/>
      </c>
      <c r="BX405" s="14" t="str">
        <f>IF(BO405&gt;0,ROUND(INDEX(挂机升级突破!$ER$7:$EU$26,卡牌消耗!BS405,卡牌消耗!BO405)*INDEX($B$6:$F$6,BP405)/$Q$4/5,0)*5,"")</f>
        <v/>
      </c>
      <c r="BY405" s="193"/>
      <c r="BZ405" s="193"/>
      <c r="CA405" s="106"/>
      <c r="CS405" s="171"/>
      <c r="CT405" s="171"/>
      <c r="CU405" s="171"/>
    </row>
    <row r="406" spans="8:99" ht="16.5" x14ac:dyDescent="0.2">
      <c r="H406" s="15"/>
      <c r="I406" s="15"/>
      <c r="J406" s="15"/>
      <c r="K406" s="15"/>
      <c r="L406" s="15"/>
      <c r="M406" s="15"/>
      <c r="N406" s="15"/>
      <c r="O406" s="137"/>
      <c r="P406" s="141"/>
      <c r="Q406" s="141"/>
      <c r="R406" s="141"/>
      <c r="S406" s="141"/>
      <c r="T406" s="141"/>
      <c r="U406" s="141"/>
      <c r="V406" s="141"/>
      <c r="W406" s="141"/>
      <c r="X406" s="141"/>
      <c r="Y406" s="141"/>
      <c r="Z406" s="141"/>
      <c r="AA406" s="194"/>
      <c r="AB406" s="194"/>
      <c r="AC406" s="194"/>
      <c r="AD406" s="194"/>
      <c r="AE406" s="194"/>
      <c r="AF406" s="194"/>
      <c r="AG406" s="197"/>
      <c r="AH406" s="194"/>
      <c r="AI406" s="194"/>
      <c r="AJ406" s="194"/>
      <c r="AK406" s="104">
        <v>402</v>
      </c>
      <c r="AL406" s="14">
        <f t="shared" si="355"/>
        <v>8</v>
      </c>
      <c r="AM406" s="14">
        <f>INDEX(挂机升级突破!DQ$6:DQ$57,卡牌消耗!$AT406)</f>
        <v>11</v>
      </c>
      <c r="AN406" s="14">
        <f>INDEX(挂机升级突破!DR$6:DR$57,卡牌消耗!$AT406)</f>
        <v>5</v>
      </c>
      <c r="AO406" s="14">
        <f>INDEX(挂机升级突破!DS$6:DS$57,卡牌消耗!$AT406)</f>
        <v>0</v>
      </c>
      <c r="AP406" s="14">
        <f>INDEX(挂机升级突破!$DP$6:$DP$57,卡牌消耗!AT406)</f>
        <v>113</v>
      </c>
      <c r="AQ406" s="14" t="str">
        <f t="shared" si="356"/>
        <v>夏侯渊</v>
      </c>
      <c r="AR406" s="14">
        <f t="shared" si="357"/>
        <v>4</v>
      </c>
      <c r="AS406" s="14" t="str">
        <f t="shared" si="358"/>
        <v>夏侯渊魂火-38</v>
      </c>
      <c r="AT406" s="14">
        <f t="shared" si="359"/>
        <v>38</v>
      </c>
      <c r="AU406" s="14" t="str">
        <f>IF(AM406&gt;0,INDEX(挂机升级突破!$DT$4:$ED$4,AM406),"")</f>
        <v>金币</v>
      </c>
      <c r="AV406" s="14">
        <f>ROUND(INDEX(挂机升级突破!$DJ$6:$DJ$57,卡牌消耗!AT406)*INDEX(卡牌消耗!$B$8:$F$8,AR406)/$Q$4/50,0)*50</f>
        <v>32250</v>
      </c>
      <c r="AW406" s="14" t="str">
        <f>IF(AN406&gt;0,INDEX(挂机升级突破!$DT$4:$ED$4,AN406),"")</f>
        <v>红色基础材料</v>
      </c>
      <c r="AX406" s="14">
        <f>ROUND(INDEX(挂机升级突破!$DT$6:$ED$57,卡牌消耗!AT406,AN406)*INDEX(卡牌消耗!$B$5:$F$5,AR406)/$Q$4/5,0)*5</f>
        <v>10</v>
      </c>
      <c r="AY406" s="14" t="str">
        <f>IF(AO406&gt;0,INDEX(挂机升级突破!$DT$4:$ED$4,AO406),"")</f>
        <v/>
      </c>
      <c r="AZ406" s="14" t="str">
        <f>IF(AO406&gt;0,ROUND(INDEX(挂机升级突破!$DT$6:$ED$57,卡牌消耗!AT406,AO406)*INDEX(卡牌消耗!$B$7:$F$7,AR406)/$Q$4,0),"")</f>
        <v/>
      </c>
      <c r="BA406" s="106"/>
      <c r="BB406" s="197"/>
      <c r="BC406" s="197"/>
      <c r="BD406" s="197"/>
      <c r="BE406" s="197"/>
      <c r="BF406" s="197"/>
      <c r="BG406" s="197"/>
      <c r="BH406" s="197"/>
      <c r="BI406" s="197"/>
      <c r="BJ406" s="197"/>
      <c r="BK406" s="197"/>
      <c r="BL406" s="104">
        <v>402</v>
      </c>
      <c r="BM406" s="14">
        <f t="shared" si="360"/>
        <v>21</v>
      </c>
      <c r="BN406" s="14">
        <f>INDEX(挂机升级突破!$EI$7:$EI$26,BS406)</f>
        <v>5</v>
      </c>
      <c r="BO406" s="14">
        <f>INDEX(挂机升级突破!$EJ$7:$EJ$26,BS406)</f>
        <v>1</v>
      </c>
      <c r="BP406" s="14">
        <f t="shared" si="361"/>
        <v>3</v>
      </c>
      <c r="BQ406" s="14">
        <f>INDEX(挂机升级突破!$EH$7:$EH$26,卡牌消耗!BS406)</f>
        <v>5</v>
      </c>
      <c r="BR406" s="14" t="str">
        <f t="shared" si="362"/>
        <v>烈风螳螂</v>
      </c>
      <c r="BS406" s="14">
        <f t="shared" si="363"/>
        <v>2</v>
      </c>
      <c r="BT406" s="14" t="str">
        <f t="shared" si="364"/>
        <v>烈风螳螂2突</v>
      </c>
      <c r="BU406" s="14" t="str">
        <f>IF(BN406&gt;0,INDEX(挂机升级突破!$ER$5:$EV$5,卡牌消耗!BN406),"")</f>
        <v>金币</v>
      </c>
      <c r="BV406" s="14">
        <f>IF(BN406&gt;0,ROUND(INDEX(挂机升级突破!$EV$7:$EV$26,卡牌消耗!BS406)*INDEX(卡牌消耗!$B$8:$F$8,BP406)/$Q$4/500,0)*500,"")</f>
        <v>3000</v>
      </c>
      <c r="BW406" s="14" t="str">
        <f>IF(BO406&gt;0,INDEX(挂机升级突破!$ER$5:$EV$5,卡牌消耗!BO406),"")</f>
        <v>玄铁</v>
      </c>
      <c r="BX406" s="14">
        <f>IF(BO406&gt;0,ROUND(INDEX(挂机升级突破!$ER$7:$EU$26,卡牌消耗!BS406,卡牌消耗!BO406)*INDEX($B$6:$F$6,BP406)/$Q$4,0),"")</f>
        <v>2</v>
      </c>
      <c r="BY406" s="193"/>
      <c r="BZ406" s="193"/>
      <c r="CA406" s="106"/>
      <c r="CS406" s="171"/>
      <c r="CT406" s="171"/>
      <c r="CU406" s="171"/>
    </row>
    <row r="407" spans="8:99" ht="16.5" x14ac:dyDescent="0.2">
      <c r="H407" s="15"/>
      <c r="I407" s="15"/>
      <c r="J407" s="15"/>
      <c r="K407" s="15"/>
      <c r="L407" s="15"/>
      <c r="M407" s="15"/>
      <c r="N407" s="15"/>
      <c r="O407" s="137"/>
      <c r="P407" s="141"/>
      <c r="Q407" s="141"/>
      <c r="R407" s="141"/>
      <c r="S407" s="141"/>
      <c r="T407" s="141"/>
      <c r="U407" s="141"/>
      <c r="V407" s="141"/>
      <c r="W407" s="141"/>
      <c r="X407" s="141"/>
      <c r="Y407" s="141"/>
      <c r="Z407" s="141"/>
      <c r="AA407" s="194"/>
      <c r="AB407" s="194"/>
      <c r="AC407" s="194"/>
      <c r="AD407" s="194"/>
      <c r="AE407" s="194"/>
      <c r="AF407" s="194"/>
      <c r="AG407" s="197"/>
      <c r="AH407" s="194"/>
      <c r="AI407" s="194"/>
      <c r="AJ407" s="194"/>
      <c r="AK407" s="104">
        <v>403</v>
      </c>
      <c r="AL407" s="14">
        <f t="shared" si="355"/>
        <v>8</v>
      </c>
      <c r="AM407" s="14">
        <f>INDEX(挂机升级突破!DQ$6:DQ$57,卡牌消耗!$AT407)</f>
        <v>11</v>
      </c>
      <c r="AN407" s="14">
        <f>INDEX(挂机升级突破!DR$6:DR$57,卡牌消耗!$AT407)</f>
        <v>5</v>
      </c>
      <c r="AO407" s="14">
        <f>INDEX(挂机升级突破!DS$6:DS$57,卡牌消耗!$AT407)</f>
        <v>0</v>
      </c>
      <c r="AP407" s="14">
        <f>INDEX(挂机升级突破!$DP$6:$DP$57,卡牌消耗!AT407)</f>
        <v>115</v>
      </c>
      <c r="AQ407" s="14" t="str">
        <f t="shared" si="356"/>
        <v>夏侯渊</v>
      </c>
      <c r="AR407" s="14">
        <f t="shared" si="357"/>
        <v>4</v>
      </c>
      <c r="AS407" s="14" t="str">
        <f t="shared" si="358"/>
        <v>夏侯渊魂火-39</v>
      </c>
      <c r="AT407" s="14">
        <f t="shared" si="359"/>
        <v>39</v>
      </c>
      <c r="AU407" s="14" t="str">
        <f>IF(AM407&gt;0,INDEX(挂机升级突破!$DT$4:$ED$4,AM407),"")</f>
        <v>金币</v>
      </c>
      <c r="AV407" s="14">
        <f>ROUND(INDEX(挂机升级突破!$DJ$6:$DJ$57,卡牌消耗!AT407)*INDEX(卡牌消耗!$B$8:$F$8,AR407)/$Q$4/50,0)*50</f>
        <v>32250</v>
      </c>
      <c r="AW407" s="14" t="str">
        <f>IF(AN407&gt;0,INDEX(挂机升级突破!$DT$4:$ED$4,AN407),"")</f>
        <v>红色基础材料</v>
      </c>
      <c r="AX407" s="14">
        <f>ROUND(INDEX(挂机升级突破!$DT$6:$ED$57,卡牌消耗!AT407,AN407)*INDEX(卡牌消耗!$B$5:$F$5,AR407)/$Q$4/5,0)*5</f>
        <v>10</v>
      </c>
      <c r="AY407" s="14" t="str">
        <f>IF(AO407&gt;0,INDEX(挂机升级突破!$DT$4:$ED$4,AO407),"")</f>
        <v/>
      </c>
      <c r="AZ407" s="14" t="str">
        <f>IF(AO407&gt;0,ROUND(INDEX(挂机升级突破!$DT$6:$ED$57,卡牌消耗!AT407,AO407)*INDEX(卡牌消耗!$B$7:$F$7,AR407)/$Q$4,0),"")</f>
        <v/>
      </c>
      <c r="BA407" s="106"/>
      <c r="BB407" s="197"/>
      <c r="BC407" s="197"/>
      <c r="BD407" s="197"/>
      <c r="BE407" s="197"/>
      <c r="BF407" s="197"/>
      <c r="BG407" s="197"/>
      <c r="BH407" s="197"/>
      <c r="BI407" s="197"/>
      <c r="BJ407" s="197"/>
      <c r="BK407" s="197"/>
      <c r="BL407" s="104">
        <v>403</v>
      </c>
      <c r="BM407" s="14">
        <f t="shared" si="360"/>
        <v>21</v>
      </c>
      <c r="BN407" s="14">
        <f>INDEX(挂机升级突破!$EI$7:$EI$26,BS407)</f>
        <v>5</v>
      </c>
      <c r="BO407" s="14">
        <f>INDEX(挂机升级突破!$EJ$7:$EJ$26,BS407)</f>
        <v>1</v>
      </c>
      <c r="BP407" s="14">
        <f t="shared" si="361"/>
        <v>3</v>
      </c>
      <c r="BQ407" s="14">
        <f>INDEX(挂机升级突破!$EH$7:$EH$26,卡牌消耗!BS407)</f>
        <v>15</v>
      </c>
      <c r="BR407" s="14" t="str">
        <f t="shared" si="362"/>
        <v>烈风螳螂</v>
      </c>
      <c r="BS407" s="14">
        <f t="shared" si="363"/>
        <v>3</v>
      </c>
      <c r="BT407" s="14" t="str">
        <f t="shared" si="364"/>
        <v>烈风螳螂3突</v>
      </c>
      <c r="BU407" s="14" t="str">
        <f>IF(BN407&gt;0,INDEX(挂机升级突破!$ER$5:$EV$5,卡牌消耗!BN407),"")</f>
        <v>金币</v>
      </c>
      <c r="BV407" s="14">
        <f>IF(BN407&gt;0,ROUND(INDEX(挂机升级突破!$EV$7:$EV$26,卡牌消耗!BS407)*INDEX(卡牌消耗!$B$8:$F$8,BP407)/$Q$4/500,0)*500,"")</f>
        <v>3000</v>
      </c>
      <c r="BW407" s="14" t="str">
        <f>IF(BO407&gt;0,INDEX(挂机升级突破!$ER$5:$EV$5,卡牌消耗!BO407),"")</f>
        <v>玄铁</v>
      </c>
      <c r="BX407" s="14">
        <f>IF(BO407&gt;0,ROUND(INDEX(挂机升级突破!$ER$7:$EU$26,卡牌消耗!BS407,卡牌消耗!BO407)*INDEX($B$6:$F$6,BP407)/$Q$4,0),"")</f>
        <v>5</v>
      </c>
      <c r="BY407" s="193"/>
      <c r="BZ407" s="193"/>
      <c r="CA407" s="106"/>
      <c r="CS407" s="171"/>
      <c r="CT407" s="171"/>
      <c r="CU407" s="171"/>
    </row>
    <row r="408" spans="8:99" ht="16.5" x14ac:dyDescent="0.2">
      <c r="H408" s="15"/>
      <c r="I408" s="15"/>
      <c r="J408" s="15"/>
      <c r="K408" s="15"/>
      <c r="L408" s="15"/>
      <c r="M408" s="15"/>
      <c r="N408" s="15"/>
      <c r="O408" s="137"/>
      <c r="P408" s="141"/>
      <c r="Q408" s="141"/>
      <c r="R408" s="141"/>
      <c r="S408" s="141"/>
      <c r="T408" s="141"/>
      <c r="U408" s="141"/>
      <c r="V408" s="141"/>
      <c r="W408" s="141"/>
      <c r="X408" s="141"/>
      <c r="Y408" s="141"/>
      <c r="Z408" s="141"/>
      <c r="AA408" s="194"/>
      <c r="AB408" s="194"/>
      <c r="AC408" s="194"/>
      <c r="AD408" s="194"/>
      <c r="AE408" s="194"/>
      <c r="AF408" s="194"/>
      <c r="AG408" s="197"/>
      <c r="AH408" s="194"/>
      <c r="AI408" s="194"/>
      <c r="AJ408" s="194"/>
      <c r="AK408" s="104">
        <v>404</v>
      </c>
      <c r="AL408" s="14">
        <f t="shared" si="355"/>
        <v>8</v>
      </c>
      <c r="AM408" s="14">
        <f>INDEX(挂机升级突破!DQ$6:DQ$57,卡牌消耗!$AT408)</f>
        <v>11</v>
      </c>
      <c r="AN408" s="14">
        <f>INDEX(挂机升级突破!DR$6:DR$57,卡牌消耗!$AT408)</f>
        <v>5</v>
      </c>
      <c r="AO408" s="14">
        <f>INDEX(挂机升级突破!DS$6:DS$57,卡牌消耗!$AT408)</f>
        <v>0</v>
      </c>
      <c r="AP408" s="14">
        <f>INDEX(挂机升级突破!$DP$6:$DP$57,卡牌消耗!AT408)</f>
        <v>118</v>
      </c>
      <c r="AQ408" s="14" t="str">
        <f t="shared" si="356"/>
        <v>夏侯渊</v>
      </c>
      <c r="AR408" s="14">
        <f t="shared" si="357"/>
        <v>4</v>
      </c>
      <c r="AS408" s="14" t="str">
        <f t="shared" si="358"/>
        <v>夏侯渊魂火-40</v>
      </c>
      <c r="AT408" s="14">
        <f t="shared" si="359"/>
        <v>40</v>
      </c>
      <c r="AU408" s="14" t="str">
        <f>IF(AM408&gt;0,INDEX(挂机升级突破!$DT$4:$ED$4,AM408),"")</f>
        <v>金币</v>
      </c>
      <c r="AV408" s="14">
        <f>ROUND(INDEX(挂机升级突破!$DJ$6:$DJ$57,卡牌消耗!AT408)*INDEX(卡牌消耗!$B$8:$F$8,AR408)/$Q$4/50,0)*50</f>
        <v>32250</v>
      </c>
      <c r="AW408" s="14" t="str">
        <f>IF(AN408&gt;0,INDEX(挂机升级突破!$DT$4:$ED$4,AN408),"")</f>
        <v>红色基础材料</v>
      </c>
      <c r="AX408" s="14">
        <f>ROUND(INDEX(挂机升级突破!$DT$6:$ED$57,卡牌消耗!AT408,AN408)*INDEX(卡牌消耗!$B$5:$F$5,AR408)/$Q$4/5,0)*5</f>
        <v>10</v>
      </c>
      <c r="AY408" s="14" t="str">
        <f>IF(AO408&gt;0,INDEX(挂机升级突破!$DT$4:$ED$4,AO408),"")</f>
        <v/>
      </c>
      <c r="AZ408" s="14" t="str">
        <f>IF(AO408&gt;0,ROUND(INDEX(挂机升级突破!$DT$6:$ED$57,卡牌消耗!AT408,AO408)*INDEX(卡牌消耗!$B$7:$F$7,AR408)/$Q$4,0),"")</f>
        <v/>
      </c>
      <c r="BA408" s="106"/>
      <c r="BB408" s="197"/>
      <c r="BC408" s="197"/>
      <c r="BD408" s="197"/>
      <c r="BE408" s="197"/>
      <c r="BF408" s="197"/>
      <c r="BG408" s="197"/>
      <c r="BH408" s="197"/>
      <c r="BI408" s="197"/>
      <c r="BJ408" s="197"/>
      <c r="BK408" s="197"/>
      <c r="BL408" s="104">
        <v>404</v>
      </c>
      <c r="BM408" s="14">
        <f t="shared" si="360"/>
        <v>21</v>
      </c>
      <c r="BN408" s="14">
        <f>INDEX(挂机升级突破!$EI$7:$EI$26,BS408)</f>
        <v>5</v>
      </c>
      <c r="BO408" s="14">
        <f>INDEX(挂机升级突破!$EJ$7:$EJ$26,BS408)</f>
        <v>1</v>
      </c>
      <c r="BP408" s="14">
        <f t="shared" si="361"/>
        <v>3</v>
      </c>
      <c r="BQ408" s="14">
        <f>INDEX(挂机升级突破!$EH$7:$EH$26,卡牌消耗!BS408)</f>
        <v>25</v>
      </c>
      <c r="BR408" s="14" t="str">
        <f t="shared" si="362"/>
        <v>烈风螳螂</v>
      </c>
      <c r="BS408" s="14">
        <f t="shared" si="363"/>
        <v>4</v>
      </c>
      <c r="BT408" s="14" t="str">
        <f t="shared" si="364"/>
        <v>烈风螳螂4突</v>
      </c>
      <c r="BU408" s="14" t="str">
        <f>IF(BN408&gt;0,INDEX(挂机升级突破!$ER$5:$EV$5,卡牌消耗!BN408),"")</f>
        <v>金币</v>
      </c>
      <c r="BV408" s="14">
        <f>IF(BN408&gt;0,ROUND(INDEX(挂机升级突破!$EV$7:$EV$26,卡牌消耗!BS408)*INDEX(卡牌消耗!$B$8:$F$8,BP408)/$Q$4/500,0)*500,"")</f>
        <v>4000</v>
      </c>
      <c r="BW408" s="14" t="str">
        <f>IF(BO408&gt;0,INDEX(挂机升级突破!$ER$5:$EV$5,卡牌消耗!BO408),"")</f>
        <v>玄铁</v>
      </c>
      <c r="BX408" s="14">
        <f>IF(BO408&gt;0,ROUND(INDEX(挂机升级突破!$ER$7:$EU$26,卡牌消耗!BS408,卡牌消耗!BO408)*INDEX($B$6:$F$6,BP408)/$Q$4,0),"")</f>
        <v>17</v>
      </c>
      <c r="BY408" s="193"/>
      <c r="BZ408" s="193"/>
      <c r="CA408" s="106"/>
      <c r="CS408" s="171"/>
      <c r="CT408" s="171"/>
      <c r="CU408" s="171"/>
    </row>
    <row r="409" spans="8:99" ht="16.5" x14ac:dyDescent="0.2">
      <c r="H409" s="15"/>
      <c r="I409" s="15"/>
      <c r="J409" s="15"/>
      <c r="K409" s="15"/>
      <c r="L409" s="15"/>
      <c r="M409" s="15"/>
      <c r="N409" s="15"/>
      <c r="O409" s="137"/>
      <c r="P409" s="141"/>
      <c r="Q409" s="141"/>
      <c r="R409" s="141"/>
      <c r="S409" s="141"/>
      <c r="T409" s="141"/>
      <c r="U409" s="141"/>
      <c r="V409" s="141"/>
      <c r="W409" s="141"/>
      <c r="X409" s="141"/>
      <c r="Y409" s="141"/>
      <c r="Z409" s="141"/>
      <c r="AA409" s="194"/>
      <c r="AB409" s="194"/>
      <c r="AC409" s="194"/>
      <c r="AD409" s="194"/>
      <c r="AE409" s="194"/>
      <c r="AF409" s="194"/>
      <c r="AG409" s="197"/>
      <c r="AH409" s="194"/>
      <c r="AI409" s="194"/>
      <c r="AJ409" s="194"/>
      <c r="AK409" s="104">
        <v>405</v>
      </c>
      <c r="AL409" s="14">
        <f t="shared" si="355"/>
        <v>8</v>
      </c>
      <c r="AM409" s="14">
        <f>INDEX(挂机升级突破!DQ$6:DQ$57,卡牌消耗!$AT409)</f>
        <v>11</v>
      </c>
      <c r="AN409" s="14">
        <f>INDEX(挂机升级突破!DR$6:DR$57,卡牌消耗!$AT409)</f>
        <v>5</v>
      </c>
      <c r="AO409" s="14">
        <f>INDEX(挂机升级突破!DS$6:DS$57,卡牌消耗!$AT409)</f>
        <v>10</v>
      </c>
      <c r="AP409" s="14">
        <f>INDEX(挂机升级突破!$DP$6:$DP$57,卡牌消耗!AT409)</f>
        <v>120</v>
      </c>
      <c r="AQ409" s="14" t="str">
        <f t="shared" si="356"/>
        <v>夏侯渊</v>
      </c>
      <c r="AR409" s="14">
        <f t="shared" si="357"/>
        <v>4</v>
      </c>
      <c r="AS409" s="14" t="str">
        <f t="shared" si="358"/>
        <v>夏侯渊魂火-41</v>
      </c>
      <c r="AT409" s="14">
        <f t="shared" si="359"/>
        <v>41</v>
      </c>
      <c r="AU409" s="14" t="str">
        <f>IF(AM409&gt;0,INDEX(挂机升级突破!$DT$4:$ED$4,AM409),"")</f>
        <v>金币</v>
      </c>
      <c r="AV409" s="14">
        <f>ROUND(INDEX(挂机升级突破!$DJ$6:$DJ$57,卡牌消耗!AT409)*INDEX(卡牌消耗!$B$8:$F$8,AR409)/$Q$4/50,0)*50</f>
        <v>44300</v>
      </c>
      <c r="AW409" s="14" t="str">
        <f>IF(AN409&gt;0,INDEX(挂机升级突破!$DT$4:$ED$4,AN409),"")</f>
        <v>红色基础材料</v>
      </c>
      <c r="AX409" s="14">
        <f>ROUND(INDEX(挂机升级突破!$DT$6:$ED$57,卡牌消耗!AT409,AN409)*INDEX(卡牌消耗!$B$5:$F$5,AR409)/$Q$4/5,0)*5</f>
        <v>10</v>
      </c>
      <c r="AY409" s="14" t="str">
        <f>IF(AO409&gt;0,INDEX(挂机升级突破!$DT$4:$ED$4,AO409),"")</f>
        <v>灵玉</v>
      </c>
      <c r="AZ409" s="14">
        <f>IF(AO409&gt;0,ROUND(INDEX(挂机升级突破!$DT$6:$ED$57,卡牌消耗!AT409,AO409)*INDEX(卡牌消耗!$B$7:$F$7,AR409)/$Q$4,0),"")</f>
        <v>3</v>
      </c>
      <c r="BA409" s="106"/>
      <c r="BB409" s="197"/>
      <c r="BC409" s="197"/>
      <c r="BD409" s="197"/>
      <c r="BE409" s="197"/>
      <c r="BF409" s="197"/>
      <c r="BG409" s="197"/>
      <c r="BH409" s="197"/>
      <c r="BI409" s="197"/>
      <c r="BJ409" s="197"/>
      <c r="BK409" s="197"/>
      <c r="BL409" s="104">
        <v>405</v>
      </c>
      <c r="BM409" s="14">
        <f t="shared" si="360"/>
        <v>21</v>
      </c>
      <c r="BN409" s="14">
        <f>INDEX(挂机升级突破!$EI$7:$EI$26,BS409)</f>
        <v>5</v>
      </c>
      <c r="BO409" s="14">
        <f>INDEX(挂机升级突破!$EJ$7:$EJ$26,BS409)</f>
        <v>1</v>
      </c>
      <c r="BP409" s="14">
        <f t="shared" si="361"/>
        <v>3</v>
      </c>
      <c r="BQ409" s="14">
        <f>INDEX(挂机升级突破!$EH$7:$EH$26,卡牌消耗!BS409)</f>
        <v>35</v>
      </c>
      <c r="BR409" s="14" t="str">
        <f t="shared" si="362"/>
        <v>烈风螳螂</v>
      </c>
      <c r="BS409" s="14">
        <f t="shared" si="363"/>
        <v>5</v>
      </c>
      <c r="BT409" s="14" t="str">
        <f t="shared" si="364"/>
        <v>烈风螳螂5突</v>
      </c>
      <c r="BU409" s="14" t="str">
        <f>IF(BN409&gt;0,INDEX(挂机升级突破!$ER$5:$EV$5,卡牌消耗!BN409),"")</f>
        <v>金币</v>
      </c>
      <c r="BV409" s="14">
        <f>IF(BN409&gt;0,ROUND(INDEX(挂机升级突破!$EV$7:$EV$26,卡牌消耗!BS409)*INDEX(卡牌消耗!$B$8:$F$8,BP409)/$Q$4/500,0)*500,"")</f>
        <v>4000</v>
      </c>
      <c r="BW409" s="14" t="str">
        <f>IF(BO409&gt;0,INDEX(挂机升级突破!$ER$5:$EV$5,卡牌消耗!BO409),"")</f>
        <v>玄铁</v>
      </c>
      <c r="BX409" s="14">
        <f>IF(BO409&gt;0,ROUND(INDEX(挂机升级突破!$ER$7:$EU$26,卡牌消耗!BS409,卡牌消耗!BO409)*INDEX($B$6:$F$6,BP409)/$Q$4/5,0)*5,"")</f>
        <v>35</v>
      </c>
      <c r="BY409" s="193"/>
      <c r="BZ409" s="193"/>
      <c r="CA409" s="106"/>
      <c r="CS409" s="171"/>
      <c r="CT409" s="171"/>
      <c r="CU409" s="171"/>
    </row>
    <row r="410" spans="8:99" ht="16.5" x14ac:dyDescent="0.2">
      <c r="H410" s="15"/>
      <c r="I410" s="15"/>
      <c r="J410" s="15"/>
      <c r="K410" s="15"/>
      <c r="L410" s="15"/>
      <c r="M410" s="15"/>
      <c r="N410" s="15"/>
      <c r="O410" s="137"/>
      <c r="P410" s="141"/>
      <c r="Q410" s="141"/>
      <c r="R410" s="141"/>
      <c r="S410" s="141"/>
      <c r="T410" s="141"/>
      <c r="U410" s="141"/>
      <c r="V410" s="141"/>
      <c r="W410" s="141"/>
      <c r="X410" s="141"/>
      <c r="Y410" s="141"/>
      <c r="Z410" s="141"/>
      <c r="AA410" s="194"/>
      <c r="AB410" s="194"/>
      <c r="AC410" s="194"/>
      <c r="AD410" s="194"/>
      <c r="AE410" s="194"/>
      <c r="AF410" s="194"/>
      <c r="AG410" s="197"/>
      <c r="AH410" s="194"/>
      <c r="AI410" s="194"/>
      <c r="AJ410" s="194"/>
      <c r="AK410" s="104">
        <v>406</v>
      </c>
      <c r="AL410" s="14">
        <f t="shared" si="355"/>
        <v>8</v>
      </c>
      <c r="AM410" s="14">
        <f>INDEX(挂机升级突破!DQ$6:DQ$57,卡牌消耗!$AT410)</f>
        <v>11</v>
      </c>
      <c r="AN410" s="14">
        <f>INDEX(挂机升级突破!DR$6:DR$57,卡牌消耗!$AT410)</f>
        <v>5</v>
      </c>
      <c r="AO410" s="14">
        <f>INDEX(挂机升级突破!DS$6:DS$57,卡牌消耗!$AT410)</f>
        <v>10</v>
      </c>
      <c r="AP410" s="14">
        <f>INDEX(挂机升级突破!$DP$6:$DP$57,卡牌消耗!AT410)</f>
        <v>123</v>
      </c>
      <c r="AQ410" s="14" t="str">
        <f t="shared" si="356"/>
        <v>夏侯渊</v>
      </c>
      <c r="AR410" s="14">
        <f t="shared" si="357"/>
        <v>4</v>
      </c>
      <c r="AS410" s="14" t="str">
        <f t="shared" si="358"/>
        <v>夏侯渊魂火-42</v>
      </c>
      <c r="AT410" s="14">
        <f t="shared" si="359"/>
        <v>42</v>
      </c>
      <c r="AU410" s="14" t="str">
        <f>IF(AM410&gt;0,INDEX(挂机升级突破!$DT$4:$ED$4,AM410),"")</f>
        <v>金币</v>
      </c>
      <c r="AV410" s="14">
        <f>ROUND(INDEX(挂机升级突破!$DJ$6:$DJ$57,卡牌消耗!AT410)*INDEX(卡牌消耗!$B$8:$F$8,AR410)/$Q$4/50,0)*50</f>
        <v>44300</v>
      </c>
      <c r="AW410" s="14" t="str">
        <f>IF(AN410&gt;0,INDEX(挂机升级突破!$DT$4:$ED$4,AN410),"")</f>
        <v>红色基础材料</v>
      </c>
      <c r="AX410" s="14">
        <f>ROUND(INDEX(挂机升级突破!$DT$6:$ED$57,卡牌消耗!AT410,AN410)*INDEX(卡牌消耗!$B$5:$F$5,AR410)/$Q$4/5,0)*5</f>
        <v>10</v>
      </c>
      <c r="AY410" s="14" t="str">
        <f>IF(AO410&gt;0,INDEX(挂机升级突破!$DT$4:$ED$4,AO410),"")</f>
        <v>灵玉</v>
      </c>
      <c r="AZ410" s="14">
        <f>IF(AO410&gt;0,ROUND(INDEX(挂机升级突破!$DT$6:$ED$57,卡牌消耗!AT410,AO410)*INDEX(卡牌消耗!$B$7:$F$7,AR410)/$Q$4,0),"")</f>
        <v>3</v>
      </c>
      <c r="BA410" s="106"/>
      <c r="BB410" s="197"/>
      <c r="BC410" s="197"/>
      <c r="BD410" s="197"/>
      <c r="BE410" s="197"/>
      <c r="BF410" s="197"/>
      <c r="BG410" s="197"/>
      <c r="BH410" s="197"/>
      <c r="BI410" s="197"/>
      <c r="BJ410" s="197"/>
      <c r="BK410" s="197"/>
      <c r="BL410" s="104">
        <v>406</v>
      </c>
      <c r="BM410" s="14">
        <f t="shared" si="360"/>
        <v>21</v>
      </c>
      <c r="BN410" s="14">
        <f>INDEX(挂机升级突破!$EI$7:$EI$26,BS410)</f>
        <v>5</v>
      </c>
      <c r="BO410" s="14">
        <f>INDEX(挂机升级突破!$EJ$7:$EJ$26,BS410)</f>
        <v>1</v>
      </c>
      <c r="BP410" s="14">
        <f t="shared" si="361"/>
        <v>3</v>
      </c>
      <c r="BQ410" s="14">
        <f>INDEX(挂机升级突破!$EH$7:$EH$26,卡牌消耗!BS410)</f>
        <v>42</v>
      </c>
      <c r="BR410" s="14" t="str">
        <f t="shared" si="362"/>
        <v>烈风螳螂</v>
      </c>
      <c r="BS410" s="14">
        <f t="shared" si="363"/>
        <v>6</v>
      </c>
      <c r="BT410" s="14" t="str">
        <f t="shared" si="364"/>
        <v>烈风螳螂6突</v>
      </c>
      <c r="BU410" s="14" t="str">
        <f>IF(BN410&gt;0,INDEX(挂机升级突破!$ER$5:$EV$5,卡牌消耗!BN410),"")</f>
        <v>金币</v>
      </c>
      <c r="BV410" s="14">
        <f>IF(BN410&gt;0,ROUND(INDEX(挂机升级突破!$EV$7:$EV$26,卡牌消耗!BS410)*INDEX(卡牌消耗!$B$8:$F$8,BP410)/$Q$4/500,0)*500,"")</f>
        <v>5000</v>
      </c>
      <c r="BW410" s="14" t="str">
        <f>IF(BO410&gt;0,INDEX(挂机升级突破!$ER$5:$EV$5,卡牌消耗!BO410),"")</f>
        <v>玄铁</v>
      </c>
      <c r="BX410" s="14">
        <f>IF(BO410&gt;0,ROUND(INDEX(挂机升级突破!$ER$7:$EU$26,卡牌消耗!BS410,卡牌消耗!BO410)*INDEX($B$6:$F$6,BP410)/$Q$4/5,0)*5,"")</f>
        <v>50</v>
      </c>
      <c r="BY410" s="193"/>
      <c r="BZ410" s="193"/>
      <c r="CA410" s="106"/>
      <c r="CS410" s="171"/>
      <c r="CT410" s="171"/>
      <c r="CU410" s="171"/>
    </row>
    <row r="411" spans="8:99" ht="16.5" x14ac:dyDescent="0.2">
      <c r="H411" s="15"/>
      <c r="I411" s="15"/>
      <c r="J411" s="15"/>
      <c r="K411" s="15"/>
      <c r="L411" s="15"/>
      <c r="M411" s="15"/>
      <c r="N411" s="15"/>
      <c r="O411" s="137"/>
      <c r="P411" s="141"/>
      <c r="Q411" s="141"/>
      <c r="R411" s="141"/>
      <c r="S411" s="141"/>
      <c r="T411" s="141"/>
      <c r="U411" s="141"/>
      <c r="V411" s="141"/>
      <c r="W411" s="141"/>
      <c r="X411" s="141"/>
      <c r="Y411" s="141"/>
      <c r="Z411" s="141"/>
      <c r="AA411" s="194"/>
      <c r="AB411" s="194"/>
      <c r="AC411" s="194"/>
      <c r="AD411" s="194"/>
      <c r="AE411" s="194"/>
      <c r="AF411" s="194"/>
      <c r="AG411" s="197"/>
      <c r="AH411" s="194"/>
      <c r="AI411" s="194"/>
      <c r="AJ411" s="194"/>
      <c r="AK411" s="104">
        <v>407</v>
      </c>
      <c r="AL411" s="14">
        <f t="shared" si="355"/>
        <v>8</v>
      </c>
      <c r="AM411" s="14">
        <f>INDEX(挂机升级突破!DQ$6:DQ$57,卡牌消耗!$AT411)</f>
        <v>11</v>
      </c>
      <c r="AN411" s="14">
        <f>INDEX(挂机升级突破!DR$6:DR$57,卡牌消耗!$AT411)</f>
        <v>5</v>
      </c>
      <c r="AO411" s="14">
        <f>INDEX(挂机升级突破!DS$6:DS$57,卡牌消耗!$AT411)</f>
        <v>10</v>
      </c>
      <c r="AP411" s="14">
        <f>INDEX(挂机升级突破!$DP$6:$DP$57,卡牌消耗!AT411)</f>
        <v>125</v>
      </c>
      <c r="AQ411" s="14" t="str">
        <f t="shared" si="356"/>
        <v>夏侯渊</v>
      </c>
      <c r="AR411" s="14">
        <f t="shared" si="357"/>
        <v>4</v>
      </c>
      <c r="AS411" s="14" t="str">
        <f t="shared" si="358"/>
        <v>夏侯渊魂火-43</v>
      </c>
      <c r="AT411" s="14">
        <f t="shared" si="359"/>
        <v>43</v>
      </c>
      <c r="AU411" s="14" t="str">
        <f>IF(AM411&gt;0,INDEX(挂机升级突破!$DT$4:$ED$4,AM411),"")</f>
        <v>金币</v>
      </c>
      <c r="AV411" s="14">
        <f>ROUND(INDEX(挂机升级突破!$DJ$6:$DJ$57,卡牌消耗!AT411)*INDEX(卡牌消耗!$B$8:$F$8,AR411)/$Q$4/50,0)*50</f>
        <v>44300</v>
      </c>
      <c r="AW411" s="14" t="str">
        <f>IF(AN411&gt;0,INDEX(挂机升级突破!$DT$4:$ED$4,AN411),"")</f>
        <v>红色基础材料</v>
      </c>
      <c r="AX411" s="14">
        <f>ROUND(INDEX(挂机升级突破!$DT$6:$ED$57,卡牌消耗!AT411,AN411)*INDEX(卡牌消耗!$B$5:$F$5,AR411)/$Q$4/5,0)*5</f>
        <v>10</v>
      </c>
      <c r="AY411" s="14" t="str">
        <f>IF(AO411&gt;0,INDEX(挂机升级突破!$DT$4:$ED$4,AO411),"")</f>
        <v>灵玉</v>
      </c>
      <c r="AZ411" s="14">
        <f>IF(AO411&gt;0,ROUND(INDEX(挂机升级突破!$DT$6:$ED$57,卡牌消耗!AT411,AO411)*INDEX(卡牌消耗!$B$7:$F$7,AR411)/$Q$4,0),"")</f>
        <v>3</v>
      </c>
      <c r="BA411" s="106"/>
      <c r="BB411" s="197"/>
      <c r="BC411" s="197"/>
      <c r="BD411" s="197"/>
      <c r="BE411" s="197"/>
      <c r="BF411" s="197"/>
      <c r="BG411" s="197"/>
      <c r="BH411" s="197"/>
      <c r="BI411" s="197"/>
      <c r="BJ411" s="197"/>
      <c r="BK411" s="197"/>
      <c r="BL411" s="104">
        <v>407</v>
      </c>
      <c r="BM411" s="14">
        <f t="shared" si="360"/>
        <v>21</v>
      </c>
      <c r="BN411" s="14">
        <f>INDEX(挂机升级突破!$EI$7:$EI$26,BS411)</f>
        <v>5</v>
      </c>
      <c r="BO411" s="14">
        <f>INDEX(挂机升级突破!$EJ$7:$EJ$26,BS411)</f>
        <v>1</v>
      </c>
      <c r="BP411" s="14">
        <f t="shared" si="361"/>
        <v>3</v>
      </c>
      <c r="BQ411" s="14">
        <f>INDEX(挂机升级突破!$EH$7:$EH$26,卡牌消耗!BS411)</f>
        <v>47</v>
      </c>
      <c r="BR411" s="14" t="str">
        <f t="shared" si="362"/>
        <v>烈风螳螂</v>
      </c>
      <c r="BS411" s="14">
        <f t="shared" si="363"/>
        <v>7</v>
      </c>
      <c r="BT411" s="14" t="str">
        <f t="shared" si="364"/>
        <v>烈风螳螂7突</v>
      </c>
      <c r="BU411" s="14" t="str">
        <f>IF(BN411&gt;0,INDEX(挂机升级突破!$ER$5:$EV$5,卡牌消耗!BN411),"")</f>
        <v>金币</v>
      </c>
      <c r="BV411" s="14">
        <f>IF(BN411&gt;0,ROUND(INDEX(挂机升级突破!$EV$7:$EV$26,卡牌消耗!BS411)*INDEX(卡牌消耗!$B$8:$F$8,BP411)/$Q$4/500,0)*500,"")</f>
        <v>8000</v>
      </c>
      <c r="BW411" s="14" t="str">
        <f>IF(BO411&gt;0,INDEX(挂机升级突破!$ER$5:$EV$5,卡牌消耗!BO411),"")</f>
        <v>玄铁</v>
      </c>
      <c r="BX411" s="14">
        <f>IF(BO411&gt;0,ROUND(INDEX(挂机升级突破!$ER$7:$EU$26,卡牌消耗!BS411,卡牌消耗!BO411)*INDEX($B$6:$F$6,BP411)/$Q$4/5,0)*5,"")</f>
        <v>85</v>
      </c>
      <c r="BY411" s="193"/>
      <c r="BZ411" s="193"/>
      <c r="CA411" s="106"/>
      <c r="CS411" s="171"/>
      <c r="CT411" s="171"/>
      <c r="CU411" s="171"/>
    </row>
    <row r="412" spans="8:99" ht="16.5" x14ac:dyDescent="0.2">
      <c r="H412" s="15"/>
      <c r="I412" s="15"/>
      <c r="J412" s="15"/>
      <c r="K412" s="15"/>
      <c r="L412" s="15"/>
      <c r="M412" s="15"/>
      <c r="N412" s="15"/>
      <c r="O412" s="137"/>
      <c r="P412" s="141"/>
      <c r="Q412" s="141"/>
      <c r="R412" s="141"/>
      <c r="S412" s="141"/>
      <c r="T412" s="141"/>
      <c r="U412" s="141"/>
      <c r="V412" s="141"/>
      <c r="W412" s="141"/>
      <c r="X412" s="141"/>
      <c r="Y412" s="141"/>
      <c r="Z412" s="141"/>
      <c r="AA412" s="194"/>
      <c r="AB412" s="194"/>
      <c r="AC412" s="194"/>
      <c r="AD412" s="194"/>
      <c r="AE412" s="194"/>
      <c r="AF412" s="194"/>
      <c r="AG412" s="197"/>
      <c r="AH412" s="194"/>
      <c r="AI412" s="194"/>
      <c r="AJ412" s="194"/>
      <c r="AK412" s="104">
        <v>408</v>
      </c>
      <c r="AL412" s="14">
        <f t="shared" si="355"/>
        <v>8</v>
      </c>
      <c r="AM412" s="14">
        <f>INDEX(挂机升级突破!DQ$6:DQ$57,卡牌消耗!$AT412)</f>
        <v>11</v>
      </c>
      <c r="AN412" s="14">
        <f>INDEX(挂机升级突破!DR$6:DR$57,卡牌消耗!$AT412)</f>
        <v>5</v>
      </c>
      <c r="AO412" s="14">
        <f>INDEX(挂机升级突破!DS$6:DS$57,卡牌消耗!$AT412)</f>
        <v>10</v>
      </c>
      <c r="AP412" s="14">
        <f>INDEX(挂机升级突破!$DP$6:$DP$57,卡牌消耗!AT412)</f>
        <v>128</v>
      </c>
      <c r="AQ412" s="14" t="str">
        <f t="shared" si="356"/>
        <v>夏侯渊</v>
      </c>
      <c r="AR412" s="14">
        <f t="shared" si="357"/>
        <v>4</v>
      </c>
      <c r="AS412" s="14" t="str">
        <f t="shared" si="358"/>
        <v>夏侯渊魂火-44</v>
      </c>
      <c r="AT412" s="14">
        <f t="shared" si="359"/>
        <v>44</v>
      </c>
      <c r="AU412" s="14" t="str">
        <f>IF(AM412&gt;0,INDEX(挂机升级突破!$DT$4:$ED$4,AM412),"")</f>
        <v>金币</v>
      </c>
      <c r="AV412" s="14">
        <f>ROUND(INDEX(挂机升级突破!$DJ$6:$DJ$57,卡牌消耗!AT412)*INDEX(卡牌消耗!$B$8:$F$8,AR412)/$Q$4/50,0)*50</f>
        <v>56400</v>
      </c>
      <c r="AW412" s="14" t="str">
        <f>IF(AN412&gt;0,INDEX(挂机升级突破!$DT$4:$ED$4,AN412),"")</f>
        <v>红色基础材料</v>
      </c>
      <c r="AX412" s="14">
        <f>ROUND(INDEX(挂机升级突破!$DT$6:$ED$57,卡牌消耗!AT412,AN412)*INDEX(卡牌消耗!$B$5:$F$5,AR412)/$Q$4/5,0)*5</f>
        <v>15</v>
      </c>
      <c r="AY412" s="14" t="str">
        <f>IF(AO412&gt;0,INDEX(挂机升级突破!$DT$4:$ED$4,AO412),"")</f>
        <v>灵玉</v>
      </c>
      <c r="AZ412" s="14">
        <f>IF(AO412&gt;0,ROUND(INDEX(挂机升级突破!$DT$6:$ED$57,卡牌消耗!AT412,AO412)*INDEX(卡牌消耗!$B$7:$F$7,AR412)/$Q$4,0),"")</f>
        <v>3</v>
      </c>
      <c r="BA412" s="106"/>
      <c r="BB412" s="197"/>
      <c r="BC412" s="197"/>
      <c r="BD412" s="197"/>
      <c r="BE412" s="197"/>
      <c r="BF412" s="197"/>
      <c r="BG412" s="197"/>
      <c r="BH412" s="197"/>
      <c r="BI412" s="197"/>
      <c r="BJ412" s="197"/>
      <c r="BK412" s="197"/>
      <c r="BL412" s="104">
        <v>408</v>
      </c>
      <c r="BM412" s="14">
        <f t="shared" si="360"/>
        <v>21</v>
      </c>
      <c r="BN412" s="14">
        <f>INDEX(挂机升级突破!$EI$7:$EI$26,BS412)</f>
        <v>5</v>
      </c>
      <c r="BO412" s="14">
        <f>INDEX(挂机升级突破!$EJ$7:$EJ$26,BS412)</f>
        <v>1</v>
      </c>
      <c r="BP412" s="14">
        <f t="shared" si="361"/>
        <v>3</v>
      </c>
      <c r="BQ412" s="14">
        <f>INDEX(挂机升级突破!$EH$7:$EH$26,卡牌消耗!BS412)</f>
        <v>52</v>
      </c>
      <c r="BR412" s="14" t="str">
        <f t="shared" si="362"/>
        <v>烈风螳螂</v>
      </c>
      <c r="BS412" s="14">
        <f t="shared" si="363"/>
        <v>8</v>
      </c>
      <c r="BT412" s="14" t="str">
        <f t="shared" si="364"/>
        <v>烈风螳螂8突</v>
      </c>
      <c r="BU412" s="14" t="str">
        <f>IF(BN412&gt;0,INDEX(挂机升级突破!$ER$5:$EV$5,卡牌消耗!BN412),"")</f>
        <v>金币</v>
      </c>
      <c r="BV412" s="14">
        <f>IF(BN412&gt;0,ROUND(INDEX(挂机升级突破!$EV$7:$EV$26,卡牌消耗!BS412)*INDEX(卡牌消耗!$B$8:$F$8,BP412)/$Q$4/500,0)*500,"")</f>
        <v>8000</v>
      </c>
      <c r="BW412" s="14" t="str">
        <f>IF(BO412&gt;0,INDEX(挂机升级突破!$ER$5:$EV$5,卡牌消耗!BO412),"")</f>
        <v>玄铁</v>
      </c>
      <c r="BX412" s="14">
        <f>IF(BO412&gt;0,ROUND(INDEX(挂机升级突破!$ER$7:$EU$26,卡牌消耗!BS412,卡牌消耗!BO412)*INDEX($B$6:$F$6,BP412)/$Q$4/5,0)*5,"")</f>
        <v>150</v>
      </c>
      <c r="BY412" s="193"/>
      <c r="BZ412" s="193"/>
      <c r="CA412" s="106"/>
      <c r="CS412" s="171"/>
      <c r="CT412" s="171"/>
      <c r="CU412" s="171"/>
    </row>
    <row r="413" spans="8:99" ht="16.5" x14ac:dyDescent="0.2">
      <c r="H413" s="15"/>
      <c r="I413" s="15"/>
      <c r="J413" s="15"/>
      <c r="K413" s="15"/>
      <c r="L413" s="15"/>
      <c r="M413" s="15"/>
      <c r="N413" s="15"/>
      <c r="O413" s="137"/>
      <c r="P413" s="141"/>
      <c r="Q413" s="141"/>
      <c r="R413" s="141"/>
      <c r="S413" s="141"/>
      <c r="T413" s="141"/>
      <c r="U413" s="141"/>
      <c r="V413" s="141"/>
      <c r="W413" s="141"/>
      <c r="X413" s="141"/>
      <c r="Y413" s="141"/>
      <c r="Z413" s="141"/>
      <c r="AA413" s="194"/>
      <c r="AB413" s="194"/>
      <c r="AC413" s="194"/>
      <c r="AD413" s="194"/>
      <c r="AE413" s="194"/>
      <c r="AF413" s="194"/>
      <c r="AG413" s="197"/>
      <c r="AH413" s="194"/>
      <c r="AI413" s="194"/>
      <c r="AJ413" s="194"/>
      <c r="AK413" s="104">
        <v>409</v>
      </c>
      <c r="AL413" s="14">
        <f t="shared" si="355"/>
        <v>8</v>
      </c>
      <c r="AM413" s="14">
        <f>INDEX(挂机升级突破!DQ$6:DQ$57,卡牌消耗!$AT413)</f>
        <v>11</v>
      </c>
      <c r="AN413" s="14">
        <f>INDEX(挂机升级突破!DR$6:DR$57,卡牌消耗!$AT413)</f>
        <v>5</v>
      </c>
      <c r="AO413" s="14">
        <f>INDEX(挂机升级突破!DS$6:DS$57,卡牌消耗!$AT413)</f>
        <v>10</v>
      </c>
      <c r="AP413" s="14">
        <f>INDEX(挂机升级突破!$DP$6:$DP$57,卡牌消耗!AT413)</f>
        <v>130</v>
      </c>
      <c r="AQ413" s="14" t="str">
        <f t="shared" si="356"/>
        <v>夏侯渊</v>
      </c>
      <c r="AR413" s="14">
        <f t="shared" si="357"/>
        <v>4</v>
      </c>
      <c r="AS413" s="14" t="str">
        <f t="shared" si="358"/>
        <v>夏侯渊魂火-45</v>
      </c>
      <c r="AT413" s="14">
        <f t="shared" si="359"/>
        <v>45</v>
      </c>
      <c r="AU413" s="14" t="str">
        <f>IF(AM413&gt;0,INDEX(挂机升级突破!$DT$4:$ED$4,AM413),"")</f>
        <v>金币</v>
      </c>
      <c r="AV413" s="14">
        <f>ROUND(INDEX(挂机升级突破!$DJ$6:$DJ$57,卡牌消耗!AT413)*INDEX(卡牌消耗!$B$8:$F$8,AR413)/$Q$4/50,0)*50</f>
        <v>56400</v>
      </c>
      <c r="AW413" s="14" t="str">
        <f>IF(AN413&gt;0,INDEX(挂机升级突破!$DT$4:$ED$4,AN413),"")</f>
        <v>红色基础材料</v>
      </c>
      <c r="AX413" s="14">
        <f>ROUND(INDEX(挂机升级突破!$DT$6:$ED$57,卡牌消耗!AT413,AN413)*INDEX(卡牌消耗!$B$5:$F$5,AR413)/$Q$4/5,0)*5</f>
        <v>15</v>
      </c>
      <c r="AY413" s="14" t="str">
        <f>IF(AO413&gt;0,INDEX(挂机升级突破!$DT$4:$ED$4,AO413),"")</f>
        <v>灵玉</v>
      </c>
      <c r="AZ413" s="14">
        <f>IF(AO413&gt;0,ROUND(INDEX(挂机升级突破!$DT$6:$ED$57,卡牌消耗!AT413,AO413)*INDEX(卡牌消耗!$B$7:$F$7,AR413)/$Q$4,0),"")</f>
        <v>3</v>
      </c>
      <c r="BA413" s="106"/>
      <c r="BB413" s="197"/>
      <c r="BC413" s="197"/>
      <c r="BD413" s="197"/>
      <c r="BE413" s="197"/>
      <c r="BF413" s="197"/>
      <c r="BG413" s="197"/>
      <c r="BH413" s="197"/>
      <c r="BI413" s="197"/>
      <c r="BJ413" s="197"/>
      <c r="BK413" s="197"/>
      <c r="BL413" s="104">
        <v>409</v>
      </c>
      <c r="BM413" s="14">
        <f t="shared" si="360"/>
        <v>21</v>
      </c>
      <c r="BN413" s="14">
        <f>INDEX(挂机升级突破!$EI$7:$EI$26,BS413)</f>
        <v>5</v>
      </c>
      <c r="BO413" s="14">
        <f>INDEX(挂机升级突破!$EJ$7:$EJ$26,BS413)</f>
        <v>2</v>
      </c>
      <c r="BP413" s="14">
        <f t="shared" si="361"/>
        <v>3</v>
      </c>
      <c r="BQ413" s="14">
        <f>INDEX(挂机升级突破!$EH$7:$EH$26,卡牌消耗!BS413)</f>
        <v>57</v>
      </c>
      <c r="BR413" s="14" t="str">
        <f t="shared" si="362"/>
        <v>烈风螳螂</v>
      </c>
      <c r="BS413" s="14">
        <f t="shared" si="363"/>
        <v>9</v>
      </c>
      <c r="BT413" s="14" t="str">
        <f t="shared" si="364"/>
        <v>烈风螳螂9突</v>
      </c>
      <c r="BU413" s="14" t="str">
        <f>IF(BN413&gt;0,INDEX(挂机升级突破!$ER$5:$EV$5,卡牌消耗!BN413),"")</f>
        <v>金币</v>
      </c>
      <c r="BV413" s="14">
        <f>IF(BN413&gt;0,ROUND(INDEX(挂机升级突破!$EV$7:$EV$26,卡牌消耗!BS413)*INDEX(卡牌消耗!$B$8:$F$8,BP413)/$Q$4/500,0)*500,"")</f>
        <v>11000</v>
      </c>
      <c r="BW413" s="14" t="str">
        <f>IF(BO413&gt;0,INDEX(挂机升级突破!$ER$5:$EV$5,卡牌消耗!BO413),"")</f>
        <v>乌金</v>
      </c>
      <c r="BX413" s="14">
        <f>IF(BO413&gt;0,ROUND(INDEX(挂机升级突破!$ER$7:$EU$26,卡牌消耗!BS413,卡牌消耗!BO413)*INDEX($B$6:$F$6,BP413)/$Q$4/5,0)*5,"")</f>
        <v>50</v>
      </c>
      <c r="BY413" s="193"/>
      <c r="BZ413" s="193"/>
      <c r="CA413" s="106"/>
      <c r="CS413" s="171"/>
      <c r="CT413" s="171"/>
      <c r="CU413" s="171"/>
    </row>
    <row r="414" spans="8:99" ht="16.5" x14ac:dyDescent="0.2">
      <c r="H414" s="15"/>
      <c r="I414" s="15"/>
      <c r="J414" s="15"/>
      <c r="K414" s="15"/>
      <c r="L414" s="15"/>
      <c r="M414" s="15"/>
      <c r="N414" s="15"/>
      <c r="O414" s="137"/>
      <c r="P414" s="141"/>
      <c r="Q414" s="141"/>
      <c r="R414" s="141"/>
      <c r="S414" s="141"/>
      <c r="T414" s="141"/>
      <c r="U414" s="141"/>
      <c r="V414" s="141"/>
      <c r="W414" s="141"/>
      <c r="X414" s="141"/>
      <c r="Y414" s="141"/>
      <c r="Z414" s="141"/>
      <c r="AA414" s="194"/>
      <c r="AB414" s="194"/>
      <c r="AC414" s="194"/>
      <c r="AD414" s="194"/>
      <c r="AE414" s="194"/>
      <c r="AF414" s="194"/>
      <c r="AG414" s="197"/>
      <c r="AH414" s="194"/>
      <c r="AI414" s="194"/>
      <c r="AJ414" s="194"/>
      <c r="AK414" s="104">
        <v>410</v>
      </c>
      <c r="AL414" s="14">
        <f t="shared" si="355"/>
        <v>8</v>
      </c>
      <c r="AM414" s="14">
        <f>INDEX(挂机升级突破!DQ$6:DQ$57,卡牌消耗!$AT414)</f>
        <v>11</v>
      </c>
      <c r="AN414" s="14">
        <f>INDEX(挂机升级突破!DR$6:DR$57,卡牌消耗!$AT414)</f>
        <v>5</v>
      </c>
      <c r="AO414" s="14">
        <f>INDEX(挂机升级突破!DS$6:DS$57,卡牌消耗!$AT414)</f>
        <v>10</v>
      </c>
      <c r="AP414" s="14">
        <f>INDEX(挂机升级突破!$DP$6:$DP$57,卡牌消耗!AT414)</f>
        <v>133</v>
      </c>
      <c r="AQ414" s="14" t="str">
        <f t="shared" si="356"/>
        <v>夏侯渊</v>
      </c>
      <c r="AR414" s="14">
        <f t="shared" si="357"/>
        <v>4</v>
      </c>
      <c r="AS414" s="14" t="str">
        <f t="shared" si="358"/>
        <v>夏侯渊魂火-46</v>
      </c>
      <c r="AT414" s="14">
        <f t="shared" si="359"/>
        <v>46</v>
      </c>
      <c r="AU414" s="14" t="str">
        <f>IF(AM414&gt;0,INDEX(挂机升级突破!$DT$4:$ED$4,AM414),"")</f>
        <v>金币</v>
      </c>
      <c r="AV414" s="14">
        <f>ROUND(INDEX(挂机升级突破!$DJ$6:$DJ$57,卡牌消耗!AT414)*INDEX(卡牌消耗!$B$8:$F$8,AR414)/$Q$4/50,0)*50</f>
        <v>60450</v>
      </c>
      <c r="AW414" s="14" t="str">
        <f>IF(AN414&gt;0,INDEX(挂机升级突破!$DT$4:$ED$4,AN414),"")</f>
        <v>红色基础材料</v>
      </c>
      <c r="AX414" s="14">
        <f>ROUND(INDEX(挂机升级突破!$DT$6:$ED$57,卡牌消耗!AT414,AN414)*INDEX(卡牌消耗!$B$5:$F$5,AR414)/$Q$4/5,0)*5</f>
        <v>15</v>
      </c>
      <c r="AY414" s="14" t="str">
        <f>IF(AO414&gt;0,INDEX(挂机升级突破!$DT$4:$ED$4,AO414),"")</f>
        <v>灵玉</v>
      </c>
      <c r="AZ414" s="14">
        <f>IF(AO414&gt;0,ROUND(INDEX(挂机升级突破!$DT$6:$ED$57,卡牌消耗!AT414,AO414)*INDEX(卡牌消耗!$B$7:$F$7,AR414)/$Q$4,0),"")</f>
        <v>3</v>
      </c>
      <c r="BA414" s="106"/>
      <c r="BB414" s="197"/>
      <c r="BC414" s="197"/>
      <c r="BD414" s="197"/>
      <c r="BE414" s="197"/>
      <c r="BF414" s="197"/>
      <c r="BG414" s="197"/>
      <c r="BH414" s="197"/>
      <c r="BI414" s="197"/>
      <c r="BJ414" s="197"/>
      <c r="BK414" s="197"/>
      <c r="BL414" s="104">
        <v>410</v>
      </c>
      <c r="BM414" s="14">
        <f t="shared" si="360"/>
        <v>21</v>
      </c>
      <c r="BN414" s="14">
        <f>INDEX(挂机升级突破!$EI$7:$EI$26,BS414)</f>
        <v>5</v>
      </c>
      <c r="BO414" s="14">
        <f>INDEX(挂机升级突破!$EJ$7:$EJ$26,BS414)</f>
        <v>2</v>
      </c>
      <c r="BP414" s="14">
        <f t="shared" si="361"/>
        <v>3</v>
      </c>
      <c r="BQ414" s="14">
        <f>INDEX(挂机升级突破!$EH$7:$EH$26,卡牌消耗!BS414)</f>
        <v>65</v>
      </c>
      <c r="BR414" s="14" t="str">
        <f t="shared" si="362"/>
        <v>烈风螳螂</v>
      </c>
      <c r="BS414" s="14">
        <f t="shared" si="363"/>
        <v>10</v>
      </c>
      <c r="BT414" s="14" t="str">
        <f t="shared" si="364"/>
        <v>烈风螳螂10突</v>
      </c>
      <c r="BU414" s="14" t="str">
        <f>IF(BN414&gt;0,INDEX(挂机升级突破!$ER$5:$EV$5,卡牌消耗!BN414),"")</f>
        <v>金币</v>
      </c>
      <c r="BV414" s="14">
        <f>IF(BN414&gt;0,ROUND(INDEX(挂机升级突破!$EV$7:$EV$26,卡牌消耗!BS414)*INDEX(卡牌消耗!$B$8:$F$8,BP414)/$Q$4/500,0)*500,"")</f>
        <v>19000</v>
      </c>
      <c r="BW414" s="14" t="str">
        <f>IF(BO414&gt;0,INDEX(挂机升级突破!$ER$5:$EV$5,卡牌消耗!BO414),"")</f>
        <v>乌金</v>
      </c>
      <c r="BX414" s="14">
        <f>IF(BO414&gt;0,ROUND(INDEX(挂机升级突破!$ER$7:$EU$26,卡牌消耗!BS414,卡牌消耗!BO414)*INDEX($B$6:$F$6,BP414)/$Q$4/5,0)*5,"")</f>
        <v>70</v>
      </c>
      <c r="BY414" s="193"/>
      <c r="BZ414" s="193"/>
      <c r="CA414" s="106"/>
      <c r="CS414" s="171"/>
      <c r="CT414" s="171"/>
      <c r="CU414" s="171"/>
    </row>
    <row r="415" spans="8:99" ht="16.5" x14ac:dyDescent="0.2">
      <c r="H415" s="15"/>
      <c r="I415" s="15"/>
      <c r="J415" s="15"/>
      <c r="K415" s="15"/>
      <c r="L415" s="15"/>
      <c r="M415" s="15"/>
      <c r="N415" s="15"/>
      <c r="O415" s="137"/>
      <c r="P415" s="141"/>
      <c r="Q415" s="141"/>
      <c r="R415" s="141"/>
      <c r="S415" s="141"/>
      <c r="T415" s="141"/>
      <c r="U415" s="141"/>
      <c r="V415" s="141"/>
      <c r="W415" s="141"/>
      <c r="X415" s="141"/>
      <c r="Y415" s="141"/>
      <c r="Z415" s="141"/>
      <c r="AA415" s="194"/>
      <c r="AB415" s="194"/>
      <c r="AC415" s="194"/>
      <c r="AD415" s="194"/>
      <c r="AE415" s="194"/>
      <c r="AF415" s="194"/>
      <c r="AG415" s="197"/>
      <c r="AH415" s="194"/>
      <c r="AI415" s="194"/>
      <c r="AJ415" s="194"/>
      <c r="AK415" s="104">
        <v>411</v>
      </c>
      <c r="AL415" s="14">
        <f t="shared" si="355"/>
        <v>8</v>
      </c>
      <c r="AM415" s="14">
        <f>INDEX(挂机升级突破!DQ$6:DQ$57,卡牌消耗!$AT415)</f>
        <v>11</v>
      </c>
      <c r="AN415" s="14">
        <f>INDEX(挂机升级突破!DR$6:DR$57,卡牌消耗!$AT415)</f>
        <v>5</v>
      </c>
      <c r="AO415" s="14">
        <f>INDEX(挂机升级突破!DS$6:DS$57,卡牌消耗!$AT415)</f>
        <v>10</v>
      </c>
      <c r="AP415" s="14">
        <f>INDEX(挂机升级突破!$DP$6:$DP$57,卡牌消耗!AT415)</f>
        <v>135</v>
      </c>
      <c r="AQ415" s="14" t="str">
        <f t="shared" si="356"/>
        <v>夏侯渊</v>
      </c>
      <c r="AR415" s="14">
        <f t="shared" si="357"/>
        <v>4</v>
      </c>
      <c r="AS415" s="14" t="str">
        <f t="shared" si="358"/>
        <v>夏侯渊魂火-47</v>
      </c>
      <c r="AT415" s="14">
        <f t="shared" si="359"/>
        <v>47</v>
      </c>
      <c r="AU415" s="14" t="str">
        <f>IF(AM415&gt;0,INDEX(挂机升级突破!$DT$4:$ED$4,AM415),"")</f>
        <v>金币</v>
      </c>
      <c r="AV415" s="14">
        <f>ROUND(INDEX(挂机升级突破!$DJ$6:$DJ$57,卡牌消耗!AT415)*INDEX(卡牌消耗!$B$8:$F$8,AR415)/$Q$4/50,0)*50</f>
        <v>123100</v>
      </c>
      <c r="AW415" s="14" t="str">
        <f>IF(AN415&gt;0,INDEX(挂机升级突破!$DT$4:$ED$4,AN415),"")</f>
        <v>红色基础材料</v>
      </c>
      <c r="AX415" s="14">
        <f>ROUND(INDEX(挂机升级突破!$DT$6:$ED$57,卡牌消耗!AT415,AN415)*INDEX(卡牌消耗!$B$5:$F$5,AR415)/$Q$4/5,0)*5</f>
        <v>15</v>
      </c>
      <c r="AY415" s="14" t="str">
        <f>IF(AO415&gt;0,INDEX(挂机升级突破!$DT$4:$ED$4,AO415),"")</f>
        <v>灵玉</v>
      </c>
      <c r="AZ415" s="14">
        <f>IF(AO415&gt;0,ROUND(INDEX(挂机升级突破!$DT$6:$ED$57,卡牌消耗!AT415,AO415)*INDEX(卡牌消耗!$B$7:$F$7,AR415)/$Q$4,0),"")</f>
        <v>3</v>
      </c>
      <c r="BA415" s="106"/>
      <c r="BB415" s="197"/>
      <c r="BC415" s="197"/>
      <c r="BD415" s="197"/>
      <c r="BE415" s="197"/>
      <c r="BF415" s="197"/>
      <c r="BG415" s="197"/>
      <c r="BH415" s="197"/>
      <c r="BI415" s="197"/>
      <c r="BJ415" s="197"/>
      <c r="BK415" s="197"/>
      <c r="BL415" s="104">
        <v>411</v>
      </c>
      <c r="BM415" s="14">
        <f t="shared" si="360"/>
        <v>21</v>
      </c>
      <c r="BN415" s="14">
        <f>INDEX(挂机升级突破!$EI$7:$EI$26,BS415)</f>
        <v>5</v>
      </c>
      <c r="BO415" s="14">
        <f>INDEX(挂机升级突破!$EJ$7:$EJ$26,BS415)</f>
        <v>2</v>
      </c>
      <c r="BP415" s="14">
        <f t="shared" si="361"/>
        <v>3</v>
      </c>
      <c r="BQ415" s="14">
        <f>INDEX(挂机升级突破!$EH$7:$EH$26,卡牌消耗!BS415)</f>
        <v>72</v>
      </c>
      <c r="BR415" s="14" t="str">
        <f t="shared" si="362"/>
        <v>烈风螳螂</v>
      </c>
      <c r="BS415" s="14">
        <f t="shared" si="363"/>
        <v>11</v>
      </c>
      <c r="BT415" s="14" t="str">
        <f t="shared" si="364"/>
        <v>烈风螳螂11突</v>
      </c>
      <c r="BU415" s="14" t="str">
        <f>IF(BN415&gt;0,INDEX(挂机升级突破!$ER$5:$EV$5,卡牌消耗!BN415),"")</f>
        <v>金币</v>
      </c>
      <c r="BV415" s="14">
        <f>IF(BN415&gt;0,ROUND(INDEX(挂机升级突破!$EV$7:$EV$26,卡牌消耗!BS415)*INDEX(卡牌消耗!$B$8:$F$8,BP415)/$Q$4/500,0)*500,"")</f>
        <v>19000</v>
      </c>
      <c r="BW415" s="14" t="str">
        <f>IF(BO415&gt;0,INDEX(挂机升级突破!$ER$5:$EV$5,卡牌消耗!BO415),"")</f>
        <v>乌金</v>
      </c>
      <c r="BX415" s="14">
        <f>IF(BO415&gt;0,ROUND(INDEX(挂机升级突破!$ER$7:$EU$26,卡牌消耗!BS415,卡牌消耗!BO415)*INDEX($B$6:$F$6,BP415)/$Q$4/5,0)*5,"")</f>
        <v>90</v>
      </c>
      <c r="BY415" s="193"/>
      <c r="BZ415" s="193"/>
      <c r="CA415" s="106"/>
      <c r="CS415" s="171"/>
      <c r="CT415" s="171"/>
      <c r="CU415" s="171"/>
    </row>
    <row r="416" spans="8:99" ht="16.5" x14ac:dyDescent="0.2">
      <c r="H416" s="15"/>
      <c r="I416" s="15"/>
      <c r="J416" s="15"/>
      <c r="K416" s="15"/>
      <c r="L416" s="15"/>
      <c r="M416" s="15"/>
      <c r="N416" s="15"/>
      <c r="O416" s="137"/>
      <c r="P416" s="141"/>
      <c r="Q416" s="141"/>
      <c r="R416" s="141"/>
      <c r="S416" s="141"/>
      <c r="T416" s="141"/>
      <c r="U416" s="141"/>
      <c r="V416" s="141"/>
      <c r="W416" s="141"/>
      <c r="X416" s="141"/>
      <c r="Y416" s="141"/>
      <c r="Z416" s="141"/>
      <c r="AA416" s="194"/>
      <c r="AB416" s="194"/>
      <c r="AC416" s="194"/>
      <c r="AD416" s="194"/>
      <c r="AE416" s="194"/>
      <c r="AF416" s="194"/>
      <c r="AG416" s="197"/>
      <c r="AH416" s="194"/>
      <c r="AI416" s="194"/>
      <c r="AJ416" s="194"/>
      <c r="AK416" s="104">
        <v>412</v>
      </c>
      <c r="AL416" s="14">
        <f t="shared" si="355"/>
        <v>8</v>
      </c>
      <c r="AM416" s="14">
        <f>INDEX(挂机升级突破!DQ$6:DQ$57,卡牌消耗!$AT416)</f>
        <v>11</v>
      </c>
      <c r="AN416" s="14">
        <f>INDEX(挂机升级突破!DR$6:DR$57,卡牌消耗!$AT416)</f>
        <v>5</v>
      </c>
      <c r="AO416" s="14">
        <f>INDEX(挂机升级突破!DS$6:DS$57,卡牌消耗!$AT416)</f>
        <v>10</v>
      </c>
      <c r="AP416" s="14">
        <f>INDEX(挂机升级突破!$DP$6:$DP$57,卡牌消耗!AT416)</f>
        <v>138</v>
      </c>
      <c r="AQ416" s="14" t="str">
        <f t="shared" si="356"/>
        <v>夏侯渊</v>
      </c>
      <c r="AR416" s="14">
        <f t="shared" si="357"/>
        <v>4</v>
      </c>
      <c r="AS416" s="14" t="str">
        <f t="shared" si="358"/>
        <v>夏侯渊魂火-48</v>
      </c>
      <c r="AT416" s="14">
        <f t="shared" si="359"/>
        <v>48</v>
      </c>
      <c r="AU416" s="14" t="str">
        <f>IF(AM416&gt;0,INDEX(挂机升级突破!$DT$4:$ED$4,AM416),"")</f>
        <v>金币</v>
      </c>
      <c r="AV416" s="14">
        <f>ROUND(INDEX(挂机升级突破!$DJ$6:$DJ$57,卡牌消耗!AT416)*INDEX(卡牌消耗!$B$8:$F$8,AR416)/$Q$4/50,0)*50</f>
        <v>123100</v>
      </c>
      <c r="AW416" s="14" t="str">
        <f>IF(AN416&gt;0,INDEX(挂机升级突破!$DT$4:$ED$4,AN416),"")</f>
        <v>红色基础材料</v>
      </c>
      <c r="AX416" s="14">
        <f>ROUND(INDEX(挂机升级突破!$DT$6:$ED$57,卡牌消耗!AT416,AN416)*INDEX(卡牌消耗!$B$5:$F$5,AR416)/$Q$4/5,0)*5</f>
        <v>15</v>
      </c>
      <c r="AY416" s="14" t="str">
        <f>IF(AO416&gt;0,INDEX(挂机升级突破!$DT$4:$ED$4,AO416),"")</f>
        <v>灵玉</v>
      </c>
      <c r="AZ416" s="14">
        <f>IF(AO416&gt;0,ROUND(INDEX(挂机升级突破!$DT$6:$ED$57,卡牌消耗!AT416,AO416)*INDEX(卡牌消耗!$B$7:$F$7,AR416)/$Q$4,0),"")</f>
        <v>3</v>
      </c>
      <c r="BA416" s="106"/>
      <c r="BB416" s="197"/>
      <c r="BC416" s="197"/>
      <c r="BD416" s="197"/>
      <c r="BE416" s="197"/>
      <c r="BF416" s="197"/>
      <c r="BG416" s="197"/>
      <c r="BH416" s="197"/>
      <c r="BI416" s="197"/>
      <c r="BJ416" s="197"/>
      <c r="BK416" s="197"/>
      <c r="BL416" s="104">
        <v>412</v>
      </c>
      <c r="BM416" s="14">
        <f t="shared" si="360"/>
        <v>21</v>
      </c>
      <c r="BN416" s="14">
        <f>INDEX(挂机升级突破!$EI$7:$EI$26,BS416)</f>
        <v>5</v>
      </c>
      <c r="BO416" s="14">
        <f>INDEX(挂机升级突破!$EJ$7:$EJ$26,BS416)</f>
        <v>2</v>
      </c>
      <c r="BP416" s="14">
        <f t="shared" si="361"/>
        <v>3</v>
      </c>
      <c r="BQ416" s="14">
        <f>INDEX(挂机升级突破!$EH$7:$EH$26,卡牌消耗!BS416)</f>
        <v>80</v>
      </c>
      <c r="BR416" s="14" t="str">
        <f t="shared" si="362"/>
        <v>烈风螳螂</v>
      </c>
      <c r="BS416" s="14">
        <f t="shared" si="363"/>
        <v>12</v>
      </c>
      <c r="BT416" s="14" t="str">
        <f t="shared" si="364"/>
        <v>烈风螳螂12突</v>
      </c>
      <c r="BU416" s="14" t="str">
        <f>IF(BN416&gt;0,INDEX(挂机升级突破!$ER$5:$EV$5,卡牌消耗!BN416),"")</f>
        <v>金币</v>
      </c>
      <c r="BV416" s="14">
        <f>IF(BN416&gt;0,ROUND(INDEX(挂机升级突破!$EV$7:$EV$26,卡牌消耗!BS416)*INDEX(卡牌消耗!$B$8:$F$8,BP416)/$Q$4/500,0)*500,"")</f>
        <v>25000</v>
      </c>
      <c r="BW416" s="14" t="str">
        <f>IF(BO416&gt;0,INDEX(挂机升级突破!$ER$5:$EV$5,卡牌消耗!BO416),"")</f>
        <v>乌金</v>
      </c>
      <c r="BX416" s="14">
        <f>IF(BO416&gt;0,ROUND(INDEX(挂机升级突破!$ER$7:$EU$26,卡牌消耗!BS416,卡牌消耗!BO416)*INDEX($B$6:$F$6,BP416)/$Q$4/5,0)*5,"")</f>
        <v>120</v>
      </c>
      <c r="BY416" s="193"/>
      <c r="BZ416" s="193"/>
      <c r="CA416" s="106"/>
      <c r="CS416" s="171"/>
      <c r="CT416" s="171"/>
      <c r="CU416" s="171"/>
    </row>
    <row r="417" spans="8:99" ht="16.5" x14ac:dyDescent="0.2">
      <c r="H417" s="15"/>
      <c r="I417" s="15"/>
      <c r="J417" s="15"/>
      <c r="K417" s="15"/>
      <c r="L417" s="15"/>
      <c r="M417" s="15"/>
      <c r="N417" s="15"/>
      <c r="O417" s="137"/>
      <c r="P417" s="141"/>
      <c r="Q417" s="141"/>
      <c r="R417" s="141"/>
      <c r="S417" s="141"/>
      <c r="T417" s="141"/>
      <c r="U417" s="141"/>
      <c r="V417" s="141"/>
      <c r="W417" s="141"/>
      <c r="X417" s="141"/>
      <c r="Y417" s="141"/>
      <c r="Z417" s="141"/>
      <c r="AA417" s="194"/>
      <c r="AB417" s="194"/>
      <c r="AC417" s="194"/>
      <c r="AD417" s="194"/>
      <c r="AE417" s="194"/>
      <c r="AF417" s="194"/>
      <c r="AG417" s="197"/>
      <c r="AH417" s="194"/>
      <c r="AI417" s="194"/>
      <c r="AJ417" s="194"/>
      <c r="AK417" s="104">
        <v>413</v>
      </c>
      <c r="AL417" s="14">
        <f t="shared" si="355"/>
        <v>8</v>
      </c>
      <c r="AM417" s="14">
        <f>INDEX(挂机升级突破!DQ$6:DQ$57,卡牌消耗!$AT417)</f>
        <v>11</v>
      </c>
      <c r="AN417" s="14">
        <f>INDEX(挂机升级突破!DR$6:DR$57,卡牌消耗!$AT417)</f>
        <v>5</v>
      </c>
      <c r="AO417" s="14">
        <f>INDEX(挂机升级突破!DS$6:DS$57,卡牌消耗!$AT417)</f>
        <v>10</v>
      </c>
      <c r="AP417" s="14">
        <f>INDEX(挂机升级突破!$DP$6:$DP$57,卡牌消耗!AT417)</f>
        <v>140</v>
      </c>
      <c r="AQ417" s="14" t="str">
        <f t="shared" si="356"/>
        <v>夏侯渊</v>
      </c>
      <c r="AR417" s="14">
        <f t="shared" si="357"/>
        <v>4</v>
      </c>
      <c r="AS417" s="14" t="str">
        <f t="shared" si="358"/>
        <v>夏侯渊魂火-49</v>
      </c>
      <c r="AT417" s="14">
        <f t="shared" si="359"/>
        <v>49</v>
      </c>
      <c r="AU417" s="14" t="str">
        <f>IF(AM417&gt;0,INDEX(挂机升级突破!$DT$4:$ED$4,AM417),"")</f>
        <v>金币</v>
      </c>
      <c r="AV417" s="14">
        <f>ROUND(INDEX(挂机升级突破!$DJ$6:$DJ$57,卡牌消耗!AT417)*INDEX(卡牌消耗!$B$8:$F$8,AR417)/$Q$4/50,0)*50</f>
        <v>123100</v>
      </c>
      <c r="AW417" s="14" t="str">
        <f>IF(AN417&gt;0,INDEX(挂机升级突破!$DT$4:$ED$4,AN417),"")</f>
        <v>红色基础材料</v>
      </c>
      <c r="AX417" s="14">
        <f>ROUND(INDEX(挂机升级突破!$DT$6:$ED$57,卡牌消耗!AT417,AN417)*INDEX(卡牌消耗!$B$5:$F$5,AR417)/$Q$4/5,0)*5</f>
        <v>15</v>
      </c>
      <c r="AY417" s="14" t="str">
        <f>IF(AO417&gt;0,INDEX(挂机升级突破!$DT$4:$ED$4,AO417),"")</f>
        <v>灵玉</v>
      </c>
      <c r="AZ417" s="14">
        <f>IF(AO417&gt;0,ROUND(INDEX(挂机升级突破!$DT$6:$ED$57,卡牌消耗!AT417,AO417)*INDEX(卡牌消耗!$B$7:$F$7,AR417)/$Q$4,0),"")</f>
        <v>3</v>
      </c>
      <c r="BA417" s="106"/>
      <c r="BB417" s="197"/>
      <c r="BC417" s="197"/>
      <c r="BD417" s="197"/>
      <c r="BE417" s="197"/>
      <c r="BF417" s="197"/>
      <c r="BG417" s="197"/>
      <c r="BH417" s="197"/>
      <c r="BI417" s="197"/>
      <c r="BJ417" s="197"/>
      <c r="BK417" s="197"/>
      <c r="BL417" s="104">
        <v>413</v>
      </c>
      <c r="BM417" s="14">
        <f t="shared" si="360"/>
        <v>21</v>
      </c>
      <c r="BN417" s="14">
        <f>INDEX(挂机升级突破!$EI$7:$EI$26,BS417)</f>
        <v>5</v>
      </c>
      <c r="BO417" s="14">
        <f>INDEX(挂机升级突破!$EJ$7:$EJ$26,BS417)</f>
        <v>3</v>
      </c>
      <c r="BP417" s="14">
        <f t="shared" si="361"/>
        <v>3</v>
      </c>
      <c r="BQ417" s="14">
        <f>INDEX(挂机升级突破!$EH$7:$EH$26,卡牌消耗!BS417)</f>
        <v>87</v>
      </c>
      <c r="BR417" s="14" t="str">
        <f t="shared" si="362"/>
        <v>烈风螳螂</v>
      </c>
      <c r="BS417" s="14">
        <f t="shared" si="363"/>
        <v>13</v>
      </c>
      <c r="BT417" s="14" t="str">
        <f t="shared" si="364"/>
        <v>烈风螳螂13突</v>
      </c>
      <c r="BU417" s="14" t="str">
        <f>IF(BN417&gt;0,INDEX(挂机升级突破!$ER$5:$EV$5,卡牌消耗!BN417),"")</f>
        <v>金币</v>
      </c>
      <c r="BV417" s="14">
        <f>IF(BN417&gt;0,ROUND(INDEX(挂机升级突破!$EV$7:$EV$26,卡牌消耗!BS417)*INDEX(卡牌消耗!$B$8:$F$8,BP417)/$Q$4/500,0)*500,"")</f>
        <v>33500</v>
      </c>
      <c r="BW417" s="14" t="str">
        <f>IF(BO417&gt;0,INDEX(挂机升级突破!$ER$5:$EV$5,卡牌消耗!BO417),"")</f>
        <v>银母</v>
      </c>
      <c r="BX417" s="14">
        <f>IF(BO417&gt;0,ROUND(INDEX(挂机升级突破!$ER$7:$EU$26,卡牌消耗!BS417,卡牌消耗!BO417)*INDEX($B$6:$F$6,BP417)/$Q$4/5,0)*5,"")</f>
        <v>40</v>
      </c>
      <c r="BY417" s="193"/>
      <c r="BZ417" s="193"/>
      <c r="CA417" s="106"/>
      <c r="CS417" s="171"/>
      <c r="CT417" s="171"/>
      <c r="CU417" s="171"/>
    </row>
    <row r="418" spans="8:99" ht="16.5" x14ac:dyDescent="0.2">
      <c r="H418" s="15"/>
      <c r="I418" s="15"/>
      <c r="J418" s="15"/>
      <c r="K418" s="15"/>
      <c r="L418" s="15"/>
      <c r="M418" s="15"/>
      <c r="N418" s="15"/>
      <c r="O418" s="137"/>
      <c r="P418" s="141"/>
      <c r="Q418" s="141"/>
      <c r="R418" s="141"/>
      <c r="S418" s="141"/>
      <c r="T418" s="141"/>
      <c r="U418" s="141"/>
      <c r="V418" s="141"/>
      <c r="W418" s="141"/>
      <c r="X418" s="141"/>
      <c r="Y418" s="141"/>
      <c r="Z418" s="141"/>
      <c r="AA418" s="194"/>
      <c r="AB418" s="194"/>
      <c r="AC418" s="194"/>
      <c r="AD418" s="194"/>
      <c r="AE418" s="194"/>
      <c r="AF418" s="194"/>
      <c r="AG418" s="197"/>
      <c r="AH418" s="194"/>
      <c r="AI418" s="194"/>
      <c r="AJ418" s="194"/>
      <c r="AK418" s="104">
        <v>414</v>
      </c>
      <c r="AL418" s="14">
        <f t="shared" si="355"/>
        <v>8</v>
      </c>
      <c r="AM418" s="14">
        <f>INDEX(挂机升级突破!DQ$6:DQ$57,卡牌消耗!$AT418)</f>
        <v>11</v>
      </c>
      <c r="AN418" s="14">
        <f>INDEX(挂机升级突破!DR$6:DR$57,卡牌消耗!$AT418)</f>
        <v>5</v>
      </c>
      <c r="AO418" s="14">
        <f>INDEX(挂机升级突破!DS$6:DS$57,卡牌消耗!$AT418)</f>
        <v>10</v>
      </c>
      <c r="AP418" s="14">
        <f>INDEX(挂机升级突破!$DP$6:$DP$57,卡牌消耗!AT418)</f>
        <v>143</v>
      </c>
      <c r="AQ418" s="14" t="str">
        <f t="shared" si="356"/>
        <v>夏侯渊</v>
      </c>
      <c r="AR418" s="14">
        <f t="shared" si="357"/>
        <v>4</v>
      </c>
      <c r="AS418" s="14" t="str">
        <f t="shared" si="358"/>
        <v>夏侯渊魂火-50</v>
      </c>
      <c r="AT418" s="14">
        <f t="shared" si="359"/>
        <v>50</v>
      </c>
      <c r="AU418" s="14" t="str">
        <f>IF(AM418&gt;0,INDEX(挂机升级突破!$DT$4:$ED$4,AM418),"")</f>
        <v>金币</v>
      </c>
      <c r="AV418" s="14">
        <f>ROUND(INDEX(挂机升级突破!$DJ$6:$DJ$57,卡牌消耗!AT418)*INDEX(卡牌消耗!$B$8:$F$8,AR418)/$Q$4/50,0)*50</f>
        <v>205150</v>
      </c>
      <c r="AW418" s="14" t="str">
        <f>IF(AN418&gt;0,INDEX(挂机升级突破!$DT$4:$ED$4,AN418),"")</f>
        <v>红色基础材料</v>
      </c>
      <c r="AX418" s="14">
        <f>ROUND(INDEX(挂机升级突破!$DT$6:$ED$57,卡牌消耗!AT418,AN418)*INDEX(卡牌消耗!$B$5:$F$5,AR418)/$Q$4/5,0)*5</f>
        <v>15</v>
      </c>
      <c r="AY418" s="14" t="str">
        <f>IF(AO418&gt;0,INDEX(挂机升级突破!$DT$4:$ED$4,AO418),"")</f>
        <v>灵玉</v>
      </c>
      <c r="AZ418" s="14">
        <f>IF(AO418&gt;0,ROUND(INDEX(挂机升级突破!$DT$6:$ED$57,卡牌消耗!AT418,AO418)*INDEX(卡牌消耗!$B$7:$F$7,AR418)/$Q$4,0),"")</f>
        <v>3</v>
      </c>
      <c r="BA418" s="106"/>
      <c r="BB418" s="197"/>
      <c r="BC418" s="197"/>
      <c r="BD418" s="197"/>
      <c r="BE418" s="197"/>
      <c r="BF418" s="197"/>
      <c r="BG418" s="197"/>
      <c r="BH418" s="197"/>
      <c r="BI418" s="197"/>
      <c r="BJ418" s="197"/>
      <c r="BK418" s="197"/>
      <c r="BL418" s="104">
        <v>414</v>
      </c>
      <c r="BM418" s="14">
        <f t="shared" si="360"/>
        <v>21</v>
      </c>
      <c r="BN418" s="14">
        <f>INDEX(挂机升级突破!$EI$7:$EI$26,BS418)</f>
        <v>5</v>
      </c>
      <c r="BO418" s="14">
        <f>INDEX(挂机升级突破!$EJ$7:$EJ$26,BS418)</f>
        <v>3</v>
      </c>
      <c r="BP418" s="14">
        <f t="shared" si="361"/>
        <v>3</v>
      </c>
      <c r="BQ418" s="14">
        <f>INDEX(挂机升级突破!$EH$7:$EH$26,卡牌消耗!BS418)</f>
        <v>95</v>
      </c>
      <c r="BR418" s="14" t="str">
        <f t="shared" si="362"/>
        <v>烈风螳螂</v>
      </c>
      <c r="BS418" s="14">
        <f t="shared" si="363"/>
        <v>14</v>
      </c>
      <c r="BT418" s="14" t="str">
        <f t="shared" si="364"/>
        <v>烈风螳螂14突</v>
      </c>
      <c r="BU418" s="14" t="str">
        <f>IF(BN418&gt;0,INDEX(挂机升级突破!$ER$5:$EV$5,卡牌消耗!BN418),"")</f>
        <v>金币</v>
      </c>
      <c r="BV418" s="14">
        <f>IF(BN418&gt;0,ROUND(INDEX(挂机升级突破!$EV$7:$EV$26,卡牌消耗!BS418)*INDEX(卡牌消耗!$B$8:$F$8,BP418)/$Q$4/500,0)*500,"")</f>
        <v>33500</v>
      </c>
      <c r="BW418" s="14" t="str">
        <f>IF(BO418&gt;0,INDEX(挂机升级突破!$ER$5:$EV$5,卡牌消耗!BO418),"")</f>
        <v>银母</v>
      </c>
      <c r="BX418" s="14">
        <f>IF(BO418&gt;0,ROUND(INDEX(挂机升级突破!$ER$7:$EU$26,卡牌消耗!BS418,卡牌消耗!BO418)*INDEX($B$6:$F$6,BP418)/$Q$4/5,0)*5,"")</f>
        <v>55</v>
      </c>
      <c r="BY418" s="193"/>
      <c r="BZ418" s="193"/>
      <c r="CA418" s="106"/>
      <c r="CS418" s="171"/>
      <c r="CT418" s="171"/>
      <c r="CU418" s="171"/>
    </row>
    <row r="419" spans="8:99" ht="16.5" x14ac:dyDescent="0.2">
      <c r="H419" s="15"/>
      <c r="I419" s="15"/>
      <c r="J419" s="15"/>
      <c r="K419" s="15"/>
      <c r="L419" s="15"/>
      <c r="M419" s="15"/>
      <c r="N419" s="15"/>
      <c r="O419" s="137"/>
      <c r="P419" s="141"/>
      <c r="Q419" s="141"/>
      <c r="R419" s="141"/>
      <c r="S419" s="141"/>
      <c r="T419" s="141"/>
      <c r="U419" s="141"/>
      <c r="V419" s="141"/>
      <c r="W419" s="141"/>
      <c r="X419" s="141"/>
      <c r="Y419" s="141"/>
      <c r="Z419" s="141"/>
      <c r="AA419" s="194"/>
      <c r="AB419" s="194"/>
      <c r="AC419" s="194"/>
      <c r="AD419" s="194"/>
      <c r="AE419" s="194"/>
      <c r="AF419" s="194"/>
      <c r="AG419" s="197"/>
      <c r="AH419" s="194"/>
      <c r="AI419" s="194"/>
      <c r="AJ419" s="194"/>
      <c r="AK419" s="104">
        <v>415</v>
      </c>
      <c r="AL419" s="14">
        <f t="shared" si="355"/>
        <v>8</v>
      </c>
      <c r="AM419" s="14">
        <f>INDEX(挂机升级突破!DQ$6:DQ$57,卡牌消耗!$AT419)</f>
        <v>11</v>
      </c>
      <c r="AN419" s="14">
        <f>INDEX(挂机升级突破!DR$6:DR$57,卡牌消耗!$AT419)</f>
        <v>5</v>
      </c>
      <c r="AO419" s="14">
        <f>INDEX(挂机升级突破!DS$6:DS$57,卡牌消耗!$AT419)</f>
        <v>10</v>
      </c>
      <c r="AP419" s="14">
        <f>INDEX(挂机升级突破!$DP$6:$DP$57,卡牌消耗!AT419)</f>
        <v>145</v>
      </c>
      <c r="AQ419" s="14" t="str">
        <f t="shared" si="356"/>
        <v>夏侯渊</v>
      </c>
      <c r="AR419" s="14">
        <f t="shared" si="357"/>
        <v>4</v>
      </c>
      <c r="AS419" s="14" t="str">
        <f t="shared" si="358"/>
        <v>夏侯渊魂火-51</v>
      </c>
      <c r="AT419" s="14">
        <f t="shared" si="359"/>
        <v>51</v>
      </c>
      <c r="AU419" s="14" t="str">
        <f>IF(AM419&gt;0,INDEX(挂机升级突破!$DT$4:$ED$4,AM419),"")</f>
        <v>金币</v>
      </c>
      <c r="AV419" s="14">
        <f>ROUND(INDEX(挂机升级突破!$DJ$6:$DJ$57,卡牌消耗!AT419)*INDEX(卡牌消耗!$B$8:$F$8,AR419)/$Q$4/50,0)*50</f>
        <v>225650</v>
      </c>
      <c r="AW419" s="14" t="str">
        <f>IF(AN419&gt;0,INDEX(挂机升级突破!$DT$4:$ED$4,AN419),"")</f>
        <v>红色基础材料</v>
      </c>
      <c r="AX419" s="14">
        <f>ROUND(INDEX(挂机升级突破!$DT$6:$ED$57,卡牌消耗!AT419,AN419)*INDEX(卡牌消耗!$B$5:$F$5,AR419)/$Q$4/5,0)*5</f>
        <v>15</v>
      </c>
      <c r="AY419" s="14" t="str">
        <f>IF(AO419&gt;0,INDEX(挂机升级突破!$DT$4:$ED$4,AO419),"")</f>
        <v>灵玉</v>
      </c>
      <c r="AZ419" s="14">
        <f>IF(AO419&gt;0,ROUND(INDEX(挂机升级突破!$DT$6:$ED$57,卡牌消耗!AT419,AO419)*INDEX(卡牌消耗!$B$7:$F$7,AR419)/$Q$4,0),"")</f>
        <v>3</v>
      </c>
      <c r="BA419" s="106"/>
      <c r="BB419" s="197"/>
      <c r="BC419" s="197"/>
      <c r="BD419" s="197"/>
      <c r="BE419" s="197"/>
      <c r="BF419" s="197"/>
      <c r="BG419" s="197"/>
      <c r="BH419" s="197"/>
      <c r="BI419" s="197"/>
      <c r="BJ419" s="197"/>
      <c r="BK419" s="197"/>
      <c r="BL419" s="104">
        <v>415</v>
      </c>
      <c r="BM419" s="14">
        <f t="shared" si="360"/>
        <v>21</v>
      </c>
      <c r="BN419" s="14">
        <f>INDEX(挂机升级突破!$EI$7:$EI$26,BS419)</f>
        <v>5</v>
      </c>
      <c r="BO419" s="14">
        <f>INDEX(挂机升级突破!$EJ$7:$EJ$26,BS419)</f>
        <v>3</v>
      </c>
      <c r="BP419" s="14">
        <f t="shared" si="361"/>
        <v>3</v>
      </c>
      <c r="BQ419" s="14">
        <f>INDEX(挂机升级突破!$EH$7:$EH$26,卡牌消耗!BS419)</f>
        <v>102</v>
      </c>
      <c r="BR419" s="14" t="str">
        <f t="shared" si="362"/>
        <v>烈风螳螂</v>
      </c>
      <c r="BS419" s="14">
        <f t="shared" si="363"/>
        <v>15</v>
      </c>
      <c r="BT419" s="14" t="str">
        <f t="shared" si="364"/>
        <v>烈风螳螂15突</v>
      </c>
      <c r="BU419" s="14" t="str">
        <f>IF(BN419&gt;0,INDEX(挂机升级突破!$ER$5:$EV$5,卡牌消耗!BN419),"")</f>
        <v>金币</v>
      </c>
      <c r="BV419" s="14">
        <f>IF(BN419&gt;0,ROUND(INDEX(挂机升级突破!$EV$7:$EV$26,卡牌消耗!BS419)*INDEX(卡牌消耗!$B$8:$F$8,BP419)/$Q$4/500,0)*500,"")</f>
        <v>44500</v>
      </c>
      <c r="BW419" s="14" t="str">
        <f>IF(BO419&gt;0,INDEX(挂机升级突破!$ER$5:$EV$5,卡牌消耗!BO419),"")</f>
        <v>银母</v>
      </c>
      <c r="BX419" s="14">
        <f>IF(BO419&gt;0,ROUND(INDEX(挂机升级突破!$ER$7:$EU$26,卡牌消耗!BS419,卡牌消耗!BO419)*INDEX($B$6:$F$6,BP419)/$Q$4/5,0)*5,"")</f>
        <v>70</v>
      </c>
      <c r="BY419" s="193"/>
      <c r="BZ419" s="193"/>
      <c r="CA419" s="106"/>
      <c r="CS419" s="171"/>
      <c r="CT419" s="171"/>
      <c r="CU419" s="171"/>
    </row>
    <row r="420" spans="8:99" ht="16.5" x14ac:dyDescent="0.2">
      <c r="H420" s="15"/>
      <c r="I420" s="15"/>
      <c r="J420" s="15"/>
      <c r="K420" s="15"/>
      <c r="L420" s="15"/>
      <c r="M420" s="15"/>
      <c r="N420" s="15"/>
      <c r="O420" s="137"/>
      <c r="P420" s="141"/>
      <c r="Q420" s="141"/>
      <c r="R420" s="141"/>
      <c r="S420" s="141"/>
      <c r="T420" s="141"/>
      <c r="U420" s="141"/>
      <c r="V420" s="141"/>
      <c r="W420" s="141"/>
      <c r="X420" s="141"/>
      <c r="Y420" s="141"/>
      <c r="Z420" s="141"/>
      <c r="AA420" s="194"/>
      <c r="AB420" s="194"/>
      <c r="AC420" s="194"/>
      <c r="AD420" s="194"/>
      <c r="AE420" s="194"/>
      <c r="AF420" s="194"/>
      <c r="AG420" s="197"/>
      <c r="AH420" s="194"/>
      <c r="AI420" s="194"/>
      <c r="AJ420" s="194"/>
      <c r="AK420" s="104">
        <v>416</v>
      </c>
      <c r="AL420" s="14">
        <f t="shared" si="355"/>
        <v>8</v>
      </c>
      <c r="AM420" s="14">
        <f>INDEX(挂机升级突破!DQ$6:DQ$57,卡牌消耗!$AT420)</f>
        <v>11</v>
      </c>
      <c r="AN420" s="14">
        <f>INDEX(挂机升级突破!DR$6:DR$57,卡牌消耗!$AT420)</f>
        <v>5</v>
      </c>
      <c r="AO420" s="14">
        <f>INDEX(挂机升级突破!DS$6:DS$57,卡牌消耗!$AT420)</f>
        <v>10</v>
      </c>
      <c r="AP420" s="14">
        <f>INDEX(挂机升级突破!$DP$6:$DP$57,卡牌消耗!AT420)</f>
        <v>148</v>
      </c>
      <c r="AQ420" s="14" t="str">
        <f t="shared" si="356"/>
        <v>夏侯渊</v>
      </c>
      <c r="AR420" s="14">
        <f t="shared" si="357"/>
        <v>4</v>
      </c>
      <c r="AS420" s="14" t="str">
        <f t="shared" si="358"/>
        <v>夏侯渊魂火-52</v>
      </c>
      <c r="AT420" s="14">
        <f t="shared" si="359"/>
        <v>52</v>
      </c>
      <c r="AU420" s="14" t="str">
        <f>IF(AM420&gt;0,INDEX(挂机升级突破!$DT$4:$ED$4,AM420),"")</f>
        <v>金币</v>
      </c>
      <c r="AV420" s="14">
        <f>ROUND(INDEX(挂机升级突破!$DJ$6:$DJ$57,卡牌消耗!AT420)*INDEX(卡牌消耗!$B$8:$F$8,AR420)/$Q$4/50,0)*50</f>
        <v>225650</v>
      </c>
      <c r="AW420" s="14" t="str">
        <f>IF(AN420&gt;0,INDEX(挂机升级突破!$DT$4:$ED$4,AN420),"")</f>
        <v>红色基础材料</v>
      </c>
      <c r="AX420" s="14">
        <f>ROUND(INDEX(挂机升级突破!$DT$6:$ED$57,卡牌消耗!AT420,AN420)*INDEX(卡牌消耗!$B$5:$F$5,AR420)/$Q$4/5,0)*5</f>
        <v>15</v>
      </c>
      <c r="AY420" s="14" t="str">
        <f>IF(AO420&gt;0,INDEX(挂机升级突破!$DT$4:$ED$4,AO420),"")</f>
        <v>灵玉</v>
      </c>
      <c r="AZ420" s="14">
        <f>IF(AO420&gt;0,ROUND(INDEX(挂机升级突破!$DT$6:$ED$57,卡牌消耗!AT420,AO420)*INDEX(卡牌消耗!$B$7:$F$7,AR420)/$Q$4,0),"")</f>
        <v>3</v>
      </c>
      <c r="BA420" s="106"/>
      <c r="BB420" s="197"/>
      <c r="BC420" s="197"/>
      <c r="BD420" s="197"/>
      <c r="BE420" s="197"/>
      <c r="BF420" s="197"/>
      <c r="BG420" s="197"/>
      <c r="BH420" s="197"/>
      <c r="BI420" s="197"/>
      <c r="BJ420" s="197"/>
      <c r="BK420" s="197"/>
      <c r="BL420" s="104">
        <v>416</v>
      </c>
      <c r="BM420" s="14">
        <f t="shared" si="360"/>
        <v>21</v>
      </c>
      <c r="BN420" s="14">
        <f>INDEX(挂机升级突破!$EI$7:$EI$26,BS420)</f>
        <v>5</v>
      </c>
      <c r="BO420" s="14">
        <f>INDEX(挂机升级突破!$EJ$7:$EJ$26,BS420)</f>
        <v>3</v>
      </c>
      <c r="BP420" s="14">
        <f t="shared" si="361"/>
        <v>3</v>
      </c>
      <c r="BQ420" s="14">
        <f>INDEX(挂机升级突破!$EH$7:$EH$26,卡牌消耗!BS420)</f>
        <v>110</v>
      </c>
      <c r="BR420" s="14" t="str">
        <f t="shared" si="362"/>
        <v>烈风螳螂</v>
      </c>
      <c r="BS420" s="14">
        <f t="shared" si="363"/>
        <v>16</v>
      </c>
      <c r="BT420" s="14" t="str">
        <f t="shared" si="364"/>
        <v>烈风螳螂16突</v>
      </c>
      <c r="BU420" s="14" t="str">
        <f>IF(BN420&gt;0,INDEX(挂机升级突破!$ER$5:$EV$5,卡牌消耗!BN420),"")</f>
        <v>金币</v>
      </c>
      <c r="BV420" s="14">
        <f>IF(BN420&gt;0,ROUND(INDEX(挂机升级突破!$EV$7:$EV$26,卡牌消耗!BS420)*INDEX(卡牌消耗!$B$8:$F$8,BP420)/$Q$4/500,0)*500,"")</f>
        <v>80500</v>
      </c>
      <c r="BW420" s="14" t="str">
        <f>IF(BO420&gt;0,INDEX(挂机升级突破!$ER$5:$EV$5,卡牌消耗!BO420),"")</f>
        <v>银母</v>
      </c>
      <c r="BX420" s="14">
        <f>IF(BO420&gt;0,ROUND(INDEX(挂机升级突破!$ER$7:$EU$26,卡牌消耗!BS420,卡牌消耗!BO420)*INDEX($B$6:$F$6,BP420)/$Q$4/5,0)*5,"")</f>
        <v>90</v>
      </c>
      <c r="BY420" s="193"/>
      <c r="BZ420" s="193"/>
      <c r="CA420" s="106"/>
    </row>
    <row r="421" spans="8:99" ht="16.5" x14ac:dyDescent="0.2">
      <c r="H421" s="15"/>
      <c r="I421" s="15"/>
      <c r="J421" s="15"/>
      <c r="K421" s="15"/>
      <c r="L421" s="15"/>
      <c r="M421" s="15"/>
      <c r="N421" s="15"/>
      <c r="O421" s="137"/>
      <c r="P421" s="141"/>
      <c r="Q421" s="141"/>
      <c r="R421" s="141"/>
      <c r="S421" s="141"/>
      <c r="T421" s="141"/>
      <c r="U421" s="141"/>
      <c r="V421" s="141"/>
      <c r="W421" s="141"/>
      <c r="X421" s="141"/>
      <c r="Y421" s="141"/>
      <c r="Z421" s="141"/>
      <c r="AA421" s="194"/>
      <c r="AB421" s="194"/>
      <c r="AC421" s="194"/>
      <c r="AD421" s="194"/>
      <c r="AE421" s="194"/>
      <c r="AF421" s="194"/>
      <c r="AG421" s="197"/>
      <c r="AH421" s="194"/>
      <c r="AI421" s="194"/>
      <c r="AJ421" s="194"/>
      <c r="AK421" s="104">
        <v>417</v>
      </c>
      <c r="AL421" s="14">
        <f t="shared" si="355"/>
        <v>9</v>
      </c>
      <c r="AM421" s="14">
        <f>INDEX(挂机升级突破!DQ$6:DQ$57,卡牌消耗!$AT421)</f>
        <v>11</v>
      </c>
      <c r="AN421" s="14">
        <f>INDEX(挂机升级突破!DR$6:DR$57,卡牌消耗!$AT421)</f>
        <v>1</v>
      </c>
      <c r="AO421" s="14">
        <f>INDEX(挂机升级突破!DS$6:DS$57,卡牌消耗!$AT421)</f>
        <v>0</v>
      </c>
      <c r="AP421" s="14">
        <f>INDEX(挂机升级突破!$DP$6:$DP$57,卡牌消耗!AT421)</f>
        <v>3</v>
      </c>
      <c r="AQ421" s="14" t="str">
        <f t="shared" si="356"/>
        <v>徐晃</v>
      </c>
      <c r="AR421" s="14">
        <f t="shared" si="357"/>
        <v>3</v>
      </c>
      <c r="AS421" s="14" t="str">
        <f t="shared" si="358"/>
        <v>徐晃魂火-1</v>
      </c>
      <c r="AT421" s="14">
        <f t="shared" si="359"/>
        <v>1</v>
      </c>
      <c r="AU421" s="14" t="str">
        <f>IF(AM421&gt;0,INDEX(挂机升级突破!$DT$4:$ED$4,AM421),"")</f>
        <v>金币</v>
      </c>
      <c r="AV421" s="14">
        <f>ROUND(INDEX(挂机升级突破!$DJ$6:$DJ$57,卡牌消耗!AT421)*INDEX(卡牌消耗!$B$8:$F$8,AR421)/$Q$4/50,0)*50</f>
        <v>850</v>
      </c>
      <c r="AW421" s="14" t="str">
        <f>IF(AN421&gt;0,INDEX(挂机升级突破!$DT$4:$ED$4,AN421),"")</f>
        <v>绿色基础材料</v>
      </c>
      <c r="AX421" s="14">
        <f>ROUND(INDEX(挂机升级突破!$DT$6:$ED$57,卡牌消耗!AT421,AN421)*INDEX(卡牌消耗!$B$5:$F$5,AR421)/$Q$4/5,0)*5</f>
        <v>25</v>
      </c>
      <c r="AY421" s="14" t="str">
        <f>IF(AO421&gt;0,INDEX(挂机升级突破!$DT$4:$ED$4,AO421),"")</f>
        <v/>
      </c>
      <c r="AZ421" s="14" t="str">
        <f>IF(AO421&gt;0,ROUND(INDEX(挂机升级突破!$DT$6:$ED$57,卡牌消耗!AT421,AO421)*INDEX(卡牌消耗!$B$7:$F$7,AR421)/$Q$4,0),"")</f>
        <v/>
      </c>
      <c r="BA421" s="106"/>
      <c r="BB421" s="197"/>
      <c r="BC421" s="197"/>
      <c r="BD421" s="197"/>
      <c r="BE421" s="197"/>
      <c r="BF421" s="197"/>
      <c r="BG421" s="197"/>
      <c r="BH421" s="197"/>
      <c r="BI421" s="197"/>
      <c r="BJ421" s="197"/>
      <c r="BK421" s="197"/>
      <c r="BL421" s="104">
        <v>417</v>
      </c>
      <c r="BM421" s="14">
        <f t="shared" si="360"/>
        <v>21</v>
      </c>
      <c r="BN421" s="14">
        <f>INDEX(挂机升级突破!$EI$7:$EI$26,BS421)</f>
        <v>5</v>
      </c>
      <c r="BO421" s="14">
        <f>INDEX(挂机升级突破!$EJ$7:$EJ$26,BS421)</f>
        <v>4</v>
      </c>
      <c r="BP421" s="14">
        <f t="shared" si="361"/>
        <v>3</v>
      </c>
      <c r="BQ421" s="14">
        <f>INDEX(挂机升级突破!$EH$7:$EH$26,卡牌消耗!BS421)</f>
        <v>117</v>
      </c>
      <c r="BR421" s="14" t="str">
        <f t="shared" si="362"/>
        <v>烈风螳螂</v>
      </c>
      <c r="BS421" s="14">
        <f t="shared" si="363"/>
        <v>17</v>
      </c>
      <c r="BT421" s="14" t="str">
        <f t="shared" si="364"/>
        <v>烈风螳螂17突</v>
      </c>
      <c r="BU421" s="14" t="str">
        <f>IF(BN421&gt;0,INDEX(挂机升级突破!$ER$5:$EV$5,卡牌消耗!BN421),"")</f>
        <v>金币</v>
      </c>
      <c r="BV421" s="14">
        <f>IF(BN421&gt;0,ROUND(INDEX(挂机升级突破!$EV$7:$EV$26,卡牌消耗!BS421)*INDEX(卡牌消耗!$B$8:$F$8,BP421)/$Q$4/500,0)*500,"")</f>
        <v>80500</v>
      </c>
      <c r="BW421" s="14" t="str">
        <f>IF(BO421&gt;0,INDEX(挂机升级突破!$ER$5:$EV$5,卡牌消耗!BO421),"")</f>
        <v>铀金</v>
      </c>
      <c r="BX421" s="14">
        <f>IF(BO421&gt;0,ROUND(INDEX(挂机升级突破!$ER$7:$EU$26,卡牌消耗!BS421,卡牌消耗!BO421)*INDEX($B$6:$F$6,BP421)/$Q$4/5,0)*5,"")</f>
        <v>20</v>
      </c>
      <c r="BY421" s="193"/>
      <c r="BZ421" s="193"/>
      <c r="CA421" s="106"/>
    </row>
    <row r="422" spans="8:99" ht="16.5" x14ac:dyDescent="0.2">
      <c r="H422" s="15"/>
      <c r="I422" s="15"/>
      <c r="J422" s="15"/>
      <c r="K422" s="15"/>
      <c r="L422" s="15"/>
      <c r="M422" s="15"/>
      <c r="N422" s="15"/>
      <c r="O422" s="137"/>
      <c r="P422" s="141"/>
      <c r="Q422" s="141"/>
      <c r="R422" s="141"/>
      <c r="S422" s="141"/>
      <c r="T422" s="141"/>
      <c r="U422" s="141"/>
      <c r="V422" s="141"/>
      <c r="W422" s="141"/>
      <c r="X422" s="141"/>
      <c r="Y422" s="141"/>
      <c r="Z422" s="141"/>
      <c r="AA422" s="194"/>
      <c r="AB422" s="194"/>
      <c r="AC422" s="194"/>
      <c r="AD422" s="194"/>
      <c r="AE422" s="194"/>
      <c r="AF422" s="194"/>
      <c r="AG422" s="197"/>
      <c r="AH422" s="194"/>
      <c r="AI422" s="194"/>
      <c r="AJ422" s="194"/>
      <c r="AK422" s="104">
        <v>418</v>
      </c>
      <c r="AL422" s="14">
        <f t="shared" si="355"/>
        <v>9</v>
      </c>
      <c r="AM422" s="14">
        <f>INDEX(挂机升级突破!DQ$6:DQ$57,卡牌消耗!$AT422)</f>
        <v>11</v>
      </c>
      <c r="AN422" s="14">
        <f>INDEX(挂机升级突破!DR$6:DR$57,卡牌消耗!$AT422)</f>
        <v>1</v>
      </c>
      <c r="AO422" s="14">
        <f>INDEX(挂机升级突破!DS$6:DS$57,卡牌消耗!$AT422)</f>
        <v>0</v>
      </c>
      <c r="AP422" s="14">
        <f>INDEX(挂机升级突破!$DP$6:$DP$57,卡牌消耗!AT422)</f>
        <v>8</v>
      </c>
      <c r="AQ422" s="14" t="str">
        <f t="shared" si="356"/>
        <v>徐晃</v>
      </c>
      <c r="AR422" s="14">
        <f t="shared" si="357"/>
        <v>3</v>
      </c>
      <c r="AS422" s="14" t="str">
        <f t="shared" si="358"/>
        <v>徐晃魂火-2</v>
      </c>
      <c r="AT422" s="14">
        <f t="shared" si="359"/>
        <v>2</v>
      </c>
      <c r="AU422" s="14" t="str">
        <f>IF(AM422&gt;0,INDEX(挂机升级突破!$DT$4:$ED$4,AM422),"")</f>
        <v>金币</v>
      </c>
      <c r="AV422" s="14">
        <f>ROUND(INDEX(挂机升级突破!$DJ$6:$DJ$57,卡牌消耗!AT422)*INDEX(卡牌消耗!$B$8:$F$8,AR422)/$Q$4/50,0)*50</f>
        <v>1050</v>
      </c>
      <c r="AW422" s="14" t="str">
        <f>IF(AN422&gt;0,INDEX(挂机升级突破!$DT$4:$ED$4,AN422),"")</f>
        <v>绿色基础材料</v>
      </c>
      <c r="AX422" s="14">
        <f>ROUND(INDEX(挂机升级突破!$DT$6:$ED$57,卡牌消耗!AT422,AN422)*INDEX(卡牌消耗!$B$5:$F$5,AR422)/$Q$4/5,0)*5</f>
        <v>85</v>
      </c>
      <c r="AY422" s="14" t="str">
        <f>IF(AO422&gt;0,INDEX(挂机升级突破!$DT$4:$ED$4,AO422),"")</f>
        <v/>
      </c>
      <c r="AZ422" s="14" t="str">
        <f>IF(AO422&gt;0,ROUND(INDEX(挂机升级突破!$DT$6:$ED$57,卡牌消耗!AT422,AO422)*INDEX(卡牌消耗!$B$7:$F$7,AR422)/$Q$4,0),"")</f>
        <v/>
      </c>
      <c r="BA422" s="106"/>
      <c r="BB422" s="197"/>
      <c r="BC422" s="197"/>
      <c r="BD422" s="197"/>
      <c r="BE422" s="197"/>
      <c r="BF422" s="197"/>
      <c r="BG422" s="197"/>
      <c r="BH422" s="197"/>
      <c r="BI422" s="197"/>
      <c r="BJ422" s="197"/>
      <c r="BK422" s="197"/>
      <c r="BL422" s="104">
        <v>418</v>
      </c>
      <c r="BM422" s="14">
        <f t="shared" si="360"/>
        <v>21</v>
      </c>
      <c r="BN422" s="14">
        <f>INDEX(挂机升级突破!$EI$7:$EI$26,BS422)</f>
        <v>5</v>
      </c>
      <c r="BO422" s="14">
        <f>INDEX(挂机升级突破!$EJ$7:$EJ$26,BS422)</f>
        <v>4</v>
      </c>
      <c r="BP422" s="14">
        <f t="shared" si="361"/>
        <v>3</v>
      </c>
      <c r="BQ422" s="14">
        <f>INDEX(挂机升级突破!$EH$7:$EH$26,卡牌消耗!BS422)</f>
        <v>125</v>
      </c>
      <c r="BR422" s="14" t="str">
        <f t="shared" si="362"/>
        <v>烈风螳螂</v>
      </c>
      <c r="BS422" s="14">
        <f t="shared" si="363"/>
        <v>18</v>
      </c>
      <c r="BT422" s="14" t="str">
        <f t="shared" si="364"/>
        <v>烈风螳螂18突</v>
      </c>
      <c r="BU422" s="14" t="str">
        <f>IF(BN422&gt;0,INDEX(挂机升级突破!$ER$5:$EV$5,卡牌消耗!BN422),"")</f>
        <v>金币</v>
      </c>
      <c r="BV422" s="14">
        <f>IF(BN422&gt;0,ROUND(INDEX(挂机升级突破!$EV$7:$EV$26,卡牌消耗!BS422)*INDEX(卡牌消耗!$B$8:$F$8,BP422)/$Q$4/500,0)*500,"")</f>
        <v>107500</v>
      </c>
      <c r="BW422" s="14" t="str">
        <f>IF(BO422&gt;0,INDEX(挂机升级突破!$ER$5:$EV$5,卡牌消耗!BO422),"")</f>
        <v>铀金</v>
      </c>
      <c r="BX422" s="14">
        <f>IF(BO422&gt;0,ROUND(INDEX(挂机升级突破!$ER$7:$EU$26,卡牌消耗!BS422,卡牌消耗!BO422)*INDEX($B$6:$F$6,BP422)/$Q$4/5,0)*5,"")</f>
        <v>25</v>
      </c>
      <c r="BY422" s="193"/>
      <c r="BZ422" s="193"/>
      <c r="CA422" s="106"/>
    </row>
    <row r="423" spans="8:99" ht="16.5" x14ac:dyDescent="0.2">
      <c r="H423" s="15"/>
      <c r="I423" s="15"/>
      <c r="J423" s="15"/>
      <c r="K423" s="15"/>
      <c r="L423" s="15"/>
      <c r="M423" s="15"/>
      <c r="N423" s="15"/>
      <c r="O423" s="137"/>
      <c r="P423" s="141"/>
      <c r="Q423" s="141"/>
      <c r="R423" s="141"/>
      <c r="S423" s="141"/>
      <c r="T423" s="141"/>
      <c r="U423" s="141"/>
      <c r="V423" s="141"/>
      <c r="W423" s="141"/>
      <c r="X423" s="141"/>
      <c r="Y423" s="141"/>
      <c r="Z423" s="141"/>
      <c r="AA423" s="194"/>
      <c r="AB423" s="194"/>
      <c r="AC423" s="194"/>
      <c r="AD423" s="194"/>
      <c r="AE423" s="194"/>
      <c r="AF423" s="194"/>
      <c r="AG423" s="197"/>
      <c r="AH423" s="194"/>
      <c r="AI423" s="194"/>
      <c r="AJ423" s="194"/>
      <c r="AK423" s="104">
        <v>419</v>
      </c>
      <c r="AL423" s="14">
        <f t="shared" si="355"/>
        <v>9</v>
      </c>
      <c r="AM423" s="14">
        <f>INDEX(挂机升级突破!DQ$6:DQ$57,卡牌消耗!$AT423)</f>
        <v>11</v>
      </c>
      <c r="AN423" s="14">
        <f>INDEX(挂机升级突破!DR$6:DR$57,卡牌消耗!$AT423)</f>
        <v>1</v>
      </c>
      <c r="AO423" s="14">
        <f>INDEX(挂机升级突破!DS$6:DS$57,卡牌消耗!$AT423)</f>
        <v>0</v>
      </c>
      <c r="AP423" s="14">
        <f>INDEX(挂机升级突破!$DP$6:$DP$57,卡牌消耗!AT423)</f>
        <v>13</v>
      </c>
      <c r="AQ423" s="14" t="str">
        <f t="shared" si="356"/>
        <v>徐晃</v>
      </c>
      <c r="AR423" s="14">
        <f t="shared" si="357"/>
        <v>3</v>
      </c>
      <c r="AS423" s="14" t="str">
        <f t="shared" si="358"/>
        <v>徐晃魂火-3</v>
      </c>
      <c r="AT423" s="14">
        <f t="shared" si="359"/>
        <v>3</v>
      </c>
      <c r="AU423" s="14" t="str">
        <f>IF(AM423&gt;0,INDEX(挂机升级突破!$DT$4:$ED$4,AM423),"")</f>
        <v>金币</v>
      </c>
      <c r="AV423" s="14">
        <f>ROUND(INDEX(挂机升级突破!$DJ$6:$DJ$57,卡牌消耗!AT423)*INDEX(卡牌消耗!$B$8:$F$8,AR423)/$Q$4/50,0)*50</f>
        <v>1050</v>
      </c>
      <c r="AW423" s="14" t="str">
        <f>IF(AN423&gt;0,INDEX(挂机升级突破!$DT$4:$ED$4,AN423),"")</f>
        <v>绿色基础材料</v>
      </c>
      <c r="AX423" s="14">
        <f>ROUND(INDEX(挂机升级突破!$DT$6:$ED$57,卡牌消耗!AT423,AN423)*INDEX(卡牌消耗!$B$5:$F$5,AR423)/$Q$4/5,0)*5</f>
        <v>100</v>
      </c>
      <c r="AY423" s="14" t="str">
        <f>IF(AO423&gt;0,INDEX(挂机升级突破!$DT$4:$ED$4,AO423),"")</f>
        <v/>
      </c>
      <c r="AZ423" s="14" t="str">
        <f>IF(AO423&gt;0,ROUND(INDEX(挂机升级突破!$DT$6:$ED$57,卡牌消耗!AT423,AO423)*INDEX(卡牌消耗!$B$7:$F$7,AR423)/$Q$4,0),"")</f>
        <v/>
      </c>
      <c r="BA423" s="106"/>
      <c r="BB423" s="197"/>
      <c r="BC423" s="197"/>
      <c r="BD423" s="197"/>
      <c r="BE423" s="197"/>
      <c r="BF423" s="197"/>
      <c r="BG423" s="197"/>
      <c r="BH423" s="197"/>
      <c r="BI423" s="197"/>
      <c r="BJ423" s="197"/>
      <c r="BK423" s="197"/>
      <c r="BL423" s="104">
        <v>419</v>
      </c>
      <c r="BM423" s="14">
        <f t="shared" si="360"/>
        <v>21</v>
      </c>
      <c r="BN423" s="14">
        <f>INDEX(挂机升级突破!$EI$7:$EI$26,BS423)</f>
        <v>5</v>
      </c>
      <c r="BO423" s="14">
        <f>INDEX(挂机升级突破!$EJ$7:$EJ$26,BS423)</f>
        <v>4</v>
      </c>
      <c r="BP423" s="14">
        <f t="shared" si="361"/>
        <v>3</v>
      </c>
      <c r="BQ423" s="14">
        <f>INDEX(挂机升级突破!$EH$7:$EH$26,卡牌消耗!BS423)</f>
        <v>132</v>
      </c>
      <c r="BR423" s="14" t="str">
        <f t="shared" si="362"/>
        <v>烈风螳螂</v>
      </c>
      <c r="BS423" s="14">
        <f t="shared" si="363"/>
        <v>19</v>
      </c>
      <c r="BT423" s="14" t="str">
        <f t="shared" si="364"/>
        <v>烈风螳螂19突</v>
      </c>
      <c r="BU423" s="14" t="str">
        <f>IF(BN423&gt;0,INDEX(挂机升级突破!$ER$5:$EV$5,卡牌消耗!BN423),"")</f>
        <v>金币</v>
      </c>
      <c r="BV423" s="14">
        <f>IF(BN423&gt;0,ROUND(INDEX(挂机升级突破!$EV$7:$EV$26,卡牌消耗!BS423)*INDEX(卡牌消耗!$B$8:$F$8,BP423)/$Q$4/500,0)*500,"")</f>
        <v>273500</v>
      </c>
      <c r="BW423" s="14" t="str">
        <f>IF(BO423&gt;0,INDEX(挂机升级突破!$ER$5:$EV$5,卡牌消耗!BO423),"")</f>
        <v>铀金</v>
      </c>
      <c r="BX423" s="14">
        <f>IF(BO423&gt;0,ROUND(INDEX(挂机升级突破!$ER$7:$EU$26,卡牌消耗!BS423,卡牌消耗!BO423)*INDEX($B$6:$F$6,BP423)/$Q$4/5,0)*5,"")</f>
        <v>35</v>
      </c>
      <c r="BY423" s="193"/>
      <c r="BZ423" s="193"/>
      <c r="CA423" s="106"/>
    </row>
    <row r="424" spans="8:99" ht="16.5" x14ac:dyDescent="0.2">
      <c r="H424" s="15"/>
      <c r="I424" s="15"/>
      <c r="J424" s="15"/>
      <c r="K424" s="15"/>
      <c r="L424" s="15"/>
      <c r="M424" s="15"/>
      <c r="N424" s="15"/>
      <c r="O424" s="137"/>
      <c r="P424" s="141"/>
      <c r="Q424" s="141"/>
      <c r="R424" s="141"/>
      <c r="S424" s="141"/>
      <c r="T424" s="141"/>
      <c r="U424" s="141"/>
      <c r="V424" s="141"/>
      <c r="W424" s="141"/>
      <c r="X424" s="141"/>
      <c r="Y424" s="141"/>
      <c r="Z424" s="141"/>
      <c r="AA424" s="194"/>
      <c r="AB424" s="194"/>
      <c r="AC424" s="194"/>
      <c r="AD424" s="194"/>
      <c r="AE424" s="194"/>
      <c r="AF424" s="194"/>
      <c r="AG424" s="197"/>
      <c r="AH424" s="194"/>
      <c r="AI424" s="194"/>
      <c r="AJ424" s="194"/>
      <c r="AK424" s="104">
        <v>420</v>
      </c>
      <c r="AL424" s="14">
        <f t="shared" si="355"/>
        <v>9</v>
      </c>
      <c r="AM424" s="14">
        <f>INDEX(挂机升级突破!DQ$6:DQ$57,卡牌消耗!$AT424)</f>
        <v>11</v>
      </c>
      <c r="AN424" s="14">
        <f>INDEX(挂机升级突破!DR$6:DR$57,卡牌消耗!$AT424)</f>
        <v>1</v>
      </c>
      <c r="AO424" s="14">
        <f>INDEX(挂机升级突破!DS$6:DS$57,卡牌消耗!$AT424)</f>
        <v>0</v>
      </c>
      <c r="AP424" s="14">
        <f>INDEX(挂机升级突破!$DP$6:$DP$57,卡牌消耗!AT424)</f>
        <v>18</v>
      </c>
      <c r="AQ424" s="14" t="str">
        <f t="shared" si="356"/>
        <v>徐晃</v>
      </c>
      <c r="AR424" s="14">
        <f t="shared" si="357"/>
        <v>3</v>
      </c>
      <c r="AS424" s="14" t="str">
        <f t="shared" si="358"/>
        <v>徐晃魂火-4</v>
      </c>
      <c r="AT424" s="14">
        <f t="shared" si="359"/>
        <v>4</v>
      </c>
      <c r="AU424" s="14" t="str">
        <f>IF(AM424&gt;0,INDEX(挂机升级突破!$DT$4:$ED$4,AM424),"")</f>
        <v>金币</v>
      </c>
      <c r="AV424" s="14">
        <f>ROUND(INDEX(挂机升级突破!$DJ$6:$DJ$57,卡牌消耗!AT424)*INDEX(卡牌消耗!$B$8:$F$8,AR424)/$Q$4/50,0)*50</f>
        <v>1050</v>
      </c>
      <c r="AW424" s="14" t="str">
        <f>IF(AN424&gt;0,INDEX(挂机升级突破!$DT$4:$ED$4,AN424),"")</f>
        <v>绿色基础材料</v>
      </c>
      <c r="AX424" s="14">
        <f>ROUND(INDEX(挂机升级突破!$DT$6:$ED$57,卡牌消耗!AT424,AN424)*INDEX(卡牌消耗!$B$5:$F$5,AR424)/$Q$4/5,0)*5</f>
        <v>145</v>
      </c>
      <c r="AY424" s="14" t="str">
        <f>IF(AO424&gt;0,INDEX(挂机升级突破!$DT$4:$ED$4,AO424),"")</f>
        <v/>
      </c>
      <c r="AZ424" s="14" t="str">
        <f>IF(AO424&gt;0,ROUND(INDEX(挂机升级突破!$DT$6:$ED$57,卡牌消耗!AT424,AO424)*INDEX(卡牌消耗!$B$7:$F$7,AR424)/$Q$4,0),"")</f>
        <v/>
      </c>
      <c r="BA424" s="106"/>
      <c r="BB424" s="197"/>
      <c r="BC424" s="197"/>
      <c r="BD424" s="197"/>
      <c r="BE424" s="197"/>
      <c r="BF424" s="197"/>
      <c r="BG424" s="197"/>
      <c r="BH424" s="197"/>
      <c r="BI424" s="197"/>
      <c r="BJ424" s="197"/>
      <c r="BK424" s="197"/>
      <c r="BL424" s="104">
        <v>420</v>
      </c>
      <c r="BM424" s="14">
        <f t="shared" si="360"/>
        <v>21</v>
      </c>
      <c r="BN424" s="14">
        <f>INDEX(挂机升级突破!$EI$7:$EI$26,BS424)</f>
        <v>5</v>
      </c>
      <c r="BO424" s="14">
        <f>INDEX(挂机升级突破!$EJ$7:$EJ$26,BS424)</f>
        <v>4</v>
      </c>
      <c r="BP424" s="14">
        <f t="shared" si="361"/>
        <v>3</v>
      </c>
      <c r="BQ424" s="14">
        <f>INDEX(挂机升级突破!$EH$7:$EH$26,卡牌消耗!BS424)</f>
        <v>140</v>
      </c>
      <c r="BR424" s="14" t="str">
        <f t="shared" si="362"/>
        <v>烈风螳螂</v>
      </c>
      <c r="BS424" s="14">
        <f t="shared" si="363"/>
        <v>20</v>
      </c>
      <c r="BT424" s="14" t="str">
        <f t="shared" si="364"/>
        <v>烈风螳螂20突</v>
      </c>
      <c r="BU424" s="14" t="str">
        <f>IF(BN424&gt;0,INDEX(挂机升级突破!$ER$5:$EV$5,卡牌消耗!BN424),"")</f>
        <v>金币</v>
      </c>
      <c r="BV424" s="14">
        <f>IF(BN424&gt;0,ROUND(INDEX(挂机升级突破!$EV$7:$EV$26,卡牌消耗!BS424)*INDEX(卡牌消耗!$B$8:$F$8,BP424)/$Q$4/500,0)*500,"")</f>
        <v>410500</v>
      </c>
      <c r="BW424" s="14" t="str">
        <f>IF(BO424&gt;0,INDEX(挂机升级突破!$ER$5:$EV$5,卡牌消耗!BO424),"")</f>
        <v>铀金</v>
      </c>
      <c r="BX424" s="14">
        <f>IF(BO424&gt;0,ROUND(INDEX(挂机升级突破!$ER$7:$EU$26,卡牌消耗!BS424,卡牌消耗!BO424)*INDEX($B$6:$F$6,BP424)/$Q$4/5,0)*5,"")</f>
        <v>40</v>
      </c>
      <c r="BY424" s="193"/>
      <c r="BZ424" s="193"/>
      <c r="CA424" s="106"/>
    </row>
    <row r="425" spans="8:99" ht="16.5" x14ac:dyDescent="0.2">
      <c r="H425" s="15"/>
      <c r="I425" s="15"/>
      <c r="J425" s="15"/>
      <c r="K425" s="15"/>
      <c r="L425" s="15"/>
      <c r="M425" s="15"/>
      <c r="N425" s="15"/>
      <c r="O425" s="137"/>
      <c r="P425" s="141"/>
      <c r="Q425" s="141"/>
      <c r="R425" s="141"/>
      <c r="S425" s="141"/>
      <c r="T425" s="141"/>
      <c r="U425" s="141"/>
      <c r="V425" s="141"/>
      <c r="W425" s="141"/>
      <c r="X425" s="141"/>
      <c r="Y425" s="141"/>
      <c r="Z425" s="141"/>
      <c r="AA425" s="194"/>
      <c r="AB425" s="194"/>
      <c r="AC425" s="194"/>
      <c r="AD425" s="194"/>
      <c r="AE425" s="194"/>
      <c r="AF425" s="194"/>
      <c r="AG425" s="197"/>
      <c r="AH425" s="194"/>
      <c r="AI425" s="194"/>
      <c r="AJ425" s="194"/>
      <c r="AK425" s="104">
        <v>421</v>
      </c>
      <c r="AL425" s="14">
        <f t="shared" si="355"/>
        <v>9</v>
      </c>
      <c r="AM425" s="14">
        <f>INDEX(挂机升级突破!DQ$6:DQ$57,卡牌消耗!$AT425)</f>
        <v>11</v>
      </c>
      <c r="AN425" s="14">
        <f>INDEX(挂机升级突破!DR$6:DR$57,卡牌消耗!$AT425)</f>
        <v>1</v>
      </c>
      <c r="AO425" s="14">
        <f>INDEX(挂机升级突破!DS$6:DS$57,卡牌消耗!$AT425)</f>
        <v>0</v>
      </c>
      <c r="AP425" s="14">
        <f>INDEX(挂机升级突破!$DP$6:$DP$57,卡牌消耗!AT425)</f>
        <v>23</v>
      </c>
      <c r="AQ425" s="14" t="str">
        <f t="shared" si="356"/>
        <v>徐晃</v>
      </c>
      <c r="AR425" s="14">
        <f t="shared" si="357"/>
        <v>3</v>
      </c>
      <c r="AS425" s="14" t="str">
        <f t="shared" si="358"/>
        <v>徐晃魂火-5</v>
      </c>
      <c r="AT425" s="14">
        <f t="shared" si="359"/>
        <v>5</v>
      </c>
      <c r="AU425" s="14" t="str">
        <f>IF(AM425&gt;0,INDEX(挂机升级突破!$DT$4:$ED$4,AM425),"")</f>
        <v>金币</v>
      </c>
      <c r="AV425" s="14">
        <f>ROUND(INDEX(挂机升级突破!$DJ$6:$DJ$57,卡牌消耗!AT425)*INDEX(卡牌消耗!$B$8:$F$8,AR425)/$Q$4/50,0)*50</f>
        <v>1050</v>
      </c>
      <c r="AW425" s="14" t="str">
        <f>IF(AN425&gt;0,INDEX(挂机升级突破!$DT$4:$ED$4,AN425),"")</f>
        <v>绿色基础材料</v>
      </c>
      <c r="AX425" s="14">
        <f>ROUND(INDEX(挂机升级突破!$DT$6:$ED$57,卡牌消耗!AT425,AN425)*INDEX(卡牌消耗!$B$5:$F$5,AR425)/$Q$4/5,0)*5</f>
        <v>155</v>
      </c>
      <c r="AY425" s="14" t="str">
        <f>IF(AO425&gt;0,INDEX(挂机升级突破!$DT$4:$ED$4,AO425),"")</f>
        <v/>
      </c>
      <c r="AZ425" s="14" t="str">
        <f>IF(AO425&gt;0,ROUND(INDEX(挂机升级突破!$DT$6:$ED$57,卡牌消耗!AT425,AO425)*INDEX(卡牌消耗!$B$7:$F$7,AR425)/$Q$4,0),"")</f>
        <v/>
      </c>
      <c r="BA425" s="106"/>
      <c r="BB425" s="197"/>
      <c r="BC425" s="197"/>
      <c r="BD425" s="197"/>
      <c r="BE425" s="197"/>
      <c r="BF425" s="197"/>
      <c r="BG425" s="197"/>
      <c r="BH425" s="197"/>
      <c r="BI425" s="197"/>
      <c r="BJ425" s="197"/>
      <c r="BK425" s="197"/>
      <c r="BL425" s="104">
        <v>421</v>
      </c>
      <c r="BM425" s="14">
        <f t="shared" si="360"/>
        <v>22</v>
      </c>
      <c r="BN425" s="14">
        <f>INDEX(挂机升级突破!$EI$7:$EI$26,BS425)</f>
        <v>0</v>
      </c>
      <c r="BO425" s="14">
        <f>INDEX(挂机升级突破!$EJ$7:$EJ$26,BS425)</f>
        <v>0</v>
      </c>
      <c r="BP425" s="14">
        <f t="shared" si="361"/>
        <v>2</v>
      </c>
      <c r="BQ425" s="14">
        <f>INDEX(挂机升级突破!$EH$7:$EH$26,卡牌消耗!BS425)</f>
        <v>1</v>
      </c>
      <c r="BR425" s="14" t="str">
        <f t="shared" si="362"/>
        <v>柠檬精</v>
      </c>
      <c r="BS425" s="14">
        <f t="shared" si="363"/>
        <v>1</v>
      </c>
      <c r="BT425" s="14" t="str">
        <f t="shared" si="364"/>
        <v>柠檬精1突</v>
      </c>
      <c r="BU425" s="14" t="str">
        <f>IF(BN425&gt;0,INDEX(挂机升级突破!$ER$5:$EV$5,卡牌消耗!BN425),"")</f>
        <v/>
      </c>
      <c r="BV425" s="14" t="str">
        <f>IF(BN425&gt;0,ROUND(INDEX(挂机升级突破!$EV$7:$EV$26,卡牌消耗!BS425)*INDEX(卡牌消耗!$B$8:$F$8,BP425)/$Q$4/500,0)*500,"")</f>
        <v/>
      </c>
      <c r="BW425" s="14" t="str">
        <f>IF(BO425&gt;0,INDEX(挂机升级突破!$ER$5:$EV$5,卡牌消耗!BO425),"")</f>
        <v/>
      </c>
      <c r="BX425" s="14" t="str">
        <f>IF(BO425&gt;0,ROUND(INDEX(挂机升级突破!$ER$7:$EU$26,卡牌消耗!BS425,卡牌消耗!BO425)*INDEX($B$6:$F$6,BP425)/$Q$4/5,0)*5,"")</f>
        <v/>
      </c>
      <c r="BY425" s="193"/>
      <c r="BZ425" s="193"/>
      <c r="CA425" s="106"/>
    </row>
    <row r="426" spans="8:99" ht="16.5" x14ac:dyDescent="0.2">
      <c r="H426" s="15"/>
      <c r="I426" s="15"/>
      <c r="J426" s="15"/>
      <c r="K426" s="15"/>
      <c r="L426" s="15"/>
      <c r="M426" s="15"/>
      <c r="N426" s="15"/>
      <c r="O426" s="137"/>
      <c r="P426" s="141"/>
      <c r="Q426" s="141"/>
      <c r="R426" s="141"/>
      <c r="S426" s="141"/>
      <c r="T426" s="141"/>
      <c r="U426" s="141"/>
      <c r="V426" s="141"/>
      <c r="W426" s="141"/>
      <c r="X426" s="141"/>
      <c r="Y426" s="141"/>
      <c r="Z426" s="141"/>
      <c r="AA426" s="194"/>
      <c r="AB426" s="194"/>
      <c r="AC426" s="194"/>
      <c r="AD426" s="194"/>
      <c r="AE426" s="194"/>
      <c r="AF426" s="194"/>
      <c r="AG426" s="197"/>
      <c r="AH426" s="194"/>
      <c r="AI426" s="194"/>
      <c r="AJ426" s="194"/>
      <c r="AK426" s="104">
        <v>422</v>
      </c>
      <c r="AL426" s="14">
        <f t="shared" si="355"/>
        <v>9</v>
      </c>
      <c r="AM426" s="14">
        <f>INDEX(挂机升级突破!DQ$6:DQ$57,卡牌消耗!$AT426)</f>
        <v>11</v>
      </c>
      <c r="AN426" s="14">
        <f>INDEX(挂机升级突破!DR$6:DR$57,卡牌消耗!$AT426)</f>
        <v>2</v>
      </c>
      <c r="AO426" s="14">
        <f>INDEX(挂机升级突破!DS$6:DS$57,卡牌消耗!$AT426)</f>
        <v>0</v>
      </c>
      <c r="AP426" s="14">
        <f>INDEX(挂机升级突破!$DP$6:$DP$57,卡牌消耗!AT426)</f>
        <v>28</v>
      </c>
      <c r="AQ426" s="14" t="str">
        <f t="shared" si="356"/>
        <v>徐晃</v>
      </c>
      <c r="AR426" s="14">
        <f t="shared" si="357"/>
        <v>3</v>
      </c>
      <c r="AS426" s="14" t="str">
        <f t="shared" si="358"/>
        <v>徐晃魂火-6</v>
      </c>
      <c r="AT426" s="14">
        <f t="shared" si="359"/>
        <v>6</v>
      </c>
      <c r="AU426" s="14" t="str">
        <f>IF(AM426&gt;0,INDEX(挂机升级突破!$DT$4:$ED$4,AM426),"")</f>
        <v>金币</v>
      </c>
      <c r="AV426" s="14">
        <f>ROUND(INDEX(挂机升级突破!$DJ$6:$DJ$57,卡牌消耗!AT426)*INDEX(卡牌消耗!$B$8:$F$8,AR426)/$Q$4/50,0)*50</f>
        <v>1250</v>
      </c>
      <c r="AW426" s="14" t="str">
        <f>IF(AN426&gt;0,INDEX(挂机升级突破!$DT$4:$ED$4,AN426),"")</f>
        <v>蓝色基础材料</v>
      </c>
      <c r="AX426" s="14">
        <f>ROUND(INDEX(挂机升级突破!$DT$6:$ED$57,卡牌消耗!AT426,AN426)*INDEX(卡牌消耗!$B$5:$F$5,AR426)/$Q$4/5,0)*5</f>
        <v>30</v>
      </c>
      <c r="AY426" s="14" t="str">
        <f>IF(AO426&gt;0,INDEX(挂机升级突破!$DT$4:$ED$4,AO426),"")</f>
        <v/>
      </c>
      <c r="AZ426" s="14" t="str">
        <f>IF(AO426&gt;0,ROUND(INDEX(挂机升级突破!$DT$6:$ED$57,卡牌消耗!AT426,AO426)*INDEX(卡牌消耗!$B$7:$F$7,AR426)/$Q$4,0),"")</f>
        <v/>
      </c>
      <c r="BA426" s="106"/>
      <c r="BB426" s="197"/>
      <c r="BC426" s="197"/>
      <c r="BD426" s="197"/>
      <c r="BE426" s="197"/>
      <c r="BF426" s="197"/>
      <c r="BG426" s="197"/>
      <c r="BH426" s="197"/>
      <c r="BI426" s="197"/>
      <c r="BJ426" s="197"/>
      <c r="BK426" s="197"/>
      <c r="BL426" s="104">
        <v>422</v>
      </c>
      <c r="BM426" s="14">
        <f t="shared" si="360"/>
        <v>22</v>
      </c>
      <c r="BN426" s="14">
        <f>INDEX(挂机升级突破!$EI$7:$EI$26,BS426)</f>
        <v>5</v>
      </c>
      <c r="BO426" s="14">
        <f>INDEX(挂机升级突破!$EJ$7:$EJ$26,BS426)</f>
        <v>1</v>
      </c>
      <c r="BP426" s="14">
        <f t="shared" si="361"/>
        <v>2</v>
      </c>
      <c r="BQ426" s="14">
        <f>INDEX(挂机升级突破!$EH$7:$EH$26,卡牌消耗!BS426)</f>
        <v>5</v>
      </c>
      <c r="BR426" s="14" t="str">
        <f t="shared" si="362"/>
        <v>柠檬精</v>
      </c>
      <c r="BS426" s="14">
        <f t="shared" si="363"/>
        <v>2</v>
      </c>
      <c r="BT426" s="14" t="str">
        <f t="shared" si="364"/>
        <v>柠檬精2突</v>
      </c>
      <c r="BU426" s="14" t="str">
        <f>IF(BN426&gt;0,INDEX(挂机升级突破!$ER$5:$EV$5,卡牌消耗!BN426),"")</f>
        <v>金币</v>
      </c>
      <c r="BV426" s="14">
        <f>IF(BN426&gt;0,ROUND(INDEX(挂机升级突破!$EV$7:$EV$26,卡牌消耗!BS426)*INDEX(卡牌消耗!$B$8:$F$8,BP426)/$Q$4/500,0)*500,"")</f>
        <v>2000</v>
      </c>
      <c r="BW426" s="14" t="str">
        <f>IF(BO426&gt;0,INDEX(挂机升级突破!$ER$5:$EV$5,卡牌消耗!BO426),"")</f>
        <v>玄铁</v>
      </c>
      <c r="BX426" s="14">
        <f>IF(BO426&gt;0,ROUND(INDEX(挂机升级突破!$ER$7:$EU$26,卡牌消耗!BS426,卡牌消耗!BO426)*INDEX($B$6:$F$6,BP426)/$Q$4,0),"")</f>
        <v>1</v>
      </c>
      <c r="BY426" s="193"/>
      <c r="BZ426" s="193"/>
      <c r="CA426" s="106"/>
    </row>
    <row r="427" spans="8:99" ht="16.5" x14ac:dyDescent="0.2">
      <c r="H427" s="15"/>
      <c r="I427" s="15"/>
      <c r="J427" s="15"/>
      <c r="K427" s="15"/>
      <c r="L427" s="15"/>
      <c r="M427" s="15"/>
      <c r="N427" s="15"/>
      <c r="O427" s="137"/>
      <c r="P427" s="141"/>
      <c r="Q427" s="141"/>
      <c r="R427" s="141"/>
      <c r="S427" s="141"/>
      <c r="T427" s="141"/>
      <c r="U427" s="141"/>
      <c r="V427" s="141"/>
      <c r="W427" s="141"/>
      <c r="X427" s="141"/>
      <c r="Y427" s="141"/>
      <c r="Z427" s="141"/>
      <c r="AA427" s="194"/>
      <c r="AB427" s="194"/>
      <c r="AC427" s="194"/>
      <c r="AD427" s="194"/>
      <c r="AE427" s="194"/>
      <c r="AF427" s="194"/>
      <c r="AG427" s="197"/>
      <c r="AH427" s="194"/>
      <c r="AI427" s="194"/>
      <c r="AJ427" s="194"/>
      <c r="AK427" s="104">
        <v>423</v>
      </c>
      <c r="AL427" s="14">
        <f t="shared" si="355"/>
        <v>9</v>
      </c>
      <c r="AM427" s="14">
        <f>INDEX(挂机升级突破!DQ$6:DQ$57,卡牌消耗!$AT427)</f>
        <v>11</v>
      </c>
      <c r="AN427" s="14">
        <f>INDEX(挂机升级突破!DR$6:DR$57,卡牌消耗!$AT427)</f>
        <v>2</v>
      </c>
      <c r="AO427" s="14">
        <f>INDEX(挂机升级突破!DS$6:DS$57,卡牌消耗!$AT427)</f>
        <v>0</v>
      </c>
      <c r="AP427" s="14">
        <f>INDEX(挂机升级突破!$DP$6:$DP$57,卡牌消耗!AT427)</f>
        <v>33</v>
      </c>
      <c r="AQ427" s="14" t="str">
        <f t="shared" si="356"/>
        <v>徐晃</v>
      </c>
      <c r="AR427" s="14">
        <f t="shared" si="357"/>
        <v>3</v>
      </c>
      <c r="AS427" s="14" t="str">
        <f t="shared" si="358"/>
        <v>徐晃魂火-7</v>
      </c>
      <c r="AT427" s="14">
        <f t="shared" si="359"/>
        <v>7</v>
      </c>
      <c r="AU427" s="14" t="str">
        <f>IF(AM427&gt;0,INDEX(挂机升级突破!$DT$4:$ED$4,AM427),"")</f>
        <v>金币</v>
      </c>
      <c r="AV427" s="14">
        <f>ROUND(INDEX(挂机升级突破!$DJ$6:$DJ$57,卡牌消耗!AT427)*INDEX(卡牌消耗!$B$8:$F$8,AR427)/$Q$4/50,0)*50</f>
        <v>1250</v>
      </c>
      <c r="AW427" s="14" t="str">
        <f>IF(AN427&gt;0,INDEX(挂机升级突破!$DT$4:$ED$4,AN427),"")</f>
        <v>蓝色基础材料</v>
      </c>
      <c r="AX427" s="14">
        <f>ROUND(INDEX(挂机升级突破!$DT$6:$ED$57,卡牌消耗!AT427,AN427)*INDEX(卡牌消耗!$B$5:$F$5,AR427)/$Q$4/5,0)*5</f>
        <v>30</v>
      </c>
      <c r="AY427" s="14" t="str">
        <f>IF(AO427&gt;0,INDEX(挂机升级突破!$DT$4:$ED$4,AO427),"")</f>
        <v/>
      </c>
      <c r="AZ427" s="14" t="str">
        <f>IF(AO427&gt;0,ROUND(INDEX(挂机升级突破!$DT$6:$ED$57,卡牌消耗!AT427,AO427)*INDEX(卡牌消耗!$B$7:$F$7,AR427)/$Q$4,0),"")</f>
        <v/>
      </c>
      <c r="BA427" s="106"/>
      <c r="BB427" s="197"/>
      <c r="BC427" s="197"/>
      <c r="BD427" s="197"/>
      <c r="BE427" s="197"/>
      <c r="BF427" s="197"/>
      <c r="BG427" s="197"/>
      <c r="BH427" s="197"/>
      <c r="BI427" s="197"/>
      <c r="BJ427" s="197"/>
      <c r="BK427" s="197"/>
      <c r="BL427" s="104">
        <v>423</v>
      </c>
      <c r="BM427" s="14">
        <f t="shared" si="360"/>
        <v>22</v>
      </c>
      <c r="BN427" s="14">
        <f>INDEX(挂机升级突破!$EI$7:$EI$26,BS427)</f>
        <v>5</v>
      </c>
      <c r="BO427" s="14">
        <f>INDEX(挂机升级突破!$EJ$7:$EJ$26,BS427)</f>
        <v>1</v>
      </c>
      <c r="BP427" s="14">
        <f t="shared" si="361"/>
        <v>2</v>
      </c>
      <c r="BQ427" s="14">
        <f>INDEX(挂机升级突破!$EH$7:$EH$26,卡牌消耗!BS427)</f>
        <v>15</v>
      </c>
      <c r="BR427" s="14" t="str">
        <f t="shared" si="362"/>
        <v>柠檬精</v>
      </c>
      <c r="BS427" s="14">
        <f t="shared" si="363"/>
        <v>3</v>
      </c>
      <c r="BT427" s="14" t="str">
        <f t="shared" si="364"/>
        <v>柠檬精3突</v>
      </c>
      <c r="BU427" s="14" t="str">
        <f>IF(BN427&gt;0,INDEX(挂机升级突破!$ER$5:$EV$5,卡牌消耗!BN427),"")</f>
        <v>金币</v>
      </c>
      <c r="BV427" s="14">
        <f>IF(BN427&gt;0,ROUND(INDEX(挂机升级突破!$EV$7:$EV$26,卡牌消耗!BS427)*INDEX(卡牌消耗!$B$8:$F$8,BP427)/$Q$4/500,0)*500,"")</f>
        <v>2000</v>
      </c>
      <c r="BW427" s="14" t="str">
        <f>IF(BO427&gt;0,INDEX(挂机升级突破!$ER$5:$EV$5,卡牌消耗!BO427),"")</f>
        <v>玄铁</v>
      </c>
      <c r="BX427" s="14">
        <f>IF(BO427&gt;0,ROUND(INDEX(挂机升级突破!$ER$7:$EU$26,卡牌消耗!BS427,卡牌消耗!BO427)*INDEX($B$6:$F$6,BP427)/$Q$4,0),"")</f>
        <v>4</v>
      </c>
      <c r="BY427" s="193"/>
      <c r="BZ427" s="193"/>
      <c r="CA427" s="106"/>
    </row>
    <row r="428" spans="8:99" ht="16.5" x14ac:dyDescent="0.2">
      <c r="H428" s="15"/>
      <c r="I428" s="15"/>
      <c r="J428" s="15"/>
      <c r="K428" s="15"/>
      <c r="L428" s="15"/>
      <c r="M428" s="15"/>
      <c r="N428" s="15"/>
      <c r="O428" s="137"/>
      <c r="P428" s="141"/>
      <c r="Q428" s="141"/>
      <c r="R428" s="141"/>
      <c r="S428" s="141"/>
      <c r="T428" s="141"/>
      <c r="U428" s="141"/>
      <c r="V428" s="141"/>
      <c r="W428" s="141"/>
      <c r="X428" s="141"/>
      <c r="Y428" s="141"/>
      <c r="Z428" s="141"/>
      <c r="AA428" s="194"/>
      <c r="AB428" s="194"/>
      <c r="AC428" s="194"/>
      <c r="AD428" s="194"/>
      <c r="AE428" s="194"/>
      <c r="AF428" s="194"/>
      <c r="AG428" s="197"/>
      <c r="AH428" s="194"/>
      <c r="AI428" s="194"/>
      <c r="AJ428" s="194"/>
      <c r="AK428" s="104">
        <v>424</v>
      </c>
      <c r="AL428" s="14">
        <f t="shared" si="355"/>
        <v>9</v>
      </c>
      <c r="AM428" s="14">
        <f>INDEX(挂机升级突破!DQ$6:DQ$57,卡牌消耗!$AT428)</f>
        <v>11</v>
      </c>
      <c r="AN428" s="14">
        <f>INDEX(挂机升级突破!DR$6:DR$57,卡牌消耗!$AT428)</f>
        <v>2</v>
      </c>
      <c r="AO428" s="14">
        <f>INDEX(挂机升级突破!DS$6:DS$57,卡牌消耗!$AT428)</f>
        <v>0</v>
      </c>
      <c r="AP428" s="14">
        <f>INDEX(挂机升级突破!$DP$6:$DP$57,卡牌消耗!AT428)</f>
        <v>38</v>
      </c>
      <c r="AQ428" s="14" t="str">
        <f t="shared" si="356"/>
        <v>徐晃</v>
      </c>
      <c r="AR428" s="14">
        <f t="shared" si="357"/>
        <v>3</v>
      </c>
      <c r="AS428" s="14" t="str">
        <f t="shared" si="358"/>
        <v>徐晃魂火-8</v>
      </c>
      <c r="AT428" s="14">
        <f t="shared" si="359"/>
        <v>8</v>
      </c>
      <c r="AU428" s="14" t="str">
        <f>IF(AM428&gt;0,INDEX(挂机升级突破!$DT$4:$ED$4,AM428),"")</f>
        <v>金币</v>
      </c>
      <c r="AV428" s="14">
        <f>ROUND(INDEX(挂机升级突破!$DJ$6:$DJ$57,卡牌消耗!AT428)*INDEX(卡牌消耗!$B$8:$F$8,AR428)/$Q$4/50,0)*50</f>
        <v>1900</v>
      </c>
      <c r="AW428" s="14" t="str">
        <f>IF(AN428&gt;0,INDEX(挂机升级突破!$DT$4:$ED$4,AN428),"")</f>
        <v>蓝色基础材料</v>
      </c>
      <c r="AX428" s="14">
        <f>ROUND(INDEX(挂机升级突破!$DT$6:$ED$57,卡牌消耗!AT428,AN428)*INDEX(卡牌消耗!$B$5:$F$5,AR428)/$Q$4/5,0)*5</f>
        <v>60</v>
      </c>
      <c r="AY428" s="14" t="str">
        <f>IF(AO428&gt;0,INDEX(挂机升级突破!$DT$4:$ED$4,AO428),"")</f>
        <v/>
      </c>
      <c r="AZ428" s="14" t="str">
        <f>IF(AO428&gt;0,ROUND(INDEX(挂机升级突破!$DT$6:$ED$57,卡牌消耗!AT428,AO428)*INDEX(卡牌消耗!$B$7:$F$7,AR428)/$Q$4,0),"")</f>
        <v/>
      </c>
      <c r="BA428" s="106"/>
      <c r="BB428" s="197"/>
      <c r="BC428" s="197"/>
      <c r="BD428" s="197"/>
      <c r="BE428" s="197"/>
      <c r="BF428" s="197"/>
      <c r="BG428" s="197"/>
      <c r="BH428" s="197"/>
      <c r="BI428" s="197"/>
      <c r="BJ428" s="197"/>
      <c r="BK428" s="197"/>
      <c r="BL428" s="104">
        <v>424</v>
      </c>
      <c r="BM428" s="14">
        <f t="shared" si="360"/>
        <v>22</v>
      </c>
      <c r="BN428" s="14">
        <f>INDEX(挂机升级突破!$EI$7:$EI$26,BS428)</f>
        <v>5</v>
      </c>
      <c r="BO428" s="14">
        <f>INDEX(挂机升级突破!$EJ$7:$EJ$26,BS428)</f>
        <v>1</v>
      </c>
      <c r="BP428" s="14">
        <f t="shared" si="361"/>
        <v>2</v>
      </c>
      <c r="BQ428" s="14">
        <f>INDEX(挂机升级突破!$EH$7:$EH$26,卡牌消耗!BS428)</f>
        <v>25</v>
      </c>
      <c r="BR428" s="14" t="str">
        <f t="shared" si="362"/>
        <v>柠檬精</v>
      </c>
      <c r="BS428" s="14">
        <f t="shared" si="363"/>
        <v>4</v>
      </c>
      <c r="BT428" s="14" t="str">
        <f t="shared" si="364"/>
        <v>柠檬精4突</v>
      </c>
      <c r="BU428" s="14" t="str">
        <f>IF(BN428&gt;0,INDEX(挂机升级突破!$ER$5:$EV$5,卡牌消耗!BN428),"")</f>
        <v>金币</v>
      </c>
      <c r="BV428" s="14">
        <f>IF(BN428&gt;0,ROUND(INDEX(挂机升级突破!$EV$7:$EV$26,卡牌消耗!BS428)*INDEX(卡牌消耗!$B$8:$F$8,BP428)/$Q$4/500,0)*500,"")</f>
        <v>2500</v>
      </c>
      <c r="BW428" s="14" t="str">
        <f>IF(BO428&gt;0,INDEX(挂机升级突破!$ER$5:$EV$5,卡牌消耗!BO428),"")</f>
        <v>玄铁</v>
      </c>
      <c r="BX428" s="14">
        <f>IF(BO428&gt;0,ROUND(INDEX(挂机升级突破!$ER$7:$EU$26,卡牌消耗!BS428,卡牌消耗!BO428)*INDEX($B$6:$F$6,BP428)/$Q$4,0),"")</f>
        <v>13</v>
      </c>
      <c r="BY428" s="193"/>
      <c r="BZ428" s="193"/>
      <c r="CA428" s="106"/>
    </row>
    <row r="429" spans="8:99" ht="16.5" x14ac:dyDescent="0.2">
      <c r="H429" s="15"/>
      <c r="I429" s="15"/>
      <c r="J429" s="15"/>
      <c r="K429" s="15"/>
      <c r="L429" s="15"/>
      <c r="M429" s="15"/>
      <c r="N429" s="15"/>
      <c r="O429" s="137"/>
      <c r="P429" s="141"/>
      <c r="Q429" s="141"/>
      <c r="R429" s="141"/>
      <c r="S429" s="141"/>
      <c r="T429" s="141"/>
      <c r="U429" s="141"/>
      <c r="V429" s="141"/>
      <c r="W429" s="141"/>
      <c r="X429" s="141"/>
      <c r="Y429" s="141"/>
      <c r="Z429" s="141"/>
      <c r="AA429" s="194"/>
      <c r="AB429" s="194"/>
      <c r="AC429" s="194"/>
      <c r="AD429" s="194"/>
      <c r="AE429" s="194"/>
      <c r="AF429" s="194"/>
      <c r="AG429" s="197"/>
      <c r="AH429" s="194"/>
      <c r="AI429" s="194"/>
      <c r="AJ429" s="194"/>
      <c r="AK429" s="104">
        <v>425</v>
      </c>
      <c r="AL429" s="14">
        <f t="shared" si="355"/>
        <v>9</v>
      </c>
      <c r="AM429" s="14">
        <f>INDEX(挂机升级突破!DQ$6:DQ$57,卡牌消耗!$AT429)</f>
        <v>11</v>
      </c>
      <c r="AN429" s="14">
        <f>INDEX(挂机升级突破!DR$6:DR$57,卡牌消耗!$AT429)</f>
        <v>2</v>
      </c>
      <c r="AO429" s="14">
        <f>INDEX(挂机升级突破!DS$6:DS$57,卡牌消耗!$AT429)</f>
        <v>0</v>
      </c>
      <c r="AP429" s="14">
        <f>INDEX(挂机升级突破!$DP$6:$DP$57,卡牌消耗!AT429)</f>
        <v>40</v>
      </c>
      <c r="AQ429" s="14" t="str">
        <f t="shared" si="356"/>
        <v>徐晃</v>
      </c>
      <c r="AR429" s="14">
        <f t="shared" si="357"/>
        <v>3</v>
      </c>
      <c r="AS429" s="14" t="str">
        <f t="shared" si="358"/>
        <v>徐晃魂火-9</v>
      </c>
      <c r="AT429" s="14">
        <f t="shared" si="359"/>
        <v>9</v>
      </c>
      <c r="AU429" s="14" t="str">
        <f>IF(AM429&gt;0,INDEX(挂机升级突破!$DT$4:$ED$4,AM429),"")</f>
        <v>金币</v>
      </c>
      <c r="AV429" s="14">
        <f>ROUND(INDEX(挂机升级突破!$DJ$6:$DJ$57,卡牌消耗!AT429)*INDEX(卡牌消耗!$B$8:$F$8,AR429)/$Q$4/50,0)*50</f>
        <v>1900</v>
      </c>
      <c r="AW429" s="14" t="str">
        <f>IF(AN429&gt;0,INDEX(挂机升级突破!$DT$4:$ED$4,AN429),"")</f>
        <v>蓝色基础材料</v>
      </c>
      <c r="AX429" s="14">
        <f>ROUND(INDEX(挂机升级突破!$DT$6:$ED$57,卡牌消耗!AT429,AN429)*INDEX(卡牌消耗!$B$5:$F$5,AR429)/$Q$4/5,0)*5</f>
        <v>60</v>
      </c>
      <c r="AY429" s="14" t="str">
        <f>IF(AO429&gt;0,INDEX(挂机升级突破!$DT$4:$ED$4,AO429),"")</f>
        <v/>
      </c>
      <c r="AZ429" s="14" t="str">
        <f>IF(AO429&gt;0,ROUND(INDEX(挂机升级突破!$DT$6:$ED$57,卡牌消耗!AT429,AO429)*INDEX(卡牌消耗!$B$7:$F$7,AR429)/$Q$4,0),"")</f>
        <v/>
      </c>
      <c r="BA429" s="106"/>
      <c r="BB429" s="197"/>
      <c r="BC429" s="197"/>
      <c r="BD429" s="197"/>
      <c r="BE429" s="197"/>
      <c r="BF429" s="197"/>
      <c r="BG429" s="197"/>
      <c r="BH429" s="197"/>
      <c r="BI429" s="197"/>
      <c r="BJ429" s="197"/>
      <c r="BK429" s="197"/>
      <c r="BL429" s="104">
        <v>425</v>
      </c>
      <c r="BM429" s="14">
        <f t="shared" si="360"/>
        <v>22</v>
      </c>
      <c r="BN429" s="14">
        <f>INDEX(挂机升级突破!$EI$7:$EI$26,BS429)</f>
        <v>5</v>
      </c>
      <c r="BO429" s="14">
        <f>INDEX(挂机升级突破!$EJ$7:$EJ$26,BS429)</f>
        <v>1</v>
      </c>
      <c r="BP429" s="14">
        <f t="shared" si="361"/>
        <v>2</v>
      </c>
      <c r="BQ429" s="14">
        <f>INDEX(挂机升级突破!$EH$7:$EH$26,卡牌消耗!BS429)</f>
        <v>35</v>
      </c>
      <c r="BR429" s="14" t="str">
        <f t="shared" si="362"/>
        <v>柠檬精</v>
      </c>
      <c r="BS429" s="14">
        <f t="shared" si="363"/>
        <v>5</v>
      </c>
      <c r="BT429" s="14" t="str">
        <f t="shared" si="364"/>
        <v>柠檬精5突</v>
      </c>
      <c r="BU429" s="14" t="str">
        <f>IF(BN429&gt;0,INDEX(挂机升级突破!$ER$5:$EV$5,卡牌消耗!BN429),"")</f>
        <v>金币</v>
      </c>
      <c r="BV429" s="14">
        <f>IF(BN429&gt;0,ROUND(INDEX(挂机升级突破!$EV$7:$EV$26,卡牌消耗!BS429)*INDEX(卡牌消耗!$B$8:$F$8,BP429)/$Q$4/500,0)*500,"")</f>
        <v>2500</v>
      </c>
      <c r="BW429" s="14" t="str">
        <f>IF(BO429&gt;0,INDEX(挂机升级突破!$ER$5:$EV$5,卡牌消耗!BO429),"")</f>
        <v>玄铁</v>
      </c>
      <c r="BX429" s="14">
        <f>IF(BO429&gt;0,ROUND(INDEX(挂机升级突破!$ER$7:$EU$26,卡牌消耗!BS429,卡牌消耗!BO429)*INDEX($B$6:$F$6,BP429)/$Q$4/5,0)*5,"")</f>
        <v>25</v>
      </c>
      <c r="BY429" s="193"/>
      <c r="BZ429" s="193"/>
      <c r="CA429" s="106"/>
    </row>
    <row r="430" spans="8:99" ht="16.5" x14ac:dyDescent="0.2">
      <c r="H430" s="15"/>
      <c r="I430" s="15"/>
      <c r="J430" s="15"/>
      <c r="K430" s="15"/>
      <c r="L430" s="15"/>
      <c r="M430" s="15"/>
      <c r="N430" s="15"/>
      <c r="O430" s="137"/>
      <c r="P430" s="141"/>
      <c r="Q430" s="141"/>
      <c r="R430" s="141"/>
      <c r="S430" s="141"/>
      <c r="T430" s="141"/>
      <c r="U430" s="141"/>
      <c r="V430" s="141"/>
      <c r="W430" s="141"/>
      <c r="X430" s="141"/>
      <c r="Y430" s="141"/>
      <c r="Z430" s="141"/>
      <c r="AA430" s="194"/>
      <c r="AB430" s="194"/>
      <c r="AC430" s="194"/>
      <c r="AD430" s="194"/>
      <c r="AE430" s="194"/>
      <c r="AF430" s="194"/>
      <c r="AG430" s="197"/>
      <c r="AH430" s="194"/>
      <c r="AI430" s="194"/>
      <c r="AJ430" s="194"/>
      <c r="AK430" s="104">
        <v>426</v>
      </c>
      <c r="AL430" s="14">
        <f t="shared" si="355"/>
        <v>9</v>
      </c>
      <c r="AM430" s="14">
        <f>INDEX(挂机升级突破!DQ$6:DQ$57,卡牌消耗!$AT430)</f>
        <v>11</v>
      </c>
      <c r="AN430" s="14">
        <f>INDEX(挂机升级突破!DR$6:DR$57,卡牌消耗!$AT430)</f>
        <v>2</v>
      </c>
      <c r="AO430" s="14">
        <f>INDEX(挂机升级突破!DS$6:DS$57,卡牌消耗!$AT430)</f>
        <v>0</v>
      </c>
      <c r="AP430" s="14">
        <f>INDEX(挂机升级突破!$DP$6:$DP$57,卡牌消耗!AT430)</f>
        <v>43</v>
      </c>
      <c r="AQ430" s="14" t="str">
        <f t="shared" si="356"/>
        <v>徐晃</v>
      </c>
      <c r="AR430" s="14">
        <f t="shared" si="357"/>
        <v>3</v>
      </c>
      <c r="AS430" s="14" t="str">
        <f t="shared" si="358"/>
        <v>徐晃魂火-10</v>
      </c>
      <c r="AT430" s="14">
        <f t="shared" si="359"/>
        <v>10</v>
      </c>
      <c r="AU430" s="14" t="str">
        <f>IF(AM430&gt;0,INDEX(挂机升级突破!$DT$4:$ED$4,AM430),"")</f>
        <v>金币</v>
      </c>
      <c r="AV430" s="14">
        <f>ROUND(INDEX(挂机升级突破!$DJ$6:$DJ$57,卡牌消耗!AT430)*INDEX(卡牌消耗!$B$8:$F$8,AR430)/$Q$4/50,0)*50</f>
        <v>3200</v>
      </c>
      <c r="AW430" s="14" t="str">
        <f>IF(AN430&gt;0,INDEX(挂机升级突破!$DT$4:$ED$4,AN430),"")</f>
        <v>蓝色基础材料</v>
      </c>
      <c r="AX430" s="14">
        <f>ROUND(INDEX(挂机升级突破!$DT$6:$ED$57,卡牌消耗!AT430,AN430)*INDEX(卡牌消耗!$B$5:$F$5,AR430)/$Q$4/5,0)*5</f>
        <v>85</v>
      </c>
      <c r="AY430" s="14" t="str">
        <f>IF(AO430&gt;0,INDEX(挂机升级突破!$DT$4:$ED$4,AO430),"")</f>
        <v/>
      </c>
      <c r="AZ430" s="14" t="str">
        <f>IF(AO430&gt;0,ROUND(INDEX(挂机升级突破!$DT$6:$ED$57,卡牌消耗!AT430,AO430)*INDEX(卡牌消耗!$B$7:$F$7,AR430)/$Q$4,0),"")</f>
        <v/>
      </c>
      <c r="BA430" s="106"/>
      <c r="BB430" s="197"/>
      <c r="BC430" s="197"/>
      <c r="BD430" s="197"/>
      <c r="BE430" s="197"/>
      <c r="BF430" s="197"/>
      <c r="BG430" s="197"/>
      <c r="BH430" s="197"/>
      <c r="BI430" s="197"/>
      <c r="BJ430" s="197"/>
      <c r="BK430" s="197"/>
      <c r="BL430" s="104">
        <v>426</v>
      </c>
      <c r="BM430" s="14">
        <f t="shared" si="360"/>
        <v>22</v>
      </c>
      <c r="BN430" s="14">
        <f>INDEX(挂机升级突破!$EI$7:$EI$26,BS430)</f>
        <v>5</v>
      </c>
      <c r="BO430" s="14">
        <f>INDEX(挂机升级突破!$EJ$7:$EJ$26,BS430)</f>
        <v>1</v>
      </c>
      <c r="BP430" s="14">
        <f t="shared" si="361"/>
        <v>2</v>
      </c>
      <c r="BQ430" s="14">
        <f>INDEX(挂机升级突破!$EH$7:$EH$26,卡牌消耗!BS430)</f>
        <v>42</v>
      </c>
      <c r="BR430" s="14" t="str">
        <f t="shared" si="362"/>
        <v>柠檬精</v>
      </c>
      <c r="BS430" s="14">
        <f t="shared" si="363"/>
        <v>6</v>
      </c>
      <c r="BT430" s="14" t="str">
        <f t="shared" si="364"/>
        <v>柠檬精6突</v>
      </c>
      <c r="BU430" s="14" t="str">
        <f>IF(BN430&gt;0,INDEX(挂机升级突破!$ER$5:$EV$5,卡牌消耗!BN430),"")</f>
        <v>金币</v>
      </c>
      <c r="BV430" s="14">
        <f>IF(BN430&gt;0,ROUND(INDEX(挂机升级突破!$EV$7:$EV$26,卡牌消耗!BS430)*INDEX(卡牌消耗!$B$8:$F$8,BP430)/$Q$4/500,0)*500,"")</f>
        <v>3500</v>
      </c>
      <c r="BW430" s="14" t="str">
        <f>IF(BO430&gt;0,INDEX(挂机升级突破!$ER$5:$EV$5,卡牌消耗!BO430),"")</f>
        <v>玄铁</v>
      </c>
      <c r="BX430" s="14">
        <f>IF(BO430&gt;0,ROUND(INDEX(挂机升级突破!$ER$7:$EU$26,卡牌消耗!BS430,卡牌消耗!BO430)*INDEX($B$6:$F$6,BP430)/$Q$4/5,0)*5,"")</f>
        <v>40</v>
      </c>
      <c r="BY430" s="193"/>
      <c r="BZ430" s="193"/>
      <c r="CA430" s="106"/>
    </row>
    <row r="431" spans="8:99" ht="16.5" x14ac:dyDescent="0.2">
      <c r="H431" s="15"/>
      <c r="I431" s="15"/>
      <c r="J431" s="15"/>
      <c r="K431" s="15"/>
      <c r="L431" s="15"/>
      <c r="M431" s="15"/>
      <c r="N431" s="15"/>
      <c r="O431" s="137"/>
      <c r="P431" s="141"/>
      <c r="Q431" s="141"/>
      <c r="R431" s="141"/>
      <c r="S431" s="141"/>
      <c r="T431" s="141"/>
      <c r="U431" s="141"/>
      <c r="V431" s="141"/>
      <c r="W431" s="141"/>
      <c r="X431" s="141"/>
      <c r="Y431" s="141"/>
      <c r="Z431" s="141"/>
      <c r="AA431" s="194"/>
      <c r="AB431" s="194"/>
      <c r="AC431" s="194"/>
      <c r="AD431" s="194"/>
      <c r="AE431" s="194"/>
      <c r="AF431" s="194"/>
      <c r="AG431" s="197"/>
      <c r="AH431" s="194"/>
      <c r="AI431" s="194"/>
      <c r="AJ431" s="194"/>
      <c r="AK431" s="104">
        <v>427</v>
      </c>
      <c r="AL431" s="14">
        <f t="shared" si="355"/>
        <v>9</v>
      </c>
      <c r="AM431" s="14">
        <f>INDEX(挂机升级突破!DQ$6:DQ$57,卡牌消耗!$AT431)</f>
        <v>11</v>
      </c>
      <c r="AN431" s="14">
        <f>INDEX(挂机升级突破!DR$6:DR$57,卡牌消耗!$AT431)</f>
        <v>2</v>
      </c>
      <c r="AO431" s="14">
        <f>INDEX(挂机升级突破!DS$6:DS$57,卡牌消耗!$AT431)</f>
        <v>0</v>
      </c>
      <c r="AP431" s="14">
        <f>INDEX(挂机升级突破!$DP$6:$DP$57,卡牌消耗!AT431)</f>
        <v>45</v>
      </c>
      <c r="AQ431" s="14" t="str">
        <f t="shared" si="356"/>
        <v>徐晃</v>
      </c>
      <c r="AR431" s="14">
        <f t="shared" si="357"/>
        <v>3</v>
      </c>
      <c r="AS431" s="14" t="str">
        <f t="shared" si="358"/>
        <v>徐晃魂火-11</v>
      </c>
      <c r="AT431" s="14">
        <f t="shared" si="359"/>
        <v>11</v>
      </c>
      <c r="AU431" s="14" t="str">
        <f>IF(AM431&gt;0,INDEX(挂机升级突破!$DT$4:$ED$4,AM431),"")</f>
        <v>金币</v>
      </c>
      <c r="AV431" s="14">
        <f>ROUND(INDEX(挂机升级突破!$DJ$6:$DJ$57,卡牌消耗!AT431)*INDEX(卡牌消耗!$B$8:$F$8,AR431)/$Q$4/50,0)*50</f>
        <v>3200</v>
      </c>
      <c r="AW431" s="14" t="str">
        <f>IF(AN431&gt;0,INDEX(挂机升级突破!$DT$4:$ED$4,AN431),"")</f>
        <v>蓝色基础材料</v>
      </c>
      <c r="AX431" s="14">
        <f>ROUND(INDEX(挂机升级突破!$DT$6:$ED$57,卡牌消耗!AT431,AN431)*INDEX(卡牌消耗!$B$5:$F$5,AR431)/$Q$4/5,0)*5</f>
        <v>85</v>
      </c>
      <c r="AY431" s="14" t="str">
        <f>IF(AO431&gt;0,INDEX(挂机升级突破!$DT$4:$ED$4,AO431),"")</f>
        <v/>
      </c>
      <c r="AZ431" s="14" t="str">
        <f>IF(AO431&gt;0,ROUND(INDEX(挂机升级突破!$DT$6:$ED$57,卡牌消耗!AT431,AO431)*INDEX(卡牌消耗!$B$7:$F$7,AR431)/$Q$4,0),"")</f>
        <v/>
      </c>
      <c r="BA431" s="106"/>
      <c r="BB431" s="197"/>
      <c r="BC431" s="197"/>
      <c r="BD431" s="197"/>
      <c r="BE431" s="197"/>
      <c r="BF431" s="197"/>
      <c r="BG431" s="197"/>
      <c r="BH431" s="197"/>
      <c r="BI431" s="197"/>
      <c r="BJ431" s="197"/>
      <c r="BK431" s="197"/>
      <c r="BL431" s="104">
        <v>427</v>
      </c>
      <c r="BM431" s="14">
        <f t="shared" si="360"/>
        <v>22</v>
      </c>
      <c r="BN431" s="14">
        <f>INDEX(挂机升级突破!$EI$7:$EI$26,BS431)</f>
        <v>5</v>
      </c>
      <c r="BO431" s="14">
        <f>INDEX(挂机升级突破!$EJ$7:$EJ$26,BS431)</f>
        <v>1</v>
      </c>
      <c r="BP431" s="14">
        <f t="shared" si="361"/>
        <v>2</v>
      </c>
      <c r="BQ431" s="14">
        <f>INDEX(挂机升级突破!$EH$7:$EH$26,卡牌消耗!BS431)</f>
        <v>47</v>
      </c>
      <c r="BR431" s="14" t="str">
        <f t="shared" si="362"/>
        <v>柠檬精</v>
      </c>
      <c r="BS431" s="14">
        <f t="shared" si="363"/>
        <v>7</v>
      </c>
      <c r="BT431" s="14" t="str">
        <f t="shared" si="364"/>
        <v>柠檬精7突</v>
      </c>
      <c r="BU431" s="14" t="str">
        <f>IF(BN431&gt;0,INDEX(挂机升级突破!$ER$5:$EV$5,卡牌消耗!BN431),"")</f>
        <v>金币</v>
      </c>
      <c r="BV431" s="14">
        <f>IF(BN431&gt;0,ROUND(INDEX(挂机升级突破!$EV$7:$EV$26,卡牌消耗!BS431)*INDEX(卡牌消耗!$B$8:$F$8,BP431)/$Q$4/500,0)*500,"")</f>
        <v>5500</v>
      </c>
      <c r="BW431" s="14" t="str">
        <f>IF(BO431&gt;0,INDEX(挂机升级突破!$ER$5:$EV$5,卡牌消耗!BO431),"")</f>
        <v>玄铁</v>
      </c>
      <c r="BX431" s="14">
        <f>IF(BO431&gt;0,ROUND(INDEX(挂机升级突破!$ER$7:$EU$26,卡牌消耗!BS431,卡牌消耗!BO431)*INDEX($B$6:$F$6,BP431)/$Q$4/5,0)*5,"")</f>
        <v>65</v>
      </c>
      <c r="BY431" s="193"/>
      <c r="BZ431" s="193"/>
      <c r="CA431" s="106"/>
    </row>
    <row r="432" spans="8:99" ht="16.5" x14ac:dyDescent="0.2">
      <c r="H432" s="15"/>
      <c r="I432" s="15"/>
      <c r="J432" s="15"/>
      <c r="K432" s="15"/>
      <c r="L432" s="15"/>
      <c r="M432" s="15"/>
      <c r="N432" s="15"/>
      <c r="O432" s="137"/>
      <c r="P432" s="141"/>
      <c r="Q432" s="141"/>
      <c r="R432" s="141"/>
      <c r="S432" s="141"/>
      <c r="T432" s="141"/>
      <c r="U432" s="141"/>
      <c r="V432" s="141"/>
      <c r="W432" s="141"/>
      <c r="X432" s="141"/>
      <c r="Y432" s="141"/>
      <c r="Z432" s="141"/>
      <c r="AA432" s="194"/>
      <c r="AB432" s="194"/>
      <c r="AC432" s="194"/>
      <c r="AD432" s="194"/>
      <c r="AE432" s="194"/>
      <c r="AF432" s="194"/>
      <c r="AG432" s="197"/>
      <c r="AH432" s="194"/>
      <c r="AI432" s="194"/>
      <c r="AJ432" s="194"/>
      <c r="AK432" s="104">
        <v>428</v>
      </c>
      <c r="AL432" s="14">
        <f t="shared" si="355"/>
        <v>9</v>
      </c>
      <c r="AM432" s="14">
        <f>INDEX(挂机升级突破!DQ$6:DQ$57,卡牌消耗!$AT432)</f>
        <v>11</v>
      </c>
      <c r="AN432" s="14">
        <f>INDEX(挂机升级突破!DR$6:DR$57,卡牌消耗!$AT432)</f>
        <v>2</v>
      </c>
      <c r="AO432" s="14">
        <f>INDEX(挂机升级突破!DS$6:DS$57,卡牌消耗!$AT432)</f>
        <v>0</v>
      </c>
      <c r="AP432" s="14">
        <f>INDEX(挂机升级突破!$DP$6:$DP$57,卡牌消耗!AT432)</f>
        <v>48</v>
      </c>
      <c r="AQ432" s="14" t="str">
        <f t="shared" si="356"/>
        <v>徐晃</v>
      </c>
      <c r="AR432" s="14">
        <f t="shared" si="357"/>
        <v>3</v>
      </c>
      <c r="AS432" s="14" t="str">
        <f t="shared" si="358"/>
        <v>徐晃魂火-12</v>
      </c>
      <c r="AT432" s="14">
        <f t="shared" si="359"/>
        <v>12</v>
      </c>
      <c r="AU432" s="14" t="str">
        <f>IF(AM432&gt;0,INDEX(挂机升级突破!$DT$4:$ED$4,AM432),"")</f>
        <v>金币</v>
      </c>
      <c r="AV432" s="14">
        <f>ROUND(INDEX(挂机升级突破!$DJ$6:$DJ$57,卡牌消耗!AT432)*INDEX(卡牌消耗!$B$8:$F$8,AR432)/$Q$4/50,0)*50</f>
        <v>2750</v>
      </c>
      <c r="AW432" s="14" t="str">
        <f>IF(AN432&gt;0,INDEX(挂机升级突破!$DT$4:$ED$4,AN432),"")</f>
        <v>蓝色基础材料</v>
      </c>
      <c r="AX432" s="14">
        <f>ROUND(INDEX(挂机升级突破!$DT$6:$ED$57,卡牌消耗!AT432,AN432)*INDEX(卡牌消耗!$B$5:$F$5,AR432)/$Q$4/5,0)*5</f>
        <v>115</v>
      </c>
      <c r="AY432" s="14" t="str">
        <f>IF(AO432&gt;0,INDEX(挂机升级突破!$DT$4:$ED$4,AO432),"")</f>
        <v/>
      </c>
      <c r="AZ432" s="14" t="str">
        <f>IF(AO432&gt;0,ROUND(INDEX(挂机升级突破!$DT$6:$ED$57,卡牌消耗!AT432,AO432)*INDEX(卡牌消耗!$B$7:$F$7,AR432)/$Q$4,0),"")</f>
        <v/>
      </c>
      <c r="BA432" s="106"/>
      <c r="BB432" s="197"/>
      <c r="BC432" s="197"/>
      <c r="BD432" s="197"/>
      <c r="BE432" s="197"/>
      <c r="BF432" s="197"/>
      <c r="BG432" s="197"/>
      <c r="BH432" s="197"/>
      <c r="BI432" s="197"/>
      <c r="BJ432" s="197"/>
      <c r="BK432" s="197"/>
      <c r="BL432" s="104">
        <v>428</v>
      </c>
      <c r="BM432" s="14">
        <f t="shared" si="360"/>
        <v>22</v>
      </c>
      <c r="BN432" s="14">
        <f>INDEX(挂机升级突破!$EI$7:$EI$26,BS432)</f>
        <v>5</v>
      </c>
      <c r="BO432" s="14">
        <f>INDEX(挂机升级突破!$EJ$7:$EJ$26,BS432)</f>
        <v>1</v>
      </c>
      <c r="BP432" s="14">
        <f t="shared" si="361"/>
        <v>2</v>
      </c>
      <c r="BQ432" s="14">
        <f>INDEX(挂机升级突破!$EH$7:$EH$26,卡牌消耗!BS432)</f>
        <v>52</v>
      </c>
      <c r="BR432" s="14" t="str">
        <f t="shared" si="362"/>
        <v>柠檬精</v>
      </c>
      <c r="BS432" s="14">
        <f t="shared" si="363"/>
        <v>8</v>
      </c>
      <c r="BT432" s="14" t="str">
        <f t="shared" si="364"/>
        <v>柠檬精8突</v>
      </c>
      <c r="BU432" s="14" t="str">
        <f>IF(BN432&gt;0,INDEX(挂机升级突破!$ER$5:$EV$5,卡牌消耗!BN432),"")</f>
        <v>金币</v>
      </c>
      <c r="BV432" s="14">
        <f>IF(BN432&gt;0,ROUND(INDEX(挂机升级突破!$EV$7:$EV$26,卡牌消耗!BS432)*INDEX(卡牌消耗!$B$8:$F$8,BP432)/$Q$4/500,0)*500,"")</f>
        <v>5500</v>
      </c>
      <c r="BW432" s="14" t="str">
        <f>IF(BO432&gt;0,INDEX(挂机升级突破!$ER$5:$EV$5,卡牌消耗!BO432),"")</f>
        <v>玄铁</v>
      </c>
      <c r="BX432" s="14">
        <f>IF(BO432&gt;0,ROUND(INDEX(挂机升级突破!$ER$7:$EU$26,卡牌消耗!BS432,卡牌消耗!BO432)*INDEX($B$6:$F$6,BP432)/$Q$4/5,0)*5,"")</f>
        <v>120</v>
      </c>
      <c r="BY432" s="193"/>
      <c r="BZ432" s="193"/>
      <c r="CA432" s="106"/>
    </row>
    <row r="433" spans="8:79" ht="16.5" x14ac:dyDescent="0.2">
      <c r="H433" s="15"/>
      <c r="I433" s="15"/>
      <c r="J433" s="15"/>
      <c r="K433" s="15"/>
      <c r="L433" s="15"/>
      <c r="M433" s="15"/>
      <c r="N433" s="15"/>
      <c r="O433" s="137"/>
      <c r="P433" s="141"/>
      <c r="Q433" s="141"/>
      <c r="R433" s="141"/>
      <c r="S433" s="141"/>
      <c r="T433" s="141"/>
      <c r="U433" s="141"/>
      <c r="V433" s="141"/>
      <c r="W433" s="141"/>
      <c r="X433" s="141"/>
      <c r="Y433" s="141"/>
      <c r="Z433" s="141"/>
      <c r="AA433" s="194"/>
      <c r="AB433" s="194"/>
      <c r="AC433" s="194"/>
      <c r="AD433" s="194"/>
      <c r="AE433" s="194"/>
      <c r="AF433" s="194"/>
      <c r="AG433" s="197"/>
      <c r="AH433" s="194"/>
      <c r="AI433" s="194"/>
      <c r="AJ433" s="194"/>
      <c r="AK433" s="104">
        <v>429</v>
      </c>
      <c r="AL433" s="14">
        <f t="shared" si="355"/>
        <v>9</v>
      </c>
      <c r="AM433" s="14">
        <f>INDEX(挂机升级突破!DQ$6:DQ$57,卡牌消耗!$AT433)</f>
        <v>11</v>
      </c>
      <c r="AN433" s="14">
        <f>INDEX(挂机升级突破!DR$6:DR$57,卡牌消耗!$AT433)</f>
        <v>2</v>
      </c>
      <c r="AO433" s="14">
        <f>INDEX(挂机升级突破!DS$6:DS$57,卡牌消耗!$AT433)</f>
        <v>0</v>
      </c>
      <c r="AP433" s="14">
        <f>INDEX(挂机升级突破!$DP$6:$DP$57,卡牌消耗!AT433)</f>
        <v>50</v>
      </c>
      <c r="AQ433" s="14" t="str">
        <f t="shared" si="356"/>
        <v>徐晃</v>
      </c>
      <c r="AR433" s="14">
        <f t="shared" si="357"/>
        <v>3</v>
      </c>
      <c r="AS433" s="14" t="str">
        <f t="shared" si="358"/>
        <v>徐晃魂火-13</v>
      </c>
      <c r="AT433" s="14">
        <f t="shared" si="359"/>
        <v>13</v>
      </c>
      <c r="AU433" s="14" t="str">
        <f>IF(AM433&gt;0,INDEX(挂机升级突破!$DT$4:$ED$4,AM433),"")</f>
        <v>金币</v>
      </c>
      <c r="AV433" s="14">
        <f>ROUND(INDEX(挂机升级突破!$DJ$6:$DJ$57,卡牌消耗!AT433)*INDEX(卡牌消耗!$B$8:$F$8,AR433)/$Q$4/50,0)*50</f>
        <v>2750</v>
      </c>
      <c r="AW433" s="14" t="str">
        <f>IF(AN433&gt;0,INDEX(挂机升级突破!$DT$4:$ED$4,AN433),"")</f>
        <v>蓝色基础材料</v>
      </c>
      <c r="AX433" s="14">
        <f>ROUND(INDEX(挂机升级突破!$DT$6:$ED$57,卡牌消耗!AT433,AN433)*INDEX(卡牌消耗!$B$5:$F$5,AR433)/$Q$4/5,0)*5</f>
        <v>115</v>
      </c>
      <c r="AY433" s="14" t="str">
        <f>IF(AO433&gt;0,INDEX(挂机升级突破!$DT$4:$ED$4,AO433),"")</f>
        <v/>
      </c>
      <c r="AZ433" s="14" t="str">
        <f>IF(AO433&gt;0,ROUND(INDEX(挂机升级突破!$DT$6:$ED$57,卡牌消耗!AT433,AO433)*INDEX(卡牌消耗!$B$7:$F$7,AR433)/$Q$4,0),"")</f>
        <v/>
      </c>
      <c r="BA433" s="106"/>
      <c r="BB433" s="197"/>
      <c r="BC433" s="197"/>
      <c r="BD433" s="197"/>
      <c r="BE433" s="197"/>
      <c r="BF433" s="197"/>
      <c r="BG433" s="197"/>
      <c r="BH433" s="197"/>
      <c r="BI433" s="197"/>
      <c r="BJ433" s="197"/>
      <c r="BK433" s="197"/>
      <c r="BL433" s="104">
        <v>429</v>
      </c>
      <c r="BM433" s="14">
        <f t="shared" si="360"/>
        <v>22</v>
      </c>
      <c r="BN433" s="14">
        <f>INDEX(挂机升级突破!$EI$7:$EI$26,BS433)</f>
        <v>5</v>
      </c>
      <c r="BO433" s="14">
        <f>INDEX(挂机升级突破!$EJ$7:$EJ$26,BS433)</f>
        <v>2</v>
      </c>
      <c r="BP433" s="14">
        <f t="shared" si="361"/>
        <v>2</v>
      </c>
      <c r="BQ433" s="14">
        <f>INDEX(挂机升级突破!$EH$7:$EH$26,卡牌消耗!BS433)</f>
        <v>57</v>
      </c>
      <c r="BR433" s="14" t="str">
        <f t="shared" si="362"/>
        <v>柠檬精</v>
      </c>
      <c r="BS433" s="14">
        <f t="shared" si="363"/>
        <v>9</v>
      </c>
      <c r="BT433" s="14" t="str">
        <f t="shared" si="364"/>
        <v>柠檬精9突</v>
      </c>
      <c r="BU433" s="14" t="str">
        <f>IF(BN433&gt;0,INDEX(挂机升级突破!$ER$5:$EV$5,卡牌消耗!BN433),"")</f>
        <v>金币</v>
      </c>
      <c r="BV433" s="14">
        <f>IF(BN433&gt;0,ROUND(INDEX(挂机升级突破!$EV$7:$EV$26,卡牌消耗!BS433)*INDEX(卡牌消耗!$B$8:$F$8,BP433)/$Q$4/500,0)*500,"")</f>
        <v>7500</v>
      </c>
      <c r="BW433" s="14" t="str">
        <f>IF(BO433&gt;0,INDEX(挂机升级突破!$ER$5:$EV$5,卡牌消耗!BO433),"")</f>
        <v>乌金</v>
      </c>
      <c r="BX433" s="14">
        <f>IF(BO433&gt;0,ROUND(INDEX(挂机升级突破!$ER$7:$EU$26,卡牌消耗!BS433,卡牌消耗!BO433)*INDEX($B$6:$F$6,BP433)/$Q$4/5,0)*5,"")</f>
        <v>40</v>
      </c>
      <c r="BY433" s="193"/>
      <c r="BZ433" s="193"/>
      <c r="CA433" s="106"/>
    </row>
    <row r="434" spans="8:79" ht="16.5" x14ac:dyDescent="0.2">
      <c r="H434" s="15"/>
      <c r="I434" s="15"/>
      <c r="J434" s="15"/>
      <c r="K434" s="15"/>
      <c r="L434" s="15"/>
      <c r="M434" s="15"/>
      <c r="N434" s="15"/>
      <c r="O434" s="137"/>
      <c r="P434" s="141"/>
      <c r="Q434" s="141"/>
      <c r="R434" s="141"/>
      <c r="S434" s="141"/>
      <c r="T434" s="141"/>
      <c r="U434" s="141"/>
      <c r="V434" s="141"/>
      <c r="W434" s="141"/>
      <c r="X434" s="141"/>
      <c r="Y434" s="141"/>
      <c r="Z434" s="141"/>
      <c r="AA434" s="194"/>
      <c r="AB434" s="194"/>
      <c r="AC434" s="194"/>
      <c r="AD434" s="194"/>
      <c r="AE434" s="194"/>
      <c r="AF434" s="194"/>
      <c r="AG434" s="197"/>
      <c r="AH434" s="194"/>
      <c r="AI434" s="194"/>
      <c r="AJ434" s="194"/>
      <c r="AK434" s="104">
        <v>430</v>
      </c>
      <c r="AL434" s="14">
        <f t="shared" si="355"/>
        <v>9</v>
      </c>
      <c r="AM434" s="14">
        <f>INDEX(挂机升级突破!DQ$6:DQ$57,卡牌消耗!$AT434)</f>
        <v>11</v>
      </c>
      <c r="AN434" s="14">
        <f>INDEX(挂机升级突破!DR$6:DR$57,卡牌消耗!$AT434)</f>
        <v>3</v>
      </c>
      <c r="AO434" s="14">
        <f>INDEX(挂机升级突破!DS$6:DS$57,卡牌消耗!$AT434)</f>
        <v>0</v>
      </c>
      <c r="AP434" s="14">
        <f>INDEX(挂机升级突破!$DP$6:$DP$57,卡牌消耗!AT434)</f>
        <v>53</v>
      </c>
      <c r="AQ434" s="14" t="str">
        <f t="shared" si="356"/>
        <v>徐晃</v>
      </c>
      <c r="AR434" s="14">
        <f t="shared" si="357"/>
        <v>3</v>
      </c>
      <c r="AS434" s="14" t="str">
        <f t="shared" si="358"/>
        <v>徐晃魂火-14</v>
      </c>
      <c r="AT434" s="14">
        <f t="shared" si="359"/>
        <v>14</v>
      </c>
      <c r="AU434" s="14" t="str">
        <f>IF(AM434&gt;0,INDEX(挂机升级突破!$DT$4:$ED$4,AM434),"")</f>
        <v>金币</v>
      </c>
      <c r="AV434" s="14">
        <f>ROUND(INDEX(挂机升级突破!$DJ$6:$DJ$57,卡牌消耗!AT434)*INDEX(卡牌消耗!$B$8:$F$8,AR434)/$Q$4/50,0)*50</f>
        <v>3000</v>
      </c>
      <c r="AW434" s="14" t="str">
        <f>IF(AN434&gt;0,INDEX(挂机升级突破!$DT$4:$ED$4,AN434),"")</f>
        <v>紫色基础材料</v>
      </c>
      <c r="AX434" s="14">
        <f>ROUND(INDEX(挂机升级突破!$DT$6:$ED$57,卡牌消耗!AT434,AN434)*INDEX(卡牌消耗!$B$5:$F$5,AR434)/$Q$4/5,0)*5</f>
        <v>25</v>
      </c>
      <c r="AY434" s="14" t="str">
        <f>IF(AO434&gt;0,INDEX(挂机升级突破!$DT$4:$ED$4,AO434),"")</f>
        <v/>
      </c>
      <c r="AZ434" s="14" t="str">
        <f>IF(AO434&gt;0,ROUND(INDEX(挂机升级突破!$DT$6:$ED$57,卡牌消耗!AT434,AO434)*INDEX(卡牌消耗!$B$7:$F$7,AR434)/$Q$4,0),"")</f>
        <v/>
      </c>
      <c r="BA434" s="106"/>
      <c r="BB434" s="197"/>
      <c r="BC434" s="197"/>
      <c r="BD434" s="197"/>
      <c r="BE434" s="197"/>
      <c r="BF434" s="197"/>
      <c r="BG434" s="197"/>
      <c r="BH434" s="197"/>
      <c r="BI434" s="197"/>
      <c r="BJ434" s="197"/>
      <c r="BK434" s="197"/>
      <c r="BL434" s="104">
        <v>430</v>
      </c>
      <c r="BM434" s="14">
        <f t="shared" si="360"/>
        <v>22</v>
      </c>
      <c r="BN434" s="14">
        <f>INDEX(挂机升级突破!$EI$7:$EI$26,BS434)</f>
        <v>5</v>
      </c>
      <c r="BO434" s="14">
        <f>INDEX(挂机升级突破!$EJ$7:$EJ$26,BS434)</f>
        <v>2</v>
      </c>
      <c r="BP434" s="14">
        <f t="shared" si="361"/>
        <v>2</v>
      </c>
      <c r="BQ434" s="14">
        <f>INDEX(挂机升级突破!$EH$7:$EH$26,卡牌消耗!BS434)</f>
        <v>65</v>
      </c>
      <c r="BR434" s="14" t="str">
        <f t="shared" si="362"/>
        <v>柠檬精</v>
      </c>
      <c r="BS434" s="14">
        <f t="shared" si="363"/>
        <v>10</v>
      </c>
      <c r="BT434" s="14" t="str">
        <f t="shared" si="364"/>
        <v>柠檬精10突</v>
      </c>
      <c r="BU434" s="14" t="str">
        <f>IF(BN434&gt;0,INDEX(挂机升级突破!$ER$5:$EV$5,卡牌消耗!BN434),"")</f>
        <v>金币</v>
      </c>
      <c r="BV434" s="14">
        <f>IF(BN434&gt;0,ROUND(INDEX(挂机升级突破!$EV$7:$EV$26,卡牌消耗!BS434)*INDEX(卡牌消耗!$B$8:$F$8,BP434)/$Q$4/500,0)*500,"")</f>
        <v>13000</v>
      </c>
      <c r="BW434" s="14" t="str">
        <f>IF(BO434&gt;0,INDEX(挂机升级突破!$ER$5:$EV$5,卡牌消耗!BO434),"")</f>
        <v>乌金</v>
      </c>
      <c r="BX434" s="14">
        <f>IF(BO434&gt;0,ROUND(INDEX(挂机升级突破!$ER$7:$EU$26,卡牌消耗!BS434,卡牌消耗!BO434)*INDEX($B$6:$F$6,BP434)/$Q$4/5,0)*5,"")</f>
        <v>55</v>
      </c>
      <c r="BY434" s="193"/>
      <c r="BZ434" s="193"/>
      <c r="CA434" s="106"/>
    </row>
    <row r="435" spans="8:79" ht="16.5" x14ac:dyDescent="0.2">
      <c r="H435" s="15"/>
      <c r="I435" s="15"/>
      <c r="J435" s="15"/>
      <c r="K435" s="15"/>
      <c r="L435" s="15"/>
      <c r="M435" s="15"/>
      <c r="N435" s="15"/>
      <c r="O435" s="137"/>
      <c r="P435" s="141"/>
      <c r="Q435" s="141"/>
      <c r="R435" s="141"/>
      <c r="S435" s="141"/>
      <c r="T435" s="141"/>
      <c r="U435" s="141"/>
      <c r="V435" s="141"/>
      <c r="W435" s="141"/>
      <c r="X435" s="141"/>
      <c r="Y435" s="141"/>
      <c r="Z435" s="141"/>
      <c r="AA435" s="194"/>
      <c r="AB435" s="194"/>
      <c r="AC435" s="194"/>
      <c r="AD435" s="194"/>
      <c r="AE435" s="194"/>
      <c r="AF435" s="194"/>
      <c r="AG435" s="197"/>
      <c r="AH435" s="194"/>
      <c r="AI435" s="194"/>
      <c r="AJ435" s="194"/>
      <c r="AK435" s="104">
        <v>431</v>
      </c>
      <c r="AL435" s="14">
        <f t="shared" si="355"/>
        <v>9</v>
      </c>
      <c r="AM435" s="14">
        <f>INDEX(挂机升级突破!DQ$6:DQ$57,卡牌消耗!$AT435)</f>
        <v>11</v>
      </c>
      <c r="AN435" s="14">
        <f>INDEX(挂机升级突破!DR$6:DR$57,卡牌消耗!$AT435)</f>
        <v>3</v>
      </c>
      <c r="AO435" s="14">
        <f>INDEX(挂机升级突破!DS$6:DS$57,卡牌消耗!$AT435)</f>
        <v>0</v>
      </c>
      <c r="AP435" s="14">
        <f>INDEX(挂机升级突破!$DP$6:$DP$57,卡牌消耗!AT435)</f>
        <v>55</v>
      </c>
      <c r="AQ435" s="14" t="str">
        <f t="shared" si="356"/>
        <v>徐晃</v>
      </c>
      <c r="AR435" s="14">
        <f t="shared" si="357"/>
        <v>3</v>
      </c>
      <c r="AS435" s="14" t="str">
        <f t="shared" si="358"/>
        <v>徐晃魂火-15</v>
      </c>
      <c r="AT435" s="14">
        <f t="shared" si="359"/>
        <v>15</v>
      </c>
      <c r="AU435" s="14" t="str">
        <f>IF(AM435&gt;0,INDEX(挂机升级突破!$DT$4:$ED$4,AM435),"")</f>
        <v>金币</v>
      </c>
      <c r="AV435" s="14">
        <f>ROUND(INDEX(挂机升级突破!$DJ$6:$DJ$57,卡牌消耗!AT435)*INDEX(卡牌消耗!$B$8:$F$8,AR435)/$Q$4/50,0)*50</f>
        <v>3250</v>
      </c>
      <c r="AW435" s="14" t="str">
        <f>IF(AN435&gt;0,INDEX(挂机升级突破!$DT$4:$ED$4,AN435),"")</f>
        <v>紫色基础材料</v>
      </c>
      <c r="AX435" s="14">
        <f>ROUND(INDEX(挂机升级突破!$DT$6:$ED$57,卡牌消耗!AT435,AN435)*INDEX(卡牌消耗!$B$5:$F$5,AR435)/$Q$4/5,0)*5</f>
        <v>25</v>
      </c>
      <c r="AY435" s="14" t="str">
        <f>IF(AO435&gt;0,INDEX(挂机升级突破!$DT$4:$ED$4,AO435),"")</f>
        <v/>
      </c>
      <c r="AZ435" s="14" t="str">
        <f>IF(AO435&gt;0,ROUND(INDEX(挂机升级突破!$DT$6:$ED$57,卡牌消耗!AT435,AO435)*INDEX(卡牌消耗!$B$7:$F$7,AR435)/$Q$4,0),"")</f>
        <v/>
      </c>
      <c r="BA435" s="106"/>
      <c r="BB435" s="197"/>
      <c r="BC435" s="197"/>
      <c r="BD435" s="197"/>
      <c r="BE435" s="197"/>
      <c r="BF435" s="197"/>
      <c r="BG435" s="197"/>
      <c r="BH435" s="197"/>
      <c r="BI435" s="197"/>
      <c r="BJ435" s="197"/>
      <c r="BK435" s="197"/>
      <c r="BL435" s="104">
        <v>431</v>
      </c>
      <c r="BM435" s="14">
        <f t="shared" si="360"/>
        <v>22</v>
      </c>
      <c r="BN435" s="14">
        <f>INDEX(挂机升级突破!$EI$7:$EI$26,BS435)</f>
        <v>5</v>
      </c>
      <c r="BO435" s="14">
        <f>INDEX(挂机升级突破!$EJ$7:$EJ$26,BS435)</f>
        <v>2</v>
      </c>
      <c r="BP435" s="14">
        <f t="shared" si="361"/>
        <v>2</v>
      </c>
      <c r="BQ435" s="14">
        <f>INDEX(挂机升级突破!$EH$7:$EH$26,卡牌消耗!BS435)</f>
        <v>72</v>
      </c>
      <c r="BR435" s="14" t="str">
        <f t="shared" si="362"/>
        <v>柠檬精</v>
      </c>
      <c r="BS435" s="14">
        <f t="shared" si="363"/>
        <v>11</v>
      </c>
      <c r="BT435" s="14" t="str">
        <f t="shared" si="364"/>
        <v>柠檬精11突</v>
      </c>
      <c r="BU435" s="14" t="str">
        <f>IF(BN435&gt;0,INDEX(挂机升级突破!$ER$5:$EV$5,卡牌消耗!BN435),"")</f>
        <v>金币</v>
      </c>
      <c r="BV435" s="14">
        <f>IF(BN435&gt;0,ROUND(INDEX(挂机升级突破!$EV$7:$EV$26,卡牌消耗!BS435)*INDEX(卡牌消耗!$B$8:$F$8,BP435)/$Q$4/500,0)*500,"")</f>
        <v>13000</v>
      </c>
      <c r="BW435" s="14" t="str">
        <f>IF(BO435&gt;0,INDEX(挂机升级突破!$ER$5:$EV$5,卡牌消耗!BO435),"")</f>
        <v>乌金</v>
      </c>
      <c r="BX435" s="14">
        <f>IF(BO435&gt;0,ROUND(INDEX(挂机升级突破!$ER$7:$EU$26,卡牌消耗!BS435,卡牌消耗!BO435)*INDEX($B$6:$F$6,BP435)/$Q$4/5,0)*5,"")</f>
        <v>75</v>
      </c>
      <c r="BY435" s="193"/>
      <c r="BZ435" s="193"/>
      <c r="CA435" s="106"/>
    </row>
    <row r="436" spans="8:79" ht="16.5" x14ac:dyDescent="0.2">
      <c r="H436" s="15"/>
      <c r="I436" s="15"/>
      <c r="J436" s="15"/>
      <c r="K436" s="15"/>
      <c r="L436" s="15"/>
      <c r="M436" s="15"/>
      <c r="N436" s="15"/>
      <c r="O436" s="137"/>
      <c r="P436" s="141"/>
      <c r="Q436" s="141"/>
      <c r="R436" s="141"/>
      <c r="S436" s="141"/>
      <c r="T436" s="141"/>
      <c r="U436" s="141"/>
      <c r="V436" s="141"/>
      <c r="W436" s="141"/>
      <c r="X436" s="141"/>
      <c r="Y436" s="141"/>
      <c r="Z436" s="141"/>
      <c r="AA436" s="194"/>
      <c r="AB436" s="194"/>
      <c r="AC436" s="194"/>
      <c r="AD436" s="194"/>
      <c r="AE436" s="194"/>
      <c r="AF436" s="194"/>
      <c r="AG436" s="197"/>
      <c r="AH436" s="194"/>
      <c r="AI436" s="194"/>
      <c r="AJ436" s="194"/>
      <c r="AK436" s="104">
        <v>432</v>
      </c>
      <c r="AL436" s="14">
        <f t="shared" si="355"/>
        <v>9</v>
      </c>
      <c r="AM436" s="14">
        <f>INDEX(挂机升级突破!DQ$6:DQ$57,卡牌消耗!$AT436)</f>
        <v>11</v>
      </c>
      <c r="AN436" s="14">
        <f>INDEX(挂机升级突破!DR$6:DR$57,卡牌消耗!$AT436)</f>
        <v>3</v>
      </c>
      <c r="AO436" s="14">
        <f>INDEX(挂机升级突破!DS$6:DS$57,卡牌消耗!$AT436)</f>
        <v>0</v>
      </c>
      <c r="AP436" s="14">
        <f>INDEX(挂机升级突破!$DP$6:$DP$57,卡牌消耗!AT436)</f>
        <v>58</v>
      </c>
      <c r="AQ436" s="14" t="str">
        <f t="shared" si="356"/>
        <v>徐晃</v>
      </c>
      <c r="AR436" s="14">
        <f t="shared" si="357"/>
        <v>3</v>
      </c>
      <c r="AS436" s="14" t="str">
        <f t="shared" si="358"/>
        <v>徐晃魂火-16</v>
      </c>
      <c r="AT436" s="14">
        <f t="shared" si="359"/>
        <v>16</v>
      </c>
      <c r="AU436" s="14" t="str">
        <f>IF(AM436&gt;0,INDEX(挂机升级突破!$DT$4:$ED$4,AM436),"")</f>
        <v>金币</v>
      </c>
      <c r="AV436" s="14">
        <f>ROUND(INDEX(挂机升级突破!$DJ$6:$DJ$57,卡牌消耗!AT436)*INDEX(卡牌消耗!$B$8:$F$8,AR436)/$Q$4/50,0)*50</f>
        <v>3250</v>
      </c>
      <c r="AW436" s="14" t="str">
        <f>IF(AN436&gt;0,INDEX(挂机升级突破!$DT$4:$ED$4,AN436),"")</f>
        <v>紫色基础材料</v>
      </c>
      <c r="AX436" s="14">
        <f>ROUND(INDEX(挂机升级突破!$DT$6:$ED$57,卡牌消耗!AT436,AN436)*INDEX(卡牌消耗!$B$5:$F$5,AR436)/$Q$4/5,0)*5</f>
        <v>25</v>
      </c>
      <c r="AY436" s="14" t="str">
        <f>IF(AO436&gt;0,INDEX(挂机升级突破!$DT$4:$ED$4,AO436),"")</f>
        <v/>
      </c>
      <c r="AZ436" s="14" t="str">
        <f>IF(AO436&gt;0,ROUND(INDEX(挂机升级突破!$DT$6:$ED$57,卡牌消耗!AT436,AO436)*INDEX(卡牌消耗!$B$7:$F$7,AR436)/$Q$4,0),"")</f>
        <v/>
      </c>
      <c r="BA436" s="106"/>
      <c r="BB436" s="197"/>
      <c r="BC436" s="197"/>
      <c r="BD436" s="197"/>
      <c r="BE436" s="197"/>
      <c r="BF436" s="197"/>
      <c r="BG436" s="197"/>
      <c r="BH436" s="197"/>
      <c r="BI436" s="197"/>
      <c r="BJ436" s="197"/>
      <c r="BK436" s="197"/>
      <c r="BL436" s="104">
        <v>432</v>
      </c>
      <c r="BM436" s="14">
        <f t="shared" si="360"/>
        <v>22</v>
      </c>
      <c r="BN436" s="14">
        <f>INDEX(挂机升级突破!$EI$7:$EI$26,BS436)</f>
        <v>5</v>
      </c>
      <c r="BO436" s="14">
        <f>INDEX(挂机升级突破!$EJ$7:$EJ$26,BS436)</f>
        <v>2</v>
      </c>
      <c r="BP436" s="14">
        <f t="shared" si="361"/>
        <v>2</v>
      </c>
      <c r="BQ436" s="14">
        <f>INDEX(挂机升级突破!$EH$7:$EH$26,卡牌消耗!BS436)</f>
        <v>80</v>
      </c>
      <c r="BR436" s="14" t="str">
        <f t="shared" si="362"/>
        <v>柠檬精</v>
      </c>
      <c r="BS436" s="14">
        <f t="shared" si="363"/>
        <v>12</v>
      </c>
      <c r="BT436" s="14" t="str">
        <f t="shared" si="364"/>
        <v>柠檬精12突</v>
      </c>
      <c r="BU436" s="14" t="str">
        <f>IF(BN436&gt;0,INDEX(挂机升级突破!$ER$5:$EV$5,卡牌消耗!BN436),"")</f>
        <v>金币</v>
      </c>
      <c r="BV436" s="14">
        <f>IF(BN436&gt;0,ROUND(INDEX(挂机升级突破!$EV$7:$EV$26,卡牌消耗!BS436)*INDEX(卡牌消耗!$B$8:$F$8,BP436)/$Q$4/500,0)*500,"")</f>
        <v>17500</v>
      </c>
      <c r="BW436" s="14" t="str">
        <f>IF(BO436&gt;0,INDEX(挂机升级突破!$ER$5:$EV$5,卡牌消耗!BO436),"")</f>
        <v>乌金</v>
      </c>
      <c r="BX436" s="14">
        <f>IF(BO436&gt;0,ROUND(INDEX(挂机升级突破!$ER$7:$EU$26,卡牌消耗!BS436,卡牌消耗!BO436)*INDEX($B$6:$F$6,BP436)/$Q$4/5,0)*5,"")</f>
        <v>95</v>
      </c>
      <c r="BY436" s="193"/>
      <c r="BZ436" s="193"/>
      <c r="CA436" s="106"/>
    </row>
    <row r="437" spans="8:79" ht="16.5" x14ac:dyDescent="0.2">
      <c r="H437" s="15"/>
      <c r="I437" s="15"/>
      <c r="J437" s="15"/>
      <c r="K437" s="15"/>
      <c r="L437" s="15"/>
      <c r="M437" s="15"/>
      <c r="N437" s="15"/>
      <c r="O437" s="137"/>
      <c r="P437" s="141"/>
      <c r="Q437" s="141"/>
      <c r="R437" s="141"/>
      <c r="S437" s="141"/>
      <c r="T437" s="141"/>
      <c r="U437" s="141"/>
      <c r="V437" s="141"/>
      <c r="W437" s="141"/>
      <c r="X437" s="141"/>
      <c r="Y437" s="141"/>
      <c r="Z437" s="141"/>
      <c r="AA437" s="194"/>
      <c r="AB437" s="194"/>
      <c r="AC437" s="194"/>
      <c r="AD437" s="194"/>
      <c r="AE437" s="194"/>
      <c r="AF437" s="194"/>
      <c r="AG437" s="197"/>
      <c r="AH437" s="194"/>
      <c r="AI437" s="194"/>
      <c r="AJ437" s="194"/>
      <c r="AK437" s="104">
        <v>433</v>
      </c>
      <c r="AL437" s="14">
        <f t="shared" si="355"/>
        <v>9</v>
      </c>
      <c r="AM437" s="14">
        <f>INDEX(挂机升级突破!DQ$6:DQ$57,卡牌消耗!$AT437)</f>
        <v>11</v>
      </c>
      <c r="AN437" s="14">
        <f>INDEX(挂机升级突破!DR$6:DR$57,卡牌消耗!$AT437)</f>
        <v>3</v>
      </c>
      <c r="AO437" s="14">
        <f>INDEX(挂机升级突破!DS$6:DS$57,卡牌消耗!$AT437)</f>
        <v>0</v>
      </c>
      <c r="AP437" s="14">
        <f>INDEX(挂机升级突破!$DP$6:$DP$57,卡牌消耗!AT437)</f>
        <v>60</v>
      </c>
      <c r="AQ437" s="14" t="str">
        <f t="shared" si="356"/>
        <v>徐晃</v>
      </c>
      <c r="AR437" s="14">
        <f t="shared" si="357"/>
        <v>3</v>
      </c>
      <c r="AS437" s="14" t="str">
        <f t="shared" si="358"/>
        <v>徐晃魂火-17</v>
      </c>
      <c r="AT437" s="14">
        <f t="shared" si="359"/>
        <v>17</v>
      </c>
      <c r="AU437" s="14" t="str">
        <f>IF(AM437&gt;0,INDEX(挂机升级突破!$DT$4:$ED$4,AM437),"")</f>
        <v>金币</v>
      </c>
      <c r="AV437" s="14">
        <f>ROUND(INDEX(挂机升级突破!$DJ$6:$DJ$57,卡牌消耗!AT437)*INDEX(卡牌消耗!$B$8:$F$8,AR437)/$Q$4/50,0)*50</f>
        <v>4100</v>
      </c>
      <c r="AW437" s="14" t="str">
        <f>IF(AN437&gt;0,INDEX(挂机升级突破!$DT$4:$ED$4,AN437),"")</f>
        <v>紫色基础材料</v>
      </c>
      <c r="AX437" s="14">
        <f>ROUND(INDEX(挂机升级突破!$DT$6:$ED$57,卡牌消耗!AT437,AN437)*INDEX(卡牌消耗!$B$5:$F$5,AR437)/$Q$4/5,0)*5</f>
        <v>45</v>
      </c>
      <c r="AY437" s="14" t="str">
        <f>IF(AO437&gt;0,INDEX(挂机升级突破!$DT$4:$ED$4,AO437),"")</f>
        <v/>
      </c>
      <c r="AZ437" s="14" t="str">
        <f>IF(AO437&gt;0,ROUND(INDEX(挂机升级突破!$DT$6:$ED$57,卡牌消耗!AT437,AO437)*INDEX(卡牌消耗!$B$7:$F$7,AR437)/$Q$4,0),"")</f>
        <v/>
      </c>
      <c r="BA437" s="106"/>
      <c r="BB437" s="197"/>
      <c r="BC437" s="197"/>
      <c r="BD437" s="197"/>
      <c r="BE437" s="197"/>
      <c r="BF437" s="197"/>
      <c r="BG437" s="197"/>
      <c r="BH437" s="197"/>
      <c r="BI437" s="197"/>
      <c r="BJ437" s="197"/>
      <c r="BK437" s="197"/>
      <c r="BL437" s="104">
        <v>433</v>
      </c>
      <c r="BM437" s="14">
        <f t="shared" si="360"/>
        <v>22</v>
      </c>
      <c r="BN437" s="14">
        <f>INDEX(挂机升级突破!$EI$7:$EI$26,BS437)</f>
        <v>5</v>
      </c>
      <c r="BO437" s="14">
        <f>INDEX(挂机升级突破!$EJ$7:$EJ$26,BS437)</f>
        <v>3</v>
      </c>
      <c r="BP437" s="14">
        <f t="shared" si="361"/>
        <v>2</v>
      </c>
      <c r="BQ437" s="14">
        <f>INDEX(挂机升级突破!$EH$7:$EH$26,卡牌消耗!BS437)</f>
        <v>87</v>
      </c>
      <c r="BR437" s="14" t="str">
        <f t="shared" si="362"/>
        <v>柠檬精</v>
      </c>
      <c r="BS437" s="14">
        <f t="shared" si="363"/>
        <v>13</v>
      </c>
      <c r="BT437" s="14" t="str">
        <f t="shared" si="364"/>
        <v>柠檬精13突</v>
      </c>
      <c r="BU437" s="14" t="str">
        <f>IF(BN437&gt;0,INDEX(挂机升级突破!$ER$5:$EV$5,卡牌消耗!BN437),"")</f>
        <v>金币</v>
      </c>
      <c r="BV437" s="14">
        <f>IF(BN437&gt;0,ROUND(INDEX(挂机升级突破!$EV$7:$EV$26,卡牌消耗!BS437)*INDEX(卡牌消耗!$B$8:$F$8,BP437)/$Q$4/500,0)*500,"")</f>
        <v>23500</v>
      </c>
      <c r="BW437" s="14" t="str">
        <f>IF(BO437&gt;0,INDEX(挂机升级突破!$ER$5:$EV$5,卡牌消耗!BO437),"")</f>
        <v>银母</v>
      </c>
      <c r="BX437" s="14">
        <f>IF(BO437&gt;0,ROUND(INDEX(挂机升级突破!$ER$7:$EU$26,卡牌消耗!BS437,卡牌消耗!BO437)*INDEX($B$6:$F$6,BP437)/$Q$4/5,0)*5,"")</f>
        <v>30</v>
      </c>
      <c r="BY437" s="193"/>
      <c r="BZ437" s="193"/>
      <c r="CA437" s="106"/>
    </row>
    <row r="438" spans="8:79" ht="16.5" x14ac:dyDescent="0.2">
      <c r="H438" s="15"/>
      <c r="I438" s="15"/>
      <c r="J438" s="15"/>
      <c r="K438" s="15"/>
      <c r="L438" s="15"/>
      <c r="M438" s="15"/>
      <c r="N438" s="15"/>
      <c r="O438" s="137"/>
      <c r="P438" s="141"/>
      <c r="Q438" s="141"/>
      <c r="R438" s="141"/>
      <c r="S438" s="141"/>
      <c r="T438" s="141"/>
      <c r="U438" s="141"/>
      <c r="V438" s="141"/>
      <c r="W438" s="141"/>
      <c r="X438" s="141"/>
      <c r="Y438" s="141"/>
      <c r="Z438" s="141"/>
      <c r="AA438" s="194"/>
      <c r="AB438" s="194"/>
      <c r="AC438" s="194"/>
      <c r="AD438" s="194"/>
      <c r="AE438" s="194"/>
      <c r="AF438" s="194"/>
      <c r="AG438" s="197"/>
      <c r="AH438" s="194"/>
      <c r="AI438" s="194"/>
      <c r="AJ438" s="194"/>
      <c r="AK438" s="104">
        <v>434</v>
      </c>
      <c r="AL438" s="14">
        <f t="shared" si="355"/>
        <v>9</v>
      </c>
      <c r="AM438" s="14">
        <f>INDEX(挂机升级突破!DQ$6:DQ$57,卡牌消耗!$AT438)</f>
        <v>11</v>
      </c>
      <c r="AN438" s="14">
        <f>INDEX(挂机升级突破!DR$6:DR$57,卡牌消耗!$AT438)</f>
        <v>3</v>
      </c>
      <c r="AO438" s="14">
        <f>INDEX(挂机升级突破!DS$6:DS$57,卡牌消耗!$AT438)</f>
        <v>0</v>
      </c>
      <c r="AP438" s="14">
        <f>INDEX(挂机升级突破!$DP$6:$DP$57,卡牌消耗!AT438)</f>
        <v>63</v>
      </c>
      <c r="AQ438" s="14" t="str">
        <f t="shared" si="356"/>
        <v>徐晃</v>
      </c>
      <c r="AR438" s="14">
        <f t="shared" si="357"/>
        <v>3</v>
      </c>
      <c r="AS438" s="14" t="str">
        <f t="shared" si="358"/>
        <v>徐晃魂火-18</v>
      </c>
      <c r="AT438" s="14">
        <f t="shared" si="359"/>
        <v>18</v>
      </c>
      <c r="AU438" s="14" t="str">
        <f>IF(AM438&gt;0,INDEX(挂机升级突破!$DT$4:$ED$4,AM438),"")</f>
        <v>金币</v>
      </c>
      <c r="AV438" s="14">
        <f>ROUND(INDEX(挂机升级突破!$DJ$6:$DJ$57,卡牌消耗!AT438)*INDEX(卡牌消耗!$B$8:$F$8,AR438)/$Q$4/50,0)*50</f>
        <v>4100</v>
      </c>
      <c r="AW438" s="14" t="str">
        <f>IF(AN438&gt;0,INDEX(挂机升级突破!$DT$4:$ED$4,AN438),"")</f>
        <v>紫色基础材料</v>
      </c>
      <c r="AX438" s="14">
        <f>ROUND(INDEX(挂机升级突破!$DT$6:$ED$57,卡牌消耗!AT438,AN438)*INDEX(卡牌消耗!$B$5:$F$5,AR438)/$Q$4/5,0)*5</f>
        <v>45</v>
      </c>
      <c r="AY438" s="14" t="str">
        <f>IF(AO438&gt;0,INDEX(挂机升级突破!$DT$4:$ED$4,AO438),"")</f>
        <v/>
      </c>
      <c r="AZ438" s="14" t="str">
        <f>IF(AO438&gt;0,ROUND(INDEX(挂机升级突破!$DT$6:$ED$57,卡牌消耗!AT438,AO438)*INDEX(卡牌消耗!$B$7:$F$7,AR438)/$Q$4,0),"")</f>
        <v/>
      </c>
      <c r="BA438" s="106"/>
      <c r="BB438" s="197"/>
      <c r="BC438" s="197"/>
      <c r="BD438" s="197"/>
      <c r="BE438" s="197"/>
      <c r="BF438" s="197"/>
      <c r="BG438" s="197"/>
      <c r="BH438" s="197"/>
      <c r="BI438" s="197"/>
      <c r="BJ438" s="197"/>
      <c r="BK438" s="197"/>
      <c r="BL438" s="104">
        <v>434</v>
      </c>
      <c r="BM438" s="14">
        <f t="shared" si="360"/>
        <v>22</v>
      </c>
      <c r="BN438" s="14">
        <f>INDEX(挂机升级突破!$EI$7:$EI$26,BS438)</f>
        <v>5</v>
      </c>
      <c r="BO438" s="14">
        <f>INDEX(挂机升级突破!$EJ$7:$EJ$26,BS438)</f>
        <v>3</v>
      </c>
      <c r="BP438" s="14">
        <f t="shared" si="361"/>
        <v>2</v>
      </c>
      <c r="BQ438" s="14">
        <f>INDEX(挂机升级突破!$EH$7:$EH$26,卡牌消耗!BS438)</f>
        <v>95</v>
      </c>
      <c r="BR438" s="14" t="str">
        <f t="shared" si="362"/>
        <v>柠檬精</v>
      </c>
      <c r="BS438" s="14">
        <f t="shared" si="363"/>
        <v>14</v>
      </c>
      <c r="BT438" s="14" t="str">
        <f t="shared" si="364"/>
        <v>柠檬精14突</v>
      </c>
      <c r="BU438" s="14" t="str">
        <f>IF(BN438&gt;0,INDEX(挂机升级突破!$ER$5:$EV$5,卡牌消耗!BN438),"")</f>
        <v>金币</v>
      </c>
      <c r="BV438" s="14">
        <f>IF(BN438&gt;0,ROUND(INDEX(挂机升级突破!$EV$7:$EV$26,卡牌消耗!BS438)*INDEX(卡牌消耗!$B$8:$F$8,BP438)/$Q$4/500,0)*500,"")</f>
        <v>23500</v>
      </c>
      <c r="BW438" s="14" t="str">
        <f>IF(BO438&gt;0,INDEX(挂机升级突破!$ER$5:$EV$5,卡牌消耗!BO438),"")</f>
        <v>银母</v>
      </c>
      <c r="BX438" s="14">
        <f>IF(BO438&gt;0,ROUND(INDEX(挂机升级突破!$ER$7:$EU$26,卡牌消耗!BS438,卡牌消耗!BO438)*INDEX($B$6:$F$6,BP438)/$Q$4/5,0)*5,"")</f>
        <v>45</v>
      </c>
      <c r="BY438" s="193"/>
      <c r="BZ438" s="193"/>
      <c r="CA438" s="106"/>
    </row>
    <row r="439" spans="8:79" ht="16.5" x14ac:dyDescent="0.2">
      <c r="H439" s="15"/>
      <c r="I439" s="15"/>
      <c r="J439" s="15"/>
      <c r="K439" s="15"/>
      <c r="L439" s="15"/>
      <c r="M439" s="15"/>
      <c r="N439" s="15"/>
      <c r="O439" s="137"/>
      <c r="P439" s="141"/>
      <c r="Q439" s="141"/>
      <c r="R439" s="141"/>
      <c r="S439" s="141"/>
      <c r="T439" s="141"/>
      <c r="U439" s="141"/>
      <c r="V439" s="141"/>
      <c r="W439" s="141"/>
      <c r="X439" s="141"/>
      <c r="Y439" s="141"/>
      <c r="Z439" s="141"/>
      <c r="AA439" s="194"/>
      <c r="AB439" s="194"/>
      <c r="AC439" s="194"/>
      <c r="AD439" s="194"/>
      <c r="AE439" s="194"/>
      <c r="AF439" s="194"/>
      <c r="AG439" s="197"/>
      <c r="AH439" s="194"/>
      <c r="AI439" s="194"/>
      <c r="AJ439" s="194"/>
      <c r="AK439" s="104">
        <v>435</v>
      </c>
      <c r="AL439" s="14">
        <f t="shared" si="355"/>
        <v>9</v>
      </c>
      <c r="AM439" s="14">
        <f>INDEX(挂机升级突破!DQ$6:DQ$57,卡牌消耗!$AT439)</f>
        <v>11</v>
      </c>
      <c r="AN439" s="14">
        <f>INDEX(挂机升级突破!DR$6:DR$57,卡牌消耗!$AT439)</f>
        <v>3</v>
      </c>
      <c r="AO439" s="14">
        <f>INDEX(挂机升级突破!DS$6:DS$57,卡牌消耗!$AT439)</f>
        <v>0</v>
      </c>
      <c r="AP439" s="14">
        <f>INDEX(挂机升级突破!$DP$6:$DP$57,卡牌消耗!AT439)</f>
        <v>65</v>
      </c>
      <c r="AQ439" s="14" t="str">
        <f t="shared" si="356"/>
        <v>徐晃</v>
      </c>
      <c r="AR439" s="14">
        <f t="shared" si="357"/>
        <v>3</v>
      </c>
      <c r="AS439" s="14" t="str">
        <f t="shared" si="358"/>
        <v>徐晃魂火-19</v>
      </c>
      <c r="AT439" s="14">
        <f t="shared" si="359"/>
        <v>19</v>
      </c>
      <c r="AU439" s="14" t="str">
        <f>IF(AM439&gt;0,INDEX(挂机升级突破!$DT$4:$ED$4,AM439),"")</f>
        <v>金币</v>
      </c>
      <c r="AV439" s="14">
        <f>ROUND(INDEX(挂机升级突破!$DJ$6:$DJ$57,卡牌消耗!AT439)*INDEX(卡牌消耗!$B$8:$F$8,AR439)/$Q$4/50,0)*50</f>
        <v>4100</v>
      </c>
      <c r="AW439" s="14" t="str">
        <f>IF(AN439&gt;0,INDEX(挂机升级突破!$DT$4:$ED$4,AN439),"")</f>
        <v>紫色基础材料</v>
      </c>
      <c r="AX439" s="14">
        <f>ROUND(INDEX(挂机升级突破!$DT$6:$ED$57,卡牌消耗!AT439,AN439)*INDEX(卡牌消耗!$B$5:$F$5,AR439)/$Q$4/5,0)*5</f>
        <v>45</v>
      </c>
      <c r="AY439" s="14" t="str">
        <f>IF(AO439&gt;0,INDEX(挂机升级突破!$DT$4:$ED$4,AO439),"")</f>
        <v/>
      </c>
      <c r="AZ439" s="14" t="str">
        <f>IF(AO439&gt;0,ROUND(INDEX(挂机升级突破!$DT$6:$ED$57,卡牌消耗!AT439,AO439)*INDEX(卡牌消耗!$B$7:$F$7,AR439)/$Q$4,0),"")</f>
        <v/>
      </c>
      <c r="BA439" s="106"/>
      <c r="BB439" s="197"/>
      <c r="BC439" s="197"/>
      <c r="BD439" s="197"/>
      <c r="BE439" s="197"/>
      <c r="BF439" s="197"/>
      <c r="BG439" s="197"/>
      <c r="BH439" s="197"/>
      <c r="BI439" s="197"/>
      <c r="BJ439" s="197"/>
      <c r="BK439" s="197"/>
      <c r="BL439" s="104">
        <v>435</v>
      </c>
      <c r="BM439" s="14">
        <f t="shared" si="360"/>
        <v>22</v>
      </c>
      <c r="BN439" s="14">
        <f>INDEX(挂机升级突破!$EI$7:$EI$26,BS439)</f>
        <v>5</v>
      </c>
      <c r="BO439" s="14">
        <f>INDEX(挂机升级突破!$EJ$7:$EJ$26,BS439)</f>
        <v>3</v>
      </c>
      <c r="BP439" s="14">
        <f t="shared" si="361"/>
        <v>2</v>
      </c>
      <c r="BQ439" s="14">
        <f>INDEX(挂机升级突破!$EH$7:$EH$26,卡牌消耗!BS439)</f>
        <v>102</v>
      </c>
      <c r="BR439" s="14" t="str">
        <f t="shared" si="362"/>
        <v>柠檬精</v>
      </c>
      <c r="BS439" s="14">
        <f t="shared" si="363"/>
        <v>15</v>
      </c>
      <c r="BT439" s="14" t="str">
        <f t="shared" si="364"/>
        <v>柠檬精15突</v>
      </c>
      <c r="BU439" s="14" t="str">
        <f>IF(BN439&gt;0,INDEX(挂机升级突破!$ER$5:$EV$5,卡牌消耗!BN439),"")</f>
        <v>金币</v>
      </c>
      <c r="BV439" s="14">
        <f>IF(BN439&gt;0,ROUND(INDEX(挂机升级突破!$EV$7:$EV$26,卡牌消耗!BS439)*INDEX(卡牌消耗!$B$8:$F$8,BP439)/$Q$4/500,0)*500,"")</f>
        <v>31000</v>
      </c>
      <c r="BW439" s="14" t="str">
        <f>IF(BO439&gt;0,INDEX(挂机升级突破!$ER$5:$EV$5,卡牌消耗!BO439),"")</f>
        <v>银母</v>
      </c>
      <c r="BX439" s="14">
        <f>IF(BO439&gt;0,ROUND(INDEX(挂机升级突破!$ER$7:$EU$26,卡牌消耗!BS439,卡牌消耗!BO439)*INDEX($B$6:$F$6,BP439)/$Q$4/5,0)*5,"")</f>
        <v>55</v>
      </c>
      <c r="BY439" s="193"/>
      <c r="BZ439" s="193"/>
      <c r="CA439" s="106"/>
    </row>
    <row r="440" spans="8:79" ht="16.5" x14ac:dyDescent="0.2">
      <c r="H440" s="15"/>
      <c r="I440" s="15"/>
      <c r="J440" s="15"/>
      <c r="K440" s="15"/>
      <c r="L440" s="15"/>
      <c r="M440" s="15"/>
      <c r="N440" s="15"/>
      <c r="O440" s="137"/>
      <c r="P440" s="141"/>
      <c r="Q440" s="141"/>
      <c r="R440" s="141"/>
      <c r="S440" s="141"/>
      <c r="T440" s="141"/>
      <c r="U440" s="141"/>
      <c r="V440" s="141"/>
      <c r="W440" s="141"/>
      <c r="X440" s="141"/>
      <c r="Y440" s="141"/>
      <c r="Z440" s="141"/>
      <c r="AA440" s="194"/>
      <c r="AB440" s="194"/>
      <c r="AC440" s="194"/>
      <c r="AD440" s="194"/>
      <c r="AE440" s="194"/>
      <c r="AF440" s="194"/>
      <c r="AG440" s="197"/>
      <c r="AH440" s="194"/>
      <c r="AI440" s="194"/>
      <c r="AJ440" s="194"/>
      <c r="AK440" s="104">
        <v>436</v>
      </c>
      <c r="AL440" s="14">
        <f t="shared" si="355"/>
        <v>9</v>
      </c>
      <c r="AM440" s="14">
        <f>INDEX(挂机升级突破!DQ$6:DQ$57,卡牌消耗!$AT440)</f>
        <v>11</v>
      </c>
      <c r="AN440" s="14">
        <f>INDEX(挂机升级突破!DR$6:DR$57,卡牌消耗!$AT440)</f>
        <v>3</v>
      </c>
      <c r="AO440" s="14">
        <f>INDEX(挂机升级突破!DS$6:DS$57,卡牌消耗!$AT440)</f>
        <v>0</v>
      </c>
      <c r="AP440" s="14">
        <f>INDEX(挂机升级突破!$DP$6:$DP$57,卡牌消耗!AT440)</f>
        <v>68</v>
      </c>
      <c r="AQ440" s="14" t="str">
        <f t="shared" si="356"/>
        <v>徐晃</v>
      </c>
      <c r="AR440" s="14">
        <f t="shared" si="357"/>
        <v>3</v>
      </c>
      <c r="AS440" s="14" t="str">
        <f t="shared" si="358"/>
        <v>徐晃魂火-20</v>
      </c>
      <c r="AT440" s="14">
        <f t="shared" si="359"/>
        <v>20</v>
      </c>
      <c r="AU440" s="14" t="str">
        <f>IF(AM440&gt;0,INDEX(挂机升级突破!$DT$4:$ED$4,AM440),"")</f>
        <v>金币</v>
      </c>
      <c r="AV440" s="14">
        <f>ROUND(INDEX(挂机升级突破!$DJ$6:$DJ$57,卡牌消耗!AT440)*INDEX(卡牌消耗!$B$8:$F$8,AR440)/$Q$4/50,0)*50</f>
        <v>5000</v>
      </c>
      <c r="AW440" s="14" t="str">
        <f>IF(AN440&gt;0,INDEX(挂机升级突破!$DT$4:$ED$4,AN440),"")</f>
        <v>紫色基础材料</v>
      </c>
      <c r="AX440" s="14">
        <f>ROUND(INDEX(挂机升级突破!$DT$6:$ED$57,卡牌消耗!AT440,AN440)*INDEX(卡牌消耗!$B$5:$F$5,AR440)/$Q$4/5,0)*5</f>
        <v>70</v>
      </c>
      <c r="AY440" s="14" t="str">
        <f>IF(AO440&gt;0,INDEX(挂机升级突破!$DT$4:$ED$4,AO440),"")</f>
        <v/>
      </c>
      <c r="AZ440" s="14" t="str">
        <f>IF(AO440&gt;0,ROUND(INDEX(挂机升级突破!$DT$6:$ED$57,卡牌消耗!AT440,AO440)*INDEX(卡牌消耗!$B$7:$F$7,AR440)/$Q$4,0),"")</f>
        <v/>
      </c>
      <c r="BA440" s="106"/>
      <c r="BB440" s="197"/>
      <c r="BC440" s="197"/>
      <c r="BD440" s="197"/>
      <c r="BE440" s="197"/>
      <c r="BF440" s="197"/>
      <c r="BG440" s="197"/>
      <c r="BH440" s="197"/>
      <c r="BI440" s="197"/>
      <c r="BJ440" s="197"/>
      <c r="BK440" s="197"/>
      <c r="BL440" s="104">
        <v>436</v>
      </c>
      <c r="BM440" s="14">
        <f t="shared" si="360"/>
        <v>22</v>
      </c>
      <c r="BN440" s="14">
        <f>INDEX(挂机升级突破!$EI$7:$EI$26,BS440)</f>
        <v>5</v>
      </c>
      <c r="BO440" s="14">
        <f>INDEX(挂机升级突破!$EJ$7:$EJ$26,BS440)</f>
        <v>3</v>
      </c>
      <c r="BP440" s="14">
        <f t="shared" si="361"/>
        <v>2</v>
      </c>
      <c r="BQ440" s="14">
        <f>INDEX(挂机升级突破!$EH$7:$EH$26,卡牌消耗!BS440)</f>
        <v>110</v>
      </c>
      <c r="BR440" s="14" t="str">
        <f t="shared" si="362"/>
        <v>柠檬精</v>
      </c>
      <c r="BS440" s="14">
        <f t="shared" si="363"/>
        <v>16</v>
      </c>
      <c r="BT440" s="14" t="str">
        <f t="shared" si="364"/>
        <v>柠檬精16突</v>
      </c>
      <c r="BU440" s="14" t="str">
        <f>IF(BN440&gt;0,INDEX(挂机升级突破!$ER$5:$EV$5,卡牌消耗!BN440),"")</f>
        <v>金币</v>
      </c>
      <c r="BV440" s="14">
        <f>IF(BN440&gt;0,ROUND(INDEX(挂机升级突破!$EV$7:$EV$26,卡牌消耗!BS440)*INDEX(卡牌消耗!$B$8:$F$8,BP440)/$Q$4/500,0)*500,"")</f>
        <v>56500</v>
      </c>
      <c r="BW440" s="14" t="str">
        <f>IF(BO440&gt;0,INDEX(挂机升级突破!$ER$5:$EV$5,卡牌消耗!BO440),"")</f>
        <v>银母</v>
      </c>
      <c r="BX440" s="14">
        <f>IF(BO440&gt;0,ROUND(INDEX(挂机升级突破!$ER$7:$EU$26,卡牌消耗!BS440,卡牌消耗!BO440)*INDEX($B$6:$F$6,BP440)/$Q$4/5,0)*5,"")</f>
        <v>75</v>
      </c>
      <c r="BY440" s="193"/>
      <c r="BZ440" s="193"/>
      <c r="CA440" s="106"/>
    </row>
    <row r="441" spans="8:79" ht="16.5" x14ac:dyDescent="0.2">
      <c r="H441" s="15"/>
      <c r="I441" s="15"/>
      <c r="J441" s="15"/>
      <c r="K441" s="15"/>
      <c r="L441" s="15"/>
      <c r="M441" s="15"/>
      <c r="N441" s="15"/>
      <c r="O441" s="137"/>
      <c r="P441" s="141"/>
      <c r="Q441" s="141"/>
      <c r="R441" s="141"/>
      <c r="S441" s="141"/>
      <c r="T441" s="141"/>
      <c r="U441" s="141"/>
      <c r="V441" s="141"/>
      <c r="W441" s="141"/>
      <c r="X441" s="141"/>
      <c r="Y441" s="141"/>
      <c r="Z441" s="141"/>
      <c r="AA441" s="194"/>
      <c r="AB441" s="194"/>
      <c r="AC441" s="194"/>
      <c r="AD441" s="194"/>
      <c r="AE441" s="194"/>
      <c r="AF441" s="194"/>
      <c r="AG441" s="197"/>
      <c r="AH441" s="194"/>
      <c r="AI441" s="194"/>
      <c r="AJ441" s="194"/>
      <c r="AK441" s="104">
        <v>437</v>
      </c>
      <c r="AL441" s="14">
        <f t="shared" si="355"/>
        <v>9</v>
      </c>
      <c r="AM441" s="14">
        <f>INDEX(挂机升级突破!DQ$6:DQ$57,卡牌消耗!$AT441)</f>
        <v>11</v>
      </c>
      <c r="AN441" s="14">
        <f>INDEX(挂机升级突破!DR$6:DR$57,卡牌消耗!$AT441)</f>
        <v>3</v>
      </c>
      <c r="AO441" s="14">
        <f>INDEX(挂机升级突破!DS$6:DS$57,卡牌消耗!$AT441)</f>
        <v>0</v>
      </c>
      <c r="AP441" s="14">
        <f>INDEX(挂机升级突破!$DP$6:$DP$57,卡牌消耗!AT441)</f>
        <v>70</v>
      </c>
      <c r="AQ441" s="14" t="str">
        <f t="shared" si="356"/>
        <v>徐晃</v>
      </c>
      <c r="AR441" s="14">
        <f t="shared" si="357"/>
        <v>3</v>
      </c>
      <c r="AS441" s="14" t="str">
        <f t="shared" si="358"/>
        <v>徐晃魂火-21</v>
      </c>
      <c r="AT441" s="14">
        <f t="shared" si="359"/>
        <v>21</v>
      </c>
      <c r="AU441" s="14" t="str">
        <f>IF(AM441&gt;0,INDEX(挂机升级突破!$DT$4:$ED$4,AM441),"")</f>
        <v>金币</v>
      </c>
      <c r="AV441" s="14">
        <f>ROUND(INDEX(挂机升级突破!$DJ$6:$DJ$57,卡牌消耗!AT441)*INDEX(卡牌消耗!$B$8:$F$8,AR441)/$Q$4/50,0)*50</f>
        <v>5000</v>
      </c>
      <c r="AW441" s="14" t="str">
        <f>IF(AN441&gt;0,INDEX(挂机升级突破!$DT$4:$ED$4,AN441),"")</f>
        <v>紫色基础材料</v>
      </c>
      <c r="AX441" s="14">
        <f>ROUND(INDEX(挂机升级突破!$DT$6:$ED$57,卡牌消耗!AT441,AN441)*INDEX(卡牌消耗!$B$5:$F$5,AR441)/$Q$4/5,0)*5</f>
        <v>70</v>
      </c>
      <c r="AY441" s="14" t="str">
        <f>IF(AO441&gt;0,INDEX(挂机升级突破!$DT$4:$ED$4,AO441),"")</f>
        <v/>
      </c>
      <c r="AZ441" s="14" t="str">
        <f>IF(AO441&gt;0,ROUND(INDEX(挂机升级突破!$DT$6:$ED$57,卡牌消耗!AT441,AO441)*INDEX(卡牌消耗!$B$7:$F$7,AR441)/$Q$4,0),"")</f>
        <v/>
      </c>
      <c r="BA441" s="106"/>
      <c r="BB441" s="197"/>
      <c r="BC441" s="197"/>
      <c r="BD441" s="197"/>
      <c r="BE441" s="197"/>
      <c r="BF441" s="197"/>
      <c r="BG441" s="197"/>
      <c r="BH441" s="197"/>
      <c r="BI441" s="197"/>
      <c r="BJ441" s="197"/>
      <c r="BK441" s="197"/>
      <c r="BL441" s="104">
        <v>437</v>
      </c>
      <c r="BM441" s="14">
        <f t="shared" si="360"/>
        <v>22</v>
      </c>
      <c r="BN441" s="14">
        <f>INDEX(挂机升级突破!$EI$7:$EI$26,BS441)</f>
        <v>5</v>
      </c>
      <c r="BO441" s="14">
        <f>INDEX(挂机升级突破!$EJ$7:$EJ$26,BS441)</f>
        <v>4</v>
      </c>
      <c r="BP441" s="14">
        <f t="shared" si="361"/>
        <v>2</v>
      </c>
      <c r="BQ441" s="14">
        <f>INDEX(挂机升级突破!$EH$7:$EH$26,卡牌消耗!BS441)</f>
        <v>117</v>
      </c>
      <c r="BR441" s="14" t="str">
        <f t="shared" si="362"/>
        <v>柠檬精</v>
      </c>
      <c r="BS441" s="14">
        <f t="shared" si="363"/>
        <v>17</v>
      </c>
      <c r="BT441" s="14" t="str">
        <f t="shared" si="364"/>
        <v>柠檬精17突</v>
      </c>
      <c r="BU441" s="14" t="str">
        <f>IF(BN441&gt;0,INDEX(挂机升级突破!$ER$5:$EV$5,卡牌消耗!BN441),"")</f>
        <v>金币</v>
      </c>
      <c r="BV441" s="14">
        <f>IF(BN441&gt;0,ROUND(INDEX(挂机升级突破!$EV$7:$EV$26,卡牌消耗!BS441)*INDEX(卡牌消耗!$B$8:$F$8,BP441)/$Q$4/500,0)*500,"")</f>
        <v>56500</v>
      </c>
      <c r="BW441" s="14" t="str">
        <f>IF(BO441&gt;0,INDEX(挂机升级突破!$ER$5:$EV$5,卡牌消耗!BO441),"")</f>
        <v>铀金</v>
      </c>
      <c r="BX441" s="14">
        <f>IF(BO441&gt;0,ROUND(INDEX(挂机升级突破!$ER$7:$EU$26,卡牌消耗!BS441,卡牌消耗!BO441)*INDEX($B$6:$F$6,BP441)/$Q$4/5,0)*5,"")</f>
        <v>15</v>
      </c>
      <c r="BY441" s="193"/>
      <c r="BZ441" s="193"/>
      <c r="CA441" s="106"/>
    </row>
    <row r="442" spans="8:79" ht="16.5" x14ac:dyDescent="0.2">
      <c r="H442" s="15"/>
      <c r="I442" s="15"/>
      <c r="J442" s="15"/>
      <c r="K442" s="15"/>
      <c r="L442" s="15"/>
      <c r="M442" s="15"/>
      <c r="N442" s="15"/>
      <c r="O442" s="137"/>
      <c r="P442" s="141"/>
      <c r="Q442" s="141"/>
      <c r="R442" s="141"/>
      <c r="S442" s="141"/>
      <c r="T442" s="141"/>
      <c r="U442" s="141"/>
      <c r="V442" s="141"/>
      <c r="W442" s="141"/>
      <c r="X442" s="141"/>
      <c r="Y442" s="141"/>
      <c r="Z442" s="141"/>
      <c r="AA442" s="194"/>
      <c r="AB442" s="194"/>
      <c r="AC442" s="194"/>
      <c r="AD442" s="194"/>
      <c r="AE442" s="194"/>
      <c r="AF442" s="194"/>
      <c r="AG442" s="197"/>
      <c r="AH442" s="194"/>
      <c r="AI442" s="194"/>
      <c r="AJ442" s="194"/>
      <c r="AK442" s="104">
        <v>438</v>
      </c>
      <c r="AL442" s="14">
        <f t="shared" si="355"/>
        <v>9</v>
      </c>
      <c r="AM442" s="14">
        <f>INDEX(挂机升级突破!DQ$6:DQ$57,卡牌消耗!$AT442)</f>
        <v>11</v>
      </c>
      <c r="AN442" s="14">
        <f>INDEX(挂机升级突破!DR$6:DR$57,卡牌消耗!$AT442)</f>
        <v>3</v>
      </c>
      <c r="AO442" s="14">
        <f>INDEX(挂机升级突破!DS$6:DS$57,卡牌消耗!$AT442)</f>
        <v>0</v>
      </c>
      <c r="AP442" s="14">
        <f>INDEX(挂机升级突破!$DP$6:$DP$57,卡牌消耗!AT442)</f>
        <v>73</v>
      </c>
      <c r="AQ442" s="14" t="str">
        <f t="shared" si="356"/>
        <v>徐晃</v>
      </c>
      <c r="AR442" s="14">
        <f t="shared" si="357"/>
        <v>3</v>
      </c>
      <c r="AS442" s="14" t="str">
        <f t="shared" si="358"/>
        <v>徐晃魂火-22</v>
      </c>
      <c r="AT442" s="14">
        <f t="shared" si="359"/>
        <v>22</v>
      </c>
      <c r="AU442" s="14" t="str">
        <f>IF(AM442&gt;0,INDEX(挂机升级突破!$DT$4:$ED$4,AM442),"")</f>
        <v>金币</v>
      </c>
      <c r="AV442" s="14">
        <f>ROUND(INDEX(挂机升级突破!$DJ$6:$DJ$57,卡牌消耗!AT442)*INDEX(卡牌消耗!$B$8:$F$8,AR442)/$Q$4/50,0)*50</f>
        <v>5000</v>
      </c>
      <c r="AW442" s="14" t="str">
        <f>IF(AN442&gt;0,INDEX(挂机升级突破!$DT$4:$ED$4,AN442),"")</f>
        <v>紫色基础材料</v>
      </c>
      <c r="AX442" s="14">
        <f>ROUND(INDEX(挂机升级突破!$DT$6:$ED$57,卡牌消耗!AT442,AN442)*INDEX(卡牌消耗!$B$5:$F$5,AR442)/$Q$4/5,0)*5</f>
        <v>70</v>
      </c>
      <c r="AY442" s="14" t="str">
        <f>IF(AO442&gt;0,INDEX(挂机升级突破!$DT$4:$ED$4,AO442),"")</f>
        <v/>
      </c>
      <c r="AZ442" s="14" t="str">
        <f>IF(AO442&gt;0,ROUND(INDEX(挂机升级突破!$DT$6:$ED$57,卡牌消耗!AT442,AO442)*INDEX(卡牌消耗!$B$7:$F$7,AR442)/$Q$4,0),"")</f>
        <v/>
      </c>
      <c r="BA442" s="106"/>
      <c r="BB442" s="197"/>
      <c r="BC442" s="197"/>
      <c r="BD442" s="197"/>
      <c r="BE442" s="197"/>
      <c r="BF442" s="197"/>
      <c r="BG442" s="197"/>
      <c r="BH442" s="197"/>
      <c r="BI442" s="197"/>
      <c r="BJ442" s="197"/>
      <c r="BK442" s="197"/>
      <c r="BL442" s="104">
        <v>438</v>
      </c>
      <c r="BM442" s="14">
        <f t="shared" si="360"/>
        <v>22</v>
      </c>
      <c r="BN442" s="14">
        <f>INDEX(挂机升级突破!$EI$7:$EI$26,BS442)</f>
        <v>5</v>
      </c>
      <c r="BO442" s="14">
        <f>INDEX(挂机升级突破!$EJ$7:$EJ$26,BS442)</f>
        <v>4</v>
      </c>
      <c r="BP442" s="14">
        <f t="shared" si="361"/>
        <v>2</v>
      </c>
      <c r="BQ442" s="14">
        <f>INDEX(挂机升级突破!$EH$7:$EH$26,卡牌消耗!BS442)</f>
        <v>125</v>
      </c>
      <c r="BR442" s="14" t="str">
        <f t="shared" si="362"/>
        <v>柠檬精</v>
      </c>
      <c r="BS442" s="14">
        <f t="shared" si="363"/>
        <v>18</v>
      </c>
      <c r="BT442" s="14" t="str">
        <f t="shared" si="364"/>
        <v>柠檬精18突</v>
      </c>
      <c r="BU442" s="14" t="str">
        <f>IF(BN442&gt;0,INDEX(挂机升级突破!$ER$5:$EV$5,卡牌消耗!BN442),"")</f>
        <v>金币</v>
      </c>
      <c r="BV442" s="14">
        <f>IF(BN442&gt;0,ROUND(INDEX(挂机升级突破!$EV$7:$EV$26,卡牌消耗!BS442)*INDEX(卡牌消耗!$B$8:$F$8,BP442)/$Q$4/500,0)*500,"")</f>
        <v>75000</v>
      </c>
      <c r="BW442" s="14" t="str">
        <f>IF(BO442&gt;0,INDEX(挂机升级突破!$ER$5:$EV$5,卡牌消耗!BO442),"")</f>
        <v>铀金</v>
      </c>
      <c r="BX442" s="14">
        <f>IF(BO442&gt;0,ROUND(INDEX(挂机升级突破!$ER$7:$EU$26,卡牌消耗!BS442,卡牌消耗!BO442)*INDEX($B$6:$F$6,BP442)/$Q$4/5,0)*5,"")</f>
        <v>20</v>
      </c>
      <c r="BY442" s="193"/>
      <c r="BZ442" s="193"/>
      <c r="CA442" s="106"/>
    </row>
    <row r="443" spans="8:79" ht="16.5" x14ac:dyDescent="0.2">
      <c r="H443" s="15"/>
      <c r="I443" s="15"/>
      <c r="J443" s="15"/>
      <c r="K443" s="15"/>
      <c r="L443" s="15"/>
      <c r="M443" s="15"/>
      <c r="N443" s="15"/>
      <c r="O443" s="137"/>
      <c r="P443" s="141"/>
      <c r="Q443" s="141"/>
      <c r="R443" s="141"/>
      <c r="S443" s="141"/>
      <c r="T443" s="141"/>
      <c r="U443" s="141"/>
      <c r="V443" s="141"/>
      <c r="W443" s="141"/>
      <c r="X443" s="141"/>
      <c r="Y443" s="141"/>
      <c r="Z443" s="141"/>
      <c r="AA443" s="194"/>
      <c r="AB443" s="194"/>
      <c r="AC443" s="194"/>
      <c r="AD443" s="194"/>
      <c r="AE443" s="194"/>
      <c r="AF443" s="194"/>
      <c r="AG443" s="197"/>
      <c r="AH443" s="194"/>
      <c r="AI443" s="194"/>
      <c r="AJ443" s="194"/>
      <c r="AK443" s="104">
        <v>439</v>
      </c>
      <c r="AL443" s="14">
        <f t="shared" si="355"/>
        <v>9</v>
      </c>
      <c r="AM443" s="14">
        <f>INDEX(挂机升级突破!DQ$6:DQ$57,卡牌消耗!$AT443)</f>
        <v>11</v>
      </c>
      <c r="AN443" s="14">
        <f>INDEX(挂机升级突破!DR$6:DR$57,卡牌消耗!$AT443)</f>
        <v>4</v>
      </c>
      <c r="AO443" s="14">
        <f>INDEX(挂机升级突破!DS$6:DS$57,卡牌消耗!$AT443)</f>
        <v>0</v>
      </c>
      <c r="AP443" s="14">
        <f>INDEX(挂机升级突破!$DP$6:$DP$57,卡牌消耗!AT443)</f>
        <v>75</v>
      </c>
      <c r="AQ443" s="14" t="str">
        <f t="shared" si="356"/>
        <v>徐晃</v>
      </c>
      <c r="AR443" s="14">
        <f t="shared" si="357"/>
        <v>3</v>
      </c>
      <c r="AS443" s="14" t="str">
        <f t="shared" si="358"/>
        <v>徐晃魂火-23</v>
      </c>
      <c r="AT443" s="14">
        <f t="shared" si="359"/>
        <v>23</v>
      </c>
      <c r="AU443" s="14" t="str">
        <f>IF(AM443&gt;0,INDEX(挂机升级突破!$DT$4:$ED$4,AM443),"")</f>
        <v>金币</v>
      </c>
      <c r="AV443" s="14">
        <f>ROUND(INDEX(挂机升级突破!$DJ$6:$DJ$57,卡牌消耗!AT443)*INDEX(卡牌消耗!$B$8:$F$8,AR443)/$Q$4/50,0)*50</f>
        <v>6900</v>
      </c>
      <c r="AW443" s="14" t="str">
        <f>IF(AN443&gt;0,INDEX(挂机升级突破!$DT$4:$ED$4,AN443),"")</f>
        <v>橙色基础材料</v>
      </c>
      <c r="AX443" s="14">
        <f>ROUND(INDEX(挂机升级突破!$DT$6:$ED$57,卡牌消耗!AT443,AN443)*INDEX(卡牌消耗!$B$5:$F$5,AR443)/$Q$4/5,0)*5</f>
        <v>20</v>
      </c>
      <c r="AY443" s="14" t="str">
        <f>IF(AO443&gt;0,INDEX(挂机升级突破!$DT$4:$ED$4,AO443),"")</f>
        <v/>
      </c>
      <c r="AZ443" s="14" t="str">
        <f>IF(AO443&gt;0,ROUND(INDEX(挂机升级突破!$DT$6:$ED$57,卡牌消耗!AT443,AO443)*INDEX(卡牌消耗!$B$7:$F$7,AR443)/$Q$4,0),"")</f>
        <v/>
      </c>
      <c r="BA443" s="106"/>
      <c r="BB443" s="197"/>
      <c r="BC443" s="197"/>
      <c r="BD443" s="197"/>
      <c r="BE443" s="197"/>
      <c r="BF443" s="197"/>
      <c r="BG443" s="197"/>
      <c r="BH443" s="197"/>
      <c r="BI443" s="197"/>
      <c r="BJ443" s="197"/>
      <c r="BK443" s="197"/>
      <c r="BL443" s="104">
        <v>439</v>
      </c>
      <c r="BM443" s="14">
        <f t="shared" si="360"/>
        <v>22</v>
      </c>
      <c r="BN443" s="14">
        <f>INDEX(挂机升级突破!$EI$7:$EI$26,BS443)</f>
        <v>5</v>
      </c>
      <c r="BO443" s="14">
        <f>INDEX(挂机升级突破!$EJ$7:$EJ$26,BS443)</f>
        <v>4</v>
      </c>
      <c r="BP443" s="14">
        <f t="shared" si="361"/>
        <v>2</v>
      </c>
      <c r="BQ443" s="14">
        <f>INDEX(挂机升级突破!$EH$7:$EH$26,卡牌消耗!BS443)</f>
        <v>132</v>
      </c>
      <c r="BR443" s="14" t="str">
        <f t="shared" si="362"/>
        <v>柠檬精</v>
      </c>
      <c r="BS443" s="14">
        <f t="shared" si="363"/>
        <v>19</v>
      </c>
      <c r="BT443" s="14" t="str">
        <f t="shared" si="364"/>
        <v>柠檬精19突</v>
      </c>
      <c r="BU443" s="14" t="str">
        <f>IF(BN443&gt;0,INDEX(挂机升级突破!$ER$5:$EV$5,卡牌消耗!BN443),"")</f>
        <v>金币</v>
      </c>
      <c r="BV443" s="14">
        <f>IF(BN443&gt;0,ROUND(INDEX(挂机升级突破!$EV$7:$EV$26,卡牌消耗!BS443)*INDEX(卡牌消耗!$B$8:$F$8,BP443)/$Q$4/500,0)*500,"")</f>
        <v>191500</v>
      </c>
      <c r="BW443" s="14" t="str">
        <f>IF(BO443&gt;0,INDEX(挂机升级突破!$ER$5:$EV$5,卡牌消耗!BO443),"")</f>
        <v>铀金</v>
      </c>
      <c r="BX443" s="14">
        <f>IF(BO443&gt;0,ROUND(INDEX(挂机升级突破!$ER$7:$EU$26,卡牌消耗!BS443,卡牌消耗!BO443)*INDEX($B$6:$F$6,BP443)/$Q$4/5,0)*5,"")</f>
        <v>25</v>
      </c>
      <c r="BY443" s="193"/>
      <c r="BZ443" s="193"/>
      <c r="CA443" s="106"/>
    </row>
    <row r="444" spans="8:79" ht="16.5" x14ac:dyDescent="0.2">
      <c r="H444" s="15"/>
      <c r="I444" s="15"/>
      <c r="J444" s="15"/>
      <c r="K444" s="15"/>
      <c r="L444" s="15"/>
      <c r="M444" s="15"/>
      <c r="N444" s="15"/>
      <c r="O444" s="137"/>
      <c r="P444" s="141"/>
      <c r="Q444" s="141"/>
      <c r="R444" s="141"/>
      <c r="S444" s="141"/>
      <c r="T444" s="141"/>
      <c r="U444" s="141"/>
      <c r="V444" s="141"/>
      <c r="W444" s="141"/>
      <c r="X444" s="141"/>
      <c r="Y444" s="141"/>
      <c r="Z444" s="141"/>
      <c r="AA444" s="194"/>
      <c r="AB444" s="194"/>
      <c r="AC444" s="194"/>
      <c r="AD444" s="194"/>
      <c r="AE444" s="194"/>
      <c r="AF444" s="194"/>
      <c r="AG444" s="197"/>
      <c r="AH444" s="194"/>
      <c r="AI444" s="194"/>
      <c r="AJ444" s="194"/>
      <c r="AK444" s="104">
        <v>440</v>
      </c>
      <c r="AL444" s="14">
        <f t="shared" si="355"/>
        <v>9</v>
      </c>
      <c r="AM444" s="14">
        <f>INDEX(挂机升级突破!DQ$6:DQ$57,卡牌消耗!$AT444)</f>
        <v>11</v>
      </c>
      <c r="AN444" s="14">
        <f>INDEX(挂机升级突破!DR$6:DR$57,卡牌消耗!$AT444)</f>
        <v>4</v>
      </c>
      <c r="AO444" s="14">
        <f>INDEX(挂机升级突破!DS$6:DS$57,卡牌消耗!$AT444)</f>
        <v>0</v>
      </c>
      <c r="AP444" s="14">
        <f>INDEX(挂机升级突破!$DP$6:$DP$57,卡牌消耗!AT444)</f>
        <v>78</v>
      </c>
      <c r="AQ444" s="14" t="str">
        <f t="shared" si="356"/>
        <v>徐晃</v>
      </c>
      <c r="AR444" s="14">
        <f t="shared" si="357"/>
        <v>3</v>
      </c>
      <c r="AS444" s="14" t="str">
        <f t="shared" si="358"/>
        <v>徐晃魂火-24</v>
      </c>
      <c r="AT444" s="14">
        <f t="shared" si="359"/>
        <v>24</v>
      </c>
      <c r="AU444" s="14" t="str">
        <f>IF(AM444&gt;0,INDEX(挂机升级突破!$DT$4:$ED$4,AM444),"")</f>
        <v>金币</v>
      </c>
      <c r="AV444" s="14">
        <f>ROUND(INDEX(挂机升级突破!$DJ$6:$DJ$57,卡牌消耗!AT444)*INDEX(卡牌消耗!$B$8:$F$8,AR444)/$Q$4/50,0)*50</f>
        <v>6900</v>
      </c>
      <c r="AW444" s="14" t="str">
        <f>IF(AN444&gt;0,INDEX(挂机升级突破!$DT$4:$ED$4,AN444),"")</f>
        <v>橙色基础材料</v>
      </c>
      <c r="AX444" s="14">
        <f>ROUND(INDEX(挂机升级突破!$DT$6:$ED$57,卡牌消耗!AT444,AN444)*INDEX(卡牌消耗!$B$5:$F$5,AR444)/$Q$4/5,0)*5</f>
        <v>20</v>
      </c>
      <c r="AY444" s="14" t="str">
        <f>IF(AO444&gt;0,INDEX(挂机升级突破!$DT$4:$ED$4,AO444),"")</f>
        <v/>
      </c>
      <c r="AZ444" s="14" t="str">
        <f>IF(AO444&gt;0,ROUND(INDEX(挂机升级突破!$DT$6:$ED$57,卡牌消耗!AT444,AO444)*INDEX(卡牌消耗!$B$7:$F$7,AR444)/$Q$4,0),"")</f>
        <v/>
      </c>
      <c r="BA444" s="106"/>
      <c r="BB444" s="197"/>
      <c r="BC444" s="197"/>
      <c r="BD444" s="197"/>
      <c r="BE444" s="197"/>
      <c r="BF444" s="197"/>
      <c r="BG444" s="197"/>
      <c r="BH444" s="197"/>
      <c r="BI444" s="197"/>
      <c r="BJ444" s="197"/>
      <c r="BK444" s="197"/>
      <c r="BL444" s="104">
        <v>440</v>
      </c>
      <c r="BM444" s="14">
        <f t="shared" si="360"/>
        <v>22</v>
      </c>
      <c r="BN444" s="14">
        <f>INDEX(挂机升级突破!$EI$7:$EI$26,BS444)</f>
        <v>5</v>
      </c>
      <c r="BO444" s="14">
        <f>INDEX(挂机升级突破!$EJ$7:$EJ$26,BS444)</f>
        <v>4</v>
      </c>
      <c r="BP444" s="14">
        <f t="shared" si="361"/>
        <v>2</v>
      </c>
      <c r="BQ444" s="14">
        <f>INDEX(挂机升级突破!$EH$7:$EH$26,卡牌消耗!BS444)</f>
        <v>140</v>
      </c>
      <c r="BR444" s="14" t="str">
        <f t="shared" si="362"/>
        <v>柠檬精</v>
      </c>
      <c r="BS444" s="14">
        <f t="shared" si="363"/>
        <v>20</v>
      </c>
      <c r="BT444" s="14" t="str">
        <f t="shared" si="364"/>
        <v>柠檬精20突</v>
      </c>
      <c r="BU444" s="14" t="str">
        <f>IF(BN444&gt;0,INDEX(挂机升级突破!$ER$5:$EV$5,卡牌消耗!BN444),"")</f>
        <v>金币</v>
      </c>
      <c r="BV444" s="14">
        <f>IF(BN444&gt;0,ROUND(INDEX(挂机升级突破!$EV$7:$EV$26,卡牌消耗!BS444)*INDEX(卡牌消耗!$B$8:$F$8,BP444)/$Q$4/500,0)*500,"")</f>
        <v>287000</v>
      </c>
      <c r="BW444" s="14" t="str">
        <f>IF(BO444&gt;0,INDEX(挂机升级突破!$ER$5:$EV$5,卡牌消耗!BO444),"")</f>
        <v>铀金</v>
      </c>
      <c r="BX444" s="14">
        <f>IF(BO444&gt;0,ROUND(INDEX(挂机升级突破!$ER$7:$EU$26,卡牌消耗!BS444,卡牌消耗!BO444)*INDEX($B$6:$F$6,BP444)/$Q$4/5,0)*5,"")</f>
        <v>35</v>
      </c>
      <c r="BY444" s="193"/>
      <c r="BZ444" s="193"/>
      <c r="CA444" s="106"/>
    </row>
    <row r="445" spans="8:79" ht="16.5" x14ac:dyDescent="0.2">
      <c r="H445" s="15"/>
      <c r="I445" s="15"/>
      <c r="J445" s="15"/>
      <c r="K445" s="15"/>
      <c r="L445" s="15"/>
      <c r="M445" s="15"/>
      <c r="N445" s="15"/>
      <c r="O445" s="137"/>
      <c r="P445" s="141"/>
      <c r="Q445" s="141"/>
      <c r="R445" s="141"/>
      <c r="S445" s="141"/>
      <c r="T445" s="141"/>
      <c r="U445" s="141"/>
      <c r="V445" s="141"/>
      <c r="W445" s="141"/>
      <c r="X445" s="141"/>
      <c r="Y445" s="141"/>
      <c r="Z445" s="141"/>
      <c r="AA445" s="194"/>
      <c r="AB445" s="194"/>
      <c r="AC445" s="194"/>
      <c r="AD445" s="194"/>
      <c r="AE445" s="194"/>
      <c r="AF445" s="194"/>
      <c r="AG445" s="197"/>
      <c r="AH445" s="194"/>
      <c r="AI445" s="194"/>
      <c r="AJ445" s="194"/>
      <c r="AK445" s="104">
        <v>441</v>
      </c>
      <c r="AL445" s="14">
        <f t="shared" si="355"/>
        <v>9</v>
      </c>
      <c r="AM445" s="14">
        <f>INDEX(挂机升级突破!DQ$6:DQ$57,卡牌消耗!$AT445)</f>
        <v>11</v>
      </c>
      <c r="AN445" s="14">
        <f>INDEX(挂机升级突破!DR$6:DR$57,卡牌消耗!$AT445)</f>
        <v>4</v>
      </c>
      <c r="AO445" s="14">
        <f>INDEX(挂机升级突破!DS$6:DS$57,卡牌消耗!$AT445)</f>
        <v>0</v>
      </c>
      <c r="AP445" s="14">
        <f>INDEX(挂机升级突破!$DP$6:$DP$57,卡牌消耗!AT445)</f>
        <v>80</v>
      </c>
      <c r="AQ445" s="14" t="str">
        <f t="shared" si="356"/>
        <v>徐晃</v>
      </c>
      <c r="AR445" s="14">
        <f t="shared" si="357"/>
        <v>3</v>
      </c>
      <c r="AS445" s="14" t="str">
        <f t="shared" si="358"/>
        <v>徐晃魂火-25</v>
      </c>
      <c r="AT445" s="14">
        <f t="shared" si="359"/>
        <v>25</v>
      </c>
      <c r="AU445" s="14" t="str">
        <f>IF(AM445&gt;0,INDEX(挂机升级突破!$DT$4:$ED$4,AM445),"")</f>
        <v>金币</v>
      </c>
      <c r="AV445" s="14">
        <f>ROUND(INDEX(挂机升级突破!$DJ$6:$DJ$57,卡牌消耗!AT445)*INDEX(卡牌消耗!$B$8:$F$8,AR445)/$Q$4/50,0)*50</f>
        <v>7550</v>
      </c>
      <c r="AW445" s="14" t="str">
        <f>IF(AN445&gt;0,INDEX(挂机升级突破!$DT$4:$ED$4,AN445),"")</f>
        <v>橙色基础材料</v>
      </c>
      <c r="AX445" s="14">
        <f>ROUND(INDEX(挂机升级突破!$DT$6:$ED$57,卡牌消耗!AT445,AN445)*INDEX(卡牌消耗!$B$5:$F$5,AR445)/$Q$4/5,0)*5</f>
        <v>20</v>
      </c>
      <c r="AY445" s="14" t="str">
        <f>IF(AO445&gt;0,INDEX(挂机升级突破!$DT$4:$ED$4,AO445),"")</f>
        <v/>
      </c>
      <c r="AZ445" s="14" t="str">
        <f>IF(AO445&gt;0,ROUND(INDEX(挂机升级突破!$DT$6:$ED$57,卡牌消耗!AT445,AO445)*INDEX(卡牌消耗!$B$7:$F$7,AR445)/$Q$4,0),"")</f>
        <v/>
      </c>
      <c r="BA445" s="106"/>
      <c r="BB445" s="197"/>
      <c r="BC445" s="197"/>
      <c r="BD445" s="197"/>
      <c r="BE445" s="197"/>
      <c r="BF445" s="197"/>
      <c r="BG445" s="197"/>
      <c r="BH445" s="197"/>
      <c r="BI445" s="197"/>
      <c r="BJ445" s="197"/>
      <c r="BK445" s="197"/>
      <c r="BL445" s="104">
        <v>441</v>
      </c>
      <c r="BM445" s="14">
        <f t="shared" si="360"/>
        <v>23</v>
      </c>
      <c r="BN445" s="14">
        <f>INDEX(挂机升级突破!$EI$7:$EI$26,BS445)</f>
        <v>0</v>
      </c>
      <c r="BO445" s="14">
        <f>INDEX(挂机升级突破!$EJ$7:$EJ$26,BS445)</f>
        <v>0</v>
      </c>
      <c r="BP445" s="14">
        <f t="shared" si="361"/>
        <v>2</v>
      </c>
      <c r="BQ445" s="14">
        <f>INDEX(挂机升级突破!$EH$7:$EH$26,卡牌消耗!BS445)</f>
        <v>1</v>
      </c>
      <c r="BR445" s="14" t="str">
        <f t="shared" si="362"/>
        <v>异邦刀客</v>
      </c>
      <c r="BS445" s="14">
        <f t="shared" si="363"/>
        <v>1</v>
      </c>
      <c r="BT445" s="14" t="str">
        <f t="shared" si="364"/>
        <v>异邦刀客1突</v>
      </c>
      <c r="BU445" s="14" t="str">
        <f>IF(BN445&gt;0,INDEX(挂机升级突破!$ER$5:$EV$5,卡牌消耗!BN445),"")</f>
        <v/>
      </c>
      <c r="BV445" s="14" t="str">
        <f>IF(BN445&gt;0,ROUND(INDEX(挂机升级突破!$EV$7:$EV$26,卡牌消耗!BS445)*INDEX(卡牌消耗!$B$8:$F$8,BP445)/$Q$4/500,0)*500,"")</f>
        <v/>
      </c>
      <c r="BW445" s="14" t="str">
        <f>IF(BO445&gt;0,INDEX(挂机升级突破!$ER$5:$EV$5,卡牌消耗!BO445),"")</f>
        <v/>
      </c>
      <c r="BX445" s="14" t="str">
        <f>IF(BO445&gt;0,ROUND(INDEX(挂机升级突破!$ER$7:$EU$26,卡牌消耗!BS445,卡牌消耗!BO445)*INDEX($B$6:$F$6,BP445)/$Q$4/5,0)*5,"")</f>
        <v/>
      </c>
      <c r="BY445" s="193"/>
      <c r="BZ445" s="193"/>
      <c r="CA445" s="106"/>
    </row>
    <row r="446" spans="8:79" ht="16.5" x14ac:dyDescent="0.2">
      <c r="H446" s="15"/>
      <c r="I446" s="15"/>
      <c r="J446" s="15"/>
      <c r="K446" s="15"/>
      <c r="L446" s="15"/>
      <c r="M446" s="15"/>
      <c r="N446" s="15"/>
      <c r="O446" s="137"/>
      <c r="P446" s="141"/>
      <c r="Q446" s="141"/>
      <c r="R446" s="141"/>
      <c r="S446" s="141"/>
      <c r="T446" s="141"/>
      <c r="U446" s="141"/>
      <c r="V446" s="141"/>
      <c r="W446" s="141"/>
      <c r="X446" s="141"/>
      <c r="Y446" s="141"/>
      <c r="Z446" s="141"/>
      <c r="AA446" s="194"/>
      <c r="AB446" s="194"/>
      <c r="AC446" s="194"/>
      <c r="AD446" s="194"/>
      <c r="AE446" s="194"/>
      <c r="AF446" s="194"/>
      <c r="AG446" s="197"/>
      <c r="AH446" s="194"/>
      <c r="AI446" s="194"/>
      <c r="AJ446" s="194"/>
      <c r="AK446" s="104">
        <v>442</v>
      </c>
      <c r="AL446" s="14">
        <f t="shared" si="355"/>
        <v>9</v>
      </c>
      <c r="AM446" s="14">
        <f>INDEX(挂机升级突破!DQ$6:DQ$57,卡牌消耗!$AT446)</f>
        <v>11</v>
      </c>
      <c r="AN446" s="14">
        <f>INDEX(挂机升级突破!DR$6:DR$57,卡牌消耗!$AT446)</f>
        <v>4</v>
      </c>
      <c r="AO446" s="14">
        <f>INDEX(挂机升级突破!DS$6:DS$57,卡牌消耗!$AT446)</f>
        <v>0</v>
      </c>
      <c r="AP446" s="14">
        <f>INDEX(挂机升级突破!$DP$6:$DP$57,卡牌消耗!AT446)</f>
        <v>83</v>
      </c>
      <c r="AQ446" s="14" t="str">
        <f t="shared" si="356"/>
        <v>徐晃</v>
      </c>
      <c r="AR446" s="14">
        <f t="shared" si="357"/>
        <v>3</v>
      </c>
      <c r="AS446" s="14" t="str">
        <f t="shared" si="358"/>
        <v>徐晃魂火-26</v>
      </c>
      <c r="AT446" s="14">
        <f t="shared" si="359"/>
        <v>26</v>
      </c>
      <c r="AU446" s="14" t="str">
        <f>IF(AM446&gt;0,INDEX(挂机升级突破!$DT$4:$ED$4,AM446),"")</f>
        <v>金币</v>
      </c>
      <c r="AV446" s="14">
        <f>ROUND(INDEX(挂机升级突破!$DJ$6:$DJ$57,卡牌消耗!AT446)*INDEX(卡牌消耗!$B$8:$F$8,AR446)/$Q$4/50,0)*50</f>
        <v>8800</v>
      </c>
      <c r="AW446" s="14" t="str">
        <f>IF(AN446&gt;0,INDEX(挂机升级突破!$DT$4:$ED$4,AN446),"")</f>
        <v>橙色基础材料</v>
      </c>
      <c r="AX446" s="14">
        <f>ROUND(INDEX(挂机升级突破!$DT$6:$ED$57,卡牌消耗!AT446,AN446)*INDEX(卡牌消耗!$B$5:$F$5,AR446)/$Q$4/5,0)*5</f>
        <v>25</v>
      </c>
      <c r="AY446" s="14" t="str">
        <f>IF(AO446&gt;0,INDEX(挂机升级突破!$DT$4:$ED$4,AO446),"")</f>
        <v/>
      </c>
      <c r="AZ446" s="14" t="str">
        <f>IF(AO446&gt;0,ROUND(INDEX(挂机升级突破!$DT$6:$ED$57,卡牌消耗!AT446,AO446)*INDEX(卡牌消耗!$B$7:$F$7,AR446)/$Q$4,0),"")</f>
        <v/>
      </c>
      <c r="BA446" s="106"/>
      <c r="BB446" s="197"/>
      <c r="BC446" s="197"/>
      <c r="BD446" s="197"/>
      <c r="BE446" s="197"/>
      <c r="BF446" s="197"/>
      <c r="BG446" s="197"/>
      <c r="BH446" s="197"/>
      <c r="BI446" s="197"/>
      <c r="BJ446" s="197"/>
      <c r="BK446" s="197"/>
      <c r="BL446" s="104">
        <v>442</v>
      </c>
      <c r="BM446" s="14">
        <f t="shared" si="360"/>
        <v>23</v>
      </c>
      <c r="BN446" s="14">
        <f>INDEX(挂机升级突破!$EI$7:$EI$26,BS446)</f>
        <v>5</v>
      </c>
      <c r="BO446" s="14">
        <f>INDEX(挂机升级突破!$EJ$7:$EJ$26,BS446)</f>
        <v>1</v>
      </c>
      <c r="BP446" s="14">
        <f t="shared" si="361"/>
        <v>2</v>
      </c>
      <c r="BQ446" s="14">
        <f>INDEX(挂机升级突破!$EH$7:$EH$26,卡牌消耗!BS446)</f>
        <v>5</v>
      </c>
      <c r="BR446" s="14" t="str">
        <f t="shared" si="362"/>
        <v>异邦刀客</v>
      </c>
      <c r="BS446" s="14">
        <f t="shared" si="363"/>
        <v>2</v>
      </c>
      <c r="BT446" s="14" t="str">
        <f t="shared" si="364"/>
        <v>异邦刀客2突</v>
      </c>
      <c r="BU446" s="14" t="str">
        <f>IF(BN446&gt;0,INDEX(挂机升级突破!$ER$5:$EV$5,卡牌消耗!BN446),"")</f>
        <v>金币</v>
      </c>
      <c r="BV446" s="14">
        <f>IF(BN446&gt;0,ROUND(INDEX(挂机升级突破!$EV$7:$EV$26,卡牌消耗!BS446)*INDEX(卡牌消耗!$B$8:$F$8,BP446)/$Q$4/500,0)*500,"")</f>
        <v>2000</v>
      </c>
      <c r="BW446" s="14" t="str">
        <f>IF(BO446&gt;0,INDEX(挂机升级突破!$ER$5:$EV$5,卡牌消耗!BO446),"")</f>
        <v>玄铁</v>
      </c>
      <c r="BX446" s="14">
        <f>IF(BO446&gt;0,ROUND(INDEX(挂机升级突破!$ER$7:$EU$26,卡牌消耗!BS446,卡牌消耗!BO446)*INDEX($B$6:$F$6,BP446)/$Q$4,0),"")</f>
        <v>1</v>
      </c>
      <c r="BY446" s="193"/>
      <c r="BZ446" s="193"/>
      <c r="CA446" s="106"/>
    </row>
    <row r="447" spans="8:79" ht="16.5" x14ac:dyDescent="0.2">
      <c r="H447" s="15"/>
      <c r="I447" s="15"/>
      <c r="J447" s="15"/>
      <c r="K447" s="15"/>
      <c r="L447" s="15"/>
      <c r="M447" s="15"/>
      <c r="N447" s="15"/>
      <c r="O447" s="137"/>
      <c r="P447" s="141"/>
      <c r="Q447" s="141"/>
      <c r="R447" s="141"/>
      <c r="S447" s="141"/>
      <c r="T447" s="141"/>
      <c r="U447" s="141"/>
      <c r="V447" s="141"/>
      <c r="W447" s="141"/>
      <c r="X447" s="141"/>
      <c r="Y447" s="141"/>
      <c r="Z447" s="141"/>
      <c r="AA447" s="194"/>
      <c r="AB447" s="194"/>
      <c r="AC447" s="194"/>
      <c r="AD447" s="194"/>
      <c r="AE447" s="194"/>
      <c r="AF447" s="194"/>
      <c r="AG447" s="197"/>
      <c r="AH447" s="194"/>
      <c r="AI447" s="194"/>
      <c r="AJ447" s="194"/>
      <c r="AK447" s="104">
        <v>443</v>
      </c>
      <c r="AL447" s="14">
        <f t="shared" si="355"/>
        <v>9</v>
      </c>
      <c r="AM447" s="14">
        <f>INDEX(挂机升级突破!DQ$6:DQ$57,卡牌消耗!$AT447)</f>
        <v>11</v>
      </c>
      <c r="AN447" s="14">
        <f>INDEX(挂机升级突破!DR$6:DR$57,卡牌消耗!$AT447)</f>
        <v>4</v>
      </c>
      <c r="AO447" s="14">
        <f>INDEX(挂机升级突破!DS$6:DS$57,卡牌消耗!$AT447)</f>
        <v>0</v>
      </c>
      <c r="AP447" s="14">
        <f>INDEX(挂机升级突破!$DP$6:$DP$57,卡牌消耗!AT447)</f>
        <v>85</v>
      </c>
      <c r="AQ447" s="14" t="str">
        <f t="shared" si="356"/>
        <v>徐晃</v>
      </c>
      <c r="AR447" s="14">
        <f t="shared" si="357"/>
        <v>3</v>
      </c>
      <c r="AS447" s="14" t="str">
        <f t="shared" si="358"/>
        <v>徐晃魂火-27</v>
      </c>
      <c r="AT447" s="14">
        <f t="shared" si="359"/>
        <v>27</v>
      </c>
      <c r="AU447" s="14" t="str">
        <f>IF(AM447&gt;0,INDEX(挂机升级突破!$DT$4:$ED$4,AM447),"")</f>
        <v>金币</v>
      </c>
      <c r="AV447" s="14">
        <f>ROUND(INDEX(挂机升级突破!$DJ$6:$DJ$57,卡牌消耗!AT447)*INDEX(卡牌消耗!$B$8:$F$8,AR447)/$Q$4/50,0)*50</f>
        <v>8800</v>
      </c>
      <c r="AW447" s="14" t="str">
        <f>IF(AN447&gt;0,INDEX(挂机升级突破!$DT$4:$ED$4,AN447),"")</f>
        <v>橙色基础材料</v>
      </c>
      <c r="AX447" s="14">
        <f>ROUND(INDEX(挂机升级突破!$DT$6:$ED$57,卡牌消耗!AT447,AN447)*INDEX(卡牌消耗!$B$5:$F$5,AR447)/$Q$4/5,0)*5</f>
        <v>25</v>
      </c>
      <c r="AY447" s="14" t="str">
        <f>IF(AO447&gt;0,INDEX(挂机升级突破!$DT$4:$ED$4,AO447),"")</f>
        <v/>
      </c>
      <c r="AZ447" s="14" t="str">
        <f>IF(AO447&gt;0,ROUND(INDEX(挂机升级突破!$DT$6:$ED$57,卡牌消耗!AT447,AO447)*INDEX(卡牌消耗!$B$7:$F$7,AR447)/$Q$4,0),"")</f>
        <v/>
      </c>
      <c r="BA447" s="106"/>
      <c r="BB447" s="197"/>
      <c r="BC447" s="197"/>
      <c r="BD447" s="197"/>
      <c r="BE447" s="197"/>
      <c r="BF447" s="197"/>
      <c r="BG447" s="197"/>
      <c r="BH447" s="197"/>
      <c r="BI447" s="197"/>
      <c r="BJ447" s="197"/>
      <c r="BK447" s="197"/>
      <c r="BL447" s="104">
        <v>443</v>
      </c>
      <c r="BM447" s="14">
        <f t="shared" si="360"/>
        <v>23</v>
      </c>
      <c r="BN447" s="14">
        <f>INDEX(挂机升级突破!$EI$7:$EI$26,BS447)</f>
        <v>5</v>
      </c>
      <c r="BO447" s="14">
        <f>INDEX(挂机升级突破!$EJ$7:$EJ$26,BS447)</f>
        <v>1</v>
      </c>
      <c r="BP447" s="14">
        <f t="shared" si="361"/>
        <v>2</v>
      </c>
      <c r="BQ447" s="14">
        <f>INDEX(挂机升级突破!$EH$7:$EH$26,卡牌消耗!BS447)</f>
        <v>15</v>
      </c>
      <c r="BR447" s="14" t="str">
        <f t="shared" si="362"/>
        <v>异邦刀客</v>
      </c>
      <c r="BS447" s="14">
        <f t="shared" si="363"/>
        <v>3</v>
      </c>
      <c r="BT447" s="14" t="str">
        <f t="shared" si="364"/>
        <v>异邦刀客3突</v>
      </c>
      <c r="BU447" s="14" t="str">
        <f>IF(BN447&gt;0,INDEX(挂机升级突破!$ER$5:$EV$5,卡牌消耗!BN447),"")</f>
        <v>金币</v>
      </c>
      <c r="BV447" s="14">
        <f>IF(BN447&gt;0,ROUND(INDEX(挂机升级突破!$EV$7:$EV$26,卡牌消耗!BS447)*INDEX(卡牌消耗!$B$8:$F$8,BP447)/$Q$4/500,0)*500,"")</f>
        <v>2000</v>
      </c>
      <c r="BW447" s="14" t="str">
        <f>IF(BO447&gt;0,INDEX(挂机升级突破!$ER$5:$EV$5,卡牌消耗!BO447),"")</f>
        <v>玄铁</v>
      </c>
      <c r="BX447" s="14">
        <f>IF(BO447&gt;0,ROUND(INDEX(挂机升级突破!$ER$7:$EU$26,卡牌消耗!BS447,卡牌消耗!BO447)*INDEX($B$6:$F$6,BP447)/$Q$4,0),"")</f>
        <v>4</v>
      </c>
      <c r="BY447" s="193"/>
      <c r="BZ447" s="193"/>
      <c r="CA447" s="106"/>
    </row>
    <row r="448" spans="8:79" ht="16.5" x14ac:dyDescent="0.2">
      <c r="H448" s="15"/>
      <c r="I448" s="15"/>
      <c r="J448" s="15"/>
      <c r="K448" s="15"/>
      <c r="L448" s="15"/>
      <c r="M448" s="15"/>
      <c r="N448" s="15"/>
      <c r="O448" s="137"/>
      <c r="P448" s="141"/>
      <c r="Q448" s="141"/>
      <c r="R448" s="141"/>
      <c r="S448" s="141"/>
      <c r="T448" s="141"/>
      <c r="U448" s="141"/>
      <c r="V448" s="141"/>
      <c r="W448" s="141"/>
      <c r="X448" s="141"/>
      <c r="Y448" s="141"/>
      <c r="Z448" s="141"/>
      <c r="AA448" s="194"/>
      <c r="AB448" s="194"/>
      <c r="AC448" s="194"/>
      <c r="AD448" s="194"/>
      <c r="AE448" s="194"/>
      <c r="AF448" s="194"/>
      <c r="AG448" s="197"/>
      <c r="AH448" s="194"/>
      <c r="AI448" s="194"/>
      <c r="AJ448" s="194"/>
      <c r="AK448" s="104">
        <v>444</v>
      </c>
      <c r="AL448" s="14">
        <f t="shared" si="355"/>
        <v>9</v>
      </c>
      <c r="AM448" s="14">
        <f>INDEX(挂机升级突破!DQ$6:DQ$57,卡牌消耗!$AT448)</f>
        <v>11</v>
      </c>
      <c r="AN448" s="14">
        <f>INDEX(挂机升级突破!DR$6:DR$57,卡牌消耗!$AT448)</f>
        <v>4</v>
      </c>
      <c r="AO448" s="14">
        <f>INDEX(挂机升级突破!DS$6:DS$57,卡牌消耗!$AT448)</f>
        <v>0</v>
      </c>
      <c r="AP448" s="14">
        <f>INDEX(挂机升级突破!$DP$6:$DP$57,卡牌消耗!AT448)</f>
        <v>88</v>
      </c>
      <c r="AQ448" s="14" t="str">
        <f t="shared" si="356"/>
        <v>徐晃</v>
      </c>
      <c r="AR448" s="14">
        <f t="shared" si="357"/>
        <v>3</v>
      </c>
      <c r="AS448" s="14" t="str">
        <f t="shared" si="358"/>
        <v>徐晃魂火-28</v>
      </c>
      <c r="AT448" s="14">
        <f t="shared" si="359"/>
        <v>28</v>
      </c>
      <c r="AU448" s="14" t="str">
        <f>IF(AM448&gt;0,INDEX(挂机升级突破!$DT$4:$ED$4,AM448),"")</f>
        <v>金币</v>
      </c>
      <c r="AV448" s="14">
        <f>ROUND(INDEX(挂机升级突破!$DJ$6:$DJ$57,卡牌消耗!AT448)*INDEX(卡牌消耗!$B$8:$F$8,AR448)/$Q$4/50,0)*50</f>
        <v>8800</v>
      </c>
      <c r="AW448" s="14" t="str">
        <f>IF(AN448&gt;0,INDEX(挂机升级突破!$DT$4:$ED$4,AN448),"")</f>
        <v>橙色基础材料</v>
      </c>
      <c r="AX448" s="14">
        <f>ROUND(INDEX(挂机升级突破!$DT$6:$ED$57,卡牌消耗!AT448,AN448)*INDEX(卡牌消耗!$B$5:$F$5,AR448)/$Q$4/5,0)*5</f>
        <v>25</v>
      </c>
      <c r="AY448" s="14" t="str">
        <f>IF(AO448&gt;0,INDEX(挂机升级突破!$DT$4:$ED$4,AO448),"")</f>
        <v/>
      </c>
      <c r="AZ448" s="14" t="str">
        <f>IF(AO448&gt;0,ROUND(INDEX(挂机升级突破!$DT$6:$ED$57,卡牌消耗!AT448,AO448)*INDEX(卡牌消耗!$B$7:$F$7,AR448)/$Q$4,0),"")</f>
        <v/>
      </c>
      <c r="BA448" s="106"/>
      <c r="BB448" s="197"/>
      <c r="BC448" s="197"/>
      <c r="BD448" s="197"/>
      <c r="BE448" s="197"/>
      <c r="BF448" s="197"/>
      <c r="BG448" s="197"/>
      <c r="BH448" s="197"/>
      <c r="BI448" s="197"/>
      <c r="BJ448" s="197"/>
      <c r="BK448" s="197"/>
      <c r="BL448" s="104">
        <v>444</v>
      </c>
      <c r="BM448" s="14">
        <f t="shared" si="360"/>
        <v>23</v>
      </c>
      <c r="BN448" s="14">
        <f>INDEX(挂机升级突破!$EI$7:$EI$26,BS448)</f>
        <v>5</v>
      </c>
      <c r="BO448" s="14">
        <f>INDEX(挂机升级突破!$EJ$7:$EJ$26,BS448)</f>
        <v>1</v>
      </c>
      <c r="BP448" s="14">
        <f t="shared" si="361"/>
        <v>2</v>
      </c>
      <c r="BQ448" s="14">
        <f>INDEX(挂机升级突破!$EH$7:$EH$26,卡牌消耗!BS448)</f>
        <v>25</v>
      </c>
      <c r="BR448" s="14" t="str">
        <f t="shared" si="362"/>
        <v>异邦刀客</v>
      </c>
      <c r="BS448" s="14">
        <f t="shared" si="363"/>
        <v>4</v>
      </c>
      <c r="BT448" s="14" t="str">
        <f t="shared" si="364"/>
        <v>异邦刀客4突</v>
      </c>
      <c r="BU448" s="14" t="str">
        <f>IF(BN448&gt;0,INDEX(挂机升级突破!$ER$5:$EV$5,卡牌消耗!BN448),"")</f>
        <v>金币</v>
      </c>
      <c r="BV448" s="14">
        <f>IF(BN448&gt;0,ROUND(INDEX(挂机升级突破!$EV$7:$EV$26,卡牌消耗!BS448)*INDEX(卡牌消耗!$B$8:$F$8,BP448)/$Q$4/500,0)*500,"")</f>
        <v>2500</v>
      </c>
      <c r="BW448" s="14" t="str">
        <f>IF(BO448&gt;0,INDEX(挂机升级突破!$ER$5:$EV$5,卡牌消耗!BO448),"")</f>
        <v>玄铁</v>
      </c>
      <c r="BX448" s="14">
        <f>IF(BO448&gt;0,ROUND(INDEX(挂机升级突破!$ER$7:$EU$26,卡牌消耗!BS448,卡牌消耗!BO448)*INDEX($B$6:$F$6,BP448)/$Q$4,0),"")</f>
        <v>13</v>
      </c>
      <c r="BY448" s="193"/>
      <c r="BZ448" s="193"/>
      <c r="CA448" s="106"/>
    </row>
    <row r="449" spans="8:79" ht="16.5" x14ac:dyDescent="0.2">
      <c r="H449" s="15"/>
      <c r="I449" s="15"/>
      <c r="J449" s="15"/>
      <c r="K449" s="15"/>
      <c r="L449" s="15"/>
      <c r="M449" s="15"/>
      <c r="N449" s="15"/>
      <c r="O449" s="137"/>
      <c r="P449" s="141"/>
      <c r="Q449" s="141"/>
      <c r="R449" s="141"/>
      <c r="S449" s="141"/>
      <c r="T449" s="141"/>
      <c r="U449" s="141"/>
      <c r="V449" s="141"/>
      <c r="W449" s="141"/>
      <c r="X449" s="141"/>
      <c r="Y449" s="141"/>
      <c r="Z449" s="141"/>
      <c r="AA449" s="194"/>
      <c r="AB449" s="194"/>
      <c r="AC449" s="194"/>
      <c r="AD449" s="194"/>
      <c r="AE449" s="194"/>
      <c r="AF449" s="194"/>
      <c r="AG449" s="197"/>
      <c r="AH449" s="194"/>
      <c r="AI449" s="194"/>
      <c r="AJ449" s="194"/>
      <c r="AK449" s="104">
        <v>445</v>
      </c>
      <c r="AL449" s="14">
        <f t="shared" si="355"/>
        <v>9</v>
      </c>
      <c r="AM449" s="14">
        <f>INDEX(挂机升级突破!DQ$6:DQ$57,卡牌消耗!$AT449)</f>
        <v>11</v>
      </c>
      <c r="AN449" s="14">
        <f>INDEX(挂机升级突破!DR$6:DR$57,卡牌消耗!$AT449)</f>
        <v>4</v>
      </c>
      <c r="AO449" s="14">
        <f>INDEX(挂机升级突破!DS$6:DS$57,卡牌消耗!$AT449)</f>
        <v>0</v>
      </c>
      <c r="AP449" s="14">
        <f>INDEX(挂机升级突破!$DP$6:$DP$57,卡牌消耗!AT449)</f>
        <v>90</v>
      </c>
      <c r="AQ449" s="14" t="str">
        <f t="shared" si="356"/>
        <v>徐晃</v>
      </c>
      <c r="AR449" s="14">
        <f t="shared" si="357"/>
        <v>3</v>
      </c>
      <c r="AS449" s="14" t="str">
        <f t="shared" si="358"/>
        <v>徐晃魂火-29</v>
      </c>
      <c r="AT449" s="14">
        <f t="shared" si="359"/>
        <v>29</v>
      </c>
      <c r="AU449" s="14" t="str">
        <f>IF(AM449&gt;0,INDEX(挂机升级突破!$DT$4:$ED$4,AM449),"")</f>
        <v>金币</v>
      </c>
      <c r="AV449" s="14">
        <f>ROUND(INDEX(挂机升级突破!$DJ$6:$DJ$57,卡牌消耗!AT449)*INDEX(卡牌消耗!$B$8:$F$8,AR449)/$Q$4/50,0)*50</f>
        <v>8900</v>
      </c>
      <c r="AW449" s="14" t="str">
        <f>IF(AN449&gt;0,INDEX(挂机升级突破!$DT$4:$ED$4,AN449),"")</f>
        <v>橙色基础材料</v>
      </c>
      <c r="AX449" s="14">
        <f>ROUND(INDEX(挂机升级突破!$DT$6:$ED$57,卡牌消耗!AT449,AN449)*INDEX(卡牌消耗!$B$5:$F$5,AR449)/$Q$4/5,0)*5</f>
        <v>25</v>
      </c>
      <c r="AY449" s="14" t="str">
        <f>IF(AO449&gt;0,INDEX(挂机升级突破!$DT$4:$ED$4,AO449),"")</f>
        <v/>
      </c>
      <c r="AZ449" s="14" t="str">
        <f>IF(AO449&gt;0,ROUND(INDEX(挂机升级突破!$DT$6:$ED$57,卡牌消耗!AT449,AO449)*INDEX(卡牌消耗!$B$7:$F$7,AR449)/$Q$4,0),"")</f>
        <v/>
      </c>
      <c r="BA449" s="106"/>
      <c r="BB449" s="197"/>
      <c r="BC449" s="197"/>
      <c r="BD449" s="197"/>
      <c r="BE449" s="197"/>
      <c r="BF449" s="197"/>
      <c r="BG449" s="197"/>
      <c r="BH449" s="197"/>
      <c r="BI449" s="197"/>
      <c r="BJ449" s="197"/>
      <c r="BK449" s="197"/>
      <c r="BL449" s="104">
        <v>445</v>
      </c>
      <c r="BM449" s="14">
        <f t="shared" si="360"/>
        <v>23</v>
      </c>
      <c r="BN449" s="14">
        <f>INDEX(挂机升级突破!$EI$7:$EI$26,BS449)</f>
        <v>5</v>
      </c>
      <c r="BO449" s="14">
        <f>INDEX(挂机升级突破!$EJ$7:$EJ$26,BS449)</f>
        <v>1</v>
      </c>
      <c r="BP449" s="14">
        <f t="shared" si="361"/>
        <v>2</v>
      </c>
      <c r="BQ449" s="14">
        <f>INDEX(挂机升级突破!$EH$7:$EH$26,卡牌消耗!BS449)</f>
        <v>35</v>
      </c>
      <c r="BR449" s="14" t="str">
        <f t="shared" si="362"/>
        <v>异邦刀客</v>
      </c>
      <c r="BS449" s="14">
        <f t="shared" si="363"/>
        <v>5</v>
      </c>
      <c r="BT449" s="14" t="str">
        <f t="shared" si="364"/>
        <v>异邦刀客5突</v>
      </c>
      <c r="BU449" s="14" t="str">
        <f>IF(BN449&gt;0,INDEX(挂机升级突破!$ER$5:$EV$5,卡牌消耗!BN449),"")</f>
        <v>金币</v>
      </c>
      <c r="BV449" s="14">
        <f>IF(BN449&gt;0,ROUND(INDEX(挂机升级突破!$EV$7:$EV$26,卡牌消耗!BS449)*INDEX(卡牌消耗!$B$8:$F$8,BP449)/$Q$4/500,0)*500,"")</f>
        <v>2500</v>
      </c>
      <c r="BW449" s="14" t="str">
        <f>IF(BO449&gt;0,INDEX(挂机升级突破!$ER$5:$EV$5,卡牌消耗!BO449),"")</f>
        <v>玄铁</v>
      </c>
      <c r="BX449" s="14">
        <f>IF(BO449&gt;0,ROUND(INDEX(挂机升级突破!$ER$7:$EU$26,卡牌消耗!BS449,卡牌消耗!BO449)*INDEX($B$6:$F$6,BP449)/$Q$4/5,0)*5,"")</f>
        <v>25</v>
      </c>
      <c r="BY449" s="193"/>
      <c r="BZ449" s="193"/>
      <c r="CA449" s="106"/>
    </row>
    <row r="450" spans="8:79" ht="16.5" x14ac:dyDescent="0.2">
      <c r="H450" s="15"/>
      <c r="I450" s="15"/>
      <c r="J450" s="15"/>
      <c r="K450" s="15"/>
      <c r="L450" s="15"/>
      <c r="M450" s="15"/>
      <c r="N450" s="15"/>
      <c r="O450" s="137"/>
      <c r="P450" s="141"/>
      <c r="Q450" s="141"/>
      <c r="R450" s="141"/>
      <c r="S450" s="141"/>
      <c r="T450" s="141"/>
      <c r="U450" s="141"/>
      <c r="V450" s="141"/>
      <c r="W450" s="141"/>
      <c r="X450" s="141"/>
      <c r="Y450" s="141"/>
      <c r="Z450" s="141"/>
      <c r="AA450" s="194"/>
      <c r="AB450" s="194"/>
      <c r="AC450" s="194"/>
      <c r="AD450" s="194"/>
      <c r="AE450" s="194"/>
      <c r="AF450" s="194"/>
      <c r="AG450" s="197"/>
      <c r="AH450" s="194"/>
      <c r="AI450" s="194"/>
      <c r="AJ450" s="194"/>
      <c r="AK450" s="104">
        <v>446</v>
      </c>
      <c r="AL450" s="14">
        <f t="shared" si="355"/>
        <v>9</v>
      </c>
      <c r="AM450" s="14">
        <f>INDEX(挂机升级突破!DQ$6:DQ$57,卡牌消耗!$AT450)</f>
        <v>11</v>
      </c>
      <c r="AN450" s="14">
        <f>INDEX(挂机升级突破!DR$6:DR$57,卡牌消耗!$AT450)</f>
        <v>4</v>
      </c>
      <c r="AO450" s="14">
        <f>INDEX(挂机升级突破!DS$6:DS$57,卡牌消耗!$AT450)</f>
        <v>0</v>
      </c>
      <c r="AP450" s="14">
        <f>INDEX(挂机升级突破!$DP$6:$DP$57,卡牌消耗!AT450)</f>
        <v>93</v>
      </c>
      <c r="AQ450" s="14" t="str">
        <f t="shared" si="356"/>
        <v>徐晃</v>
      </c>
      <c r="AR450" s="14">
        <f t="shared" si="357"/>
        <v>3</v>
      </c>
      <c r="AS450" s="14" t="str">
        <f t="shared" si="358"/>
        <v>徐晃魂火-30</v>
      </c>
      <c r="AT450" s="14">
        <f t="shared" si="359"/>
        <v>30</v>
      </c>
      <c r="AU450" s="14" t="str">
        <f>IF(AM450&gt;0,INDEX(挂机升级突破!$DT$4:$ED$4,AM450),"")</f>
        <v>金币</v>
      </c>
      <c r="AV450" s="14">
        <f>ROUND(INDEX(挂机升级突破!$DJ$6:$DJ$57,卡牌消耗!AT450)*INDEX(卡牌消耗!$B$8:$F$8,AR450)/$Q$4/50,0)*50</f>
        <v>8900</v>
      </c>
      <c r="AW450" s="14" t="str">
        <f>IF(AN450&gt;0,INDEX(挂机升级突破!$DT$4:$ED$4,AN450),"")</f>
        <v>橙色基础材料</v>
      </c>
      <c r="AX450" s="14">
        <f>ROUND(INDEX(挂机升级突破!$DT$6:$ED$57,卡牌消耗!AT450,AN450)*INDEX(卡牌消耗!$B$5:$F$5,AR450)/$Q$4/5,0)*5</f>
        <v>25</v>
      </c>
      <c r="AY450" s="14" t="str">
        <f>IF(AO450&gt;0,INDEX(挂机升级突破!$DT$4:$ED$4,AO450),"")</f>
        <v/>
      </c>
      <c r="AZ450" s="14" t="str">
        <f>IF(AO450&gt;0,ROUND(INDEX(挂机升级突破!$DT$6:$ED$57,卡牌消耗!AT450,AO450)*INDEX(卡牌消耗!$B$7:$F$7,AR450)/$Q$4,0),"")</f>
        <v/>
      </c>
      <c r="BA450" s="106"/>
      <c r="BB450" s="197"/>
      <c r="BC450" s="197"/>
      <c r="BD450" s="197"/>
      <c r="BE450" s="197"/>
      <c r="BF450" s="197"/>
      <c r="BG450" s="197"/>
      <c r="BH450" s="197"/>
      <c r="BI450" s="197"/>
      <c r="BJ450" s="197"/>
      <c r="BK450" s="197"/>
      <c r="BL450" s="104">
        <v>446</v>
      </c>
      <c r="BM450" s="14">
        <f t="shared" si="360"/>
        <v>23</v>
      </c>
      <c r="BN450" s="14">
        <f>INDEX(挂机升级突破!$EI$7:$EI$26,BS450)</f>
        <v>5</v>
      </c>
      <c r="BO450" s="14">
        <f>INDEX(挂机升级突破!$EJ$7:$EJ$26,BS450)</f>
        <v>1</v>
      </c>
      <c r="BP450" s="14">
        <f t="shared" si="361"/>
        <v>2</v>
      </c>
      <c r="BQ450" s="14">
        <f>INDEX(挂机升级突破!$EH$7:$EH$26,卡牌消耗!BS450)</f>
        <v>42</v>
      </c>
      <c r="BR450" s="14" t="str">
        <f t="shared" si="362"/>
        <v>异邦刀客</v>
      </c>
      <c r="BS450" s="14">
        <f t="shared" si="363"/>
        <v>6</v>
      </c>
      <c r="BT450" s="14" t="str">
        <f t="shared" si="364"/>
        <v>异邦刀客6突</v>
      </c>
      <c r="BU450" s="14" t="str">
        <f>IF(BN450&gt;0,INDEX(挂机升级突破!$ER$5:$EV$5,卡牌消耗!BN450),"")</f>
        <v>金币</v>
      </c>
      <c r="BV450" s="14">
        <f>IF(BN450&gt;0,ROUND(INDEX(挂机升级突破!$EV$7:$EV$26,卡牌消耗!BS450)*INDEX(卡牌消耗!$B$8:$F$8,BP450)/$Q$4/500,0)*500,"")</f>
        <v>3500</v>
      </c>
      <c r="BW450" s="14" t="str">
        <f>IF(BO450&gt;0,INDEX(挂机升级突破!$ER$5:$EV$5,卡牌消耗!BO450),"")</f>
        <v>玄铁</v>
      </c>
      <c r="BX450" s="14">
        <f>IF(BO450&gt;0,ROUND(INDEX(挂机升级突破!$ER$7:$EU$26,卡牌消耗!BS450,卡牌消耗!BO450)*INDEX($B$6:$F$6,BP450)/$Q$4/5,0)*5,"")</f>
        <v>40</v>
      </c>
      <c r="BY450" s="193"/>
      <c r="BZ450" s="193"/>
      <c r="CA450" s="106"/>
    </row>
    <row r="451" spans="8:79" ht="16.5" x14ac:dyDescent="0.2">
      <c r="H451" s="15"/>
      <c r="I451" s="15"/>
      <c r="J451" s="15"/>
      <c r="K451" s="15"/>
      <c r="L451" s="15"/>
      <c r="M451" s="15"/>
      <c r="N451" s="15"/>
      <c r="O451" s="137"/>
      <c r="P451" s="141"/>
      <c r="Q451" s="141"/>
      <c r="R451" s="141"/>
      <c r="S451" s="141"/>
      <c r="T451" s="141"/>
      <c r="U451" s="141"/>
      <c r="V451" s="141"/>
      <c r="W451" s="141"/>
      <c r="X451" s="141"/>
      <c r="Y451" s="141"/>
      <c r="Z451" s="141"/>
      <c r="AA451" s="194"/>
      <c r="AB451" s="194"/>
      <c r="AC451" s="194"/>
      <c r="AD451" s="194"/>
      <c r="AE451" s="194"/>
      <c r="AF451" s="194"/>
      <c r="AG451" s="197"/>
      <c r="AH451" s="194"/>
      <c r="AI451" s="194"/>
      <c r="AJ451" s="194"/>
      <c r="AK451" s="104">
        <v>447</v>
      </c>
      <c r="AL451" s="14">
        <f t="shared" si="355"/>
        <v>9</v>
      </c>
      <c r="AM451" s="14">
        <f>INDEX(挂机升级突破!DQ$6:DQ$57,卡牌消耗!$AT451)</f>
        <v>11</v>
      </c>
      <c r="AN451" s="14">
        <f>INDEX(挂机升级突破!DR$6:DR$57,卡牌消耗!$AT451)</f>
        <v>4</v>
      </c>
      <c r="AO451" s="14">
        <f>INDEX(挂机升级突破!DS$6:DS$57,卡牌消耗!$AT451)</f>
        <v>0</v>
      </c>
      <c r="AP451" s="14">
        <f>INDEX(挂机升级突破!$DP$6:$DP$57,卡牌消耗!AT451)</f>
        <v>95</v>
      </c>
      <c r="AQ451" s="14" t="str">
        <f t="shared" si="356"/>
        <v>徐晃</v>
      </c>
      <c r="AR451" s="14">
        <f t="shared" si="357"/>
        <v>3</v>
      </c>
      <c r="AS451" s="14" t="str">
        <f t="shared" si="358"/>
        <v>徐晃魂火-31</v>
      </c>
      <c r="AT451" s="14">
        <f t="shared" si="359"/>
        <v>31</v>
      </c>
      <c r="AU451" s="14" t="str">
        <f>IF(AM451&gt;0,INDEX(挂机升级突破!$DT$4:$ED$4,AM451),"")</f>
        <v>金币</v>
      </c>
      <c r="AV451" s="14">
        <f>ROUND(INDEX(挂机升级突破!$DJ$6:$DJ$57,卡牌消耗!AT451)*INDEX(卡牌消耗!$B$8:$F$8,AR451)/$Q$4/50,0)*50</f>
        <v>8900</v>
      </c>
      <c r="AW451" s="14" t="str">
        <f>IF(AN451&gt;0,INDEX(挂机升级突破!$DT$4:$ED$4,AN451),"")</f>
        <v>橙色基础材料</v>
      </c>
      <c r="AX451" s="14">
        <f>ROUND(INDEX(挂机升级突破!$DT$6:$ED$57,卡牌消耗!AT451,AN451)*INDEX(卡牌消耗!$B$5:$F$5,AR451)/$Q$4/5,0)*5</f>
        <v>25</v>
      </c>
      <c r="AY451" s="14" t="str">
        <f>IF(AO451&gt;0,INDEX(挂机升级突破!$DT$4:$ED$4,AO451),"")</f>
        <v/>
      </c>
      <c r="AZ451" s="14" t="str">
        <f>IF(AO451&gt;0,ROUND(INDEX(挂机升级突破!$DT$6:$ED$57,卡牌消耗!AT451,AO451)*INDEX(卡牌消耗!$B$7:$F$7,AR451)/$Q$4,0),"")</f>
        <v/>
      </c>
      <c r="BA451" s="106"/>
      <c r="BB451" s="197"/>
      <c r="BC451" s="197"/>
      <c r="BD451" s="197"/>
      <c r="BE451" s="197"/>
      <c r="BF451" s="197"/>
      <c r="BG451" s="197"/>
      <c r="BH451" s="197"/>
      <c r="BI451" s="197"/>
      <c r="BJ451" s="197"/>
      <c r="BK451" s="197"/>
      <c r="BL451" s="104">
        <v>447</v>
      </c>
      <c r="BM451" s="14">
        <f t="shared" si="360"/>
        <v>23</v>
      </c>
      <c r="BN451" s="14">
        <f>INDEX(挂机升级突破!$EI$7:$EI$26,BS451)</f>
        <v>5</v>
      </c>
      <c r="BO451" s="14">
        <f>INDEX(挂机升级突破!$EJ$7:$EJ$26,BS451)</f>
        <v>1</v>
      </c>
      <c r="BP451" s="14">
        <f t="shared" si="361"/>
        <v>2</v>
      </c>
      <c r="BQ451" s="14">
        <f>INDEX(挂机升级突破!$EH$7:$EH$26,卡牌消耗!BS451)</f>
        <v>47</v>
      </c>
      <c r="BR451" s="14" t="str">
        <f t="shared" si="362"/>
        <v>异邦刀客</v>
      </c>
      <c r="BS451" s="14">
        <f t="shared" si="363"/>
        <v>7</v>
      </c>
      <c r="BT451" s="14" t="str">
        <f t="shared" si="364"/>
        <v>异邦刀客7突</v>
      </c>
      <c r="BU451" s="14" t="str">
        <f>IF(BN451&gt;0,INDEX(挂机升级突破!$ER$5:$EV$5,卡牌消耗!BN451),"")</f>
        <v>金币</v>
      </c>
      <c r="BV451" s="14">
        <f>IF(BN451&gt;0,ROUND(INDEX(挂机升级突破!$EV$7:$EV$26,卡牌消耗!BS451)*INDEX(卡牌消耗!$B$8:$F$8,BP451)/$Q$4/500,0)*500,"")</f>
        <v>5500</v>
      </c>
      <c r="BW451" s="14" t="str">
        <f>IF(BO451&gt;0,INDEX(挂机升级突破!$ER$5:$EV$5,卡牌消耗!BO451),"")</f>
        <v>玄铁</v>
      </c>
      <c r="BX451" s="14">
        <f>IF(BO451&gt;0,ROUND(INDEX(挂机升级突破!$ER$7:$EU$26,卡牌消耗!BS451,卡牌消耗!BO451)*INDEX($B$6:$F$6,BP451)/$Q$4/5,0)*5,"")</f>
        <v>65</v>
      </c>
      <c r="BY451" s="193"/>
      <c r="BZ451" s="193"/>
      <c r="CA451" s="106"/>
    </row>
    <row r="452" spans="8:79" ht="16.5" x14ac:dyDescent="0.2">
      <c r="H452" s="15"/>
      <c r="I452" s="15"/>
      <c r="J452" s="15"/>
      <c r="K452" s="15"/>
      <c r="L452" s="15"/>
      <c r="M452" s="15"/>
      <c r="N452" s="15"/>
      <c r="O452" s="137"/>
      <c r="P452" s="141"/>
      <c r="Q452" s="141"/>
      <c r="R452" s="141"/>
      <c r="S452" s="141"/>
      <c r="T452" s="141"/>
      <c r="U452" s="141"/>
      <c r="V452" s="141"/>
      <c r="W452" s="141"/>
      <c r="X452" s="141"/>
      <c r="Y452" s="141"/>
      <c r="Z452" s="141"/>
      <c r="AA452" s="194"/>
      <c r="AB452" s="194"/>
      <c r="AC452" s="194"/>
      <c r="AD452" s="194"/>
      <c r="AE452" s="194"/>
      <c r="AF452" s="194"/>
      <c r="AG452" s="197"/>
      <c r="AH452" s="194"/>
      <c r="AI452" s="194"/>
      <c r="AJ452" s="194"/>
      <c r="AK452" s="104">
        <v>448</v>
      </c>
      <c r="AL452" s="14">
        <f t="shared" si="355"/>
        <v>9</v>
      </c>
      <c r="AM452" s="14">
        <f>INDEX(挂机升级突破!DQ$6:DQ$57,卡牌消耗!$AT452)</f>
        <v>11</v>
      </c>
      <c r="AN452" s="14">
        <f>INDEX(挂机升级突破!DR$6:DR$57,卡牌消耗!$AT452)</f>
        <v>4</v>
      </c>
      <c r="AO452" s="14">
        <f>INDEX(挂机升级突破!DS$6:DS$57,卡牌消耗!$AT452)</f>
        <v>0</v>
      </c>
      <c r="AP452" s="14">
        <f>INDEX(挂机升级突破!$DP$6:$DP$57,卡牌消耗!AT452)</f>
        <v>98</v>
      </c>
      <c r="AQ452" s="14" t="str">
        <f t="shared" si="356"/>
        <v>徐晃</v>
      </c>
      <c r="AR452" s="14">
        <f t="shared" si="357"/>
        <v>3</v>
      </c>
      <c r="AS452" s="14" t="str">
        <f t="shared" si="358"/>
        <v>徐晃魂火-32</v>
      </c>
      <c r="AT452" s="14">
        <f t="shared" si="359"/>
        <v>32</v>
      </c>
      <c r="AU452" s="14" t="str">
        <f>IF(AM452&gt;0,INDEX(挂机升级突破!$DT$4:$ED$4,AM452),"")</f>
        <v>金币</v>
      </c>
      <c r="AV452" s="14">
        <f>ROUND(INDEX(挂机升级突破!$DJ$6:$DJ$57,卡牌消耗!AT452)*INDEX(卡牌消耗!$B$8:$F$8,AR452)/$Q$4/50,0)*50</f>
        <v>12200</v>
      </c>
      <c r="AW452" s="14" t="str">
        <f>IF(AN452&gt;0,INDEX(挂机升级突破!$DT$4:$ED$4,AN452),"")</f>
        <v>橙色基础材料</v>
      </c>
      <c r="AX452" s="14">
        <f>ROUND(INDEX(挂机升级突破!$DT$6:$ED$57,卡牌消耗!AT452,AN452)*INDEX(卡牌消耗!$B$5:$F$5,AR452)/$Q$4/5,0)*5</f>
        <v>25</v>
      </c>
      <c r="AY452" s="14" t="str">
        <f>IF(AO452&gt;0,INDEX(挂机升级突破!$DT$4:$ED$4,AO452),"")</f>
        <v/>
      </c>
      <c r="AZ452" s="14" t="str">
        <f>IF(AO452&gt;0,ROUND(INDEX(挂机升级突破!$DT$6:$ED$57,卡牌消耗!AT452,AO452)*INDEX(卡牌消耗!$B$7:$F$7,AR452)/$Q$4,0),"")</f>
        <v/>
      </c>
      <c r="BA452" s="106"/>
      <c r="BB452" s="197"/>
      <c r="BC452" s="197"/>
      <c r="BD452" s="197"/>
      <c r="BE452" s="197"/>
      <c r="BF452" s="197"/>
      <c r="BG452" s="197"/>
      <c r="BH452" s="197"/>
      <c r="BI452" s="197"/>
      <c r="BJ452" s="197"/>
      <c r="BK452" s="197"/>
      <c r="BL452" s="104">
        <v>448</v>
      </c>
      <c r="BM452" s="14">
        <f t="shared" si="360"/>
        <v>23</v>
      </c>
      <c r="BN452" s="14">
        <f>INDEX(挂机升级突破!$EI$7:$EI$26,BS452)</f>
        <v>5</v>
      </c>
      <c r="BO452" s="14">
        <f>INDEX(挂机升级突破!$EJ$7:$EJ$26,BS452)</f>
        <v>1</v>
      </c>
      <c r="BP452" s="14">
        <f t="shared" si="361"/>
        <v>2</v>
      </c>
      <c r="BQ452" s="14">
        <f>INDEX(挂机升级突破!$EH$7:$EH$26,卡牌消耗!BS452)</f>
        <v>52</v>
      </c>
      <c r="BR452" s="14" t="str">
        <f t="shared" si="362"/>
        <v>异邦刀客</v>
      </c>
      <c r="BS452" s="14">
        <f t="shared" si="363"/>
        <v>8</v>
      </c>
      <c r="BT452" s="14" t="str">
        <f t="shared" si="364"/>
        <v>异邦刀客8突</v>
      </c>
      <c r="BU452" s="14" t="str">
        <f>IF(BN452&gt;0,INDEX(挂机升级突破!$ER$5:$EV$5,卡牌消耗!BN452),"")</f>
        <v>金币</v>
      </c>
      <c r="BV452" s="14">
        <f>IF(BN452&gt;0,ROUND(INDEX(挂机升级突破!$EV$7:$EV$26,卡牌消耗!BS452)*INDEX(卡牌消耗!$B$8:$F$8,BP452)/$Q$4/500,0)*500,"")</f>
        <v>5500</v>
      </c>
      <c r="BW452" s="14" t="str">
        <f>IF(BO452&gt;0,INDEX(挂机升级突破!$ER$5:$EV$5,卡牌消耗!BO452),"")</f>
        <v>玄铁</v>
      </c>
      <c r="BX452" s="14">
        <f>IF(BO452&gt;0,ROUND(INDEX(挂机升级突破!$ER$7:$EU$26,卡牌消耗!BS452,卡牌消耗!BO452)*INDEX($B$6:$F$6,BP452)/$Q$4/5,0)*5,"")</f>
        <v>120</v>
      </c>
      <c r="BY452" s="193"/>
      <c r="BZ452" s="193"/>
      <c r="CA452" s="106"/>
    </row>
    <row r="453" spans="8:79" ht="16.5" x14ac:dyDescent="0.2">
      <c r="H453" s="15"/>
      <c r="I453" s="15"/>
      <c r="J453" s="15"/>
      <c r="K453" s="15"/>
      <c r="L453" s="15"/>
      <c r="M453" s="15"/>
      <c r="N453" s="15"/>
      <c r="O453" s="137"/>
      <c r="P453" s="141"/>
      <c r="Q453" s="141"/>
      <c r="R453" s="141"/>
      <c r="S453" s="141"/>
      <c r="T453" s="141"/>
      <c r="U453" s="141"/>
      <c r="V453" s="141"/>
      <c r="W453" s="141"/>
      <c r="X453" s="141"/>
      <c r="Y453" s="141"/>
      <c r="Z453" s="141"/>
      <c r="AA453" s="194"/>
      <c r="AB453" s="194"/>
      <c r="AC453" s="194"/>
      <c r="AD453" s="194"/>
      <c r="AE453" s="194"/>
      <c r="AF453" s="194"/>
      <c r="AG453" s="197"/>
      <c r="AH453" s="194"/>
      <c r="AI453" s="194"/>
      <c r="AJ453" s="194"/>
      <c r="AK453" s="104">
        <v>449</v>
      </c>
      <c r="AL453" s="14">
        <f t="shared" si="355"/>
        <v>9</v>
      </c>
      <c r="AM453" s="14">
        <f>INDEX(挂机升级突破!DQ$6:DQ$57,卡牌消耗!$AT453)</f>
        <v>11</v>
      </c>
      <c r="AN453" s="14">
        <f>INDEX(挂机升级突破!DR$6:DR$57,卡牌消耗!$AT453)</f>
        <v>4</v>
      </c>
      <c r="AO453" s="14">
        <f>INDEX(挂机升级突破!DS$6:DS$57,卡牌消耗!$AT453)</f>
        <v>0</v>
      </c>
      <c r="AP453" s="14">
        <f>INDEX(挂机升级突破!$DP$6:$DP$57,卡牌消耗!AT453)</f>
        <v>100</v>
      </c>
      <c r="AQ453" s="14" t="str">
        <f t="shared" si="356"/>
        <v>徐晃</v>
      </c>
      <c r="AR453" s="14">
        <f t="shared" si="357"/>
        <v>3</v>
      </c>
      <c r="AS453" s="14" t="str">
        <f t="shared" si="358"/>
        <v>徐晃魂火-33</v>
      </c>
      <c r="AT453" s="14">
        <f t="shared" si="359"/>
        <v>33</v>
      </c>
      <c r="AU453" s="14" t="str">
        <f>IF(AM453&gt;0,INDEX(挂机升级突破!$DT$4:$ED$4,AM453),"")</f>
        <v>金币</v>
      </c>
      <c r="AV453" s="14">
        <f>ROUND(INDEX(挂机升级突破!$DJ$6:$DJ$57,卡牌消耗!AT453)*INDEX(卡牌消耗!$B$8:$F$8,AR453)/$Q$4/50,0)*50</f>
        <v>12200</v>
      </c>
      <c r="AW453" s="14" t="str">
        <f>IF(AN453&gt;0,INDEX(挂机升级突破!$DT$4:$ED$4,AN453),"")</f>
        <v>橙色基础材料</v>
      </c>
      <c r="AX453" s="14">
        <f>ROUND(INDEX(挂机升级突破!$DT$6:$ED$57,卡牌消耗!AT453,AN453)*INDEX(卡牌消耗!$B$5:$F$5,AR453)/$Q$4/5,0)*5</f>
        <v>25</v>
      </c>
      <c r="AY453" s="14" t="str">
        <f>IF(AO453&gt;0,INDEX(挂机升级突破!$DT$4:$ED$4,AO453),"")</f>
        <v/>
      </c>
      <c r="AZ453" s="14" t="str">
        <f>IF(AO453&gt;0,ROUND(INDEX(挂机升级突破!$DT$6:$ED$57,卡牌消耗!AT453,AO453)*INDEX(卡牌消耗!$B$7:$F$7,AR453)/$Q$4,0),"")</f>
        <v/>
      </c>
      <c r="BA453" s="106"/>
      <c r="BB453" s="197"/>
      <c r="BC453" s="197"/>
      <c r="BD453" s="197"/>
      <c r="BE453" s="197"/>
      <c r="BF453" s="197"/>
      <c r="BG453" s="197"/>
      <c r="BH453" s="197"/>
      <c r="BI453" s="197"/>
      <c r="BJ453" s="197"/>
      <c r="BK453" s="197"/>
      <c r="BL453" s="104">
        <v>449</v>
      </c>
      <c r="BM453" s="14">
        <f t="shared" si="360"/>
        <v>23</v>
      </c>
      <c r="BN453" s="14">
        <f>INDEX(挂机升级突破!$EI$7:$EI$26,BS453)</f>
        <v>5</v>
      </c>
      <c r="BO453" s="14">
        <f>INDEX(挂机升级突破!$EJ$7:$EJ$26,BS453)</f>
        <v>2</v>
      </c>
      <c r="BP453" s="14">
        <f t="shared" si="361"/>
        <v>2</v>
      </c>
      <c r="BQ453" s="14">
        <f>INDEX(挂机升级突破!$EH$7:$EH$26,卡牌消耗!BS453)</f>
        <v>57</v>
      </c>
      <c r="BR453" s="14" t="str">
        <f t="shared" si="362"/>
        <v>异邦刀客</v>
      </c>
      <c r="BS453" s="14">
        <f t="shared" si="363"/>
        <v>9</v>
      </c>
      <c r="BT453" s="14" t="str">
        <f t="shared" si="364"/>
        <v>异邦刀客9突</v>
      </c>
      <c r="BU453" s="14" t="str">
        <f>IF(BN453&gt;0,INDEX(挂机升级突破!$ER$5:$EV$5,卡牌消耗!BN453),"")</f>
        <v>金币</v>
      </c>
      <c r="BV453" s="14">
        <f>IF(BN453&gt;0,ROUND(INDEX(挂机升级突破!$EV$7:$EV$26,卡牌消耗!BS453)*INDEX(卡牌消耗!$B$8:$F$8,BP453)/$Q$4/500,0)*500,"")</f>
        <v>7500</v>
      </c>
      <c r="BW453" s="14" t="str">
        <f>IF(BO453&gt;0,INDEX(挂机升级突破!$ER$5:$EV$5,卡牌消耗!BO453),"")</f>
        <v>乌金</v>
      </c>
      <c r="BX453" s="14">
        <f>IF(BO453&gt;0,ROUND(INDEX(挂机升级突破!$ER$7:$EU$26,卡牌消耗!BS453,卡牌消耗!BO453)*INDEX($B$6:$F$6,BP453)/$Q$4/5,0)*5,"")</f>
        <v>40</v>
      </c>
      <c r="BY453" s="193"/>
      <c r="BZ453" s="193"/>
      <c r="CA453" s="106"/>
    </row>
    <row r="454" spans="8:79" ht="16.5" x14ac:dyDescent="0.2">
      <c r="H454" s="15"/>
      <c r="I454" s="15"/>
      <c r="J454" s="15"/>
      <c r="K454" s="15"/>
      <c r="L454" s="15"/>
      <c r="M454" s="15"/>
      <c r="N454" s="15"/>
      <c r="O454" s="137"/>
      <c r="P454" s="141"/>
      <c r="Q454" s="141"/>
      <c r="R454" s="141"/>
      <c r="S454" s="141"/>
      <c r="T454" s="141"/>
      <c r="U454" s="141"/>
      <c r="V454" s="141"/>
      <c r="W454" s="141"/>
      <c r="X454" s="141"/>
      <c r="Y454" s="141"/>
      <c r="Z454" s="141"/>
      <c r="AA454" s="194"/>
      <c r="AB454" s="194"/>
      <c r="AC454" s="194"/>
      <c r="AD454" s="194"/>
      <c r="AE454" s="194"/>
      <c r="AF454" s="194"/>
      <c r="AG454" s="197"/>
      <c r="AH454" s="194"/>
      <c r="AI454" s="194"/>
      <c r="AJ454" s="194"/>
      <c r="AK454" s="104">
        <v>450</v>
      </c>
      <c r="AL454" s="14">
        <f t="shared" ref="AL454:AL517" si="365">INT((AK454-1)/52)+1</f>
        <v>9</v>
      </c>
      <c r="AM454" s="14">
        <f>INDEX(挂机升级突破!DQ$6:DQ$57,卡牌消耗!$AT454)</f>
        <v>11</v>
      </c>
      <c r="AN454" s="14">
        <f>INDEX(挂机升级突破!DR$6:DR$57,卡牌消耗!$AT454)</f>
        <v>4</v>
      </c>
      <c r="AO454" s="14">
        <f>INDEX(挂机升级突破!DS$6:DS$57,卡牌消耗!$AT454)</f>
        <v>0</v>
      </c>
      <c r="AP454" s="14">
        <f>INDEX(挂机升级突破!$DP$6:$DP$57,卡牌消耗!AT454)</f>
        <v>103</v>
      </c>
      <c r="AQ454" s="14" t="str">
        <f t="shared" ref="AQ454:AQ517" si="366">INDEX($B$13:$B$45,AL454)</f>
        <v>徐晃</v>
      </c>
      <c r="AR454" s="14">
        <f t="shared" ref="AR454:AR517" si="367">INDEX($C$13:$C$45,AL454)</f>
        <v>3</v>
      </c>
      <c r="AS454" s="14" t="str">
        <f t="shared" ref="AS454:AS517" si="368">AQ454&amp;"魂火-"&amp;AT454</f>
        <v>徐晃魂火-34</v>
      </c>
      <c r="AT454" s="14">
        <f t="shared" ref="AT454:AT517" si="369">AK454-(AL454-1)*52</f>
        <v>34</v>
      </c>
      <c r="AU454" s="14" t="str">
        <f>IF(AM454&gt;0,INDEX(挂机升级突破!$DT$4:$ED$4,AM454),"")</f>
        <v>金币</v>
      </c>
      <c r="AV454" s="14">
        <f>ROUND(INDEX(挂机升级突破!$DJ$6:$DJ$57,卡牌消耗!AT454)*INDEX(卡牌消耗!$B$8:$F$8,AR454)/$Q$4/50,0)*50</f>
        <v>12200</v>
      </c>
      <c r="AW454" s="14" t="str">
        <f>IF(AN454&gt;0,INDEX(挂机升级突破!$DT$4:$ED$4,AN454),"")</f>
        <v>橙色基础材料</v>
      </c>
      <c r="AX454" s="14">
        <f>ROUND(INDEX(挂机升级突破!$DT$6:$ED$57,卡牌消耗!AT454,AN454)*INDEX(卡牌消耗!$B$5:$F$5,AR454)/$Q$4/5,0)*5</f>
        <v>30</v>
      </c>
      <c r="AY454" s="14" t="str">
        <f>IF(AO454&gt;0,INDEX(挂机升级突破!$DT$4:$ED$4,AO454),"")</f>
        <v/>
      </c>
      <c r="AZ454" s="14" t="str">
        <f>IF(AO454&gt;0,ROUND(INDEX(挂机升级突破!$DT$6:$ED$57,卡牌消耗!AT454,AO454)*INDEX(卡牌消耗!$B$7:$F$7,AR454)/$Q$4,0),"")</f>
        <v/>
      </c>
      <c r="BA454" s="106"/>
      <c r="BB454" s="197"/>
      <c r="BC454" s="197"/>
      <c r="BD454" s="197"/>
      <c r="BE454" s="197"/>
      <c r="BF454" s="197"/>
      <c r="BG454" s="197"/>
      <c r="BH454" s="197"/>
      <c r="BI454" s="197"/>
      <c r="BJ454" s="197"/>
      <c r="BK454" s="197"/>
      <c r="BL454" s="104">
        <v>450</v>
      </c>
      <c r="BM454" s="14">
        <f t="shared" ref="BM454:BM517" si="370">INT((BL454-1)/20)+1</f>
        <v>23</v>
      </c>
      <c r="BN454" s="14">
        <f>INDEX(挂机升级突破!$EI$7:$EI$26,BS454)</f>
        <v>5</v>
      </c>
      <c r="BO454" s="14">
        <f>INDEX(挂机升级突破!$EJ$7:$EJ$26,BS454)</f>
        <v>2</v>
      </c>
      <c r="BP454" s="14">
        <f t="shared" ref="BP454:BP517" si="371">INDEX($C$13:$C$45,BM454)</f>
        <v>2</v>
      </c>
      <c r="BQ454" s="14">
        <f>INDEX(挂机升级突破!$EH$7:$EH$26,卡牌消耗!BS454)</f>
        <v>65</v>
      </c>
      <c r="BR454" s="14" t="str">
        <f t="shared" ref="BR454:BR517" si="372">INDEX($B$13:$B$45,BM454)</f>
        <v>异邦刀客</v>
      </c>
      <c r="BS454" s="14">
        <f t="shared" ref="BS454:BS517" si="373">BL454-(BM454-1)*20</f>
        <v>10</v>
      </c>
      <c r="BT454" s="14" t="str">
        <f t="shared" ref="BT454:BT517" si="374">BR454&amp;BS454&amp;"突"</f>
        <v>异邦刀客10突</v>
      </c>
      <c r="BU454" s="14" t="str">
        <f>IF(BN454&gt;0,INDEX(挂机升级突破!$ER$5:$EV$5,卡牌消耗!BN454),"")</f>
        <v>金币</v>
      </c>
      <c r="BV454" s="14">
        <f>IF(BN454&gt;0,ROUND(INDEX(挂机升级突破!$EV$7:$EV$26,卡牌消耗!BS454)*INDEX(卡牌消耗!$B$8:$F$8,BP454)/$Q$4/500,0)*500,"")</f>
        <v>13000</v>
      </c>
      <c r="BW454" s="14" t="str">
        <f>IF(BO454&gt;0,INDEX(挂机升级突破!$ER$5:$EV$5,卡牌消耗!BO454),"")</f>
        <v>乌金</v>
      </c>
      <c r="BX454" s="14">
        <f>IF(BO454&gt;0,ROUND(INDEX(挂机升级突破!$ER$7:$EU$26,卡牌消耗!BS454,卡牌消耗!BO454)*INDEX($B$6:$F$6,BP454)/$Q$4/5,0)*5,"")</f>
        <v>55</v>
      </c>
      <c r="BY454" s="193"/>
      <c r="BZ454" s="193"/>
      <c r="CA454" s="106"/>
    </row>
    <row r="455" spans="8:79" ht="16.5" x14ac:dyDescent="0.2">
      <c r="H455" s="15"/>
      <c r="I455" s="15"/>
      <c r="J455" s="15"/>
      <c r="K455" s="15"/>
      <c r="L455" s="15"/>
      <c r="M455" s="15"/>
      <c r="N455" s="15"/>
      <c r="O455" s="137"/>
      <c r="P455" s="141"/>
      <c r="Q455" s="141"/>
      <c r="R455" s="141"/>
      <c r="S455" s="141"/>
      <c r="T455" s="141"/>
      <c r="U455" s="141"/>
      <c r="V455" s="141"/>
      <c r="W455" s="141"/>
      <c r="X455" s="141"/>
      <c r="Y455" s="141"/>
      <c r="Z455" s="141"/>
      <c r="AA455" s="194"/>
      <c r="AB455" s="194"/>
      <c r="AC455" s="194"/>
      <c r="AD455" s="194"/>
      <c r="AE455" s="194"/>
      <c r="AF455" s="194"/>
      <c r="AG455" s="197"/>
      <c r="AH455" s="194"/>
      <c r="AI455" s="194"/>
      <c r="AJ455" s="194"/>
      <c r="AK455" s="104">
        <v>451</v>
      </c>
      <c r="AL455" s="14">
        <f t="shared" si="365"/>
        <v>9</v>
      </c>
      <c r="AM455" s="14">
        <f>INDEX(挂机升级突破!DQ$6:DQ$57,卡牌消耗!$AT455)</f>
        <v>11</v>
      </c>
      <c r="AN455" s="14">
        <f>INDEX(挂机升级突破!DR$6:DR$57,卡牌消耗!$AT455)</f>
        <v>4</v>
      </c>
      <c r="AO455" s="14">
        <f>INDEX(挂机升级突破!DS$6:DS$57,卡牌消耗!$AT455)</f>
        <v>0</v>
      </c>
      <c r="AP455" s="14">
        <f>INDEX(挂机升级突破!$DP$6:$DP$57,卡牌消耗!AT455)</f>
        <v>105</v>
      </c>
      <c r="AQ455" s="14" t="str">
        <f t="shared" si="366"/>
        <v>徐晃</v>
      </c>
      <c r="AR455" s="14">
        <f t="shared" si="367"/>
        <v>3</v>
      </c>
      <c r="AS455" s="14" t="str">
        <f t="shared" si="368"/>
        <v>徐晃魂火-35</v>
      </c>
      <c r="AT455" s="14">
        <f t="shared" si="369"/>
        <v>35</v>
      </c>
      <c r="AU455" s="14" t="str">
        <f>IF(AM455&gt;0,INDEX(挂机升级突破!$DT$4:$ED$4,AM455),"")</f>
        <v>金币</v>
      </c>
      <c r="AV455" s="14">
        <f>ROUND(INDEX(挂机升级突破!$DJ$6:$DJ$57,卡牌消耗!AT455)*INDEX(卡牌消耗!$B$8:$F$8,AR455)/$Q$4/50,0)*50</f>
        <v>15550</v>
      </c>
      <c r="AW455" s="14" t="str">
        <f>IF(AN455&gt;0,INDEX(挂机升级突破!$DT$4:$ED$4,AN455),"")</f>
        <v>橙色基础材料</v>
      </c>
      <c r="AX455" s="14">
        <f>ROUND(INDEX(挂机升级突破!$DT$6:$ED$57,卡牌消耗!AT455,AN455)*INDEX(卡牌消耗!$B$5:$F$5,AR455)/$Q$4/5,0)*5</f>
        <v>30</v>
      </c>
      <c r="AY455" s="14" t="str">
        <f>IF(AO455&gt;0,INDEX(挂机升级突破!$DT$4:$ED$4,AO455),"")</f>
        <v/>
      </c>
      <c r="AZ455" s="14" t="str">
        <f>IF(AO455&gt;0,ROUND(INDEX(挂机升级突破!$DT$6:$ED$57,卡牌消耗!AT455,AO455)*INDEX(卡牌消耗!$B$7:$F$7,AR455)/$Q$4,0),"")</f>
        <v/>
      </c>
      <c r="BA455" s="106"/>
      <c r="BB455" s="197"/>
      <c r="BC455" s="197"/>
      <c r="BD455" s="197"/>
      <c r="BE455" s="197"/>
      <c r="BF455" s="197"/>
      <c r="BG455" s="197"/>
      <c r="BH455" s="197"/>
      <c r="BI455" s="197"/>
      <c r="BJ455" s="197"/>
      <c r="BK455" s="197"/>
      <c r="BL455" s="104">
        <v>451</v>
      </c>
      <c r="BM455" s="14">
        <f t="shared" si="370"/>
        <v>23</v>
      </c>
      <c r="BN455" s="14">
        <f>INDEX(挂机升级突破!$EI$7:$EI$26,BS455)</f>
        <v>5</v>
      </c>
      <c r="BO455" s="14">
        <f>INDEX(挂机升级突破!$EJ$7:$EJ$26,BS455)</f>
        <v>2</v>
      </c>
      <c r="BP455" s="14">
        <f t="shared" si="371"/>
        <v>2</v>
      </c>
      <c r="BQ455" s="14">
        <f>INDEX(挂机升级突破!$EH$7:$EH$26,卡牌消耗!BS455)</f>
        <v>72</v>
      </c>
      <c r="BR455" s="14" t="str">
        <f t="shared" si="372"/>
        <v>异邦刀客</v>
      </c>
      <c r="BS455" s="14">
        <f t="shared" si="373"/>
        <v>11</v>
      </c>
      <c r="BT455" s="14" t="str">
        <f t="shared" si="374"/>
        <v>异邦刀客11突</v>
      </c>
      <c r="BU455" s="14" t="str">
        <f>IF(BN455&gt;0,INDEX(挂机升级突破!$ER$5:$EV$5,卡牌消耗!BN455),"")</f>
        <v>金币</v>
      </c>
      <c r="BV455" s="14">
        <f>IF(BN455&gt;0,ROUND(INDEX(挂机升级突破!$EV$7:$EV$26,卡牌消耗!BS455)*INDEX(卡牌消耗!$B$8:$F$8,BP455)/$Q$4/500,0)*500,"")</f>
        <v>13000</v>
      </c>
      <c r="BW455" s="14" t="str">
        <f>IF(BO455&gt;0,INDEX(挂机升级突破!$ER$5:$EV$5,卡牌消耗!BO455),"")</f>
        <v>乌金</v>
      </c>
      <c r="BX455" s="14">
        <f>IF(BO455&gt;0,ROUND(INDEX(挂机升级突破!$ER$7:$EU$26,卡牌消耗!BS455,卡牌消耗!BO455)*INDEX($B$6:$F$6,BP455)/$Q$4/5,0)*5,"")</f>
        <v>75</v>
      </c>
      <c r="BY455" s="193"/>
      <c r="BZ455" s="193"/>
      <c r="CA455" s="106"/>
    </row>
    <row r="456" spans="8:79" ht="16.5" x14ac:dyDescent="0.2">
      <c r="H456" s="15"/>
      <c r="I456" s="15"/>
      <c r="J456" s="15"/>
      <c r="K456" s="15"/>
      <c r="L456" s="15"/>
      <c r="M456" s="15"/>
      <c r="N456" s="15"/>
      <c r="O456" s="137"/>
      <c r="P456" s="141"/>
      <c r="Q456" s="141"/>
      <c r="R456" s="141"/>
      <c r="S456" s="141"/>
      <c r="T456" s="141"/>
      <c r="U456" s="141"/>
      <c r="V456" s="141"/>
      <c r="W456" s="141"/>
      <c r="X456" s="141"/>
      <c r="Y456" s="141"/>
      <c r="Z456" s="141"/>
      <c r="AA456" s="194"/>
      <c r="AB456" s="194"/>
      <c r="AC456" s="194"/>
      <c r="AD456" s="194"/>
      <c r="AE456" s="194"/>
      <c r="AF456" s="194"/>
      <c r="AG456" s="197"/>
      <c r="AH456" s="194"/>
      <c r="AI456" s="194"/>
      <c r="AJ456" s="194"/>
      <c r="AK456" s="104">
        <v>452</v>
      </c>
      <c r="AL456" s="14">
        <f t="shared" si="365"/>
        <v>9</v>
      </c>
      <c r="AM456" s="14">
        <f>INDEX(挂机升级突破!DQ$6:DQ$57,卡牌消耗!$AT456)</f>
        <v>11</v>
      </c>
      <c r="AN456" s="14">
        <f>INDEX(挂机升级突破!DR$6:DR$57,卡牌消耗!$AT456)</f>
        <v>4</v>
      </c>
      <c r="AO456" s="14">
        <f>INDEX(挂机升级突破!DS$6:DS$57,卡牌消耗!$AT456)</f>
        <v>0</v>
      </c>
      <c r="AP456" s="14">
        <f>INDEX(挂机升级突破!$DP$6:$DP$57,卡牌消耗!AT456)</f>
        <v>108</v>
      </c>
      <c r="AQ456" s="14" t="str">
        <f t="shared" si="366"/>
        <v>徐晃</v>
      </c>
      <c r="AR456" s="14">
        <f t="shared" si="367"/>
        <v>3</v>
      </c>
      <c r="AS456" s="14" t="str">
        <f t="shared" si="368"/>
        <v>徐晃魂火-36</v>
      </c>
      <c r="AT456" s="14">
        <f t="shared" si="369"/>
        <v>36</v>
      </c>
      <c r="AU456" s="14" t="str">
        <f>IF(AM456&gt;0,INDEX(挂机升级突破!$DT$4:$ED$4,AM456),"")</f>
        <v>金币</v>
      </c>
      <c r="AV456" s="14">
        <f>ROUND(INDEX(挂机升级突破!$DJ$6:$DJ$57,卡牌消耗!AT456)*INDEX(卡牌消耗!$B$8:$F$8,AR456)/$Q$4/50,0)*50</f>
        <v>15550</v>
      </c>
      <c r="AW456" s="14" t="str">
        <f>IF(AN456&gt;0,INDEX(挂机升级突破!$DT$4:$ED$4,AN456),"")</f>
        <v>橙色基础材料</v>
      </c>
      <c r="AX456" s="14">
        <f>ROUND(INDEX(挂机升级突破!$DT$6:$ED$57,卡牌消耗!AT456,AN456)*INDEX(卡牌消耗!$B$5:$F$5,AR456)/$Q$4/5,0)*5</f>
        <v>30</v>
      </c>
      <c r="AY456" s="14" t="str">
        <f>IF(AO456&gt;0,INDEX(挂机升级突破!$DT$4:$ED$4,AO456),"")</f>
        <v/>
      </c>
      <c r="AZ456" s="14" t="str">
        <f>IF(AO456&gt;0,ROUND(INDEX(挂机升级突破!$DT$6:$ED$57,卡牌消耗!AT456,AO456)*INDEX(卡牌消耗!$B$7:$F$7,AR456)/$Q$4,0),"")</f>
        <v/>
      </c>
      <c r="BA456" s="106"/>
      <c r="BB456" s="197"/>
      <c r="BC456" s="197"/>
      <c r="BD456" s="197"/>
      <c r="BE456" s="197"/>
      <c r="BF456" s="197"/>
      <c r="BG456" s="197"/>
      <c r="BH456" s="197"/>
      <c r="BI456" s="197"/>
      <c r="BJ456" s="197"/>
      <c r="BK456" s="197"/>
      <c r="BL456" s="104">
        <v>452</v>
      </c>
      <c r="BM456" s="14">
        <f t="shared" si="370"/>
        <v>23</v>
      </c>
      <c r="BN456" s="14">
        <f>INDEX(挂机升级突破!$EI$7:$EI$26,BS456)</f>
        <v>5</v>
      </c>
      <c r="BO456" s="14">
        <f>INDEX(挂机升级突破!$EJ$7:$EJ$26,BS456)</f>
        <v>2</v>
      </c>
      <c r="BP456" s="14">
        <f t="shared" si="371"/>
        <v>2</v>
      </c>
      <c r="BQ456" s="14">
        <f>INDEX(挂机升级突破!$EH$7:$EH$26,卡牌消耗!BS456)</f>
        <v>80</v>
      </c>
      <c r="BR456" s="14" t="str">
        <f t="shared" si="372"/>
        <v>异邦刀客</v>
      </c>
      <c r="BS456" s="14">
        <f t="shared" si="373"/>
        <v>12</v>
      </c>
      <c r="BT456" s="14" t="str">
        <f t="shared" si="374"/>
        <v>异邦刀客12突</v>
      </c>
      <c r="BU456" s="14" t="str">
        <f>IF(BN456&gt;0,INDEX(挂机升级突破!$ER$5:$EV$5,卡牌消耗!BN456),"")</f>
        <v>金币</v>
      </c>
      <c r="BV456" s="14">
        <f>IF(BN456&gt;0,ROUND(INDEX(挂机升级突破!$EV$7:$EV$26,卡牌消耗!BS456)*INDEX(卡牌消耗!$B$8:$F$8,BP456)/$Q$4/500,0)*500,"")</f>
        <v>17500</v>
      </c>
      <c r="BW456" s="14" t="str">
        <f>IF(BO456&gt;0,INDEX(挂机升级突破!$ER$5:$EV$5,卡牌消耗!BO456),"")</f>
        <v>乌金</v>
      </c>
      <c r="BX456" s="14">
        <f>IF(BO456&gt;0,ROUND(INDEX(挂机升级突破!$ER$7:$EU$26,卡牌消耗!BS456,卡牌消耗!BO456)*INDEX($B$6:$F$6,BP456)/$Q$4/5,0)*5,"")</f>
        <v>95</v>
      </c>
      <c r="BY456" s="193"/>
      <c r="BZ456" s="193"/>
      <c r="CA456" s="106"/>
    </row>
    <row r="457" spans="8:79" ht="16.5" x14ac:dyDescent="0.2">
      <c r="H457" s="15"/>
      <c r="I457" s="15"/>
      <c r="J457" s="15"/>
      <c r="K457" s="15"/>
      <c r="L457" s="15"/>
      <c r="M457" s="15"/>
      <c r="N457" s="15"/>
      <c r="O457" s="137"/>
      <c r="P457" s="141"/>
      <c r="Q457" s="141"/>
      <c r="R457" s="141"/>
      <c r="S457" s="141"/>
      <c r="T457" s="141"/>
      <c r="U457" s="141"/>
      <c r="V457" s="141"/>
      <c r="W457" s="141"/>
      <c r="X457" s="141"/>
      <c r="Y457" s="141"/>
      <c r="Z457" s="141"/>
      <c r="AA457" s="194"/>
      <c r="AB457" s="194"/>
      <c r="AC457" s="194"/>
      <c r="AD457" s="194"/>
      <c r="AE457" s="194"/>
      <c r="AF457" s="194"/>
      <c r="AG457" s="197"/>
      <c r="AH457" s="194"/>
      <c r="AI457" s="194"/>
      <c r="AJ457" s="194"/>
      <c r="AK457" s="104">
        <v>453</v>
      </c>
      <c r="AL457" s="14">
        <f t="shared" si="365"/>
        <v>9</v>
      </c>
      <c r="AM457" s="14">
        <f>INDEX(挂机升级突破!DQ$6:DQ$57,卡牌消耗!$AT457)</f>
        <v>11</v>
      </c>
      <c r="AN457" s="14">
        <f>INDEX(挂机升级突破!DR$6:DR$57,卡牌消耗!$AT457)</f>
        <v>4</v>
      </c>
      <c r="AO457" s="14">
        <f>INDEX(挂机升级突破!DS$6:DS$57,卡牌消耗!$AT457)</f>
        <v>0</v>
      </c>
      <c r="AP457" s="14">
        <f>INDEX(挂机升级突破!$DP$6:$DP$57,卡牌消耗!AT457)</f>
        <v>110</v>
      </c>
      <c r="AQ457" s="14" t="str">
        <f t="shared" si="366"/>
        <v>徐晃</v>
      </c>
      <c r="AR457" s="14">
        <f t="shared" si="367"/>
        <v>3</v>
      </c>
      <c r="AS457" s="14" t="str">
        <f t="shared" si="368"/>
        <v>徐晃魂火-37</v>
      </c>
      <c r="AT457" s="14">
        <f t="shared" si="369"/>
        <v>37</v>
      </c>
      <c r="AU457" s="14" t="str">
        <f>IF(AM457&gt;0,INDEX(挂机升级突破!$DT$4:$ED$4,AM457),"")</f>
        <v>金币</v>
      </c>
      <c r="AV457" s="14">
        <f>ROUND(INDEX(挂机升级突破!$DJ$6:$DJ$57,卡牌消耗!AT457)*INDEX(卡牌消耗!$B$8:$F$8,AR457)/$Q$4/50,0)*50</f>
        <v>16650</v>
      </c>
      <c r="AW457" s="14" t="str">
        <f>IF(AN457&gt;0,INDEX(挂机升级突破!$DT$4:$ED$4,AN457),"")</f>
        <v>橙色基础材料</v>
      </c>
      <c r="AX457" s="14">
        <f>ROUND(INDEX(挂机升级突破!$DT$6:$ED$57,卡牌消耗!AT457,AN457)*INDEX(卡牌消耗!$B$5:$F$5,AR457)/$Q$4/5,0)*5</f>
        <v>30</v>
      </c>
      <c r="AY457" s="14" t="str">
        <f>IF(AO457&gt;0,INDEX(挂机升级突破!$DT$4:$ED$4,AO457),"")</f>
        <v/>
      </c>
      <c r="AZ457" s="14" t="str">
        <f>IF(AO457&gt;0,ROUND(INDEX(挂机升级突破!$DT$6:$ED$57,卡牌消耗!AT457,AO457)*INDEX(卡牌消耗!$B$7:$F$7,AR457)/$Q$4,0),"")</f>
        <v/>
      </c>
      <c r="BA457" s="106"/>
      <c r="BB457" s="197"/>
      <c r="BC457" s="197"/>
      <c r="BD457" s="197"/>
      <c r="BE457" s="197"/>
      <c r="BF457" s="197"/>
      <c r="BG457" s="197"/>
      <c r="BH457" s="197"/>
      <c r="BI457" s="197"/>
      <c r="BJ457" s="197"/>
      <c r="BK457" s="197"/>
      <c r="BL457" s="104">
        <v>453</v>
      </c>
      <c r="BM457" s="14">
        <f t="shared" si="370"/>
        <v>23</v>
      </c>
      <c r="BN457" s="14">
        <f>INDEX(挂机升级突破!$EI$7:$EI$26,BS457)</f>
        <v>5</v>
      </c>
      <c r="BO457" s="14">
        <f>INDEX(挂机升级突破!$EJ$7:$EJ$26,BS457)</f>
        <v>3</v>
      </c>
      <c r="BP457" s="14">
        <f t="shared" si="371"/>
        <v>2</v>
      </c>
      <c r="BQ457" s="14">
        <f>INDEX(挂机升级突破!$EH$7:$EH$26,卡牌消耗!BS457)</f>
        <v>87</v>
      </c>
      <c r="BR457" s="14" t="str">
        <f t="shared" si="372"/>
        <v>异邦刀客</v>
      </c>
      <c r="BS457" s="14">
        <f t="shared" si="373"/>
        <v>13</v>
      </c>
      <c r="BT457" s="14" t="str">
        <f t="shared" si="374"/>
        <v>异邦刀客13突</v>
      </c>
      <c r="BU457" s="14" t="str">
        <f>IF(BN457&gt;0,INDEX(挂机升级突破!$ER$5:$EV$5,卡牌消耗!BN457),"")</f>
        <v>金币</v>
      </c>
      <c r="BV457" s="14">
        <f>IF(BN457&gt;0,ROUND(INDEX(挂机升级突破!$EV$7:$EV$26,卡牌消耗!BS457)*INDEX(卡牌消耗!$B$8:$F$8,BP457)/$Q$4/500,0)*500,"")</f>
        <v>23500</v>
      </c>
      <c r="BW457" s="14" t="str">
        <f>IF(BO457&gt;0,INDEX(挂机升级突破!$ER$5:$EV$5,卡牌消耗!BO457),"")</f>
        <v>银母</v>
      </c>
      <c r="BX457" s="14">
        <f>IF(BO457&gt;0,ROUND(INDEX(挂机升级突破!$ER$7:$EU$26,卡牌消耗!BS457,卡牌消耗!BO457)*INDEX($B$6:$F$6,BP457)/$Q$4/5,0)*5,"")</f>
        <v>30</v>
      </c>
      <c r="BY457" s="193"/>
      <c r="BZ457" s="193"/>
      <c r="CA457" s="106"/>
    </row>
    <row r="458" spans="8:79" ht="16.5" x14ac:dyDescent="0.2">
      <c r="H458" s="15"/>
      <c r="I458" s="15"/>
      <c r="J458" s="15"/>
      <c r="K458" s="15"/>
      <c r="L458" s="15"/>
      <c r="M458" s="15"/>
      <c r="N458" s="15"/>
      <c r="O458" s="137"/>
      <c r="P458" s="141"/>
      <c r="Q458" s="141"/>
      <c r="R458" s="141"/>
      <c r="S458" s="141"/>
      <c r="T458" s="141"/>
      <c r="U458" s="141"/>
      <c r="V458" s="141"/>
      <c r="W458" s="141"/>
      <c r="X458" s="141"/>
      <c r="Y458" s="141"/>
      <c r="Z458" s="141"/>
      <c r="AA458" s="194"/>
      <c r="AB458" s="194"/>
      <c r="AC458" s="194"/>
      <c r="AD458" s="194"/>
      <c r="AE458" s="194"/>
      <c r="AF458" s="194"/>
      <c r="AG458" s="197"/>
      <c r="AH458" s="194"/>
      <c r="AI458" s="194"/>
      <c r="AJ458" s="194"/>
      <c r="AK458" s="104">
        <v>454</v>
      </c>
      <c r="AL458" s="14">
        <f t="shared" si="365"/>
        <v>9</v>
      </c>
      <c r="AM458" s="14">
        <f>INDEX(挂机升级突破!DQ$6:DQ$57,卡牌消耗!$AT458)</f>
        <v>11</v>
      </c>
      <c r="AN458" s="14">
        <f>INDEX(挂机升级突破!DR$6:DR$57,卡牌消耗!$AT458)</f>
        <v>5</v>
      </c>
      <c r="AO458" s="14">
        <f>INDEX(挂机升级突破!DS$6:DS$57,卡牌消耗!$AT458)</f>
        <v>0</v>
      </c>
      <c r="AP458" s="14">
        <f>INDEX(挂机升级突破!$DP$6:$DP$57,卡牌消耗!AT458)</f>
        <v>113</v>
      </c>
      <c r="AQ458" s="14" t="str">
        <f t="shared" si="366"/>
        <v>徐晃</v>
      </c>
      <c r="AR458" s="14">
        <f t="shared" si="367"/>
        <v>3</v>
      </c>
      <c r="AS458" s="14" t="str">
        <f t="shared" si="368"/>
        <v>徐晃魂火-38</v>
      </c>
      <c r="AT458" s="14">
        <f t="shared" si="369"/>
        <v>38</v>
      </c>
      <c r="AU458" s="14" t="str">
        <f>IF(AM458&gt;0,INDEX(挂机升级突破!$DT$4:$ED$4,AM458),"")</f>
        <v>金币</v>
      </c>
      <c r="AV458" s="14">
        <f>ROUND(INDEX(挂机升级突破!$DJ$6:$DJ$57,卡牌消耗!AT458)*INDEX(卡牌消耗!$B$8:$F$8,AR458)/$Q$4/50,0)*50</f>
        <v>21500</v>
      </c>
      <c r="AW458" s="14" t="str">
        <f>IF(AN458&gt;0,INDEX(挂机升级突破!$DT$4:$ED$4,AN458),"")</f>
        <v>红色基础材料</v>
      </c>
      <c r="AX458" s="14">
        <f>ROUND(INDEX(挂机升级突破!$DT$6:$ED$57,卡牌消耗!AT458,AN458)*INDEX(卡牌消耗!$B$5:$F$5,AR458)/$Q$4/5,0)*5</f>
        <v>10</v>
      </c>
      <c r="AY458" s="14" t="str">
        <f>IF(AO458&gt;0,INDEX(挂机升级突破!$DT$4:$ED$4,AO458),"")</f>
        <v/>
      </c>
      <c r="AZ458" s="14" t="str">
        <f>IF(AO458&gt;0,ROUND(INDEX(挂机升级突破!$DT$6:$ED$57,卡牌消耗!AT458,AO458)*INDEX(卡牌消耗!$B$7:$F$7,AR458)/$Q$4,0),"")</f>
        <v/>
      </c>
      <c r="BA458" s="106"/>
      <c r="BB458" s="197"/>
      <c r="BC458" s="197"/>
      <c r="BD458" s="197"/>
      <c r="BE458" s="197"/>
      <c r="BF458" s="197"/>
      <c r="BG458" s="197"/>
      <c r="BH458" s="197"/>
      <c r="BI458" s="197"/>
      <c r="BJ458" s="197"/>
      <c r="BK458" s="197"/>
      <c r="BL458" s="104">
        <v>454</v>
      </c>
      <c r="BM458" s="14">
        <f t="shared" si="370"/>
        <v>23</v>
      </c>
      <c r="BN458" s="14">
        <f>INDEX(挂机升级突破!$EI$7:$EI$26,BS458)</f>
        <v>5</v>
      </c>
      <c r="BO458" s="14">
        <f>INDEX(挂机升级突破!$EJ$7:$EJ$26,BS458)</f>
        <v>3</v>
      </c>
      <c r="BP458" s="14">
        <f t="shared" si="371"/>
        <v>2</v>
      </c>
      <c r="BQ458" s="14">
        <f>INDEX(挂机升级突破!$EH$7:$EH$26,卡牌消耗!BS458)</f>
        <v>95</v>
      </c>
      <c r="BR458" s="14" t="str">
        <f t="shared" si="372"/>
        <v>异邦刀客</v>
      </c>
      <c r="BS458" s="14">
        <f t="shared" si="373"/>
        <v>14</v>
      </c>
      <c r="BT458" s="14" t="str">
        <f t="shared" si="374"/>
        <v>异邦刀客14突</v>
      </c>
      <c r="BU458" s="14" t="str">
        <f>IF(BN458&gt;0,INDEX(挂机升级突破!$ER$5:$EV$5,卡牌消耗!BN458),"")</f>
        <v>金币</v>
      </c>
      <c r="BV458" s="14">
        <f>IF(BN458&gt;0,ROUND(INDEX(挂机升级突破!$EV$7:$EV$26,卡牌消耗!BS458)*INDEX(卡牌消耗!$B$8:$F$8,BP458)/$Q$4/500,0)*500,"")</f>
        <v>23500</v>
      </c>
      <c r="BW458" s="14" t="str">
        <f>IF(BO458&gt;0,INDEX(挂机升级突破!$ER$5:$EV$5,卡牌消耗!BO458),"")</f>
        <v>银母</v>
      </c>
      <c r="BX458" s="14">
        <f>IF(BO458&gt;0,ROUND(INDEX(挂机升级突破!$ER$7:$EU$26,卡牌消耗!BS458,卡牌消耗!BO458)*INDEX($B$6:$F$6,BP458)/$Q$4/5,0)*5,"")</f>
        <v>45</v>
      </c>
      <c r="BY458" s="193"/>
      <c r="BZ458" s="193"/>
      <c r="CA458" s="106"/>
    </row>
    <row r="459" spans="8:79" ht="16.5" x14ac:dyDescent="0.2">
      <c r="H459" s="15"/>
      <c r="I459" s="15"/>
      <c r="J459" s="15"/>
      <c r="K459" s="15"/>
      <c r="L459" s="15"/>
      <c r="M459" s="15"/>
      <c r="N459" s="15"/>
      <c r="O459" s="137"/>
      <c r="P459" s="141"/>
      <c r="Q459" s="141"/>
      <c r="R459" s="141"/>
      <c r="S459" s="141"/>
      <c r="T459" s="141"/>
      <c r="U459" s="141"/>
      <c r="V459" s="141"/>
      <c r="W459" s="141"/>
      <c r="X459" s="141"/>
      <c r="Y459" s="141"/>
      <c r="Z459" s="141"/>
      <c r="AA459" s="194"/>
      <c r="AB459" s="194"/>
      <c r="AC459" s="194"/>
      <c r="AD459" s="194"/>
      <c r="AE459" s="194"/>
      <c r="AF459" s="194"/>
      <c r="AG459" s="197"/>
      <c r="AH459" s="194"/>
      <c r="AI459" s="194"/>
      <c r="AJ459" s="194"/>
      <c r="AK459" s="104">
        <v>455</v>
      </c>
      <c r="AL459" s="14">
        <f t="shared" si="365"/>
        <v>9</v>
      </c>
      <c r="AM459" s="14">
        <f>INDEX(挂机升级突破!DQ$6:DQ$57,卡牌消耗!$AT459)</f>
        <v>11</v>
      </c>
      <c r="AN459" s="14">
        <f>INDEX(挂机升级突破!DR$6:DR$57,卡牌消耗!$AT459)</f>
        <v>5</v>
      </c>
      <c r="AO459" s="14">
        <f>INDEX(挂机升级突破!DS$6:DS$57,卡牌消耗!$AT459)</f>
        <v>0</v>
      </c>
      <c r="AP459" s="14">
        <f>INDEX(挂机升级突破!$DP$6:$DP$57,卡牌消耗!AT459)</f>
        <v>115</v>
      </c>
      <c r="AQ459" s="14" t="str">
        <f t="shared" si="366"/>
        <v>徐晃</v>
      </c>
      <c r="AR459" s="14">
        <f t="shared" si="367"/>
        <v>3</v>
      </c>
      <c r="AS459" s="14" t="str">
        <f t="shared" si="368"/>
        <v>徐晃魂火-39</v>
      </c>
      <c r="AT459" s="14">
        <f t="shared" si="369"/>
        <v>39</v>
      </c>
      <c r="AU459" s="14" t="str">
        <f>IF(AM459&gt;0,INDEX(挂机升级突破!$DT$4:$ED$4,AM459),"")</f>
        <v>金币</v>
      </c>
      <c r="AV459" s="14">
        <f>ROUND(INDEX(挂机升级突破!$DJ$6:$DJ$57,卡牌消耗!AT459)*INDEX(卡牌消耗!$B$8:$F$8,AR459)/$Q$4/50,0)*50</f>
        <v>21500</v>
      </c>
      <c r="AW459" s="14" t="str">
        <f>IF(AN459&gt;0,INDEX(挂机升级突破!$DT$4:$ED$4,AN459),"")</f>
        <v>红色基础材料</v>
      </c>
      <c r="AX459" s="14">
        <f>ROUND(INDEX(挂机升级突破!$DT$6:$ED$57,卡牌消耗!AT459,AN459)*INDEX(卡牌消耗!$B$5:$F$5,AR459)/$Q$4/5,0)*5</f>
        <v>10</v>
      </c>
      <c r="AY459" s="14" t="str">
        <f>IF(AO459&gt;0,INDEX(挂机升级突破!$DT$4:$ED$4,AO459),"")</f>
        <v/>
      </c>
      <c r="AZ459" s="14" t="str">
        <f>IF(AO459&gt;0,ROUND(INDEX(挂机升级突破!$DT$6:$ED$57,卡牌消耗!AT459,AO459)*INDEX(卡牌消耗!$B$7:$F$7,AR459)/$Q$4,0),"")</f>
        <v/>
      </c>
      <c r="BA459" s="106"/>
      <c r="BB459" s="197"/>
      <c r="BC459" s="197"/>
      <c r="BD459" s="197"/>
      <c r="BE459" s="197"/>
      <c r="BF459" s="197"/>
      <c r="BG459" s="197"/>
      <c r="BH459" s="197"/>
      <c r="BI459" s="197"/>
      <c r="BJ459" s="197"/>
      <c r="BK459" s="197"/>
      <c r="BL459" s="104">
        <v>455</v>
      </c>
      <c r="BM459" s="14">
        <f t="shared" si="370"/>
        <v>23</v>
      </c>
      <c r="BN459" s="14">
        <f>INDEX(挂机升级突破!$EI$7:$EI$26,BS459)</f>
        <v>5</v>
      </c>
      <c r="BO459" s="14">
        <f>INDEX(挂机升级突破!$EJ$7:$EJ$26,BS459)</f>
        <v>3</v>
      </c>
      <c r="BP459" s="14">
        <f t="shared" si="371"/>
        <v>2</v>
      </c>
      <c r="BQ459" s="14">
        <f>INDEX(挂机升级突破!$EH$7:$EH$26,卡牌消耗!BS459)</f>
        <v>102</v>
      </c>
      <c r="BR459" s="14" t="str">
        <f t="shared" si="372"/>
        <v>异邦刀客</v>
      </c>
      <c r="BS459" s="14">
        <f t="shared" si="373"/>
        <v>15</v>
      </c>
      <c r="BT459" s="14" t="str">
        <f t="shared" si="374"/>
        <v>异邦刀客15突</v>
      </c>
      <c r="BU459" s="14" t="str">
        <f>IF(BN459&gt;0,INDEX(挂机升级突破!$ER$5:$EV$5,卡牌消耗!BN459),"")</f>
        <v>金币</v>
      </c>
      <c r="BV459" s="14">
        <f>IF(BN459&gt;0,ROUND(INDEX(挂机升级突破!$EV$7:$EV$26,卡牌消耗!BS459)*INDEX(卡牌消耗!$B$8:$F$8,BP459)/$Q$4/500,0)*500,"")</f>
        <v>31000</v>
      </c>
      <c r="BW459" s="14" t="str">
        <f>IF(BO459&gt;0,INDEX(挂机升级突破!$ER$5:$EV$5,卡牌消耗!BO459),"")</f>
        <v>银母</v>
      </c>
      <c r="BX459" s="14">
        <f>IF(BO459&gt;0,ROUND(INDEX(挂机升级突破!$ER$7:$EU$26,卡牌消耗!BS459,卡牌消耗!BO459)*INDEX($B$6:$F$6,BP459)/$Q$4/5,0)*5,"")</f>
        <v>55</v>
      </c>
      <c r="BY459" s="193"/>
      <c r="BZ459" s="193"/>
      <c r="CA459" s="106"/>
    </row>
    <row r="460" spans="8:79" ht="16.5" x14ac:dyDescent="0.2">
      <c r="H460" s="15"/>
      <c r="I460" s="15"/>
      <c r="J460" s="15"/>
      <c r="K460" s="15"/>
      <c r="L460" s="15"/>
      <c r="M460" s="15"/>
      <c r="N460" s="15"/>
      <c r="O460" s="137"/>
      <c r="P460" s="141"/>
      <c r="Q460" s="141"/>
      <c r="R460" s="141"/>
      <c r="S460" s="141"/>
      <c r="T460" s="141"/>
      <c r="U460" s="141"/>
      <c r="V460" s="141"/>
      <c r="W460" s="141"/>
      <c r="X460" s="141"/>
      <c r="Y460" s="141"/>
      <c r="Z460" s="141"/>
      <c r="AA460" s="194"/>
      <c r="AB460" s="194"/>
      <c r="AC460" s="194"/>
      <c r="AD460" s="194"/>
      <c r="AE460" s="194"/>
      <c r="AF460" s="194"/>
      <c r="AG460" s="197"/>
      <c r="AH460" s="194"/>
      <c r="AI460" s="194"/>
      <c r="AJ460" s="194"/>
      <c r="AK460" s="104">
        <v>456</v>
      </c>
      <c r="AL460" s="14">
        <f t="shared" si="365"/>
        <v>9</v>
      </c>
      <c r="AM460" s="14">
        <f>INDEX(挂机升级突破!DQ$6:DQ$57,卡牌消耗!$AT460)</f>
        <v>11</v>
      </c>
      <c r="AN460" s="14">
        <f>INDEX(挂机升级突破!DR$6:DR$57,卡牌消耗!$AT460)</f>
        <v>5</v>
      </c>
      <c r="AO460" s="14">
        <f>INDEX(挂机升级突破!DS$6:DS$57,卡牌消耗!$AT460)</f>
        <v>0</v>
      </c>
      <c r="AP460" s="14">
        <f>INDEX(挂机升级突破!$DP$6:$DP$57,卡牌消耗!AT460)</f>
        <v>118</v>
      </c>
      <c r="AQ460" s="14" t="str">
        <f t="shared" si="366"/>
        <v>徐晃</v>
      </c>
      <c r="AR460" s="14">
        <f t="shared" si="367"/>
        <v>3</v>
      </c>
      <c r="AS460" s="14" t="str">
        <f t="shared" si="368"/>
        <v>徐晃魂火-40</v>
      </c>
      <c r="AT460" s="14">
        <f t="shared" si="369"/>
        <v>40</v>
      </c>
      <c r="AU460" s="14" t="str">
        <f>IF(AM460&gt;0,INDEX(挂机升级突破!$DT$4:$ED$4,AM460),"")</f>
        <v>金币</v>
      </c>
      <c r="AV460" s="14">
        <f>ROUND(INDEX(挂机升级突破!$DJ$6:$DJ$57,卡牌消耗!AT460)*INDEX(卡牌消耗!$B$8:$F$8,AR460)/$Q$4/50,0)*50</f>
        <v>21500</v>
      </c>
      <c r="AW460" s="14" t="str">
        <f>IF(AN460&gt;0,INDEX(挂机升级突破!$DT$4:$ED$4,AN460),"")</f>
        <v>红色基础材料</v>
      </c>
      <c r="AX460" s="14">
        <f>ROUND(INDEX(挂机升级突破!$DT$6:$ED$57,卡牌消耗!AT460,AN460)*INDEX(卡牌消耗!$B$5:$F$5,AR460)/$Q$4/5,0)*5</f>
        <v>10</v>
      </c>
      <c r="AY460" s="14" t="str">
        <f>IF(AO460&gt;0,INDEX(挂机升级突破!$DT$4:$ED$4,AO460),"")</f>
        <v/>
      </c>
      <c r="AZ460" s="14" t="str">
        <f>IF(AO460&gt;0,ROUND(INDEX(挂机升级突破!$DT$6:$ED$57,卡牌消耗!AT460,AO460)*INDEX(卡牌消耗!$B$7:$F$7,AR460)/$Q$4,0),"")</f>
        <v/>
      </c>
      <c r="BA460" s="106"/>
      <c r="BB460" s="197"/>
      <c r="BC460" s="197"/>
      <c r="BD460" s="197"/>
      <c r="BE460" s="197"/>
      <c r="BF460" s="197"/>
      <c r="BG460" s="197"/>
      <c r="BH460" s="197"/>
      <c r="BI460" s="197"/>
      <c r="BJ460" s="197"/>
      <c r="BK460" s="197"/>
      <c r="BL460" s="104">
        <v>456</v>
      </c>
      <c r="BM460" s="14">
        <f t="shared" si="370"/>
        <v>23</v>
      </c>
      <c r="BN460" s="14">
        <f>INDEX(挂机升级突破!$EI$7:$EI$26,BS460)</f>
        <v>5</v>
      </c>
      <c r="BO460" s="14">
        <f>INDEX(挂机升级突破!$EJ$7:$EJ$26,BS460)</f>
        <v>3</v>
      </c>
      <c r="BP460" s="14">
        <f t="shared" si="371"/>
        <v>2</v>
      </c>
      <c r="BQ460" s="14">
        <f>INDEX(挂机升级突破!$EH$7:$EH$26,卡牌消耗!BS460)</f>
        <v>110</v>
      </c>
      <c r="BR460" s="14" t="str">
        <f t="shared" si="372"/>
        <v>异邦刀客</v>
      </c>
      <c r="BS460" s="14">
        <f t="shared" si="373"/>
        <v>16</v>
      </c>
      <c r="BT460" s="14" t="str">
        <f t="shared" si="374"/>
        <v>异邦刀客16突</v>
      </c>
      <c r="BU460" s="14" t="str">
        <f>IF(BN460&gt;0,INDEX(挂机升级突破!$ER$5:$EV$5,卡牌消耗!BN460),"")</f>
        <v>金币</v>
      </c>
      <c r="BV460" s="14">
        <f>IF(BN460&gt;0,ROUND(INDEX(挂机升级突破!$EV$7:$EV$26,卡牌消耗!BS460)*INDEX(卡牌消耗!$B$8:$F$8,BP460)/$Q$4/500,0)*500,"")</f>
        <v>56500</v>
      </c>
      <c r="BW460" s="14" t="str">
        <f>IF(BO460&gt;0,INDEX(挂机升级突破!$ER$5:$EV$5,卡牌消耗!BO460),"")</f>
        <v>银母</v>
      </c>
      <c r="BX460" s="14">
        <f>IF(BO460&gt;0,ROUND(INDEX(挂机升级突破!$ER$7:$EU$26,卡牌消耗!BS460,卡牌消耗!BO460)*INDEX($B$6:$F$6,BP460)/$Q$4/5,0)*5,"")</f>
        <v>75</v>
      </c>
      <c r="BY460" s="193"/>
      <c r="BZ460" s="193"/>
      <c r="CA460" s="106"/>
    </row>
    <row r="461" spans="8:79" ht="16.5" x14ac:dyDescent="0.2">
      <c r="H461" s="15"/>
      <c r="I461" s="15"/>
      <c r="J461" s="15"/>
      <c r="K461" s="15"/>
      <c r="L461" s="15"/>
      <c r="M461" s="15"/>
      <c r="N461" s="15"/>
      <c r="O461" s="137"/>
      <c r="P461" s="141"/>
      <c r="Q461" s="141"/>
      <c r="R461" s="141"/>
      <c r="S461" s="141"/>
      <c r="T461" s="141"/>
      <c r="U461" s="141"/>
      <c r="V461" s="141"/>
      <c r="W461" s="141"/>
      <c r="X461" s="141"/>
      <c r="Y461" s="141"/>
      <c r="Z461" s="141"/>
      <c r="AA461" s="194"/>
      <c r="AB461" s="194"/>
      <c r="AC461" s="194"/>
      <c r="AD461" s="194"/>
      <c r="AE461" s="194"/>
      <c r="AF461" s="194"/>
      <c r="AG461" s="197"/>
      <c r="AH461" s="194"/>
      <c r="AI461" s="194"/>
      <c r="AJ461" s="194"/>
      <c r="AK461" s="104">
        <v>457</v>
      </c>
      <c r="AL461" s="14">
        <f t="shared" si="365"/>
        <v>9</v>
      </c>
      <c r="AM461" s="14">
        <f>INDEX(挂机升级突破!DQ$6:DQ$57,卡牌消耗!$AT461)</f>
        <v>11</v>
      </c>
      <c r="AN461" s="14">
        <f>INDEX(挂机升级突破!DR$6:DR$57,卡牌消耗!$AT461)</f>
        <v>5</v>
      </c>
      <c r="AO461" s="14">
        <f>INDEX(挂机升级突破!DS$6:DS$57,卡牌消耗!$AT461)</f>
        <v>10</v>
      </c>
      <c r="AP461" s="14">
        <f>INDEX(挂机升级突破!$DP$6:$DP$57,卡牌消耗!AT461)</f>
        <v>120</v>
      </c>
      <c r="AQ461" s="14" t="str">
        <f t="shared" si="366"/>
        <v>徐晃</v>
      </c>
      <c r="AR461" s="14">
        <f t="shared" si="367"/>
        <v>3</v>
      </c>
      <c r="AS461" s="14" t="str">
        <f t="shared" si="368"/>
        <v>徐晃魂火-41</v>
      </c>
      <c r="AT461" s="14">
        <f t="shared" si="369"/>
        <v>41</v>
      </c>
      <c r="AU461" s="14" t="str">
        <f>IF(AM461&gt;0,INDEX(挂机升级突破!$DT$4:$ED$4,AM461),"")</f>
        <v>金币</v>
      </c>
      <c r="AV461" s="14">
        <f>ROUND(INDEX(挂机升级突破!$DJ$6:$DJ$57,卡牌消耗!AT461)*INDEX(卡牌消耗!$B$8:$F$8,AR461)/$Q$4/50,0)*50</f>
        <v>29550</v>
      </c>
      <c r="AW461" s="14" t="str">
        <f>IF(AN461&gt;0,INDEX(挂机升级突破!$DT$4:$ED$4,AN461),"")</f>
        <v>红色基础材料</v>
      </c>
      <c r="AX461" s="14">
        <f>ROUND(INDEX(挂机升级突破!$DT$6:$ED$57,卡牌消耗!AT461,AN461)*INDEX(卡牌消耗!$B$5:$F$5,AR461)/$Q$4/5,0)*5</f>
        <v>10</v>
      </c>
      <c r="AY461" s="14" t="str">
        <f>IF(AO461&gt;0,INDEX(挂机升级突破!$DT$4:$ED$4,AO461),"")</f>
        <v>灵玉</v>
      </c>
      <c r="AZ461" s="14">
        <f>IF(AO461&gt;0,ROUND(INDEX(挂机升级突破!$DT$6:$ED$57,卡牌消耗!AT461,AO461)*INDEX(卡牌消耗!$B$7:$F$7,AR461)/$Q$4,0),"")</f>
        <v>2</v>
      </c>
      <c r="BA461" s="106"/>
      <c r="BB461" s="197"/>
      <c r="BC461" s="197"/>
      <c r="BD461" s="197"/>
      <c r="BE461" s="197"/>
      <c r="BF461" s="197"/>
      <c r="BG461" s="197"/>
      <c r="BH461" s="197"/>
      <c r="BI461" s="197"/>
      <c r="BJ461" s="197"/>
      <c r="BK461" s="197"/>
      <c r="BL461" s="104">
        <v>457</v>
      </c>
      <c r="BM461" s="14">
        <f t="shared" si="370"/>
        <v>23</v>
      </c>
      <c r="BN461" s="14">
        <f>INDEX(挂机升级突破!$EI$7:$EI$26,BS461)</f>
        <v>5</v>
      </c>
      <c r="BO461" s="14">
        <f>INDEX(挂机升级突破!$EJ$7:$EJ$26,BS461)</f>
        <v>4</v>
      </c>
      <c r="BP461" s="14">
        <f t="shared" si="371"/>
        <v>2</v>
      </c>
      <c r="BQ461" s="14">
        <f>INDEX(挂机升级突破!$EH$7:$EH$26,卡牌消耗!BS461)</f>
        <v>117</v>
      </c>
      <c r="BR461" s="14" t="str">
        <f t="shared" si="372"/>
        <v>异邦刀客</v>
      </c>
      <c r="BS461" s="14">
        <f t="shared" si="373"/>
        <v>17</v>
      </c>
      <c r="BT461" s="14" t="str">
        <f t="shared" si="374"/>
        <v>异邦刀客17突</v>
      </c>
      <c r="BU461" s="14" t="str">
        <f>IF(BN461&gt;0,INDEX(挂机升级突破!$ER$5:$EV$5,卡牌消耗!BN461),"")</f>
        <v>金币</v>
      </c>
      <c r="BV461" s="14">
        <f>IF(BN461&gt;0,ROUND(INDEX(挂机升级突破!$EV$7:$EV$26,卡牌消耗!BS461)*INDEX(卡牌消耗!$B$8:$F$8,BP461)/$Q$4/500,0)*500,"")</f>
        <v>56500</v>
      </c>
      <c r="BW461" s="14" t="str">
        <f>IF(BO461&gt;0,INDEX(挂机升级突破!$ER$5:$EV$5,卡牌消耗!BO461),"")</f>
        <v>铀金</v>
      </c>
      <c r="BX461" s="14">
        <f>IF(BO461&gt;0,ROUND(INDEX(挂机升级突破!$ER$7:$EU$26,卡牌消耗!BS461,卡牌消耗!BO461)*INDEX($B$6:$F$6,BP461)/$Q$4/5,0)*5,"")</f>
        <v>15</v>
      </c>
      <c r="BY461" s="193"/>
      <c r="BZ461" s="193"/>
      <c r="CA461" s="106"/>
    </row>
    <row r="462" spans="8:79" ht="16.5" x14ac:dyDescent="0.2">
      <c r="H462" s="15"/>
      <c r="I462" s="15"/>
      <c r="J462" s="15"/>
      <c r="K462" s="15"/>
      <c r="L462" s="15"/>
      <c r="M462" s="15"/>
      <c r="N462" s="15"/>
      <c r="O462" s="137"/>
      <c r="P462" s="141"/>
      <c r="Q462" s="141"/>
      <c r="R462" s="141"/>
      <c r="S462" s="141"/>
      <c r="T462" s="141"/>
      <c r="U462" s="141"/>
      <c r="V462" s="141"/>
      <c r="W462" s="141"/>
      <c r="X462" s="141"/>
      <c r="Y462" s="141"/>
      <c r="Z462" s="141"/>
      <c r="AA462" s="194"/>
      <c r="AB462" s="194"/>
      <c r="AC462" s="194"/>
      <c r="AD462" s="194"/>
      <c r="AE462" s="194"/>
      <c r="AF462" s="194"/>
      <c r="AG462" s="197"/>
      <c r="AH462" s="194"/>
      <c r="AI462" s="194"/>
      <c r="AJ462" s="194"/>
      <c r="AK462" s="104">
        <v>458</v>
      </c>
      <c r="AL462" s="14">
        <f t="shared" si="365"/>
        <v>9</v>
      </c>
      <c r="AM462" s="14">
        <f>INDEX(挂机升级突破!DQ$6:DQ$57,卡牌消耗!$AT462)</f>
        <v>11</v>
      </c>
      <c r="AN462" s="14">
        <f>INDEX(挂机升级突破!DR$6:DR$57,卡牌消耗!$AT462)</f>
        <v>5</v>
      </c>
      <c r="AO462" s="14">
        <f>INDEX(挂机升级突破!DS$6:DS$57,卡牌消耗!$AT462)</f>
        <v>10</v>
      </c>
      <c r="AP462" s="14">
        <f>INDEX(挂机升级突破!$DP$6:$DP$57,卡牌消耗!AT462)</f>
        <v>123</v>
      </c>
      <c r="AQ462" s="14" t="str">
        <f t="shared" si="366"/>
        <v>徐晃</v>
      </c>
      <c r="AR462" s="14">
        <f t="shared" si="367"/>
        <v>3</v>
      </c>
      <c r="AS462" s="14" t="str">
        <f t="shared" si="368"/>
        <v>徐晃魂火-42</v>
      </c>
      <c r="AT462" s="14">
        <f t="shared" si="369"/>
        <v>42</v>
      </c>
      <c r="AU462" s="14" t="str">
        <f>IF(AM462&gt;0,INDEX(挂机升级突破!$DT$4:$ED$4,AM462),"")</f>
        <v>金币</v>
      </c>
      <c r="AV462" s="14">
        <f>ROUND(INDEX(挂机升级突破!$DJ$6:$DJ$57,卡牌消耗!AT462)*INDEX(卡牌消耗!$B$8:$F$8,AR462)/$Q$4/50,0)*50</f>
        <v>29550</v>
      </c>
      <c r="AW462" s="14" t="str">
        <f>IF(AN462&gt;0,INDEX(挂机升级突破!$DT$4:$ED$4,AN462),"")</f>
        <v>红色基础材料</v>
      </c>
      <c r="AX462" s="14">
        <f>ROUND(INDEX(挂机升级突破!$DT$6:$ED$57,卡牌消耗!AT462,AN462)*INDEX(卡牌消耗!$B$5:$F$5,AR462)/$Q$4/5,0)*5</f>
        <v>10</v>
      </c>
      <c r="AY462" s="14" t="str">
        <f>IF(AO462&gt;0,INDEX(挂机升级突破!$DT$4:$ED$4,AO462),"")</f>
        <v>灵玉</v>
      </c>
      <c r="AZ462" s="14">
        <f>IF(AO462&gt;0,ROUND(INDEX(挂机升级突破!$DT$6:$ED$57,卡牌消耗!AT462,AO462)*INDEX(卡牌消耗!$B$7:$F$7,AR462)/$Q$4,0),"")</f>
        <v>2</v>
      </c>
      <c r="BA462" s="106"/>
      <c r="BB462" s="197"/>
      <c r="BC462" s="197"/>
      <c r="BD462" s="197"/>
      <c r="BE462" s="197"/>
      <c r="BF462" s="197"/>
      <c r="BG462" s="197"/>
      <c r="BH462" s="197"/>
      <c r="BI462" s="197"/>
      <c r="BJ462" s="197"/>
      <c r="BK462" s="197"/>
      <c r="BL462" s="104">
        <v>458</v>
      </c>
      <c r="BM462" s="14">
        <f t="shared" si="370"/>
        <v>23</v>
      </c>
      <c r="BN462" s="14">
        <f>INDEX(挂机升级突破!$EI$7:$EI$26,BS462)</f>
        <v>5</v>
      </c>
      <c r="BO462" s="14">
        <f>INDEX(挂机升级突破!$EJ$7:$EJ$26,BS462)</f>
        <v>4</v>
      </c>
      <c r="BP462" s="14">
        <f t="shared" si="371"/>
        <v>2</v>
      </c>
      <c r="BQ462" s="14">
        <f>INDEX(挂机升级突破!$EH$7:$EH$26,卡牌消耗!BS462)</f>
        <v>125</v>
      </c>
      <c r="BR462" s="14" t="str">
        <f t="shared" si="372"/>
        <v>异邦刀客</v>
      </c>
      <c r="BS462" s="14">
        <f t="shared" si="373"/>
        <v>18</v>
      </c>
      <c r="BT462" s="14" t="str">
        <f t="shared" si="374"/>
        <v>异邦刀客18突</v>
      </c>
      <c r="BU462" s="14" t="str">
        <f>IF(BN462&gt;0,INDEX(挂机升级突破!$ER$5:$EV$5,卡牌消耗!BN462),"")</f>
        <v>金币</v>
      </c>
      <c r="BV462" s="14">
        <f>IF(BN462&gt;0,ROUND(INDEX(挂机升级突破!$EV$7:$EV$26,卡牌消耗!BS462)*INDEX(卡牌消耗!$B$8:$F$8,BP462)/$Q$4/500,0)*500,"")</f>
        <v>75000</v>
      </c>
      <c r="BW462" s="14" t="str">
        <f>IF(BO462&gt;0,INDEX(挂机升级突破!$ER$5:$EV$5,卡牌消耗!BO462),"")</f>
        <v>铀金</v>
      </c>
      <c r="BX462" s="14">
        <f>IF(BO462&gt;0,ROUND(INDEX(挂机升级突破!$ER$7:$EU$26,卡牌消耗!BS462,卡牌消耗!BO462)*INDEX($B$6:$F$6,BP462)/$Q$4/5,0)*5,"")</f>
        <v>20</v>
      </c>
      <c r="BY462" s="193"/>
      <c r="BZ462" s="193"/>
      <c r="CA462" s="106"/>
    </row>
    <row r="463" spans="8:79" ht="16.5" x14ac:dyDescent="0.2">
      <c r="H463" s="15"/>
      <c r="I463" s="15"/>
      <c r="J463" s="15"/>
      <c r="K463" s="15"/>
      <c r="L463" s="15"/>
      <c r="M463" s="15"/>
      <c r="N463" s="15"/>
      <c r="O463" s="137"/>
      <c r="P463" s="141"/>
      <c r="Q463" s="141"/>
      <c r="R463" s="141"/>
      <c r="S463" s="141"/>
      <c r="T463" s="141"/>
      <c r="U463" s="141"/>
      <c r="V463" s="141"/>
      <c r="W463" s="141"/>
      <c r="X463" s="141"/>
      <c r="Y463" s="141"/>
      <c r="Z463" s="141"/>
      <c r="AA463" s="194"/>
      <c r="AB463" s="194"/>
      <c r="AC463" s="194"/>
      <c r="AD463" s="194"/>
      <c r="AE463" s="194"/>
      <c r="AF463" s="194"/>
      <c r="AG463" s="197"/>
      <c r="AH463" s="194"/>
      <c r="AI463" s="194"/>
      <c r="AJ463" s="194"/>
      <c r="AK463" s="104">
        <v>459</v>
      </c>
      <c r="AL463" s="14">
        <f t="shared" si="365"/>
        <v>9</v>
      </c>
      <c r="AM463" s="14">
        <f>INDEX(挂机升级突破!DQ$6:DQ$57,卡牌消耗!$AT463)</f>
        <v>11</v>
      </c>
      <c r="AN463" s="14">
        <f>INDEX(挂机升级突破!DR$6:DR$57,卡牌消耗!$AT463)</f>
        <v>5</v>
      </c>
      <c r="AO463" s="14">
        <f>INDEX(挂机升级突破!DS$6:DS$57,卡牌消耗!$AT463)</f>
        <v>10</v>
      </c>
      <c r="AP463" s="14">
        <f>INDEX(挂机升级突破!$DP$6:$DP$57,卡牌消耗!AT463)</f>
        <v>125</v>
      </c>
      <c r="AQ463" s="14" t="str">
        <f t="shared" si="366"/>
        <v>徐晃</v>
      </c>
      <c r="AR463" s="14">
        <f t="shared" si="367"/>
        <v>3</v>
      </c>
      <c r="AS463" s="14" t="str">
        <f t="shared" si="368"/>
        <v>徐晃魂火-43</v>
      </c>
      <c r="AT463" s="14">
        <f t="shared" si="369"/>
        <v>43</v>
      </c>
      <c r="AU463" s="14" t="str">
        <f>IF(AM463&gt;0,INDEX(挂机升级突破!$DT$4:$ED$4,AM463),"")</f>
        <v>金币</v>
      </c>
      <c r="AV463" s="14">
        <f>ROUND(INDEX(挂机升级突破!$DJ$6:$DJ$57,卡牌消耗!AT463)*INDEX(卡牌消耗!$B$8:$F$8,AR463)/$Q$4/50,0)*50</f>
        <v>29550</v>
      </c>
      <c r="AW463" s="14" t="str">
        <f>IF(AN463&gt;0,INDEX(挂机升级突破!$DT$4:$ED$4,AN463),"")</f>
        <v>红色基础材料</v>
      </c>
      <c r="AX463" s="14">
        <f>ROUND(INDEX(挂机升级突破!$DT$6:$ED$57,卡牌消耗!AT463,AN463)*INDEX(卡牌消耗!$B$5:$F$5,AR463)/$Q$4/5,0)*5</f>
        <v>10</v>
      </c>
      <c r="AY463" s="14" t="str">
        <f>IF(AO463&gt;0,INDEX(挂机升级突破!$DT$4:$ED$4,AO463),"")</f>
        <v>灵玉</v>
      </c>
      <c r="AZ463" s="14">
        <f>IF(AO463&gt;0,ROUND(INDEX(挂机升级突破!$DT$6:$ED$57,卡牌消耗!AT463,AO463)*INDEX(卡牌消耗!$B$7:$F$7,AR463)/$Q$4,0),"")</f>
        <v>2</v>
      </c>
      <c r="BA463" s="106"/>
      <c r="BB463" s="197"/>
      <c r="BC463" s="197"/>
      <c r="BD463" s="197"/>
      <c r="BE463" s="197"/>
      <c r="BF463" s="197"/>
      <c r="BG463" s="197"/>
      <c r="BH463" s="197"/>
      <c r="BI463" s="197"/>
      <c r="BJ463" s="197"/>
      <c r="BK463" s="197"/>
      <c r="BL463" s="104">
        <v>459</v>
      </c>
      <c r="BM463" s="14">
        <f t="shared" si="370"/>
        <v>23</v>
      </c>
      <c r="BN463" s="14">
        <f>INDEX(挂机升级突破!$EI$7:$EI$26,BS463)</f>
        <v>5</v>
      </c>
      <c r="BO463" s="14">
        <f>INDEX(挂机升级突破!$EJ$7:$EJ$26,BS463)</f>
        <v>4</v>
      </c>
      <c r="BP463" s="14">
        <f t="shared" si="371"/>
        <v>2</v>
      </c>
      <c r="BQ463" s="14">
        <f>INDEX(挂机升级突破!$EH$7:$EH$26,卡牌消耗!BS463)</f>
        <v>132</v>
      </c>
      <c r="BR463" s="14" t="str">
        <f t="shared" si="372"/>
        <v>异邦刀客</v>
      </c>
      <c r="BS463" s="14">
        <f t="shared" si="373"/>
        <v>19</v>
      </c>
      <c r="BT463" s="14" t="str">
        <f t="shared" si="374"/>
        <v>异邦刀客19突</v>
      </c>
      <c r="BU463" s="14" t="str">
        <f>IF(BN463&gt;0,INDEX(挂机升级突破!$ER$5:$EV$5,卡牌消耗!BN463),"")</f>
        <v>金币</v>
      </c>
      <c r="BV463" s="14">
        <f>IF(BN463&gt;0,ROUND(INDEX(挂机升级突破!$EV$7:$EV$26,卡牌消耗!BS463)*INDEX(卡牌消耗!$B$8:$F$8,BP463)/$Q$4/500,0)*500,"")</f>
        <v>191500</v>
      </c>
      <c r="BW463" s="14" t="str">
        <f>IF(BO463&gt;0,INDEX(挂机升级突破!$ER$5:$EV$5,卡牌消耗!BO463),"")</f>
        <v>铀金</v>
      </c>
      <c r="BX463" s="14">
        <f>IF(BO463&gt;0,ROUND(INDEX(挂机升级突破!$ER$7:$EU$26,卡牌消耗!BS463,卡牌消耗!BO463)*INDEX($B$6:$F$6,BP463)/$Q$4/5,0)*5,"")</f>
        <v>25</v>
      </c>
      <c r="BY463" s="193"/>
      <c r="BZ463" s="193"/>
      <c r="CA463" s="106"/>
    </row>
    <row r="464" spans="8:79" ht="16.5" x14ac:dyDescent="0.2">
      <c r="H464" s="15"/>
      <c r="I464" s="15"/>
      <c r="J464" s="15"/>
      <c r="K464" s="15"/>
      <c r="L464" s="15"/>
      <c r="M464" s="15"/>
      <c r="N464" s="15"/>
      <c r="O464" s="137"/>
      <c r="P464" s="141"/>
      <c r="Q464" s="141"/>
      <c r="R464" s="141"/>
      <c r="S464" s="141"/>
      <c r="T464" s="141"/>
      <c r="U464" s="141"/>
      <c r="V464" s="141"/>
      <c r="W464" s="141"/>
      <c r="X464" s="141"/>
      <c r="Y464" s="141"/>
      <c r="Z464" s="141"/>
      <c r="AA464" s="194"/>
      <c r="AB464" s="194"/>
      <c r="AC464" s="194"/>
      <c r="AD464" s="194"/>
      <c r="AE464" s="194"/>
      <c r="AF464" s="194"/>
      <c r="AG464" s="197"/>
      <c r="AH464" s="194"/>
      <c r="AI464" s="194"/>
      <c r="AJ464" s="194"/>
      <c r="AK464" s="104">
        <v>460</v>
      </c>
      <c r="AL464" s="14">
        <f t="shared" si="365"/>
        <v>9</v>
      </c>
      <c r="AM464" s="14">
        <f>INDEX(挂机升级突破!DQ$6:DQ$57,卡牌消耗!$AT464)</f>
        <v>11</v>
      </c>
      <c r="AN464" s="14">
        <f>INDEX(挂机升级突破!DR$6:DR$57,卡牌消耗!$AT464)</f>
        <v>5</v>
      </c>
      <c r="AO464" s="14">
        <f>INDEX(挂机升级突破!DS$6:DS$57,卡牌消耗!$AT464)</f>
        <v>10</v>
      </c>
      <c r="AP464" s="14">
        <f>INDEX(挂机升级突破!$DP$6:$DP$57,卡牌消耗!AT464)</f>
        <v>128</v>
      </c>
      <c r="AQ464" s="14" t="str">
        <f t="shared" si="366"/>
        <v>徐晃</v>
      </c>
      <c r="AR464" s="14">
        <f t="shared" si="367"/>
        <v>3</v>
      </c>
      <c r="AS464" s="14" t="str">
        <f t="shared" si="368"/>
        <v>徐晃魂火-44</v>
      </c>
      <c r="AT464" s="14">
        <f t="shared" si="369"/>
        <v>44</v>
      </c>
      <c r="AU464" s="14" t="str">
        <f>IF(AM464&gt;0,INDEX(挂机升级突破!$DT$4:$ED$4,AM464),"")</f>
        <v>金币</v>
      </c>
      <c r="AV464" s="14">
        <f>ROUND(INDEX(挂机升级突破!$DJ$6:$DJ$57,卡牌消耗!AT464)*INDEX(卡牌消耗!$B$8:$F$8,AR464)/$Q$4/50,0)*50</f>
        <v>37600</v>
      </c>
      <c r="AW464" s="14" t="str">
        <f>IF(AN464&gt;0,INDEX(挂机升级突破!$DT$4:$ED$4,AN464),"")</f>
        <v>红色基础材料</v>
      </c>
      <c r="AX464" s="14">
        <f>ROUND(INDEX(挂机升级突破!$DT$6:$ED$57,卡牌消耗!AT464,AN464)*INDEX(卡牌消耗!$B$5:$F$5,AR464)/$Q$4/5,0)*5</f>
        <v>10</v>
      </c>
      <c r="AY464" s="14" t="str">
        <f>IF(AO464&gt;0,INDEX(挂机升级突破!$DT$4:$ED$4,AO464),"")</f>
        <v>灵玉</v>
      </c>
      <c r="AZ464" s="14">
        <f>IF(AO464&gt;0,ROUND(INDEX(挂机升级突破!$DT$6:$ED$57,卡牌消耗!AT464,AO464)*INDEX(卡牌消耗!$B$7:$F$7,AR464)/$Q$4,0),"")</f>
        <v>2</v>
      </c>
      <c r="BA464" s="106"/>
      <c r="BB464" s="197"/>
      <c r="BC464" s="197"/>
      <c r="BD464" s="197"/>
      <c r="BE464" s="197"/>
      <c r="BF464" s="197"/>
      <c r="BG464" s="197"/>
      <c r="BH464" s="197"/>
      <c r="BI464" s="197"/>
      <c r="BJ464" s="197"/>
      <c r="BK464" s="197"/>
      <c r="BL464" s="104">
        <v>460</v>
      </c>
      <c r="BM464" s="14">
        <f t="shared" si="370"/>
        <v>23</v>
      </c>
      <c r="BN464" s="14">
        <f>INDEX(挂机升级突破!$EI$7:$EI$26,BS464)</f>
        <v>5</v>
      </c>
      <c r="BO464" s="14">
        <f>INDEX(挂机升级突破!$EJ$7:$EJ$26,BS464)</f>
        <v>4</v>
      </c>
      <c r="BP464" s="14">
        <f t="shared" si="371"/>
        <v>2</v>
      </c>
      <c r="BQ464" s="14">
        <f>INDEX(挂机升级突破!$EH$7:$EH$26,卡牌消耗!BS464)</f>
        <v>140</v>
      </c>
      <c r="BR464" s="14" t="str">
        <f t="shared" si="372"/>
        <v>异邦刀客</v>
      </c>
      <c r="BS464" s="14">
        <f t="shared" si="373"/>
        <v>20</v>
      </c>
      <c r="BT464" s="14" t="str">
        <f t="shared" si="374"/>
        <v>异邦刀客20突</v>
      </c>
      <c r="BU464" s="14" t="str">
        <f>IF(BN464&gt;0,INDEX(挂机升级突破!$ER$5:$EV$5,卡牌消耗!BN464),"")</f>
        <v>金币</v>
      </c>
      <c r="BV464" s="14">
        <f>IF(BN464&gt;0,ROUND(INDEX(挂机升级突破!$EV$7:$EV$26,卡牌消耗!BS464)*INDEX(卡牌消耗!$B$8:$F$8,BP464)/$Q$4/500,0)*500,"")</f>
        <v>287000</v>
      </c>
      <c r="BW464" s="14" t="str">
        <f>IF(BO464&gt;0,INDEX(挂机升级突破!$ER$5:$EV$5,卡牌消耗!BO464),"")</f>
        <v>铀金</v>
      </c>
      <c r="BX464" s="14">
        <f>IF(BO464&gt;0,ROUND(INDEX(挂机升级突破!$ER$7:$EU$26,卡牌消耗!BS464,卡牌消耗!BO464)*INDEX($B$6:$F$6,BP464)/$Q$4/5,0)*5,"")</f>
        <v>35</v>
      </c>
      <c r="BY464" s="193"/>
      <c r="BZ464" s="193"/>
      <c r="CA464" s="106"/>
    </row>
    <row r="465" spans="8:79" ht="16.5" x14ac:dyDescent="0.2">
      <c r="H465" s="15"/>
      <c r="I465" s="15"/>
      <c r="J465" s="15"/>
      <c r="K465" s="15"/>
      <c r="L465" s="15"/>
      <c r="M465" s="15"/>
      <c r="N465" s="15"/>
      <c r="O465" s="137"/>
      <c r="P465" s="141"/>
      <c r="Q465" s="141"/>
      <c r="R465" s="141"/>
      <c r="S465" s="141"/>
      <c r="T465" s="141"/>
      <c r="U465" s="141"/>
      <c r="V465" s="141"/>
      <c r="W465" s="141"/>
      <c r="X465" s="141"/>
      <c r="Y465" s="141"/>
      <c r="Z465" s="141"/>
      <c r="AA465" s="194"/>
      <c r="AB465" s="194"/>
      <c r="AC465" s="194"/>
      <c r="AD465" s="194"/>
      <c r="AE465" s="194"/>
      <c r="AF465" s="194"/>
      <c r="AG465" s="197"/>
      <c r="AH465" s="194"/>
      <c r="AI465" s="194"/>
      <c r="AJ465" s="194"/>
      <c r="AK465" s="104">
        <v>461</v>
      </c>
      <c r="AL465" s="14">
        <f t="shared" si="365"/>
        <v>9</v>
      </c>
      <c r="AM465" s="14">
        <f>INDEX(挂机升级突破!DQ$6:DQ$57,卡牌消耗!$AT465)</f>
        <v>11</v>
      </c>
      <c r="AN465" s="14">
        <f>INDEX(挂机升级突破!DR$6:DR$57,卡牌消耗!$AT465)</f>
        <v>5</v>
      </c>
      <c r="AO465" s="14">
        <f>INDEX(挂机升级突破!DS$6:DS$57,卡牌消耗!$AT465)</f>
        <v>10</v>
      </c>
      <c r="AP465" s="14">
        <f>INDEX(挂机升级突破!$DP$6:$DP$57,卡牌消耗!AT465)</f>
        <v>130</v>
      </c>
      <c r="AQ465" s="14" t="str">
        <f t="shared" si="366"/>
        <v>徐晃</v>
      </c>
      <c r="AR465" s="14">
        <f t="shared" si="367"/>
        <v>3</v>
      </c>
      <c r="AS465" s="14" t="str">
        <f t="shared" si="368"/>
        <v>徐晃魂火-45</v>
      </c>
      <c r="AT465" s="14">
        <f t="shared" si="369"/>
        <v>45</v>
      </c>
      <c r="AU465" s="14" t="str">
        <f>IF(AM465&gt;0,INDEX(挂机升级突破!$DT$4:$ED$4,AM465),"")</f>
        <v>金币</v>
      </c>
      <c r="AV465" s="14">
        <f>ROUND(INDEX(挂机升级突破!$DJ$6:$DJ$57,卡牌消耗!AT465)*INDEX(卡牌消耗!$B$8:$F$8,AR465)/$Q$4/50,0)*50</f>
        <v>37600</v>
      </c>
      <c r="AW465" s="14" t="str">
        <f>IF(AN465&gt;0,INDEX(挂机升级突破!$DT$4:$ED$4,AN465),"")</f>
        <v>红色基础材料</v>
      </c>
      <c r="AX465" s="14">
        <f>ROUND(INDEX(挂机升级突破!$DT$6:$ED$57,卡牌消耗!AT465,AN465)*INDEX(卡牌消耗!$B$5:$F$5,AR465)/$Q$4/5,0)*5</f>
        <v>10</v>
      </c>
      <c r="AY465" s="14" t="str">
        <f>IF(AO465&gt;0,INDEX(挂机升级突破!$DT$4:$ED$4,AO465),"")</f>
        <v>灵玉</v>
      </c>
      <c r="AZ465" s="14">
        <f>IF(AO465&gt;0,ROUND(INDEX(挂机升级突破!$DT$6:$ED$57,卡牌消耗!AT465,AO465)*INDEX(卡牌消耗!$B$7:$F$7,AR465)/$Q$4,0),"")</f>
        <v>2</v>
      </c>
      <c r="BA465" s="106"/>
      <c r="BB465" s="197"/>
      <c r="BC465" s="197"/>
      <c r="BD465" s="197"/>
      <c r="BE465" s="197"/>
      <c r="BF465" s="197"/>
      <c r="BG465" s="197"/>
      <c r="BH465" s="197"/>
      <c r="BI465" s="197"/>
      <c r="BJ465" s="197"/>
      <c r="BK465" s="197"/>
      <c r="BL465" s="104">
        <v>461</v>
      </c>
      <c r="BM465" s="14">
        <f t="shared" si="370"/>
        <v>24</v>
      </c>
      <c r="BN465" s="14">
        <f>INDEX(挂机升级突破!$EI$7:$EI$26,BS465)</f>
        <v>0</v>
      </c>
      <c r="BO465" s="14">
        <f>INDEX(挂机升级突破!$EJ$7:$EJ$26,BS465)</f>
        <v>0</v>
      </c>
      <c r="BP465" s="14">
        <f t="shared" si="371"/>
        <v>3</v>
      </c>
      <c r="BQ465" s="14">
        <f>INDEX(挂机升级突破!$EH$7:$EH$26,卡牌消耗!BS465)</f>
        <v>1</v>
      </c>
      <c r="BR465" s="14" t="str">
        <f t="shared" si="372"/>
        <v>朱仙</v>
      </c>
      <c r="BS465" s="14">
        <f t="shared" si="373"/>
        <v>1</v>
      </c>
      <c r="BT465" s="14" t="str">
        <f t="shared" si="374"/>
        <v>朱仙1突</v>
      </c>
      <c r="BU465" s="14" t="str">
        <f>IF(BN465&gt;0,INDEX(挂机升级突破!$ER$5:$EV$5,卡牌消耗!BN465),"")</f>
        <v/>
      </c>
      <c r="BV465" s="14" t="str">
        <f>IF(BN465&gt;0,ROUND(INDEX(挂机升级突破!$EV$7:$EV$26,卡牌消耗!BS465)*INDEX(卡牌消耗!$B$8:$F$8,BP465)/$Q$4/500,0)*500,"")</f>
        <v/>
      </c>
      <c r="BW465" s="14" t="str">
        <f>IF(BO465&gt;0,INDEX(挂机升级突破!$ER$5:$EV$5,卡牌消耗!BO465),"")</f>
        <v/>
      </c>
      <c r="BX465" s="14" t="str">
        <f>IF(BO465&gt;0,ROUND(INDEX(挂机升级突破!$ER$7:$EU$26,卡牌消耗!BS465,卡牌消耗!BO465)*INDEX($B$6:$F$6,BP465)/$Q$4/5,0)*5,"")</f>
        <v/>
      </c>
      <c r="BY465" s="193"/>
      <c r="BZ465" s="193"/>
      <c r="CA465" s="106"/>
    </row>
    <row r="466" spans="8:79" ht="16.5" x14ac:dyDescent="0.2">
      <c r="H466" s="15"/>
      <c r="I466" s="15"/>
      <c r="J466" s="15"/>
      <c r="K466" s="15"/>
      <c r="L466" s="15"/>
      <c r="M466" s="15"/>
      <c r="N466" s="15"/>
      <c r="O466" s="137"/>
      <c r="P466" s="141"/>
      <c r="Q466" s="141"/>
      <c r="R466" s="141"/>
      <c r="S466" s="141"/>
      <c r="T466" s="141"/>
      <c r="U466" s="141"/>
      <c r="V466" s="141"/>
      <c r="W466" s="141"/>
      <c r="X466" s="141"/>
      <c r="Y466" s="141"/>
      <c r="Z466" s="141"/>
      <c r="AA466" s="194"/>
      <c r="AB466" s="194"/>
      <c r="AC466" s="194"/>
      <c r="AD466" s="194"/>
      <c r="AE466" s="194"/>
      <c r="AF466" s="194"/>
      <c r="AG466" s="197"/>
      <c r="AH466" s="194"/>
      <c r="AI466" s="194"/>
      <c r="AJ466" s="194"/>
      <c r="AK466" s="104">
        <v>462</v>
      </c>
      <c r="AL466" s="14">
        <f t="shared" si="365"/>
        <v>9</v>
      </c>
      <c r="AM466" s="14">
        <f>INDEX(挂机升级突破!DQ$6:DQ$57,卡牌消耗!$AT466)</f>
        <v>11</v>
      </c>
      <c r="AN466" s="14">
        <f>INDEX(挂机升级突破!DR$6:DR$57,卡牌消耗!$AT466)</f>
        <v>5</v>
      </c>
      <c r="AO466" s="14">
        <f>INDEX(挂机升级突破!DS$6:DS$57,卡牌消耗!$AT466)</f>
        <v>10</v>
      </c>
      <c r="AP466" s="14">
        <f>INDEX(挂机升级突破!$DP$6:$DP$57,卡牌消耗!AT466)</f>
        <v>133</v>
      </c>
      <c r="AQ466" s="14" t="str">
        <f t="shared" si="366"/>
        <v>徐晃</v>
      </c>
      <c r="AR466" s="14">
        <f t="shared" si="367"/>
        <v>3</v>
      </c>
      <c r="AS466" s="14" t="str">
        <f t="shared" si="368"/>
        <v>徐晃魂火-46</v>
      </c>
      <c r="AT466" s="14">
        <f t="shared" si="369"/>
        <v>46</v>
      </c>
      <c r="AU466" s="14" t="str">
        <f>IF(AM466&gt;0,INDEX(挂机升级突破!$DT$4:$ED$4,AM466),"")</f>
        <v>金币</v>
      </c>
      <c r="AV466" s="14">
        <f>ROUND(INDEX(挂机升级突破!$DJ$6:$DJ$57,卡牌消耗!AT466)*INDEX(卡牌消耗!$B$8:$F$8,AR466)/$Q$4/50,0)*50</f>
        <v>40300</v>
      </c>
      <c r="AW466" s="14" t="str">
        <f>IF(AN466&gt;0,INDEX(挂机升级突破!$DT$4:$ED$4,AN466),"")</f>
        <v>红色基础材料</v>
      </c>
      <c r="AX466" s="14">
        <f>ROUND(INDEX(挂机升级突破!$DT$6:$ED$57,卡牌消耗!AT466,AN466)*INDEX(卡牌消耗!$B$5:$F$5,AR466)/$Q$4/5,0)*5</f>
        <v>10</v>
      </c>
      <c r="AY466" s="14" t="str">
        <f>IF(AO466&gt;0,INDEX(挂机升级突破!$DT$4:$ED$4,AO466),"")</f>
        <v>灵玉</v>
      </c>
      <c r="AZ466" s="14">
        <f>IF(AO466&gt;0,ROUND(INDEX(挂机升级突破!$DT$6:$ED$57,卡牌消耗!AT466,AO466)*INDEX(卡牌消耗!$B$7:$F$7,AR466)/$Q$4,0),"")</f>
        <v>2</v>
      </c>
      <c r="BA466" s="106"/>
      <c r="BB466" s="197"/>
      <c r="BC466" s="197"/>
      <c r="BD466" s="197"/>
      <c r="BE466" s="197"/>
      <c r="BF466" s="197"/>
      <c r="BG466" s="197"/>
      <c r="BH466" s="197"/>
      <c r="BI466" s="197"/>
      <c r="BJ466" s="197"/>
      <c r="BK466" s="197"/>
      <c r="BL466" s="104">
        <v>462</v>
      </c>
      <c r="BM466" s="14">
        <f t="shared" si="370"/>
        <v>24</v>
      </c>
      <c r="BN466" s="14">
        <f>INDEX(挂机升级突破!$EI$7:$EI$26,BS466)</f>
        <v>5</v>
      </c>
      <c r="BO466" s="14">
        <f>INDEX(挂机升级突破!$EJ$7:$EJ$26,BS466)</f>
        <v>1</v>
      </c>
      <c r="BP466" s="14">
        <f t="shared" si="371"/>
        <v>3</v>
      </c>
      <c r="BQ466" s="14">
        <f>INDEX(挂机升级突破!$EH$7:$EH$26,卡牌消耗!BS466)</f>
        <v>5</v>
      </c>
      <c r="BR466" s="14" t="str">
        <f t="shared" si="372"/>
        <v>朱仙</v>
      </c>
      <c r="BS466" s="14">
        <f t="shared" si="373"/>
        <v>2</v>
      </c>
      <c r="BT466" s="14" t="str">
        <f t="shared" si="374"/>
        <v>朱仙2突</v>
      </c>
      <c r="BU466" s="14" t="str">
        <f>IF(BN466&gt;0,INDEX(挂机升级突破!$ER$5:$EV$5,卡牌消耗!BN466),"")</f>
        <v>金币</v>
      </c>
      <c r="BV466" s="14">
        <f>IF(BN466&gt;0,ROUND(INDEX(挂机升级突破!$EV$7:$EV$26,卡牌消耗!BS466)*INDEX(卡牌消耗!$B$8:$F$8,BP466)/$Q$4/500,0)*500,"")</f>
        <v>3000</v>
      </c>
      <c r="BW466" s="14" t="str">
        <f>IF(BO466&gt;0,INDEX(挂机升级突破!$ER$5:$EV$5,卡牌消耗!BO466),"")</f>
        <v>玄铁</v>
      </c>
      <c r="BX466" s="14">
        <f>IF(BO466&gt;0,ROUND(INDEX(挂机升级突破!$ER$7:$EU$26,卡牌消耗!BS466,卡牌消耗!BO466)*INDEX($B$6:$F$6,BP466)/$Q$4,0),"")</f>
        <v>2</v>
      </c>
      <c r="BY466" s="193"/>
      <c r="BZ466" s="193"/>
      <c r="CA466" s="106"/>
    </row>
    <row r="467" spans="8:79" ht="16.5" x14ac:dyDescent="0.2">
      <c r="H467" s="15"/>
      <c r="I467" s="15"/>
      <c r="J467" s="15"/>
      <c r="K467" s="15"/>
      <c r="L467" s="15"/>
      <c r="M467" s="15"/>
      <c r="N467" s="15"/>
      <c r="O467" s="137"/>
      <c r="P467" s="141"/>
      <c r="Q467" s="141"/>
      <c r="R467" s="141"/>
      <c r="S467" s="141"/>
      <c r="T467" s="141"/>
      <c r="U467" s="141"/>
      <c r="V467" s="141"/>
      <c r="W467" s="141"/>
      <c r="X467" s="141"/>
      <c r="Y467" s="141"/>
      <c r="Z467" s="141"/>
      <c r="AA467" s="194"/>
      <c r="AB467" s="194"/>
      <c r="AC467" s="194"/>
      <c r="AD467" s="194"/>
      <c r="AE467" s="194"/>
      <c r="AF467" s="194"/>
      <c r="AG467" s="197"/>
      <c r="AH467" s="194"/>
      <c r="AI467" s="194"/>
      <c r="AJ467" s="194"/>
      <c r="AK467" s="104">
        <v>463</v>
      </c>
      <c r="AL467" s="14">
        <f t="shared" si="365"/>
        <v>9</v>
      </c>
      <c r="AM467" s="14">
        <f>INDEX(挂机升级突破!DQ$6:DQ$57,卡牌消耗!$AT467)</f>
        <v>11</v>
      </c>
      <c r="AN467" s="14">
        <f>INDEX(挂机升级突破!DR$6:DR$57,卡牌消耗!$AT467)</f>
        <v>5</v>
      </c>
      <c r="AO467" s="14">
        <f>INDEX(挂机升级突破!DS$6:DS$57,卡牌消耗!$AT467)</f>
        <v>10</v>
      </c>
      <c r="AP467" s="14">
        <f>INDEX(挂机升级突破!$DP$6:$DP$57,卡牌消耗!AT467)</f>
        <v>135</v>
      </c>
      <c r="AQ467" s="14" t="str">
        <f t="shared" si="366"/>
        <v>徐晃</v>
      </c>
      <c r="AR467" s="14">
        <f t="shared" si="367"/>
        <v>3</v>
      </c>
      <c r="AS467" s="14" t="str">
        <f t="shared" si="368"/>
        <v>徐晃魂火-47</v>
      </c>
      <c r="AT467" s="14">
        <f t="shared" si="369"/>
        <v>47</v>
      </c>
      <c r="AU467" s="14" t="str">
        <f>IF(AM467&gt;0,INDEX(挂机升级突破!$DT$4:$ED$4,AM467),"")</f>
        <v>金币</v>
      </c>
      <c r="AV467" s="14">
        <f>ROUND(INDEX(挂机升级突破!$DJ$6:$DJ$57,卡牌消耗!AT467)*INDEX(卡牌消耗!$B$8:$F$8,AR467)/$Q$4/50,0)*50</f>
        <v>82050</v>
      </c>
      <c r="AW467" s="14" t="str">
        <f>IF(AN467&gt;0,INDEX(挂机升级突破!$DT$4:$ED$4,AN467),"")</f>
        <v>红色基础材料</v>
      </c>
      <c r="AX467" s="14">
        <f>ROUND(INDEX(挂机升级突破!$DT$6:$ED$57,卡牌消耗!AT467,AN467)*INDEX(卡牌消耗!$B$5:$F$5,AR467)/$Q$4/5,0)*5</f>
        <v>10</v>
      </c>
      <c r="AY467" s="14" t="str">
        <f>IF(AO467&gt;0,INDEX(挂机升级突破!$DT$4:$ED$4,AO467),"")</f>
        <v>灵玉</v>
      </c>
      <c r="AZ467" s="14">
        <f>IF(AO467&gt;0,ROUND(INDEX(挂机升级突破!$DT$6:$ED$57,卡牌消耗!AT467,AO467)*INDEX(卡牌消耗!$B$7:$F$7,AR467)/$Q$4,0),"")</f>
        <v>2</v>
      </c>
      <c r="BA467" s="106"/>
      <c r="BB467" s="197"/>
      <c r="BC467" s="197"/>
      <c r="BD467" s="197"/>
      <c r="BE467" s="197"/>
      <c r="BF467" s="197"/>
      <c r="BG467" s="197"/>
      <c r="BH467" s="197"/>
      <c r="BI467" s="197"/>
      <c r="BJ467" s="197"/>
      <c r="BK467" s="197"/>
      <c r="BL467" s="104">
        <v>463</v>
      </c>
      <c r="BM467" s="14">
        <f t="shared" si="370"/>
        <v>24</v>
      </c>
      <c r="BN467" s="14">
        <f>INDEX(挂机升级突破!$EI$7:$EI$26,BS467)</f>
        <v>5</v>
      </c>
      <c r="BO467" s="14">
        <f>INDEX(挂机升级突破!$EJ$7:$EJ$26,BS467)</f>
        <v>1</v>
      </c>
      <c r="BP467" s="14">
        <f t="shared" si="371"/>
        <v>3</v>
      </c>
      <c r="BQ467" s="14">
        <f>INDEX(挂机升级突破!$EH$7:$EH$26,卡牌消耗!BS467)</f>
        <v>15</v>
      </c>
      <c r="BR467" s="14" t="str">
        <f t="shared" si="372"/>
        <v>朱仙</v>
      </c>
      <c r="BS467" s="14">
        <f t="shared" si="373"/>
        <v>3</v>
      </c>
      <c r="BT467" s="14" t="str">
        <f t="shared" si="374"/>
        <v>朱仙3突</v>
      </c>
      <c r="BU467" s="14" t="str">
        <f>IF(BN467&gt;0,INDEX(挂机升级突破!$ER$5:$EV$5,卡牌消耗!BN467),"")</f>
        <v>金币</v>
      </c>
      <c r="BV467" s="14">
        <f>IF(BN467&gt;0,ROUND(INDEX(挂机升级突破!$EV$7:$EV$26,卡牌消耗!BS467)*INDEX(卡牌消耗!$B$8:$F$8,BP467)/$Q$4/500,0)*500,"")</f>
        <v>3000</v>
      </c>
      <c r="BW467" s="14" t="str">
        <f>IF(BO467&gt;0,INDEX(挂机升级突破!$ER$5:$EV$5,卡牌消耗!BO467),"")</f>
        <v>玄铁</v>
      </c>
      <c r="BX467" s="14">
        <f>IF(BO467&gt;0,ROUND(INDEX(挂机升级突破!$ER$7:$EU$26,卡牌消耗!BS467,卡牌消耗!BO467)*INDEX($B$6:$F$6,BP467)/$Q$4,0),"")</f>
        <v>5</v>
      </c>
      <c r="BY467" s="193"/>
      <c r="BZ467" s="193"/>
      <c r="CA467" s="106"/>
    </row>
    <row r="468" spans="8:79" ht="16.5" x14ac:dyDescent="0.2">
      <c r="H468" s="15"/>
      <c r="I468" s="15"/>
      <c r="J468" s="15"/>
      <c r="K468" s="15"/>
      <c r="L468" s="15"/>
      <c r="M468" s="15"/>
      <c r="N468" s="15"/>
      <c r="O468" s="137"/>
      <c r="P468" s="141"/>
      <c r="Q468" s="141"/>
      <c r="R468" s="141"/>
      <c r="S468" s="141"/>
      <c r="T468" s="141"/>
      <c r="U468" s="141"/>
      <c r="V468" s="141"/>
      <c r="W468" s="141"/>
      <c r="X468" s="141"/>
      <c r="Y468" s="141"/>
      <c r="Z468" s="141"/>
      <c r="AA468" s="194"/>
      <c r="AB468" s="194"/>
      <c r="AC468" s="194"/>
      <c r="AD468" s="194"/>
      <c r="AE468" s="194"/>
      <c r="AF468" s="194"/>
      <c r="AG468" s="197"/>
      <c r="AH468" s="194"/>
      <c r="AI468" s="194"/>
      <c r="AJ468" s="194"/>
      <c r="AK468" s="104">
        <v>464</v>
      </c>
      <c r="AL468" s="14">
        <f t="shared" si="365"/>
        <v>9</v>
      </c>
      <c r="AM468" s="14">
        <f>INDEX(挂机升级突破!DQ$6:DQ$57,卡牌消耗!$AT468)</f>
        <v>11</v>
      </c>
      <c r="AN468" s="14">
        <f>INDEX(挂机升级突破!DR$6:DR$57,卡牌消耗!$AT468)</f>
        <v>5</v>
      </c>
      <c r="AO468" s="14">
        <f>INDEX(挂机升级突破!DS$6:DS$57,卡牌消耗!$AT468)</f>
        <v>10</v>
      </c>
      <c r="AP468" s="14">
        <f>INDEX(挂机升级突破!$DP$6:$DP$57,卡牌消耗!AT468)</f>
        <v>138</v>
      </c>
      <c r="AQ468" s="14" t="str">
        <f t="shared" si="366"/>
        <v>徐晃</v>
      </c>
      <c r="AR468" s="14">
        <f t="shared" si="367"/>
        <v>3</v>
      </c>
      <c r="AS468" s="14" t="str">
        <f t="shared" si="368"/>
        <v>徐晃魂火-48</v>
      </c>
      <c r="AT468" s="14">
        <f t="shared" si="369"/>
        <v>48</v>
      </c>
      <c r="AU468" s="14" t="str">
        <f>IF(AM468&gt;0,INDEX(挂机升级突破!$DT$4:$ED$4,AM468),"")</f>
        <v>金币</v>
      </c>
      <c r="AV468" s="14">
        <f>ROUND(INDEX(挂机升级突破!$DJ$6:$DJ$57,卡牌消耗!AT468)*INDEX(卡牌消耗!$B$8:$F$8,AR468)/$Q$4/50,0)*50</f>
        <v>82050</v>
      </c>
      <c r="AW468" s="14" t="str">
        <f>IF(AN468&gt;0,INDEX(挂机升级突破!$DT$4:$ED$4,AN468),"")</f>
        <v>红色基础材料</v>
      </c>
      <c r="AX468" s="14">
        <f>ROUND(INDEX(挂机升级突破!$DT$6:$ED$57,卡牌消耗!AT468,AN468)*INDEX(卡牌消耗!$B$5:$F$5,AR468)/$Q$4/5,0)*5</f>
        <v>10</v>
      </c>
      <c r="AY468" s="14" t="str">
        <f>IF(AO468&gt;0,INDEX(挂机升级突破!$DT$4:$ED$4,AO468),"")</f>
        <v>灵玉</v>
      </c>
      <c r="AZ468" s="14">
        <f>IF(AO468&gt;0,ROUND(INDEX(挂机升级突破!$DT$6:$ED$57,卡牌消耗!AT468,AO468)*INDEX(卡牌消耗!$B$7:$F$7,AR468)/$Q$4,0),"")</f>
        <v>2</v>
      </c>
      <c r="BA468" s="106"/>
      <c r="BB468" s="197"/>
      <c r="BC468" s="197"/>
      <c r="BD468" s="197"/>
      <c r="BE468" s="197"/>
      <c r="BF468" s="197"/>
      <c r="BG468" s="197"/>
      <c r="BH468" s="197"/>
      <c r="BI468" s="197"/>
      <c r="BJ468" s="197"/>
      <c r="BK468" s="197"/>
      <c r="BL468" s="104">
        <v>464</v>
      </c>
      <c r="BM468" s="14">
        <f t="shared" si="370"/>
        <v>24</v>
      </c>
      <c r="BN468" s="14">
        <f>INDEX(挂机升级突破!$EI$7:$EI$26,BS468)</f>
        <v>5</v>
      </c>
      <c r="BO468" s="14">
        <f>INDEX(挂机升级突破!$EJ$7:$EJ$26,BS468)</f>
        <v>1</v>
      </c>
      <c r="BP468" s="14">
        <f t="shared" si="371"/>
        <v>3</v>
      </c>
      <c r="BQ468" s="14">
        <f>INDEX(挂机升级突破!$EH$7:$EH$26,卡牌消耗!BS468)</f>
        <v>25</v>
      </c>
      <c r="BR468" s="14" t="str">
        <f t="shared" si="372"/>
        <v>朱仙</v>
      </c>
      <c r="BS468" s="14">
        <f t="shared" si="373"/>
        <v>4</v>
      </c>
      <c r="BT468" s="14" t="str">
        <f t="shared" si="374"/>
        <v>朱仙4突</v>
      </c>
      <c r="BU468" s="14" t="str">
        <f>IF(BN468&gt;0,INDEX(挂机升级突破!$ER$5:$EV$5,卡牌消耗!BN468),"")</f>
        <v>金币</v>
      </c>
      <c r="BV468" s="14">
        <f>IF(BN468&gt;0,ROUND(INDEX(挂机升级突破!$EV$7:$EV$26,卡牌消耗!BS468)*INDEX(卡牌消耗!$B$8:$F$8,BP468)/$Q$4/500,0)*500,"")</f>
        <v>4000</v>
      </c>
      <c r="BW468" s="14" t="str">
        <f>IF(BO468&gt;0,INDEX(挂机升级突破!$ER$5:$EV$5,卡牌消耗!BO468),"")</f>
        <v>玄铁</v>
      </c>
      <c r="BX468" s="14">
        <f>IF(BO468&gt;0,ROUND(INDEX(挂机升级突破!$ER$7:$EU$26,卡牌消耗!BS468,卡牌消耗!BO468)*INDEX($B$6:$F$6,BP468)/$Q$4,0),"")</f>
        <v>17</v>
      </c>
      <c r="BY468" s="193"/>
      <c r="BZ468" s="193"/>
      <c r="CA468" s="106"/>
    </row>
    <row r="469" spans="8:79" ht="16.5" x14ac:dyDescent="0.2">
      <c r="H469" s="15"/>
      <c r="I469" s="15"/>
      <c r="J469" s="15"/>
      <c r="K469" s="15"/>
      <c r="L469" s="15"/>
      <c r="M469" s="15"/>
      <c r="N469" s="15"/>
      <c r="O469" s="137"/>
      <c r="P469" s="141"/>
      <c r="Q469" s="141"/>
      <c r="R469" s="141"/>
      <c r="S469" s="141"/>
      <c r="T469" s="141"/>
      <c r="U469" s="141"/>
      <c r="V469" s="141"/>
      <c r="W469" s="141"/>
      <c r="X469" s="141"/>
      <c r="Y469" s="141"/>
      <c r="Z469" s="141"/>
      <c r="AA469" s="194"/>
      <c r="AB469" s="194"/>
      <c r="AC469" s="194"/>
      <c r="AD469" s="194"/>
      <c r="AE469" s="194"/>
      <c r="AF469" s="194"/>
      <c r="AG469" s="197"/>
      <c r="AH469" s="194"/>
      <c r="AI469" s="194"/>
      <c r="AJ469" s="194"/>
      <c r="AK469" s="104">
        <v>465</v>
      </c>
      <c r="AL469" s="14">
        <f t="shared" si="365"/>
        <v>9</v>
      </c>
      <c r="AM469" s="14">
        <f>INDEX(挂机升级突破!DQ$6:DQ$57,卡牌消耗!$AT469)</f>
        <v>11</v>
      </c>
      <c r="AN469" s="14">
        <f>INDEX(挂机升级突破!DR$6:DR$57,卡牌消耗!$AT469)</f>
        <v>5</v>
      </c>
      <c r="AO469" s="14">
        <f>INDEX(挂机升级突破!DS$6:DS$57,卡牌消耗!$AT469)</f>
        <v>10</v>
      </c>
      <c r="AP469" s="14">
        <f>INDEX(挂机升级突破!$DP$6:$DP$57,卡牌消耗!AT469)</f>
        <v>140</v>
      </c>
      <c r="AQ469" s="14" t="str">
        <f t="shared" si="366"/>
        <v>徐晃</v>
      </c>
      <c r="AR469" s="14">
        <f t="shared" si="367"/>
        <v>3</v>
      </c>
      <c r="AS469" s="14" t="str">
        <f t="shared" si="368"/>
        <v>徐晃魂火-49</v>
      </c>
      <c r="AT469" s="14">
        <f t="shared" si="369"/>
        <v>49</v>
      </c>
      <c r="AU469" s="14" t="str">
        <f>IF(AM469&gt;0,INDEX(挂机升级突破!$DT$4:$ED$4,AM469),"")</f>
        <v>金币</v>
      </c>
      <c r="AV469" s="14">
        <f>ROUND(INDEX(挂机升级突破!$DJ$6:$DJ$57,卡牌消耗!AT469)*INDEX(卡牌消耗!$B$8:$F$8,AR469)/$Q$4/50,0)*50</f>
        <v>82050</v>
      </c>
      <c r="AW469" s="14" t="str">
        <f>IF(AN469&gt;0,INDEX(挂机升级突破!$DT$4:$ED$4,AN469),"")</f>
        <v>红色基础材料</v>
      </c>
      <c r="AX469" s="14">
        <f>ROUND(INDEX(挂机升级突破!$DT$6:$ED$57,卡牌消耗!AT469,AN469)*INDEX(卡牌消耗!$B$5:$F$5,AR469)/$Q$4/5,0)*5</f>
        <v>15</v>
      </c>
      <c r="AY469" s="14" t="str">
        <f>IF(AO469&gt;0,INDEX(挂机升级突破!$DT$4:$ED$4,AO469),"")</f>
        <v>灵玉</v>
      </c>
      <c r="AZ469" s="14">
        <f>IF(AO469&gt;0,ROUND(INDEX(挂机升级突破!$DT$6:$ED$57,卡牌消耗!AT469,AO469)*INDEX(卡牌消耗!$B$7:$F$7,AR469)/$Q$4,0),"")</f>
        <v>2</v>
      </c>
      <c r="BA469" s="106"/>
      <c r="BB469" s="197"/>
      <c r="BC469" s="197"/>
      <c r="BD469" s="197"/>
      <c r="BE469" s="197"/>
      <c r="BF469" s="197"/>
      <c r="BG469" s="197"/>
      <c r="BH469" s="197"/>
      <c r="BI469" s="197"/>
      <c r="BJ469" s="197"/>
      <c r="BK469" s="197"/>
      <c r="BL469" s="104">
        <v>465</v>
      </c>
      <c r="BM469" s="14">
        <f t="shared" si="370"/>
        <v>24</v>
      </c>
      <c r="BN469" s="14">
        <f>INDEX(挂机升级突破!$EI$7:$EI$26,BS469)</f>
        <v>5</v>
      </c>
      <c r="BO469" s="14">
        <f>INDEX(挂机升级突破!$EJ$7:$EJ$26,BS469)</f>
        <v>1</v>
      </c>
      <c r="BP469" s="14">
        <f t="shared" si="371"/>
        <v>3</v>
      </c>
      <c r="BQ469" s="14">
        <f>INDEX(挂机升级突破!$EH$7:$EH$26,卡牌消耗!BS469)</f>
        <v>35</v>
      </c>
      <c r="BR469" s="14" t="str">
        <f t="shared" si="372"/>
        <v>朱仙</v>
      </c>
      <c r="BS469" s="14">
        <f t="shared" si="373"/>
        <v>5</v>
      </c>
      <c r="BT469" s="14" t="str">
        <f t="shared" si="374"/>
        <v>朱仙5突</v>
      </c>
      <c r="BU469" s="14" t="str">
        <f>IF(BN469&gt;0,INDEX(挂机升级突破!$ER$5:$EV$5,卡牌消耗!BN469),"")</f>
        <v>金币</v>
      </c>
      <c r="BV469" s="14">
        <f>IF(BN469&gt;0,ROUND(INDEX(挂机升级突破!$EV$7:$EV$26,卡牌消耗!BS469)*INDEX(卡牌消耗!$B$8:$F$8,BP469)/$Q$4/500,0)*500,"")</f>
        <v>4000</v>
      </c>
      <c r="BW469" s="14" t="str">
        <f>IF(BO469&gt;0,INDEX(挂机升级突破!$ER$5:$EV$5,卡牌消耗!BO469),"")</f>
        <v>玄铁</v>
      </c>
      <c r="BX469" s="14">
        <f>IF(BO469&gt;0,ROUND(INDEX(挂机升级突破!$ER$7:$EU$26,卡牌消耗!BS469,卡牌消耗!BO469)*INDEX($B$6:$F$6,BP469)/$Q$4/5,0)*5,"")</f>
        <v>35</v>
      </c>
      <c r="BY469" s="193"/>
      <c r="BZ469" s="193"/>
      <c r="CA469" s="106"/>
    </row>
    <row r="470" spans="8:79" ht="16.5" x14ac:dyDescent="0.2">
      <c r="H470" s="15"/>
      <c r="I470" s="15"/>
      <c r="J470" s="15"/>
      <c r="K470" s="15"/>
      <c r="L470" s="15"/>
      <c r="M470" s="15"/>
      <c r="N470" s="15"/>
      <c r="O470" s="137"/>
      <c r="P470" s="141"/>
      <c r="Q470" s="141"/>
      <c r="R470" s="141"/>
      <c r="S470" s="141"/>
      <c r="T470" s="141"/>
      <c r="U470" s="141"/>
      <c r="V470" s="141"/>
      <c r="W470" s="141"/>
      <c r="X470" s="141"/>
      <c r="Y470" s="141"/>
      <c r="Z470" s="141"/>
      <c r="AA470" s="194"/>
      <c r="AB470" s="194"/>
      <c r="AC470" s="194"/>
      <c r="AD470" s="194"/>
      <c r="AE470" s="194"/>
      <c r="AF470" s="194"/>
      <c r="AG470" s="197"/>
      <c r="AH470" s="194"/>
      <c r="AI470" s="194"/>
      <c r="AJ470" s="194"/>
      <c r="AK470" s="104">
        <v>466</v>
      </c>
      <c r="AL470" s="14">
        <f t="shared" si="365"/>
        <v>9</v>
      </c>
      <c r="AM470" s="14">
        <f>INDEX(挂机升级突破!DQ$6:DQ$57,卡牌消耗!$AT470)</f>
        <v>11</v>
      </c>
      <c r="AN470" s="14">
        <f>INDEX(挂机升级突破!DR$6:DR$57,卡牌消耗!$AT470)</f>
        <v>5</v>
      </c>
      <c r="AO470" s="14">
        <f>INDEX(挂机升级突破!DS$6:DS$57,卡牌消耗!$AT470)</f>
        <v>10</v>
      </c>
      <c r="AP470" s="14">
        <f>INDEX(挂机升级突破!$DP$6:$DP$57,卡牌消耗!AT470)</f>
        <v>143</v>
      </c>
      <c r="AQ470" s="14" t="str">
        <f t="shared" si="366"/>
        <v>徐晃</v>
      </c>
      <c r="AR470" s="14">
        <f t="shared" si="367"/>
        <v>3</v>
      </c>
      <c r="AS470" s="14" t="str">
        <f t="shared" si="368"/>
        <v>徐晃魂火-50</v>
      </c>
      <c r="AT470" s="14">
        <f t="shared" si="369"/>
        <v>50</v>
      </c>
      <c r="AU470" s="14" t="str">
        <f>IF(AM470&gt;0,INDEX(挂机升级突破!$DT$4:$ED$4,AM470),"")</f>
        <v>金币</v>
      </c>
      <c r="AV470" s="14">
        <f>ROUND(INDEX(挂机升级突破!$DJ$6:$DJ$57,卡牌消耗!AT470)*INDEX(卡牌消耗!$B$8:$F$8,AR470)/$Q$4/50,0)*50</f>
        <v>136750</v>
      </c>
      <c r="AW470" s="14" t="str">
        <f>IF(AN470&gt;0,INDEX(挂机升级突破!$DT$4:$ED$4,AN470),"")</f>
        <v>红色基础材料</v>
      </c>
      <c r="AX470" s="14">
        <f>ROUND(INDEX(挂机升级突破!$DT$6:$ED$57,卡牌消耗!AT470,AN470)*INDEX(卡牌消耗!$B$5:$F$5,AR470)/$Q$4/5,0)*5</f>
        <v>15</v>
      </c>
      <c r="AY470" s="14" t="str">
        <f>IF(AO470&gt;0,INDEX(挂机升级突破!$DT$4:$ED$4,AO470),"")</f>
        <v>灵玉</v>
      </c>
      <c r="AZ470" s="14">
        <f>IF(AO470&gt;0,ROUND(INDEX(挂机升级突破!$DT$6:$ED$57,卡牌消耗!AT470,AO470)*INDEX(卡牌消耗!$B$7:$F$7,AR470)/$Q$4,0),"")</f>
        <v>2</v>
      </c>
      <c r="BA470" s="106"/>
      <c r="BB470" s="197"/>
      <c r="BC470" s="197"/>
      <c r="BD470" s="197"/>
      <c r="BE470" s="197"/>
      <c r="BF470" s="197"/>
      <c r="BG470" s="197"/>
      <c r="BH470" s="197"/>
      <c r="BI470" s="197"/>
      <c r="BJ470" s="197"/>
      <c r="BK470" s="197"/>
      <c r="BL470" s="104">
        <v>466</v>
      </c>
      <c r="BM470" s="14">
        <f t="shared" si="370"/>
        <v>24</v>
      </c>
      <c r="BN470" s="14">
        <f>INDEX(挂机升级突破!$EI$7:$EI$26,BS470)</f>
        <v>5</v>
      </c>
      <c r="BO470" s="14">
        <f>INDEX(挂机升级突破!$EJ$7:$EJ$26,BS470)</f>
        <v>1</v>
      </c>
      <c r="BP470" s="14">
        <f t="shared" si="371"/>
        <v>3</v>
      </c>
      <c r="BQ470" s="14">
        <f>INDEX(挂机升级突破!$EH$7:$EH$26,卡牌消耗!BS470)</f>
        <v>42</v>
      </c>
      <c r="BR470" s="14" t="str">
        <f t="shared" si="372"/>
        <v>朱仙</v>
      </c>
      <c r="BS470" s="14">
        <f t="shared" si="373"/>
        <v>6</v>
      </c>
      <c r="BT470" s="14" t="str">
        <f t="shared" si="374"/>
        <v>朱仙6突</v>
      </c>
      <c r="BU470" s="14" t="str">
        <f>IF(BN470&gt;0,INDEX(挂机升级突破!$ER$5:$EV$5,卡牌消耗!BN470),"")</f>
        <v>金币</v>
      </c>
      <c r="BV470" s="14">
        <f>IF(BN470&gt;0,ROUND(INDEX(挂机升级突破!$EV$7:$EV$26,卡牌消耗!BS470)*INDEX(卡牌消耗!$B$8:$F$8,BP470)/$Q$4/500,0)*500,"")</f>
        <v>5000</v>
      </c>
      <c r="BW470" s="14" t="str">
        <f>IF(BO470&gt;0,INDEX(挂机升级突破!$ER$5:$EV$5,卡牌消耗!BO470),"")</f>
        <v>玄铁</v>
      </c>
      <c r="BX470" s="14">
        <f>IF(BO470&gt;0,ROUND(INDEX(挂机升级突破!$ER$7:$EU$26,卡牌消耗!BS470,卡牌消耗!BO470)*INDEX($B$6:$F$6,BP470)/$Q$4/5,0)*5,"")</f>
        <v>50</v>
      </c>
      <c r="BY470" s="193"/>
      <c r="BZ470" s="193"/>
      <c r="CA470" s="106"/>
    </row>
    <row r="471" spans="8:79" ht="16.5" x14ac:dyDescent="0.2">
      <c r="H471" s="15"/>
      <c r="I471" s="15"/>
      <c r="J471" s="15"/>
      <c r="K471" s="15"/>
      <c r="L471" s="15"/>
      <c r="M471" s="15"/>
      <c r="N471" s="15"/>
      <c r="O471" s="137"/>
      <c r="P471" s="141"/>
      <c r="Q471" s="141"/>
      <c r="R471" s="141"/>
      <c r="S471" s="141"/>
      <c r="T471" s="141"/>
      <c r="U471" s="141"/>
      <c r="V471" s="141"/>
      <c r="W471" s="141"/>
      <c r="X471" s="141"/>
      <c r="Y471" s="141"/>
      <c r="Z471" s="141"/>
      <c r="AA471" s="194"/>
      <c r="AB471" s="194"/>
      <c r="AC471" s="194"/>
      <c r="AD471" s="194"/>
      <c r="AE471" s="194"/>
      <c r="AF471" s="194"/>
      <c r="AG471" s="197"/>
      <c r="AH471" s="194"/>
      <c r="AI471" s="194"/>
      <c r="AJ471" s="194"/>
      <c r="AK471" s="104">
        <v>467</v>
      </c>
      <c r="AL471" s="14">
        <f t="shared" si="365"/>
        <v>9</v>
      </c>
      <c r="AM471" s="14">
        <f>INDEX(挂机升级突破!DQ$6:DQ$57,卡牌消耗!$AT471)</f>
        <v>11</v>
      </c>
      <c r="AN471" s="14">
        <f>INDEX(挂机升级突破!DR$6:DR$57,卡牌消耗!$AT471)</f>
        <v>5</v>
      </c>
      <c r="AO471" s="14">
        <f>INDEX(挂机升级突破!DS$6:DS$57,卡牌消耗!$AT471)</f>
        <v>10</v>
      </c>
      <c r="AP471" s="14">
        <f>INDEX(挂机升级突破!$DP$6:$DP$57,卡牌消耗!AT471)</f>
        <v>145</v>
      </c>
      <c r="AQ471" s="14" t="str">
        <f t="shared" si="366"/>
        <v>徐晃</v>
      </c>
      <c r="AR471" s="14">
        <f t="shared" si="367"/>
        <v>3</v>
      </c>
      <c r="AS471" s="14" t="str">
        <f t="shared" si="368"/>
        <v>徐晃魂火-51</v>
      </c>
      <c r="AT471" s="14">
        <f t="shared" si="369"/>
        <v>51</v>
      </c>
      <c r="AU471" s="14" t="str">
        <f>IF(AM471&gt;0,INDEX(挂机升级突破!$DT$4:$ED$4,AM471),"")</f>
        <v>金币</v>
      </c>
      <c r="AV471" s="14">
        <f>ROUND(INDEX(挂机升级突破!$DJ$6:$DJ$57,卡牌消耗!AT471)*INDEX(卡牌消耗!$B$8:$F$8,AR471)/$Q$4/50,0)*50</f>
        <v>150450</v>
      </c>
      <c r="AW471" s="14" t="str">
        <f>IF(AN471&gt;0,INDEX(挂机升级突破!$DT$4:$ED$4,AN471),"")</f>
        <v>红色基础材料</v>
      </c>
      <c r="AX471" s="14">
        <f>ROUND(INDEX(挂机升级突破!$DT$6:$ED$57,卡牌消耗!AT471,AN471)*INDEX(卡牌消耗!$B$5:$F$5,AR471)/$Q$4/5,0)*5</f>
        <v>15</v>
      </c>
      <c r="AY471" s="14" t="str">
        <f>IF(AO471&gt;0,INDEX(挂机升级突破!$DT$4:$ED$4,AO471),"")</f>
        <v>灵玉</v>
      </c>
      <c r="AZ471" s="14">
        <f>IF(AO471&gt;0,ROUND(INDEX(挂机升级突破!$DT$6:$ED$57,卡牌消耗!AT471,AO471)*INDEX(卡牌消耗!$B$7:$F$7,AR471)/$Q$4,0),"")</f>
        <v>2</v>
      </c>
      <c r="BA471" s="106"/>
      <c r="BB471" s="197"/>
      <c r="BC471" s="197"/>
      <c r="BD471" s="197"/>
      <c r="BE471" s="197"/>
      <c r="BF471" s="197"/>
      <c r="BG471" s="197"/>
      <c r="BH471" s="197"/>
      <c r="BI471" s="197"/>
      <c r="BJ471" s="197"/>
      <c r="BK471" s="197"/>
      <c r="BL471" s="104">
        <v>467</v>
      </c>
      <c r="BM471" s="14">
        <f t="shared" si="370"/>
        <v>24</v>
      </c>
      <c r="BN471" s="14">
        <f>INDEX(挂机升级突破!$EI$7:$EI$26,BS471)</f>
        <v>5</v>
      </c>
      <c r="BO471" s="14">
        <f>INDEX(挂机升级突破!$EJ$7:$EJ$26,BS471)</f>
        <v>1</v>
      </c>
      <c r="BP471" s="14">
        <f t="shared" si="371"/>
        <v>3</v>
      </c>
      <c r="BQ471" s="14">
        <f>INDEX(挂机升级突破!$EH$7:$EH$26,卡牌消耗!BS471)</f>
        <v>47</v>
      </c>
      <c r="BR471" s="14" t="str">
        <f t="shared" si="372"/>
        <v>朱仙</v>
      </c>
      <c r="BS471" s="14">
        <f t="shared" si="373"/>
        <v>7</v>
      </c>
      <c r="BT471" s="14" t="str">
        <f t="shared" si="374"/>
        <v>朱仙7突</v>
      </c>
      <c r="BU471" s="14" t="str">
        <f>IF(BN471&gt;0,INDEX(挂机升级突破!$ER$5:$EV$5,卡牌消耗!BN471),"")</f>
        <v>金币</v>
      </c>
      <c r="BV471" s="14">
        <f>IF(BN471&gt;0,ROUND(INDEX(挂机升级突破!$EV$7:$EV$26,卡牌消耗!BS471)*INDEX(卡牌消耗!$B$8:$F$8,BP471)/$Q$4/500,0)*500,"")</f>
        <v>8000</v>
      </c>
      <c r="BW471" s="14" t="str">
        <f>IF(BO471&gt;0,INDEX(挂机升级突破!$ER$5:$EV$5,卡牌消耗!BO471),"")</f>
        <v>玄铁</v>
      </c>
      <c r="BX471" s="14">
        <f>IF(BO471&gt;0,ROUND(INDEX(挂机升级突破!$ER$7:$EU$26,卡牌消耗!BS471,卡牌消耗!BO471)*INDEX($B$6:$F$6,BP471)/$Q$4/5,0)*5,"")</f>
        <v>85</v>
      </c>
      <c r="BY471" s="193"/>
      <c r="BZ471" s="193"/>
      <c r="CA471" s="106"/>
    </row>
    <row r="472" spans="8:79" ht="16.5" x14ac:dyDescent="0.2">
      <c r="H472" s="15"/>
      <c r="I472" s="15"/>
      <c r="J472" s="15"/>
      <c r="K472" s="15"/>
      <c r="L472" s="15"/>
      <c r="M472" s="15"/>
      <c r="N472" s="15"/>
      <c r="O472" s="137"/>
      <c r="P472" s="141"/>
      <c r="Q472" s="141"/>
      <c r="R472" s="141"/>
      <c r="S472" s="141"/>
      <c r="T472" s="141"/>
      <c r="U472" s="141"/>
      <c r="V472" s="141"/>
      <c r="W472" s="141"/>
      <c r="X472" s="141"/>
      <c r="Y472" s="141"/>
      <c r="Z472" s="141"/>
      <c r="AA472" s="194"/>
      <c r="AB472" s="194"/>
      <c r="AC472" s="194"/>
      <c r="AD472" s="194"/>
      <c r="AE472" s="194"/>
      <c r="AF472" s="194"/>
      <c r="AG472" s="197"/>
      <c r="AH472" s="194"/>
      <c r="AI472" s="194"/>
      <c r="AJ472" s="194"/>
      <c r="AK472" s="104">
        <v>468</v>
      </c>
      <c r="AL472" s="14">
        <f t="shared" si="365"/>
        <v>9</v>
      </c>
      <c r="AM472" s="14">
        <f>INDEX(挂机升级突破!DQ$6:DQ$57,卡牌消耗!$AT472)</f>
        <v>11</v>
      </c>
      <c r="AN472" s="14">
        <f>INDEX(挂机升级突破!DR$6:DR$57,卡牌消耗!$AT472)</f>
        <v>5</v>
      </c>
      <c r="AO472" s="14">
        <f>INDEX(挂机升级突破!DS$6:DS$57,卡牌消耗!$AT472)</f>
        <v>10</v>
      </c>
      <c r="AP472" s="14">
        <f>INDEX(挂机升级突破!$DP$6:$DP$57,卡牌消耗!AT472)</f>
        <v>148</v>
      </c>
      <c r="AQ472" s="14" t="str">
        <f t="shared" si="366"/>
        <v>徐晃</v>
      </c>
      <c r="AR472" s="14">
        <f t="shared" si="367"/>
        <v>3</v>
      </c>
      <c r="AS472" s="14" t="str">
        <f t="shared" si="368"/>
        <v>徐晃魂火-52</v>
      </c>
      <c r="AT472" s="14">
        <f t="shared" si="369"/>
        <v>52</v>
      </c>
      <c r="AU472" s="14" t="str">
        <f>IF(AM472&gt;0,INDEX(挂机升级突破!$DT$4:$ED$4,AM472),"")</f>
        <v>金币</v>
      </c>
      <c r="AV472" s="14">
        <f>ROUND(INDEX(挂机升级突破!$DJ$6:$DJ$57,卡牌消耗!AT472)*INDEX(卡牌消耗!$B$8:$F$8,AR472)/$Q$4/50,0)*50</f>
        <v>150450</v>
      </c>
      <c r="AW472" s="14" t="str">
        <f>IF(AN472&gt;0,INDEX(挂机升级突破!$DT$4:$ED$4,AN472),"")</f>
        <v>红色基础材料</v>
      </c>
      <c r="AX472" s="14">
        <f>ROUND(INDEX(挂机升级突破!$DT$6:$ED$57,卡牌消耗!AT472,AN472)*INDEX(卡牌消耗!$B$5:$F$5,AR472)/$Q$4/5,0)*5</f>
        <v>15</v>
      </c>
      <c r="AY472" s="14" t="str">
        <f>IF(AO472&gt;0,INDEX(挂机升级突破!$DT$4:$ED$4,AO472),"")</f>
        <v>灵玉</v>
      </c>
      <c r="AZ472" s="14">
        <f>IF(AO472&gt;0,ROUND(INDEX(挂机升级突破!$DT$6:$ED$57,卡牌消耗!AT472,AO472)*INDEX(卡牌消耗!$B$7:$F$7,AR472)/$Q$4,0),"")</f>
        <v>2</v>
      </c>
      <c r="BA472" s="106"/>
      <c r="BB472" s="197"/>
      <c r="BC472" s="197"/>
      <c r="BD472" s="197"/>
      <c r="BE472" s="197"/>
      <c r="BF472" s="197"/>
      <c r="BG472" s="197"/>
      <c r="BH472" s="197"/>
      <c r="BI472" s="197"/>
      <c r="BJ472" s="197"/>
      <c r="BK472" s="197"/>
      <c r="BL472" s="104">
        <v>468</v>
      </c>
      <c r="BM472" s="14">
        <f t="shared" si="370"/>
        <v>24</v>
      </c>
      <c r="BN472" s="14">
        <f>INDEX(挂机升级突破!$EI$7:$EI$26,BS472)</f>
        <v>5</v>
      </c>
      <c r="BO472" s="14">
        <f>INDEX(挂机升级突破!$EJ$7:$EJ$26,BS472)</f>
        <v>1</v>
      </c>
      <c r="BP472" s="14">
        <f t="shared" si="371"/>
        <v>3</v>
      </c>
      <c r="BQ472" s="14">
        <f>INDEX(挂机升级突破!$EH$7:$EH$26,卡牌消耗!BS472)</f>
        <v>52</v>
      </c>
      <c r="BR472" s="14" t="str">
        <f t="shared" si="372"/>
        <v>朱仙</v>
      </c>
      <c r="BS472" s="14">
        <f t="shared" si="373"/>
        <v>8</v>
      </c>
      <c r="BT472" s="14" t="str">
        <f t="shared" si="374"/>
        <v>朱仙8突</v>
      </c>
      <c r="BU472" s="14" t="str">
        <f>IF(BN472&gt;0,INDEX(挂机升级突破!$ER$5:$EV$5,卡牌消耗!BN472),"")</f>
        <v>金币</v>
      </c>
      <c r="BV472" s="14">
        <f>IF(BN472&gt;0,ROUND(INDEX(挂机升级突破!$EV$7:$EV$26,卡牌消耗!BS472)*INDEX(卡牌消耗!$B$8:$F$8,BP472)/$Q$4/500,0)*500,"")</f>
        <v>8000</v>
      </c>
      <c r="BW472" s="14" t="str">
        <f>IF(BO472&gt;0,INDEX(挂机升级突破!$ER$5:$EV$5,卡牌消耗!BO472),"")</f>
        <v>玄铁</v>
      </c>
      <c r="BX472" s="14">
        <f>IF(BO472&gt;0,ROUND(INDEX(挂机升级突破!$ER$7:$EU$26,卡牌消耗!BS472,卡牌消耗!BO472)*INDEX($B$6:$F$6,BP472)/$Q$4/5,0)*5,"")</f>
        <v>150</v>
      </c>
      <c r="BY472" s="193"/>
      <c r="BZ472" s="193"/>
      <c r="CA472" s="106"/>
    </row>
    <row r="473" spans="8:79" ht="16.5" x14ac:dyDescent="0.2">
      <c r="H473" s="15"/>
      <c r="I473" s="15"/>
      <c r="J473" s="15"/>
      <c r="K473" s="15"/>
      <c r="L473" s="15"/>
      <c r="M473" s="15"/>
      <c r="N473" s="15"/>
      <c r="O473" s="137"/>
      <c r="P473" s="141"/>
      <c r="Q473" s="141"/>
      <c r="R473" s="141"/>
      <c r="S473" s="141"/>
      <c r="T473" s="141"/>
      <c r="U473" s="141"/>
      <c r="V473" s="141"/>
      <c r="W473" s="141"/>
      <c r="X473" s="141"/>
      <c r="Y473" s="141"/>
      <c r="Z473" s="141"/>
      <c r="AA473" s="194"/>
      <c r="AB473" s="194"/>
      <c r="AC473" s="194"/>
      <c r="AD473" s="194"/>
      <c r="AE473" s="194"/>
      <c r="AF473" s="194"/>
      <c r="AG473" s="197"/>
      <c r="AH473" s="194"/>
      <c r="AI473" s="194"/>
      <c r="AJ473" s="194"/>
      <c r="AK473" s="104">
        <v>469</v>
      </c>
      <c r="AL473" s="14">
        <f t="shared" si="365"/>
        <v>10</v>
      </c>
      <c r="AM473" s="14">
        <f>INDEX(挂机升级突破!DQ$6:DQ$57,卡牌消耗!$AT473)</f>
        <v>11</v>
      </c>
      <c r="AN473" s="14">
        <f>INDEX(挂机升级突破!DR$6:DR$57,卡牌消耗!$AT473)</f>
        <v>1</v>
      </c>
      <c r="AO473" s="14">
        <f>INDEX(挂机升级突破!DS$6:DS$57,卡牌消耗!$AT473)</f>
        <v>0</v>
      </c>
      <c r="AP473" s="14">
        <f>INDEX(挂机升级突破!$DP$6:$DP$57,卡牌消耗!AT473)</f>
        <v>3</v>
      </c>
      <c r="AQ473" s="14" t="str">
        <f t="shared" si="366"/>
        <v>张郃</v>
      </c>
      <c r="AR473" s="14">
        <f t="shared" si="367"/>
        <v>4</v>
      </c>
      <c r="AS473" s="14" t="str">
        <f t="shared" si="368"/>
        <v>张郃魂火-1</v>
      </c>
      <c r="AT473" s="14">
        <f t="shared" si="369"/>
        <v>1</v>
      </c>
      <c r="AU473" s="14" t="str">
        <f>IF(AM473&gt;0,INDEX(挂机升级突破!$DT$4:$ED$4,AM473),"")</f>
        <v>金币</v>
      </c>
      <c r="AV473" s="14">
        <f>ROUND(INDEX(挂机升级突破!$DJ$6:$DJ$57,卡牌消耗!AT473)*INDEX(卡牌消耗!$B$8:$F$8,AR473)/$Q$4/50,0)*50</f>
        <v>1300</v>
      </c>
      <c r="AW473" s="14" t="str">
        <f>IF(AN473&gt;0,INDEX(挂机升级突破!$DT$4:$ED$4,AN473),"")</f>
        <v>绿色基础材料</v>
      </c>
      <c r="AX473" s="14">
        <f>ROUND(INDEX(挂机升级突破!$DT$6:$ED$57,卡牌消耗!AT473,AN473)*INDEX(卡牌消耗!$B$5:$F$5,AR473)/$Q$4/5,0)*5</f>
        <v>30</v>
      </c>
      <c r="AY473" s="14" t="str">
        <f>IF(AO473&gt;0,INDEX(挂机升级突破!$DT$4:$ED$4,AO473),"")</f>
        <v/>
      </c>
      <c r="AZ473" s="14" t="str">
        <f>IF(AO473&gt;0,ROUND(INDEX(挂机升级突破!$DT$6:$ED$57,卡牌消耗!AT473,AO473)*INDEX(卡牌消耗!$B$7:$F$7,AR473)/$Q$4,0),"")</f>
        <v/>
      </c>
      <c r="BA473" s="106"/>
      <c r="BB473" s="197"/>
      <c r="BC473" s="197"/>
      <c r="BD473" s="197"/>
      <c r="BE473" s="197"/>
      <c r="BF473" s="197"/>
      <c r="BG473" s="197"/>
      <c r="BH473" s="197"/>
      <c r="BI473" s="197"/>
      <c r="BJ473" s="197"/>
      <c r="BK473" s="197"/>
      <c r="BL473" s="104">
        <v>469</v>
      </c>
      <c r="BM473" s="14">
        <f t="shared" si="370"/>
        <v>24</v>
      </c>
      <c r="BN473" s="14">
        <f>INDEX(挂机升级突破!$EI$7:$EI$26,BS473)</f>
        <v>5</v>
      </c>
      <c r="BO473" s="14">
        <f>INDEX(挂机升级突破!$EJ$7:$EJ$26,BS473)</f>
        <v>2</v>
      </c>
      <c r="BP473" s="14">
        <f t="shared" si="371"/>
        <v>3</v>
      </c>
      <c r="BQ473" s="14">
        <f>INDEX(挂机升级突破!$EH$7:$EH$26,卡牌消耗!BS473)</f>
        <v>57</v>
      </c>
      <c r="BR473" s="14" t="str">
        <f t="shared" si="372"/>
        <v>朱仙</v>
      </c>
      <c r="BS473" s="14">
        <f t="shared" si="373"/>
        <v>9</v>
      </c>
      <c r="BT473" s="14" t="str">
        <f t="shared" si="374"/>
        <v>朱仙9突</v>
      </c>
      <c r="BU473" s="14" t="str">
        <f>IF(BN473&gt;0,INDEX(挂机升级突破!$ER$5:$EV$5,卡牌消耗!BN473),"")</f>
        <v>金币</v>
      </c>
      <c r="BV473" s="14">
        <f>IF(BN473&gt;0,ROUND(INDEX(挂机升级突破!$EV$7:$EV$26,卡牌消耗!BS473)*INDEX(卡牌消耗!$B$8:$F$8,BP473)/$Q$4/500,0)*500,"")</f>
        <v>11000</v>
      </c>
      <c r="BW473" s="14" t="str">
        <f>IF(BO473&gt;0,INDEX(挂机升级突破!$ER$5:$EV$5,卡牌消耗!BO473),"")</f>
        <v>乌金</v>
      </c>
      <c r="BX473" s="14">
        <f>IF(BO473&gt;0,ROUND(INDEX(挂机升级突破!$ER$7:$EU$26,卡牌消耗!BS473,卡牌消耗!BO473)*INDEX($B$6:$F$6,BP473)/$Q$4/5,0)*5,"")</f>
        <v>50</v>
      </c>
      <c r="BY473" s="193"/>
      <c r="BZ473" s="193"/>
      <c r="CA473" s="106"/>
    </row>
    <row r="474" spans="8:79" ht="16.5" x14ac:dyDescent="0.2">
      <c r="H474" s="15"/>
      <c r="I474" s="15"/>
      <c r="J474" s="15"/>
      <c r="K474" s="15"/>
      <c r="L474" s="15"/>
      <c r="M474" s="15"/>
      <c r="N474" s="15"/>
      <c r="O474" s="137"/>
      <c r="P474" s="141"/>
      <c r="Q474" s="141"/>
      <c r="R474" s="141"/>
      <c r="S474" s="141"/>
      <c r="T474" s="141"/>
      <c r="U474" s="141"/>
      <c r="V474" s="141"/>
      <c r="W474" s="141"/>
      <c r="X474" s="141"/>
      <c r="Y474" s="141"/>
      <c r="Z474" s="141"/>
      <c r="AA474" s="194"/>
      <c r="AB474" s="194"/>
      <c r="AC474" s="194"/>
      <c r="AD474" s="194"/>
      <c r="AE474" s="194"/>
      <c r="AF474" s="194"/>
      <c r="AG474" s="197"/>
      <c r="AH474" s="194"/>
      <c r="AI474" s="194"/>
      <c r="AJ474" s="194"/>
      <c r="AK474" s="104">
        <v>470</v>
      </c>
      <c r="AL474" s="14">
        <f t="shared" si="365"/>
        <v>10</v>
      </c>
      <c r="AM474" s="14">
        <f>INDEX(挂机升级突破!DQ$6:DQ$57,卡牌消耗!$AT474)</f>
        <v>11</v>
      </c>
      <c r="AN474" s="14">
        <f>INDEX(挂机升级突破!DR$6:DR$57,卡牌消耗!$AT474)</f>
        <v>1</v>
      </c>
      <c r="AO474" s="14">
        <f>INDEX(挂机升级突破!DS$6:DS$57,卡牌消耗!$AT474)</f>
        <v>0</v>
      </c>
      <c r="AP474" s="14">
        <f>INDEX(挂机升级突破!$DP$6:$DP$57,卡牌消耗!AT474)</f>
        <v>8</v>
      </c>
      <c r="AQ474" s="14" t="str">
        <f t="shared" si="366"/>
        <v>张郃</v>
      </c>
      <c r="AR474" s="14">
        <f t="shared" si="367"/>
        <v>4</v>
      </c>
      <c r="AS474" s="14" t="str">
        <f t="shared" si="368"/>
        <v>张郃魂火-2</v>
      </c>
      <c r="AT474" s="14">
        <f t="shared" si="369"/>
        <v>2</v>
      </c>
      <c r="AU474" s="14" t="str">
        <f>IF(AM474&gt;0,INDEX(挂机升级突破!$DT$4:$ED$4,AM474),"")</f>
        <v>金币</v>
      </c>
      <c r="AV474" s="14">
        <f>ROUND(INDEX(挂机升级突破!$DJ$6:$DJ$57,卡牌消耗!AT474)*INDEX(卡牌消耗!$B$8:$F$8,AR474)/$Q$4/50,0)*50</f>
        <v>1550</v>
      </c>
      <c r="AW474" s="14" t="str">
        <f>IF(AN474&gt;0,INDEX(挂机升级突破!$DT$4:$ED$4,AN474),"")</f>
        <v>绿色基础材料</v>
      </c>
      <c r="AX474" s="14">
        <f>ROUND(INDEX(挂机升级突破!$DT$6:$ED$57,卡牌消耗!AT474,AN474)*INDEX(卡牌消耗!$B$5:$F$5,AR474)/$Q$4/5,0)*5</f>
        <v>105</v>
      </c>
      <c r="AY474" s="14" t="str">
        <f>IF(AO474&gt;0,INDEX(挂机升级突破!$DT$4:$ED$4,AO474),"")</f>
        <v/>
      </c>
      <c r="AZ474" s="14" t="str">
        <f>IF(AO474&gt;0,ROUND(INDEX(挂机升级突破!$DT$6:$ED$57,卡牌消耗!AT474,AO474)*INDEX(卡牌消耗!$B$7:$F$7,AR474)/$Q$4,0),"")</f>
        <v/>
      </c>
      <c r="BA474" s="106"/>
      <c r="BB474" s="197"/>
      <c r="BC474" s="197"/>
      <c r="BD474" s="197"/>
      <c r="BE474" s="197"/>
      <c r="BF474" s="197"/>
      <c r="BG474" s="197"/>
      <c r="BH474" s="197"/>
      <c r="BI474" s="197"/>
      <c r="BJ474" s="197"/>
      <c r="BK474" s="197"/>
      <c r="BL474" s="104">
        <v>470</v>
      </c>
      <c r="BM474" s="14">
        <f t="shared" si="370"/>
        <v>24</v>
      </c>
      <c r="BN474" s="14">
        <f>INDEX(挂机升级突破!$EI$7:$EI$26,BS474)</f>
        <v>5</v>
      </c>
      <c r="BO474" s="14">
        <f>INDEX(挂机升级突破!$EJ$7:$EJ$26,BS474)</f>
        <v>2</v>
      </c>
      <c r="BP474" s="14">
        <f t="shared" si="371"/>
        <v>3</v>
      </c>
      <c r="BQ474" s="14">
        <f>INDEX(挂机升级突破!$EH$7:$EH$26,卡牌消耗!BS474)</f>
        <v>65</v>
      </c>
      <c r="BR474" s="14" t="str">
        <f t="shared" si="372"/>
        <v>朱仙</v>
      </c>
      <c r="BS474" s="14">
        <f t="shared" si="373"/>
        <v>10</v>
      </c>
      <c r="BT474" s="14" t="str">
        <f t="shared" si="374"/>
        <v>朱仙10突</v>
      </c>
      <c r="BU474" s="14" t="str">
        <f>IF(BN474&gt;0,INDEX(挂机升级突破!$ER$5:$EV$5,卡牌消耗!BN474),"")</f>
        <v>金币</v>
      </c>
      <c r="BV474" s="14">
        <f>IF(BN474&gt;0,ROUND(INDEX(挂机升级突破!$EV$7:$EV$26,卡牌消耗!BS474)*INDEX(卡牌消耗!$B$8:$F$8,BP474)/$Q$4/500,0)*500,"")</f>
        <v>19000</v>
      </c>
      <c r="BW474" s="14" t="str">
        <f>IF(BO474&gt;0,INDEX(挂机升级突破!$ER$5:$EV$5,卡牌消耗!BO474),"")</f>
        <v>乌金</v>
      </c>
      <c r="BX474" s="14">
        <f>IF(BO474&gt;0,ROUND(INDEX(挂机升级突破!$ER$7:$EU$26,卡牌消耗!BS474,卡牌消耗!BO474)*INDEX($B$6:$F$6,BP474)/$Q$4/5,0)*5,"")</f>
        <v>70</v>
      </c>
      <c r="BY474" s="193"/>
      <c r="BZ474" s="193"/>
      <c r="CA474" s="106"/>
    </row>
    <row r="475" spans="8:79" ht="16.5" x14ac:dyDescent="0.2">
      <c r="H475" s="15"/>
      <c r="I475" s="15"/>
      <c r="J475" s="15"/>
      <c r="K475" s="15"/>
      <c r="L475" s="15"/>
      <c r="M475" s="15"/>
      <c r="N475" s="15"/>
      <c r="O475" s="137"/>
      <c r="P475" s="141"/>
      <c r="Q475" s="141"/>
      <c r="R475" s="141"/>
      <c r="S475" s="141"/>
      <c r="T475" s="141"/>
      <c r="U475" s="141"/>
      <c r="V475" s="141"/>
      <c r="W475" s="141"/>
      <c r="X475" s="141"/>
      <c r="Y475" s="141"/>
      <c r="Z475" s="141"/>
      <c r="AA475" s="194"/>
      <c r="AB475" s="194"/>
      <c r="AC475" s="194"/>
      <c r="AD475" s="194"/>
      <c r="AE475" s="194"/>
      <c r="AF475" s="194"/>
      <c r="AG475" s="197"/>
      <c r="AH475" s="194"/>
      <c r="AI475" s="194"/>
      <c r="AJ475" s="194"/>
      <c r="AK475" s="104">
        <v>471</v>
      </c>
      <c r="AL475" s="14">
        <f t="shared" si="365"/>
        <v>10</v>
      </c>
      <c r="AM475" s="14">
        <f>INDEX(挂机升级突破!DQ$6:DQ$57,卡牌消耗!$AT475)</f>
        <v>11</v>
      </c>
      <c r="AN475" s="14">
        <f>INDEX(挂机升级突破!DR$6:DR$57,卡牌消耗!$AT475)</f>
        <v>1</v>
      </c>
      <c r="AO475" s="14">
        <f>INDEX(挂机升级突破!DS$6:DS$57,卡牌消耗!$AT475)</f>
        <v>0</v>
      </c>
      <c r="AP475" s="14">
        <f>INDEX(挂机升级突破!$DP$6:$DP$57,卡牌消耗!AT475)</f>
        <v>13</v>
      </c>
      <c r="AQ475" s="14" t="str">
        <f t="shared" si="366"/>
        <v>张郃</v>
      </c>
      <c r="AR475" s="14">
        <f t="shared" si="367"/>
        <v>4</v>
      </c>
      <c r="AS475" s="14" t="str">
        <f t="shared" si="368"/>
        <v>张郃魂火-3</v>
      </c>
      <c r="AT475" s="14">
        <f t="shared" si="369"/>
        <v>3</v>
      </c>
      <c r="AU475" s="14" t="str">
        <f>IF(AM475&gt;0,INDEX(挂机升级突破!$DT$4:$ED$4,AM475),"")</f>
        <v>金币</v>
      </c>
      <c r="AV475" s="14">
        <f>ROUND(INDEX(挂机升级突破!$DJ$6:$DJ$57,卡牌消耗!AT475)*INDEX(卡牌消耗!$B$8:$F$8,AR475)/$Q$4/50,0)*50</f>
        <v>1550</v>
      </c>
      <c r="AW475" s="14" t="str">
        <f>IF(AN475&gt;0,INDEX(挂机升级突破!$DT$4:$ED$4,AN475),"")</f>
        <v>绿色基础材料</v>
      </c>
      <c r="AX475" s="14">
        <f>ROUND(INDEX(挂机升级突破!$DT$6:$ED$57,卡牌消耗!AT475,AN475)*INDEX(卡牌消耗!$B$5:$F$5,AR475)/$Q$4/5,0)*5</f>
        <v>125</v>
      </c>
      <c r="AY475" s="14" t="str">
        <f>IF(AO475&gt;0,INDEX(挂机升级突破!$DT$4:$ED$4,AO475),"")</f>
        <v/>
      </c>
      <c r="AZ475" s="14" t="str">
        <f>IF(AO475&gt;0,ROUND(INDEX(挂机升级突破!$DT$6:$ED$57,卡牌消耗!AT475,AO475)*INDEX(卡牌消耗!$B$7:$F$7,AR475)/$Q$4,0),"")</f>
        <v/>
      </c>
      <c r="BA475" s="106"/>
      <c r="BB475" s="197"/>
      <c r="BC475" s="197"/>
      <c r="BD475" s="197"/>
      <c r="BE475" s="197"/>
      <c r="BF475" s="197"/>
      <c r="BG475" s="197"/>
      <c r="BH475" s="197"/>
      <c r="BI475" s="197"/>
      <c r="BJ475" s="197"/>
      <c r="BK475" s="197"/>
      <c r="BL475" s="104">
        <v>471</v>
      </c>
      <c r="BM475" s="14">
        <f t="shared" si="370"/>
        <v>24</v>
      </c>
      <c r="BN475" s="14">
        <f>INDEX(挂机升级突破!$EI$7:$EI$26,BS475)</f>
        <v>5</v>
      </c>
      <c r="BO475" s="14">
        <f>INDEX(挂机升级突破!$EJ$7:$EJ$26,BS475)</f>
        <v>2</v>
      </c>
      <c r="BP475" s="14">
        <f t="shared" si="371"/>
        <v>3</v>
      </c>
      <c r="BQ475" s="14">
        <f>INDEX(挂机升级突破!$EH$7:$EH$26,卡牌消耗!BS475)</f>
        <v>72</v>
      </c>
      <c r="BR475" s="14" t="str">
        <f t="shared" si="372"/>
        <v>朱仙</v>
      </c>
      <c r="BS475" s="14">
        <f t="shared" si="373"/>
        <v>11</v>
      </c>
      <c r="BT475" s="14" t="str">
        <f t="shared" si="374"/>
        <v>朱仙11突</v>
      </c>
      <c r="BU475" s="14" t="str">
        <f>IF(BN475&gt;0,INDEX(挂机升级突破!$ER$5:$EV$5,卡牌消耗!BN475),"")</f>
        <v>金币</v>
      </c>
      <c r="BV475" s="14">
        <f>IF(BN475&gt;0,ROUND(INDEX(挂机升级突破!$EV$7:$EV$26,卡牌消耗!BS475)*INDEX(卡牌消耗!$B$8:$F$8,BP475)/$Q$4/500,0)*500,"")</f>
        <v>19000</v>
      </c>
      <c r="BW475" s="14" t="str">
        <f>IF(BO475&gt;0,INDEX(挂机升级突破!$ER$5:$EV$5,卡牌消耗!BO475),"")</f>
        <v>乌金</v>
      </c>
      <c r="BX475" s="14">
        <f>IF(BO475&gt;0,ROUND(INDEX(挂机升级突破!$ER$7:$EU$26,卡牌消耗!BS475,卡牌消耗!BO475)*INDEX($B$6:$F$6,BP475)/$Q$4/5,0)*5,"")</f>
        <v>90</v>
      </c>
      <c r="BY475" s="193"/>
      <c r="BZ475" s="193"/>
      <c r="CA475" s="106"/>
    </row>
    <row r="476" spans="8:79" ht="16.5" x14ac:dyDescent="0.2">
      <c r="H476" s="15"/>
      <c r="I476" s="15"/>
      <c r="J476" s="15"/>
      <c r="K476" s="15"/>
      <c r="L476" s="15"/>
      <c r="M476" s="15"/>
      <c r="N476" s="15"/>
      <c r="O476" s="137"/>
      <c r="P476" s="141"/>
      <c r="Q476" s="141"/>
      <c r="R476" s="141"/>
      <c r="S476" s="141"/>
      <c r="T476" s="141"/>
      <c r="U476" s="141"/>
      <c r="V476" s="141"/>
      <c r="W476" s="141"/>
      <c r="X476" s="141"/>
      <c r="Y476" s="141"/>
      <c r="Z476" s="141"/>
      <c r="AA476" s="194"/>
      <c r="AB476" s="194"/>
      <c r="AC476" s="194"/>
      <c r="AD476" s="194"/>
      <c r="AE476" s="194"/>
      <c r="AF476" s="194"/>
      <c r="AG476" s="197"/>
      <c r="AH476" s="194"/>
      <c r="AI476" s="194"/>
      <c r="AJ476" s="194"/>
      <c r="AK476" s="104">
        <v>472</v>
      </c>
      <c r="AL476" s="14">
        <f t="shared" si="365"/>
        <v>10</v>
      </c>
      <c r="AM476" s="14">
        <f>INDEX(挂机升级突破!DQ$6:DQ$57,卡牌消耗!$AT476)</f>
        <v>11</v>
      </c>
      <c r="AN476" s="14">
        <f>INDEX(挂机升级突破!DR$6:DR$57,卡牌消耗!$AT476)</f>
        <v>1</v>
      </c>
      <c r="AO476" s="14">
        <f>INDEX(挂机升级突破!DS$6:DS$57,卡牌消耗!$AT476)</f>
        <v>0</v>
      </c>
      <c r="AP476" s="14">
        <f>INDEX(挂机升级突破!$DP$6:$DP$57,卡牌消耗!AT476)</f>
        <v>18</v>
      </c>
      <c r="AQ476" s="14" t="str">
        <f t="shared" si="366"/>
        <v>张郃</v>
      </c>
      <c r="AR476" s="14">
        <f t="shared" si="367"/>
        <v>4</v>
      </c>
      <c r="AS476" s="14" t="str">
        <f t="shared" si="368"/>
        <v>张郃魂火-4</v>
      </c>
      <c r="AT476" s="14">
        <f t="shared" si="369"/>
        <v>4</v>
      </c>
      <c r="AU476" s="14" t="str">
        <f>IF(AM476&gt;0,INDEX(挂机升级突破!$DT$4:$ED$4,AM476),"")</f>
        <v>金币</v>
      </c>
      <c r="AV476" s="14">
        <f>ROUND(INDEX(挂机升级突破!$DJ$6:$DJ$57,卡牌消耗!AT476)*INDEX(卡牌消耗!$B$8:$F$8,AR476)/$Q$4/50,0)*50</f>
        <v>1550</v>
      </c>
      <c r="AW476" s="14" t="str">
        <f>IF(AN476&gt;0,INDEX(挂机升级突破!$DT$4:$ED$4,AN476),"")</f>
        <v>绿色基础材料</v>
      </c>
      <c r="AX476" s="14">
        <f>ROUND(INDEX(挂机升级突破!$DT$6:$ED$57,卡牌消耗!AT476,AN476)*INDEX(卡牌消耗!$B$5:$F$5,AR476)/$Q$4/5,0)*5</f>
        <v>170</v>
      </c>
      <c r="AY476" s="14" t="str">
        <f>IF(AO476&gt;0,INDEX(挂机升级突破!$DT$4:$ED$4,AO476),"")</f>
        <v/>
      </c>
      <c r="AZ476" s="14" t="str">
        <f>IF(AO476&gt;0,ROUND(INDEX(挂机升级突破!$DT$6:$ED$57,卡牌消耗!AT476,AO476)*INDEX(卡牌消耗!$B$7:$F$7,AR476)/$Q$4,0),"")</f>
        <v/>
      </c>
      <c r="BA476" s="106"/>
      <c r="BB476" s="197"/>
      <c r="BC476" s="197"/>
      <c r="BD476" s="197"/>
      <c r="BE476" s="197"/>
      <c r="BF476" s="197"/>
      <c r="BG476" s="197"/>
      <c r="BH476" s="197"/>
      <c r="BI476" s="197"/>
      <c r="BJ476" s="197"/>
      <c r="BK476" s="197"/>
      <c r="BL476" s="104">
        <v>472</v>
      </c>
      <c r="BM476" s="14">
        <f t="shared" si="370"/>
        <v>24</v>
      </c>
      <c r="BN476" s="14">
        <f>INDEX(挂机升级突破!$EI$7:$EI$26,BS476)</f>
        <v>5</v>
      </c>
      <c r="BO476" s="14">
        <f>INDEX(挂机升级突破!$EJ$7:$EJ$26,BS476)</f>
        <v>2</v>
      </c>
      <c r="BP476" s="14">
        <f t="shared" si="371"/>
        <v>3</v>
      </c>
      <c r="BQ476" s="14">
        <f>INDEX(挂机升级突破!$EH$7:$EH$26,卡牌消耗!BS476)</f>
        <v>80</v>
      </c>
      <c r="BR476" s="14" t="str">
        <f t="shared" si="372"/>
        <v>朱仙</v>
      </c>
      <c r="BS476" s="14">
        <f t="shared" si="373"/>
        <v>12</v>
      </c>
      <c r="BT476" s="14" t="str">
        <f t="shared" si="374"/>
        <v>朱仙12突</v>
      </c>
      <c r="BU476" s="14" t="str">
        <f>IF(BN476&gt;0,INDEX(挂机升级突破!$ER$5:$EV$5,卡牌消耗!BN476),"")</f>
        <v>金币</v>
      </c>
      <c r="BV476" s="14">
        <f>IF(BN476&gt;0,ROUND(INDEX(挂机升级突破!$EV$7:$EV$26,卡牌消耗!BS476)*INDEX(卡牌消耗!$B$8:$F$8,BP476)/$Q$4/500,0)*500,"")</f>
        <v>25000</v>
      </c>
      <c r="BW476" s="14" t="str">
        <f>IF(BO476&gt;0,INDEX(挂机升级突破!$ER$5:$EV$5,卡牌消耗!BO476),"")</f>
        <v>乌金</v>
      </c>
      <c r="BX476" s="14">
        <f>IF(BO476&gt;0,ROUND(INDEX(挂机升级突破!$ER$7:$EU$26,卡牌消耗!BS476,卡牌消耗!BO476)*INDEX($B$6:$F$6,BP476)/$Q$4/5,0)*5,"")</f>
        <v>120</v>
      </c>
      <c r="BY476" s="193"/>
      <c r="BZ476" s="193"/>
      <c r="CA476" s="106"/>
    </row>
    <row r="477" spans="8:79" ht="16.5" x14ac:dyDescent="0.2">
      <c r="H477" s="15"/>
      <c r="I477" s="15"/>
      <c r="J477" s="15"/>
      <c r="K477" s="15"/>
      <c r="L477" s="15"/>
      <c r="M477" s="15"/>
      <c r="N477" s="15"/>
      <c r="O477" s="137"/>
      <c r="P477" s="141"/>
      <c r="Q477" s="141"/>
      <c r="R477" s="141"/>
      <c r="S477" s="141"/>
      <c r="T477" s="141"/>
      <c r="U477" s="141"/>
      <c r="V477" s="141"/>
      <c r="W477" s="141"/>
      <c r="X477" s="141"/>
      <c r="Y477" s="141"/>
      <c r="Z477" s="141"/>
      <c r="AA477" s="194"/>
      <c r="AB477" s="194"/>
      <c r="AC477" s="194"/>
      <c r="AD477" s="194"/>
      <c r="AE477" s="194"/>
      <c r="AF477" s="194"/>
      <c r="AG477" s="197"/>
      <c r="AH477" s="194"/>
      <c r="AI477" s="194"/>
      <c r="AJ477" s="194"/>
      <c r="AK477" s="104">
        <v>473</v>
      </c>
      <c r="AL477" s="14">
        <f t="shared" si="365"/>
        <v>10</v>
      </c>
      <c r="AM477" s="14">
        <f>INDEX(挂机升级突破!DQ$6:DQ$57,卡牌消耗!$AT477)</f>
        <v>11</v>
      </c>
      <c r="AN477" s="14">
        <f>INDEX(挂机升级突破!DR$6:DR$57,卡牌消耗!$AT477)</f>
        <v>1</v>
      </c>
      <c r="AO477" s="14">
        <f>INDEX(挂机升级突破!DS$6:DS$57,卡牌消耗!$AT477)</f>
        <v>0</v>
      </c>
      <c r="AP477" s="14">
        <f>INDEX(挂机升级突破!$DP$6:$DP$57,卡牌消耗!AT477)</f>
        <v>23</v>
      </c>
      <c r="AQ477" s="14" t="str">
        <f t="shared" si="366"/>
        <v>张郃</v>
      </c>
      <c r="AR477" s="14">
        <f t="shared" si="367"/>
        <v>4</v>
      </c>
      <c r="AS477" s="14" t="str">
        <f t="shared" si="368"/>
        <v>张郃魂火-5</v>
      </c>
      <c r="AT477" s="14">
        <f t="shared" si="369"/>
        <v>5</v>
      </c>
      <c r="AU477" s="14" t="str">
        <f>IF(AM477&gt;0,INDEX(挂机升级突破!$DT$4:$ED$4,AM477),"")</f>
        <v>金币</v>
      </c>
      <c r="AV477" s="14">
        <f>ROUND(INDEX(挂机升级突破!$DJ$6:$DJ$57,卡牌消耗!AT477)*INDEX(卡牌消耗!$B$8:$F$8,AR477)/$Q$4/50,0)*50</f>
        <v>1550</v>
      </c>
      <c r="AW477" s="14" t="str">
        <f>IF(AN477&gt;0,INDEX(挂机升级突破!$DT$4:$ED$4,AN477),"")</f>
        <v>绿色基础材料</v>
      </c>
      <c r="AX477" s="14">
        <f>ROUND(INDEX(挂机升级突破!$DT$6:$ED$57,卡牌消耗!AT477,AN477)*INDEX(卡牌消耗!$B$5:$F$5,AR477)/$Q$4/5,0)*5</f>
        <v>185</v>
      </c>
      <c r="AY477" s="14" t="str">
        <f>IF(AO477&gt;0,INDEX(挂机升级突破!$DT$4:$ED$4,AO477),"")</f>
        <v/>
      </c>
      <c r="AZ477" s="14" t="str">
        <f>IF(AO477&gt;0,ROUND(INDEX(挂机升级突破!$DT$6:$ED$57,卡牌消耗!AT477,AO477)*INDEX(卡牌消耗!$B$7:$F$7,AR477)/$Q$4,0),"")</f>
        <v/>
      </c>
      <c r="BA477" s="106"/>
      <c r="BB477" s="197"/>
      <c r="BC477" s="197"/>
      <c r="BD477" s="197"/>
      <c r="BE477" s="197"/>
      <c r="BF477" s="197"/>
      <c r="BG477" s="197"/>
      <c r="BH477" s="197"/>
      <c r="BI477" s="197"/>
      <c r="BJ477" s="197"/>
      <c r="BK477" s="197"/>
      <c r="BL477" s="104">
        <v>473</v>
      </c>
      <c r="BM477" s="14">
        <f t="shared" si="370"/>
        <v>24</v>
      </c>
      <c r="BN477" s="14">
        <f>INDEX(挂机升级突破!$EI$7:$EI$26,BS477)</f>
        <v>5</v>
      </c>
      <c r="BO477" s="14">
        <f>INDEX(挂机升级突破!$EJ$7:$EJ$26,BS477)</f>
        <v>3</v>
      </c>
      <c r="BP477" s="14">
        <f t="shared" si="371"/>
        <v>3</v>
      </c>
      <c r="BQ477" s="14">
        <f>INDEX(挂机升级突破!$EH$7:$EH$26,卡牌消耗!BS477)</f>
        <v>87</v>
      </c>
      <c r="BR477" s="14" t="str">
        <f t="shared" si="372"/>
        <v>朱仙</v>
      </c>
      <c r="BS477" s="14">
        <f t="shared" si="373"/>
        <v>13</v>
      </c>
      <c r="BT477" s="14" t="str">
        <f t="shared" si="374"/>
        <v>朱仙13突</v>
      </c>
      <c r="BU477" s="14" t="str">
        <f>IF(BN477&gt;0,INDEX(挂机升级突破!$ER$5:$EV$5,卡牌消耗!BN477),"")</f>
        <v>金币</v>
      </c>
      <c r="BV477" s="14">
        <f>IF(BN477&gt;0,ROUND(INDEX(挂机升级突破!$EV$7:$EV$26,卡牌消耗!BS477)*INDEX(卡牌消耗!$B$8:$F$8,BP477)/$Q$4/500,0)*500,"")</f>
        <v>33500</v>
      </c>
      <c r="BW477" s="14" t="str">
        <f>IF(BO477&gt;0,INDEX(挂机升级突破!$ER$5:$EV$5,卡牌消耗!BO477),"")</f>
        <v>银母</v>
      </c>
      <c r="BX477" s="14">
        <f>IF(BO477&gt;0,ROUND(INDEX(挂机升级突破!$ER$7:$EU$26,卡牌消耗!BS477,卡牌消耗!BO477)*INDEX($B$6:$F$6,BP477)/$Q$4/5,0)*5,"")</f>
        <v>40</v>
      </c>
      <c r="BY477" s="193"/>
      <c r="BZ477" s="193"/>
      <c r="CA477" s="106"/>
    </row>
    <row r="478" spans="8:79" ht="16.5" x14ac:dyDescent="0.2">
      <c r="H478" s="15"/>
      <c r="I478" s="15"/>
      <c r="J478" s="15"/>
      <c r="K478" s="15"/>
      <c r="L478" s="15"/>
      <c r="M478" s="15"/>
      <c r="N478" s="15"/>
      <c r="O478" s="137"/>
      <c r="P478" s="141"/>
      <c r="Q478" s="141"/>
      <c r="R478" s="141"/>
      <c r="S478" s="141"/>
      <c r="T478" s="141"/>
      <c r="U478" s="141"/>
      <c r="V478" s="141"/>
      <c r="W478" s="141"/>
      <c r="X478" s="141"/>
      <c r="Y478" s="141"/>
      <c r="Z478" s="141"/>
      <c r="AA478" s="194"/>
      <c r="AB478" s="194"/>
      <c r="AC478" s="194"/>
      <c r="AD478" s="194"/>
      <c r="AE478" s="194"/>
      <c r="AF478" s="194"/>
      <c r="AG478" s="197"/>
      <c r="AH478" s="194"/>
      <c r="AI478" s="194"/>
      <c r="AJ478" s="194"/>
      <c r="AK478" s="104">
        <v>474</v>
      </c>
      <c r="AL478" s="14">
        <f t="shared" si="365"/>
        <v>10</v>
      </c>
      <c r="AM478" s="14">
        <f>INDEX(挂机升级突破!DQ$6:DQ$57,卡牌消耗!$AT478)</f>
        <v>11</v>
      </c>
      <c r="AN478" s="14">
        <f>INDEX(挂机升级突破!DR$6:DR$57,卡牌消耗!$AT478)</f>
        <v>2</v>
      </c>
      <c r="AO478" s="14">
        <f>INDEX(挂机升级突破!DS$6:DS$57,卡牌消耗!$AT478)</f>
        <v>0</v>
      </c>
      <c r="AP478" s="14">
        <f>INDEX(挂机升级突破!$DP$6:$DP$57,卡牌消耗!AT478)</f>
        <v>28</v>
      </c>
      <c r="AQ478" s="14" t="str">
        <f t="shared" si="366"/>
        <v>张郃</v>
      </c>
      <c r="AR478" s="14">
        <f t="shared" si="367"/>
        <v>4</v>
      </c>
      <c r="AS478" s="14" t="str">
        <f t="shared" si="368"/>
        <v>张郃魂火-6</v>
      </c>
      <c r="AT478" s="14">
        <f t="shared" si="369"/>
        <v>6</v>
      </c>
      <c r="AU478" s="14" t="str">
        <f>IF(AM478&gt;0,INDEX(挂机升级突破!$DT$4:$ED$4,AM478),"")</f>
        <v>金币</v>
      </c>
      <c r="AV478" s="14">
        <f>ROUND(INDEX(挂机升级突破!$DJ$6:$DJ$57,卡牌消耗!AT478)*INDEX(卡牌消耗!$B$8:$F$8,AR478)/$Q$4/50,0)*50</f>
        <v>1900</v>
      </c>
      <c r="AW478" s="14" t="str">
        <f>IF(AN478&gt;0,INDEX(挂机升级突破!$DT$4:$ED$4,AN478),"")</f>
        <v>蓝色基础材料</v>
      </c>
      <c r="AX478" s="14">
        <f>ROUND(INDEX(挂机升级突破!$DT$6:$ED$57,卡牌消耗!AT478,AN478)*INDEX(卡牌消耗!$B$5:$F$5,AR478)/$Q$4/5,0)*5</f>
        <v>35</v>
      </c>
      <c r="AY478" s="14" t="str">
        <f>IF(AO478&gt;0,INDEX(挂机升级突破!$DT$4:$ED$4,AO478),"")</f>
        <v/>
      </c>
      <c r="AZ478" s="14" t="str">
        <f>IF(AO478&gt;0,ROUND(INDEX(挂机升级突破!$DT$6:$ED$57,卡牌消耗!AT478,AO478)*INDEX(卡牌消耗!$B$7:$F$7,AR478)/$Q$4,0),"")</f>
        <v/>
      </c>
      <c r="BA478" s="106"/>
      <c r="BB478" s="197"/>
      <c r="BC478" s="197"/>
      <c r="BD478" s="197"/>
      <c r="BE478" s="197"/>
      <c r="BF478" s="197"/>
      <c r="BG478" s="197"/>
      <c r="BH478" s="197"/>
      <c r="BI478" s="197"/>
      <c r="BJ478" s="197"/>
      <c r="BK478" s="197"/>
      <c r="BL478" s="104">
        <v>474</v>
      </c>
      <c r="BM478" s="14">
        <f t="shared" si="370"/>
        <v>24</v>
      </c>
      <c r="BN478" s="14">
        <f>INDEX(挂机升级突破!$EI$7:$EI$26,BS478)</f>
        <v>5</v>
      </c>
      <c r="BO478" s="14">
        <f>INDEX(挂机升级突破!$EJ$7:$EJ$26,BS478)</f>
        <v>3</v>
      </c>
      <c r="BP478" s="14">
        <f t="shared" si="371"/>
        <v>3</v>
      </c>
      <c r="BQ478" s="14">
        <f>INDEX(挂机升级突破!$EH$7:$EH$26,卡牌消耗!BS478)</f>
        <v>95</v>
      </c>
      <c r="BR478" s="14" t="str">
        <f t="shared" si="372"/>
        <v>朱仙</v>
      </c>
      <c r="BS478" s="14">
        <f t="shared" si="373"/>
        <v>14</v>
      </c>
      <c r="BT478" s="14" t="str">
        <f t="shared" si="374"/>
        <v>朱仙14突</v>
      </c>
      <c r="BU478" s="14" t="str">
        <f>IF(BN478&gt;0,INDEX(挂机升级突破!$ER$5:$EV$5,卡牌消耗!BN478),"")</f>
        <v>金币</v>
      </c>
      <c r="BV478" s="14">
        <f>IF(BN478&gt;0,ROUND(INDEX(挂机升级突破!$EV$7:$EV$26,卡牌消耗!BS478)*INDEX(卡牌消耗!$B$8:$F$8,BP478)/$Q$4/500,0)*500,"")</f>
        <v>33500</v>
      </c>
      <c r="BW478" s="14" t="str">
        <f>IF(BO478&gt;0,INDEX(挂机升级突破!$ER$5:$EV$5,卡牌消耗!BO478),"")</f>
        <v>银母</v>
      </c>
      <c r="BX478" s="14">
        <f>IF(BO478&gt;0,ROUND(INDEX(挂机升级突破!$ER$7:$EU$26,卡牌消耗!BS478,卡牌消耗!BO478)*INDEX($B$6:$F$6,BP478)/$Q$4/5,0)*5,"")</f>
        <v>55</v>
      </c>
      <c r="BY478" s="193"/>
      <c r="BZ478" s="193"/>
      <c r="CA478" s="106"/>
    </row>
    <row r="479" spans="8:79" ht="16.5" x14ac:dyDescent="0.2">
      <c r="H479" s="15"/>
      <c r="I479" s="15"/>
      <c r="J479" s="15"/>
      <c r="K479" s="15"/>
      <c r="L479" s="15"/>
      <c r="M479" s="15"/>
      <c r="N479" s="15"/>
      <c r="O479" s="137"/>
      <c r="P479" s="141"/>
      <c r="Q479" s="141"/>
      <c r="R479" s="141"/>
      <c r="S479" s="141"/>
      <c r="T479" s="141"/>
      <c r="U479" s="141"/>
      <c r="V479" s="141"/>
      <c r="W479" s="141"/>
      <c r="X479" s="141"/>
      <c r="Y479" s="141"/>
      <c r="Z479" s="141"/>
      <c r="AA479" s="194"/>
      <c r="AB479" s="194"/>
      <c r="AC479" s="194"/>
      <c r="AD479" s="194"/>
      <c r="AE479" s="194"/>
      <c r="AF479" s="194"/>
      <c r="AG479" s="197"/>
      <c r="AH479" s="194"/>
      <c r="AI479" s="194"/>
      <c r="AJ479" s="194"/>
      <c r="AK479" s="104">
        <v>475</v>
      </c>
      <c r="AL479" s="14">
        <f t="shared" si="365"/>
        <v>10</v>
      </c>
      <c r="AM479" s="14">
        <f>INDEX(挂机升级突破!DQ$6:DQ$57,卡牌消耗!$AT479)</f>
        <v>11</v>
      </c>
      <c r="AN479" s="14">
        <f>INDEX(挂机升级突破!DR$6:DR$57,卡牌消耗!$AT479)</f>
        <v>2</v>
      </c>
      <c r="AO479" s="14">
        <f>INDEX(挂机升级突破!DS$6:DS$57,卡牌消耗!$AT479)</f>
        <v>0</v>
      </c>
      <c r="AP479" s="14">
        <f>INDEX(挂机升级突破!$DP$6:$DP$57,卡牌消耗!AT479)</f>
        <v>33</v>
      </c>
      <c r="AQ479" s="14" t="str">
        <f t="shared" si="366"/>
        <v>张郃</v>
      </c>
      <c r="AR479" s="14">
        <f t="shared" si="367"/>
        <v>4</v>
      </c>
      <c r="AS479" s="14" t="str">
        <f t="shared" si="368"/>
        <v>张郃魂火-7</v>
      </c>
      <c r="AT479" s="14">
        <f t="shared" si="369"/>
        <v>7</v>
      </c>
      <c r="AU479" s="14" t="str">
        <f>IF(AM479&gt;0,INDEX(挂机升级突破!$DT$4:$ED$4,AM479),"")</f>
        <v>金币</v>
      </c>
      <c r="AV479" s="14">
        <f>ROUND(INDEX(挂机升级突破!$DJ$6:$DJ$57,卡牌消耗!AT479)*INDEX(卡牌消耗!$B$8:$F$8,AR479)/$Q$4/50,0)*50</f>
        <v>1900</v>
      </c>
      <c r="AW479" s="14" t="str">
        <f>IF(AN479&gt;0,INDEX(挂机升级突破!$DT$4:$ED$4,AN479),"")</f>
        <v>蓝色基础材料</v>
      </c>
      <c r="AX479" s="14">
        <f>ROUND(INDEX(挂机升级突破!$DT$6:$ED$57,卡牌消耗!AT479,AN479)*INDEX(卡牌消耗!$B$5:$F$5,AR479)/$Q$4/5,0)*5</f>
        <v>35</v>
      </c>
      <c r="AY479" s="14" t="str">
        <f>IF(AO479&gt;0,INDEX(挂机升级突破!$DT$4:$ED$4,AO479),"")</f>
        <v/>
      </c>
      <c r="AZ479" s="14" t="str">
        <f>IF(AO479&gt;0,ROUND(INDEX(挂机升级突破!$DT$6:$ED$57,卡牌消耗!AT479,AO479)*INDEX(卡牌消耗!$B$7:$F$7,AR479)/$Q$4,0),"")</f>
        <v/>
      </c>
      <c r="BA479" s="106"/>
      <c r="BB479" s="197"/>
      <c r="BC479" s="197"/>
      <c r="BD479" s="197"/>
      <c r="BE479" s="197"/>
      <c r="BF479" s="197"/>
      <c r="BG479" s="197"/>
      <c r="BH479" s="197"/>
      <c r="BI479" s="197"/>
      <c r="BJ479" s="197"/>
      <c r="BK479" s="197"/>
      <c r="BL479" s="104">
        <v>475</v>
      </c>
      <c r="BM479" s="14">
        <f t="shared" si="370"/>
        <v>24</v>
      </c>
      <c r="BN479" s="14">
        <f>INDEX(挂机升级突破!$EI$7:$EI$26,BS479)</f>
        <v>5</v>
      </c>
      <c r="BO479" s="14">
        <f>INDEX(挂机升级突破!$EJ$7:$EJ$26,BS479)</f>
        <v>3</v>
      </c>
      <c r="BP479" s="14">
        <f t="shared" si="371"/>
        <v>3</v>
      </c>
      <c r="BQ479" s="14">
        <f>INDEX(挂机升级突破!$EH$7:$EH$26,卡牌消耗!BS479)</f>
        <v>102</v>
      </c>
      <c r="BR479" s="14" t="str">
        <f t="shared" si="372"/>
        <v>朱仙</v>
      </c>
      <c r="BS479" s="14">
        <f t="shared" si="373"/>
        <v>15</v>
      </c>
      <c r="BT479" s="14" t="str">
        <f t="shared" si="374"/>
        <v>朱仙15突</v>
      </c>
      <c r="BU479" s="14" t="str">
        <f>IF(BN479&gt;0,INDEX(挂机升级突破!$ER$5:$EV$5,卡牌消耗!BN479),"")</f>
        <v>金币</v>
      </c>
      <c r="BV479" s="14">
        <f>IF(BN479&gt;0,ROUND(INDEX(挂机升级突破!$EV$7:$EV$26,卡牌消耗!BS479)*INDEX(卡牌消耗!$B$8:$F$8,BP479)/$Q$4/500,0)*500,"")</f>
        <v>44500</v>
      </c>
      <c r="BW479" s="14" t="str">
        <f>IF(BO479&gt;0,INDEX(挂机升级突破!$ER$5:$EV$5,卡牌消耗!BO479),"")</f>
        <v>银母</v>
      </c>
      <c r="BX479" s="14">
        <f>IF(BO479&gt;0,ROUND(INDEX(挂机升级突破!$ER$7:$EU$26,卡牌消耗!BS479,卡牌消耗!BO479)*INDEX($B$6:$F$6,BP479)/$Q$4/5,0)*5,"")</f>
        <v>70</v>
      </c>
      <c r="BY479" s="193"/>
      <c r="BZ479" s="193"/>
      <c r="CA479" s="106"/>
    </row>
    <row r="480" spans="8:79" ht="16.5" x14ac:dyDescent="0.2">
      <c r="H480" s="15"/>
      <c r="I480" s="15"/>
      <c r="J480" s="15"/>
      <c r="K480" s="15"/>
      <c r="L480" s="15"/>
      <c r="M480" s="15"/>
      <c r="N480" s="15"/>
      <c r="O480" s="137"/>
      <c r="P480" s="141"/>
      <c r="Q480" s="141"/>
      <c r="R480" s="141"/>
      <c r="S480" s="141"/>
      <c r="T480" s="141"/>
      <c r="U480" s="141"/>
      <c r="V480" s="141"/>
      <c r="W480" s="141"/>
      <c r="X480" s="141"/>
      <c r="Y480" s="141"/>
      <c r="Z480" s="141"/>
      <c r="AA480" s="194"/>
      <c r="AB480" s="194"/>
      <c r="AC480" s="194"/>
      <c r="AD480" s="194"/>
      <c r="AE480" s="194"/>
      <c r="AF480" s="194"/>
      <c r="AG480" s="197"/>
      <c r="AH480" s="194"/>
      <c r="AI480" s="194"/>
      <c r="AJ480" s="194"/>
      <c r="AK480" s="104">
        <v>476</v>
      </c>
      <c r="AL480" s="14">
        <f t="shared" si="365"/>
        <v>10</v>
      </c>
      <c r="AM480" s="14">
        <f>INDEX(挂机升级突破!DQ$6:DQ$57,卡牌消耗!$AT480)</f>
        <v>11</v>
      </c>
      <c r="AN480" s="14">
        <f>INDEX(挂机升级突破!DR$6:DR$57,卡牌消耗!$AT480)</f>
        <v>2</v>
      </c>
      <c r="AO480" s="14">
        <f>INDEX(挂机升级突破!DS$6:DS$57,卡牌消耗!$AT480)</f>
        <v>0</v>
      </c>
      <c r="AP480" s="14">
        <f>INDEX(挂机升级突破!$DP$6:$DP$57,卡牌消耗!AT480)</f>
        <v>38</v>
      </c>
      <c r="AQ480" s="14" t="str">
        <f t="shared" si="366"/>
        <v>张郃</v>
      </c>
      <c r="AR480" s="14">
        <f t="shared" si="367"/>
        <v>4</v>
      </c>
      <c r="AS480" s="14" t="str">
        <f t="shared" si="368"/>
        <v>张郃魂火-8</v>
      </c>
      <c r="AT480" s="14">
        <f t="shared" si="369"/>
        <v>8</v>
      </c>
      <c r="AU480" s="14" t="str">
        <f>IF(AM480&gt;0,INDEX(挂机升级突破!$DT$4:$ED$4,AM480),"")</f>
        <v>金币</v>
      </c>
      <c r="AV480" s="14">
        <f>ROUND(INDEX(挂机升级突破!$DJ$6:$DJ$57,卡牌消耗!AT480)*INDEX(卡牌消耗!$B$8:$F$8,AR480)/$Q$4/50,0)*50</f>
        <v>2850</v>
      </c>
      <c r="AW480" s="14" t="str">
        <f>IF(AN480&gt;0,INDEX(挂机升级突破!$DT$4:$ED$4,AN480),"")</f>
        <v>蓝色基础材料</v>
      </c>
      <c r="AX480" s="14">
        <f>ROUND(INDEX(挂机升级突破!$DT$6:$ED$57,卡牌消耗!AT480,AN480)*INDEX(卡牌消耗!$B$5:$F$5,AR480)/$Q$4/5,0)*5</f>
        <v>70</v>
      </c>
      <c r="AY480" s="14" t="str">
        <f>IF(AO480&gt;0,INDEX(挂机升级突破!$DT$4:$ED$4,AO480),"")</f>
        <v/>
      </c>
      <c r="AZ480" s="14" t="str">
        <f>IF(AO480&gt;0,ROUND(INDEX(挂机升级突破!$DT$6:$ED$57,卡牌消耗!AT480,AO480)*INDEX(卡牌消耗!$B$7:$F$7,AR480)/$Q$4,0),"")</f>
        <v/>
      </c>
      <c r="BA480" s="106"/>
      <c r="BB480" s="197"/>
      <c r="BC480" s="197"/>
      <c r="BD480" s="197"/>
      <c r="BE480" s="197"/>
      <c r="BF480" s="197"/>
      <c r="BG480" s="197"/>
      <c r="BH480" s="197"/>
      <c r="BI480" s="197"/>
      <c r="BJ480" s="197"/>
      <c r="BK480" s="197"/>
      <c r="BL480" s="104">
        <v>476</v>
      </c>
      <c r="BM480" s="14">
        <f t="shared" si="370"/>
        <v>24</v>
      </c>
      <c r="BN480" s="14">
        <f>INDEX(挂机升级突破!$EI$7:$EI$26,BS480)</f>
        <v>5</v>
      </c>
      <c r="BO480" s="14">
        <f>INDEX(挂机升级突破!$EJ$7:$EJ$26,BS480)</f>
        <v>3</v>
      </c>
      <c r="BP480" s="14">
        <f t="shared" si="371"/>
        <v>3</v>
      </c>
      <c r="BQ480" s="14">
        <f>INDEX(挂机升级突破!$EH$7:$EH$26,卡牌消耗!BS480)</f>
        <v>110</v>
      </c>
      <c r="BR480" s="14" t="str">
        <f t="shared" si="372"/>
        <v>朱仙</v>
      </c>
      <c r="BS480" s="14">
        <f t="shared" si="373"/>
        <v>16</v>
      </c>
      <c r="BT480" s="14" t="str">
        <f t="shared" si="374"/>
        <v>朱仙16突</v>
      </c>
      <c r="BU480" s="14" t="str">
        <f>IF(BN480&gt;0,INDEX(挂机升级突破!$ER$5:$EV$5,卡牌消耗!BN480),"")</f>
        <v>金币</v>
      </c>
      <c r="BV480" s="14">
        <f>IF(BN480&gt;0,ROUND(INDEX(挂机升级突破!$EV$7:$EV$26,卡牌消耗!BS480)*INDEX(卡牌消耗!$B$8:$F$8,BP480)/$Q$4/500,0)*500,"")</f>
        <v>80500</v>
      </c>
      <c r="BW480" s="14" t="str">
        <f>IF(BO480&gt;0,INDEX(挂机升级突破!$ER$5:$EV$5,卡牌消耗!BO480),"")</f>
        <v>银母</v>
      </c>
      <c r="BX480" s="14">
        <f>IF(BO480&gt;0,ROUND(INDEX(挂机升级突破!$ER$7:$EU$26,卡牌消耗!BS480,卡牌消耗!BO480)*INDEX($B$6:$F$6,BP480)/$Q$4/5,0)*5,"")</f>
        <v>90</v>
      </c>
      <c r="BY480" s="193"/>
      <c r="BZ480" s="193"/>
      <c r="CA480" s="106"/>
    </row>
    <row r="481" spans="8:79" ht="16.5" x14ac:dyDescent="0.2">
      <c r="H481" s="15"/>
      <c r="I481" s="15"/>
      <c r="J481" s="15"/>
      <c r="K481" s="15"/>
      <c r="L481" s="15"/>
      <c r="M481" s="15"/>
      <c r="N481" s="15"/>
      <c r="O481" s="137"/>
      <c r="P481" s="141"/>
      <c r="Q481" s="141"/>
      <c r="R481" s="141"/>
      <c r="S481" s="141"/>
      <c r="T481" s="141"/>
      <c r="U481" s="141"/>
      <c r="V481" s="141"/>
      <c r="W481" s="141"/>
      <c r="X481" s="141"/>
      <c r="Y481" s="141"/>
      <c r="Z481" s="141"/>
      <c r="AA481" s="194"/>
      <c r="AB481" s="194"/>
      <c r="AC481" s="194"/>
      <c r="AD481" s="194"/>
      <c r="AE481" s="194"/>
      <c r="AF481" s="194"/>
      <c r="AG481" s="197"/>
      <c r="AH481" s="194"/>
      <c r="AI481" s="194"/>
      <c r="AJ481" s="194"/>
      <c r="AK481" s="104">
        <v>477</v>
      </c>
      <c r="AL481" s="14">
        <f t="shared" si="365"/>
        <v>10</v>
      </c>
      <c r="AM481" s="14">
        <f>INDEX(挂机升级突破!DQ$6:DQ$57,卡牌消耗!$AT481)</f>
        <v>11</v>
      </c>
      <c r="AN481" s="14">
        <f>INDEX(挂机升级突破!DR$6:DR$57,卡牌消耗!$AT481)</f>
        <v>2</v>
      </c>
      <c r="AO481" s="14">
        <f>INDEX(挂机升级突破!DS$6:DS$57,卡牌消耗!$AT481)</f>
        <v>0</v>
      </c>
      <c r="AP481" s="14">
        <f>INDEX(挂机升级突破!$DP$6:$DP$57,卡牌消耗!AT481)</f>
        <v>40</v>
      </c>
      <c r="AQ481" s="14" t="str">
        <f t="shared" si="366"/>
        <v>张郃</v>
      </c>
      <c r="AR481" s="14">
        <f t="shared" si="367"/>
        <v>4</v>
      </c>
      <c r="AS481" s="14" t="str">
        <f t="shared" si="368"/>
        <v>张郃魂火-9</v>
      </c>
      <c r="AT481" s="14">
        <f t="shared" si="369"/>
        <v>9</v>
      </c>
      <c r="AU481" s="14" t="str">
        <f>IF(AM481&gt;0,INDEX(挂机升级突破!$DT$4:$ED$4,AM481),"")</f>
        <v>金币</v>
      </c>
      <c r="AV481" s="14">
        <f>ROUND(INDEX(挂机升级突破!$DJ$6:$DJ$57,卡牌消耗!AT481)*INDEX(卡牌消耗!$B$8:$F$8,AR481)/$Q$4/50,0)*50</f>
        <v>2850</v>
      </c>
      <c r="AW481" s="14" t="str">
        <f>IF(AN481&gt;0,INDEX(挂机升级突破!$DT$4:$ED$4,AN481),"")</f>
        <v>蓝色基础材料</v>
      </c>
      <c r="AX481" s="14">
        <f>ROUND(INDEX(挂机升级突破!$DT$6:$ED$57,卡牌消耗!AT481,AN481)*INDEX(卡牌消耗!$B$5:$F$5,AR481)/$Q$4/5,0)*5</f>
        <v>70</v>
      </c>
      <c r="AY481" s="14" t="str">
        <f>IF(AO481&gt;0,INDEX(挂机升级突破!$DT$4:$ED$4,AO481),"")</f>
        <v/>
      </c>
      <c r="AZ481" s="14" t="str">
        <f>IF(AO481&gt;0,ROUND(INDEX(挂机升级突破!$DT$6:$ED$57,卡牌消耗!AT481,AO481)*INDEX(卡牌消耗!$B$7:$F$7,AR481)/$Q$4,0),"")</f>
        <v/>
      </c>
      <c r="BA481" s="106"/>
      <c r="BB481" s="197"/>
      <c r="BC481" s="197"/>
      <c r="BD481" s="197"/>
      <c r="BE481" s="197"/>
      <c r="BF481" s="197"/>
      <c r="BG481" s="197"/>
      <c r="BH481" s="197"/>
      <c r="BI481" s="197"/>
      <c r="BJ481" s="197"/>
      <c r="BK481" s="197"/>
      <c r="BL481" s="104">
        <v>477</v>
      </c>
      <c r="BM481" s="14">
        <f t="shared" si="370"/>
        <v>24</v>
      </c>
      <c r="BN481" s="14">
        <f>INDEX(挂机升级突破!$EI$7:$EI$26,BS481)</f>
        <v>5</v>
      </c>
      <c r="BO481" s="14">
        <f>INDEX(挂机升级突破!$EJ$7:$EJ$26,BS481)</f>
        <v>4</v>
      </c>
      <c r="BP481" s="14">
        <f t="shared" si="371"/>
        <v>3</v>
      </c>
      <c r="BQ481" s="14">
        <f>INDEX(挂机升级突破!$EH$7:$EH$26,卡牌消耗!BS481)</f>
        <v>117</v>
      </c>
      <c r="BR481" s="14" t="str">
        <f t="shared" si="372"/>
        <v>朱仙</v>
      </c>
      <c r="BS481" s="14">
        <f t="shared" si="373"/>
        <v>17</v>
      </c>
      <c r="BT481" s="14" t="str">
        <f t="shared" si="374"/>
        <v>朱仙17突</v>
      </c>
      <c r="BU481" s="14" t="str">
        <f>IF(BN481&gt;0,INDEX(挂机升级突破!$ER$5:$EV$5,卡牌消耗!BN481),"")</f>
        <v>金币</v>
      </c>
      <c r="BV481" s="14">
        <f>IF(BN481&gt;0,ROUND(INDEX(挂机升级突破!$EV$7:$EV$26,卡牌消耗!BS481)*INDEX(卡牌消耗!$B$8:$F$8,BP481)/$Q$4/500,0)*500,"")</f>
        <v>80500</v>
      </c>
      <c r="BW481" s="14" t="str">
        <f>IF(BO481&gt;0,INDEX(挂机升级突破!$ER$5:$EV$5,卡牌消耗!BO481),"")</f>
        <v>铀金</v>
      </c>
      <c r="BX481" s="14">
        <f>IF(BO481&gt;0,ROUND(INDEX(挂机升级突破!$ER$7:$EU$26,卡牌消耗!BS481,卡牌消耗!BO481)*INDEX($B$6:$F$6,BP481)/$Q$4/5,0)*5,"")</f>
        <v>20</v>
      </c>
      <c r="BY481" s="193"/>
      <c r="BZ481" s="193"/>
      <c r="CA481" s="106"/>
    </row>
    <row r="482" spans="8:79" ht="16.5" x14ac:dyDescent="0.2">
      <c r="H482" s="15"/>
      <c r="I482" s="15"/>
      <c r="J482" s="15"/>
      <c r="K482" s="15"/>
      <c r="L482" s="15"/>
      <c r="M482" s="15"/>
      <c r="N482" s="15"/>
      <c r="O482" s="137"/>
      <c r="P482" s="141"/>
      <c r="Q482" s="141"/>
      <c r="R482" s="141"/>
      <c r="S482" s="141"/>
      <c r="T482" s="141"/>
      <c r="U482" s="141"/>
      <c r="V482" s="141"/>
      <c r="W482" s="141"/>
      <c r="X482" s="141"/>
      <c r="Y482" s="141"/>
      <c r="Z482" s="141"/>
      <c r="AA482" s="194"/>
      <c r="AB482" s="194"/>
      <c r="AC482" s="194"/>
      <c r="AD482" s="194"/>
      <c r="AE482" s="194"/>
      <c r="AF482" s="194"/>
      <c r="AG482" s="197"/>
      <c r="AH482" s="194"/>
      <c r="AI482" s="194"/>
      <c r="AJ482" s="194"/>
      <c r="AK482" s="104">
        <v>478</v>
      </c>
      <c r="AL482" s="14">
        <f t="shared" si="365"/>
        <v>10</v>
      </c>
      <c r="AM482" s="14">
        <f>INDEX(挂机升级突破!DQ$6:DQ$57,卡牌消耗!$AT482)</f>
        <v>11</v>
      </c>
      <c r="AN482" s="14">
        <f>INDEX(挂机升级突破!DR$6:DR$57,卡牌消耗!$AT482)</f>
        <v>2</v>
      </c>
      <c r="AO482" s="14">
        <f>INDEX(挂机升级突破!DS$6:DS$57,卡牌消耗!$AT482)</f>
        <v>0</v>
      </c>
      <c r="AP482" s="14">
        <f>INDEX(挂机升级突破!$DP$6:$DP$57,卡牌消耗!AT482)</f>
        <v>43</v>
      </c>
      <c r="AQ482" s="14" t="str">
        <f t="shared" si="366"/>
        <v>张郃</v>
      </c>
      <c r="AR482" s="14">
        <f t="shared" si="367"/>
        <v>4</v>
      </c>
      <c r="AS482" s="14" t="str">
        <f t="shared" si="368"/>
        <v>张郃魂火-10</v>
      </c>
      <c r="AT482" s="14">
        <f t="shared" si="369"/>
        <v>10</v>
      </c>
      <c r="AU482" s="14" t="str">
        <f>IF(AM482&gt;0,INDEX(挂机升级突破!$DT$4:$ED$4,AM482),"")</f>
        <v>金币</v>
      </c>
      <c r="AV482" s="14">
        <f>ROUND(INDEX(挂机升级突破!$DJ$6:$DJ$57,卡牌消耗!AT482)*INDEX(卡牌消耗!$B$8:$F$8,AR482)/$Q$4/50,0)*50</f>
        <v>4750</v>
      </c>
      <c r="AW482" s="14" t="str">
        <f>IF(AN482&gt;0,INDEX(挂机升级突破!$DT$4:$ED$4,AN482),"")</f>
        <v>蓝色基础材料</v>
      </c>
      <c r="AX482" s="14">
        <f>ROUND(INDEX(挂机升级突破!$DT$6:$ED$57,卡牌消耗!AT482,AN482)*INDEX(卡牌消耗!$B$5:$F$5,AR482)/$Q$4/5,0)*5</f>
        <v>105</v>
      </c>
      <c r="AY482" s="14" t="str">
        <f>IF(AO482&gt;0,INDEX(挂机升级突破!$DT$4:$ED$4,AO482),"")</f>
        <v/>
      </c>
      <c r="AZ482" s="14" t="str">
        <f>IF(AO482&gt;0,ROUND(INDEX(挂机升级突破!$DT$6:$ED$57,卡牌消耗!AT482,AO482)*INDEX(卡牌消耗!$B$7:$F$7,AR482)/$Q$4,0),"")</f>
        <v/>
      </c>
      <c r="BA482" s="106"/>
      <c r="BB482" s="197"/>
      <c r="BC482" s="197"/>
      <c r="BD482" s="197"/>
      <c r="BE482" s="197"/>
      <c r="BF482" s="197"/>
      <c r="BG482" s="197"/>
      <c r="BH482" s="197"/>
      <c r="BI482" s="197"/>
      <c r="BJ482" s="197"/>
      <c r="BK482" s="197"/>
      <c r="BL482" s="104">
        <v>478</v>
      </c>
      <c r="BM482" s="14">
        <f t="shared" si="370"/>
        <v>24</v>
      </c>
      <c r="BN482" s="14">
        <f>INDEX(挂机升级突破!$EI$7:$EI$26,BS482)</f>
        <v>5</v>
      </c>
      <c r="BO482" s="14">
        <f>INDEX(挂机升级突破!$EJ$7:$EJ$26,BS482)</f>
        <v>4</v>
      </c>
      <c r="BP482" s="14">
        <f t="shared" si="371"/>
        <v>3</v>
      </c>
      <c r="BQ482" s="14">
        <f>INDEX(挂机升级突破!$EH$7:$EH$26,卡牌消耗!BS482)</f>
        <v>125</v>
      </c>
      <c r="BR482" s="14" t="str">
        <f t="shared" si="372"/>
        <v>朱仙</v>
      </c>
      <c r="BS482" s="14">
        <f t="shared" si="373"/>
        <v>18</v>
      </c>
      <c r="BT482" s="14" t="str">
        <f t="shared" si="374"/>
        <v>朱仙18突</v>
      </c>
      <c r="BU482" s="14" t="str">
        <f>IF(BN482&gt;0,INDEX(挂机升级突破!$ER$5:$EV$5,卡牌消耗!BN482),"")</f>
        <v>金币</v>
      </c>
      <c r="BV482" s="14">
        <f>IF(BN482&gt;0,ROUND(INDEX(挂机升级突破!$EV$7:$EV$26,卡牌消耗!BS482)*INDEX(卡牌消耗!$B$8:$F$8,BP482)/$Q$4/500,0)*500,"")</f>
        <v>107500</v>
      </c>
      <c r="BW482" s="14" t="str">
        <f>IF(BO482&gt;0,INDEX(挂机升级突破!$ER$5:$EV$5,卡牌消耗!BO482),"")</f>
        <v>铀金</v>
      </c>
      <c r="BX482" s="14">
        <f>IF(BO482&gt;0,ROUND(INDEX(挂机升级突破!$ER$7:$EU$26,卡牌消耗!BS482,卡牌消耗!BO482)*INDEX($B$6:$F$6,BP482)/$Q$4/5,0)*5,"")</f>
        <v>25</v>
      </c>
      <c r="BY482" s="193"/>
      <c r="BZ482" s="193"/>
      <c r="CA482" s="106"/>
    </row>
    <row r="483" spans="8:79" ht="16.5" x14ac:dyDescent="0.2">
      <c r="H483" s="15"/>
      <c r="I483" s="15"/>
      <c r="J483" s="15"/>
      <c r="K483" s="15"/>
      <c r="L483" s="15"/>
      <c r="M483" s="15"/>
      <c r="N483" s="15"/>
      <c r="O483" s="137"/>
      <c r="P483" s="141"/>
      <c r="Q483" s="141"/>
      <c r="R483" s="141"/>
      <c r="S483" s="141"/>
      <c r="T483" s="141"/>
      <c r="U483" s="141"/>
      <c r="V483" s="141"/>
      <c r="W483" s="141"/>
      <c r="X483" s="141"/>
      <c r="Y483" s="141"/>
      <c r="Z483" s="141"/>
      <c r="AA483" s="194"/>
      <c r="AB483" s="194"/>
      <c r="AC483" s="194"/>
      <c r="AD483" s="194"/>
      <c r="AE483" s="194"/>
      <c r="AF483" s="194"/>
      <c r="AG483" s="197"/>
      <c r="AH483" s="194"/>
      <c r="AI483" s="194"/>
      <c r="AJ483" s="194"/>
      <c r="AK483" s="104">
        <v>479</v>
      </c>
      <c r="AL483" s="14">
        <f t="shared" si="365"/>
        <v>10</v>
      </c>
      <c r="AM483" s="14">
        <f>INDEX(挂机升级突破!DQ$6:DQ$57,卡牌消耗!$AT483)</f>
        <v>11</v>
      </c>
      <c r="AN483" s="14">
        <f>INDEX(挂机升级突破!DR$6:DR$57,卡牌消耗!$AT483)</f>
        <v>2</v>
      </c>
      <c r="AO483" s="14">
        <f>INDEX(挂机升级突破!DS$6:DS$57,卡牌消耗!$AT483)</f>
        <v>0</v>
      </c>
      <c r="AP483" s="14">
        <f>INDEX(挂机升级突破!$DP$6:$DP$57,卡牌消耗!AT483)</f>
        <v>45</v>
      </c>
      <c r="AQ483" s="14" t="str">
        <f t="shared" si="366"/>
        <v>张郃</v>
      </c>
      <c r="AR483" s="14">
        <f t="shared" si="367"/>
        <v>4</v>
      </c>
      <c r="AS483" s="14" t="str">
        <f t="shared" si="368"/>
        <v>张郃魂火-11</v>
      </c>
      <c r="AT483" s="14">
        <f t="shared" si="369"/>
        <v>11</v>
      </c>
      <c r="AU483" s="14" t="str">
        <f>IF(AM483&gt;0,INDEX(挂机升级突破!$DT$4:$ED$4,AM483),"")</f>
        <v>金币</v>
      </c>
      <c r="AV483" s="14">
        <f>ROUND(INDEX(挂机升级突破!$DJ$6:$DJ$57,卡牌消耗!AT483)*INDEX(卡牌消耗!$B$8:$F$8,AR483)/$Q$4/50,0)*50</f>
        <v>4750</v>
      </c>
      <c r="AW483" s="14" t="str">
        <f>IF(AN483&gt;0,INDEX(挂机升级突破!$DT$4:$ED$4,AN483),"")</f>
        <v>蓝色基础材料</v>
      </c>
      <c r="AX483" s="14">
        <f>ROUND(INDEX(挂机升级突破!$DT$6:$ED$57,卡牌消耗!AT483,AN483)*INDEX(卡牌消耗!$B$5:$F$5,AR483)/$Q$4/5,0)*5</f>
        <v>105</v>
      </c>
      <c r="AY483" s="14" t="str">
        <f>IF(AO483&gt;0,INDEX(挂机升级突破!$DT$4:$ED$4,AO483),"")</f>
        <v/>
      </c>
      <c r="AZ483" s="14" t="str">
        <f>IF(AO483&gt;0,ROUND(INDEX(挂机升级突破!$DT$6:$ED$57,卡牌消耗!AT483,AO483)*INDEX(卡牌消耗!$B$7:$F$7,AR483)/$Q$4,0),"")</f>
        <v/>
      </c>
      <c r="BA483" s="106"/>
      <c r="BB483" s="197"/>
      <c r="BC483" s="197"/>
      <c r="BD483" s="197"/>
      <c r="BE483" s="197"/>
      <c r="BF483" s="197"/>
      <c r="BG483" s="197"/>
      <c r="BH483" s="197"/>
      <c r="BI483" s="197"/>
      <c r="BJ483" s="197"/>
      <c r="BK483" s="197"/>
      <c r="BL483" s="104">
        <v>479</v>
      </c>
      <c r="BM483" s="14">
        <f t="shared" si="370"/>
        <v>24</v>
      </c>
      <c r="BN483" s="14">
        <f>INDEX(挂机升级突破!$EI$7:$EI$26,BS483)</f>
        <v>5</v>
      </c>
      <c r="BO483" s="14">
        <f>INDEX(挂机升级突破!$EJ$7:$EJ$26,BS483)</f>
        <v>4</v>
      </c>
      <c r="BP483" s="14">
        <f t="shared" si="371"/>
        <v>3</v>
      </c>
      <c r="BQ483" s="14">
        <f>INDEX(挂机升级突破!$EH$7:$EH$26,卡牌消耗!BS483)</f>
        <v>132</v>
      </c>
      <c r="BR483" s="14" t="str">
        <f t="shared" si="372"/>
        <v>朱仙</v>
      </c>
      <c r="BS483" s="14">
        <f t="shared" si="373"/>
        <v>19</v>
      </c>
      <c r="BT483" s="14" t="str">
        <f t="shared" si="374"/>
        <v>朱仙19突</v>
      </c>
      <c r="BU483" s="14" t="str">
        <f>IF(BN483&gt;0,INDEX(挂机升级突破!$ER$5:$EV$5,卡牌消耗!BN483),"")</f>
        <v>金币</v>
      </c>
      <c r="BV483" s="14">
        <f>IF(BN483&gt;0,ROUND(INDEX(挂机升级突破!$EV$7:$EV$26,卡牌消耗!BS483)*INDEX(卡牌消耗!$B$8:$F$8,BP483)/$Q$4/500,0)*500,"")</f>
        <v>273500</v>
      </c>
      <c r="BW483" s="14" t="str">
        <f>IF(BO483&gt;0,INDEX(挂机升级突破!$ER$5:$EV$5,卡牌消耗!BO483),"")</f>
        <v>铀金</v>
      </c>
      <c r="BX483" s="14">
        <f>IF(BO483&gt;0,ROUND(INDEX(挂机升级突破!$ER$7:$EU$26,卡牌消耗!BS483,卡牌消耗!BO483)*INDEX($B$6:$F$6,BP483)/$Q$4/5,0)*5,"")</f>
        <v>35</v>
      </c>
      <c r="BY483" s="193"/>
      <c r="BZ483" s="193"/>
      <c r="CA483" s="106"/>
    </row>
    <row r="484" spans="8:79" ht="16.5" x14ac:dyDescent="0.2">
      <c r="H484" s="15"/>
      <c r="I484" s="15"/>
      <c r="J484" s="15"/>
      <c r="K484" s="15"/>
      <c r="L484" s="15"/>
      <c r="M484" s="15"/>
      <c r="N484" s="15"/>
      <c r="O484" s="137"/>
      <c r="P484" s="141"/>
      <c r="Q484" s="141"/>
      <c r="R484" s="141"/>
      <c r="S484" s="141"/>
      <c r="T484" s="141"/>
      <c r="U484" s="141"/>
      <c r="V484" s="141"/>
      <c r="W484" s="141"/>
      <c r="X484" s="141"/>
      <c r="Y484" s="141"/>
      <c r="Z484" s="141"/>
      <c r="AA484" s="194"/>
      <c r="AB484" s="194"/>
      <c r="AC484" s="194"/>
      <c r="AD484" s="194"/>
      <c r="AE484" s="194"/>
      <c r="AF484" s="194"/>
      <c r="AG484" s="197"/>
      <c r="AH484" s="194"/>
      <c r="AI484" s="194"/>
      <c r="AJ484" s="194"/>
      <c r="AK484" s="104">
        <v>480</v>
      </c>
      <c r="AL484" s="14">
        <f t="shared" si="365"/>
        <v>10</v>
      </c>
      <c r="AM484" s="14">
        <f>INDEX(挂机升级突破!DQ$6:DQ$57,卡牌消耗!$AT484)</f>
        <v>11</v>
      </c>
      <c r="AN484" s="14">
        <f>INDEX(挂机升级突破!DR$6:DR$57,卡牌消耗!$AT484)</f>
        <v>2</v>
      </c>
      <c r="AO484" s="14">
        <f>INDEX(挂机升级突破!DS$6:DS$57,卡牌消耗!$AT484)</f>
        <v>0</v>
      </c>
      <c r="AP484" s="14">
        <f>INDEX(挂机升级突破!$DP$6:$DP$57,卡牌消耗!AT484)</f>
        <v>48</v>
      </c>
      <c r="AQ484" s="14" t="str">
        <f t="shared" si="366"/>
        <v>张郃</v>
      </c>
      <c r="AR484" s="14">
        <f t="shared" si="367"/>
        <v>4</v>
      </c>
      <c r="AS484" s="14" t="str">
        <f t="shared" si="368"/>
        <v>张郃魂火-12</v>
      </c>
      <c r="AT484" s="14">
        <f t="shared" si="369"/>
        <v>12</v>
      </c>
      <c r="AU484" s="14" t="str">
        <f>IF(AM484&gt;0,INDEX(挂机升级突破!$DT$4:$ED$4,AM484),"")</f>
        <v>金币</v>
      </c>
      <c r="AV484" s="14">
        <f>ROUND(INDEX(挂机升级突破!$DJ$6:$DJ$57,卡牌消耗!AT484)*INDEX(卡牌消耗!$B$8:$F$8,AR484)/$Q$4/50,0)*50</f>
        <v>4100</v>
      </c>
      <c r="AW484" s="14" t="str">
        <f>IF(AN484&gt;0,INDEX(挂机升级突破!$DT$4:$ED$4,AN484),"")</f>
        <v>蓝色基础材料</v>
      </c>
      <c r="AX484" s="14">
        <f>ROUND(INDEX(挂机升级突破!$DT$6:$ED$57,卡牌消耗!AT484,AN484)*INDEX(卡牌消耗!$B$5:$F$5,AR484)/$Q$4/5,0)*5</f>
        <v>140</v>
      </c>
      <c r="AY484" s="14" t="str">
        <f>IF(AO484&gt;0,INDEX(挂机升级突破!$DT$4:$ED$4,AO484),"")</f>
        <v/>
      </c>
      <c r="AZ484" s="14" t="str">
        <f>IF(AO484&gt;0,ROUND(INDEX(挂机升级突破!$DT$6:$ED$57,卡牌消耗!AT484,AO484)*INDEX(卡牌消耗!$B$7:$F$7,AR484)/$Q$4,0),"")</f>
        <v/>
      </c>
      <c r="BA484" s="106"/>
      <c r="BB484" s="197"/>
      <c r="BC484" s="197"/>
      <c r="BD484" s="197"/>
      <c r="BE484" s="197"/>
      <c r="BF484" s="197"/>
      <c r="BG484" s="197"/>
      <c r="BH484" s="197"/>
      <c r="BI484" s="197"/>
      <c r="BJ484" s="197"/>
      <c r="BK484" s="197"/>
      <c r="BL484" s="104">
        <v>480</v>
      </c>
      <c r="BM484" s="14">
        <f t="shared" si="370"/>
        <v>24</v>
      </c>
      <c r="BN484" s="14">
        <f>INDEX(挂机升级突破!$EI$7:$EI$26,BS484)</f>
        <v>5</v>
      </c>
      <c r="BO484" s="14">
        <f>INDEX(挂机升级突破!$EJ$7:$EJ$26,BS484)</f>
        <v>4</v>
      </c>
      <c r="BP484" s="14">
        <f t="shared" si="371"/>
        <v>3</v>
      </c>
      <c r="BQ484" s="14">
        <f>INDEX(挂机升级突破!$EH$7:$EH$26,卡牌消耗!BS484)</f>
        <v>140</v>
      </c>
      <c r="BR484" s="14" t="str">
        <f t="shared" si="372"/>
        <v>朱仙</v>
      </c>
      <c r="BS484" s="14">
        <f t="shared" si="373"/>
        <v>20</v>
      </c>
      <c r="BT484" s="14" t="str">
        <f t="shared" si="374"/>
        <v>朱仙20突</v>
      </c>
      <c r="BU484" s="14" t="str">
        <f>IF(BN484&gt;0,INDEX(挂机升级突破!$ER$5:$EV$5,卡牌消耗!BN484),"")</f>
        <v>金币</v>
      </c>
      <c r="BV484" s="14">
        <f>IF(BN484&gt;0,ROUND(INDEX(挂机升级突破!$EV$7:$EV$26,卡牌消耗!BS484)*INDEX(卡牌消耗!$B$8:$F$8,BP484)/$Q$4/500,0)*500,"")</f>
        <v>410500</v>
      </c>
      <c r="BW484" s="14" t="str">
        <f>IF(BO484&gt;0,INDEX(挂机升级突破!$ER$5:$EV$5,卡牌消耗!BO484),"")</f>
        <v>铀金</v>
      </c>
      <c r="BX484" s="14">
        <f>IF(BO484&gt;0,ROUND(INDEX(挂机升级突破!$ER$7:$EU$26,卡牌消耗!BS484,卡牌消耗!BO484)*INDEX($B$6:$F$6,BP484)/$Q$4/5,0)*5,"")</f>
        <v>40</v>
      </c>
      <c r="BY484" s="193"/>
      <c r="BZ484" s="193"/>
      <c r="CA484" s="106"/>
    </row>
    <row r="485" spans="8:79" ht="16.5" x14ac:dyDescent="0.2">
      <c r="H485" s="15"/>
      <c r="I485" s="15"/>
      <c r="J485" s="15"/>
      <c r="K485" s="15"/>
      <c r="L485" s="15"/>
      <c r="M485" s="15"/>
      <c r="N485" s="15"/>
      <c r="O485" s="137"/>
      <c r="P485" s="141"/>
      <c r="Q485" s="141"/>
      <c r="R485" s="141"/>
      <c r="S485" s="141"/>
      <c r="T485" s="141"/>
      <c r="U485" s="141"/>
      <c r="V485" s="141"/>
      <c r="W485" s="141"/>
      <c r="X485" s="141"/>
      <c r="Y485" s="141"/>
      <c r="Z485" s="141"/>
      <c r="AA485" s="194"/>
      <c r="AB485" s="194"/>
      <c r="AC485" s="194"/>
      <c r="AD485" s="194"/>
      <c r="AE485" s="194"/>
      <c r="AF485" s="194"/>
      <c r="AG485" s="197"/>
      <c r="AH485" s="194"/>
      <c r="AI485" s="194"/>
      <c r="AJ485" s="194"/>
      <c r="AK485" s="104">
        <v>481</v>
      </c>
      <c r="AL485" s="14">
        <f t="shared" si="365"/>
        <v>10</v>
      </c>
      <c r="AM485" s="14">
        <f>INDEX(挂机升级突破!DQ$6:DQ$57,卡牌消耗!$AT485)</f>
        <v>11</v>
      </c>
      <c r="AN485" s="14">
        <f>INDEX(挂机升级突破!DR$6:DR$57,卡牌消耗!$AT485)</f>
        <v>2</v>
      </c>
      <c r="AO485" s="14">
        <f>INDEX(挂机升级突破!DS$6:DS$57,卡牌消耗!$AT485)</f>
        <v>0</v>
      </c>
      <c r="AP485" s="14">
        <f>INDEX(挂机升级突破!$DP$6:$DP$57,卡牌消耗!AT485)</f>
        <v>50</v>
      </c>
      <c r="AQ485" s="14" t="str">
        <f t="shared" si="366"/>
        <v>张郃</v>
      </c>
      <c r="AR485" s="14">
        <f t="shared" si="367"/>
        <v>4</v>
      </c>
      <c r="AS485" s="14" t="str">
        <f t="shared" si="368"/>
        <v>张郃魂火-13</v>
      </c>
      <c r="AT485" s="14">
        <f t="shared" si="369"/>
        <v>13</v>
      </c>
      <c r="AU485" s="14" t="str">
        <f>IF(AM485&gt;0,INDEX(挂机升级突破!$DT$4:$ED$4,AM485),"")</f>
        <v>金币</v>
      </c>
      <c r="AV485" s="14">
        <f>ROUND(INDEX(挂机升级突破!$DJ$6:$DJ$57,卡牌消耗!AT485)*INDEX(卡牌消耗!$B$8:$F$8,AR485)/$Q$4/50,0)*50</f>
        <v>4100</v>
      </c>
      <c r="AW485" s="14" t="str">
        <f>IF(AN485&gt;0,INDEX(挂机升级突破!$DT$4:$ED$4,AN485),"")</f>
        <v>蓝色基础材料</v>
      </c>
      <c r="AX485" s="14">
        <f>ROUND(INDEX(挂机升级突破!$DT$6:$ED$57,卡牌消耗!AT485,AN485)*INDEX(卡牌消耗!$B$5:$F$5,AR485)/$Q$4/5,0)*5</f>
        <v>140</v>
      </c>
      <c r="AY485" s="14" t="str">
        <f>IF(AO485&gt;0,INDEX(挂机升级突破!$DT$4:$ED$4,AO485),"")</f>
        <v/>
      </c>
      <c r="AZ485" s="14" t="str">
        <f>IF(AO485&gt;0,ROUND(INDEX(挂机升级突破!$DT$6:$ED$57,卡牌消耗!AT485,AO485)*INDEX(卡牌消耗!$B$7:$F$7,AR485)/$Q$4,0),"")</f>
        <v/>
      </c>
      <c r="BA485" s="106"/>
      <c r="BB485" s="197"/>
      <c r="BC485" s="197"/>
      <c r="BD485" s="197"/>
      <c r="BE485" s="197"/>
      <c r="BF485" s="197"/>
      <c r="BG485" s="197"/>
      <c r="BH485" s="197"/>
      <c r="BI485" s="197"/>
      <c r="BJ485" s="197"/>
      <c r="BK485" s="197"/>
      <c r="BL485" s="104">
        <v>481</v>
      </c>
      <c r="BM485" s="14">
        <f t="shared" si="370"/>
        <v>25</v>
      </c>
      <c r="BN485" s="14">
        <f>INDEX(挂机升级突破!$EI$7:$EI$26,BS485)</f>
        <v>0</v>
      </c>
      <c r="BO485" s="14">
        <f>INDEX(挂机升级突破!$EJ$7:$EJ$26,BS485)</f>
        <v>0</v>
      </c>
      <c r="BP485" s="14">
        <f t="shared" si="371"/>
        <v>3</v>
      </c>
      <c r="BQ485" s="14">
        <f>INDEX(挂机升级突破!$EH$7:$EH$26,卡牌消耗!BS485)</f>
        <v>1</v>
      </c>
      <c r="BR485" s="14" t="str">
        <f t="shared" si="372"/>
        <v>雷震子</v>
      </c>
      <c r="BS485" s="14">
        <f t="shared" si="373"/>
        <v>1</v>
      </c>
      <c r="BT485" s="14" t="str">
        <f t="shared" si="374"/>
        <v>雷震子1突</v>
      </c>
      <c r="BU485" s="14" t="str">
        <f>IF(BN485&gt;0,INDEX(挂机升级突破!$ER$5:$EV$5,卡牌消耗!BN485),"")</f>
        <v/>
      </c>
      <c r="BV485" s="14" t="str">
        <f>IF(BN485&gt;0,ROUND(INDEX(挂机升级突破!$EV$7:$EV$26,卡牌消耗!BS485)*INDEX(卡牌消耗!$B$8:$F$8,BP485)/$Q$4/500,0)*500,"")</f>
        <v/>
      </c>
      <c r="BW485" s="14" t="str">
        <f>IF(BO485&gt;0,INDEX(挂机升级突破!$ER$5:$EV$5,卡牌消耗!BO485),"")</f>
        <v/>
      </c>
      <c r="BX485" s="14" t="str">
        <f>IF(BO485&gt;0,ROUND(INDEX(挂机升级突破!$ER$7:$EU$26,卡牌消耗!BS485,卡牌消耗!BO485)*INDEX($B$6:$F$6,BP485)/$Q$4/5,0)*5,"")</f>
        <v/>
      </c>
      <c r="BY485" s="193"/>
      <c r="BZ485" s="193"/>
      <c r="CA485" s="106"/>
    </row>
    <row r="486" spans="8:79" ht="16.5" x14ac:dyDescent="0.2">
      <c r="H486" s="15"/>
      <c r="I486" s="15"/>
      <c r="J486" s="15"/>
      <c r="K486" s="15"/>
      <c r="L486" s="15"/>
      <c r="M486" s="15"/>
      <c r="N486" s="15"/>
      <c r="O486" s="137"/>
      <c r="P486" s="141"/>
      <c r="Q486" s="141"/>
      <c r="R486" s="141"/>
      <c r="S486" s="141"/>
      <c r="T486" s="141"/>
      <c r="U486" s="141"/>
      <c r="V486" s="141"/>
      <c r="W486" s="141"/>
      <c r="X486" s="141"/>
      <c r="Y486" s="141"/>
      <c r="Z486" s="141"/>
      <c r="AA486" s="194"/>
      <c r="AB486" s="194"/>
      <c r="AC486" s="194"/>
      <c r="AD486" s="194"/>
      <c r="AE486" s="194"/>
      <c r="AF486" s="194"/>
      <c r="AG486" s="197"/>
      <c r="AH486" s="194"/>
      <c r="AI486" s="194"/>
      <c r="AJ486" s="194"/>
      <c r="AK486" s="104">
        <v>482</v>
      </c>
      <c r="AL486" s="14">
        <f t="shared" si="365"/>
        <v>10</v>
      </c>
      <c r="AM486" s="14">
        <f>INDEX(挂机升级突破!DQ$6:DQ$57,卡牌消耗!$AT486)</f>
        <v>11</v>
      </c>
      <c r="AN486" s="14">
        <f>INDEX(挂机升级突破!DR$6:DR$57,卡牌消耗!$AT486)</f>
        <v>3</v>
      </c>
      <c r="AO486" s="14">
        <f>INDEX(挂机升级突破!DS$6:DS$57,卡牌消耗!$AT486)</f>
        <v>0</v>
      </c>
      <c r="AP486" s="14">
        <f>INDEX(挂机升级突破!$DP$6:$DP$57,卡牌消耗!AT486)</f>
        <v>53</v>
      </c>
      <c r="AQ486" s="14" t="str">
        <f t="shared" si="366"/>
        <v>张郃</v>
      </c>
      <c r="AR486" s="14">
        <f t="shared" si="367"/>
        <v>4</v>
      </c>
      <c r="AS486" s="14" t="str">
        <f t="shared" si="368"/>
        <v>张郃魂火-14</v>
      </c>
      <c r="AT486" s="14">
        <f t="shared" si="369"/>
        <v>14</v>
      </c>
      <c r="AU486" s="14" t="str">
        <f>IF(AM486&gt;0,INDEX(挂机升级突破!$DT$4:$ED$4,AM486),"")</f>
        <v>金币</v>
      </c>
      <c r="AV486" s="14">
        <f>ROUND(INDEX(挂机升级突破!$DJ$6:$DJ$57,卡牌消耗!AT486)*INDEX(卡牌消耗!$B$8:$F$8,AR486)/$Q$4/50,0)*50</f>
        <v>4500</v>
      </c>
      <c r="AW486" s="14" t="str">
        <f>IF(AN486&gt;0,INDEX(挂机升级突破!$DT$4:$ED$4,AN486),"")</f>
        <v>紫色基础材料</v>
      </c>
      <c r="AX486" s="14">
        <f>ROUND(INDEX(挂机升级突破!$DT$6:$ED$57,卡牌消耗!AT486,AN486)*INDEX(卡牌消耗!$B$5:$F$5,AR486)/$Q$4/5,0)*5</f>
        <v>30</v>
      </c>
      <c r="AY486" s="14" t="str">
        <f>IF(AO486&gt;0,INDEX(挂机升级突破!$DT$4:$ED$4,AO486),"")</f>
        <v/>
      </c>
      <c r="AZ486" s="14" t="str">
        <f>IF(AO486&gt;0,ROUND(INDEX(挂机升级突破!$DT$6:$ED$57,卡牌消耗!AT486,AO486)*INDEX(卡牌消耗!$B$7:$F$7,AR486)/$Q$4,0),"")</f>
        <v/>
      </c>
      <c r="BA486" s="106"/>
      <c r="BB486" s="197"/>
      <c r="BC486" s="197"/>
      <c r="BD486" s="197"/>
      <c r="BE486" s="197"/>
      <c r="BF486" s="197"/>
      <c r="BG486" s="197"/>
      <c r="BH486" s="197"/>
      <c r="BI486" s="197"/>
      <c r="BJ486" s="197"/>
      <c r="BK486" s="197"/>
      <c r="BL486" s="104">
        <v>482</v>
      </c>
      <c r="BM486" s="14">
        <f t="shared" si="370"/>
        <v>25</v>
      </c>
      <c r="BN486" s="14">
        <f>INDEX(挂机升级突破!$EI$7:$EI$26,BS486)</f>
        <v>5</v>
      </c>
      <c r="BO486" s="14">
        <f>INDEX(挂机升级突破!$EJ$7:$EJ$26,BS486)</f>
        <v>1</v>
      </c>
      <c r="BP486" s="14">
        <f t="shared" si="371"/>
        <v>3</v>
      </c>
      <c r="BQ486" s="14">
        <f>INDEX(挂机升级突破!$EH$7:$EH$26,卡牌消耗!BS486)</f>
        <v>5</v>
      </c>
      <c r="BR486" s="14" t="str">
        <f t="shared" si="372"/>
        <v>雷震子</v>
      </c>
      <c r="BS486" s="14">
        <f t="shared" si="373"/>
        <v>2</v>
      </c>
      <c r="BT486" s="14" t="str">
        <f t="shared" si="374"/>
        <v>雷震子2突</v>
      </c>
      <c r="BU486" s="14" t="str">
        <f>IF(BN486&gt;0,INDEX(挂机升级突破!$ER$5:$EV$5,卡牌消耗!BN486),"")</f>
        <v>金币</v>
      </c>
      <c r="BV486" s="14">
        <f>IF(BN486&gt;0,ROUND(INDEX(挂机升级突破!$EV$7:$EV$26,卡牌消耗!BS486)*INDEX(卡牌消耗!$B$8:$F$8,BP486)/$Q$4/500,0)*500,"")</f>
        <v>3000</v>
      </c>
      <c r="BW486" s="14" t="str">
        <f>IF(BO486&gt;0,INDEX(挂机升级突破!$ER$5:$EV$5,卡牌消耗!BO486),"")</f>
        <v>玄铁</v>
      </c>
      <c r="BX486" s="14">
        <f>IF(BO486&gt;0,ROUND(INDEX(挂机升级突破!$ER$7:$EU$26,卡牌消耗!BS486,卡牌消耗!BO486)*INDEX($B$6:$F$6,BP486)/$Q$4,0),"")</f>
        <v>2</v>
      </c>
      <c r="BY486" s="193"/>
      <c r="BZ486" s="193"/>
      <c r="CA486" s="106"/>
    </row>
    <row r="487" spans="8:79" ht="16.5" x14ac:dyDescent="0.2">
      <c r="H487" s="15"/>
      <c r="I487" s="15"/>
      <c r="J487" s="15"/>
      <c r="K487" s="15"/>
      <c r="L487" s="15"/>
      <c r="M487" s="15"/>
      <c r="N487" s="15"/>
      <c r="O487" s="137"/>
      <c r="P487" s="141"/>
      <c r="Q487" s="141"/>
      <c r="R487" s="141"/>
      <c r="S487" s="141"/>
      <c r="T487" s="141"/>
      <c r="U487" s="141"/>
      <c r="V487" s="141"/>
      <c r="W487" s="141"/>
      <c r="X487" s="141"/>
      <c r="Y487" s="141"/>
      <c r="Z487" s="141"/>
      <c r="AA487" s="194"/>
      <c r="AB487" s="194"/>
      <c r="AC487" s="194"/>
      <c r="AD487" s="194"/>
      <c r="AE487" s="194"/>
      <c r="AF487" s="194"/>
      <c r="AG487" s="197"/>
      <c r="AH487" s="194"/>
      <c r="AI487" s="194"/>
      <c r="AJ487" s="194"/>
      <c r="AK487" s="104">
        <v>483</v>
      </c>
      <c r="AL487" s="14">
        <f t="shared" si="365"/>
        <v>10</v>
      </c>
      <c r="AM487" s="14">
        <f>INDEX(挂机升级突破!DQ$6:DQ$57,卡牌消耗!$AT487)</f>
        <v>11</v>
      </c>
      <c r="AN487" s="14">
        <f>INDEX(挂机升级突破!DR$6:DR$57,卡牌消耗!$AT487)</f>
        <v>3</v>
      </c>
      <c r="AO487" s="14">
        <f>INDEX(挂机升级突破!DS$6:DS$57,卡牌消耗!$AT487)</f>
        <v>0</v>
      </c>
      <c r="AP487" s="14">
        <f>INDEX(挂机升级突破!$DP$6:$DP$57,卡牌消耗!AT487)</f>
        <v>55</v>
      </c>
      <c r="AQ487" s="14" t="str">
        <f t="shared" si="366"/>
        <v>张郃</v>
      </c>
      <c r="AR487" s="14">
        <f t="shared" si="367"/>
        <v>4</v>
      </c>
      <c r="AS487" s="14" t="str">
        <f t="shared" si="368"/>
        <v>张郃魂火-15</v>
      </c>
      <c r="AT487" s="14">
        <f t="shared" si="369"/>
        <v>15</v>
      </c>
      <c r="AU487" s="14" t="str">
        <f>IF(AM487&gt;0,INDEX(挂机升级突破!$DT$4:$ED$4,AM487),"")</f>
        <v>金币</v>
      </c>
      <c r="AV487" s="14">
        <f>ROUND(INDEX(挂机升级突破!$DJ$6:$DJ$57,卡牌消耗!AT487)*INDEX(卡牌消耗!$B$8:$F$8,AR487)/$Q$4/50,0)*50</f>
        <v>4900</v>
      </c>
      <c r="AW487" s="14" t="str">
        <f>IF(AN487&gt;0,INDEX(挂机升级突破!$DT$4:$ED$4,AN487),"")</f>
        <v>紫色基础材料</v>
      </c>
      <c r="AX487" s="14">
        <f>ROUND(INDEX(挂机升级突破!$DT$6:$ED$57,卡牌消耗!AT487,AN487)*INDEX(卡牌消耗!$B$5:$F$5,AR487)/$Q$4/5,0)*5</f>
        <v>30</v>
      </c>
      <c r="AY487" s="14" t="str">
        <f>IF(AO487&gt;0,INDEX(挂机升级突破!$DT$4:$ED$4,AO487),"")</f>
        <v/>
      </c>
      <c r="AZ487" s="14" t="str">
        <f>IF(AO487&gt;0,ROUND(INDEX(挂机升级突破!$DT$6:$ED$57,卡牌消耗!AT487,AO487)*INDEX(卡牌消耗!$B$7:$F$7,AR487)/$Q$4,0),"")</f>
        <v/>
      </c>
      <c r="BA487" s="106"/>
      <c r="BB487" s="197"/>
      <c r="BC487" s="197"/>
      <c r="BD487" s="197"/>
      <c r="BE487" s="197"/>
      <c r="BF487" s="197"/>
      <c r="BG487" s="197"/>
      <c r="BH487" s="197"/>
      <c r="BI487" s="197"/>
      <c r="BJ487" s="197"/>
      <c r="BK487" s="197"/>
      <c r="BL487" s="104">
        <v>483</v>
      </c>
      <c r="BM487" s="14">
        <f t="shared" si="370"/>
        <v>25</v>
      </c>
      <c r="BN487" s="14">
        <f>INDEX(挂机升级突破!$EI$7:$EI$26,BS487)</f>
        <v>5</v>
      </c>
      <c r="BO487" s="14">
        <f>INDEX(挂机升级突破!$EJ$7:$EJ$26,BS487)</f>
        <v>1</v>
      </c>
      <c r="BP487" s="14">
        <f t="shared" si="371"/>
        <v>3</v>
      </c>
      <c r="BQ487" s="14">
        <f>INDEX(挂机升级突破!$EH$7:$EH$26,卡牌消耗!BS487)</f>
        <v>15</v>
      </c>
      <c r="BR487" s="14" t="str">
        <f t="shared" si="372"/>
        <v>雷震子</v>
      </c>
      <c r="BS487" s="14">
        <f t="shared" si="373"/>
        <v>3</v>
      </c>
      <c r="BT487" s="14" t="str">
        <f t="shared" si="374"/>
        <v>雷震子3突</v>
      </c>
      <c r="BU487" s="14" t="str">
        <f>IF(BN487&gt;0,INDEX(挂机升级突破!$ER$5:$EV$5,卡牌消耗!BN487),"")</f>
        <v>金币</v>
      </c>
      <c r="BV487" s="14">
        <f>IF(BN487&gt;0,ROUND(INDEX(挂机升级突破!$EV$7:$EV$26,卡牌消耗!BS487)*INDEX(卡牌消耗!$B$8:$F$8,BP487)/$Q$4/500,0)*500,"")</f>
        <v>3000</v>
      </c>
      <c r="BW487" s="14" t="str">
        <f>IF(BO487&gt;0,INDEX(挂机升级突破!$ER$5:$EV$5,卡牌消耗!BO487),"")</f>
        <v>玄铁</v>
      </c>
      <c r="BX487" s="14">
        <f>IF(BO487&gt;0,ROUND(INDEX(挂机升级突破!$ER$7:$EU$26,卡牌消耗!BS487,卡牌消耗!BO487)*INDEX($B$6:$F$6,BP487)/$Q$4,0),"")</f>
        <v>5</v>
      </c>
      <c r="BY487" s="193"/>
      <c r="BZ487" s="193"/>
      <c r="CA487" s="106"/>
    </row>
    <row r="488" spans="8:79" ht="16.5" x14ac:dyDescent="0.2">
      <c r="H488" s="15"/>
      <c r="I488" s="15"/>
      <c r="J488" s="15"/>
      <c r="K488" s="15"/>
      <c r="L488" s="15"/>
      <c r="M488" s="15"/>
      <c r="N488" s="15"/>
      <c r="O488" s="137"/>
      <c r="P488" s="141"/>
      <c r="Q488" s="141"/>
      <c r="R488" s="141"/>
      <c r="S488" s="141"/>
      <c r="T488" s="141"/>
      <c r="U488" s="141"/>
      <c r="V488" s="141"/>
      <c r="W488" s="141"/>
      <c r="X488" s="141"/>
      <c r="Y488" s="141"/>
      <c r="Z488" s="141"/>
      <c r="AA488" s="194"/>
      <c r="AB488" s="194"/>
      <c r="AC488" s="194"/>
      <c r="AD488" s="194"/>
      <c r="AE488" s="194"/>
      <c r="AF488" s="194"/>
      <c r="AG488" s="197"/>
      <c r="AH488" s="194"/>
      <c r="AI488" s="194"/>
      <c r="AJ488" s="194"/>
      <c r="AK488" s="104">
        <v>484</v>
      </c>
      <c r="AL488" s="14">
        <f t="shared" si="365"/>
        <v>10</v>
      </c>
      <c r="AM488" s="14">
        <f>INDEX(挂机升级突破!DQ$6:DQ$57,卡牌消耗!$AT488)</f>
        <v>11</v>
      </c>
      <c r="AN488" s="14">
        <f>INDEX(挂机升级突破!DR$6:DR$57,卡牌消耗!$AT488)</f>
        <v>3</v>
      </c>
      <c r="AO488" s="14">
        <f>INDEX(挂机升级突破!DS$6:DS$57,卡牌消耗!$AT488)</f>
        <v>0</v>
      </c>
      <c r="AP488" s="14">
        <f>INDEX(挂机升级突破!$DP$6:$DP$57,卡牌消耗!AT488)</f>
        <v>58</v>
      </c>
      <c r="AQ488" s="14" t="str">
        <f t="shared" si="366"/>
        <v>张郃</v>
      </c>
      <c r="AR488" s="14">
        <f t="shared" si="367"/>
        <v>4</v>
      </c>
      <c r="AS488" s="14" t="str">
        <f t="shared" si="368"/>
        <v>张郃魂火-16</v>
      </c>
      <c r="AT488" s="14">
        <f t="shared" si="369"/>
        <v>16</v>
      </c>
      <c r="AU488" s="14" t="str">
        <f>IF(AM488&gt;0,INDEX(挂机升级突破!$DT$4:$ED$4,AM488),"")</f>
        <v>金币</v>
      </c>
      <c r="AV488" s="14">
        <f>ROUND(INDEX(挂机升级突破!$DJ$6:$DJ$57,卡牌消耗!AT488)*INDEX(卡牌消耗!$B$8:$F$8,AR488)/$Q$4/50,0)*50</f>
        <v>4900</v>
      </c>
      <c r="AW488" s="14" t="str">
        <f>IF(AN488&gt;0,INDEX(挂机升级突破!$DT$4:$ED$4,AN488),"")</f>
        <v>紫色基础材料</v>
      </c>
      <c r="AX488" s="14">
        <f>ROUND(INDEX(挂机升级突破!$DT$6:$ED$57,卡牌消耗!AT488,AN488)*INDEX(卡牌消耗!$B$5:$F$5,AR488)/$Q$4/5,0)*5</f>
        <v>30</v>
      </c>
      <c r="AY488" s="14" t="str">
        <f>IF(AO488&gt;0,INDEX(挂机升级突破!$DT$4:$ED$4,AO488),"")</f>
        <v/>
      </c>
      <c r="AZ488" s="14" t="str">
        <f>IF(AO488&gt;0,ROUND(INDEX(挂机升级突破!$DT$6:$ED$57,卡牌消耗!AT488,AO488)*INDEX(卡牌消耗!$B$7:$F$7,AR488)/$Q$4,0),"")</f>
        <v/>
      </c>
      <c r="BA488" s="106"/>
      <c r="BB488" s="197"/>
      <c r="BC488" s="197"/>
      <c r="BD488" s="197"/>
      <c r="BE488" s="197"/>
      <c r="BF488" s="197"/>
      <c r="BG488" s="197"/>
      <c r="BH488" s="197"/>
      <c r="BI488" s="197"/>
      <c r="BJ488" s="197"/>
      <c r="BK488" s="197"/>
      <c r="BL488" s="104">
        <v>484</v>
      </c>
      <c r="BM488" s="14">
        <f t="shared" si="370"/>
        <v>25</v>
      </c>
      <c r="BN488" s="14">
        <f>INDEX(挂机升级突破!$EI$7:$EI$26,BS488)</f>
        <v>5</v>
      </c>
      <c r="BO488" s="14">
        <f>INDEX(挂机升级突破!$EJ$7:$EJ$26,BS488)</f>
        <v>1</v>
      </c>
      <c r="BP488" s="14">
        <f t="shared" si="371"/>
        <v>3</v>
      </c>
      <c r="BQ488" s="14">
        <f>INDEX(挂机升级突破!$EH$7:$EH$26,卡牌消耗!BS488)</f>
        <v>25</v>
      </c>
      <c r="BR488" s="14" t="str">
        <f t="shared" si="372"/>
        <v>雷震子</v>
      </c>
      <c r="BS488" s="14">
        <f t="shared" si="373"/>
        <v>4</v>
      </c>
      <c r="BT488" s="14" t="str">
        <f t="shared" si="374"/>
        <v>雷震子4突</v>
      </c>
      <c r="BU488" s="14" t="str">
        <f>IF(BN488&gt;0,INDEX(挂机升级突破!$ER$5:$EV$5,卡牌消耗!BN488),"")</f>
        <v>金币</v>
      </c>
      <c r="BV488" s="14">
        <f>IF(BN488&gt;0,ROUND(INDEX(挂机升级突破!$EV$7:$EV$26,卡牌消耗!BS488)*INDEX(卡牌消耗!$B$8:$F$8,BP488)/$Q$4/500,0)*500,"")</f>
        <v>4000</v>
      </c>
      <c r="BW488" s="14" t="str">
        <f>IF(BO488&gt;0,INDEX(挂机升级突破!$ER$5:$EV$5,卡牌消耗!BO488),"")</f>
        <v>玄铁</v>
      </c>
      <c r="BX488" s="14">
        <f>IF(BO488&gt;0,ROUND(INDEX(挂机升级突破!$ER$7:$EU$26,卡牌消耗!BS488,卡牌消耗!BO488)*INDEX($B$6:$F$6,BP488)/$Q$4,0),"")</f>
        <v>17</v>
      </c>
      <c r="BY488" s="193"/>
      <c r="BZ488" s="193"/>
      <c r="CA488" s="106"/>
    </row>
    <row r="489" spans="8:79" ht="16.5" x14ac:dyDescent="0.2">
      <c r="H489" s="15"/>
      <c r="I489" s="15"/>
      <c r="J489" s="15"/>
      <c r="K489" s="15"/>
      <c r="L489" s="15"/>
      <c r="M489" s="15"/>
      <c r="N489" s="15"/>
      <c r="O489" s="137"/>
      <c r="P489" s="141"/>
      <c r="Q489" s="141"/>
      <c r="R489" s="141"/>
      <c r="S489" s="141"/>
      <c r="T489" s="141"/>
      <c r="U489" s="141"/>
      <c r="V489" s="141"/>
      <c r="W489" s="141"/>
      <c r="X489" s="141"/>
      <c r="Y489" s="141"/>
      <c r="Z489" s="141"/>
      <c r="AA489" s="194"/>
      <c r="AB489" s="194"/>
      <c r="AC489" s="194"/>
      <c r="AD489" s="194"/>
      <c r="AE489" s="194"/>
      <c r="AF489" s="194"/>
      <c r="AG489" s="197"/>
      <c r="AH489" s="194"/>
      <c r="AI489" s="194"/>
      <c r="AJ489" s="194"/>
      <c r="AK489" s="104">
        <v>485</v>
      </c>
      <c r="AL489" s="14">
        <f t="shared" si="365"/>
        <v>10</v>
      </c>
      <c r="AM489" s="14">
        <f>INDEX(挂机升级突破!DQ$6:DQ$57,卡牌消耗!$AT489)</f>
        <v>11</v>
      </c>
      <c r="AN489" s="14">
        <f>INDEX(挂机升级突破!DR$6:DR$57,卡牌消耗!$AT489)</f>
        <v>3</v>
      </c>
      <c r="AO489" s="14">
        <f>INDEX(挂机升级突破!DS$6:DS$57,卡牌消耗!$AT489)</f>
        <v>0</v>
      </c>
      <c r="AP489" s="14">
        <f>INDEX(挂机升级突破!$DP$6:$DP$57,卡牌消耗!AT489)</f>
        <v>60</v>
      </c>
      <c r="AQ489" s="14" t="str">
        <f t="shared" si="366"/>
        <v>张郃</v>
      </c>
      <c r="AR489" s="14">
        <f t="shared" si="367"/>
        <v>4</v>
      </c>
      <c r="AS489" s="14" t="str">
        <f t="shared" si="368"/>
        <v>张郃魂火-17</v>
      </c>
      <c r="AT489" s="14">
        <f t="shared" si="369"/>
        <v>17</v>
      </c>
      <c r="AU489" s="14" t="str">
        <f>IF(AM489&gt;0,INDEX(挂机升级突破!$DT$4:$ED$4,AM489),"")</f>
        <v>金币</v>
      </c>
      <c r="AV489" s="14">
        <f>ROUND(INDEX(挂机升级突破!$DJ$6:$DJ$57,卡牌消耗!AT489)*INDEX(卡牌消耗!$B$8:$F$8,AR489)/$Q$4/50,0)*50</f>
        <v>6150</v>
      </c>
      <c r="AW489" s="14" t="str">
        <f>IF(AN489&gt;0,INDEX(挂机升级突破!$DT$4:$ED$4,AN489),"")</f>
        <v>紫色基础材料</v>
      </c>
      <c r="AX489" s="14">
        <f>ROUND(INDEX(挂机升级突破!$DT$6:$ED$57,卡牌消耗!AT489,AN489)*INDEX(卡牌消耗!$B$5:$F$5,AR489)/$Q$4/5,0)*5</f>
        <v>55</v>
      </c>
      <c r="AY489" s="14" t="str">
        <f>IF(AO489&gt;0,INDEX(挂机升级突破!$DT$4:$ED$4,AO489),"")</f>
        <v/>
      </c>
      <c r="AZ489" s="14" t="str">
        <f>IF(AO489&gt;0,ROUND(INDEX(挂机升级突破!$DT$6:$ED$57,卡牌消耗!AT489,AO489)*INDEX(卡牌消耗!$B$7:$F$7,AR489)/$Q$4,0),"")</f>
        <v/>
      </c>
      <c r="BA489" s="106"/>
      <c r="BB489" s="197"/>
      <c r="BC489" s="197"/>
      <c r="BD489" s="197"/>
      <c r="BE489" s="197"/>
      <c r="BF489" s="197"/>
      <c r="BG489" s="197"/>
      <c r="BH489" s="197"/>
      <c r="BI489" s="197"/>
      <c r="BJ489" s="197"/>
      <c r="BK489" s="197"/>
      <c r="BL489" s="104">
        <v>485</v>
      </c>
      <c r="BM489" s="14">
        <f t="shared" si="370"/>
        <v>25</v>
      </c>
      <c r="BN489" s="14">
        <f>INDEX(挂机升级突破!$EI$7:$EI$26,BS489)</f>
        <v>5</v>
      </c>
      <c r="BO489" s="14">
        <f>INDEX(挂机升级突破!$EJ$7:$EJ$26,BS489)</f>
        <v>1</v>
      </c>
      <c r="BP489" s="14">
        <f t="shared" si="371"/>
        <v>3</v>
      </c>
      <c r="BQ489" s="14">
        <f>INDEX(挂机升级突破!$EH$7:$EH$26,卡牌消耗!BS489)</f>
        <v>35</v>
      </c>
      <c r="BR489" s="14" t="str">
        <f t="shared" si="372"/>
        <v>雷震子</v>
      </c>
      <c r="BS489" s="14">
        <f t="shared" si="373"/>
        <v>5</v>
      </c>
      <c r="BT489" s="14" t="str">
        <f t="shared" si="374"/>
        <v>雷震子5突</v>
      </c>
      <c r="BU489" s="14" t="str">
        <f>IF(BN489&gt;0,INDEX(挂机升级突破!$ER$5:$EV$5,卡牌消耗!BN489),"")</f>
        <v>金币</v>
      </c>
      <c r="BV489" s="14">
        <f>IF(BN489&gt;0,ROUND(INDEX(挂机升级突破!$EV$7:$EV$26,卡牌消耗!BS489)*INDEX(卡牌消耗!$B$8:$F$8,BP489)/$Q$4/500,0)*500,"")</f>
        <v>4000</v>
      </c>
      <c r="BW489" s="14" t="str">
        <f>IF(BO489&gt;0,INDEX(挂机升级突破!$ER$5:$EV$5,卡牌消耗!BO489),"")</f>
        <v>玄铁</v>
      </c>
      <c r="BX489" s="14">
        <f>IF(BO489&gt;0,ROUND(INDEX(挂机升级突破!$ER$7:$EU$26,卡牌消耗!BS489,卡牌消耗!BO489)*INDEX($B$6:$F$6,BP489)/$Q$4/5,0)*5,"")</f>
        <v>35</v>
      </c>
      <c r="BY489" s="193"/>
      <c r="BZ489" s="193"/>
      <c r="CA489" s="106"/>
    </row>
    <row r="490" spans="8:79" ht="16.5" x14ac:dyDescent="0.2">
      <c r="H490" s="15"/>
      <c r="I490" s="15"/>
      <c r="J490" s="15"/>
      <c r="K490" s="15"/>
      <c r="L490" s="15"/>
      <c r="M490" s="15"/>
      <c r="N490" s="15"/>
      <c r="O490" s="137"/>
      <c r="P490" s="141"/>
      <c r="Q490" s="141"/>
      <c r="R490" s="141"/>
      <c r="S490" s="141"/>
      <c r="T490" s="141"/>
      <c r="U490" s="141"/>
      <c r="V490" s="141"/>
      <c r="W490" s="141"/>
      <c r="X490" s="141"/>
      <c r="Y490" s="141"/>
      <c r="Z490" s="141"/>
      <c r="AA490" s="194"/>
      <c r="AB490" s="194"/>
      <c r="AC490" s="194"/>
      <c r="AD490" s="194"/>
      <c r="AE490" s="194"/>
      <c r="AF490" s="194"/>
      <c r="AG490" s="197"/>
      <c r="AH490" s="194"/>
      <c r="AI490" s="194"/>
      <c r="AJ490" s="194"/>
      <c r="AK490" s="104">
        <v>486</v>
      </c>
      <c r="AL490" s="14">
        <f t="shared" si="365"/>
        <v>10</v>
      </c>
      <c r="AM490" s="14">
        <f>INDEX(挂机升级突破!DQ$6:DQ$57,卡牌消耗!$AT490)</f>
        <v>11</v>
      </c>
      <c r="AN490" s="14">
        <f>INDEX(挂机升级突破!DR$6:DR$57,卡牌消耗!$AT490)</f>
        <v>3</v>
      </c>
      <c r="AO490" s="14">
        <f>INDEX(挂机升级突破!DS$6:DS$57,卡牌消耗!$AT490)</f>
        <v>0</v>
      </c>
      <c r="AP490" s="14">
        <f>INDEX(挂机升级突破!$DP$6:$DP$57,卡牌消耗!AT490)</f>
        <v>63</v>
      </c>
      <c r="AQ490" s="14" t="str">
        <f t="shared" si="366"/>
        <v>张郃</v>
      </c>
      <c r="AR490" s="14">
        <f t="shared" si="367"/>
        <v>4</v>
      </c>
      <c r="AS490" s="14" t="str">
        <f t="shared" si="368"/>
        <v>张郃魂火-18</v>
      </c>
      <c r="AT490" s="14">
        <f t="shared" si="369"/>
        <v>18</v>
      </c>
      <c r="AU490" s="14" t="str">
        <f>IF(AM490&gt;0,INDEX(挂机升级突破!$DT$4:$ED$4,AM490),"")</f>
        <v>金币</v>
      </c>
      <c r="AV490" s="14">
        <f>ROUND(INDEX(挂机升级突破!$DJ$6:$DJ$57,卡牌消耗!AT490)*INDEX(卡牌消耗!$B$8:$F$8,AR490)/$Q$4/50,0)*50</f>
        <v>6150</v>
      </c>
      <c r="AW490" s="14" t="str">
        <f>IF(AN490&gt;0,INDEX(挂机升级突破!$DT$4:$ED$4,AN490),"")</f>
        <v>紫色基础材料</v>
      </c>
      <c r="AX490" s="14">
        <f>ROUND(INDEX(挂机升级突破!$DT$6:$ED$57,卡牌消耗!AT490,AN490)*INDEX(卡牌消耗!$B$5:$F$5,AR490)/$Q$4/5,0)*5</f>
        <v>55</v>
      </c>
      <c r="AY490" s="14" t="str">
        <f>IF(AO490&gt;0,INDEX(挂机升级突破!$DT$4:$ED$4,AO490),"")</f>
        <v/>
      </c>
      <c r="AZ490" s="14" t="str">
        <f>IF(AO490&gt;0,ROUND(INDEX(挂机升级突破!$DT$6:$ED$57,卡牌消耗!AT490,AO490)*INDEX(卡牌消耗!$B$7:$F$7,AR490)/$Q$4,0),"")</f>
        <v/>
      </c>
      <c r="BA490" s="106"/>
      <c r="BB490" s="197"/>
      <c r="BC490" s="197"/>
      <c r="BD490" s="197"/>
      <c r="BE490" s="197"/>
      <c r="BF490" s="197"/>
      <c r="BG490" s="197"/>
      <c r="BH490" s="197"/>
      <c r="BI490" s="197"/>
      <c r="BJ490" s="197"/>
      <c r="BK490" s="197"/>
      <c r="BL490" s="104">
        <v>486</v>
      </c>
      <c r="BM490" s="14">
        <f t="shared" si="370"/>
        <v>25</v>
      </c>
      <c r="BN490" s="14">
        <f>INDEX(挂机升级突破!$EI$7:$EI$26,BS490)</f>
        <v>5</v>
      </c>
      <c r="BO490" s="14">
        <f>INDEX(挂机升级突破!$EJ$7:$EJ$26,BS490)</f>
        <v>1</v>
      </c>
      <c r="BP490" s="14">
        <f t="shared" si="371"/>
        <v>3</v>
      </c>
      <c r="BQ490" s="14">
        <f>INDEX(挂机升级突破!$EH$7:$EH$26,卡牌消耗!BS490)</f>
        <v>42</v>
      </c>
      <c r="BR490" s="14" t="str">
        <f t="shared" si="372"/>
        <v>雷震子</v>
      </c>
      <c r="BS490" s="14">
        <f t="shared" si="373"/>
        <v>6</v>
      </c>
      <c r="BT490" s="14" t="str">
        <f t="shared" si="374"/>
        <v>雷震子6突</v>
      </c>
      <c r="BU490" s="14" t="str">
        <f>IF(BN490&gt;0,INDEX(挂机升级突破!$ER$5:$EV$5,卡牌消耗!BN490),"")</f>
        <v>金币</v>
      </c>
      <c r="BV490" s="14">
        <f>IF(BN490&gt;0,ROUND(INDEX(挂机升级突破!$EV$7:$EV$26,卡牌消耗!BS490)*INDEX(卡牌消耗!$B$8:$F$8,BP490)/$Q$4/500,0)*500,"")</f>
        <v>5000</v>
      </c>
      <c r="BW490" s="14" t="str">
        <f>IF(BO490&gt;0,INDEX(挂机升级突破!$ER$5:$EV$5,卡牌消耗!BO490),"")</f>
        <v>玄铁</v>
      </c>
      <c r="BX490" s="14">
        <f>IF(BO490&gt;0,ROUND(INDEX(挂机升级突破!$ER$7:$EU$26,卡牌消耗!BS490,卡牌消耗!BO490)*INDEX($B$6:$F$6,BP490)/$Q$4/5,0)*5,"")</f>
        <v>50</v>
      </c>
      <c r="BY490" s="193"/>
      <c r="BZ490" s="193"/>
      <c r="CA490" s="106"/>
    </row>
    <row r="491" spans="8:79" ht="16.5" x14ac:dyDescent="0.2">
      <c r="H491" s="15"/>
      <c r="I491" s="15"/>
      <c r="J491" s="15"/>
      <c r="K491" s="15"/>
      <c r="L491" s="15"/>
      <c r="M491" s="15"/>
      <c r="N491" s="15"/>
      <c r="O491" s="137"/>
      <c r="P491" s="141"/>
      <c r="Q491" s="141"/>
      <c r="R491" s="141"/>
      <c r="S491" s="141"/>
      <c r="T491" s="141"/>
      <c r="U491" s="141"/>
      <c r="V491" s="141"/>
      <c r="W491" s="141"/>
      <c r="X491" s="141"/>
      <c r="Y491" s="141"/>
      <c r="Z491" s="141"/>
      <c r="AA491" s="194"/>
      <c r="AB491" s="194"/>
      <c r="AC491" s="194"/>
      <c r="AD491" s="194"/>
      <c r="AE491" s="194"/>
      <c r="AF491" s="194"/>
      <c r="AG491" s="197"/>
      <c r="AH491" s="194"/>
      <c r="AI491" s="194"/>
      <c r="AJ491" s="194"/>
      <c r="AK491" s="104">
        <v>487</v>
      </c>
      <c r="AL491" s="14">
        <f t="shared" si="365"/>
        <v>10</v>
      </c>
      <c r="AM491" s="14">
        <f>INDEX(挂机升级突破!DQ$6:DQ$57,卡牌消耗!$AT491)</f>
        <v>11</v>
      </c>
      <c r="AN491" s="14">
        <f>INDEX(挂机升级突破!DR$6:DR$57,卡牌消耗!$AT491)</f>
        <v>3</v>
      </c>
      <c r="AO491" s="14">
        <f>INDEX(挂机升级突破!DS$6:DS$57,卡牌消耗!$AT491)</f>
        <v>0</v>
      </c>
      <c r="AP491" s="14">
        <f>INDEX(挂机升级突破!$DP$6:$DP$57,卡牌消耗!AT491)</f>
        <v>65</v>
      </c>
      <c r="AQ491" s="14" t="str">
        <f t="shared" si="366"/>
        <v>张郃</v>
      </c>
      <c r="AR491" s="14">
        <f t="shared" si="367"/>
        <v>4</v>
      </c>
      <c r="AS491" s="14" t="str">
        <f t="shared" si="368"/>
        <v>张郃魂火-19</v>
      </c>
      <c r="AT491" s="14">
        <f t="shared" si="369"/>
        <v>19</v>
      </c>
      <c r="AU491" s="14" t="str">
        <f>IF(AM491&gt;0,INDEX(挂机升级突破!$DT$4:$ED$4,AM491),"")</f>
        <v>金币</v>
      </c>
      <c r="AV491" s="14">
        <f>ROUND(INDEX(挂机升级突破!$DJ$6:$DJ$57,卡牌消耗!AT491)*INDEX(卡牌消耗!$B$8:$F$8,AR491)/$Q$4/50,0)*50</f>
        <v>6150</v>
      </c>
      <c r="AW491" s="14" t="str">
        <f>IF(AN491&gt;0,INDEX(挂机升级突破!$DT$4:$ED$4,AN491),"")</f>
        <v>紫色基础材料</v>
      </c>
      <c r="AX491" s="14">
        <f>ROUND(INDEX(挂机升级突破!$DT$6:$ED$57,卡牌消耗!AT491,AN491)*INDEX(卡牌消耗!$B$5:$F$5,AR491)/$Q$4/5,0)*5</f>
        <v>55</v>
      </c>
      <c r="AY491" s="14" t="str">
        <f>IF(AO491&gt;0,INDEX(挂机升级突破!$DT$4:$ED$4,AO491),"")</f>
        <v/>
      </c>
      <c r="AZ491" s="14" t="str">
        <f>IF(AO491&gt;0,ROUND(INDEX(挂机升级突破!$DT$6:$ED$57,卡牌消耗!AT491,AO491)*INDEX(卡牌消耗!$B$7:$F$7,AR491)/$Q$4,0),"")</f>
        <v/>
      </c>
      <c r="BA491" s="106"/>
      <c r="BB491" s="197"/>
      <c r="BC491" s="197"/>
      <c r="BD491" s="197"/>
      <c r="BE491" s="197"/>
      <c r="BF491" s="197"/>
      <c r="BG491" s="197"/>
      <c r="BH491" s="197"/>
      <c r="BI491" s="197"/>
      <c r="BJ491" s="197"/>
      <c r="BK491" s="197"/>
      <c r="BL491" s="104">
        <v>487</v>
      </c>
      <c r="BM491" s="14">
        <f t="shared" si="370"/>
        <v>25</v>
      </c>
      <c r="BN491" s="14">
        <f>INDEX(挂机升级突破!$EI$7:$EI$26,BS491)</f>
        <v>5</v>
      </c>
      <c r="BO491" s="14">
        <f>INDEX(挂机升级突破!$EJ$7:$EJ$26,BS491)</f>
        <v>1</v>
      </c>
      <c r="BP491" s="14">
        <f t="shared" si="371"/>
        <v>3</v>
      </c>
      <c r="BQ491" s="14">
        <f>INDEX(挂机升级突破!$EH$7:$EH$26,卡牌消耗!BS491)</f>
        <v>47</v>
      </c>
      <c r="BR491" s="14" t="str">
        <f t="shared" si="372"/>
        <v>雷震子</v>
      </c>
      <c r="BS491" s="14">
        <f t="shared" si="373"/>
        <v>7</v>
      </c>
      <c r="BT491" s="14" t="str">
        <f t="shared" si="374"/>
        <v>雷震子7突</v>
      </c>
      <c r="BU491" s="14" t="str">
        <f>IF(BN491&gt;0,INDEX(挂机升级突破!$ER$5:$EV$5,卡牌消耗!BN491),"")</f>
        <v>金币</v>
      </c>
      <c r="BV491" s="14">
        <f>IF(BN491&gt;0,ROUND(INDEX(挂机升级突破!$EV$7:$EV$26,卡牌消耗!BS491)*INDEX(卡牌消耗!$B$8:$F$8,BP491)/$Q$4/500,0)*500,"")</f>
        <v>8000</v>
      </c>
      <c r="BW491" s="14" t="str">
        <f>IF(BO491&gt;0,INDEX(挂机升级突破!$ER$5:$EV$5,卡牌消耗!BO491),"")</f>
        <v>玄铁</v>
      </c>
      <c r="BX491" s="14">
        <f>IF(BO491&gt;0,ROUND(INDEX(挂机升级突破!$ER$7:$EU$26,卡牌消耗!BS491,卡牌消耗!BO491)*INDEX($B$6:$F$6,BP491)/$Q$4/5,0)*5,"")</f>
        <v>85</v>
      </c>
      <c r="BY491" s="193"/>
      <c r="BZ491" s="193"/>
      <c r="CA491" s="106"/>
    </row>
    <row r="492" spans="8:79" ht="16.5" x14ac:dyDescent="0.2">
      <c r="H492" s="15"/>
      <c r="I492" s="15"/>
      <c r="J492" s="15"/>
      <c r="K492" s="15"/>
      <c r="L492" s="15"/>
      <c r="M492" s="15"/>
      <c r="N492" s="15"/>
      <c r="O492" s="137"/>
      <c r="P492" s="141"/>
      <c r="Q492" s="141"/>
      <c r="R492" s="141"/>
      <c r="S492" s="141"/>
      <c r="T492" s="141"/>
      <c r="U492" s="141"/>
      <c r="V492" s="141"/>
      <c r="W492" s="141"/>
      <c r="X492" s="141"/>
      <c r="Y492" s="141"/>
      <c r="Z492" s="141"/>
      <c r="AA492" s="194"/>
      <c r="AB492" s="194"/>
      <c r="AC492" s="194"/>
      <c r="AD492" s="194"/>
      <c r="AE492" s="194"/>
      <c r="AF492" s="194"/>
      <c r="AG492" s="197"/>
      <c r="AH492" s="194"/>
      <c r="AI492" s="194"/>
      <c r="AJ492" s="194"/>
      <c r="AK492" s="104">
        <v>488</v>
      </c>
      <c r="AL492" s="14">
        <f t="shared" si="365"/>
        <v>10</v>
      </c>
      <c r="AM492" s="14">
        <f>INDEX(挂机升级突破!DQ$6:DQ$57,卡牌消耗!$AT492)</f>
        <v>11</v>
      </c>
      <c r="AN492" s="14">
        <f>INDEX(挂机升级突破!DR$6:DR$57,卡牌消耗!$AT492)</f>
        <v>3</v>
      </c>
      <c r="AO492" s="14">
        <f>INDEX(挂机升级突破!DS$6:DS$57,卡牌消耗!$AT492)</f>
        <v>0</v>
      </c>
      <c r="AP492" s="14">
        <f>INDEX(挂机升级突破!$DP$6:$DP$57,卡牌消耗!AT492)</f>
        <v>68</v>
      </c>
      <c r="AQ492" s="14" t="str">
        <f t="shared" si="366"/>
        <v>张郃</v>
      </c>
      <c r="AR492" s="14">
        <f t="shared" si="367"/>
        <v>4</v>
      </c>
      <c r="AS492" s="14" t="str">
        <f t="shared" si="368"/>
        <v>张郃魂火-20</v>
      </c>
      <c r="AT492" s="14">
        <f t="shared" si="369"/>
        <v>20</v>
      </c>
      <c r="AU492" s="14" t="str">
        <f>IF(AM492&gt;0,INDEX(挂机升级突破!$DT$4:$ED$4,AM492),"")</f>
        <v>金币</v>
      </c>
      <c r="AV492" s="14">
        <f>ROUND(INDEX(挂机升级突破!$DJ$6:$DJ$57,卡牌消耗!AT492)*INDEX(卡牌消耗!$B$8:$F$8,AR492)/$Q$4/50,0)*50</f>
        <v>7550</v>
      </c>
      <c r="AW492" s="14" t="str">
        <f>IF(AN492&gt;0,INDEX(挂机升级突破!$DT$4:$ED$4,AN492),"")</f>
        <v>紫色基础材料</v>
      </c>
      <c r="AX492" s="14">
        <f>ROUND(INDEX(挂机升级突破!$DT$6:$ED$57,卡牌消耗!AT492,AN492)*INDEX(卡牌消耗!$B$5:$F$5,AR492)/$Q$4/5,0)*5</f>
        <v>85</v>
      </c>
      <c r="AY492" s="14" t="str">
        <f>IF(AO492&gt;0,INDEX(挂机升级突破!$DT$4:$ED$4,AO492),"")</f>
        <v/>
      </c>
      <c r="AZ492" s="14" t="str">
        <f>IF(AO492&gt;0,ROUND(INDEX(挂机升级突破!$DT$6:$ED$57,卡牌消耗!AT492,AO492)*INDEX(卡牌消耗!$B$7:$F$7,AR492)/$Q$4,0),"")</f>
        <v/>
      </c>
      <c r="BA492" s="106"/>
      <c r="BB492" s="197"/>
      <c r="BC492" s="197"/>
      <c r="BD492" s="197"/>
      <c r="BE492" s="197"/>
      <c r="BF492" s="197"/>
      <c r="BG492" s="197"/>
      <c r="BH492" s="197"/>
      <c r="BI492" s="197"/>
      <c r="BJ492" s="197"/>
      <c r="BK492" s="197"/>
      <c r="BL492" s="104">
        <v>488</v>
      </c>
      <c r="BM492" s="14">
        <f t="shared" si="370"/>
        <v>25</v>
      </c>
      <c r="BN492" s="14">
        <f>INDEX(挂机升级突破!$EI$7:$EI$26,BS492)</f>
        <v>5</v>
      </c>
      <c r="BO492" s="14">
        <f>INDEX(挂机升级突破!$EJ$7:$EJ$26,BS492)</f>
        <v>1</v>
      </c>
      <c r="BP492" s="14">
        <f t="shared" si="371"/>
        <v>3</v>
      </c>
      <c r="BQ492" s="14">
        <f>INDEX(挂机升级突破!$EH$7:$EH$26,卡牌消耗!BS492)</f>
        <v>52</v>
      </c>
      <c r="BR492" s="14" t="str">
        <f t="shared" si="372"/>
        <v>雷震子</v>
      </c>
      <c r="BS492" s="14">
        <f t="shared" si="373"/>
        <v>8</v>
      </c>
      <c r="BT492" s="14" t="str">
        <f t="shared" si="374"/>
        <v>雷震子8突</v>
      </c>
      <c r="BU492" s="14" t="str">
        <f>IF(BN492&gt;0,INDEX(挂机升级突破!$ER$5:$EV$5,卡牌消耗!BN492),"")</f>
        <v>金币</v>
      </c>
      <c r="BV492" s="14">
        <f>IF(BN492&gt;0,ROUND(INDEX(挂机升级突破!$EV$7:$EV$26,卡牌消耗!BS492)*INDEX(卡牌消耗!$B$8:$F$8,BP492)/$Q$4/500,0)*500,"")</f>
        <v>8000</v>
      </c>
      <c r="BW492" s="14" t="str">
        <f>IF(BO492&gt;0,INDEX(挂机升级突破!$ER$5:$EV$5,卡牌消耗!BO492),"")</f>
        <v>玄铁</v>
      </c>
      <c r="BX492" s="14">
        <f>IF(BO492&gt;0,ROUND(INDEX(挂机升级突破!$ER$7:$EU$26,卡牌消耗!BS492,卡牌消耗!BO492)*INDEX($B$6:$F$6,BP492)/$Q$4/5,0)*5,"")</f>
        <v>150</v>
      </c>
      <c r="BY492" s="193"/>
      <c r="BZ492" s="193"/>
      <c r="CA492" s="106"/>
    </row>
    <row r="493" spans="8:79" ht="16.5" x14ac:dyDescent="0.2">
      <c r="H493" s="15"/>
      <c r="I493" s="15"/>
      <c r="J493" s="15"/>
      <c r="K493" s="15"/>
      <c r="L493" s="15"/>
      <c r="M493" s="15"/>
      <c r="N493" s="15"/>
      <c r="O493" s="137"/>
      <c r="P493" s="141"/>
      <c r="Q493" s="141"/>
      <c r="R493" s="141"/>
      <c r="S493" s="141"/>
      <c r="T493" s="141"/>
      <c r="U493" s="141"/>
      <c r="V493" s="141"/>
      <c r="W493" s="141"/>
      <c r="X493" s="141"/>
      <c r="Y493" s="141"/>
      <c r="Z493" s="141"/>
      <c r="AA493" s="194"/>
      <c r="AB493" s="194"/>
      <c r="AC493" s="194"/>
      <c r="AD493" s="194"/>
      <c r="AE493" s="194"/>
      <c r="AF493" s="194"/>
      <c r="AG493" s="197"/>
      <c r="AH493" s="194"/>
      <c r="AI493" s="194"/>
      <c r="AJ493" s="194"/>
      <c r="AK493" s="104">
        <v>489</v>
      </c>
      <c r="AL493" s="14">
        <f t="shared" si="365"/>
        <v>10</v>
      </c>
      <c r="AM493" s="14">
        <f>INDEX(挂机升级突破!DQ$6:DQ$57,卡牌消耗!$AT493)</f>
        <v>11</v>
      </c>
      <c r="AN493" s="14">
        <f>INDEX(挂机升级突破!DR$6:DR$57,卡牌消耗!$AT493)</f>
        <v>3</v>
      </c>
      <c r="AO493" s="14">
        <f>INDEX(挂机升级突破!DS$6:DS$57,卡牌消耗!$AT493)</f>
        <v>0</v>
      </c>
      <c r="AP493" s="14">
        <f>INDEX(挂机升级突破!$DP$6:$DP$57,卡牌消耗!AT493)</f>
        <v>70</v>
      </c>
      <c r="AQ493" s="14" t="str">
        <f t="shared" si="366"/>
        <v>张郃</v>
      </c>
      <c r="AR493" s="14">
        <f t="shared" si="367"/>
        <v>4</v>
      </c>
      <c r="AS493" s="14" t="str">
        <f t="shared" si="368"/>
        <v>张郃魂火-21</v>
      </c>
      <c r="AT493" s="14">
        <f t="shared" si="369"/>
        <v>21</v>
      </c>
      <c r="AU493" s="14" t="str">
        <f>IF(AM493&gt;0,INDEX(挂机升级突破!$DT$4:$ED$4,AM493),"")</f>
        <v>金币</v>
      </c>
      <c r="AV493" s="14">
        <f>ROUND(INDEX(挂机升级突破!$DJ$6:$DJ$57,卡牌消耗!AT493)*INDEX(卡牌消耗!$B$8:$F$8,AR493)/$Q$4/50,0)*50</f>
        <v>7550</v>
      </c>
      <c r="AW493" s="14" t="str">
        <f>IF(AN493&gt;0,INDEX(挂机升级突破!$DT$4:$ED$4,AN493),"")</f>
        <v>紫色基础材料</v>
      </c>
      <c r="AX493" s="14">
        <f>ROUND(INDEX(挂机升级突破!$DT$6:$ED$57,卡牌消耗!AT493,AN493)*INDEX(卡牌消耗!$B$5:$F$5,AR493)/$Q$4/5,0)*5</f>
        <v>85</v>
      </c>
      <c r="AY493" s="14" t="str">
        <f>IF(AO493&gt;0,INDEX(挂机升级突破!$DT$4:$ED$4,AO493),"")</f>
        <v/>
      </c>
      <c r="AZ493" s="14" t="str">
        <f>IF(AO493&gt;0,ROUND(INDEX(挂机升级突破!$DT$6:$ED$57,卡牌消耗!AT493,AO493)*INDEX(卡牌消耗!$B$7:$F$7,AR493)/$Q$4,0),"")</f>
        <v/>
      </c>
      <c r="BA493" s="106"/>
      <c r="BB493" s="197"/>
      <c r="BC493" s="197"/>
      <c r="BD493" s="197"/>
      <c r="BE493" s="197"/>
      <c r="BF493" s="197"/>
      <c r="BG493" s="197"/>
      <c r="BH493" s="197"/>
      <c r="BI493" s="197"/>
      <c r="BJ493" s="197"/>
      <c r="BK493" s="197"/>
      <c r="BL493" s="104">
        <v>489</v>
      </c>
      <c r="BM493" s="14">
        <f t="shared" si="370"/>
        <v>25</v>
      </c>
      <c r="BN493" s="14">
        <f>INDEX(挂机升级突破!$EI$7:$EI$26,BS493)</f>
        <v>5</v>
      </c>
      <c r="BO493" s="14">
        <f>INDEX(挂机升级突破!$EJ$7:$EJ$26,BS493)</f>
        <v>2</v>
      </c>
      <c r="BP493" s="14">
        <f t="shared" si="371"/>
        <v>3</v>
      </c>
      <c r="BQ493" s="14">
        <f>INDEX(挂机升级突破!$EH$7:$EH$26,卡牌消耗!BS493)</f>
        <v>57</v>
      </c>
      <c r="BR493" s="14" t="str">
        <f t="shared" si="372"/>
        <v>雷震子</v>
      </c>
      <c r="BS493" s="14">
        <f t="shared" si="373"/>
        <v>9</v>
      </c>
      <c r="BT493" s="14" t="str">
        <f t="shared" si="374"/>
        <v>雷震子9突</v>
      </c>
      <c r="BU493" s="14" t="str">
        <f>IF(BN493&gt;0,INDEX(挂机升级突破!$ER$5:$EV$5,卡牌消耗!BN493),"")</f>
        <v>金币</v>
      </c>
      <c r="BV493" s="14">
        <f>IF(BN493&gt;0,ROUND(INDEX(挂机升级突破!$EV$7:$EV$26,卡牌消耗!BS493)*INDEX(卡牌消耗!$B$8:$F$8,BP493)/$Q$4/500,0)*500,"")</f>
        <v>11000</v>
      </c>
      <c r="BW493" s="14" t="str">
        <f>IF(BO493&gt;0,INDEX(挂机升级突破!$ER$5:$EV$5,卡牌消耗!BO493),"")</f>
        <v>乌金</v>
      </c>
      <c r="BX493" s="14">
        <f>IF(BO493&gt;0,ROUND(INDEX(挂机升级突破!$ER$7:$EU$26,卡牌消耗!BS493,卡牌消耗!BO493)*INDEX($B$6:$F$6,BP493)/$Q$4/5,0)*5,"")</f>
        <v>50</v>
      </c>
      <c r="BY493" s="193"/>
      <c r="BZ493" s="193"/>
      <c r="CA493" s="106"/>
    </row>
    <row r="494" spans="8:79" ht="16.5" x14ac:dyDescent="0.2">
      <c r="H494" s="15"/>
      <c r="I494" s="15"/>
      <c r="J494" s="15"/>
      <c r="K494" s="15"/>
      <c r="L494" s="15"/>
      <c r="M494" s="15"/>
      <c r="N494" s="15"/>
      <c r="O494" s="137"/>
      <c r="P494" s="141"/>
      <c r="Q494" s="141"/>
      <c r="R494" s="141"/>
      <c r="S494" s="141"/>
      <c r="T494" s="141"/>
      <c r="U494" s="141"/>
      <c r="V494" s="141"/>
      <c r="W494" s="141"/>
      <c r="X494" s="141"/>
      <c r="Y494" s="141"/>
      <c r="Z494" s="141"/>
      <c r="AA494" s="194"/>
      <c r="AB494" s="194"/>
      <c r="AC494" s="194"/>
      <c r="AD494" s="194"/>
      <c r="AE494" s="194"/>
      <c r="AF494" s="194"/>
      <c r="AG494" s="197"/>
      <c r="AH494" s="194"/>
      <c r="AI494" s="194"/>
      <c r="AJ494" s="194"/>
      <c r="AK494" s="104">
        <v>490</v>
      </c>
      <c r="AL494" s="14">
        <f t="shared" si="365"/>
        <v>10</v>
      </c>
      <c r="AM494" s="14">
        <f>INDEX(挂机升级突破!DQ$6:DQ$57,卡牌消耗!$AT494)</f>
        <v>11</v>
      </c>
      <c r="AN494" s="14">
        <f>INDEX(挂机升级突破!DR$6:DR$57,卡牌消耗!$AT494)</f>
        <v>3</v>
      </c>
      <c r="AO494" s="14">
        <f>INDEX(挂机升级突破!DS$6:DS$57,卡牌消耗!$AT494)</f>
        <v>0</v>
      </c>
      <c r="AP494" s="14">
        <f>INDEX(挂机升级突破!$DP$6:$DP$57,卡牌消耗!AT494)</f>
        <v>73</v>
      </c>
      <c r="AQ494" s="14" t="str">
        <f t="shared" si="366"/>
        <v>张郃</v>
      </c>
      <c r="AR494" s="14">
        <f t="shared" si="367"/>
        <v>4</v>
      </c>
      <c r="AS494" s="14" t="str">
        <f t="shared" si="368"/>
        <v>张郃魂火-22</v>
      </c>
      <c r="AT494" s="14">
        <f t="shared" si="369"/>
        <v>22</v>
      </c>
      <c r="AU494" s="14" t="str">
        <f>IF(AM494&gt;0,INDEX(挂机升级突破!$DT$4:$ED$4,AM494),"")</f>
        <v>金币</v>
      </c>
      <c r="AV494" s="14">
        <f>ROUND(INDEX(挂机升级突破!$DJ$6:$DJ$57,卡牌消耗!AT494)*INDEX(卡牌消耗!$B$8:$F$8,AR494)/$Q$4/50,0)*50</f>
        <v>7550</v>
      </c>
      <c r="AW494" s="14" t="str">
        <f>IF(AN494&gt;0,INDEX(挂机升级突破!$DT$4:$ED$4,AN494),"")</f>
        <v>紫色基础材料</v>
      </c>
      <c r="AX494" s="14">
        <f>ROUND(INDEX(挂机升级突破!$DT$6:$ED$57,卡牌消耗!AT494,AN494)*INDEX(卡牌消耗!$B$5:$F$5,AR494)/$Q$4/5,0)*5</f>
        <v>85</v>
      </c>
      <c r="AY494" s="14" t="str">
        <f>IF(AO494&gt;0,INDEX(挂机升级突破!$DT$4:$ED$4,AO494),"")</f>
        <v/>
      </c>
      <c r="AZ494" s="14" t="str">
        <f>IF(AO494&gt;0,ROUND(INDEX(挂机升级突破!$DT$6:$ED$57,卡牌消耗!AT494,AO494)*INDEX(卡牌消耗!$B$7:$F$7,AR494)/$Q$4,0),"")</f>
        <v/>
      </c>
      <c r="BA494" s="106"/>
      <c r="BB494" s="197"/>
      <c r="BC494" s="197"/>
      <c r="BD494" s="197"/>
      <c r="BE494" s="197"/>
      <c r="BF494" s="197"/>
      <c r="BG494" s="197"/>
      <c r="BH494" s="197"/>
      <c r="BI494" s="197"/>
      <c r="BJ494" s="197"/>
      <c r="BK494" s="197"/>
      <c r="BL494" s="104">
        <v>490</v>
      </c>
      <c r="BM494" s="14">
        <f t="shared" si="370"/>
        <v>25</v>
      </c>
      <c r="BN494" s="14">
        <f>INDEX(挂机升级突破!$EI$7:$EI$26,BS494)</f>
        <v>5</v>
      </c>
      <c r="BO494" s="14">
        <f>INDEX(挂机升级突破!$EJ$7:$EJ$26,BS494)</f>
        <v>2</v>
      </c>
      <c r="BP494" s="14">
        <f t="shared" si="371"/>
        <v>3</v>
      </c>
      <c r="BQ494" s="14">
        <f>INDEX(挂机升级突破!$EH$7:$EH$26,卡牌消耗!BS494)</f>
        <v>65</v>
      </c>
      <c r="BR494" s="14" t="str">
        <f t="shared" si="372"/>
        <v>雷震子</v>
      </c>
      <c r="BS494" s="14">
        <f t="shared" si="373"/>
        <v>10</v>
      </c>
      <c r="BT494" s="14" t="str">
        <f t="shared" si="374"/>
        <v>雷震子10突</v>
      </c>
      <c r="BU494" s="14" t="str">
        <f>IF(BN494&gt;0,INDEX(挂机升级突破!$ER$5:$EV$5,卡牌消耗!BN494),"")</f>
        <v>金币</v>
      </c>
      <c r="BV494" s="14">
        <f>IF(BN494&gt;0,ROUND(INDEX(挂机升级突破!$EV$7:$EV$26,卡牌消耗!BS494)*INDEX(卡牌消耗!$B$8:$F$8,BP494)/$Q$4/500,0)*500,"")</f>
        <v>19000</v>
      </c>
      <c r="BW494" s="14" t="str">
        <f>IF(BO494&gt;0,INDEX(挂机升级突破!$ER$5:$EV$5,卡牌消耗!BO494),"")</f>
        <v>乌金</v>
      </c>
      <c r="BX494" s="14">
        <f>IF(BO494&gt;0,ROUND(INDEX(挂机升级突破!$ER$7:$EU$26,卡牌消耗!BS494,卡牌消耗!BO494)*INDEX($B$6:$F$6,BP494)/$Q$4/5,0)*5,"")</f>
        <v>70</v>
      </c>
      <c r="BY494" s="193"/>
      <c r="BZ494" s="193"/>
      <c r="CA494" s="106"/>
    </row>
    <row r="495" spans="8:79" ht="16.5" x14ac:dyDescent="0.2">
      <c r="H495" s="15"/>
      <c r="I495" s="15"/>
      <c r="J495" s="15"/>
      <c r="K495" s="15"/>
      <c r="L495" s="15"/>
      <c r="M495" s="15"/>
      <c r="N495" s="15"/>
      <c r="O495" s="137"/>
      <c r="P495" s="141"/>
      <c r="Q495" s="141"/>
      <c r="R495" s="141"/>
      <c r="S495" s="141"/>
      <c r="T495" s="141"/>
      <c r="U495" s="141"/>
      <c r="V495" s="141"/>
      <c r="W495" s="141"/>
      <c r="X495" s="141"/>
      <c r="Y495" s="141"/>
      <c r="Z495" s="141"/>
      <c r="AA495" s="194"/>
      <c r="AB495" s="194"/>
      <c r="AC495" s="194"/>
      <c r="AD495" s="194"/>
      <c r="AE495" s="194"/>
      <c r="AF495" s="194"/>
      <c r="AG495" s="197"/>
      <c r="AH495" s="194"/>
      <c r="AI495" s="194"/>
      <c r="AJ495" s="194"/>
      <c r="AK495" s="104">
        <v>491</v>
      </c>
      <c r="AL495" s="14">
        <f t="shared" si="365"/>
        <v>10</v>
      </c>
      <c r="AM495" s="14">
        <f>INDEX(挂机升级突破!DQ$6:DQ$57,卡牌消耗!$AT495)</f>
        <v>11</v>
      </c>
      <c r="AN495" s="14">
        <f>INDEX(挂机升级突破!DR$6:DR$57,卡牌消耗!$AT495)</f>
        <v>4</v>
      </c>
      <c r="AO495" s="14">
        <f>INDEX(挂机升级突破!DS$6:DS$57,卡牌消耗!$AT495)</f>
        <v>0</v>
      </c>
      <c r="AP495" s="14">
        <f>INDEX(挂机升级突破!$DP$6:$DP$57,卡牌消耗!AT495)</f>
        <v>75</v>
      </c>
      <c r="AQ495" s="14" t="str">
        <f t="shared" si="366"/>
        <v>张郃</v>
      </c>
      <c r="AR495" s="14">
        <f t="shared" si="367"/>
        <v>4</v>
      </c>
      <c r="AS495" s="14" t="str">
        <f t="shared" si="368"/>
        <v>张郃魂火-23</v>
      </c>
      <c r="AT495" s="14">
        <f t="shared" si="369"/>
        <v>23</v>
      </c>
      <c r="AU495" s="14" t="str">
        <f>IF(AM495&gt;0,INDEX(挂机升级突破!$DT$4:$ED$4,AM495),"")</f>
        <v>金币</v>
      </c>
      <c r="AV495" s="14">
        <f>ROUND(INDEX(挂机升级突破!$DJ$6:$DJ$57,卡牌消耗!AT495)*INDEX(卡牌消耗!$B$8:$F$8,AR495)/$Q$4/50,0)*50</f>
        <v>10350</v>
      </c>
      <c r="AW495" s="14" t="str">
        <f>IF(AN495&gt;0,INDEX(挂机升级突破!$DT$4:$ED$4,AN495),"")</f>
        <v>橙色基础材料</v>
      </c>
      <c r="AX495" s="14">
        <f>ROUND(INDEX(挂机升级突破!$DT$6:$ED$57,卡牌消耗!AT495,AN495)*INDEX(卡牌消耗!$B$5:$F$5,AR495)/$Q$4/5,0)*5</f>
        <v>25</v>
      </c>
      <c r="AY495" s="14" t="str">
        <f>IF(AO495&gt;0,INDEX(挂机升级突破!$DT$4:$ED$4,AO495),"")</f>
        <v/>
      </c>
      <c r="AZ495" s="14" t="str">
        <f>IF(AO495&gt;0,ROUND(INDEX(挂机升级突破!$DT$6:$ED$57,卡牌消耗!AT495,AO495)*INDEX(卡牌消耗!$B$7:$F$7,AR495)/$Q$4,0),"")</f>
        <v/>
      </c>
      <c r="BA495" s="106"/>
      <c r="BB495" s="197"/>
      <c r="BC495" s="197"/>
      <c r="BD495" s="197"/>
      <c r="BE495" s="197"/>
      <c r="BF495" s="197"/>
      <c r="BG495" s="197"/>
      <c r="BH495" s="197"/>
      <c r="BI495" s="197"/>
      <c r="BJ495" s="197"/>
      <c r="BK495" s="197"/>
      <c r="BL495" s="104">
        <v>491</v>
      </c>
      <c r="BM495" s="14">
        <f t="shared" si="370"/>
        <v>25</v>
      </c>
      <c r="BN495" s="14">
        <f>INDEX(挂机升级突破!$EI$7:$EI$26,BS495)</f>
        <v>5</v>
      </c>
      <c r="BO495" s="14">
        <f>INDEX(挂机升级突破!$EJ$7:$EJ$26,BS495)</f>
        <v>2</v>
      </c>
      <c r="BP495" s="14">
        <f t="shared" si="371"/>
        <v>3</v>
      </c>
      <c r="BQ495" s="14">
        <f>INDEX(挂机升级突破!$EH$7:$EH$26,卡牌消耗!BS495)</f>
        <v>72</v>
      </c>
      <c r="BR495" s="14" t="str">
        <f t="shared" si="372"/>
        <v>雷震子</v>
      </c>
      <c r="BS495" s="14">
        <f t="shared" si="373"/>
        <v>11</v>
      </c>
      <c r="BT495" s="14" t="str">
        <f t="shared" si="374"/>
        <v>雷震子11突</v>
      </c>
      <c r="BU495" s="14" t="str">
        <f>IF(BN495&gt;0,INDEX(挂机升级突破!$ER$5:$EV$5,卡牌消耗!BN495),"")</f>
        <v>金币</v>
      </c>
      <c r="BV495" s="14">
        <f>IF(BN495&gt;0,ROUND(INDEX(挂机升级突破!$EV$7:$EV$26,卡牌消耗!BS495)*INDEX(卡牌消耗!$B$8:$F$8,BP495)/$Q$4/500,0)*500,"")</f>
        <v>19000</v>
      </c>
      <c r="BW495" s="14" t="str">
        <f>IF(BO495&gt;0,INDEX(挂机升级突破!$ER$5:$EV$5,卡牌消耗!BO495),"")</f>
        <v>乌金</v>
      </c>
      <c r="BX495" s="14">
        <f>IF(BO495&gt;0,ROUND(INDEX(挂机升级突破!$ER$7:$EU$26,卡牌消耗!BS495,卡牌消耗!BO495)*INDEX($B$6:$F$6,BP495)/$Q$4/5,0)*5,"")</f>
        <v>90</v>
      </c>
      <c r="BY495" s="193"/>
      <c r="BZ495" s="193"/>
      <c r="CA495" s="106"/>
    </row>
    <row r="496" spans="8:79" ht="16.5" x14ac:dyDescent="0.2">
      <c r="H496" s="15"/>
      <c r="I496" s="15"/>
      <c r="J496" s="15"/>
      <c r="K496" s="15"/>
      <c r="L496" s="15"/>
      <c r="M496" s="15"/>
      <c r="N496" s="15"/>
      <c r="O496" s="137"/>
      <c r="P496" s="141"/>
      <c r="Q496" s="141"/>
      <c r="R496" s="141"/>
      <c r="S496" s="141"/>
      <c r="T496" s="141"/>
      <c r="U496" s="141"/>
      <c r="V496" s="141"/>
      <c r="W496" s="141"/>
      <c r="X496" s="141"/>
      <c r="Y496" s="141"/>
      <c r="Z496" s="141"/>
      <c r="AA496" s="194"/>
      <c r="AB496" s="194"/>
      <c r="AC496" s="194"/>
      <c r="AD496" s="194"/>
      <c r="AE496" s="194"/>
      <c r="AF496" s="194"/>
      <c r="AG496" s="197"/>
      <c r="AH496" s="194"/>
      <c r="AI496" s="194"/>
      <c r="AJ496" s="194"/>
      <c r="AK496" s="104">
        <v>492</v>
      </c>
      <c r="AL496" s="14">
        <f t="shared" si="365"/>
        <v>10</v>
      </c>
      <c r="AM496" s="14">
        <f>INDEX(挂机升级突破!DQ$6:DQ$57,卡牌消耗!$AT496)</f>
        <v>11</v>
      </c>
      <c r="AN496" s="14">
        <f>INDEX(挂机升级突破!DR$6:DR$57,卡牌消耗!$AT496)</f>
        <v>4</v>
      </c>
      <c r="AO496" s="14">
        <f>INDEX(挂机升级突破!DS$6:DS$57,卡牌消耗!$AT496)</f>
        <v>0</v>
      </c>
      <c r="AP496" s="14">
        <f>INDEX(挂机升级突破!$DP$6:$DP$57,卡牌消耗!AT496)</f>
        <v>78</v>
      </c>
      <c r="AQ496" s="14" t="str">
        <f t="shared" si="366"/>
        <v>张郃</v>
      </c>
      <c r="AR496" s="14">
        <f t="shared" si="367"/>
        <v>4</v>
      </c>
      <c r="AS496" s="14" t="str">
        <f t="shared" si="368"/>
        <v>张郃魂火-24</v>
      </c>
      <c r="AT496" s="14">
        <f t="shared" si="369"/>
        <v>24</v>
      </c>
      <c r="AU496" s="14" t="str">
        <f>IF(AM496&gt;0,INDEX(挂机升级突破!$DT$4:$ED$4,AM496),"")</f>
        <v>金币</v>
      </c>
      <c r="AV496" s="14">
        <f>ROUND(INDEX(挂机升级突破!$DJ$6:$DJ$57,卡牌消耗!AT496)*INDEX(卡牌消耗!$B$8:$F$8,AR496)/$Q$4/50,0)*50</f>
        <v>10350</v>
      </c>
      <c r="AW496" s="14" t="str">
        <f>IF(AN496&gt;0,INDEX(挂机升级突破!$DT$4:$ED$4,AN496),"")</f>
        <v>橙色基础材料</v>
      </c>
      <c r="AX496" s="14">
        <f>ROUND(INDEX(挂机升级突破!$DT$6:$ED$57,卡牌消耗!AT496,AN496)*INDEX(卡牌消耗!$B$5:$F$5,AR496)/$Q$4/5,0)*5</f>
        <v>25</v>
      </c>
      <c r="AY496" s="14" t="str">
        <f>IF(AO496&gt;0,INDEX(挂机升级突破!$DT$4:$ED$4,AO496),"")</f>
        <v/>
      </c>
      <c r="AZ496" s="14" t="str">
        <f>IF(AO496&gt;0,ROUND(INDEX(挂机升级突破!$DT$6:$ED$57,卡牌消耗!AT496,AO496)*INDEX(卡牌消耗!$B$7:$F$7,AR496)/$Q$4,0),"")</f>
        <v/>
      </c>
      <c r="BA496" s="106"/>
      <c r="BB496" s="197"/>
      <c r="BC496" s="197"/>
      <c r="BD496" s="197"/>
      <c r="BE496" s="197"/>
      <c r="BF496" s="197"/>
      <c r="BG496" s="197"/>
      <c r="BH496" s="197"/>
      <c r="BI496" s="197"/>
      <c r="BJ496" s="197"/>
      <c r="BK496" s="197"/>
      <c r="BL496" s="104">
        <v>492</v>
      </c>
      <c r="BM496" s="14">
        <f t="shared" si="370"/>
        <v>25</v>
      </c>
      <c r="BN496" s="14">
        <f>INDEX(挂机升级突破!$EI$7:$EI$26,BS496)</f>
        <v>5</v>
      </c>
      <c r="BO496" s="14">
        <f>INDEX(挂机升级突破!$EJ$7:$EJ$26,BS496)</f>
        <v>2</v>
      </c>
      <c r="BP496" s="14">
        <f t="shared" si="371"/>
        <v>3</v>
      </c>
      <c r="BQ496" s="14">
        <f>INDEX(挂机升级突破!$EH$7:$EH$26,卡牌消耗!BS496)</f>
        <v>80</v>
      </c>
      <c r="BR496" s="14" t="str">
        <f t="shared" si="372"/>
        <v>雷震子</v>
      </c>
      <c r="BS496" s="14">
        <f t="shared" si="373"/>
        <v>12</v>
      </c>
      <c r="BT496" s="14" t="str">
        <f t="shared" si="374"/>
        <v>雷震子12突</v>
      </c>
      <c r="BU496" s="14" t="str">
        <f>IF(BN496&gt;0,INDEX(挂机升级突破!$ER$5:$EV$5,卡牌消耗!BN496),"")</f>
        <v>金币</v>
      </c>
      <c r="BV496" s="14">
        <f>IF(BN496&gt;0,ROUND(INDEX(挂机升级突破!$EV$7:$EV$26,卡牌消耗!BS496)*INDEX(卡牌消耗!$B$8:$F$8,BP496)/$Q$4/500,0)*500,"")</f>
        <v>25000</v>
      </c>
      <c r="BW496" s="14" t="str">
        <f>IF(BO496&gt;0,INDEX(挂机升级突破!$ER$5:$EV$5,卡牌消耗!BO496),"")</f>
        <v>乌金</v>
      </c>
      <c r="BX496" s="14">
        <f>IF(BO496&gt;0,ROUND(INDEX(挂机升级突破!$ER$7:$EU$26,卡牌消耗!BS496,卡牌消耗!BO496)*INDEX($B$6:$F$6,BP496)/$Q$4/5,0)*5,"")</f>
        <v>120</v>
      </c>
      <c r="BY496" s="193"/>
      <c r="BZ496" s="193"/>
      <c r="CA496" s="106"/>
    </row>
    <row r="497" spans="8:79" ht="16.5" x14ac:dyDescent="0.2">
      <c r="H497" s="15"/>
      <c r="I497" s="15"/>
      <c r="J497" s="15"/>
      <c r="K497" s="15"/>
      <c r="L497" s="15"/>
      <c r="M497" s="15"/>
      <c r="N497" s="15"/>
      <c r="O497" s="137"/>
      <c r="P497" s="141"/>
      <c r="Q497" s="141"/>
      <c r="R497" s="141"/>
      <c r="S497" s="141"/>
      <c r="T497" s="141"/>
      <c r="U497" s="141"/>
      <c r="V497" s="141"/>
      <c r="W497" s="141"/>
      <c r="X497" s="141"/>
      <c r="Y497" s="141"/>
      <c r="Z497" s="141"/>
      <c r="AA497" s="194"/>
      <c r="AB497" s="194"/>
      <c r="AC497" s="194"/>
      <c r="AD497" s="194"/>
      <c r="AE497" s="194"/>
      <c r="AF497" s="194"/>
      <c r="AG497" s="197"/>
      <c r="AH497" s="194"/>
      <c r="AI497" s="194"/>
      <c r="AJ497" s="194"/>
      <c r="AK497" s="104">
        <v>493</v>
      </c>
      <c r="AL497" s="14">
        <f t="shared" si="365"/>
        <v>10</v>
      </c>
      <c r="AM497" s="14">
        <f>INDEX(挂机升级突破!DQ$6:DQ$57,卡牌消耗!$AT497)</f>
        <v>11</v>
      </c>
      <c r="AN497" s="14">
        <f>INDEX(挂机升级突破!DR$6:DR$57,卡牌消耗!$AT497)</f>
        <v>4</v>
      </c>
      <c r="AO497" s="14">
        <f>INDEX(挂机升级突破!DS$6:DS$57,卡牌消耗!$AT497)</f>
        <v>0</v>
      </c>
      <c r="AP497" s="14">
        <f>INDEX(挂机升级突破!$DP$6:$DP$57,卡牌消耗!AT497)</f>
        <v>80</v>
      </c>
      <c r="AQ497" s="14" t="str">
        <f t="shared" si="366"/>
        <v>张郃</v>
      </c>
      <c r="AR497" s="14">
        <f t="shared" si="367"/>
        <v>4</v>
      </c>
      <c r="AS497" s="14" t="str">
        <f t="shared" si="368"/>
        <v>张郃魂火-25</v>
      </c>
      <c r="AT497" s="14">
        <f t="shared" si="369"/>
        <v>25</v>
      </c>
      <c r="AU497" s="14" t="str">
        <f>IF(AM497&gt;0,INDEX(挂机升级突破!$DT$4:$ED$4,AM497),"")</f>
        <v>金币</v>
      </c>
      <c r="AV497" s="14">
        <f>ROUND(INDEX(挂机升级突破!$DJ$6:$DJ$57,卡牌消耗!AT497)*INDEX(卡牌消耗!$B$8:$F$8,AR497)/$Q$4/50,0)*50</f>
        <v>11300</v>
      </c>
      <c r="AW497" s="14" t="str">
        <f>IF(AN497&gt;0,INDEX(挂机升级突破!$DT$4:$ED$4,AN497),"")</f>
        <v>橙色基础材料</v>
      </c>
      <c r="AX497" s="14">
        <f>ROUND(INDEX(挂机升级突破!$DT$6:$ED$57,卡牌消耗!AT497,AN497)*INDEX(卡牌消耗!$B$5:$F$5,AR497)/$Q$4/5,0)*5</f>
        <v>25</v>
      </c>
      <c r="AY497" s="14" t="str">
        <f>IF(AO497&gt;0,INDEX(挂机升级突破!$DT$4:$ED$4,AO497),"")</f>
        <v/>
      </c>
      <c r="AZ497" s="14" t="str">
        <f>IF(AO497&gt;0,ROUND(INDEX(挂机升级突破!$DT$6:$ED$57,卡牌消耗!AT497,AO497)*INDEX(卡牌消耗!$B$7:$F$7,AR497)/$Q$4,0),"")</f>
        <v/>
      </c>
      <c r="BA497" s="106"/>
      <c r="BB497" s="197"/>
      <c r="BC497" s="197"/>
      <c r="BD497" s="197"/>
      <c r="BE497" s="197"/>
      <c r="BF497" s="197"/>
      <c r="BG497" s="197"/>
      <c r="BH497" s="197"/>
      <c r="BI497" s="197"/>
      <c r="BJ497" s="197"/>
      <c r="BK497" s="197"/>
      <c r="BL497" s="104">
        <v>493</v>
      </c>
      <c r="BM497" s="14">
        <f t="shared" si="370"/>
        <v>25</v>
      </c>
      <c r="BN497" s="14">
        <f>INDEX(挂机升级突破!$EI$7:$EI$26,BS497)</f>
        <v>5</v>
      </c>
      <c r="BO497" s="14">
        <f>INDEX(挂机升级突破!$EJ$7:$EJ$26,BS497)</f>
        <v>3</v>
      </c>
      <c r="BP497" s="14">
        <f t="shared" si="371"/>
        <v>3</v>
      </c>
      <c r="BQ497" s="14">
        <f>INDEX(挂机升级突破!$EH$7:$EH$26,卡牌消耗!BS497)</f>
        <v>87</v>
      </c>
      <c r="BR497" s="14" t="str">
        <f t="shared" si="372"/>
        <v>雷震子</v>
      </c>
      <c r="BS497" s="14">
        <f t="shared" si="373"/>
        <v>13</v>
      </c>
      <c r="BT497" s="14" t="str">
        <f t="shared" si="374"/>
        <v>雷震子13突</v>
      </c>
      <c r="BU497" s="14" t="str">
        <f>IF(BN497&gt;0,INDEX(挂机升级突破!$ER$5:$EV$5,卡牌消耗!BN497),"")</f>
        <v>金币</v>
      </c>
      <c r="BV497" s="14">
        <f>IF(BN497&gt;0,ROUND(INDEX(挂机升级突破!$EV$7:$EV$26,卡牌消耗!BS497)*INDEX(卡牌消耗!$B$8:$F$8,BP497)/$Q$4/500,0)*500,"")</f>
        <v>33500</v>
      </c>
      <c r="BW497" s="14" t="str">
        <f>IF(BO497&gt;0,INDEX(挂机升级突破!$ER$5:$EV$5,卡牌消耗!BO497),"")</f>
        <v>银母</v>
      </c>
      <c r="BX497" s="14">
        <f>IF(BO497&gt;0,ROUND(INDEX(挂机升级突破!$ER$7:$EU$26,卡牌消耗!BS497,卡牌消耗!BO497)*INDEX($B$6:$F$6,BP497)/$Q$4/5,0)*5,"")</f>
        <v>40</v>
      </c>
      <c r="BY497" s="193"/>
      <c r="BZ497" s="193"/>
      <c r="CA497" s="106"/>
    </row>
    <row r="498" spans="8:79" ht="16.5" x14ac:dyDescent="0.2">
      <c r="H498" s="15"/>
      <c r="I498" s="15"/>
      <c r="J498" s="15"/>
      <c r="K498" s="15"/>
      <c r="L498" s="15"/>
      <c r="M498" s="15"/>
      <c r="N498" s="15"/>
      <c r="O498" s="137"/>
      <c r="P498" s="141"/>
      <c r="Q498" s="141"/>
      <c r="R498" s="141"/>
      <c r="S498" s="141"/>
      <c r="T498" s="141"/>
      <c r="U498" s="141"/>
      <c r="V498" s="141"/>
      <c r="W498" s="141"/>
      <c r="X498" s="141"/>
      <c r="Y498" s="141"/>
      <c r="Z498" s="141"/>
      <c r="AA498" s="194"/>
      <c r="AB498" s="194"/>
      <c r="AC498" s="194"/>
      <c r="AD498" s="194"/>
      <c r="AE498" s="194"/>
      <c r="AF498" s="194"/>
      <c r="AG498" s="197"/>
      <c r="AH498" s="194"/>
      <c r="AI498" s="194"/>
      <c r="AJ498" s="194"/>
      <c r="AK498" s="104">
        <v>494</v>
      </c>
      <c r="AL498" s="14">
        <f t="shared" si="365"/>
        <v>10</v>
      </c>
      <c r="AM498" s="14">
        <f>INDEX(挂机升级突破!DQ$6:DQ$57,卡牌消耗!$AT498)</f>
        <v>11</v>
      </c>
      <c r="AN498" s="14">
        <f>INDEX(挂机升级突破!DR$6:DR$57,卡牌消耗!$AT498)</f>
        <v>4</v>
      </c>
      <c r="AO498" s="14">
        <f>INDEX(挂机升级突破!DS$6:DS$57,卡牌消耗!$AT498)</f>
        <v>0</v>
      </c>
      <c r="AP498" s="14">
        <f>INDEX(挂机升级突破!$DP$6:$DP$57,卡牌消耗!AT498)</f>
        <v>83</v>
      </c>
      <c r="AQ498" s="14" t="str">
        <f t="shared" si="366"/>
        <v>张郃</v>
      </c>
      <c r="AR498" s="14">
        <f t="shared" si="367"/>
        <v>4</v>
      </c>
      <c r="AS498" s="14" t="str">
        <f t="shared" si="368"/>
        <v>张郃魂火-26</v>
      </c>
      <c r="AT498" s="14">
        <f t="shared" si="369"/>
        <v>26</v>
      </c>
      <c r="AU498" s="14" t="str">
        <f>IF(AM498&gt;0,INDEX(挂机升级突破!$DT$4:$ED$4,AM498),"")</f>
        <v>金币</v>
      </c>
      <c r="AV498" s="14">
        <f>ROUND(INDEX(挂机升级突破!$DJ$6:$DJ$57,卡牌消耗!AT498)*INDEX(卡牌消耗!$B$8:$F$8,AR498)/$Q$4/50,0)*50</f>
        <v>13150</v>
      </c>
      <c r="AW498" s="14" t="str">
        <f>IF(AN498&gt;0,INDEX(挂机升级突破!$DT$4:$ED$4,AN498),"")</f>
        <v>橙色基础材料</v>
      </c>
      <c r="AX498" s="14">
        <f>ROUND(INDEX(挂机升级突破!$DT$6:$ED$57,卡牌消耗!AT498,AN498)*INDEX(卡牌消耗!$B$5:$F$5,AR498)/$Q$4/5,0)*5</f>
        <v>30</v>
      </c>
      <c r="AY498" s="14" t="str">
        <f>IF(AO498&gt;0,INDEX(挂机升级突破!$DT$4:$ED$4,AO498),"")</f>
        <v/>
      </c>
      <c r="AZ498" s="14" t="str">
        <f>IF(AO498&gt;0,ROUND(INDEX(挂机升级突破!$DT$6:$ED$57,卡牌消耗!AT498,AO498)*INDEX(卡牌消耗!$B$7:$F$7,AR498)/$Q$4,0),"")</f>
        <v/>
      </c>
      <c r="BA498" s="106"/>
      <c r="BB498" s="197"/>
      <c r="BC498" s="197"/>
      <c r="BD498" s="197"/>
      <c r="BE498" s="197"/>
      <c r="BF498" s="197"/>
      <c r="BG498" s="197"/>
      <c r="BH498" s="197"/>
      <c r="BI498" s="197"/>
      <c r="BJ498" s="197"/>
      <c r="BK498" s="197"/>
      <c r="BL498" s="104">
        <v>494</v>
      </c>
      <c r="BM498" s="14">
        <f t="shared" si="370"/>
        <v>25</v>
      </c>
      <c r="BN498" s="14">
        <f>INDEX(挂机升级突破!$EI$7:$EI$26,BS498)</f>
        <v>5</v>
      </c>
      <c r="BO498" s="14">
        <f>INDEX(挂机升级突破!$EJ$7:$EJ$26,BS498)</f>
        <v>3</v>
      </c>
      <c r="BP498" s="14">
        <f t="shared" si="371"/>
        <v>3</v>
      </c>
      <c r="BQ498" s="14">
        <f>INDEX(挂机升级突破!$EH$7:$EH$26,卡牌消耗!BS498)</f>
        <v>95</v>
      </c>
      <c r="BR498" s="14" t="str">
        <f t="shared" si="372"/>
        <v>雷震子</v>
      </c>
      <c r="BS498" s="14">
        <f t="shared" si="373"/>
        <v>14</v>
      </c>
      <c r="BT498" s="14" t="str">
        <f t="shared" si="374"/>
        <v>雷震子14突</v>
      </c>
      <c r="BU498" s="14" t="str">
        <f>IF(BN498&gt;0,INDEX(挂机升级突破!$ER$5:$EV$5,卡牌消耗!BN498),"")</f>
        <v>金币</v>
      </c>
      <c r="BV498" s="14">
        <f>IF(BN498&gt;0,ROUND(INDEX(挂机升级突破!$EV$7:$EV$26,卡牌消耗!BS498)*INDEX(卡牌消耗!$B$8:$F$8,BP498)/$Q$4/500,0)*500,"")</f>
        <v>33500</v>
      </c>
      <c r="BW498" s="14" t="str">
        <f>IF(BO498&gt;0,INDEX(挂机升级突破!$ER$5:$EV$5,卡牌消耗!BO498),"")</f>
        <v>银母</v>
      </c>
      <c r="BX498" s="14">
        <f>IF(BO498&gt;0,ROUND(INDEX(挂机升级突破!$ER$7:$EU$26,卡牌消耗!BS498,卡牌消耗!BO498)*INDEX($B$6:$F$6,BP498)/$Q$4/5,0)*5,"")</f>
        <v>55</v>
      </c>
      <c r="BY498" s="193"/>
      <c r="BZ498" s="193"/>
      <c r="CA498" s="106"/>
    </row>
    <row r="499" spans="8:79" ht="16.5" x14ac:dyDescent="0.2">
      <c r="H499" s="15"/>
      <c r="I499" s="15"/>
      <c r="J499" s="15"/>
      <c r="K499" s="15"/>
      <c r="L499" s="15"/>
      <c r="M499" s="15"/>
      <c r="N499" s="15"/>
      <c r="O499" s="137"/>
      <c r="P499" s="141"/>
      <c r="Q499" s="141"/>
      <c r="R499" s="141"/>
      <c r="S499" s="141"/>
      <c r="T499" s="141"/>
      <c r="U499" s="141"/>
      <c r="V499" s="141"/>
      <c r="W499" s="141"/>
      <c r="X499" s="141"/>
      <c r="Y499" s="141"/>
      <c r="Z499" s="141"/>
      <c r="AA499" s="194"/>
      <c r="AB499" s="194"/>
      <c r="AC499" s="194"/>
      <c r="AD499" s="194"/>
      <c r="AE499" s="194"/>
      <c r="AF499" s="194"/>
      <c r="AG499" s="197"/>
      <c r="AH499" s="194"/>
      <c r="AI499" s="194"/>
      <c r="AJ499" s="194"/>
      <c r="AK499" s="104">
        <v>495</v>
      </c>
      <c r="AL499" s="14">
        <f t="shared" si="365"/>
        <v>10</v>
      </c>
      <c r="AM499" s="14">
        <f>INDEX(挂机升级突破!DQ$6:DQ$57,卡牌消耗!$AT499)</f>
        <v>11</v>
      </c>
      <c r="AN499" s="14">
        <f>INDEX(挂机升级突破!DR$6:DR$57,卡牌消耗!$AT499)</f>
        <v>4</v>
      </c>
      <c r="AO499" s="14">
        <f>INDEX(挂机升级突破!DS$6:DS$57,卡牌消耗!$AT499)</f>
        <v>0</v>
      </c>
      <c r="AP499" s="14">
        <f>INDEX(挂机升级突破!$DP$6:$DP$57,卡牌消耗!AT499)</f>
        <v>85</v>
      </c>
      <c r="AQ499" s="14" t="str">
        <f t="shared" si="366"/>
        <v>张郃</v>
      </c>
      <c r="AR499" s="14">
        <f t="shared" si="367"/>
        <v>4</v>
      </c>
      <c r="AS499" s="14" t="str">
        <f t="shared" si="368"/>
        <v>张郃魂火-27</v>
      </c>
      <c r="AT499" s="14">
        <f t="shared" si="369"/>
        <v>27</v>
      </c>
      <c r="AU499" s="14" t="str">
        <f>IF(AM499&gt;0,INDEX(挂机升级突破!$DT$4:$ED$4,AM499),"")</f>
        <v>金币</v>
      </c>
      <c r="AV499" s="14">
        <f>ROUND(INDEX(挂机升级突破!$DJ$6:$DJ$57,卡牌消耗!AT499)*INDEX(卡牌消耗!$B$8:$F$8,AR499)/$Q$4/50,0)*50</f>
        <v>13150</v>
      </c>
      <c r="AW499" s="14" t="str">
        <f>IF(AN499&gt;0,INDEX(挂机升级突破!$DT$4:$ED$4,AN499),"")</f>
        <v>橙色基础材料</v>
      </c>
      <c r="AX499" s="14">
        <f>ROUND(INDEX(挂机升级突破!$DT$6:$ED$57,卡牌消耗!AT499,AN499)*INDEX(卡牌消耗!$B$5:$F$5,AR499)/$Q$4/5,0)*5</f>
        <v>30</v>
      </c>
      <c r="AY499" s="14" t="str">
        <f>IF(AO499&gt;0,INDEX(挂机升级突破!$DT$4:$ED$4,AO499),"")</f>
        <v/>
      </c>
      <c r="AZ499" s="14" t="str">
        <f>IF(AO499&gt;0,ROUND(INDEX(挂机升级突破!$DT$6:$ED$57,卡牌消耗!AT499,AO499)*INDEX(卡牌消耗!$B$7:$F$7,AR499)/$Q$4,0),"")</f>
        <v/>
      </c>
      <c r="BA499" s="106"/>
      <c r="BB499" s="197"/>
      <c r="BC499" s="197"/>
      <c r="BD499" s="197"/>
      <c r="BE499" s="197"/>
      <c r="BF499" s="197"/>
      <c r="BG499" s="197"/>
      <c r="BH499" s="197"/>
      <c r="BI499" s="197"/>
      <c r="BJ499" s="197"/>
      <c r="BK499" s="197"/>
      <c r="BL499" s="104">
        <v>495</v>
      </c>
      <c r="BM499" s="14">
        <f t="shared" si="370"/>
        <v>25</v>
      </c>
      <c r="BN499" s="14">
        <f>INDEX(挂机升级突破!$EI$7:$EI$26,BS499)</f>
        <v>5</v>
      </c>
      <c r="BO499" s="14">
        <f>INDEX(挂机升级突破!$EJ$7:$EJ$26,BS499)</f>
        <v>3</v>
      </c>
      <c r="BP499" s="14">
        <f t="shared" si="371"/>
        <v>3</v>
      </c>
      <c r="BQ499" s="14">
        <f>INDEX(挂机升级突破!$EH$7:$EH$26,卡牌消耗!BS499)</f>
        <v>102</v>
      </c>
      <c r="BR499" s="14" t="str">
        <f t="shared" si="372"/>
        <v>雷震子</v>
      </c>
      <c r="BS499" s="14">
        <f t="shared" si="373"/>
        <v>15</v>
      </c>
      <c r="BT499" s="14" t="str">
        <f t="shared" si="374"/>
        <v>雷震子15突</v>
      </c>
      <c r="BU499" s="14" t="str">
        <f>IF(BN499&gt;0,INDEX(挂机升级突破!$ER$5:$EV$5,卡牌消耗!BN499),"")</f>
        <v>金币</v>
      </c>
      <c r="BV499" s="14">
        <f>IF(BN499&gt;0,ROUND(INDEX(挂机升级突破!$EV$7:$EV$26,卡牌消耗!BS499)*INDEX(卡牌消耗!$B$8:$F$8,BP499)/$Q$4/500,0)*500,"")</f>
        <v>44500</v>
      </c>
      <c r="BW499" s="14" t="str">
        <f>IF(BO499&gt;0,INDEX(挂机升级突破!$ER$5:$EV$5,卡牌消耗!BO499),"")</f>
        <v>银母</v>
      </c>
      <c r="BX499" s="14">
        <f>IF(BO499&gt;0,ROUND(INDEX(挂机升级突破!$ER$7:$EU$26,卡牌消耗!BS499,卡牌消耗!BO499)*INDEX($B$6:$F$6,BP499)/$Q$4/5,0)*5,"")</f>
        <v>70</v>
      </c>
      <c r="BY499" s="193"/>
      <c r="BZ499" s="193"/>
      <c r="CA499" s="106"/>
    </row>
    <row r="500" spans="8:79" ht="16.5" x14ac:dyDescent="0.2">
      <c r="H500" s="15"/>
      <c r="I500" s="15"/>
      <c r="J500" s="15"/>
      <c r="K500" s="15"/>
      <c r="L500" s="15"/>
      <c r="M500" s="15"/>
      <c r="N500" s="15"/>
      <c r="O500" s="137"/>
      <c r="P500" s="141"/>
      <c r="Q500" s="141"/>
      <c r="R500" s="141"/>
      <c r="S500" s="141"/>
      <c r="T500" s="141"/>
      <c r="U500" s="141"/>
      <c r="V500" s="141"/>
      <c r="W500" s="141"/>
      <c r="X500" s="141"/>
      <c r="Y500" s="141"/>
      <c r="Z500" s="141"/>
      <c r="AA500" s="194"/>
      <c r="AB500" s="194"/>
      <c r="AC500" s="194"/>
      <c r="AD500" s="194"/>
      <c r="AE500" s="194"/>
      <c r="AF500" s="194"/>
      <c r="AG500" s="197"/>
      <c r="AH500" s="194"/>
      <c r="AI500" s="194"/>
      <c r="AJ500" s="194"/>
      <c r="AK500" s="104">
        <v>496</v>
      </c>
      <c r="AL500" s="14">
        <f t="shared" si="365"/>
        <v>10</v>
      </c>
      <c r="AM500" s="14">
        <f>INDEX(挂机升级突破!DQ$6:DQ$57,卡牌消耗!$AT500)</f>
        <v>11</v>
      </c>
      <c r="AN500" s="14">
        <f>INDEX(挂机升级突破!DR$6:DR$57,卡牌消耗!$AT500)</f>
        <v>4</v>
      </c>
      <c r="AO500" s="14">
        <f>INDEX(挂机升级突破!DS$6:DS$57,卡牌消耗!$AT500)</f>
        <v>0</v>
      </c>
      <c r="AP500" s="14">
        <f>INDEX(挂机升级突破!$DP$6:$DP$57,卡牌消耗!AT500)</f>
        <v>88</v>
      </c>
      <c r="AQ500" s="14" t="str">
        <f t="shared" si="366"/>
        <v>张郃</v>
      </c>
      <c r="AR500" s="14">
        <f t="shared" si="367"/>
        <v>4</v>
      </c>
      <c r="AS500" s="14" t="str">
        <f t="shared" si="368"/>
        <v>张郃魂火-28</v>
      </c>
      <c r="AT500" s="14">
        <f t="shared" si="369"/>
        <v>28</v>
      </c>
      <c r="AU500" s="14" t="str">
        <f>IF(AM500&gt;0,INDEX(挂机升级突破!$DT$4:$ED$4,AM500),"")</f>
        <v>金币</v>
      </c>
      <c r="AV500" s="14">
        <f>ROUND(INDEX(挂机升级突破!$DJ$6:$DJ$57,卡牌消耗!AT500)*INDEX(卡牌消耗!$B$8:$F$8,AR500)/$Q$4/50,0)*50</f>
        <v>13150</v>
      </c>
      <c r="AW500" s="14" t="str">
        <f>IF(AN500&gt;0,INDEX(挂机升级突破!$DT$4:$ED$4,AN500),"")</f>
        <v>橙色基础材料</v>
      </c>
      <c r="AX500" s="14">
        <f>ROUND(INDEX(挂机升级突破!$DT$6:$ED$57,卡牌消耗!AT500,AN500)*INDEX(卡牌消耗!$B$5:$F$5,AR500)/$Q$4/5,0)*5</f>
        <v>30</v>
      </c>
      <c r="AY500" s="14" t="str">
        <f>IF(AO500&gt;0,INDEX(挂机升级突破!$DT$4:$ED$4,AO500),"")</f>
        <v/>
      </c>
      <c r="AZ500" s="14" t="str">
        <f>IF(AO500&gt;0,ROUND(INDEX(挂机升级突破!$DT$6:$ED$57,卡牌消耗!AT500,AO500)*INDEX(卡牌消耗!$B$7:$F$7,AR500)/$Q$4,0),"")</f>
        <v/>
      </c>
      <c r="BA500" s="106"/>
      <c r="BB500" s="197"/>
      <c r="BC500" s="197"/>
      <c r="BD500" s="197"/>
      <c r="BE500" s="197"/>
      <c r="BF500" s="197"/>
      <c r="BG500" s="197"/>
      <c r="BH500" s="197"/>
      <c r="BI500" s="197"/>
      <c r="BJ500" s="197"/>
      <c r="BK500" s="197"/>
      <c r="BL500" s="104">
        <v>496</v>
      </c>
      <c r="BM500" s="14">
        <f t="shared" si="370"/>
        <v>25</v>
      </c>
      <c r="BN500" s="14">
        <f>INDEX(挂机升级突破!$EI$7:$EI$26,BS500)</f>
        <v>5</v>
      </c>
      <c r="BO500" s="14">
        <f>INDEX(挂机升级突破!$EJ$7:$EJ$26,BS500)</f>
        <v>3</v>
      </c>
      <c r="BP500" s="14">
        <f t="shared" si="371"/>
        <v>3</v>
      </c>
      <c r="BQ500" s="14">
        <f>INDEX(挂机升级突破!$EH$7:$EH$26,卡牌消耗!BS500)</f>
        <v>110</v>
      </c>
      <c r="BR500" s="14" t="str">
        <f t="shared" si="372"/>
        <v>雷震子</v>
      </c>
      <c r="BS500" s="14">
        <f t="shared" si="373"/>
        <v>16</v>
      </c>
      <c r="BT500" s="14" t="str">
        <f t="shared" si="374"/>
        <v>雷震子16突</v>
      </c>
      <c r="BU500" s="14" t="str">
        <f>IF(BN500&gt;0,INDEX(挂机升级突破!$ER$5:$EV$5,卡牌消耗!BN500),"")</f>
        <v>金币</v>
      </c>
      <c r="BV500" s="14">
        <f>IF(BN500&gt;0,ROUND(INDEX(挂机升级突破!$EV$7:$EV$26,卡牌消耗!BS500)*INDEX(卡牌消耗!$B$8:$F$8,BP500)/$Q$4/500,0)*500,"")</f>
        <v>80500</v>
      </c>
      <c r="BW500" s="14" t="str">
        <f>IF(BO500&gt;0,INDEX(挂机升级突破!$ER$5:$EV$5,卡牌消耗!BO500),"")</f>
        <v>银母</v>
      </c>
      <c r="BX500" s="14">
        <f>IF(BO500&gt;0,ROUND(INDEX(挂机升级突破!$ER$7:$EU$26,卡牌消耗!BS500,卡牌消耗!BO500)*INDEX($B$6:$F$6,BP500)/$Q$4/5,0)*5,"")</f>
        <v>90</v>
      </c>
      <c r="BY500" s="193"/>
      <c r="BZ500" s="193"/>
      <c r="CA500" s="106"/>
    </row>
    <row r="501" spans="8:79" ht="16.5" x14ac:dyDescent="0.2">
      <c r="H501" s="15"/>
      <c r="I501" s="15"/>
      <c r="J501" s="15"/>
      <c r="K501" s="15"/>
      <c r="L501" s="15"/>
      <c r="M501" s="15"/>
      <c r="N501" s="15"/>
      <c r="O501" s="137"/>
      <c r="P501" s="141"/>
      <c r="Q501" s="141"/>
      <c r="R501" s="141"/>
      <c r="S501" s="141"/>
      <c r="T501" s="141"/>
      <c r="U501" s="141"/>
      <c r="V501" s="141"/>
      <c r="W501" s="141"/>
      <c r="X501" s="141"/>
      <c r="Y501" s="141"/>
      <c r="Z501" s="141"/>
      <c r="AA501" s="194"/>
      <c r="AB501" s="194"/>
      <c r="AC501" s="194"/>
      <c r="AD501" s="194"/>
      <c r="AE501" s="194"/>
      <c r="AF501" s="194"/>
      <c r="AG501" s="197"/>
      <c r="AH501" s="194"/>
      <c r="AI501" s="194"/>
      <c r="AJ501" s="194"/>
      <c r="AK501" s="104">
        <v>497</v>
      </c>
      <c r="AL501" s="14">
        <f t="shared" si="365"/>
        <v>10</v>
      </c>
      <c r="AM501" s="14">
        <f>INDEX(挂机升级突破!DQ$6:DQ$57,卡牌消耗!$AT501)</f>
        <v>11</v>
      </c>
      <c r="AN501" s="14">
        <f>INDEX(挂机升级突破!DR$6:DR$57,卡牌消耗!$AT501)</f>
        <v>4</v>
      </c>
      <c r="AO501" s="14">
        <f>INDEX(挂机升级突破!DS$6:DS$57,卡牌消耗!$AT501)</f>
        <v>0</v>
      </c>
      <c r="AP501" s="14">
        <f>INDEX(挂机升级突破!$DP$6:$DP$57,卡牌消耗!AT501)</f>
        <v>90</v>
      </c>
      <c r="AQ501" s="14" t="str">
        <f t="shared" si="366"/>
        <v>张郃</v>
      </c>
      <c r="AR501" s="14">
        <f t="shared" si="367"/>
        <v>4</v>
      </c>
      <c r="AS501" s="14" t="str">
        <f t="shared" si="368"/>
        <v>张郃魂火-29</v>
      </c>
      <c r="AT501" s="14">
        <f t="shared" si="369"/>
        <v>29</v>
      </c>
      <c r="AU501" s="14" t="str">
        <f>IF(AM501&gt;0,INDEX(挂机升级突破!$DT$4:$ED$4,AM501),"")</f>
        <v>金币</v>
      </c>
      <c r="AV501" s="14">
        <f>ROUND(INDEX(挂机升级突破!$DJ$6:$DJ$57,卡牌消耗!AT501)*INDEX(卡牌消耗!$B$8:$F$8,AR501)/$Q$4/50,0)*50</f>
        <v>13350</v>
      </c>
      <c r="AW501" s="14" t="str">
        <f>IF(AN501&gt;0,INDEX(挂机升级突破!$DT$4:$ED$4,AN501),"")</f>
        <v>橙色基础材料</v>
      </c>
      <c r="AX501" s="14">
        <f>ROUND(INDEX(挂机升级突破!$DT$6:$ED$57,卡牌消耗!AT501,AN501)*INDEX(卡牌消耗!$B$5:$F$5,AR501)/$Q$4/5,0)*5</f>
        <v>30</v>
      </c>
      <c r="AY501" s="14" t="str">
        <f>IF(AO501&gt;0,INDEX(挂机升级突破!$DT$4:$ED$4,AO501),"")</f>
        <v/>
      </c>
      <c r="AZ501" s="14" t="str">
        <f>IF(AO501&gt;0,ROUND(INDEX(挂机升级突破!$DT$6:$ED$57,卡牌消耗!AT501,AO501)*INDEX(卡牌消耗!$B$7:$F$7,AR501)/$Q$4,0),"")</f>
        <v/>
      </c>
      <c r="BA501" s="106"/>
      <c r="BB501" s="197"/>
      <c r="BC501" s="197"/>
      <c r="BD501" s="197"/>
      <c r="BE501" s="197"/>
      <c r="BF501" s="197"/>
      <c r="BG501" s="197"/>
      <c r="BH501" s="197"/>
      <c r="BI501" s="197"/>
      <c r="BJ501" s="197"/>
      <c r="BK501" s="197"/>
      <c r="BL501" s="104">
        <v>497</v>
      </c>
      <c r="BM501" s="14">
        <f t="shared" si="370"/>
        <v>25</v>
      </c>
      <c r="BN501" s="14">
        <f>INDEX(挂机升级突破!$EI$7:$EI$26,BS501)</f>
        <v>5</v>
      </c>
      <c r="BO501" s="14">
        <f>INDEX(挂机升级突破!$EJ$7:$EJ$26,BS501)</f>
        <v>4</v>
      </c>
      <c r="BP501" s="14">
        <f t="shared" si="371"/>
        <v>3</v>
      </c>
      <c r="BQ501" s="14">
        <f>INDEX(挂机升级突破!$EH$7:$EH$26,卡牌消耗!BS501)</f>
        <v>117</v>
      </c>
      <c r="BR501" s="14" t="str">
        <f t="shared" si="372"/>
        <v>雷震子</v>
      </c>
      <c r="BS501" s="14">
        <f t="shared" si="373"/>
        <v>17</v>
      </c>
      <c r="BT501" s="14" t="str">
        <f t="shared" si="374"/>
        <v>雷震子17突</v>
      </c>
      <c r="BU501" s="14" t="str">
        <f>IF(BN501&gt;0,INDEX(挂机升级突破!$ER$5:$EV$5,卡牌消耗!BN501),"")</f>
        <v>金币</v>
      </c>
      <c r="BV501" s="14">
        <f>IF(BN501&gt;0,ROUND(INDEX(挂机升级突破!$EV$7:$EV$26,卡牌消耗!BS501)*INDEX(卡牌消耗!$B$8:$F$8,BP501)/$Q$4/500,0)*500,"")</f>
        <v>80500</v>
      </c>
      <c r="BW501" s="14" t="str">
        <f>IF(BO501&gt;0,INDEX(挂机升级突破!$ER$5:$EV$5,卡牌消耗!BO501),"")</f>
        <v>铀金</v>
      </c>
      <c r="BX501" s="14">
        <f>IF(BO501&gt;0,ROUND(INDEX(挂机升级突破!$ER$7:$EU$26,卡牌消耗!BS501,卡牌消耗!BO501)*INDEX($B$6:$F$6,BP501)/$Q$4/5,0)*5,"")</f>
        <v>20</v>
      </c>
      <c r="BY501" s="193"/>
      <c r="BZ501" s="193"/>
      <c r="CA501" s="106"/>
    </row>
    <row r="502" spans="8:79" ht="16.5" x14ac:dyDescent="0.2">
      <c r="H502" s="15"/>
      <c r="I502" s="15"/>
      <c r="J502" s="15"/>
      <c r="K502" s="15"/>
      <c r="L502" s="15"/>
      <c r="M502" s="15"/>
      <c r="N502" s="15"/>
      <c r="O502" s="137"/>
      <c r="P502" s="141"/>
      <c r="Q502" s="141"/>
      <c r="R502" s="141"/>
      <c r="S502" s="141"/>
      <c r="T502" s="141"/>
      <c r="U502" s="141"/>
      <c r="V502" s="141"/>
      <c r="W502" s="141"/>
      <c r="X502" s="141"/>
      <c r="Y502" s="141"/>
      <c r="Z502" s="141"/>
      <c r="AA502" s="194"/>
      <c r="AB502" s="194"/>
      <c r="AC502" s="194"/>
      <c r="AD502" s="194"/>
      <c r="AE502" s="194"/>
      <c r="AF502" s="194"/>
      <c r="AG502" s="197"/>
      <c r="AH502" s="194"/>
      <c r="AI502" s="194"/>
      <c r="AJ502" s="194"/>
      <c r="AK502" s="104">
        <v>498</v>
      </c>
      <c r="AL502" s="14">
        <f t="shared" si="365"/>
        <v>10</v>
      </c>
      <c r="AM502" s="14">
        <f>INDEX(挂机升级突破!DQ$6:DQ$57,卡牌消耗!$AT502)</f>
        <v>11</v>
      </c>
      <c r="AN502" s="14">
        <f>INDEX(挂机升级突破!DR$6:DR$57,卡牌消耗!$AT502)</f>
        <v>4</v>
      </c>
      <c r="AO502" s="14">
        <f>INDEX(挂机升级突破!DS$6:DS$57,卡牌消耗!$AT502)</f>
        <v>0</v>
      </c>
      <c r="AP502" s="14">
        <f>INDEX(挂机升级突破!$DP$6:$DP$57,卡牌消耗!AT502)</f>
        <v>93</v>
      </c>
      <c r="AQ502" s="14" t="str">
        <f t="shared" si="366"/>
        <v>张郃</v>
      </c>
      <c r="AR502" s="14">
        <f t="shared" si="367"/>
        <v>4</v>
      </c>
      <c r="AS502" s="14" t="str">
        <f t="shared" si="368"/>
        <v>张郃魂火-30</v>
      </c>
      <c r="AT502" s="14">
        <f t="shared" si="369"/>
        <v>30</v>
      </c>
      <c r="AU502" s="14" t="str">
        <f>IF(AM502&gt;0,INDEX(挂机升级突破!$DT$4:$ED$4,AM502),"")</f>
        <v>金币</v>
      </c>
      <c r="AV502" s="14">
        <f>ROUND(INDEX(挂机升级突破!$DJ$6:$DJ$57,卡牌消耗!AT502)*INDEX(卡牌消耗!$B$8:$F$8,AR502)/$Q$4/50,0)*50</f>
        <v>13350</v>
      </c>
      <c r="AW502" s="14" t="str">
        <f>IF(AN502&gt;0,INDEX(挂机升级突破!$DT$4:$ED$4,AN502),"")</f>
        <v>橙色基础材料</v>
      </c>
      <c r="AX502" s="14">
        <f>ROUND(INDEX(挂机升级突破!$DT$6:$ED$57,卡牌消耗!AT502,AN502)*INDEX(卡牌消耗!$B$5:$F$5,AR502)/$Q$4/5,0)*5</f>
        <v>30</v>
      </c>
      <c r="AY502" s="14" t="str">
        <f>IF(AO502&gt;0,INDEX(挂机升级突破!$DT$4:$ED$4,AO502),"")</f>
        <v/>
      </c>
      <c r="AZ502" s="14" t="str">
        <f>IF(AO502&gt;0,ROUND(INDEX(挂机升级突破!$DT$6:$ED$57,卡牌消耗!AT502,AO502)*INDEX(卡牌消耗!$B$7:$F$7,AR502)/$Q$4,0),"")</f>
        <v/>
      </c>
      <c r="BA502" s="106"/>
      <c r="BB502" s="197"/>
      <c r="BC502" s="197"/>
      <c r="BD502" s="197"/>
      <c r="BE502" s="197"/>
      <c r="BF502" s="197"/>
      <c r="BG502" s="197"/>
      <c r="BH502" s="197"/>
      <c r="BI502" s="197"/>
      <c r="BJ502" s="197"/>
      <c r="BK502" s="197"/>
      <c r="BL502" s="104">
        <v>498</v>
      </c>
      <c r="BM502" s="14">
        <f t="shared" si="370"/>
        <v>25</v>
      </c>
      <c r="BN502" s="14">
        <f>INDEX(挂机升级突破!$EI$7:$EI$26,BS502)</f>
        <v>5</v>
      </c>
      <c r="BO502" s="14">
        <f>INDEX(挂机升级突破!$EJ$7:$EJ$26,BS502)</f>
        <v>4</v>
      </c>
      <c r="BP502" s="14">
        <f t="shared" si="371"/>
        <v>3</v>
      </c>
      <c r="BQ502" s="14">
        <f>INDEX(挂机升级突破!$EH$7:$EH$26,卡牌消耗!BS502)</f>
        <v>125</v>
      </c>
      <c r="BR502" s="14" t="str">
        <f t="shared" si="372"/>
        <v>雷震子</v>
      </c>
      <c r="BS502" s="14">
        <f t="shared" si="373"/>
        <v>18</v>
      </c>
      <c r="BT502" s="14" t="str">
        <f t="shared" si="374"/>
        <v>雷震子18突</v>
      </c>
      <c r="BU502" s="14" t="str">
        <f>IF(BN502&gt;0,INDEX(挂机升级突破!$ER$5:$EV$5,卡牌消耗!BN502),"")</f>
        <v>金币</v>
      </c>
      <c r="BV502" s="14">
        <f>IF(BN502&gt;0,ROUND(INDEX(挂机升级突破!$EV$7:$EV$26,卡牌消耗!BS502)*INDEX(卡牌消耗!$B$8:$F$8,BP502)/$Q$4/500,0)*500,"")</f>
        <v>107500</v>
      </c>
      <c r="BW502" s="14" t="str">
        <f>IF(BO502&gt;0,INDEX(挂机升级突破!$ER$5:$EV$5,卡牌消耗!BO502),"")</f>
        <v>铀金</v>
      </c>
      <c r="BX502" s="14">
        <f>IF(BO502&gt;0,ROUND(INDEX(挂机升级突破!$ER$7:$EU$26,卡牌消耗!BS502,卡牌消耗!BO502)*INDEX($B$6:$F$6,BP502)/$Q$4/5,0)*5,"")</f>
        <v>25</v>
      </c>
      <c r="BY502" s="193"/>
      <c r="BZ502" s="193"/>
      <c r="CA502" s="106"/>
    </row>
    <row r="503" spans="8:79" ht="16.5" x14ac:dyDescent="0.2">
      <c r="H503" s="15"/>
      <c r="I503" s="15"/>
      <c r="J503" s="15"/>
      <c r="K503" s="15"/>
      <c r="L503" s="15"/>
      <c r="M503" s="15"/>
      <c r="N503" s="15"/>
      <c r="O503" s="137"/>
      <c r="P503" s="141"/>
      <c r="Q503" s="141"/>
      <c r="R503" s="141"/>
      <c r="S503" s="141"/>
      <c r="T503" s="141"/>
      <c r="U503" s="141"/>
      <c r="V503" s="141"/>
      <c r="W503" s="141"/>
      <c r="X503" s="141"/>
      <c r="Y503" s="141"/>
      <c r="Z503" s="141"/>
      <c r="AA503" s="194"/>
      <c r="AB503" s="194"/>
      <c r="AC503" s="194"/>
      <c r="AD503" s="194"/>
      <c r="AE503" s="194"/>
      <c r="AF503" s="194"/>
      <c r="AG503" s="197"/>
      <c r="AH503" s="194"/>
      <c r="AI503" s="194"/>
      <c r="AJ503" s="194"/>
      <c r="AK503" s="104">
        <v>499</v>
      </c>
      <c r="AL503" s="14">
        <f t="shared" si="365"/>
        <v>10</v>
      </c>
      <c r="AM503" s="14">
        <f>INDEX(挂机升级突破!DQ$6:DQ$57,卡牌消耗!$AT503)</f>
        <v>11</v>
      </c>
      <c r="AN503" s="14">
        <f>INDEX(挂机升级突破!DR$6:DR$57,卡牌消耗!$AT503)</f>
        <v>4</v>
      </c>
      <c r="AO503" s="14">
        <f>INDEX(挂机升级突破!DS$6:DS$57,卡牌消耗!$AT503)</f>
        <v>0</v>
      </c>
      <c r="AP503" s="14">
        <f>INDEX(挂机升级突破!$DP$6:$DP$57,卡牌消耗!AT503)</f>
        <v>95</v>
      </c>
      <c r="AQ503" s="14" t="str">
        <f t="shared" si="366"/>
        <v>张郃</v>
      </c>
      <c r="AR503" s="14">
        <f t="shared" si="367"/>
        <v>4</v>
      </c>
      <c r="AS503" s="14" t="str">
        <f t="shared" si="368"/>
        <v>张郃魂火-31</v>
      </c>
      <c r="AT503" s="14">
        <f t="shared" si="369"/>
        <v>31</v>
      </c>
      <c r="AU503" s="14" t="str">
        <f>IF(AM503&gt;0,INDEX(挂机升级突破!$DT$4:$ED$4,AM503),"")</f>
        <v>金币</v>
      </c>
      <c r="AV503" s="14">
        <f>ROUND(INDEX(挂机升级突破!$DJ$6:$DJ$57,卡牌消耗!AT503)*INDEX(卡牌消耗!$B$8:$F$8,AR503)/$Q$4/50,0)*50</f>
        <v>13350</v>
      </c>
      <c r="AW503" s="14" t="str">
        <f>IF(AN503&gt;0,INDEX(挂机升级突破!$DT$4:$ED$4,AN503),"")</f>
        <v>橙色基础材料</v>
      </c>
      <c r="AX503" s="14">
        <f>ROUND(INDEX(挂机升级突破!$DT$6:$ED$57,卡牌消耗!AT503,AN503)*INDEX(卡牌消耗!$B$5:$F$5,AR503)/$Q$4/5,0)*5</f>
        <v>30</v>
      </c>
      <c r="AY503" s="14" t="str">
        <f>IF(AO503&gt;0,INDEX(挂机升级突破!$DT$4:$ED$4,AO503),"")</f>
        <v/>
      </c>
      <c r="AZ503" s="14" t="str">
        <f>IF(AO503&gt;0,ROUND(INDEX(挂机升级突破!$DT$6:$ED$57,卡牌消耗!AT503,AO503)*INDEX(卡牌消耗!$B$7:$F$7,AR503)/$Q$4,0),"")</f>
        <v/>
      </c>
      <c r="BA503" s="106"/>
      <c r="BB503" s="197"/>
      <c r="BC503" s="197"/>
      <c r="BD503" s="197"/>
      <c r="BE503" s="197"/>
      <c r="BF503" s="197"/>
      <c r="BG503" s="197"/>
      <c r="BH503" s="197"/>
      <c r="BI503" s="197"/>
      <c r="BJ503" s="197"/>
      <c r="BK503" s="197"/>
      <c r="BL503" s="104">
        <v>499</v>
      </c>
      <c r="BM503" s="14">
        <f t="shared" si="370"/>
        <v>25</v>
      </c>
      <c r="BN503" s="14">
        <f>INDEX(挂机升级突破!$EI$7:$EI$26,BS503)</f>
        <v>5</v>
      </c>
      <c r="BO503" s="14">
        <f>INDEX(挂机升级突破!$EJ$7:$EJ$26,BS503)</f>
        <v>4</v>
      </c>
      <c r="BP503" s="14">
        <f t="shared" si="371"/>
        <v>3</v>
      </c>
      <c r="BQ503" s="14">
        <f>INDEX(挂机升级突破!$EH$7:$EH$26,卡牌消耗!BS503)</f>
        <v>132</v>
      </c>
      <c r="BR503" s="14" t="str">
        <f t="shared" si="372"/>
        <v>雷震子</v>
      </c>
      <c r="BS503" s="14">
        <f t="shared" si="373"/>
        <v>19</v>
      </c>
      <c r="BT503" s="14" t="str">
        <f t="shared" si="374"/>
        <v>雷震子19突</v>
      </c>
      <c r="BU503" s="14" t="str">
        <f>IF(BN503&gt;0,INDEX(挂机升级突破!$ER$5:$EV$5,卡牌消耗!BN503),"")</f>
        <v>金币</v>
      </c>
      <c r="BV503" s="14">
        <f>IF(BN503&gt;0,ROUND(INDEX(挂机升级突破!$EV$7:$EV$26,卡牌消耗!BS503)*INDEX(卡牌消耗!$B$8:$F$8,BP503)/$Q$4/500,0)*500,"")</f>
        <v>273500</v>
      </c>
      <c r="BW503" s="14" t="str">
        <f>IF(BO503&gt;0,INDEX(挂机升级突破!$ER$5:$EV$5,卡牌消耗!BO503),"")</f>
        <v>铀金</v>
      </c>
      <c r="BX503" s="14">
        <f>IF(BO503&gt;0,ROUND(INDEX(挂机升级突破!$ER$7:$EU$26,卡牌消耗!BS503,卡牌消耗!BO503)*INDEX($B$6:$F$6,BP503)/$Q$4/5,0)*5,"")</f>
        <v>35</v>
      </c>
      <c r="BY503" s="193"/>
      <c r="BZ503" s="193"/>
      <c r="CA503" s="106"/>
    </row>
    <row r="504" spans="8:79" ht="16.5" x14ac:dyDescent="0.2">
      <c r="H504" s="15"/>
      <c r="I504" s="15"/>
      <c r="J504" s="15"/>
      <c r="K504" s="15"/>
      <c r="L504" s="15"/>
      <c r="M504" s="15"/>
      <c r="N504" s="15"/>
      <c r="O504" s="137"/>
      <c r="P504" s="141"/>
      <c r="Q504" s="141"/>
      <c r="R504" s="141"/>
      <c r="S504" s="141"/>
      <c r="T504" s="141"/>
      <c r="U504" s="141"/>
      <c r="V504" s="141"/>
      <c r="W504" s="141"/>
      <c r="X504" s="141"/>
      <c r="Y504" s="141"/>
      <c r="Z504" s="141"/>
      <c r="AA504" s="194"/>
      <c r="AB504" s="194"/>
      <c r="AC504" s="194"/>
      <c r="AD504" s="194"/>
      <c r="AE504" s="194"/>
      <c r="AF504" s="194"/>
      <c r="AG504" s="197"/>
      <c r="AH504" s="194"/>
      <c r="AI504" s="194"/>
      <c r="AJ504" s="194"/>
      <c r="AK504" s="104">
        <v>500</v>
      </c>
      <c r="AL504" s="14">
        <f t="shared" si="365"/>
        <v>10</v>
      </c>
      <c r="AM504" s="14">
        <f>INDEX(挂机升级突破!DQ$6:DQ$57,卡牌消耗!$AT504)</f>
        <v>11</v>
      </c>
      <c r="AN504" s="14">
        <f>INDEX(挂机升级突破!DR$6:DR$57,卡牌消耗!$AT504)</f>
        <v>4</v>
      </c>
      <c r="AO504" s="14">
        <f>INDEX(挂机升级突破!DS$6:DS$57,卡牌消耗!$AT504)</f>
        <v>0</v>
      </c>
      <c r="AP504" s="14">
        <f>INDEX(挂机升级突破!$DP$6:$DP$57,卡牌消耗!AT504)</f>
        <v>98</v>
      </c>
      <c r="AQ504" s="14" t="str">
        <f t="shared" si="366"/>
        <v>张郃</v>
      </c>
      <c r="AR504" s="14">
        <f t="shared" si="367"/>
        <v>4</v>
      </c>
      <c r="AS504" s="14" t="str">
        <f t="shared" si="368"/>
        <v>张郃魂火-32</v>
      </c>
      <c r="AT504" s="14">
        <f t="shared" si="369"/>
        <v>32</v>
      </c>
      <c r="AU504" s="14" t="str">
        <f>IF(AM504&gt;0,INDEX(挂机升级突破!$DT$4:$ED$4,AM504),"")</f>
        <v>金币</v>
      </c>
      <c r="AV504" s="14">
        <f>ROUND(INDEX(挂机升级突破!$DJ$6:$DJ$57,卡牌消耗!AT504)*INDEX(卡牌消耗!$B$8:$F$8,AR504)/$Q$4/50,0)*50</f>
        <v>18350</v>
      </c>
      <c r="AW504" s="14" t="str">
        <f>IF(AN504&gt;0,INDEX(挂机升级突破!$DT$4:$ED$4,AN504),"")</f>
        <v>橙色基础材料</v>
      </c>
      <c r="AX504" s="14">
        <f>ROUND(INDEX(挂机升级突破!$DT$6:$ED$57,卡牌消耗!AT504,AN504)*INDEX(卡牌消耗!$B$5:$F$5,AR504)/$Q$4/5,0)*5</f>
        <v>30</v>
      </c>
      <c r="AY504" s="14" t="str">
        <f>IF(AO504&gt;0,INDEX(挂机升级突破!$DT$4:$ED$4,AO504),"")</f>
        <v/>
      </c>
      <c r="AZ504" s="14" t="str">
        <f>IF(AO504&gt;0,ROUND(INDEX(挂机升级突破!$DT$6:$ED$57,卡牌消耗!AT504,AO504)*INDEX(卡牌消耗!$B$7:$F$7,AR504)/$Q$4,0),"")</f>
        <v/>
      </c>
      <c r="BA504" s="106"/>
      <c r="BB504" s="197"/>
      <c r="BC504" s="197"/>
      <c r="BD504" s="197"/>
      <c r="BE504" s="197"/>
      <c r="BF504" s="197"/>
      <c r="BG504" s="197"/>
      <c r="BH504" s="197"/>
      <c r="BI504" s="197"/>
      <c r="BJ504" s="197"/>
      <c r="BK504" s="197"/>
      <c r="BL504" s="104">
        <v>500</v>
      </c>
      <c r="BM504" s="14">
        <f t="shared" si="370"/>
        <v>25</v>
      </c>
      <c r="BN504" s="14">
        <f>INDEX(挂机升级突破!$EI$7:$EI$26,BS504)</f>
        <v>5</v>
      </c>
      <c r="BO504" s="14">
        <f>INDEX(挂机升级突破!$EJ$7:$EJ$26,BS504)</f>
        <v>4</v>
      </c>
      <c r="BP504" s="14">
        <f t="shared" si="371"/>
        <v>3</v>
      </c>
      <c r="BQ504" s="14">
        <f>INDEX(挂机升级突破!$EH$7:$EH$26,卡牌消耗!BS504)</f>
        <v>140</v>
      </c>
      <c r="BR504" s="14" t="str">
        <f t="shared" si="372"/>
        <v>雷震子</v>
      </c>
      <c r="BS504" s="14">
        <f t="shared" si="373"/>
        <v>20</v>
      </c>
      <c r="BT504" s="14" t="str">
        <f t="shared" si="374"/>
        <v>雷震子20突</v>
      </c>
      <c r="BU504" s="14" t="str">
        <f>IF(BN504&gt;0,INDEX(挂机升级突破!$ER$5:$EV$5,卡牌消耗!BN504),"")</f>
        <v>金币</v>
      </c>
      <c r="BV504" s="14">
        <f>IF(BN504&gt;0,ROUND(INDEX(挂机升级突破!$EV$7:$EV$26,卡牌消耗!BS504)*INDEX(卡牌消耗!$B$8:$F$8,BP504)/$Q$4/500,0)*500,"")</f>
        <v>410500</v>
      </c>
      <c r="BW504" s="14" t="str">
        <f>IF(BO504&gt;0,INDEX(挂机升级突破!$ER$5:$EV$5,卡牌消耗!BO504),"")</f>
        <v>铀金</v>
      </c>
      <c r="BX504" s="14">
        <f>IF(BO504&gt;0,ROUND(INDEX(挂机升级突破!$ER$7:$EU$26,卡牌消耗!BS504,卡牌消耗!BO504)*INDEX($B$6:$F$6,BP504)/$Q$4/5,0)*5,"")</f>
        <v>40</v>
      </c>
      <c r="BY504" s="193"/>
      <c r="BZ504" s="193"/>
      <c r="CA504" s="106"/>
    </row>
    <row r="505" spans="8:79" ht="16.5" x14ac:dyDescent="0.2">
      <c r="H505" s="15"/>
      <c r="I505" s="15"/>
      <c r="J505" s="15"/>
      <c r="K505" s="15"/>
      <c r="L505" s="15"/>
      <c r="M505" s="15"/>
      <c r="N505" s="15"/>
      <c r="O505" s="137"/>
      <c r="P505" s="141"/>
      <c r="Q505" s="141"/>
      <c r="R505" s="141"/>
      <c r="S505" s="141"/>
      <c r="T505" s="141"/>
      <c r="U505" s="141"/>
      <c r="V505" s="141"/>
      <c r="W505" s="141"/>
      <c r="X505" s="141"/>
      <c r="Y505" s="141"/>
      <c r="Z505" s="141"/>
      <c r="AA505" s="194"/>
      <c r="AB505" s="194"/>
      <c r="AC505" s="194"/>
      <c r="AD505" s="194"/>
      <c r="AE505" s="194"/>
      <c r="AF505" s="194"/>
      <c r="AG505" s="197"/>
      <c r="AH505" s="194"/>
      <c r="AI505" s="194"/>
      <c r="AJ505" s="194"/>
      <c r="AK505" s="104">
        <v>501</v>
      </c>
      <c r="AL505" s="14">
        <f t="shared" si="365"/>
        <v>10</v>
      </c>
      <c r="AM505" s="14">
        <f>INDEX(挂机升级突破!DQ$6:DQ$57,卡牌消耗!$AT505)</f>
        <v>11</v>
      </c>
      <c r="AN505" s="14">
        <f>INDEX(挂机升级突破!DR$6:DR$57,卡牌消耗!$AT505)</f>
        <v>4</v>
      </c>
      <c r="AO505" s="14">
        <f>INDEX(挂机升级突破!DS$6:DS$57,卡牌消耗!$AT505)</f>
        <v>0</v>
      </c>
      <c r="AP505" s="14">
        <f>INDEX(挂机升级突破!$DP$6:$DP$57,卡牌消耗!AT505)</f>
        <v>100</v>
      </c>
      <c r="AQ505" s="14" t="str">
        <f t="shared" si="366"/>
        <v>张郃</v>
      </c>
      <c r="AR505" s="14">
        <f t="shared" si="367"/>
        <v>4</v>
      </c>
      <c r="AS505" s="14" t="str">
        <f t="shared" si="368"/>
        <v>张郃魂火-33</v>
      </c>
      <c r="AT505" s="14">
        <f t="shared" si="369"/>
        <v>33</v>
      </c>
      <c r="AU505" s="14" t="str">
        <f>IF(AM505&gt;0,INDEX(挂机升级突破!$DT$4:$ED$4,AM505),"")</f>
        <v>金币</v>
      </c>
      <c r="AV505" s="14">
        <f>ROUND(INDEX(挂机升级突破!$DJ$6:$DJ$57,卡牌消耗!AT505)*INDEX(卡牌消耗!$B$8:$F$8,AR505)/$Q$4/50,0)*50</f>
        <v>18350</v>
      </c>
      <c r="AW505" s="14" t="str">
        <f>IF(AN505&gt;0,INDEX(挂机升级突破!$DT$4:$ED$4,AN505),"")</f>
        <v>橙色基础材料</v>
      </c>
      <c r="AX505" s="14">
        <f>ROUND(INDEX(挂机升级突破!$DT$6:$ED$57,卡牌消耗!AT505,AN505)*INDEX(卡牌消耗!$B$5:$F$5,AR505)/$Q$4/5,0)*5</f>
        <v>30</v>
      </c>
      <c r="AY505" s="14" t="str">
        <f>IF(AO505&gt;0,INDEX(挂机升级突破!$DT$4:$ED$4,AO505),"")</f>
        <v/>
      </c>
      <c r="AZ505" s="14" t="str">
        <f>IF(AO505&gt;0,ROUND(INDEX(挂机升级突破!$DT$6:$ED$57,卡牌消耗!AT505,AO505)*INDEX(卡牌消耗!$B$7:$F$7,AR505)/$Q$4,0),"")</f>
        <v/>
      </c>
      <c r="BA505" s="106"/>
      <c r="BB505" s="197"/>
      <c r="BC505" s="197"/>
      <c r="BD505" s="197"/>
      <c r="BE505" s="197"/>
      <c r="BF505" s="197"/>
      <c r="BG505" s="197"/>
      <c r="BH505" s="197"/>
      <c r="BI505" s="197"/>
      <c r="BJ505" s="197"/>
      <c r="BK505" s="197"/>
      <c r="BL505" s="104">
        <v>501</v>
      </c>
      <c r="BM505" s="14">
        <f t="shared" si="370"/>
        <v>26</v>
      </c>
      <c r="BN505" s="14">
        <f>INDEX(挂机升级突破!$EI$7:$EI$26,BS505)</f>
        <v>0</v>
      </c>
      <c r="BO505" s="14">
        <f>INDEX(挂机升级突破!$EJ$7:$EJ$26,BS505)</f>
        <v>0</v>
      </c>
      <c r="BP505" s="14">
        <f t="shared" si="371"/>
        <v>5</v>
      </c>
      <c r="BQ505" s="14">
        <f>INDEX(挂机升级突破!$EH$7:$EH$26,卡牌消耗!BS505)</f>
        <v>1</v>
      </c>
      <c r="BR505" s="14" t="str">
        <f t="shared" si="372"/>
        <v>吕布</v>
      </c>
      <c r="BS505" s="14">
        <f t="shared" si="373"/>
        <v>1</v>
      </c>
      <c r="BT505" s="14" t="str">
        <f t="shared" si="374"/>
        <v>吕布1突</v>
      </c>
      <c r="BU505" s="14" t="str">
        <f>IF(BN505&gt;0,INDEX(挂机升级突破!$ER$5:$EV$5,卡牌消耗!BN505),"")</f>
        <v/>
      </c>
      <c r="BV505" s="14" t="str">
        <f>IF(BN505&gt;0,ROUND(INDEX(挂机升级突破!$EV$7:$EV$26,卡牌消耗!BS505)*INDEX(卡牌消耗!$B$8:$F$8,BP505)/$Q$4/500,0)*500,"")</f>
        <v/>
      </c>
      <c r="BW505" s="14" t="str">
        <f>IF(BO505&gt;0,INDEX(挂机升级突破!$ER$5:$EV$5,卡牌消耗!BO505),"")</f>
        <v/>
      </c>
      <c r="BX505" s="14" t="str">
        <f>IF(BO505&gt;0,ROUND(INDEX(挂机升级突破!$ER$7:$EU$26,卡牌消耗!BS505,卡牌消耗!BO505)*INDEX($B$6:$F$6,BP505)/$Q$4/5,0)*5,"")</f>
        <v/>
      </c>
      <c r="BY505" s="193"/>
      <c r="BZ505" s="193"/>
      <c r="CA505" s="106"/>
    </row>
    <row r="506" spans="8:79" ht="16.5" x14ac:dyDescent="0.2">
      <c r="H506" s="15"/>
      <c r="I506" s="15"/>
      <c r="J506" s="15"/>
      <c r="K506" s="15"/>
      <c r="L506" s="15"/>
      <c r="M506" s="15"/>
      <c r="N506" s="15"/>
      <c r="O506" s="137"/>
      <c r="P506" s="141"/>
      <c r="Q506" s="141"/>
      <c r="R506" s="141"/>
      <c r="S506" s="141"/>
      <c r="T506" s="141"/>
      <c r="U506" s="141"/>
      <c r="V506" s="141"/>
      <c r="W506" s="141"/>
      <c r="X506" s="141"/>
      <c r="Y506" s="141"/>
      <c r="Z506" s="141"/>
      <c r="AA506" s="194"/>
      <c r="AB506" s="194"/>
      <c r="AC506" s="194"/>
      <c r="AD506" s="194"/>
      <c r="AE506" s="194"/>
      <c r="AF506" s="194"/>
      <c r="AG506" s="197"/>
      <c r="AH506" s="194"/>
      <c r="AI506" s="194"/>
      <c r="AJ506" s="194"/>
      <c r="AK506" s="104">
        <v>502</v>
      </c>
      <c r="AL506" s="14">
        <f t="shared" si="365"/>
        <v>10</v>
      </c>
      <c r="AM506" s="14">
        <f>INDEX(挂机升级突破!DQ$6:DQ$57,卡牌消耗!$AT506)</f>
        <v>11</v>
      </c>
      <c r="AN506" s="14">
        <f>INDEX(挂机升级突破!DR$6:DR$57,卡牌消耗!$AT506)</f>
        <v>4</v>
      </c>
      <c r="AO506" s="14">
        <f>INDEX(挂机升级突破!DS$6:DS$57,卡牌消耗!$AT506)</f>
        <v>0</v>
      </c>
      <c r="AP506" s="14">
        <f>INDEX(挂机升级突破!$DP$6:$DP$57,卡牌消耗!AT506)</f>
        <v>103</v>
      </c>
      <c r="AQ506" s="14" t="str">
        <f t="shared" si="366"/>
        <v>张郃</v>
      </c>
      <c r="AR506" s="14">
        <f t="shared" si="367"/>
        <v>4</v>
      </c>
      <c r="AS506" s="14" t="str">
        <f t="shared" si="368"/>
        <v>张郃魂火-34</v>
      </c>
      <c r="AT506" s="14">
        <f t="shared" si="369"/>
        <v>34</v>
      </c>
      <c r="AU506" s="14" t="str">
        <f>IF(AM506&gt;0,INDEX(挂机升级突破!$DT$4:$ED$4,AM506),"")</f>
        <v>金币</v>
      </c>
      <c r="AV506" s="14">
        <f>ROUND(INDEX(挂机升级突破!$DJ$6:$DJ$57,卡牌消耗!AT506)*INDEX(卡牌消耗!$B$8:$F$8,AR506)/$Q$4/50,0)*50</f>
        <v>18350</v>
      </c>
      <c r="AW506" s="14" t="str">
        <f>IF(AN506&gt;0,INDEX(挂机升级突破!$DT$4:$ED$4,AN506),"")</f>
        <v>橙色基础材料</v>
      </c>
      <c r="AX506" s="14">
        <f>ROUND(INDEX(挂机升级突破!$DT$6:$ED$57,卡牌消耗!AT506,AN506)*INDEX(卡牌消耗!$B$5:$F$5,AR506)/$Q$4/5,0)*5</f>
        <v>35</v>
      </c>
      <c r="AY506" s="14" t="str">
        <f>IF(AO506&gt;0,INDEX(挂机升级突破!$DT$4:$ED$4,AO506),"")</f>
        <v/>
      </c>
      <c r="AZ506" s="14" t="str">
        <f>IF(AO506&gt;0,ROUND(INDEX(挂机升级突破!$DT$6:$ED$57,卡牌消耗!AT506,AO506)*INDEX(卡牌消耗!$B$7:$F$7,AR506)/$Q$4,0),"")</f>
        <v/>
      </c>
      <c r="BA506" s="106"/>
      <c r="BB506" s="197"/>
      <c r="BC506" s="197"/>
      <c r="BD506" s="197"/>
      <c r="BE506" s="197"/>
      <c r="BF506" s="197"/>
      <c r="BG506" s="197"/>
      <c r="BH506" s="197"/>
      <c r="BI506" s="197"/>
      <c r="BJ506" s="197"/>
      <c r="BK506" s="197"/>
      <c r="BL506" s="104">
        <v>502</v>
      </c>
      <c r="BM506" s="14">
        <f t="shared" si="370"/>
        <v>26</v>
      </c>
      <c r="BN506" s="14">
        <f>INDEX(挂机升级突破!$EI$7:$EI$26,BS506)</f>
        <v>5</v>
      </c>
      <c r="BO506" s="14">
        <f>INDEX(挂机升级突破!$EJ$7:$EJ$26,BS506)</f>
        <v>1</v>
      </c>
      <c r="BP506" s="14">
        <f t="shared" si="371"/>
        <v>5</v>
      </c>
      <c r="BQ506" s="14">
        <f>INDEX(挂机升级突破!$EH$7:$EH$26,卡牌消耗!BS506)</f>
        <v>5</v>
      </c>
      <c r="BR506" s="14" t="str">
        <f t="shared" si="372"/>
        <v>吕布</v>
      </c>
      <c r="BS506" s="14">
        <f t="shared" si="373"/>
        <v>2</v>
      </c>
      <c r="BT506" s="14" t="str">
        <f t="shared" si="374"/>
        <v>吕布2突</v>
      </c>
      <c r="BU506" s="14" t="str">
        <f>IF(BN506&gt;0,INDEX(挂机升级突破!$ER$5:$EV$5,卡牌消耗!BN506),"")</f>
        <v>金币</v>
      </c>
      <c r="BV506" s="14">
        <f>IF(BN506&gt;0,ROUND(INDEX(挂机升级突破!$EV$7:$EV$26,卡牌消耗!BS506)*INDEX(卡牌消耗!$B$8:$F$8,BP506)/$Q$4/500,0)*500,"")</f>
        <v>6500</v>
      </c>
      <c r="BW506" s="14" t="str">
        <f>IF(BO506&gt;0,INDEX(挂机升级突破!$ER$5:$EV$5,卡牌消耗!BO506),"")</f>
        <v>玄铁</v>
      </c>
      <c r="BX506" s="14">
        <f>IF(BO506&gt;0,ROUND(INDEX(挂机升级突破!$ER$7:$EU$26,卡牌消耗!BS506,卡牌消耗!BO506)*INDEX($B$6:$F$6,BP506)/$Q$4,0),"")</f>
        <v>2</v>
      </c>
      <c r="BY506" s="193"/>
      <c r="BZ506" s="193"/>
      <c r="CA506" s="106"/>
    </row>
    <row r="507" spans="8:79" ht="16.5" x14ac:dyDescent="0.2">
      <c r="H507" s="15"/>
      <c r="I507" s="15"/>
      <c r="J507" s="15"/>
      <c r="K507" s="15"/>
      <c r="L507" s="15"/>
      <c r="M507" s="15"/>
      <c r="N507" s="15"/>
      <c r="O507" s="137"/>
      <c r="P507" s="141"/>
      <c r="Q507" s="141"/>
      <c r="R507" s="141"/>
      <c r="S507" s="141"/>
      <c r="T507" s="141"/>
      <c r="U507" s="141"/>
      <c r="V507" s="141"/>
      <c r="W507" s="141"/>
      <c r="X507" s="141"/>
      <c r="Y507" s="141"/>
      <c r="Z507" s="141"/>
      <c r="AA507" s="194"/>
      <c r="AB507" s="194"/>
      <c r="AC507" s="194"/>
      <c r="AD507" s="194"/>
      <c r="AE507" s="194"/>
      <c r="AF507" s="194"/>
      <c r="AG507" s="197"/>
      <c r="AH507" s="194"/>
      <c r="AI507" s="194"/>
      <c r="AJ507" s="194"/>
      <c r="AK507" s="104">
        <v>503</v>
      </c>
      <c r="AL507" s="14">
        <f t="shared" si="365"/>
        <v>10</v>
      </c>
      <c r="AM507" s="14">
        <f>INDEX(挂机升级突破!DQ$6:DQ$57,卡牌消耗!$AT507)</f>
        <v>11</v>
      </c>
      <c r="AN507" s="14">
        <f>INDEX(挂机升级突破!DR$6:DR$57,卡牌消耗!$AT507)</f>
        <v>4</v>
      </c>
      <c r="AO507" s="14">
        <f>INDEX(挂机升级突破!DS$6:DS$57,卡牌消耗!$AT507)</f>
        <v>0</v>
      </c>
      <c r="AP507" s="14">
        <f>INDEX(挂机升级突破!$DP$6:$DP$57,卡牌消耗!AT507)</f>
        <v>105</v>
      </c>
      <c r="AQ507" s="14" t="str">
        <f t="shared" si="366"/>
        <v>张郃</v>
      </c>
      <c r="AR507" s="14">
        <f t="shared" si="367"/>
        <v>4</v>
      </c>
      <c r="AS507" s="14" t="str">
        <f t="shared" si="368"/>
        <v>张郃魂火-35</v>
      </c>
      <c r="AT507" s="14">
        <f t="shared" si="369"/>
        <v>35</v>
      </c>
      <c r="AU507" s="14" t="str">
        <f>IF(AM507&gt;0,INDEX(挂机升级突破!$DT$4:$ED$4,AM507),"")</f>
        <v>金币</v>
      </c>
      <c r="AV507" s="14">
        <f>ROUND(INDEX(挂机升级突破!$DJ$6:$DJ$57,卡牌消耗!AT507)*INDEX(卡牌消耗!$B$8:$F$8,AR507)/$Q$4/50,0)*50</f>
        <v>23350</v>
      </c>
      <c r="AW507" s="14" t="str">
        <f>IF(AN507&gt;0,INDEX(挂机升级突破!$DT$4:$ED$4,AN507),"")</f>
        <v>橙色基础材料</v>
      </c>
      <c r="AX507" s="14">
        <f>ROUND(INDEX(挂机升级突破!$DT$6:$ED$57,卡牌消耗!AT507,AN507)*INDEX(卡牌消耗!$B$5:$F$5,AR507)/$Q$4/5,0)*5</f>
        <v>35</v>
      </c>
      <c r="AY507" s="14" t="str">
        <f>IF(AO507&gt;0,INDEX(挂机升级突破!$DT$4:$ED$4,AO507),"")</f>
        <v/>
      </c>
      <c r="AZ507" s="14" t="str">
        <f>IF(AO507&gt;0,ROUND(INDEX(挂机升级突破!$DT$6:$ED$57,卡牌消耗!AT507,AO507)*INDEX(卡牌消耗!$B$7:$F$7,AR507)/$Q$4,0),"")</f>
        <v/>
      </c>
      <c r="BA507" s="106"/>
      <c r="BB507" s="197"/>
      <c r="BC507" s="197"/>
      <c r="BD507" s="197"/>
      <c r="BE507" s="197"/>
      <c r="BF507" s="197"/>
      <c r="BG507" s="197"/>
      <c r="BH507" s="197"/>
      <c r="BI507" s="197"/>
      <c r="BJ507" s="197"/>
      <c r="BK507" s="197"/>
      <c r="BL507" s="104">
        <v>503</v>
      </c>
      <c r="BM507" s="14">
        <f t="shared" si="370"/>
        <v>26</v>
      </c>
      <c r="BN507" s="14">
        <f>INDEX(挂机升级突破!$EI$7:$EI$26,BS507)</f>
        <v>5</v>
      </c>
      <c r="BO507" s="14">
        <f>INDEX(挂机升级突破!$EJ$7:$EJ$26,BS507)</f>
        <v>1</v>
      </c>
      <c r="BP507" s="14">
        <f t="shared" si="371"/>
        <v>5</v>
      </c>
      <c r="BQ507" s="14">
        <f>INDEX(挂机升级突破!$EH$7:$EH$26,卡牌消耗!BS507)</f>
        <v>15</v>
      </c>
      <c r="BR507" s="14" t="str">
        <f t="shared" si="372"/>
        <v>吕布</v>
      </c>
      <c r="BS507" s="14">
        <f t="shared" si="373"/>
        <v>3</v>
      </c>
      <c r="BT507" s="14" t="str">
        <f t="shared" si="374"/>
        <v>吕布3突</v>
      </c>
      <c r="BU507" s="14" t="str">
        <f>IF(BN507&gt;0,INDEX(挂机升级突破!$ER$5:$EV$5,卡牌消耗!BN507),"")</f>
        <v>金币</v>
      </c>
      <c r="BV507" s="14">
        <f>IF(BN507&gt;0,ROUND(INDEX(挂机升级突破!$EV$7:$EV$26,卡牌消耗!BS507)*INDEX(卡牌消耗!$B$8:$F$8,BP507)/$Q$4/500,0)*500,"")</f>
        <v>6500</v>
      </c>
      <c r="BW507" s="14" t="str">
        <f>IF(BO507&gt;0,INDEX(挂机升级突破!$ER$5:$EV$5,卡牌消耗!BO507),"")</f>
        <v>玄铁</v>
      </c>
      <c r="BX507" s="14">
        <f>IF(BO507&gt;0,ROUND(INDEX(挂机升级突破!$ER$7:$EU$26,卡牌消耗!BS507,卡牌消耗!BO507)*INDEX($B$6:$F$6,BP507)/$Q$4,0),"")</f>
        <v>8</v>
      </c>
      <c r="BY507" s="193"/>
      <c r="BZ507" s="193"/>
      <c r="CA507" s="106"/>
    </row>
    <row r="508" spans="8:79" ht="16.5" x14ac:dyDescent="0.2">
      <c r="H508" s="15"/>
      <c r="I508" s="15"/>
      <c r="J508" s="15"/>
      <c r="AK508" s="104">
        <v>504</v>
      </c>
      <c r="AL508" s="14">
        <f t="shared" si="365"/>
        <v>10</v>
      </c>
      <c r="AM508" s="14">
        <f>INDEX(挂机升级突破!DQ$6:DQ$57,卡牌消耗!$AT508)</f>
        <v>11</v>
      </c>
      <c r="AN508" s="14">
        <f>INDEX(挂机升级突破!DR$6:DR$57,卡牌消耗!$AT508)</f>
        <v>4</v>
      </c>
      <c r="AO508" s="14">
        <f>INDEX(挂机升级突破!DS$6:DS$57,卡牌消耗!$AT508)</f>
        <v>0</v>
      </c>
      <c r="AP508" s="14">
        <f>INDEX(挂机升级突破!$DP$6:$DP$57,卡牌消耗!AT508)</f>
        <v>108</v>
      </c>
      <c r="AQ508" s="14" t="str">
        <f t="shared" si="366"/>
        <v>张郃</v>
      </c>
      <c r="AR508" s="14">
        <f t="shared" si="367"/>
        <v>4</v>
      </c>
      <c r="AS508" s="14" t="str">
        <f t="shared" si="368"/>
        <v>张郃魂火-36</v>
      </c>
      <c r="AT508" s="14">
        <f t="shared" si="369"/>
        <v>36</v>
      </c>
      <c r="AU508" s="14" t="str">
        <f>IF(AM508&gt;0,INDEX(挂机升级突破!$DT$4:$ED$4,AM508),"")</f>
        <v>金币</v>
      </c>
      <c r="AV508" s="14">
        <f>ROUND(INDEX(挂机升级突破!$DJ$6:$DJ$57,卡牌消耗!AT508)*INDEX(卡牌消耗!$B$8:$F$8,AR508)/$Q$4/50,0)*50</f>
        <v>23350</v>
      </c>
      <c r="AW508" s="14" t="str">
        <f>IF(AN508&gt;0,INDEX(挂机升级突破!$DT$4:$ED$4,AN508),"")</f>
        <v>橙色基础材料</v>
      </c>
      <c r="AX508" s="14">
        <f>ROUND(INDEX(挂机升级突破!$DT$6:$ED$57,卡牌消耗!AT508,AN508)*INDEX(卡牌消耗!$B$5:$F$5,AR508)/$Q$4/5,0)*5</f>
        <v>35</v>
      </c>
      <c r="AY508" s="14" t="str">
        <f>IF(AO508&gt;0,INDEX(挂机升级突破!$DT$4:$ED$4,AO508),"")</f>
        <v/>
      </c>
      <c r="AZ508" s="14" t="str">
        <f>IF(AO508&gt;0,ROUND(INDEX(挂机升级突破!$DT$6:$ED$57,卡牌消耗!AT508,AO508)*INDEX(卡牌消耗!$B$7:$F$7,AR508)/$Q$4,0),"")</f>
        <v/>
      </c>
      <c r="BL508" s="104">
        <v>504</v>
      </c>
      <c r="BM508" s="14">
        <f t="shared" si="370"/>
        <v>26</v>
      </c>
      <c r="BN508" s="14">
        <f>INDEX(挂机升级突破!$EI$7:$EI$26,BS508)</f>
        <v>5</v>
      </c>
      <c r="BO508" s="14">
        <f>INDEX(挂机升级突破!$EJ$7:$EJ$26,BS508)</f>
        <v>1</v>
      </c>
      <c r="BP508" s="14">
        <f t="shared" si="371"/>
        <v>5</v>
      </c>
      <c r="BQ508" s="14">
        <f>INDEX(挂机升级突破!$EH$7:$EH$26,卡牌消耗!BS508)</f>
        <v>25</v>
      </c>
      <c r="BR508" s="14" t="str">
        <f t="shared" si="372"/>
        <v>吕布</v>
      </c>
      <c r="BS508" s="14">
        <f t="shared" si="373"/>
        <v>4</v>
      </c>
      <c r="BT508" s="14" t="str">
        <f t="shared" si="374"/>
        <v>吕布4突</v>
      </c>
      <c r="BU508" s="14" t="str">
        <f>IF(BN508&gt;0,INDEX(挂机升级突破!$ER$5:$EV$5,卡牌消耗!BN508),"")</f>
        <v>金币</v>
      </c>
      <c r="BV508" s="14">
        <f>IF(BN508&gt;0,ROUND(INDEX(挂机升级突破!$EV$7:$EV$26,卡牌消耗!BS508)*INDEX(卡牌消耗!$B$8:$F$8,BP508)/$Q$4/500,0)*500,"")</f>
        <v>7500</v>
      </c>
      <c r="BW508" s="14" t="str">
        <f>IF(BO508&gt;0,INDEX(挂机升级突破!$ER$5:$EV$5,卡牌消耗!BO508),"")</f>
        <v>玄铁</v>
      </c>
      <c r="BX508" s="14">
        <f>IF(BO508&gt;0,ROUND(INDEX(挂机升级突破!$ER$7:$EU$26,卡牌消耗!BS508,卡牌消耗!BO508)*INDEX($B$6:$F$6,BP508)/$Q$4,0),"")</f>
        <v>25</v>
      </c>
      <c r="BY508" s="193"/>
      <c r="BZ508" s="193"/>
    </row>
    <row r="509" spans="8:79" ht="16.5" x14ac:dyDescent="0.2">
      <c r="H509" s="15"/>
      <c r="I509" s="15"/>
      <c r="J509" s="15"/>
      <c r="AK509" s="104">
        <v>505</v>
      </c>
      <c r="AL509" s="14">
        <f t="shared" si="365"/>
        <v>10</v>
      </c>
      <c r="AM509" s="14">
        <f>INDEX(挂机升级突破!DQ$6:DQ$57,卡牌消耗!$AT509)</f>
        <v>11</v>
      </c>
      <c r="AN509" s="14">
        <f>INDEX(挂机升级突破!DR$6:DR$57,卡牌消耗!$AT509)</f>
        <v>4</v>
      </c>
      <c r="AO509" s="14">
        <f>INDEX(挂机升级突破!DS$6:DS$57,卡牌消耗!$AT509)</f>
        <v>0</v>
      </c>
      <c r="AP509" s="14">
        <f>INDEX(挂机升级突破!$DP$6:$DP$57,卡牌消耗!AT509)</f>
        <v>110</v>
      </c>
      <c r="AQ509" s="14" t="str">
        <f t="shared" si="366"/>
        <v>张郃</v>
      </c>
      <c r="AR509" s="14">
        <f t="shared" si="367"/>
        <v>4</v>
      </c>
      <c r="AS509" s="14" t="str">
        <f t="shared" si="368"/>
        <v>张郃魂火-37</v>
      </c>
      <c r="AT509" s="14">
        <f t="shared" si="369"/>
        <v>37</v>
      </c>
      <c r="AU509" s="14" t="str">
        <f>IF(AM509&gt;0,INDEX(挂机升级突破!$DT$4:$ED$4,AM509),"")</f>
        <v>金币</v>
      </c>
      <c r="AV509" s="14">
        <f>ROUND(INDEX(挂机升级突破!$DJ$6:$DJ$57,卡牌消耗!AT509)*INDEX(卡牌消耗!$B$8:$F$8,AR509)/$Q$4/50,0)*50</f>
        <v>25000</v>
      </c>
      <c r="AW509" s="14" t="str">
        <f>IF(AN509&gt;0,INDEX(挂机升级突破!$DT$4:$ED$4,AN509),"")</f>
        <v>橙色基础材料</v>
      </c>
      <c r="AX509" s="14">
        <f>ROUND(INDEX(挂机升级突破!$DT$6:$ED$57,卡牌消耗!AT509,AN509)*INDEX(卡牌消耗!$B$5:$F$5,AR509)/$Q$4/5,0)*5</f>
        <v>35</v>
      </c>
      <c r="AY509" s="14" t="str">
        <f>IF(AO509&gt;0,INDEX(挂机升级突破!$DT$4:$ED$4,AO509),"")</f>
        <v/>
      </c>
      <c r="AZ509" s="14" t="str">
        <f>IF(AO509&gt;0,ROUND(INDEX(挂机升级突破!$DT$6:$ED$57,卡牌消耗!AT509,AO509)*INDEX(卡牌消耗!$B$7:$F$7,AR509)/$Q$4,0),"")</f>
        <v/>
      </c>
      <c r="BL509" s="104">
        <v>505</v>
      </c>
      <c r="BM509" s="14">
        <f t="shared" si="370"/>
        <v>26</v>
      </c>
      <c r="BN509" s="14">
        <f>INDEX(挂机升级突破!$EI$7:$EI$26,BS509)</f>
        <v>5</v>
      </c>
      <c r="BO509" s="14">
        <f>INDEX(挂机升级突破!$EJ$7:$EJ$26,BS509)</f>
        <v>1</v>
      </c>
      <c r="BP509" s="14">
        <f t="shared" si="371"/>
        <v>5</v>
      </c>
      <c r="BQ509" s="14">
        <f>INDEX(挂机升级突破!$EH$7:$EH$26,卡牌消耗!BS509)</f>
        <v>35</v>
      </c>
      <c r="BR509" s="14" t="str">
        <f t="shared" si="372"/>
        <v>吕布</v>
      </c>
      <c r="BS509" s="14">
        <f t="shared" si="373"/>
        <v>5</v>
      </c>
      <c r="BT509" s="14" t="str">
        <f t="shared" si="374"/>
        <v>吕布5突</v>
      </c>
      <c r="BU509" s="14" t="str">
        <f>IF(BN509&gt;0,INDEX(挂机升级突破!$ER$5:$EV$5,卡牌消耗!BN509),"")</f>
        <v>金币</v>
      </c>
      <c r="BV509" s="14">
        <f>IF(BN509&gt;0,ROUND(INDEX(挂机升级突破!$EV$7:$EV$26,卡牌消耗!BS509)*INDEX(卡牌消耗!$B$8:$F$8,BP509)/$Q$4/500,0)*500,"")</f>
        <v>7500</v>
      </c>
      <c r="BW509" s="14" t="str">
        <f>IF(BO509&gt;0,INDEX(挂机升级突破!$ER$5:$EV$5,卡牌消耗!BO509),"")</f>
        <v>玄铁</v>
      </c>
      <c r="BX509" s="14">
        <f>IF(BO509&gt;0,ROUND(INDEX(挂机升级突破!$ER$7:$EU$26,卡牌消耗!BS509,卡牌消耗!BO509)*INDEX($B$6:$F$6,BP509)/$Q$4/5,0)*5,"")</f>
        <v>50</v>
      </c>
      <c r="BY509" s="193"/>
      <c r="BZ509" s="193"/>
    </row>
    <row r="510" spans="8:79" ht="16.5" x14ac:dyDescent="0.2">
      <c r="H510" s="15"/>
      <c r="I510" s="15"/>
      <c r="J510" s="15"/>
      <c r="AK510" s="104">
        <v>506</v>
      </c>
      <c r="AL510" s="14">
        <f t="shared" si="365"/>
        <v>10</v>
      </c>
      <c r="AM510" s="14">
        <f>INDEX(挂机升级突破!DQ$6:DQ$57,卡牌消耗!$AT510)</f>
        <v>11</v>
      </c>
      <c r="AN510" s="14">
        <f>INDEX(挂机升级突破!DR$6:DR$57,卡牌消耗!$AT510)</f>
        <v>5</v>
      </c>
      <c r="AO510" s="14">
        <f>INDEX(挂机升级突破!DS$6:DS$57,卡牌消耗!$AT510)</f>
        <v>0</v>
      </c>
      <c r="AP510" s="14">
        <f>INDEX(挂机升级突破!$DP$6:$DP$57,卡牌消耗!AT510)</f>
        <v>113</v>
      </c>
      <c r="AQ510" s="14" t="str">
        <f t="shared" si="366"/>
        <v>张郃</v>
      </c>
      <c r="AR510" s="14">
        <f t="shared" si="367"/>
        <v>4</v>
      </c>
      <c r="AS510" s="14" t="str">
        <f t="shared" si="368"/>
        <v>张郃魂火-38</v>
      </c>
      <c r="AT510" s="14">
        <f t="shared" si="369"/>
        <v>38</v>
      </c>
      <c r="AU510" s="14" t="str">
        <f>IF(AM510&gt;0,INDEX(挂机升级突破!$DT$4:$ED$4,AM510),"")</f>
        <v>金币</v>
      </c>
      <c r="AV510" s="14">
        <f>ROUND(INDEX(挂机升级突破!$DJ$6:$DJ$57,卡牌消耗!AT510)*INDEX(卡牌消耗!$B$8:$F$8,AR510)/$Q$4/50,0)*50</f>
        <v>32250</v>
      </c>
      <c r="AW510" s="14" t="str">
        <f>IF(AN510&gt;0,INDEX(挂机升级突破!$DT$4:$ED$4,AN510),"")</f>
        <v>红色基础材料</v>
      </c>
      <c r="AX510" s="14">
        <f>ROUND(INDEX(挂机升级突破!$DT$6:$ED$57,卡牌消耗!AT510,AN510)*INDEX(卡牌消耗!$B$5:$F$5,AR510)/$Q$4/5,0)*5</f>
        <v>10</v>
      </c>
      <c r="AY510" s="14" t="str">
        <f>IF(AO510&gt;0,INDEX(挂机升级突破!$DT$4:$ED$4,AO510),"")</f>
        <v/>
      </c>
      <c r="AZ510" s="14" t="str">
        <f>IF(AO510&gt;0,ROUND(INDEX(挂机升级突破!$DT$6:$ED$57,卡牌消耗!AT510,AO510)*INDEX(卡牌消耗!$B$7:$F$7,AR510)/$Q$4,0),"")</f>
        <v/>
      </c>
      <c r="BL510" s="104">
        <v>506</v>
      </c>
      <c r="BM510" s="14">
        <f t="shared" si="370"/>
        <v>26</v>
      </c>
      <c r="BN510" s="14">
        <f>INDEX(挂机升级突破!$EI$7:$EI$26,BS510)</f>
        <v>5</v>
      </c>
      <c r="BO510" s="14">
        <f>INDEX(挂机升级突破!$EJ$7:$EJ$26,BS510)</f>
        <v>1</v>
      </c>
      <c r="BP510" s="14">
        <f t="shared" si="371"/>
        <v>5</v>
      </c>
      <c r="BQ510" s="14">
        <f>INDEX(挂机升级突破!$EH$7:$EH$26,卡牌消耗!BS510)</f>
        <v>42</v>
      </c>
      <c r="BR510" s="14" t="str">
        <f t="shared" si="372"/>
        <v>吕布</v>
      </c>
      <c r="BS510" s="14">
        <f t="shared" si="373"/>
        <v>6</v>
      </c>
      <c r="BT510" s="14" t="str">
        <f t="shared" si="374"/>
        <v>吕布6突</v>
      </c>
      <c r="BU510" s="14" t="str">
        <f>IF(BN510&gt;0,INDEX(挂机升级突破!$ER$5:$EV$5,卡牌消耗!BN510),"")</f>
        <v>金币</v>
      </c>
      <c r="BV510" s="14">
        <f>IF(BN510&gt;0,ROUND(INDEX(挂机升级突破!$EV$7:$EV$26,卡牌消耗!BS510)*INDEX(卡牌消耗!$B$8:$F$8,BP510)/$Q$4/500,0)*500,"")</f>
        <v>10000</v>
      </c>
      <c r="BW510" s="14" t="str">
        <f>IF(BO510&gt;0,INDEX(挂机升级突破!$ER$5:$EV$5,卡牌消耗!BO510),"")</f>
        <v>玄铁</v>
      </c>
      <c r="BX510" s="14">
        <f>IF(BO510&gt;0,ROUND(INDEX(挂机升级突破!$ER$7:$EU$26,卡牌消耗!BS510,卡牌消耗!BO510)*INDEX($B$6:$F$6,BP510)/$Q$4/5,0)*5,"")</f>
        <v>75</v>
      </c>
      <c r="BY510" s="193"/>
      <c r="BZ510" s="193"/>
    </row>
    <row r="511" spans="8:79" ht="16.5" x14ac:dyDescent="0.2">
      <c r="H511" s="15"/>
      <c r="I511" s="15"/>
      <c r="J511" s="15"/>
      <c r="AK511" s="104">
        <v>507</v>
      </c>
      <c r="AL511" s="14">
        <f t="shared" si="365"/>
        <v>10</v>
      </c>
      <c r="AM511" s="14">
        <f>INDEX(挂机升级突破!DQ$6:DQ$57,卡牌消耗!$AT511)</f>
        <v>11</v>
      </c>
      <c r="AN511" s="14">
        <f>INDEX(挂机升级突破!DR$6:DR$57,卡牌消耗!$AT511)</f>
        <v>5</v>
      </c>
      <c r="AO511" s="14">
        <f>INDEX(挂机升级突破!DS$6:DS$57,卡牌消耗!$AT511)</f>
        <v>0</v>
      </c>
      <c r="AP511" s="14">
        <f>INDEX(挂机升级突破!$DP$6:$DP$57,卡牌消耗!AT511)</f>
        <v>115</v>
      </c>
      <c r="AQ511" s="14" t="str">
        <f t="shared" si="366"/>
        <v>张郃</v>
      </c>
      <c r="AR511" s="14">
        <f t="shared" si="367"/>
        <v>4</v>
      </c>
      <c r="AS511" s="14" t="str">
        <f t="shared" si="368"/>
        <v>张郃魂火-39</v>
      </c>
      <c r="AT511" s="14">
        <f t="shared" si="369"/>
        <v>39</v>
      </c>
      <c r="AU511" s="14" t="str">
        <f>IF(AM511&gt;0,INDEX(挂机升级突破!$DT$4:$ED$4,AM511),"")</f>
        <v>金币</v>
      </c>
      <c r="AV511" s="14">
        <f>ROUND(INDEX(挂机升级突破!$DJ$6:$DJ$57,卡牌消耗!AT511)*INDEX(卡牌消耗!$B$8:$F$8,AR511)/$Q$4/50,0)*50</f>
        <v>32250</v>
      </c>
      <c r="AW511" s="14" t="str">
        <f>IF(AN511&gt;0,INDEX(挂机升级突破!$DT$4:$ED$4,AN511),"")</f>
        <v>红色基础材料</v>
      </c>
      <c r="AX511" s="14">
        <f>ROUND(INDEX(挂机升级突破!$DT$6:$ED$57,卡牌消耗!AT511,AN511)*INDEX(卡牌消耗!$B$5:$F$5,AR511)/$Q$4/5,0)*5</f>
        <v>10</v>
      </c>
      <c r="AY511" s="14" t="str">
        <f>IF(AO511&gt;0,INDEX(挂机升级突破!$DT$4:$ED$4,AO511),"")</f>
        <v/>
      </c>
      <c r="AZ511" s="14" t="str">
        <f>IF(AO511&gt;0,ROUND(INDEX(挂机升级突破!$DT$6:$ED$57,卡牌消耗!AT511,AO511)*INDEX(卡牌消耗!$B$7:$F$7,AR511)/$Q$4,0),"")</f>
        <v/>
      </c>
      <c r="BL511" s="104">
        <v>507</v>
      </c>
      <c r="BM511" s="14">
        <f t="shared" si="370"/>
        <v>26</v>
      </c>
      <c r="BN511" s="14">
        <f>INDEX(挂机升级突破!$EI$7:$EI$26,BS511)</f>
        <v>5</v>
      </c>
      <c r="BO511" s="14">
        <f>INDEX(挂机升级突破!$EJ$7:$EJ$26,BS511)</f>
        <v>1</v>
      </c>
      <c r="BP511" s="14">
        <f t="shared" si="371"/>
        <v>5</v>
      </c>
      <c r="BQ511" s="14">
        <f>INDEX(挂机升级突破!$EH$7:$EH$26,卡牌消耗!BS511)</f>
        <v>47</v>
      </c>
      <c r="BR511" s="14" t="str">
        <f t="shared" si="372"/>
        <v>吕布</v>
      </c>
      <c r="BS511" s="14">
        <f t="shared" si="373"/>
        <v>7</v>
      </c>
      <c r="BT511" s="14" t="str">
        <f t="shared" si="374"/>
        <v>吕布7突</v>
      </c>
      <c r="BU511" s="14" t="str">
        <f>IF(BN511&gt;0,INDEX(挂机升级突破!$ER$5:$EV$5,卡牌消耗!BN511),"")</f>
        <v>金币</v>
      </c>
      <c r="BV511" s="14">
        <f>IF(BN511&gt;0,ROUND(INDEX(挂机升级突破!$EV$7:$EV$26,卡牌消耗!BS511)*INDEX(卡牌消耗!$B$8:$F$8,BP511)/$Q$4/500,0)*500,"")</f>
        <v>16500</v>
      </c>
      <c r="BW511" s="14" t="str">
        <f>IF(BO511&gt;0,INDEX(挂机升级突破!$ER$5:$EV$5,卡牌消耗!BO511),"")</f>
        <v>玄铁</v>
      </c>
      <c r="BX511" s="14">
        <f>IF(BO511&gt;0,ROUND(INDEX(挂机升级突破!$ER$7:$EU$26,卡牌消耗!BS511,卡牌消耗!BO511)*INDEX($B$6:$F$6,BP511)/$Q$4/5,0)*5,"")</f>
        <v>125</v>
      </c>
      <c r="BY511" s="193"/>
      <c r="BZ511" s="193"/>
    </row>
    <row r="512" spans="8:79" ht="16.5" x14ac:dyDescent="0.2">
      <c r="H512" s="15"/>
      <c r="I512" s="15"/>
      <c r="J512" s="15"/>
      <c r="AK512" s="104">
        <v>508</v>
      </c>
      <c r="AL512" s="14">
        <f t="shared" si="365"/>
        <v>10</v>
      </c>
      <c r="AM512" s="14">
        <f>INDEX(挂机升级突破!DQ$6:DQ$57,卡牌消耗!$AT512)</f>
        <v>11</v>
      </c>
      <c r="AN512" s="14">
        <f>INDEX(挂机升级突破!DR$6:DR$57,卡牌消耗!$AT512)</f>
        <v>5</v>
      </c>
      <c r="AO512" s="14">
        <f>INDEX(挂机升级突破!DS$6:DS$57,卡牌消耗!$AT512)</f>
        <v>0</v>
      </c>
      <c r="AP512" s="14">
        <f>INDEX(挂机升级突破!$DP$6:$DP$57,卡牌消耗!AT512)</f>
        <v>118</v>
      </c>
      <c r="AQ512" s="14" t="str">
        <f t="shared" si="366"/>
        <v>张郃</v>
      </c>
      <c r="AR512" s="14">
        <f t="shared" si="367"/>
        <v>4</v>
      </c>
      <c r="AS512" s="14" t="str">
        <f t="shared" si="368"/>
        <v>张郃魂火-40</v>
      </c>
      <c r="AT512" s="14">
        <f t="shared" si="369"/>
        <v>40</v>
      </c>
      <c r="AU512" s="14" t="str">
        <f>IF(AM512&gt;0,INDEX(挂机升级突破!$DT$4:$ED$4,AM512),"")</f>
        <v>金币</v>
      </c>
      <c r="AV512" s="14">
        <f>ROUND(INDEX(挂机升级突破!$DJ$6:$DJ$57,卡牌消耗!AT512)*INDEX(卡牌消耗!$B$8:$F$8,AR512)/$Q$4/50,0)*50</f>
        <v>32250</v>
      </c>
      <c r="AW512" s="14" t="str">
        <f>IF(AN512&gt;0,INDEX(挂机升级突破!$DT$4:$ED$4,AN512),"")</f>
        <v>红色基础材料</v>
      </c>
      <c r="AX512" s="14">
        <f>ROUND(INDEX(挂机升级突破!$DT$6:$ED$57,卡牌消耗!AT512,AN512)*INDEX(卡牌消耗!$B$5:$F$5,AR512)/$Q$4/5,0)*5</f>
        <v>10</v>
      </c>
      <c r="AY512" s="14" t="str">
        <f>IF(AO512&gt;0,INDEX(挂机升级突破!$DT$4:$ED$4,AO512),"")</f>
        <v/>
      </c>
      <c r="AZ512" s="14" t="str">
        <f>IF(AO512&gt;0,ROUND(INDEX(挂机升级突破!$DT$6:$ED$57,卡牌消耗!AT512,AO512)*INDEX(卡牌消耗!$B$7:$F$7,AR512)/$Q$4,0),"")</f>
        <v/>
      </c>
      <c r="BL512" s="104">
        <v>508</v>
      </c>
      <c r="BM512" s="14">
        <f t="shared" si="370"/>
        <v>26</v>
      </c>
      <c r="BN512" s="14">
        <f>INDEX(挂机升级突破!$EI$7:$EI$26,BS512)</f>
        <v>5</v>
      </c>
      <c r="BO512" s="14">
        <f>INDEX(挂机升级突破!$EJ$7:$EJ$26,BS512)</f>
        <v>1</v>
      </c>
      <c r="BP512" s="14">
        <f t="shared" si="371"/>
        <v>5</v>
      </c>
      <c r="BQ512" s="14">
        <f>INDEX(挂机升级突破!$EH$7:$EH$26,卡牌消耗!BS512)</f>
        <v>52</v>
      </c>
      <c r="BR512" s="14" t="str">
        <f t="shared" si="372"/>
        <v>吕布</v>
      </c>
      <c r="BS512" s="14">
        <f t="shared" si="373"/>
        <v>8</v>
      </c>
      <c r="BT512" s="14" t="str">
        <f t="shared" si="374"/>
        <v>吕布8突</v>
      </c>
      <c r="BU512" s="14" t="str">
        <f>IF(BN512&gt;0,INDEX(挂机升级突破!$ER$5:$EV$5,卡牌消耗!BN512),"")</f>
        <v>金币</v>
      </c>
      <c r="BV512" s="14">
        <f>IF(BN512&gt;0,ROUND(INDEX(挂机升级突破!$EV$7:$EV$26,卡牌消耗!BS512)*INDEX(卡牌消耗!$B$8:$F$8,BP512)/$Q$4/500,0)*500,"")</f>
        <v>16500</v>
      </c>
      <c r="BW512" s="14" t="str">
        <f>IF(BO512&gt;0,INDEX(挂机升级突破!$ER$5:$EV$5,卡牌消耗!BO512),"")</f>
        <v>玄铁</v>
      </c>
      <c r="BX512" s="14">
        <f>IF(BO512&gt;0,ROUND(INDEX(挂机升级突破!$ER$7:$EU$26,卡牌消耗!BS512,卡牌消耗!BO512)*INDEX($B$6:$F$6,BP512)/$Q$4/5,0)*5,"")</f>
        <v>225</v>
      </c>
      <c r="BY512" s="193"/>
      <c r="BZ512" s="193"/>
    </row>
    <row r="513" spans="8:78" ht="16.5" x14ac:dyDescent="0.2">
      <c r="H513" s="15"/>
      <c r="I513" s="15"/>
      <c r="J513" s="15"/>
      <c r="AK513" s="104">
        <v>509</v>
      </c>
      <c r="AL513" s="14">
        <f t="shared" si="365"/>
        <v>10</v>
      </c>
      <c r="AM513" s="14">
        <f>INDEX(挂机升级突破!DQ$6:DQ$57,卡牌消耗!$AT513)</f>
        <v>11</v>
      </c>
      <c r="AN513" s="14">
        <f>INDEX(挂机升级突破!DR$6:DR$57,卡牌消耗!$AT513)</f>
        <v>5</v>
      </c>
      <c r="AO513" s="14">
        <f>INDEX(挂机升级突破!DS$6:DS$57,卡牌消耗!$AT513)</f>
        <v>10</v>
      </c>
      <c r="AP513" s="14">
        <f>INDEX(挂机升级突破!$DP$6:$DP$57,卡牌消耗!AT513)</f>
        <v>120</v>
      </c>
      <c r="AQ513" s="14" t="str">
        <f t="shared" si="366"/>
        <v>张郃</v>
      </c>
      <c r="AR513" s="14">
        <f t="shared" si="367"/>
        <v>4</v>
      </c>
      <c r="AS513" s="14" t="str">
        <f t="shared" si="368"/>
        <v>张郃魂火-41</v>
      </c>
      <c r="AT513" s="14">
        <f t="shared" si="369"/>
        <v>41</v>
      </c>
      <c r="AU513" s="14" t="str">
        <f>IF(AM513&gt;0,INDEX(挂机升级突破!$DT$4:$ED$4,AM513),"")</f>
        <v>金币</v>
      </c>
      <c r="AV513" s="14">
        <f>ROUND(INDEX(挂机升级突破!$DJ$6:$DJ$57,卡牌消耗!AT513)*INDEX(卡牌消耗!$B$8:$F$8,AR513)/$Q$4/50,0)*50</f>
        <v>44300</v>
      </c>
      <c r="AW513" s="14" t="str">
        <f>IF(AN513&gt;0,INDEX(挂机升级突破!$DT$4:$ED$4,AN513),"")</f>
        <v>红色基础材料</v>
      </c>
      <c r="AX513" s="14">
        <f>ROUND(INDEX(挂机升级突破!$DT$6:$ED$57,卡牌消耗!AT513,AN513)*INDEX(卡牌消耗!$B$5:$F$5,AR513)/$Q$4/5,0)*5</f>
        <v>10</v>
      </c>
      <c r="AY513" s="14" t="str">
        <f>IF(AO513&gt;0,INDEX(挂机升级突破!$DT$4:$ED$4,AO513),"")</f>
        <v>灵玉</v>
      </c>
      <c r="AZ513" s="14">
        <f>IF(AO513&gt;0,ROUND(INDEX(挂机升级突破!$DT$6:$ED$57,卡牌消耗!AT513,AO513)*INDEX(卡牌消耗!$B$7:$F$7,AR513)/$Q$4,0),"")</f>
        <v>3</v>
      </c>
      <c r="BL513" s="104">
        <v>509</v>
      </c>
      <c r="BM513" s="14">
        <f t="shared" si="370"/>
        <v>26</v>
      </c>
      <c r="BN513" s="14">
        <f>INDEX(挂机升级突破!$EI$7:$EI$26,BS513)</f>
        <v>5</v>
      </c>
      <c r="BO513" s="14">
        <f>INDEX(挂机升级突破!$EJ$7:$EJ$26,BS513)</f>
        <v>2</v>
      </c>
      <c r="BP513" s="14">
        <f t="shared" si="371"/>
        <v>5</v>
      </c>
      <c r="BQ513" s="14">
        <f>INDEX(挂机升级突破!$EH$7:$EH$26,卡牌消耗!BS513)</f>
        <v>57</v>
      </c>
      <c r="BR513" s="14" t="str">
        <f t="shared" si="372"/>
        <v>吕布</v>
      </c>
      <c r="BS513" s="14">
        <f t="shared" si="373"/>
        <v>9</v>
      </c>
      <c r="BT513" s="14" t="str">
        <f t="shared" si="374"/>
        <v>吕布9突</v>
      </c>
      <c r="BU513" s="14" t="str">
        <f>IF(BN513&gt;0,INDEX(挂机升级突破!$ER$5:$EV$5,卡牌消耗!BN513),"")</f>
        <v>金币</v>
      </c>
      <c r="BV513" s="14">
        <f>IF(BN513&gt;0,ROUND(INDEX(挂机升级突破!$EV$7:$EV$26,卡牌消耗!BS513)*INDEX(卡牌消耗!$B$8:$F$8,BP513)/$Q$4/500,0)*500,"")</f>
        <v>22000</v>
      </c>
      <c r="BW513" s="14" t="str">
        <f>IF(BO513&gt;0,INDEX(挂机升级突破!$ER$5:$EV$5,卡牌消耗!BO513),"")</f>
        <v>乌金</v>
      </c>
      <c r="BX513" s="14">
        <f>IF(BO513&gt;0,ROUND(INDEX(挂机升级突破!$ER$7:$EU$26,卡牌消耗!BS513,卡牌消耗!BO513)*INDEX($B$6:$F$6,BP513)/$Q$4/5,0)*5,"")</f>
        <v>75</v>
      </c>
      <c r="BY513" s="193"/>
      <c r="BZ513" s="193"/>
    </row>
    <row r="514" spans="8:78" ht="16.5" x14ac:dyDescent="0.2">
      <c r="H514" s="15"/>
      <c r="I514" s="15"/>
      <c r="J514" s="15"/>
      <c r="AK514" s="104">
        <v>510</v>
      </c>
      <c r="AL514" s="14">
        <f t="shared" si="365"/>
        <v>10</v>
      </c>
      <c r="AM514" s="14">
        <f>INDEX(挂机升级突破!DQ$6:DQ$57,卡牌消耗!$AT514)</f>
        <v>11</v>
      </c>
      <c r="AN514" s="14">
        <f>INDEX(挂机升级突破!DR$6:DR$57,卡牌消耗!$AT514)</f>
        <v>5</v>
      </c>
      <c r="AO514" s="14">
        <f>INDEX(挂机升级突破!DS$6:DS$57,卡牌消耗!$AT514)</f>
        <v>10</v>
      </c>
      <c r="AP514" s="14">
        <f>INDEX(挂机升级突破!$DP$6:$DP$57,卡牌消耗!AT514)</f>
        <v>123</v>
      </c>
      <c r="AQ514" s="14" t="str">
        <f t="shared" si="366"/>
        <v>张郃</v>
      </c>
      <c r="AR514" s="14">
        <f t="shared" si="367"/>
        <v>4</v>
      </c>
      <c r="AS514" s="14" t="str">
        <f t="shared" si="368"/>
        <v>张郃魂火-42</v>
      </c>
      <c r="AT514" s="14">
        <f t="shared" si="369"/>
        <v>42</v>
      </c>
      <c r="AU514" s="14" t="str">
        <f>IF(AM514&gt;0,INDEX(挂机升级突破!$DT$4:$ED$4,AM514),"")</f>
        <v>金币</v>
      </c>
      <c r="AV514" s="14">
        <f>ROUND(INDEX(挂机升级突破!$DJ$6:$DJ$57,卡牌消耗!AT514)*INDEX(卡牌消耗!$B$8:$F$8,AR514)/$Q$4/50,0)*50</f>
        <v>44300</v>
      </c>
      <c r="AW514" s="14" t="str">
        <f>IF(AN514&gt;0,INDEX(挂机升级突破!$DT$4:$ED$4,AN514),"")</f>
        <v>红色基础材料</v>
      </c>
      <c r="AX514" s="14">
        <f>ROUND(INDEX(挂机升级突破!$DT$6:$ED$57,卡牌消耗!AT514,AN514)*INDEX(卡牌消耗!$B$5:$F$5,AR514)/$Q$4/5,0)*5</f>
        <v>10</v>
      </c>
      <c r="AY514" s="14" t="str">
        <f>IF(AO514&gt;0,INDEX(挂机升级突破!$DT$4:$ED$4,AO514),"")</f>
        <v>灵玉</v>
      </c>
      <c r="AZ514" s="14">
        <f>IF(AO514&gt;0,ROUND(INDEX(挂机升级突破!$DT$6:$ED$57,卡牌消耗!AT514,AO514)*INDEX(卡牌消耗!$B$7:$F$7,AR514)/$Q$4,0),"")</f>
        <v>3</v>
      </c>
      <c r="BL514" s="104">
        <v>510</v>
      </c>
      <c r="BM514" s="14">
        <f t="shared" si="370"/>
        <v>26</v>
      </c>
      <c r="BN514" s="14">
        <f>INDEX(挂机升级突破!$EI$7:$EI$26,BS514)</f>
        <v>5</v>
      </c>
      <c r="BO514" s="14">
        <f>INDEX(挂机升级突破!$EJ$7:$EJ$26,BS514)</f>
        <v>2</v>
      </c>
      <c r="BP514" s="14">
        <f t="shared" si="371"/>
        <v>5</v>
      </c>
      <c r="BQ514" s="14">
        <f>INDEX(挂机升级突破!$EH$7:$EH$26,卡牌消耗!BS514)</f>
        <v>65</v>
      </c>
      <c r="BR514" s="14" t="str">
        <f t="shared" si="372"/>
        <v>吕布</v>
      </c>
      <c r="BS514" s="14">
        <f t="shared" si="373"/>
        <v>10</v>
      </c>
      <c r="BT514" s="14" t="str">
        <f t="shared" si="374"/>
        <v>吕布10突</v>
      </c>
      <c r="BU514" s="14" t="str">
        <f>IF(BN514&gt;0,INDEX(挂机升级突破!$ER$5:$EV$5,卡牌消耗!BN514),"")</f>
        <v>金币</v>
      </c>
      <c r="BV514" s="14">
        <f>IF(BN514&gt;0,ROUND(INDEX(挂机升级突破!$EV$7:$EV$26,卡牌消耗!BS514)*INDEX(卡牌消耗!$B$8:$F$8,BP514)/$Q$4/500,0)*500,"")</f>
        <v>37500</v>
      </c>
      <c r="BW514" s="14" t="str">
        <f>IF(BO514&gt;0,INDEX(挂机升级突破!$ER$5:$EV$5,卡牌消耗!BO514),"")</f>
        <v>乌金</v>
      </c>
      <c r="BX514" s="14">
        <f>IF(BO514&gt;0,ROUND(INDEX(挂机升级突破!$ER$7:$EU$26,卡牌消耗!BS514,卡牌消耗!BO514)*INDEX($B$6:$F$6,BP514)/$Q$4/5,0)*5,"")</f>
        <v>105</v>
      </c>
      <c r="BY514" s="193"/>
      <c r="BZ514" s="193"/>
    </row>
    <row r="515" spans="8:78" ht="16.5" x14ac:dyDescent="0.2">
      <c r="H515" s="15"/>
      <c r="I515" s="15"/>
      <c r="J515" s="15"/>
      <c r="AK515" s="104">
        <v>511</v>
      </c>
      <c r="AL515" s="14">
        <f t="shared" si="365"/>
        <v>10</v>
      </c>
      <c r="AM515" s="14">
        <f>INDEX(挂机升级突破!DQ$6:DQ$57,卡牌消耗!$AT515)</f>
        <v>11</v>
      </c>
      <c r="AN515" s="14">
        <f>INDEX(挂机升级突破!DR$6:DR$57,卡牌消耗!$AT515)</f>
        <v>5</v>
      </c>
      <c r="AO515" s="14">
        <f>INDEX(挂机升级突破!DS$6:DS$57,卡牌消耗!$AT515)</f>
        <v>10</v>
      </c>
      <c r="AP515" s="14">
        <f>INDEX(挂机升级突破!$DP$6:$DP$57,卡牌消耗!AT515)</f>
        <v>125</v>
      </c>
      <c r="AQ515" s="14" t="str">
        <f t="shared" si="366"/>
        <v>张郃</v>
      </c>
      <c r="AR515" s="14">
        <f t="shared" si="367"/>
        <v>4</v>
      </c>
      <c r="AS515" s="14" t="str">
        <f t="shared" si="368"/>
        <v>张郃魂火-43</v>
      </c>
      <c r="AT515" s="14">
        <f t="shared" si="369"/>
        <v>43</v>
      </c>
      <c r="AU515" s="14" t="str">
        <f>IF(AM515&gt;0,INDEX(挂机升级突破!$DT$4:$ED$4,AM515),"")</f>
        <v>金币</v>
      </c>
      <c r="AV515" s="14">
        <f>ROUND(INDEX(挂机升级突破!$DJ$6:$DJ$57,卡牌消耗!AT515)*INDEX(卡牌消耗!$B$8:$F$8,AR515)/$Q$4/50,0)*50</f>
        <v>44300</v>
      </c>
      <c r="AW515" s="14" t="str">
        <f>IF(AN515&gt;0,INDEX(挂机升级突破!$DT$4:$ED$4,AN515),"")</f>
        <v>红色基础材料</v>
      </c>
      <c r="AX515" s="14">
        <f>ROUND(INDEX(挂机升级突破!$DT$6:$ED$57,卡牌消耗!AT515,AN515)*INDEX(卡牌消耗!$B$5:$F$5,AR515)/$Q$4/5,0)*5</f>
        <v>10</v>
      </c>
      <c r="AY515" s="14" t="str">
        <f>IF(AO515&gt;0,INDEX(挂机升级突破!$DT$4:$ED$4,AO515),"")</f>
        <v>灵玉</v>
      </c>
      <c r="AZ515" s="14">
        <f>IF(AO515&gt;0,ROUND(INDEX(挂机升级突破!$DT$6:$ED$57,卡牌消耗!AT515,AO515)*INDEX(卡牌消耗!$B$7:$F$7,AR515)/$Q$4,0),"")</f>
        <v>3</v>
      </c>
      <c r="BL515" s="104">
        <v>511</v>
      </c>
      <c r="BM515" s="14">
        <f t="shared" si="370"/>
        <v>26</v>
      </c>
      <c r="BN515" s="14">
        <f>INDEX(挂机升级突破!$EI$7:$EI$26,BS515)</f>
        <v>5</v>
      </c>
      <c r="BO515" s="14">
        <f>INDEX(挂机升级突破!$EJ$7:$EJ$26,BS515)</f>
        <v>2</v>
      </c>
      <c r="BP515" s="14">
        <f t="shared" si="371"/>
        <v>5</v>
      </c>
      <c r="BQ515" s="14">
        <f>INDEX(挂机升级突破!$EH$7:$EH$26,卡牌消耗!BS515)</f>
        <v>72</v>
      </c>
      <c r="BR515" s="14" t="str">
        <f t="shared" si="372"/>
        <v>吕布</v>
      </c>
      <c r="BS515" s="14">
        <f t="shared" si="373"/>
        <v>11</v>
      </c>
      <c r="BT515" s="14" t="str">
        <f t="shared" si="374"/>
        <v>吕布11突</v>
      </c>
      <c r="BU515" s="14" t="str">
        <f>IF(BN515&gt;0,INDEX(挂机升级突破!$ER$5:$EV$5,卡牌消耗!BN515),"")</f>
        <v>金币</v>
      </c>
      <c r="BV515" s="14">
        <f>IF(BN515&gt;0,ROUND(INDEX(挂机升级突破!$EV$7:$EV$26,卡牌消耗!BS515)*INDEX(卡牌消耗!$B$8:$F$8,BP515)/$Q$4/500,0)*500,"")</f>
        <v>37500</v>
      </c>
      <c r="BW515" s="14" t="str">
        <f>IF(BO515&gt;0,INDEX(挂机升级突破!$ER$5:$EV$5,卡牌消耗!BO515),"")</f>
        <v>乌金</v>
      </c>
      <c r="BX515" s="14">
        <f>IF(BO515&gt;0,ROUND(INDEX(挂机升级突破!$ER$7:$EU$26,卡牌消耗!BS515,卡牌消耗!BO515)*INDEX($B$6:$F$6,BP515)/$Q$4/5,0)*5,"")</f>
        <v>140</v>
      </c>
      <c r="BY515" s="193"/>
      <c r="BZ515" s="193"/>
    </row>
    <row r="516" spans="8:78" ht="16.5" x14ac:dyDescent="0.2">
      <c r="AK516" s="104">
        <v>512</v>
      </c>
      <c r="AL516" s="14">
        <f t="shared" si="365"/>
        <v>10</v>
      </c>
      <c r="AM516" s="14">
        <f>INDEX(挂机升级突破!DQ$6:DQ$57,卡牌消耗!$AT516)</f>
        <v>11</v>
      </c>
      <c r="AN516" s="14">
        <f>INDEX(挂机升级突破!DR$6:DR$57,卡牌消耗!$AT516)</f>
        <v>5</v>
      </c>
      <c r="AO516" s="14">
        <f>INDEX(挂机升级突破!DS$6:DS$57,卡牌消耗!$AT516)</f>
        <v>10</v>
      </c>
      <c r="AP516" s="14">
        <f>INDEX(挂机升级突破!$DP$6:$DP$57,卡牌消耗!AT516)</f>
        <v>128</v>
      </c>
      <c r="AQ516" s="14" t="str">
        <f t="shared" si="366"/>
        <v>张郃</v>
      </c>
      <c r="AR516" s="14">
        <f t="shared" si="367"/>
        <v>4</v>
      </c>
      <c r="AS516" s="14" t="str">
        <f t="shared" si="368"/>
        <v>张郃魂火-44</v>
      </c>
      <c r="AT516" s="14">
        <f t="shared" si="369"/>
        <v>44</v>
      </c>
      <c r="AU516" s="14" t="str">
        <f>IF(AM516&gt;0,INDEX(挂机升级突破!$DT$4:$ED$4,AM516),"")</f>
        <v>金币</v>
      </c>
      <c r="AV516" s="14">
        <f>ROUND(INDEX(挂机升级突破!$DJ$6:$DJ$57,卡牌消耗!AT516)*INDEX(卡牌消耗!$B$8:$F$8,AR516)/$Q$4/50,0)*50</f>
        <v>56400</v>
      </c>
      <c r="AW516" s="14" t="str">
        <f>IF(AN516&gt;0,INDEX(挂机升级突破!$DT$4:$ED$4,AN516),"")</f>
        <v>红色基础材料</v>
      </c>
      <c r="AX516" s="14">
        <f>ROUND(INDEX(挂机升级突破!$DT$6:$ED$57,卡牌消耗!AT516,AN516)*INDEX(卡牌消耗!$B$5:$F$5,AR516)/$Q$4/5,0)*5</f>
        <v>15</v>
      </c>
      <c r="AY516" s="14" t="str">
        <f>IF(AO516&gt;0,INDEX(挂机升级突破!$DT$4:$ED$4,AO516),"")</f>
        <v>灵玉</v>
      </c>
      <c r="AZ516" s="14">
        <f>IF(AO516&gt;0,ROUND(INDEX(挂机升级突破!$DT$6:$ED$57,卡牌消耗!AT516,AO516)*INDEX(卡牌消耗!$B$7:$F$7,AR516)/$Q$4,0),"")</f>
        <v>3</v>
      </c>
      <c r="BL516" s="104">
        <v>512</v>
      </c>
      <c r="BM516" s="14">
        <f t="shared" si="370"/>
        <v>26</v>
      </c>
      <c r="BN516" s="14">
        <f>INDEX(挂机升级突破!$EI$7:$EI$26,BS516)</f>
        <v>5</v>
      </c>
      <c r="BO516" s="14">
        <f>INDEX(挂机升级突破!$EJ$7:$EJ$26,BS516)</f>
        <v>2</v>
      </c>
      <c r="BP516" s="14">
        <f t="shared" si="371"/>
        <v>5</v>
      </c>
      <c r="BQ516" s="14">
        <f>INDEX(挂机升级突破!$EH$7:$EH$26,卡牌消耗!BS516)</f>
        <v>80</v>
      </c>
      <c r="BR516" s="14" t="str">
        <f t="shared" si="372"/>
        <v>吕布</v>
      </c>
      <c r="BS516" s="14">
        <f t="shared" si="373"/>
        <v>12</v>
      </c>
      <c r="BT516" s="14" t="str">
        <f t="shared" si="374"/>
        <v>吕布12突</v>
      </c>
      <c r="BU516" s="14" t="str">
        <f>IF(BN516&gt;0,INDEX(挂机升级突破!$ER$5:$EV$5,卡牌消耗!BN516),"")</f>
        <v>金币</v>
      </c>
      <c r="BV516" s="14">
        <f>IF(BN516&gt;0,ROUND(INDEX(挂机升级突破!$EV$7:$EV$26,卡牌消耗!BS516)*INDEX(卡牌消耗!$B$8:$F$8,BP516)/$Q$4/500,0)*500,"")</f>
        <v>50000</v>
      </c>
      <c r="BW516" s="14" t="str">
        <f>IF(BO516&gt;0,INDEX(挂机升级突破!$ER$5:$EV$5,卡牌消耗!BO516),"")</f>
        <v>乌金</v>
      </c>
      <c r="BX516" s="14">
        <f>IF(BO516&gt;0,ROUND(INDEX(挂机升级突破!$ER$7:$EU$26,卡牌消耗!BS516,卡牌消耗!BO516)*INDEX($B$6:$F$6,BP516)/$Q$4/5,0)*5,"")</f>
        <v>180</v>
      </c>
      <c r="BY516" s="193"/>
      <c r="BZ516" s="193"/>
    </row>
    <row r="517" spans="8:78" ht="16.5" x14ac:dyDescent="0.2">
      <c r="AK517" s="104">
        <v>513</v>
      </c>
      <c r="AL517" s="14">
        <f t="shared" si="365"/>
        <v>10</v>
      </c>
      <c r="AM517" s="14">
        <f>INDEX(挂机升级突破!DQ$6:DQ$57,卡牌消耗!$AT517)</f>
        <v>11</v>
      </c>
      <c r="AN517" s="14">
        <f>INDEX(挂机升级突破!DR$6:DR$57,卡牌消耗!$AT517)</f>
        <v>5</v>
      </c>
      <c r="AO517" s="14">
        <f>INDEX(挂机升级突破!DS$6:DS$57,卡牌消耗!$AT517)</f>
        <v>10</v>
      </c>
      <c r="AP517" s="14">
        <f>INDEX(挂机升级突破!$DP$6:$DP$57,卡牌消耗!AT517)</f>
        <v>130</v>
      </c>
      <c r="AQ517" s="14" t="str">
        <f t="shared" si="366"/>
        <v>张郃</v>
      </c>
      <c r="AR517" s="14">
        <f t="shared" si="367"/>
        <v>4</v>
      </c>
      <c r="AS517" s="14" t="str">
        <f t="shared" si="368"/>
        <v>张郃魂火-45</v>
      </c>
      <c r="AT517" s="14">
        <f t="shared" si="369"/>
        <v>45</v>
      </c>
      <c r="AU517" s="14" t="str">
        <f>IF(AM517&gt;0,INDEX(挂机升级突破!$DT$4:$ED$4,AM517),"")</f>
        <v>金币</v>
      </c>
      <c r="AV517" s="14">
        <f>ROUND(INDEX(挂机升级突破!$DJ$6:$DJ$57,卡牌消耗!AT517)*INDEX(卡牌消耗!$B$8:$F$8,AR517)/$Q$4/50,0)*50</f>
        <v>56400</v>
      </c>
      <c r="AW517" s="14" t="str">
        <f>IF(AN517&gt;0,INDEX(挂机升级突破!$DT$4:$ED$4,AN517),"")</f>
        <v>红色基础材料</v>
      </c>
      <c r="AX517" s="14">
        <f>ROUND(INDEX(挂机升级突破!$DT$6:$ED$57,卡牌消耗!AT517,AN517)*INDEX(卡牌消耗!$B$5:$F$5,AR517)/$Q$4/5,0)*5</f>
        <v>15</v>
      </c>
      <c r="AY517" s="14" t="str">
        <f>IF(AO517&gt;0,INDEX(挂机升级突破!$DT$4:$ED$4,AO517),"")</f>
        <v>灵玉</v>
      </c>
      <c r="AZ517" s="14">
        <f>IF(AO517&gt;0,ROUND(INDEX(挂机升级突破!$DT$6:$ED$57,卡牌消耗!AT517,AO517)*INDEX(卡牌消耗!$B$7:$F$7,AR517)/$Q$4,0),"")</f>
        <v>3</v>
      </c>
      <c r="BL517" s="104">
        <v>513</v>
      </c>
      <c r="BM517" s="14">
        <f t="shared" si="370"/>
        <v>26</v>
      </c>
      <c r="BN517" s="14">
        <f>INDEX(挂机升级突破!$EI$7:$EI$26,BS517)</f>
        <v>5</v>
      </c>
      <c r="BO517" s="14">
        <f>INDEX(挂机升级突破!$EJ$7:$EJ$26,BS517)</f>
        <v>3</v>
      </c>
      <c r="BP517" s="14">
        <f t="shared" si="371"/>
        <v>5</v>
      </c>
      <c r="BQ517" s="14">
        <f>INDEX(挂机升级突破!$EH$7:$EH$26,卡牌消耗!BS517)</f>
        <v>87</v>
      </c>
      <c r="BR517" s="14" t="str">
        <f t="shared" si="372"/>
        <v>吕布</v>
      </c>
      <c r="BS517" s="14">
        <f t="shared" si="373"/>
        <v>13</v>
      </c>
      <c r="BT517" s="14" t="str">
        <f t="shared" si="374"/>
        <v>吕布13突</v>
      </c>
      <c r="BU517" s="14" t="str">
        <f>IF(BN517&gt;0,INDEX(挂机升级突破!$ER$5:$EV$5,卡牌消耗!BN517),"")</f>
        <v>金币</v>
      </c>
      <c r="BV517" s="14">
        <f>IF(BN517&gt;0,ROUND(INDEX(挂机升级突破!$EV$7:$EV$26,卡牌消耗!BS517)*INDEX(卡牌消耗!$B$8:$F$8,BP517)/$Q$4/500,0)*500,"")</f>
        <v>66500</v>
      </c>
      <c r="BW517" s="14" t="str">
        <f>IF(BO517&gt;0,INDEX(挂机升级突破!$ER$5:$EV$5,卡牌消耗!BO517),"")</f>
        <v>银母</v>
      </c>
      <c r="BX517" s="14">
        <f>IF(BO517&gt;0,ROUND(INDEX(挂机升级突破!$ER$7:$EU$26,卡牌消耗!BS517,卡牌消耗!BO517)*INDEX($B$6:$F$6,BP517)/$Q$4/5,0)*5,"")</f>
        <v>55</v>
      </c>
      <c r="BY517" s="193"/>
      <c r="BZ517" s="193"/>
    </row>
    <row r="518" spans="8:78" ht="16.5" x14ac:dyDescent="0.2">
      <c r="AK518" s="104">
        <v>514</v>
      </c>
      <c r="AL518" s="14">
        <f t="shared" ref="AL518:AL581" si="375">INT((AK518-1)/52)+1</f>
        <v>10</v>
      </c>
      <c r="AM518" s="14">
        <f>INDEX(挂机升级突破!DQ$6:DQ$57,卡牌消耗!$AT518)</f>
        <v>11</v>
      </c>
      <c r="AN518" s="14">
        <f>INDEX(挂机升级突破!DR$6:DR$57,卡牌消耗!$AT518)</f>
        <v>5</v>
      </c>
      <c r="AO518" s="14">
        <f>INDEX(挂机升级突破!DS$6:DS$57,卡牌消耗!$AT518)</f>
        <v>10</v>
      </c>
      <c r="AP518" s="14">
        <f>INDEX(挂机升级突破!$DP$6:$DP$57,卡牌消耗!AT518)</f>
        <v>133</v>
      </c>
      <c r="AQ518" s="14" t="str">
        <f t="shared" ref="AQ518:AQ581" si="376">INDEX($B$13:$B$45,AL518)</f>
        <v>张郃</v>
      </c>
      <c r="AR518" s="14">
        <f t="shared" ref="AR518:AR581" si="377">INDEX($C$13:$C$45,AL518)</f>
        <v>4</v>
      </c>
      <c r="AS518" s="14" t="str">
        <f t="shared" ref="AS518:AS581" si="378">AQ518&amp;"魂火-"&amp;AT518</f>
        <v>张郃魂火-46</v>
      </c>
      <c r="AT518" s="14">
        <f t="shared" ref="AT518:AT581" si="379">AK518-(AL518-1)*52</f>
        <v>46</v>
      </c>
      <c r="AU518" s="14" t="str">
        <f>IF(AM518&gt;0,INDEX(挂机升级突破!$DT$4:$ED$4,AM518),"")</f>
        <v>金币</v>
      </c>
      <c r="AV518" s="14">
        <f>ROUND(INDEX(挂机升级突破!$DJ$6:$DJ$57,卡牌消耗!AT518)*INDEX(卡牌消耗!$B$8:$F$8,AR518)/$Q$4/50,0)*50</f>
        <v>60450</v>
      </c>
      <c r="AW518" s="14" t="str">
        <f>IF(AN518&gt;0,INDEX(挂机升级突破!$DT$4:$ED$4,AN518),"")</f>
        <v>红色基础材料</v>
      </c>
      <c r="AX518" s="14">
        <f>ROUND(INDEX(挂机升级突破!$DT$6:$ED$57,卡牌消耗!AT518,AN518)*INDEX(卡牌消耗!$B$5:$F$5,AR518)/$Q$4/5,0)*5</f>
        <v>15</v>
      </c>
      <c r="AY518" s="14" t="str">
        <f>IF(AO518&gt;0,INDEX(挂机升级突破!$DT$4:$ED$4,AO518),"")</f>
        <v>灵玉</v>
      </c>
      <c r="AZ518" s="14">
        <f>IF(AO518&gt;0,ROUND(INDEX(挂机升级突破!$DT$6:$ED$57,卡牌消耗!AT518,AO518)*INDEX(卡牌消耗!$B$7:$F$7,AR518)/$Q$4,0),"")</f>
        <v>3</v>
      </c>
      <c r="BL518" s="104">
        <v>514</v>
      </c>
      <c r="BM518" s="14">
        <f t="shared" ref="BM518:BM581" si="380">INT((BL518-1)/20)+1</f>
        <v>26</v>
      </c>
      <c r="BN518" s="14">
        <f>INDEX(挂机升级突破!$EI$7:$EI$26,BS518)</f>
        <v>5</v>
      </c>
      <c r="BO518" s="14">
        <f>INDEX(挂机升级突破!$EJ$7:$EJ$26,BS518)</f>
        <v>3</v>
      </c>
      <c r="BP518" s="14">
        <f t="shared" ref="BP518:BP581" si="381">INDEX($C$13:$C$45,BM518)</f>
        <v>5</v>
      </c>
      <c r="BQ518" s="14">
        <f>INDEX(挂机升级突破!$EH$7:$EH$26,卡牌消耗!BS518)</f>
        <v>95</v>
      </c>
      <c r="BR518" s="14" t="str">
        <f t="shared" ref="BR518:BR581" si="382">INDEX($B$13:$B$45,BM518)</f>
        <v>吕布</v>
      </c>
      <c r="BS518" s="14">
        <f t="shared" ref="BS518:BS581" si="383">BL518-(BM518-1)*20</f>
        <v>14</v>
      </c>
      <c r="BT518" s="14" t="str">
        <f t="shared" ref="BT518:BT581" si="384">BR518&amp;BS518&amp;"突"</f>
        <v>吕布14突</v>
      </c>
      <c r="BU518" s="14" t="str">
        <f>IF(BN518&gt;0,INDEX(挂机升级突破!$ER$5:$EV$5,卡牌消耗!BN518),"")</f>
        <v>金币</v>
      </c>
      <c r="BV518" s="14">
        <f>IF(BN518&gt;0,ROUND(INDEX(挂机升级突破!$EV$7:$EV$26,卡牌消耗!BS518)*INDEX(卡牌消耗!$B$8:$F$8,BP518)/$Q$4/500,0)*500,"")</f>
        <v>66500</v>
      </c>
      <c r="BW518" s="14" t="str">
        <f>IF(BO518&gt;0,INDEX(挂机升级突破!$ER$5:$EV$5,卡牌消耗!BO518),"")</f>
        <v>银母</v>
      </c>
      <c r="BX518" s="14">
        <f>IF(BO518&gt;0,ROUND(INDEX(挂机升级突破!$ER$7:$EU$26,卡牌消耗!BS518,卡牌消耗!BO518)*INDEX($B$6:$F$6,BP518)/$Q$4/5,0)*5,"")</f>
        <v>80</v>
      </c>
      <c r="BY518" s="193"/>
      <c r="BZ518" s="193"/>
    </row>
    <row r="519" spans="8:78" ht="16.5" x14ac:dyDescent="0.2">
      <c r="AK519" s="104">
        <v>515</v>
      </c>
      <c r="AL519" s="14">
        <f t="shared" si="375"/>
        <v>10</v>
      </c>
      <c r="AM519" s="14">
        <f>INDEX(挂机升级突破!DQ$6:DQ$57,卡牌消耗!$AT519)</f>
        <v>11</v>
      </c>
      <c r="AN519" s="14">
        <f>INDEX(挂机升级突破!DR$6:DR$57,卡牌消耗!$AT519)</f>
        <v>5</v>
      </c>
      <c r="AO519" s="14">
        <f>INDEX(挂机升级突破!DS$6:DS$57,卡牌消耗!$AT519)</f>
        <v>10</v>
      </c>
      <c r="AP519" s="14">
        <f>INDEX(挂机升级突破!$DP$6:$DP$57,卡牌消耗!AT519)</f>
        <v>135</v>
      </c>
      <c r="AQ519" s="14" t="str">
        <f t="shared" si="376"/>
        <v>张郃</v>
      </c>
      <c r="AR519" s="14">
        <f t="shared" si="377"/>
        <v>4</v>
      </c>
      <c r="AS519" s="14" t="str">
        <f t="shared" si="378"/>
        <v>张郃魂火-47</v>
      </c>
      <c r="AT519" s="14">
        <f t="shared" si="379"/>
        <v>47</v>
      </c>
      <c r="AU519" s="14" t="str">
        <f>IF(AM519&gt;0,INDEX(挂机升级突破!$DT$4:$ED$4,AM519),"")</f>
        <v>金币</v>
      </c>
      <c r="AV519" s="14">
        <f>ROUND(INDEX(挂机升级突破!$DJ$6:$DJ$57,卡牌消耗!AT519)*INDEX(卡牌消耗!$B$8:$F$8,AR519)/$Q$4/50,0)*50</f>
        <v>123100</v>
      </c>
      <c r="AW519" s="14" t="str">
        <f>IF(AN519&gt;0,INDEX(挂机升级突破!$DT$4:$ED$4,AN519),"")</f>
        <v>红色基础材料</v>
      </c>
      <c r="AX519" s="14">
        <f>ROUND(INDEX(挂机升级突破!$DT$6:$ED$57,卡牌消耗!AT519,AN519)*INDEX(卡牌消耗!$B$5:$F$5,AR519)/$Q$4/5,0)*5</f>
        <v>15</v>
      </c>
      <c r="AY519" s="14" t="str">
        <f>IF(AO519&gt;0,INDEX(挂机升级突破!$DT$4:$ED$4,AO519),"")</f>
        <v>灵玉</v>
      </c>
      <c r="AZ519" s="14">
        <f>IF(AO519&gt;0,ROUND(INDEX(挂机升级突破!$DT$6:$ED$57,卡牌消耗!AT519,AO519)*INDEX(卡牌消耗!$B$7:$F$7,AR519)/$Q$4,0),"")</f>
        <v>3</v>
      </c>
      <c r="BL519" s="104">
        <v>515</v>
      </c>
      <c r="BM519" s="14">
        <f t="shared" si="380"/>
        <v>26</v>
      </c>
      <c r="BN519" s="14">
        <f>INDEX(挂机升级突破!$EI$7:$EI$26,BS519)</f>
        <v>5</v>
      </c>
      <c r="BO519" s="14">
        <f>INDEX(挂机升级突破!$EJ$7:$EJ$26,BS519)</f>
        <v>3</v>
      </c>
      <c r="BP519" s="14">
        <f t="shared" si="381"/>
        <v>5</v>
      </c>
      <c r="BQ519" s="14">
        <f>INDEX(挂机升级突破!$EH$7:$EH$26,卡牌消耗!BS519)</f>
        <v>102</v>
      </c>
      <c r="BR519" s="14" t="str">
        <f t="shared" si="382"/>
        <v>吕布</v>
      </c>
      <c r="BS519" s="14">
        <f t="shared" si="383"/>
        <v>15</v>
      </c>
      <c r="BT519" s="14" t="str">
        <f t="shared" si="384"/>
        <v>吕布15突</v>
      </c>
      <c r="BU519" s="14" t="str">
        <f>IF(BN519&gt;0,INDEX(挂机升级突破!$ER$5:$EV$5,卡牌消耗!BN519),"")</f>
        <v>金币</v>
      </c>
      <c r="BV519" s="14">
        <f>IF(BN519&gt;0,ROUND(INDEX(挂机升级突破!$EV$7:$EV$26,卡牌消耗!BS519)*INDEX(卡牌消耗!$B$8:$F$8,BP519)/$Q$4/500,0)*500,"")</f>
        <v>89000</v>
      </c>
      <c r="BW519" s="14" t="str">
        <f>IF(BO519&gt;0,INDEX(挂机升级突破!$ER$5:$EV$5,卡牌消耗!BO519),"")</f>
        <v>银母</v>
      </c>
      <c r="BX519" s="14">
        <f>IF(BO519&gt;0,ROUND(INDEX(挂机升级突破!$ER$7:$EU$26,卡牌消耗!BS519,卡牌消耗!BO519)*INDEX($B$6:$F$6,BP519)/$Q$4/5,0)*5,"")</f>
        <v>105</v>
      </c>
      <c r="BY519" s="193"/>
      <c r="BZ519" s="193"/>
    </row>
    <row r="520" spans="8:78" ht="16.5" x14ac:dyDescent="0.2">
      <c r="AK520" s="104">
        <v>516</v>
      </c>
      <c r="AL520" s="14">
        <f t="shared" si="375"/>
        <v>10</v>
      </c>
      <c r="AM520" s="14">
        <f>INDEX(挂机升级突破!DQ$6:DQ$57,卡牌消耗!$AT520)</f>
        <v>11</v>
      </c>
      <c r="AN520" s="14">
        <f>INDEX(挂机升级突破!DR$6:DR$57,卡牌消耗!$AT520)</f>
        <v>5</v>
      </c>
      <c r="AO520" s="14">
        <f>INDEX(挂机升级突破!DS$6:DS$57,卡牌消耗!$AT520)</f>
        <v>10</v>
      </c>
      <c r="AP520" s="14">
        <f>INDEX(挂机升级突破!$DP$6:$DP$57,卡牌消耗!AT520)</f>
        <v>138</v>
      </c>
      <c r="AQ520" s="14" t="str">
        <f t="shared" si="376"/>
        <v>张郃</v>
      </c>
      <c r="AR520" s="14">
        <f t="shared" si="377"/>
        <v>4</v>
      </c>
      <c r="AS520" s="14" t="str">
        <f t="shared" si="378"/>
        <v>张郃魂火-48</v>
      </c>
      <c r="AT520" s="14">
        <f t="shared" si="379"/>
        <v>48</v>
      </c>
      <c r="AU520" s="14" t="str">
        <f>IF(AM520&gt;0,INDEX(挂机升级突破!$DT$4:$ED$4,AM520),"")</f>
        <v>金币</v>
      </c>
      <c r="AV520" s="14">
        <f>ROUND(INDEX(挂机升级突破!$DJ$6:$DJ$57,卡牌消耗!AT520)*INDEX(卡牌消耗!$B$8:$F$8,AR520)/$Q$4/50,0)*50</f>
        <v>123100</v>
      </c>
      <c r="AW520" s="14" t="str">
        <f>IF(AN520&gt;0,INDEX(挂机升级突破!$DT$4:$ED$4,AN520),"")</f>
        <v>红色基础材料</v>
      </c>
      <c r="AX520" s="14">
        <f>ROUND(INDEX(挂机升级突破!$DT$6:$ED$57,卡牌消耗!AT520,AN520)*INDEX(卡牌消耗!$B$5:$F$5,AR520)/$Q$4/5,0)*5</f>
        <v>15</v>
      </c>
      <c r="AY520" s="14" t="str">
        <f>IF(AO520&gt;0,INDEX(挂机升级突破!$DT$4:$ED$4,AO520),"")</f>
        <v>灵玉</v>
      </c>
      <c r="AZ520" s="14">
        <f>IF(AO520&gt;0,ROUND(INDEX(挂机升级突破!$DT$6:$ED$57,卡牌消耗!AT520,AO520)*INDEX(卡牌消耗!$B$7:$F$7,AR520)/$Q$4,0),"")</f>
        <v>3</v>
      </c>
      <c r="BL520" s="104">
        <v>516</v>
      </c>
      <c r="BM520" s="14">
        <f t="shared" si="380"/>
        <v>26</v>
      </c>
      <c r="BN520" s="14">
        <f>INDEX(挂机升级突破!$EI$7:$EI$26,BS520)</f>
        <v>5</v>
      </c>
      <c r="BO520" s="14">
        <f>INDEX(挂机升级突破!$EJ$7:$EJ$26,BS520)</f>
        <v>3</v>
      </c>
      <c r="BP520" s="14">
        <f t="shared" si="381"/>
        <v>5</v>
      </c>
      <c r="BQ520" s="14">
        <f>INDEX(挂机升级突破!$EH$7:$EH$26,卡牌消耗!BS520)</f>
        <v>110</v>
      </c>
      <c r="BR520" s="14" t="str">
        <f t="shared" si="382"/>
        <v>吕布</v>
      </c>
      <c r="BS520" s="14">
        <f t="shared" si="383"/>
        <v>16</v>
      </c>
      <c r="BT520" s="14" t="str">
        <f t="shared" si="384"/>
        <v>吕布16突</v>
      </c>
      <c r="BU520" s="14" t="str">
        <f>IF(BN520&gt;0,INDEX(挂机升级突破!$ER$5:$EV$5,卡牌消耗!BN520),"")</f>
        <v>金币</v>
      </c>
      <c r="BV520" s="14">
        <f>IF(BN520&gt;0,ROUND(INDEX(挂机升级突破!$EV$7:$EV$26,卡牌消耗!BS520)*INDEX(卡牌消耗!$B$8:$F$8,BP520)/$Q$4/500,0)*500,"")</f>
        <v>161000</v>
      </c>
      <c r="BW520" s="14" t="str">
        <f>IF(BO520&gt;0,INDEX(挂机升级突破!$ER$5:$EV$5,卡牌消耗!BO520),"")</f>
        <v>银母</v>
      </c>
      <c r="BX520" s="14">
        <f>IF(BO520&gt;0,ROUND(INDEX(挂机升级突破!$ER$7:$EU$26,卡牌消耗!BS520,卡牌消耗!BO520)*INDEX($B$6:$F$6,BP520)/$Q$4/5,0)*5,"")</f>
        <v>135</v>
      </c>
      <c r="BY520" s="193"/>
      <c r="BZ520" s="193"/>
    </row>
    <row r="521" spans="8:78" ht="16.5" x14ac:dyDescent="0.2">
      <c r="AK521" s="104">
        <v>517</v>
      </c>
      <c r="AL521" s="14">
        <f t="shared" si="375"/>
        <v>10</v>
      </c>
      <c r="AM521" s="14">
        <f>INDEX(挂机升级突破!DQ$6:DQ$57,卡牌消耗!$AT521)</f>
        <v>11</v>
      </c>
      <c r="AN521" s="14">
        <f>INDEX(挂机升级突破!DR$6:DR$57,卡牌消耗!$AT521)</f>
        <v>5</v>
      </c>
      <c r="AO521" s="14">
        <f>INDEX(挂机升级突破!DS$6:DS$57,卡牌消耗!$AT521)</f>
        <v>10</v>
      </c>
      <c r="AP521" s="14">
        <f>INDEX(挂机升级突破!$DP$6:$DP$57,卡牌消耗!AT521)</f>
        <v>140</v>
      </c>
      <c r="AQ521" s="14" t="str">
        <f t="shared" si="376"/>
        <v>张郃</v>
      </c>
      <c r="AR521" s="14">
        <f t="shared" si="377"/>
        <v>4</v>
      </c>
      <c r="AS521" s="14" t="str">
        <f t="shared" si="378"/>
        <v>张郃魂火-49</v>
      </c>
      <c r="AT521" s="14">
        <f t="shared" si="379"/>
        <v>49</v>
      </c>
      <c r="AU521" s="14" t="str">
        <f>IF(AM521&gt;0,INDEX(挂机升级突破!$DT$4:$ED$4,AM521),"")</f>
        <v>金币</v>
      </c>
      <c r="AV521" s="14">
        <f>ROUND(INDEX(挂机升级突破!$DJ$6:$DJ$57,卡牌消耗!AT521)*INDEX(卡牌消耗!$B$8:$F$8,AR521)/$Q$4/50,0)*50</f>
        <v>123100</v>
      </c>
      <c r="AW521" s="14" t="str">
        <f>IF(AN521&gt;0,INDEX(挂机升级突破!$DT$4:$ED$4,AN521),"")</f>
        <v>红色基础材料</v>
      </c>
      <c r="AX521" s="14">
        <f>ROUND(INDEX(挂机升级突破!$DT$6:$ED$57,卡牌消耗!AT521,AN521)*INDEX(卡牌消耗!$B$5:$F$5,AR521)/$Q$4/5,0)*5</f>
        <v>15</v>
      </c>
      <c r="AY521" s="14" t="str">
        <f>IF(AO521&gt;0,INDEX(挂机升级突破!$DT$4:$ED$4,AO521),"")</f>
        <v>灵玉</v>
      </c>
      <c r="AZ521" s="14">
        <f>IF(AO521&gt;0,ROUND(INDEX(挂机升级突破!$DT$6:$ED$57,卡牌消耗!AT521,AO521)*INDEX(卡牌消耗!$B$7:$F$7,AR521)/$Q$4,0),"")</f>
        <v>3</v>
      </c>
      <c r="BL521" s="104">
        <v>517</v>
      </c>
      <c r="BM521" s="14">
        <f t="shared" si="380"/>
        <v>26</v>
      </c>
      <c r="BN521" s="14">
        <f>INDEX(挂机升级突破!$EI$7:$EI$26,BS521)</f>
        <v>5</v>
      </c>
      <c r="BO521" s="14">
        <f>INDEX(挂机升级突破!$EJ$7:$EJ$26,BS521)</f>
        <v>4</v>
      </c>
      <c r="BP521" s="14">
        <f t="shared" si="381"/>
        <v>5</v>
      </c>
      <c r="BQ521" s="14">
        <f>INDEX(挂机升级突破!$EH$7:$EH$26,卡牌消耗!BS521)</f>
        <v>117</v>
      </c>
      <c r="BR521" s="14" t="str">
        <f t="shared" si="382"/>
        <v>吕布</v>
      </c>
      <c r="BS521" s="14">
        <f t="shared" si="383"/>
        <v>17</v>
      </c>
      <c r="BT521" s="14" t="str">
        <f t="shared" si="384"/>
        <v>吕布17突</v>
      </c>
      <c r="BU521" s="14" t="str">
        <f>IF(BN521&gt;0,INDEX(挂机升级突破!$ER$5:$EV$5,卡牌消耗!BN521),"")</f>
        <v>金币</v>
      </c>
      <c r="BV521" s="14">
        <f>IF(BN521&gt;0,ROUND(INDEX(挂机升级突破!$EV$7:$EV$26,卡牌消耗!BS521)*INDEX(卡牌消耗!$B$8:$F$8,BP521)/$Q$4/500,0)*500,"")</f>
        <v>161000</v>
      </c>
      <c r="BW521" s="14" t="str">
        <f>IF(BO521&gt;0,INDEX(挂机升级突破!$ER$5:$EV$5,卡牌消耗!BO521),"")</f>
        <v>铀金</v>
      </c>
      <c r="BX521" s="14">
        <f>IF(BO521&gt;0,ROUND(INDEX(挂机升级突破!$ER$7:$EU$26,卡牌消耗!BS521,卡牌消耗!BO521)*INDEX($B$6:$F$6,BP521)/$Q$4/5,0)*5,"")</f>
        <v>25</v>
      </c>
      <c r="BY521" s="193"/>
      <c r="BZ521" s="193"/>
    </row>
    <row r="522" spans="8:78" ht="16.5" x14ac:dyDescent="0.2">
      <c r="AK522" s="104">
        <v>518</v>
      </c>
      <c r="AL522" s="14">
        <f t="shared" si="375"/>
        <v>10</v>
      </c>
      <c r="AM522" s="14">
        <f>INDEX(挂机升级突破!DQ$6:DQ$57,卡牌消耗!$AT522)</f>
        <v>11</v>
      </c>
      <c r="AN522" s="14">
        <f>INDEX(挂机升级突破!DR$6:DR$57,卡牌消耗!$AT522)</f>
        <v>5</v>
      </c>
      <c r="AO522" s="14">
        <f>INDEX(挂机升级突破!DS$6:DS$57,卡牌消耗!$AT522)</f>
        <v>10</v>
      </c>
      <c r="AP522" s="14">
        <f>INDEX(挂机升级突破!$DP$6:$DP$57,卡牌消耗!AT522)</f>
        <v>143</v>
      </c>
      <c r="AQ522" s="14" t="str">
        <f t="shared" si="376"/>
        <v>张郃</v>
      </c>
      <c r="AR522" s="14">
        <f t="shared" si="377"/>
        <v>4</v>
      </c>
      <c r="AS522" s="14" t="str">
        <f t="shared" si="378"/>
        <v>张郃魂火-50</v>
      </c>
      <c r="AT522" s="14">
        <f t="shared" si="379"/>
        <v>50</v>
      </c>
      <c r="AU522" s="14" t="str">
        <f>IF(AM522&gt;0,INDEX(挂机升级突破!$DT$4:$ED$4,AM522),"")</f>
        <v>金币</v>
      </c>
      <c r="AV522" s="14">
        <f>ROUND(INDEX(挂机升级突破!$DJ$6:$DJ$57,卡牌消耗!AT522)*INDEX(卡牌消耗!$B$8:$F$8,AR522)/$Q$4/50,0)*50</f>
        <v>205150</v>
      </c>
      <c r="AW522" s="14" t="str">
        <f>IF(AN522&gt;0,INDEX(挂机升级突破!$DT$4:$ED$4,AN522),"")</f>
        <v>红色基础材料</v>
      </c>
      <c r="AX522" s="14">
        <f>ROUND(INDEX(挂机升级突破!$DT$6:$ED$57,卡牌消耗!AT522,AN522)*INDEX(卡牌消耗!$B$5:$F$5,AR522)/$Q$4/5,0)*5</f>
        <v>15</v>
      </c>
      <c r="AY522" s="14" t="str">
        <f>IF(AO522&gt;0,INDEX(挂机升级突破!$DT$4:$ED$4,AO522),"")</f>
        <v>灵玉</v>
      </c>
      <c r="AZ522" s="14">
        <f>IF(AO522&gt;0,ROUND(INDEX(挂机升级突破!$DT$6:$ED$57,卡牌消耗!AT522,AO522)*INDEX(卡牌消耗!$B$7:$F$7,AR522)/$Q$4,0),"")</f>
        <v>3</v>
      </c>
      <c r="BL522" s="104">
        <v>518</v>
      </c>
      <c r="BM522" s="14">
        <f t="shared" si="380"/>
        <v>26</v>
      </c>
      <c r="BN522" s="14">
        <f>INDEX(挂机升级突破!$EI$7:$EI$26,BS522)</f>
        <v>5</v>
      </c>
      <c r="BO522" s="14">
        <f>INDEX(挂机升级突破!$EJ$7:$EJ$26,BS522)</f>
        <v>4</v>
      </c>
      <c r="BP522" s="14">
        <f t="shared" si="381"/>
        <v>5</v>
      </c>
      <c r="BQ522" s="14">
        <f>INDEX(挂机升级突破!$EH$7:$EH$26,卡牌消耗!BS522)</f>
        <v>125</v>
      </c>
      <c r="BR522" s="14" t="str">
        <f t="shared" si="382"/>
        <v>吕布</v>
      </c>
      <c r="BS522" s="14">
        <f t="shared" si="383"/>
        <v>18</v>
      </c>
      <c r="BT522" s="14" t="str">
        <f t="shared" si="384"/>
        <v>吕布18突</v>
      </c>
      <c r="BU522" s="14" t="str">
        <f>IF(BN522&gt;0,INDEX(挂机升级突破!$ER$5:$EV$5,卡牌消耗!BN522),"")</f>
        <v>金币</v>
      </c>
      <c r="BV522" s="14">
        <f>IF(BN522&gt;0,ROUND(INDEX(挂机升级突破!$EV$7:$EV$26,卡牌消耗!BS522)*INDEX(卡牌消耗!$B$8:$F$8,BP522)/$Q$4/500,0)*500,"")</f>
        <v>215000</v>
      </c>
      <c r="BW522" s="14" t="str">
        <f>IF(BO522&gt;0,INDEX(挂机升级突破!$ER$5:$EV$5,卡牌消耗!BO522),"")</f>
        <v>铀金</v>
      </c>
      <c r="BX522" s="14">
        <f>IF(BO522&gt;0,ROUND(INDEX(挂机升级突破!$ER$7:$EU$26,卡牌消耗!BS522,卡牌消耗!BO522)*INDEX($B$6:$F$6,BP522)/$Q$4/5,0)*5,"")</f>
        <v>35</v>
      </c>
      <c r="BY522" s="193"/>
      <c r="BZ522" s="193"/>
    </row>
    <row r="523" spans="8:78" ht="16.5" x14ac:dyDescent="0.2">
      <c r="AK523" s="104">
        <v>519</v>
      </c>
      <c r="AL523" s="14">
        <f t="shared" si="375"/>
        <v>10</v>
      </c>
      <c r="AM523" s="14">
        <f>INDEX(挂机升级突破!DQ$6:DQ$57,卡牌消耗!$AT523)</f>
        <v>11</v>
      </c>
      <c r="AN523" s="14">
        <f>INDEX(挂机升级突破!DR$6:DR$57,卡牌消耗!$AT523)</f>
        <v>5</v>
      </c>
      <c r="AO523" s="14">
        <f>INDEX(挂机升级突破!DS$6:DS$57,卡牌消耗!$AT523)</f>
        <v>10</v>
      </c>
      <c r="AP523" s="14">
        <f>INDEX(挂机升级突破!$DP$6:$DP$57,卡牌消耗!AT523)</f>
        <v>145</v>
      </c>
      <c r="AQ523" s="14" t="str">
        <f t="shared" si="376"/>
        <v>张郃</v>
      </c>
      <c r="AR523" s="14">
        <f t="shared" si="377"/>
        <v>4</v>
      </c>
      <c r="AS523" s="14" t="str">
        <f t="shared" si="378"/>
        <v>张郃魂火-51</v>
      </c>
      <c r="AT523" s="14">
        <f t="shared" si="379"/>
        <v>51</v>
      </c>
      <c r="AU523" s="14" t="str">
        <f>IF(AM523&gt;0,INDEX(挂机升级突破!$DT$4:$ED$4,AM523),"")</f>
        <v>金币</v>
      </c>
      <c r="AV523" s="14">
        <f>ROUND(INDEX(挂机升级突破!$DJ$6:$DJ$57,卡牌消耗!AT523)*INDEX(卡牌消耗!$B$8:$F$8,AR523)/$Q$4/50,0)*50</f>
        <v>225650</v>
      </c>
      <c r="AW523" s="14" t="str">
        <f>IF(AN523&gt;0,INDEX(挂机升级突破!$DT$4:$ED$4,AN523),"")</f>
        <v>红色基础材料</v>
      </c>
      <c r="AX523" s="14">
        <f>ROUND(INDEX(挂机升级突破!$DT$6:$ED$57,卡牌消耗!AT523,AN523)*INDEX(卡牌消耗!$B$5:$F$5,AR523)/$Q$4/5,0)*5</f>
        <v>15</v>
      </c>
      <c r="AY523" s="14" t="str">
        <f>IF(AO523&gt;0,INDEX(挂机升级突破!$DT$4:$ED$4,AO523),"")</f>
        <v>灵玉</v>
      </c>
      <c r="AZ523" s="14">
        <f>IF(AO523&gt;0,ROUND(INDEX(挂机升级突破!$DT$6:$ED$57,卡牌消耗!AT523,AO523)*INDEX(卡牌消耗!$B$7:$F$7,AR523)/$Q$4,0),"")</f>
        <v>3</v>
      </c>
      <c r="BL523" s="104">
        <v>519</v>
      </c>
      <c r="BM523" s="14">
        <f t="shared" si="380"/>
        <v>26</v>
      </c>
      <c r="BN523" s="14">
        <f>INDEX(挂机升级突破!$EI$7:$EI$26,BS523)</f>
        <v>5</v>
      </c>
      <c r="BO523" s="14">
        <f>INDEX(挂机升级突破!$EJ$7:$EJ$26,BS523)</f>
        <v>4</v>
      </c>
      <c r="BP523" s="14">
        <f t="shared" si="381"/>
        <v>5</v>
      </c>
      <c r="BQ523" s="14">
        <f>INDEX(挂机升级突破!$EH$7:$EH$26,卡牌消耗!BS523)</f>
        <v>132</v>
      </c>
      <c r="BR523" s="14" t="str">
        <f t="shared" si="382"/>
        <v>吕布</v>
      </c>
      <c r="BS523" s="14">
        <f t="shared" si="383"/>
        <v>19</v>
      </c>
      <c r="BT523" s="14" t="str">
        <f t="shared" si="384"/>
        <v>吕布19突</v>
      </c>
      <c r="BU523" s="14" t="str">
        <f>IF(BN523&gt;0,INDEX(挂机升级突破!$ER$5:$EV$5,卡牌消耗!BN523),"")</f>
        <v>金币</v>
      </c>
      <c r="BV523" s="14">
        <f>IF(BN523&gt;0,ROUND(INDEX(挂机升级突破!$EV$7:$EV$26,卡牌消耗!BS523)*INDEX(卡牌消耗!$B$8:$F$8,BP523)/$Q$4/500,0)*500,"")</f>
        <v>547000</v>
      </c>
      <c r="BW523" s="14" t="str">
        <f>IF(BO523&gt;0,INDEX(挂机升级突破!$ER$5:$EV$5,卡牌消耗!BO523),"")</f>
        <v>铀金</v>
      </c>
      <c r="BX523" s="14">
        <f>IF(BO523&gt;0,ROUND(INDEX(挂机升级突破!$ER$7:$EU$26,卡牌消耗!BS523,卡牌消耗!BO523)*INDEX($B$6:$F$6,BP523)/$Q$4/5,0)*5,"")</f>
        <v>50</v>
      </c>
      <c r="BY523" s="193"/>
      <c r="BZ523" s="193"/>
    </row>
    <row r="524" spans="8:78" ht="16.5" x14ac:dyDescent="0.2">
      <c r="AK524" s="104">
        <v>520</v>
      </c>
      <c r="AL524" s="14">
        <f t="shared" si="375"/>
        <v>10</v>
      </c>
      <c r="AM524" s="14">
        <f>INDEX(挂机升级突破!DQ$6:DQ$57,卡牌消耗!$AT524)</f>
        <v>11</v>
      </c>
      <c r="AN524" s="14">
        <f>INDEX(挂机升级突破!DR$6:DR$57,卡牌消耗!$AT524)</f>
        <v>5</v>
      </c>
      <c r="AO524" s="14">
        <f>INDEX(挂机升级突破!DS$6:DS$57,卡牌消耗!$AT524)</f>
        <v>10</v>
      </c>
      <c r="AP524" s="14">
        <f>INDEX(挂机升级突破!$DP$6:$DP$57,卡牌消耗!AT524)</f>
        <v>148</v>
      </c>
      <c r="AQ524" s="14" t="str">
        <f t="shared" si="376"/>
        <v>张郃</v>
      </c>
      <c r="AR524" s="14">
        <f t="shared" si="377"/>
        <v>4</v>
      </c>
      <c r="AS524" s="14" t="str">
        <f t="shared" si="378"/>
        <v>张郃魂火-52</v>
      </c>
      <c r="AT524" s="14">
        <f t="shared" si="379"/>
        <v>52</v>
      </c>
      <c r="AU524" s="14" t="str">
        <f>IF(AM524&gt;0,INDEX(挂机升级突破!$DT$4:$ED$4,AM524),"")</f>
        <v>金币</v>
      </c>
      <c r="AV524" s="14">
        <f>ROUND(INDEX(挂机升级突破!$DJ$6:$DJ$57,卡牌消耗!AT524)*INDEX(卡牌消耗!$B$8:$F$8,AR524)/$Q$4/50,0)*50</f>
        <v>225650</v>
      </c>
      <c r="AW524" s="14" t="str">
        <f>IF(AN524&gt;0,INDEX(挂机升级突破!$DT$4:$ED$4,AN524),"")</f>
        <v>红色基础材料</v>
      </c>
      <c r="AX524" s="14">
        <f>ROUND(INDEX(挂机升级突破!$DT$6:$ED$57,卡牌消耗!AT524,AN524)*INDEX(卡牌消耗!$B$5:$F$5,AR524)/$Q$4/5,0)*5</f>
        <v>15</v>
      </c>
      <c r="AY524" s="14" t="str">
        <f>IF(AO524&gt;0,INDEX(挂机升级突破!$DT$4:$ED$4,AO524),"")</f>
        <v>灵玉</v>
      </c>
      <c r="AZ524" s="14">
        <f>IF(AO524&gt;0,ROUND(INDEX(挂机升级突破!$DT$6:$ED$57,卡牌消耗!AT524,AO524)*INDEX(卡牌消耗!$B$7:$F$7,AR524)/$Q$4,0),"")</f>
        <v>3</v>
      </c>
      <c r="BL524" s="104">
        <v>520</v>
      </c>
      <c r="BM524" s="14">
        <f t="shared" si="380"/>
        <v>26</v>
      </c>
      <c r="BN524" s="14">
        <f>INDEX(挂机升级突破!$EI$7:$EI$26,BS524)</f>
        <v>5</v>
      </c>
      <c r="BO524" s="14">
        <f>INDEX(挂机升级突破!$EJ$7:$EJ$26,BS524)</f>
        <v>4</v>
      </c>
      <c r="BP524" s="14">
        <f t="shared" si="381"/>
        <v>5</v>
      </c>
      <c r="BQ524" s="14">
        <f>INDEX(挂机升级突破!$EH$7:$EH$26,卡牌消耗!BS524)</f>
        <v>140</v>
      </c>
      <c r="BR524" s="14" t="str">
        <f t="shared" si="382"/>
        <v>吕布</v>
      </c>
      <c r="BS524" s="14">
        <f t="shared" si="383"/>
        <v>20</v>
      </c>
      <c r="BT524" s="14" t="str">
        <f t="shared" si="384"/>
        <v>吕布20突</v>
      </c>
      <c r="BU524" s="14" t="str">
        <f>IF(BN524&gt;0,INDEX(挂机升级突破!$ER$5:$EV$5,卡牌消耗!BN524),"")</f>
        <v>金币</v>
      </c>
      <c r="BV524" s="14">
        <f>IF(BN524&gt;0,ROUND(INDEX(挂机升级突破!$EV$7:$EV$26,卡牌消耗!BS524)*INDEX(卡牌消耗!$B$8:$F$8,BP524)/$Q$4/500,0)*500,"")</f>
        <v>820500</v>
      </c>
      <c r="BW524" s="14" t="str">
        <f>IF(BO524&gt;0,INDEX(挂机升级突破!$ER$5:$EV$5,卡牌消耗!BO524),"")</f>
        <v>铀金</v>
      </c>
      <c r="BX524" s="14">
        <f>IF(BO524&gt;0,ROUND(INDEX(挂机升级突破!$ER$7:$EU$26,卡牌消耗!BS524,卡牌消耗!BO524)*INDEX($B$6:$F$6,BP524)/$Q$4/5,0)*5,"")</f>
        <v>65</v>
      </c>
      <c r="BY524" s="193"/>
      <c r="BZ524" s="193"/>
    </row>
    <row r="525" spans="8:78" ht="16.5" x14ac:dyDescent="0.2">
      <c r="AK525" s="104">
        <v>521</v>
      </c>
      <c r="AL525" s="14">
        <f t="shared" si="375"/>
        <v>11</v>
      </c>
      <c r="AM525" s="14">
        <f>INDEX(挂机升级突破!DQ$6:DQ$57,卡牌消耗!$AT525)</f>
        <v>11</v>
      </c>
      <c r="AN525" s="14">
        <f>INDEX(挂机升级突破!DR$6:DR$57,卡牌消耗!$AT525)</f>
        <v>1</v>
      </c>
      <c r="AO525" s="14">
        <f>INDEX(挂机升级突破!DS$6:DS$57,卡牌消耗!$AT525)</f>
        <v>0</v>
      </c>
      <c r="AP525" s="14">
        <f>INDEX(挂机升级突破!$DP$6:$DP$57,卡牌消耗!AT525)</f>
        <v>3</v>
      </c>
      <c r="AQ525" s="14" t="str">
        <f t="shared" si="376"/>
        <v>张飞</v>
      </c>
      <c r="AR525" s="14">
        <f t="shared" si="377"/>
        <v>4</v>
      </c>
      <c r="AS525" s="14" t="str">
        <f t="shared" si="378"/>
        <v>张飞魂火-1</v>
      </c>
      <c r="AT525" s="14">
        <f t="shared" si="379"/>
        <v>1</v>
      </c>
      <c r="AU525" s="14" t="str">
        <f>IF(AM525&gt;0,INDEX(挂机升级突破!$DT$4:$ED$4,AM525),"")</f>
        <v>金币</v>
      </c>
      <c r="AV525" s="14">
        <f>ROUND(INDEX(挂机升级突破!$DJ$6:$DJ$57,卡牌消耗!AT525)*INDEX(卡牌消耗!$B$8:$F$8,AR525)/$Q$4/50,0)*50</f>
        <v>1300</v>
      </c>
      <c r="AW525" s="14" t="str">
        <f>IF(AN525&gt;0,INDEX(挂机升级突破!$DT$4:$ED$4,AN525),"")</f>
        <v>绿色基础材料</v>
      </c>
      <c r="AX525" s="14">
        <f>ROUND(INDEX(挂机升级突破!$DT$6:$ED$57,卡牌消耗!AT525,AN525)*INDEX(卡牌消耗!$B$5:$F$5,AR525)/$Q$4/5,0)*5</f>
        <v>30</v>
      </c>
      <c r="AY525" s="14" t="str">
        <f>IF(AO525&gt;0,INDEX(挂机升级突破!$DT$4:$ED$4,AO525),"")</f>
        <v/>
      </c>
      <c r="AZ525" s="14" t="str">
        <f>IF(AO525&gt;0,ROUND(INDEX(挂机升级突破!$DT$6:$ED$57,卡牌消耗!AT525,AO525)*INDEX(卡牌消耗!$B$7:$F$7,AR525)/$Q$4,0),"")</f>
        <v/>
      </c>
      <c r="BL525" s="104">
        <v>521</v>
      </c>
      <c r="BM525" s="14">
        <f t="shared" si="380"/>
        <v>27</v>
      </c>
      <c r="BN525" s="14">
        <f>INDEX(挂机升级突破!$EI$7:$EI$26,BS525)</f>
        <v>0</v>
      </c>
      <c r="BO525" s="14">
        <f>INDEX(挂机升级突破!$EJ$7:$EJ$26,BS525)</f>
        <v>0</v>
      </c>
      <c r="BP525" s="14">
        <f t="shared" si="381"/>
        <v>3</v>
      </c>
      <c r="BQ525" s="14">
        <f>INDEX(挂机升级突破!$EH$7:$EH$26,卡牌消耗!BS525)</f>
        <v>1</v>
      </c>
      <c r="BR525" s="14" t="str">
        <f t="shared" si="382"/>
        <v>燕青</v>
      </c>
      <c r="BS525" s="14">
        <f t="shared" si="383"/>
        <v>1</v>
      </c>
      <c r="BT525" s="14" t="str">
        <f t="shared" si="384"/>
        <v>燕青1突</v>
      </c>
      <c r="BU525" s="14" t="str">
        <f>IF(BN525&gt;0,INDEX(挂机升级突破!$ER$5:$EV$5,卡牌消耗!BN525),"")</f>
        <v/>
      </c>
      <c r="BV525" s="14" t="str">
        <f>IF(BN525&gt;0,ROUND(INDEX(挂机升级突破!$EV$7:$EV$26,卡牌消耗!BS525)*INDEX(卡牌消耗!$B$8:$F$8,BP525)/$Q$4/500,0)*500,"")</f>
        <v/>
      </c>
      <c r="BW525" s="14" t="str">
        <f>IF(BO525&gt;0,INDEX(挂机升级突破!$ER$5:$EV$5,卡牌消耗!BO525),"")</f>
        <v/>
      </c>
      <c r="BX525" s="14" t="str">
        <f>IF(BO525&gt;0,ROUND(INDEX(挂机升级突破!$ER$7:$EU$26,卡牌消耗!BS525,卡牌消耗!BO525)*INDEX($B$6:$F$6,BP525)/$Q$4/5,0)*5,"")</f>
        <v/>
      </c>
      <c r="BY525" s="193"/>
      <c r="BZ525" s="193"/>
    </row>
    <row r="526" spans="8:78" ht="16.5" x14ac:dyDescent="0.2">
      <c r="AK526" s="104">
        <v>522</v>
      </c>
      <c r="AL526" s="14">
        <f t="shared" si="375"/>
        <v>11</v>
      </c>
      <c r="AM526" s="14">
        <f>INDEX(挂机升级突破!DQ$6:DQ$57,卡牌消耗!$AT526)</f>
        <v>11</v>
      </c>
      <c r="AN526" s="14">
        <f>INDEX(挂机升级突破!DR$6:DR$57,卡牌消耗!$AT526)</f>
        <v>1</v>
      </c>
      <c r="AO526" s="14">
        <f>INDEX(挂机升级突破!DS$6:DS$57,卡牌消耗!$AT526)</f>
        <v>0</v>
      </c>
      <c r="AP526" s="14">
        <f>INDEX(挂机升级突破!$DP$6:$DP$57,卡牌消耗!AT526)</f>
        <v>8</v>
      </c>
      <c r="AQ526" s="14" t="str">
        <f t="shared" si="376"/>
        <v>张飞</v>
      </c>
      <c r="AR526" s="14">
        <f t="shared" si="377"/>
        <v>4</v>
      </c>
      <c r="AS526" s="14" t="str">
        <f t="shared" si="378"/>
        <v>张飞魂火-2</v>
      </c>
      <c r="AT526" s="14">
        <f t="shared" si="379"/>
        <v>2</v>
      </c>
      <c r="AU526" s="14" t="str">
        <f>IF(AM526&gt;0,INDEX(挂机升级突破!$DT$4:$ED$4,AM526),"")</f>
        <v>金币</v>
      </c>
      <c r="AV526" s="14">
        <f>ROUND(INDEX(挂机升级突破!$DJ$6:$DJ$57,卡牌消耗!AT526)*INDEX(卡牌消耗!$B$8:$F$8,AR526)/$Q$4/50,0)*50</f>
        <v>1550</v>
      </c>
      <c r="AW526" s="14" t="str">
        <f>IF(AN526&gt;0,INDEX(挂机升级突破!$DT$4:$ED$4,AN526),"")</f>
        <v>绿色基础材料</v>
      </c>
      <c r="AX526" s="14">
        <f>ROUND(INDEX(挂机升级突破!$DT$6:$ED$57,卡牌消耗!AT526,AN526)*INDEX(卡牌消耗!$B$5:$F$5,AR526)/$Q$4/5,0)*5</f>
        <v>105</v>
      </c>
      <c r="AY526" s="14" t="str">
        <f>IF(AO526&gt;0,INDEX(挂机升级突破!$DT$4:$ED$4,AO526),"")</f>
        <v/>
      </c>
      <c r="AZ526" s="14" t="str">
        <f>IF(AO526&gt;0,ROUND(INDEX(挂机升级突破!$DT$6:$ED$57,卡牌消耗!AT526,AO526)*INDEX(卡牌消耗!$B$7:$F$7,AR526)/$Q$4,0),"")</f>
        <v/>
      </c>
      <c r="BL526" s="104">
        <v>522</v>
      </c>
      <c r="BM526" s="14">
        <f t="shared" si="380"/>
        <v>27</v>
      </c>
      <c r="BN526" s="14">
        <f>INDEX(挂机升级突破!$EI$7:$EI$26,BS526)</f>
        <v>5</v>
      </c>
      <c r="BO526" s="14">
        <f>INDEX(挂机升级突破!$EJ$7:$EJ$26,BS526)</f>
        <v>1</v>
      </c>
      <c r="BP526" s="14">
        <f t="shared" si="381"/>
        <v>3</v>
      </c>
      <c r="BQ526" s="14">
        <f>INDEX(挂机升级突破!$EH$7:$EH$26,卡牌消耗!BS526)</f>
        <v>5</v>
      </c>
      <c r="BR526" s="14" t="str">
        <f t="shared" si="382"/>
        <v>燕青</v>
      </c>
      <c r="BS526" s="14">
        <f t="shared" si="383"/>
        <v>2</v>
      </c>
      <c r="BT526" s="14" t="str">
        <f t="shared" si="384"/>
        <v>燕青2突</v>
      </c>
      <c r="BU526" s="14" t="str">
        <f>IF(BN526&gt;0,INDEX(挂机升级突破!$ER$5:$EV$5,卡牌消耗!BN526),"")</f>
        <v>金币</v>
      </c>
      <c r="BV526" s="14">
        <f>IF(BN526&gt;0,ROUND(INDEX(挂机升级突破!$EV$7:$EV$26,卡牌消耗!BS526)*INDEX(卡牌消耗!$B$8:$F$8,BP526)/$Q$4/500,0)*500,"")</f>
        <v>3000</v>
      </c>
      <c r="BW526" s="14" t="str">
        <f>IF(BO526&gt;0,INDEX(挂机升级突破!$ER$5:$EV$5,卡牌消耗!BO526),"")</f>
        <v>玄铁</v>
      </c>
      <c r="BX526" s="14">
        <f>IF(BO526&gt;0,ROUND(INDEX(挂机升级突破!$ER$7:$EU$26,卡牌消耗!BS526,卡牌消耗!BO526)*INDEX($B$6:$F$6,BP526)/$Q$4,0),"")</f>
        <v>2</v>
      </c>
      <c r="BY526" s="193"/>
      <c r="BZ526" s="193"/>
    </row>
    <row r="527" spans="8:78" ht="16.5" x14ac:dyDescent="0.2">
      <c r="AK527" s="104">
        <v>523</v>
      </c>
      <c r="AL527" s="14">
        <f t="shared" si="375"/>
        <v>11</v>
      </c>
      <c r="AM527" s="14">
        <f>INDEX(挂机升级突破!DQ$6:DQ$57,卡牌消耗!$AT527)</f>
        <v>11</v>
      </c>
      <c r="AN527" s="14">
        <f>INDEX(挂机升级突破!DR$6:DR$57,卡牌消耗!$AT527)</f>
        <v>1</v>
      </c>
      <c r="AO527" s="14">
        <f>INDEX(挂机升级突破!DS$6:DS$57,卡牌消耗!$AT527)</f>
        <v>0</v>
      </c>
      <c r="AP527" s="14">
        <f>INDEX(挂机升级突破!$DP$6:$DP$57,卡牌消耗!AT527)</f>
        <v>13</v>
      </c>
      <c r="AQ527" s="14" t="str">
        <f t="shared" si="376"/>
        <v>张飞</v>
      </c>
      <c r="AR527" s="14">
        <f t="shared" si="377"/>
        <v>4</v>
      </c>
      <c r="AS527" s="14" t="str">
        <f t="shared" si="378"/>
        <v>张飞魂火-3</v>
      </c>
      <c r="AT527" s="14">
        <f t="shared" si="379"/>
        <v>3</v>
      </c>
      <c r="AU527" s="14" t="str">
        <f>IF(AM527&gt;0,INDEX(挂机升级突破!$DT$4:$ED$4,AM527),"")</f>
        <v>金币</v>
      </c>
      <c r="AV527" s="14">
        <f>ROUND(INDEX(挂机升级突破!$DJ$6:$DJ$57,卡牌消耗!AT527)*INDEX(卡牌消耗!$B$8:$F$8,AR527)/$Q$4/50,0)*50</f>
        <v>1550</v>
      </c>
      <c r="AW527" s="14" t="str">
        <f>IF(AN527&gt;0,INDEX(挂机升级突破!$DT$4:$ED$4,AN527),"")</f>
        <v>绿色基础材料</v>
      </c>
      <c r="AX527" s="14">
        <f>ROUND(INDEX(挂机升级突破!$DT$6:$ED$57,卡牌消耗!AT527,AN527)*INDEX(卡牌消耗!$B$5:$F$5,AR527)/$Q$4/5,0)*5</f>
        <v>125</v>
      </c>
      <c r="AY527" s="14" t="str">
        <f>IF(AO527&gt;0,INDEX(挂机升级突破!$DT$4:$ED$4,AO527),"")</f>
        <v/>
      </c>
      <c r="AZ527" s="14" t="str">
        <f>IF(AO527&gt;0,ROUND(INDEX(挂机升级突破!$DT$6:$ED$57,卡牌消耗!AT527,AO527)*INDEX(卡牌消耗!$B$7:$F$7,AR527)/$Q$4,0),"")</f>
        <v/>
      </c>
      <c r="BL527" s="104">
        <v>523</v>
      </c>
      <c r="BM527" s="14">
        <f t="shared" si="380"/>
        <v>27</v>
      </c>
      <c r="BN527" s="14">
        <f>INDEX(挂机升级突破!$EI$7:$EI$26,BS527)</f>
        <v>5</v>
      </c>
      <c r="BO527" s="14">
        <f>INDEX(挂机升级突破!$EJ$7:$EJ$26,BS527)</f>
        <v>1</v>
      </c>
      <c r="BP527" s="14">
        <f t="shared" si="381"/>
        <v>3</v>
      </c>
      <c r="BQ527" s="14">
        <f>INDEX(挂机升级突破!$EH$7:$EH$26,卡牌消耗!BS527)</f>
        <v>15</v>
      </c>
      <c r="BR527" s="14" t="str">
        <f t="shared" si="382"/>
        <v>燕青</v>
      </c>
      <c r="BS527" s="14">
        <f t="shared" si="383"/>
        <v>3</v>
      </c>
      <c r="BT527" s="14" t="str">
        <f t="shared" si="384"/>
        <v>燕青3突</v>
      </c>
      <c r="BU527" s="14" t="str">
        <f>IF(BN527&gt;0,INDEX(挂机升级突破!$ER$5:$EV$5,卡牌消耗!BN527),"")</f>
        <v>金币</v>
      </c>
      <c r="BV527" s="14">
        <f>IF(BN527&gt;0,ROUND(INDEX(挂机升级突破!$EV$7:$EV$26,卡牌消耗!BS527)*INDEX(卡牌消耗!$B$8:$F$8,BP527)/$Q$4/500,0)*500,"")</f>
        <v>3000</v>
      </c>
      <c r="BW527" s="14" t="str">
        <f>IF(BO527&gt;0,INDEX(挂机升级突破!$ER$5:$EV$5,卡牌消耗!BO527),"")</f>
        <v>玄铁</v>
      </c>
      <c r="BX527" s="14">
        <f>IF(BO527&gt;0,ROUND(INDEX(挂机升级突破!$ER$7:$EU$26,卡牌消耗!BS527,卡牌消耗!BO527)*INDEX($B$6:$F$6,BP527)/$Q$4,0),"")</f>
        <v>5</v>
      </c>
      <c r="BY527" s="193"/>
      <c r="BZ527" s="193"/>
    </row>
    <row r="528" spans="8:78" ht="16.5" x14ac:dyDescent="0.2">
      <c r="AK528" s="104">
        <v>524</v>
      </c>
      <c r="AL528" s="14">
        <f t="shared" si="375"/>
        <v>11</v>
      </c>
      <c r="AM528" s="14">
        <f>INDEX(挂机升级突破!DQ$6:DQ$57,卡牌消耗!$AT528)</f>
        <v>11</v>
      </c>
      <c r="AN528" s="14">
        <f>INDEX(挂机升级突破!DR$6:DR$57,卡牌消耗!$AT528)</f>
        <v>1</v>
      </c>
      <c r="AO528" s="14">
        <f>INDEX(挂机升级突破!DS$6:DS$57,卡牌消耗!$AT528)</f>
        <v>0</v>
      </c>
      <c r="AP528" s="14">
        <f>INDEX(挂机升级突破!$DP$6:$DP$57,卡牌消耗!AT528)</f>
        <v>18</v>
      </c>
      <c r="AQ528" s="14" t="str">
        <f t="shared" si="376"/>
        <v>张飞</v>
      </c>
      <c r="AR528" s="14">
        <f t="shared" si="377"/>
        <v>4</v>
      </c>
      <c r="AS528" s="14" t="str">
        <f t="shared" si="378"/>
        <v>张飞魂火-4</v>
      </c>
      <c r="AT528" s="14">
        <f t="shared" si="379"/>
        <v>4</v>
      </c>
      <c r="AU528" s="14" t="str">
        <f>IF(AM528&gt;0,INDEX(挂机升级突破!$DT$4:$ED$4,AM528),"")</f>
        <v>金币</v>
      </c>
      <c r="AV528" s="14">
        <f>ROUND(INDEX(挂机升级突破!$DJ$6:$DJ$57,卡牌消耗!AT528)*INDEX(卡牌消耗!$B$8:$F$8,AR528)/$Q$4/50,0)*50</f>
        <v>1550</v>
      </c>
      <c r="AW528" s="14" t="str">
        <f>IF(AN528&gt;0,INDEX(挂机升级突破!$DT$4:$ED$4,AN528),"")</f>
        <v>绿色基础材料</v>
      </c>
      <c r="AX528" s="14">
        <f>ROUND(INDEX(挂机升级突破!$DT$6:$ED$57,卡牌消耗!AT528,AN528)*INDEX(卡牌消耗!$B$5:$F$5,AR528)/$Q$4/5,0)*5</f>
        <v>170</v>
      </c>
      <c r="AY528" s="14" t="str">
        <f>IF(AO528&gt;0,INDEX(挂机升级突破!$DT$4:$ED$4,AO528),"")</f>
        <v/>
      </c>
      <c r="AZ528" s="14" t="str">
        <f>IF(AO528&gt;0,ROUND(INDEX(挂机升级突破!$DT$6:$ED$57,卡牌消耗!AT528,AO528)*INDEX(卡牌消耗!$B$7:$F$7,AR528)/$Q$4,0),"")</f>
        <v/>
      </c>
      <c r="BL528" s="104">
        <v>524</v>
      </c>
      <c r="BM528" s="14">
        <f t="shared" si="380"/>
        <v>27</v>
      </c>
      <c r="BN528" s="14">
        <f>INDEX(挂机升级突破!$EI$7:$EI$26,BS528)</f>
        <v>5</v>
      </c>
      <c r="BO528" s="14">
        <f>INDEX(挂机升级突破!$EJ$7:$EJ$26,BS528)</f>
        <v>1</v>
      </c>
      <c r="BP528" s="14">
        <f t="shared" si="381"/>
        <v>3</v>
      </c>
      <c r="BQ528" s="14">
        <f>INDEX(挂机升级突破!$EH$7:$EH$26,卡牌消耗!BS528)</f>
        <v>25</v>
      </c>
      <c r="BR528" s="14" t="str">
        <f t="shared" si="382"/>
        <v>燕青</v>
      </c>
      <c r="BS528" s="14">
        <f t="shared" si="383"/>
        <v>4</v>
      </c>
      <c r="BT528" s="14" t="str">
        <f t="shared" si="384"/>
        <v>燕青4突</v>
      </c>
      <c r="BU528" s="14" t="str">
        <f>IF(BN528&gt;0,INDEX(挂机升级突破!$ER$5:$EV$5,卡牌消耗!BN528),"")</f>
        <v>金币</v>
      </c>
      <c r="BV528" s="14">
        <f>IF(BN528&gt;0,ROUND(INDEX(挂机升级突破!$EV$7:$EV$26,卡牌消耗!BS528)*INDEX(卡牌消耗!$B$8:$F$8,BP528)/$Q$4/500,0)*500,"")</f>
        <v>4000</v>
      </c>
      <c r="BW528" s="14" t="str">
        <f>IF(BO528&gt;0,INDEX(挂机升级突破!$ER$5:$EV$5,卡牌消耗!BO528),"")</f>
        <v>玄铁</v>
      </c>
      <c r="BX528" s="14">
        <f>IF(BO528&gt;0,ROUND(INDEX(挂机升级突破!$ER$7:$EU$26,卡牌消耗!BS528,卡牌消耗!BO528)*INDEX($B$6:$F$6,BP528)/$Q$4,0),"")</f>
        <v>17</v>
      </c>
      <c r="BY528" s="193"/>
      <c r="BZ528" s="193"/>
    </row>
    <row r="529" spans="37:78" ht="16.5" x14ac:dyDescent="0.2">
      <c r="AK529" s="104">
        <v>525</v>
      </c>
      <c r="AL529" s="14">
        <f t="shared" si="375"/>
        <v>11</v>
      </c>
      <c r="AM529" s="14">
        <f>INDEX(挂机升级突破!DQ$6:DQ$57,卡牌消耗!$AT529)</f>
        <v>11</v>
      </c>
      <c r="AN529" s="14">
        <f>INDEX(挂机升级突破!DR$6:DR$57,卡牌消耗!$AT529)</f>
        <v>1</v>
      </c>
      <c r="AO529" s="14">
        <f>INDEX(挂机升级突破!DS$6:DS$57,卡牌消耗!$AT529)</f>
        <v>0</v>
      </c>
      <c r="AP529" s="14">
        <f>INDEX(挂机升级突破!$DP$6:$DP$57,卡牌消耗!AT529)</f>
        <v>23</v>
      </c>
      <c r="AQ529" s="14" t="str">
        <f t="shared" si="376"/>
        <v>张飞</v>
      </c>
      <c r="AR529" s="14">
        <f t="shared" si="377"/>
        <v>4</v>
      </c>
      <c r="AS529" s="14" t="str">
        <f t="shared" si="378"/>
        <v>张飞魂火-5</v>
      </c>
      <c r="AT529" s="14">
        <f t="shared" si="379"/>
        <v>5</v>
      </c>
      <c r="AU529" s="14" t="str">
        <f>IF(AM529&gt;0,INDEX(挂机升级突破!$DT$4:$ED$4,AM529),"")</f>
        <v>金币</v>
      </c>
      <c r="AV529" s="14">
        <f>ROUND(INDEX(挂机升级突破!$DJ$6:$DJ$57,卡牌消耗!AT529)*INDEX(卡牌消耗!$B$8:$F$8,AR529)/$Q$4/50,0)*50</f>
        <v>1550</v>
      </c>
      <c r="AW529" s="14" t="str">
        <f>IF(AN529&gt;0,INDEX(挂机升级突破!$DT$4:$ED$4,AN529),"")</f>
        <v>绿色基础材料</v>
      </c>
      <c r="AX529" s="14">
        <f>ROUND(INDEX(挂机升级突破!$DT$6:$ED$57,卡牌消耗!AT529,AN529)*INDEX(卡牌消耗!$B$5:$F$5,AR529)/$Q$4/5,0)*5</f>
        <v>185</v>
      </c>
      <c r="AY529" s="14" t="str">
        <f>IF(AO529&gt;0,INDEX(挂机升级突破!$DT$4:$ED$4,AO529),"")</f>
        <v/>
      </c>
      <c r="AZ529" s="14" t="str">
        <f>IF(AO529&gt;0,ROUND(INDEX(挂机升级突破!$DT$6:$ED$57,卡牌消耗!AT529,AO529)*INDEX(卡牌消耗!$B$7:$F$7,AR529)/$Q$4,0),"")</f>
        <v/>
      </c>
      <c r="BL529" s="104">
        <v>525</v>
      </c>
      <c r="BM529" s="14">
        <f t="shared" si="380"/>
        <v>27</v>
      </c>
      <c r="BN529" s="14">
        <f>INDEX(挂机升级突破!$EI$7:$EI$26,BS529)</f>
        <v>5</v>
      </c>
      <c r="BO529" s="14">
        <f>INDEX(挂机升级突破!$EJ$7:$EJ$26,BS529)</f>
        <v>1</v>
      </c>
      <c r="BP529" s="14">
        <f t="shared" si="381"/>
        <v>3</v>
      </c>
      <c r="BQ529" s="14">
        <f>INDEX(挂机升级突破!$EH$7:$EH$26,卡牌消耗!BS529)</f>
        <v>35</v>
      </c>
      <c r="BR529" s="14" t="str">
        <f t="shared" si="382"/>
        <v>燕青</v>
      </c>
      <c r="BS529" s="14">
        <f t="shared" si="383"/>
        <v>5</v>
      </c>
      <c r="BT529" s="14" t="str">
        <f t="shared" si="384"/>
        <v>燕青5突</v>
      </c>
      <c r="BU529" s="14" t="str">
        <f>IF(BN529&gt;0,INDEX(挂机升级突破!$ER$5:$EV$5,卡牌消耗!BN529),"")</f>
        <v>金币</v>
      </c>
      <c r="BV529" s="14">
        <f>IF(BN529&gt;0,ROUND(INDEX(挂机升级突破!$EV$7:$EV$26,卡牌消耗!BS529)*INDEX(卡牌消耗!$B$8:$F$8,BP529)/$Q$4/500,0)*500,"")</f>
        <v>4000</v>
      </c>
      <c r="BW529" s="14" t="str">
        <f>IF(BO529&gt;0,INDEX(挂机升级突破!$ER$5:$EV$5,卡牌消耗!BO529),"")</f>
        <v>玄铁</v>
      </c>
      <c r="BX529" s="14">
        <f>IF(BO529&gt;0,ROUND(INDEX(挂机升级突破!$ER$7:$EU$26,卡牌消耗!BS529,卡牌消耗!BO529)*INDEX($B$6:$F$6,BP529)/$Q$4/5,0)*5,"")</f>
        <v>35</v>
      </c>
      <c r="BY529" s="193"/>
      <c r="BZ529" s="193"/>
    </row>
    <row r="530" spans="37:78" ht="16.5" x14ac:dyDescent="0.2">
      <c r="AK530" s="104">
        <v>526</v>
      </c>
      <c r="AL530" s="14">
        <f t="shared" si="375"/>
        <v>11</v>
      </c>
      <c r="AM530" s="14">
        <f>INDEX(挂机升级突破!DQ$6:DQ$57,卡牌消耗!$AT530)</f>
        <v>11</v>
      </c>
      <c r="AN530" s="14">
        <f>INDEX(挂机升级突破!DR$6:DR$57,卡牌消耗!$AT530)</f>
        <v>2</v>
      </c>
      <c r="AO530" s="14">
        <f>INDEX(挂机升级突破!DS$6:DS$57,卡牌消耗!$AT530)</f>
        <v>0</v>
      </c>
      <c r="AP530" s="14">
        <f>INDEX(挂机升级突破!$DP$6:$DP$57,卡牌消耗!AT530)</f>
        <v>28</v>
      </c>
      <c r="AQ530" s="14" t="str">
        <f t="shared" si="376"/>
        <v>张飞</v>
      </c>
      <c r="AR530" s="14">
        <f t="shared" si="377"/>
        <v>4</v>
      </c>
      <c r="AS530" s="14" t="str">
        <f t="shared" si="378"/>
        <v>张飞魂火-6</v>
      </c>
      <c r="AT530" s="14">
        <f t="shared" si="379"/>
        <v>6</v>
      </c>
      <c r="AU530" s="14" t="str">
        <f>IF(AM530&gt;0,INDEX(挂机升级突破!$DT$4:$ED$4,AM530),"")</f>
        <v>金币</v>
      </c>
      <c r="AV530" s="14">
        <f>ROUND(INDEX(挂机升级突破!$DJ$6:$DJ$57,卡牌消耗!AT530)*INDEX(卡牌消耗!$B$8:$F$8,AR530)/$Q$4/50,0)*50</f>
        <v>1900</v>
      </c>
      <c r="AW530" s="14" t="str">
        <f>IF(AN530&gt;0,INDEX(挂机升级突破!$DT$4:$ED$4,AN530),"")</f>
        <v>蓝色基础材料</v>
      </c>
      <c r="AX530" s="14">
        <f>ROUND(INDEX(挂机升级突破!$DT$6:$ED$57,卡牌消耗!AT530,AN530)*INDEX(卡牌消耗!$B$5:$F$5,AR530)/$Q$4/5,0)*5</f>
        <v>35</v>
      </c>
      <c r="AY530" s="14" t="str">
        <f>IF(AO530&gt;0,INDEX(挂机升级突破!$DT$4:$ED$4,AO530),"")</f>
        <v/>
      </c>
      <c r="AZ530" s="14" t="str">
        <f>IF(AO530&gt;0,ROUND(INDEX(挂机升级突破!$DT$6:$ED$57,卡牌消耗!AT530,AO530)*INDEX(卡牌消耗!$B$7:$F$7,AR530)/$Q$4,0),"")</f>
        <v/>
      </c>
      <c r="BL530" s="104">
        <v>526</v>
      </c>
      <c r="BM530" s="14">
        <f t="shared" si="380"/>
        <v>27</v>
      </c>
      <c r="BN530" s="14">
        <f>INDEX(挂机升级突破!$EI$7:$EI$26,BS530)</f>
        <v>5</v>
      </c>
      <c r="BO530" s="14">
        <f>INDEX(挂机升级突破!$EJ$7:$EJ$26,BS530)</f>
        <v>1</v>
      </c>
      <c r="BP530" s="14">
        <f t="shared" si="381"/>
        <v>3</v>
      </c>
      <c r="BQ530" s="14">
        <f>INDEX(挂机升级突破!$EH$7:$EH$26,卡牌消耗!BS530)</f>
        <v>42</v>
      </c>
      <c r="BR530" s="14" t="str">
        <f t="shared" si="382"/>
        <v>燕青</v>
      </c>
      <c r="BS530" s="14">
        <f t="shared" si="383"/>
        <v>6</v>
      </c>
      <c r="BT530" s="14" t="str">
        <f t="shared" si="384"/>
        <v>燕青6突</v>
      </c>
      <c r="BU530" s="14" t="str">
        <f>IF(BN530&gt;0,INDEX(挂机升级突破!$ER$5:$EV$5,卡牌消耗!BN530),"")</f>
        <v>金币</v>
      </c>
      <c r="BV530" s="14">
        <f>IF(BN530&gt;0,ROUND(INDEX(挂机升级突破!$EV$7:$EV$26,卡牌消耗!BS530)*INDEX(卡牌消耗!$B$8:$F$8,BP530)/$Q$4/500,0)*500,"")</f>
        <v>5000</v>
      </c>
      <c r="BW530" s="14" t="str">
        <f>IF(BO530&gt;0,INDEX(挂机升级突破!$ER$5:$EV$5,卡牌消耗!BO530),"")</f>
        <v>玄铁</v>
      </c>
      <c r="BX530" s="14">
        <f>IF(BO530&gt;0,ROUND(INDEX(挂机升级突破!$ER$7:$EU$26,卡牌消耗!BS530,卡牌消耗!BO530)*INDEX($B$6:$F$6,BP530)/$Q$4/5,0)*5,"")</f>
        <v>50</v>
      </c>
      <c r="BY530" s="193"/>
      <c r="BZ530" s="193"/>
    </row>
    <row r="531" spans="37:78" ht="16.5" x14ac:dyDescent="0.2">
      <c r="AK531" s="104">
        <v>527</v>
      </c>
      <c r="AL531" s="14">
        <f t="shared" si="375"/>
        <v>11</v>
      </c>
      <c r="AM531" s="14">
        <f>INDEX(挂机升级突破!DQ$6:DQ$57,卡牌消耗!$AT531)</f>
        <v>11</v>
      </c>
      <c r="AN531" s="14">
        <f>INDEX(挂机升级突破!DR$6:DR$57,卡牌消耗!$AT531)</f>
        <v>2</v>
      </c>
      <c r="AO531" s="14">
        <f>INDEX(挂机升级突破!DS$6:DS$57,卡牌消耗!$AT531)</f>
        <v>0</v>
      </c>
      <c r="AP531" s="14">
        <f>INDEX(挂机升级突破!$DP$6:$DP$57,卡牌消耗!AT531)</f>
        <v>33</v>
      </c>
      <c r="AQ531" s="14" t="str">
        <f t="shared" si="376"/>
        <v>张飞</v>
      </c>
      <c r="AR531" s="14">
        <f t="shared" si="377"/>
        <v>4</v>
      </c>
      <c r="AS531" s="14" t="str">
        <f t="shared" si="378"/>
        <v>张飞魂火-7</v>
      </c>
      <c r="AT531" s="14">
        <f t="shared" si="379"/>
        <v>7</v>
      </c>
      <c r="AU531" s="14" t="str">
        <f>IF(AM531&gt;0,INDEX(挂机升级突破!$DT$4:$ED$4,AM531),"")</f>
        <v>金币</v>
      </c>
      <c r="AV531" s="14">
        <f>ROUND(INDEX(挂机升级突破!$DJ$6:$DJ$57,卡牌消耗!AT531)*INDEX(卡牌消耗!$B$8:$F$8,AR531)/$Q$4/50,0)*50</f>
        <v>1900</v>
      </c>
      <c r="AW531" s="14" t="str">
        <f>IF(AN531&gt;0,INDEX(挂机升级突破!$DT$4:$ED$4,AN531),"")</f>
        <v>蓝色基础材料</v>
      </c>
      <c r="AX531" s="14">
        <f>ROUND(INDEX(挂机升级突破!$DT$6:$ED$57,卡牌消耗!AT531,AN531)*INDEX(卡牌消耗!$B$5:$F$5,AR531)/$Q$4/5,0)*5</f>
        <v>35</v>
      </c>
      <c r="AY531" s="14" t="str">
        <f>IF(AO531&gt;0,INDEX(挂机升级突破!$DT$4:$ED$4,AO531),"")</f>
        <v/>
      </c>
      <c r="AZ531" s="14" t="str">
        <f>IF(AO531&gt;0,ROUND(INDEX(挂机升级突破!$DT$6:$ED$57,卡牌消耗!AT531,AO531)*INDEX(卡牌消耗!$B$7:$F$7,AR531)/$Q$4,0),"")</f>
        <v/>
      </c>
      <c r="BL531" s="104">
        <v>527</v>
      </c>
      <c r="BM531" s="14">
        <f t="shared" si="380"/>
        <v>27</v>
      </c>
      <c r="BN531" s="14">
        <f>INDEX(挂机升级突破!$EI$7:$EI$26,BS531)</f>
        <v>5</v>
      </c>
      <c r="BO531" s="14">
        <f>INDEX(挂机升级突破!$EJ$7:$EJ$26,BS531)</f>
        <v>1</v>
      </c>
      <c r="BP531" s="14">
        <f t="shared" si="381"/>
        <v>3</v>
      </c>
      <c r="BQ531" s="14">
        <f>INDEX(挂机升级突破!$EH$7:$EH$26,卡牌消耗!BS531)</f>
        <v>47</v>
      </c>
      <c r="BR531" s="14" t="str">
        <f t="shared" si="382"/>
        <v>燕青</v>
      </c>
      <c r="BS531" s="14">
        <f t="shared" si="383"/>
        <v>7</v>
      </c>
      <c r="BT531" s="14" t="str">
        <f t="shared" si="384"/>
        <v>燕青7突</v>
      </c>
      <c r="BU531" s="14" t="str">
        <f>IF(BN531&gt;0,INDEX(挂机升级突破!$ER$5:$EV$5,卡牌消耗!BN531),"")</f>
        <v>金币</v>
      </c>
      <c r="BV531" s="14">
        <f>IF(BN531&gt;0,ROUND(INDEX(挂机升级突破!$EV$7:$EV$26,卡牌消耗!BS531)*INDEX(卡牌消耗!$B$8:$F$8,BP531)/$Q$4/500,0)*500,"")</f>
        <v>8000</v>
      </c>
      <c r="BW531" s="14" t="str">
        <f>IF(BO531&gt;0,INDEX(挂机升级突破!$ER$5:$EV$5,卡牌消耗!BO531),"")</f>
        <v>玄铁</v>
      </c>
      <c r="BX531" s="14">
        <f>IF(BO531&gt;0,ROUND(INDEX(挂机升级突破!$ER$7:$EU$26,卡牌消耗!BS531,卡牌消耗!BO531)*INDEX($B$6:$F$6,BP531)/$Q$4/5,0)*5,"")</f>
        <v>85</v>
      </c>
      <c r="BY531" s="193"/>
      <c r="BZ531" s="193"/>
    </row>
    <row r="532" spans="37:78" ht="16.5" x14ac:dyDescent="0.2">
      <c r="AK532" s="104">
        <v>528</v>
      </c>
      <c r="AL532" s="14">
        <f t="shared" si="375"/>
        <v>11</v>
      </c>
      <c r="AM532" s="14">
        <f>INDEX(挂机升级突破!DQ$6:DQ$57,卡牌消耗!$AT532)</f>
        <v>11</v>
      </c>
      <c r="AN532" s="14">
        <f>INDEX(挂机升级突破!DR$6:DR$57,卡牌消耗!$AT532)</f>
        <v>2</v>
      </c>
      <c r="AO532" s="14">
        <f>INDEX(挂机升级突破!DS$6:DS$57,卡牌消耗!$AT532)</f>
        <v>0</v>
      </c>
      <c r="AP532" s="14">
        <f>INDEX(挂机升级突破!$DP$6:$DP$57,卡牌消耗!AT532)</f>
        <v>38</v>
      </c>
      <c r="AQ532" s="14" t="str">
        <f t="shared" si="376"/>
        <v>张飞</v>
      </c>
      <c r="AR532" s="14">
        <f t="shared" si="377"/>
        <v>4</v>
      </c>
      <c r="AS532" s="14" t="str">
        <f t="shared" si="378"/>
        <v>张飞魂火-8</v>
      </c>
      <c r="AT532" s="14">
        <f t="shared" si="379"/>
        <v>8</v>
      </c>
      <c r="AU532" s="14" t="str">
        <f>IF(AM532&gt;0,INDEX(挂机升级突破!$DT$4:$ED$4,AM532),"")</f>
        <v>金币</v>
      </c>
      <c r="AV532" s="14">
        <f>ROUND(INDEX(挂机升级突破!$DJ$6:$DJ$57,卡牌消耗!AT532)*INDEX(卡牌消耗!$B$8:$F$8,AR532)/$Q$4/50,0)*50</f>
        <v>2850</v>
      </c>
      <c r="AW532" s="14" t="str">
        <f>IF(AN532&gt;0,INDEX(挂机升级突破!$DT$4:$ED$4,AN532),"")</f>
        <v>蓝色基础材料</v>
      </c>
      <c r="AX532" s="14">
        <f>ROUND(INDEX(挂机升级突破!$DT$6:$ED$57,卡牌消耗!AT532,AN532)*INDEX(卡牌消耗!$B$5:$F$5,AR532)/$Q$4/5,0)*5</f>
        <v>70</v>
      </c>
      <c r="AY532" s="14" t="str">
        <f>IF(AO532&gt;0,INDEX(挂机升级突破!$DT$4:$ED$4,AO532),"")</f>
        <v/>
      </c>
      <c r="AZ532" s="14" t="str">
        <f>IF(AO532&gt;0,ROUND(INDEX(挂机升级突破!$DT$6:$ED$57,卡牌消耗!AT532,AO532)*INDEX(卡牌消耗!$B$7:$F$7,AR532)/$Q$4,0),"")</f>
        <v/>
      </c>
      <c r="BL532" s="104">
        <v>528</v>
      </c>
      <c r="BM532" s="14">
        <f t="shared" si="380"/>
        <v>27</v>
      </c>
      <c r="BN532" s="14">
        <f>INDEX(挂机升级突破!$EI$7:$EI$26,BS532)</f>
        <v>5</v>
      </c>
      <c r="BO532" s="14">
        <f>INDEX(挂机升级突破!$EJ$7:$EJ$26,BS532)</f>
        <v>1</v>
      </c>
      <c r="BP532" s="14">
        <f t="shared" si="381"/>
        <v>3</v>
      </c>
      <c r="BQ532" s="14">
        <f>INDEX(挂机升级突破!$EH$7:$EH$26,卡牌消耗!BS532)</f>
        <v>52</v>
      </c>
      <c r="BR532" s="14" t="str">
        <f t="shared" si="382"/>
        <v>燕青</v>
      </c>
      <c r="BS532" s="14">
        <f t="shared" si="383"/>
        <v>8</v>
      </c>
      <c r="BT532" s="14" t="str">
        <f t="shared" si="384"/>
        <v>燕青8突</v>
      </c>
      <c r="BU532" s="14" t="str">
        <f>IF(BN532&gt;0,INDEX(挂机升级突破!$ER$5:$EV$5,卡牌消耗!BN532),"")</f>
        <v>金币</v>
      </c>
      <c r="BV532" s="14">
        <f>IF(BN532&gt;0,ROUND(INDEX(挂机升级突破!$EV$7:$EV$26,卡牌消耗!BS532)*INDEX(卡牌消耗!$B$8:$F$8,BP532)/$Q$4/500,0)*500,"")</f>
        <v>8000</v>
      </c>
      <c r="BW532" s="14" t="str">
        <f>IF(BO532&gt;0,INDEX(挂机升级突破!$ER$5:$EV$5,卡牌消耗!BO532),"")</f>
        <v>玄铁</v>
      </c>
      <c r="BX532" s="14">
        <f>IF(BO532&gt;0,ROUND(INDEX(挂机升级突破!$ER$7:$EU$26,卡牌消耗!BS532,卡牌消耗!BO532)*INDEX($B$6:$F$6,BP532)/$Q$4/5,0)*5,"")</f>
        <v>150</v>
      </c>
      <c r="BY532" s="193"/>
      <c r="BZ532" s="193"/>
    </row>
    <row r="533" spans="37:78" ht="16.5" x14ac:dyDescent="0.2">
      <c r="AK533" s="104">
        <v>529</v>
      </c>
      <c r="AL533" s="14">
        <f t="shared" si="375"/>
        <v>11</v>
      </c>
      <c r="AM533" s="14">
        <f>INDEX(挂机升级突破!DQ$6:DQ$57,卡牌消耗!$AT533)</f>
        <v>11</v>
      </c>
      <c r="AN533" s="14">
        <f>INDEX(挂机升级突破!DR$6:DR$57,卡牌消耗!$AT533)</f>
        <v>2</v>
      </c>
      <c r="AO533" s="14">
        <f>INDEX(挂机升级突破!DS$6:DS$57,卡牌消耗!$AT533)</f>
        <v>0</v>
      </c>
      <c r="AP533" s="14">
        <f>INDEX(挂机升级突破!$DP$6:$DP$57,卡牌消耗!AT533)</f>
        <v>40</v>
      </c>
      <c r="AQ533" s="14" t="str">
        <f t="shared" si="376"/>
        <v>张飞</v>
      </c>
      <c r="AR533" s="14">
        <f t="shared" si="377"/>
        <v>4</v>
      </c>
      <c r="AS533" s="14" t="str">
        <f t="shared" si="378"/>
        <v>张飞魂火-9</v>
      </c>
      <c r="AT533" s="14">
        <f t="shared" si="379"/>
        <v>9</v>
      </c>
      <c r="AU533" s="14" t="str">
        <f>IF(AM533&gt;0,INDEX(挂机升级突破!$DT$4:$ED$4,AM533),"")</f>
        <v>金币</v>
      </c>
      <c r="AV533" s="14">
        <f>ROUND(INDEX(挂机升级突破!$DJ$6:$DJ$57,卡牌消耗!AT533)*INDEX(卡牌消耗!$B$8:$F$8,AR533)/$Q$4/50,0)*50</f>
        <v>2850</v>
      </c>
      <c r="AW533" s="14" t="str">
        <f>IF(AN533&gt;0,INDEX(挂机升级突破!$DT$4:$ED$4,AN533),"")</f>
        <v>蓝色基础材料</v>
      </c>
      <c r="AX533" s="14">
        <f>ROUND(INDEX(挂机升级突破!$DT$6:$ED$57,卡牌消耗!AT533,AN533)*INDEX(卡牌消耗!$B$5:$F$5,AR533)/$Q$4/5,0)*5</f>
        <v>70</v>
      </c>
      <c r="AY533" s="14" t="str">
        <f>IF(AO533&gt;0,INDEX(挂机升级突破!$DT$4:$ED$4,AO533),"")</f>
        <v/>
      </c>
      <c r="AZ533" s="14" t="str">
        <f>IF(AO533&gt;0,ROUND(INDEX(挂机升级突破!$DT$6:$ED$57,卡牌消耗!AT533,AO533)*INDEX(卡牌消耗!$B$7:$F$7,AR533)/$Q$4,0),"")</f>
        <v/>
      </c>
      <c r="BL533" s="104">
        <v>529</v>
      </c>
      <c r="BM533" s="14">
        <f t="shared" si="380"/>
        <v>27</v>
      </c>
      <c r="BN533" s="14">
        <f>INDEX(挂机升级突破!$EI$7:$EI$26,BS533)</f>
        <v>5</v>
      </c>
      <c r="BO533" s="14">
        <f>INDEX(挂机升级突破!$EJ$7:$EJ$26,BS533)</f>
        <v>2</v>
      </c>
      <c r="BP533" s="14">
        <f t="shared" si="381"/>
        <v>3</v>
      </c>
      <c r="BQ533" s="14">
        <f>INDEX(挂机升级突破!$EH$7:$EH$26,卡牌消耗!BS533)</f>
        <v>57</v>
      </c>
      <c r="BR533" s="14" t="str">
        <f t="shared" si="382"/>
        <v>燕青</v>
      </c>
      <c r="BS533" s="14">
        <f t="shared" si="383"/>
        <v>9</v>
      </c>
      <c r="BT533" s="14" t="str">
        <f t="shared" si="384"/>
        <v>燕青9突</v>
      </c>
      <c r="BU533" s="14" t="str">
        <f>IF(BN533&gt;0,INDEX(挂机升级突破!$ER$5:$EV$5,卡牌消耗!BN533),"")</f>
        <v>金币</v>
      </c>
      <c r="BV533" s="14">
        <f>IF(BN533&gt;0,ROUND(INDEX(挂机升级突破!$EV$7:$EV$26,卡牌消耗!BS533)*INDEX(卡牌消耗!$B$8:$F$8,BP533)/$Q$4/500,0)*500,"")</f>
        <v>11000</v>
      </c>
      <c r="BW533" s="14" t="str">
        <f>IF(BO533&gt;0,INDEX(挂机升级突破!$ER$5:$EV$5,卡牌消耗!BO533),"")</f>
        <v>乌金</v>
      </c>
      <c r="BX533" s="14">
        <f>IF(BO533&gt;0,ROUND(INDEX(挂机升级突破!$ER$7:$EU$26,卡牌消耗!BS533,卡牌消耗!BO533)*INDEX($B$6:$F$6,BP533)/$Q$4/5,0)*5,"")</f>
        <v>50</v>
      </c>
      <c r="BY533" s="193"/>
      <c r="BZ533" s="193"/>
    </row>
    <row r="534" spans="37:78" ht="16.5" x14ac:dyDescent="0.2">
      <c r="AK534" s="104">
        <v>530</v>
      </c>
      <c r="AL534" s="14">
        <f t="shared" si="375"/>
        <v>11</v>
      </c>
      <c r="AM534" s="14">
        <f>INDEX(挂机升级突破!DQ$6:DQ$57,卡牌消耗!$AT534)</f>
        <v>11</v>
      </c>
      <c r="AN534" s="14">
        <f>INDEX(挂机升级突破!DR$6:DR$57,卡牌消耗!$AT534)</f>
        <v>2</v>
      </c>
      <c r="AO534" s="14">
        <f>INDEX(挂机升级突破!DS$6:DS$57,卡牌消耗!$AT534)</f>
        <v>0</v>
      </c>
      <c r="AP534" s="14">
        <f>INDEX(挂机升级突破!$DP$6:$DP$57,卡牌消耗!AT534)</f>
        <v>43</v>
      </c>
      <c r="AQ534" s="14" t="str">
        <f t="shared" si="376"/>
        <v>张飞</v>
      </c>
      <c r="AR534" s="14">
        <f t="shared" si="377"/>
        <v>4</v>
      </c>
      <c r="AS534" s="14" t="str">
        <f t="shared" si="378"/>
        <v>张飞魂火-10</v>
      </c>
      <c r="AT534" s="14">
        <f t="shared" si="379"/>
        <v>10</v>
      </c>
      <c r="AU534" s="14" t="str">
        <f>IF(AM534&gt;0,INDEX(挂机升级突破!$DT$4:$ED$4,AM534),"")</f>
        <v>金币</v>
      </c>
      <c r="AV534" s="14">
        <f>ROUND(INDEX(挂机升级突破!$DJ$6:$DJ$57,卡牌消耗!AT534)*INDEX(卡牌消耗!$B$8:$F$8,AR534)/$Q$4/50,0)*50</f>
        <v>4750</v>
      </c>
      <c r="AW534" s="14" t="str">
        <f>IF(AN534&gt;0,INDEX(挂机升级突破!$DT$4:$ED$4,AN534),"")</f>
        <v>蓝色基础材料</v>
      </c>
      <c r="AX534" s="14">
        <f>ROUND(INDEX(挂机升级突破!$DT$6:$ED$57,卡牌消耗!AT534,AN534)*INDEX(卡牌消耗!$B$5:$F$5,AR534)/$Q$4/5,0)*5</f>
        <v>105</v>
      </c>
      <c r="AY534" s="14" t="str">
        <f>IF(AO534&gt;0,INDEX(挂机升级突破!$DT$4:$ED$4,AO534),"")</f>
        <v/>
      </c>
      <c r="AZ534" s="14" t="str">
        <f>IF(AO534&gt;0,ROUND(INDEX(挂机升级突破!$DT$6:$ED$57,卡牌消耗!AT534,AO534)*INDEX(卡牌消耗!$B$7:$F$7,AR534)/$Q$4,0),"")</f>
        <v/>
      </c>
      <c r="BL534" s="104">
        <v>530</v>
      </c>
      <c r="BM534" s="14">
        <f t="shared" si="380"/>
        <v>27</v>
      </c>
      <c r="BN534" s="14">
        <f>INDEX(挂机升级突破!$EI$7:$EI$26,BS534)</f>
        <v>5</v>
      </c>
      <c r="BO534" s="14">
        <f>INDEX(挂机升级突破!$EJ$7:$EJ$26,BS534)</f>
        <v>2</v>
      </c>
      <c r="BP534" s="14">
        <f t="shared" si="381"/>
        <v>3</v>
      </c>
      <c r="BQ534" s="14">
        <f>INDEX(挂机升级突破!$EH$7:$EH$26,卡牌消耗!BS534)</f>
        <v>65</v>
      </c>
      <c r="BR534" s="14" t="str">
        <f t="shared" si="382"/>
        <v>燕青</v>
      </c>
      <c r="BS534" s="14">
        <f t="shared" si="383"/>
        <v>10</v>
      </c>
      <c r="BT534" s="14" t="str">
        <f t="shared" si="384"/>
        <v>燕青10突</v>
      </c>
      <c r="BU534" s="14" t="str">
        <f>IF(BN534&gt;0,INDEX(挂机升级突破!$ER$5:$EV$5,卡牌消耗!BN534),"")</f>
        <v>金币</v>
      </c>
      <c r="BV534" s="14">
        <f>IF(BN534&gt;0,ROUND(INDEX(挂机升级突破!$EV$7:$EV$26,卡牌消耗!BS534)*INDEX(卡牌消耗!$B$8:$F$8,BP534)/$Q$4/500,0)*500,"")</f>
        <v>19000</v>
      </c>
      <c r="BW534" s="14" t="str">
        <f>IF(BO534&gt;0,INDEX(挂机升级突破!$ER$5:$EV$5,卡牌消耗!BO534),"")</f>
        <v>乌金</v>
      </c>
      <c r="BX534" s="14">
        <f>IF(BO534&gt;0,ROUND(INDEX(挂机升级突破!$ER$7:$EU$26,卡牌消耗!BS534,卡牌消耗!BO534)*INDEX($B$6:$F$6,BP534)/$Q$4/5,0)*5,"")</f>
        <v>70</v>
      </c>
      <c r="BY534" s="193"/>
      <c r="BZ534" s="193"/>
    </row>
    <row r="535" spans="37:78" ht="16.5" x14ac:dyDescent="0.2">
      <c r="AK535" s="104">
        <v>531</v>
      </c>
      <c r="AL535" s="14">
        <f t="shared" si="375"/>
        <v>11</v>
      </c>
      <c r="AM535" s="14">
        <f>INDEX(挂机升级突破!DQ$6:DQ$57,卡牌消耗!$AT535)</f>
        <v>11</v>
      </c>
      <c r="AN535" s="14">
        <f>INDEX(挂机升级突破!DR$6:DR$57,卡牌消耗!$AT535)</f>
        <v>2</v>
      </c>
      <c r="AO535" s="14">
        <f>INDEX(挂机升级突破!DS$6:DS$57,卡牌消耗!$AT535)</f>
        <v>0</v>
      </c>
      <c r="AP535" s="14">
        <f>INDEX(挂机升级突破!$DP$6:$DP$57,卡牌消耗!AT535)</f>
        <v>45</v>
      </c>
      <c r="AQ535" s="14" t="str">
        <f t="shared" si="376"/>
        <v>张飞</v>
      </c>
      <c r="AR535" s="14">
        <f t="shared" si="377"/>
        <v>4</v>
      </c>
      <c r="AS535" s="14" t="str">
        <f t="shared" si="378"/>
        <v>张飞魂火-11</v>
      </c>
      <c r="AT535" s="14">
        <f t="shared" si="379"/>
        <v>11</v>
      </c>
      <c r="AU535" s="14" t="str">
        <f>IF(AM535&gt;0,INDEX(挂机升级突破!$DT$4:$ED$4,AM535),"")</f>
        <v>金币</v>
      </c>
      <c r="AV535" s="14">
        <f>ROUND(INDEX(挂机升级突破!$DJ$6:$DJ$57,卡牌消耗!AT535)*INDEX(卡牌消耗!$B$8:$F$8,AR535)/$Q$4/50,0)*50</f>
        <v>4750</v>
      </c>
      <c r="AW535" s="14" t="str">
        <f>IF(AN535&gt;0,INDEX(挂机升级突破!$DT$4:$ED$4,AN535),"")</f>
        <v>蓝色基础材料</v>
      </c>
      <c r="AX535" s="14">
        <f>ROUND(INDEX(挂机升级突破!$DT$6:$ED$57,卡牌消耗!AT535,AN535)*INDEX(卡牌消耗!$B$5:$F$5,AR535)/$Q$4/5,0)*5</f>
        <v>105</v>
      </c>
      <c r="AY535" s="14" t="str">
        <f>IF(AO535&gt;0,INDEX(挂机升级突破!$DT$4:$ED$4,AO535),"")</f>
        <v/>
      </c>
      <c r="AZ535" s="14" t="str">
        <f>IF(AO535&gt;0,ROUND(INDEX(挂机升级突破!$DT$6:$ED$57,卡牌消耗!AT535,AO535)*INDEX(卡牌消耗!$B$7:$F$7,AR535)/$Q$4,0),"")</f>
        <v/>
      </c>
      <c r="BL535" s="104">
        <v>531</v>
      </c>
      <c r="BM535" s="14">
        <f t="shared" si="380"/>
        <v>27</v>
      </c>
      <c r="BN535" s="14">
        <f>INDEX(挂机升级突破!$EI$7:$EI$26,BS535)</f>
        <v>5</v>
      </c>
      <c r="BO535" s="14">
        <f>INDEX(挂机升级突破!$EJ$7:$EJ$26,BS535)</f>
        <v>2</v>
      </c>
      <c r="BP535" s="14">
        <f t="shared" si="381"/>
        <v>3</v>
      </c>
      <c r="BQ535" s="14">
        <f>INDEX(挂机升级突破!$EH$7:$EH$26,卡牌消耗!BS535)</f>
        <v>72</v>
      </c>
      <c r="BR535" s="14" t="str">
        <f t="shared" si="382"/>
        <v>燕青</v>
      </c>
      <c r="BS535" s="14">
        <f t="shared" si="383"/>
        <v>11</v>
      </c>
      <c r="BT535" s="14" t="str">
        <f t="shared" si="384"/>
        <v>燕青11突</v>
      </c>
      <c r="BU535" s="14" t="str">
        <f>IF(BN535&gt;0,INDEX(挂机升级突破!$ER$5:$EV$5,卡牌消耗!BN535),"")</f>
        <v>金币</v>
      </c>
      <c r="BV535" s="14">
        <f>IF(BN535&gt;0,ROUND(INDEX(挂机升级突破!$EV$7:$EV$26,卡牌消耗!BS535)*INDEX(卡牌消耗!$B$8:$F$8,BP535)/$Q$4/500,0)*500,"")</f>
        <v>19000</v>
      </c>
      <c r="BW535" s="14" t="str">
        <f>IF(BO535&gt;0,INDEX(挂机升级突破!$ER$5:$EV$5,卡牌消耗!BO535),"")</f>
        <v>乌金</v>
      </c>
      <c r="BX535" s="14">
        <f>IF(BO535&gt;0,ROUND(INDEX(挂机升级突破!$ER$7:$EU$26,卡牌消耗!BS535,卡牌消耗!BO535)*INDEX($B$6:$F$6,BP535)/$Q$4/5,0)*5,"")</f>
        <v>90</v>
      </c>
      <c r="BY535" s="193"/>
      <c r="BZ535" s="193"/>
    </row>
    <row r="536" spans="37:78" ht="16.5" x14ac:dyDescent="0.2">
      <c r="AK536" s="104">
        <v>532</v>
      </c>
      <c r="AL536" s="14">
        <f t="shared" si="375"/>
        <v>11</v>
      </c>
      <c r="AM536" s="14">
        <f>INDEX(挂机升级突破!DQ$6:DQ$57,卡牌消耗!$AT536)</f>
        <v>11</v>
      </c>
      <c r="AN536" s="14">
        <f>INDEX(挂机升级突破!DR$6:DR$57,卡牌消耗!$AT536)</f>
        <v>2</v>
      </c>
      <c r="AO536" s="14">
        <f>INDEX(挂机升级突破!DS$6:DS$57,卡牌消耗!$AT536)</f>
        <v>0</v>
      </c>
      <c r="AP536" s="14">
        <f>INDEX(挂机升级突破!$DP$6:$DP$57,卡牌消耗!AT536)</f>
        <v>48</v>
      </c>
      <c r="AQ536" s="14" t="str">
        <f t="shared" si="376"/>
        <v>张飞</v>
      </c>
      <c r="AR536" s="14">
        <f t="shared" si="377"/>
        <v>4</v>
      </c>
      <c r="AS536" s="14" t="str">
        <f t="shared" si="378"/>
        <v>张飞魂火-12</v>
      </c>
      <c r="AT536" s="14">
        <f t="shared" si="379"/>
        <v>12</v>
      </c>
      <c r="AU536" s="14" t="str">
        <f>IF(AM536&gt;0,INDEX(挂机升级突破!$DT$4:$ED$4,AM536),"")</f>
        <v>金币</v>
      </c>
      <c r="AV536" s="14">
        <f>ROUND(INDEX(挂机升级突破!$DJ$6:$DJ$57,卡牌消耗!AT536)*INDEX(卡牌消耗!$B$8:$F$8,AR536)/$Q$4/50,0)*50</f>
        <v>4100</v>
      </c>
      <c r="AW536" s="14" t="str">
        <f>IF(AN536&gt;0,INDEX(挂机升级突破!$DT$4:$ED$4,AN536),"")</f>
        <v>蓝色基础材料</v>
      </c>
      <c r="AX536" s="14">
        <f>ROUND(INDEX(挂机升级突破!$DT$6:$ED$57,卡牌消耗!AT536,AN536)*INDEX(卡牌消耗!$B$5:$F$5,AR536)/$Q$4/5,0)*5</f>
        <v>140</v>
      </c>
      <c r="AY536" s="14" t="str">
        <f>IF(AO536&gt;0,INDEX(挂机升级突破!$DT$4:$ED$4,AO536),"")</f>
        <v/>
      </c>
      <c r="AZ536" s="14" t="str">
        <f>IF(AO536&gt;0,ROUND(INDEX(挂机升级突破!$DT$6:$ED$57,卡牌消耗!AT536,AO536)*INDEX(卡牌消耗!$B$7:$F$7,AR536)/$Q$4,0),"")</f>
        <v/>
      </c>
      <c r="BL536" s="104">
        <v>532</v>
      </c>
      <c r="BM536" s="14">
        <f t="shared" si="380"/>
        <v>27</v>
      </c>
      <c r="BN536" s="14">
        <f>INDEX(挂机升级突破!$EI$7:$EI$26,BS536)</f>
        <v>5</v>
      </c>
      <c r="BO536" s="14">
        <f>INDEX(挂机升级突破!$EJ$7:$EJ$26,BS536)</f>
        <v>2</v>
      </c>
      <c r="BP536" s="14">
        <f t="shared" si="381"/>
        <v>3</v>
      </c>
      <c r="BQ536" s="14">
        <f>INDEX(挂机升级突破!$EH$7:$EH$26,卡牌消耗!BS536)</f>
        <v>80</v>
      </c>
      <c r="BR536" s="14" t="str">
        <f t="shared" si="382"/>
        <v>燕青</v>
      </c>
      <c r="BS536" s="14">
        <f t="shared" si="383"/>
        <v>12</v>
      </c>
      <c r="BT536" s="14" t="str">
        <f t="shared" si="384"/>
        <v>燕青12突</v>
      </c>
      <c r="BU536" s="14" t="str">
        <f>IF(BN536&gt;0,INDEX(挂机升级突破!$ER$5:$EV$5,卡牌消耗!BN536),"")</f>
        <v>金币</v>
      </c>
      <c r="BV536" s="14">
        <f>IF(BN536&gt;0,ROUND(INDEX(挂机升级突破!$EV$7:$EV$26,卡牌消耗!BS536)*INDEX(卡牌消耗!$B$8:$F$8,BP536)/$Q$4/500,0)*500,"")</f>
        <v>25000</v>
      </c>
      <c r="BW536" s="14" t="str">
        <f>IF(BO536&gt;0,INDEX(挂机升级突破!$ER$5:$EV$5,卡牌消耗!BO536),"")</f>
        <v>乌金</v>
      </c>
      <c r="BX536" s="14">
        <f>IF(BO536&gt;0,ROUND(INDEX(挂机升级突破!$ER$7:$EU$26,卡牌消耗!BS536,卡牌消耗!BO536)*INDEX($B$6:$F$6,BP536)/$Q$4/5,0)*5,"")</f>
        <v>120</v>
      </c>
      <c r="BY536" s="193"/>
      <c r="BZ536" s="193"/>
    </row>
    <row r="537" spans="37:78" ht="16.5" x14ac:dyDescent="0.2">
      <c r="AK537" s="104">
        <v>533</v>
      </c>
      <c r="AL537" s="14">
        <f t="shared" si="375"/>
        <v>11</v>
      </c>
      <c r="AM537" s="14">
        <f>INDEX(挂机升级突破!DQ$6:DQ$57,卡牌消耗!$AT537)</f>
        <v>11</v>
      </c>
      <c r="AN537" s="14">
        <f>INDEX(挂机升级突破!DR$6:DR$57,卡牌消耗!$AT537)</f>
        <v>2</v>
      </c>
      <c r="AO537" s="14">
        <f>INDEX(挂机升级突破!DS$6:DS$57,卡牌消耗!$AT537)</f>
        <v>0</v>
      </c>
      <c r="AP537" s="14">
        <f>INDEX(挂机升级突破!$DP$6:$DP$57,卡牌消耗!AT537)</f>
        <v>50</v>
      </c>
      <c r="AQ537" s="14" t="str">
        <f t="shared" si="376"/>
        <v>张飞</v>
      </c>
      <c r="AR537" s="14">
        <f t="shared" si="377"/>
        <v>4</v>
      </c>
      <c r="AS537" s="14" t="str">
        <f t="shared" si="378"/>
        <v>张飞魂火-13</v>
      </c>
      <c r="AT537" s="14">
        <f t="shared" si="379"/>
        <v>13</v>
      </c>
      <c r="AU537" s="14" t="str">
        <f>IF(AM537&gt;0,INDEX(挂机升级突破!$DT$4:$ED$4,AM537),"")</f>
        <v>金币</v>
      </c>
      <c r="AV537" s="14">
        <f>ROUND(INDEX(挂机升级突破!$DJ$6:$DJ$57,卡牌消耗!AT537)*INDEX(卡牌消耗!$B$8:$F$8,AR537)/$Q$4/50,0)*50</f>
        <v>4100</v>
      </c>
      <c r="AW537" s="14" t="str">
        <f>IF(AN537&gt;0,INDEX(挂机升级突破!$DT$4:$ED$4,AN537),"")</f>
        <v>蓝色基础材料</v>
      </c>
      <c r="AX537" s="14">
        <f>ROUND(INDEX(挂机升级突破!$DT$6:$ED$57,卡牌消耗!AT537,AN537)*INDEX(卡牌消耗!$B$5:$F$5,AR537)/$Q$4/5,0)*5</f>
        <v>140</v>
      </c>
      <c r="AY537" s="14" t="str">
        <f>IF(AO537&gt;0,INDEX(挂机升级突破!$DT$4:$ED$4,AO537),"")</f>
        <v/>
      </c>
      <c r="AZ537" s="14" t="str">
        <f>IF(AO537&gt;0,ROUND(INDEX(挂机升级突破!$DT$6:$ED$57,卡牌消耗!AT537,AO537)*INDEX(卡牌消耗!$B$7:$F$7,AR537)/$Q$4,0),"")</f>
        <v/>
      </c>
      <c r="BL537" s="104">
        <v>533</v>
      </c>
      <c r="BM537" s="14">
        <f t="shared" si="380"/>
        <v>27</v>
      </c>
      <c r="BN537" s="14">
        <f>INDEX(挂机升级突破!$EI$7:$EI$26,BS537)</f>
        <v>5</v>
      </c>
      <c r="BO537" s="14">
        <f>INDEX(挂机升级突破!$EJ$7:$EJ$26,BS537)</f>
        <v>3</v>
      </c>
      <c r="BP537" s="14">
        <f t="shared" si="381"/>
        <v>3</v>
      </c>
      <c r="BQ537" s="14">
        <f>INDEX(挂机升级突破!$EH$7:$EH$26,卡牌消耗!BS537)</f>
        <v>87</v>
      </c>
      <c r="BR537" s="14" t="str">
        <f t="shared" si="382"/>
        <v>燕青</v>
      </c>
      <c r="BS537" s="14">
        <f t="shared" si="383"/>
        <v>13</v>
      </c>
      <c r="BT537" s="14" t="str">
        <f t="shared" si="384"/>
        <v>燕青13突</v>
      </c>
      <c r="BU537" s="14" t="str">
        <f>IF(BN537&gt;0,INDEX(挂机升级突破!$ER$5:$EV$5,卡牌消耗!BN537),"")</f>
        <v>金币</v>
      </c>
      <c r="BV537" s="14">
        <f>IF(BN537&gt;0,ROUND(INDEX(挂机升级突破!$EV$7:$EV$26,卡牌消耗!BS537)*INDEX(卡牌消耗!$B$8:$F$8,BP537)/$Q$4/500,0)*500,"")</f>
        <v>33500</v>
      </c>
      <c r="BW537" s="14" t="str">
        <f>IF(BO537&gt;0,INDEX(挂机升级突破!$ER$5:$EV$5,卡牌消耗!BO537),"")</f>
        <v>银母</v>
      </c>
      <c r="BX537" s="14">
        <f>IF(BO537&gt;0,ROUND(INDEX(挂机升级突破!$ER$7:$EU$26,卡牌消耗!BS537,卡牌消耗!BO537)*INDEX($B$6:$F$6,BP537)/$Q$4/5,0)*5,"")</f>
        <v>40</v>
      </c>
      <c r="BY537" s="193"/>
      <c r="BZ537" s="193"/>
    </row>
    <row r="538" spans="37:78" ht="16.5" x14ac:dyDescent="0.2">
      <c r="AK538" s="104">
        <v>534</v>
      </c>
      <c r="AL538" s="14">
        <f t="shared" si="375"/>
        <v>11</v>
      </c>
      <c r="AM538" s="14">
        <f>INDEX(挂机升级突破!DQ$6:DQ$57,卡牌消耗!$AT538)</f>
        <v>11</v>
      </c>
      <c r="AN538" s="14">
        <f>INDEX(挂机升级突破!DR$6:DR$57,卡牌消耗!$AT538)</f>
        <v>3</v>
      </c>
      <c r="AO538" s="14">
        <f>INDEX(挂机升级突破!DS$6:DS$57,卡牌消耗!$AT538)</f>
        <v>0</v>
      </c>
      <c r="AP538" s="14">
        <f>INDEX(挂机升级突破!$DP$6:$DP$57,卡牌消耗!AT538)</f>
        <v>53</v>
      </c>
      <c r="AQ538" s="14" t="str">
        <f t="shared" si="376"/>
        <v>张飞</v>
      </c>
      <c r="AR538" s="14">
        <f t="shared" si="377"/>
        <v>4</v>
      </c>
      <c r="AS538" s="14" t="str">
        <f t="shared" si="378"/>
        <v>张飞魂火-14</v>
      </c>
      <c r="AT538" s="14">
        <f t="shared" si="379"/>
        <v>14</v>
      </c>
      <c r="AU538" s="14" t="str">
        <f>IF(AM538&gt;0,INDEX(挂机升级突破!$DT$4:$ED$4,AM538),"")</f>
        <v>金币</v>
      </c>
      <c r="AV538" s="14">
        <f>ROUND(INDEX(挂机升级突破!$DJ$6:$DJ$57,卡牌消耗!AT538)*INDEX(卡牌消耗!$B$8:$F$8,AR538)/$Q$4/50,0)*50</f>
        <v>4500</v>
      </c>
      <c r="AW538" s="14" t="str">
        <f>IF(AN538&gt;0,INDEX(挂机升级突破!$DT$4:$ED$4,AN538),"")</f>
        <v>紫色基础材料</v>
      </c>
      <c r="AX538" s="14">
        <f>ROUND(INDEX(挂机升级突破!$DT$6:$ED$57,卡牌消耗!AT538,AN538)*INDEX(卡牌消耗!$B$5:$F$5,AR538)/$Q$4/5,0)*5</f>
        <v>30</v>
      </c>
      <c r="AY538" s="14" t="str">
        <f>IF(AO538&gt;0,INDEX(挂机升级突破!$DT$4:$ED$4,AO538),"")</f>
        <v/>
      </c>
      <c r="AZ538" s="14" t="str">
        <f>IF(AO538&gt;0,ROUND(INDEX(挂机升级突破!$DT$6:$ED$57,卡牌消耗!AT538,AO538)*INDEX(卡牌消耗!$B$7:$F$7,AR538)/$Q$4,0),"")</f>
        <v/>
      </c>
      <c r="BL538" s="104">
        <v>534</v>
      </c>
      <c r="BM538" s="14">
        <f t="shared" si="380"/>
        <v>27</v>
      </c>
      <c r="BN538" s="14">
        <f>INDEX(挂机升级突破!$EI$7:$EI$26,BS538)</f>
        <v>5</v>
      </c>
      <c r="BO538" s="14">
        <f>INDEX(挂机升级突破!$EJ$7:$EJ$26,BS538)</f>
        <v>3</v>
      </c>
      <c r="BP538" s="14">
        <f t="shared" si="381"/>
        <v>3</v>
      </c>
      <c r="BQ538" s="14">
        <f>INDEX(挂机升级突破!$EH$7:$EH$26,卡牌消耗!BS538)</f>
        <v>95</v>
      </c>
      <c r="BR538" s="14" t="str">
        <f t="shared" si="382"/>
        <v>燕青</v>
      </c>
      <c r="BS538" s="14">
        <f t="shared" si="383"/>
        <v>14</v>
      </c>
      <c r="BT538" s="14" t="str">
        <f t="shared" si="384"/>
        <v>燕青14突</v>
      </c>
      <c r="BU538" s="14" t="str">
        <f>IF(BN538&gt;0,INDEX(挂机升级突破!$ER$5:$EV$5,卡牌消耗!BN538),"")</f>
        <v>金币</v>
      </c>
      <c r="BV538" s="14">
        <f>IF(BN538&gt;0,ROUND(INDEX(挂机升级突破!$EV$7:$EV$26,卡牌消耗!BS538)*INDEX(卡牌消耗!$B$8:$F$8,BP538)/$Q$4/500,0)*500,"")</f>
        <v>33500</v>
      </c>
      <c r="BW538" s="14" t="str">
        <f>IF(BO538&gt;0,INDEX(挂机升级突破!$ER$5:$EV$5,卡牌消耗!BO538),"")</f>
        <v>银母</v>
      </c>
      <c r="BX538" s="14">
        <f>IF(BO538&gt;0,ROUND(INDEX(挂机升级突破!$ER$7:$EU$26,卡牌消耗!BS538,卡牌消耗!BO538)*INDEX($B$6:$F$6,BP538)/$Q$4/5,0)*5,"")</f>
        <v>55</v>
      </c>
      <c r="BY538" s="193"/>
      <c r="BZ538" s="193"/>
    </row>
    <row r="539" spans="37:78" ht="16.5" x14ac:dyDescent="0.2">
      <c r="AK539" s="104">
        <v>535</v>
      </c>
      <c r="AL539" s="14">
        <f t="shared" si="375"/>
        <v>11</v>
      </c>
      <c r="AM539" s="14">
        <f>INDEX(挂机升级突破!DQ$6:DQ$57,卡牌消耗!$AT539)</f>
        <v>11</v>
      </c>
      <c r="AN539" s="14">
        <f>INDEX(挂机升级突破!DR$6:DR$57,卡牌消耗!$AT539)</f>
        <v>3</v>
      </c>
      <c r="AO539" s="14">
        <f>INDEX(挂机升级突破!DS$6:DS$57,卡牌消耗!$AT539)</f>
        <v>0</v>
      </c>
      <c r="AP539" s="14">
        <f>INDEX(挂机升级突破!$DP$6:$DP$57,卡牌消耗!AT539)</f>
        <v>55</v>
      </c>
      <c r="AQ539" s="14" t="str">
        <f t="shared" si="376"/>
        <v>张飞</v>
      </c>
      <c r="AR539" s="14">
        <f t="shared" si="377"/>
        <v>4</v>
      </c>
      <c r="AS539" s="14" t="str">
        <f t="shared" si="378"/>
        <v>张飞魂火-15</v>
      </c>
      <c r="AT539" s="14">
        <f t="shared" si="379"/>
        <v>15</v>
      </c>
      <c r="AU539" s="14" t="str">
        <f>IF(AM539&gt;0,INDEX(挂机升级突破!$DT$4:$ED$4,AM539),"")</f>
        <v>金币</v>
      </c>
      <c r="AV539" s="14">
        <f>ROUND(INDEX(挂机升级突破!$DJ$6:$DJ$57,卡牌消耗!AT539)*INDEX(卡牌消耗!$B$8:$F$8,AR539)/$Q$4/50,0)*50</f>
        <v>4900</v>
      </c>
      <c r="AW539" s="14" t="str">
        <f>IF(AN539&gt;0,INDEX(挂机升级突破!$DT$4:$ED$4,AN539),"")</f>
        <v>紫色基础材料</v>
      </c>
      <c r="AX539" s="14">
        <f>ROUND(INDEX(挂机升级突破!$DT$6:$ED$57,卡牌消耗!AT539,AN539)*INDEX(卡牌消耗!$B$5:$F$5,AR539)/$Q$4/5,0)*5</f>
        <v>30</v>
      </c>
      <c r="AY539" s="14" t="str">
        <f>IF(AO539&gt;0,INDEX(挂机升级突破!$DT$4:$ED$4,AO539),"")</f>
        <v/>
      </c>
      <c r="AZ539" s="14" t="str">
        <f>IF(AO539&gt;0,ROUND(INDEX(挂机升级突破!$DT$6:$ED$57,卡牌消耗!AT539,AO539)*INDEX(卡牌消耗!$B$7:$F$7,AR539)/$Q$4,0),"")</f>
        <v/>
      </c>
      <c r="BL539" s="104">
        <v>535</v>
      </c>
      <c r="BM539" s="14">
        <f t="shared" si="380"/>
        <v>27</v>
      </c>
      <c r="BN539" s="14">
        <f>INDEX(挂机升级突破!$EI$7:$EI$26,BS539)</f>
        <v>5</v>
      </c>
      <c r="BO539" s="14">
        <f>INDEX(挂机升级突破!$EJ$7:$EJ$26,BS539)</f>
        <v>3</v>
      </c>
      <c r="BP539" s="14">
        <f t="shared" si="381"/>
        <v>3</v>
      </c>
      <c r="BQ539" s="14">
        <f>INDEX(挂机升级突破!$EH$7:$EH$26,卡牌消耗!BS539)</f>
        <v>102</v>
      </c>
      <c r="BR539" s="14" t="str">
        <f t="shared" si="382"/>
        <v>燕青</v>
      </c>
      <c r="BS539" s="14">
        <f t="shared" si="383"/>
        <v>15</v>
      </c>
      <c r="BT539" s="14" t="str">
        <f t="shared" si="384"/>
        <v>燕青15突</v>
      </c>
      <c r="BU539" s="14" t="str">
        <f>IF(BN539&gt;0,INDEX(挂机升级突破!$ER$5:$EV$5,卡牌消耗!BN539),"")</f>
        <v>金币</v>
      </c>
      <c r="BV539" s="14">
        <f>IF(BN539&gt;0,ROUND(INDEX(挂机升级突破!$EV$7:$EV$26,卡牌消耗!BS539)*INDEX(卡牌消耗!$B$8:$F$8,BP539)/$Q$4/500,0)*500,"")</f>
        <v>44500</v>
      </c>
      <c r="BW539" s="14" t="str">
        <f>IF(BO539&gt;0,INDEX(挂机升级突破!$ER$5:$EV$5,卡牌消耗!BO539),"")</f>
        <v>银母</v>
      </c>
      <c r="BX539" s="14">
        <f>IF(BO539&gt;0,ROUND(INDEX(挂机升级突破!$ER$7:$EU$26,卡牌消耗!BS539,卡牌消耗!BO539)*INDEX($B$6:$F$6,BP539)/$Q$4/5,0)*5,"")</f>
        <v>70</v>
      </c>
      <c r="BY539" s="193"/>
      <c r="BZ539" s="193"/>
    </row>
    <row r="540" spans="37:78" ht="16.5" x14ac:dyDescent="0.2">
      <c r="AK540" s="104">
        <v>536</v>
      </c>
      <c r="AL540" s="14">
        <f t="shared" si="375"/>
        <v>11</v>
      </c>
      <c r="AM540" s="14">
        <f>INDEX(挂机升级突破!DQ$6:DQ$57,卡牌消耗!$AT540)</f>
        <v>11</v>
      </c>
      <c r="AN540" s="14">
        <f>INDEX(挂机升级突破!DR$6:DR$57,卡牌消耗!$AT540)</f>
        <v>3</v>
      </c>
      <c r="AO540" s="14">
        <f>INDEX(挂机升级突破!DS$6:DS$57,卡牌消耗!$AT540)</f>
        <v>0</v>
      </c>
      <c r="AP540" s="14">
        <f>INDEX(挂机升级突破!$DP$6:$DP$57,卡牌消耗!AT540)</f>
        <v>58</v>
      </c>
      <c r="AQ540" s="14" t="str">
        <f t="shared" si="376"/>
        <v>张飞</v>
      </c>
      <c r="AR540" s="14">
        <f t="shared" si="377"/>
        <v>4</v>
      </c>
      <c r="AS540" s="14" t="str">
        <f t="shared" si="378"/>
        <v>张飞魂火-16</v>
      </c>
      <c r="AT540" s="14">
        <f t="shared" si="379"/>
        <v>16</v>
      </c>
      <c r="AU540" s="14" t="str">
        <f>IF(AM540&gt;0,INDEX(挂机升级突破!$DT$4:$ED$4,AM540),"")</f>
        <v>金币</v>
      </c>
      <c r="AV540" s="14">
        <f>ROUND(INDEX(挂机升级突破!$DJ$6:$DJ$57,卡牌消耗!AT540)*INDEX(卡牌消耗!$B$8:$F$8,AR540)/$Q$4/50,0)*50</f>
        <v>4900</v>
      </c>
      <c r="AW540" s="14" t="str">
        <f>IF(AN540&gt;0,INDEX(挂机升级突破!$DT$4:$ED$4,AN540),"")</f>
        <v>紫色基础材料</v>
      </c>
      <c r="AX540" s="14">
        <f>ROUND(INDEX(挂机升级突破!$DT$6:$ED$57,卡牌消耗!AT540,AN540)*INDEX(卡牌消耗!$B$5:$F$5,AR540)/$Q$4/5,0)*5</f>
        <v>30</v>
      </c>
      <c r="AY540" s="14" t="str">
        <f>IF(AO540&gt;0,INDEX(挂机升级突破!$DT$4:$ED$4,AO540),"")</f>
        <v/>
      </c>
      <c r="AZ540" s="14" t="str">
        <f>IF(AO540&gt;0,ROUND(INDEX(挂机升级突破!$DT$6:$ED$57,卡牌消耗!AT540,AO540)*INDEX(卡牌消耗!$B$7:$F$7,AR540)/$Q$4,0),"")</f>
        <v/>
      </c>
      <c r="BL540" s="104">
        <v>536</v>
      </c>
      <c r="BM540" s="14">
        <f t="shared" si="380"/>
        <v>27</v>
      </c>
      <c r="BN540" s="14">
        <f>INDEX(挂机升级突破!$EI$7:$EI$26,BS540)</f>
        <v>5</v>
      </c>
      <c r="BO540" s="14">
        <f>INDEX(挂机升级突破!$EJ$7:$EJ$26,BS540)</f>
        <v>3</v>
      </c>
      <c r="BP540" s="14">
        <f t="shared" si="381"/>
        <v>3</v>
      </c>
      <c r="BQ540" s="14">
        <f>INDEX(挂机升级突破!$EH$7:$EH$26,卡牌消耗!BS540)</f>
        <v>110</v>
      </c>
      <c r="BR540" s="14" t="str">
        <f t="shared" si="382"/>
        <v>燕青</v>
      </c>
      <c r="BS540" s="14">
        <f t="shared" si="383"/>
        <v>16</v>
      </c>
      <c r="BT540" s="14" t="str">
        <f t="shared" si="384"/>
        <v>燕青16突</v>
      </c>
      <c r="BU540" s="14" t="str">
        <f>IF(BN540&gt;0,INDEX(挂机升级突破!$ER$5:$EV$5,卡牌消耗!BN540),"")</f>
        <v>金币</v>
      </c>
      <c r="BV540" s="14">
        <f>IF(BN540&gt;0,ROUND(INDEX(挂机升级突破!$EV$7:$EV$26,卡牌消耗!BS540)*INDEX(卡牌消耗!$B$8:$F$8,BP540)/$Q$4/500,0)*500,"")</f>
        <v>80500</v>
      </c>
      <c r="BW540" s="14" t="str">
        <f>IF(BO540&gt;0,INDEX(挂机升级突破!$ER$5:$EV$5,卡牌消耗!BO540),"")</f>
        <v>银母</v>
      </c>
      <c r="BX540" s="14">
        <f>IF(BO540&gt;0,ROUND(INDEX(挂机升级突破!$ER$7:$EU$26,卡牌消耗!BS540,卡牌消耗!BO540)*INDEX($B$6:$F$6,BP540)/$Q$4/5,0)*5,"")</f>
        <v>90</v>
      </c>
      <c r="BY540" s="193"/>
      <c r="BZ540" s="193"/>
    </row>
    <row r="541" spans="37:78" ht="16.5" x14ac:dyDescent="0.2">
      <c r="AK541" s="104">
        <v>537</v>
      </c>
      <c r="AL541" s="14">
        <f t="shared" si="375"/>
        <v>11</v>
      </c>
      <c r="AM541" s="14">
        <f>INDEX(挂机升级突破!DQ$6:DQ$57,卡牌消耗!$AT541)</f>
        <v>11</v>
      </c>
      <c r="AN541" s="14">
        <f>INDEX(挂机升级突破!DR$6:DR$57,卡牌消耗!$AT541)</f>
        <v>3</v>
      </c>
      <c r="AO541" s="14">
        <f>INDEX(挂机升级突破!DS$6:DS$57,卡牌消耗!$AT541)</f>
        <v>0</v>
      </c>
      <c r="AP541" s="14">
        <f>INDEX(挂机升级突破!$DP$6:$DP$57,卡牌消耗!AT541)</f>
        <v>60</v>
      </c>
      <c r="AQ541" s="14" t="str">
        <f t="shared" si="376"/>
        <v>张飞</v>
      </c>
      <c r="AR541" s="14">
        <f t="shared" si="377"/>
        <v>4</v>
      </c>
      <c r="AS541" s="14" t="str">
        <f t="shared" si="378"/>
        <v>张飞魂火-17</v>
      </c>
      <c r="AT541" s="14">
        <f t="shared" si="379"/>
        <v>17</v>
      </c>
      <c r="AU541" s="14" t="str">
        <f>IF(AM541&gt;0,INDEX(挂机升级突破!$DT$4:$ED$4,AM541),"")</f>
        <v>金币</v>
      </c>
      <c r="AV541" s="14">
        <f>ROUND(INDEX(挂机升级突破!$DJ$6:$DJ$57,卡牌消耗!AT541)*INDEX(卡牌消耗!$B$8:$F$8,AR541)/$Q$4/50,0)*50</f>
        <v>6150</v>
      </c>
      <c r="AW541" s="14" t="str">
        <f>IF(AN541&gt;0,INDEX(挂机升级突破!$DT$4:$ED$4,AN541),"")</f>
        <v>紫色基础材料</v>
      </c>
      <c r="AX541" s="14">
        <f>ROUND(INDEX(挂机升级突破!$DT$6:$ED$57,卡牌消耗!AT541,AN541)*INDEX(卡牌消耗!$B$5:$F$5,AR541)/$Q$4/5,0)*5</f>
        <v>55</v>
      </c>
      <c r="AY541" s="14" t="str">
        <f>IF(AO541&gt;0,INDEX(挂机升级突破!$DT$4:$ED$4,AO541),"")</f>
        <v/>
      </c>
      <c r="AZ541" s="14" t="str">
        <f>IF(AO541&gt;0,ROUND(INDEX(挂机升级突破!$DT$6:$ED$57,卡牌消耗!AT541,AO541)*INDEX(卡牌消耗!$B$7:$F$7,AR541)/$Q$4,0),"")</f>
        <v/>
      </c>
      <c r="BL541" s="104">
        <v>537</v>
      </c>
      <c r="BM541" s="14">
        <f t="shared" si="380"/>
        <v>27</v>
      </c>
      <c r="BN541" s="14">
        <f>INDEX(挂机升级突破!$EI$7:$EI$26,BS541)</f>
        <v>5</v>
      </c>
      <c r="BO541" s="14">
        <f>INDEX(挂机升级突破!$EJ$7:$EJ$26,BS541)</f>
        <v>4</v>
      </c>
      <c r="BP541" s="14">
        <f t="shared" si="381"/>
        <v>3</v>
      </c>
      <c r="BQ541" s="14">
        <f>INDEX(挂机升级突破!$EH$7:$EH$26,卡牌消耗!BS541)</f>
        <v>117</v>
      </c>
      <c r="BR541" s="14" t="str">
        <f t="shared" si="382"/>
        <v>燕青</v>
      </c>
      <c r="BS541" s="14">
        <f t="shared" si="383"/>
        <v>17</v>
      </c>
      <c r="BT541" s="14" t="str">
        <f t="shared" si="384"/>
        <v>燕青17突</v>
      </c>
      <c r="BU541" s="14" t="str">
        <f>IF(BN541&gt;0,INDEX(挂机升级突破!$ER$5:$EV$5,卡牌消耗!BN541),"")</f>
        <v>金币</v>
      </c>
      <c r="BV541" s="14">
        <f>IF(BN541&gt;0,ROUND(INDEX(挂机升级突破!$EV$7:$EV$26,卡牌消耗!BS541)*INDEX(卡牌消耗!$B$8:$F$8,BP541)/$Q$4/500,0)*500,"")</f>
        <v>80500</v>
      </c>
      <c r="BW541" s="14" t="str">
        <f>IF(BO541&gt;0,INDEX(挂机升级突破!$ER$5:$EV$5,卡牌消耗!BO541),"")</f>
        <v>铀金</v>
      </c>
      <c r="BX541" s="14">
        <f>IF(BO541&gt;0,ROUND(INDEX(挂机升级突破!$ER$7:$EU$26,卡牌消耗!BS541,卡牌消耗!BO541)*INDEX($B$6:$F$6,BP541)/$Q$4/5,0)*5,"")</f>
        <v>20</v>
      </c>
      <c r="BY541" s="193"/>
      <c r="BZ541" s="193"/>
    </row>
    <row r="542" spans="37:78" ht="16.5" x14ac:dyDescent="0.2">
      <c r="AK542" s="104">
        <v>538</v>
      </c>
      <c r="AL542" s="14">
        <f t="shared" si="375"/>
        <v>11</v>
      </c>
      <c r="AM542" s="14">
        <f>INDEX(挂机升级突破!DQ$6:DQ$57,卡牌消耗!$AT542)</f>
        <v>11</v>
      </c>
      <c r="AN542" s="14">
        <f>INDEX(挂机升级突破!DR$6:DR$57,卡牌消耗!$AT542)</f>
        <v>3</v>
      </c>
      <c r="AO542" s="14">
        <f>INDEX(挂机升级突破!DS$6:DS$57,卡牌消耗!$AT542)</f>
        <v>0</v>
      </c>
      <c r="AP542" s="14">
        <f>INDEX(挂机升级突破!$DP$6:$DP$57,卡牌消耗!AT542)</f>
        <v>63</v>
      </c>
      <c r="AQ542" s="14" t="str">
        <f t="shared" si="376"/>
        <v>张飞</v>
      </c>
      <c r="AR542" s="14">
        <f t="shared" si="377"/>
        <v>4</v>
      </c>
      <c r="AS542" s="14" t="str">
        <f t="shared" si="378"/>
        <v>张飞魂火-18</v>
      </c>
      <c r="AT542" s="14">
        <f t="shared" si="379"/>
        <v>18</v>
      </c>
      <c r="AU542" s="14" t="str">
        <f>IF(AM542&gt;0,INDEX(挂机升级突破!$DT$4:$ED$4,AM542),"")</f>
        <v>金币</v>
      </c>
      <c r="AV542" s="14">
        <f>ROUND(INDEX(挂机升级突破!$DJ$6:$DJ$57,卡牌消耗!AT542)*INDEX(卡牌消耗!$B$8:$F$8,AR542)/$Q$4/50,0)*50</f>
        <v>6150</v>
      </c>
      <c r="AW542" s="14" t="str">
        <f>IF(AN542&gt;0,INDEX(挂机升级突破!$DT$4:$ED$4,AN542),"")</f>
        <v>紫色基础材料</v>
      </c>
      <c r="AX542" s="14">
        <f>ROUND(INDEX(挂机升级突破!$DT$6:$ED$57,卡牌消耗!AT542,AN542)*INDEX(卡牌消耗!$B$5:$F$5,AR542)/$Q$4/5,0)*5</f>
        <v>55</v>
      </c>
      <c r="AY542" s="14" t="str">
        <f>IF(AO542&gt;0,INDEX(挂机升级突破!$DT$4:$ED$4,AO542),"")</f>
        <v/>
      </c>
      <c r="AZ542" s="14" t="str">
        <f>IF(AO542&gt;0,ROUND(INDEX(挂机升级突破!$DT$6:$ED$57,卡牌消耗!AT542,AO542)*INDEX(卡牌消耗!$B$7:$F$7,AR542)/$Q$4,0),"")</f>
        <v/>
      </c>
      <c r="BL542" s="104">
        <v>538</v>
      </c>
      <c r="BM542" s="14">
        <f t="shared" si="380"/>
        <v>27</v>
      </c>
      <c r="BN542" s="14">
        <f>INDEX(挂机升级突破!$EI$7:$EI$26,BS542)</f>
        <v>5</v>
      </c>
      <c r="BO542" s="14">
        <f>INDEX(挂机升级突破!$EJ$7:$EJ$26,BS542)</f>
        <v>4</v>
      </c>
      <c r="BP542" s="14">
        <f t="shared" si="381"/>
        <v>3</v>
      </c>
      <c r="BQ542" s="14">
        <f>INDEX(挂机升级突破!$EH$7:$EH$26,卡牌消耗!BS542)</f>
        <v>125</v>
      </c>
      <c r="BR542" s="14" t="str">
        <f t="shared" si="382"/>
        <v>燕青</v>
      </c>
      <c r="BS542" s="14">
        <f t="shared" si="383"/>
        <v>18</v>
      </c>
      <c r="BT542" s="14" t="str">
        <f t="shared" si="384"/>
        <v>燕青18突</v>
      </c>
      <c r="BU542" s="14" t="str">
        <f>IF(BN542&gt;0,INDEX(挂机升级突破!$ER$5:$EV$5,卡牌消耗!BN542),"")</f>
        <v>金币</v>
      </c>
      <c r="BV542" s="14">
        <f>IF(BN542&gt;0,ROUND(INDEX(挂机升级突破!$EV$7:$EV$26,卡牌消耗!BS542)*INDEX(卡牌消耗!$B$8:$F$8,BP542)/$Q$4/500,0)*500,"")</f>
        <v>107500</v>
      </c>
      <c r="BW542" s="14" t="str">
        <f>IF(BO542&gt;0,INDEX(挂机升级突破!$ER$5:$EV$5,卡牌消耗!BO542),"")</f>
        <v>铀金</v>
      </c>
      <c r="BX542" s="14">
        <f>IF(BO542&gt;0,ROUND(INDEX(挂机升级突破!$ER$7:$EU$26,卡牌消耗!BS542,卡牌消耗!BO542)*INDEX($B$6:$F$6,BP542)/$Q$4/5,0)*5,"")</f>
        <v>25</v>
      </c>
      <c r="BY542" s="193"/>
      <c r="BZ542" s="193"/>
    </row>
    <row r="543" spans="37:78" ht="16.5" x14ac:dyDescent="0.2">
      <c r="AK543" s="104">
        <v>539</v>
      </c>
      <c r="AL543" s="14">
        <f t="shared" si="375"/>
        <v>11</v>
      </c>
      <c r="AM543" s="14">
        <f>INDEX(挂机升级突破!DQ$6:DQ$57,卡牌消耗!$AT543)</f>
        <v>11</v>
      </c>
      <c r="AN543" s="14">
        <f>INDEX(挂机升级突破!DR$6:DR$57,卡牌消耗!$AT543)</f>
        <v>3</v>
      </c>
      <c r="AO543" s="14">
        <f>INDEX(挂机升级突破!DS$6:DS$57,卡牌消耗!$AT543)</f>
        <v>0</v>
      </c>
      <c r="AP543" s="14">
        <f>INDEX(挂机升级突破!$DP$6:$DP$57,卡牌消耗!AT543)</f>
        <v>65</v>
      </c>
      <c r="AQ543" s="14" t="str">
        <f t="shared" si="376"/>
        <v>张飞</v>
      </c>
      <c r="AR543" s="14">
        <f t="shared" si="377"/>
        <v>4</v>
      </c>
      <c r="AS543" s="14" t="str">
        <f t="shared" si="378"/>
        <v>张飞魂火-19</v>
      </c>
      <c r="AT543" s="14">
        <f t="shared" si="379"/>
        <v>19</v>
      </c>
      <c r="AU543" s="14" t="str">
        <f>IF(AM543&gt;0,INDEX(挂机升级突破!$DT$4:$ED$4,AM543),"")</f>
        <v>金币</v>
      </c>
      <c r="AV543" s="14">
        <f>ROUND(INDEX(挂机升级突破!$DJ$6:$DJ$57,卡牌消耗!AT543)*INDEX(卡牌消耗!$B$8:$F$8,AR543)/$Q$4/50,0)*50</f>
        <v>6150</v>
      </c>
      <c r="AW543" s="14" t="str">
        <f>IF(AN543&gt;0,INDEX(挂机升级突破!$DT$4:$ED$4,AN543),"")</f>
        <v>紫色基础材料</v>
      </c>
      <c r="AX543" s="14">
        <f>ROUND(INDEX(挂机升级突破!$DT$6:$ED$57,卡牌消耗!AT543,AN543)*INDEX(卡牌消耗!$B$5:$F$5,AR543)/$Q$4/5,0)*5</f>
        <v>55</v>
      </c>
      <c r="AY543" s="14" t="str">
        <f>IF(AO543&gt;0,INDEX(挂机升级突破!$DT$4:$ED$4,AO543),"")</f>
        <v/>
      </c>
      <c r="AZ543" s="14" t="str">
        <f>IF(AO543&gt;0,ROUND(INDEX(挂机升级突破!$DT$6:$ED$57,卡牌消耗!AT543,AO543)*INDEX(卡牌消耗!$B$7:$F$7,AR543)/$Q$4,0),"")</f>
        <v/>
      </c>
      <c r="BL543" s="104">
        <v>539</v>
      </c>
      <c r="BM543" s="14">
        <f t="shared" si="380"/>
        <v>27</v>
      </c>
      <c r="BN543" s="14">
        <f>INDEX(挂机升级突破!$EI$7:$EI$26,BS543)</f>
        <v>5</v>
      </c>
      <c r="BO543" s="14">
        <f>INDEX(挂机升级突破!$EJ$7:$EJ$26,BS543)</f>
        <v>4</v>
      </c>
      <c r="BP543" s="14">
        <f t="shared" si="381"/>
        <v>3</v>
      </c>
      <c r="BQ543" s="14">
        <f>INDEX(挂机升级突破!$EH$7:$EH$26,卡牌消耗!BS543)</f>
        <v>132</v>
      </c>
      <c r="BR543" s="14" t="str">
        <f t="shared" si="382"/>
        <v>燕青</v>
      </c>
      <c r="BS543" s="14">
        <f t="shared" si="383"/>
        <v>19</v>
      </c>
      <c r="BT543" s="14" t="str">
        <f t="shared" si="384"/>
        <v>燕青19突</v>
      </c>
      <c r="BU543" s="14" t="str">
        <f>IF(BN543&gt;0,INDEX(挂机升级突破!$ER$5:$EV$5,卡牌消耗!BN543),"")</f>
        <v>金币</v>
      </c>
      <c r="BV543" s="14">
        <f>IF(BN543&gt;0,ROUND(INDEX(挂机升级突破!$EV$7:$EV$26,卡牌消耗!BS543)*INDEX(卡牌消耗!$B$8:$F$8,BP543)/$Q$4/500,0)*500,"")</f>
        <v>273500</v>
      </c>
      <c r="BW543" s="14" t="str">
        <f>IF(BO543&gt;0,INDEX(挂机升级突破!$ER$5:$EV$5,卡牌消耗!BO543),"")</f>
        <v>铀金</v>
      </c>
      <c r="BX543" s="14">
        <f>IF(BO543&gt;0,ROUND(INDEX(挂机升级突破!$ER$7:$EU$26,卡牌消耗!BS543,卡牌消耗!BO543)*INDEX($B$6:$F$6,BP543)/$Q$4/5,0)*5,"")</f>
        <v>35</v>
      </c>
      <c r="BY543" s="193"/>
      <c r="BZ543" s="193"/>
    </row>
    <row r="544" spans="37:78" ht="16.5" x14ac:dyDescent="0.2">
      <c r="AK544" s="104">
        <v>540</v>
      </c>
      <c r="AL544" s="14">
        <f t="shared" si="375"/>
        <v>11</v>
      </c>
      <c r="AM544" s="14">
        <f>INDEX(挂机升级突破!DQ$6:DQ$57,卡牌消耗!$AT544)</f>
        <v>11</v>
      </c>
      <c r="AN544" s="14">
        <f>INDEX(挂机升级突破!DR$6:DR$57,卡牌消耗!$AT544)</f>
        <v>3</v>
      </c>
      <c r="AO544" s="14">
        <f>INDEX(挂机升级突破!DS$6:DS$57,卡牌消耗!$AT544)</f>
        <v>0</v>
      </c>
      <c r="AP544" s="14">
        <f>INDEX(挂机升级突破!$DP$6:$DP$57,卡牌消耗!AT544)</f>
        <v>68</v>
      </c>
      <c r="AQ544" s="14" t="str">
        <f t="shared" si="376"/>
        <v>张飞</v>
      </c>
      <c r="AR544" s="14">
        <f t="shared" si="377"/>
        <v>4</v>
      </c>
      <c r="AS544" s="14" t="str">
        <f t="shared" si="378"/>
        <v>张飞魂火-20</v>
      </c>
      <c r="AT544" s="14">
        <f t="shared" si="379"/>
        <v>20</v>
      </c>
      <c r="AU544" s="14" t="str">
        <f>IF(AM544&gt;0,INDEX(挂机升级突破!$DT$4:$ED$4,AM544),"")</f>
        <v>金币</v>
      </c>
      <c r="AV544" s="14">
        <f>ROUND(INDEX(挂机升级突破!$DJ$6:$DJ$57,卡牌消耗!AT544)*INDEX(卡牌消耗!$B$8:$F$8,AR544)/$Q$4/50,0)*50</f>
        <v>7550</v>
      </c>
      <c r="AW544" s="14" t="str">
        <f>IF(AN544&gt;0,INDEX(挂机升级突破!$DT$4:$ED$4,AN544),"")</f>
        <v>紫色基础材料</v>
      </c>
      <c r="AX544" s="14">
        <f>ROUND(INDEX(挂机升级突破!$DT$6:$ED$57,卡牌消耗!AT544,AN544)*INDEX(卡牌消耗!$B$5:$F$5,AR544)/$Q$4/5,0)*5</f>
        <v>85</v>
      </c>
      <c r="AY544" s="14" t="str">
        <f>IF(AO544&gt;0,INDEX(挂机升级突破!$DT$4:$ED$4,AO544),"")</f>
        <v/>
      </c>
      <c r="AZ544" s="14" t="str">
        <f>IF(AO544&gt;0,ROUND(INDEX(挂机升级突破!$DT$6:$ED$57,卡牌消耗!AT544,AO544)*INDEX(卡牌消耗!$B$7:$F$7,AR544)/$Q$4,0),"")</f>
        <v/>
      </c>
      <c r="BL544" s="104">
        <v>540</v>
      </c>
      <c r="BM544" s="14">
        <f t="shared" si="380"/>
        <v>27</v>
      </c>
      <c r="BN544" s="14">
        <f>INDEX(挂机升级突破!$EI$7:$EI$26,BS544)</f>
        <v>5</v>
      </c>
      <c r="BO544" s="14">
        <f>INDEX(挂机升级突破!$EJ$7:$EJ$26,BS544)</f>
        <v>4</v>
      </c>
      <c r="BP544" s="14">
        <f t="shared" si="381"/>
        <v>3</v>
      </c>
      <c r="BQ544" s="14">
        <f>INDEX(挂机升级突破!$EH$7:$EH$26,卡牌消耗!BS544)</f>
        <v>140</v>
      </c>
      <c r="BR544" s="14" t="str">
        <f t="shared" si="382"/>
        <v>燕青</v>
      </c>
      <c r="BS544" s="14">
        <f t="shared" si="383"/>
        <v>20</v>
      </c>
      <c r="BT544" s="14" t="str">
        <f t="shared" si="384"/>
        <v>燕青20突</v>
      </c>
      <c r="BU544" s="14" t="str">
        <f>IF(BN544&gt;0,INDEX(挂机升级突破!$ER$5:$EV$5,卡牌消耗!BN544),"")</f>
        <v>金币</v>
      </c>
      <c r="BV544" s="14">
        <f>IF(BN544&gt;0,ROUND(INDEX(挂机升级突破!$EV$7:$EV$26,卡牌消耗!BS544)*INDEX(卡牌消耗!$B$8:$F$8,BP544)/$Q$4/500,0)*500,"")</f>
        <v>410500</v>
      </c>
      <c r="BW544" s="14" t="str">
        <f>IF(BO544&gt;0,INDEX(挂机升级突破!$ER$5:$EV$5,卡牌消耗!BO544),"")</f>
        <v>铀金</v>
      </c>
      <c r="BX544" s="14">
        <f>IF(BO544&gt;0,ROUND(INDEX(挂机升级突破!$ER$7:$EU$26,卡牌消耗!BS544,卡牌消耗!BO544)*INDEX($B$6:$F$6,BP544)/$Q$4/5,0)*5,"")</f>
        <v>40</v>
      </c>
      <c r="BY544" s="193"/>
      <c r="BZ544" s="193"/>
    </row>
    <row r="545" spans="37:78" ht="16.5" x14ac:dyDescent="0.2">
      <c r="AK545" s="104">
        <v>541</v>
      </c>
      <c r="AL545" s="14">
        <f t="shared" si="375"/>
        <v>11</v>
      </c>
      <c r="AM545" s="14">
        <f>INDEX(挂机升级突破!DQ$6:DQ$57,卡牌消耗!$AT545)</f>
        <v>11</v>
      </c>
      <c r="AN545" s="14">
        <f>INDEX(挂机升级突破!DR$6:DR$57,卡牌消耗!$AT545)</f>
        <v>3</v>
      </c>
      <c r="AO545" s="14">
        <f>INDEX(挂机升级突破!DS$6:DS$57,卡牌消耗!$AT545)</f>
        <v>0</v>
      </c>
      <c r="AP545" s="14">
        <f>INDEX(挂机升级突破!$DP$6:$DP$57,卡牌消耗!AT545)</f>
        <v>70</v>
      </c>
      <c r="AQ545" s="14" t="str">
        <f t="shared" si="376"/>
        <v>张飞</v>
      </c>
      <c r="AR545" s="14">
        <f t="shared" si="377"/>
        <v>4</v>
      </c>
      <c r="AS545" s="14" t="str">
        <f t="shared" si="378"/>
        <v>张飞魂火-21</v>
      </c>
      <c r="AT545" s="14">
        <f t="shared" si="379"/>
        <v>21</v>
      </c>
      <c r="AU545" s="14" t="str">
        <f>IF(AM545&gt;0,INDEX(挂机升级突破!$DT$4:$ED$4,AM545),"")</f>
        <v>金币</v>
      </c>
      <c r="AV545" s="14">
        <f>ROUND(INDEX(挂机升级突破!$DJ$6:$DJ$57,卡牌消耗!AT545)*INDEX(卡牌消耗!$B$8:$F$8,AR545)/$Q$4/50,0)*50</f>
        <v>7550</v>
      </c>
      <c r="AW545" s="14" t="str">
        <f>IF(AN545&gt;0,INDEX(挂机升级突破!$DT$4:$ED$4,AN545),"")</f>
        <v>紫色基础材料</v>
      </c>
      <c r="AX545" s="14">
        <f>ROUND(INDEX(挂机升级突破!$DT$6:$ED$57,卡牌消耗!AT545,AN545)*INDEX(卡牌消耗!$B$5:$F$5,AR545)/$Q$4/5,0)*5</f>
        <v>85</v>
      </c>
      <c r="AY545" s="14" t="str">
        <f>IF(AO545&gt;0,INDEX(挂机升级突破!$DT$4:$ED$4,AO545),"")</f>
        <v/>
      </c>
      <c r="AZ545" s="14" t="str">
        <f>IF(AO545&gt;0,ROUND(INDEX(挂机升级突破!$DT$6:$ED$57,卡牌消耗!AT545,AO545)*INDEX(卡牌消耗!$B$7:$F$7,AR545)/$Q$4,0),"")</f>
        <v/>
      </c>
      <c r="BL545" s="104">
        <v>541</v>
      </c>
      <c r="BM545" s="14">
        <f t="shared" si="380"/>
        <v>28</v>
      </c>
      <c r="BN545" s="14">
        <f>INDEX(挂机升级突破!$EI$7:$EI$26,BS545)</f>
        <v>0</v>
      </c>
      <c r="BO545" s="14">
        <f>INDEX(挂机升级突破!$EJ$7:$EJ$26,BS545)</f>
        <v>0</v>
      </c>
      <c r="BP545" s="14">
        <f t="shared" si="381"/>
        <v>4</v>
      </c>
      <c r="BQ545" s="14">
        <f>INDEX(挂机升级突破!$EH$7:$EH$26,卡牌消耗!BS545)</f>
        <v>1</v>
      </c>
      <c r="BR545" s="14" t="str">
        <f t="shared" si="382"/>
        <v>秦琼</v>
      </c>
      <c r="BS545" s="14">
        <f t="shared" si="383"/>
        <v>1</v>
      </c>
      <c r="BT545" s="14" t="str">
        <f t="shared" si="384"/>
        <v>秦琼1突</v>
      </c>
      <c r="BU545" s="14" t="str">
        <f>IF(BN545&gt;0,INDEX(挂机升级突破!$ER$5:$EV$5,卡牌消耗!BN545),"")</f>
        <v/>
      </c>
      <c r="BV545" s="14" t="str">
        <f>IF(BN545&gt;0,ROUND(INDEX(挂机升级突破!$EV$7:$EV$26,卡牌消耗!BS545)*INDEX(卡牌消耗!$B$8:$F$8,BP545)/$Q$4/500,0)*500,"")</f>
        <v/>
      </c>
      <c r="BW545" s="14" t="str">
        <f>IF(BO545&gt;0,INDEX(挂机升级突破!$ER$5:$EV$5,卡牌消耗!BO545),"")</f>
        <v/>
      </c>
      <c r="BX545" s="14" t="str">
        <f>IF(BO545&gt;0,ROUND(INDEX(挂机升级突破!$ER$7:$EU$26,卡牌消耗!BS545,卡牌消耗!BO545)*INDEX($B$6:$F$6,BP545)/$Q$4/5,0)*5,"")</f>
        <v/>
      </c>
      <c r="BY545" s="193"/>
      <c r="BZ545" s="193"/>
    </row>
    <row r="546" spans="37:78" ht="16.5" x14ac:dyDescent="0.2">
      <c r="AK546" s="104">
        <v>542</v>
      </c>
      <c r="AL546" s="14">
        <f t="shared" si="375"/>
        <v>11</v>
      </c>
      <c r="AM546" s="14">
        <f>INDEX(挂机升级突破!DQ$6:DQ$57,卡牌消耗!$AT546)</f>
        <v>11</v>
      </c>
      <c r="AN546" s="14">
        <f>INDEX(挂机升级突破!DR$6:DR$57,卡牌消耗!$AT546)</f>
        <v>3</v>
      </c>
      <c r="AO546" s="14">
        <f>INDEX(挂机升级突破!DS$6:DS$57,卡牌消耗!$AT546)</f>
        <v>0</v>
      </c>
      <c r="AP546" s="14">
        <f>INDEX(挂机升级突破!$DP$6:$DP$57,卡牌消耗!AT546)</f>
        <v>73</v>
      </c>
      <c r="AQ546" s="14" t="str">
        <f t="shared" si="376"/>
        <v>张飞</v>
      </c>
      <c r="AR546" s="14">
        <f t="shared" si="377"/>
        <v>4</v>
      </c>
      <c r="AS546" s="14" t="str">
        <f t="shared" si="378"/>
        <v>张飞魂火-22</v>
      </c>
      <c r="AT546" s="14">
        <f t="shared" si="379"/>
        <v>22</v>
      </c>
      <c r="AU546" s="14" t="str">
        <f>IF(AM546&gt;0,INDEX(挂机升级突破!$DT$4:$ED$4,AM546),"")</f>
        <v>金币</v>
      </c>
      <c r="AV546" s="14">
        <f>ROUND(INDEX(挂机升级突破!$DJ$6:$DJ$57,卡牌消耗!AT546)*INDEX(卡牌消耗!$B$8:$F$8,AR546)/$Q$4/50,0)*50</f>
        <v>7550</v>
      </c>
      <c r="AW546" s="14" t="str">
        <f>IF(AN546&gt;0,INDEX(挂机升级突破!$DT$4:$ED$4,AN546),"")</f>
        <v>紫色基础材料</v>
      </c>
      <c r="AX546" s="14">
        <f>ROUND(INDEX(挂机升级突破!$DT$6:$ED$57,卡牌消耗!AT546,AN546)*INDEX(卡牌消耗!$B$5:$F$5,AR546)/$Q$4/5,0)*5</f>
        <v>85</v>
      </c>
      <c r="AY546" s="14" t="str">
        <f>IF(AO546&gt;0,INDEX(挂机升级突破!$DT$4:$ED$4,AO546),"")</f>
        <v/>
      </c>
      <c r="AZ546" s="14" t="str">
        <f>IF(AO546&gt;0,ROUND(INDEX(挂机升级突破!$DT$6:$ED$57,卡牌消耗!AT546,AO546)*INDEX(卡牌消耗!$B$7:$F$7,AR546)/$Q$4,0),"")</f>
        <v/>
      </c>
      <c r="BL546" s="104">
        <v>542</v>
      </c>
      <c r="BM546" s="14">
        <f t="shared" si="380"/>
        <v>28</v>
      </c>
      <c r="BN546" s="14">
        <f>INDEX(挂机升级突破!$EI$7:$EI$26,BS546)</f>
        <v>5</v>
      </c>
      <c r="BO546" s="14">
        <f>INDEX(挂机升级突破!$EJ$7:$EJ$26,BS546)</f>
        <v>1</v>
      </c>
      <c r="BP546" s="14">
        <f t="shared" si="381"/>
        <v>4</v>
      </c>
      <c r="BQ546" s="14">
        <f>INDEX(挂机升级突破!$EH$7:$EH$26,卡牌消耗!BS546)</f>
        <v>5</v>
      </c>
      <c r="BR546" s="14" t="str">
        <f t="shared" si="382"/>
        <v>秦琼</v>
      </c>
      <c r="BS546" s="14">
        <f t="shared" si="383"/>
        <v>2</v>
      </c>
      <c r="BT546" s="14" t="str">
        <f t="shared" si="384"/>
        <v>秦琼2突</v>
      </c>
      <c r="BU546" s="14" t="str">
        <f>IF(BN546&gt;0,INDEX(挂机升级突破!$ER$5:$EV$5,卡牌消耗!BN546),"")</f>
        <v>金币</v>
      </c>
      <c r="BV546" s="14">
        <f>IF(BN546&gt;0,ROUND(INDEX(挂机升级突破!$EV$7:$EV$26,卡牌消耗!BS546)*INDEX(卡牌消耗!$B$8:$F$8,BP546)/$Q$4/500,0)*500,"")</f>
        <v>4500</v>
      </c>
      <c r="BW546" s="14" t="str">
        <f>IF(BO546&gt;0,INDEX(挂机升级突破!$ER$5:$EV$5,卡牌消耗!BO546),"")</f>
        <v>玄铁</v>
      </c>
      <c r="BX546" s="14">
        <f>IF(BO546&gt;0,ROUND(INDEX(挂机升级突破!$ER$7:$EU$26,卡牌消耗!BS546,卡牌消耗!BO546)*INDEX($B$6:$F$6,BP546)/$Q$4,0),"")</f>
        <v>2</v>
      </c>
      <c r="BY546" s="193"/>
      <c r="BZ546" s="193"/>
    </row>
    <row r="547" spans="37:78" ht="16.5" x14ac:dyDescent="0.2">
      <c r="AK547" s="104">
        <v>543</v>
      </c>
      <c r="AL547" s="14">
        <f t="shared" si="375"/>
        <v>11</v>
      </c>
      <c r="AM547" s="14">
        <f>INDEX(挂机升级突破!DQ$6:DQ$57,卡牌消耗!$AT547)</f>
        <v>11</v>
      </c>
      <c r="AN547" s="14">
        <f>INDEX(挂机升级突破!DR$6:DR$57,卡牌消耗!$AT547)</f>
        <v>4</v>
      </c>
      <c r="AO547" s="14">
        <f>INDEX(挂机升级突破!DS$6:DS$57,卡牌消耗!$AT547)</f>
        <v>0</v>
      </c>
      <c r="AP547" s="14">
        <f>INDEX(挂机升级突破!$DP$6:$DP$57,卡牌消耗!AT547)</f>
        <v>75</v>
      </c>
      <c r="AQ547" s="14" t="str">
        <f t="shared" si="376"/>
        <v>张飞</v>
      </c>
      <c r="AR547" s="14">
        <f t="shared" si="377"/>
        <v>4</v>
      </c>
      <c r="AS547" s="14" t="str">
        <f t="shared" si="378"/>
        <v>张飞魂火-23</v>
      </c>
      <c r="AT547" s="14">
        <f t="shared" si="379"/>
        <v>23</v>
      </c>
      <c r="AU547" s="14" t="str">
        <f>IF(AM547&gt;0,INDEX(挂机升级突破!$DT$4:$ED$4,AM547),"")</f>
        <v>金币</v>
      </c>
      <c r="AV547" s="14">
        <f>ROUND(INDEX(挂机升级突破!$DJ$6:$DJ$57,卡牌消耗!AT547)*INDEX(卡牌消耗!$B$8:$F$8,AR547)/$Q$4/50,0)*50</f>
        <v>10350</v>
      </c>
      <c r="AW547" s="14" t="str">
        <f>IF(AN547&gt;0,INDEX(挂机升级突破!$DT$4:$ED$4,AN547),"")</f>
        <v>橙色基础材料</v>
      </c>
      <c r="AX547" s="14">
        <f>ROUND(INDEX(挂机升级突破!$DT$6:$ED$57,卡牌消耗!AT547,AN547)*INDEX(卡牌消耗!$B$5:$F$5,AR547)/$Q$4/5,0)*5</f>
        <v>25</v>
      </c>
      <c r="AY547" s="14" t="str">
        <f>IF(AO547&gt;0,INDEX(挂机升级突破!$DT$4:$ED$4,AO547),"")</f>
        <v/>
      </c>
      <c r="AZ547" s="14" t="str">
        <f>IF(AO547&gt;0,ROUND(INDEX(挂机升级突破!$DT$6:$ED$57,卡牌消耗!AT547,AO547)*INDEX(卡牌消耗!$B$7:$F$7,AR547)/$Q$4,0),"")</f>
        <v/>
      </c>
      <c r="BL547" s="104">
        <v>543</v>
      </c>
      <c r="BM547" s="14">
        <f t="shared" si="380"/>
        <v>28</v>
      </c>
      <c r="BN547" s="14">
        <f>INDEX(挂机升级突破!$EI$7:$EI$26,BS547)</f>
        <v>5</v>
      </c>
      <c r="BO547" s="14">
        <f>INDEX(挂机升级突破!$EJ$7:$EJ$26,BS547)</f>
        <v>1</v>
      </c>
      <c r="BP547" s="14">
        <f t="shared" si="381"/>
        <v>4</v>
      </c>
      <c r="BQ547" s="14">
        <f>INDEX(挂机升级突破!$EH$7:$EH$26,卡牌消耗!BS547)</f>
        <v>15</v>
      </c>
      <c r="BR547" s="14" t="str">
        <f t="shared" si="382"/>
        <v>秦琼</v>
      </c>
      <c r="BS547" s="14">
        <f t="shared" si="383"/>
        <v>3</v>
      </c>
      <c r="BT547" s="14" t="str">
        <f t="shared" si="384"/>
        <v>秦琼3突</v>
      </c>
      <c r="BU547" s="14" t="str">
        <f>IF(BN547&gt;0,INDEX(挂机升级突破!$ER$5:$EV$5,卡牌消耗!BN547),"")</f>
        <v>金币</v>
      </c>
      <c r="BV547" s="14">
        <f>IF(BN547&gt;0,ROUND(INDEX(挂机升级突破!$EV$7:$EV$26,卡牌消耗!BS547)*INDEX(卡牌消耗!$B$8:$F$8,BP547)/$Q$4/500,0)*500,"")</f>
        <v>4500</v>
      </c>
      <c r="BW547" s="14" t="str">
        <f>IF(BO547&gt;0,INDEX(挂机升级突破!$ER$5:$EV$5,卡牌消耗!BO547),"")</f>
        <v>玄铁</v>
      </c>
      <c r="BX547" s="14">
        <f>IF(BO547&gt;0,ROUND(INDEX(挂机升级突破!$ER$7:$EU$26,卡牌消耗!BS547,卡牌消耗!BO547)*INDEX($B$6:$F$6,BP547)/$Q$4,0),"")</f>
        <v>6</v>
      </c>
      <c r="BY547" s="193"/>
      <c r="BZ547" s="193"/>
    </row>
    <row r="548" spans="37:78" ht="16.5" x14ac:dyDescent="0.2">
      <c r="AK548" s="104">
        <v>544</v>
      </c>
      <c r="AL548" s="14">
        <f t="shared" si="375"/>
        <v>11</v>
      </c>
      <c r="AM548" s="14">
        <f>INDEX(挂机升级突破!DQ$6:DQ$57,卡牌消耗!$AT548)</f>
        <v>11</v>
      </c>
      <c r="AN548" s="14">
        <f>INDEX(挂机升级突破!DR$6:DR$57,卡牌消耗!$AT548)</f>
        <v>4</v>
      </c>
      <c r="AO548" s="14">
        <f>INDEX(挂机升级突破!DS$6:DS$57,卡牌消耗!$AT548)</f>
        <v>0</v>
      </c>
      <c r="AP548" s="14">
        <f>INDEX(挂机升级突破!$DP$6:$DP$57,卡牌消耗!AT548)</f>
        <v>78</v>
      </c>
      <c r="AQ548" s="14" t="str">
        <f t="shared" si="376"/>
        <v>张飞</v>
      </c>
      <c r="AR548" s="14">
        <f t="shared" si="377"/>
        <v>4</v>
      </c>
      <c r="AS548" s="14" t="str">
        <f t="shared" si="378"/>
        <v>张飞魂火-24</v>
      </c>
      <c r="AT548" s="14">
        <f t="shared" si="379"/>
        <v>24</v>
      </c>
      <c r="AU548" s="14" t="str">
        <f>IF(AM548&gt;0,INDEX(挂机升级突破!$DT$4:$ED$4,AM548),"")</f>
        <v>金币</v>
      </c>
      <c r="AV548" s="14">
        <f>ROUND(INDEX(挂机升级突破!$DJ$6:$DJ$57,卡牌消耗!AT548)*INDEX(卡牌消耗!$B$8:$F$8,AR548)/$Q$4/50,0)*50</f>
        <v>10350</v>
      </c>
      <c r="AW548" s="14" t="str">
        <f>IF(AN548&gt;0,INDEX(挂机升级突破!$DT$4:$ED$4,AN548),"")</f>
        <v>橙色基础材料</v>
      </c>
      <c r="AX548" s="14">
        <f>ROUND(INDEX(挂机升级突破!$DT$6:$ED$57,卡牌消耗!AT548,AN548)*INDEX(卡牌消耗!$B$5:$F$5,AR548)/$Q$4/5,0)*5</f>
        <v>25</v>
      </c>
      <c r="AY548" s="14" t="str">
        <f>IF(AO548&gt;0,INDEX(挂机升级突破!$DT$4:$ED$4,AO548),"")</f>
        <v/>
      </c>
      <c r="AZ548" s="14" t="str">
        <f>IF(AO548&gt;0,ROUND(INDEX(挂机升级突破!$DT$6:$ED$57,卡牌消耗!AT548,AO548)*INDEX(卡牌消耗!$B$7:$F$7,AR548)/$Q$4,0),"")</f>
        <v/>
      </c>
      <c r="BL548" s="104">
        <v>544</v>
      </c>
      <c r="BM548" s="14">
        <f t="shared" si="380"/>
        <v>28</v>
      </c>
      <c r="BN548" s="14">
        <f>INDEX(挂机升级突破!$EI$7:$EI$26,BS548)</f>
        <v>5</v>
      </c>
      <c r="BO548" s="14">
        <f>INDEX(挂机升级突破!$EJ$7:$EJ$26,BS548)</f>
        <v>1</v>
      </c>
      <c r="BP548" s="14">
        <f t="shared" si="381"/>
        <v>4</v>
      </c>
      <c r="BQ548" s="14">
        <f>INDEX(挂机升级突破!$EH$7:$EH$26,卡牌消耗!BS548)</f>
        <v>25</v>
      </c>
      <c r="BR548" s="14" t="str">
        <f t="shared" si="382"/>
        <v>秦琼</v>
      </c>
      <c r="BS548" s="14">
        <f t="shared" si="383"/>
        <v>4</v>
      </c>
      <c r="BT548" s="14" t="str">
        <f t="shared" si="384"/>
        <v>秦琼4突</v>
      </c>
      <c r="BU548" s="14" t="str">
        <f>IF(BN548&gt;0,INDEX(挂机升级突破!$ER$5:$EV$5,卡牌消耗!BN548),"")</f>
        <v>金币</v>
      </c>
      <c r="BV548" s="14">
        <f>IF(BN548&gt;0,ROUND(INDEX(挂机升级突破!$EV$7:$EV$26,卡牌消耗!BS548)*INDEX(卡牌消耗!$B$8:$F$8,BP548)/$Q$4/500,0)*500,"")</f>
        <v>5500</v>
      </c>
      <c r="BW548" s="14" t="str">
        <f>IF(BO548&gt;0,INDEX(挂机升级突破!$ER$5:$EV$5,卡牌消耗!BO548),"")</f>
        <v>玄铁</v>
      </c>
      <c r="BX548" s="14">
        <f>IF(BO548&gt;0,ROUND(INDEX(挂机升级突破!$ER$7:$EU$26,卡牌消耗!BS548,卡牌消耗!BO548)*INDEX($B$6:$F$6,BP548)/$Q$4,0),"")</f>
        <v>20</v>
      </c>
      <c r="BY548" s="193"/>
      <c r="BZ548" s="193"/>
    </row>
    <row r="549" spans="37:78" ht="16.5" x14ac:dyDescent="0.2">
      <c r="AK549" s="104">
        <v>545</v>
      </c>
      <c r="AL549" s="14">
        <f t="shared" si="375"/>
        <v>11</v>
      </c>
      <c r="AM549" s="14">
        <f>INDEX(挂机升级突破!DQ$6:DQ$57,卡牌消耗!$AT549)</f>
        <v>11</v>
      </c>
      <c r="AN549" s="14">
        <f>INDEX(挂机升级突破!DR$6:DR$57,卡牌消耗!$AT549)</f>
        <v>4</v>
      </c>
      <c r="AO549" s="14">
        <f>INDEX(挂机升级突破!DS$6:DS$57,卡牌消耗!$AT549)</f>
        <v>0</v>
      </c>
      <c r="AP549" s="14">
        <f>INDEX(挂机升级突破!$DP$6:$DP$57,卡牌消耗!AT549)</f>
        <v>80</v>
      </c>
      <c r="AQ549" s="14" t="str">
        <f t="shared" si="376"/>
        <v>张飞</v>
      </c>
      <c r="AR549" s="14">
        <f t="shared" si="377"/>
        <v>4</v>
      </c>
      <c r="AS549" s="14" t="str">
        <f t="shared" si="378"/>
        <v>张飞魂火-25</v>
      </c>
      <c r="AT549" s="14">
        <f t="shared" si="379"/>
        <v>25</v>
      </c>
      <c r="AU549" s="14" t="str">
        <f>IF(AM549&gt;0,INDEX(挂机升级突破!$DT$4:$ED$4,AM549),"")</f>
        <v>金币</v>
      </c>
      <c r="AV549" s="14">
        <f>ROUND(INDEX(挂机升级突破!$DJ$6:$DJ$57,卡牌消耗!AT549)*INDEX(卡牌消耗!$B$8:$F$8,AR549)/$Q$4/50,0)*50</f>
        <v>11300</v>
      </c>
      <c r="AW549" s="14" t="str">
        <f>IF(AN549&gt;0,INDEX(挂机升级突破!$DT$4:$ED$4,AN549),"")</f>
        <v>橙色基础材料</v>
      </c>
      <c r="AX549" s="14">
        <f>ROUND(INDEX(挂机升级突破!$DT$6:$ED$57,卡牌消耗!AT549,AN549)*INDEX(卡牌消耗!$B$5:$F$5,AR549)/$Q$4/5,0)*5</f>
        <v>25</v>
      </c>
      <c r="AY549" s="14" t="str">
        <f>IF(AO549&gt;0,INDEX(挂机升级突破!$DT$4:$ED$4,AO549),"")</f>
        <v/>
      </c>
      <c r="AZ549" s="14" t="str">
        <f>IF(AO549&gt;0,ROUND(INDEX(挂机升级突破!$DT$6:$ED$57,卡牌消耗!AT549,AO549)*INDEX(卡牌消耗!$B$7:$F$7,AR549)/$Q$4,0),"")</f>
        <v/>
      </c>
      <c r="BL549" s="104">
        <v>545</v>
      </c>
      <c r="BM549" s="14">
        <f t="shared" si="380"/>
        <v>28</v>
      </c>
      <c r="BN549" s="14">
        <f>INDEX(挂机升级突破!$EI$7:$EI$26,BS549)</f>
        <v>5</v>
      </c>
      <c r="BO549" s="14">
        <f>INDEX(挂机升级突破!$EJ$7:$EJ$26,BS549)</f>
        <v>1</v>
      </c>
      <c r="BP549" s="14">
        <f t="shared" si="381"/>
        <v>4</v>
      </c>
      <c r="BQ549" s="14">
        <f>INDEX(挂机升级突破!$EH$7:$EH$26,卡牌消耗!BS549)</f>
        <v>35</v>
      </c>
      <c r="BR549" s="14" t="str">
        <f t="shared" si="382"/>
        <v>秦琼</v>
      </c>
      <c r="BS549" s="14">
        <f t="shared" si="383"/>
        <v>5</v>
      </c>
      <c r="BT549" s="14" t="str">
        <f t="shared" si="384"/>
        <v>秦琼5突</v>
      </c>
      <c r="BU549" s="14" t="str">
        <f>IF(BN549&gt;0,INDEX(挂机升级突破!$ER$5:$EV$5,卡牌消耗!BN549),"")</f>
        <v>金币</v>
      </c>
      <c r="BV549" s="14">
        <f>IF(BN549&gt;0,ROUND(INDEX(挂机升级突破!$EV$7:$EV$26,卡牌消耗!BS549)*INDEX(卡牌消耗!$B$8:$F$8,BP549)/$Q$4/500,0)*500,"")</f>
        <v>5500</v>
      </c>
      <c r="BW549" s="14" t="str">
        <f>IF(BO549&gt;0,INDEX(挂机升级突破!$ER$5:$EV$5,卡牌消耗!BO549),"")</f>
        <v>玄铁</v>
      </c>
      <c r="BX549" s="14">
        <f>IF(BO549&gt;0,ROUND(INDEX(挂机升级突破!$ER$7:$EU$26,卡牌消耗!BS549,卡牌消耗!BO549)*INDEX($B$6:$F$6,BP549)/$Q$4/5,0)*5,"")</f>
        <v>40</v>
      </c>
      <c r="BY549" s="193"/>
      <c r="BZ549" s="193"/>
    </row>
    <row r="550" spans="37:78" ht="16.5" x14ac:dyDescent="0.2">
      <c r="AK550" s="104">
        <v>546</v>
      </c>
      <c r="AL550" s="14">
        <f t="shared" si="375"/>
        <v>11</v>
      </c>
      <c r="AM550" s="14">
        <f>INDEX(挂机升级突破!DQ$6:DQ$57,卡牌消耗!$AT550)</f>
        <v>11</v>
      </c>
      <c r="AN550" s="14">
        <f>INDEX(挂机升级突破!DR$6:DR$57,卡牌消耗!$AT550)</f>
        <v>4</v>
      </c>
      <c r="AO550" s="14">
        <f>INDEX(挂机升级突破!DS$6:DS$57,卡牌消耗!$AT550)</f>
        <v>0</v>
      </c>
      <c r="AP550" s="14">
        <f>INDEX(挂机升级突破!$DP$6:$DP$57,卡牌消耗!AT550)</f>
        <v>83</v>
      </c>
      <c r="AQ550" s="14" t="str">
        <f t="shared" si="376"/>
        <v>张飞</v>
      </c>
      <c r="AR550" s="14">
        <f t="shared" si="377"/>
        <v>4</v>
      </c>
      <c r="AS550" s="14" t="str">
        <f t="shared" si="378"/>
        <v>张飞魂火-26</v>
      </c>
      <c r="AT550" s="14">
        <f t="shared" si="379"/>
        <v>26</v>
      </c>
      <c r="AU550" s="14" t="str">
        <f>IF(AM550&gt;0,INDEX(挂机升级突破!$DT$4:$ED$4,AM550),"")</f>
        <v>金币</v>
      </c>
      <c r="AV550" s="14">
        <f>ROUND(INDEX(挂机升级突破!$DJ$6:$DJ$57,卡牌消耗!AT550)*INDEX(卡牌消耗!$B$8:$F$8,AR550)/$Q$4/50,0)*50</f>
        <v>13150</v>
      </c>
      <c r="AW550" s="14" t="str">
        <f>IF(AN550&gt;0,INDEX(挂机升级突破!$DT$4:$ED$4,AN550),"")</f>
        <v>橙色基础材料</v>
      </c>
      <c r="AX550" s="14">
        <f>ROUND(INDEX(挂机升级突破!$DT$6:$ED$57,卡牌消耗!AT550,AN550)*INDEX(卡牌消耗!$B$5:$F$5,AR550)/$Q$4/5,0)*5</f>
        <v>30</v>
      </c>
      <c r="AY550" s="14" t="str">
        <f>IF(AO550&gt;0,INDEX(挂机升级突破!$DT$4:$ED$4,AO550),"")</f>
        <v/>
      </c>
      <c r="AZ550" s="14" t="str">
        <f>IF(AO550&gt;0,ROUND(INDEX(挂机升级突破!$DT$6:$ED$57,卡牌消耗!AT550,AO550)*INDEX(卡牌消耗!$B$7:$F$7,AR550)/$Q$4,0),"")</f>
        <v/>
      </c>
      <c r="BL550" s="104">
        <v>546</v>
      </c>
      <c r="BM550" s="14">
        <f t="shared" si="380"/>
        <v>28</v>
      </c>
      <c r="BN550" s="14">
        <f>INDEX(挂机升级突破!$EI$7:$EI$26,BS550)</f>
        <v>5</v>
      </c>
      <c r="BO550" s="14">
        <f>INDEX(挂机升级突破!$EJ$7:$EJ$26,BS550)</f>
        <v>1</v>
      </c>
      <c r="BP550" s="14">
        <f t="shared" si="381"/>
        <v>4</v>
      </c>
      <c r="BQ550" s="14">
        <f>INDEX(挂机升级突破!$EH$7:$EH$26,卡牌消耗!BS550)</f>
        <v>42</v>
      </c>
      <c r="BR550" s="14" t="str">
        <f t="shared" si="382"/>
        <v>秦琼</v>
      </c>
      <c r="BS550" s="14">
        <f t="shared" si="383"/>
        <v>6</v>
      </c>
      <c r="BT550" s="14" t="str">
        <f t="shared" si="384"/>
        <v>秦琼6突</v>
      </c>
      <c r="BU550" s="14" t="str">
        <f>IF(BN550&gt;0,INDEX(挂机升级突破!$ER$5:$EV$5,卡牌消耗!BN550),"")</f>
        <v>金币</v>
      </c>
      <c r="BV550" s="14">
        <f>IF(BN550&gt;0,ROUND(INDEX(挂机升级突破!$EV$7:$EV$26,卡牌消耗!BS550)*INDEX(卡牌消耗!$B$8:$F$8,BP550)/$Q$4/500,0)*500,"")</f>
        <v>7500</v>
      </c>
      <c r="BW550" s="14" t="str">
        <f>IF(BO550&gt;0,INDEX(挂机升级突破!$ER$5:$EV$5,卡牌消耗!BO550),"")</f>
        <v>玄铁</v>
      </c>
      <c r="BX550" s="14">
        <f>IF(BO550&gt;0,ROUND(INDEX(挂机升级突破!$ER$7:$EU$26,卡牌消耗!BS550,卡牌消耗!BO550)*INDEX($B$6:$F$6,BP550)/$Q$4/5,0)*5,"")</f>
        <v>60</v>
      </c>
      <c r="BY550" s="193"/>
      <c r="BZ550" s="193"/>
    </row>
    <row r="551" spans="37:78" ht="16.5" x14ac:dyDescent="0.2">
      <c r="AK551" s="104">
        <v>547</v>
      </c>
      <c r="AL551" s="14">
        <f t="shared" si="375"/>
        <v>11</v>
      </c>
      <c r="AM551" s="14">
        <f>INDEX(挂机升级突破!DQ$6:DQ$57,卡牌消耗!$AT551)</f>
        <v>11</v>
      </c>
      <c r="AN551" s="14">
        <f>INDEX(挂机升级突破!DR$6:DR$57,卡牌消耗!$AT551)</f>
        <v>4</v>
      </c>
      <c r="AO551" s="14">
        <f>INDEX(挂机升级突破!DS$6:DS$57,卡牌消耗!$AT551)</f>
        <v>0</v>
      </c>
      <c r="AP551" s="14">
        <f>INDEX(挂机升级突破!$DP$6:$DP$57,卡牌消耗!AT551)</f>
        <v>85</v>
      </c>
      <c r="AQ551" s="14" t="str">
        <f t="shared" si="376"/>
        <v>张飞</v>
      </c>
      <c r="AR551" s="14">
        <f t="shared" si="377"/>
        <v>4</v>
      </c>
      <c r="AS551" s="14" t="str">
        <f t="shared" si="378"/>
        <v>张飞魂火-27</v>
      </c>
      <c r="AT551" s="14">
        <f t="shared" si="379"/>
        <v>27</v>
      </c>
      <c r="AU551" s="14" t="str">
        <f>IF(AM551&gt;0,INDEX(挂机升级突破!$DT$4:$ED$4,AM551),"")</f>
        <v>金币</v>
      </c>
      <c r="AV551" s="14">
        <f>ROUND(INDEX(挂机升级突破!$DJ$6:$DJ$57,卡牌消耗!AT551)*INDEX(卡牌消耗!$B$8:$F$8,AR551)/$Q$4/50,0)*50</f>
        <v>13150</v>
      </c>
      <c r="AW551" s="14" t="str">
        <f>IF(AN551&gt;0,INDEX(挂机升级突破!$DT$4:$ED$4,AN551),"")</f>
        <v>橙色基础材料</v>
      </c>
      <c r="AX551" s="14">
        <f>ROUND(INDEX(挂机升级突破!$DT$6:$ED$57,卡牌消耗!AT551,AN551)*INDEX(卡牌消耗!$B$5:$F$5,AR551)/$Q$4/5,0)*5</f>
        <v>30</v>
      </c>
      <c r="AY551" s="14" t="str">
        <f>IF(AO551&gt;0,INDEX(挂机升级突破!$DT$4:$ED$4,AO551),"")</f>
        <v/>
      </c>
      <c r="AZ551" s="14" t="str">
        <f>IF(AO551&gt;0,ROUND(INDEX(挂机升级突破!$DT$6:$ED$57,卡牌消耗!AT551,AO551)*INDEX(卡牌消耗!$B$7:$F$7,AR551)/$Q$4,0),"")</f>
        <v/>
      </c>
      <c r="BL551" s="104">
        <v>547</v>
      </c>
      <c r="BM551" s="14">
        <f t="shared" si="380"/>
        <v>28</v>
      </c>
      <c r="BN551" s="14">
        <f>INDEX(挂机升级突破!$EI$7:$EI$26,BS551)</f>
        <v>5</v>
      </c>
      <c r="BO551" s="14">
        <f>INDEX(挂机升级突破!$EJ$7:$EJ$26,BS551)</f>
        <v>1</v>
      </c>
      <c r="BP551" s="14">
        <f t="shared" si="381"/>
        <v>4</v>
      </c>
      <c r="BQ551" s="14">
        <f>INDEX(挂机升级突破!$EH$7:$EH$26,卡牌消耗!BS551)</f>
        <v>47</v>
      </c>
      <c r="BR551" s="14" t="str">
        <f t="shared" si="382"/>
        <v>秦琼</v>
      </c>
      <c r="BS551" s="14">
        <f t="shared" si="383"/>
        <v>7</v>
      </c>
      <c r="BT551" s="14" t="str">
        <f t="shared" si="384"/>
        <v>秦琼7突</v>
      </c>
      <c r="BU551" s="14" t="str">
        <f>IF(BN551&gt;0,INDEX(挂机升级突破!$ER$5:$EV$5,卡牌消耗!BN551),"")</f>
        <v>金币</v>
      </c>
      <c r="BV551" s="14">
        <f>IF(BN551&gt;0,ROUND(INDEX(挂机升级突破!$EV$7:$EV$26,卡牌消耗!BS551)*INDEX(卡牌消耗!$B$8:$F$8,BP551)/$Q$4/500,0)*500,"")</f>
        <v>12500</v>
      </c>
      <c r="BW551" s="14" t="str">
        <f>IF(BO551&gt;0,INDEX(挂机升级突破!$ER$5:$EV$5,卡牌消耗!BO551),"")</f>
        <v>玄铁</v>
      </c>
      <c r="BX551" s="14">
        <f>IF(BO551&gt;0,ROUND(INDEX(挂机升级突破!$ER$7:$EU$26,卡牌消耗!BS551,卡牌消耗!BO551)*INDEX($B$6:$F$6,BP551)/$Q$4/5,0)*5,"")</f>
        <v>100</v>
      </c>
      <c r="BY551" s="193"/>
      <c r="BZ551" s="193"/>
    </row>
    <row r="552" spans="37:78" ht="16.5" x14ac:dyDescent="0.2">
      <c r="AK552" s="104">
        <v>548</v>
      </c>
      <c r="AL552" s="14">
        <f t="shared" si="375"/>
        <v>11</v>
      </c>
      <c r="AM552" s="14">
        <f>INDEX(挂机升级突破!DQ$6:DQ$57,卡牌消耗!$AT552)</f>
        <v>11</v>
      </c>
      <c r="AN552" s="14">
        <f>INDEX(挂机升级突破!DR$6:DR$57,卡牌消耗!$AT552)</f>
        <v>4</v>
      </c>
      <c r="AO552" s="14">
        <f>INDEX(挂机升级突破!DS$6:DS$57,卡牌消耗!$AT552)</f>
        <v>0</v>
      </c>
      <c r="AP552" s="14">
        <f>INDEX(挂机升级突破!$DP$6:$DP$57,卡牌消耗!AT552)</f>
        <v>88</v>
      </c>
      <c r="AQ552" s="14" t="str">
        <f t="shared" si="376"/>
        <v>张飞</v>
      </c>
      <c r="AR552" s="14">
        <f t="shared" si="377"/>
        <v>4</v>
      </c>
      <c r="AS552" s="14" t="str">
        <f t="shared" si="378"/>
        <v>张飞魂火-28</v>
      </c>
      <c r="AT552" s="14">
        <f t="shared" si="379"/>
        <v>28</v>
      </c>
      <c r="AU552" s="14" t="str">
        <f>IF(AM552&gt;0,INDEX(挂机升级突破!$DT$4:$ED$4,AM552),"")</f>
        <v>金币</v>
      </c>
      <c r="AV552" s="14">
        <f>ROUND(INDEX(挂机升级突破!$DJ$6:$DJ$57,卡牌消耗!AT552)*INDEX(卡牌消耗!$B$8:$F$8,AR552)/$Q$4/50,0)*50</f>
        <v>13150</v>
      </c>
      <c r="AW552" s="14" t="str">
        <f>IF(AN552&gt;0,INDEX(挂机升级突破!$DT$4:$ED$4,AN552),"")</f>
        <v>橙色基础材料</v>
      </c>
      <c r="AX552" s="14">
        <f>ROUND(INDEX(挂机升级突破!$DT$6:$ED$57,卡牌消耗!AT552,AN552)*INDEX(卡牌消耗!$B$5:$F$5,AR552)/$Q$4/5,0)*5</f>
        <v>30</v>
      </c>
      <c r="AY552" s="14" t="str">
        <f>IF(AO552&gt;0,INDEX(挂机升级突破!$DT$4:$ED$4,AO552),"")</f>
        <v/>
      </c>
      <c r="AZ552" s="14" t="str">
        <f>IF(AO552&gt;0,ROUND(INDEX(挂机升级突破!$DT$6:$ED$57,卡牌消耗!AT552,AO552)*INDEX(卡牌消耗!$B$7:$F$7,AR552)/$Q$4,0),"")</f>
        <v/>
      </c>
      <c r="BL552" s="104">
        <v>548</v>
      </c>
      <c r="BM552" s="14">
        <f t="shared" si="380"/>
        <v>28</v>
      </c>
      <c r="BN552" s="14">
        <f>INDEX(挂机升级突破!$EI$7:$EI$26,BS552)</f>
        <v>5</v>
      </c>
      <c r="BO552" s="14">
        <f>INDEX(挂机升级突破!$EJ$7:$EJ$26,BS552)</f>
        <v>1</v>
      </c>
      <c r="BP552" s="14">
        <f t="shared" si="381"/>
        <v>4</v>
      </c>
      <c r="BQ552" s="14">
        <f>INDEX(挂机升级突破!$EH$7:$EH$26,卡牌消耗!BS552)</f>
        <v>52</v>
      </c>
      <c r="BR552" s="14" t="str">
        <f t="shared" si="382"/>
        <v>秦琼</v>
      </c>
      <c r="BS552" s="14">
        <f t="shared" si="383"/>
        <v>8</v>
      </c>
      <c r="BT552" s="14" t="str">
        <f t="shared" si="384"/>
        <v>秦琼8突</v>
      </c>
      <c r="BU552" s="14" t="str">
        <f>IF(BN552&gt;0,INDEX(挂机升级突破!$ER$5:$EV$5,卡牌消耗!BN552),"")</f>
        <v>金币</v>
      </c>
      <c r="BV552" s="14">
        <f>IF(BN552&gt;0,ROUND(INDEX(挂机升级突破!$EV$7:$EV$26,卡牌消耗!BS552)*INDEX(卡牌消耗!$B$8:$F$8,BP552)/$Q$4/500,0)*500,"")</f>
        <v>12500</v>
      </c>
      <c r="BW552" s="14" t="str">
        <f>IF(BO552&gt;0,INDEX(挂机升级突破!$ER$5:$EV$5,卡牌消耗!BO552),"")</f>
        <v>玄铁</v>
      </c>
      <c r="BX552" s="14">
        <f>IF(BO552&gt;0,ROUND(INDEX(挂机升级突破!$ER$7:$EU$26,卡牌消耗!BS552,卡牌消耗!BO552)*INDEX($B$6:$F$6,BP552)/$Q$4/5,0)*5,"")</f>
        <v>180</v>
      </c>
      <c r="BY552" s="193"/>
      <c r="BZ552" s="193"/>
    </row>
    <row r="553" spans="37:78" ht="16.5" x14ac:dyDescent="0.2">
      <c r="AK553" s="104">
        <v>549</v>
      </c>
      <c r="AL553" s="14">
        <f t="shared" si="375"/>
        <v>11</v>
      </c>
      <c r="AM553" s="14">
        <f>INDEX(挂机升级突破!DQ$6:DQ$57,卡牌消耗!$AT553)</f>
        <v>11</v>
      </c>
      <c r="AN553" s="14">
        <f>INDEX(挂机升级突破!DR$6:DR$57,卡牌消耗!$AT553)</f>
        <v>4</v>
      </c>
      <c r="AO553" s="14">
        <f>INDEX(挂机升级突破!DS$6:DS$57,卡牌消耗!$AT553)</f>
        <v>0</v>
      </c>
      <c r="AP553" s="14">
        <f>INDEX(挂机升级突破!$DP$6:$DP$57,卡牌消耗!AT553)</f>
        <v>90</v>
      </c>
      <c r="AQ553" s="14" t="str">
        <f t="shared" si="376"/>
        <v>张飞</v>
      </c>
      <c r="AR553" s="14">
        <f t="shared" si="377"/>
        <v>4</v>
      </c>
      <c r="AS553" s="14" t="str">
        <f t="shared" si="378"/>
        <v>张飞魂火-29</v>
      </c>
      <c r="AT553" s="14">
        <f t="shared" si="379"/>
        <v>29</v>
      </c>
      <c r="AU553" s="14" t="str">
        <f>IF(AM553&gt;0,INDEX(挂机升级突破!$DT$4:$ED$4,AM553),"")</f>
        <v>金币</v>
      </c>
      <c r="AV553" s="14">
        <f>ROUND(INDEX(挂机升级突破!$DJ$6:$DJ$57,卡牌消耗!AT553)*INDEX(卡牌消耗!$B$8:$F$8,AR553)/$Q$4/50,0)*50</f>
        <v>13350</v>
      </c>
      <c r="AW553" s="14" t="str">
        <f>IF(AN553&gt;0,INDEX(挂机升级突破!$DT$4:$ED$4,AN553),"")</f>
        <v>橙色基础材料</v>
      </c>
      <c r="AX553" s="14">
        <f>ROUND(INDEX(挂机升级突破!$DT$6:$ED$57,卡牌消耗!AT553,AN553)*INDEX(卡牌消耗!$B$5:$F$5,AR553)/$Q$4/5,0)*5</f>
        <v>30</v>
      </c>
      <c r="AY553" s="14" t="str">
        <f>IF(AO553&gt;0,INDEX(挂机升级突破!$DT$4:$ED$4,AO553),"")</f>
        <v/>
      </c>
      <c r="AZ553" s="14" t="str">
        <f>IF(AO553&gt;0,ROUND(INDEX(挂机升级突破!$DT$6:$ED$57,卡牌消耗!AT553,AO553)*INDEX(卡牌消耗!$B$7:$F$7,AR553)/$Q$4,0),"")</f>
        <v/>
      </c>
      <c r="BL553" s="104">
        <v>549</v>
      </c>
      <c r="BM553" s="14">
        <f t="shared" si="380"/>
        <v>28</v>
      </c>
      <c r="BN553" s="14">
        <f>INDEX(挂机升级突破!$EI$7:$EI$26,BS553)</f>
        <v>5</v>
      </c>
      <c r="BO553" s="14">
        <f>INDEX(挂机升级突破!$EJ$7:$EJ$26,BS553)</f>
        <v>2</v>
      </c>
      <c r="BP553" s="14">
        <f t="shared" si="381"/>
        <v>4</v>
      </c>
      <c r="BQ553" s="14">
        <f>INDEX(挂机升级突破!$EH$7:$EH$26,卡牌消耗!BS553)</f>
        <v>57</v>
      </c>
      <c r="BR553" s="14" t="str">
        <f t="shared" si="382"/>
        <v>秦琼</v>
      </c>
      <c r="BS553" s="14">
        <f t="shared" si="383"/>
        <v>9</v>
      </c>
      <c r="BT553" s="14" t="str">
        <f t="shared" si="384"/>
        <v>秦琼9突</v>
      </c>
      <c r="BU553" s="14" t="str">
        <f>IF(BN553&gt;0,INDEX(挂机升级突破!$ER$5:$EV$5,卡牌消耗!BN553),"")</f>
        <v>金币</v>
      </c>
      <c r="BV553" s="14">
        <f>IF(BN553&gt;0,ROUND(INDEX(挂机升级突破!$EV$7:$EV$26,卡牌消耗!BS553)*INDEX(卡牌消耗!$B$8:$F$8,BP553)/$Q$4/500,0)*500,"")</f>
        <v>16500</v>
      </c>
      <c r="BW553" s="14" t="str">
        <f>IF(BO553&gt;0,INDEX(挂机升级突破!$ER$5:$EV$5,卡牌消耗!BO553),"")</f>
        <v>乌金</v>
      </c>
      <c r="BX553" s="14">
        <f>IF(BO553&gt;0,ROUND(INDEX(挂机升级突破!$ER$7:$EU$26,卡牌消耗!BS553,卡牌消耗!BO553)*INDEX($B$6:$F$6,BP553)/$Q$4/5,0)*5,"")</f>
        <v>60</v>
      </c>
      <c r="BY553" s="193"/>
      <c r="BZ553" s="193"/>
    </row>
    <row r="554" spans="37:78" ht="16.5" x14ac:dyDescent="0.2">
      <c r="AK554" s="104">
        <v>550</v>
      </c>
      <c r="AL554" s="14">
        <f t="shared" si="375"/>
        <v>11</v>
      </c>
      <c r="AM554" s="14">
        <f>INDEX(挂机升级突破!DQ$6:DQ$57,卡牌消耗!$AT554)</f>
        <v>11</v>
      </c>
      <c r="AN554" s="14">
        <f>INDEX(挂机升级突破!DR$6:DR$57,卡牌消耗!$AT554)</f>
        <v>4</v>
      </c>
      <c r="AO554" s="14">
        <f>INDEX(挂机升级突破!DS$6:DS$57,卡牌消耗!$AT554)</f>
        <v>0</v>
      </c>
      <c r="AP554" s="14">
        <f>INDEX(挂机升级突破!$DP$6:$DP$57,卡牌消耗!AT554)</f>
        <v>93</v>
      </c>
      <c r="AQ554" s="14" t="str">
        <f t="shared" si="376"/>
        <v>张飞</v>
      </c>
      <c r="AR554" s="14">
        <f t="shared" si="377"/>
        <v>4</v>
      </c>
      <c r="AS554" s="14" t="str">
        <f t="shared" si="378"/>
        <v>张飞魂火-30</v>
      </c>
      <c r="AT554" s="14">
        <f t="shared" si="379"/>
        <v>30</v>
      </c>
      <c r="AU554" s="14" t="str">
        <f>IF(AM554&gt;0,INDEX(挂机升级突破!$DT$4:$ED$4,AM554),"")</f>
        <v>金币</v>
      </c>
      <c r="AV554" s="14">
        <f>ROUND(INDEX(挂机升级突破!$DJ$6:$DJ$57,卡牌消耗!AT554)*INDEX(卡牌消耗!$B$8:$F$8,AR554)/$Q$4/50,0)*50</f>
        <v>13350</v>
      </c>
      <c r="AW554" s="14" t="str">
        <f>IF(AN554&gt;0,INDEX(挂机升级突破!$DT$4:$ED$4,AN554),"")</f>
        <v>橙色基础材料</v>
      </c>
      <c r="AX554" s="14">
        <f>ROUND(INDEX(挂机升级突破!$DT$6:$ED$57,卡牌消耗!AT554,AN554)*INDEX(卡牌消耗!$B$5:$F$5,AR554)/$Q$4/5,0)*5</f>
        <v>30</v>
      </c>
      <c r="AY554" s="14" t="str">
        <f>IF(AO554&gt;0,INDEX(挂机升级突破!$DT$4:$ED$4,AO554),"")</f>
        <v/>
      </c>
      <c r="AZ554" s="14" t="str">
        <f>IF(AO554&gt;0,ROUND(INDEX(挂机升级突破!$DT$6:$ED$57,卡牌消耗!AT554,AO554)*INDEX(卡牌消耗!$B$7:$F$7,AR554)/$Q$4,0),"")</f>
        <v/>
      </c>
      <c r="BL554" s="104">
        <v>550</v>
      </c>
      <c r="BM554" s="14">
        <f t="shared" si="380"/>
        <v>28</v>
      </c>
      <c r="BN554" s="14">
        <f>INDEX(挂机升级突破!$EI$7:$EI$26,BS554)</f>
        <v>5</v>
      </c>
      <c r="BO554" s="14">
        <f>INDEX(挂机升级突破!$EJ$7:$EJ$26,BS554)</f>
        <v>2</v>
      </c>
      <c r="BP554" s="14">
        <f t="shared" si="381"/>
        <v>4</v>
      </c>
      <c r="BQ554" s="14">
        <f>INDEX(挂机升级突破!$EH$7:$EH$26,卡牌消耗!BS554)</f>
        <v>65</v>
      </c>
      <c r="BR554" s="14" t="str">
        <f t="shared" si="382"/>
        <v>秦琼</v>
      </c>
      <c r="BS554" s="14">
        <f t="shared" si="383"/>
        <v>10</v>
      </c>
      <c r="BT554" s="14" t="str">
        <f t="shared" si="384"/>
        <v>秦琼10突</v>
      </c>
      <c r="BU554" s="14" t="str">
        <f>IF(BN554&gt;0,INDEX(挂机升级突破!$ER$5:$EV$5,卡牌消耗!BN554),"")</f>
        <v>金币</v>
      </c>
      <c r="BV554" s="14">
        <f>IF(BN554&gt;0,ROUND(INDEX(挂机升级突破!$EV$7:$EV$26,卡牌消耗!BS554)*INDEX(卡牌消耗!$B$8:$F$8,BP554)/$Q$4/500,0)*500,"")</f>
        <v>28000</v>
      </c>
      <c r="BW554" s="14" t="str">
        <f>IF(BO554&gt;0,INDEX(挂机升级突破!$ER$5:$EV$5,卡牌消耗!BO554),"")</f>
        <v>乌金</v>
      </c>
      <c r="BX554" s="14">
        <f>IF(BO554&gt;0,ROUND(INDEX(挂机升级突破!$ER$7:$EU$26,卡牌消耗!BS554,卡牌消耗!BO554)*INDEX($B$6:$F$6,BP554)/$Q$4/5,0)*5,"")</f>
        <v>85</v>
      </c>
      <c r="BY554" s="193"/>
      <c r="BZ554" s="193"/>
    </row>
    <row r="555" spans="37:78" ht="16.5" x14ac:dyDescent="0.2">
      <c r="AK555" s="104">
        <v>551</v>
      </c>
      <c r="AL555" s="14">
        <f t="shared" si="375"/>
        <v>11</v>
      </c>
      <c r="AM555" s="14">
        <f>INDEX(挂机升级突破!DQ$6:DQ$57,卡牌消耗!$AT555)</f>
        <v>11</v>
      </c>
      <c r="AN555" s="14">
        <f>INDEX(挂机升级突破!DR$6:DR$57,卡牌消耗!$AT555)</f>
        <v>4</v>
      </c>
      <c r="AO555" s="14">
        <f>INDEX(挂机升级突破!DS$6:DS$57,卡牌消耗!$AT555)</f>
        <v>0</v>
      </c>
      <c r="AP555" s="14">
        <f>INDEX(挂机升级突破!$DP$6:$DP$57,卡牌消耗!AT555)</f>
        <v>95</v>
      </c>
      <c r="AQ555" s="14" t="str">
        <f t="shared" si="376"/>
        <v>张飞</v>
      </c>
      <c r="AR555" s="14">
        <f t="shared" si="377"/>
        <v>4</v>
      </c>
      <c r="AS555" s="14" t="str">
        <f t="shared" si="378"/>
        <v>张飞魂火-31</v>
      </c>
      <c r="AT555" s="14">
        <f t="shared" si="379"/>
        <v>31</v>
      </c>
      <c r="AU555" s="14" t="str">
        <f>IF(AM555&gt;0,INDEX(挂机升级突破!$DT$4:$ED$4,AM555),"")</f>
        <v>金币</v>
      </c>
      <c r="AV555" s="14">
        <f>ROUND(INDEX(挂机升级突破!$DJ$6:$DJ$57,卡牌消耗!AT555)*INDEX(卡牌消耗!$B$8:$F$8,AR555)/$Q$4/50,0)*50</f>
        <v>13350</v>
      </c>
      <c r="AW555" s="14" t="str">
        <f>IF(AN555&gt;0,INDEX(挂机升级突破!$DT$4:$ED$4,AN555),"")</f>
        <v>橙色基础材料</v>
      </c>
      <c r="AX555" s="14">
        <f>ROUND(INDEX(挂机升级突破!$DT$6:$ED$57,卡牌消耗!AT555,AN555)*INDEX(卡牌消耗!$B$5:$F$5,AR555)/$Q$4/5,0)*5</f>
        <v>30</v>
      </c>
      <c r="AY555" s="14" t="str">
        <f>IF(AO555&gt;0,INDEX(挂机升级突破!$DT$4:$ED$4,AO555),"")</f>
        <v/>
      </c>
      <c r="AZ555" s="14" t="str">
        <f>IF(AO555&gt;0,ROUND(INDEX(挂机升级突破!$DT$6:$ED$57,卡牌消耗!AT555,AO555)*INDEX(卡牌消耗!$B$7:$F$7,AR555)/$Q$4,0),"")</f>
        <v/>
      </c>
      <c r="BL555" s="104">
        <v>551</v>
      </c>
      <c r="BM555" s="14">
        <f t="shared" si="380"/>
        <v>28</v>
      </c>
      <c r="BN555" s="14">
        <f>INDEX(挂机升级突破!$EI$7:$EI$26,BS555)</f>
        <v>5</v>
      </c>
      <c r="BO555" s="14">
        <f>INDEX(挂机升级突破!$EJ$7:$EJ$26,BS555)</f>
        <v>2</v>
      </c>
      <c r="BP555" s="14">
        <f t="shared" si="381"/>
        <v>4</v>
      </c>
      <c r="BQ555" s="14">
        <f>INDEX(挂机升级突破!$EH$7:$EH$26,卡牌消耗!BS555)</f>
        <v>72</v>
      </c>
      <c r="BR555" s="14" t="str">
        <f t="shared" si="382"/>
        <v>秦琼</v>
      </c>
      <c r="BS555" s="14">
        <f t="shared" si="383"/>
        <v>11</v>
      </c>
      <c r="BT555" s="14" t="str">
        <f t="shared" si="384"/>
        <v>秦琼11突</v>
      </c>
      <c r="BU555" s="14" t="str">
        <f>IF(BN555&gt;0,INDEX(挂机升级突破!$ER$5:$EV$5,卡牌消耗!BN555),"")</f>
        <v>金币</v>
      </c>
      <c r="BV555" s="14">
        <f>IF(BN555&gt;0,ROUND(INDEX(挂机升级突破!$EV$7:$EV$26,卡牌消耗!BS555)*INDEX(卡牌消耗!$B$8:$F$8,BP555)/$Q$4/500,0)*500,"")</f>
        <v>28000</v>
      </c>
      <c r="BW555" s="14" t="str">
        <f>IF(BO555&gt;0,INDEX(挂机升级突破!$ER$5:$EV$5,卡牌消耗!BO555),"")</f>
        <v>乌金</v>
      </c>
      <c r="BX555" s="14">
        <f>IF(BO555&gt;0,ROUND(INDEX(挂机升级突破!$ER$7:$EU$26,卡牌消耗!BS555,卡牌消耗!BO555)*INDEX($B$6:$F$6,BP555)/$Q$4/5,0)*5,"")</f>
        <v>110</v>
      </c>
      <c r="BY555" s="193"/>
      <c r="BZ555" s="193"/>
    </row>
    <row r="556" spans="37:78" ht="16.5" x14ac:dyDescent="0.2">
      <c r="AK556" s="104">
        <v>552</v>
      </c>
      <c r="AL556" s="14">
        <f t="shared" si="375"/>
        <v>11</v>
      </c>
      <c r="AM556" s="14">
        <f>INDEX(挂机升级突破!DQ$6:DQ$57,卡牌消耗!$AT556)</f>
        <v>11</v>
      </c>
      <c r="AN556" s="14">
        <f>INDEX(挂机升级突破!DR$6:DR$57,卡牌消耗!$AT556)</f>
        <v>4</v>
      </c>
      <c r="AO556" s="14">
        <f>INDEX(挂机升级突破!DS$6:DS$57,卡牌消耗!$AT556)</f>
        <v>0</v>
      </c>
      <c r="AP556" s="14">
        <f>INDEX(挂机升级突破!$DP$6:$DP$57,卡牌消耗!AT556)</f>
        <v>98</v>
      </c>
      <c r="AQ556" s="14" t="str">
        <f t="shared" si="376"/>
        <v>张飞</v>
      </c>
      <c r="AR556" s="14">
        <f t="shared" si="377"/>
        <v>4</v>
      </c>
      <c r="AS556" s="14" t="str">
        <f t="shared" si="378"/>
        <v>张飞魂火-32</v>
      </c>
      <c r="AT556" s="14">
        <f t="shared" si="379"/>
        <v>32</v>
      </c>
      <c r="AU556" s="14" t="str">
        <f>IF(AM556&gt;0,INDEX(挂机升级突破!$DT$4:$ED$4,AM556),"")</f>
        <v>金币</v>
      </c>
      <c r="AV556" s="14">
        <f>ROUND(INDEX(挂机升级突破!$DJ$6:$DJ$57,卡牌消耗!AT556)*INDEX(卡牌消耗!$B$8:$F$8,AR556)/$Q$4/50,0)*50</f>
        <v>18350</v>
      </c>
      <c r="AW556" s="14" t="str">
        <f>IF(AN556&gt;0,INDEX(挂机升级突破!$DT$4:$ED$4,AN556),"")</f>
        <v>橙色基础材料</v>
      </c>
      <c r="AX556" s="14">
        <f>ROUND(INDEX(挂机升级突破!$DT$6:$ED$57,卡牌消耗!AT556,AN556)*INDEX(卡牌消耗!$B$5:$F$5,AR556)/$Q$4/5,0)*5</f>
        <v>30</v>
      </c>
      <c r="AY556" s="14" t="str">
        <f>IF(AO556&gt;0,INDEX(挂机升级突破!$DT$4:$ED$4,AO556),"")</f>
        <v/>
      </c>
      <c r="AZ556" s="14" t="str">
        <f>IF(AO556&gt;0,ROUND(INDEX(挂机升级突破!$DT$6:$ED$57,卡牌消耗!AT556,AO556)*INDEX(卡牌消耗!$B$7:$F$7,AR556)/$Q$4,0),"")</f>
        <v/>
      </c>
      <c r="BL556" s="104">
        <v>552</v>
      </c>
      <c r="BM556" s="14">
        <f t="shared" si="380"/>
        <v>28</v>
      </c>
      <c r="BN556" s="14">
        <f>INDEX(挂机升级突破!$EI$7:$EI$26,BS556)</f>
        <v>5</v>
      </c>
      <c r="BO556" s="14">
        <f>INDEX(挂机升级突破!$EJ$7:$EJ$26,BS556)</f>
        <v>2</v>
      </c>
      <c r="BP556" s="14">
        <f t="shared" si="381"/>
        <v>4</v>
      </c>
      <c r="BQ556" s="14">
        <f>INDEX(挂机升级突破!$EH$7:$EH$26,卡牌消耗!BS556)</f>
        <v>80</v>
      </c>
      <c r="BR556" s="14" t="str">
        <f t="shared" si="382"/>
        <v>秦琼</v>
      </c>
      <c r="BS556" s="14">
        <f t="shared" si="383"/>
        <v>12</v>
      </c>
      <c r="BT556" s="14" t="str">
        <f t="shared" si="384"/>
        <v>秦琼12突</v>
      </c>
      <c r="BU556" s="14" t="str">
        <f>IF(BN556&gt;0,INDEX(挂机升级突破!$ER$5:$EV$5,卡牌消耗!BN556),"")</f>
        <v>金币</v>
      </c>
      <c r="BV556" s="14">
        <f>IF(BN556&gt;0,ROUND(INDEX(挂机升级突破!$EV$7:$EV$26,卡牌消耗!BS556)*INDEX(卡牌消耗!$B$8:$F$8,BP556)/$Q$4/500,0)*500,"")</f>
        <v>37500</v>
      </c>
      <c r="BW556" s="14" t="str">
        <f>IF(BO556&gt;0,INDEX(挂机升级突破!$ER$5:$EV$5,卡牌消耗!BO556),"")</f>
        <v>乌金</v>
      </c>
      <c r="BX556" s="14">
        <f>IF(BO556&gt;0,ROUND(INDEX(挂机升级突破!$ER$7:$EU$26,卡牌消耗!BS556,卡牌消耗!BO556)*INDEX($B$6:$F$6,BP556)/$Q$4/5,0)*5,"")</f>
        <v>140</v>
      </c>
      <c r="BY556" s="193"/>
      <c r="BZ556" s="193"/>
    </row>
    <row r="557" spans="37:78" ht="16.5" x14ac:dyDescent="0.2">
      <c r="AK557" s="104">
        <v>553</v>
      </c>
      <c r="AL557" s="14">
        <f t="shared" si="375"/>
        <v>11</v>
      </c>
      <c r="AM557" s="14">
        <f>INDEX(挂机升级突破!DQ$6:DQ$57,卡牌消耗!$AT557)</f>
        <v>11</v>
      </c>
      <c r="AN557" s="14">
        <f>INDEX(挂机升级突破!DR$6:DR$57,卡牌消耗!$AT557)</f>
        <v>4</v>
      </c>
      <c r="AO557" s="14">
        <f>INDEX(挂机升级突破!DS$6:DS$57,卡牌消耗!$AT557)</f>
        <v>0</v>
      </c>
      <c r="AP557" s="14">
        <f>INDEX(挂机升级突破!$DP$6:$DP$57,卡牌消耗!AT557)</f>
        <v>100</v>
      </c>
      <c r="AQ557" s="14" t="str">
        <f t="shared" si="376"/>
        <v>张飞</v>
      </c>
      <c r="AR557" s="14">
        <f t="shared" si="377"/>
        <v>4</v>
      </c>
      <c r="AS557" s="14" t="str">
        <f t="shared" si="378"/>
        <v>张飞魂火-33</v>
      </c>
      <c r="AT557" s="14">
        <f t="shared" si="379"/>
        <v>33</v>
      </c>
      <c r="AU557" s="14" t="str">
        <f>IF(AM557&gt;0,INDEX(挂机升级突破!$DT$4:$ED$4,AM557),"")</f>
        <v>金币</v>
      </c>
      <c r="AV557" s="14">
        <f>ROUND(INDEX(挂机升级突破!$DJ$6:$DJ$57,卡牌消耗!AT557)*INDEX(卡牌消耗!$B$8:$F$8,AR557)/$Q$4/50,0)*50</f>
        <v>18350</v>
      </c>
      <c r="AW557" s="14" t="str">
        <f>IF(AN557&gt;0,INDEX(挂机升级突破!$DT$4:$ED$4,AN557),"")</f>
        <v>橙色基础材料</v>
      </c>
      <c r="AX557" s="14">
        <f>ROUND(INDEX(挂机升级突破!$DT$6:$ED$57,卡牌消耗!AT557,AN557)*INDEX(卡牌消耗!$B$5:$F$5,AR557)/$Q$4/5,0)*5</f>
        <v>30</v>
      </c>
      <c r="AY557" s="14" t="str">
        <f>IF(AO557&gt;0,INDEX(挂机升级突破!$DT$4:$ED$4,AO557),"")</f>
        <v/>
      </c>
      <c r="AZ557" s="14" t="str">
        <f>IF(AO557&gt;0,ROUND(INDEX(挂机升级突破!$DT$6:$ED$57,卡牌消耗!AT557,AO557)*INDEX(卡牌消耗!$B$7:$F$7,AR557)/$Q$4,0),"")</f>
        <v/>
      </c>
      <c r="BL557" s="104">
        <v>553</v>
      </c>
      <c r="BM557" s="14">
        <f t="shared" si="380"/>
        <v>28</v>
      </c>
      <c r="BN557" s="14">
        <f>INDEX(挂机升级突破!$EI$7:$EI$26,BS557)</f>
        <v>5</v>
      </c>
      <c r="BO557" s="14">
        <f>INDEX(挂机升级突破!$EJ$7:$EJ$26,BS557)</f>
        <v>3</v>
      </c>
      <c r="BP557" s="14">
        <f t="shared" si="381"/>
        <v>4</v>
      </c>
      <c r="BQ557" s="14">
        <f>INDEX(挂机升级突破!$EH$7:$EH$26,卡牌消耗!BS557)</f>
        <v>87</v>
      </c>
      <c r="BR557" s="14" t="str">
        <f t="shared" si="382"/>
        <v>秦琼</v>
      </c>
      <c r="BS557" s="14">
        <f t="shared" si="383"/>
        <v>13</v>
      </c>
      <c r="BT557" s="14" t="str">
        <f t="shared" si="384"/>
        <v>秦琼13突</v>
      </c>
      <c r="BU557" s="14" t="str">
        <f>IF(BN557&gt;0,INDEX(挂机升级突破!$ER$5:$EV$5,卡牌消耗!BN557),"")</f>
        <v>金币</v>
      </c>
      <c r="BV557" s="14">
        <f>IF(BN557&gt;0,ROUND(INDEX(挂机升级突破!$EV$7:$EV$26,卡牌消耗!BS557)*INDEX(卡牌消耗!$B$8:$F$8,BP557)/$Q$4/500,0)*500,"")</f>
        <v>50000</v>
      </c>
      <c r="BW557" s="14" t="str">
        <f>IF(BO557&gt;0,INDEX(挂机升级突破!$ER$5:$EV$5,卡牌消耗!BO557),"")</f>
        <v>银母</v>
      </c>
      <c r="BX557" s="14">
        <f>IF(BO557&gt;0,ROUND(INDEX(挂机升级突破!$ER$7:$EU$26,卡牌消耗!BS557,卡牌消耗!BO557)*INDEX($B$6:$F$6,BP557)/$Q$4/5,0)*5,"")</f>
        <v>45</v>
      </c>
      <c r="BY557" s="193"/>
      <c r="BZ557" s="193"/>
    </row>
    <row r="558" spans="37:78" ht="16.5" x14ac:dyDescent="0.2">
      <c r="AK558" s="104">
        <v>554</v>
      </c>
      <c r="AL558" s="14">
        <f t="shared" si="375"/>
        <v>11</v>
      </c>
      <c r="AM558" s="14">
        <f>INDEX(挂机升级突破!DQ$6:DQ$57,卡牌消耗!$AT558)</f>
        <v>11</v>
      </c>
      <c r="AN558" s="14">
        <f>INDEX(挂机升级突破!DR$6:DR$57,卡牌消耗!$AT558)</f>
        <v>4</v>
      </c>
      <c r="AO558" s="14">
        <f>INDEX(挂机升级突破!DS$6:DS$57,卡牌消耗!$AT558)</f>
        <v>0</v>
      </c>
      <c r="AP558" s="14">
        <f>INDEX(挂机升级突破!$DP$6:$DP$57,卡牌消耗!AT558)</f>
        <v>103</v>
      </c>
      <c r="AQ558" s="14" t="str">
        <f t="shared" si="376"/>
        <v>张飞</v>
      </c>
      <c r="AR558" s="14">
        <f t="shared" si="377"/>
        <v>4</v>
      </c>
      <c r="AS558" s="14" t="str">
        <f t="shared" si="378"/>
        <v>张飞魂火-34</v>
      </c>
      <c r="AT558" s="14">
        <f t="shared" si="379"/>
        <v>34</v>
      </c>
      <c r="AU558" s="14" t="str">
        <f>IF(AM558&gt;0,INDEX(挂机升级突破!$DT$4:$ED$4,AM558),"")</f>
        <v>金币</v>
      </c>
      <c r="AV558" s="14">
        <f>ROUND(INDEX(挂机升级突破!$DJ$6:$DJ$57,卡牌消耗!AT558)*INDEX(卡牌消耗!$B$8:$F$8,AR558)/$Q$4/50,0)*50</f>
        <v>18350</v>
      </c>
      <c r="AW558" s="14" t="str">
        <f>IF(AN558&gt;0,INDEX(挂机升级突破!$DT$4:$ED$4,AN558),"")</f>
        <v>橙色基础材料</v>
      </c>
      <c r="AX558" s="14">
        <f>ROUND(INDEX(挂机升级突破!$DT$6:$ED$57,卡牌消耗!AT558,AN558)*INDEX(卡牌消耗!$B$5:$F$5,AR558)/$Q$4/5,0)*5</f>
        <v>35</v>
      </c>
      <c r="AY558" s="14" t="str">
        <f>IF(AO558&gt;0,INDEX(挂机升级突破!$DT$4:$ED$4,AO558),"")</f>
        <v/>
      </c>
      <c r="AZ558" s="14" t="str">
        <f>IF(AO558&gt;0,ROUND(INDEX(挂机升级突破!$DT$6:$ED$57,卡牌消耗!AT558,AO558)*INDEX(卡牌消耗!$B$7:$F$7,AR558)/$Q$4,0),"")</f>
        <v/>
      </c>
      <c r="BL558" s="104">
        <v>554</v>
      </c>
      <c r="BM558" s="14">
        <f t="shared" si="380"/>
        <v>28</v>
      </c>
      <c r="BN558" s="14">
        <f>INDEX(挂机升级突破!$EI$7:$EI$26,BS558)</f>
        <v>5</v>
      </c>
      <c r="BO558" s="14">
        <f>INDEX(挂机升级突破!$EJ$7:$EJ$26,BS558)</f>
        <v>3</v>
      </c>
      <c r="BP558" s="14">
        <f t="shared" si="381"/>
        <v>4</v>
      </c>
      <c r="BQ558" s="14">
        <f>INDEX(挂机升级突破!$EH$7:$EH$26,卡牌消耗!BS558)</f>
        <v>95</v>
      </c>
      <c r="BR558" s="14" t="str">
        <f t="shared" si="382"/>
        <v>秦琼</v>
      </c>
      <c r="BS558" s="14">
        <f t="shared" si="383"/>
        <v>14</v>
      </c>
      <c r="BT558" s="14" t="str">
        <f t="shared" si="384"/>
        <v>秦琼14突</v>
      </c>
      <c r="BU558" s="14" t="str">
        <f>IF(BN558&gt;0,INDEX(挂机升级突破!$ER$5:$EV$5,卡牌消耗!BN558),"")</f>
        <v>金币</v>
      </c>
      <c r="BV558" s="14">
        <f>IF(BN558&gt;0,ROUND(INDEX(挂机升级突破!$EV$7:$EV$26,卡牌消耗!BS558)*INDEX(卡牌消耗!$B$8:$F$8,BP558)/$Q$4/500,0)*500,"")</f>
        <v>50000</v>
      </c>
      <c r="BW558" s="14" t="str">
        <f>IF(BO558&gt;0,INDEX(挂机升级突破!$ER$5:$EV$5,卡牌消耗!BO558),"")</f>
        <v>银母</v>
      </c>
      <c r="BX558" s="14">
        <f>IF(BO558&gt;0,ROUND(INDEX(挂机升级突破!$ER$7:$EU$26,卡牌消耗!BS558,卡牌消耗!BO558)*INDEX($B$6:$F$6,BP558)/$Q$4/5,0)*5,"")</f>
        <v>65</v>
      </c>
      <c r="BY558" s="193"/>
      <c r="BZ558" s="193"/>
    </row>
    <row r="559" spans="37:78" ht="16.5" x14ac:dyDescent="0.2">
      <c r="AK559" s="104">
        <v>555</v>
      </c>
      <c r="AL559" s="14">
        <f t="shared" si="375"/>
        <v>11</v>
      </c>
      <c r="AM559" s="14">
        <f>INDEX(挂机升级突破!DQ$6:DQ$57,卡牌消耗!$AT559)</f>
        <v>11</v>
      </c>
      <c r="AN559" s="14">
        <f>INDEX(挂机升级突破!DR$6:DR$57,卡牌消耗!$AT559)</f>
        <v>4</v>
      </c>
      <c r="AO559" s="14">
        <f>INDEX(挂机升级突破!DS$6:DS$57,卡牌消耗!$AT559)</f>
        <v>0</v>
      </c>
      <c r="AP559" s="14">
        <f>INDEX(挂机升级突破!$DP$6:$DP$57,卡牌消耗!AT559)</f>
        <v>105</v>
      </c>
      <c r="AQ559" s="14" t="str">
        <f t="shared" si="376"/>
        <v>张飞</v>
      </c>
      <c r="AR559" s="14">
        <f t="shared" si="377"/>
        <v>4</v>
      </c>
      <c r="AS559" s="14" t="str">
        <f t="shared" si="378"/>
        <v>张飞魂火-35</v>
      </c>
      <c r="AT559" s="14">
        <f t="shared" si="379"/>
        <v>35</v>
      </c>
      <c r="AU559" s="14" t="str">
        <f>IF(AM559&gt;0,INDEX(挂机升级突破!$DT$4:$ED$4,AM559),"")</f>
        <v>金币</v>
      </c>
      <c r="AV559" s="14">
        <f>ROUND(INDEX(挂机升级突破!$DJ$6:$DJ$57,卡牌消耗!AT559)*INDEX(卡牌消耗!$B$8:$F$8,AR559)/$Q$4/50,0)*50</f>
        <v>23350</v>
      </c>
      <c r="AW559" s="14" t="str">
        <f>IF(AN559&gt;0,INDEX(挂机升级突破!$DT$4:$ED$4,AN559),"")</f>
        <v>橙色基础材料</v>
      </c>
      <c r="AX559" s="14">
        <f>ROUND(INDEX(挂机升级突破!$DT$6:$ED$57,卡牌消耗!AT559,AN559)*INDEX(卡牌消耗!$B$5:$F$5,AR559)/$Q$4/5,0)*5</f>
        <v>35</v>
      </c>
      <c r="AY559" s="14" t="str">
        <f>IF(AO559&gt;0,INDEX(挂机升级突破!$DT$4:$ED$4,AO559),"")</f>
        <v/>
      </c>
      <c r="AZ559" s="14" t="str">
        <f>IF(AO559&gt;0,ROUND(INDEX(挂机升级突破!$DT$6:$ED$57,卡牌消耗!AT559,AO559)*INDEX(卡牌消耗!$B$7:$F$7,AR559)/$Q$4,0),"")</f>
        <v/>
      </c>
      <c r="BL559" s="104">
        <v>555</v>
      </c>
      <c r="BM559" s="14">
        <f t="shared" si="380"/>
        <v>28</v>
      </c>
      <c r="BN559" s="14">
        <f>INDEX(挂机升级突破!$EI$7:$EI$26,BS559)</f>
        <v>5</v>
      </c>
      <c r="BO559" s="14">
        <f>INDEX(挂机升级突破!$EJ$7:$EJ$26,BS559)</f>
        <v>3</v>
      </c>
      <c r="BP559" s="14">
        <f t="shared" si="381"/>
        <v>4</v>
      </c>
      <c r="BQ559" s="14">
        <f>INDEX(挂机升级突破!$EH$7:$EH$26,卡牌消耗!BS559)</f>
        <v>102</v>
      </c>
      <c r="BR559" s="14" t="str">
        <f t="shared" si="382"/>
        <v>秦琼</v>
      </c>
      <c r="BS559" s="14">
        <f t="shared" si="383"/>
        <v>15</v>
      </c>
      <c r="BT559" s="14" t="str">
        <f t="shared" si="384"/>
        <v>秦琼15突</v>
      </c>
      <c r="BU559" s="14" t="str">
        <f>IF(BN559&gt;0,INDEX(挂机升级突破!$ER$5:$EV$5,卡牌消耗!BN559),"")</f>
        <v>金币</v>
      </c>
      <c r="BV559" s="14">
        <f>IF(BN559&gt;0,ROUND(INDEX(挂机升级突破!$EV$7:$EV$26,卡牌消耗!BS559)*INDEX(卡牌消耗!$B$8:$F$8,BP559)/$Q$4/500,0)*500,"")</f>
        <v>66500</v>
      </c>
      <c r="BW559" s="14" t="str">
        <f>IF(BO559&gt;0,INDEX(挂机升级突破!$ER$5:$EV$5,卡牌消耗!BO559),"")</f>
        <v>银母</v>
      </c>
      <c r="BX559" s="14">
        <f>IF(BO559&gt;0,ROUND(INDEX(挂机升级突破!$ER$7:$EU$26,卡牌消耗!BS559,卡牌消耗!BO559)*INDEX($B$6:$F$6,BP559)/$Q$4/5,0)*5,"")</f>
        <v>85</v>
      </c>
      <c r="BY559" s="193"/>
      <c r="BZ559" s="193"/>
    </row>
    <row r="560" spans="37:78" ht="16.5" x14ac:dyDescent="0.2">
      <c r="AK560" s="104">
        <v>556</v>
      </c>
      <c r="AL560" s="14">
        <f t="shared" si="375"/>
        <v>11</v>
      </c>
      <c r="AM560" s="14">
        <f>INDEX(挂机升级突破!DQ$6:DQ$57,卡牌消耗!$AT560)</f>
        <v>11</v>
      </c>
      <c r="AN560" s="14">
        <f>INDEX(挂机升级突破!DR$6:DR$57,卡牌消耗!$AT560)</f>
        <v>4</v>
      </c>
      <c r="AO560" s="14">
        <f>INDEX(挂机升级突破!DS$6:DS$57,卡牌消耗!$AT560)</f>
        <v>0</v>
      </c>
      <c r="AP560" s="14">
        <f>INDEX(挂机升级突破!$DP$6:$DP$57,卡牌消耗!AT560)</f>
        <v>108</v>
      </c>
      <c r="AQ560" s="14" t="str">
        <f t="shared" si="376"/>
        <v>张飞</v>
      </c>
      <c r="AR560" s="14">
        <f t="shared" si="377"/>
        <v>4</v>
      </c>
      <c r="AS560" s="14" t="str">
        <f t="shared" si="378"/>
        <v>张飞魂火-36</v>
      </c>
      <c r="AT560" s="14">
        <f t="shared" si="379"/>
        <v>36</v>
      </c>
      <c r="AU560" s="14" t="str">
        <f>IF(AM560&gt;0,INDEX(挂机升级突破!$DT$4:$ED$4,AM560),"")</f>
        <v>金币</v>
      </c>
      <c r="AV560" s="14">
        <f>ROUND(INDEX(挂机升级突破!$DJ$6:$DJ$57,卡牌消耗!AT560)*INDEX(卡牌消耗!$B$8:$F$8,AR560)/$Q$4/50,0)*50</f>
        <v>23350</v>
      </c>
      <c r="AW560" s="14" t="str">
        <f>IF(AN560&gt;0,INDEX(挂机升级突破!$DT$4:$ED$4,AN560),"")</f>
        <v>橙色基础材料</v>
      </c>
      <c r="AX560" s="14">
        <f>ROUND(INDEX(挂机升级突破!$DT$6:$ED$57,卡牌消耗!AT560,AN560)*INDEX(卡牌消耗!$B$5:$F$5,AR560)/$Q$4/5,0)*5</f>
        <v>35</v>
      </c>
      <c r="AY560" s="14" t="str">
        <f>IF(AO560&gt;0,INDEX(挂机升级突破!$DT$4:$ED$4,AO560),"")</f>
        <v/>
      </c>
      <c r="AZ560" s="14" t="str">
        <f>IF(AO560&gt;0,ROUND(INDEX(挂机升级突破!$DT$6:$ED$57,卡牌消耗!AT560,AO560)*INDEX(卡牌消耗!$B$7:$F$7,AR560)/$Q$4,0),"")</f>
        <v/>
      </c>
      <c r="BL560" s="104">
        <v>556</v>
      </c>
      <c r="BM560" s="14">
        <f t="shared" si="380"/>
        <v>28</v>
      </c>
      <c r="BN560" s="14">
        <f>INDEX(挂机升级突破!$EI$7:$EI$26,BS560)</f>
        <v>5</v>
      </c>
      <c r="BO560" s="14">
        <f>INDEX(挂机升级突破!$EJ$7:$EJ$26,BS560)</f>
        <v>3</v>
      </c>
      <c r="BP560" s="14">
        <f t="shared" si="381"/>
        <v>4</v>
      </c>
      <c r="BQ560" s="14">
        <f>INDEX(挂机升级突破!$EH$7:$EH$26,卡牌消耗!BS560)</f>
        <v>110</v>
      </c>
      <c r="BR560" s="14" t="str">
        <f t="shared" si="382"/>
        <v>秦琼</v>
      </c>
      <c r="BS560" s="14">
        <f t="shared" si="383"/>
        <v>16</v>
      </c>
      <c r="BT560" s="14" t="str">
        <f t="shared" si="384"/>
        <v>秦琼16突</v>
      </c>
      <c r="BU560" s="14" t="str">
        <f>IF(BN560&gt;0,INDEX(挂机升级突破!$ER$5:$EV$5,卡牌消耗!BN560),"")</f>
        <v>金币</v>
      </c>
      <c r="BV560" s="14">
        <f>IF(BN560&gt;0,ROUND(INDEX(挂机升级突破!$EV$7:$EV$26,卡牌消耗!BS560)*INDEX(卡牌消耗!$B$8:$F$8,BP560)/$Q$4/500,0)*500,"")</f>
        <v>121000</v>
      </c>
      <c r="BW560" s="14" t="str">
        <f>IF(BO560&gt;0,INDEX(挂机升级突破!$ER$5:$EV$5,卡牌消耗!BO560),"")</f>
        <v>银母</v>
      </c>
      <c r="BX560" s="14">
        <f>IF(BO560&gt;0,ROUND(INDEX(挂机升级突破!$ER$7:$EU$26,卡牌消耗!BS560,卡牌消耗!BO560)*INDEX($B$6:$F$6,BP560)/$Q$4/5,0)*5,"")</f>
        <v>110</v>
      </c>
      <c r="BY560" s="193"/>
      <c r="BZ560" s="193"/>
    </row>
    <row r="561" spans="37:78" ht="16.5" x14ac:dyDescent="0.2">
      <c r="AK561" s="104">
        <v>557</v>
      </c>
      <c r="AL561" s="14">
        <f t="shared" si="375"/>
        <v>11</v>
      </c>
      <c r="AM561" s="14">
        <f>INDEX(挂机升级突破!DQ$6:DQ$57,卡牌消耗!$AT561)</f>
        <v>11</v>
      </c>
      <c r="AN561" s="14">
        <f>INDEX(挂机升级突破!DR$6:DR$57,卡牌消耗!$AT561)</f>
        <v>4</v>
      </c>
      <c r="AO561" s="14">
        <f>INDEX(挂机升级突破!DS$6:DS$57,卡牌消耗!$AT561)</f>
        <v>0</v>
      </c>
      <c r="AP561" s="14">
        <f>INDEX(挂机升级突破!$DP$6:$DP$57,卡牌消耗!AT561)</f>
        <v>110</v>
      </c>
      <c r="AQ561" s="14" t="str">
        <f t="shared" si="376"/>
        <v>张飞</v>
      </c>
      <c r="AR561" s="14">
        <f t="shared" si="377"/>
        <v>4</v>
      </c>
      <c r="AS561" s="14" t="str">
        <f t="shared" si="378"/>
        <v>张飞魂火-37</v>
      </c>
      <c r="AT561" s="14">
        <f t="shared" si="379"/>
        <v>37</v>
      </c>
      <c r="AU561" s="14" t="str">
        <f>IF(AM561&gt;0,INDEX(挂机升级突破!$DT$4:$ED$4,AM561),"")</f>
        <v>金币</v>
      </c>
      <c r="AV561" s="14">
        <f>ROUND(INDEX(挂机升级突破!$DJ$6:$DJ$57,卡牌消耗!AT561)*INDEX(卡牌消耗!$B$8:$F$8,AR561)/$Q$4/50,0)*50</f>
        <v>25000</v>
      </c>
      <c r="AW561" s="14" t="str">
        <f>IF(AN561&gt;0,INDEX(挂机升级突破!$DT$4:$ED$4,AN561),"")</f>
        <v>橙色基础材料</v>
      </c>
      <c r="AX561" s="14">
        <f>ROUND(INDEX(挂机升级突破!$DT$6:$ED$57,卡牌消耗!AT561,AN561)*INDEX(卡牌消耗!$B$5:$F$5,AR561)/$Q$4/5,0)*5</f>
        <v>35</v>
      </c>
      <c r="AY561" s="14" t="str">
        <f>IF(AO561&gt;0,INDEX(挂机升级突破!$DT$4:$ED$4,AO561),"")</f>
        <v/>
      </c>
      <c r="AZ561" s="14" t="str">
        <f>IF(AO561&gt;0,ROUND(INDEX(挂机升级突破!$DT$6:$ED$57,卡牌消耗!AT561,AO561)*INDEX(卡牌消耗!$B$7:$F$7,AR561)/$Q$4,0),"")</f>
        <v/>
      </c>
      <c r="BL561" s="104">
        <v>557</v>
      </c>
      <c r="BM561" s="14">
        <f t="shared" si="380"/>
        <v>28</v>
      </c>
      <c r="BN561" s="14">
        <f>INDEX(挂机升级突破!$EI$7:$EI$26,BS561)</f>
        <v>5</v>
      </c>
      <c r="BO561" s="14">
        <f>INDEX(挂机升级突破!$EJ$7:$EJ$26,BS561)</f>
        <v>4</v>
      </c>
      <c r="BP561" s="14">
        <f t="shared" si="381"/>
        <v>4</v>
      </c>
      <c r="BQ561" s="14">
        <f>INDEX(挂机升级突破!$EH$7:$EH$26,卡牌消耗!BS561)</f>
        <v>117</v>
      </c>
      <c r="BR561" s="14" t="str">
        <f t="shared" si="382"/>
        <v>秦琼</v>
      </c>
      <c r="BS561" s="14">
        <f t="shared" si="383"/>
        <v>17</v>
      </c>
      <c r="BT561" s="14" t="str">
        <f t="shared" si="384"/>
        <v>秦琼17突</v>
      </c>
      <c r="BU561" s="14" t="str">
        <f>IF(BN561&gt;0,INDEX(挂机升级突破!$ER$5:$EV$5,卡牌消耗!BN561),"")</f>
        <v>金币</v>
      </c>
      <c r="BV561" s="14">
        <f>IF(BN561&gt;0,ROUND(INDEX(挂机升级突破!$EV$7:$EV$26,卡牌消耗!BS561)*INDEX(卡牌消耗!$B$8:$F$8,BP561)/$Q$4/500,0)*500,"")</f>
        <v>121000</v>
      </c>
      <c r="BW561" s="14" t="str">
        <f>IF(BO561&gt;0,INDEX(挂机升级突破!$ER$5:$EV$5,卡牌消耗!BO561),"")</f>
        <v>铀金</v>
      </c>
      <c r="BX561" s="14">
        <f>IF(BO561&gt;0,ROUND(INDEX(挂机升级突破!$ER$7:$EU$26,卡牌消耗!BS561,卡牌消耗!BO561)*INDEX($B$6:$F$6,BP561)/$Q$4/5,0)*5,"")</f>
        <v>20</v>
      </c>
      <c r="BY561" s="193"/>
      <c r="BZ561" s="193"/>
    </row>
    <row r="562" spans="37:78" ht="16.5" x14ac:dyDescent="0.2">
      <c r="AK562" s="104">
        <v>558</v>
      </c>
      <c r="AL562" s="14">
        <f t="shared" si="375"/>
        <v>11</v>
      </c>
      <c r="AM562" s="14">
        <f>INDEX(挂机升级突破!DQ$6:DQ$57,卡牌消耗!$AT562)</f>
        <v>11</v>
      </c>
      <c r="AN562" s="14">
        <f>INDEX(挂机升级突破!DR$6:DR$57,卡牌消耗!$AT562)</f>
        <v>5</v>
      </c>
      <c r="AO562" s="14">
        <f>INDEX(挂机升级突破!DS$6:DS$57,卡牌消耗!$AT562)</f>
        <v>0</v>
      </c>
      <c r="AP562" s="14">
        <f>INDEX(挂机升级突破!$DP$6:$DP$57,卡牌消耗!AT562)</f>
        <v>113</v>
      </c>
      <c r="AQ562" s="14" t="str">
        <f t="shared" si="376"/>
        <v>张飞</v>
      </c>
      <c r="AR562" s="14">
        <f t="shared" si="377"/>
        <v>4</v>
      </c>
      <c r="AS562" s="14" t="str">
        <f t="shared" si="378"/>
        <v>张飞魂火-38</v>
      </c>
      <c r="AT562" s="14">
        <f t="shared" si="379"/>
        <v>38</v>
      </c>
      <c r="AU562" s="14" t="str">
        <f>IF(AM562&gt;0,INDEX(挂机升级突破!$DT$4:$ED$4,AM562),"")</f>
        <v>金币</v>
      </c>
      <c r="AV562" s="14">
        <f>ROUND(INDEX(挂机升级突破!$DJ$6:$DJ$57,卡牌消耗!AT562)*INDEX(卡牌消耗!$B$8:$F$8,AR562)/$Q$4/50,0)*50</f>
        <v>32250</v>
      </c>
      <c r="AW562" s="14" t="str">
        <f>IF(AN562&gt;0,INDEX(挂机升级突破!$DT$4:$ED$4,AN562),"")</f>
        <v>红色基础材料</v>
      </c>
      <c r="AX562" s="14">
        <f>ROUND(INDEX(挂机升级突破!$DT$6:$ED$57,卡牌消耗!AT562,AN562)*INDEX(卡牌消耗!$B$5:$F$5,AR562)/$Q$4/5,0)*5</f>
        <v>10</v>
      </c>
      <c r="AY562" s="14" t="str">
        <f>IF(AO562&gt;0,INDEX(挂机升级突破!$DT$4:$ED$4,AO562),"")</f>
        <v/>
      </c>
      <c r="AZ562" s="14" t="str">
        <f>IF(AO562&gt;0,ROUND(INDEX(挂机升级突破!$DT$6:$ED$57,卡牌消耗!AT562,AO562)*INDEX(卡牌消耗!$B$7:$F$7,AR562)/$Q$4,0),"")</f>
        <v/>
      </c>
      <c r="BL562" s="104">
        <v>558</v>
      </c>
      <c r="BM562" s="14">
        <f t="shared" si="380"/>
        <v>28</v>
      </c>
      <c r="BN562" s="14">
        <f>INDEX(挂机升级突破!$EI$7:$EI$26,BS562)</f>
        <v>5</v>
      </c>
      <c r="BO562" s="14">
        <f>INDEX(挂机升级突破!$EJ$7:$EJ$26,BS562)</f>
        <v>4</v>
      </c>
      <c r="BP562" s="14">
        <f t="shared" si="381"/>
        <v>4</v>
      </c>
      <c r="BQ562" s="14">
        <f>INDEX(挂机升级突破!$EH$7:$EH$26,卡牌消耗!BS562)</f>
        <v>125</v>
      </c>
      <c r="BR562" s="14" t="str">
        <f t="shared" si="382"/>
        <v>秦琼</v>
      </c>
      <c r="BS562" s="14">
        <f t="shared" si="383"/>
        <v>18</v>
      </c>
      <c r="BT562" s="14" t="str">
        <f t="shared" si="384"/>
        <v>秦琼18突</v>
      </c>
      <c r="BU562" s="14" t="str">
        <f>IF(BN562&gt;0,INDEX(挂机升级突破!$ER$5:$EV$5,卡牌消耗!BN562),"")</f>
        <v>金币</v>
      </c>
      <c r="BV562" s="14">
        <f>IF(BN562&gt;0,ROUND(INDEX(挂机升级突破!$EV$7:$EV$26,卡牌消耗!BS562)*INDEX(卡牌消耗!$B$8:$F$8,BP562)/$Q$4/500,0)*500,"")</f>
        <v>161000</v>
      </c>
      <c r="BW562" s="14" t="str">
        <f>IF(BO562&gt;0,INDEX(挂机升级突破!$ER$5:$EV$5,卡牌消耗!BO562),"")</f>
        <v>铀金</v>
      </c>
      <c r="BX562" s="14">
        <f>IF(BO562&gt;0,ROUND(INDEX(挂机升级突破!$ER$7:$EU$26,卡牌消耗!BS562,卡牌消耗!BO562)*INDEX($B$6:$F$6,BP562)/$Q$4/5,0)*5,"")</f>
        <v>30</v>
      </c>
      <c r="BY562" s="193"/>
      <c r="BZ562" s="193"/>
    </row>
    <row r="563" spans="37:78" ht="16.5" x14ac:dyDescent="0.2">
      <c r="AK563" s="104">
        <v>559</v>
      </c>
      <c r="AL563" s="14">
        <f t="shared" si="375"/>
        <v>11</v>
      </c>
      <c r="AM563" s="14">
        <f>INDEX(挂机升级突破!DQ$6:DQ$57,卡牌消耗!$AT563)</f>
        <v>11</v>
      </c>
      <c r="AN563" s="14">
        <f>INDEX(挂机升级突破!DR$6:DR$57,卡牌消耗!$AT563)</f>
        <v>5</v>
      </c>
      <c r="AO563" s="14">
        <f>INDEX(挂机升级突破!DS$6:DS$57,卡牌消耗!$AT563)</f>
        <v>0</v>
      </c>
      <c r="AP563" s="14">
        <f>INDEX(挂机升级突破!$DP$6:$DP$57,卡牌消耗!AT563)</f>
        <v>115</v>
      </c>
      <c r="AQ563" s="14" t="str">
        <f t="shared" si="376"/>
        <v>张飞</v>
      </c>
      <c r="AR563" s="14">
        <f t="shared" si="377"/>
        <v>4</v>
      </c>
      <c r="AS563" s="14" t="str">
        <f t="shared" si="378"/>
        <v>张飞魂火-39</v>
      </c>
      <c r="AT563" s="14">
        <f t="shared" si="379"/>
        <v>39</v>
      </c>
      <c r="AU563" s="14" t="str">
        <f>IF(AM563&gt;0,INDEX(挂机升级突破!$DT$4:$ED$4,AM563),"")</f>
        <v>金币</v>
      </c>
      <c r="AV563" s="14">
        <f>ROUND(INDEX(挂机升级突破!$DJ$6:$DJ$57,卡牌消耗!AT563)*INDEX(卡牌消耗!$B$8:$F$8,AR563)/$Q$4/50,0)*50</f>
        <v>32250</v>
      </c>
      <c r="AW563" s="14" t="str">
        <f>IF(AN563&gt;0,INDEX(挂机升级突破!$DT$4:$ED$4,AN563),"")</f>
        <v>红色基础材料</v>
      </c>
      <c r="AX563" s="14">
        <f>ROUND(INDEX(挂机升级突破!$DT$6:$ED$57,卡牌消耗!AT563,AN563)*INDEX(卡牌消耗!$B$5:$F$5,AR563)/$Q$4/5,0)*5</f>
        <v>10</v>
      </c>
      <c r="AY563" s="14" t="str">
        <f>IF(AO563&gt;0,INDEX(挂机升级突破!$DT$4:$ED$4,AO563),"")</f>
        <v/>
      </c>
      <c r="AZ563" s="14" t="str">
        <f>IF(AO563&gt;0,ROUND(INDEX(挂机升级突破!$DT$6:$ED$57,卡牌消耗!AT563,AO563)*INDEX(卡牌消耗!$B$7:$F$7,AR563)/$Q$4,0),"")</f>
        <v/>
      </c>
      <c r="BL563" s="104">
        <v>559</v>
      </c>
      <c r="BM563" s="14">
        <f t="shared" si="380"/>
        <v>28</v>
      </c>
      <c r="BN563" s="14">
        <f>INDEX(挂机升级突破!$EI$7:$EI$26,BS563)</f>
        <v>5</v>
      </c>
      <c r="BO563" s="14">
        <f>INDEX(挂机升级突破!$EJ$7:$EJ$26,BS563)</f>
        <v>4</v>
      </c>
      <c r="BP563" s="14">
        <f t="shared" si="381"/>
        <v>4</v>
      </c>
      <c r="BQ563" s="14">
        <f>INDEX(挂机升级突破!$EH$7:$EH$26,卡牌消耗!BS563)</f>
        <v>132</v>
      </c>
      <c r="BR563" s="14" t="str">
        <f t="shared" si="382"/>
        <v>秦琼</v>
      </c>
      <c r="BS563" s="14">
        <f t="shared" si="383"/>
        <v>19</v>
      </c>
      <c r="BT563" s="14" t="str">
        <f t="shared" si="384"/>
        <v>秦琼19突</v>
      </c>
      <c r="BU563" s="14" t="str">
        <f>IF(BN563&gt;0,INDEX(挂机升级突破!$ER$5:$EV$5,卡牌消耗!BN563),"")</f>
        <v>金币</v>
      </c>
      <c r="BV563" s="14">
        <f>IF(BN563&gt;0,ROUND(INDEX(挂机升级突破!$EV$7:$EV$26,卡牌消耗!BS563)*INDEX(卡牌消耗!$B$8:$F$8,BP563)/$Q$4/500,0)*500,"")</f>
        <v>410500</v>
      </c>
      <c r="BW563" s="14" t="str">
        <f>IF(BO563&gt;0,INDEX(挂机升级突破!$ER$5:$EV$5,卡牌消耗!BO563),"")</f>
        <v>铀金</v>
      </c>
      <c r="BX563" s="14">
        <f>IF(BO563&gt;0,ROUND(INDEX(挂机升级突破!$ER$7:$EU$26,卡牌消耗!BS563,卡牌消耗!BO563)*INDEX($B$6:$F$6,BP563)/$Q$4/5,0)*5,"")</f>
        <v>40</v>
      </c>
      <c r="BY563" s="193"/>
      <c r="BZ563" s="193"/>
    </row>
    <row r="564" spans="37:78" ht="16.5" x14ac:dyDescent="0.2">
      <c r="AK564" s="104">
        <v>560</v>
      </c>
      <c r="AL564" s="14">
        <f t="shared" si="375"/>
        <v>11</v>
      </c>
      <c r="AM564" s="14">
        <f>INDEX(挂机升级突破!DQ$6:DQ$57,卡牌消耗!$AT564)</f>
        <v>11</v>
      </c>
      <c r="AN564" s="14">
        <f>INDEX(挂机升级突破!DR$6:DR$57,卡牌消耗!$AT564)</f>
        <v>5</v>
      </c>
      <c r="AO564" s="14">
        <f>INDEX(挂机升级突破!DS$6:DS$57,卡牌消耗!$AT564)</f>
        <v>0</v>
      </c>
      <c r="AP564" s="14">
        <f>INDEX(挂机升级突破!$DP$6:$DP$57,卡牌消耗!AT564)</f>
        <v>118</v>
      </c>
      <c r="AQ564" s="14" t="str">
        <f t="shared" si="376"/>
        <v>张飞</v>
      </c>
      <c r="AR564" s="14">
        <f t="shared" si="377"/>
        <v>4</v>
      </c>
      <c r="AS564" s="14" t="str">
        <f t="shared" si="378"/>
        <v>张飞魂火-40</v>
      </c>
      <c r="AT564" s="14">
        <f t="shared" si="379"/>
        <v>40</v>
      </c>
      <c r="AU564" s="14" t="str">
        <f>IF(AM564&gt;0,INDEX(挂机升级突破!$DT$4:$ED$4,AM564),"")</f>
        <v>金币</v>
      </c>
      <c r="AV564" s="14">
        <f>ROUND(INDEX(挂机升级突破!$DJ$6:$DJ$57,卡牌消耗!AT564)*INDEX(卡牌消耗!$B$8:$F$8,AR564)/$Q$4/50,0)*50</f>
        <v>32250</v>
      </c>
      <c r="AW564" s="14" t="str">
        <f>IF(AN564&gt;0,INDEX(挂机升级突破!$DT$4:$ED$4,AN564),"")</f>
        <v>红色基础材料</v>
      </c>
      <c r="AX564" s="14">
        <f>ROUND(INDEX(挂机升级突破!$DT$6:$ED$57,卡牌消耗!AT564,AN564)*INDEX(卡牌消耗!$B$5:$F$5,AR564)/$Q$4/5,0)*5</f>
        <v>10</v>
      </c>
      <c r="AY564" s="14" t="str">
        <f>IF(AO564&gt;0,INDEX(挂机升级突破!$DT$4:$ED$4,AO564),"")</f>
        <v/>
      </c>
      <c r="AZ564" s="14" t="str">
        <f>IF(AO564&gt;0,ROUND(INDEX(挂机升级突破!$DT$6:$ED$57,卡牌消耗!AT564,AO564)*INDEX(卡牌消耗!$B$7:$F$7,AR564)/$Q$4,0),"")</f>
        <v/>
      </c>
      <c r="BL564" s="104">
        <v>560</v>
      </c>
      <c r="BM564" s="14">
        <f t="shared" si="380"/>
        <v>28</v>
      </c>
      <c r="BN564" s="14">
        <f>INDEX(挂机升级突破!$EI$7:$EI$26,BS564)</f>
        <v>5</v>
      </c>
      <c r="BO564" s="14">
        <f>INDEX(挂机升级突破!$EJ$7:$EJ$26,BS564)</f>
        <v>4</v>
      </c>
      <c r="BP564" s="14">
        <f t="shared" si="381"/>
        <v>4</v>
      </c>
      <c r="BQ564" s="14">
        <f>INDEX(挂机升级突破!$EH$7:$EH$26,卡牌消耗!BS564)</f>
        <v>140</v>
      </c>
      <c r="BR564" s="14" t="str">
        <f t="shared" si="382"/>
        <v>秦琼</v>
      </c>
      <c r="BS564" s="14">
        <f t="shared" si="383"/>
        <v>20</v>
      </c>
      <c r="BT564" s="14" t="str">
        <f t="shared" si="384"/>
        <v>秦琼20突</v>
      </c>
      <c r="BU564" s="14" t="str">
        <f>IF(BN564&gt;0,INDEX(挂机升级突破!$ER$5:$EV$5,卡牌消耗!BN564),"")</f>
        <v>金币</v>
      </c>
      <c r="BV564" s="14">
        <f>IF(BN564&gt;0,ROUND(INDEX(挂机升级突破!$EV$7:$EV$26,卡牌消耗!BS564)*INDEX(卡牌消耗!$B$8:$F$8,BP564)/$Q$4/500,0)*500,"")</f>
        <v>615500</v>
      </c>
      <c r="BW564" s="14" t="str">
        <f>IF(BO564&gt;0,INDEX(挂机升级突破!$ER$5:$EV$5,卡牌消耗!BO564),"")</f>
        <v>铀金</v>
      </c>
      <c r="BX564" s="14">
        <f>IF(BO564&gt;0,ROUND(INDEX(挂机升级突破!$ER$7:$EU$26,卡牌消耗!BS564,卡牌消耗!BO564)*INDEX($B$6:$F$6,BP564)/$Q$4/5,0)*5,"")</f>
        <v>50</v>
      </c>
      <c r="BY564" s="193"/>
      <c r="BZ564" s="193"/>
    </row>
    <row r="565" spans="37:78" ht="16.5" x14ac:dyDescent="0.2">
      <c r="AK565" s="104">
        <v>561</v>
      </c>
      <c r="AL565" s="14">
        <f t="shared" si="375"/>
        <v>11</v>
      </c>
      <c r="AM565" s="14">
        <f>INDEX(挂机升级突破!DQ$6:DQ$57,卡牌消耗!$AT565)</f>
        <v>11</v>
      </c>
      <c r="AN565" s="14">
        <f>INDEX(挂机升级突破!DR$6:DR$57,卡牌消耗!$AT565)</f>
        <v>5</v>
      </c>
      <c r="AO565" s="14">
        <f>INDEX(挂机升级突破!DS$6:DS$57,卡牌消耗!$AT565)</f>
        <v>10</v>
      </c>
      <c r="AP565" s="14">
        <f>INDEX(挂机升级突破!$DP$6:$DP$57,卡牌消耗!AT565)</f>
        <v>120</v>
      </c>
      <c r="AQ565" s="14" t="str">
        <f t="shared" si="376"/>
        <v>张飞</v>
      </c>
      <c r="AR565" s="14">
        <f t="shared" si="377"/>
        <v>4</v>
      </c>
      <c r="AS565" s="14" t="str">
        <f t="shared" si="378"/>
        <v>张飞魂火-41</v>
      </c>
      <c r="AT565" s="14">
        <f t="shared" si="379"/>
        <v>41</v>
      </c>
      <c r="AU565" s="14" t="str">
        <f>IF(AM565&gt;0,INDEX(挂机升级突破!$DT$4:$ED$4,AM565),"")</f>
        <v>金币</v>
      </c>
      <c r="AV565" s="14">
        <f>ROUND(INDEX(挂机升级突破!$DJ$6:$DJ$57,卡牌消耗!AT565)*INDEX(卡牌消耗!$B$8:$F$8,AR565)/$Q$4/50,0)*50</f>
        <v>44300</v>
      </c>
      <c r="AW565" s="14" t="str">
        <f>IF(AN565&gt;0,INDEX(挂机升级突破!$DT$4:$ED$4,AN565),"")</f>
        <v>红色基础材料</v>
      </c>
      <c r="AX565" s="14">
        <f>ROUND(INDEX(挂机升级突破!$DT$6:$ED$57,卡牌消耗!AT565,AN565)*INDEX(卡牌消耗!$B$5:$F$5,AR565)/$Q$4/5,0)*5</f>
        <v>10</v>
      </c>
      <c r="AY565" s="14" t="str">
        <f>IF(AO565&gt;0,INDEX(挂机升级突破!$DT$4:$ED$4,AO565),"")</f>
        <v>灵玉</v>
      </c>
      <c r="AZ565" s="14">
        <f>IF(AO565&gt;0,ROUND(INDEX(挂机升级突破!$DT$6:$ED$57,卡牌消耗!AT565,AO565)*INDEX(卡牌消耗!$B$7:$F$7,AR565)/$Q$4,0),"")</f>
        <v>3</v>
      </c>
      <c r="BL565" s="193">
        <v>561</v>
      </c>
      <c r="BM565" s="14">
        <f t="shared" si="380"/>
        <v>29</v>
      </c>
      <c r="BN565" s="14">
        <f>INDEX(挂机升级突破!$EI$7:$EI$26,BS565)</f>
        <v>0</v>
      </c>
      <c r="BO565" s="14">
        <f>INDEX(挂机升级突破!$EJ$7:$EJ$26,BS565)</f>
        <v>0</v>
      </c>
      <c r="BP565" s="14">
        <f t="shared" si="381"/>
        <v>2</v>
      </c>
      <c r="BQ565" s="14">
        <f>INDEX(挂机升级突破!$EH$7:$EH$26,卡牌消耗!BS565)</f>
        <v>1</v>
      </c>
      <c r="BR565" s="14" t="str">
        <f t="shared" si="382"/>
        <v>R守护灵</v>
      </c>
      <c r="BS565" s="14">
        <f t="shared" si="383"/>
        <v>1</v>
      </c>
      <c r="BT565" s="14" t="str">
        <f t="shared" si="384"/>
        <v>R守护灵1突</v>
      </c>
      <c r="BU565" s="14" t="str">
        <f>IF(BN565&gt;0,INDEX(挂机升级突破!$ER$5:$EV$5,卡牌消耗!BN565),"")</f>
        <v/>
      </c>
      <c r="BV565" s="14" t="str">
        <f>IF(BN565&gt;0,ROUND(INDEX(挂机升级突破!$EV$7:$EV$26,卡牌消耗!BS565)*INDEX(卡牌消耗!$B$8:$F$8,BP565)/$Q$4/500,0)*500,"")</f>
        <v/>
      </c>
      <c r="BW565" s="14" t="str">
        <f>IF(BO565&gt;0,INDEX(挂机升级突破!$ER$5:$EV$5,卡牌消耗!BO565),"")</f>
        <v/>
      </c>
      <c r="BX565" s="14" t="str">
        <f>IF(BO565&gt;0,ROUND(INDEX(挂机升级突破!$ER$7:$EU$26,卡牌消耗!BS565,卡牌消耗!BO565)*INDEX($B$6:$F$6,BP565)/$Q$4/5,0)*5,"")</f>
        <v/>
      </c>
      <c r="BY565" s="193"/>
      <c r="BZ565" s="193"/>
    </row>
    <row r="566" spans="37:78" ht="16.5" x14ac:dyDescent="0.2">
      <c r="AK566" s="104">
        <v>562</v>
      </c>
      <c r="AL566" s="14">
        <f t="shared" si="375"/>
        <v>11</v>
      </c>
      <c r="AM566" s="14">
        <f>INDEX(挂机升级突破!DQ$6:DQ$57,卡牌消耗!$AT566)</f>
        <v>11</v>
      </c>
      <c r="AN566" s="14">
        <f>INDEX(挂机升级突破!DR$6:DR$57,卡牌消耗!$AT566)</f>
        <v>5</v>
      </c>
      <c r="AO566" s="14">
        <f>INDEX(挂机升级突破!DS$6:DS$57,卡牌消耗!$AT566)</f>
        <v>10</v>
      </c>
      <c r="AP566" s="14">
        <f>INDEX(挂机升级突破!$DP$6:$DP$57,卡牌消耗!AT566)</f>
        <v>123</v>
      </c>
      <c r="AQ566" s="14" t="str">
        <f t="shared" si="376"/>
        <v>张飞</v>
      </c>
      <c r="AR566" s="14">
        <f t="shared" si="377"/>
        <v>4</v>
      </c>
      <c r="AS566" s="14" t="str">
        <f t="shared" si="378"/>
        <v>张飞魂火-42</v>
      </c>
      <c r="AT566" s="14">
        <f t="shared" si="379"/>
        <v>42</v>
      </c>
      <c r="AU566" s="14" t="str">
        <f>IF(AM566&gt;0,INDEX(挂机升级突破!$DT$4:$ED$4,AM566),"")</f>
        <v>金币</v>
      </c>
      <c r="AV566" s="14">
        <f>ROUND(INDEX(挂机升级突破!$DJ$6:$DJ$57,卡牌消耗!AT566)*INDEX(卡牌消耗!$B$8:$F$8,AR566)/$Q$4/50,0)*50</f>
        <v>44300</v>
      </c>
      <c r="AW566" s="14" t="str">
        <f>IF(AN566&gt;0,INDEX(挂机升级突破!$DT$4:$ED$4,AN566),"")</f>
        <v>红色基础材料</v>
      </c>
      <c r="AX566" s="14">
        <f>ROUND(INDEX(挂机升级突破!$DT$6:$ED$57,卡牌消耗!AT566,AN566)*INDEX(卡牌消耗!$B$5:$F$5,AR566)/$Q$4/5,0)*5</f>
        <v>10</v>
      </c>
      <c r="AY566" s="14" t="str">
        <f>IF(AO566&gt;0,INDEX(挂机升级突破!$DT$4:$ED$4,AO566),"")</f>
        <v>灵玉</v>
      </c>
      <c r="AZ566" s="14">
        <f>IF(AO566&gt;0,ROUND(INDEX(挂机升级突破!$DT$6:$ED$57,卡牌消耗!AT566,AO566)*INDEX(卡牌消耗!$B$7:$F$7,AR566)/$Q$4,0),"")</f>
        <v>3</v>
      </c>
      <c r="BL566" s="193">
        <v>562</v>
      </c>
      <c r="BM566" s="14">
        <f t="shared" si="380"/>
        <v>29</v>
      </c>
      <c r="BN566" s="14">
        <f>INDEX(挂机升级突破!$EI$7:$EI$26,BS566)</f>
        <v>5</v>
      </c>
      <c r="BO566" s="14">
        <f>INDEX(挂机升级突破!$EJ$7:$EJ$26,BS566)</f>
        <v>1</v>
      </c>
      <c r="BP566" s="14">
        <f t="shared" si="381"/>
        <v>2</v>
      </c>
      <c r="BQ566" s="14">
        <f>INDEX(挂机升级突破!$EH$7:$EH$26,卡牌消耗!BS566)</f>
        <v>5</v>
      </c>
      <c r="BR566" s="14" t="str">
        <f t="shared" si="382"/>
        <v>R守护灵</v>
      </c>
      <c r="BS566" s="14">
        <f t="shared" si="383"/>
        <v>2</v>
      </c>
      <c r="BT566" s="14" t="str">
        <f t="shared" si="384"/>
        <v>R守护灵2突</v>
      </c>
      <c r="BU566" s="14" t="str">
        <f>IF(BN566&gt;0,INDEX(挂机升级突破!$ER$5:$EV$5,卡牌消耗!BN566),"")</f>
        <v>金币</v>
      </c>
      <c r="BV566" s="14">
        <f>IF(BN566&gt;0,ROUND(INDEX(挂机升级突破!$EV$7:$EV$26,卡牌消耗!BS566)*INDEX(卡牌消耗!$B$8:$F$8,BP566)/$Q$4/500,0)*500,"")</f>
        <v>2000</v>
      </c>
      <c r="BW566" s="14" t="str">
        <f>IF(BO566&gt;0,INDEX(挂机升级突破!$ER$5:$EV$5,卡牌消耗!BO566),"")</f>
        <v>玄铁</v>
      </c>
      <c r="BX566" s="14">
        <f>IF(BO566&gt;0,ROUND(INDEX(挂机升级突破!$ER$7:$EU$26,卡牌消耗!BS566,卡牌消耗!BO566)*INDEX($B$6:$F$6,BP566)/$Q$4,0),"")</f>
        <v>1</v>
      </c>
      <c r="BY566" s="193"/>
      <c r="BZ566" s="193"/>
    </row>
    <row r="567" spans="37:78" ht="16.5" x14ac:dyDescent="0.2">
      <c r="AK567" s="104">
        <v>563</v>
      </c>
      <c r="AL567" s="14">
        <f t="shared" si="375"/>
        <v>11</v>
      </c>
      <c r="AM567" s="14">
        <f>INDEX(挂机升级突破!DQ$6:DQ$57,卡牌消耗!$AT567)</f>
        <v>11</v>
      </c>
      <c r="AN567" s="14">
        <f>INDEX(挂机升级突破!DR$6:DR$57,卡牌消耗!$AT567)</f>
        <v>5</v>
      </c>
      <c r="AO567" s="14">
        <f>INDEX(挂机升级突破!DS$6:DS$57,卡牌消耗!$AT567)</f>
        <v>10</v>
      </c>
      <c r="AP567" s="14">
        <f>INDEX(挂机升级突破!$DP$6:$DP$57,卡牌消耗!AT567)</f>
        <v>125</v>
      </c>
      <c r="AQ567" s="14" t="str">
        <f t="shared" si="376"/>
        <v>张飞</v>
      </c>
      <c r="AR567" s="14">
        <f t="shared" si="377"/>
        <v>4</v>
      </c>
      <c r="AS567" s="14" t="str">
        <f t="shared" si="378"/>
        <v>张飞魂火-43</v>
      </c>
      <c r="AT567" s="14">
        <f t="shared" si="379"/>
        <v>43</v>
      </c>
      <c r="AU567" s="14" t="str">
        <f>IF(AM567&gt;0,INDEX(挂机升级突破!$DT$4:$ED$4,AM567),"")</f>
        <v>金币</v>
      </c>
      <c r="AV567" s="14">
        <f>ROUND(INDEX(挂机升级突破!$DJ$6:$DJ$57,卡牌消耗!AT567)*INDEX(卡牌消耗!$B$8:$F$8,AR567)/$Q$4/50,0)*50</f>
        <v>44300</v>
      </c>
      <c r="AW567" s="14" t="str">
        <f>IF(AN567&gt;0,INDEX(挂机升级突破!$DT$4:$ED$4,AN567),"")</f>
        <v>红色基础材料</v>
      </c>
      <c r="AX567" s="14">
        <f>ROUND(INDEX(挂机升级突破!$DT$6:$ED$57,卡牌消耗!AT567,AN567)*INDEX(卡牌消耗!$B$5:$F$5,AR567)/$Q$4/5,0)*5</f>
        <v>10</v>
      </c>
      <c r="AY567" s="14" t="str">
        <f>IF(AO567&gt;0,INDEX(挂机升级突破!$DT$4:$ED$4,AO567),"")</f>
        <v>灵玉</v>
      </c>
      <c r="AZ567" s="14">
        <f>IF(AO567&gt;0,ROUND(INDEX(挂机升级突破!$DT$6:$ED$57,卡牌消耗!AT567,AO567)*INDEX(卡牌消耗!$B$7:$F$7,AR567)/$Q$4,0),"")</f>
        <v>3</v>
      </c>
      <c r="BL567" s="193">
        <v>563</v>
      </c>
      <c r="BM567" s="14">
        <f t="shared" si="380"/>
        <v>29</v>
      </c>
      <c r="BN567" s="14">
        <f>INDEX(挂机升级突破!$EI$7:$EI$26,BS567)</f>
        <v>5</v>
      </c>
      <c r="BO567" s="14">
        <f>INDEX(挂机升级突破!$EJ$7:$EJ$26,BS567)</f>
        <v>1</v>
      </c>
      <c r="BP567" s="14">
        <f t="shared" si="381"/>
        <v>2</v>
      </c>
      <c r="BQ567" s="14">
        <f>INDEX(挂机升级突破!$EH$7:$EH$26,卡牌消耗!BS567)</f>
        <v>15</v>
      </c>
      <c r="BR567" s="14" t="str">
        <f t="shared" si="382"/>
        <v>R守护灵</v>
      </c>
      <c r="BS567" s="14">
        <f t="shared" si="383"/>
        <v>3</v>
      </c>
      <c r="BT567" s="14" t="str">
        <f t="shared" si="384"/>
        <v>R守护灵3突</v>
      </c>
      <c r="BU567" s="14" t="str">
        <f>IF(BN567&gt;0,INDEX(挂机升级突破!$ER$5:$EV$5,卡牌消耗!BN567),"")</f>
        <v>金币</v>
      </c>
      <c r="BV567" s="14">
        <f>IF(BN567&gt;0,ROUND(INDEX(挂机升级突破!$EV$7:$EV$26,卡牌消耗!BS567)*INDEX(卡牌消耗!$B$8:$F$8,BP567)/$Q$4/500,0)*500,"")</f>
        <v>2000</v>
      </c>
      <c r="BW567" s="14" t="str">
        <f>IF(BO567&gt;0,INDEX(挂机升级突破!$ER$5:$EV$5,卡牌消耗!BO567),"")</f>
        <v>玄铁</v>
      </c>
      <c r="BX567" s="14">
        <f>IF(BO567&gt;0,ROUND(INDEX(挂机升级突破!$ER$7:$EU$26,卡牌消耗!BS567,卡牌消耗!BO567)*INDEX($B$6:$F$6,BP567)/$Q$4,0),"")</f>
        <v>4</v>
      </c>
      <c r="BY567" s="193"/>
      <c r="BZ567" s="193"/>
    </row>
    <row r="568" spans="37:78" ht="16.5" x14ac:dyDescent="0.2">
      <c r="AK568" s="104">
        <v>564</v>
      </c>
      <c r="AL568" s="14">
        <f t="shared" si="375"/>
        <v>11</v>
      </c>
      <c r="AM568" s="14">
        <f>INDEX(挂机升级突破!DQ$6:DQ$57,卡牌消耗!$AT568)</f>
        <v>11</v>
      </c>
      <c r="AN568" s="14">
        <f>INDEX(挂机升级突破!DR$6:DR$57,卡牌消耗!$AT568)</f>
        <v>5</v>
      </c>
      <c r="AO568" s="14">
        <f>INDEX(挂机升级突破!DS$6:DS$57,卡牌消耗!$AT568)</f>
        <v>10</v>
      </c>
      <c r="AP568" s="14">
        <f>INDEX(挂机升级突破!$DP$6:$DP$57,卡牌消耗!AT568)</f>
        <v>128</v>
      </c>
      <c r="AQ568" s="14" t="str">
        <f t="shared" si="376"/>
        <v>张飞</v>
      </c>
      <c r="AR568" s="14">
        <f t="shared" si="377"/>
        <v>4</v>
      </c>
      <c r="AS568" s="14" t="str">
        <f t="shared" si="378"/>
        <v>张飞魂火-44</v>
      </c>
      <c r="AT568" s="14">
        <f t="shared" si="379"/>
        <v>44</v>
      </c>
      <c r="AU568" s="14" t="str">
        <f>IF(AM568&gt;0,INDEX(挂机升级突破!$DT$4:$ED$4,AM568),"")</f>
        <v>金币</v>
      </c>
      <c r="AV568" s="14">
        <f>ROUND(INDEX(挂机升级突破!$DJ$6:$DJ$57,卡牌消耗!AT568)*INDEX(卡牌消耗!$B$8:$F$8,AR568)/$Q$4/50,0)*50</f>
        <v>56400</v>
      </c>
      <c r="AW568" s="14" t="str">
        <f>IF(AN568&gt;0,INDEX(挂机升级突破!$DT$4:$ED$4,AN568),"")</f>
        <v>红色基础材料</v>
      </c>
      <c r="AX568" s="14">
        <f>ROUND(INDEX(挂机升级突破!$DT$6:$ED$57,卡牌消耗!AT568,AN568)*INDEX(卡牌消耗!$B$5:$F$5,AR568)/$Q$4/5,0)*5</f>
        <v>15</v>
      </c>
      <c r="AY568" s="14" t="str">
        <f>IF(AO568&gt;0,INDEX(挂机升级突破!$DT$4:$ED$4,AO568),"")</f>
        <v>灵玉</v>
      </c>
      <c r="AZ568" s="14">
        <f>IF(AO568&gt;0,ROUND(INDEX(挂机升级突破!$DT$6:$ED$57,卡牌消耗!AT568,AO568)*INDEX(卡牌消耗!$B$7:$F$7,AR568)/$Q$4,0),"")</f>
        <v>3</v>
      </c>
      <c r="BL568" s="193">
        <v>564</v>
      </c>
      <c r="BM568" s="14">
        <f t="shared" si="380"/>
        <v>29</v>
      </c>
      <c r="BN568" s="14">
        <f>INDEX(挂机升级突破!$EI$7:$EI$26,BS568)</f>
        <v>5</v>
      </c>
      <c r="BO568" s="14">
        <f>INDEX(挂机升级突破!$EJ$7:$EJ$26,BS568)</f>
        <v>1</v>
      </c>
      <c r="BP568" s="14">
        <f t="shared" si="381"/>
        <v>2</v>
      </c>
      <c r="BQ568" s="14">
        <f>INDEX(挂机升级突破!$EH$7:$EH$26,卡牌消耗!BS568)</f>
        <v>25</v>
      </c>
      <c r="BR568" s="14" t="str">
        <f t="shared" si="382"/>
        <v>R守护灵</v>
      </c>
      <c r="BS568" s="14">
        <f t="shared" si="383"/>
        <v>4</v>
      </c>
      <c r="BT568" s="14" t="str">
        <f t="shared" si="384"/>
        <v>R守护灵4突</v>
      </c>
      <c r="BU568" s="14" t="str">
        <f>IF(BN568&gt;0,INDEX(挂机升级突破!$ER$5:$EV$5,卡牌消耗!BN568),"")</f>
        <v>金币</v>
      </c>
      <c r="BV568" s="14">
        <f>IF(BN568&gt;0,ROUND(INDEX(挂机升级突破!$EV$7:$EV$26,卡牌消耗!BS568)*INDEX(卡牌消耗!$B$8:$F$8,BP568)/$Q$4/500,0)*500,"")</f>
        <v>2500</v>
      </c>
      <c r="BW568" s="14" t="str">
        <f>IF(BO568&gt;0,INDEX(挂机升级突破!$ER$5:$EV$5,卡牌消耗!BO568),"")</f>
        <v>玄铁</v>
      </c>
      <c r="BX568" s="14">
        <f>IF(BO568&gt;0,ROUND(INDEX(挂机升级突破!$ER$7:$EU$26,卡牌消耗!BS568,卡牌消耗!BO568)*INDEX($B$6:$F$6,BP568)/$Q$4,0),"")</f>
        <v>13</v>
      </c>
      <c r="BY568" s="193"/>
      <c r="BZ568" s="193"/>
    </row>
    <row r="569" spans="37:78" ht="16.5" x14ac:dyDescent="0.2">
      <c r="AK569" s="104">
        <v>565</v>
      </c>
      <c r="AL569" s="14">
        <f t="shared" si="375"/>
        <v>11</v>
      </c>
      <c r="AM569" s="14">
        <f>INDEX(挂机升级突破!DQ$6:DQ$57,卡牌消耗!$AT569)</f>
        <v>11</v>
      </c>
      <c r="AN569" s="14">
        <f>INDEX(挂机升级突破!DR$6:DR$57,卡牌消耗!$AT569)</f>
        <v>5</v>
      </c>
      <c r="AO569" s="14">
        <f>INDEX(挂机升级突破!DS$6:DS$57,卡牌消耗!$AT569)</f>
        <v>10</v>
      </c>
      <c r="AP569" s="14">
        <f>INDEX(挂机升级突破!$DP$6:$DP$57,卡牌消耗!AT569)</f>
        <v>130</v>
      </c>
      <c r="AQ569" s="14" t="str">
        <f t="shared" si="376"/>
        <v>张飞</v>
      </c>
      <c r="AR569" s="14">
        <f t="shared" si="377"/>
        <v>4</v>
      </c>
      <c r="AS569" s="14" t="str">
        <f t="shared" si="378"/>
        <v>张飞魂火-45</v>
      </c>
      <c r="AT569" s="14">
        <f t="shared" si="379"/>
        <v>45</v>
      </c>
      <c r="AU569" s="14" t="str">
        <f>IF(AM569&gt;0,INDEX(挂机升级突破!$DT$4:$ED$4,AM569),"")</f>
        <v>金币</v>
      </c>
      <c r="AV569" s="14">
        <f>ROUND(INDEX(挂机升级突破!$DJ$6:$DJ$57,卡牌消耗!AT569)*INDEX(卡牌消耗!$B$8:$F$8,AR569)/$Q$4/50,0)*50</f>
        <v>56400</v>
      </c>
      <c r="AW569" s="14" t="str">
        <f>IF(AN569&gt;0,INDEX(挂机升级突破!$DT$4:$ED$4,AN569),"")</f>
        <v>红色基础材料</v>
      </c>
      <c r="AX569" s="14">
        <f>ROUND(INDEX(挂机升级突破!$DT$6:$ED$57,卡牌消耗!AT569,AN569)*INDEX(卡牌消耗!$B$5:$F$5,AR569)/$Q$4/5,0)*5</f>
        <v>15</v>
      </c>
      <c r="AY569" s="14" t="str">
        <f>IF(AO569&gt;0,INDEX(挂机升级突破!$DT$4:$ED$4,AO569),"")</f>
        <v>灵玉</v>
      </c>
      <c r="AZ569" s="14">
        <f>IF(AO569&gt;0,ROUND(INDEX(挂机升级突破!$DT$6:$ED$57,卡牌消耗!AT569,AO569)*INDEX(卡牌消耗!$B$7:$F$7,AR569)/$Q$4,0),"")</f>
        <v>3</v>
      </c>
      <c r="BL569" s="193">
        <v>565</v>
      </c>
      <c r="BM569" s="14">
        <f t="shared" si="380"/>
        <v>29</v>
      </c>
      <c r="BN569" s="14">
        <f>INDEX(挂机升级突破!$EI$7:$EI$26,BS569)</f>
        <v>5</v>
      </c>
      <c r="BO569" s="14">
        <f>INDEX(挂机升级突破!$EJ$7:$EJ$26,BS569)</f>
        <v>1</v>
      </c>
      <c r="BP569" s="14">
        <f t="shared" si="381"/>
        <v>2</v>
      </c>
      <c r="BQ569" s="14">
        <f>INDEX(挂机升级突破!$EH$7:$EH$26,卡牌消耗!BS569)</f>
        <v>35</v>
      </c>
      <c r="BR569" s="14" t="str">
        <f t="shared" si="382"/>
        <v>R守护灵</v>
      </c>
      <c r="BS569" s="14">
        <f t="shared" si="383"/>
        <v>5</v>
      </c>
      <c r="BT569" s="14" t="str">
        <f t="shared" si="384"/>
        <v>R守护灵5突</v>
      </c>
      <c r="BU569" s="14" t="str">
        <f>IF(BN569&gt;0,INDEX(挂机升级突破!$ER$5:$EV$5,卡牌消耗!BN569),"")</f>
        <v>金币</v>
      </c>
      <c r="BV569" s="14">
        <f>IF(BN569&gt;0,ROUND(INDEX(挂机升级突破!$EV$7:$EV$26,卡牌消耗!BS569)*INDEX(卡牌消耗!$B$8:$F$8,BP569)/$Q$4/500,0)*500,"")</f>
        <v>2500</v>
      </c>
      <c r="BW569" s="14" t="str">
        <f>IF(BO569&gt;0,INDEX(挂机升级突破!$ER$5:$EV$5,卡牌消耗!BO569),"")</f>
        <v>玄铁</v>
      </c>
      <c r="BX569" s="14">
        <f>IF(BO569&gt;0,ROUND(INDEX(挂机升级突破!$ER$7:$EU$26,卡牌消耗!BS569,卡牌消耗!BO569)*INDEX($B$6:$F$6,BP569)/$Q$4/5,0)*5,"")</f>
        <v>25</v>
      </c>
      <c r="BY569" s="193"/>
      <c r="BZ569" s="193"/>
    </row>
    <row r="570" spans="37:78" ht="16.5" x14ac:dyDescent="0.2">
      <c r="AK570" s="104">
        <v>566</v>
      </c>
      <c r="AL570" s="14">
        <f t="shared" si="375"/>
        <v>11</v>
      </c>
      <c r="AM570" s="14">
        <f>INDEX(挂机升级突破!DQ$6:DQ$57,卡牌消耗!$AT570)</f>
        <v>11</v>
      </c>
      <c r="AN570" s="14">
        <f>INDEX(挂机升级突破!DR$6:DR$57,卡牌消耗!$AT570)</f>
        <v>5</v>
      </c>
      <c r="AO570" s="14">
        <f>INDEX(挂机升级突破!DS$6:DS$57,卡牌消耗!$AT570)</f>
        <v>10</v>
      </c>
      <c r="AP570" s="14">
        <f>INDEX(挂机升级突破!$DP$6:$DP$57,卡牌消耗!AT570)</f>
        <v>133</v>
      </c>
      <c r="AQ570" s="14" t="str">
        <f t="shared" si="376"/>
        <v>张飞</v>
      </c>
      <c r="AR570" s="14">
        <f t="shared" si="377"/>
        <v>4</v>
      </c>
      <c r="AS570" s="14" t="str">
        <f t="shared" si="378"/>
        <v>张飞魂火-46</v>
      </c>
      <c r="AT570" s="14">
        <f t="shared" si="379"/>
        <v>46</v>
      </c>
      <c r="AU570" s="14" t="str">
        <f>IF(AM570&gt;0,INDEX(挂机升级突破!$DT$4:$ED$4,AM570),"")</f>
        <v>金币</v>
      </c>
      <c r="AV570" s="14">
        <f>ROUND(INDEX(挂机升级突破!$DJ$6:$DJ$57,卡牌消耗!AT570)*INDEX(卡牌消耗!$B$8:$F$8,AR570)/$Q$4/50,0)*50</f>
        <v>60450</v>
      </c>
      <c r="AW570" s="14" t="str">
        <f>IF(AN570&gt;0,INDEX(挂机升级突破!$DT$4:$ED$4,AN570),"")</f>
        <v>红色基础材料</v>
      </c>
      <c r="AX570" s="14">
        <f>ROUND(INDEX(挂机升级突破!$DT$6:$ED$57,卡牌消耗!AT570,AN570)*INDEX(卡牌消耗!$B$5:$F$5,AR570)/$Q$4/5,0)*5</f>
        <v>15</v>
      </c>
      <c r="AY570" s="14" t="str">
        <f>IF(AO570&gt;0,INDEX(挂机升级突破!$DT$4:$ED$4,AO570),"")</f>
        <v>灵玉</v>
      </c>
      <c r="AZ570" s="14">
        <f>IF(AO570&gt;0,ROUND(INDEX(挂机升级突破!$DT$6:$ED$57,卡牌消耗!AT570,AO570)*INDEX(卡牌消耗!$B$7:$F$7,AR570)/$Q$4,0),"")</f>
        <v>3</v>
      </c>
      <c r="BL570" s="193">
        <v>566</v>
      </c>
      <c r="BM570" s="14">
        <f t="shared" si="380"/>
        <v>29</v>
      </c>
      <c r="BN570" s="14">
        <f>INDEX(挂机升级突破!$EI$7:$EI$26,BS570)</f>
        <v>5</v>
      </c>
      <c r="BO570" s="14">
        <f>INDEX(挂机升级突破!$EJ$7:$EJ$26,BS570)</f>
        <v>1</v>
      </c>
      <c r="BP570" s="14">
        <f t="shared" si="381"/>
        <v>2</v>
      </c>
      <c r="BQ570" s="14">
        <f>INDEX(挂机升级突破!$EH$7:$EH$26,卡牌消耗!BS570)</f>
        <v>42</v>
      </c>
      <c r="BR570" s="14" t="str">
        <f t="shared" si="382"/>
        <v>R守护灵</v>
      </c>
      <c r="BS570" s="14">
        <f t="shared" si="383"/>
        <v>6</v>
      </c>
      <c r="BT570" s="14" t="str">
        <f t="shared" si="384"/>
        <v>R守护灵6突</v>
      </c>
      <c r="BU570" s="14" t="str">
        <f>IF(BN570&gt;0,INDEX(挂机升级突破!$ER$5:$EV$5,卡牌消耗!BN570),"")</f>
        <v>金币</v>
      </c>
      <c r="BV570" s="14">
        <f>IF(BN570&gt;0,ROUND(INDEX(挂机升级突破!$EV$7:$EV$26,卡牌消耗!BS570)*INDEX(卡牌消耗!$B$8:$F$8,BP570)/$Q$4/500,0)*500,"")</f>
        <v>3500</v>
      </c>
      <c r="BW570" s="14" t="str">
        <f>IF(BO570&gt;0,INDEX(挂机升级突破!$ER$5:$EV$5,卡牌消耗!BO570),"")</f>
        <v>玄铁</v>
      </c>
      <c r="BX570" s="14">
        <f>IF(BO570&gt;0,ROUND(INDEX(挂机升级突破!$ER$7:$EU$26,卡牌消耗!BS570,卡牌消耗!BO570)*INDEX($B$6:$F$6,BP570)/$Q$4/5,0)*5,"")</f>
        <v>40</v>
      </c>
      <c r="BY570" s="193"/>
      <c r="BZ570" s="193"/>
    </row>
    <row r="571" spans="37:78" ht="16.5" x14ac:dyDescent="0.2">
      <c r="AK571" s="104">
        <v>567</v>
      </c>
      <c r="AL571" s="14">
        <f t="shared" si="375"/>
        <v>11</v>
      </c>
      <c r="AM571" s="14">
        <f>INDEX(挂机升级突破!DQ$6:DQ$57,卡牌消耗!$AT571)</f>
        <v>11</v>
      </c>
      <c r="AN571" s="14">
        <f>INDEX(挂机升级突破!DR$6:DR$57,卡牌消耗!$AT571)</f>
        <v>5</v>
      </c>
      <c r="AO571" s="14">
        <f>INDEX(挂机升级突破!DS$6:DS$57,卡牌消耗!$AT571)</f>
        <v>10</v>
      </c>
      <c r="AP571" s="14">
        <f>INDEX(挂机升级突破!$DP$6:$DP$57,卡牌消耗!AT571)</f>
        <v>135</v>
      </c>
      <c r="AQ571" s="14" t="str">
        <f t="shared" si="376"/>
        <v>张飞</v>
      </c>
      <c r="AR571" s="14">
        <f t="shared" si="377"/>
        <v>4</v>
      </c>
      <c r="AS571" s="14" t="str">
        <f t="shared" si="378"/>
        <v>张飞魂火-47</v>
      </c>
      <c r="AT571" s="14">
        <f t="shared" si="379"/>
        <v>47</v>
      </c>
      <c r="AU571" s="14" t="str">
        <f>IF(AM571&gt;0,INDEX(挂机升级突破!$DT$4:$ED$4,AM571),"")</f>
        <v>金币</v>
      </c>
      <c r="AV571" s="14">
        <f>ROUND(INDEX(挂机升级突破!$DJ$6:$DJ$57,卡牌消耗!AT571)*INDEX(卡牌消耗!$B$8:$F$8,AR571)/$Q$4/50,0)*50</f>
        <v>123100</v>
      </c>
      <c r="AW571" s="14" t="str">
        <f>IF(AN571&gt;0,INDEX(挂机升级突破!$DT$4:$ED$4,AN571),"")</f>
        <v>红色基础材料</v>
      </c>
      <c r="AX571" s="14">
        <f>ROUND(INDEX(挂机升级突破!$DT$6:$ED$57,卡牌消耗!AT571,AN571)*INDEX(卡牌消耗!$B$5:$F$5,AR571)/$Q$4/5,0)*5</f>
        <v>15</v>
      </c>
      <c r="AY571" s="14" t="str">
        <f>IF(AO571&gt;0,INDEX(挂机升级突破!$DT$4:$ED$4,AO571),"")</f>
        <v>灵玉</v>
      </c>
      <c r="AZ571" s="14">
        <f>IF(AO571&gt;0,ROUND(INDEX(挂机升级突破!$DT$6:$ED$57,卡牌消耗!AT571,AO571)*INDEX(卡牌消耗!$B$7:$F$7,AR571)/$Q$4,0),"")</f>
        <v>3</v>
      </c>
      <c r="BL571" s="193">
        <v>567</v>
      </c>
      <c r="BM571" s="14">
        <f t="shared" si="380"/>
        <v>29</v>
      </c>
      <c r="BN571" s="14">
        <f>INDEX(挂机升级突破!$EI$7:$EI$26,BS571)</f>
        <v>5</v>
      </c>
      <c r="BO571" s="14">
        <f>INDEX(挂机升级突破!$EJ$7:$EJ$26,BS571)</f>
        <v>1</v>
      </c>
      <c r="BP571" s="14">
        <f t="shared" si="381"/>
        <v>2</v>
      </c>
      <c r="BQ571" s="14">
        <f>INDEX(挂机升级突破!$EH$7:$EH$26,卡牌消耗!BS571)</f>
        <v>47</v>
      </c>
      <c r="BR571" s="14" t="str">
        <f t="shared" si="382"/>
        <v>R守护灵</v>
      </c>
      <c r="BS571" s="14">
        <f t="shared" si="383"/>
        <v>7</v>
      </c>
      <c r="BT571" s="14" t="str">
        <f t="shared" si="384"/>
        <v>R守护灵7突</v>
      </c>
      <c r="BU571" s="14" t="str">
        <f>IF(BN571&gt;0,INDEX(挂机升级突破!$ER$5:$EV$5,卡牌消耗!BN571),"")</f>
        <v>金币</v>
      </c>
      <c r="BV571" s="14">
        <f>IF(BN571&gt;0,ROUND(INDEX(挂机升级突破!$EV$7:$EV$26,卡牌消耗!BS571)*INDEX(卡牌消耗!$B$8:$F$8,BP571)/$Q$4/500,0)*500,"")</f>
        <v>5500</v>
      </c>
      <c r="BW571" s="14" t="str">
        <f>IF(BO571&gt;0,INDEX(挂机升级突破!$ER$5:$EV$5,卡牌消耗!BO571),"")</f>
        <v>玄铁</v>
      </c>
      <c r="BX571" s="14">
        <f>IF(BO571&gt;0,ROUND(INDEX(挂机升级突破!$ER$7:$EU$26,卡牌消耗!BS571,卡牌消耗!BO571)*INDEX($B$6:$F$6,BP571)/$Q$4/5,0)*5,"")</f>
        <v>65</v>
      </c>
      <c r="BY571" s="193"/>
      <c r="BZ571" s="193"/>
    </row>
    <row r="572" spans="37:78" ht="16.5" x14ac:dyDescent="0.2">
      <c r="AK572" s="104">
        <v>568</v>
      </c>
      <c r="AL572" s="14">
        <f t="shared" si="375"/>
        <v>11</v>
      </c>
      <c r="AM572" s="14">
        <f>INDEX(挂机升级突破!DQ$6:DQ$57,卡牌消耗!$AT572)</f>
        <v>11</v>
      </c>
      <c r="AN572" s="14">
        <f>INDEX(挂机升级突破!DR$6:DR$57,卡牌消耗!$AT572)</f>
        <v>5</v>
      </c>
      <c r="AO572" s="14">
        <f>INDEX(挂机升级突破!DS$6:DS$57,卡牌消耗!$AT572)</f>
        <v>10</v>
      </c>
      <c r="AP572" s="14">
        <f>INDEX(挂机升级突破!$DP$6:$DP$57,卡牌消耗!AT572)</f>
        <v>138</v>
      </c>
      <c r="AQ572" s="14" t="str">
        <f t="shared" si="376"/>
        <v>张飞</v>
      </c>
      <c r="AR572" s="14">
        <f t="shared" si="377"/>
        <v>4</v>
      </c>
      <c r="AS572" s="14" t="str">
        <f t="shared" si="378"/>
        <v>张飞魂火-48</v>
      </c>
      <c r="AT572" s="14">
        <f t="shared" si="379"/>
        <v>48</v>
      </c>
      <c r="AU572" s="14" t="str">
        <f>IF(AM572&gt;0,INDEX(挂机升级突破!$DT$4:$ED$4,AM572),"")</f>
        <v>金币</v>
      </c>
      <c r="AV572" s="14">
        <f>ROUND(INDEX(挂机升级突破!$DJ$6:$DJ$57,卡牌消耗!AT572)*INDEX(卡牌消耗!$B$8:$F$8,AR572)/$Q$4/50,0)*50</f>
        <v>123100</v>
      </c>
      <c r="AW572" s="14" t="str">
        <f>IF(AN572&gt;0,INDEX(挂机升级突破!$DT$4:$ED$4,AN572),"")</f>
        <v>红色基础材料</v>
      </c>
      <c r="AX572" s="14">
        <f>ROUND(INDEX(挂机升级突破!$DT$6:$ED$57,卡牌消耗!AT572,AN572)*INDEX(卡牌消耗!$B$5:$F$5,AR572)/$Q$4/5,0)*5</f>
        <v>15</v>
      </c>
      <c r="AY572" s="14" t="str">
        <f>IF(AO572&gt;0,INDEX(挂机升级突破!$DT$4:$ED$4,AO572),"")</f>
        <v>灵玉</v>
      </c>
      <c r="AZ572" s="14">
        <f>IF(AO572&gt;0,ROUND(INDEX(挂机升级突破!$DT$6:$ED$57,卡牌消耗!AT572,AO572)*INDEX(卡牌消耗!$B$7:$F$7,AR572)/$Q$4,0),"")</f>
        <v>3</v>
      </c>
      <c r="BL572" s="193">
        <v>568</v>
      </c>
      <c r="BM572" s="14">
        <f t="shared" si="380"/>
        <v>29</v>
      </c>
      <c r="BN572" s="14">
        <f>INDEX(挂机升级突破!$EI$7:$EI$26,BS572)</f>
        <v>5</v>
      </c>
      <c r="BO572" s="14">
        <f>INDEX(挂机升级突破!$EJ$7:$EJ$26,BS572)</f>
        <v>1</v>
      </c>
      <c r="BP572" s="14">
        <f t="shared" si="381"/>
        <v>2</v>
      </c>
      <c r="BQ572" s="14">
        <f>INDEX(挂机升级突破!$EH$7:$EH$26,卡牌消耗!BS572)</f>
        <v>52</v>
      </c>
      <c r="BR572" s="14" t="str">
        <f t="shared" si="382"/>
        <v>R守护灵</v>
      </c>
      <c r="BS572" s="14">
        <f t="shared" si="383"/>
        <v>8</v>
      </c>
      <c r="BT572" s="14" t="str">
        <f t="shared" si="384"/>
        <v>R守护灵8突</v>
      </c>
      <c r="BU572" s="14" t="str">
        <f>IF(BN572&gt;0,INDEX(挂机升级突破!$ER$5:$EV$5,卡牌消耗!BN572),"")</f>
        <v>金币</v>
      </c>
      <c r="BV572" s="14">
        <f>IF(BN572&gt;0,ROUND(INDEX(挂机升级突破!$EV$7:$EV$26,卡牌消耗!BS572)*INDEX(卡牌消耗!$B$8:$F$8,BP572)/$Q$4/500,0)*500,"")</f>
        <v>5500</v>
      </c>
      <c r="BW572" s="14" t="str">
        <f>IF(BO572&gt;0,INDEX(挂机升级突破!$ER$5:$EV$5,卡牌消耗!BO572),"")</f>
        <v>玄铁</v>
      </c>
      <c r="BX572" s="14">
        <f>IF(BO572&gt;0,ROUND(INDEX(挂机升级突破!$ER$7:$EU$26,卡牌消耗!BS572,卡牌消耗!BO572)*INDEX($B$6:$F$6,BP572)/$Q$4/5,0)*5,"")</f>
        <v>120</v>
      </c>
      <c r="BY572" s="193"/>
      <c r="BZ572" s="193"/>
    </row>
    <row r="573" spans="37:78" ht="16.5" x14ac:dyDescent="0.2">
      <c r="AK573" s="104">
        <v>569</v>
      </c>
      <c r="AL573" s="14">
        <f t="shared" si="375"/>
        <v>11</v>
      </c>
      <c r="AM573" s="14">
        <f>INDEX(挂机升级突破!DQ$6:DQ$57,卡牌消耗!$AT573)</f>
        <v>11</v>
      </c>
      <c r="AN573" s="14">
        <f>INDEX(挂机升级突破!DR$6:DR$57,卡牌消耗!$AT573)</f>
        <v>5</v>
      </c>
      <c r="AO573" s="14">
        <f>INDEX(挂机升级突破!DS$6:DS$57,卡牌消耗!$AT573)</f>
        <v>10</v>
      </c>
      <c r="AP573" s="14">
        <f>INDEX(挂机升级突破!$DP$6:$DP$57,卡牌消耗!AT573)</f>
        <v>140</v>
      </c>
      <c r="AQ573" s="14" t="str">
        <f t="shared" si="376"/>
        <v>张飞</v>
      </c>
      <c r="AR573" s="14">
        <f t="shared" si="377"/>
        <v>4</v>
      </c>
      <c r="AS573" s="14" t="str">
        <f t="shared" si="378"/>
        <v>张飞魂火-49</v>
      </c>
      <c r="AT573" s="14">
        <f t="shared" si="379"/>
        <v>49</v>
      </c>
      <c r="AU573" s="14" t="str">
        <f>IF(AM573&gt;0,INDEX(挂机升级突破!$DT$4:$ED$4,AM573),"")</f>
        <v>金币</v>
      </c>
      <c r="AV573" s="14">
        <f>ROUND(INDEX(挂机升级突破!$DJ$6:$DJ$57,卡牌消耗!AT573)*INDEX(卡牌消耗!$B$8:$F$8,AR573)/$Q$4/50,0)*50</f>
        <v>123100</v>
      </c>
      <c r="AW573" s="14" t="str">
        <f>IF(AN573&gt;0,INDEX(挂机升级突破!$DT$4:$ED$4,AN573),"")</f>
        <v>红色基础材料</v>
      </c>
      <c r="AX573" s="14">
        <f>ROUND(INDEX(挂机升级突破!$DT$6:$ED$57,卡牌消耗!AT573,AN573)*INDEX(卡牌消耗!$B$5:$F$5,AR573)/$Q$4/5,0)*5</f>
        <v>15</v>
      </c>
      <c r="AY573" s="14" t="str">
        <f>IF(AO573&gt;0,INDEX(挂机升级突破!$DT$4:$ED$4,AO573),"")</f>
        <v>灵玉</v>
      </c>
      <c r="AZ573" s="14">
        <f>IF(AO573&gt;0,ROUND(INDEX(挂机升级突破!$DT$6:$ED$57,卡牌消耗!AT573,AO573)*INDEX(卡牌消耗!$B$7:$F$7,AR573)/$Q$4,0),"")</f>
        <v>3</v>
      </c>
      <c r="BL573" s="193">
        <v>569</v>
      </c>
      <c r="BM573" s="14">
        <f t="shared" si="380"/>
        <v>29</v>
      </c>
      <c r="BN573" s="14">
        <f>INDEX(挂机升级突破!$EI$7:$EI$26,BS573)</f>
        <v>5</v>
      </c>
      <c r="BO573" s="14">
        <f>INDEX(挂机升级突破!$EJ$7:$EJ$26,BS573)</f>
        <v>2</v>
      </c>
      <c r="BP573" s="14">
        <f t="shared" si="381"/>
        <v>2</v>
      </c>
      <c r="BQ573" s="14">
        <f>INDEX(挂机升级突破!$EH$7:$EH$26,卡牌消耗!BS573)</f>
        <v>57</v>
      </c>
      <c r="BR573" s="14" t="str">
        <f t="shared" si="382"/>
        <v>R守护灵</v>
      </c>
      <c r="BS573" s="14">
        <f t="shared" si="383"/>
        <v>9</v>
      </c>
      <c r="BT573" s="14" t="str">
        <f t="shared" si="384"/>
        <v>R守护灵9突</v>
      </c>
      <c r="BU573" s="14" t="str">
        <f>IF(BN573&gt;0,INDEX(挂机升级突破!$ER$5:$EV$5,卡牌消耗!BN573),"")</f>
        <v>金币</v>
      </c>
      <c r="BV573" s="14">
        <f>IF(BN573&gt;0,ROUND(INDEX(挂机升级突破!$EV$7:$EV$26,卡牌消耗!BS573)*INDEX(卡牌消耗!$B$8:$F$8,BP573)/$Q$4/500,0)*500,"")</f>
        <v>7500</v>
      </c>
      <c r="BW573" s="14" t="str">
        <f>IF(BO573&gt;0,INDEX(挂机升级突破!$ER$5:$EV$5,卡牌消耗!BO573),"")</f>
        <v>乌金</v>
      </c>
      <c r="BX573" s="14">
        <f>IF(BO573&gt;0,ROUND(INDEX(挂机升级突破!$ER$7:$EU$26,卡牌消耗!BS573,卡牌消耗!BO573)*INDEX($B$6:$F$6,BP573)/$Q$4/5,0)*5,"")</f>
        <v>40</v>
      </c>
      <c r="BY573" s="193"/>
      <c r="BZ573" s="193"/>
    </row>
    <row r="574" spans="37:78" ht="16.5" x14ac:dyDescent="0.2">
      <c r="AK574" s="104">
        <v>570</v>
      </c>
      <c r="AL574" s="14">
        <f t="shared" si="375"/>
        <v>11</v>
      </c>
      <c r="AM574" s="14">
        <f>INDEX(挂机升级突破!DQ$6:DQ$57,卡牌消耗!$AT574)</f>
        <v>11</v>
      </c>
      <c r="AN574" s="14">
        <f>INDEX(挂机升级突破!DR$6:DR$57,卡牌消耗!$AT574)</f>
        <v>5</v>
      </c>
      <c r="AO574" s="14">
        <f>INDEX(挂机升级突破!DS$6:DS$57,卡牌消耗!$AT574)</f>
        <v>10</v>
      </c>
      <c r="AP574" s="14">
        <f>INDEX(挂机升级突破!$DP$6:$DP$57,卡牌消耗!AT574)</f>
        <v>143</v>
      </c>
      <c r="AQ574" s="14" t="str">
        <f t="shared" si="376"/>
        <v>张飞</v>
      </c>
      <c r="AR574" s="14">
        <f t="shared" si="377"/>
        <v>4</v>
      </c>
      <c r="AS574" s="14" t="str">
        <f t="shared" si="378"/>
        <v>张飞魂火-50</v>
      </c>
      <c r="AT574" s="14">
        <f t="shared" si="379"/>
        <v>50</v>
      </c>
      <c r="AU574" s="14" t="str">
        <f>IF(AM574&gt;0,INDEX(挂机升级突破!$DT$4:$ED$4,AM574),"")</f>
        <v>金币</v>
      </c>
      <c r="AV574" s="14">
        <f>ROUND(INDEX(挂机升级突破!$DJ$6:$DJ$57,卡牌消耗!AT574)*INDEX(卡牌消耗!$B$8:$F$8,AR574)/$Q$4/50,0)*50</f>
        <v>205150</v>
      </c>
      <c r="AW574" s="14" t="str">
        <f>IF(AN574&gt;0,INDEX(挂机升级突破!$DT$4:$ED$4,AN574),"")</f>
        <v>红色基础材料</v>
      </c>
      <c r="AX574" s="14">
        <f>ROUND(INDEX(挂机升级突破!$DT$6:$ED$57,卡牌消耗!AT574,AN574)*INDEX(卡牌消耗!$B$5:$F$5,AR574)/$Q$4/5,0)*5</f>
        <v>15</v>
      </c>
      <c r="AY574" s="14" t="str">
        <f>IF(AO574&gt;0,INDEX(挂机升级突破!$DT$4:$ED$4,AO574),"")</f>
        <v>灵玉</v>
      </c>
      <c r="AZ574" s="14">
        <f>IF(AO574&gt;0,ROUND(INDEX(挂机升级突破!$DT$6:$ED$57,卡牌消耗!AT574,AO574)*INDEX(卡牌消耗!$B$7:$F$7,AR574)/$Q$4,0),"")</f>
        <v>3</v>
      </c>
      <c r="BL574" s="193">
        <v>570</v>
      </c>
      <c r="BM574" s="14">
        <f t="shared" si="380"/>
        <v>29</v>
      </c>
      <c r="BN574" s="14">
        <f>INDEX(挂机升级突破!$EI$7:$EI$26,BS574)</f>
        <v>5</v>
      </c>
      <c r="BO574" s="14">
        <f>INDEX(挂机升级突破!$EJ$7:$EJ$26,BS574)</f>
        <v>2</v>
      </c>
      <c r="BP574" s="14">
        <f t="shared" si="381"/>
        <v>2</v>
      </c>
      <c r="BQ574" s="14">
        <f>INDEX(挂机升级突破!$EH$7:$EH$26,卡牌消耗!BS574)</f>
        <v>65</v>
      </c>
      <c r="BR574" s="14" t="str">
        <f t="shared" si="382"/>
        <v>R守护灵</v>
      </c>
      <c r="BS574" s="14">
        <f t="shared" si="383"/>
        <v>10</v>
      </c>
      <c r="BT574" s="14" t="str">
        <f t="shared" si="384"/>
        <v>R守护灵10突</v>
      </c>
      <c r="BU574" s="14" t="str">
        <f>IF(BN574&gt;0,INDEX(挂机升级突破!$ER$5:$EV$5,卡牌消耗!BN574),"")</f>
        <v>金币</v>
      </c>
      <c r="BV574" s="14">
        <f>IF(BN574&gt;0,ROUND(INDEX(挂机升级突破!$EV$7:$EV$26,卡牌消耗!BS574)*INDEX(卡牌消耗!$B$8:$F$8,BP574)/$Q$4/500,0)*500,"")</f>
        <v>13000</v>
      </c>
      <c r="BW574" s="14" t="str">
        <f>IF(BO574&gt;0,INDEX(挂机升级突破!$ER$5:$EV$5,卡牌消耗!BO574),"")</f>
        <v>乌金</v>
      </c>
      <c r="BX574" s="14">
        <f>IF(BO574&gt;0,ROUND(INDEX(挂机升级突破!$ER$7:$EU$26,卡牌消耗!BS574,卡牌消耗!BO574)*INDEX($B$6:$F$6,BP574)/$Q$4/5,0)*5,"")</f>
        <v>55</v>
      </c>
      <c r="BY574" s="193"/>
      <c r="BZ574" s="193"/>
    </row>
    <row r="575" spans="37:78" ht="16.5" x14ac:dyDescent="0.2">
      <c r="AK575" s="104">
        <v>571</v>
      </c>
      <c r="AL575" s="14">
        <f t="shared" si="375"/>
        <v>11</v>
      </c>
      <c r="AM575" s="14">
        <f>INDEX(挂机升级突破!DQ$6:DQ$57,卡牌消耗!$AT575)</f>
        <v>11</v>
      </c>
      <c r="AN575" s="14">
        <f>INDEX(挂机升级突破!DR$6:DR$57,卡牌消耗!$AT575)</f>
        <v>5</v>
      </c>
      <c r="AO575" s="14">
        <f>INDEX(挂机升级突破!DS$6:DS$57,卡牌消耗!$AT575)</f>
        <v>10</v>
      </c>
      <c r="AP575" s="14">
        <f>INDEX(挂机升级突破!$DP$6:$DP$57,卡牌消耗!AT575)</f>
        <v>145</v>
      </c>
      <c r="AQ575" s="14" t="str">
        <f t="shared" si="376"/>
        <v>张飞</v>
      </c>
      <c r="AR575" s="14">
        <f t="shared" si="377"/>
        <v>4</v>
      </c>
      <c r="AS575" s="14" t="str">
        <f t="shared" si="378"/>
        <v>张飞魂火-51</v>
      </c>
      <c r="AT575" s="14">
        <f t="shared" si="379"/>
        <v>51</v>
      </c>
      <c r="AU575" s="14" t="str">
        <f>IF(AM575&gt;0,INDEX(挂机升级突破!$DT$4:$ED$4,AM575),"")</f>
        <v>金币</v>
      </c>
      <c r="AV575" s="14">
        <f>ROUND(INDEX(挂机升级突破!$DJ$6:$DJ$57,卡牌消耗!AT575)*INDEX(卡牌消耗!$B$8:$F$8,AR575)/$Q$4/50,0)*50</f>
        <v>225650</v>
      </c>
      <c r="AW575" s="14" t="str">
        <f>IF(AN575&gt;0,INDEX(挂机升级突破!$DT$4:$ED$4,AN575),"")</f>
        <v>红色基础材料</v>
      </c>
      <c r="AX575" s="14">
        <f>ROUND(INDEX(挂机升级突破!$DT$6:$ED$57,卡牌消耗!AT575,AN575)*INDEX(卡牌消耗!$B$5:$F$5,AR575)/$Q$4/5,0)*5</f>
        <v>15</v>
      </c>
      <c r="AY575" s="14" t="str">
        <f>IF(AO575&gt;0,INDEX(挂机升级突破!$DT$4:$ED$4,AO575),"")</f>
        <v>灵玉</v>
      </c>
      <c r="AZ575" s="14">
        <f>IF(AO575&gt;0,ROUND(INDEX(挂机升级突破!$DT$6:$ED$57,卡牌消耗!AT575,AO575)*INDEX(卡牌消耗!$B$7:$F$7,AR575)/$Q$4,0),"")</f>
        <v>3</v>
      </c>
      <c r="BL575" s="193">
        <v>571</v>
      </c>
      <c r="BM575" s="14">
        <f t="shared" si="380"/>
        <v>29</v>
      </c>
      <c r="BN575" s="14">
        <f>INDEX(挂机升级突破!$EI$7:$EI$26,BS575)</f>
        <v>5</v>
      </c>
      <c r="BO575" s="14">
        <f>INDEX(挂机升级突破!$EJ$7:$EJ$26,BS575)</f>
        <v>2</v>
      </c>
      <c r="BP575" s="14">
        <f t="shared" si="381"/>
        <v>2</v>
      </c>
      <c r="BQ575" s="14">
        <f>INDEX(挂机升级突破!$EH$7:$EH$26,卡牌消耗!BS575)</f>
        <v>72</v>
      </c>
      <c r="BR575" s="14" t="str">
        <f t="shared" si="382"/>
        <v>R守护灵</v>
      </c>
      <c r="BS575" s="14">
        <f t="shared" si="383"/>
        <v>11</v>
      </c>
      <c r="BT575" s="14" t="str">
        <f t="shared" si="384"/>
        <v>R守护灵11突</v>
      </c>
      <c r="BU575" s="14" t="str">
        <f>IF(BN575&gt;0,INDEX(挂机升级突破!$ER$5:$EV$5,卡牌消耗!BN575),"")</f>
        <v>金币</v>
      </c>
      <c r="BV575" s="14">
        <f>IF(BN575&gt;0,ROUND(INDEX(挂机升级突破!$EV$7:$EV$26,卡牌消耗!BS575)*INDEX(卡牌消耗!$B$8:$F$8,BP575)/$Q$4/500,0)*500,"")</f>
        <v>13000</v>
      </c>
      <c r="BW575" s="14" t="str">
        <f>IF(BO575&gt;0,INDEX(挂机升级突破!$ER$5:$EV$5,卡牌消耗!BO575),"")</f>
        <v>乌金</v>
      </c>
      <c r="BX575" s="14">
        <f>IF(BO575&gt;0,ROUND(INDEX(挂机升级突破!$ER$7:$EU$26,卡牌消耗!BS575,卡牌消耗!BO575)*INDEX($B$6:$F$6,BP575)/$Q$4/5,0)*5,"")</f>
        <v>75</v>
      </c>
      <c r="BY575" s="193"/>
      <c r="BZ575" s="193"/>
    </row>
    <row r="576" spans="37:78" ht="16.5" x14ac:dyDescent="0.2">
      <c r="AK576" s="104">
        <v>572</v>
      </c>
      <c r="AL576" s="14">
        <f t="shared" si="375"/>
        <v>11</v>
      </c>
      <c r="AM576" s="14">
        <f>INDEX(挂机升级突破!DQ$6:DQ$57,卡牌消耗!$AT576)</f>
        <v>11</v>
      </c>
      <c r="AN576" s="14">
        <f>INDEX(挂机升级突破!DR$6:DR$57,卡牌消耗!$AT576)</f>
        <v>5</v>
      </c>
      <c r="AO576" s="14">
        <f>INDEX(挂机升级突破!DS$6:DS$57,卡牌消耗!$AT576)</f>
        <v>10</v>
      </c>
      <c r="AP576" s="14">
        <f>INDEX(挂机升级突破!$DP$6:$DP$57,卡牌消耗!AT576)</f>
        <v>148</v>
      </c>
      <c r="AQ576" s="14" t="str">
        <f t="shared" si="376"/>
        <v>张飞</v>
      </c>
      <c r="AR576" s="14">
        <f t="shared" si="377"/>
        <v>4</v>
      </c>
      <c r="AS576" s="14" t="str">
        <f t="shared" si="378"/>
        <v>张飞魂火-52</v>
      </c>
      <c r="AT576" s="14">
        <f t="shared" si="379"/>
        <v>52</v>
      </c>
      <c r="AU576" s="14" t="str">
        <f>IF(AM576&gt;0,INDEX(挂机升级突破!$DT$4:$ED$4,AM576),"")</f>
        <v>金币</v>
      </c>
      <c r="AV576" s="14">
        <f>ROUND(INDEX(挂机升级突破!$DJ$6:$DJ$57,卡牌消耗!AT576)*INDEX(卡牌消耗!$B$8:$F$8,AR576)/$Q$4/50,0)*50</f>
        <v>225650</v>
      </c>
      <c r="AW576" s="14" t="str">
        <f>IF(AN576&gt;0,INDEX(挂机升级突破!$DT$4:$ED$4,AN576),"")</f>
        <v>红色基础材料</v>
      </c>
      <c r="AX576" s="14">
        <f>ROUND(INDEX(挂机升级突破!$DT$6:$ED$57,卡牌消耗!AT576,AN576)*INDEX(卡牌消耗!$B$5:$F$5,AR576)/$Q$4/5,0)*5</f>
        <v>15</v>
      </c>
      <c r="AY576" s="14" t="str">
        <f>IF(AO576&gt;0,INDEX(挂机升级突破!$DT$4:$ED$4,AO576),"")</f>
        <v>灵玉</v>
      </c>
      <c r="AZ576" s="14">
        <f>IF(AO576&gt;0,ROUND(INDEX(挂机升级突破!$DT$6:$ED$57,卡牌消耗!AT576,AO576)*INDEX(卡牌消耗!$B$7:$F$7,AR576)/$Q$4,0),"")</f>
        <v>3</v>
      </c>
      <c r="BL576" s="193">
        <v>572</v>
      </c>
      <c r="BM576" s="14">
        <f t="shared" si="380"/>
        <v>29</v>
      </c>
      <c r="BN576" s="14">
        <f>INDEX(挂机升级突破!$EI$7:$EI$26,BS576)</f>
        <v>5</v>
      </c>
      <c r="BO576" s="14">
        <f>INDEX(挂机升级突破!$EJ$7:$EJ$26,BS576)</f>
        <v>2</v>
      </c>
      <c r="BP576" s="14">
        <f t="shared" si="381"/>
        <v>2</v>
      </c>
      <c r="BQ576" s="14">
        <f>INDEX(挂机升级突破!$EH$7:$EH$26,卡牌消耗!BS576)</f>
        <v>80</v>
      </c>
      <c r="BR576" s="14" t="str">
        <f t="shared" si="382"/>
        <v>R守护灵</v>
      </c>
      <c r="BS576" s="14">
        <f t="shared" si="383"/>
        <v>12</v>
      </c>
      <c r="BT576" s="14" t="str">
        <f t="shared" si="384"/>
        <v>R守护灵12突</v>
      </c>
      <c r="BU576" s="14" t="str">
        <f>IF(BN576&gt;0,INDEX(挂机升级突破!$ER$5:$EV$5,卡牌消耗!BN576),"")</f>
        <v>金币</v>
      </c>
      <c r="BV576" s="14">
        <f>IF(BN576&gt;0,ROUND(INDEX(挂机升级突破!$EV$7:$EV$26,卡牌消耗!BS576)*INDEX(卡牌消耗!$B$8:$F$8,BP576)/$Q$4/500,0)*500,"")</f>
        <v>17500</v>
      </c>
      <c r="BW576" s="14" t="str">
        <f>IF(BO576&gt;0,INDEX(挂机升级突破!$ER$5:$EV$5,卡牌消耗!BO576),"")</f>
        <v>乌金</v>
      </c>
      <c r="BX576" s="14">
        <f>IF(BO576&gt;0,ROUND(INDEX(挂机升级突破!$ER$7:$EU$26,卡牌消耗!BS576,卡牌消耗!BO576)*INDEX($B$6:$F$6,BP576)/$Q$4/5,0)*5,"")</f>
        <v>95</v>
      </c>
      <c r="BY576" s="193"/>
      <c r="BZ576" s="193"/>
    </row>
    <row r="577" spans="37:78" ht="16.5" x14ac:dyDescent="0.2">
      <c r="AK577" s="104">
        <v>573</v>
      </c>
      <c r="AL577" s="14">
        <f t="shared" si="375"/>
        <v>12</v>
      </c>
      <c r="AM577" s="14">
        <f>INDEX(挂机升级突破!DQ$6:DQ$57,卡牌消耗!$AT577)</f>
        <v>11</v>
      </c>
      <c r="AN577" s="14">
        <f>INDEX(挂机升级突破!DR$6:DR$57,卡牌消耗!$AT577)</f>
        <v>1</v>
      </c>
      <c r="AO577" s="14">
        <f>INDEX(挂机升级突破!DS$6:DS$57,卡牌消耗!$AT577)</f>
        <v>0</v>
      </c>
      <c r="AP577" s="14">
        <f>INDEX(挂机升级突破!$DP$6:$DP$57,卡牌消耗!AT577)</f>
        <v>3</v>
      </c>
      <c r="AQ577" s="14" t="str">
        <f t="shared" si="376"/>
        <v>夏侯惇</v>
      </c>
      <c r="AR577" s="14">
        <f t="shared" si="377"/>
        <v>5</v>
      </c>
      <c r="AS577" s="14" t="str">
        <f t="shared" si="378"/>
        <v>夏侯惇魂火-1</v>
      </c>
      <c r="AT577" s="14">
        <f t="shared" si="379"/>
        <v>1</v>
      </c>
      <c r="AU577" s="14" t="str">
        <f>IF(AM577&gt;0,INDEX(挂机升级突破!$DT$4:$ED$4,AM577),"")</f>
        <v>金币</v>
      </c>
      <c r="AV577" s="14">
        <f>ROUND(INDEX(挂机升级突破!$DJ$6:$DJ$57,卡牌消耗!AT577)*INDEX(卡牌消耗!$B$8:$F$8,AR577)/$Q$4/50,0)*50</f>
        <v>1750</v>
      </c>
      <c r="AW577" s="14" t="str">
        <f>IF(AN577&gt;0,INDEX(挂机升级突破!$DT$4:$ED$4,AN577),"")</f>
        <v>绿色基础材料</v>
      </c>
      <c r="AX577" s="14">
        <f>ROUND(INDEX(挂机升级突破!$DT$6:$ED$57,卡牌消耗!AT577,AN577)*INDEX(卡牌消耗!$B$5:$F$5,AR577)/$Q$4/5,0)*5</f>
        <v>40</v>
      </c>
      <c r="AY577" s="14" t="str">
        <f>IF(AO577&gt;0,INDEX(挂机升级突破!$DT$4:$ED$4,AO577),"")</f>
        <v/>
      </c>
      <c r="AZ577" s="14" t="str">
        <f>IF(AO577&gt;0,ROUND(INDEX(挂机升级突破!$DT$6:$ED$57,卡牌消耗!AT577,AO577)*INDEX(卡牌消耗!$B$7:$F$7,AR577)/$Q$4,0),"")</f>
        <v/>
      </c>
      <c r="BL577" s="193">
        <v>573</v>
      </c>
      <c r="BM577" s="14">
        <f t="shared" si="380"/>
        <v>29</v>
      </c>
      <c r="BN577" s="14">
        <f>INDEX(挂机升级突破!$EI$7:$EI$26,BS577)</f>
        <v>5</v>
      </c>
      <c r="BO577" s="14">
        <f>INDEX(挂机升级突破!$EJ$7:$EJ$26,BS577)</f>
        <v>3</v>
      </c>
      <c r="BP577" s="14">
        <f t="shared" si="381"/>
        <v>2</v>
      </c>
      <c r="BQ577" s="14">
        <f>INDEX(挂机升级突破!$EH$7:$EH$26,卡牌消耗!BS577)</f>
        <v>87</v>
      </c>
      <c r="BR577" s="14" t="str">
        <f t="shared" si="382"/>
        <v>R守护灵</v>
      </c>
      <c r="BS577" s="14">
        <f t="shared" si="383"/>
        <v>13</v>
      </c>
      <c r="BT577" s="14" t="str">
        <f t="shared" si="384"/>
        <v>R守护灵13突</v>
      </c>
      <c r="BU577" s="14" t="str">
        <f>IF(BN577&gt;0,INDEX(挂机升级突破!$ER$5:$EV$5,卡牌消耗!BN577),"")</f>
        <v>金币</v>
      </c>
      <c r="BV577" s="14">
        <f>IF(BN577&gt;0,ROUND(INDEX(挂机升级突破!$EV$7:$EV$26,卡牌消耗!BS577)*INDEX(卡牌消耗!$B$8:$F$8,BP577)/$Q$4/500,0)*500,"")</f>
        <v>23500</v>
      </c>
      <c r="BW577" s="14" t="str">
        <f>IF(BO577&gt;0,INDEX(挂机升级突破!$ER$5:$EV$5,卡牌消耗!BO577),"")</f>
        <v>银母</v>
      </c>
      <c r="BX577" s="14">
        <f>IF(BO577&gt;0,ROUND(INDEX(挂机升级突破!$ER$7:$EU$26,卡牌消耗!BS577,卡牌消耗!BO577)*INDEX($B$6:$F$6,BP577)/$Q$4/5,0)*5,"")</f>
        <v>30</v>
      </c>
      <c r="BY577" s="193"/>
      <c r="BZ577" s="193"/>
    </row>
    <row r="578" spans="37:78" ht="16.5" x14ac:dyDescent="0.2">
      <c r="AK578" s="104">
        <v>574</v>
      </c>
      <c r="AL578" s="14">
        <f t="shared" si="375"/>
        <v>12</v>
      </c>
      <c r="AM578" s="14">
        <f>INDEX(挂机升级突破!DQ$6:DQ$57,卡牌消耗!$AT578)</f>
        <v>11</v>
      </c>
      <c r="AN578" s="14">
        <f>INDEX(挂机升级突破!DR$6:DR$57,卡牌消耗!$AT578)</f>
        <v>1</v>
      </c>
      <c r="AO578" s="14">
        <f>INDEX(挂机升级突破!DS$6:DS$57,卡牌消耗!$AT578)</f>
        <v>0</v>
      </c>
      <c r="AP578" s="14">
        <f>INDEX(挂机升级突破!$DP$6:$DP$57,卡牌消耗!AT578)</f>
        <v>8</v>
      </c>
      <c r="AQ578" s="14" t="str">
        <f t="shared" si="376"/>
        <v>夏侯惇</v>
      </c>
      <c r="AR578" s="14">
        <f t="shared" si="377"/>
        <v>5</v>
      </c>
      <c r="AS578" s="14" t="str">
        <f t="shared" si="378"/>
        <v>夏侯惇魂火-2</v>
      </c>
      <c r="AT578" s="14">
        <f t="shared" si="379"/>
        <v>2</v>
      </c>
      <c r="AU578" s="14" t="str">
        <f>IF(AM578&gt;0,INDEX(挂机升级突破!$DT$4:$ED$4,AM578),"")</f>
        <v>金币</v>
      </c>
      <c r="AV578" s="14">
        <f>ROUND(INDEX(挂机升级突破!$DJ$6:$DJ$57,卡牌消耗!AT578)*INDEX(卡牌消耗!$B$8:$F$8,AR578)/$Q$4/50,0)*50</f>
        <v>2100</v>
      </c>
      <c r="AW578" s="14" t="str">
        <f>IF(AN578&gt;0,INDEX(挂机升级突破!$DT$4:$ED$4,AN578),"")</f>
        <v>绿色基础材料</v>
      </c>
      <c r="AX578" s="14">
        <f>ROUND(INDEX(挂机升级突破!$DT$6:$ED$57,卡牌消耗!AT578,AN578)*INDEX(卡牌消耗!$B$5:$F$5,AR578)/$Q$4/5,0)*5</f>
        <v>130</v>
      </c>
      <c r="AY578" s="14" t="str">
        <f>IF(AO578&gt;0,INDEX(挂机升级突破!$DT$4:$ED$4,AO578),"")</f>
        <v/>
      </c>
      <c r="AZ578" s="14" t="str">
        <f>IF(AO578&gt;0,ROUND(INDEX(挂机升级突破!$DT$6:$ED$57,卡牌消耗!AT578,AO578)*INDEX(卡牌消耗!$B$7:$F$7,AR578)/$Q$4,0),"")</f>
        <v/>
      </c>
      <c r="BL578" s="193">
        <v>574</v>
      </c>
      <c r="BM578" s="14">
        <f t="shared" si="380"/>
        <v>29</v>
      </c>
      <c r="BN578" s="14">
        <f>INDEX(挂机升级突破!$EI$7:$EI$26,BS578)</f>
        <v>5</v>
      </c>
      <c r="BO578" s="14">
        <f>INDEX(挂机升级突破!$EJ$7:$EJ$26,BS578)</f>
        <v>3</v>
      </c>
      <c r="BP578" s="14">
        <f t="shared" si="381"/>
        <v>2</v>
      </c>
      <c r="BQ578" s="14">
        <f>INDEX(挂机升级突破!$EH$7:$EH$26,卡牌消耗!BS578)</f>
        <v>95</v>
      </c>
      <c r="BR578" s="14" t="str">
        <f t="shared" si="382"/>
        <v>R守护灵</v>
      </c>
      <c r="BS578" s="14">
        <f t="shared" si="383"/>
        <v>14</v>
      </c>
      <c r="BT578" s="14" t="str">
        <f t="shared" si="384"/>
        <v>R守护灵14突</v>
      </c>
      <c r="BU578" s="14" t="str">
        <f>IF(BN578&gt;0,INDEX(挂机升级突破!$ER$5:$EV$5,卡牌消耗!BN578),"")</f>
        <v>金币</v>
      </c>
      <c r="BV578" s="14">
        <f>IF(BN578&gt;0,ROUND(INDEX(挂机升级突破!$EV$7:$EV$26,卡牌消耗!BS578)*INDEX(卡牌消耗!$B$8:$F$8,BP578)/$Q$4/500,0)*500,"")</f>
        <v>23500</v>
      </c>
      <c r="BW578" s="14" t="str">
        <f>IF(BO578&gt;0,INDEX(挂机升级突破!$ER$5:$EV$5,卡牌消耗!BO578),"")</f>
        <v>银母</v>
      </c>
      <c r="BX578" s="14">
        <f>IF(BO578&gt;0,ROUND(INDEX(挂机升级突破!$ER$7:$EU$26,卡牌消耗!BS578,卡牌消耗!BO578)*INDEX($B$6:$F$6,BP578)/$Q$4/5,0)*5,"")</f>
        <v>45</v>
      </c>
      <c r="BY578" s="193"/>
      <c r="BZ578" s="193"/>
    </row>
    <row r="579" spans="37:78" ht="16.5" x14ac:dyDescent="0.2">
      <c r="AK579" s="104">
        <v>575</v>
      </c>
      <c r="AL579" s="14">
        <f t="shared" si="375"/>
        <v>12</v>
      </c>
      <c r="AM579" s="14">
        <f>INDEX(挂机升级突破!DQ$6:DQ$57,卡牌消耗!$AT579)</f>
        <v>11</v>
      </c>
      <c r="AN579" s="14">
        <f>INDEX(挂机升级突破!DR$6:DR$57,卡牌消耗!$AT579)</f>
        <v>1</v>
      </c>
      <c r="AO579" s="14">
        <f>INDEX(挂机升级突破!DS$6:DS$57,卡牌消耗!$AT579)</f>
        <v>0</v>
      </c>
      <c r="AP579" s="14">
        <f>INDEX(挂机升级突破!$DP$6:$DP$57,卡牌消耗!AT579)</f>
        <v>13</v>
      </c>
      <c r="AQ579" s="14" t="str">
        <f t="shared" si="376"/>
        <v>夏侯惇</v>
      </c>
      <c r="AR579" s="14">
        <f t="shared" si="377"/>
        <v>5</v>
      </c>
      <c r="AS579" s="14" t="str">
        <f t="shared" si="378"/>
        <v>夏侯惇魂火-3</v>
      </c>
      <c r="AT579" s="14">
        <f t="shared" si="379"/>
        <v>3</v>
      </c>
      <c r="AU579" s="14" t="str">
        <f>IF(AM579&gt;0,INDEX(挂机升级突破!$DT$4:$ED$4,AM579),"")</f>
        <v>金币</v>
      </c>
      <c r="AV579" s="14">
        <f>ROUND(INDEX(挂机升级突破!$DJ$6:$DJ$57,卡牌消耗!AT579)*INDEX(卡牌消耗!$B$8:$F$8,AR579)/$Q$4/50,0)*50</f>
        <v>2100</v>
      </c>
      <c r="AW579" s="14" t="str">
        <f>IF(AN579&gt;0,INDEX(挂机升级突破!$DT$4:$ED$4,AN579),"")</f>
        <v>绿色基础材料</v>
      </c>
      <c r="AX579" s="14">
        <f>ROUND(INDEX(挂机升级突破!$DT$6:$ED$57,卡牌消耗!AT579,AN579)*INDEX(卡牌消耗!$B$5:$F$5,AR579)/$Q$4/5,0)*5</f>
        <v>155</v>
      </c>
      <c r="AY579" s="14" t="str">
        <f>IF(AO579&gt;0,INDEX(挂机升级突破!$DT$4:$ED$4,AO579),"")</f>
        <v/>
      </c>
      <c r="AZ579" s="14" t="str">
        <f>IF(AO579&gt;0,ROUND(INDEX(挂机升级突破!$DT$6:$ED$57,卡牌消耗!AT579,AO579)*INDEX(卡牌消耗!$B$7:$F$7,AR579)/$Q$4,0),"")</f>
        <v/>
      </c>
      <c r="BL579" s="193">
        <v>575</v>
      </c>
      <c r="BM579" s="14">
        <f t="shared" si="380"/>
        <v>29</v>
      </c>
      <c r="BN579" s="14">
        <f>INDEX(挂机升级突破!$EI$7:$EI$26,BS579)</f>
        <v>5</v>
      </c>
      <c r="BO579" s="14">
        <f>INDEX(挂机升级突破!$EJ$7:$EJ$26,BS579)</f>
        <v>3</v>
      </c>
      <c r="BP579" s="14">
        <f t="shared" si="381"/>
        <v>2</v>
      </c>
      <c r="BQ579" s="14">
        <f>INDEX(挂机升级突破!$EH$7:$EH$26,卡牌消耗!BS579)</f>
        <v>102</v>
      </c>
      <c r="BR579" s="14" t="str">
        <f t="shared" si="382"/>
        <v>R守护灵</v>
      </c>
      <c r="BS579" s="14">
        <f t="shared" si="383"/>
        <v>15</v>
      </c>
      <c r="BT579" s="14" t="str">
        <f t="shared" si="384"/>
        <v>R守护灵15突</v>
      </c>
      <c r="BU579" s="14" t="str">
        <f>IF(BN579&gt;0,INDEX(挂机升级突破!$ER$5:$EV$5,卡牌消耗!BN579),"")</f>
        <v>金币</v>
      </c>
      <c r="BV579" s="14">
        <f>IF(BN579&gt;0,ROUND(INDEX(挂机升级突破!$EV$7:$EV$26,卡牌消耗!BS579)*INDEX(卡牌消耗!$B$8:$F$8,BP579)/$Q$4/500,0)*500,"")</f>
        <v>31000</v>
      </c>
      <c r="BW579" s="14" t="str">
        <f>IF(BO579&gt;0,INDEX(挂机升级突破!$ER$5:$EV$5,卡牌消耗!BO579),"")</f>
        <v>银母</v>
      </c>
      <c r="BX579" s="14">
        <f>IF(BO579&gt;0,ROUND(INDEX(挂机升级突破!$ER$7:$EU$26,卡牌消耗!BS579,卡牌消耗!BO579)*INDEX($B$6:$F$6,BP579)/$Q$4/5,0)*5,"")</f>
        <v>55</v>
      </c>
      <c r="BY579" s="193"/>
      <c r="BZ579" s="193"/>
    </row>
    <row r="580" spans="37:78" ht="16.5" x14ac:dyDescent="0.2">
      <c r="AK580" s="104">
        <v>576</v>
      </c>
      <c r="AL580" s="14">
        <f t="shared" si="375"/>
        <v>12</v>
      </c>
      <c r="AM580" s="14">
        <f>INDEX(挂机升级突破!DQ$6:DQ$57,卡牌消耗!$AT580)</f>
        <v>11</v>
      </c>
      <c r="AN580" s="14">
        <f>INDEX(挂机升级突破!DR$6:DR$57,卡牌消耗!$AT580)</f>
        <v>1</v>
      </c>
      <c r="AO580" s="14">
        <f>INDEX(挂机升级突破!DS$6:DS$57,卡牌消耗!$AT580)</f>
        <v>0</v>
      </c>
      <c r="AP580" s="14">
        <f>INDEX(挂机升级突破!$DP$6:$DP$57,卡牌消耗!AT580)</f>
        <v>18</v>
      </c>
      <c r="AQ580" s="14" t="str">
        <f t="shared" si="376"/>
        <v>夏侯惇</v>
      </c>
      <c r="AR580" s="14">
        <f t="shared" si="377"/>
        <v>5</v>
      </c>
      <c r="AS580" s="14" t="str">
        <f t="shared" si="378"/>
        <v>夏侯惇魂火-4</v>
      </c>
      <c r="AT580" s="14">
        <f t="shared" si="379"/>
        <v>4</v>
      </c>
      <c r="AU580" s="14" t="str">
        <f>IF(AM580&gt;0,INDEX(挂机升级突破!$DT$4:$ED$4,AM580),"")</f>
        <v>金币</v>
      </c>
      <c r="AV580" s="14">
        <f>ROUND(INDEX(挂机升级突破!$DJ$6:$DJ$57,卡牌消耗!AT580)*INDEX(卡牌消耗!$B$8:$F$8,AR580)/$Q$4/50,0)*50</f>
        <v>2100</v>
      </c>
      <c r="AW580" s="14" t="str">
        <f>IF(AN580&gt;0,INDEX(挂机升级突破!$DT$4:$ED$4,AN580),"")</f>
        <v>绿色基础材料</v>
      </c>
      <c r="AX580" s="14">
        <f>ROUND(INDEX(挂机升级突破!$DT$6:$ED$57,卡牌消耗!AT580,AN580)*INDEX(卡牌消耗!$B$5:$F$5,AR580)/$Q$4/5,0)*5</f>
        <v>215</v>
      </c>
      <c r="AY580" s="14" t="str">
        <f>IF(AO580&gt;0,INDEX(挂机升级突破!$DT$4:$ED$4,AO580),"")</f>
        <v/>
      </c>
      <c r="AZ580" s="14" t="str">
        <f>IF(AO580&gt;0,ROUND(INDEX(挂机升级突破!$DT$6:$ED$57,卡牌消耗!AT580,AO580)*INDEX(卡牌消耗!$B$7:$F$7,AR580)/$Q$4,0),"")</f>
        <v/>
      </c>
      <c r="BL580" s="193">
        <v>576</v>
      </c>
      <c r="BM580" s="14">
        <f t="shared" si="380"/>
        <v>29</v>
      </c>
      <c r="BN580" s="14">
        <f>INDEX(挂机升级突破!$EI$7:$EI$26,BS580)</f>
        <v>5</v>
      </c>
      <c r="BO580" s="14">
        <f>INDEX(挂机升级突破!$EJ$7:$EJ$26,BS580)</f>
        <v>3</v>
      </c>
      <c r="BP580" s="14">
        <f t="shared" si="381"/>
        <v>2</v>
      </c>
      <c r="BQ580" s="14">
        <f>INDEX(挂机升级突破!$EH$7:$EH$26,卡牌消耗!BS580)</f>
        <v>110</v>
      </c>
      <c r="BR580" s="14" t="str">
        <f t="shared" si="382"/>
        <v>R守护灵</v>
      </c>
      <c r="BS580" s="14">
        <f t="shared" si="383"/>
        <v>16</v>
      </c>
      <c r="BT580" s="14" t="str">
        <f t="shared" si="384"/>
        <v>R守护灵16突</v>
      </c>
      <c r="BU580" s="14" t="str">
        <f>IF(BN580&gt;0,INDEX(挂机升级突破!$ER$5:$EV$5,卡牌消耗!BN580),"")</f>
        <v>金币</v>
      </c>
      <c r="BV580" s="14">
        <f>IF(BN580&gt;0,ROUND(INDEX(挂机升级突破!$EV$7:$EV$26,卡牌消耗!BS580)*INDEX(卡牌消耗!$B$8:$F$8,BP580)/$Q$4/500,0)*500,"")</f>
        <v>56500</v>
      </c>
      <c r="BW580" s="14" t="str">
        <f>IF(BO580&gt;0,INDEX(挂机升级突破!$ER$5:$EV$5,卡牌消耗!BO580),"")</f>
        <v>银母</v>
      </c>
      <c r="BX580" s="14">
        <f>IF(BO580&gt;0,ROUND(INDEX(挂机升级突破!$ER$7:$EU$26,卡牌消耗!BS580,卡牌消耗!BO580)*INDEX($B$6:$F$6,BP580)/$Q$4/5,0)*5,"")</f>
        <v>75</v>
      </c>
      <c r="BY580" s="193"/>
      <c r="BZ580" s="193"/>
    </row>
    <row r="581" spans="37:78" ht="16.5" x14ac:dyDescent="0.2">
      <c r="AK581" s="104">
        <v>577</v>
      </c>
      <c r="AL581" s="14">
        <f t="shared" si="375"/>
        <v>12</v>
      </c>
      <c r="AM581" s="14">
        <f>INDEX(挂机升级突破!DQ$6:DQ$57,卡牌消耗!$AT581)</f>
        <v>11</v>
      </c>
      <c r="AN581" s="14">
        <f>INDEX(挂机升级突破!DR$6:DR$57,卡牌消耗!$AT581)</f>
        <v>1</v>
      </c>
      <c r="AO581" s="14">
        <f>INDEX(挂机升级突破!DS$6:DS$57,卡牌消耗!$AT581)</f>
        <v>0</v>
      </c>
      <c r="AP581" s="14">
        <f>INDEX(挂机升级突破!$DP$6:$DP$57,卡牌消耗!AT581)</f>
        <v>23</v>
      </c>
      <c r="AQ581" s="14" t="str">
        <f t="shared" si="376"/>
        <v>夏侯惇</v>
      </c>
      <c r="AR581" s="14">
        <f t="shared" si="377"/>
        <v>5</v>
      </c>
      <c r="AS581" s="14" t="str">
        <f t="shared" si="378"/>
        <v>夏侯惇魂火-5</v>
      </c>
      <c r="AT581" s="14">
        <f t="shared" si="379"/>
        <v>5</v>
      </c>
      <c r="AU581" s="14" t="str">
        <f>IF(AM581&gt;0,INDEX(挂机升级突破!$DT$4:$ED$4,AM581),"")</f>
        <v>金币</v>
      </c>
      <c r="AV581" s="14">
        <f>ROUND(INDEX(挂机升级突破!$DJ$6:$DJ$57,卡牌消耗!AT581)*INDEX(卡牌消耗!$B$8:$F$8,AR581)/$Q$4/50,0)*50</f>
        <v>2100</v>
      </c>
      <c r="AW581" s="14" t="str">
        <f>IF(AN581&gt;0,INDEX(挂机升级突破!$DT$4:$ED$4,AN581),"")</f>
        <v>绿色基础材料</v>
      </c>
      <c r="AX581" s="14">
        <f>ROUND(INDEX(挂机升级突破!$DT$6:$ED$57,卡牌消耗!AT581,AN581)*INDEX(卡牌消耗!$B$5:$F$5,AR581)/$Q$4/5,0)*5</f>
        <v>230</v>
      </c>
      <c r="AY581" s="14" t="str">
        <f>IF(AO581&gt;0,INDEX(挂机升级突破!$DT$4:$ED$4,AO581),"")</f>
        <v/>
      </c>
      <c r="AZ581" s="14" t="str">
        <f>IF(AO581&gt;0,ROUND(INDEX(挂机升级突破!$DT$6:$ED$57,卡牌消耗!AT581,AO581)*INDEX(卡牌消耗!$B$7:$F$7,AR581)/$Q$4,0),"")</f>
        <v/>
      </c>
      <c r="BL581" s="193">
        <v>577</v>
      </c>
      <c r="BM581" s="14">
        <f t="shared" si="380"/>
        <v>29</v>
      </c>
      <c r="BN581" s="14">
        <f>INDEX(挂机升级突破!$EI$7:$EI$26,BS581)</f>
        <v>5</v>
      </c>
      <c r="BO581" s="14">
        <f>INDEX(挂机升级突破!$EJ$7:$EJ$26,BS581)</f>
        <v>4</v>
      </c>
      <c r="BP581" s="14">
        <f t="shared" si="381"/>
        <v>2</v>
      </c>
      <c r="BQ581" s="14">
        <f>INDEX(挂机升级突破!$EH$7:$EH$26,卡牌消耗!BS581)</f>
        <v>117</v>
      </c>
      <c r="BR581" s="14" t="str">
        <f t="shared" si="382"/>
        <v>R守护灵</v>
      </c>
      <c r="BS581" s="14">
        <f t="shared" si="383"/>
        <v>17</v>
      </c>
      <c r="BT581" s="14" t="str">
        <f t="shared" si="384"/>
        <v>R守护灵17突</v>
      </c>
      <c r="BU581" s="14" t="str">
        <f>IF(BN581&gt;0,INDEX(挂机升级突破!$ER$5:$EV$5,卡牌消耗!BN581),"")</f>
        <v>金币</v>
      </c>
      <c r="BV581" s="14">
        <f>IF(BN581&gt;0,ROUND(INDEX(挂机升级突破!$EV$7:$EV$26,卡牌消耗!BS581)*INDEX(卡牌消耗!$B$8:$F$8,BP581)/$Q$4/500,0)*500,"")</f>
        <v>56500</v>
      </c>
      <c r="BW581" s="14" t="str">
        <f>IF(BO581&gt;0,INDEX(挂机升级突破!$ER$5:$EV$5,卡牌消耗!BO581),"")</f>
        <v>铀金</v>
      </c>
      <c r="BX581" s="14">
        <f>IF(BO581&gt;0,ROUND(INDEX(挂机升级突破!$ER$7:$EU$26,卡牌消耗!BS581,卡牌消耗!BO581)*INDEX($B$6:$F$6,BP581)/$Q$4/5,0)*5,"")</f>
        <v>15</v>
      </c>
      <c r="BY581" s="193"/>
      <c r="BZ581" s="193"/>
    </row>
    <row r="582" spans="37:78" ht="16.5" x14ac:dyDescent="0.2">
      <c r="AK582" s="104">
        <v>578</v>
      </c>
      <c r="AL582" s="14">
        <f t="shared" ref="AL582:AL645" si="385">INT((AK582-1)/52)+1</f>
        <v>12</v>
      </c>
      <c r="AM582" s="14">
        <f>INDEX(挂机升级突破!DQ$6:DQ$57,卡牌消耗!$AT582)</f>
        <v>11</v>
      </c>
      <c r="AN582" s="14">
        <f>INDEX(挂机升级突破!DR$6:DR$57,卡牌消耗!$AT582)</f>
        <v>2</v>
      </c>
      <c r="AO582" s="14">
        <f>INDEX(挂机升级突破!DS$6:DS$57,卡牌消耗!$AT582)</f>
        <v>0</v>
      </c>
      <c r="AP582" s="14">
        <f>INDEX(挂机升级突破!$DP$6:$DP$57,卡牌消耗!AT582)</f>
        <v>28</v>
      </c>
      <c r="AQ582" s="14" t="str">
        <f t="shared" ref="AQ582:AQ645" si="386">INDEX($B$13:$B$45,AL582)</f>
        <v>夏侯惇</v>
      </c>
      <c r="AR582" s="14">
        <f t="shared" ref="AR582:AR645" si="387">INDEX($C$13:$C$45,AL582)</f>
        <v>5</v>
      </c>
      <c r="AS582" s="14" t="str">
        <f t="shared" ref="AS582:AS645" si="388">AQ582&amp;"魂火-"&amp;AT582</f>
        <v>夏侯惇魂火-6</v>
      </c>
      <c r="AT582" s="14">
        <f t="shared" ref="AT582:AT645" si="389">AK582-(AL582-1)*52</f>
        <v>6</v>
      </c>
      <c r="AU582" s="14" t="str">
        <f>IF(AM582&gt;0,INDEX(挂机升级突破!$DT$4:$ED$4,AM582),"")</f>
        <v>金币</v>
      </c>
      <c r="AV582" s="14">
        <f>ROUND(INDEX(挂机升级突破!$DJ$6:$DJ$57,卡牌消耗!AT582)*INDEX(卡牌消耗!$B$8:$F$8,AR582)/$Q$4/50,0)*50</f>
        <v>2550</v>
      </c>
      <c r="AW582" s="14" t="str">
        <f>IF(AN582&gt;0,INDEX(挂机升级突破!$DT$4:$ED$4,AN582),"")</f>
        <v>蓝色基础材料</v>
      </c>
      <c r="AX582" s="14">
        <f>ROUND(INDEX(挂机升级突破!$DT$6:$ED$57,卡牌消耗!AT582,AN582)*INDEX(卡牌消耗!$B$5:$F$5,AR582)/$Q$4/5,0)*5</f>
        <v>45</v>
      </c>
      <c r="AY582" s="14" t="str">
        <f>IF(AO582&gt;0,INDEX(挂机升级突破!$DT$4:$ED$4,AO582),"")</f>
        <v/>
      </c>
      <c r="AZ582" s="14" t="str">
        <f>IF(AO582&gt;0,ROUND(INDEX(挂机升级突破!$DT$6:$ED$57,卡牌消耗!AT582,AO582)*INDEX(卡牌消耗!$B$7:$F$7,AR582)/$Q$4,0),"")</f>
        <v/>
      </c>
      <c r="BL582" s="193">
        <v>578</v>
      </c>
      <c r="BM582" s="14">
        <f t="shared" ref="BM582:BM644" si="390">INT((BL582-1)/20)+1</f>
        <v>29</v>
      </c>
      <c r="BN582" s="14">
        <f>INDEX(挂机升级突破!$EI$7:$EI$26,BS582)</f>
        <v>5</v>
      </c>
      <c r="BO582" s="14">
        <f>INDEX(挂机升级突破!$EJ$7:$EJ$26,BS582)</f>
        <v>4</v>
      </c>
      <c r="BP582" s="14">
        <f t="shared" ref="BP582:BP644" si="391">INDEX($C$13:$C$45,BM582)</f>
        <v>2</v>
      </c>
      <c r="BQ582" s="14">
        <f>INDEX(挂机升级突破!$EH$7:$EH$26,卡牌消耗!BS582)</f>
        <v>125</v>
      </c>
      <c r="BR582" s="14" t="str">
        <f t="shared" ref="BR582:BR644" si="392">INDEX($B$13:$B$45,BM582)</f>
        <v>R守护灵</v>
      </c>
      <c r="BS582" s="14">
        <f t="shared" ref="BS582:BS644" si="393">BL582-(BM582-1)*20</f>
        <v>18</v>
      </c>
      <c r="BT582" s="14" t="str">
        <f t="shared" ref="BT582:BT644" si="394">BR582&amp;BS582&amp;"突"</f>
        <v>R守护灵18突</v>
      </c>
      <c r="BU582" s="14" t="str">
        <f>IF(BN582&gt;0,INDEX(挂机升级突破!$ER$5:$EV$5,卡牌消耗!BN582),"")</f>
        <v>金币</v>
      </c>
      <c r="BV582" s="14">
        <f>IF(BN582&gt;0,ROUND(INDEX(挂机升级突破!$EV$7:$EV$26,卡牌消耗!BS582)*INDEX(卡牌消耗!$B$8:$F$8,BP582)/$Q$4/500,0)*500,"")</f>
        <v>75000</v>
      </c>
      <c r="BW582" s="14" t="str">
        <f>IF(BO582&gt;0,INDEX(挂机升级突破!$ER$5:$EV$5,卡牌消耗!BO582),"")</f>
        <v>铀金</v>
      </c>
      <c r="BX582" s="14">
        <f>IF(BO582&gt;0,ROUND(INDEX(挂机升级突破!$ER$7:$EU$26,卡牌消耗!BS582,卡牌消耗!BO582)*INDEX($B$6:$F$6,BP582)/$Q$4/5,0)*5,"")</f>
        <v>20</v>
      </c>
      <c r="BY582" s="193"/>
      <c r="BZ582" s="193"/>
    </row>
    <row r="583" spans="37:78" ht="16.5" x14ac:dyDescent="0.2">
      <c r="AK583" s="104">
        <v>579</v>
      </c>
      <c r="AL583" s="14">
        <f t="shared" si="385"/>
        <v>12</v>
      </c>
      <c r="AM583" s="14">
        <f>INDEX(挂机升级突破!DQ$6:DQ$57,卡牌消耗!$AT583)</f>
        <v>11</v>
      </c>
      <c r="AN583" s="14">
        <f>INDEX(挂机升级突破!DR$6:DR$57,卡牌消耗!$AT583)</f>
        <v>2</v>
      </c>
      <c r="AO583" s="14">
        <f>INDEX(挂机升级突破!DS$6:DS$57,卡牌消耗!$AT583)</f>
        <v>0</v>
      </c>
      <c r="AP583" s="14">
        <f>INDEX(挂机升级突破!$DP$6:$DP$57,卡牌消耗!AT583)</f>
        <v>33</v>
      </c>
      <c r="AQ583" s="14" t="str">
        <f t="shared" si="386"/>
        <v>夏侯惇</v>
      </c>
      <c r="AR583" s="14">
        <f t="shared" si="387"/>
        <v>5</v>
      </c>
      <c r="AS583" s="14" t="str">
        <f t="shared" si="388"/>
        <v>夏侯惇魂火-7</v>
      </c>
      <c r="AT583" s="14">
        <f t="shared" si="389"/>
        <v>7</v>
      </c>
      <c r="AU583" s="14" t="str">
        <f>IF(AM583&gt;0,INDEX(挂机升级突破!$DT$4:$ED$4,AM583),"")</f>
        <v>金币</v>
      </c>
      <c r="AV583" s="14">
        <f>ROUND(INDEX(挂机升级突破!$DJ$6:$DJ$57,卡牌消耗!AT583)*INDEX(卡牌消耗!$B$8:$F$8,AR583)/$Q$4/50,0)*50</f>
        <v>2550</v>
      </c>
      <c r="AW583" s="14" t="str">
        <f>IF(AN583&gt;0,INDEX(挂机升级突破!$DT$4:$ED$4,AN583),"")</f>
        <v>蓝色基础材料</v>
      </c>
      <c r="AX583" s="14">
        <f>ROUND(INDEX(挂机升级突破!$DT$6:$ED$57,卡牌消耗!AT583,AN583)*INDEX(卡牌消耗!$B$5:$F$5,AR583)/$Q$4/5,0)*5</f>
        <v>45</v>
      </c>
      <c r="AY583" s="14" t="str">
        <f>IF(AO583&gt;0,INDEX(挂机升级突破!$DT$4:$ED$4,AO583),"")</f>
        <v/>
      </c>
      <c r="AZ583" s="14" t="str">
        <f>IF(AO583&gt;0,ROUND(INDEX(挂机升级突破!$DT$6:$ED$57,卡牌消耗!AT583,AO583)*INDEX(卡牌消耗!$B$7:$F$7,AR583)/$Q$4,0),"")</f>
        <v/>
      </c>
      <c r="BL583" s="193">
        <v>579</v>
      </c>
      <c r="BM583" s="14">
        <f t="shared" si="390"/>
        <v>29</v>
      </c>
      <c r="BN583" s="14">
        <f>INDEX(挂机升级突破!$EI$7:$EI$26,BS583)</f>
        <v>5</v>
      </c>
      <c r="BO583" s="14">
        <f>INDEX(挂机升级突破!$EJ$7:$EJ$26,BS583)</f>
        <v>4</v>
      </c>
      <c r="BP583" s="14">
        <f t="shared" si="391"/>
        <v>2</v>
      </c>
      <c r="BQ583" s="14">
        <f>INDEX(挂机升级突破!$EH$7:$EH$26,卡牌消耗!BS583)</f>
        <v>132</v>
      </c>
      <c r="BR583" s="14" t="str">
        <f t="shared" si="392"/>
        <v>R守护灵</v>
      </c>
      <c r="BS583" s="14">
        <f t="shared" si="393"/>
        <v>19</v>
      </c>
      <c r="BT583" s="14" t="str">
        <f t="shared" si="394"/>
        <v>R守护灵19突</v>
      </c>
      <c r="BU583" s="14" t="str">
        <f>IF(BN583&gt;0,INDEX(挂机升级突破!$ER$5:$EV$5,卡牌消耗!BN583),"")</f>
        <v>金币</v>
      </c>
      <c r="BV583" s="14">
        <f>IF(BN583&gt;0,ROUND(INDEX(挂机升级突破!$EV$7:$EV$26,卡牌消耗!BS583)*INDEX(卡牌消耗!$B$8:$F$8,BP583)/$Q$4/500,0)*500,"")</f>
        <v>191500</v>
      </c>
      <c r="BW583" s="14" t="str">
        <f>IF(BO583&gt;0,INDEX(挂机升级突破!$ER$5:$EV$5,卡牌消耗!BO583),"")</f>
        <v>铀金</v>
      </c>
      <c r="BX583" s="14">
        <f>IF(BO583&gt;0,ROUND(INDEX(挂机升级突破!$ER$7:$EU$26,卡牌消耗!BS583,卡牌消耗!BO583)*INDEX($B$6:$F$6,BP583)/$Q$4/5,0)*5,"")</f>
        <v>25</v>
      </c>
      <c r="BY583" s="193"/>
      <c r="BZ583" s="193"/>
    </row>
    <row r="584" spans="37:78" ht="16.5" x14ac:dyDescent="0.2">
      <c r="AK584" s="104">
        <v>580</v>
      </c>
      <c r="AL584" s="14">
        <f t="shared" si="385"/>
        <v>12</v>
      </c>
      <c r="AM584" s="14">
        <f>INDEX(挂机升级突破!DQ$6:DQ$57,卡牌消耗!$AT584)</f>
        <v>11</v>
      </c>
      <c r="AN584" s="14">
        <f>INDEX(挂机升级突破!DR$6:DR$57,卡牌消耗!$AT584)</f>
        <v>2</v>
      </c>
      <c r="AO584" s="14">
        <f>INDEX(挂机升级突破!DS$6:DS$57,卡牌消耗!$AT584)</f>
        <v>0</v>
      </c>
      <c r="AP584" s="14">
        <f>INDEX(挂机升级突破!$DP$6:$DP$57,卡牌消耗!AT584)</f>
        <v>38</v>
      </c>
      <c r="AQ584" s="14" t="str">
        <f t="shared" si="386"/>
        <v>夏侯惇</v>
      </c>
      <c r="AR584" s="14">
        <f t="shared" si="387"/>
        <v>5</v>
      </c>
      <c r="AS584" s="14" t="str">
        <f t="shared" si="388"/>
        <v>夏侯惇魂火-8</v>
      </c>
      <c r="AT584" s="14">
        <f t="shared" si="389"/>
        <v>8</v>
      </c>
      <c r="AU584" s="14" t="str">
        <f>IF(AM584&gt;0,INDEX(挂机升级突破!$DT$4:$ED$4,AM584),"")</f>
        <v>金币</v>
      </c>
      <c r="AV584" s="14">
        <f>ROUND(INDEX(挂机升级突破!$DJ$6:$DJ$57,卡牌消耗!AT584)*INDEX(卡牌消耗!$B$8:$F$8,AR584)/$Q$4/50,0)*50</f>
        <v>3800</v>
      </c>
      <c r="AW584" s="14" t="str">
        <f>IF(AN584&gt;0,INDEX(挂机升级突破!$DT$4:$ED$4,AN584),"")</f>
        <v>蓝色基础材料</v>
      </c>
      <c r="AX584" s="14">
        <f>ROUND(INDEX(挂机升级突破!$DT$6:$ED$57,卡牌消耗!AT584,AN584)*INDEX(卡牌消耗!$B$5:$F$5,AR584)/$Q$4/5,0)*5</f>
        <v>85</v>
      </c>
      <c r="AY584" s="14" t="str">
        <f>IF(AO584&gt;0,INDEX(挂机升级突破!$DT$4:$ED$4,AO584),"")</f>
        <v/>
      </c>
      <c r="AZ584" s="14" t="str">
        <f>IF(AO584&gt;0,ROUND(INDEX(挂机升级突破!$DT$6:$ED$57,卡牌消耗!AT584,AO584)*INDEX(卡牌消耗!$B$7:$F$7,AR584)/$Q$4,0),"")</f>
        <v/>
      </c>
      <c r="BL584" s="193">
        <v>580</v>
      </c>
      <c r="BM584" s="14">
        <f t="shared" si="390"/>
        <v>29</v>
      </c>
      <c r="BN584" s="14">
        <f>INDEX(挂机升级突破!$EI$7:$EI$26,BS584)</f>
        <v>5</v>
      </c>
      <c r="BO584" s="14">
        <f>INDEX(挂机升级突破!$EJ$7:$EJ$26,BS584)</f>
        <v>4</v>
      </c>
      <c r="BP584" s="14">
        <f t="shared" si="391"/>
        <v>2</v>
      </c>
      <c r="BQ584" s="14">
        <f>INDEX(挂机升级突破!$EH$7:$EH$26,卡牌消耗!BS584)</f>
        <v>140</v>
      </c>
      <c r="BR584" s="14" t="str">
        <f t="shared" si="392"/>
        <v>R守护灵</v>
      </c>
      <c r="BS584" s="14">
        <f t="shared" si="393"/>
        <v>20</v>
      </c>
      <c r="BT584" s="14" t="str">
        <f t="shared" si="394"/>
        <v>R守护灵20突</v>
      </c>
      <c r="BU584" s="14" t="str">
        <f>IF(BN584&gt;0,INDEX(挂机升级突破!$ER$5:$EV$5,卡牌消耗!BN584),"")</f>
        <v>金币</v>
      </c>
      <c r="BV584" s="14">
        <f>IF(BN584&gt;0,ROUND(INDEX(挂机升级突破!$EV$7:$EV$26,卡牌消耗!BS584)*INDEX(卡牌消耗!$B$8:$F$8,BP584)/$Q$4/500,0)*500,"")</f>
        <v>287000</v>
      </c>
      <c r="BW584" s="14" t="str">
        <f>IF(BO584&gt;0,INDEX(挂机升级突破!$ER$5:$EV$5,卡牌消耗!BO584),"")</f>
        <v>铀金</v>
      </c>
      <c r="BX584" s="14">
        <f>IF(BO584&gt;0,ROUND(INDEX(挂机升级突破!$ER$7:$EU$26,卡牌消耗!BS584,卡牌消耗!BO584)*INDEX($B$6:$F$6,BP584)/$Q$4/5,0)*5,"")</f>
        <v>35</v>
      </c>
      <c r="BY584" s="193"/>
      <c r="BZ584" s="193"/>
    </row>
    <row r="585" spans="37:78" ht="16.5" x14ac:dyDescent="0.2">
      <c r="AK585" s="104">
        <v>581</v>
      </c>
      <c r="AL585" s="14">
        <f t="shared" si="385"/>
        <v>12</v>
      </c>
      <c r="AM585" s="14">
        <f>INDEX(挂机升级突破!DQ$6:DQ$57,卡牌消耗!$AT585)</f>
        <v>11</v>
      </c>
      <c r="AN585" s="14">
        <f>INDEX(挂机升级突破!DR$6:DR$57,卡牌消耗!$AT585)</f>
        <v>2</v>
      </c>
      <c r="AO585" s="14">
        <f>INDEX(挂机升级突破!DS$6:DS$57,卡牌消耗!$AT585)</f>
        <v>0</v>
      </c>
      <c r="AP585" s="14">
        <f>INDEX(挂机升级突破!$DP$6:$DP$57,卡牌消耗!AT585)</f>
        <v>40</v>
      </c>
      <c r="AQ585" s="14" t="str">
        <f t="shared" si="386"/>
        <v>夏侯惇</v>
      </c>
      <c r="AR585" s="14">
        <f t="shared" si="387"/>
        <v>5</v>
      </c>
      <c r="AS585" s="14" t="str">
        <f t="shared" si="388"/>
        <v>夏侯惇魂火-9</v>
      </c>
      <c r="AT585" s="14">
        <f t="shared" si="389"/>
        <v>9</v>
      </c>
      <c r="AU585" s="14" t="str">
        <f>IF(AM585&gt;0,INDEX(挂机升级突破!$DT$4:$ED$4,AM585),"")</f>
        <v>金币</v>
      </c>
      <c r="AV585" s="14">
        <f>ROUND(INDEX(挂机升级突破!$DJ$6:$DJ$57,卡牌消耗!AT585)*INDEX(卡牌消耗!$B$8:$F$8,AR585)/$Q$4/50,0)*50</f>
        <v>3800</v>
      </c>
      <c r="AW585" s="14" t="str">
        <f>IF(AN585&gt;0,INDEX(挂机升级突破!$DT$4:$ED$4,AN585),"")</f>
        <v>蓝色基础材料</v>
      </c>
      <c r="AX585" s="14">
        <f>ROUND(INDEX(挂机升级突破!$DT$6:$ED$57,卡牌消耗!AT585,AN585)*INDEX(卡牌消耗!$B$5:$F$5,AR585)/$Q$4/5,0)*5</f>
        <v>85</v>
      </c>
      <c r="AY585" s="14" t="str">
        <f>IF(AO585&gt;0,INDEX(挂机升级突破!$DT$4:$ED$4,AO585),"")</f>
        <v/>
      </c>
      <c r="AZ585" s="14" t="str">
        <f>IF(AO585&gt;0,ROUND(INDEX(挂机升级突破!$DT$6:$ED$57,卡牌消耗!AT585,AO585)*INDEX(卡牌消耗!$B$7:$F$7,AR585)/$Q$4,0),"")</f>
        <v/>
      </c>
      <c r="BL585" s="193">
        <v>581</v>
      </c>
      <c r="BM585" s="14">
        <f t="shared" si="390"/>
        <v>30</v>
      </c>
      <c r="BN585" s="14">
        <f>INDEX(挂机升级突破!$EI$7:$EI$26,BS585)</f>
        <v>0</v>
      </c>
      <c r="BO585" s="14">
        <f>INDEX(挂机升级突破!$EJ$7:$EJ$26,BS585)</f>
        <v>0</v>
      </c>
      <c r="BP585" s="14">
        <f t="shared" si="391"/>
        <v>3</v>
      </c>
      <c r="BQ585" s="14">
        <f>INDEX(挂机升级突破!$EH$7:$EH$26,卡牌消耗!BS585)</f>
        <v>1</v>
      </c>
      <c r="BR585" s="14" t="str">
        <f t="shared" si="392"/>
        <v>SR守护灵</v>
      </c>
      <c r="BS585" s="14">
        <f t="shared" si="393"/>
        <v>1</v>
      </c>
      <c r="BT585" s="14" t="str">
        <f t="shared" si="394"/>
        <v>SR守护灵1突</v>
      </c>
      <c r="BU585" s="14" t="str">
        <f>IF(BN585&gt;0,INDEX(挂机升级突破!$ER$5:$EV$5,卡牌消耗!BN585),"")</f>
        <v/>
      </c>
      <c r="BV585" s="14" t="str">
        <f>IF(BN585&gt;0,ROUND(INDEX(挂机升级突破!$EV$7:$EV$26,卡牌消耗!BS585)*INDEX(卡牌消耗!$B$8:$F$8,BP585)/$Q$4/500,0)*500,"")</f>
        <v/>
      </c>
      <c r="BW585" s="14" t="str">
        <f>IF(BO585&gt;0,INDEX(挂机升级突破!$ER$5:$EV$5,卡牌消耗!BO585),"")</f>
        <v/>
      </c>
      <c r="BX585" s="14" t="str">
        <f>IF(BO585&gt;0,ROUND(INDEX(挂机升级突破!$ER$7:$EU$26,卡牌消耗!BS585,卡牌消耗!BO585)*INDEX($B$6:$F$6,BP585)/$Q$4/5,0)*5,"")</f>
        <v/>
      </c>
      <c r="BY585" s="193"/>
      <c r="BZ585" s="193"/>
    </row>
    <row r="586" spans="37:78" ht="16.5" x14ac:dyDescent="0.2">
      <c r="AK586" s="104">
        <v>582</v>
      </c>
      <c r="AL586" s="14">
        <f t="shared" si="385"/>
        <v>12</v>
      </c>
      <c r="AM586" s="14">
        <f>INDEX(挂机升级突破!DQ$6:DQ$57,卡牌消耗!$AT586)</f>
        <v>11</v>
      </c>
      <c r="AN586" s="14">
        <f>INDEX(挂机升级突破!DR$6:DR$57,卡牌消耗!$AT586)</f>
        <v>2</v>
      </c>
      <c r="AO586" s="14">
        <f>INDEX(挂机升级突破!DS$6:DS$57,卡牌消耗!$AT586)</f>
        <v>0</v>
      </c>
      <c r="AP586" s="14">
        <f>INDEX(挂机升级突破!$DP$6:$DP$57,卡牌消耗!AT586)</f>
        <v>43</v>
      </c>
      <c r="AQ586" s="14" t="str">
        <f t="shared" si="386"/>
        <v>夏侯惇</v>
      </c>
      <c r="AR586" s="14">
        <f t="shared" si="387"/>
        <v>5</v>
      </c>
      <c r="AS586" s="14" t="str">
        <f t="shared" si="388"/>
        <v>夏侯惇魂火-10</v>
      </c>
      <c r="AT586" s="14">
        <f t="shared" si="389"/>
        <v>10</v>
      </c>
      <c r="AU586" s="14" t="str">
        <f>IF(AM586&gt;0,INDEX(挂机升级突破!$DT$4:$ED$4,AM586),"")</f>
        <v>金币</v>
      </c>
      <c r="AV586" s="14">
        <f>ROUND(INDEX(挂机升级突破!$DJ$6:$DJ$57,卡牌消耗!AT586)*INDEX(卡牌消耗!$B$8:$F$8,AR586)/$Q$4/50,0)*50</f>
        <v>6350</v>
      </c>
      <c r="AW586" s="14" t="str">
        <f>IF(AN586&gt;0,INDEX(挂机升级突破!$DT$4:$ED$4,AN586),"")</f>
        <v>蓝色基础材料</v>
      </c>
      <c r="AX586" s="14">
        <f>ROUND(INDEX(挂机升级突破!$DT$6:$ED$57,卡牌消耗!AT586,AN586)*INDEX(卡牌消耗!$B$5:$F$5,AR586)/$Q$4/5,0)*5</f>
        <v>130</v>
      </c>
      <c r="AY586" s="14" t="str">
        <f>IF(AO586&gt;0,INDEX(挂机升级突破!$DT$4:$ED$4,AO586),"")</f>
        <v/>
      </c>
      <c r="AZ586" s="14" t="str">
        <f>IF(AO586&gt;0,ROUND(INDEX(挂机升级突破!$DT$6:$ED$57,卡牌消耗!AT586,AO586)*INDEX(卡牌消耗!$B$7:$F$7,AR586)/$Q$4,0),"")</f>
        <v/>
      </c>
      <c r="BL586" s="193">
        <v>582</v>
      </c>
      <c r="BM586" s="14">
        <f t="shared" si="390"/>
        <v>30</v>
      </c>
      <c r="BN586" s="14">
        <f>INDEX(挂机升级突破!$EI$7:$EI$26,BS586)</f>
        <v>5</v>
      </c>
      <c r="BO586" s="14">
        <f>INDEX(挂机升级突破!$EJ$7:$EJ$26,BS586)</f>
        <v>1</v>
      </c>
      <c r="BP586" s="14">
        <f t="shared" si="391"/>
        <v>3</v>
      </c>
      <c r="BQ586" s="14">
        <f>INDEX(挂机升级突破!$EH$7:$EH$26,卡牌消耗!BS586)</f>
        <v>5</v>
      </c>
      <c r="BR586" s="14" t="str">
        <f t="shared" si="392"/>
        <v>SR守护灵</v>
      </c>
      <c r="BS586" s="14">
        <f t="shared" si="393"/>
        <v>2</v>
      </c>
      <c r="BT586" s="14" t="str">
        <f t="shared" si="394"/>
        <v>SR守护灵2突</v>
      </c>
      <c r="BU586" s="14" t="str">
        <f>IF(BN586&gt;0,INDEX(挂机升级突破!$ER$5:$EV$5,卡牌消耗!BN586),"")</f>
        <v>金币</v>
      </c>
      <c r="BV586" s="14">
        <f>IF(BN586&gt;0,ROUND(INDEX(挂机升级突破!$EV$7:$EV$26,卡牌消耗!BS586)*INDEX(卡牌消耗!$B$8:$F$8,BP586)/$Q$4/500,0)*500,"")</f>
        <v>3000</v>
      </c>
      <c r="BW586" s="14" t="str">
        <f>IF(BO586&gt;0,INDEX(挂机升级突破!$ER$5:$EV$5,卡牌消耗!BO586),"")</f>
        <v>玄铁</v>
      </c>
      <c r="BX586" s="14">
        <f>IF(BO586&gt;0,ROUND(INDEX(挂机升级突破!$ER$7:$EU$26,卡牌消耗!BS586,卡牌消耗!BO586)*INDEX($B$6:$F$6,BP586)/$Q$4,0),"")</f>
        <v>2</v>
      </c>
      <c r="BY586" s="193"/>
      <c r="BZ586" s="193"/>
    </row>
    <row r="587" spans="37:78" ht="16.5" x14ac:dyDescent="0.2">
      <c r="AK587" s="104">
        <v>583</v>
      </c>
      <c r="AL587" s="14">
        <f t="shared" si="385"/>
        <v>12</v>
      </c>
      <c r="AM587" s="14">
        <f>INDEX(挂机升级突破!DQ$6:DQ$57,卡牌消耗!$AT587)</f>
        <v>11</v>
      </c>
      <c r="AN587" s="14">
        <f>INDEX(挂机升级突破!DR$6:DR$57,卡牌消耗!$AT587)</f>
        <v>2</v>
      </c>
      <c r="AO587" s="14">
        <f>INDEX(挂机升级突破!DS$6:DS$57,卡牌消耗!$AT587)</f>
        <v>0</v>
      </c>
      <c r="AP587" s="14">
        <f>INDEX(挂机升级突破!$DP$6:$DP$57,卡牌消耗!AT587)</f>
        <v>45</v>
      </c>
      <c r="AQ587" s="14" t="str">
        <f t="shared" si="386"/>
        <v>夏侯惇</v>
      </c>
      <c r="AR587" s="14">
        <f t="shared" si="387"/>
        <v>5</v>
      </c>
      <c r="AS587" s="14" t="str">
        <f t="shared" si="388"/>
        <v>夏侯惇魂火-11</v>
      </c>
      <c r="AT587" s="14">
        <f t="shared" si="389"/>
        <v>11</v>
      </c>
      <c r="AU587" s="14" t="str">
        <f>IF(AM587&gt;0,INDEX(挂机升级突破!$DT$4:$ED$4,AM587),"")</f>
        <v>金币</v>
      </c>
      <c r="AV587" s="14">
        <f>ROUND(INDEX(挂机升级突破!$DJ$6:$DJ$57,卡牌消耗!AT587)*INDEX(卡牌消耗!$B$8:$F$8,AR587)/$Q$4/50,0)*50</f>
        <v>6350</v>
      </c>
      <c r="AW587" s="14" t="str">
        <f>IF(AN587&gt;0,INDEX(挂机升级突破!$DT$4:$ED$4,AN587),"")</f>
        <v>蓝色基础材料</v>
      </c>
      <c r="AX587" s="14">
        <f>ROUND(INDEX(挂机升级突破!$DT$6:$ED$57,卡牌消耗!AT587,AN587)*INDEX(卡牌消耗!$B$5:$F$5,AR587)/$Q$4/5,0)*5</f>
        <v>130</v>
      </c>
      <c r="AY587" s="14" t="str">
        <f>IF(AO587&gt;0,INDEX(挂机升级突破!$DT$4:$ED$4,AO587),"")</f>
        <v/>
      </c>
      <c r="AZ587" s="14" t="str">
        <f>IF(AO587&gt;0,ROUND(INDEX(挂机升级突破!$DT$6:$ED$57,卡牌消耗!AT587,AO587)*INDEX(卡牌消耗!$B$7:$F$7,AR587)/$Q$4,0),"")</f>
        <v/>
      </c>
      <c r="BL587" s="193">
        <v>583</v>
      </c>
      <c r="BM587" s="14">
        <f t="shared" si="390"/>
        <v>30</v>
      </c>
      <c r="BN587" s="14">
        <f>INDEX(挂机升级突破!$EI$7:$EI$26,BS587)</f>
        <v>5</v>
      </c>
      <c r="BO587" s="14">
        <f>INDEX(挂机升级突破!$EJ$7:$EJ$26,BS587)</f>
        <v>1</v>
      </c>
      <c r="BP587" s="14">
        <f t="shared" si="391"/>
        <v>3</v>
      </c>
      <c r="BQ587" s="14">
        <f>INDEX(挂机升级突破!$EH$7:$EH$26,卡牌消耗!BS587)</f>
        <v>15</v>
      </c>
      <c r="BR587" s="14" t="str">
        <f t="shared" si="392"/>
        <v>SR守护灵</v>
      </c>
      <c r="BS587" s="14">
        <f t="shared" si="393"/>
        <v>3</v>
      </c>
      <c r="BT587" s="14" t="str">
        <f t="shared" si="394"/>
        <v>SR守护灵3突</v>
      </c>
      <c r="BU587" s="14" t="str">
        <f>IF(BN587&gt;0,INDEX(挂机升级突破!$ER$5:$EV$5,卡牌消耗!BN587),"")</f>
        <v>金币</v>
      </c>
      <c r="BV587" s="14">
        <f>IF(BN587&gt;0,ROUND(INDEX(挂机升级突破!$EV$7:$EV$26,卡牌消耗!BS587)*INDEX(卡牌消耗!$B$8:$F$8,BP587)/$Q$4/500,0)*500,"")</f>
        <v>3000</v>
      </c>
      <c r="BW587" s="14" t="str">
        <f>IF(BO587&gt;0,INDEX(挂机升级突破!$ER$5:$EV$5,卡牌消耗!BO587),"")</f>
        <v>玄铁</v>
      </c>
      <c r="BX587" s="14">
        <f>IF(BO587&gt;0,ROUND(INDEX(挂机升级突破!$ER$7:$EU$26,卡牌消耗!BS587,卡牌消耗!BO587)*INDEX($B$6:$F$6,BP587)/$Q$4,0),"")</f>
        <v>5</v>
      </c>
      <c r="BY587" s="193"/>
      <c r="BZ587" s="193"/>
    </row>
    <row r="588" spans="37:78" ht="16.5" x14ac:dyDescent="0.2">
      <c r="AK588" s="104">
        <v>584</v>
      </c>
      <c r="AL588" s="14">
        <f t="shared" si="385"/>
        <v>12</v>
      </c>
      <c r="AM588" s="14">
        <f>INDEX(挂机升级突破!DQ$6:DQ$57,卡牌消耗!$AT588)</f>
        <v>11</v>
      </c>
      <c r="AN588" s="14">
        <f>INDEX(挂机升级突破!DR$6:DR$57,卡牌消耗!$AT588)</f>
        <v>2</v>
      </c>
      <c r="AO588" s="14">
        <f>INDEX(挂机升级突破!DS$6:DS$57,卡牌消耗!$AT588)</f>
        <v>0</v>
      </c>
      <c r="AP588" s="14">
        <f>INDEX(挂机升级突破!$DP$6:$DP$57,卡牌消耗!AT588)</f>
        <v>48</v>
      </c>
      <c r="AQ588" s="14" t="str">
        <f t="shared" si="386"/>
        <v>夏侯惇</v>
      </c>
      <c r="AR588" s="14">
        <f t="shared" si="387"/>
        <v>5</v>
      </c>
      <c r="AS588" s="14" t="str">
        <f t="shared" si="388"/>
        <v>夏侯惇魂火-12</v>
      </c>
      <c r="AT588" s="14">
        <f t="shared" si="389"/>
        <v>12</v>
      </c>
      <c r="AU588" s="14" t="str">
        <f>IF(AM588&gt;0,INDEX(挂机升级突破!$DT$4:$ED$4,AM588),"")</f>
        <v>金币</v>
      </c>
      <c r="AV588" s="14">
        <f>ROUND(INDEX(挂机升级突破!$DJ$6:$DJ$57,卡牌消耗!AT588)*INDEX(卡牌消耗!$B$8:$F$8,AR588)/$Q$4/50,0)*50</f>
        <v>5450</v>
      </c>
      <c r="AW588" s="14" t="str">
        <f>IF(AN588&gt;0,INDEX(挂机升级突破!$DT$4:$ED$4,AN588),"")</f>
        <v>蓝色基础材料</v>
      </c>
      <c r="AX588" s="14">
        <f>ROUND(INDEX(挂机升级突破!$DT$6:$ED$57,卡牌消耗!AT588,AN588)*INDEX(卡牌消耗!$B$5:$F$5,AR588)/$Q$4/5,0)*5</f>
        <v>175</v>
      </c>
      <c r="AY588" s="14" t="str">
        <f>IF(AO588&gt;0,INDEX(挂机升级突破!$DT$4:$ED$4,AO588),"")</f>
        <v/>
      </c>
      <c r="AZ588" s="14" t="str">
        <f>IF(AO588&gt;0,ROUND(INDEX(挂机升级突破!$DT$6:$ED$57,卡牌消耗!AT588,AO588)*INDEX(卡牌消耗!$B$7:$F$7,AR588)/$Q$4,0),"")</f>
        <v/>
      </c>
      <c r="BL588" s="193">
        <v>584</v>
      </c>
      <c r="BM588" s="14">
        <f t="shared" si="390"/>
        <v>30</v>
      </c>
      <c r="BN588" s="14">
        <f>INDEX(挂机升级突破!$EI$7:$EI$26,BS588)</f>
        <v>5</v>
      </c>
      <c r="BO588" s="14">
        <f>INDEX(挂机升级突破!$EJ$7:$EJ$26,BS588)</f>
        <v>1</v>
      </c>
      <c r="BP588" s="14">
        <f t="shared" si="391"/>
        <v>3</v>
      </c>
      <c r="BQ588" s="14">
        <f>INDEX(挂机升级突破!$EH$7:$EH$26,卡牌消耗!BS588)</f>
        <v>25</v>
      </c>
      <c r="BR588" s="14" t="str">
        <f t="shared" si="392"/>
        <v>SR守护灵</v>
      </c>
      <c r="BS588" s="14">
        <f t="shared" si="393"/>
        <v>4</v>
      </c>
      <c r="BT588" s="14" t="str">
        <f t="shared" si="394"/>
        <v>SR守护灵4突</v>
      </c>
      <c r="BU588" s="14" t="str">
        <f>IF(BN588&gt;0,INDEX(挂机升级突破!$ER$5:$EV$5,卡牌消耗!BN588),"")</f>
        <v>金币</v>
      </c>
      <c r="BV588" s="14">
        <f>IF(BN588&gt;0,ROUND(INDEX(挂机升级突破!$EV$7:$EV$26,卡牌消耗!BS588)*INDEX(卡牌消耗!$B$8:$F$8,BP588)/$Q$4/500,0)*500,"")</f>
        <v>4000</v>
      </c>
      <c r="BW588" s="14" t="str">
        <f>IF(BO588&gt;0,INDEX(挂机升级突破!$ER$5:$EV$5,卡牌消耗!BO588),"")</f>
        <v>玄铁</v>
      </c>
      <c r="BX588" s="14">
        <f>IF(BO588&gt;0,ROUND(INDEX(挂机升级突破!$ER$7:$EU$26,卡牌消耗!BS588,卡牌消耗!BO588)*INDEX($B$6:$F$6,BP588)/$Q$4,0),"")</f>
        <v>17</v>
      </c>
      <c r="BY588" s="193"/>
      <c r="BZ588" s="193"/>
    </row>
    <row r="589" spans="37:78" ht="16.5" x14ac:dyDescent="0.2">
      <c r="AK589" s="104">
        <v>585</v>
      </c>
      <c r="AL589" s="14">
        <f t="shared" si="385"/>
        <v>12</v>
      </c>
      <c r="AM589" s="14">
        <f>INDEX(挂机升级突破!DQ$6:DQ$57,卡牌消耗!$AT589)</f>
        <v>11</v>
      </c>
      <c r="AN589" s="14">
        <f>INDEX(挂机升级突破!DR$6:DR$57,卡牌消耗!$AT589)</f>
        <v>2</v>
      </c>
      <c r="AO589" s="14">
        <f>INDEX(挂机升级突破!DS$6:DS$57,卡牌消耗!$AT589)</f>
        <v>0</v>
      </c>
      <c r="AP589" s="14">
        <f>INDEX(挂机升级突破!$DP$6:$DP$57,卡牌消耗!AT589)</f>
        <v>50</v>
      </c>
      <c r="AQ589" s="14" t="str">
        <f t="shared" si="386"/>
        <v>夏侯惇</v>
      </c>
      <c r="AR589" s="14">
        <f t="shared" si="387"/>
        <v>5</v>
      </c>
      <c r="AS589" s="14" t="str">
        <f t="shared" si="388"/>
        <v>夏侯惇魂火-13</v>
      </c>
      <c r="AT589" s="14">
        <f t="shared" si="389"/>
        <v>13</v>
      </c>
      <c r="AU589" s="14" t="str">
        <f>IF(AM589&gt;0,INDEX(挂机升级突破!$DT$4:$ED$4,AM589),"")</f>
        <v>金币</v>
      </c>
      <c r="AV589" s="14">
        <f>ROUND(INDEX(挂机升级突破!$DJ$6:$DJ$57,卡牌消耗!AT589)*INDEX(卡牌消耗!$B$8:$F$8,AR589)/$Q$4/50,0)*50</f>
        <v>5450</v>
      </c>
      <c r="AW589" s="14" t="str">
        <f>IF(AN589&gt;0,INDEX(挂机升级突破!$DT$4:$ED$4,AN589),"")</f>
        <v>蓝色基础材料</v>
      </c>
      <c r="AX589" s="14">
        <f>ROUND(INDEX(挂机升级突破!$DT$6:$ED$57,卡牌消耗!AT589,AN589)*INDEX(卡牌消耗!$B$5:$F$5,AR589)/$Q$4/5,0)*5</f>
        <v>175</v>
      </c>
      <c r="AY589" s="14" t="str">
        <f>IF(AO589&gt;0,INDEX(挂机升级突破!$DT$4:$ED$4,AO589),"")</f>
        <v/>
      </c>
      <c r="AZ589" s="14" t="str">
        <f>IF(AO589&gt;0,ROUND(INDEX(挂机升级突破!$DT$6:$ED$57,卡牌消耗!AT589,AO589)*INDEX(卡牌消耗!$B$7:$F$7,AR589)/$Q$4,0),"")</f>
        <v/>
      </c>
      <c r="BL589" s="193">
        <v>585</v>
      </c>
      <c r="BM589" s="14">
        <f t="shared" si="390"/>
        <v>30</v>
      </c>
      <c r="BN589" s="14">
        <f>INDEX(挂机升级突破!$EI$7:$EI$26,BS589)</f>
        <v>5</v>
      </c>
      <c r="BO589" s="14">
        <f>INDEX(挂机升级突破!$EJ$7:$EJ$26,BS589)</f>
        <v>1</v>
      </c>
      <c r="BP589" s="14">
        <f t="shared" si="391"/>
        <v>3</v>
      </c>
      <c r="BQ589" s="14">
        <f>INDEX(挂机升级突破!$EH$7:$EH$26,卡牌消耗!BS589)</f>
        <v>35</v>
      </c>
      <c r="BR589" s="14" t="str">
        <f t="shared" si="392"/>
        <v>SR守护灵</v>
      </c>
      <c r="BS589" s="14">
        <f t="shared" si="393"/>
        <v>5</v>
      </c>
      <c r="BT589" s="14" t="str">
        <f t="shared" si="394"/>
        <v>SR守护灵5突</v>
      </c>
      <c r="BU589" s="14" t="str">
        <f>IF(BN589&gt;0,INDEX(挂机升级突破!$ER$5:$EV$5,卡牌消耗!BN589),"")</f>
        <v>金币</v>
      </c>
      <c r="BV589" s="14">
        <f>IF(BN589&gt;0,ROUND(INDEX(挂机升级突破!$EV$7:$EV$26,卡牌消耗!BS589)*INDEX(卡牌消耗!$B$8:$F$8,BP589)/$Q$4/500,0)*500,"")</f>
        <v>4000</v>
      </c>
      <c r="BW589" s="14" t="str">
        <f>IF(BO589&gt;0,INDEX(挂机升级突破!$ER$5:$EV$5,卡牌消耗!BO589),"")</f>
        <v>玄铁</v>
      </c>
      <c r="BX589" s="14">
        <f>IF(BO589&gt;0,ROUND(INDEX(挂机升级突破!$ER$7:$EU$26,卡牌消耗!BS589,卡牌消耗!BO589)*INDEX($B$6:$F$6,BP589)/$Q$4/5,0)*5,"")</f>
        <v>35</v>
      </c>
      <c r="BY589" s="193"/>
      <c r="BZ589" s="193"/>
    </row>
    <row r="590" spans="37:78" ht="16.5" x14ac:dyDescent="0.2">
      <c r="AK590" s="104">
        <v>586</v>
      </c>
      <c r="AL590" s="14">
        <f t="shared" si="385"/>
        <v>12</v>
      </c>
      <c r="AM590" s="14">
        <f>INDEX(挂机升级突破!DQ$6:DQ$57,卡牌消耗!$AT590)</f>
        <v>11</v>
      </c>
      <c r="AN590" s="14">
        <f>INDEX(挂机升级突破!DR$6:DR$57,卡牌消耗!$AT590)</f>
        <v>3</v>
      </c>
      <c r="AO590" s="14">
        <f>INDEX(挂机升级突破!DS$6:DS$57,卡牌消耗!$AT590)</f>
        <v>0</v>
      </c>
      <c r="AP590" s="14">
        <f>INDEX(挂机升级突破!$DP$6:$DP$57,卡牌消耗!AT590)</f>
        <v>53</v>
      </c>
      <c r="AQ590" s="14" t="str">
        <f t="shared" si="386"/>
        <v>夏侯惇</v>
      </c>
      <c r="AR590" s="14">
        <f t="shared" si="387"/>
        <v>5</v>
      </c>
      <c r="AS590" s="14" t="str">
        <f t="shared" si="388"/>
        <v>夏侯惇魂火-14</v>
      </c>
      <c r="AT590" s="14">
        <f t="shared" si="389"/>
        <v>14</v>
      </c>
      <c r="AU590" s="14" t="str">
        <f>IF(AM590&gt;0,INDEX(挂机升级突破!$DT$4:$ED$4,AM590),"")</f>
        <v>金币</v>
      </c>
      <c r="AV590" s="14">
        <f>ROUND(INDEX(挂机升级突破!$DJ$6:$DJ$57,卡牌消耗!AT590)*INDEX(卡牌消耗!$B$8:$F$8,AR590)/$Q$4/50,0)*50</f>
        <v>6000</v>
      </c>
      <c r="AW590" s="14" t="str">
        <f>IF(AN590&gt;0,INDEX(挂机升级突破!$DT$4:$ED$4,AN590),"")</f>
        <v>紫色基础材料</v>
      </c>
      <c r="AX590" s="14">
        <f>ROUND(INDEX(挂机升级突破!$DT$6:$ED$57,卡牌消耗!AT590,AN590)*INDEX(卡牌消耗!$B$5:$F$5,AR590)/$Q$4/5,0)*5</f>
        <v>35</v>
      </c>
      <c r="AY590" s="14" t="str">
        <f>IF(AO590&gt;0,INDEX(挂机升级突破!$DT$4:$ED$4,AO590),"")</f>
        <v/>
      </c>
      <c r="AZ590" s="14" t="str">
        <f>IF(AO590&gt;0,ROUND(INDEX(挂机升级突破!$DT$6:$ED$57,卡牌消耗!AT590,AO590)*INDEX(卡牌消耗!$B$7:$F$7,AR590)/$Q$4,0),"")</f>
        <v/>
      </c>
      <c r="BL590" s="193">
        <v>586</v>
      </c>
      <c r="BM590" s="14">
        <f t="shared" si="390"/>
        <v>30</v>
      </c>
      <c r="BN590" s="14">
        <f>INDEX(挂机升级突破!$EI$7:$EI$26,BS590)</f>
        <v>5</v>
      </c>
      <c r="BO590" s="14">
        <f>INDEX(挂机升级突破!$EJ$7:$EJ$26,BS590)</f>
        <v>1</v>
      </c>
      <c r="BP590" s="14">
        <f t="shared" si="391"/>
        <v>3</v>
      </c>
      <c r="BQ590" s="14">
        <f>INDEX(挂机升级突破!$EH$7:$EH$26,卡牌消耗!BS590)</f>
        <v>42</v>
      </c>
      <c r="BR590" s="14" t="str">
        <f t="shared" si="392"/>
        <v>SR守护灵</v>
      </c>
      <c r="BS590" s="14">
        <f t="shared" si="393"/>
        <v>6</v>
      </c>
      <c r="BT590" s="14" t="str">
        <f t="shared" si="394"/>
        <v>SR守护灵6突</v>
      </c>
      <c r="BU590" s="14" t="str">
        <f>IF(BN590&gt;0,INDEX(挂机升级突破!$ER$5:$EV$5,卡牌消耗!BN590),"")</f>
        <v>金币</v>
      </c>
      <c r="BV590" s="14">
        <f>IF(BN590&gt;0,ROUND(INDEX(挂机升级突破!$EV$7:$EV$26,卡牌消耗!BS590)*INDEX(卡牌消耗!$B$8:$F$8,BP590)/$Q$4/500,0)*500,"")</f>
        <v>5000</v>
      </c>
      <c r="BW590" s="14" t="str">
        <f>IF(BO590&gt;0,INDEX(挂机升级突破!$ER$5:$EV$5,卡牌消耗!BO590),"")</f>
        <v>玄铁</v>
      </c>
      <c r="BX590" s="14">
        <f>IF(BO590&gt;0,ROUND(INDEX(挂机升级突破!$ER$7:$EU$26,卡牌消耗!BS590,卡牌消耗!BO590)*INDEX($B$6:$F$6,BP590)/$Q$4/5,0)*5,"")</f>
        <v>50</v>
      </c>
      <c r="BY590" s="193"/>
      <c r="BZ590" s="193"/>
    </row>
    <row r="591" spans="37:78" ht="16.5" x14ac:dyDescent="0.2">
      <c r="AK591" s="104">
        <v>587</v>
      </c>
      <c r="AL591" s="14">
        <f t="shared" si="385"/>
        <v>12</v>
      </c>
      <c r="AM591" s="14">
        <f>INDEX(挂机升级突破!DQ$6:DQ$57,卡牌消耗!$AT591)</f>
        <v>11</v>
      </c>
      <c r="AN591" s="14">
        <f>INDEX(挂机升级突破!DR$6:DR$57,卡牌消耗!$AT591)</f>
        <v>3</v>
      </c>
      <c r="AO591" s="14">
        <f>INDEX(挂机升级突破!DS$6:DS$57,卡牌消耗!$AT591)</f>
        <v>0</v>
      </c>
      <c r="AP591" s="14">
        <f>INDEX(挂机升级突破!$DP$6:$DP$57,卡牌消耗!AT591)</f>
        <v>55</v>
      </c>
      <c r="AQ591" s="14" t="str">
        <f t="shared" si="386"/>
        <v>夏侯惇</v>
      </c>
      <c r="AR591" s="14">
        <f t="shared" si="387"/>
        <v>5</v>
      </c>
      <c r="AS591" s="14" t="str">
        <f t="shared" si="388"/>
        <v>夏侯惇魂火-15</v>
      </c>
      <c r="AT591" s="14">
        <f t="shared" si="389"/>
        <v>15</v>
      </c>
      <c r="AU591" s="14" t="str">
        <f>IF(AM591&gt;0,INDEX(挂机升级突破!$DT$4:$ED$4,AM591),"")</f>
        <v>金币</v>
      </c>
      <c r="AV591" s="14">
        <f>ROUND(INDEX(挂机升级突破!$DJ$6:$DJ$57,卡牌消耗!AT591)*INDEX(卡牌消耗!$B$8:$F$8,AR591)/$Q$4/50,0)*50</f>
        <v>6550</v>
      </c>
      <c r="AW591" s="14" t="str">
        <f>IF(AN591&gt;0,INDEX(挂机升级突破!$DT$4:$ED$4,AN591),"")</f>
        <v>紫色基础材料</v>
      </c>
      <c r="AX591" s="14">
        <f>ROUND(INDEX(挂机升级突破!$DT$6:$ED$57,卡牌消耗!AT591,AN591)*INDEX(卡牌消耗!$B$5:$F$5,AR591)/$Q$4/5,0)*5</f>
        <v>35</v>
      </c>
      <c r="AY591" s="14" t="str">
        <f>IF(AO591&gt;0,INDEX(挂机升级突破!$DT$4:$ED$4,AO591),"")</f>
        <v/>
      </c>
      <c r="AZ591" s="14" t="str">
        <f>IF(AO591&gt;0,ROUND(INDEX(挂机升级突破!$DT$6:$ED$57,卡牌消耗!AT591,AO591)*INDEX(卡牌消耗!$B$7:$F$7,AR591)/$Q$4,0),"")</f>
        <v/>
      </c>
      <c r="BL591" s="193">
        <v>587</v>
      </c>
      <c r="BM591" s="14">
        <f t="shared" si="390"/>
        <v>30</v>
      </c>
      <c r="BN591" s="14">
        <f>INDEX(挂机升级突破!$EI$7:$EI$26,BS591)</f>
        <v>5</v>
      </c>
      <c r="BO591" s="14">
        <f>INDEX(挂机升级突破!$EJ$7:$EJ$26,BS591)</f>
        <v>1</v>
      </c>
      <c r="BP591" s="14">
        <f t="shared" si="391"/>
        <v>3</v>
      </c>
      <c r="BQ591" s="14">
        <f>INDEX(挂机升级突破!$EH$7:$EH$26,卡牌消耗!BS591)</f>
        <v>47</v>
      </c>
      <c r="BR591" s="14" t="str">
        <f t="shared" si="392"/>
        <v>SR守护灵</v>
      </c>
      <c r="BS591" s="14">
        <f t="shared" si="393"/>
        <v>7</v>
      </c>
      <c r="BT591" s="14" t="str">
        <f t="shared" si="394"/>
        <v>SR守护灵7突</v>
      </c>
      <c r="BU591" s="14" t="str">
        <f>IF(BN591&gt;0,INDEX(挂机升级突破!$ER$5:$EV$5,卡牌消耗!BN591),"")</f>
        <v>金币</v>
      </c>
      <c r="BV591" s="14">
        <f>IF(BN591&gt;0,ROUND(INDEX(挂机升级突破!$EV$7:$EV$26,卡牌消耗!BS591)*INDEX(卡牌消耗!$B$8:$F$8,BP591)/$Q$4/500,0)*500,"")</f>
        <v>8000</v>
      </c>
      <c r="BW591" s="14" t="str">
        <f>IF(BO591&gt;0,INDEX(挂机升级突破!$ER$5:$EV$5,卡牌消耗!BO591),"")</f>
        <v>玄铁</v>
      </c>
      <c r="BX591" s="14">
        <f>IF(BO591&gt;0,ROUND(INDEX(挂机升级突破!$ER$7:$EU$26,卡牌消耗!BS591,卡牌消耗!BO591)*INDEX($B$6:$F$6,BP591)/$Q$4/5,0)*5,"")</f>
        <v>85</v>
      </c>
      <c r="BY591" s="193"/>
      <c r="BZ591" s="193"/>
    </row>
    <row r="592" spans="37:78" ht="16.5" x14ac:dyDescent="0.2">
      <c r="AK592" s="104">
        <v>588</v>
      </c>
      <c r="AL592" s="14">
        <f t="shared" si="385"/>
        <v>12</v>
      </c>
      <c r="AM592" s="14">
        <f>INDEX(挂机升级突破!DQ$6:DQ$57,卡牌消耗!$AT592)</f>
        <v>11</v>
      </c>
      <c r="AN592" s="14">
        <f>INDEX(挂机升级突破!DR$6:DR$57,卡牌消耗!$AT592)</f>
        <v>3</v>
      </c>
      <c r="AO592" s="14">
        <f>INDEX(挂机升级突破!DS$6:DS$57,卡牌消耗!$AT592)</f>
        <v>0</v>
      </c>
      <c r="AP592" s="14">
        <f>INDEX(挂机升级突破!$DP$6:$DP$57,卡牌消耗!AT592)</f>
        <v>58</v>
      </c>
      <c r="AQ592" s="14" t="str">
        <f t="shared" si="386"/>
        <v>夏侯惇</v>
      </c>
      <c r="AR592" s="14">
        <f t="shared" si="387"/>
        <v>5</v>
      </c>
      <c r="AS592" s="14" t="str">
        <f t="shared" si="388"/>
        <v>夏侯惇魂火-16</v>
      </c>
      <c r="AT592" s="14">
        <f t="shared" si="389"/>
        <v>16</v>
      </c>
      <c r="AU592" s="14" t="str">
        <f>IF(AM592&gt;0,INDEX(挂机升级突破!$DT$4:$ED$4,AM592),"")</f>
        <v>金币</v>
      </c>
      <c r="AV592" s="14">
        <f>ROUND(INDEX(挂机升级突破!$DJ$6:$DJ$57,卡牌消耗!AT592)*INDEX(卡牌消耗!$B$8:$F$8,AR592)/$Q$4/50,0)*50</f>
        <v>6550</v>
      </c>
      <c r="AW592" s="14" t="str">
        <f>IF(AN592&gt;0,INDEX(挂机升级突破!$DT$4:$ED$4,AN592),"")</f>
        <v>紫色基础材料</v>
      </c>
      <c r="AX592" s="14">
        <f>ROUND(INDEX(挂机升级突破!$DT$6:$ED$57,卡牌消耗!AT592,AN592)*INDEX(卡牌消耗!$B$5:$F$5,AR592)/$Q$4/5,0)*5</f>
        <v>35</v>
      </c>
      <c r="AY592" s="14" t="str">
        <f>IF(AO592&gt;0,INDEX(挂机升级突破!$DT$4:$ED$4,AO592),"")</f>
        <v/>
      </c>
      <c r="AZ592" s="14" t="str">
        <f>IF(AO592&gt;0,ROUND(INDEX(挂机升级突破!$DT$6:$ED$57,卡牌消耗!AT592,AO592)*INDEX(卡牌消耗!$B$7:$F$7,AR592)/$Q$4,0),"")</f>
        <v/>
      </c>
      <c r="BL592" s="193">
        <v>588</v>
      </c>
      <c r="BM592" s="14">
        <f t="shared" si="390"/>
        <v>30</v>
      </c>
      <c r="BN592" s="14">
        <f>INDEX(挂机升级突破!$EI$7:$EI$26,BS592)</f>
        <v>5</v>
      </c>
      <c r="BO592" s="14">
        <f>INDEX(挂机升级突破!$EJ$7:$EJ$26,BS592)</f>
        <v>1</v>
      </c>
      <c r="BP592" s="14">
        <f t="shared" si="391"/>
        <v>3</v>
      </c>
      <c r="BQ592" s="14">
        <f>INDEX(挂机升级突破!$EH$7:$EH$26,卡牌消耗!BS592)</f>
        <v>52</v>
      </c>
      <c r="BR592" s="14" t="str">
        <f t="shared" si="392"/>
        <v>SR守护灵</v>
      </c>
      <c r="BS592" s="14">
        <f t="shared" si="393"/>
        <v>8</v>
      </c>
      <c r="BT592" s="14" t="str">
        <f t="shared" si="394"/>
        <v>SR守护灵8突</v>
      </c>
      <c r="BU592" s="14" t="str">
        <f>IF(BN592&gt;0,INDEX(挂机升级突破!$ER$5:$EV$5,卡牌消耗!BN592),"")</f>
        <v>金币</v>
      </c>
      <c r="BV592" s="14">
        <f>IF(BN592&gt;0,ROUND(INDEX(挂机升级突破!$EV$7:$EV$26,卡牌消耗!BS592)*INDEX(卡牌消耗!$B$8:$F$8,BP592)/$Q$4/500,0)*500,"")</f>
        <v>8000</v>
      </c>
      <c r="BW592" s="14" t="str">
        <f>IF(BO592&gt;0,INDEX(挂机升级突破!$ER$5:$EV$5,卡牌消耗!BO592),"")</f>
        <v>玄铁</v>
      </c>
      <c r="BX592" s="14">
        <f>IF(BO592&gt;0,ROUND(INDEX(挂机升级突破!$ER$7:$EU$26,卡牌消耗!BS592,卡牌消耗!BO592)*INDEX($B$6:$F$6,BP592)/$Q$4/5,0)*5,"")</f>
        <v>150</v>
      </c>
      <c r="BY592" s="193"/>
      <c r="BZ592" s="193"/>
    </row>
    <row r="593" spans="37:78" ht="16.5" x14ac:dyDescent="0.2">
      <c r="AK593" s="104">
        <v>589</v>
      </c>
      <c r="AL593" s="14">
        <f t="shared" si="385"/>
        <v>12</v>
      </c>
      <c r="AM593" s="14">
        <f>INDEX(挂机升级突破!DQ$6:DQ$57,卡牌消耗!$AT593)</f>
        <v>11</v>
      </c>
      <c r="AN593" s="14">
        <f>INDEX(挂机升级突破!DR$6:DR$57,卡牌消耗!$AT593)</f>
        <v>3</v>
      </c>
      <c r="AO593" s="14">
        <f>INDEX(挂机升级突破!DS$6:DS$57,卡牌消耗!$AT593)</f>
        <v>0</v>
      </c>
      <c r="AP593" s="14">
        <f>INDEX(挂机升级突破!$DP$6:$DP$57,卡牌消耗!AT593)</f>
        <v>60</v>
      </c>
      <c r="AQ593" s="14" t="str">
        <f t="shared" si="386"/>
        <v>夏侯惇</v>
      </c>
      <c r="AR593" s="14">
        <f t="shared" si="387"/>
        <v>5</v>
      </c>
      <c r="AS593" s="14" t="str">
        <f t="shared" si="388"/>
        <v>夏侯惇魂火-17</v>
      </c>
      <c r="AT593" s="14">
        <f t="shared" si="389"/>
        <v>17</v>
      </c>
      <c r="AU593" s="14" t="str">
        <f>IF(AM593&gt;0,INDEX(挂机升级突破!$DT$4:$ED$4,AM593),"")</f>
        <v>金币</v>
      </c>
      <c r="AV593" s="14">
        <f>ROUND(INDEX(挂机升级突破!$DJ$6:$DJ$57,卡牌消耗!AT593)*INDEX(卡牌消耗!$B$8:$F$8,AR593)/$Q$4/50,0)*50</f>
        <v>8200</v>
      </c>
      <c r="AW593" s="14" t="str">
        <f>IF(AN593&gt;0,INDEX(挂机升级突破!$DT$4:$ED$4,AN593),"")</f>
        <v>紫色基础材料</v>
      </c>
      <c r="AX593" s="14">
        <f>ROUND(INDEX(挂机升级突破!$DT$6:$ED$57,卡牌消耗!AT593,AN593)*INDEX(卡牌消耗!$B$5:$F$5,AR593)/$Q$4/5,0)*5</f>
        <v>70</v>
      </c>
      <c r="AY593" s="14" t="str">
        <f>IF(AO593&gt;0,INDEX(挂机升级突破!$DT$4:$ED$4,AO593),"")</f>
        <v/>
      </c>
      <c r="AZ593" s="14" t="str">
        <f>IF(AO593&gt;0,ROUND(INDEX(挂机升级突破!$DT$6:$ED$57,卡牌消耗!AT593,AO593)*INDEX(卡牌消耗!$B$7:$F$7,AR593)/$Q$4,0),"")</f>
        <v/>
      </c>
      <c r="BL593" s="193">
        <v>589</v>
      </c>
      <c r="BM593" s="14">
        <f t="shared" si="390"/>
        <v>30</v>
      </c>
      <c r="BN593" s="14">
        <f>INDEX(挂机升级突破!$EI$7:$EI$26,BS593)</f>
        <v>5</v>
      </c>
      <c r="BO593" s="14">
        <f>INDEX(挂机升级突破!$EJ$7:$EJ$26,BS593)</f>
        <v>2</v>
      </c>
      <c r="BP593" s="14">
        <f t="shared" si="391"/>
        <v>3</v>
      </c>
      <c r="BQ593" s="14">
        <f>INDEX(挂机升级突破!$EH$7:$EH$26,卡牌消耗!BS593)</f>
        <v>57</v>
      </c>
      <c r="BR593" s="14" t="str">
        <f t="shared" si="392"/>
        <v>SR守护灵</v>
      </c>
      <c r="BS593" s="14">
        <f t="shared" si="393"/>
        <v>9</v>
      </c>
      <c r="BT593" s="14" t="str">
        <f t="shared" si="394"/>
        <v>SR守护灵9突</v>
      </c>
      <c r="BU593" s="14" t="str">
        <f>IF(BN593&gt;0,INDEX(挂机升级突破!$ER$5:$EV$5,卡牌消耗!BN593),"")</f>
        <v>金币</v>
      </c>
      <c r="BV593" s="14">
        <f>IF(BN593&gt;0,ROUND(INDEX(挂机升级突破!$EV$7:$EV$26,卡牌消耗!BS593)*INDEX(卡牌消耗!$B$8:$F$8,BP593)/$Q$4/500,0)*500,"")</f>
        <v>11000</v>
      </c>
      <c r="BW593" s="14" t="str">
        <f>IF(BO593&gt;0,INDEX(挂机升级突破!$ER$5:$EV$5,卡牌消耗!BO593),"")</f>
        <v>乌金</v>
      </c>
      <c r="BX593" s="14">
        <f>IF(BO593&gt;0,ROUND(INDEX(挂机升级突破!$ER$7:$EU$26,卡牌消耗!BS593,卡牌消耗!BO593)*INDEX($B$6:$F$6,BP593)/$Q$4/5,0)*5,"")</f>
        <v>50</v>
      </c>
      <c r="BY593" s="193"/>
      <c r="BZ593" s="193"/>
    </row>
    <row r="594" spans="37:78" ht="16.5" x14ac:dyDescent="0.2">
      <c r="AK594" s="104">
        <v>590</v>
      </c>
      <c r="AL594" s="14">
        <f t="shared" si="385"/>
        <v>12</v>
      </c>
      <c r="AM594" s="14">
        <f>INDEX(挂机升级突破!DQ$6:DQ$57,卡牌消耗!$AT594)</f>
        <v>11</v>
      </c>
      <c r="AN594" s="14">
        <f>INDEX(挂机升级突破!DR$6:DR$57,卡牌消耗!$AT594)</f>
        <v>3</v>
      </c>
      <c r="AO594" s="14">
        <f>INDEX(挂机升级突破!DS$6:DS$57,卡牌消耗!$AT594)</f>
        <v>0</v>
      </c>
      <c r="AP594" s="14">
        <f>INDEX(挂机升级突破!$DP$6:$DP$57,卡牌消耗!AT594)</f>
        <v>63</v>
      </c>
      <c r="AQ594" s="14" t="str">
        <f t="shared" si="386"/>
        <v>夏侯惇</v>
      </c>
      <c r="AR594" s="14">
        <f t="shared" si="387"/>
        <v>5</v>
      </c>
      <c r="AS594" s="14" t="str">
        <f t="shared" si="388"/>
        <v>夏侯惇魂火-18</v>
      </c>
      <c r="AT594" s="14">
        <f t="shared" si="389"/>
        <v>18</v>
      </c>
      <c r="AU594" s="14" t="str">
        <f>IF(AM594&gt;0,INDEX(挂机升级突破!$DT$4:$ED$4,AM594),"")</f>
        <v>金币</v>
      </c>
      <c r="AV594" s="14">
        <f>ROUND(INDEX(挂机升级突破!$DJ$6:$DJ$57,卡牌消耗!AT594)*INDEX(卡牌消耗!$B$8:$F$8,AR594)/$Q$4/50,0)*50</f>
        <v>8200</v>
      </c>
      <c r="AW594" s="14" t="str">
        <f>IF(AN594&gt;0,INDEX(挂机升级突破!$DT$4:$ED$4,AN594),"")</f>
        <v>紫色基础材料</v>
      </c>
      <c r="AX594" s="14">
        <f>ROUND(INDEX(挂机升级突破!$DT$6:$ED$57,卡牌消耗!AT594,AN594)*INDEX(卡牌消耗!$B$5:$F$5,AR594)/$Q$4/5,0)*5</f>
        <v>70</v>
      </c>
      <c r="AY594" s="14" t="str">
        <f>IF(AO594&gt;0,INDEX(挂机升级突破!$DT$4:$ED$4,AO594),"")</f>
        <v/>
      </c>
      <c r="AZ594" s="14" t="str">
        <f>IF(AO594&gt;0,ROUND(INDEX(挂机升级突破!$DT$6:$ED$57,卡牌消耗!AT594,AO594)*INDEX(卡牌消耗!$B$7:$F$7,AR594)/$Q$4,0),"")</f>
        <v/>
      </c>
      <c r="BL594" s="193">
        <v>590</v>
      </c>
      <c r="BM594" s="14">
        <f t="shared" si="390"/>
        <v>30</v>
      </c>
      <c r="BN594" s="14">
        <f>INDEX(挂机升级突破!$EI$7:$EI$26,BS594)</f>
        <v>5</v>
      </c>
      <c r="BO594" s="14">
        <f>INDEX(挂机升级突破!$EJ$7:$EJ$26,BS594)</f>
        <v>2</v>
      </c>
      <c r="BP594" s="14">
        <f t="shared" si="391"/>
        <v>3</v>
      </c>
      <c r="BQ594" s="14">
        <f>INDEX(挂机升级突破!$EH$7:$EH$26,卡牌消耗!BS594)</f>
        <v>65</v>
      </c>
      <c r="BR594" s="14" t="str">
        <f t="shared" si="392"/>
        <v>SR守护灵</v>
      </c>
      <c r="BS594" s="14">
        <f t="shared" si="393"/>
        <v>10</v>
      </c>
      <c r="BT594" s="14" t="str">
        <f t="shared" si="394"/>
        <v>SR守护灵10突</v>
      </c>
      <c r="BU594" s="14" t="str">
        <f>IF(BN594&gt;0,INDEX(挂机升级突破!$ER$5:$EV$5,卡牌消耗!BN594),"")</f>
        <v>金币</v>
      </c>
      <c r="BV594" s="14">
        <f>IF(BN594&gt;0,ROUND(INDEX(挂机升级突破!$EV$7:$EV$26,卡牌消耗!BS594)*INDEX(卡牌消耗!$B$8:$F$8,BP594)/$Q$4/500,0)*500,"")</f>
        <v>19000</v>
      </c>
      <c r="BW594" s="14" t="str">
        <f>IF(BO594&gt;0,INDEX(挂机升级突破!$ER$5:$EV$5,卡牌消耗!BO594),"")</f>
        <v>乌金</v>
      </c>
      <c r="BX594" s="14">
        <f>IF(BO594&gt;0,ROUND(INDEX(挂机升级突破!$ER$7:$EU$26,卡牌消耗!BS594,卡牌消耗!BO594)*INDEX($B$6:$F$6,BP594)/$Q$4/5,0)*5,"")</f>
        <v>70</v>
      </c>
      <c r="BY594" s="193"/>
      <c r="BZ594" s="193"/>
    </row>
    <row r="595" spans="37:78" ht="16.5" x14ac:dyDescent="0.2">
      <c r="AK595" s="104">
        <v>591</v>
      </c>
      <c r="AL595" s="14">
        <f t="shared" si="385"/>
        <v>12</v>
      </c>
      <c r="AM595" s="14">
        <f>INDEX(挂机升级突破!DQ$6:DQ$57,卡牌消耗!$AT595)</f>
        <v>11</v>
      </c>
      <c r="AN595" s="14">
        <f>INDEX(挂机升级突破!DR$6:DR$57,卡牌消耗!$AT595)</f>
        <v>3</v>
      </c>
      <c r="AO595" s="14">
        <f>INDEX(挂机升级突破!DS$6:DS$57,卡牌消耗!$AT595)</f>
        <v>0</v>
      </c>
      <c r="AP595" s="14">
        <f>INDEX(挂机升级突破!$DP$6:$DP$57,卡牌消耗!AT595)</f>
        <v>65</v>
      </c>
      <c r="AQ595" s="14" t="str">
        <f t="shared" si="386"/>
        <v>夏侯惇</v>
      </c>
      <c r="AR595" s="14">
        <f t="shared" si="387"/>
        <v>5</v>
      </c>
      <c r="AS595" s="14" t="str">
        <f t="shared" si="388"/>
        <v>夏侯惇魂火-19</v>
      </c>
      <c r="AT595" s="14">
        <f t="shared" si="389"/>
        <v>19</v>
      </c>
      <c r="AU595" s="14" t="str">
        <f>IF(AM595&gt;0,INDEX(挂机升级突破!$DT$4:$ED$4,AM595),"")</f>
        <v>金币</v>
      </c>
      <c r="AV595" s="14">
        <f>ROUND(INDEX(挂机升级突破!$DJ$6:$DJ$57,卡牌消耗!AT595)*INDEX(卡牌消耗!$B$8:$F$8,AR595)/$Q$4/50,0)*50</f>
        <v>8200</v>
      </c>
      <c r="AW595" s="14" t="str">
        <f>IF(AN595&gt;0,INDEX(挂机升级突破!$DT$4:$ED$4,AN595),"")</f>
        <v>紫色基础材料</v>
      </c>
      <c r="AX595" s="14">
        <f>ROUND(INDEX(挂机升级突破!$DT$6:$ED$57,卡牌消耗!AT595,AN595)*INDEX(卡牌消耗!$B$5:$F$5,AR595)/$Q$4/5,0)*5</f>
        <v>70</v>
      </c>
      <c r="AY595" s="14" t="str">
        <f>IF(AO595&gt;0,INDEX(挂机升级突破!$DT$4:$ED$4,AO595),"")</f>
        <v/>
      </c>
      <c r="AZ595" s="14" t="str">
        <f>IF(AO595&gt;0,ROUND(INDEX(挂机升级突破!$DT$6:$ED$57,卡牌消耗!AT595,AO595)*INDEX(卡牌消耗!$B$7:$F$7,AR595)/$Q$4,0),"")</f>
        <v/>
      </c>
      <c r="BL595" s="193">
        <v>591</v>
      </c>
      <c r="BM595" s="14">
        <f t="shared" si="390"/>
        <v>30</v>
      </c>
      <c r="BN595" s="14">
        <f>INDEX(挂机升级突破!$EI$7:$EI$26,BS595)</f>
        <v>5</v>
      </c>
      <c r="BO595" s="14">
        <f>INDEX(挂机升级突破!$EJ$7:$EJ$26,BS595)</f>
        <v>2</v>
      </c>
      <c r="BP595" s="14">
        <f t="shared" si="391"/>
        <v>3</v>
      </c>
      <c r="BQ595" s="14">
        <f>INDEX(挂机升级突破!$EH$7:$EH$26,卡牌消耗!BS595)</f>
        <v>72</v>
      </c>
      <c r="BR595" s="14" t="str">
        <f t="shared" si="392"/>
        <v>SR守护灵</v>
      </c>
      <c r="BS595" s="14">
        <f t="shared" si="393"/>
        <v>11</v>
      </c>
      <c r="BT595" s="14" t="str">
        <f t="shared" si="394"/>
        <v>SR守护灵11突</v>
      </c>
      <c r="BU595" s="14" t="str">
        <f>IF(BN595&gt;0,INDEX(挂机升级突破!$ER$5:$EV$5,卡牌消耗!BN595),"")</f>
        <v>金币</v>
      </c>
      <c r="BV595" s="14">
        <f>IF(BN595&gt;0,ROUND(INDEX(挂机升级突破!$EV$7:$EV$26,卡牌消耗!BS595)*INDEX(卡牌消耗!$B$8:$F$8,BP595)/$Q$4/500,0)*500,"")</f>
        <v>19000</v>
      </c>
      <c r="BW595" s="14" t="str">
        <f>IF(BO595&gt;0,INDEX(挂机升级突破!$ER$5:$EV$5,卡牌消耗!BO595),"")</f>
        <v>乌金</v>
      </c>
      <c r="BX595" s="14">
        <f>IF(BO595&gt;0,ROUND(INDEX(挂机升级突破!$ER$7:$EU$26,卡牌消耗!BS595,卡牌消耗!BO595)*INDEX($B$6:$F$6,BP595)/$Q$4/5,0)*5,"")</f>
        <v>90</v>
      </c>
      <c r="BY595" s="193"/>
      <c r="BZ595" s="193"/>
    </row>
    <row r="596" spans="37:78" ht="16.5" x14ac:dyDescent="0.2">
      <c r="AK596" s="104">
        <v>592</v>
      </c>
      <c r="AL596" s="14">
        <f t="shared" si="385"/>
        <v>12</v>
      </c>
      <c r="AM596" s="14">
        <f>INDEX(挂机升级突破!DQ$6:DQ$57,卡牌消耗!$AT596)</f>
        <v>11</v>
      </c>
      <c r="AN596" s="14">
        <f>INDEX(挂机升级突破!DR$6:DR$57,卡牌消耗!$AT596)</f>
        <v>3</v>
      </c>
      <c r="AO596" s="14">
        <f>INDEX(挂机升级突破!DS$6:DS$57,卡牌消耗!$AT596)</f>
        <v>0</v>
      </c>
      <c r="AP596" s="14">
        <f>INDEX(挂机升级突破!$DP$6:$DP$57,卡牌消耗!AT596)</f>
        <v>68</v>
      </c>
      <c r="AQ596" s="14" t="str">
        <f t="shared" si="386"/>
        <v>夏侯惇</v>
      </c>
      <c r="AR596" s="14">
        <f t="shared" si="387"/>
        <v>5</v>
      </c>
      <c r="AS596" s="14" t="str">
        <f t="shared" si="388"/>
        <v>夏侯惇魂火-20</v>
      </c>
      <c r="AT596" s="14">
        <f t="shared" si="389"/>
        <v>20</v>
      </c>
      <c r="AU596" s="14" t="str">
        <f>IF(AM596&gt;0,INDEX(挂机升级突破!$DT$4:$ED$4,AM596),"")</f>
        <v>金币</v>
      </c>
      <c r="AV596" s="14">
        <f>ROUND(INDEX(挂机升级突破!$DJ$6:$DJ$57,卡牌消耗!AT596)*INDEX(卡牌消耗!$B$8:$F$8,AR596)/$Q$4/50,0)*50</f>
        <v>10050</v>
      </c>
      <c r="AW596" s="14" t="str">
        <f>IF(AN596&gt;0,INDEX(挂机升级突破!$DT$4:$ED$4,AN596),"")</f>
        <v>紫色基础材料</v>
      </c>
      <c r="AX596" s="14">
        <f>ROUND(INDEX(挂机升级突破!$DT$6:$ED$57,卡牌消耗!AT596,AN596)*INDEX(卡牌消耗!$B$5:$F$5,AR596)/$Q$4/5,0)*5</f>
        <v>105</v>
      </c>
      <c r="AY596" s="14" t="str">
        <f>IF(AO596&gt;0,INDEX(挂机升级突破!$DT$4:$ED$4,AO596),"")</f>
        <v/>
      </c>
      <c r="AZ596" s="14" t="str">
        <f>IF(AO596&gt;0,ROUND(INDEX(挂机升级突破!$DT$6:$ED$57,卡牌消耗!AT596,AO596)*INDEX(卡牌消耗!$B$7:$F$7,AR596)/$Q$4,0),"")</f>
        <v/>
      </c>
      <c r="BL596" s="193">
        <v>592</v>
      </c>
      <c r="BM596" s="14">
        <f t="shared" si="390"/>
        <v>30</v>
      </c>
      <c r="BN596" s="14">
        <f>INDEX(挂机升级突破!$EI$7:$EI$26,BS596)</f>
        <v>5</v>
      </c>
      <c r="BO596" s="14">
        <f>INDEX(挂机升级突破!$EJ$7:$EJ$26,BS596)</f>
        <v>2</v>
      </c>
      <c r="BP596" s="14">
        <f t="shared" si="391"/>
        <v>3</v>
      </c>
      <c r="BQ596" s="14">
        <f>INDEX(挂机升级突破!$EH$7:$EH$26,卡牌消耗!BS596)</f>
        <v>80</v>
      </c>
      <c r="BR596" s="14" t="str">
        <f t="shared" si="392"/>
        <v>SR守护灵</v>
      </c>
      <c r="BS596" s="14">
        <f t="shared" si="393"/>
        <v>12</v>
      </c>
      <c r="BT596" s="14" t="str">
        <f t="shared" si="394"/>
        <v>SR守护灵12突</v>
      </c>
      <c r="BU596" s="14" t="str">
        <f>IF(BN596&gt;0,INDEX(挂机升级突破!$ER$5:$EV$5,卡牌消耗!BN596),"")</f>
        <v>金币</v>
      </c>
      <c r="BV596" s="14">
        <f>IF(BN596&gt;0,ROUND(INDEX(挂机升级突破!$EV$7:$EV$26,卡牌消耗!BS596)*INDEX(卡牌消耗!$B$8:$F$8,BP596)/$Q$4/500,0)*500,"")</f>
        <v>25000</v>
      </c>
      <c r="BW596" s="14" t="str">
        <f>IF(BO596&gt;0,INDEX(挂机升级突破!$ER$5:$EV$5,卡牌消耗!BO596),"")</f>
        <v>乌金</v>
      </c>
      <c r="BX596" s="14">
        <f>IF(BO596&gt;0,ROUND(INDEX(挂机升级突破!$ER$7:$EU$26,卡牌消耗!BS596,卡牌消耗!BO596)*INDEX($B$6:$F$6,BP596)/$Q$4/5,0)*5,"")</f>
        <v>120</v>
      </c>
      <c r="BY596" s="193"/>
      <c r="BZ596" s="193"/>
    </row>
    <row r="597" spans="37:78" ht="16.5" x14ac:dyDescent="0.2">
      <c r="AK597" s="104">
        <v>593</v>
      </c>
      <c r="AL597" s="14">
        <f t="shared" si="385"/>
        <v>12</v>
      </c>
      <c r="AM597" s="14">
        <f>INDEX(挂机升级突破!DQ$6:DQ$57,卡牌消耗!$AT597)</f>
        <v>11</v>
      </c>
      <c r="AN597" s="14">
        <f>INDEX(挂机升级突破!DR$6:DR$57,卡牌消耗!$AT597)</f>
        <v>3</v>
      </c>
      <c r="AO597" s="14">
        <f>INDEX(挂机升级突破!DS$6:DS$57,卡牌消耗!$AT597)</f>
        <v>0</v>
      </c>
      <c r="AP597" s="14">
        <f>INDEX(挂机升级突破!$DP$6:$DP$57,卡牌消耗!AT597)</f>
        <v>70</v>
      </c>
      <c r="AQ597" s="14" t="str">
        <f t="shared" si="386"/>
        <v>夏侯惇</v>
      </c>
      <c r="AR597" s="14">
        <f t="shared" si="387"/>
        <v>5</v>
      </c>
      <c r="AS597" s="14" t="str">
        <f t="shared" si="388"/>
        <v>夏侯惇魂火-21</v>
      </c>
      <c r="AT597" s="14">
        <f t="shared" si="389"/>
        <v>21</v>
      </c>
      <c r="AU597" s="14" t="str">
        <f>IF(AM597&gt;0,INDEX(挂机升级突破!$DT$4:$ED$4,AM597),"")</f>
        <v>金币</v>
      </c>
      <c r="AV597" s="14">
        <f>ROUND(INDEX(挂机升级突破!$DJ$6:$DJ$57,卡牌消耗!AT597)*INDEX(卡牌消耗!$B$8:$F$8,AR597)/$Q$4/50,0)*50</f>
        <v>10050</v>
      </c>
      <c r="AW597" s="14" t="str">
        <f>IF(AN597&gt;0,INDEX(挂机升级突破!$DT$4:$ED$4,AN597),"")</f>
        <v>紫色基础材料</v>
      </c>
      <c r="AX597" s="14">
        <f>ROUND(INDEX(挂机升级突破!$DT$6:$ED$57,卡牌消耗!AT597,AN597)*INDEX(卡牌消耗!$B$5:$F$5,AR597)/$Q$4/5,0)*5</f>
        <v>105</v>
      </c>
      <c r="AY597" s="14" t="str">
        <f>IF(AO597&gt;0,INDEX(挂机升级突破!$DT$4:$ED$4,AO597),"")</f>
        <v/>
      </c>
      <c r="AZ597" s="14" t="str">
        <f>IF(AO597&gt;0,ROUND(INDEX(挂机升级突破!$DT$6:$ED$57,卡牌消耗!AT597,AO597)*INDEX(卡牌消耗!$B$7:$F$7,AR597)/$Q$4,0),"")</f>
        <v/>
      </c>
      <c r="BL597" s="193">
        <v>593</v>
      </c>
      <c r="BM597" s="14">
        <f t="shared" si="390"/>
        <v>30</v>
      </c>
      <c r="BN597" s="14">
        <f>INDEX(挂机升级突破!$EI$7:$EI$26,BS597)</f>
        <v>5</v>
      </c>
      <c r="BO597" s="14">
        <f>INDEX(挂机升级突破!$EJ$7:$EJ$26,BS597)</f>
        <v>3</v>
      </c>
      <c r="BP597" s="14">
        <f t="shared" si="391"/>
        <v>3</v>
      </c>
      <c r="BQ597" s="14">
        <f>INDEX(挂机升级突破!$EH$7:$EH$26,卡牌消耗!BS597)</f>
        <v>87</v>
      </c>
      <c r="BR597" s="14" t="str">
        <f t="shared" si="392"/>
        <v>SR守护灵</v>
      </c>
      <c r="BS597" s="14">
        <f t="shared" si="393"/>
        <v>13</v>
      </c>
      <c r="BT597" s="14" t="str">
        <f t="shared" si="394"/>
        <v>SR守护灵13突</v>
      </c>
      <c r="BU597" s="14" t="str">
        <f>IF(BN597&gt;0,INDEX(挂机升级突破!$ER$5:$EV$5,卡牌消耗!BN597),"")</f>
        <v>金币</v>
      </c>
      <c r="BV597" s="14">
        <f>IF(BN597&gt;0,ROUND(INDEX(挂机升级突破!$EV$7:$EV$26,卡牌消耗!BS597)*INDEX(卡牌消耗!$B$8:$F$8,BP597)/$Q$4/500,0)*500,"")</f>
        <v>33500</v>
      </c>
      <c r="BW597" s="14" t="str">
        <f>IF(BO597&gt;0,INDEX(挂机升级突破!$ER$5:$EV$5,卡牌消耗!BO597),"")</f>
        <v>银母</v>
      </c>
      <c r="BX597" s="14">
        <f>IF(BO597&gt;0,ROUND(INDEX(挂机升级突破!$ER$7:$EU$26,卡牌消耗!BS597,卡牌消耗!BO597)*INDEX($B$6:$F$6,BP597)/$Q$4/5,0)*5,"")</f>
        <v>40</v>
      </c>
      <c r="BY597" s="193"/>
      <c r="BZ597" s="193"/>
    </row>
    <row r="598" spans="37:78" ht="16.5" x14ac:dyDescent="0.2">
      <c r="AK598" s="104">
        <v>594</v>
      </c>
      <c r="AL598" s="14">
        <f t="shared" si="385"/>
        <v>12</v>
      </c>
      <c r="AM598" s="14">
        <f>INDEX(挂机升级突破!DQ$6:DQ$57,卡牌消耗!$AT598)</f>
        <v>11</v>
      </c>
      <c r="AN598" s="14">
        <f>INDEX(挂机升级突破!DR$6:DR$57,卡牌消耗!$AT598)</f>
        <v>3</v>
      </c>
      <c r="AO598" s="14">
        <f>INDEX(挂机升级突破!DS$6:DS$57,卡牌消耗!$AT598)</f>
        <v>0</v>
      </c>
      <c r="AP598" s="14">
        <f>INDEX(挂机升级突破!$DP$6:$DP$57,卡牌消耗!AT598)</f>
        <v>73</v>
      </c>
      <c r="AQ598" s="14" t="str">
        <f t="shared" si="386"/>
        <v>夏侯惇</v>
      </c>
      <c r="AR598" s="14">
        <f t="shared" si="387"/>
        <v>5</v>
      </c>
      <c r="AS598" s="14" t="str">
        <f t="shared" si="388"/>
        <v>夏侯惇魂火-22</v>
      </c>
      <c r="AT598" s="14">
        <f t="shared" si="389"/>
        <v>22</v>
      </c>
      <c r="AU598" s="14" t="str">
        <f>IF(AM598&gt;0,INDEX(挂机升级突破!$DT$4:$ED$4,AM598),"")</f>
        <v>金币</v>
      </c>
      <c r="AV598" s="14">
        <f>ROUND(INDEX(挂机升级突破!$DJ$6:$DJ$57,卡牌消耗!AT598)*INDEX(卡牌消耗!$B$8:$F$8,AR598)/$Q$4/50,0)*50</f>
        <v>10050</v>
      </c>
      <c r="AW598" s="14" t="str">
        <f>IF(AN598&gt;0,INDEX(挂机升级突破!$DT$4:$ED$4,AN598),"")</f>
        <v>紫色基础材料</v>
      </c>
      <c r="AX598" s="14">
        <f>ROUND(INDEX(挂机升级突破!$DT$6:$ED$57,卡牌消耗!AT598,AN598)*INDEX(卡牌消耗!$B$5:$F$5,AR598)/$Q$4/5,0)*5</f>
        <v>105</v>
      </c>
      <c r="AY598" s="14" t="str">
        <f>IF(AO598&gt;0,INDEX(挂机升级突破!$DT$4:$ED$4,AO598),"")</f>
        <v/>
      </c>
      <c r="AZ598" s="14" t="str">
        <f>IF(AO598&gt;0,ROUND(INDEX(挂机升级突破!$DT$6:$ED$57,卡牌消耗!AT598,AO598)*INDEX(卡牌消耗!$B$7:$F$7,AR598)/$Q$4,0),"")</f>
        <v/>
      </c>
      <c r="BL598" s="193">
        <v>594</v>
      </c>
      <c r="BM598" s="14">
        <f t="shared" si="390"/>
        <v>30</v>
      </c>
      <c r="BN598" s="14">
        <f>INDEX(挂机升级突破!$EI$7:$EI$26,BS598)</f>
        <v>5</v>
      </c>
      <c r="BO598" s="14">
        <f>INDEX(挂机升级突破!$EJ$7:$EJ$26,BS598)</f>
        <v>3</v>
      </c>
      <c r="BP598" s="14">
        <f t="shared" si="391"/>
        <v>3</v>
      </c>
      <c r="BQ598" s="14">
        <f>INDEX(挂机升级突破!$EH$7:$EH$26,卡牌消耗!BS598)</f>
        <v>95</v>
      </c>
      <c r="BR598" s="14" t="str">
        <f t="shared" si="392"/>
        <v>SR守护灵</v>
      </c>
      <c r="BS598" s="14">
        <f t="shared" si="393"/>
        <v>14</v>
      </c>
      <c r="BT598" s="14" t="str">
        <f t="shared" si="394"/>
        <v>SR守护灵14突</v>
      </c>
      <c r="BU598" s="14" t="str">
        <f>IF(BN598&gt;0,INDEX(挂机升级突破!$ER$5:$EV$5,卡牌消耗!BN598),"")</f>
        <v>金币</v>
      </c>
      <c r="BV598" s="14">
        <f>IF(BN598&gt;0,ROUND(INDEX(挂机升级突破!$EV$7:$EV$26,卡牌消耗!BS598)*INDEX(卡牌消耗!$B$8:$F$8,BP598)/$Q$4/500,0)*500,"")</f>
        <v>33500</v>
      </c>
      <c r="BW598" s="14" t="str">
        <f>IF(BO598&gt;0,INDEX(挂机升级突破!$ER$5:$EV$5,卡牌消耗!BO598),"")</f>
        <v>银母</v>
      </c>
      <c r="BX598" s="14">
        <f>IF(BO598&gt;0,ROUND(INDEX(挂机升级突破!$ER$7:$EU$26,卡牌消耗!BS598,卡牌消耗!BO598)*INDEX($B$6:$F$6,BP598)/$Q$4/5,0)*5,"")</f>
        <v>55</v>
      </c>
      <c r="BY598" s="193"/>
      <c r="BZ598" s="193"/>
    </row>
    <row r="599" spans="37:78" ht="16.5" x14ac:dyDescent="0.2">
      <c r="AK599" s="104">
        <v>595</v>
      </c>
      <c r="AL599" s="14">
        <f t="shared" si="385"/>
        <v>12</v>
      </c>
      <c r="AM599" s="14">
        <f>INDEX(挂机升级突破!DQ$6:DQ$57,卡牌消耗!$AT599)</f>
        <v>11</v>
      </c>
      <c r="AN599" s="14">
        <f>INDEX(挂机升级突破!DR$6:DR$57,卡牌消耗!$AT599)</f>
        <v>4</v>
      </c>
      <c r="AO599" s="14">
        <f>INDEX(挂机升级突破!DS$6:DS$57,卡牌消耗!$AT599)</f>
        <v>0</v>
      </c>
      <c r="AP599" s="14">
        <f>INDEX(挂机升级突破!$DP$6:$DP$57,卡牌消耗!AT599)</f>
        <v>75</v>
      </c>
      <c r="AQ599" s="14" t="str">
        <f t="shared" si="386"/>
        <v>夏侯惇</v>
      </c>
      <c r="AR599" s="14">
        <f t="shared" si="387"/>
        <v>5</v>
      </c>
      <c r="AS599" s="14" t="str">
        <f t="shared" si="388"/>
        <v>夏侯惇魂火-23</v>
      </c>
      <c r="AT599" s="14">
        <f t="shared" si="389"/>
        <v>23</v>
      </c>
      <c r="AU599" s="14" t="str">
        <f>IF(AM599&gt;0,INDEX(挂机升级突破!$DT$4:$ED$4,AM599),"")</f>
        <v>金币</v>
      </c>
      <c r="AV599" s="14">
        <f>ROUND(INDEX(挂机升级突破!$DJ$6:$DJ$57,卡牌消耗!AT599)*INDEX(卡牌消耗!$B$8:$F$8,AR599)/$Q$4/50,0)*50</f>
        <v>13800</v>
      </c>
      <c r="AW599" s="14" t="str">
        <f>IF(AN599&gt;0,INDEX(挂机升级突破!$DT$4:$ED$4,AN599),"")</f>
        <v>橙色基础材料</v>
      </c>
      <c r="AX599" s="14">
        <f>ROUND(INDEX(挂机升级突破!$DT$6:$ED$57,卡牌消耗!AT599,AN599)*INDEX(卡牌消耗!$B$5:$F$5,AR599)/$Q$4/5,0)*5</f>
        <v>30</v>
      </c>
      <c r="AY599" s="14" t="str">
        <f>IF(AO599&gt;0,INDEX(挂机升级突破!$DT$4:$ED$4,AO599),"")</f>
        <v/>
      </c>
      <c r="AZ599" s="14" t="str">
        <f>IF(AO599&gt;0,ROUND(INDEX(挂机升级突破!$DT$6:$ED$57,卡牌消耗!AT599,AO599)*INDEX(卡牌消耗!$B$7:$F$7,AR599)/$Q$4,0),"")</f>
        <v/>
      </c>
      <c r="BL599" s="193">
        <v>595</v>
      </c>
      <c r="BM599" s="14">
        <f t="shared" si="390"/>
        <v>30</v>
      </c>
      <c r="BN599" s="14">
        <f>INDEX(挂机升级突破!$EI$7:$EI$26,BS599)</f>
        <v>5</v>
      </c>
      <c r="BO599" s="14">
        <f>INDEX(挂机升级突破!$EJ$7:$EJ$26,BS599)</f>
        <v>3</v>
      </c>
      <c r="BP599" s="14">
        <f t="shared" si="391"/>
        <v>3</v>
      </c>
      <c r="BQ599" s="14">
        <f>INDEX(挂机升级突破!$EH$7:$EH$26,卡牌消耗!BS599)</f>
        <v>102</v>
      </c>
      <c r="BR599" s="14" t="str">
        <f t="shared" si="392"/>
        <v>SR守护灵</v>
      </c>
      <c r="BS599" s="14">
        <f t="shared" si="393"/>
        <v>15</v>
      </c>
      <c r="BT599" s="14" t="str">
        <f t="shared" si="394"/>
        <v>SR守护灵15突</v>
      </c>
      <c r="BU599" s="14" t="str">
        <f>IF(BN599&gt;0,INDEX(挂机升级突破!$ER$5:$EV$5,卡牌消耗!BN599),"")</f>
        <v>金币</v>
      </c>
      <c r="BV599" s="14">
        <f>IF(BN599&gt;0,ROUND(INDEX(挂机升级突破!$EV$7:$EV$26,卡牌消耗!BS599)*INDEX(卡牌消耗!$B$8:$F$8,BP599)/$Q$4/500,0)*500,"")</f>
        <v>44500</v>
      </c>
      <c r="BW599" s="14" t="str">
        <f>IF(BO599&gt;0,INDEX(挂机升级突破!$ER$5:$EV$5,卡牌消耗!BO599),"")</f>
        <v>银母</v>
      </c>
      <c r="BX599" s="14">
        <f>IF(BO599&gt;0,ROUND(INDEX(挂机升级突破!$ER$7:$EU$26,卡牌消耗!BS599,卡牌消耗!BO599)*INDEX($B$6:$F$6,BP599)/$Q$4/5,0)*5,"")</f>
        <v>70</v>
      </c>
      <c r="BY599" s="193"/>
      <c r="BZ599" s="193"/>
    </row>
    <row r="600" spans="37:78" ht="16.5" x14ac:dyDescent="0.2">
      <c r="AK600" s="104">
        <v>596</v>
      </c>
      <c r="AL600" s="14">
        <f t="shared" si="385"/>
        <v>12</v>
      </c>
      <c r="AM600" s="14">
        <f>INDEX(挂机升级突破!DQ$6:DQ$57,卡牌消耗!$AT600)</f>
        <v>11</v>
      </c>
      <c r="AN600" s="14">
        <f>INDEX(挂机升级突破!DR$6:DR$57,卡牌消耗!$AT600)</f>
        <v>4</v>
      </c>
      <c r="AO600" s="14">
        <f>INDEX(挂机升级突破!DS$6:DS$57,卡牌消耗!$AT600)</f>
        <v>0</v>
      </c>
      <c r="AP600" s="14">
        <f>INDEX(挂机升级突破!$DP$6:$DP$57,卡牌消耗!AT600)</f>
        <v>78</v>
      </c>
      <c r="AQ600" s="14" t="str">
        <f t="shared" si="386"/>
        <v>夏侯惇</v>
      </c>
      <c r="AR600" s="14">
        <f t="shared" si="387"/>
        <v>5</v>
      </c>
      <c r="AS600" s="14" t="str">
        <f t="shared" si="388"/>
        <v>夏侯惇魂火-24</v>
      </c>
      <c r="AT600" s="14">
        <f t="shared" si="389"/>
        <v>24</v>
      </c>
      <c r="AU600" s="14" t="str">
        <f>IF(AM600&gt;0,INDEX(挂机升级突破!$DT$4:$ED$4,AM600),"")</f>
        <v>金币</v>
      </c>
      <c r="AV600" s="14">
        <f>ROUND(INDEX(挂机升级突破!$DJ$6:$DJ$57,卡牌消耗!AT600)*INDEX(卡牌消耗!$B$8:$F$8,AR600)/$Q$4/50,0)*50</f>
        <v>13800</v>
      </c>
      <c r="AW600" s="14" t="str">
        <f>IF(AN600&gt;0,INDEX(挂机升级突破!$DT$4:$ED$4,AN600),"")</f>
        <v>橙色基础材料</v>
      </c>
      <c r="AX600" s="14">
        <f>ROUND(INDEX(挂机升级突破!$DT$6:$ED$57,卡牌消耗!AT600,AN600)*INDEX(卡牌消耗!$B$5:$F$5,AR600)/$Q$4/5,0)*5</f>
        <v>30</v>
      </c>
      <c r="AY600" s="14" t="str">
        <f>IF(AO600&gt;0,INDEX(挂机升级突破!$DT$4:$ED$4,AO600),"")</f>
        <v/>
      </c>
      <c r="AZ600" s="14" t="str">
        <f>IF(AO600&gt;0,ROUND(INDEX(挂机升级突破!$DT$6:$ED$57,卡牌消耗!AT600,AO600)*INDEX(卡牌消耗!$B$7:$F$7,AR600)/$Q$4,0),"")</f>
        <v/>
      </c>
      <c r="BL600" s="193">
        <v>596</v>
      </c>
      <c r="BM600" s="14">
        <f t="shared" si="390"/>
        <v>30</v>
      </c>
      <c r="BN600" s="14">
        <f>INDEX(挂机升级突破!$EI$7:$EI$26,BS600)</f>
        <v>5</v>
      </c>
      <c r="BO600" s="14">
        <f>INDEX(挂机升级突破!$EJ$7:$EJ$26,BS600)</f>
        <v>3</v>
      </c>
      <c r="BP600" s="14">
        <f t="shared" si="391"/>
        <v>3</v>
      </c>
      <c r="BQ600" s="14">
        <f>INDEX(挂机升级突破!$EH$7:$EH$26,卡牌消耗!BS600)</f>
        <v>110</v>
      </c>
      <c r="BR600" s="14" t="str">
        <f t="shared" si="392"/>
        <v>SR守护灵</v>
      </c>
      <c r="BS600" s="14">
        <f t="shared" si="393"/>
        <v>16</v>
      </c>
      <c r="BT600" s="14" t="str">
        <f t="shared" si="394"/>
        <v>SR守护灵16突</v>
      </c>
      <c r="BU600" s="14" t="str">
        <f>IF(BN600&gt;0,INDEX(挂机升级突破!$ER$5:$EV$5,卡牌消耗!BN600),"")</f>
        <v>金币</v>
      </c>
      <c r="BV600" s="14">
        <f>IF(BN600&gt;0,ROUND(INDEX(挂机升级突破!$EV$7:$EV$26,卡牌消耗!BS600)*INDEX(卡牌消耗!$B$8:$F$8,BP600)/$Q$4/500,0)*500,"")</f>
        <v>80500</v>
      </c>
      <c r="BW600" s="14" t="str">
        <f>IF(BO600&gt;0,INDEX(挂机升级突破!$ER$5:$EV$5,卡牌消耗!BO600),"")</f>
        <v>银母</v>
      </c>
      <c r="BX600" s="14">
        <f>IF(BO600&gt;0,ROUND(INDEX(挂机升级突破!$ER$7:$EU$26,卡牌消耗!BS600,卡牌消耗!BO600)*INDEX($B$6:$F$6,BP600)/$Q$4/5,0)*5,"")</f>
        <v>90</v>
      </c>
      <c r="BY600" s="193"/>
      <c r="BZ600" s="193"/>
    </row>
    <row r="601" spans="37:78" ht="16.5" x14ac:dyDescent="0.2">
      <c r="AK601" s="104">
        <v>597</v>
      </c>
      <c r="AL601" s="14">
        <f t="shared" si="385"/>
        <v>12</v>
      </c>
      <c r="AM601" s="14">
        <f>INDEX(挂机升级突破!DQ$6:DQ$57,卡牌消耗!$AT601)</f>
        <v>11</v>
      </c>
      <c r="AN601" s="14">
        <f>INDEX(挂机升级突破!DR$6:DR$57,卡牌消耗!$AT601)</f>
        <v>4</v>
      </c>
      <c r="AO601" s="14">
        <f>INDEX(挂机升级突破!DS$6:DS$57,卡牌消耗!$AT601)</f>
        <v>0</v>
      </c>
      <c r="AP601" s="14">
        <f>INDEX(挂机升级突破!$DP$6:$DP$57,卡牌消耗!AT601)</f>
        <v>80</v>
      </c>
      <c r="AQ601" s="14" t="str">
        <f t="shared" si="386"/>
        <v>夏侯惇</v>
      </c>
      <c r="AR601" s="14">
        <f t="shared" si="387"/>
        <v>5</v>
      </c>
      <c r="AS601" s="14" t="str">
        <f t="shared" si="388"/>
        <v>夏侯惇魂火-25</v>
      </c>
      <c r="AT601" s="14">
        <f t="shared" si="389"/>
        <v>25</v>
      </c>
      <c r="AU601" s="14" t="str">
        <f>IF(AM601&gt;0,INDEX(挂机升级突破!$DT$4:$ED$4,AM601),"")</f>
        <v>金币</v>
      </c>
      <c r="AV601" s="14">
        <f>ROUND(INDEX(挂机升级突破!$DJ$6:$DJ$57,卡牌消耗!AT601)*INDEX(卡牌消耗!$B$8:$F$8,AR601)/$Q$4/50,0)*50</f>
        <v>15050</v>
      </c>
      <c r="AW601" s="14" t="str">
        <f>IF(AN601&gt;0,INDEX(挂机升级突破!$DT$4:$ED$4,AN601),"")</f>
        <v>橙色基础材料</v>
      </c>
      <c r="AX601" s="14">
        <f>ROUND(INDEX(挂机升级突破!$DT$6:$ED$57,卡牌消耗!AT601,AN601)*INDEX(卡牌消耗!$B$5:$F$5,AR601)/$Q$4/5,0)*5</f>
        <v>30</v>
      </c>
      <c r="AY601" s="14" t="str">
        <f>IF(AO601&gt;0,INDEX(挂机升级突破!$DT$4:$ED$4,AO601),"")</f>
        <v/>
      </c>
      <c r="AZ601" s="14" t="str">
        <f>IF(AO601&gt;0,ROUND(INDEX(挂机升级突破!$DT$6:$ED$57,卡牌消耗!AT601,AO601)*INDEX(卡牌消耗!$B$7:$F$7,AR601)/$Q$4,0),"")</f>
        <v/>
      </c>
      <c r="BL601" s="193">
        <v>597</v>
      </c>
      <c r="BM601" s="14">
        <f t="shared" si="390"/>
        <v>30</v>
      </c>
      <c r="BN601" s="14">
        <f>INDEX(挂机升级突破!$EI$7:$EI$26,BS601)</f>
        <v>5</v>
      </c>
      <c r="BO601" s="14">
        <f>INDEX(挂机升级突破!$EJ$7:$EJ$26,BS601)</f>
        <v>4</v>
      </c>
      <c r="BP601" s="14">
        <f t="shared" si="391"/>
        <v>3</v>
      </c>
      <c r="BQ601" s="14">
        <f>INDEX(挂机升级突破!$EH$7:$EH$26,卡牌消耗!BS601)</f>
        <v>117</v>
      </c>
      <c r="BR601" s="14" t="str">
        <f t="shared" si="392"/>
        <v>SR守护灵</v>
      </c>
      <c r="BS601" s="14">
        <f t="shared" si="393"/>
        <v>17</v>
      </c>
      <c r="BT601" s="14" t="str">
        <f t="shared" si="394"/>
        <v>SR守护灵17突</v>
      </c>
      <c r="BU601" s="14" t="str">
        <f>IF(BN601&gt;0,INDEX(挂机升级突破!$ER$5:$EV$5,卡牌消耗!BN601),"")</f>
        <v>金币</v>
      </c>
      <c r="BV601" s="14">
        <f>IF(BN601&gt;0,ROUND(INDEX(挂机升级突破!$EV$7:$EV$26,卡牌消耗!BS601)*INDEX(卡牌消耗!$B$8:$F$8,BP601)/$Q$4/500,0)*500,"")</f>
        <v>80500</v>
      </c>
      <c r="BW601" s="14" t="str">
        <f>IF(BO601&gt;0,INDEX(挂机升级突破!$ER$5:$EV$5,卡牌消耗!BO601),"")</f>
        <v>铀金</v>
      </c>
      <c r="BX601" s="14">
        <f>IF(BO601&gt;0,ROUND(INDEX(挂机升级突破!$ER$7:$EU$26,卡牌消耗!BS601,卡牌消耗!BO601)*INDEX($B$6:$F$6,BP601)/$Q$4/5,0)*5,"")</f>
        <v>20</v>
      </c>
      <c r="BY601" s="193"/>
      <c r="BZ601" s="193"/>
    </row>
    <row r="602" spans="37:78" ht="16.5" x14ac:dyDescent="0.2">
      <c r="AK602" s="104">
        <v>598</v>
      </c>
      <c r="AL602" s="14">
        <f t="shared" si="385"/>
        <v>12</v>
      </c>
      <c r="AM602" s="14">
        <f>INDEX(挂机升级突破!DQ$6:DQ$57,卡牌消耗!$AT602)</f>
        <v>11</v>
      </c>
      <c r="AN602" s="14">
        <f>INDEX(挂机升级突破!DR$6:DR$57,卡牌消耗!$AT602)</f>
        <v>4</v>
      </c>
      <c r="AO602" s="14">
        <f>INDEX(挂机升级突破!DS$6:DS$57,卡牌消耗!$AT602)</f>
        <v>0</v>
      </c>
      <c r="AP602" s="14">
        <f>INDEX(挂机升级突破!$DP$6:$DP$57,卡牌消耗!AT602)</f>
        <v>83</v>
      </c>
      <c r="AQ602" s="14" t="str">
        <f t="shared" si="386"/>
        <v>夏侯惇</v>
      </c>
      <c r="AR602" s="14">
        <f t="shared" si="387"/>
        <v>5</v>
      </c>
      <c r="AS602" s="14" t="str">
        <f t="shared" si="388"/>
        <v>夏侯惇魂火-26</v>
      </c>
      <c r="AT602" s="14">
        <f t="shared" si="389"/>
        <v>26</v>
      </c>
      <c r="AU602" s="14" t="str">
        <f>IF(AM602&gt;0,INDEX(挂机升级突破!$DT$4:$ED$4,AM602),"")</f>
        <v>金币</v>
      </c>
      <c r="AV602" s="14">
        <f>ROUND(INDEX(挂机升级突破!$DJ$6:$DJ$57,卡牌消耗!AT602)*INDEX(卡牌消耗!$B$8:$F$8,AR602)/$Q$4/50,0)*50</f>
        <v>17550</v>
      </c>
      <c r="AW602" s="14" t="str">
        <f>IF(AN602&gt;0,INDEX(挂机升级突破!$DT$4:$ED$4,AN602),"")</f>
        <v>橙色基础材料</v>
      </c>
      <c r="AX602" s="14">
        <f>ROUND(INDEX(挂机升级突破!$DT$6:$ED$57,卡牌消耗!AT602,AN602)*INDEX(卡牌消耗!$B$5:$F$5,AR602)/$Q$4/5,0)*5</f>
        <v>35</v>
      </c>
      <c r="AY602" s="14" t="str">
        <f>IF(AO602&gt;0,INDEX(挂机升级突破!$DT$4:$ED$4,AO602),"")</f>
        <v/>
      </c>
      <c r="AZ602" s="14" t="str">
        <f>IF(AO602&gt;0,ROUND(INDEX(挂机升级突破!$DT$6:$ED$57,卡牌消耗!AT602,AO602)*INDEX(卡牌消耗!$B$7:$F$7,AR602)/$Q$4,0),"")</f>
        <v/>
      </c>
      <c r="BL602" s="193">
        <v>598</v>
      </c>
      <c r="BM602" s="14">
        <f t="shared" si="390"/>
        <v>30</v>
      </c>
      <c r="BN602" s="14">
        <f>INDEX(挂机升级突破!$EI$7:$EI$26,BS602)</f>
        <v>5</v>
      </c>
      <c r="BO602" s="14">
        <f>INDEX(挂机升级突破!$EJ$7:$EJ$26,BS602)</f>
        <v>4</v>
      </c>
      <c r="BP602" s="14">
        <f t="shared" si="391"/>
        <v>3</v>
      </c>
      <c r="BQ602" s="14">
        <f>INDEX(挂机升级突破!$EH$7:$EH$26,卡牌消耗!BS602)</f>
        <v>125</v>
      </c>
      <c r="BR602" s="14" t="str">
        <f t="shared" si="392"/>
        <v>SR守护灵</v>
      </c>
      <c r="BS602" s="14">
        <f t="shared" si="393"/>
        <v>18</v>
      </c>
      <c r="BT602" s="14" t="str">
        <f t="shared" si="394"/>
        <v>SR守护灵18突</v>
      </c>
      <c r="BU602" s="14" t="str">
        <f>IF(BN602&gt;0,INDEX(挂机升级突破!$ER$5:$EV$5,卡牌消耗!BN602),"")</f>
        <v>金币</v>
      </c>
      <c r="BV602" s="14">
        <f>IF(BN602&gt;0,ROUND(INDEX(挂机升级突破!$EV$7:$EV$26,卡牌消耗!BS602)*INDEX(卡牌消耗!$B$8:$F$8,BP602)/$Q$4/500,0)*500,"")</f>
        <v>107500</v>
      </c>
      <c r="BW602" s="14" t="str">
        <f>IF(BO602&gt;0,INDEX(挂机升级突破!$ER$5:$EV$5,卡牌消耗!BO602),"")</f>
        <v>铀金</v>
      </c>
      <c r="BX602" s="14">
        <f>IF(BO602&gt;0,ROUND(INDEX(挂机升级突破!$ER$7:$EU$26,卡牌消耗!BS602,卡牌消耗!BO602)*INDEX($B$6:$F$6,BP602)/$Q$4/5,0)*5,"")</f>
        <v>25</v>
      </c>
      <c r="BY602" s="193"/>
      <c r="BZ602" s="193"/>
    </row>
    <row r="603" spans="37:78" ht="16.5" x14ac:dyDescent="0.2">
      <c r="AK603" s="104">
        <v>599</v>
      </c>
      <c r="AL603" s="14">
        <f t="shared" si="385"/>
        <v>12</v>
      </c>
      <c r="AM603" s="14">
        <f>INDEX(挂机升级突破!DQ$6:DQ$57,卡牌消耗!$AT603)</f>
        <v>11</v>
      </c>
      <c r="AN603" s="14">
        <f>INDEX(挂机升级突破!DR$6:DR$57,卡牌消耗!$AT603)</f>
        <v>4</v>
      </c>
      <c r="AO603" s="14">
        <f>INDEX(挂机升级突破!DS$6:DS$57,卡牌消耗!$AT603)</f>
        <v>0</v>
      </c>
      <c r="AP603" s="14">
        <f>INDEX(挂机升级突破!$DP$6:$DP$57,卡牌消耗!AT603)</f>
        <v>85</v>
      </c>
      <c r="AQ603" s="14" t="str">
        <f t="shared" si="386"/>
        <v>夏侯惇</v>
      </c>
      <c r="AR603" s="14">
        <f t="shared" si="387"/>
        <v>5</v>
      </c>
      <c r="AS603" s="14" t="str">
        <f t="shared" si="388"/>
        <v>夏侯惇魂火-27</v>
      </c>
      <c r="AT603" s="14">
        <f t="shared" si="389"/>
        <v>27</v>
      </c>
      <c r="AU603" s="14" t="str">
        <f>IF(AM603&gt;0,INDEX(挂机升级突破!$DT$4:$ED$4,AM603),"")</f>
        <v>金币</v>
      </c>
      <c r="AV603" s="14">
        <f>ROUND(INDEX(挂机升级突破!$DJ$6:$DJ$57,卡牌消耗!AT603)*INDEX(卡牌消耗!$B$8:$F$8,AR603)/$Q$4/50,0)*50</f>
        <v>17550</v>
      </c>
      <c r="AW603" s="14" t="str">
        <f>IF(AN603&gt;0,INDEX(挂机升级突破!$DT$4:$ED$4,AN603),"")</f>
        <v>橙色基础材料</v>
      </c>
      <c r="AX603" s="14">
        <f>ROUND(INDEX(挂机升级突破!$DT$6:$ED$57,卡牌消耗!AT603,AN603)*INDEX(卡牌消耗!$B$5:$F$5,AR603)/$Q$4/5,0)*5</f>
        <v>35</v>
      </c>
      <c r="AY603" s="14" t="str">
        <f>IF(AO603&gt;0,INDEX(挂机升级突破!$DT$4:$ED$4,AO603),"")</f>
        <v/>
      </c>
      <c r="AZ603" s="14" t="str">
        <f>IF(AO603&gt;0,ROUND(INDEX(挂机升级突破!$DT$6:$ED$57,卡牌消耗!AT603,AO603)*INDEX(卡牌消耗!$B$7:$F$7,AR603)/$Q$4,0),"")</f>
        <v/>
      </c>
      <c r="BL603" s="193">
        <v>599</v>
      </c>
      <c r="BM603" s="14">
        <f t="shared" si="390"/>
        <v>30</v>
      </c>
      <c r="BN603" s="14">
        <f>INDEX(挂机升级突破!$EI$7:$EI$26,BS603)</f>
        <v>5</v>
      </c>
      <c r="BO603" s="14">
        <f>INDEX(挂机升级突破!$EJ$7:$EJ$26,BS603)</f>
        <v>4</v>
      </c>
      <c r="BP603" s="14">
        <f t="shared" si="391"/>
        <v>3</v>
      </c>
      <c r="BQ603" s="14">
        <f>INDEX(挂机升级突破!$EH$7:$EH$26,卡牌消耗!BS603)</f>
        <v>132</v>
      </c>
      <c r="BR603" s="14" t="str">
        <f t="shared" si="392"/>
        <v>SR守护灵</v>
      </c>
      <c r="BS603" s="14">
        <f t="shared" si="393"/>
        <v>19</v>
      </c>
      <c r="BT603" s="14" t="str">
        <f t="shared" si="394"/>
        <v>SR守护灵19突</v>
      </c>
      <c r="BU603" s="14" t="str">
        <f>IF(BN603&gt;0,INDEX(挂机升级突破!$ER$5:$EV$5,卡牌消耗!BN603),"")</f>
        <v>金币</v>
      </c>
      <c r="BV603" s="14">
        <f>IF(BN603&gt;0,ROUND(INDEX(挂机升级突破!$EV$7:$EV$26,卡牌消耗!BS603)*INDEX(卡牌消耗!$B$8:$F$8,BP603)/$Q$4/500,0)*500,"")</f>
        <v>273500</v>
      </c>
      <c r="BW603" s="14" t="str">
        <f>IF(BO603&gt;0,INDEX(挂机升级突破!$ER$5:$EV$5,卡牌消耗!BO603),"")</f>
        <v>铀金</v>
      </c>
      <c r="BX603" s="14">
        <f>IF(BO603&gt;0,ROUND(INDEX(挂机升级突破!$ER$7:$EU$26,卡牌消耗!BS603,卡牌消耗!BO603)*INDEX($B$6:$F$6,BP603)/$Q$4/5,0)*5,"")</f>
        <v>35</v>
      </c>
      <c r="BY603" s="193"/>
      <c r="BZ603" s="193"/>
    </row>
    <row r="604" spans="37:78" ht="16.5" x14ac:dyDescent="0.2">
      <c r="AK604" s="104">
        <v>600</v>
      </c>
      <c r="AL604" s="14">
        <f t="shared" si="385"/>
        <v>12</v>
      </c>
      <c r="AM604" s="14">
        <f>INDEX(挂机升级突破!DQ$6:DQ$57,卡牌消耗!$AT604)</f>
        <v>11</v>
      </c>
      <c r="AN604" s="14">
        <f>INDEX(挂机升级突破!DR$6:DR$57,卡牌消耗!$AT604)</f>
        <v>4</v>
      </c>
      <c r="AO604" s="14">
        <f>INDEX(挂机升级突破!DS$6:DS$57,卡牌消耗!$AT604)</f>
        <v>0</v>
      </c>
      <c r="AP604" s="14">
        <f>INDEX(挂机升级突破!$DP$6:$DP$57,卡牌消耗!AT604)</f>
        <v>88</v>
      </c>
      <c r="AQ604" s="14" t="str">
        <f t="shared" si="386"/>
        <v>夏侯惇</v>
      </c>
      <c r="AR604" s="14">
        <f t="shared" si="387"/>
        <v>5</v>
      </c>
      <c r="AS604" s="14" t="str">
        <f t="shared" si="388"/>
        <v>夏侯惇魂火-28</v>
      </c>
      <c r="AT604" s="14">
        <f t="shared" si="389"/>
        <v>28</v>
      </c>
      <c r="AU604" s="14" t="str">
        <f>IF(AM604&gt;0,INDEX(挂机升级突破!$DT$4:$ED$4,AM604),"")</f>
        <v>金币</v>
      </c>
      <c r="AV604" s="14">
        <f>ROUND(INDEX(挂机升级突破!$DJ$6:$DJ$57,卡牌消耗!AT604)*INDEX(卡牌消耗!$B$8:$F$8,AR604)/$Q$4/50,0)*50</f>
        <v>17550</v>
      </c>
      <c r="AW604" s="14" t="str">
        <f>IF(AN604&gt;0,INDEX(挂机升级突破!$DT$4:$ED$4,AN604),"")</f>
        <v>橙色基础材料</v>
      </c>
      <c r="AX604" s="14">
        <f>ROUND(INDEX(挂机升级突破!$DT$6:$ED$57,卡牌消耗!AT604,AN604)*INDEX(卡牌消耗!$B$5:$F$5,AR604)/$Q$4/5,0)*5</f>
        <v>35</v>
      </c>
      <c r="AY604" s="14" t="str">
        <f>IF(AO604&gt;0,INDEX(挂机升级突破!$DT$4:$ED$4,AO604),"")</f>
        <v/>
      </c>
      <c r="AZ604" s="14" t="str">
        <f>IF(AO604&gt;0,ROUND(INDEX(挂机升级突破!$DT$6:$ED$57,卡牌消耗!AT604,AO604)*INDEX(卡牌消耗!$B$7:$F$7,AR604)/$Q$4,0),"")</f>
        <v/>
      </c>
      <c r="BL604" s="193">
        <v>600</v>
      </c>
      <c r="BM604" s="14">
        <f t="shared" si="390"/>
        <v>30</v>
      </c>
      <c r="BN604" s="14">
        <f>INDEX(挂机升级突破!$EI$7:$EI$26,BS604)</f>
        <v>5</v>
      </c>
      <c r="BO604" s="14">
        <f>INDEX(挂机升级突破!$EJ$7:$EJ$26,BS604)</f>
        <v>4</v>
      </c>
      <c r="BP604" s="14">
        <f t="shared" si="391"/>
        <v>3</v>
      </c>
      <c r="BQ604" s="14">
        <f>INDEX(挂机升级突破!$EH$7:$EH$26,卡牌消耗!BS604)</f>
        <v>140</v>
      </c>
      <c r="BR604" s="14" t="str">
        <f t="shared" si="392"/>
        <v>SR守护灵</v>
      </c>
      <c r="BS604" s="14">
        <f t="shared" si="393"/>
        <v>20</v>
      </c>
      <c r="BT604" s="14" t="str">
        <f t="shared" si="394"/>
        <v>SR守护灵20突</v>
      </c>
      <c r="BU604" s="14" t="str">
        <f>IF(BN604&gt;0,INDEX(挂机升级突破!$ER$5:$EV$5,卡牌消耗!BN604),"")</f>
        <v>金币</v>
      </c>
      <c r="BV604" s="14">
        <f>IF(BN604&gt;0,ROUND(INDEX(挂机升级突破!$EV$7:$EV$26,卡牌消耗!BS604)*INDEX(卡牌消耗!$B$8:$F$8,BP604)/$Q$4/500,0)*500,"")</f>
        <v>410500</v>
      </c>
      <c r="BW604" s="14" t="str">
        <f>IF(BO604&gt;0,INDEX(挂机升级突破!$ER$5:$EV$5,卡牌消耗!BO604),"")</f>
        <v>铀金</v>
      </c>
      <c r="BX604" s="14">
        <f>IF(BO604&gt;0,ROUND(INDEX(挂机升级突破!$ER$7:$EU$26,卡牌消耗!BS604,卡牌消耗!BO604)*INDEX($B$6:$F$6,BP604)/$Q$4/5,0)*5,"")</f>
        <v>40</v>
      </c>
      <c r="BY604" s="193"/>
      <c r="BZ604" s="193"/>
    </row>
    <row r="605" spans="37:78" ht="16.5" x14ac:dyDescent="0.2">
      <c r="AK605" s="104">
        <v>601</v>
      </c>
      <c r="AL605" s="14">
        <f t="shared" si="385"/>
        <v>12</v>
      </c>
      <c r="AM605" s="14">
        <f>INDEX(挂机升级突破!DQ$6:DQ$57,卡牌消耗!$AT605)</f>
        <v>11</v>
      </c>
      <c r="AN605" s="14">
        <f>INDEX(挂机升级突破!DR$6:DR$57,卡牌消耗!$AT605)</f>
        <v>4</v>
      </c>
      <c r="AO605" s="14">
        <f>INDEX(挂机升级突破!DS$6:DS$57,卡牌消耗!$AT605)</f>
        <v>0</v>
      </c>
      <c r="AP605" s="14">
        <f>INDEX(挂机升级突破!$DP$6:$DP$57,卡牌消耗!AT605)</f>
        <v>90</v>
      </c>
      <c r="AQ605" s="14" t="str">
        <f t="shared" si="386"/>
        <v>夏侯惇</v>
      </c>
      <c r="AR605" s="14">
        <f t="shared" si="387"/>
        <v>5</v>
      </c>
      <c r="AS605" s="14" t="str">
        <f t="shared" si="388"/>
        <v>夏侯惇魂火-29</v>
      </c>
      <c r="AT605" s="14">
        <f t="shared" si="389"/>
        <v>29</v>
      </c>
      <c r="AU605" s="14" t="str">
        <f>IF(AM605&gt;0,INDEX(挂机升级突破!$DT$4:$ED$4,AM605),"")</f>
        <v>金币</v>
      </c>
      <c r="AV605" s="14">
        <f>ROUND(INDEX(挂机升级突破!$DJ$6:$DJ$57,卡牌消耗!AT605)*INDEX(卡牌消耗!$B$8:$F$8,AR605)/$Q$4/50,0)*50</f>
        <v>17800</v>
      </c>
      <c r="AW605" s="14" t="str">
        <f>IF(AN605&gt;0,INDEX(挂机升级突破!$DT$4:$ED$4,AN605),"")</f>
        <v>橙色基础材料</v>
      </c>
      <c r="AX605" s="14">
        <f>ROUND(INDEX(挂机升级突破!$DT$6:$ED$57,卡牌消耗!AT605,AN605)*INDEX(卡牌消耗!$B$5:$F$5,AR605)/$Q$4/5,0)*5</f>
        <v>40</v>
      </c>
      <c r="AY605" s="14" t="str">
        <f>IF(AO605&gt;0,INDEX(挂机升级突破!$DT$4:$ED$4,AO605),"")</f>
        <v/>
      </c>
      <c r="AZ605" s="14" t="str">
        <f>IF(AO605&gt;0,ROUND(INDEX(挂机升级突破!$DT$6:$ED$57,卡牌消耗!AT605,AO605)*INDEX(卡牌消耗!$B$7:$F$7,AR605)/$Q$4,0),"")</f>
        <v/>
      </c>
      <c r="BL605" s="193">
        <v>601</v>
      </c>
      <c r="BM605" s="14">
        <f t="shared" si="390"/>
        <v>31</v>
      </c>
      <c r="BN605" s="14">
        <f>INDEX(挂机升级突破!$EI$7:$EI$26,BS605)</f>
        <v>0</v>
      </c>
      <c r="BO605" s="14">
        <f>INDEX(挂机升级突破!$EJ$7:$EJ$26,BS605)</f>
        <v>0</v>
      </c>
      <c r="BP605" s="14">
        <f t="shared" si="391"/>
        <v>4</v>
      </c>
      <c r="BQ605" s="14">
        <f>INDEX(挂机升级突破!$EH$7:$EH$26,卡牌消耗!BS605)</f>
        <v>1</v>
      </c>
      <c r="BR605" s="14" t="str">
        <f t="shared" si="392"/>
        <v>SSR守护灵</v>
      </c>
      <c r="BS605" s="14">
        <f t="shared" si="393"/>
        <v>1</v>
      </c>
      <c r="BT605" s="14" t="str">
        <f t="shared" si="394"/>
        <v>SSR守护灵1突</v>
      </c>
      <c r="BU605" s="14" t="str">
        <f>IF(BN605&gt;0,INDEX(挂机升级突破!$ER$5:$EV$5,卡牌消耗!BN605),"")</f>
        <v/>
      </c>
      <c r="BV605" s="14" t="str">
        <f>IF(BN605&gt;0,ROUND(INDEX(挂机升级突破!$EV$7:$EV$26,卡牌消耗!BS605)*INDEX(卡牌消耗!$B$8:$F$8,BP605)/$Q$4/500,0)*500,"")</f>
        <v/>
      </c>
      <c r="BW605" s="14" t="str">
        <f>IF(BO605&gt;0,INDEX(挂机升级突破!$ER$5:$EV$5,卡牌消耗!BO605),"")</f>
        <v/>
      </c>
      <c r="BX605" s="14" t="str">
        <f>IF(BO605&gt;0,ROUND(INDEX(挂机升级突破!$ER$7:$EU$26,卡牌消耗!BS605,卡牌消耗!BO605)*INDEX($B$6:$F$6,BP605)/$Q$4/5,0)*5,"")</f>
        <v/>
      </c>
      <c r="BY605" s="193"/>
      <c r="BZ605" s="193"/>
    </row>
    <row r="606" spans="37:78" ht="16.5" x14ac:dyDescent="0.2">
      <c r="AK606" s="104">
        <v>602</v>
      </c>
      <c r="AL606" s="14">
        <f t="shared" si="385"/>
        <v>12</v>
      </c>
      <c r="AM606" s="14">
        <f>INDEX(挂机升级突破!DQ$6:DQ$57,卡牌消耗!$AT606)</f>
        <v>11</v>
      </c>
      <c r="AN606" s="14">
        <f>INDEX(挂机升级突破!DR$6:DR$57,卡牌消耗!$AT606)</f>
        <v>4</v>
      </c>
      <c r="AO606" s="14">
        <f>INDEX(挂机升级突破!DS$6:DS$57,卡牌消耗!$AT606)</f>
        <v>0</v>
      </c>
      <c r="AP606" s="14">
        <f>INDEX(挂机升级突破!$DP$6:$DP$57,卡牌消耗!AT606)</f>
        <v>93</v>
      </c>
      <c r="AQ606" s="14" t="str">
        <f t="shared" si="386"/>
        <v>夏侯惇</v>
      </c>
      <c r="AR606" s="14">
        <f t="shared" si="387"/>
        <v>5</v>
      </c>
      <c r="AS606" s="14" t="str">
        <f t="shared" si="388"/>
        <v>夏侯惇魂火-30</v>
      </c>
      <c r="AT606" s="14">
        <f t="shared" si="389"/>
        <v>30</v>
      </c>
      <c r="AU606" s="14" t="str">
        <f>IF(AM606&gt;0,INDEX(挂机升级突破!$DT$4:$ED$4,AM606),"")</f>
        <v>金币</v>
      </c>
      <c r="AV606" s="14">
        <f>ROUND(INDEX(挂机升级突破!$DJ$6:$DJ$57,卡牌消耗!AT606)*INDEX(卡牌消耗!$B$8:$F$8,AR606)/$Q$4/50,0)*50</f>
        <v>17800</v>
      </c>
      <c r="AW606" s="14" t="str">
        <f>IF(AN606&gt;0,INDEX(挂机升级突破!$DT$4:$ED$4,AN606),"")</f>
        <v>橙色基础材料</v>
      </c>
      <c r="AX606" s="14">
        <f>ROUND(INDEX(挂机升级突破!$DT$6:$ED$57,卡牌消耗!AT606,AN606)*INDEX(卡牌消耗!$B$5:$F$5,AR606)/$Q$4/5,0)*5</f>
        <v>40</v>
      </c>
      <c r="AY606" s="14" t="str">
        <f>IF(AO606&gt;0,INDEX(挂机升级突破!$DT$4:$ED$4,AO606),"")</f>
        <v/>
      </c>
      <c r="AZ606" s="14" t="str">
        <f>IF(AO606&gt;0,ROUND(INDEX(挂机升级突破!$DT$6:$ED$57,卡牌消耗!AT606,AO606)*INDEX(卡牌消耗!$B$7:$F$7,AR606)/$Q$4,0),"")</f>
        <v/>
      </c>
      <c r="BL606" s="193">
        <v>602</v>
      </c>
      <c r="BM606" s="14">
        <f t="shared" si="390"/>
        <v>31</v>
      </c>
      <c r="BN606" s="14">
        <f>INDEX(挂机升级突破!$EI$7:$EI$26,BS606)</f>
        <v>5</v>
      </c>
      <c r="BO606" s="14">
        <f>INDEX(挂机升级突破!$EJ$7:$EJ$26,BS606)</f>
        <v>1</v>
      </c>
      <c r="BP606" s="14">
        <f t="shared" si="391"/>
        <v>4</v>
      </c>
      <c r="BQ606" s="14">
        <f>INDEX(挂机升级突破!$EH$7:$EH$26,卡牌消耗!BS606)</f>
        <v>5</v>
      </c>
      <c r="BR606" s="14" t="str">
        <f t="shared" si="392"/>
        <v>SSR守护灵</v>
      </c>
      <c r="BS606" s="14">
        <f t="shared" si="393"/>
        <v>2</v>
      </c>
      <c r="BT606" s="14" t="str">
        <f t="shared" si="394"/>
        <v>SSR守护灵2突</v>
      </c>
      <c r="BU606" s="14" t="str">
        <f>IF(BN606&gt;0,INDEX(挂机升级突破!$ER$5:$EV$5,卡牌消耗!BN606),"")</f>
        <v>金币</v>
      </c>
      <c r="BV606" s="14">
        <f>IF(BN606&gt;0,ROUND(INDEX(挂机升级突破!$EV$7:$EV$26,卡牌消耗!BS606)*INDEX(卡牌消耗!$B$8:$F$8,BP606)/$Q$4/500,0)*500,"")</f>
        <v>4500</v>
      </c>
      <c r="BW606" s="14" t="str">
        <f>IF(BO606&gt;0,INDEX(挂机升级突破!$ER$5:$EV$5,卡牌消耗!BO606),"")</f>
        <v>玄铁</v>
      </c>
      <c r="BX606" s="14">
        <f>IF(BO606&gt;0,ROUND(INDEX(挂机升级突破!$ER$7:$EU$26,卡牌消耗!BS606,卡牌消耗!BO606)*INDEX($B$6:$F$6,BP606)/$Q$4,0),"")</f>
        <v>2</v>
      </c>
      <c r="BY606" s="193"/>
      <c r="BZ606" s="193"/>
    </row>
    <row r="607" spans="37:78" ht="16.5" x14ac:dyDescent="0.2">
      <c r="AK607" s="104">
        <v>603</v>
      </c>
      <c r="AL607" s="14">
        <f t="shared" si="385"/>
        <v>12</v>
      </c>
      <c r="AM607" s="14">
        <f>INDEX(挂机升级突破!DQ$6:DQ$57,卡牌消耗!$AT607)</f>
        <v>11</v>
      </c>
      <c r="AN607" s="14">
        <f>INDEX(挂机升级突破!DR$6:DR$57,卡牌消耗!$AT607)</f>
        <v>4</v>
      </c>
      <c r="AO607" s="14">
        <f>INDEX(挂机升级突破!DS$6:DS$57,卡牌消耗!$AT607)</f>
        <v>0</v>
      </c>
      <c r="AP607" s="14">
        <f>INDEX(挂机升级突破!$DP$6:$DP$57,卡牌消耗!AT607)</f>
        <v>95</v>
      </c>
      <c r="AQ607" s="14" t="str">
        <f t="shared" si="386"/>
        <v>夏侯惇</v>
      </c>
      <c r="AR607" s="14">
        <f t="shared" si="387"/>
        <v>5</v>
      </c>
      <c r="AS607" s="14" t="str">
        <f t="shared" si="388"/>
        <v>夏侯惇魂火-31</v>
      </c>
      <c r="AT607" s="14">
        <f t="shared" si="389"/>
        <v>31</v>
      </c>
      <c r="AU607" s="14" t="str">
        <f>IF(AM607&gt;0,INDEX(挂机升级突破!$DT$4:$ED$4,AM607),"")</f>
        <v>金币</v>
      </c>
      <c r="AV607" s="14">
        <f>ROUND(INDEX(挂机升级突破!$DJ$6:$DJ$57,卡牌消耗!AT607)*INDEX(卡牌消耗!$B$8:$F$8,AR607)/$Q$4/50,0)*50</f>
        <v>17800</v>
      </c>
      <c r="AW607" s="14" t="str">
        <f>IF(AN607&gt;0,INDEX(挂机升级突破!$DT$4:$ED$4,AN607),"")</f>
        <v>橙色基础材料</v>
      </c>
      <c r="AX607" s="14">
        <f>ROUND(INDEX(挂机升级突破!$DT$6:$ED$57,卡牌消耗!AT607,AN607)*INDEX(卡牌消耗!$B$5:$F$5,AR607)/$Q$4/5,0)*5</f>
        <v>40</v>
      </c>
      <c r="AY607" s="14" t="str">
        <f>IF(AO607&gt;0,INDEX(挂机升级突破!$DT$4:$ED$4,AO607),"")</f>
        <v/>
      </c>
      <c r="AZ607" s="14" t="str">
        <f>IF(AO607&gt;0,ROUND(INDEX(挂机升级突破!$DT$6:$ED$57,卡牌消耗!AT607,AO607)*INDEX(卡牌消耗!$B$7:$F$7,AR607)/$Q$4,0),"")</f>
        <v/>
      </c>
      <c r="BL607" s="193">
        <v>603</v>
      </c>
      <c r="BM607" s="14">
        <f t="shared" si="390"/>
        <v>31</v>
      </c>
      <c r="BN607" s="14">
        <f>INDEX(挂机升级突破!$EI$7:$EI$26,BS607)</f>
        <v>5</v>
      </c>
      <c r="BO607" s="14">
        <f>INDEX(挂机升级突破!$EJ$7:$EJ$26,BS607)</f>
        <v>1</v>
      </c>
      <c r="BP607" s="14">
        <f t="shared" si="391"/>
        <v>4</v>
      </c>
      <c r="BQ607" s="14">
        <f>INDEX(挂机升级突破!$EH$7:$EH$26,卡牌消耗!BS607)</f>
        <v>15</v>
      </c>
      <c r="BR607" s="14" t="str">
        <f t="shared" si="392"/>
        <v>SSR守护灵</v>
      </c>
      <c r="BS607" s="14">
        <f t="shared" si="393"/>
        <v>3</v>
      </c>
      <c r="BT607" s="14" t="str">
        <f t="shared" si="394"/>
        <v>SSR守护灵3突</v>
      </c>
      <c r="BU607" s="14" t="str">
        <f>IF(BN607&gt;0,INDEX(挂机升级突破!$ER$5:$EV$5,卡牌消耗!BN607),"")</f>
        <v>金币</v>
      </c>
      <c r="BV607" s="14">
        <f>IF(BN607&gt;0,ROUND(INDEX(挂机升级突破!$EV$7:$EV$26,卡牌消耗!BS607)*INDEX(卡牌消耗!$B$8:$F$8,BP607)/$Q$4/500,0)*500,"")</f>
        <v>4500</v>
      </c>
      <c r="BW607" s="14" t="str">
        <f>IF(BO607&gt;0,INDEX(挂机升级突破!$ER$5:$EV$5,卡牌消耗!BO607),"")</f>
        <v>玄铁</v>
      </c>
      <c r="BX607" s="14">
        <f>IF(BO607&gt;0,ROUND(INDEX(挂机升级突破!$ER$7:$EU$26,卡牌消耗!BS607,卡牌消耗!BO607)*INDEX($B$6:$F$6,BP607)/$Q$4,0),"")</f>
        <v>6</v>
      </c>
      <c r="BY607" s="193"/>
      <c r="BZ607" s="193"/>
    </row>
    <row r="608" spans="37:78" ht="16.5" x14ac:dyDescent="0.2">
      <c r="AK608" s="104">
        <v>604</v>
      </c>
      <c r="AL608" s="14">
        <f t="shared" si="385"/>
        <v>12</v>
      </c>
      <c r="AM608" s="14">
        <f>INDEX(挂机升级突破!DQ$6:DQ$57,卡牌消耗!$AT608)</f>
        <v>11</v>
      </c>
      <c r="AN608" s="14">
        <f>INDEX(挂机升级突破!DR$6:DR$57,卡牌消耗!$AT608)</f>
        <v>4</v>
      </c>
      <c r="AO608" s="14">
        <f>INDEX(挂机升级突破!DS$6:DS$57,卡牌消耗!$AT608)</f>
        <v>0</v>
      </c>
      <c r="AP608" s="14">
        <f>INDEX(挂机升级突破!$DP$6:$DP$57,卡牌消耗!AT608)</f>
        <v>98</v>
      </c>
      <c r="AQ608" s="14" t="str">
        <f t="shared" si="386"/>
        <v>夏侯惇</v>
      </c>
      <c r="AR608" s="14">
        <f t="shared" si="387"/>
        <v>5</v>
      </c>
      <c r="AS608" s="14" t="str">
        <f t="shared" si="388"/>
        <v>夏侯惇魂火-32</v>
      </c>
      <c r="AT608" s="14">
        <f t="shared" si="389"/>
        <v>32</v>
      </c>
      <c r="AU608" s="14" t="str">
        <f>IF(AM608&gt;0,INDEX(挂机升级突破!$DT$4:$ED$4,AM608),"")</f>
        <v>金币</v>
      </c>
      <c r="AV608" s="14">
        <f>ROUND(INDEX(挂机升级突破!$DJ$6:$DJ$57,卡牌消耗!AT608)*INDEX(卡牌消耗!$B$8:$F$8,AR608)/$Q$4/50,0)*50</f>
        <v>24450</v>
      </c>
      <c r="AW608" s="14" t="str">
        <f>IF(AN608&gt;0,INDEX(挂机升级突破!$DT$4:$ED$4,AN608),"")</f>
        <v>橙色基础材料</v>
      </c>
      <c r="AX608" s="14">
        <f>ROUND(INDEX(挂机升级突破!$DT$6:$ED$57,卡牌消耗!AT608,AN608)*INDEX(卡牌消耗!$B$5:$F$5,AR608)/$Q$4/5,0)*5</f>
        <v>40</v>
      </c>
      <c r="AY608" s="14" t="str">
        <f>IF(AO608&gt;0,INDEX(挂机升级突破!$DT$4:$ED$4,AO608),"")</f>
        <v/>
      </c>
      <c r="AZ608" s="14" t="str">
        <f>IF(AO608&gt;0,ROUND(INDEX(挂机升级突破!$DT$6:$ED$57,卡牌消耗!AT608,AO608)*INDEX(卡牌消耗!$B$7:$F$7,AR608)/$Q$4,0),"")</f>
        <v/>
      </c>
      <c r="BL608" s="193">
        <v>604</v>
      </c>
      <c r="BM608" s="14">
        <f t="shared" si="390"/>
        <v>31</v>
      </c>
      <c r="BN608" s="14">
        <f>INDEX(挂机升级突破!$EI$7:$EI$26,BS608)</f>
        <v>5</v>
      </c>
      <c r="BO608" s="14">
        <f>INDEX(挂机升级突破!$EJ$7:$EJ$26,BS608)</f>
        <v>1</v>
      </c>
      <c r="BP608" s="14">
        <f t="shared" si="391"/>
        <v>4</v>
      </c>
      <c r="BQ608" s="14">
        <f>INDEX(挂机升级突破!$EH$7:$EH$26,卡牌消耗!BS608)</f>
        <v>25</v>
      </c>
      <c r="BR608" s="14" t="str">
        <f t="shared" si="392"/>
        <v>SSR守护灵</v>
      </c>
      <c r="BS608" s="14">
        <f t="shared" si="393"/>
        <v>4</v>
      </c>
      <c r="BT608" s="14" t="str">
        <f t="shared" si="394"/>
        <v>SSR守护灵4突</v>
      </c>
      <c r="BU608" s="14" t="str">
        <f>IF(BN608&gt;0,INDEX(挂机升级突破!$ER$5:$EV$5,卡牌消耗!BN608),"")</f>
        <v>金币</v>
      </c>
      <c r="BV608" s="14">
        <f>IF(BN608&gt;0,ROUND(INDEX(挂机升级突破!$EV$7:$EV$26,卡牌消耗!BS608)*INDEX(卡牌消耗!$B$8:$F$8,BP608)/$Q$4/500,0)*500,"")</f>
        <v>5500</v>
      </c>
      <c r="BW608" s="14" t="str">
        <f>IF(BO608&gt;0,INDEX(挂机升级突破!$ER$5:$EV$5,卡牌消耗!BO608),"")</f>
        <v>玄铁</v>
      </c>
      <c r="BX608" s="14">
        <f>IF(BO608&gt;0,ROUND(INDEX(挂机升级突破!$ER$7:$EU$26,卡牌消耗!BS608,卡牌消耗!BO608)*INDEX($B$6:$F$6,BP608)/$Q$4,0),"")</f>
        <v>20</v>
      </c>
      <c r="BY608" s="193"/>
      <c r="BZ608" s="193"/>
    </row>
    <row r="609" spans="37:78" ht="16.5" x14ac:dyDescent="0.2">
      <c r="AK609" s="104">
        <v>605</v>
      </c>
      <c r="AL609" s="14">
        <f t="shared" si="385"/>
        <v>12</v>
      </c>
      <c r="AM609" s="14">
        <f>INDEX(挂机升级突破!DQ$6:DQ$57,卡牌消耗!$AT609)</f>
        <v>11</v>
      </c>
      <c r="AN609" s="14">
        <f>INDEX(挂机升级突破!DR$6:DR$57,卡牌消耗!$AT609)</f>
        <v>4</v>
      </c>
      <c r="AO609" s="14">
        <f>INDEX(挂机升级突破!DS$6:DS$57,卡牌消耗!$AT609)</f>
        <v>0</v>
      </c>
      <c r="AP609" s="14">
        <f>INDEX(挂机升级突破!$DP$6:$DP$57,卡牌消耗!AT609)</f>
        <v>100</v>
      </c>
      <c r="AQ609" s="14" t="str">
        <f t="shared" si="386"/>
        <v>夏侯惇</v>
      </c>
      <c r="AR609" s="14">
        <f t="shared" si="387"/>
        <v>5</v>
      </c>
      <c r="AS609" s="14" t="str">
        <f t="shared" si="388"/>
        <v>夏侯惇魂火-33</v>
      </c>
      <c r="AT609" s="14">
        <f t="shared" si="389"/>
        <v>33</v>
      </c>
      <c r="AU609" s="14" t="str">
        <f>IF(AM609&gt;0,INDEX(挂机升级突破!$DT$4:$ED$4,AM609),"")</f>
        <v>金币</v>
      </c>
      <c r="AV609" s="14">
        <f>ROUND(INDEX(挂机升级突破!$DJ$6:$DJ$57,卡牌消耗!AT609)*INDEX(卡牌消耗!$B$8:$F$8,AR609)/$Q$4/50,0)*50</f>
        <v>24450</v>
      </c>
      <c r="AW609" s="14" t="str">
        <f>IF(AN609&gt;0,INDEX(挂机升级突破!$DT$4:$ED$4,AN609),"")</f>
        <v>橙色基础材料</v>
      </c>
      <c r="AX609" s="14">
        <f>ROUND(INDEX(挂机升级突破!$DT$6:$ED$57,卡牌消耗!AT609,AN609)*INDEX(卡牌消耗!$B$5:$F$5,AR609)/$Q$4/5,0)*5</f>
        <v>40</v>
      </c>
      <c r="AY609" s="14" t="str">
        <f>IF(AO609&gt;0,INDEX(挂机升级突破!$DT$4:$ED$4,AO609),"")</f>
        <v/>
      </c>
      <c r="AZ609" s="14" t="str">
        <f>IF(AO609&gt;0,ROUND(INDEX(挂机升级突破!$DT$6:$ED$57,卡牌消耗!AT609,AO609)*INDEX(卡牌消耗!$B$7:$F$7,AR609)/$Q$4,0),"")</f>
        <v/>
      </c>
      <c r="BL609" s="193">
        <v>605</v>
      </c>
      <c r="BM609" s="14">
        <f t="shared" si="390"/>
        <v>31</v>
      </c>
      <c r="BN609" s="14">
        <f>INDEX(挂机升级突破!$EI$7:$EI$26,BS609)</f>
        <v>5</v>
      </c>
      <c r="BO609" s="14">
        <f>INDEX(挂机升级突破!$EJ$7:$EJ$26,BS609)</f>
        <v>1</v>
      </c>
      <c r="BP609" s="14">
        <f t="shared" si="391"/>
        <v>4</v>
      </c>
      <c r="BQ609" s="14">
        <f>INDEX(挂机升级突破!$EH$7:$EH$26,卡牌消耗!BS609)</f>
        <v>35</v>
      </c>
      <c r="BR609" s="14" t="str">
        <f t="shared" si="392"/>
        <v>SSR守护灵</v>
      </c>
      <c r="BS609" s="14">
        <f t="shared" si="393"/>
        <v>5</v>
      </c>
      <c r="BT609" s="14" t="str">
        <f t="shared" si="394"/>
        <v>SSR守护灵5突</v>
      </c>
      <c r="BU609" s="14" t="str">
        <f>IF(BN609&gt;0,INDEX(挂机升级突破!$ER$5:$EV$5,卡牌消耗!BN609),"")</f>
        <v>金币</v>
      </c>
      <c r="BV609" s="14">
        <f>IF(BN609&gt;0,ROUND(INDEX(挂机升级突破!$EV$7:$EV$26,卡牌消耗!BS609)*INDEX(卡牌消耗!$B$8:$F$8,BP609)/$Q$4/500,0)*500,"")</f>
        <v>5500</v>
      </c>
      <c r="BW609" s="14" t="str">
        <f>IF(BO609&gt;0,INDEX(挂机升级突破!$ER$5:$EV$5,卡牌消耗!BO609),"")</f>
        <v>玄铁</v>
      </c>
      <c r="BX609" s="14">
        <f>IF(BO609&gt;0,ROUND(INDEX(挂机升级突破!$ER$7:$EU$26,卡牌消耗!BS609,卡牌消耗!BO609)*INDEX($B$6:$F$6,BP609)/$Q$4/5,0)*5,"")</f>
        <v>40</v>
      </c>
      <c r="BY609" s="193"/>
      <c r="BZ609" s="193"/>
    </row>
    <row r="610" spans="37:78" ht="16.5" x14ac:dyDescent="0.2">
      <c r="AK610" s="104">
        <v>606</v>
      </c>
      <c r="AL610" s="14">
        <f t="shared" si="385"/>
        <v>12</v>
      </c>
      <c r="AM610" s="14">
        <f>INDEX(挂机升级突破!DQ$6:DQ$57,卡牌消耗!$AT610)</f>
        <v>11</v>
      </c>
      <c r="AN610" s="14">
        <f>INDEX(挂机升级突破!DR$6:DR$57,卡牌消耗!$AT610)</f>
        <v>4</v>
      </c>
      <c r="AO610" s="14">
        <f>INDEX(挂机升级突破!DS$6:DS$57,卡牌消耗!$AT610)</f>
        <v>0</v>
      </c>
      <c r="AP610" s="14">
        <f>INDEX(挂机升级突破!$DP$6:$DP$57,卡牌消耗!AT610)</f>
        <v>103</v>
      </c>
      <c r="AQ610" s="14" t="str">
        <f t="shared" si="386"/>
        <v>夏侯惇</v>
      </c>
      <c r="AR610" s="14">
        <f t="shared" si="387"/>
        <v>5</v>
      </c>
      <c r="AS610" s="14" t="str">
        <f t="shared" si="388"/>
        <v>夏侯惇魂火-34</v>
      </c>
      <c r="AT610" s="14">
        <f t="shared" si="389"/>
        <v>34</v>
      </c>
      <c r="AU610" s="14" t="str">
        <f>IF(AM610&gt;0,INDEX(挂机升级突破!$DT$4:$ED$4,AM610),"")</f>
        <v>金币</v>
      </c>
      <c r="AV610" s="14">
        <f>ROUND(INDEX(挂机升级突破!$DJ$6:$DJ$57,卡牌消耗!AT610)*INDEX(卡牌消耗!$B$8:$F$8,AR610)/$Q$4/50,0)*50</f>
        <v>24450</v>
      </c>
      <c r="AW610" s="14" t="str">
        <f>IF(AN610&gt;0,INDEX(挂机升级突破!$DT$4:$ED$4,AN610),"")</f>
        <v>橙色基础材料</v>
      </c>
      <c r="AX610" s="14">
        <f>ROUND(INDEX(挂机升级突破!$DT$6:$ED$57,卡牌消耗!AT610,AN610)*INDEX(卡牌消耗!$B$5:$F$5,AR610)/$Q$4/5,0)*5</f>
        <v>45</v>
      </c>
      <c r="AY610" s="14" t="str">
        <f>IF(AO610&gt;0,INDEX(挂机升级突破!$DT$4:$ED$4,AO610),"")</f>
        <v/>
      </c>
      <c r="AZ610" s="14" t="str">
        <f>IF(AO610&gt;0,ROUND(INDEX(挂机升级突破!$DT$6:$ED$57,卡牌消耗!AT610,AO610)*INDEX(卡牌消耗!$B$7:$F$7,AR610)/$Q$4,0),"")</f>
        <v/>
      </c>
      <c r="BL610" s="193">
        <v>606</v>
      </c>
      <c r="BM610" s="14">
        <f t="shared" si="390"/>
        <v>31</v>
      </c>
      <c r="BN610" s="14">
        <f>INDEX(挂机升级突破!$EI$7:$EI$26,BS610)</f>
        <v>5</v>
      </c>
      <c r="BO610" s="14">
        <f>INDEX(挂机升级突破!$EJ$7:$EJ$26,BS610)</f>
        <v>1</v>
      </c>
      <c r="BP610" s="14">
        <f t="shared" si="391"/>
        <v>4</v>
      </c>
      <c r="BQ610" s="14">
        <f>INDEX(挂机升级突破!$EH$7:$EH$26,卡牌消耗!BS610)</f>
        <v>42</v>
      </c>
      <c r="BR610" s="14" t="str">
        <f t="shared" si="392"/>
        <v>SSR守护灵</v>
      </c>
      <c r="BS610" s="14">
        <f t="shared" si="393"/>
        <v>6</v>
      </c>
      <c r="BT610" s="14" t="str">
        <f t="shared" si="394"/>
        <v>SSR守护灵6突</v>
      </c>
      <c r="BU610" s="14" t="str">
        <f>IF(BN610&gt;0,INDEX(挂机升级突破!$ER$5:$EV$5,卡牌消耗!BN610),"")</f>
        <v>金币</v>
      </c>
      <c r="BV610" s="14">
        <f>IF(BN610&gt;0,ROUND(INDEX(挂机升级突破!$EV$7:$EV$26,卡牌消耗!BS610)*INDEX(卡牌消耗!$B$8:$F$8,BP610)/$Q$4/500,0)*500,"")</f>
        <v>7500</v>
      </c>
      <c r="BW610" s="14" t="str">
        <f>IF(BO610&gt;0,INDEX(挂机升级突破!$ER$5:$EV$5,卡牌消耗!BO610),"")</f>
        <v>玄铁</v>
      </c>
      <c r="BX610" s="14">
        <f>IF(BO610&gt;0,ROUND(INDEX(挂机升级突破!$ER$7:$EU$26,卡牌消耗!BS610,卡牌消耗!BO610)*INDEX($B$6:$F$6,BP610)/$Q$4/5,0)*5,"")</f>
        <v>60</v>
      </c>
      <c r="BY610" s="193"/>
      <c r="BZ610" s="193"/>
    </row>
    <row r="611" spans="37:78" ht="16.5" x14ac:dyDescent="0.2">
      <c r="AK611" s="104">
        <v>607</v>
      </c>
      <c r="AL611" s="14">
        <f t="shared" si="385"/>
        <v>12</v>
      </c>
      <c r="AM611" s="14">
        <f>INDEX(挂机升级突破!DQ$6:DQ$57,卡牌消耗!$AT611)</f>
        <v>11</v>
      </c>
      <c r="AN611" s="14">
        <f>INDEX(挂机升级突破!DR$6:DR$57,卡牌消耗!$AT611)</f>
        <v>4</v>
      </c>
      <c r="AO611" s="14">
        <f>INDEX(挂机升级突破!DS$6:DS$57,卡牌消耗!$AT611)</f>
        <v>0</v>
      </c>
      <c r="AP611" s="14">
        <f>INDEX(挂机升级突破!$DP$6:$DP$57,卡牌消耗!AT611)</f>
        <v>105</v>
      </c>
      <c r="AQ611" s="14" t="str">
        <f t="shared" si="386"/>
        <v>夏侯惇</v>
      </c>
      <c r="AR611" s="14">
        <f t="shared" si="387"/>
        <v>5</v>
      </c>
      <c r="AS611" s="14" t="str">
        <f t="shared" si="388"/>
        <v>夏侯惇魂火-35</v>
      </c>
      <c r="AT611" s="14">
        <f t="shared" si="389"/>
        <v>35</v>
      </c>
      <c r="AU611" s="14" t="str">
        <f>IF(AM611&gt;0,INDEX(挂机升级突破!$DT$4:$ED$4,AM611),"")</f>
        <v>金币</v>
      </c>
      <c r="AV611" s="14">
        <f>ROUND(INDEX(挂机升级突破!$DJ$6:$DJ$57,卡牌消耗!AT611)*INDEX(卡牌消耗!$B$8:$F$8,AR611)/$Q$4/50,0)*50</f>
        <v>31100</v>
      </c>
      <c r="AW611" s="14" t="str">
        <f>IF(AN611&gt;0,INDEX(挂机升级突破!$DT$4:$ED$4,AN611),"")</f>
        <v>橙色基础材料</v>
      </c>
      <c r="AX611" s="14">
        <f>ROUND(INDEX(挂机升级突破!$DT$6:$ED$57,卡牌消耗!AT611,AN611)*INDEX(卡牌消耗!$B$5:$F$5,AR611)/$Q$4/5,0)*5</f>
        <v>45</v>
      </c>
      <c r="AY611" s="14" t="str">
        <f>IF(AO611&gt;0,INDEX(挂机升级突破!$DT$4:$ED$4,AO611),"")</f>
        <v/>
      </c>
      <c r="AZ611" s="14" t="str">
        <f>IF(AO611&gt;0,ROUND(INDEX(挂机升级突破!$DT$6:$ED$57,卡牌消耗!AT611,AO611)*INDEX(卡牌消耗!$B$7:$F$7,AR611)/$Q$4,0),"")</f>
        <v/>
      </c>
      <c r="BL611" s="193">
        <v>607</v>
      </c>
      <c r="BM611" s="14">
        <f t="shared" si="390"/>
        <v>31</v>
      </c>
      <c r="BN611" s="14">
        <f>INDEX(挂机升级突破!$EI$7:$EI$26,BS611)</f>
        <v>5</v>
      </c>
      <c r="BO611" s="14">
        <f>INDEX(挂机升级突破!$EJ$7:$EJ$26,BS611)</f>
        <v>1</v>
      </c>
      <c r="BP611" s="14">
        <f t="shared" si="391"/>
        <v>4</v>
      </c>
      <c r="BQ611" s="14">
        <f>INDEX(挂机升级突破!$EH$7:$EH$26,卡牌消耗!BS611)</f>
        <v>47</v>
      </c>
      <c r="BR611" s="14" t="str">
        <f t="shared" si="392"/>
        <v>SSR守护灵</v>
      </c>
      <c r="BS611" s="14">
        <f t="shared" si="393"/>
        <v>7</v>
      </c>
      <c r="BT611" s="14" t="str">
        <f t="shared" si="394"/>
        <v>SSR守护灵7突</v>
      </c>
      <c r="BU611" s="14" t="str">
        <f>IF(BN611&gt;0,INDEX(挂机升级突破!$ER$5:$EV$5,卡牌消耗!BN611),"")</f>
        <v>金币</v>
      </c>
      <c r="BV611" s="14">
        <f>IF(BN611&gt;0,ROUND(INDEX(挂机升级突破!$EV$7:$EV$26,卡牌消耗!BS611)*INDEX(卡牌消耗!$B$8:$F$8,BP611)/$Q$4/500,0)*500,"")</f>
        <v>12500</v>
      </c>
      <c r="BW611" s="14" t="str">
        <f>IF(BO611&gt;0,INDEX(挂机升级突破!$ER$5:$EV$5,卡牌消耗!BO611),"")</f>
        <v>玄铁</v>
      </c>
      <c r="BX611" s="14">
        <f>IF(BO611&gt;0,ROUND(INDEX(挂机升级突破!$ER$7:$EU$26,卡牌消耗!BS611,卡牌消耗!BO611)*INDEX($B$6:$F$6,BP611)/$Q$4/5,0)*5,"")</f>
        <v>100</v>
      </c>
      <c r="BY611" s="193"/>
      <c r="BZ611" s="193"/>
    </row>
    <row r="612" spans="37:78" ht="16.5" x14ac:dyDescent="0.2">
      <c r="AK612" s="104">
        <v>608</v>
      </c>
      <c r="AL612" s="14">
        <f t="shared" si="385"/>
        <v>12</v>
      </c>
      <c r="AM612" s="14">
        <f>INDEX(挂机升级突破!DQ$6:DQ$57,卡牌消耗!$AT612)</f>
        <v>11</v>
      </c>
      <c r="AN612" s="14">
        <f>INDEX(挂机升级突破!DR$6:DR$57,卡牌消耗!$AT612)</f>
        <v>4</v>
      </c>
      <c r="AO612" s="14">
        <f>INDEX(挂机升级突破!DS$6:DS$57,卡牌消耗!$AT612)</f>
        <v>0</v>
      </c>
      <c r="AP612" s="14">
        <f>INDEX(挂机升级突破!$DP$6:$DP$57,卡牌消耗!AT612)</f>
        <v>108</v>
      </c>
      <c r="AQ612" s="14" t="str">
        <f t="shared" si="386"/>
        <v>夏侯惇</v>
      </c>
      <c r="AR612" s="14">
        <f t="shared" si="387"/>
        <v>5</v>
      </c>
      <c r="AS612" s="14" t="str">
        <f t="shared" si="388"/>
        <v>夏侯惇魂火-36</v>
      </c>
      <c r="AT612" s="14">
        <f t="shared" si="389"/>
        <v>36</v>
      </c>
      <c r="AU612" s="14" t="str">
        <f>IF(AM612&gt;0,INDEX(挂机升级突破!$DT$4:$ED$4,AM612),"")</f>
        <v>金币</v>
      </c>
      <c r="AV612" s="14">
        <f>ROUND(INDEX(挂机升级突破!$DJ$6:$DJ$57,卡牌消耗!AT612)*INDEX(卡牌消耗!$B$8:$F$8,AR612)/$Q$4/50,0)*50</f>
        <v>31100</v>
      </c>
      <c r="AW612" s="14" t="str">
        <f>IF(AN612&gt;0,INDEX(挂机升级突破!$DT$4:$ED$4,AN612),"")</f>
        <v>橙色基础材料</v>
      </c>
      <c r="AX612" s="14">
        <f>ROUND(INDEX(挂机升级突破!$DT$6:$ED$57,卡牌消耗!AT612,AN612)*INDEX(卡牌消耗!$B$5:$F$5,AR612)/$Q$4/5,0)*5</f>
        <v>45</v>
      </c>
      <c r="AY612" s="14" t="str">
        <f>IF(AO612&gt;0,INDEX(挂机升级突破!$DT$4:$ED$4,AO612),"")</f>
        <v/>
      </c>
      <c r="AZ612" s="14" t="str">
        <f>IF(AO612&gt;0,ROUND(INDEX(挂机升级突破!$DT$6:$ED$57,卡牌消耗!AT612,AO612)*INDEX(卡牌消耗!$B$7:$F$7,AR612)/$Q$4,0),"")</f>
        <v/>
      </c>
      <c r="BL612" s="193">
        <v>608</v>
      </c>
      <c r="BM612" s="14">
        <f t="shared" si="390"/>
        <v>31</v>
      </c>
      <c r="BN612" s="14">
        <f>INDEX(挂机升级突破!$EI$7:$EI$26,BS612)</f>
        <v>5</v>
      </c>
      <c r="BO612" s="14">
        <f>INDEX(挂机升级突破!$EJ$7:$EJ$26,BS612)</f>
        <v>1</v>
      </c>
      <c r="BP612" s="14">
        <f t="shared" si="391"/>
        <v>4</v>
      </c>
      <c r="BQ612" s="14">
        <f>INDEX(挂机升级突破!$EH$7:$EH$26,卡牌消耗!BS612)</f>
        <v>52</v>
      </c>
      <c r="BR612" s="14" t="str">
        <f t="shared" si="392"/>
        <v>SSR守护灵</v>
      </c>
      <c r="BS612" s="14">
        <f t="shared" si="393"/>
        <v>8</v>
      </c>
      <c r="BT612" s="14" t="str">
        <f t="shared" si="394"/>
        <v>SSR守护灵8突</v>
      </c>
      <c r="BU612" s="14" t="str">
        <f>IF(BN612&gt;0,INDEX(挂机升级突破!$ER$5:$EV$5,卡牌消耗!BN612),"")</f>
        <v>金币</v>
      </c>
      <c r="BV612" s="14">
        <f>IF(BN612&gt;0,ROUND(INDEX(挂机升级突破!$EV$7:$EV$26,卡牌消耗!BS612)*INDEX(卡牌消耗!$B$8:$F$8,BP612)/$Q$4/500,0)*500,"")</f>
        <v>12500</v>
      </c>
      <c r="BW612" s="14" t="str">
        <f>IF(BO612&gt;0,INDEX(挂机升级突破!$ER$5:$EV$5,卡牌消耗!BO612),"")</f>
        <v>玄铁</v>
      </c>
      <c r="BX612" s="14">
        <f>IF(BO612&gt;0,ROUND(INDEX(挂机升级突破!$ER$7:$EU$26,卡牌消耗!BS612,卡牌消耗!BO612)*INDEX($B$6:$F$6,BP612)/$Q$4/5,0)*5,"")</f>
        <v>180</v>
      </c>
      <c r="BY612" s="193"/>
      <c r="BZ612" s="193"/>
    </row>
    <row r="613" spans="37:78" ht="16.5" x14ac:dyDescent="0.2">
      <c r="AK613" s="104">
        <v>609</v>
      </c>
      <c r="AL613" s="14">
        <f t="shared" si="385"/>
        <v>12</v>
      </c>
      <c r="AM613" s="14">
        <f>INDEX(挂机升级突破!DQ$6:DQ$57,卡牌消耗!$AT613)</f>
        <v>11</v>
      </c>
      <c r="AN613" s="14">
        <f>INDEX(挂机升级突破!DR$6:DR$57,卡牌消耗!$AT613)</f>
        <v>4</v>
      </c>
      <c r="AO613" s="14">
        <f>INDEX(挂机升级突破!DS$6:DS$57,卡牌消耗!$AT613)</f>
        <v>0</v>
      </c>
      <c r="AP613" s="14">
        <f>INDEX(挂机升级突破!$DP$6:$DP$57,卡牌消耗!AT613)</f>
        <v>110</v>
      </c>
      <c r="AQ613" s="14" t="str">
        <f t="shared" si="386"/>
        <v>夏侯惇</v>
      </c>
      <c r="AR613" s="14">
        <f t="shared" si="387"/>
        <v>5</v>
      </c>
      <c r="AS613" s="14" t="str">
        <f t="shared" si="388"/>
        <v>夏侯惇魂火-37</v>
      </c>
      <c r="AT613" s="14">
        <f t="shared" si="389"/>
        <v>37</v>
      </c>
      <c r="AU613" s="14" t="str">
        <f>IF(AM613&gt;0,INDEX(挂机升级突破!$DT$4:$ED$4,AM613),"")</f>
        <v>金币</v>
      </c>
      <c r="AV613" s="14">
        <f>ROUND(INDEX(挂机升级突破!$DJ$6:$DJ$57,卡牌消耗!AT613)*INDEX(卡牌消耗!$B$8:$F$8,AR613)/$Q$4/50,0)*50</f>
        <v>33350</v>
      </c>
      <c r="AW613" s="14" t="str">
        <f>IF(AN613&gt;0,INDEX(挂机升级突破!$DT$4:$ED$4,AN613),"")</f>
        <v>橙色基础材料</v>
      </c>
      <c r="AX613" s="14">
        <f>ROUND(INDEX(挂机升级突破!$DT$6:$ED$57,卡牌消耗!AT613,AN613)*INDEX(卡牌消耗!$B$5:$F$5,AR613)/$Q$4/5,0)*5</f>
        <v>45</v>
      </c>
      <c r="AY613" s="14" t="str">
        <f>IF(AO613&gt;0,INDEX(挂机升级突破!$DT$4:$ED$4,AO613),"")</f>
        <v/>
      </c>
      <c r="AZ613" s="14" t="str">
        <f>IF(AO613&gt;0,ROUND(INDEX(挂机升级突破!$DT$6:$ED$57,卡牌消耗!AT613,AO613)*INDEX(卡牌消耗!$B$7:$F$7,AR613)/$Q$4,0),"")</f>
        <v/>
      </c>
      <c r="BL613" s="193">
        <v>609</v>
      </c>
      <c r="BM613" s="14">
        <f t="shared" si="390"/>
        <v>31</v>
      </c>
      <c r="BN613" s="14">
        <f>INDEX(挂机升级突破!$EI$7:$EI$26,BS613)</f>
        <v>5</v>
      </c>
      <c r="BO613" s="14">
        <f>INDEX(挂机升级突破!$EJ$7:$EJ$26,BS613)</f>
        <v>2</v>
      </c>
      <c r="BP613" s="14">
        <f t="shared" si="391"/>
        <v>4</v>
      </c>
      <c r="BQ613" s="14">
        <f>INDEX(挂机升级突破!$EH$7:$EH$26,卡牌消耗!BS613)</f>
        <v>57</v>
      </c>
      <c r="BR613" s="14" t="str">
        <f t="shared" si="392"/>
        <v>SSR守护灵</v>
      </c>
      <c r="BS613" s="14">
        <f t="shared" si="393"/>
        <v>9</v>
      </c>
      <c r="BT613" s="14" t="str">
        <f t="shared" si="394"/>
        <v>SSR守护灵9突</v>
      </c>
      <c r="BU613" s="14" t="str">
        <f>IF(BN613&gt;0,INDEX(挂机升级突破!$ER$5:$EV$5,卡牌消耗!BN613),"")</f>
        <v>金币</v>
      </c>
      <c r="BV613" s="14">
        <f>IF(BN613&gt;0,ROUND(INDEX(挂机升级突破!$EV$7:$EV$26,卡牌消耗!BS613)*INDEX(卡牌消耗!$B$8:$F$8,BP613)/$Q$4/500,0)*500,"")</f>
        <v>16500</v>
      </c>
      <c r="BW613" s="14" t="str">
        <f>IF(BO613&gt;0,INDEX(挂机升级突破!$ER$5:$EV$5,卡牌消耗!BO613),"")</f>
        <v>乌金</v>
      </c>
      <c r="BX613" s="14">
        <f>IF(BO613&gt;0,ROUND(INDEX(挂机升级突破!$ER$7:$EU$26,卡牌消耗!BS613,卡牌消耗!BO613)*INDEX($B$6:$F$6,BP613)/$Q$4/5,0)*5,"")</f>
        <v>60</v>
      </c>
      <c r="BY613" s="193"/>
      <c r="BZ613" s="193"/>
    </row>
    <row r="614" spans="37:78" ht="16.5" x14ac:dyDescent="0.2">
      <c r="AK614" s="104">
        <v>610</v>
      </c>
      <c r="AL614" s="14">
        <f t="shared" si="385"/>
        <v>12</v>
      </c>
      <c r="AM614" s="14">
        <f>INDEX(挂机升级突破!DQ$6:DQ$57,卡牌消耗!$AT614)</f>
        <v>11</v>
      </c>
      <c r="AN614" s="14">
        <f>INDEX(挂机升级突破!DR$6:DR$57,卡牌消耗!$AT614)</f>
        <v>5</v>
      </c>
      <c r="AO614" s="14">
        <f>INDEX(挂机升级突破!DS$6:DS$57,卡牌消耗!$AT614)</f>
        <v>0</v>
      </c>
      <c r="AP614" s="14">
        <f>INDEX(挂机升级突破!$DP$6:$DP$57,卡牌消耗!AT614)</f>
        <v>113</v>
      </c>
      <c r="AQ614" s="14" t="str">
        <f t="shared" si="386"/>
        <v>夏侯惇</v>
      </c>
      <c r="AR614" s="14">
        <f t="shared" si="387"/>
        <v>5</v>
      </c>
      <c r="AS614" s="14" t="str">
        <f t="shared" si="388"/>
        <v>夏侯惇魂火-38</v>
      </c>
      <c r="AT614" s="14">
        <f t="shared" si="389"/>
        <v>38</v>
      </c>
      <c r="AU614" s="14" t="str">
        <f>IF(AM614&gt;0,INDEX(挂机升级突破!$DT$4:$ED$4,AM614),"")</f>
        <v>金币</v>
      </c>
      <c r="AV614" s="14">
        <f>ROUND(INDEX(挂机升级突破!$DJ$6:$DJ$57,卡牌消耗!AT614)*INDEX(卡牌消耗!$B$8:$F$8,AR614)/$Q$4/50,0)*50</f>
        <v>43000</v>
      </c>
      <c r="AW614" s="14" t="str">
        <f>IF(AN614&gt;0,INDEX(挂机升级突破!$DT$4:$ED$4,AN614),"")</f>
        <v>红色基础材料</v>
      </c>
      <c r="AX614" s="14">
        <f>ROUND(INDEX(挂机升级突破!$DT$6:$ED$57,卡牌消耗!AT614,AN614)*INDEX(卡牌消耗!$B$5:$F$5,AR614)/$Q$4/5,0)*5</f>
        <v>10</v>
      </c>
      <c r="AY614" s="14" t="str">
        <f>IF(AO614&gt;0,INDEX(挂机升级突破!$DT$4:$ED$4,AO614),"")</f>
        <v/>
      </c>
      <c r="AZ614" s="14" t="str">
        <f>IF(AO614&gt;0,ROUND(INDEX(挂机升级突破!$DT$6:$ED$57,卡牌消耗!AT614,AO614)*INDEX(卡牌消耗!$B$7:$F$7,AR614)/$Q$4,0),"")</f>
        <v/>
      </c>
      <c r="BL614" s="193">
        <v>610</v>
      </c>
      <c r="BM614" s="14">
        <f t="shared" si="390"/>
        <v>31</v>
      </c>
      <c r="BN614" s="14">
        <f>INDEX(挂机升级突破!$EI$7:$EI$26,BS614)</f>
        <v>5</v>
      </c>
      <c r="BO614" s="14">
        <f>INDEX(挂机升级突破!$EJ$7:$EJ$26,BS614)</f>
        <v>2</v>
      </c>
      <c r="BP614" s="14">
        <f t="shared" si="391"/>
        <v>4</v>
      </c>
      <c r="BQ614" s="14">
        <f>INDEX(挂机升级突破!$EH$7:$EH$26,卡牌消耗!BS614)</f>
        <v>65</v>
      </c>
      <c r="BR614" s="14" t="str">
        <f t="shared" si="392"/>
        <v>SSR守护灵</v>
      </c>
      <c r="BS614" s="14">
        <f t="shared" si="393"/>
        <v>10</v>
      </c>
      <c r="BT614" s="14" t="str">
        <f t="shared" si="394"/>
        <v>SSR守护灵10突</v>
      </c>
      <c r="BU614" s="14" t="str">
        <f>IF(BN614&gt;0,INDEX(挂机升级突破!$ER$5:$EV$5,卡牌消耗!BN614),"")</f>
        <v>金币</v>
      </c>
      <c r="BV614" s="14">
        <f>IF(BN614&gt;0,ROUND(INDEX(挂机升级突破!$EV$7:$EV$26,卡牌消耗!BS614)*INDEX(卡牌消耗!$B$8:$F$8,BP614)/$Q$4/500,0)*500,"")</f>
        <v>28000</v>
      </c>
      <c r="BW614" s="14" t="str">
        <f>IF(BO614&gt;0,INDEX(挂机升级突破!$ER$5:$EV$5,卡牌消耗!BO614),"")</f>
        <v>乌金</v>
      </c>
      <c r="BX614" s="14">
        <f>IF(BO614&gt;0,ROUND(INDEX(挂机升级突破!$ER$7:$EU$26,卡牌消耗!BS614,卡牌消耗!BO614)*INDEX($B$6:$F$6,BP614)/$Q$4/5,0)*5,"")</f>
        <v>85</v>
      </c>
      <c r="BY614" s="193"/>
      <c r="BZ614" s="193"/>
    </row>
    <row r="615" spans="37:78" ht="16.5" x14ac:dyDescent="0.2">
      <c r="AK615" s="104">
        <v>611</v>
      </c>
      <c r="AL615" s="14">
        <f t="shared" si="385"/>
        <v>12</v>
      </c>
      <c r="AM615" s="14">
        <f>INDEX(挂机升级突破!DQ$6:DQ$57,卡牌消耗!$AT615)</f>
        <v>11</v>
      </c>
      <c r="AN615" s="14">
        <f>INDEX(挂机升级突破!DR$6:DR$57,卡牌消耗!$AT615)</f>
        <v>5</v>
      </c>
      <c r="AO615" s="14">
        <f>INDEX(挂机升级突破!DS$6:DS$57,卡牌消耗!$AT615)</f>
        <v>0</v>
      </c>
      <c r="AP615" s="14">
        <f>INDEX(挂机升级突破!$DP$6:$DP$57,卡牌消耗!AT615)</f>
        <v>115</v>
      </c>
      <c r="AQ615" s="14" t="str">
        <f t="shared" si="386"/>
        <v>夏侯惇</v>
      </c>
      <c r="AR615" s="14">
        <f t="shared" si="387"/>
        <v>5</v>
      </c>
      <c r="AS615" s="14" t="str">
        <f t="shared" si="388"/>
        <v>夏侯惇魂火-39</v>
      </c>
      <c r="AT615" s="14">
        <f t="shared" si="389"/>
        <v>39</v>
      </c>
      <c r="AU615" s="14" t="str">
        <f>IF(AM615&gt;0,INDEX(挂机升级突破!$DT$4:$ED$4,AM615),"")</f>
        <v>金币</v>
      </c>
      <c r="AV615" s="14">
        <f>ROUND(INDEX(挂机升级突破!$DJ$6:$DJ$57,卡牌消耗!AT615)*INDEX(卡牌消耗!$B$8:$F$8,AR615)/$Q$4/50,0)*50</f>
        <v>43000</v>
      </c>
      <c r="AW615" s="14" t="str">
        <f>IF(AN615&gt;0,INDEX(挂机升级突破!$DT$4:$ED$4,AN615),"")</f>
        <v>红色基础材料</v>
      </c>
      <c r="AX615" s="14">
        <f>ROUND(INDEX(挂机升级突破!$DT$6:$ED$57,卡牌消耗!AT615,AN615)*INDEX(卡牌消耗!$B$5:$F$5,AR615)/$Q$4/5,0)*5</f>
        <v>10</v>
      </c>
      <c r="AY615" s="14" t="str">
        <f>IF(AO615&gt;0,INDEX(挂机升级突破!$DT$4:$ED$4,AO615),"")</f>
        <v/>
      </c>
      <c r="AZ615" s="14" t="str">
        <f>IF(AO615&gt;0,ROUND(INDEX(挂机升级突破!$DT$6:$ED$57,卡牌消耗!AT615,AO615)*INDEX(卡牌消耗!$B$7:$F$7,AR615)/$Q$4,0),"")</f>
        <v/>
      </c>
      <c r="BL615" s="193">
        <v>611</v>
      </c>
      <c r="BM615" s="14">
        <f t="shared" si="390"/>
        <v>31</v>
      </c>
      <c r="BN615" s="14">
        <f>INDEX(挂机升级突破!$EI$7:$EI$26,BS615)</f>
        <v>5</v>
      </c>
      <c r="BO615" s="14">
        <f>INDEX(挂机升级突破!$EJ$7:$EJ$26,BS615)</f>
        <v>2</v>
      </c>
      <c r="BP615" s="14">
        <f t="shared" si="391"/>
        <v>4</v>
      </c>
      <c r="BQ615" s="14">
        <f>INDEX(挂机升级突破!$EH$7:$EH$26,卡牌消耗!BS615)</f>
        <v>72</v>
      </c>
      <c r="BR615" s="14" t="str">
        <f t="shared" si="392"/>
        <v>SSR守护灵</v>
      </c>
      <c r="BS615" s="14">
        <f t="shared" si="393"/>
        <v>11</v>
      </c>
      <c r="BT615" s="14" t="str">
        <f t="shared" si="394"/>
        <v>SSR守护灵11突</v>
      </c>
      <c r="BU615" s="14" t="str">
        <f>IF(BN615&gt;0,INDEX(挂机升级突破!$ER$5:$EV$5,卡牌消耗!BN615),"")</f>
        <v>金币</v>
      </c>
      <c r="BV615" s="14">
        <f>IF(BN615&gt;0,ROUND(INDEX(挂机升级突破!$EV$7:$EV$26,卡牌消耗!BS615)*INDEX(卡牌消耗!$B$8:$F$8,BP615)/$Q$4/500,0)*500,"")</f>
        <v>28000</v>
      </c>
      <c r="BW615" s="14" t="str">
        <f>IF(BO615&gt;0,INDEX(挂机升级突破!$ER$5:$EV$5,卡牌消耗!BO615),"")</f>
        <v>乌金</v>
      </c>
      <c r="BX615" s="14">
        <f>IF(BO615&gt;0,ROUND(INDEX(挂机升级突破!$ER$7:$EU$26,卡牌消耗!BS615,卡牌消耗!BO615)*INDEX($B$6:$F$6,BP615)/$Q$4/5,0)*5,"")</f>
        <v>110</v>
      </c>
      <c r="BY615" s="193"/>
      <c r="BZ615" s="193"/>
    </row>
    <row r="616" spans="37:78" ht="16.5" x14ac:dyDescent="0.2">
      <c r="AK616" s="104">
        <v>612</v>
      </c>
      <c r="AL616" s="14">
        <f t="shared" si="385"/>
        <v>12</v>
      </c>
      <c r="AM616" s="14">
        <f>INDEX(挂机升级突破!DQ$6:DQ$57,卡牌消耗!$AT616)</f>
        <v>11</v>
      </c>
      <c r="AN616" s="14">
        <f>INDEX(挂机升级突破!DR$6:DR$57,卡牌消耗!$AT616)</f>
        <v>5</v>
      </c>
      <c r="AO616" s="14">
        <f>INDEX(挂机升级突破!DS$6:DS$57,卡牌消耗!$AT616)</f>
        <v>0</v>
      </c>
      <c r="AP616" s="14">
        <f>INDEX(挂机升级突破!$DP$6:$DP$57,卡牌消耗!AT616)</f>
        <v>118</v>
      </c>
      <c r="AQ616" s="14" t="str">
        <f t="shared" si="386"/>
        <v>夏侯惇</v>
      </c>
      <c r="AR616" s="14">
        <f t="shared" si="387"/>
        <v>5</v>
      </c>
      <c r="AS616" s="14" t="str">
        <f t="shared" si="388"/>
        <v>夏侯惇魂火-40</v>
      </c>
      <c r="AT616" s="14">
        <f t="shared" si="389"/>
        <v>40</v>
      </c>
      <c r="AU616" s="14" t="str">
        <f>IF(AM616&gt;0,INDEX(挂机升级突破!$DT$4:$ED$4,AM616),"")</f>
        <v>金币</v>
      </c>
      <c r="AV616" s="14">
        <f>ROUND(INDEX(挂机升级突破!$DJ$6:$DJ$57,卡牌消耗!AT616)*INDEX(卡牌消耗!$B$8:$F$8,AR616)/$Q$4/50,0)*50</f>
        <v>43000</v>
      </c>
      <c r="AW616" s="14" t="str">
        <f>IF(AN616&gt;0,INDEX(挂机升级突破!$DT$4:$ED$4,AN616),"")</f>
        <v>红色基础材料</v>
      </c>
      <c r="AX616" s="14">
        <f>ROUND(INDEX(挂机升级突破!$DT$6:$ED$57,卡牌消耗!AT616,AN616)*INDEX(卡牌消耗!$B$5:$F$5,AR616)/$Q$4/5,0)*5</f>
        <v>10</v>
      </c>
      <c r="AY616" s="14" t="str">
        <f>IF(AO616&gt;0,INDEX(挂机升级突破!$DT$4:$ED$4,AO616),"")</f>
        <v/>
      </c>
      <c r="AZ616" s="14" t="str">
        <f>IF(AO616&gt;0,ROUND(INDEX(挂机升级突破!$DT$6:$ED$57,卡牌消耗!AT616,AO616)*INDEX(卡牌消耗!$B$7:$F$7,AR616)/$Q$4,0),"")</f>
        <v/>
      </c>
      <c r="BL616" s="193">
        <v>612</v>
      </c>
      <c r="BM616" s="14">
        <f t="shared" si="390"/>
        <v>31</v>
      </c>
      <c r="BN616" s="14">
        <f>INDEX(挂机升级突破!$EI$7:$EI$26,BS616)</f>
        <v>5</v>
      </c>
      <c r="BO616" s="14">
        <f>INDEX(挂机升级突破!$EJ$7:$EJ$26,BS616)</f>
        <v>2</v>
      </c>
      <c r="BP616" s="14">
        <f t="shared" si="391"/>
        <v>4</v>
      </c>
      <c r="BQ616" s="14">
        <f>INDEX(挂机升级突破!$EH$7:$EH$26,卡牌消耗!BS616)</f>
        <v>80</v>
      </c>
      <c r="BR616" s="14" t="str">
        <f t="shared" si="392"/>
        <v>SSR守护灵</v>
      </c>
      <c r="BS616" s="14">
        <f t="shared" si="393"/>
        <v>12</v>
      </c>
      <c r="BT616" s="14" t="str">
        <f t="shared" si="394"/>
        <v>SSR守护灵12突</v>
      </c>
      <c r="BU616" s="14" t="str">
        <f>IF(BN616&gt;0,INDEX(挂机升级突破!$ER$5:$EV$5,卡牌消耗!BN616),"")</f>
        <v>金币</v>
      </c>
      <c r="BV616" s="14">
        <f>IF(BN616&gt;0,ROUND(INDEX(挂机升级突破!$EV$7:$EV$26,卡牌消耗!BS616)*INDEX(卡牌消耗!$B$8:$F$8,BP616)/$Q$4/500,0)*500,"")</f>
        <v>37500</v>
      </c>
      <c r="BW616" s="14" t="str">
        <f>IF(BO616&gt;0,INDEX(挂机升级突破!$ER$5:$EV$5,卡牌消耗!BO616),"")</f>
        <v>乌金</v>
      </c>
      <c r="BX616" s="14">
        <f>IF(BO616&gt;0,ROUND(INDEX(挂机升级突破!$ER$7:$EU$26,卡牌消耗!BS616,卡牌消耗!BO616)*INDEX($B$6:$F$6,BP616)/$Q$4/5,0)*5,"")</f>
        <v>140</v>
      </c>
      <c r="BY616" s="193"/>
      <c r="BZ616" s="193"/>
    </row>
    <row r="617" spans="37:78" ht="16.5" x14ac:dyDescent="0.2">
      <c r="AK617" s="104">
        <v>613</v>
      </c>
      <c r="AL617" s="14">
        <f t="shared" si="385"/>
        <v>12</v>
      </c>
      <c r="AM617" s="14">
        <f>INDEX(挂机升级突破!DQ$6:DQ$57,卡牌消耗!$AT617)</f>
        <v>11</v>
      </c>
      <c r="AN617" s="14">
        <f>INDEX(挂机升级突破!DR$6:DR$57,卡牌消耗!$AT617)</f>
        <v>5</v>
      </c>
      <c r="AO617" s="14">
        <f>INDEX(挂机升级突破!DS$6:DS$57,卡牌消耗!$AT617)</f>
        <v>10</v>
      </c>
      <c r="AP617" s="14">
        <f>INDEX(挂机升级突破!$DP$6:$DP$57,卡牌消耗!AT617)</f>
        <v>120</v>
      </c>
      <c r="AQ617" s="14" t="str">
        <f t="shared" si="386"/>
        <v>夏侯惇</v>
      </c>
      <c r="AR617" s="14">
        <f t="shared" si="387"/>
        <v>5</v>
      </c>
      <c r="AS617" s="14" t="str">
        <f t="shared" si="388"/>
        <v>夏侯惇魂火-41</v>
      </c>
      <c r="AT617" s="14">
        <f t="shared" si="389"/>
        <v>41</v>
      </c>
      <c r="AU617" s="14" t="str">
        <f>IF(AM617&gt;0,INDEX(挂机升级突破!$DT$4:$ED$4,AM617),"")</f>
        <v>金币</v>
      </c>
      <c r="AV617" s="14">
        <f>ROUND(INDEX(挂机升级突破!$DJ$6:$DJ$57,卡牌消耗!AT617)*INDEX(卡牌消耗!$B$8:$F$8,AR617)/$Q$4/50,0)*50</f>
        <v>59100</v>
      </c>
      <c r="AW617" s="14" t="str">
        <f>IF(AN617&gt;0,INDEX(挂机升级突破!$DT$4:$ED$4,AN617),"")</f>
        <v>红色基础材料</v>
      </c>
      <c r="AX617" s="14">
        <f>ROUND(INDEX(挂机升级突破!$DT$6:$ED$57,卡牌消耗!AT617,AN617)*INDEX(卡牌消耗!$B$5:$F$5,AR617)/$Q$4/5,0)*5</f>
        <v>15</v>
      </c>
      <c r="AY617" s="14" t="str">
        <f>IF(AO617&gt;0,INDEX(挂机升级突破!$DT$4:$ED$4,AO617),"")</f>
        <v>灵玉</v>
      </c>
      <c r="AZ617" s="14">
        <f>IF(AO617&gt;0,ROUND(INDEX(挂机升级突破!$DT$6:$ED$57,卡牌消耗!AT617,AO617)*INDEX(卡牌消耗!$B$7:$F$7,AR617)/$Q$4,0),"")</f>
        <v>4</v>
      </c>
      <c r="BL617" s="193">
        <v>613</v>
      </c>
      <c r="BM617" s="14">
        <f t="shared" si="390"/>
        <v>31</v>
      </c>
      <c r="BN617" s="14">
        <f>INDEX(挂机升级突破!$EI$7:$EI$26,BS617)</f>
        <v>5</v>
      </c>
      <c r="BO617" s="14">
        <f>INDEX(挂机升级突破!$EJ$7:$EJ$26,BS617)</f>
        <v>3</v>
      </c>
      <c r="BP617" s="14">
        <f t="shared" si="391"/>
        <v>4</v>
      </c>
      <c r="BQ617" s="14">
        <f>INDEX(挂机升级突破!$EH$7:$EH$26,卡牌消耗!BS617)</f>
        <v>87</v>
      </c>
      <c r="BR617" s="14" t="str">
        <f t="shared" si="392"/>
        <v>SSR守护灵</v>
      </c>
      <c r="BS617" s="14">
        <f t="shared" si="393"/>
        <v>13</v>
      </c>
      <c r="BT617" s="14" t="str">
        <f t="shared" si="394"/>
        <v>SSR守护灵13突</v>
      </c>
      <c r="BU617" s="14" t="str">
        <f>IF(BN617&gt;0,INDEX(挂机升级突破!$ER$5:$EV$5,卡牌消耗!BN617),"")</f>
        <v>金币</v>
      </c>
      <c r="BV617" s="14">
        <f>IF(BN617&gt;0,ROUND(INDEX(挂机升级突破!$EV$7:$EV$26,卡牌消耗!BS617)*INDEX(卡牌消耗!$B$8:$F$8,BP617)/$Q$4/500,0)*500,"")</f>
        <v>50000</v>
      </c>
      <c r="BW617" s="14" t="str">
        <f>IF(BO617&gt;0,INDEX(挂机升级突破!$ER$5:$EV$5,卡牌消耗!BO617),"")</f>
        <v>银母</v>
      </c>
      <c r="BX617" s="14">
        <f>IF(BO617&gt;0,ROUND(INDEX(挂机升级突破!$ER$7:$EU$26,卡牌消耗!BS617,卡牌消耗!BO617)*INDEX($B$6:$F$6,BP617)/$Q$4/5,0)*5,"")</f>
        <v>45</v>
      </c>
      <c r="BY617" s="193"/>
      <c r="BZ617" s="193"/>
    </row>
    <row r="618" spans="37:78" ht="16.5" x14ac:dyDescent="0.2">
      <c r="AK618" s="104">
        <v>614</v>
      </c>
      <c r="AL618" s="14">
        <f t="shared" si="385"/>
        <v>12</v>
      </c>
      <c r="AM618" s="14">
        <f>INDEX(挂机升级突破!DQ$6:DQ$57,卡牌消耗!$AT618)</f>
        <v>11</v>
      </c>
      <c r="AN618" s="14">
        <f>INDEX(挂机升级突破!DR$6:DR$57,卡牌消耗!$AT618)</f>
        <v>5</v>
      </c>
      <c r="AO618" s="14">
        <f>INDEX(挂机升级突破!DS$6:DS$57,卡牌消耗!$AT618)</f>
        <v>10</v>
      </c>
      <c r="AP618" s="14">
        <f>INDEX(挂机升级突破!$DP$6:$DP$57,卡牌消耗!AT618)</f>
        <v>123</v>
      </c>
      <c r="AQ618" s="14" t="str">
        <f t="shared" si="386"/>
        <v>夏侯惇</v>
      </c>
      <c r="AR618" s="14">
        <f t="shared" si="387"/>
        <v>5</v>
      </c>
      <c r="AS618" s="14" t="str">
        <f t="shared" si="388"/>
        <v>夏侯惇魂火-42</v>
      </c>
      <c r="AT618" s="14">
        <f t="shared" si="389"/>
        <v>42</v>
      </c>
      <c r="AU618" s="14" t="str">
        <f>IF(AM618&gt;0,INDEX(挂机升级突破!$DT$4:$ED$4,AM618),"")</f>
        <v>金币</v>
      </c>
      <c r="AV618" s="14">
        <f>ROUND(INDEX(挂机升级突破!$DJ$6:$DJ$57,卡牌消耗!AT618)*INDEX(卡牌消耗!$B$8:$F$8,AR618)/$Q$4/50,0)*50</f>
        <v>59100</v>
      </c>
      <c r="AW618" s="14" t="str">
        <f>IF(AN618&gt;0,INDEX(挂机升级突破!$DT$4:$ED$4,AN618),"")</f>
        <v>红色基础材料</v>
      </c>
      <c r="AX618" s="14">
        <f>ROUND(INDEX(挂机升级突破!$DT$6:$ED$57,卡牌消耗!AT618,AN618)*INDEX(卡牌消耗!$B$5:$F$5,AR618)/$Q$4/5,0)*5</f>
        <v>15</v>
      </c>
      <c r="AY618" s="14" t="str">
        <f>IF(AO618&gt;0,INDEX(挂机升级突破!$DT$4:$ED$4,AO618),"")</f>
        <v>灵玉</v>
      </c>
      <c r="AZ618" s="14">
        <f>IF(AO618&gt;0,ROUND(INDEX(挂机升级突破!$DT$6:$ED$57,卡牌消耗!AT618,AO618)*INDEX(卡牌消耗!$B$7:$F$7,AR618)/$Q$4,0),"")</f>
        <v>4</v>
      </c>
      <c r="BL618" s="193">
        <v>614</v>
      </c>
      <c r="BM618" s="14">
        <f t="shared" si="390"/>
        <v>31</v>
      </c>
      <c r="BN618" s="14">
        <f>INDEX(挂机升级突破!$EI$7:$EI$26,BS618)</f>
        <v>5</v>
      </c>
      <c r="BO618" s="14">
        <f>INDEX(挂机升级突破!$EJ$7:$EJ$26,BS618)</f>
        <v>3</v>
      </c>
      <c r="BP618" s="14">
        <f t="shared" si="391"/>
        <v>4</v>
      </c>
      <c r="BQ618" s="14">
        <f>INDEX(挂机升级突破!$EH$7:$EH$26,卡牌消耗!BS618)</f>
        <v>95</v>
      </c>
      <c r="BR618" s="14" t="str">
        <f t="shared" si="392"/>
        <v>SSR守护灵</v>
      </c>
      <c r="BS618" s="14">
        <f t="shared" si="393"/>
        <v>14</v>
      </c>
      <c r="BT618" s="14" t="str">
        <f t="shared" si="394"/>
        <v>SSR守护灵14突</v>
      </c>
      <c r="BU618" s="14" t="str">
        <f>IF(BN618&gt;0,INDEX(挂机升级突破!$ER$5:$EV$5,卡牌消耗!BN618),"")</f>
        <v>金币</v>
      </c>
      <c r="BV618" s="14">
        <f>IF(BN618&gt;0,ROUND(INDEX(挂机升级突破!$EV$7:$EV$26,卡牌消耗!BS618)*INDEX(卡牌消耗!$B$8:$F$8,BP618)/$Q$4/500,0)*500,"")</f>
        <v>50000</v>
      </c>
      <c r="BW618" s="14" t="str">
        <f>IF(BO618&gt;0,INDEX(挂机升级突破!$ER$5:$EV$5,卡牌消耗!BO618),"")</f>
        <v>银母</v>
      </c>
      <c r="BX618" s="14">
        <f>IF(BO618&gt;0,ROUND(INDEX(挂机升级突破!$ER$7:$EU$26,卡牌消耗!BS618,卡牌消耗!BO618)*INDEX($B$6:$F$6,BP618)/$Q$4/5,0)*5,"")</f>
        <v>65</v>
      </c>
      <c r="BY618" s="193"/>
      <c r="BZ618" s="193"/>
    </row>
    <row r="619" spans="37:78" ht="16.5" x14ac:dyDescent="0.2">
      <c r="AK619" s="104">
        <v>615</v>
      </c>
      <c r="AL619" s="14">
        <f t="shared" si="385"/>
        <v>12</v>
      </c>
      <c r="AM619" s="14">
        <f>INDEX(挂机升级突破!DQ$6:DQ$57,卡牌消耗!$AT619)</f>
        <v>11</v>
      </c>
      <c r="AN619" s="14">
        <f>INDEX(挂机升级突破!DR$6:DR$57,卡牌消耗!$AT619)</f>
        <v>5</v>
      </c>
      <c r="AO619" s="14">
        <f>INDEX(挂机升级突破!DS$6:DS$57,卡牌消耗!$AT619)</f>
        <v>10</v>
      </c>
      <c r="AP619" s="14">
        <f>INDEX(挂机升级突破!$DP$6:$DP$57,卡牌消耗!AT619)</f>
        <v>125</v>
      </c>
      <c r="AQ619" s="14" t="str">
        <f t="shared" si="386"/>
        <v>夏侯惇</v>
      </c>
      <c r="AR619" s="14">
        <f t="shared" si="387"/>
        <v>5</v>
      </c>
      <c r="AS619" s="14" t="str">
        <f t="shared" si="388"/>
        <v>夏侯惇魂火-43</v>
      </c>
      <c r="AT619" s="14">
        <f t="shared" si="389"/>
        <v>43</v>
      </c>
      <c r="AU619" s="14" t="str">
        <f>IF(AM619&gt;0,INDEX(挂机升级突破!$DT$4:$ED$4,AM619),"")</f>
        <v>金币</v>
      </c>
      <c r="AV619" s="14">
        <f>ROUND(INDEX(挂机升级突破!$DJ$6:$DJ$57,卡牌消耗!AT619)*INDEX(卡牌消耗!$B$8:$F$8,AR619)/$Q$4/50,0)*50</f>
        <v>59100</v>
      </c>
      <c r="AW619" s="14" t="str">
        <f>IF(AN619&gt;0,INDEX(挂机升级突破!$DT$4:$ED$4,AN619),"")</f>
        <v>红色基础材料</v>
      </c>
      <c r="AX619" s="14">
        <f>ROUND(INDEX(挂机升级突破!$DT$6:$ED$57,卡牌消耗!AT619,AN619)*INDEX(卡牌消耗!$B$5:$F$5,AR619)/$Q$4/5,0)*5</f>
        <v>15</v>
      </c>
      <c r="AY619" s="14" t="str">
        <f>IF(AO619&gt;0,INDEX(挂机升级突破!$DT$4:$ED$4,AO619),"")</f>
        <v>灵玉</v>
      </c>
      <c r="AZ619" s="14">
        <f>IF(AO619&gt;0,ROUND(INDEX(挂机升级突破!$DT$6:$ED$57,卡牌消耗!AT619,AO619)*INDEX(卡牌消耗!$B$7:$F$7,AR619)/$Q$4,0),"")</f>
        <v>4</v>
      </c>
      <c r="BL619" s="193">
        <v>615</v>
      </c>
      <c r="BM619" s="14">
        <f t="shared" si="390"/>
        <v>31</v>
      </c>
      <c r="BN619" s="14">
        <f>INDEX(挂机升级突破!$EI$7:$EI$26,BS619)</f>
        <v>5</v>
      </c>
      <c r="BO619" s="14">
        <f>INDEX(挂机升级突破!$EJ$7:$EJ$26,BS619)</f>
        <v>3</v>
      </c>
      <c r="BP619" s="14">
        <f t="shared" si="391"/>
        <v>4</v>
      </c>
      <c r="BQ619" s="14">
        <f>INDEX(挂机升级突破!$EH$7:$EH$26,卡牌消耗!BS619)</f>
        <v>102</v>
      </c>
      <c r="BR619" s="14" t="str">
        <f t="shared" si="392"/>
        <v>SSR守护灵</v>
      </c>
      <c r="BS619" s="14">
        <f t="shared" si="393"/>
        <v>15</v>
      </c>
      <c r="BT619" s="14" t="str">
        <f t="shared" si="394"/>
        <v>SSR守护灵15突</v>
      </c>
      <c r="BU619" s="14" t="str">
        <f>IF(BN619&gt;0,INDEX(挂机升级突破!$ER$5:$EV$5,卡牌消耗!BN619),"")</f>
        <v>金币</v>
      </c>
      <c r="BV619" s="14">
        <f>IF(BN619&gt;0,ROUND(INDEX(挂机升级突破!$EV$7:$EV$26,卡牌消耗!BS619)*INDEX(卡牌消耗!$B$8:$F$8,BP619)/$Q$4/500,0)*500,"")</f>
        <v>66500</v>
      </c>
      <c r="BW619" s="14" t="str">
        <f>IF(BO619&gt;0,INDEX(挂机升级突破!$ER$5:$EV$5,卡牌消耗!BO619),"")</f>
        <v>银母</v>
      </c>
      <c r="BX619" s="14">
        <f>IF(BO619&gt;0,ROUND(INDEX(挂机升级突破!$ER$7:$EU$26,卡牌消耗!BS619,卡牌消耗!BO619)*INDEX($B$6:$F$6,BP619)/$Q$4/5,0)*5,"")</f>
        <v>85</v>
      </c>
      <c r="BY619" s="193"/>
      <c r="BZ619" s="193"/>
    </row>
    <row r="620" spans="37:78" ht="16.5" x14ac:dyDescent="0.2">
      <c r="AK620" s="104">
        <v>616</v>
      </c>
      <c r="AL620" s="14">
        <f t="shared" si="385"/>
        <v>12</v>
      </c>
      <c r="AM620" s="14">
        <f>INDEX(挂机升级突破!DQ$6:DQ$57,卡牌消耗!$AT620)</f>
        <v>11</v>
      </c>
      <c r="AN620" s="14">
        <f>INDEX(挂机升级突破!DR$6:DR$57,卡牌消耗!$AT620)</f>
        <v>5</v>
      </c>
      <c r="AO620" s="14">
        <f>INDEX(挂机升级突破!DS$6:DS$57,卡牌消耗!$AT620)</f>
        <v>10</v>
      </c>
      <c r="AP620" s="14">
        <f>INDEX(挂机升级突破!$DP$6:$DP$57,卡牌消耗!AT620)</f>
        <v>128</v>
      </c>
      <c r="AQ620" s="14" t="str">
        <f t="shared" si="386"/>
        <v>夏侯惇</v>
      </c>
      <c r="AR620" s="14">
        <f t="shared" si="387"/>
        <v>5</v>
      </c>
      <c r="AS620" s="14" t="str">
        <f t="shared" si="388"/>
        <v>夏侯惇魂火-44</v>
      </c>
      <c r="AT620" s="14">
        <f t="shared" si="389"/>
        <v>44</v>
      </c>
      <c r="AU620" s="14" t="str">
        <f>IF(AM620&gt;0,INDEX(挂机升级突破!$DT$4:$ED$4,AM620),"")</f>
        <v>金币</v>
      </c>
      <c r="AV620" s="14">
        <f>ROUND(INDEX(挂机升级突破!$DJ$6:$DJ$57,卡牌消耗!AT620)*INDEX(卡牌消耗!$B$8:$F$8,AR620)/$Q$4/50,0)*50</f>
        <v>75200</v>
      </c>
      <c r="AW620" s="14" t="str">
        <f>IF(AN620&gt;0,INDEX(挂机升级突破!$DT$4:$ED$4,AN620),"")</f>
        <v>红色基础材料</v>
      </c>
      <c r="AX620" s="14">
        <f>ROUND(INDEX(挂机升级突破!$DT$6:$ED$57,卡牌消耗!AT620,AN620)*INDEX(卡牌消耗!$B$5:$F$5,AR620)/$Q$4/5,0)*5</f>
        <v>15</v>
      </c>
      <c r="AY620" s="14" t="str">
        <f>IF(AO620&gt;0,INDEX(挂机升级突破!$DT$4:$ED$4,AO620),"")</f>
        <v>灵玉</v>
      </c>
      <c r="AZ620" s="14">
        <f>IF(AO620&gt;0,ROUND(INDEX(挂机升级突破!$DT$6:$ED$57,卡牌消耗!AT620,AO620)*INDEX(卡牌消耗!$B$7:$F$7,AR620)/$Q$4,0),"")</f>
        <v>4</v>
      </c>
      <c r="BL620" s="193">
        <v>616</v>
      </c>
      <c r="BM620" s="14">
        <f t="shared" si="390"/>
        <v>31</v>
      </c>
      <c r="BN620" s="14">
        <f>INDEX(挂机升级突破!$EI$7:$EI$26,BS620)</f>
        <v>5</v>
      </c>
      <c r="BO620" s="14">
        <f>INDEX(挂机升级突破!$EJ$7:$EJ$26,BS620)</f>
        <v>3</v>
      </c>
      <c r="BP620" s="14">
        <f t="shared" si="391"/>
        <v>4</v>
      </c>
      <c r="BQ620" s="14">
        <f>INDEX(挂机升级突破!$EH$7:$EH$26,卡牌消耗!BS620)</f>
        <v>110</v>
      </c>
      <c r="BR620" s="14" t="str">
        <f t="shared" si="392"/>
        <v>SSR守护灵</v>
      </c>
      <c r="BS620" s="14">
        <f t="shared" si="393"/>
        <v>16</v>
      </c>
      <c r="BT620" s="14" t="str">
        <f t="shared" si="394"/>
        <v>SSR守护灵16突</v>
      </c>
      <c r="BU620" s="14" t="str">
        <f>IF(BN620&gt;0,INDEX(挂机升级突破!$ER$5:$EV$5,卡牌消耗!BN620),"")</f>
        <v>金币</v>
      </c>
      <c r="BV620" s="14">
        <f>IF(BN620&gt;0,ROUND(INDEX(挂机升级突破!$EV$7:$EV$26,卡牌消耗!BS620)*INDEX(卡牌消耗!$B$8:$F$8,BP620)/$Q$4/500,0)*500,"")</f>
        <v>121000</v>
      </c>
      <c r="BW620" s="14" t="str">
        <f>IF(BO620&gt;0,INDEX(挂机升级突破!$ER$5:$EV$5,卡牌消耗!BO620),"")</f>
        <v>银母</v>
      </c>
      <c r="BX620" s="14">
        <f>IF(BO620&gt;0,ROUND(INDEX(挂机升级突破!$ER$7:$EU$26,卡牌消耗!BS620,卡牌消耗!BO620)*INDEX($B$6:$F$6,BP620)/$Q$4/5,0)*5,"")</f>
        <v>110</v>
      </c>
      <c r="BY620" s="193"/>
      <c r="BZ620" s="193"/>
    </row>
    <row r="621" spans="37:78" ht="16.5" x14ac:dyDescent="0.2">
      <c r="AK621" s="104">
        <v>617</v>
      </c>
      <c r="AL621" s="14">
        <f t="shared" si="385"/>
        <v>12</v>
      </c>
      <c r="AM621" s="14">
        <f>INDEX(挂机升级突破!DQ$6:DQ$57,卡牌消耗!$AT621)</f>
        <v>11</v>
      </c>
      <c r="AN621" s="14">
        <f>INDEX(挂机升级突破!DR$6:DR$57,卡牌消耗!$AT621)</f>
        <v>5</v>
      </c>
      <c r="AO621" s="14">
        <f>INDEX(挂机升级突破!DS$6:DS$57,卡牌消耗!$AT621)</f>
        <v>10</v>
      </c>
      <c r="AP621" s="14">
        <f>INDEX(挂机升级突破!$DP$6:$DP$57,卡牌消耗!AT621)</f>
        <v>130</v>
      </c>
      <c r="AQ621" s="14" t="str">
        <f t="shared" si="386"/>
        <v>夏侯惇</v>
      </c>
      <c r="AR621" s="14">
        <f t="shared" si="387"/>
        <v>5</v>
      </c>
      <c r="AS621" s="14" t="str">
        <f t="shared" si="388"/>
        <v>夏侯惇魂火-45</v>
      </c>
      <c r="AT621" s="14">
        <f t="shared" si="389"/>
        <v>45</v>
      </c>
      <c r="AU621" s="14" t="str">
        <f>IF(AM621&gt;0,INDEX(挂机升级突破!$DT$4:$ED$4,AM621),"")</f>
        <v>金币</v>
      </c>
      <c r="AV621" s="14">
        <f>ROUND(INDEX(挂机升级突破!$DJ$6:$DJ$57,卡牌消耗!AT621)*INDEX(卡牌消耗!$B$8:$F$8,AR621)/$Q$4/50,0)*50</f>
        <v>75200</v>
      </c>
      <c r="AW621" s="14" t="str">
        <f>IF(AN621&gt;0,INDEX(挂机升级突破!$DT$4:$ED$4,AN621),"")</f>
        <v>红色基础材料</v>
      </c>
      <c r="AX621" s="14">
        <f>ROUND(INDEX(挂机升级突破!$DT$6:$ED$57,卡牌消耗!AT621,AN621)*INDEX(卡牌消耗!$B$5:$F$5,AR621)/$Q$4/5,0)*5</f>
        <v>15</v>
      </c>
      <c r="AY621" s="14" t="str">
        <f>IF(AO621&gt;0,INDEX(挂机升级突破!$DT$4:$ED$4,AO621),"")</f>
        <v>灵玉</v>
      </c>
      <c r="AZ621" s="14">
        <f>IF(AO621&gt;0,ROUND(INDEX(挂机升级突破!$DT$6:$ED$57,卡牌消耗!AT621,AO621)*INDEX(卡牌消耗!$B$7:$F$7,AR621)/$Q$4,0),"")</f>
        <v>4</v>
      </c>
      <c r="BL621" s="193">
        <v>617</v>
      </c>
      <c r="BM621" s="14">
        <f t="shared" si="390"/>
        <v>31</v>
      </c>
      <c r="BN621" s="14">
        <f>INDEX(挂机升级突破!$EI$7:$EI$26,BS621)</f>
        <v>5</v>
      </c>
      <c r="BO621" s="14">
        <f>INDEX(挂机升级突破!$EJ$7:$EJ$26,BS621)</f>
        <v>4</v>
      </c>
      <c r="BP621" s="14">
        <f t="shared" si="391"/>
        <v>4</v>
      </c>
      <c r="BQ621" s="14">
        <f>INDEX(挂机升级突破!$EH$7:$EH$26,卡牌消耗!BS621)</f>
        <v>117</v>
      </c>
      <c r="BR621" s="14" t="str">
        <f t="shared" si="392"/>
        <v>SSR守护灵</v>
      </c>
      <c r="BS621" s="14">
        <f t="shared" si="393"/>
        <v>17</v>
      </c>
      <c r="BT621" s="14" t="str">
        <f t="shared" si="394"/>
        <v>SSR守护灵17突</v>
      </c>
      <c r="BU621" s="14" t="str">
        <f>IF(BN621&gt;0,INDEX(挂机升级突破!$ER$5:$EV$5,卡牌消耗!BN621),"")</f>
        <v>金币</v>
      </c>
      <c r="BV621" s="14">
        <f>IF(BN621&gt;0,ROUND(INDEX(挂机升级突破!$EV$7:$EV$26,卡牌消耗!BS621)*INDEX(卡牌消耗!$B$8:$F$8,BP621)/$Q$4/500,0)*500,"")</f>
        <v>121000</v>
      </c>
      <c r="BW621" s="14" t="str">
        <f>IF(BO621&gt;0,INDEX(挂机升级突破!$ER$5:$EV$5,卡牌消耗!BO621),"")</f>
        <v>铀金</v>
      </c>
      <c r="BX621" s="14">
        <f>IF(BO621&gt;0,ROUND(INDEX(挂机升级突破!$ER$7:$EU$26,卡牌消耗!BS621,卡牌消耗!BO621)*INDEX($B$6:$F$6,BP621)/$Q$4/5,0)*5,"")</f>
        <v>20</v>
      </c>
      <c r="BY621" s="193"/>
      <c r="BZ621" s="193"/>
    </row>
    <row r="622" spans="37:78" ht="16.5" x14ac:dyDescent="0.2">
      <c r="AK622" s="104">
        <v>618</v>
      </c>
      <c r="AL622" s="14">
        <f t="shared" si="385"/>
        <v>12</v>
      </c>
      <c r="AM622" s="14">
        <f>INDEX(挂机升级突破!DQ$6:DQ$57,卡牌消耗!$AT622)</f>
        <v>11</v>
      </c>
      <c r="AN622" s="14">
        <f>INDEX(挂机升级突破!DR$6:DR$57,卡牌消耗!$AT622)</f>
        <v>5</v>
      </c>
      <c r="AO622" s="14">
        <f>INDEX(挂机升级突破!DS$6:DS$57,卡牌消耗!$AT622)</f>
        <v>10</v>
      </c>
      <c r="AP622" s="14">
        <f>INDEX(挂机升级突破!$DP$6:$DP$57,卡牌消耗!AT622)</f>
        <v>133</v>
      </c>
      <c r="AQ622" s="14" t="str">
        <f t="shared" si="386"/>
        <v>夏侯惇</v>
      </c>
      <c r="AR622" s="14">
        <f t="shared" si="387"/>
        <v>5</v>
      </c>
      <c r="AS622" s="14" t="str">
        <f t="shared" si="388"/>
        <v>夏侯惇魂火-46</v>
      </c>
      <c r="AT622" s="14">
        <f t="shared" si="389"/>
        <v>46</v>
      </c>
      <c r="AU622" s="14" t="str">
        <f>IF(AM622&gt;0,INDEX(挂机升级突破!$DT$4:$ED$4,AM622),"")</f>
        <v>金币</v>
      </c>
      <c r="AV622" s="14">
        <f>ROUND(INDEX(挂机升级突破!$DJ$6:$DJ$57,卡牌消耗!AT622)*INDEX(卡牌消耗!$B$8:$F$8,AR622)/$Q$4/50,0)*50</f>
        <v>80600</v>
      </c>
      <c r="AW622" s="14" t="str">
        <f>IF(AN622&gt;0,INDEX(挂机升级突破!$DT$4:$ED$4,AN622),"")</f>
        <v>红色基础材料</v>
      </c>
      <c r="AX622" s="14">
        <f>ROUND(INDEX(挂机升级突破!$DT$6:$ED$57,卡牌消耗!AT622,AN622)*INDEX(卡牌消耗!$B$5:$F$5,AR622)/$Q$4/5,0)*5</f>
        <v>15</v>
      </c>
      <c r="AY622" s="14" t="str">
        <f>IF(AO622&gt;0,INDEX(挂机升级突破!$DT$4:$ED$4,AO622),"")</f>
        <v>灵玉</v>
      </c>
      <c r="AZ622" s="14">
        <f>IF(AO622&gt;0,ROUND(INDEX(挂机升级突破!$DT$6:$ED$57,卡牌消耗!AT622,AO622)*INDEX(卡牌消耗!$B$7:$F$7,AR622)/$Q$4,0),"")</f>
        <v>4</v>
      </c>
      <c r="BL622" s="193">
        <v>618</v>
      </c>
      <c r="BM622" s="14">
        <f t="shared" si="390"/>
        <v>31</v>
      </c>
      <c r="BN622" s="14">
        <f>INDEX(挂机升级突破!$EI$7:$EI$26,BS622)</f>
        <v>5</v>
      </c>
      <c r="BO622" s="14">
        <f>INDEX(挂机升级突破!$EJ$7:$EJ$26,BS622)</f>
        <v>4</v>
      </c>
      <c r="BP622" s="14">
        <f t="shared" si="391"/>
        <v>4</v>
      </c>
      <c r="BQ622" s="14">
        <f>INDEX(挂机升级突破!$EH$7:$EH$26,卡牌消耗!BS622)</f>
        <v>125</v>
      </c>
      <c r="BR622" s="14" t="str">
        <f t="shared" si="392"/>
        <v>SSR守护灵</v>
      </c>
      <c r="BS622" s="14">
        <f t="shared" si="393"/>
        <v>18</v>
      </c>
      <c r="BT622" s="14" t="str">
        <f t="shared" si="394"/>
        <v>SSR守护灵18突</v>
      </c>
      <c r="BU622" s="14" t="str">
        <f>IF(BN622&gt;0,INDEX(挂机升级突破!$ER$5:$EV$5,卡牌消耗!BN622),"")</f>
        <v>金币</v>
      </c>
      <c r="BV622" s="14">
        <f>IF(BN622&gt;0,ROUND(INDEX(挂机升级突破!$EV$7:$EV$26,卡牌消耗!BS622)*INDEX(卡牌消耗!$B$8:$F$8,BP622)/$Q$4/500,0)*500,"")</f>
        <v>161000</v>
      </c>
      <c r="BW622" s="14" t="str">
        <f>IF(BO622&gt;0,INDEX(挂机升级突破!$ER$5:$EV$5,卡牌消耗!BO622),"")</f>
        <v>铀金</v>
      </c>
      <c r="BX622" s="14">
        <f>IF(BO622&gt;0,ROUND(INDEX(挂机升级突破!$ER$7:$EU$26,卡牌消耗!BS622,卡牌消耗!BO622)*INDEX($B$6:$F$6,BP622)/$Q$4/5,0)*5,"")</f>
        <v>30</v>
      </c>
      <c r="BY622" s="193"/>
      <c r="BZ622" s="193"/>
    </row>
    <row r="623" spans="37:78" ht="16.5" x14ac:dyDescent="0.2">
      <c r="AK623" s="104">
        <v>619</v>
      </c>
      <c r="AL623" s="14">
        <f t="shared" si="385"/>
        <v>12</v>
      </c>
      <c r="AM623" s="14">
        <f>INDEX(挂机升级突破!DQ$6:DQ$57,卡牌消耗!$AT623)</f>
        <v>11</v>
      </c>
      <c r="AN623" s="14">
        <f>INDEX(挂机升级突破!DR$6:DR$57,卡牌消耗!$AT623)</f>
        <v>5</v>
      </c>
      <c r="AO623" s="14">
        <f>INDEX(挂机升级突破!DS$6:DS$57,卡牌消耗!$AT623)</f>
        <v>10</v>
      </c>
      <c r="AP623" s="14">
        <f>INDEX(挂机升级突破!$DP$6:$DP$57,卡牌消耗!AT623)</f>
        <v>135</v>
      </c>
      <c r="AQ623" s="14" t="str">
        <f t="shared" si="386"/>
        <v>夏侯惇</v>
      </c>
      <c r="AR623" s="14">
        <f t="shared" si="387"/>
        <v>5</v>
      </c>
      <c r="AS623" s="14" t="str">
        <f t="shared" si="388"/>
        <v>夏侯惇魂火-47</v>
      </c>
      <c r="AT623" s="14">
        <f t="shared" si="389"/>
        <v>47</v>
      </c>
      <c r="AU623" s="14" t="str">
        <f>IF(AM623&gt;0,INDEX(挂机升级突破!$DT$4:$ED$4,AM623),"")</f>
        <v>金币</v>
      </c>
      <c r="AV623" s="14">
        <f>ROUND(INDEX(挂机升级突破!$DJ$6:$DJ$57,卡牌消耗!AT623)*INDEX(卡牌消耗!$B$8:$F$8,AR623)/$Q$4/50,0)*50</f>
        <v>164100</v>
      </c>
      <c r="AW623" s="14" t="str">
        <f>IF(AN623&gt;0,INDEX(挂机升级突破!$DT$4:$ED$4,AN623),"")</f>
        <v>红色基础材料</v>
      </c>
      <c r="AX623" s="14">
        <f>ROUND(INDEX(挂机升级突破!$DT$6:$ED$57,卡牌消耗!AT623,AN623)*INDEX(卡牌消耗!$B$5:$F$5,AR623)/$Q$4/5,0)*5</f>
        <v>15</v>
      </c>
      <c r="AY623" s="14" t="str">
        <f>IF(AO623&gt;0,INDEX(挂机升级突破!$DT$4:$ED$4,AO623),"")</f>
        <v>灵玉</v>
      </c>
      <c r="AZ623" s="14">
        <f>IF(AO623&gt;0,ROUND(INDEX(挂机升级突破!$DT$6:$ED$57,卡牌消耗!AT623,AO623)*INDEX(卡牌消耗!$B$7:$F$7,AR623)/$Q$4,0),"")</f>
        <v>4</v>
      </c>
      <c r="BL623" s="193">
        <v>619</v>
      </c>
      <c r="BM623" s="14">
        <f t="shared" si="390"/>
        <v>31</v>
      </c>
      <c r="BN623" s="14">
        <f>INDEX(挂机升级突破!$EI$7:$EI$26,BS623)</f>
        <v>5</v>
      </c>
      <c r="BO623" s="14">
        <f>INDEX(挂机升级突破!$EJ$7:$EJ$26,BS623)</f>
        <v>4</v>
      </c>
      <c r="BP623" s="14">
        <f t="shared" si="391"/>
        <v>4</v>
      </c>
      <c r="BQ623" s="14">
        <f>INDEX(挂机升级突破!$EH$7:$EH$26,卡牌消耗!BS623)</f>
        <v>132</v>
      </c>
      <c r="BR623" s="14" t="str">
        <f t="shared" si="392"/>
        <v>SSR守护灵</v>
      </c>
      <c r="BS623" s="14">
        <f t="shared" si="393"/>
        <v>19</v>
      </c>
      <c r="BT623" s="14" t="str">
        <f t="shared" si="394"/>
        <v>SSR守护灵19突</v>
      </c>
      <c r="BU623" s="14" t="str">
        <f>IF(BN623&gt;0,INDEX(挂机升级突破!$ER$5:$EV$5,卡牌消耗!BN623),"")</f>
        <v>金币</v>
      </c>
      <c r="BV623" s="14">
        <f>IF(BN623&gt;0,ROUND(INDEX(挂机升级突破!$EV$7:$EV$26,卡牌消耗!BS623)*INDEX(卡牌消耗!$B$8:$F$8,BP623)/$Q$4/500,0)*500,"")</f>
        <v>410500</v>
      </c>
      <c r="BW623" s="14" t="str">
        <f>IF(BO623&gt;0,INDEX(挂机升级突破!$ER$5:$EV$5,卡牌消耗!BO623),"")</f>
        <v>铀金</v>
      </c>
      <c r="BX623" s="14">
        <f>IF(BO623&gt;0,ROUND(INDEX(挂机升级突破!$ER$7:$EU$26,卡牌消耗!BS623,卡牌消耗!BO623)*INDEX($B$6:$F$6,BP623)/$Q$4/5,0)*5,"")</f>
        <v>40</v>
      </c>
      <c r="BY623" s="193"/>
      <c r="BZ623" s="193"/>
    </row>
    <row r="624" spans="37:78" ht="16.5" x14ac:dyDescent="0.2">
      <c r="AK624" s="104">
        <v>620</v>
      </c>
      <c r="AL624" s="14">
        <f t="shared" si="385"/>
        <v>12</v>
      </c>
      <c r="AM624" s="14">
        <f>INDEX(挂机升级突破!DQ$6:DQ$57,卡牌消耗!$AT624)</f>
        <v>11</v>
      </c>
      <c r="AN624" s="14">
        <f>INDEX(挂机升级突破!DR$6:DR$57,卡牌消耗!$AT624)</f>
        <v>5</v>
      </c>
      <c r="AO624" s="14">
        <f>INDEX(挂机升级突破!DS$6:DS$57,卡牌消耗!$AT624)</f>
        <v>10</v>
      </c>
      <c r="AP624" s="14">
        <f>INDEX(挂机升级突破!$DP$6:$DP$57,卡牌消耗!AT624)</f>
        <v>138</v>
      </c>
      <c r="AQ624" s="14" t="str">
        <f t="shared" si="386"/>
        <v>夏侯惇</v>
      </c>
      <c r="AR624" s="14">
        <f t="shared" si="387"/>
        <v>5</v>
      </c>
      <c r="AS624" s="14" t="str">
        <f t="shared" si="388"/>
        <v>夏侯惇魂火-48</v>
      </c>
      <c r="AT624" s="14">
        <f t="shared" si="389"/>
        <v>48</v>
      </c>
      <c r="AU624" s="14" t="str">
        <f>IF(AM624&gt;0,INDEX(挂机升级突破!$DT$4:$ED$4,AM624),"")</f>
        <v>金币</v>
      </c>
      <c r="AV624" s="14">
        <f>ROUND(INDEX(挂机升级突破!$DJ$6:$DJ$57,卡牌消耗!AT624)*INDEX(卡牌消耗!$B$8:$F$8,AR624)/$Q$4/50,0)*50</f>
        <v>164100</v>
      </c>
      <c r="AW624" s="14" t="str">
        <f>IF(AN624&gt;0,INDEX(挂机升级突破!$DT$4:$ED$4,AN624),"")</f>
        <v>红色基础材料</v>
      </c>
      <c r="AX624" s="14">
        <f>ROUND(INDEX(挂机升级突破!$DT$6:$ED$57,卡牌消耗!AT624,AN624)*INDEX(卡牌消耗!$B$5:$F$5,AR624)/$Q$4/5,0)*5</f>
        <v>15</v>
      </c>
      <c r="AY624" s="14" t="str">
        <f>IF(AO624&gt;0,INDEX(挂机升级突破!$DT$4:$ED$4,AO624),"")</f>
        <v>灵玉</v>
      </c>
      <c r="AZ624" s="14">
        <f>IF(AO624&gt;0,ROUND(INDEX(挂机升级突破!$DT$6:$ED$57,卡牌消耗!AT624,AO624)*INDEX(卡牌消耗!$B$7:$F$7,AR624)/$Q$4,0),"")</f>
        <v>4</v>
      </c>
      <c r="BL624" s="193">
        <v>620</v>
      </c>
      <c r="BM624" s="14">
        <f t="shared" si="390"/>
        <v>31</v>
      </c>
      <c r="BN624" s="14">
        <f>INDEX(挂机升级突破!$EI$7:$EI$26,BS624)</f>
        <v>5</v>
      </c>
      <c r="BO624" s="14">
        <f>INDEX(挂机升级突破!$EJ$7:$EJ$26,BS624)</f>
        <v>4</v>
      </c>
      <c r="BP624" s="14">
        <f t="shared" si="391"/>
        <v>4</v>
      </c>
      <c r="BQ624" s="14">
        <f>INDEX(挂机升级突破!$EH$7:$EH$26,卡牌消耗!BS624)</f>
        <v>140</v>
      </c>
      <c r="BR624" s="14" t="str">
        <f t="shared" si="392"/>
        <v>SSR守护灵</v>
      </c>
      <c r="BS624" s="14">
        <f t="shared" si="393"/>
        <v>20</v>
      </c>
      <c r="BT624" s="14" t="str">
        <f t="shared" si="394"/>
        <v>SSR守护灵20突</v>
      </c>
      <c r="BU624" s="14" t="str">
        <f>IF(BN624&gt;0,INDEX(挂机升级突破!$ER$5:$EV$5,卡牌消耗!BN624),"")</f>
        <v>金币</v>
      </c>
      <c r="BV624" s="14">
        <f>IF(BN624&gt;0,ROUND(INDEX(挂机升级突破!$EV$7:$EV$26,卡牌消耗!BS624)*INDEX(卡牌消耗!$B$8:$F$8,BP624)/$Q$4/500,0)*500,"")</f>
        <v>615500</v>
      </c>
      <c r="BW624" s="14" t="str">
        <f>IF(BO624&gt;0,INDEX(挂机升级突破!$ER$5:$EV$5,卡牌消耗!BO624),"")</f>
        <v>铀金</v>
      </c>
      <c r="BX624" s="14">
        <f>IF(BO624&gt;0,ROUND(INDEX(挂机升级突破!$ER$7:$EU$26,卡牌消耗!BS624,卡牌消耗!BO624)*INDEX($B$6:$F$6,BP624)/$Q$4/5,0)*5,"")</f>
        <v>50</v>
      </c>
      <c r="BY624" s="193"/>
      <c r="BZ624" s="193"/>
    </row>
    <row r="625" spans="37:78" ht="16.5" x14ac:dyDescent="0.2">
      <c r="AK625" s="104">
        <v>621</v>
      </c>
      <c r="AL625" s="14">
        <f t="shared" si="385"/>
        <v>12</v>
      </c>
      <c r="AM625" s="14">
        <f>INDEX(挂机升级突破!DQ$6:DQ$57,卡牌消耗!$AT625)</f>
        <v>11</v>
      </c>
      <c r="AN625" s="14">
        <f>INDEX(挂机升级突破!DR$6:DR$57,卡牌消耗!$AT625)</f>
        <v>5</v>
      </c>
      <c r="AO625" s="14">
        <f>INDEX(挂机升级突破!DS$6:DS$57,卡牌消耗!$AT625)</f>
        <v>10</v>
      </c>
      <c r="AP625" s="14">
        <f>INDEX(挂机升级突破!$DP$6:$DP$57,卡牌消耗!AT625)</f>
        <v>140</v>
      </c>
      <c r="AQ625" s="14" t="str">
        <f t="shared" si="386"/>
        <v>夏侯惇</v>
      </c>
      <c r="AR625" s="14">
        <f t="shared" si="387"/>
        <v>5</v>
      </c>
      <c r="AS625" s="14" t="str">
        <f t="shared" si="388"/>
        <v>夏侯惇魂火-49</v>
      </c>
      <c r="AT625" s="14">
        <f t="shared" si="389"/>
        <v>49</v>
      </c>
      <c r="AU625" s="14" t="str">
        <f>IF(AM625&gt;0,INDEX(挂机升级突破!$DT$4:$ED$4,AM625),"")</f>
        <v>金币</v>
      </c>
      <c r="AV625" s="14">
        <f>ROUND(INDEX(挂机升级突破!$DJ$6:$DJ$57,卡牌消耗!AT625)*INDEX(卡牌消耗!$B$8:$F$8,AR625)/$Q$4/50,0)*50</f>
        <v>164100</v>
      </c>
      <c r="AW625" s="14" t="str">
        <f>IF(AN625&gt;0,INDEX(挂机升级突破!$DT$4:$ED$4,AN625),"")</f>
        <v>红色基础材料</v>
      </c>
      <c r="AX625" s="14">
        <f>ROUND(INDEX(挂机升级突破!$DT$6:$ED$57,卡牌消耗!AT625,AN625)*INDEX(卡牌消耗!$B$5:$F$5,AR625)/$Q$4/5,0)*5</f>
        <v>20</v>
      </c>
      <c r="AY625" s="14" t="str">
        <f>IF(AO625&gt;0,INDEX(挂机升级突破!$DT$4:$ED$4,AO625),"")</f>
        <v>灵玉</v>
      </c>
      <c r="AZ625" s="14">
        <f>IF(AO625&gt;0,ROUND(INDEX(挂机升级突破!$DT$6:$ED$57,卡牌消耗!AT625,AO625)*INDEX(卡牌消耗!$B$7:$F$7,AR625)/$Q$4,0),"")</f>
        <v>4</v>
      </c>
      <c r="BL625" s="193">
        <v>621</v>
      </c>
      <c r="BM625" s="14">
        <f t="shared" si="390"/>
        <v>32</v>
      </c>
      <c r="BN625" s="14">
        <f>INDEX(挂机升级突破!$EI$7:$EI$26,BS625)</f>
        <v>0</v>
      </c>
      <c r="BO625" s="14">
        <f>INDEX(挂机升级突破!$EJ$7:$EJ$26,BS625)</f>
        <v>0</v>
      </c>
      <c r="BP625" s="14">
        <f t="shared" si="391"/>
        <v>5</v>
      </c>
      <c r="BQ625" s="14">
        <f>INDEX(挂机升级突破!$EH$7:$EH$26,卡牌消耗!BS625)</f>
        <v>1</v>
      </c>
      <c r="BR625" s="14" t="str">
        <f t="shared" si="392"/>
        <v>UR守护灵</v>
      </c>
      <c r="BS625" s="14">
        <f t="shared" si="393"/>
        <v>1</v>
      </c>
      <c r="BT625" s="14" t="str">
        <f t="shared" si="394"/>
        <v>UR守护灵1突</v>
      </c>
      <c r="BU625" s="14" t="str">
        <f>IF(BN625&gt;0,INDEX(挂机升级突破!$ER$5:$EV$5,卡牌消耗!BN625),"")</f>
        <v/>
      </c>
      <c r="BV625" s="14" t="str">
        <f>IF(BN625&gt;0,ROUND(INDEX(挂机升级突破!$EV$7:$EV$26,卡牌消耗!BS625)*INDEX(卡牌消耗!$B$8:$F$8,BP625)/$Q$4/500,0)*500,"")</f>
        <v/>
      </c>
      <c r="BW625" s="14" t="str">
        <f>IF(BO625&gt;0,INDEX(挂机升级突破!$ER$5:$EV$5,卡牌消耗!BO625),"")</f>
        <v/>
      </c>
      <c r="BX625" s="14" t="str">
        <f>IF(BO625&gt;0,ROUND(INDEX(挂机升级突破!$ER$7:$EU$26,卡牌消耗!BS625,卡牌消耗!BO625)*INDEX($B$6:$F$6,BP625)/$Q$4/5,0)*5,"")</f>
        <v/>
      </c>
      <c r="BY625" s="193"/>
      <c r="BZ625" s="193"/>
    </row>
    <row r="626" spans="37:78" ht="16.5" x14ac:dyDescent="0.2">
      <c r="AK626" s="104">
        <v>622</v>
      </c>
      <c r="AL626" s="14">
        <f t="shared" si="385"/>
        <v>12</v>
      </c>
      <c r="AM626" s="14">
        <f>INDEX(挂机升级突破!DQ$6:DQ$57,卡牌消耗!$AT626)</f>
        <v>11</v>
      </c>
      <c r="AN626" s="14">
        <f>INDEX(挂机升级突破!DR$6:DR$57,卡牌消耗!$AT626)</f>
        <v>5</v>
      </c>
      <c r="AO626" s="14">
        <f>INDEX(挂机升级突破!DS$6:DS$57,卡牌消耗!$AT626)</f>
        <v>10</v>
      </c>
      <c r="AP626" s="14">
        <f>INDEX(挂机升级突破!$DP$6:$DP$57,卡牌消耗!AT626)</f>
        <v>143</v>
      </c>
      <c r="AQ626" s="14" t="str">
        <f t="shared" si="386"/>
        <v>夏侯惇</v>
      </c>
      <c r="AR626" s="14">
        <f t="shared" si="387"/>
        <v>5</v>
      </c>
      <c r="AS626" s="14" t="str">
        <f t="shared" si="388"/>
        <v>夏侯惇魂火-50</v>
      </c>
      <c r="AT626" s="14">
        <f t="shared" si="389"/>
        <v>50</v>
      </c>
      <c r="AU626" s="14" t="str">
        <f>IF(AM626&gt;0,INDEX(挂机升级突破!$DT$4:$ED$4,AM626),"")</f>
        <v>金币</v>
      </c>
      <c r="AV626" s="14">
        <f>ROUND(INDEX(挂机升级突破!$DJ$6:$DJ$57,卡牌消耗!AT626)*INDEX(卡牌消耗!$B$8:$F$8,AR626)/$Q$4/50,0)*50</f>
        <v>273550</v>
      </c>
      <c r="AW626" s="14" t="str">
        <f>IF(AN626&gt;0,INDEX(挂机升级突破!$DT$4:$ED$4,AN626),"")</f>
        <v>红色基础材料</v>
      </c>
      <c r="AX626" s="14">
        <f>ROUND(INDEX(挂机升级突破!$DT$6:$ED$57,卡牌消耗!AT626,AN626)*INDEX(卡牌消耗!$B$5:$F$5,AR626)/$Q$4/5,0)*5</f>
        <v>20</v>
      </c>
      <c r="AY626" s="14" t="str">
        <f>IF(AO626&gt;0,INDEX(挂机升级突破!$DT$4:$ED$4,AO626),"")</f>
        <v>灵玉</v>
      </c>
      <c r="AZ626" s="14">
        <f>IF(AO626&gt;0,ROUND(INDEX(挂机升级突破!$DT$6:$ED$57,卡牌消耗!AT626,AO626)*INDEX(卡牌消耗!$B$7:$F$7,AR626)/$Q$4,0),"")</f>
        <v>4</v>
      </c>
      <c r="BL626" s="193">
        <v>622</v>
      </c>
      <c r="BM626" s="14">
        <f t="shared" si="390"/>
        <v>32</v>
      </c>
      <c r="BN626" s="14">
        <f>INDEX(挂机升级突破!$EI$7:$EI$26,BS626)</f>
        <v>5</v>
      </c>
      <c r="BO626" s="14">
        <f>INDEX(挂机升级突破!$EJ$7:$EJ$26,BS626)</f>
        <v>1</v>
      </c>
      <c r="BP626" s="14">
        <f t="shared" si="391"/>
        <v>5</v>
      </c>
      <c r="BQ626" s="14">
        <f>INDEX(挂机升级突破!$EH$7:$EH$26,卡牌消耗!BS626)</f>
        <v>5</v>
      </c>
      <c r="BR626" s="14" t="str">
        <f t="shared" si="392"/>
        <v>UR守护灵</v>
      </c>
      <c r="BS626" s="14">
        <f t="shared" si="393"/>
        <v>2</v>
      </c>
      <c r="BT626" s="14" t="str">
        <f t="shared" si="394"/>
        <v>UR守护灵2突</v>
      </c>
      <c r="BU626" s="14" t="str">
        <f>IF(BN626&gt;0,INDEX(挂机升级突破!$ER$5:$EV$5,卡牌消耗!BN626),"")</f>
        <v>金币</v>
      </c>
      <c r="BV626" s="14">
        <f>IF(BN626&gt;0,ROUND(INDEX(挂机升级突破!$EV$7:$EV$26,卡牌消耗!BS626)*INDEX(卡牌消耗!$B$8:$F$8,BP626)/$Q$4/500,0)*500,"")</f>
        <v>6500</v>
      </c>
      <c r="BW626" s="14" t="str">
        <f>IF(BO626&gt;0,INDEX(挂机升级突破!$ER$5:$EV$5,卡牌消耗!BO626),"")</f>
        <v>玄铁</v>
      </c>
      <c r="BX626" s="14">
        <f>IF(BO626&gt;0,ROUND(INDEX(挂机升级突破!$ER$7:$EU$26,卡牌消耗!BS626,卡牌消耗!BO626)*INDEX($B$6:$F$6,BP626)/$Q$4,0),"")</f>
        <v>2</v>
      </c>
      <c r="BY626" s="193"/>
      <c r="BZ626" s="193"/>
    </row>
    <row r="627" spans="37:78" ht="16.5" x14ac:dyDescent="0.2">
      <c r="AK627" s="104">
        <v>623</v>
      </c>
      <c r="AL627" s="14">
        <f t="shared" si="385"/>
        <v>12</v>
      </c>
      <c r="AM627" s="14">
        <f>INDEX(挂机升级突破!DQ$6:DQ$57,卡牌消耗!$AT627)</f>
        <v>11</v>
      </c>
      <c r="AN627" s="14">
        <f>INDEX(挂机升级突破!DR$6:DR$57,卡牌消耗!$AT627)</f>
        <v>5</v>
      </c>
      <c r="AO627" s="14">
        <f>INDEX(挂机升级突破!DS$6:DS$57,卡牌消耗!$AT627)</f>
        <v>10</v>
      </c>
      <c r="AP627" s="14">
        <f>INDEX(挂机升级突破!$DP$6:$DP$57,卡牌消耗!AT627)</f>
        <v>145</v>
      </c>
      <c r="AQ627" s="14" t="str">
        <f t="shared" si="386"/>
        <v>夏侯惇</v>
      </c>
      <c r="AR627" s="14">
        <f t="shared" si="387"/>
        <v>5</v>
      </c>
      <c r="AS627" s="14" t="str">
        <f t="shared" si="388"/>
        <v>夏侯惇魂火-51</v>
      </c>
      <c r="AT627" s="14">
        <f t="shared" si="389"/>
        <v>51</v>
      </c>
      <c r="AU627" s="14" t="str">
        <f>IF(AM627&gt;0,INDEX(挂机升级突破!$DT$4:$ED$4,AM627),"")</f>
        <v>金币</v>
      </c>
      <c r="AV627" s="14">
        <f>ROUND(INDEX(挂机升级突破!$DJ$6:$DJ$57,卡牌消耗!AT627)*INDEX(卡牌消耗!$B$8:$F$8,AR627)/$Q$4/50,0)*50</f>
        <v>300900</v>
      </c>
      <c r="AW627" s="14" t="str">
        <f>IF(AN627&gt;0,INDEX(挂机升级突破!$DT$4:$ED$4,AN627),"")</f>
        <v>红色基础材料</v>
      </c>
      <c r="AX627" s="14">
        <f>ROUND(INDEX(挂机升级突破!$DT$6:$ED$57,卡牌消耗!AT627,AN627)*INDEX(卡牌消耗!$B$5:$F$5,AR627)/$Q$4/5,0)*5</f>
        <v>20</v>
      </c>
      <c r="AY627" s="14" t="str">
        <f>IF(AO627&gt;0,INDEX(挂机升级突破!$DT$4:$ED$4,AO627),"")</f>
        <v>灵玉</v>
      </c>
      <c r="AZ627" s="14">
        <f>IF(AO627&gt;0,ROUND(INDEX(挂机升级突破!$DT$6:$ED$57,卡牌消耗!AT627,AO627)*INDEX(卡牌消耗!$B$7:$F$7,AR627)/$Q$4,0),"")</f>
        <v>4</v>
      </c>
      <c r="BL627" s="193">
        <v>623</v>
      </c>
      <c r="BM627" s="14">
        <f t="shared" si="390"/>
        <v>32</v>
      </c>
      <c r="BN627" s="14">
        <f>INDEX(挂机升级突破!$EI$7:$EI$26,BS627)</f>
        <v>5</v>
      </c>
      <c r="BO627" s="14">
        <f>INDEX(挂机升级突破!$EJ$7:$EJ$26,BS627)</f>
        <v>1</v>
      </c>
      <c r="BP627" s="14">
        <f t="shared" si="391"/>
        <v>5</v>
      </c>
      <c r="BQ627" s="14">
        <f>INDEX(挂机升级突破!$EH$7:$EH$26,卡牌消耗!BS627)</f>
        <v>15</v>
      </c>
      <c r="BR627" s="14" t="str">
        <f t="shared" si="392"/>
        <v>UR守护灵</v>
      </c>
      <c r="BS627" s="14">
        <f t="shared" si="393"/>
        <v>3</v>
      </c>
      <c r="BT627" s="14" t="str">
        <f t="shared" si="394"/>
        <v>UR守护灵3突</v>
      </c>
      <c r="BU627" s="14" t="str">
        <f>IF(BN627&gt;0,INDEX(挂机升级突破!$ER$5:$EV$5,卡牌消耗!BN627),"")</f>
        <v>金币</v>
      </c>
      <c r="BV627" s="14">
        <f>IF(BN627&gt;0,ROUND(INDEX(挂机升级突破!$EV$7:$EV$26,卡牌消耗!BS627)*INDEX(卡牌消耗!$B$8:$F$8,BP627)/$Q$4/500,0)*500,"")</f>
        <v>6500</v>
      </c>
      <c r="BW627" s="14" t="str">
        <f>IF(BO627&gt;0,INDEX(挂机升级突破!$ER$5:$EV$5,卡牌消耗!BO627),"")</f>
        <v>玄铁</v>
      </c>
      <c r="BX627" s="14">
        <f>IF(BO627&gt;0,ROUND(INDEX(挂机升级突破!$ER$7:$EU$26,卡牌消耗!BS627,卡牌消耗!BO627)*INDEX($B$6:$F$6,BP627)/$Q$4,0),"")</f>
        <v>8</v>
      </c>
      <c r="BY627" s="193"/>
      <c r="BZ627" s="193"/>
    </row>
    <row r="628" spans="37:78" ht="16.5" x14ac:dyDescent="0.2">
      <c r="AK628" s="104">
        <v>624</v>
      </c>
      <c r="AL628" s="14">
        <f t="shared" si="385"/>
        <v>12</v>
      </c>
      <c r="AM628" s="14">
        <f>INDEX(挂机升级突破!DQ$6:DQ$57,卡牌消耗!$AT628)</f>
        <v>11</v>
      </c>
      <c r="AN628" s="14">
        <f>INDEX(挂机升级突破!DR$6:DR$57,卡牌消耗!$AT628)</f>
        <v>5</v>
      </c>
      <c r="AO628" s="14">
        <f>INDEX(挂机升级突破!DS$6:DS$57,卡牌消耗!$AT628)</f>
        <v>10</v>
      </c>
      <c r="AP628" s="14">
        <f>INDEX(挂机升级突破!$DP$6:$DP$57,卡牌消耗!AT628)</f>
        <v>148</v>
      </c>
      <c r="AQ628" s="14" t="str">
        <f t="shared" si="386"/>
        <v>夏侯惇</v>
      </c>
      <c r="AR628" s="14">
        <f t="shared" si="387"/>
        <v>5</v>
      </c>
      <c r="AS628" s="14" t="str">
        <f t="shared" si="388"/>
        <v>夏侯惇魂火-52</v>
      </c>
      <c r="AT628" s="14">
        <f t="shared" si="389"/>
        <v>52</v>
      </c>
      <c r="AU628" s="14" t="str">
        <f>IF(AM628&gt;0,INDEX(挂机升级突破!$DT$4:$ED$4,AM628),"")</f>
        <v>金币</v>
      </c>
      <c r="AV628" s="14">
        <f>ROUND(INDEX(挂机升级突破!$DJ$6:$DJ$57,卡牌消耗!AT628)*INDEX(卡牌消耗!$B$8:$F$8,AR628)/$Q$4/50,0)*50</f>
        <v>300900</v>
      </c>
      <c r="AW628" s="14" t="str">
        <f>IF(AN628&gt;0,INDEX(挂机升级突破!$DT$4:$ED$4,AN628),"")</f>
        <v>红色基础材料</v>
      </c>
      <c r="AX628" s="14">
        <f>ROUND(INDEX(挂机升级突破!$DT$6:$ED$57,卡牌消耗!AT628,AN628)*INDEX(卡牌消耗!$B$5:$F$5,AR628)/$Q$4/5,0)*5</f>
        <v>20</v>
      </c>
      <c r="AY628" s="14" t="str">
        <f>IF(AO628&gt;0,INDEX(挂机升级突破!$DT$4:$ED$4,AO628),"")</f>
        <v>灵玉</v>
      </c>
      <c r="AZ628" s="14">
        <f>IF(AO628&gt;0,ROUND(INDEX(挂机升级突破!$DT$6:$ED$57,卡牌消耗!AT628,AO628)*INDEX(卡牌消耗!$B$7:$F$7,AR628)/$Q$4,0),"")</f>
        <v>4</v>
      </c>
      <c r="BL628" s="193">
        <v>624</v>
      </c>
      <c r="BM628" s="14">
        <f t="shared" si="390"/>
        <v>32</v>
      </c>
      <c r="BN628" s="14">
        <f>INDEX(挂机升级突破!$EI$7:$EI$26,BS628)</f>
        <v>5</v>
      </c>
      <c r="BO628" s="14">
        <f>INDEX(挂机升级突破!$EJ$7:$EJ$26,BS628)</f>
        <v>1</v>
      </c>
      <c r="BP628" s="14">
        <f t="shared" si="391"/>
        <v>5</v>
      </c>
      <c r="BQ628" s="14">
        <f>INDEX(挂机升级突破!$EH$7:$EH$26,卡牌消耗!BS628)</f>
        <v>25</v>
      </c>
      <c r="BR628" s="14" t="str">
        <f t="shared" si="392"/>
        <v>UR守护灵</v>
      </c>
      <c r="BS628" s="14">
        <f t="shared" si="393"/>
        <v>4</v>
      </c>
      <c r="BT628" s="14" t="str">
        <f t="shared" si="394"/>
        <v>UR守护灵4突</v>
      </c>
      <c r="BU628" s="14" t="str">
        <f>IF(BN628&gt;0,INDEX(挂机升级突破!$ER$5:$EV$5,卡牌消耗!BN628),"")</f>
        <v>金币</v>
      </c>
      <c r="BV628" s="14">
        <f>IF(BN628&gt;0,ROUND(INDEX(挂机升级突破!$EV$7:$EV$26,卡牌消耗!BS628)*INDEX(卡牌消耗!$B$8:$F$8,BP628)/$Q$4/500,0)*500,"")</f>
        <v>7500</v>
      </c>
      <c r="BW628" s="14" t="str">
        <f>IF(BO628&gt;0,INDEX(挂机升级突破!$ER$5:$EV$5,卡牌消耗!BO628),"")</f>
        <v>玄铁</v>
      </c>
      <c r="BX628" s="14">
        <f>IF(BO628&gt;0,ROUND(INDEX(挂机升级突破!$ER$7:$EU$26,卡牌消耗!BS628,卡牌消耗!BO628)*INDEX($B$6:$F$6,BP628)/$Q$4,0),"")</f>
        <v>25</v>
      </c>
      <c r="BY628" s="193"/>
      <c r="BZ628" s="193"/>
    </row>
    <row r="629" spans="37:78" ht="16.5" x14ac:dyDescent="0.2">
      <c r="AK629" s="104">
        <v>625</v>
      </c>
      <c r="AL629" s="14">
        <f t="shared" si="385"/>
        <v>13</v>
      </c>
      <c r="AM629" s="14">
        <f>INDEX(挂机升级突破!DQ$6:DQ$57,卡牌消耗!$AT629)</f>
        <v>11</v>
      </c>
      <c r="AN629" s="14">
        <f>INDEX(挂机升级突破!DR$6:DR$57,卡牌消耗!$AT629)</f>
        <v>1</v>
      </c>
      <c r="AO629" s="14">
        <f>INDEX(挂机升级突破!DS$6:DS$57,卡牌消耗!$AT629)</f>
        <v>0</v>
      </c>
      <c r="AP629" s="14">
        <f>INDEX(挂机升级突破!$DP$6:$DP$57,卡牌消耗!AT629)</f>
        <v>3</v>
      </c>
      <c r="AQ629" s="14" t="str">
        <f t="shared" si="386"/>
        <v>塞伯罗斯</v>
      </c>
      <c r="AR629" s="14">
        <f t="shared" si="387"/>
        <v>2</v>
      </c>
      <c r="AS629" s="14" t="str">
        <f t="shared" si="388"/>
        <v>塞伯罗斯魂火-1</v>
      </c>
      <c r="AT629" s="14">
        <f t="shared" si="389"/>
        <v>1</v>
      </c>
      <c r="AU629" s="14" t="str">
        <f>IF(AM629&gt;0,INDEX(挂机升级突破!$DT$4:$ED$4,AM629),"")</f>
        <v>金币</v>
      </c>
      <c r="AV629" s="14">
        <f>ROUND(INDEX(挂机升级突破!$DJ$6:$DJ$57,卡牌消耗!AT629)*INDEX(卡牌消耗!$B$8:$F$8,AR629)/$Q$4/50,0)*50</f>
        <v>600</v>
      </c>
      <c r="AW629" s="14" t="str">
        <f>IF(AN629&gt;0,INDEX(挂机升级突破!$DT$4:$ED$4,AN629),"")</f>
        <v>绿色基础材料</v>
      </c>
      <c r="AX629" s="14">
        <f>ROUND(INDEX(挂机升级突破!$DT$6:$ED$57,卡牌消耗!AT629,AN629)*INDEX(卡牌消耗!$B$5:$F$5,AR629)/$Q$4/5,0)*5</f>
        <v>20</v>
      </c>
      <c r="AY629" s="14" t="str">
        <f>IF(AO629&gt;0,INDEX(挂机升级突破!$DT$4:$ED$4,AO629),"")</f>
        <v/>
      </c>
      <c r="AZ629" s="14" t="str">
        <f>IF(AO629&gt;0,ROUND(INDEX(挂机升级突破!$DT$6:$ED$57,卡牌消耗!AT629,AO629)*INDEX(卡牌消耗!$B$7:$F$7,AR629)/$Q$4,0),"")</f>
        <v/>
      </c>
      <c r="BL629" s="193">
        <v>625</v>
      </c>
      <c r="BM629" s="14">
        <f t="shared" si="390"/>
        <v>32</v>
      </c>
      <c r="BN629" s="14">
        <f>INDEX(挂机升级突破!$EI$7:$EI$26,BS629)</f>
        <v>5</v>
      </c>
      <c r="BO629" s="14">
        <f>INDEX(挂机升级突破!$EJ$7:$EJ$26,BS629)</f>
        <v>1</v>
      </c>
      <c r="BP629" s="14">
        <f t="shared" si="391"/>
        <v>5</v>
      </c>
      <c r="BQ629" s="14">
        <f>INDEX(挂机升级突破!$EH$7:$EH$26,卡牌消耗!BS629)</f>
        <v>35</v>
      </c>
      <c r="BR629" s="14" t="str">
        <f t="shared" si="392"/>
        <v>UR守护灵</v>
      </c>
      <c r="BS629" s="14">
        <f t="shared" si="393"/>
        <v>5</v>
      </c>
      <c r="BT629" s="14" t="str">
        <f t="shared" si="394"/>
        <v>UR守护灵5突</v>
      </c>
      <c r="BU629" s="14" t="str">
        <f>IF(BN629&gt;0,INDEX(挂机升级突破!$ER$5:$EV$5,卡牌消耗!BN629),"")</f>
        <v>金币</v>
      </c>
      <c r="BV629" s="14">
        <f>IF(BN629&gt;0,ROUND(INDEX(挂机升级突破!$EV$7:$EV$26,卡牌消耗!BS629)*INDEX(卡牌消耗!$B$8:$F$8,BP629)/$Q$4/500,0)*500,"")</f>
        <v>7500</v>
      </c>
      <c r="BW629" s="14" t="str">
        <f>IF(BO629&gt;0,INDEX(挂机升级突破!$ER$5:$EV$5,卡牌消耗!BO629),"")</f>
        <v>玄铁</v>
      </c>
      <c r="BX629" s="14">
        <f>IF(BO629&gt;0,ROUND(INDEX(挂机升级突破!$ER$7:$EU$26,卡牌消耗!BS629,卡牌消耗!BO629)*INDEX($B$6:$F$6,BP629)/$Q$4/5,0)*5,"")</f>
        <v>50</v>
      </c>
      <c r="BY629" s="193"/>
      <c r="BZ629" s="193"/>
    </row>
    <row r="630" spans="37:78" ht="16.5" x14ac:dyDescent="0.2">
      <c r="AK630" s="104">
        <v>626</v>
      </c>
      <c r="AL630" s="14">
        <f t="shared" si="385"/>
        <v>13</v>
      </c>
      <c r="AM630" s="14">
        <f>INDEX(挂机升级突破!DQ$6:DQ$57,卡牌消耗!$AT630)</f>
        <v>11</v>
      </c>
      <c r="AN630" s="14">
        <f>INDEX(挂机升级突破!DR$6:DR$57,卡牌消耗!$AT630)</f>
        <v>1</v>
      </c>
      <c r="AO630" s="14">
        <f>INDEX(挂机升级突破!DS$6:DS$57,卡牌消耗!$AT630)</f>
        <v>0</v>
      </c>
      <c r="AP630" s="14">
        <f>INDEX(挂机升级突破!$DP$6:$DP$57,卡牌消耗!AT630)</f>
        <v>8</v>
      </c>
      <c r="AQ630" s="14" t="str">
        <f t="shared" si="386"/>
        <v>塞伯罗斯</v>
      </c>
      <c r="AR630" s="14">
        <f t="shared" si="387"/>
        <v>2</v>
      </c>
      <c r="AS630" s="14" t="str">
        <f t="shared" si="388"/>
        <v>塞伯罗斯魂火-2</v>
      </c>
      <c r="AT630" s="14">
        <f t="shared" si="389"/>
        <v>2</v>
      </c>
      <c r="AU630" s="14" t="str">
        <f>IF(AM630&gt;0,INDEX(挂机升级突破!$DT$4:$ED$4,AM630),"")</f>
        <v>金币</v>
      </c>
      <c r="AV630" s="14">
        <f>ROUND(INDEX(挂机升级突破!$DJ$6:$DJ$57,卡牌消耗!AT630)*INDEX(卡牌消耗!$B$8:$F$8,AR630)/$Q$4/50,0)*50</f>
        <v>750</v>
      </c>
      <c r="AW630" s="14" t="str">
        <f>IF(AN630&gt;0,INDEX(挂机升级突破!$DT$4:$ED$4,AN630),"")</f>
        <v>绿色基础材料</v>
      </c>
      <c r="AX630" s="14">
        <f>ROUND(INDEX(挂机升级突破!$DT$6:$ED$57,卡牌消耗!AT630,AN630)*INDEX(卡牌消耗!$B$5:$F$5,AR630)/$Q$4/5,0)*5</f>
        <v>70</v>
      </c>
      <c r="AY630" s="14" t="str">
        <f>IF(AO630&gt;0,INDEX(挂机升级突破!$DT$4:$ED$4,AO630),"")</f>
        <v/>
      </c>
      <c r="AZ630" s="14" t="str">
        <f>IF(AO630&gt;0,ROUND(INDEX(挂机升级突破!$DT$6:$ED$57,卡牌消耗!AT630,AO630)*INDEX(卡牌消耗!$B$7:$F$7,AR630)/$Q$4,0),"")</f>
        <v/>
      </c>
      <c r="BL630" s="193">
        <v>626</v>
      </c>
      <c r="BM630" s="14">
        <f t="shared" si="390"/>
        <v>32</v>
      </c>
      <c r="BN630" s="14">
        <f>INDEX(挂机升级突破!$EI$7:$EI$26,BS630)</f>
        <v>5</v>
      </c>
      <c r="BO630" s="14">
        <f>INDEX(挂机升级突破!$EJ$7:$EJ$26,BS630)</f>
        <v>1</v>
      </c>
      <c r="BP630" s="14">
        <f t="shared" si="391"/>
        <v>5</v>
      </c>
      <c r="BQ630" s="14">
        <f>INDEX(挂机升级突破!$EH$7:$EH$26,卡牌消耗!BS630)</f>
        <v>42</v>
      </c>
      <c r="BR630" s="14" t="str">
        <f t="shared" si="392"/>
        <v>UR守护灵</v>
      </c>
      <c r="BS630" s="14">
        <f t="shared" si="393"/>
        <v>6</v>
      </c>
      <c r="BT630" s="14" t="str">
        <f t="shared" si="394"/>
        <v>UR守护灵6突</v>
      </c>
      <c r="BU630" s="14" t="str">
        <f>IF(BN630&gt;0,INDEX(挂机升级突破!$ER$5:$EV$5,卡牌消耗!BN630),"")</f>
        <v>金币</v>
      </c>
      <c r="BV630" s="14">
        <f>IF(BN630&gt;0,ROUND(INDEX(挂机升级突破!$EV$7:$EV$26,卡牌消耗!BS630)*INDEX(卡牌消耗!$B$8:$F$8,BP630)/$Q$4/500,0)*500,"")</f>
        <v>10000</v>
      </c>
      <c r="BW630" s="14" t="str">
        <f>IF(BO630&gt;0,INDEX(挂机升级突破!$ER$5:$EV$5,卡牌消耗!BO630),"")</f>
        <v>玄铁</v>
      </c>
      <c r="BX630" s="14">
        <f>IF(BO630&gt;0,ROUND(INDEX(挂机升级突破!$ER$7:$EU$26,卡牌消耗!BS630,卡牌消耗!BO630)*INDEX($B$6:$F$6,BP630)/$Q$4/5,0)*5,"")</f>
        <v>75</v>
      </c>
      <c r="BY630" s="193"/>
      <c r="BZ630" s="193"/>
    </row>
    <row r="631" spans="37:78" ht="16.5" x14ac:dyDescent="0.2">
      <c r="AK631" s="104">
        <v>627</v>
      </c>
      <c r="AL631" s="14">
        <f t="shared" si="385"/>
        <v>13</v>
      </c>
      <c r="AM631" s="14">
        <f>INDEX(挂机升级突破!DQ$6:DQ$57,卡牌消耗!$AT631)</f>
        <v>11</v>
      </c>
      <c r="AN631" s="14">
        <f>INDEX(挂机升级突破!DR$6:DR$57,卡牌消耗!$AT631)</f>
        <v>1</v>
      </c>
      <c r="AO631" s="14">
        <f>INDEX(挂机升级突破!DS$6:DS$57,卡牌消耗!$AT631)</f>
        <v>0</v>
      </c>
      <c r="AP631" s="14">
        <f>INDEX(挂机升级突破!$DP$6:$DP$57,卡牌消耗!AT631)</f>
        <v>13</v>
      </c>
      <c r="AQ631" s="14" t="str">
        <f t="shared" si="386"/>
        <v>塞伯罗斯</v>
      </c>
      <c r="AR631" s="14">
        <f t="shared" si="387"/>
        <v>2</v>
      </c>
      <c r="AS631" s="14" t="str">
        <f t="shared" si="388"/>
        <v>塞伯罗斯魂火-3</v>
      </c>
      <c r="AT631" s="14">
        <f t="shared" si="389"/>
        <v>3</v>
      </c>
      <c r="AU631" s="14" t="str">
        <f>IF(AM631&gt;0,INDEX(挂机升级突破!$DT$4:$ED$4,AM631),"")</f>
        <v>金币</v>
      </c>
      <c r="AV631" s="14">
        <f>ROUND(INDEX(挂机升级突破!$DJ$6:$DJ$57,卡牌消耗!AT631)*INDEX(卡牌消耗!$B$8:$F$8,AR631)/$Q$4/50,0)*50</f>
        <v>750</v>
      </c>
      <c r="AW631" s="14" t="str">
        <f>IF(AN631&gt;0,INDEX(挂机升级突破!$DT$4:$ED$4,AN631),"")</f>
        <v>绿色基础材料</v>
      </c>
      <c r="AX631" s="14">
        <f>ROUND(INDEX(挂机升级突破!$DT$6:$ED$57,卡牌消耗!AT631,AN631)*INDEX(卡牌消耗!$B$5:$F$5,AR631)/$Q$4/5,0)*5</f>
        <v>80</v>
      </c>
      <c r="AY631" s="14" t="str">
        <f>IF(AO631&gt;0,INDEX(挂机升级突破!$DT$4:$ED$4,AO631),"")</f>
        <v/>
      </c>
      <c r="AZ631" s="14" t="str">
        <f>IF(AO631&gt;0,ROUND(INDEX(挂机升级突破!$DT$6:$ED$57,卡牌消耗!AT631,AO631)*INDEX(卡牌消耗!$B$7:$F$7,AR631)/$Q$4,0),"")</f>
        <v/>
      </c>
      <c r="BL631" s="193">
        <v>627</v>
      </c>
      <c r="BM631" s="14">
        <f t="shared" si="390"/>
        <v>32</v>
      </c>
      <c r="BN631" s="14">
        <f>INDEX(挂机升级突破!$EI$7:$EI$26,BS631)</f>
        <v>5</v>
      </c>
      <c r="BO631" s="14">
        <f>INDEX(挂机升级突破!$EJ$7:$EJ$26,BS631)</f>
        <v>1</v>
      </c>
      <c r="BP631" s="14">
        <f t="shared" si="391"/>
        <v>5</v>
      </c>
      <c r="BQ631" s="14">
        <f>INDEX(挂机升级突破!$EH$7:$EH$26,卡牌消耗!BS631)</f>
        <v>47</v>
      </c>
      <c r="BR631" s="14" t="str">
        <f t="shared" si="392"/>
        <v>UR守护灵</v>
      </c>
      <c r="BS631" s="14">
        <f t="shared" si="393"/>
        <v>7</v>
      </c>
      <c r="BT631" s="14" t="str">
        <f t="shared" si="394"/>
        <v>UR守护灵7突</v>
      </c>
      <c r="BU631" s="14" t="str">
        <f>IF(BN631&gt;0,INDEX(挂机升级突破!$ER$5:$EV$5,卡牌消耗!BN631),"")</f>
        <v>金币</v>
      </c>
      <c r="BV631" s="14">
        <f>IF(BN631&gt;0,ROUND(INDEX(挂机升级突破!$EV$7:$EV$26,卡牌消耗!BS631)*INDEX(卡牌消耗!$B$8:$F$8,BP631)/$Q$4/500,0)*500,"")</f>
        <v>16500</v>
      </c>
      <c r="BW631" s="14" t="str">
        <f>IF(BO631&gt;0,INDEX(挂机升级突破!$ER$5:$EV$5,卡牌消耗!BO631),"")</f>
        <v>玄铁</v>
      </c>
      <c r="BX631" s="14">
        <f>IF(BO631&gt;0,ROUND(INDEX(挂机升级突破!$ER$7:$EU$26,卡牌消耗!BS631,卡牌消耗!BO631)*INDEX($B$6:$F$6,BP631)/$Q$4/5,0)*5,"")</f>
        <v>125</v>
      </c>
      <c r="BY631" s="193"/>
      <c r="BZ631" s="193"/>
    </row>
    <row r="632" spans="37:78" ht="16.5" x14ac:dyDescent="0.2">
      <c r="AK632" s="104">
        <v>628</v>
      </c>
      <c r="AL632" s="14">
        <f t="shared" si="385"/>
        <v>13</v>
      </c>
      <c r="AM632" s="14">
        <f>INDEX(挂机升级突破!DQ$6:DQ$57,卡牌消耗!$AT632)</f>
        <v>11</v>
      </c>
      <c r="AN632" s="14">
        <f>INDEX(挂机升级突破!DR$6:DR$57,卡牌消耗!$AT632)</f>
        <v>1</v>
      </c>
      <c r="AO632" s="14">
        <f>INDEX(挂机升级突破!DS$6:DS$57,卡牌消耗!$AT632)</f>
        <v>0</v>
      </c>
      <c r="AP632" s="14">
        <f>INDEX(挂机升级突破!$DP$6:$DP$57,卡牌消耗!AT632)</f>
        <v>18</v>
      </c>
      <c r="AQ632" s="14" t="str">
        <f t="shared" si="386"/>
        <v>塞伯罗斯</v>
      </c>
      <c r="AR632" s="14">
        <f t="shared" si="387"/>
        <v>2</v>
      </c>
      <c r="AS632" s="14" t="str">
        <f t="shared" si="388"/>
        <v>塞伯罗斯魂火-4</v>
      </c>
      <c r="AT632" s="14">
        <f t="shared" si="389"/>
        <v>4</v>
      </c>
      <c r="AU632" s="14" t="str">
        <f>IF(AM632&gt;0,INDEX(挂机升级突破!$DT$4:$ED$4,AM632),"")</f>
        <v>金币</v>
      </c>
      <c r="AV632" s="14">
        <f>ROUND(INDEX(挂机升级突破!$DJ$6:$DJ$57,卡牌消耗!AT632)*INDEX(卡牌消耗!$B$8:$F$8,AR632)/$Q$4/50,0)*50</f>
        <v>750</v>
      </c>
      <c r="AW632" s="14" t="str">
        <f>IF(AN632&gt;0,INDEX(挂机升级突破!$DT$4:$ED$4,AN632),"")</f>
        <v>绿色基础材料</v>
      </c>
      <c r="AX632" s="14">
        <f>ROUND(INDEX(挂机升级突破!$DT$6:$ED$57,卡牌消耗!AT632,AN632)*INDEX(卡牌消耗!$B$5:$F$5,AR632)/$Q$4/5,0)*5</f>
        <v>115</v>
      </c>
      <c r="AY632" s="14" t="str">
        <f>IF(AO632&gt;0,INDEX(挂机升级突破!$DT$4:$ED$4,AO632),"")</f>
        <v/>
      </c>
      <c r="AZ632" s="14" t="str">
        <f>IF(AO632&gt;0,ROUND(INDEX(挂机升级突破!$DT$6:$ED$57,卡牌消耗!AT632,AO632)*INDEX(卡牌消耗!$B$7:$F$7,AR632)/$Q$4,0),"")</f>
        <v/>
      </c>
      <c r="BL632" s="193">
        <v>628</v>
      </c>
      <c r="BM632" s="14">
        <f t="shared" si="390"/>
        <v>32</v>
      </c>
      <c r="BN632" s="14">
        <f>INDEX(挂机升级突破!$EI$7:$EI$26,BS632)</f>
        <v>5</v>
      </c>
      <c r="BO632" s="14">
        <f>INDEX(挂机升级突破!$EJ$7:$EJ$26,BS632)</f>
        <v>1</v>
      </c>
      <c r="BP632" s="14">
        <f t="shared" si="391"/>
        <v>5</v>
      </c>
      <c r="BQ632" s="14">
        <f>INDEX(挂机升级突破!$EH$7:$EH$26,卡牌消耗!BS632)</f>
        <v>52</v>
      </c>
      <c r="BR632" s="14" t="str">
        <f t="shared" si="392"/>
        <v>UR守护灵</v>
      </c>
      <c r="BS632" s="14">
        <f t="shared" si="393"/>
        <v>8</v>
      </c>
      <c r="BT632" s="14" t="str">
        <f t="shared" si="394"/>
        <v>UR守护灵8突</v>
      </c>
      <c r="BU632" s="14" t="str">
        <f>IF(BN632&gt;0,INDEX(挂机升级突破!$ER$5:$EV$5,卡牌消耗!BN632),"")</f>
        <v>金币</v>
      </c>
      <c r="BV632" s="14">
        <f>IF(BN632&gt;0,ROUND(INDEX(挂机升级突破!$EV$7:$EV$26,卡牌消耗!BS632)*INDEX(卡牌消耗!$B$8:$F$8,BP632)/$Q$4/500,0)*500,"")</f>
        <v>16500</v>
      </c>
      <c r="BW632" s="14" t="str">
        <f>IF(BO632&gt;0,INDEX(挂机升级突破!$ER$5:$EV$5,卡牌消耗!BO632),"")</f>
        <v>玄铁</v>
      </c>
      <c r="BX632" s="14">
        <f>IF(BO632&gt;0,ROUND(INDEX(挂机升级突破!$ER$7:$EU$26,卡牌消耗!BS632,卡牌消耗!BO632)*INDEX($B$6:$F$6,BP632)/$Q$4/5,0)*5,"")</f>
        <v>225</v>
      </c>
      <c r="BY632" s="193"/>
      <c r="BZ632" s="193"/>
    </row>
    <row r="633" spans="37:78" ht="16.5" x14ac:dyDescent="0.2">
      <c r="AK633" s="104">
        <v>629</v>
      </c>
      <c r="AL633" s="14">
        <f t="shared" si="385"/>
        <v>13</v>
      </c>
      <c r="AM633" s="14">
        <f>INDEX(挂机升级突破!DQ$6:DQ$57,卡牌消耗!$AT633)</f>
        <v>11</v>
      </c>
      <c r="AN633" s="14">
        <f>INDEX(挂机升级突破!DR$6:DR$57,卡牌消耗!$AT633)</f>
        <v>1</v>
      </c>
      <c r="AO633" s="14">
        <f>INDEX(挂机升级突破!DS$6:DS$57,卡牌消耗!$AT633)</f>
        <v>0</v>
      </c>
      <c r="AP633" s="14">
        <f>INDEX(挂机升级突破!$DP$6:$DP$57,卡牌消耗!AT633)</f>
        <v>23</v>
      </c>
      <c r="AQ633" s="14" t="str">
        <f t="shared" si="386"/>
        <v>塞伯罗斯</v>
      </c>
      <c r="AR633" s="14">
        <f t="shared" si="387"/>
        <v>2</v>
      </c>
      <c r="AS633" s="14" t="str">
        <f t="shared" si="388"/>
        <v>塞伯罗斯魂火-5</v>
      </c>
      <c r="AT633" s="14">
        <f t="shared" si="389"/>
        <v>5</v>
      </c>
      <c r="AU633" s="14" t="str">
        <f>IF(AM633&gt;0,INDEX(挂机升级突破!$DT$4:$ED$4,AM633),"")</f>
        <v>金币</v>
      </c>
      <c r="AV633" s="14">
        <f>ROUND(INDEX(挂机升级突破!$DJ$6:$DJ$57,卡牌消耗!AT633)*INDEX(卡牌消耗!$B$8:$F$8,AR633)/$Q$4/50,0)*50</f>
        <v>750</v>
      </c>
      <c r="AW633" s="14" t="str">
        <f>IF(AN633&gt;0,INDEX(挂机升级突破!$DT$4:$ED$4,AN633),"")</f>
        <v>绿色基础材料</v>
      </c>
      <c r="AX633" s="14">
        <f>ROUND(INDEX(挂机升级突破!$DT$6:$ED$57,卡牌消耗!AT633,AN633)*INDEX(卡牌消耗!$B$5:$F$5,AR633)/$Q$4/5,0)*5</f>
        <v>125</v>
      </c>
      <c r="AY633" s="14" t="str">
        <f>IF(AO633&gt;0,INDEX(挂机升级突破!$DT$4:$ED$4,AO633),"")</f>
        <v/>
      </c>
      <c r="AZ633" s="14" t="str">
        <f>IF(AO633&gt;0,ROUND(INDEX(挂机升级突破!$DT$6:$ED$57,卡牌消耗!AT633,AO633)*INDEX(卡牌消耗!$B$7:$F$7,AR633)/$Q$4,0),"")</f>
        <v/>
      </c>
      <c r="BL633" s="193">
        <v>629</v>
      </c>
      <c r="BM633" s="14">
        <f t="shared" si="390"/>
        <v>32</v>
      </c>
      <c r="BN633" s="14">
        <f>INDEX(挂机升级突破!$EI$7:$EI$26,BS633)</f>
        <v>5</v>
      </c>
      <c r="BO633" s="14">
        <f>INDEX(挂机升级突破!$EJ$7:$EJ$26,BS633)</f>
        <v>2</v>
      </c>
      <c r="BP633" s="14">
        <f t="shared" si="391"/>
        <v>5</v>
      </c>
      <c r="BQ633" s="14">
        <f>INDEX(挂机升级突破!$EH$7:$EH$26,卡牌消耗!BS633)</f>
        <v>57</v>
      </c>
      <c r="BR633" s="14" t="str">
        <f t="shared" si="392"/>
        <v>UR守护灵</v>
      </c>
      <c r="BS633" s="14">
        <f t="shared" si="393"/>
        <v>9</v>
      </c>
      <c r="BT633" s="14" t="str">
        <f t="shared" si="394"/>
        <v>UR守护灵9突</v>
      </c>
      <c r="BU633" s="14" t="str">
        <f>IF(BN633&gt;0,INDEX(挂机升级突破!$ER$5:$EV$5,卡牌消耗!BN633),"")</f>
        <v>金币</v>
      </c>
      <c r="BV633" s="14">
        <f>IF(BN633&gt;0,ROUND(INDEX(挂机升级突破!$EV$7:$EV$26,卡牌消耗!BS633)*INDEX(卡牌消耗!$B$8:$F$8,BP633)/$Q$4/500,0)*500,"")</f>
        <v>22000</v>
      </c>
      <c r="BW633" s="14" t="str">
        <f>IF(BO633&gt;0,INDEX(挂机升级突破!$ER$5:$EV$5,卡牌消耗!BO633),"")</f>
        <v>乌金</v>
      </c>
      <c r="BX633" s="14">
        <f>IF(BO633&gt;0,ROUND(INDEX(挂机升级突破!$ER$7:$EU$26,卡牌消耗!BS633,卡牌消耗!BO633)*INDEX($B$6:$F$6,BP633)/$Q$4/5,0)*5,"")</f>
        <v>75</v>
      </c>
      <c r="BY633" s="193"/>
      <c r="BZ633" s="193"/>
    </row>
    <row r="634" spans="37:78" ht="16.5" x14ac:dyDescent="0.2">
      <c r="AK634" s="104">
        <v>630</v>
      </c>
      <c r="AL634" s="14">
        <f t="shared" si="385"/>
        <v>13</v>
      </c>
      <c r="AM634" s="14">
        <f>INDEX(挂机升级突破!DQ$6:DQ$57,卡牌消耗!$AT634)</f>
        <v>11</v>
      </c>
      <c r="AN634" s="14">
        <f>INDEX(挂机升级突破!DR$6:DR$57,卡牌消耗!$AT634)</f>
        <v>2</v>
      </c>
      <c r="AO634" s="14">
        <f>INDEX(挂机升级突破!DS$6:DS$57,卡牌消耗!$AT634)</f>
        <v>0</v>
      </c>
      <c r="AP634" s="14">
        <f>INDEX(挂机升级突破!$DP$6:$DP$57,卡牌消耗!AT634)</f>
        <v>28</v>
      </c>
      <c r="AQ634" s="14" t="str">
        <f t="shared" si="386"/>
        <v>塞伯罗斯</v>
      </c>
      <c r="AR634" s="14">
        <f t="shared" si="387"/>
        <v>2</v>
      </c>
      <c r="AS634" s="14" t="str">
        <f t="shared" si="388"/>
        <v>塞伯罗斯魂火-6</v>
      </c>
      <c r="AT634" s="14">
        <f t="shared" si="389"/>
        <v>6</v>
      </c>
      <c r="AU634" s="14" t="str">
        <f>IF(AM634&gt;0,INDEX(挂机升级突破!$DT$4:$ED$4,AM634),"")</f>
        <v>金币</v>
      </c>
      <c r="AV634" s="14">
        <f>ROUND(INDEX(挂机升级突破!$DJ$6:$DJ$57,卡牌消耗!AT634)*INDEX(卡牌消耗!$B$8:$F$8,AR634)/$Q$4/50,0)*50</f>
        <v>900</v>
      </c>
      <c r="AW634" s="14" t="str">
        <f>IF(AN634&gt;0,INDEX(挂机升级突破!$DT$4:$ED$4,AN634),"")</f>
        <v>蓝色基础材料</v>
      </c>
      <c r="AX634" s="14">
        <f>ROUND(INDEX(挂机升级突破!$DT$6:$ED$57,卡牌消耗!AT634,AN634)*INDEX(卡牌消耗!$B$5:$F$5,AR634)/$Q$4/5,0)*5</f>
        <v>25</v>
      </c>
      <c r="AY634" s="14" t="str">
        <f>IF(AO634&gt;0,INDEX(挂机升级突破!$DT$4:$ED$4,AO634),"")</f>
        <v/>
      </c>
      <c r="AZ634" s="14" t="str">
        <f>IF(AO634&gt;0,ROUND(INDEX(挂机升级突破!$DT$6:$ED$57,卡牌消耗!AT634,AO634)*INDEX(卡牌消耗!$B$7:$F$7,AR634)/$Q$4,0),"")</f>
        <v/>
      </c>
      <c r="BL634" s="193">
        <v>630</v>
      </c>
      <c r="BM634" s="14">
        <f t="shared" si="390"/>
        <v>32</v>
      </c>
      <c r="BN634" s="14">
        <f>INDEX(挂机升级突破!$EI$7:$EI$26,BS634)</f>
        <v>5</v>
      </c>
      <c r="BO634" s="14">
        <f>INDEX(挂机升级突破!$EJ$7:$EJ$26,BS634)</f>
        <v>2</v>
      </c>
      <c r="BP634" s="14">
        <f t="shared" si="391"/>
        <v>5</v>
      </c>
      <c r="BQ634" s="14">
        <f>INDEX(挂机升级突破!$EH$7:$EH$26,卡牌消耗!BS634)</f>
        <v>65</v>
      </c>
      <c r="BR634" s="14" t="str">
        <f t="shared" si="392"/>
        <v>UR守护灵</v>
      </c>
      <c r="BS634" s="14">
        <f t="shared" si="393"/>
        <v>10</v>
      </c>
      <c r="BT634" s="14" t="str">
        <f t="shared" si="394"/>
        <v>UR守护灵10突</v>
      </c>
      <c r="BU634" s="14" t="str">
        <f>IF(BN634&gt;0,INDEX(挂机升级突破!$ER$5:$EV$5,卡牌消耗!BN634),"")</f>
        <v>金币</v>
      </c>
      <c r="BV634" s="14">
        <f>IF(BN634&gt;0,ROUND(INDEX(挂机升级突破!$EV$7:$EV$26,卡牌消耗!BS634)*INDEX(卡牌消耗!$B$8:$F$8,BP634)/$Q$4/500,0)*500,"")</f>
        <v>37500</v>
      </c>
      <c r="BW634" s="14" t="str">
        <f>IF(BO634&gt;0,INDEX(挂机升级突破!$ER$5:$EV$5,卡牌消耗!BO634),"")</f>
        <v>乌金</v>
      </c>
      <c r="BX634" s="14">
        <f>IF(BO634&gt;0,ROUND(INDEX(挂机升级突破!$ER$7:$EU$26,卡牌消耗!BS634,卡牌消耗!BO634)*INDEX($B$6:$F$6,BP634)/$Q$4/5,0)*5,"")</f>
        <v>105</v>
      </c>
      <c r="BY634" s="193"/>
      <c r="BZ634" s="193"/>
    </row>
    <row r="635" spans="37:78" ht="16.5" x14ac:dyDescent="0.2">
      <c r="AK635" s="104">
        <v>631</v>
      </c>
      <c r="AL635" s="14">
        <f t="shared" si="385"/>
        <v>13</v>
      </c>
      <c r="AM635" s="14">
        <f>INDEX(挂机升级突破!DQ$6:DQ$57,卡牌消耗!$AT635)</f>
        <v>11</v>
      </c>
      <c r="AN635" s="14">
        <f>INDEX(挂机升级突破!DR$6:DR$57,卡牌消耗!$AT635)</f>
        <v>2</v>
      </c>
      <c r="AO635" s="14">
        <f>INDEX(挂机升级突破!DS$6:DS$57,卡牌消耗!$AT635)</f>
        <v>0</v>
      </c>
      <c r="AP635" s="14">
        <f>INDEX(挂机升级突破!$DP$6:$DP$57,卡牌消耗!AT635)</f>
        <v>33</v>
      </c>
      <c r="AQ635" s="14" t="str">
        <f t="shared" si="386"/>
        <v>塞伯罗斯</v>
      </c>
      <c r="AR635" s="14">
        <f t="shared" si="387"/>
        <v>2</v>
      </c>
      <c r="AS635" s="14" t="str">
        <f t="shared" si="388"/>
        <v>塞伯罗斯魂火-7</v>
      </c>
      <c r="AT635" s="14">
        <f t="shared" si="389"/>
        <v>7</v>
      </c>
      <c r="AU635" s="14" t="str">
        <f>IF(AM635&gt;0,INDEX(挂机升级突破!$DT$4:$ED$4,AM635),"")</f>
        <v>金币</v>
      </c>
      <c r="AV635" s="14">
        <f>ROUND(INDEX(挂机升级突破!$DJ$6:$DJ$57,卡牌消耗!AT635)*INDEX(卡牌消耗!$B$8:$F$8,AR635)/$Q$4/50,0)*50</f>
        <v>900</v>
      </c>
      <c r="AW635" s="14" t="str">
        <f>IF(AN635&gt;0,INDEX(挂机升级突破!$DT$4:$ED$4,AN635),"")</f>
        <v>蓝色基础材料</v>
      </c>
      <c r="AX635" s="14">
        <f>ROUND(INDEX(挂机升级突破!$DT$6:$ED$57,卡牌消耗!AT635,AN635)*INDEX(卡牌消耗!$B$5:$F$5,AR635)/$Q$4/5,0)*5</f>
        <v>25</v>
      </c>
      <c r="AY635" s="14" t="str">
        <f>IF(AO635&gt;0,INDEX(挂机升级突破!$DT$4:$ED$4,AO635),"")</f>
        <v/>
      </c>
      <c r="AZ635" s="14" t="str">
        <f>IF(AO635&gt;0,ROUND(INDEX(挂机升级突破!$DT$6:$ED$57,卡牌消耗!AT635,AO635)*INDEX(卡牌消耗!$B$7:$F$7,AR635)/$Q$4,0),"")</f>
        <v/>
      </c>
      <c r="BL635" s="193">
        <v>631</v>
      </c>
      <c r="BM635" s="14">
        <f t="shared" si="390"/>
        <v>32</v>
      </c>
      <c r="BN635" s="14">
        <f>INDEX(挂机升级突破!$EI$7:$EI$26,BS635)</f>
        <v>5</v>
      </c>
      <c r="BO635" s="14">
        <f>INDEX(挂机升级突破!$EJ$7:$EJ$26,BS635)</f>
        <v>2</v>
      </c>
      <c r="BP635" s="14">
        <f t="shared" si="391"/>
        <v>5</v>
      </c>
      <c r="BQ635" s="14">
        <f>INDEX(挂机升级突破!$EH$7:$EH$26,卡牌消耗!BS635)</f>
        <v>72</v>
      </c>
      <c r="BR635" s="14" t="str">
        <f t="shared" si="392"/>
        <v>UR守护灵</v>
      </c>
      <c r="BS635" s="14">
        <f t="shared" si="393"/>
        <v>11</v>
      </c>
      <c r="BT635" s="14" t="str">
        <f t="shared" si="394"/>
        <v>UR守护灵11突</v>
      </c>
      <c r="BU635" s="14" t="str">
        <f>IF(BN635&gt;0,INDEX(挂机升级突破!$ER$5:$EV$5,卡牌消耗!BN635),"")</f>
        <v>金币</v>
      </c>
      <c r="BV635" s="14">
        <f>IF(BN635&gt;0,ROUND(INDEX(挂机升级突破!$EV$7:$EV$26,卡牌消耗!BS635)*INDEX(卡牌消耗!$B$8:$F$8,BP635)/$Q$4/500,0)*500,"")</f>
        <v>37500</v>
      </c>
      <c r="BW635" s="14" t="str">
        <f>IF(BO635&gt;0,INDEX(挂机升级突破!$ER$5:$EV$5,卡牌消耗!BO635),"")</f>
        <v>乌金</v>
      </c>
      <c r="BX635" s="14">
        <f>IF(BO635&gt;0,ROUND(INDEX(挂机升级突破!$ER$7:$EU$26,卡牌消耗!BS635,卡牌消耗!BO635)*INDEX($B$6:$F$6,BP635)/$Q$4/5,0)*5,"")</f>
        <v>140</v>
      </c>
      <c r="BY635" s="193"/>
      <c r="BZ635" s="193"/>
    </row>
    <row r="636" spans="37:78" ht="16.5" x14ac:dyDescent="0.2">
      <c r="AK636" s="104">
        <v>632</v>
      </c>
      <c r="AL636" s="14">
        <f t="shared" si="385"/>
        <v>13</v>
      </c>
      <c r="AM636" s="14">
        <f>INDEX(挂机升级突破!DQ$6:DQ$57,卡牌消耗!$AT636)</f>
        <v>11</v>
      </c>
      <c r="AN636" s="14">
        <f>INDEX(挂机升级突破!DR$6:DR$57,卡牌消耗!$AT636)</f>
        <v>2</v>
      </c>
      <c r="AO636" s="14">
        <f>INDEX(挂机升级突破!DS$6:DS$57,卡牌消耗!$AT636)</f>
        <v>0</v>
      </c>
      <c r="AP636" s="14">
        <f>INDEX(挂机升级突破!$DP$6:$DP$57,卡牌消耗!AT636)</f>
        <v>38</v>
      </c>
      <c r="AQ636" s="14" t="str">
        <f t="shared" si="386"/>
        <v>塞伯罗斯</v>
      </c>
      <c r="AR636" s="14">
        <f t="shared" si="387"/>
        <v>2</v>
      </c>
      <c r="AS636" s="14" t="str">
        <f t="shared" si="388"/>
        <v>塞伯罗斯魂火-8</v>
      </c>
      <c r="AT636" s="14">
        <f t="shared" si="389"/>
        <v>8</v>
      </c>
      <c r="AU636" s="14" t="str">
        <f>IF(AM636&gt;0,INDEX(挂机升级突破!$DT$4:$ED$4,AM636),"")</f>
        <v>金币</v>
      </c>
      <c r="AV636" s="14">
        <f>ROUND(INDEX(挂机升级突破!$DJ$6:$DJ$57,卡牌消耗!AT636)*INDEX(卡牌消耗!$B$8:$F$8,AR636)/$Q$4/50,0)*50</f>
        <v>1350</v>
      </c>
      <c r="AW636" s="14" t="str">
        <f>IF(AN636&gt;0,INDEX(挂机升级突破!$DT$4:$ED$4,AN636),"")</f>
        <v>蓝色基础材料</v>
      </c>
      <c r="AX636" s="14">
        <f>ROUND(INDEX(挂机升级突破!$DT$6:$ED$57,卡牌消耗!AT636,AN636)*INDEX(卡牌消耗!$B$5:$F$5,AR636)/$Q$4/5,0)*5</f>
        <v>45</v>
      </c>
      <c r="AY636" s="14" t="str">
        <f>IF(AO636&gt;0,INDEX(挂机升级突破!$DT$4:$ED$4,AO636),"")</f>
        <v/>
      </c>
      <c r="AZ636" s="14" t="str">
        <f>IF(AO636&gt;0,ROUND(INDEX(挂机升级突破!$DT$6:$ED$57,卡牌消耗!AT636,AO636)*INDEX(卡牌消耗!$B$7:$F$7,AR636)/$Q$4,0),"")</f>
        <v/>
      </c>
      <c r="BL636" s="193">
        <v>632</v>
      </c>
      <c r="BM636" s="14">
        <f t="shared" si="390"/>
        <v>32</v>
      </c>
      <c r="BN636" s="14">
        <f>INDEX(挂机升级突破!$EI$7:$EI$26,BS636)</f>
        <v>5</v>
      </c>
      <c r="BO636" s="14">
        <f>INDEX(挂机升级突破!$EJ$7:$EJ$26,BS636)</f>
        <v>2</v>
      </c>
      <c r="BP636" s="14">
        <f t="shared" si="391"/>
        <v>5</v>
      </c>
      <c r="BQ636" s="14">
        <f>INDEX(挂机升级突破!$EH$7:$EH$26,卡牌消耗!BS636)</f>
        <v>80</v>
      </c>
      <c r="BR636" s="14" t="str">
        <f t="shared" si="392"/>
        <v>UR守护灵</v>
      </c>
      <c r="BS636" s="14">
        <f t="shared" si="393"/>
        <v>12</v>
      </c>
      <c r="BT636" s="14" t="str">
        <f t="shared" si="394"/>
        <v>UR守护灵12突</v>
      </c>
      <c r="BU636" s="14" t="str">
        <f>IF(BN636&gt;0,INDEX(挂机升级突破!$ER$5:$EV$5,卡牌消耗!BN636),"")</f>
        <v>金币</v>
      </c>
      <c r="BV636" s="14">
        <f>IF(BN636&gt;0,ROUND(INDEX(挂机升级突破!$EV$7:$EV$26,卡牌消耗!BS636)*INDEX(卡牌消耗!$B$8:$F$8,BP636)/$Q$4/500,0)*500,"")</f>
        <v>50000</v>
      </c>
      <c r="BW636" s="14" t="str">
        <f>IF(BO636&gt;0,INDEX(挂机升级突破!$ER$5:$EV$5,卡牌消耗!BO636),"")</f>
        <v>乌金</v>
      </c>
      <c r="BX636" s="14">
        <f>IF(BO636&gt;0,ROUND(INDEX(挂机升级突破!$ER$7:$EU$26,卡牌消耗!BS636,卡牌消耗!BO636)*INDEX($B$6:$F$6,BP636)/$Q$4/5,0)*5,"")</f>
        <v>180</v>
      </c>
      <c r="BY636" s="193"/>
      <c r="BZ636" s="193"/>
    </row>
    <row r="637" spans="37:78" ht="16.5" x14ac:dyDescent="0.2">
      <c r="AK637" s="104">
        <v>633</v>
      </c>
      <c r="AL637" s="14">
        <f t="shared" si="385"/>
        <v>13</v>
      </c>
      <c r="AM637" s="14">
        <f>INDEX(挂机升级突破!DQ$6:DQ$57,卡牌消耗!$AT637)</f>
        <v>11</v>
      </c>
      <c r="AN637" s="14">
        <f>INDEX(挂机升级突破!DR$6:DR$57,卡牌消耗!$AT637)</f>
        <v>2</v>
      </c>
      <c r="AO637" s="14">
        <f>INDEX(挂机升级突破!DS$6:DS$57,卡牌消耗!$AT637)</f>
        <v>0</v>
      </c>
      <c r="AP637" s="14">
        <f>INDEX(挂机升级突破!$DP$6:$DP$57,卡牌消耗!AT637)</f>
        <v>40</v>
      </c>
      <c r="AQ637" s="14" t="str">
        <f t="shared" si="386"/>
        <v>塞伯罗斯</v>
      </c>
      <c r="AR637" s="14">
        <f t="shared" si="387"/>
        <v>2</v>
      </c>
      <c r="AS637" s="14" t="str">
        <f t="shared" si="388"/>
        <v>塞伯罗斯魂火-9</v>
      </c>
      <c r="AT637" s="14">
        <f t="shared" si="389"/>
        <v>9</v>
      </c>
      <c r="AU637" s="14" t="str">
        <f>IF(AM637&gt;0,INDEX(挂机升级突破!$DT$4:$ED$4,AM637),"")</f>
        <v>金币</v>
      </c>
      <c r="AV637" s="14">
        <f>ROUND(INDEX(挂机升级突破!$DJ$6:$DJ$57,卡牌消耗!AT637)*INDEX(卡牌消耗!$B$8:$F$8,AR637)/$Q$4/50,0)*50</f>
        <v>1350</v>
      </c>
      <c r="AW637" s="14" t="str">
        <f>IF(AN637&gt;0,INDEX(挂机升级突破!$DT$4:$ED$4,AN637),"")</f>
        <v>蓝色基础材料</v>
      </c>
      <c r="AX637" s="14">
        <f>ROUND(INDEX(挂机升级突破!$DT$6:$ED$57,卡牌消耗!AT637,AN637)*INDEX(卡牌消耗!$B$5:$F$5,AR637)/$Q$4/5,0)*5</f>
        <v>45</v>
      </c>
      <c r="AY637" s="14" t="str">
        <f>IF(AO637&gt;0,INDEX(挂机升级突破!$DT$4:$ED$4,AO637),"")</f>
        <v/>
      </c>
      <c r="AZ637" s="14" t="str">
        <f>IF(AO637&gt;0,ROUND(INDEX(挂机升级突破!$DT$6:$ED$57,卡牌消耗!AT637,AO637)*INDEX(卡牌消耗!$B$7:$F$7,AR637)/$Q$4,0),"")</f>
        <v/>
      </c>
      <c r="BL637" s="193">
        <v>633</v>
      </c>
      <c r="BM637" s="14">
        <f t="shared" si="390"/>
        <v>32</v>
      </c>
      <c r="BN637" s="14">
        <f>INDEX(挂机升级突破!$EI$7:$EI$26,BS637)</f>
        <v>5</v>
      </c>
      <c r="BO637" s="14">
        <f>INDEX(挂机升级突破!$EJ$7:$EJ$26,BS637)</f>
        <v>3</v>
      </c>
      <c r="BP637" s="14">
        <f t="shared" si="391"/>
        <v>5</v>
      </c>
      <c r="BQ637" s="14">
        <f>INDEX(挂机升级突破!$EH$7:$EH$26,卡牌消耗!BS637)</f>
        <v>87</v>
      </c>
      <c r="BR637" s="14" t="str">
        <f t="shared" si="392"/>
        <v>UR守护灵</v>
      </c>
      <c r="BS637" s="14">
        <f t="shared" si="393"/>
        <v>13</v>
      </c>
      <c r="BT637" s="14" t="str">
        <f t="shared" si="394"/>
        <v>UR守护灵13突</v>
      </c>
      <c r="BU637" s="14" t="str">
        <f>IF(BN637&gt;0,INDEX(挂机升级突破!$ER$5:$EV$5,卡牌消耗!BN637),"")</f>
        <v>金币</v>
      </c>
      <c r="BV637" s="14">
        <f>IF(BN637&gt;0,ROUND(INDEX(挂机升级突破!$EV$7:$EV$26,卡牌消耗!BS637)*INDEX(卡牌消耗!$B$8:$F$8,BP637)/$Q$4/500,0)*500,"")</f>
        <v>66500</v>
      </c>
      <c r="BW637" s="14" t="str">
        <f>IF(BO637&gt;0,INDEX(挂机升级突破!$ER$5:$EV$5,卡牌消耗!BO637),"")</f>
        <v>银母</v>
      </c>
      <c r="BX637" s="14">
        <f>IF(BO637&gt;0,ROUND(INDEX(挂机升级突破!$ER$7:$EU$26,卡牌消耗!BS637,卡牌消耗!BO637)*INDEX($B$6:$F$6,BP637)/$Q$4/5,0)*5,"")</f>
        <v>55</v>
      </c>
      <c r="BY637" s="193"/>
      <c r="BZ637" s="193"/>
    </row>
    <row r="638" spans="37:78" ht="16.5" x14ac:dyDescent="0.2">
      <c r="AK638" s="104">
        <v>634</v>
      </c>
      <c r="AL638" s="14">
        <f t="shared" si="385"/>
        <v>13</v>
      </c>
      <c r="AM638" s="14">
        <f>INDEX(挂机升级突破!DQ$6:DQ$57,卡牌消耗!$AT638)</f>
        <v>11</v>
      </c>
      <c r="AN638" s="14">
        <f>INDEX(挂机升级突破!DR$6:DR$57,卡牌消耗!$AT638)</f>
        <v>2</v>
      </c>
      <c r="AO638" s="14">
        <f>INDEX(挂机升级突破!DS$6:DS$57,卡牌消耗!$AT638)</f>
        <v>0</v>
      </c>
      <c r="AP638" s="14">
        <f>INDEX(挂机升级突破!$DP$6:$DP$57,卡牌消耗!AT638)</f>
        <v>43</v>
      </c>
      <c r="AQ638" s="14" t="str">
        <f t="shared" si="386"/>
        <v>塞伯罗斯</v>
      </c>
      <c r="AR638" s="14">
        <f t="shared" si="387"/>
        <v>2</v>
      </c>
      <c r="AS638" s="14" t="str">
        <f t="shared" si="388"/>
        <v>塞伯罗斯魂火-10</v>
      </c>
      <c r="AT638" s="14">
        <f t="shared" si="389"/>
        <v>10</v>
      </c>
      <c r="AU638" s="14" t="str">
        <f>IF(AM638&gt;0,INDEX(挂机升级突破!$DT$4:$ED$4,AM638),"")</f>
        <v>金币</v>
      </c>
      <c r="AV638" s="14">
        <f>ROUND(INDEX(挂机升级突破!$DJ$6:$DJ$57,卡牌消耗!AT638)*INDEX(卡牌消耗!$B$8:$F$8,AR638)/$Q$4/50,0)*50</f>
        <v>2250</v>
      </c>
      <c r="AW638" s="14" t="str">
        <f>IF(AN638&gt;0,INDEX(挂机升级突破!$DT$4:$ED$4,AN638),"")</f>
        <v>蓝色基础材料</v>
      </c>
      <c r="AX638" s="14">
        <f>ROUND(INDEX(挂机升级突破!$DT$6:$ED$57,卡牌消耗!AT638,AN638)*INDEX(卡牌消耗!$B$5:$F$5,AR638)/$Q$4/5,0)*5</f>
        <v>70</v>
      </c>
      <c r="AY638" s="14" t="str">
        <f>IF(AO638&gt;0,INDEX(挂机升级突破!$DT$4:$ED$4,AO638),"")</f>
        <v/>
      </c>
      <c r="AZ638" s="14" t="str">
        <f>IF(AO638&gt;0,ROUND(INDEX(挂机升级突破!$DT$6:$ED$57,卡牌消耗!AT638,AO638)*INDEX(卡牌消耗!$B$7:$F$7,AR638)/$Q$4,0),"")</f>
        <v/>
      </c>
      <c r="BL638" s="193">
        <v>634</v>
      </c>
      <c r="BM638" s="14">
        <f t="shared" si="390"/>
        <v>32</v>
      </c>
      <c r="BN638" s="14">
        <f>INDEX(挂机升级突破!$EI$7:$EI$26,BS638)</f>
        <v>5</v>
      </c>
      <c r="BO638" s="14">
        <f>INDEX(挂机升级突破!$EJ$7:$EJ$26,BS638)</f>
        <v>3</v>
      </c>
      <c r="BP638" s="14">
        <f t="shared" si="391"/>
        <v>5</v>
      </c>
      <c r="BQ638" s="14">
        <f>INDEX(挂机升级突破!$EH$7:$EH$26,卡牌消耗!BS638)</f>
        <v>95</v>
      </c>
      <c r="BR638" s="14" t="str">
        <f t="shared" si="392"/>
        <v>UR守护灵</v>
      </c>
      <c r="BS638" s="14">
        <f t="shared" si="393"/>
        <v>14</v>
      </c>
      <c r="BT638" s="14" t="str">
        <f t="shared" si="394"/>
        <v>UR守护灵14突</v>
      </c>
      <c r="BU638" s="14" t="str">
        <f>IF(BN638&gt;0,INDEX(挂机升级突破!$ER$5:$EV$5,卡牌消耗!BN638),"")</f>
        <v>金币</v>
      </c>
      <c r="BV638" s="14">
        <f>IF(BN638&gt;0,ROUND(INDEX(挂机升级突破!$EV$7:$EV$26,卡牌消耗!BS638)*INDEX(卡牌消耗!$B$8:$F$8,BP638)/$Q$4/500,0)*500,"")</f>
        <v>66500</v>
      </c>
      <c r="BW638" s="14" t="str">
        <f>IF(BO638&gt;0,INDEX(挂机升级突破!$ER$5:$EV$5,卡牌消耗!BO638),"")</f>
        <v>银母</v>
      </c>
      <c r="BX638" s="14">
        <f>IF(BO638&gt;0,ROUND(INDEX(挂机升级突破!$ER$7:$EU$26,卡牌消耗!BS638,卡牌消耗!BO638)*INDEX($B$6:$F$6,BP638)/$Q$4/5,0)*5,"")</f>
        <v>80</v>
      </c>
      <c r="BY638" s="193"/>
      <c r="BZ638" s="193"/>
    </row>
    <row r="639" spans="37:78" ht="16.5" x14ac:dyDescent="0.2">
      <c r="AK639" s="104">
        <v>635</v>
      </c>
      <c r="AL639" s="14">
        <f t="shared" si="385"/>
        <v>13</v>
      </c>
      <c r="AM639" s="14">
        <f>INDEX(挂机升级突破!DQ$6:DQ$57,卡牌消耗!$AT639)</f>
        <v>11</v>
      </c>
      <c r="AN639" s="14">
        <f>INDEX(挂机升级突破!DR$6:DR$57,卡牌消耗!$AT639)</f>
        <v>2</v>
      </c>
      <c r="AO639" s="14">
        <f>INDEX(挂机升级突破!DS$6:DS$57,卡牌消耗!$AT639)</f>
        <v>0</v>
      </c>
      <c r="AP639" s="14">
        <f>INDEX(挂机升级突破!$DP$6:$DP$57,卡牌消耗!AT639)</f>
        <v>45</v>
      </c>
      <c r="AQ639" s="14" t="str">
        <f t="shared" si="386"/>
        <v>塞伯罗斯</v>
      </c>
      <c r="AR639" s="14">
        <f t="shared" si="387"/>
        <v>2</v>
      </c>
      <c r="AS639" s="14" t="str">
        <f t="shared" si="388"/>
        <v>塞伯罗斯魂火-11</v>
      </c>
      <c r="AT639" s="14">
        <f t="shared" si="389"/>
        <v>11</v>
      </c>
      <c r="AU639" s="14" t="str">
        <f>IF(AM639&gt;0,INDEX(挂机升级突破!$DT$4:$ED$4,AM639),"")</f>
        <v>金币</v>
      </c>
      <c r="AV639" s="14">
        <f>ROUND(INDEX(挂机升级突破!$DJ$6:$DJ$57,卡牌消耗!AT639)*INDEX(卡牌消耗!$B$8:$F$8,AR639)/$Q$4/50,0)*50</f>
        <v>2250</v>
      </c>
      <c r="AW639" s="14" t="str">
        <f>IF(AN639&gt;0,INDEX(挂机升级突破!$DT$4:$ED$4,AN639),"")</f>
        <v>蓝色基础材料</v>
      </c>
      <c r="AX639" s="14">
        <f>ROUND(INDEX(挂机升级突破!$DT$6:$ED$57,卡牌消耗!AT639,AN639)*INDEX(卡牌消耗!$B$5:$F$5,AR639)/$Q$4/5,0)*5</f>
        <v>70</v>
      </c>
      <c r="AY639" s="14" t="str">
        <f>IF(AO639&gt;0,INDEX(挂机升级突破!$DT$4:$ED$4,AO639),"")</f>
        <v/>
      </c>
      <c r="AZ639" s="14" t="str">
        <f>IF(AO639&gt;0,ROUND(INDEX(挂机升级突破!$DT$6:$ED$57,卡牌消耗!AT639,AO639)*INDEX(卡牌消耗!$B$7:$F$7,AR639)/$Q$4,0),"")</f>
        <v/>
      </c>
      <c r="BL639" s="193">
        <v>635</v>
      </c>
      <c r="BM639" s="14">
        <f t="shared" si="390"/>
        <v>32</v>
      </c>
      <c r="BN639" s="14">
        <f>INDEX(挂机升级突破!$EI$7:$EI$26,BS639)</f>
        <v>5</v>
      </c>
      <c r="BO639" s="14">
        <f>INDEX(挂机升级突破!$EJ$7:$EJ$26,BS639)</f>
        <v>3</v>
      </c>
      <c r="BP639" s="14">
        <f t="shared" si="391"/>
        <v>5</v>
      </c>
      <c r="BQ639" s="14">
        <f>INDEX(挂机升级突破!$EH$7:$EH$26,卡牌消耗!BS639)</f>
        <v>102</v>
      </c>
      <c r="BR639" s="14" t="str">
        <f t="shared" si="392"/>
        <v>UR守护灵</v>
      </c>
      <c r="BS639" s="14">
        <f t="shared" si="393"/>
        <v>15</v>
      </c>
      <c r="BT639" s="14" t="str">
        <f t="shared" si="394"/>
        <v>UR守护灵15突</v>
      </c>
      <c r="BU639" s="14" t="str">
        <f>IF(BN639&gt;0,INDEX(挂机升级突破!$ER$5:$EV$5,卡牌消耗!BN639),"")</f>
        <v>金币</v>
      </c>
      <c r="BV639" s="14">
        <f>IF(BN639&gt;0,ROUND(INDEX(挂机升级突破!$EV$7:$EV$26,卡牌消耗!BS639)*INDEX(卡牌消耗!$B$8:$F$8,BP639)/$Q$4/500,0)*500,"")</f>
        <v>89000</v>
      </c>
      <c r="BW639" s="14" t="str">
        <f>IF(BO639&gt;0,INDEX(挂机升级突破!$ER$5:$EV$5,卡牌消耗!BO639),"")</f>
        <v>银母</v>
      </c>
      <c r="BX639" s="14">
        <f>IF(BO639&gt;0,ROUND(INDEX(挂机升级突破!$ER$7:$EU$26,卡牌消耗!BS639,卡牌消耗!BO639)*INDEX($B$6:$F$6,BP639)/$Q$4/5,0)*5,"")</f>
        <v>105</v>
      </c>
      <c r="BY639" s="193"/>
      <c r="BZ639" s="193"/>
    </row>
    <row r="640" spans="37:78" ht="16.5" x14ac:dyDescent="0.2">
      <c r="AK640" s="104">
        <v>636</v>
      </c>
      <c r="AL640" s="14">
        <f t="shared" si="385"/>
        <v>13</v>
      </c>
      <c r="AM640" s="14">
        <f>INDEX(挂机升级突破!DQ$6:DQ$57,卡牌消耗!$AT640)</f>
        <v>11</v>
      </c>
      <c r="AN640" s="14">
        <f>INDEX(挂机升级突破!DR$6:DR$57,卡牌消耗!$AT640)</f>
        <v>2</v>
      </c>
      <c r="AO640" s="14">
        <f>INDEX(挂机升级突破!DS$6:DS$57,卡牌消耗!$AT640)</f>
        <v>0</v>
      </c>
      <c r="AP640" s="14">
        <f>INDEX(挂机升级突破!$DP$6:$DP$57,卡牌消耗!AT640)</f>
        <v>48</v>
      </c>
      <c r="AQ640" s="14" t="str">
        <f t="shared" si="386"/>
        <v>塞伯罗斯</v>
      </c>
      <c r="AR640" s="14">
        <f t="shared" si="387"/>
        <v>2</v>
      </c>
      <c r="AS640" s="14" t="str">
        <f t="shared" si="388"/>
        <v>塞伯罗斯魂火-12</v>
      </c>
      <c r="AT640" s="14">
        <f t="shared" si="389"/>
        <v>12</v>
      </c>
      <c r="AU640" s="14" t="str">
        <f>IF(AM640&gt;0,INDEX(挂机升级突破!$DT$4:$ED$4,AM640),"")</f>
        <v>金币</v>
      </c>
      <c r="AV640" s="14">
        <f>ROUND(INDEX(挂机升级突破!$DJ$6:$DJ$57,卡牌消耗!AT640)*INDEX(卡牌消耗!$B$8:$F$8,AR640)/$Q$4/50,0)*50</f>
        <v>1900</v>
      </c>
      <c r="AW640" s="14" t="str">
        <f>IF(AN640&gt;0,INDEX(挂机升级突破!$DT$4:$ED$4,AN640),"")</f>
        <v>蓝色基础材料</v>
      </c>
      <c r="AX640" s="14">
        <f>ROUND(INDEX(挂机升级突破!$DT$6:$ED$57,卡牌消耗!AT640,AN640)*INDEX(卡牌消耗!$B$5:$F$5,AR640)/$Q$4/5,0)*5</f>
        <v>90</v>
      </c>
      <c r="AY640" s="14" t="str">
        <f>IF(AO640&gt;0,INDEX(挂机升级突破!$DT$4:$ED$4,AO640),"")</f>
        <v/>
      </c>
      <c r="AZ640" s="14" t="str">
        <f>IF(AO640&gt;0,ROUND(INDEX(挂机升级突破!$DT$6:$ED$57,卡牌消耗!AT640,AO640)*INDEX(卡牌消耗!$B$7:$F$7,AR640)/$Q$4,0),"")</f>
        <v/>
      </c>
      <c r="BL640" s="193">
        <v>636</v>
      </c>
      <c r="BM640" s="14">
        <f t="shared" si="390"/>
        <v>32</v>
      </c>
      <c r="BN640" s="14">
        <f>INDEX(挂机升级突破!$EI$7:$EI$26,BS640)</f>
        <v>5</v>
      </c>
      <c r="BO640" s="14">
        <f>INDEX(挂机升级突破!$EJ$7:$EJ$26,BS640)</f>
        <v>3</v>
      </c>
      <c r="BP640" s="14">
        <f t="shared" si="391"/>
        <v>5</v>
      </c>
      <c r="BQ640" s="14">
        <f>INDEX(挂机升级突破!$EH$7:$EH$26,卡牌消耗!BS640)</f>
        <v>110</v>
      </c>
      <c r="BR640" s="14" t="str">
        <f t="shared" si="392"/>
        <v>UR守护灵</v>
      </c>
      <c r="BS640" s="14">
        <f t="shared" si="393"/>
        <v>16</v>
      </c>
      <c r="BT640" s="14" t="str">
        <f t="shared" si="394"/>
        <v>UR守护灵16突</v>
      </c>
      <c r="BU640" s="14" t="str">
        <f>IF(BN640&gt;0,INDEX(挂机升级突破!$ER$5:$EV$5,卡牌消耗!BN640),"")</f>
        <v>金币</v>
      </c>
      <c r="BV640" s="14">
        <f>IF(BN640&gt;0,ROUND(INDEX(挂机升级突破!$EV$7:$EV$26,卡牌消耗!BS640)*INDEX(卡牌消耗!$B$8:$F$8,BP640)/$Q$4/500,0)*500,"")</f>
        <v>161000</v>
      </c>
      <c r="BW640" s="14" t="str">
        <f>IF(BO640&gt;0,INDEX(挂机升级突破!$ER$5:$EV$5,卡牌消耗!BO640),"")</f>
        <v>银母</v>
      </c>
      <c r="BX640" s="14">
        <f>IF(BO640&gt;0,ROUND(INDEX(挂机升级突破!$ER$7:$EU$26,卡牌消耗!BS640,卡牌消耗!BO640)*INDEX($B$6:$F$6,BP640)/$Q$4/5,0)*5,"")</f>
        <v>135</v>
      </c>
      <c r="BY640" s="193"/>
      <c r="BZ640" s="193"/>
    </row>
    <row r="641" spans="37:78" ht="16.5" x14ac:dyDescent="0.2">
      <c r="AK641" s="104">
        <v>637</v>
      </c>
      <c r="AL641" s="14">
        <f t="shared" si="385"/>
        <v>13</v>
      </c>
      <c r="AM641" s="14">
        <f>INDEX(挂机升级突破!DQ$6:DQ$57,卡牌消耗!$AT641)</f>
        <v>11</v>
      </c>
      <c r="AN641" s="14">
        <f>INDEX(挂机升级突破!DR$6:DR$57,卡牌消耗!$AT641)</f>
        <v>2</v>
      </c>
      <c r="AO641" s="14">
        <f>INDEX(挂机升级突破!DS$6:DS$57,卡牌消耗!$AT641)</f>
        <v>0</v>
      </c>
      <c r="AP641" s="14">
        <f>INDEX(挂机升级突破!$DP$6:$DP$57,卡牌消耗!AT641)</f>
        <v>50</v>
      </c>
      <c r="AQ641" s="14" t="str">
        <f t="shared" si="386"/>
        <v>塞伯罗斯</v>
      </c>
      <c r="AR641" s="14">
        <f t="shared" si="387"/>
        <v>2</v>
      </c>
      <c r="AS641" s="14" t="str">
        <f t="shared" si="388"/>
        <v>塞伯罗斯魂火-13</v>
      </c>
      <c r="AT641" s="14">
        <f t="shared" si="389"/>
        <v>13</v>
      </c>
      <c r="AU641" s="14" t="str">
        <f>IF(AM641&gt;0,INDEX(挂机升级突破!$DT$4:$ED$4,AM641),"")</f>
        <v>金币</v>
      </c>
      <c r="AV641" s="14">
        <f>ROUND(INDEX(挂机升级突破!$DJ$6:$DJ$57,卡牌消耗!AT641)*INDEX(卡牌消耗!$B$8:$F$8,AR641)/$Q$4/50,0)*50</f>
        <v>1900</v>
      </c>
      <c r="AW641" s="14" t="str">
        <f>IF(AN641&gt;0,INDEX(挂机升级突破!$DT$4:$ED$4,AN641),"")</f>
        <v>蓝色基础材料</v>
      </c>
      <c r="AX641" s="14">
        <f>ROUND(INDEX(挂机升级突破!$DT$6:$ED$57,卡牌消耗!AT641,AN641)*INDEX(卡牌消耗!$B$5:$F$5,AR641)/$Q$4/5,0)*5</f>
        <v>90</v>
      </c>
      <c r="AY641" s="14" t="str">
        <f>IF(AO641&gt;0,INDEX(挂机升级突破!$DT$4:$ED$4,AO641),"")</f>
        <v/>
      </c>
      <c r="AZ641" s="14" t="str">
        <f>IF(AO641&gt;0,ROUND(INDEX(挂机升级突破!$DT$6:$ED$57,卡牌消耗!AT641,AO641)*INDEX(卡牌消耗!$B$7:$F$7,AR641)/$Q$4,0),"")</f>
        <v/>
      </c>
      <c r="BL641" s="193">
        <v>637</v>
      </c>
      <c r="BM641" s="14">
        <f t="shared" si="390"/>
        <v>32</v>
      </c>
      <c r="BN641" s="14">
        <f>INDEX(挂机升级突破!$EI$7:$EI$26,BS641)</f>
        <v>5</v>
      </c>
      <c r="BO641" s="14">
        <f>INDEX(挂机升级突破!$EJ$7:$EJ$26,BS641)</f>
        <v>4</v>
      </c>
      <c r="BP641" s="14">
        <f t="shared" si="391"/>
        <v>5</v>
      </c>
      <c r="BQ641" s="14">
        <f>INDEX(挂机升级突破!$EH$7:$EH$26,卡牌消耗!BS641)</f>
        <v>117</v>
      </c>
      <c r="BR641" s="14" t="str">
        <f t="shared" si="392"/>
        <v>UR守护灵</v>
      </c>
      <c r="BS641" s="14">
        <f t="shared" si="393"/>
        <v>17</v>
      </c>
      <c r="BT641" s="14" t="str">
        <f t="shared" si="394"/>
        <v>UR守护灵17突</v>
      </c>
      <c r="BU641" s="14" t="str">
        <f>IF(BN641&gt;0,INDEX(挂机升级突破!$ER$5:$EV$5,卡牌消耗!BN641),"")</f>
        <v>金币</v>
      </c>
      <c r="BV641" s="14">
        <f>IF(BN641&gt;0,ROUND(INDEX(挂机升级突破!$EV$7:$EV$26,卡牌消耗!BS641)*INDEX(卡牌消耗!$B$8:$F$8,BP641)/$Q$4/500,0)*500,"")</f>
        <v>161000</v>
      </c>
      <c r="BW641" s="14" t="str">
        <f>IF(BO641&gt;0,INDEX(挂机升级突破!$ER$5:$EV$5,卡牌消耗!BO641),"")</f>
        <v>铀金</v>
      </c>
      <c r="BX641" s="14">
        <f>IF(BO641&gt;0,ROUND(INDEX(挂机升级突破!$ER$7:$EU$26,卡牌消耗!BS641,卡牌消耗!BO641)*INDEX($B$6:$F$6,BP641)/$Q$4/5,0)*5,"")</f>
        <v>25</v>
      </c>
      <c r="BY641" s="193"/>
      <c r="BZ641" s="193"/>
    </row>
    <row r="642" spans="37:78" ht="16.5" x14ac:dyDescent="0.2">
      <c r="AK642" s="104">
        <v>638</v>
      </c>
      <c r="AL642" s="14">
        <f t="shared" si="385"/>
        <v>13</v>
      </c>
      <c r="AM642" s="14">
        <f>INDEX(挂机升级突破!DQ$6:DQ$57,卡牌消耗!$AT642)</f>
        <v>11</v>
      </c>
      <c r="AN642" s="14">
        <f>INDEX(挂机升级突破!DR$6:DR$57,卡牌消耗!$AT642)</f>
        <v>3</v>
      </c>
      <c r="AO642" s="14">
        <f>INDEX(挂机升级突破!DS$6:DS$57,卡牌消耗!$AT642)</f>
        <v>0</v>
      </c>
      <c r="AP642" s="14">
        <f>INDEX(挂机升级突破!$DP$6:$DP$57,卡牌消耗!AT642)</f>
        <v>53</v>
      </c>
      <c r="AQ642" s="14" t="str">
        <f t="shared" si="386"/>
        <v>塞伯罗斯</v>
      </c>
      <c r="AR642" s="14">
        <f t="shared" si="387"/>
        <v>2</v>
      </c>
      <c r="AS642" s="14" t="str">
        <f t="shared" si="388"/>
        <v>塞伯罗斯魂火-14</v>
      </c>
      <c r="AT642" s="14">
        <f t="shared" si="389"/>
        <v>14</v>
      </c>
      <c r="AU642" s="14" t="str">
        <f>IF(AM642&gt;0,INDEX(挂机升级突破!$DT$4:$ED$4,AM642),"")</f>
        <v>金币</v>
      </c>
      <c r="AV642" s="14">
        <f>ROUND(INDEX(挂机升级突破!$DJ$6:$DJ$57,卡牌消耗!AT642)*INDEX(卡牌消耗!$B$8:$F$8,AR642)/$Q$4/50,0)*50</f>
        <v>2100</v>
      </c>
      <c r="AW642" s="14" t="str">
        <f>IF(AN642&gt;0,INDEX(挂机升级突破!$DT$4:$ED$4,AN642),"")</f>
        <v>紫色基础材料</v>
      </c>
      <c r="AX642" s="14">
        <f>ROUND(INDEX(挂机升级突破!$DT$6:$ED$57,卡牌消耗!AT642,AN642)*INDEX(卡牌消耗!$B$5:$F$5,AR642)/$Q$4/5,0)*5</f>
        <v>20</v>
      </c>
      <c r="AY642" s="14" t="str">
        <f>IF(AO642&gt;0,INDEX(挂机升级突破!$DT$4:$ED$4,AO642),"")</f>
        <v/>
      </c>
      <c r="AZ642" s="14" t="str">
        <f>IF(AO642&gt;0,ROUND(INDEX(挂机升级突破!$DT$6:$ED$57,卡牌消耗!AT642,AO642)*INDEX(卡牌消耗!$B$7:$F$7,AR642)/$Q$4,0),"")</f>
        <v/>
      </c>
      <c r="BL642" s="193">
        <v>638</v>
      </c>
      <c r="BM642" s="14">
        <f t="shared" si="390"/>
        <v>32</v>
      </c>
      <c r="BN642" s="14">
        <f>INDEX(挂机升级突破!$EI$7:$EI$26,BS642)</f>
        <v>5</v>
      </c>
      <c r="BO642" s="14">
        <f>INDEX(挂机升级突破!$EJ$7:$EJ$26,BS642)</f>
        <v>4</v>
      </c>
      <c r="BP642" s="14">
        <f t="shared" si="391"/>
        <v>5</v>
      </c>
      <c r="BQ642" s="14">
        <f>INDEX(挂机升级突破!$EH$7:$EH$26,卡牌消耗!BS642)</f>
        <v>125</v>
      </c>
      <c r="BR642" s="14" t="str">
        <f t="shared" si="392"/>
        <v>UR守护灵</v>
      </c>
      <c r="BS642" s="14">
        <f t="shared" si="393"/>
        <v>18</v>
      </c>
      <c r="BT642" s="14" t="str">
        <f t="shared" si="394"/>
        <v>UR守护灵18突</v>
      </c>
      <c r="BU642" s="14" t="str">
        <f>IF(BN642&gt;0,INDEX(挂机升级突破!$ER$5:$EV$5,卡牌消耗!BN642),"")</f>
        <v>金币</v>
      </c>
      <c r="BV642" s="14">
        <f>IF(BN642&gt;0,ROUND(INDEX(挂机升级突破!$EV$7:$EV$26,卡牌消耗!BS642)*INDEX(卡牌消耗!$B$8:$F$8,BP642)/$Q$4/500,0)*500,"")</f>
        <v>215000</v>
      </c>
      <c r="BW642" s="14" t="str">
        <f>IF(BO642&gt;0,INDEX(挂机升级突破!$ER$5:$EV$5,卡牌消耗!BO642),"")</f>
        <v>铀金</v>
      </c>
      <c r="BX642" s="14">
        <f>IF(BO642&gt;0,ROUND(INDEX(挂机升级突破!$ER$7:$EU$26,卡牌消耗!BS642,卡牌消耗!BO642)*INDEX($B$6:$F$6,BP642)/$Q$4/5,0)*5,"")</f>
        <v>35</v>
      </c>
      <c r="BY642" s="193"/>
      <c r="BZ642" s="193"/>
    </row>
    <row r="643" spans="37:78" ht="16.5" x14ac:dyDescent="0.2">
      <c r="AK643" s="104">
        <v>639</v>
      </c>
      <c r="AL643" s="14">
        <f t="shared" si="385"/>
        <v>13</v>
      </c>
      <c r="AM643" s="14">
        <f>INDEX(挂机升级突破!DQ$6:DQ$57,卡牌消耗!$AT643)</f>
        <v>11</v>
      </c>
      <c r="AN643" s="14">
        <f>INDEX(挂机升级突破!DR$6:DR$57,卡牌消耗!$AT643)</f>
        <v>3</v>
      </c>
      <c r="AO643" s="14">
        <f>INDEX(挂机升级突破!DS$6:DS$57,卡牌消耗!$AT643)</f>
        <v>0</v>
      </c>
      <c r="AP643" s="14">
        <f>INDEX(挂机升级突破!$DP$6:$DP$57,卡牌消耗!AT643)</f>
        <v>55</v>
      </c>
      <c r="AQ643" s="14" t="str">
        <f t="shared" si="386"/>
        <v>塞伯罗斯</v>
      </c>
      <c r="AR643" s="14">
        <f t="shared" si="387"/>
        <v>2</v>
      </c>
      <c r="AS643" s="14" t="str">
        <f t="shared" si="388"/>
        <v>塞伯罗斯魂火-15</v>
      </c>
      <c r="AT643" s="14">
        <f t="shared" si="389"/>
        <v>15</v>
      </c>
      <c r="AU643" s="14" t="str">
        <f>IF(AM643&gt;0,INDEX(挂机升级突破!$DT$4:$ED$4,AM643),"")</f>
        <v>金币</v>
      </c>
      <c r="AV643" s="14">
        <f>ROUND(INDEX(挂机升级突破!$DJ$6:$DJ$57,卡牌消耗!AT643)*INDEX(卡牌消耗!$B$8:$F$8,AR643)/$Q$4/50,0)*50</f>
        <v>2300</v>
      </c>
      <c r="AW643" s="14" t="str">
        <f>IF(AN643&gt;0,INDEX(挂机升级突破!$DT$4:$ED$4,AN643),"")</f>
        <v>紫色基础材料</v>
      </c>
      <c r="AX643" s="14">
        <f>ROUND(INDEX(挂机升级突破!$DT$6:$ED$57,卡牌消耗!AT643,AN643)*INDEX(卡牌消耗!$B$5:$F$5,AR643)/$Q$4/5,0)*5</f>
        <v>20</v>
      </c>
      <c r="AY643" s="14" t="str">
        <f>IF(AO643&gt;0,INDEX(挂机升级突破!$DT$4:$ED$4,AO643),"")</f>
        <v/>
      </c>
      <c r="AZ643" s="14" t="str">
        <f>IF(AO643&gt;0,ROUND(INDEX(挂机升级突破!$DT$6:$ED$57,卡牌消耗!AT643,AO643)*INDEX(卡牌消耗!$B$7:$F$7,AR643)/$Q$4,0),"")</f>
        <v/>
      </c>
      <c r="BL643" s="193">
        <v>639</v>
      </c>
      <c r="BM643" s="14">
        <f t="shared" si="390"/>
        <v>32</v>
      </c>
      <c r="BN643" s="14">
        <f>INDEX(挂机升级突破!$EI$7:$EI$26,BS643)</f>
        <v>5</v>
      </c>
      <c r="BO643" s="14">
        <f>INDEX(挂机升级突破!$EJ$7:$EJ$26,BS643)</f>
        <v>4</v>
      </c>
      <c r="BP643" s="14">
        <f t="shared" si="391"/>
        <v>5</v>
      </c>
      <c r="BQ643" s="14">
        <f>INDEX(挂机升级突破!$EH$7:$EH$26,卡牌消耗!BS643)</f>
        <v>132</v>
      </c>
      <c r="BR643" s="14" t="str">
        <f t="shared" si="392"/>
        <v>UR守护灵</v>
      </c>
      <c r="BS643" s="14">
        <f t="shared" si="393"/>
        <v>19</v>
      </c>
      <c r="BT643" s="14" t="str">
        <f t="shared" si="394"/>
        <v>UR守护灵19突</v>
      </c>
      <c r="BU643" s="14" t="str">
        <f>IF(BN643&gt;0,INDEX(挂机升级突破!$ER$5:$EV$5,卡牌消耗!BN643),"")</f>
        <v>金币</v>
      </c>
      <c r="BV643" s="14">
        <f>IF(BN643&gt;0,ROUND(INDEX(挂机升级突破!$EV$7:$EV$26,卡牌消耗!BS643)*INDEX(卡牌消耗!$B$8:$F$8,BP643)/$Q$4/500,0)*500,"")</f>
        <v>547000</v>
      </c>
      <c r="BW643" s="14" t="str">
        <f>IF(BO643&gt;0,INDEX(挂机升级突破!$ER$5:$EV$5,卡牌消耗!BO643),"")</f>
        <v>铀金</v>
      </c>
      <c r="BX643" s="14">
        <f>IF(BO643&gt;0,ROUND(INDEX(挂机升级突破!$ER$7:$EU$26,卡牌消耗!BS643,卡牌消耗!BO643)*INDEX($B$6:$F$6,BP643)/$Q$4/5,0)*5,"")</f>
        <v>50</v>
      </c>
      <c r="BY643" s="193"/>
      <c r="BZ643" s="193"/>
    </row>
    <row r="644" spans="37:78" ht="16.5" x14ac:dyDescent="0.2">
      <c r="AK644" s="104">
        <v>640</v>
      </c>
      <c r="AL644" s="14">
        <f t="shared" si="385"/>
        <v>13</v>
      </c>
      <c r="AM644" s="14">
        <f>INDEX(挂机升级突破!DQ$6:DQ$57,卡牌消耗!$AT644)</f>
        <v>11</v>
      </c>
      <c r="AN644" s="14">
        <f>INDEX(挂机升级突破!DR$6:DR$57,卡牌消耗!$AT644)</f>
        <v>3</v>
      </c>
      <c r="AO644" s="14">
        <f>INDEX(挂机升级突破!DS$6:DS$57,卡牌消耗!$AT644)</f>
        <v>0</v>
      </c>
      <c r="AP644" s="14">
        <f>INDEX(挂机升级突破!$DP$6:$DP$57,卡牌消耗!AT644)</f>
        <v>58</v>
      </c>
      <c r="AQ644" s="14" t="str">
        <f t="shared" si="386"/>
        <v>塞伯罗斯</v>
      </c>
      <c r="AR644" s="14">
        <f t="shared" si="387"/>
        <v>2</v>
      </c>
      <c r="AS644" s="14" t="str">
        <f t="shared" si="388"/>
        <v>塞伯罗斯魂火-16</v>
      </c>
      <c r="AT644" s="14">
        <f t="shared" si="389"/>
        <v>16</v>
      </c>
      <c r="AU644" s="14" t="str">
        <f>IF(AM644&gt;0,INDEX(挂机升级突破!$DT$4:$ED$4,AM644),"")</f>
        <v>金币</v>
      </c>
      <c r="AV644" s="14">
        <f>ROUND(INDEX(挂机升级突破!$DJ$6:$DJ$57,卡牌消耗!AT644)*INDEX(卡牌消耗!$B$8:$F$8,AR644)/$Q$4/50,0)*50</f>
        <v>2300</v>
      </c>
      <c r="AW644" s="14" t="str">
        <f>IF(AN644&gt;0,INDEX(挂机升级突破!$DT$4:$ED$4,AN644),"")</f>
        <v>紫色基础材料</v>
      </c>
      <c r="AX644" s="14">
        <f>ROUND(INDEX(挂机升级突破!$DT$6:$ED$57,卡牌消耗!AT644,AN644)*INDEX(卡牌消耗!$B$5:$F$5,AR644)/$Q$4/5,0)*5</f>
        <v>20</v>
      </c>
      <c r="AY644" s="14" t="str">
        <f>IF(AO644&gt;0,INDEX(挂机升级突破!$DT$4:$ED$4,AO644),"")</f>
        <v/>
      </c>
      <c r="AZ644" s="14" t="str">
        <f>IF(AO644&gt;0,ROUND(INDEX(挂机升级突破!$DT$6:$ED$57,卡牌消耗!AT644,AO644)*INDEX(卡牌消耗!$B$7:$F$7,AR644)/$Q$4,0),"")</f>
        <v/>
      </c>
      <c r="BL644" s="193">
        <v>640</v>
      </c>
      <c r="BM644" s="14">
        <f t="shared" si="390"/>
        <v>32</v>
      </c>
      <c r="BN644" s="14">
        <f>INDEX(挂机升级突破!$EI$7:$EI$26,BS644)</f>
        <v>5</v>
      </c>
      <c r="BO644" s="14">
        <f>INDEX(挂机升级突破!$EJ$7:$EJ$26,BS644)</f>
        <v>4</v>
      </c>
      <c r="BP644" s="14">
        <f t="shared" si="391"/>
        <v>5</v>
      </c>
      <c r="BQ644" s="14">
        <f>INDEX(挂机升级突破!$EH$7:$EH$26,卡牌消耗!BS644)</f>
        <v>140</v>
      </c>
      <c r="BR644" s="14" t="str">
        <f t="shared" si="392"/>
        <v>UR守护灵</v>
      </c>
      <c r="BS644" s="14">
        <f t="shared" si="393"/>
        <v>20</v>
      </c>
      <c r="BT644" s="14" t="str">
        <f t="shared" si="394"/>
        <v>UR守护灵20突</v>
      </c>
      <c r="BU644" s="14" t="str">
        <f>IF(BN644&gt;0,INDEX(挂机升级突破!$ER$5:$EV$5,卡牌消耗!BN644),"")</f>
        <v>金币</v>
      </c>
      <c r="BV644" s="14">
        <f>IF(BN644&gt;0,ROUND(INDEX(挂机升级突破!$EV$7:$EV$26,卡牌消耗!BS644)*INDEX(卡牌消耗!$B$8:$F$8,BP644)/$Q$4/500,0)*500,"")</f>
        <v>820500</v>
      </c>
      <c r="BW644" s="14" t="str">
        <f>IF(BO644&gt;0,INDEX(挂机升级突破!$ER$5:$EV$5,卡牌消耗!BO644),"")</f>
        <v>铀金</v>
      </c>
      <c r="BX644" s="14">
        <f>IF(BO644&gt;0,ROUND(INDEX(挂机升级突破!$ER$7:$EU$26,卡牌消耗!BS644,卡牌消耗!BO644)*INDEX($B$6:$F$6,BP644)/$Q$4/5,0)*5,"")</f>
        <v>65</v>
      </c>
      <c r="BY644" s="193"/>
      <c r="BZ644" s="193"/>
    </row>
    <row r="645" spans="37:78" ht="16.5" x14ac:dyDescent="0.2">
      <c r="AK645" s="104">
        <v>641</v>
      </c>
      <c r="AL645" s="14">
        <f t="shared" si="385"/>
        <v>13</v>
      </c>
      <c r="AM645" s="14">
        <f>INDEX(挂机升级突破!DQ$6:DQ$57,卡牌消耗!$AT645)</f>
        <v>11</v>
      </c>
      <c r="AN645" s="14">
        <f>INDEX(挂机升级突破!DR$6:DR$57,卡牌消耗!$AT645)</f>
        <v>3</v>
      </c>
      <c r="AO645" s="14">
        <f>INDEX(挂机升级突破!DS$6:DS$57,卡牌消耗!$AT645)</f>
        <v>0</v>
      </c>
      <c r="AP645" s="14">
        <f>INDEX(挂机升级突破!$DP$6:$DP$57,卡牌消耗!AT645)</f>
        <v>60</v>
      </c>
      <c r="AQ645" s="14" t="str">
        <f t="shared" si="386"/>
        <v>塞伯罗斯</v>
      </c>
      <c r="AR645" s="14">
        <f t="shared" si="387"/>
        <v>2</v>
      </c>
      <c r="AS645" s="14" t="str">
        <f t="shared" si="388"/>
        <v>塞伯罗斯魂火-17</v>
      </c>
      <c r="AT645" s="14">
        <f t="shared" si="389"/>
        <v>17</v>
      </c>
      <c r="AU645" s="14" t="str">
        <f>IF(AM645&gt;0,INDEX(挂机升级突破!$DT$4:$ED$4,AM645),"")</f>
        <v>金币</v>
      </c>
      <c r="AV645" s="14">
        <f>ROUND(INDEX(挂机升级突破!$DJ$6:$DJ$57,卡牌消耗!AT645)*INDEX(卡牌消耗!$B$8:$F$8,AR645)/$Q$4/50,0)*50</f>
        <v>2850</v>
      </c>
      <c r="AW645" s="14" t="str">
        <f>IF(AN645&gt;0,INDEX(挂机升级突破!$DT$4:$ED$4,AN645),"")</f>
        <v>紫色基础材料</v>
      </c>
      <c r="AX645" s="14">
        <f>ROUND(INDEX(挂机升级突破!$DT$6:$ED$57,卡牌消耗!AT645,AN645)*INDEX(卡牌消耗!$B$5:$F$5,AR645)/$Q$4/5,0)*5</f>
        <v>35</v>
      </c>
      <c r="AY645" s="14" t="str">
        <f>IF(AO645&gt;0,INDEX(挂机升级突破!$DT$4:$ED$4,AO645),"")</f>
        <v/>
      </c>
      <c r="AZ645" s="14" t="str">
        <f>IF(AO645&gt;0,ROUND(INDEX(挂机升级突破!$DT$6:$ED$57,卡牌消耗!AT645,AO645)*INDEX(卡牌消耗!$B$7:$F$7,AR645)/$Q$4,0),"")</f>
        <v/>
      </c>
      <c r="BL645" s="194"/>
      <c r="BM645" s="194"/>
      <c r="BN645" s="194"/>
      <c r="BO645" s="194"/>
      <c r="BP645" s="194"/>
      <c r="BQ645" s="208"/>
      <c r="BR645" s="194"/>
      <c r="BS645" s="194"/>
      <c r="BT645" s="194"/>
      <c r="BU645" s="194"/>
      <c r="BV645" s="194"/>
      <c r="BW645" s="194"/>
      <c r="BX645" s="194"/>
      <c r="BY645" s="194"/>
      <c r="BZ645" s="194"/>
    </row>
    <row r="646" spans="37:78" ht="16.5" x14ac:dyDescent="0.2">
      <c r="AK646" s="104">
        <v>642</v>
      </c>
      <c r="AL646" s="14">
        <f t="shared" ref="AL646:AL709" si="395">INT((AK646-1)/52)+1</f>
        <v>13</v>
      </c>
      <c r="AM646" s="14">
        <f>INDEX(挂机升级突破!DQ$6:DQ$57,卡牌消耗!$AT646)</f>
        <v>11</v>
      </c>
      <c r="AN646" s="14">
        <f>INDEX(挂机升级突破!DR$6:DR$57,卡牌消耗!$AT646)</f>
        <v>3</v>
      </c>
      <c r="AO646" s="14">
        <f>INDEX(挂机升级突破!DS$6:DS$57,卡牌消耗!$AT646)</f>
        <v>0</v>
      </c>
      <c r="AP646" s="14">
        <f>INDEX(挂机升级突破!$DP$6:$DP$57,卡牌消耗!AT646)</f>
        <v>63</v>
      </c>
      <c r="AQ646" s="14" t="str">
        <f t="shared" ref="AQ646:AQ709" si="396">INDEX($B$13:$B$45,AL646)</f>
        <v>塞伯罗斯</v>
      </c>
      <c r="AR646" s="14">
        <f t="shared" ref="AR646:AR709" si="397">INDEX($C$13:$C$45,AL646)</f>
        <v>2</v>
      </c>
      <c r="AS646" s="14" t="str">
        <f t="shared" ref="AS646:AS709" si="398">AQ646&amp;"魂火-"&amp;AT646</f>
        <v>塞伯罗斯魂火-18</v>
      </c>
      <c r="AT646" s="14">
        <f t="shared" ref="AT646:AT709" si="399">AK646-(AL646-1)*52</f>
        <v>18</v>
      </c>
      <c r="AU646" s="14" t="str">
        <f>IF(AM646&gt;0,INDEX(挂机升级突破!$DT$4:$ED$4,AM646),"")</f>
        <v>金币</v>
      </c>
      <c r="AV646" s="14">
        <f>ROUND(INDEX(挂机升级突破!$DJ$6:$DJ$57,卡牌消耗!AT646)*INDEX(卡牌消耗!$B$8:$F$8,AR646)/$Q$4/50,0)*50</f>
        <v>2850</v>
      </c>
      <c r="AW646" s="14" t="str">
        <f>IF(AN646&gt;0,INDEX(挂机升级突破!$DT$4:$ED$4,AN646),"")</f>
        <v>紫色基础材料</v>
      </c>
      <c r="AX646" s="14">
        <f>ROUND(INDEX(挂机升级突破!$DT$6:$ED$57,卡牌消耗!AT646,AN646)*INDEX(卡牌消耗!$B$5:$F$5,AR646)/$Q$4/5,0)*5</f>
        <v>35</v>
      </c>
      <c r="AY646" s="14" t="str">
        <f>IF(AO646&gt;0,INDEX(挂机升级突破!$DT$4:$ED$4,AO646),"")</f>
        <v/>
      </c>
      <c r="AZ646" s="14" t="str">
        <f>IF(AO646&gt;0,ROUND(INDEX(挂机升级突破!$DT$6:$ED$57,卡牌消耗!AT646,AO646)*INDEX(卡牌消耗!$B$7:$F$7,AR646)/$Q$4,0),"")</f>
        <v/>
      </c>
      <c r="BL646" s="194"/>
      <c r="BM646" s="194"/>
      <c r="BN646" s="194"/>
      <c r="BO646" s="194"/>
      <c r="BP646" s="194"/>
      <c r="BQ646" s="208"/>
      <c r="BR646" s="194"/>
      <c r="BS646" s="194"/>
      <c r="BT646" s="194"/>
      <c r="BU646" s="194"/>
      <c r="BV646" s="194"/>
      <c r="BW646" s="194"/>
      <c r="BX646" s="194"/>
      <c r="BY646" s="194"/>
      <c r="BZ646" s="194"/>
    </row>
    <row r="647" spans="37:78" ht="16.5" x14ac:dyDescent="0.2">
      <c r="AK647" s="104">
        <v>643</v>
      </c>
      <c r="AL647" s="14">
        <f t="shared" si="395"/>
        <v>13</v>
      </c>
      <c r="AM647" s="14">
        <f>INDEX(挂机升级突破!DQ$6:DQ$57,卡牌消耗!$AT647)</f>
        <v>11</v>
      </c>
      <c r="AN647" s="14">
        <f>INDEX(挂机升级突破!DR$6:DR$57,卡牌消耗!$AT647)</f>
        <v>3</v>
      </c>
      <c r="AO647" s="14">
        <f>INDEX(挂机升级突破!DS$6:DS$57,卡牌消耗!$AT647)</f>
        <v>0</v>
      </c>
      <c r="AP647" s="14">
        <f>INDEX(挂机升级突破!$DP$6:$DP$57,卡牌消耗!AT647)</f>
        <v>65</v>
      </c>
      <c r="AQ647" s="14" t="str">
        <f t="shared" si="396"/>
        <v>塞伯罗斯</v>
      </c>
      <c r="AR647" s="14">
        <f t="shared" si="397"/>
        <v>2</v>
      </c>
      <c r="AS647" s="14" t="str">
        <f t="shared" si="398"/>
        <v>塞伯罗斯魂火-19</v>
      </c>
      <c r="AT647" s="14">
        <f t="shared" si="399"/>
        <v>19</v>
      </c>
      <c r="AU647" s="14" t="str">
        <f>IF(AM647&gt;0,INDEX(挂机升级突破!$DT$4:$ED$4,AM647),"")</f>
        <v>金币</v>
      </c>
      <c r="AV647" s="14">
        <f>ROUND(INDEX(挂机升级突破!$DJ$6:$DJ$57,卡牌消耗!AT647)*INDEX(卡牌消耗!$B$8:$F$8,AR647)/$Q$4/50,0)*50</f>
        <v>2850</v>
      </c>
      <c r="AW647" s="14" t="str">
        <f>IF(AN647&gt;0,INDEX(挂机升级突破!$DT$4:$ED$4,AN647),"")</f>
        <v>紫色基础材料</v>
      </c>
      <c r="AX647" s="14">
        <f>ROUND(INDEX(挂机升级突破!$DT$6:$ED$57,卡牌消耗!AT647,AN647)*INDEX(卡牌消耗!$B$5:$F$5,AR647)/$Q$4/5,0)*5</f>
        <v>35</v>
      </c>
      <c r="AY647" s="14" t="str">
        <f>IF(AO647&gt;0,INDEX(挂机升级突破!$DT$4:$ED$4,AO647),"")</f>
        <v/>
      </c>
      <c r="AZ647" s="14" t="str">
        <f>IF(AO647&gt;0,ROUND(INDEX(挂机升级突破!$DT$6:$ED$57,卡牌消耗!AT647,AO647)*INDEX(卡牌消耗!$B$7:$F$7,AR647)/$Q$4,0),"")</f>
        <v/>
      </c>
      <c r="BL647" s="194"/>
      <c r="BM647" s="194"/>
      <c r="BN647" s="194"/>
      <c r="BO647" s="194"/>
      <c r="BP647" s="194"/>
      <c r="BQ647" s="208"/>
      <c r="BR647" s="194"/>
      <c r="BS647" s="194"/>
      <c r="BT647" s="194"/>
      <c r="BU647" s="194"/>
      <c r="BV647" s="194"/>
      <c r="BW647" s="194"/>
      <c r="BX647" s="194"/>
      <c r="BY647" s="194"/>
      <c r="BZ647" s="194"/>
    </row>
    <row r="648" spans="37:78" ht="16.5" x14ac:dyDescent="0.2">
      <c r="AK648" s="104">
        <v>644</v>
      </c>
      <c r="AL648" s="14">
        <f t="shared" si="395"/>
        <v>13</v>
      </c>
      <c r="AM648" s="14">
        <f>INDEX(挂机升级突破!DQ$6:DQ$57,卡牌消耗!$AT648)</f>
        <v>11</v>
      </c>
      <c r="AN648" s="14">
        <f>INDEX(挂机升级突破!DR$6:DR$57,卡牌消耗!$AT648)</f>
        <v>3</v>
      </c>
      <c r="AO648" s="14">
        <f>INDEX(挂机升级突破!DS$6:DS$57,卡牌消耗!$AT648)</f>
        <v>0</v>
      </c>
      <c r="AP648" s="14">
        <f>INDEX(挂机升级突破!$DP$6:$DP$57,卡牌消耗!AT648)</f>
        <v>68</v>
      </c>
      <c r="AQ648" s="14" t="str">
        <f t="shared" si="396"/>
        <v>塞伯罗斯</v>
      </c>
      <c r="AR648" s="14">
        <f t="shared" si="397"/>
        <v>2</v>
      </c>
      <c r="AS648" s="14" t="str">
        <f t="shared" si="398"/>
        <v>塞伯罗斯魂火-20</v>
      </c>
      <c r="AT648" s="14">
        <f t="shared" si="399"/>
        <v>20</v>
      </c>
      <c r="AU648" s="14" t="str">
        <f>IF(AM648&gt;0,INDEX(挂机升级突破!$DT$4:$ED$4,AM648),"")</f>
        <v>金币</v>
      </c>
      <c r="AV648" s="14">
        <f>ROUND(INDEX(挂机升级突破!$DJ$6:$DJ$57,卡牌消耗!AT648)*INDEX(卡牌消耗!$B$8:$F$8,AR648)/$Q$4/50,0)*50</f>
        <v>3500</v>
      </c>
      <c r="AW648" s="14" t="str">
        <f>IF(AN648&gt;0,INDEX(挂机升级突破!$DT$4:$ED$4,AN648),"")</f>
        <v>紫色基础材料</v>
      </c>
      <c r="AX648" s="14">
        <f>ROUND(INDEX(挂机升级突破!$DT$6:$ED$57,卡牌消耗!AT648,AN648)*INDEX(卡牌消耗!$B$5:$F$5,AR648)/$Q$4/5,0)*5</f>
        <v>55</v>
      </c>
      <c r="AY648" s="14" t="str">
        <f>IF(AO648&gt;0,INDEX(挂机升级突破!$DT$4:$ED$4,AO648),"")</f>
        <v/>
      </c>
      <c r="AZ648" s="14" t="str">
        <f>IF(AO648&gt;0,ROUND(INDEX(挂机升级突破!$DT$6:$ED$57,卡牌消耗!AT648,AO648)*INDEX(卡牌消耗!$B$7:$F$7,AR648)/$Q$4,0),"")</f>
        <v/>
      </c>
      <c r="BL648" s="194"/>
      <c r="BM648" s="194"/>
      <c r="BN648" s="194"/>
      <c r="BO648" s="194"/>
      <c r="BP648" s="194"/>
      <c r="BQ648" s="208"/>
      <c r="BR648" s="194"/>
      <c r="BS648" s="194"/>
      <c r="BT648" s="194"/>
      <c r="BU648" s="194"/>
      <c r="BV648" s="194"/>
      <c r="BW648" s="194"/>
      <c r="BX648" s="194"/>
      <c r="BY648" s="194"/>
      <c r="BZ648" s="194"/>
    </row>
    <row r="649" spans="37:78" ht="16.5" x14ac:dyDescent="0.2">
      <c r="AK649" s="104">
        <v>645</v>
      </c>
      <c r="AL649" s="14">
        <f t="shared" si="395"/>
        <v>13</v>
      </c>
      <c r="AM649" s="14">
        <f>INDEX(挂机升级突破!DQ$6:DQ$57,卡牌消耗!$AT649)</f>
        <v>11</v>
      </c>
      <c r="AN649" s="14">
        <f>INDEX(挂机升级突破!DR$6:DR$57,卡牌消耗!$AT649)</f>
        <v>3</v>
      </c>
      <c r="AO649" s="14">
        <f>INDEX(挂机升级突破!DS$6:DS$57,卡牌消耗!$AT649)</f>
        <v>0</v>
      </c>
      <c r="AP649" s="14">
        <f>INDEX(挂机升级突破!$DP$6:$DP$57,卡牌消耗!AT649)</f>
        <v>70</v>
      </c>
      <c r="AQ649" s="14" t="str">
        <f t="shared" si="396"/>
        <v>塞伯罗斯</v>
      </c>
      <c r="AR649" s="14">
        <f t="shared" si="397"/>
        <v>2</v>
      </c>
      <c r="AS649" s="14" t="str">
        <f t="shared" si="398"/>
        <v>塞伯罗斯魂火-21</v>
      </c>
      <c r="AT649" s="14">
        <f t="shared" si="399"/>
        <v>21</v>
      </c>
      <c r="AU649" s="14" t="str">
        <f>IF(AM649&gt;0,INDEX(挂机升级突破!$DT$4:$ED$4,AM649),"")</f>
        <v>金币</v>
      </c>
      <c r="AV649" s="14">
        <f>ROUND(INDEX(挂机升级突破!$DJ$6:$DJ$57,卡牌消耗!AT649)*INDEX(卡牌消耗!$B$8:$F$8,AR649)/$Q$4/50,0)*50</f>
        <v>3500</v>
      </c>
      <c r="AW649" s="14" t="str">
        <f>IF(AN649&gt;0,INDEX(挂机升级突破!$DT$4:$ED$4,AN649),"")</f>
        <v>紫色基础材料</v>
      </c>
      <c r="AX649" s="14">
        <f>ROUND(INDEX(挂机升级突破!$DT$6:$ED$57,卡牌消耗!AT649,AN649)*INDEX(卡牌消耗!$B$5:$F$5,AR649)/$Q$4/5,0)*5</f>
        <v>55</v>
      </c>
      <c r="AY649" s="14" t="str">
        <f>IF(AO649&gt;0,INDEX(挂机升级突破!$DT$4:$ED$4,AO649),"")</f>
        <v/>
      </c>
      <c r="AZ649" s="14" t="str">
        <f>IF(AO649&gt;0,ROUND(INDEX(挂机升级突破!$DT$6:$ED$57,卡牌消耗!AT649,AO649)*INDEX(卡牌消耗!$B$7:$F$7,AR649)/$Q$4,0),"")</f>
        <v/>
      </c>
      <c r="BL649" s="194"/>
      <c r="BM649" s="194"/>
      <c r="BN649" s="194"/>
      <c r="BO649" s="194"/>
      <c r="BP649" s="194"/>
      <c r="BQ649" s="208"/>
      <c r="BR649" s="194"/>
      <c r="BS649" s="194"/>
      <c r="BT649" s="194"/>
      <c r="BU649" s="194"/>
      <c r="BV649" s="194"/>
      <c r="BW649" s="194"/>
      <c r="BX649" s="194"/>
      <c r="BY649" s="194"/>
      <c r="BZ649" s="194"/>
    </row>
    <row r="650" spans="37:78" ht="16.5" x14ac:dyDescent="0.2">
      <c r="AK650" s="104">
        <v>646</v>
      </c>
      <c r="AL650" s="14">
        <f t="shared" si="395"/>
        <v>13</v>
      </c>
      <c r="AM650" s="14">
        <f>INDEX(挂机升级突破!DQ$6:DQ$57,卡牌消耗!$AT650)</f>
        <v>11</v>
      </c>
      <c r="AN650" s="14">
        <f>INDEX(挂机升级突破!DR$6:DR$57,卡牌消耗!$AT650)</f>
        <v>3</v>
      </c>
      <c r="AO650" s="14">
        <f>INDEX(挂机升级突破!DS$6:DS$57,卡牌消耗!$AT650)</f>
        <v>0</v>
      </c>
      <c r="AP650" s="14">
        <f>INDEX(挂机升级突破!$DP$6:$DP$57,卡牌消耗!AT650)</f>
        <v>73</v>
      </c>
      <c r="AQ650" s="14" t="str">
        <f t="shared" si="396"/>
        <v>塞伯罗斯</v>
      </c>
      <c r="AR650" s="14">
        <f t="shared" si="397"/>
        <v>2</v>
      </c>
      <c r="AS650" s="14" t="str">
        <f t="shared" si="398"/>
        <v>塞伯罗斯魂火-22</v>
      </c>
      <c r="AT650" s="14">
        <f t="shared" si="399"/>
        <v>22</v>
      </c>
      <c r="AU650" s="14" t="str">
        <f>IF(AM650&gt;0,INDEX(挂机升级突破!$DT$4:$ED$4,AM650),"")</f>
        <v>金币</v>
      </c>
      <c r="AV650" s="14">
        <f>ROUND(INDEX(挂机升级突破!$DJ$6:$DJ$57,卡牌消耗!AT650)*INDEX(卡牌消耗!$B$8:$F$8,AR650)/$Q$4/50,0)*50</f>
        <v>3500</v>
      </c>
      <c r="AW650" s="14" t="str">
        <f>IF(AN650&gt;0,INDEX(挂机升级突破!$DT$4:$ED$4,AN650),"")</f>
        <v>紫色基础材料</v>
      </c>
      <c r="AX650" s="14">
        <f>ROUND(INDEX(挂机升级突破!$DT$6:$ED$57,卡牌消耗!AT650,AN650)*INDEX(卡牌消耗!$B$5:$F$5,AR650)/$Q$4/5,0)*5</f>
        <v>55</v>
      </c>
      <c r="AY650" s="14" t="str">
        <f>IF(AO650&gt;0,INDEX(挂机升级突破!$DT$4:$ED$4,AO650),"")</f>
        <v/>
      </c>
      <c r="AZ650" s="14" t="str">
        <f>IF(AO650&gt;0,ROUND(INDEX(挂机升级突破!$DT$6:$ED$57,卡牌消耗!AT650,AO650)*INDEX(卡牌消耗!$B$7:$F$7,AR650)/$Q$4,0),"")</f>
        <v/>
      </c>
      <c r="BL650" s="194"/>
      <c r="BM650" s="194"/>
      <c r="BN650" s="194"/>
      <c r="BO650" s="194"/>
      <c r="BP650" s="194"/>
      <c r="BQ650" s="208"/>
      <c r="BR650" s="194"/>
      <c r="BS650" s="194"/>
      <c r="BT650" s="194"/>
      <c r="BU650" s="194"/>
      <c r="BV650" s="194"/>
      <c r="BW650" s="194"/>
      <c r="BX650" s="194"/>
      <c r="BY650" s="194"/>
      <c r="BZ650" s="194"/>
    </row>
    <row r="651" spans="37:78" ht="16.5" x14ac:dyDescent="0.2">
      <c r="AK651" s="104">
        <v>647</v>
      </c>
      <c r="AL651" s="14">
        <f t="shared" si="395"/>
        <v>13</v>
      </c>
      <c r="AM651" s="14">
        <f>INDEX(挂机升级突破!DQ$6:DQ$57,卡牌消耗!$AT651)</f>
        <v>11</v>
      </c>
      <c r="AN651" s="14">
        <f>INDEX(挂机升级突破!DR$6:DR$57,卡牌消耗!$AT651)</f>
        <v>4</v>
      </c>
      <c r="AO651" s="14">
        <f>INDEX(挂机升级突破!DS$6:DS$57,卡牌消耗!$AT651)</f>
        <v>0</v>
      </c>
      <c r="AP651" s="14">
        <f>INDEX(挂机升级突破!$DP$6:$DP$57,卡牌消耗!AT651)</f>
        <v>75</v>
      </c>
      <c r="AQ651" s="14" t="str">
        <f t="shared" si="396"/>
        <v>塞伯罗斯</v>
      </c>
      <c r="AR651" s="14">
        <f t="shared" si="397"/>
        <v>2</v>
      </c>
      <c r="AS651" s="14" t="str">
        <f t="shared" si="398"/>
        <v>塞伯罗斯魂火-23</v>
      </c>
      <c r="AT651" s="14">
        <f t="shared" si="399"/>
        <v>23</v>
      </c>
      <c r="AU651" s="14" t="str">
        <f>IF(AM651&gt;0,INDEX(挂机升级突破!$DT$4:$ED$4,AM651),"")</f>
        <v>金币</v>
      </c>
      <c r="AV651" s="14">
        <f>ROUND(INDEX(挂机升级突破!$DJ$6:$DJ$57,卡牌消耗!AT651)*INDEX(卡牌消耗!$B$8:$F$8,AR651)/$Q$4/50,0)*50</f>
        <v>4850</v>
      </c>
      <c r="AW651" s="14" t="str">
        <f>IF(AN651&gt;0,INDEX(挂机升级突破!$DT$4:$ED$4,AN651),"")</f>
        <v>橙色基础材料</v>
      </c>
      <c r="AX651" s="14">
        <f>ROUND(INDEX(挂机升级突破!$DT$6:$ED$57,卡牌消耗!AT651,AN651)*INDEX(卡牌消耗!$B$5:$F$5,AR651)/$Q$4/5,0)*5</f>
        <v>15</v>
      </c>
      <c r="AY651" s="14" t="str">
        <f>IF(AO651&gt;0,INDEX(挂机升级突破!$DT$4:$ED$4,AO651),"")</f>
        <v/>
      </c>
      <c r="AZ651" s="14" t="str">
        <f>IF(AO651&gt;0,ROUND(INDEX(挂机升级突破!$DT$6:$ED$57,卡牌消耗!AT651,AO651)*INDEX(卡牌消耗!$B$7:$F$7,AR651)/$Q$4,0),"")</f>
        <v/>
      </c>
      <c r="BL651" s="194"/>
      <c r="BM651" s="194"/>
      <c r="BN651" s="194"/>
      <c r="BO651" s="194"/>
      <c r="BP651" s="194"/>
      <c r="BQ651" s="208"/>
      <c r="BR651" s="194"/>
      <c r="BS651" s="194"/>
      <c r="BT651" s="194"/>
      <c r="BU651" s="194"/>
      <c r="BV651" s="194"/>
      <c r="BW651" s="194"/>
      <c r="BX651" s="194"/>
      <c r="BY651" s="194"/>
      <c r="BZ651" s="194"/>
    </row>
    <row r="652" spans="37:78" ht="16.5" x14ac:dyDescent="0.2">
      <c r="AK652" s="104">
        <v>648</v>
      </c>
      <c r="AL652" s="14">
        <f t="shared" si="395"/>
        <v>13</v>
      </c>
      <c r="AM652" s="14">
        <f>INDEX(挂机升级突破!DQ$6:DQ$57,卡牌消耗!$AT652)</f>
        <v>11</v>
      </c>
      <c r="AN652" s="14">
        <f>INDEX(挂机升级突破!DR$6:DR$57,卡牌消耗!$AT652)</f>
        <v>4</v>
      </c>
      <c r="AO652" s="14">
        <f>INDEX(挂机升级突破!DS$6:DS$57,卡牌消耗!$AT652)</f>
        <v>0</v>
      </c>
      <c r="AP652" s="14">
        <f>INDEX(挂机升级突破!$DP$6:$DP$57,卡牌消耗!AT652)</f>
        <v>78</v>
      </c>
      <c r="AQ652" s="14" t="str">
        <f t="shared" si="396"/>
        <v>塞伯罗斯</v>
      </c>
      <c r="AR652" s="14">
        <f t="shared" si="397"/>
        <v>2</v>
      </c>
      <c r="AS652" s="14" t="str">
        <f t="shared" si="398"/>
        <v>塞伯罗斯魂火-24</v>
      </c>
      <c r="AT652" s="14">
        <f t="shared" si="399"/>
        <v>24</v>
      </c>
      <c r="AU652" s="14" t="str">
        <f>IF(AM652&gt;0,INDEX(挂机升级突破!$DT$4:$ED$4,AM652),"")</f>
        <v>金币</v>
      </c>
      <c r="AV652" s="14">
        <f>ROUND(INDEX(挂机升级突破!$DJ$6:$DJ$57,卡牌消耗!AT652)*INDEX(卡牌消耗!$B$8:$F$8,AR652)/$Q$4/50,0)*50</f>
        <v>4850</v>
      </c>
      <c r="AW652" s="14" t="str">
        <f>IF(AN652&gt;0,INDEX(挂机升级突破!$DT$4:$ED$4,AN652),"")</f>
        <v>橙色基础材料</v>
      </c>
      <c r="AX652" s="14">
        <f>ROUND(INDEX(挂机升级突破!$DT$6:$ED$57,卡牌消耗!AT652,AN652)*INDEX(卡牌消耗!$B$5:$F$5,AR652)/$Q$4/5,0)*5</f>
        <v>15</v>
      </c>
      <c r="AY652" s="14" t="str">
        <f>IF(AO652&gt;0,INDEX(挂机升级突破!$DT$4:$ED$4,AO652),"")</f>
        <v/>
      </c>
      <c r="AZ652" s="14" t="str">
        <f>IF(AO652&gt;0,ROUND(INDEX(挂机升级突破!$DT$6:$ED$57,卡牌消耗!AT652,AO652)*INDEX(卡牌消耗!$B$7:$F$7,AR652)/$Q$4,0),"")</f>
        <v/>
      </c>
      <c r="BL652" s="194"/>
      <c r="BM652" s="194"/>
      <c r="BN652" s="194"/>
      <c r="BO652" s="194"/>
      <c r="BP652" s="194"/>
      <c r="BQ652" s="208"/>
      <c r="BR652" s="194"/>
      <c r="BS652" s="194"/>
      <c r="BT652" s="194"/>
      <c r="BU652" s="194"/>
      <c r="BV652" s="194"/>
      <c r="BW652" s="194"/>
      <c r="BX652" s="194"/>
      <c r="BY652" s="194"/>
      <c r="BZ652" s="194"/>
    </row>
    <row r="653" spans="37:78" ht="16.5" x14ac:dyDescent="0.2">
      <c r="AK653" s="104">
        <v>649</v>
      </c>
      <c r="AL653" s="14">
        <f t="shared" si="395"/>
        <v>13</v>
      </c>
      <c r="AM653" s="14">
        <f>INDEX(挂机升级突破!DQ$6:DQ$57,卡牌消耗!$AT653)</f>
        <v>11</v>
      </c>
      <c r="AN653" s="14">
        <f>INDEX(挂机升级突破!DR$6:DR$57,卡牌消耗!$AT653)</f>
        <v>4</v>
      </c>
      <c r="AO653" s="14">
        <f>INDEX(挂机升级突破!DS$6:DS$57,卡牌消耗!$AT653)</f>
        <v>0</v>
      </c>
      <c r="AP653" s="14">
        <f>INDEX(挂机升级突破!$DP$6:$DP$57,卡牌消耗!AT653)</f>
        <v>80</v>
      </c>
      <c r="AQ653" s="14" t="str">
        <f t="shared" si="396"/>
        <v>塞伯罗斯</v>
      </c>
      <c r="AR653" s="14">
        <f t="shared" si="397"/>
        <v>2</v>
      </c>
      <c r="AS653" s="14" t="str">
        <f t="shared" si="398"/>
        <v>塞伯罗斯魂火-25</v>
      </c>
      <c r="AT653" s="14">
        <f t="shared" si="399"/>
        <v>25</v>
      </c>
      <c r="AU653" s="14" t="str">
        <f>IF(AM653&gt;0,INDEX(挂机升级突破!$DT$4:$ED$4,AM653),"")</f>
        <v>金币</v>
      </c>
      <c r="AV653" s="14">
        <f>ROUND(INDEX(挂机升级突破!$DJ$6:$DJ$57,卡牌消耗!AT653)*INDEX(卡牌消耗!$B$8:$F$8,AR653)/$Q$4/50,0)*50</f>
        <v>5250</v>
      </c>
      <c r="AW653" s="14" t="str">
        <f>IF(AN653&gt;0,INDEX(挂机升级突破!$DT$4:$ED$4,AN653),"")</f>
        <v>橙色基础材料</v>
      </c>
      <c r="AX653" s="14">
        <f>ROUND(INDEX(挂机升级突破!$DT$6:$ED$57,卡牌消耗!AT653,AN653)*INDEX(卡牌消耗!$B$5:$F$5,AR653)/$Q$4/5,0)*5</f>
        <v>15</v>
      </c>
      <c r="AY653" s="14" t="str">
        <f>IF(AO653&gt;0,INDEX(挂机升级突破!$DT$4:$ED$4,AO653),"")</f>
        <v/>
      </c>
      <c r="AZ653" s="14" t="str">
        <f>IF(AO653&gt;0,ROUND(INDEX(挂机升级突破!$DT$6:$ED$57,卡牌消耗!AT653,AO653)*INDEX(卡牌消耗!$B$7:$F$7,AR653)/$Q$4,0),"")</f>
        <v/>
      </c>
      <c r="BL653" s="194"/>
      <c r="BM653" s="194"/>
      <c r="BN653" s="194"/>
      <c r="BO653" s="194"/>
      <c r="BP653" s="194"/>
      <c r="BQ653" s="208"/>
      <c r="BR653" s="194"/>
      <c r="BS653" s="194"/>
      <c r="BT653" s="194"/>
      <c r="BU653" s="194"/>
      <c r="BV653" s="194"/>
      <c r="BW653" s="194"/>
      <c r="BX653" s="194"/>
      <c r="BY653" s="194"/>
      <c r="BZ653" s="194"/>
    </row>
    <row r="654" spans="37:78" ht="16.5" x14ac:dyDescent="0.2">
      <c r="AK654" s="104">
        <v>650</v>
      </c>
      <c r="AL654" s="14">
        <f t="shared" si="395"/>
        <v>13</v>
      </c>
      <c r="AM654" s="14">
        <f>INDEX(挂机升级突破!DQ$6:DQ$57,卡牌消耗!$AT654)</f>
        <v>11</v>
      </c>
      <c r="AN654" s="14">
        <f>INDEX(挂机升级突破!DR$6:DR$57,卡牌消耗!$AT654)</f>
        <v>4</v>
      </c>
      <c r="AO654" s="14">
        <f>INDEX(挂机升级突破!DS$6:DS$57,卡牌消耗!$AT654)</f>
        <v>0</v>
      </c>
      <c r="AP654" s="14">
        <f>INDEX(挂机升级突破!$DP$6:$DP$57,卡牌消耗!AT654)</f>
        <v>83</v>
      </c>
      <c r="AQ654" s="14" t="str">
        <f t="shared" si="396"/>
        <v>塞伯罗斯</v>
      </c>
      <c r="AR654" s="14">
        <f t="shared" si="397"/>
        <v>2</v>
      </c>
      <c r="AS654" s="14" t="str">
        <f t="shared" si="398"/>
        <v>塞伯罗斯魂火-26</v>
      </c>
      <c r="AT654" s="14">
        <f t="shared" si="399"/>
        <v>26</v>
      </c>
      <c r="AU654" s="14" t="str">
        <f>IF(AM654&gt;0,INDEX(挂机升级突破!$DT$4:$ED$4,AM654),"")</f>
        <v>金币</v>
      </c>
      <c r="AV654" s="14">
        <f>ROUND(INDEX(挂机升级突破!$DJ$6:$DJ$57,卡牌消耗!AT654)*INDEX(卡牌消耗!$B$8:$F$8,AR654)/$Q$4/50,0)*50</f>
        <v>6150</v>
      </c>
      <c r="AW654" s="14" t="str">
        <f>IF(AN654&gt;0,INDEX(挂机升级突破!$DT$4:$ED$4,AN654),"")</f>
        <v>橙色基础材料</v>
      </c>
      <c r="AX654" s="14">
        <f>ROUND(INDEX(挂机升级突破!$DT$6:$ED$57,卡牌消耗!AT654,AN654)*INDEX(卡牌消耗!$B$5:$F$5,AR654)/$Q$4/5,0)*5</f>
        <v>20</v>
      </c>
      <c r="AY654" s="14" t="str">
        <f>IF(AO654&gt;0,INDEX(挂机升级突破!$DT$4:$ED$4,AO654),"")</f>
        <v/>
      </c>
      <c r="AZ654" s="14" t="str">
        <f>IF(AO654&gt;0,ROUND(INDEX(挂机升级突破!$DT$6:$ED$57,卡牌消耗!AT654,AO654)*INDEX(卡牌消耗!$B$7:$F$7,AR654)/$Q$4,0),"")</f>
        <v/>
      </c>
      <c r="BL654" s="194"/>
      <c r="BM654" s="194"/>
      <c r="BN654" s="194"/>
      <c r="BO654" s="194"/>
      <c r="BP654" s="194"/>
      <c r="BQ654" s="208"/>
      <c r="BR654" s="194"/>
      <c r="BS654" s="194"/>
      <c r="BT654" s="194"/>
      <c r="BU654" s="194"/>
      <c r="BV654" s="194"/>
      <c r="BW654" s="194"/>
      <c r="BX654" s="194"/>
      <c r="BY654" s="194"/>
      <c r="BZ654" s="194"/>
    </row>
    <row r="655" spans="37:78" ht="16.5" x14ac:dyDescent="0.2">
      <c r="AK655" s="104">
        <v>651</v>
      </c>
      <c r="AL655" s="14">
        <f t="shared" si="395"/>
        <v>13</v>
      </c>
      <c r="AM655" s="14">
        <f>INDEX(挂机升级突破!DQ$6:DQ$57,卡牌消耗!$AT655)</f>
        <v>11</v>
      </c>
      <c r="AN655" s="14">
        <f>INDEX(挂机升级突破!DR$6:DR$57,卡牌消耗!$AT655)</f>
        <v>4</v>
      </c>
      <c r="AO655" s="14">
        <f>INDEX(挂机升级突破!DS$6:DS$57,卡牌消耗!$AT655)</f>
        <v>0</v>
      </c>
      <c r="AP655" s="14">
        <f>INDEX(挂机升级突破!$DP$6:$DP$57,卡牌消耗!AT655)</f>
        <v>85</v>
      </c>
      <c r="AQ655" s="14" t="str">
        <f t="shared" si="396"/>
        <v>塞伯罗斯</v>
      </c>
      <c r="AR655" s="14">
        <f t="shared" si="397"/>
        <v>2</v>
      </c>
      <c r="AS655" s="14" t="str">
        <f t="shared" si="398"/>
        <v>塞伯罗斯魂火-27</v>
      </c>
      <c r="AT655" s="14">
        <f t="shared" si="399"/>
        <v>27</v>
      </c>
      <c r="AU655" s="14" t="str">
        <f>IF(AM655&gt;0,INDEX(挂机升级突破!$DT$4:$ED$4,AM655),"")</f>
        <v>金币</v>
      </c>
      <c r="AV655" s="14">
        <f>ROUND(INDEX(挂机升级突破!$DJ$6:$DJ$57,卡牌消耗!AT655)*INDEX(卡牌消耗!$B$8:$F$8,AR655)/$Q$4/50,0)*50</f>
        <v>6150</v>
      </c>
      <c r="AW655" s="14" t="str">
        <f>IF(AN655&gt;0,INDEX(挂机升级突破!$DT$4:$ED$4,AN655),"")</f>
        <v>橙色基础材料</v>
      </c>
      <c r="AX655" s="14">
        <f>ROUND(INDEX(挂机升级突破!$DT$6:$ED$57,卡牌消耗!AT655,AN655)*INDEX(卡牌消耗!$B$5:$F$5,AR655)/$Q$4/5,0)*5</f>
        <v>20</v>
      </c>
      <c r="AY655" s="14" t="str">
        <f>IF(AO655&gt;0,INDEX(挂机升级突破!$DT$4:$ED$4,AO655),"")</f>
        <v/>
      </c>
      <c r="AZ655" s="14" t="str">
        <f>IF(AO655&gt;0,ROUND(INDEX(挂机升级突破!$DT$6:$ED$57,卡牌消耗!AT655,AO655)*INDEX(卡牌消耗!$B$7:$F$7,AR655)/$Q$4,0),"")</f>
        <v/>
      </c>
      <c r="BL655" s="194"/>
      <c r="BM655" s="194"/>
      <c r="BN655" s="194"/>
      <c r="BO655" s="194"/>
      <c r="BP655" s="194"/>
      <c r="BQ655" s="208"/>
      <c r="BR655" s="194"/>
      <c r="BS655" s="194"/>
      <c r="BT655" s="194"/>
      <c r="BU655" s="194"/>
      <c r="BV655" s="194"/>
      <c r="BW655" s="194"/>
      <c r="BX655" s="194"/>
      <c r="BY655" s="194"/>
      <c r="BZ655" s="194"/>
    </row>
    <row r="656" spans="37:78" ht="16.5" x14ac:dyDescent="0.2">
      <c r="AK656" s="104">
        <v>652</v>
      </c>
      <c r="AL656" s="14">
        <f t="shared" si="395"/>
        <v>13</v>
      </c>
      <c r="AM656" s="14">
        <f>INDEX(挂机升级突破!DQ$6:DQ$57,卡牌消耗!$AT656)</f>
        <v>11</v>
      </c>
      <c r="AN656" s="14">
        <f>INDEX(挂机升级突破!DR$6:DR$57,卡牌消耗!$AT656)</f>
        <v>4</v>
      </c>
      <c r="AO656" s="14">
        <f>INDEX(挂机升级突破!DS$6:DS$57,卡牌消耗!$AT656)</f>
        <v>0</v>
      </c>
      <c r="AP656" s="14">
        <f>INDEX(挂机升级突破!$DP$6:$DP$57,卡牌消耗!AT656)</f>
        <v>88</v>
      </c>
      <c r="AQ656" s="14" t="str">
        <f t="shared" si="396"/>
        <v>塞伯罗斯</v>
      </c>
      <c r="AR656" s="14">
        <f t="shared" si="397"/>
        <v>2</v>
      </c>
      <c r="AS656" s="14" t="str">
        <f t="shared" si="398"/>
        <v>塞伯罗斯魂火-28</v>
      </c>
      <c r="AT656" s="14">
        <f t="shared" si="399"/>
        <v>28</v>
      </c>
      <c r="AU656" s="14" t="str">
        <f>IF(AM656&gt;0,INDEX(挂机升级突破!$DT$4:$ED$4,AM656),"")</f>
        <v>金币</v>
      </c>
      <c r="AV656" s="14">
        <f>ROUND(INDEX(挂机升级突破!$DJ$6:$DJ$57,卡牌消耗!AT656)*INDEX(卡牌消耗!$B$8:$F$8,AR656)/$Q$4/50,0)*50</f>
        <v>6150</v>
      </c>
      <c r="AW656" s="14" t="str">
        <f>IF(AN656&gt;0,INDEX(挂机升级突破!$DT$4:$ED$4,AN656),"")</f>
        <v>橙色基础材料</v>
      </c>
      <c r="AX656" s="14">
        <f>ROUND(INDEX(挂机升级突破!$DT$6:$ED$57,卡牌消耗!AT656,AN656)*INDEX(卡牌消耗!$B$5:$F$5,AR656)/$Q$4/5,0)*5</f>
        <v>20</v>
      </c>
      <c r="AY656" s="14" t="str">
        <f>IF(AO656&gt;0,INDEX(挂机升级突破!$DT$4:$ED$4,AO656),"")</f>
        <v/>
      </c>
      <c r="AZ656" s="14" t="str">
        <f>IF(AO656&gt;0,ROUND(INDEX(挂机升级突破!$DT$6:$ED$57,卡牌消耗!AT656,AO656)*INDEX(卡牌消耗!$B$7:$F$7,AR656)/$Q$4,0),"")</f>
        <v/>
      </c>
      <c r="BL656" s="194"/>
      <c r="BM656" s="194"/>
      <c r="BN656" s="194"/>
      <c r="BO656" s="194"/>
      <c r="BP656" s="194"/>
      <c r="BQ656" s="208"/>
      <c r="BR656" s="194"/>
      <c r="BS656" s="194"/>
      <c r="BT656" s="194"/>
      <c r="BU656" s="194"/>
      <c r="BV656" s="194"/>
      <c r="BW656" s="194"/>
      <c r="BX656" s="194"/>
      <c r="BY656" s="194"/>
      <c r="BZ656" s="194"/>
    </row>
    <row r="657" spans="37:78" ht="16.5" x14ac:dyDescent="0.2">
      <c r="AK657" s="104">
        <v>653</v>
      </c>
      <c r="AL657" s="14">
        <f t="shared" si="395"/>
        <v>13</v>
      </c>
      <c r="AM657" s="14">
        <f>INDEX(挂机升级突破!DQ$6:DQ$57,卡牌消耗!$AT657)</f>
        <v>11</v>
      </c>
      <c r="AN657" s="14">
        <f>INDEX(挂机升级突破!DR$6:DR$57,卡牌消耗!$AT657)</f>
        <v>4</v>
      </c>
      <c r="AO657" s="14">
        <f>INDEX(挂机升级突破!DS$6:DS$57,卡牌消耗!$AT657)</f>
        <v>0</v>
      </c>
      <c r="AP657" s="14">
        <f>INDEX(挂机升级突破!$DP$6:$DP$57,卡牌消耗!AT657)</f>
        <v>90</v>
      </c>
      <c r="AQ657" s="14" t="str">
        <f t="shared" si="396"/>
        <v>塞伯罗斯</v>
      </c>
      <c r="AR657" s="14">
        <f t="shared" si="397"/>
        <v>2</v>
      </c>
      <c r="AS657" s="14" t="str">
        <f t="shared" si="398"/>
        <v>塞伯罗斯魂火-29</v>
      </c>
      <c r="AT657" s="14">
        <f t="shared" si="399"/>
        <v>29</v>
      </c>
      <c r="AU657" s="14" t="str">
        <f>IF(AM657&gt;0,INDEX(挂机升级突破!$DT$4:$ED$4,AM657),"")</f>
        <v>金币</v>
      </c>
      <c r="AV657" s="14">
        <f>ROUND(INDEX(挂机升级突破!$DJ$6:$DJ$57,卡牌消耗!AT657)*INDEX(卡牌消耗!$B$8:$F$8,AR657)/$Q$4/50,0)*50</f>
        <v>6200</v>
      </c>
      <c r="AW657" s="14" t="str">
        <f>IF(AN657&gt;0,INDEX(挂机升级突破!$DT$4:$ED$4,AN657),"")</f>
        <v>橙色基础材料</v>
      </c>
      <c r="AX657" s="14">
        <f>ROUND(INDEX(挂机升级突破!$DT$6:$ED$57,卡牌消耗!AT657,AN657)*INDEX(卡牌消耗!$B$5:$F$5,AR657)/$Q$4/5,0)*5</f>
        <v>20</v>
      </c>
      <c r="AY657" s="14" t="str">
        <f>IF(AO657&gt;0,INDEX(挂机升级突破!$DT$4:$ED$4,AO657),"")</f>
        <v/>
      </c>
      <c r="AZ657" s="14" t="str">
        <f>IF(AO657&gt;0,ROUND(INDEX(挂机升级突破!$DT$6:$ED$57,卡牌消耗!AT657,AO657)*INDEX(卡牌消耗!$B$7:$F$7,AR657)/$Q$4,0),"")</f>
        <v/>
      </c>
      <c r="BL657" s="194"/>
      <c r="BM657" s="194"/>
      <c r="BN657" s="194"/>
      <c r="BO657" s="194"/>
      <c r="BP657" s="194"/>
      <c r="BQ657" s="208"/>
      <c r="BR657" s="194"/>
      <c r="BS657" s="194"/>
      <c r="BT657" s="194"/>
      <c r="BU657" s="194"/>
      <c r="BV657" s="194"/>
      <c r="BW657" s="194"/>
      <c r="BX657" s="194"/>
      <c r="BY657" s="194"/>
      <c r="BZ657" s="194"/>
    </row>
    <row r="658" spans="37:78" ht="16.5" x14ac:dyDescent="0.2">
      <c r="AK658" s="104">
        <v>654</v>
      </c>
      <c r="AL658" s="14">
        <f t="shared" si="395"/>
        <v>13</v>
      </c>
      <c r="AM658" s="14">
        <f>INDEX(挂机升级突破!DQ$6:DQ$57,卡牌消耗!$AT658)</f>
        <v>11</v>
      </c>
      <c r="AN658" s="14">
        <f>INDEX(挂机升级突破!DR$6:DR$57,卡牌消耗!$AT658)</f>
        <v>4</v>
      </c>
      <c r="AO658" s="14">
        <f>INDEX(挂机升级突破!DS$6:DS$57,卡牌消耗!$AT658)</f>
        <v>0</v>
      </c>
      <c r="AP658" s="14">
        <f>INDEX(挂机升级突破!$DP$6:$DP$57,卡牌消耗!AT658)</f>
        <v>93</v>
      </c>
      <c r="AQ658" s="14" t="str">
        <f t="shared" si="396"/>
        <v>塞伯罗斯</v>
      </c>
      <c r="AR658" s="14">
        <f t="shared" si="397"/>
        <v>2</v>
      </c>
      <c r="AS658" s="14" t="str">
        <f t="shared" si="398"/>
        <v>塞伯罗斯魂火-30</v>
      </c>
      <c r="AT658" s="14">
        <f t="shared" si="399"/>
        <v>30</v>
      </c>
      <c r="AU658" s="14" t="str">
        <f>IF(AM658&gt;0,INDEX(挂机升级突破!$DT$4:$ED$4,AM658),"")</f>
        <v>金币</v>
      </c>
      <c r="AV658" s="14">
        <f>ROUND(INDEX(挂机升级突破!$DJ$6:$DJ$57,卡牌消耗!AT658)*INDEX(卡牌消耗!$B$8:$F$8,AR658)/$Q$4/50,0)*50</f>
        <v>6200</v>
      </c>
      <c r="AW658" s="14" t="str">
        <f>IF(AN658&gt;0,INDEX(挂机升级突破!$DT$4:$ED$4,AN658),"")</f>
        <v>橙色基础材料</v>
      </c>
      <c r="AX658" s="14">
        <f>ROUND(INDEX(挂机升级突破!$DT$6:$ED$57,卡牌消耗!AT658,AN658)*INDEX(卡牌消耗!$B$5:$F$5,AR658)/$Q$4/5,0)*5</f>
        <v>20</v>
      </c>
      <c r="AY658" s="14" t="str">
        <f>IF(AO658&gt;0,INDEX(挂机升级突破!$DT$4:$ED$4,AO658),"")</f>
        <v/>
      </c>
      <c r="AZ658" s="14" t="str">
        <f>IF(AO658&gt;0,ROUND(INDEX(挂机升级突破!$DT$6:$ED$57,卡牌消耗!AT658,AO658)*INDEX(卡牌消耗!$B$7:$F$7,AR658)/$Q$4,0),"")</f>
        <v/>
      </c>
      <c r="BL658" s="194"/>
      <c r="BM658" s="194"/>
      <c r="BN658" s="194"/>
      <c r="BO658" s="194"/>
      <c r="BP658" s="194"/>
      <c r="BQ658" s="208"/>
      <c r="BR658" s="194"/>
      <c r="BS658" s="194"/>
      <c r="BT658" s="194"/>
      <c r="BU658" s="194"/>
      <c r="BV658" s="194"/>
      <c r="BW658" s="194"/>
      <c r="BX658" s="194"/>
      <c r="BY658" s="194"/>
      <c r="BZ658" s="194"/>
    </row>
    <row r="659" spans="37:78" ht="16.5" x14ac:dyDescent="0.2">
      <c r="AK659" s="104">
        <v>655</v>
      </c>
      <c r="AL659" s="14">
        <f t="shared" si="395"/>
        <v>13</v>
      </c>
      <c r="AM659" s="14">
        <f>INDEX(挂机升级突破!DQ$6:DQ$57,卡牌消耗!$AT659)</f>
        <v>11</v>
      </c>
      <c r="AN659" s="14">
        <f>INDEX(挂机升级突破!DR$6:DR$57,卡牌消耗!$AT659)</f>
        <v>4</v>
      </c>
      <c r="AO659" s="14">
        <f>INDEX(挂机升级突破!DS$6:DS$57,卡牌消耗!$AT659)</f>
        <v>0</v>
      </c>
      <c r="AP659" s="14">
        <f>INDEX(挂机升级突破!$DP$6:$DP$57,卡牌消耗!AT659)</f>
        <v>95</v>
      </c>
      <c r="AQ659" s="14" t="str">
        <f t="shared" si="396"/>
        <v>塞伯罗斯</v>
      </c>
      <c r="AR659" s="14">
        <f t="shared" si="397"/>
        <v>2</v>
      </c>
      <c r="AS659" s="14" t="str">
        <f t="shared" si="398"/>
        <v>塞伯罗斯魂火-31</v>
      </c>
      <c r="AT659" s="14">
        <f t="shared" si="399"/>
        <v>31</v>
      </c>
      <c r="AU659" s="14" t="str">
        <f>IF(AM659&gt;0,INDEX(挂机升级突破!$DT$4:$ED$4,AM659),"")</f>
        <v>金币</v>
      </c>
      <c r="AV659" s="14">
        <f>ROUND(INDEX(挂机升级突破!$DJ$6:$DJ$57,卡牌消耗!AT659)*INDEX(卡牌消耗!$B$8:$F$8,AR659)/$Q$4/50,0)*50</f>
        <v>6200</v>
      </c>
      <c r="AW659" s="14" t="str">
        <f>IF(AN659&gt;0,INDEX(挂机升级突破!$DT$4:$ED$4,AN659),"")</f>
        <v>橙色基础材料</v>
      </c>
      <c r="AX659" s="14">
        <f>ROUND(INDEX(挂机升级突破!$DT$6:$ED$57,卡牌消耗!AT659,AN659)*INDEX(卡牌消耗!$B$5:$F$5,AR659)/$Q$4/5,0)*5</f>
        <v>20</v>
      </c>
      <c r="AY659" s="14" t="str">
        <f>IF(AO659&gt;0,INDEX(挂机升级突破!$DT$4:$ED$4,AO659),"")</f>
        <v/>
      </c>
      <c r="AZ659" s="14" t="str">
        <f>IF(AO659&gt;0,ROUND(INDEX(挂机升级突破!$DT$6:$ED$57,卡牌消耗!AT659,AO659)*INDEX(卡牌消耗!$B$7:$F$7,AR659)/$Q$4,0),"")</f>
        <v/>
      </c>
      <c r="BL659" s="194"/>
      <c r="BM659" s="194"/>
      <c r="BN659" s="194"/>
      <c r="BO659" s="194"/>
      <c r="BP659" s="194"/>
      <c r="BQ659" s="208"/>
      <c r="BR659" s="194"/>
      <c r="BS659" s="194"/>
      <c r="BT659" s="194"/>
      <c r="BU659" s="194"/>
      <c r="BV659" s="194"/>
      <c r="BW659" s="194"/>
      <c r="BX659" s="194"/>
      <c r="BY659" s="194"/>
      <c r="BZ659" s="194"/>
    </row>
    <row r="660" spans="37:78" ht="16.5" x14ac:dyDescent="0.2">
      <c r="AK660" s="104">
        <v>656</v>
      </c>
      <c r="AL660" s="14">
        <f t="shared" si="395"/>
        <v>13</v>
      </c>
      <c r="AM660" s="14">
        <f>INDEX(挂机升级突破!DQ$6:DQ$57,卡牌消耗!$AT660)</f>
        <v>11</v>
      </c>
      <c r="AN660" s="14">
        <f>INDEX(挂机升级突破!DR$6:DR$57,卡牌消耗!$AT660)</f>
        <v>4</v>
      </c>
      <c r="AO660" s="14">
        <f>INDEX(挂机升级突破!DS$6:DS$57,卡牌消耗!$AT660)</f>
        <v>0</v>
      </c>
      <c r="AP660" s="14">
        <f>INDEX(挂机升级突破!$DP$6:$DP$57,卡牌消耗!AT660)</f>
        <v>98</v>
      </c>
      <c r="AQ660" s="14" t="str">
        <f t="shared" si="396"/>
        <v>塞伯罗斯</v>
      </c>
      <c r="AR660" s="14">
        <f t="shared" si="397"/>
        <v>2</v>
      </c>
      <c r="AS660" s="14" t="str">
        <f t="shared" si="398"/>
        <v>塞伯罗斯魂火-32</v>
      </c>
      <c r="AT660" s="14">
        <f t="shared" si="399"/>
        <v>32</v>
      </c>
      <c r="AU660" s="14" t="str">
        <f>IF(AM660&gt;0,INDEX(挂机升级突破!$DT$4:$ED$4,AM660),"")</f>
        <v>金币</v>
      </c>
      <c r="AV660" s="14">
        <f>ROUND(INDEX(挂机升级突破!$DJ$6:$DJ$57,卡牌消耗!AT660)*INDEX(卡牌消耗!$B$8:$F$8,AR660)/$Q$4/50,0)*50</f>
        <v>8550</v>
      </c>
      <c r="AW660" s="14" t="str">
        <f>IF(AN660&gt;0,INDEX(挂机升级突破!$DT$4:$ED$4,AN660),"")</f>
        <v>橙色基础材料</v>
      </c>
      <c r="AX660" s="14">
        <f>ROUND(INDEX(挂机升级突破!$DT$6:$ED$57,卡牌消耗!AT660,AN660)*INDEX(卡牌消耗!$B$5:$F$5,AR660)/$Q$4/5,0)*5</f>
        <v>20</v>
      </c>
      <c r="AY660" s="14" t="str">
        <f>IF(AO660&gt;0,INDEX(挂机升级突破!$DT$4:$ED$4,AO660),"")</f>
        <v/>
      </c>
      <c r="AZ660" s="14" t="str">
        <f>IF(AO660&gt;0,ROUND(INDEX(挂机升级突破!$DT$6:$ED$57,卡牌消耗!AT660,AO660)*INDEX(卡牌消耗!$B$7:$F$7,AR660)/$Q$4,0),"")</f>
        <v/>
      </c>
      <c r="BL660" s="194"/>
      <c r="BM660" s="194"/>
      <c r="BN660" s="194"/>
      <c r="BO660" s="194"/>
      <c r="BP660" s="194"/>
      <c r="BQ660" s="208"/>
      <c r="BR660" s="194"/>
      <c r="BS660" s="194"/>
      <c r="BT660" s="194"/>
      <c r="BU660" s="194"/>
      <c r="BV660" s="194"/>
      <c r="BW660" s="194"/>
      <c r="BX660" s="194"/>
      <c r="BY660" s="194"/>
      <c r="BZ660" s="194"/>
    </row>
    <row r="661" spans="37:78" ht="16.5" x14ac:dyDescent="0.2">
      <c r="AK661" s="104">
        <v>657</v>
      </c>
      <c r="AL661" s="14">
        <f t="shared" si="395"/>
        <v>13</v>
      </c>
      <c r="AM661" s="14">
        <f>INDEX(挂机升级突破!DQ$6:DQ$57,卡牌消耗!$AT661)</f>
        <v>11</v>
      </c>
      <c r="AN661" s="14">
        <f>INDEX(挂机升级突破!DR$6:DR$57,卡牌消耗!$AT661)</f>
        <v>4</v>
      </c>
      <c r="AO661" s="14">
        <f>INDEX(挂机升级突破!DS$6:DS$57,卡牌消耗!$AT661)</f>
        <v>0</v>
      </c>
      <c r="AP661" s="14">
        <f>INDEX(挂机升级突破!$DP$6:$DP$57,卡牌消耗!AT661)</f>
        <v>100</v>
      </c>
      <c r="AQ661" s="14" t="str">
        <f t="shared" si="396"/>
        <v>塞伯罗斯</v>
      </c>
      <c r="AR661" s="14">
        <f t="shared" si="397"/>
        <v>2</v>
      </c>
      <c r="AS661" s="14" t="str">
        <f t="shared" si="398"/>
        <v>塞伯罗斯魂火-33</v>
      </c>
      <c r="AT661" s="14">
        <f t="shared" si="399"/>
        <v>33</v>
      </c>
      <c r="AU661" s="14" t="str">
        <f>IF(AM661&gt;0,INDEX(挂机升级突破!$DT$4:$ED$4,AM661),"")</f>
        <v>金币</v>
      </c>
      <c r="AV661" s="14">
        <f>ROUND(INDEX(挂机升级突破!$DJ$6:$DJ$57,卡牌消耗!AT661)*INDEX(卡牌消耗!$B$8:$F$8,AR661)/$Q$4/50,0)*50</f>
        <v>8550</v>
      </c>
      <c r="AW661" s="14" t="str">
        <f>IF(AN661&gt;0,INDEX(挂机升级突破!$DT$4:$ED$4,AN661),"")</f>
        <v>橙色基础材料</v>
      </c>
      <c r="AX661" s="14">
        <f>ROUND(INDEX(挂机升级突破!$DT$6:$ED$57,卡牌消耗!AT661,AN661)*INDEX(卡牌消耗!$B$5:$F$5,AR661)/$Q$4/5,0)*5</f>
        <v>20</v>
      </c>
      <c r="AY661" s="14" t="str">
        <f>IF(AO661&gt;0,INDEX(挂机升级突破!$DT$4:$ED$4,AO661),"")</f>
        <v/>
      </c>
      <c r="AZ661" s="14" t="str">
        <f>IF(AO661&gt;0,ROUND(INDEX(挂机升级突破!$DT$6:$ED$57,卡牌消耗!AT661,AO661)*INDEX(卡牌消耗!$B$7:$F$7,AR661)/$Q$4,0),"")</f>
        <v/>
      </c>
      <c r="BL661" s="194"/>
      <c r="BM661" s="194"/>
      <c r="BN661" s="194"/>
      <c r="BO661" s="194"/>
      <c r="BP661" s="194"/>
      <c r="BQ661" s="208"/>
      <c r="BR661" s="194"/>
      <c r="BS661" s="194"/>
      <c r="BT661" s="194"/>
      <c r="BU661" s="194"/>
      <c r="BV661" s="194"/>
      <c r="BW661" s="194"/>
      <c r="BX661" s="194"/>
      <c r="BY661" s="194"/>
      <c r="BZ661" s="194"/>
    </row>
    <row r="662" spans="37:78" ht="16.5" x14ac:dyDescent="0.2">
      <c r="AK662" s="104">
        <v>658</v>
      </c>
      <c r="AL662" s="14">
        <f t="shared" si="395"/>
        <v>13</v>
      </c>
      <c r="AM662" s="14">
        <f>INDEX(挂机升级突破!DQ$6:DQ$57,卡牌消耗!$AT662)</f>
        <v>11</v>
      </c>
      <c r="AN662" s="14">
        <f>INDEX(挂机升级突破!DR$6:DR$57,卡牌消耗!$AT662)</f>
        <v>4</v>
      </c>
      <c r="AO662" s="14">
        <f>INDEX(挂机升级突破!DS$6:DS$57,卡牌消耗!$AT662)</f>
        <v>0</v>
      </c>
      <c r="AP662" s="14">
        <f>INDEX(挂机升级突破!$DP$6:$DP$57,卡牌消耗!AT662)</f>
        <v>103</v>
      </c>
      <c r="AQ662" s="14" t="str">
        <f t="shared" si="396"/>
        <v>塞伯罗斯</v>
      </c>
      <c r="AR662" s="14">
        <f t="shared" si="397"/>
        <v>2</v>
      </c>
      <c r="AS662" s="14" t="str">
        <f t="shared" si="398"/>
        <v>塞伯罗斯魂火-34</v>
      </c>
      <c r="AT662" s="14">
        <f t="shared" si="399"/>
        <v>34</v>
      </c>
      <c r="AU662" s="14" t="str">
        <f>IF(AM662&gt;0,INDEX(挂机升级突破!$DT$4:$ED$4,AM662),"")</f>
        <v>金币</v>
      </c>
      <c r="AV662" s="14">
        <f>ROUND(INDEX(挂机升级突破!$DJ$6:$DJ$57,卡牌消耗!AT662)*INDEX(卡牌消耗!$B$8:$F$8,AR662)/$Q$4/50,0)*50</f>
        <v>8550</v>
      </c>
      <c r="AW662" s="14" t="str">
        <f>IF(AN662&gt;0,INDEX(挂机升级突破!$DT$4:$ED$4,AN662),"")</f>
        <v>橙色基础材料</v>
      </c>
      <c r="AX662" s="14">
        <f>ROUND(INDEX(挂机升级突破!$DT$6:$ED$57,卡牌消耗!AT662,AN662)*INDEX(卡牌消耗!$B$5:$F$5,AR662)/$Q$4/5,0)*5</f>
        <v>25</v>
      </c>
      <c r="AY662" s="14" t="str">
        <f>IF(AO662&gt;0,INDEX(挂机升级突破!$DT$4:$ED$4,AO662),"")</f>
        <v/>
      </c>
      <c r="AZ662" s="14" t="str">
        <f>IF(AO662&gt;0,ROUND(INDEX(挂机升级突破!$DT$6:$ED$57,卡牌消耗!AT662,AO662)*INDEX(卡牌消耗!$B$7:$F$7,AR662)/$Q$4,0),"")</f>
        <v/>
      </c>
      <c r="BL662" s="194"/>
      <c r="BM662" s="194"/>
      <c r="BN662" s="194"/>
      <c r="BO662" s="194"/>
      <c r="BP662" s="194"/>
      <c r="BQ662" s="208"/>
      <c r="BR662" s="194"/>
      <c r="BS662" s="194"/>
      <c r="BT662" s="194"/>
      <c r="BU662" s="194"/>
      <c r="BV662" s="194"/>
      <c r="BW662" s="194"/>
      <c r="BX662" s="194"/>
      <c r="BY662" s="194"/>
      <c r="BZ662" s="194"/>
    </row>
    <row r="663" spans="37:78" ht="16.5" x14ac:dyDescent="0.2">
      <c r="AK663" s="104">
        <v>659</v>
      </c>
      <c r="AL663" s="14">
        <f t="shared" si="395"/>
        <v>13</v>
      </c>
      <c r="AM663" s="14">
        <f>INDEX(挂机升级突破!DQ$6:DQ$57,卡牌消耗!$AT663)</f>
        <v>11</v>
      </c>
      <c r="AN663" s="14">
        <f>INDEX(挂机升级突破!DR$6:DR$57,卡牌消耗!$AT663)</f>
        <v>4</v>
      </c>
      <c r="AO663" s="14">
        <f>INDEX(挂机升级突破!DS$6:DS$57,卡牌消耗!$AT663)</f>
        <v>0</v>
      </c>
      <c r="AP663" s="14">
        <f>INDEX(挂机升级突破!$DP$6:$DP$57,卡牌消耗!AT663)</f>
        <v>105</v>
      </c>
      <c r="AQ663" s="14" t="str">
        <f t="shared" si="396"/>
        <v>塞伯罗斯</v>
      </c>
      <c r="AR663" s="14">
        <f t="shared" si="397"/>
        <v>2</v>
      </c>
      <c r="AS663" s="14" t="str">
        <f t="shared" si="398"/>
        <v>塞伯罗斯魂火-35</v>
      </c>
      <c r="AT663" s="14">
        <f t="shared" si="399"/>
        <v>35</v>
      </c>
      <c r="AU663" s="14" t="str">
        <f>IF(AM663&gt;0,INDEX(挂机升级突破!$DT$4:$ED$4,AM663),"")</f>
        <v>金币</v>
      </c>
      <c r="AV663" s="14">
        <f>ROUND(INDEX(挂机升级突破!$DJ$6:$DJ$57,卡牌消耗!AT663)*INDEX(卡牌消耗!$B$8:$F$8,AR663)/$Q$4/50,0)*50</f>
        <v>10900</v>
      </c>
      <c r="AW663" s="14" t="str">
        <f>IF(AN663&gt;0,INDEX(挂机升级突破!$DT$4:$ED$4,AN663),"")</f>
        <v>橙色基础材料</v>
      </c>
      <c r="AX663" s="14">
        <f>ROUND(INDEX(挂机升级突破!$DT$6:$ED$57,卡牌消耗!AT663,AN663)*INDEX(卡牌消耗!$B$5:$F$5,AR663)/$Q$4/5,0)*5</f>
        <v>25</v>
      </c>
      <c r="AY663" s="14" t="str">
        <f>IF(AO663&gt;0,INDEX(挂机升级突破!$DT$4:$ED$4,AO663),"")</f>
        <v/>
      </c>
      <c r="AZ663" s="14" t="str">
        <f>IF(AO663&gt;0,ROUND(INDEX(挂机升级突破!$DT$6:$ED$57,卡牌消耗!AT663,AO663)*INDEX(卡牌消耗!$B$7:$F$7,AR663)/$Q$4,0),"")</f>
        <v/>
      </c>
      <c r="BL663" s="194"/>
      <c r="BM663" s="194"/>
      <c r="BN663" s="194"/>
      <c r="BO663" s="194"/>
      <c r="BP663" s="194"/>
      <c r="BQ663" s="208"/>
      <c r="BR663" s="194"/>
      <c r="BS663" s="194"/>
      <c r="BT663" s="194"/>
      <c r="BU663" s="194"/>
      <c r="BV663" s="194"/>
      <c r="BW663" s="194"/>
      <c r="BX663" s="194"/>
      <c r="BY663" s="194"/>
      <c r="BZ663" s="194"/>
    </row>
    <row r="664" spans="37:78" ht="16.5" x14ac:dyDescent="0.2">
      <c r="AK664" s="104">
        <v>660</v>
      </c>
      <c r="AL664" s="14">
        <f t="shared" si="395"/>
        <v>13</v>
      </c>
      <c r="AM664" s="14">
        <f>INDEX(挂机升级突破!DQ$6:DQ$57,卡牌消耗!$AT664)</f>
        <v>11</v>
      </c>
      <c r="AN664" s="14">
        <f>INDEX(挂机升级突破!DR$6:DR$57,卡牌消耗!$AT664)</f>
        <v>4</v>
      </c>
      <c r="AO664" s="14">
        <f>INDEX(挂机升级突破!DS$6:DS$57,卡牌消耗!$AT664)</f>
        <v>0</v>
      </c>
      <c r="AP664" s="14">
        <f>INDEX(挂机升级突破!$DP$6:$DP$57,卡牌消耗!AT664)</f>
        <v>108</v>
      </c>
      <c r="AQ664" s="14" t="str">
        <f t="shared" si="396"/>
        <v>塞伯罗斯</v>
      </c>
      <c r="AR664" s="14">
        <f t="shared" si="397"/>
        <v>2</v>
      </c>
      <c r="AS664" s="14" t="str">
        <f t="shared" si="398"/>
        <v>塞伯罗斯魂火-36</v>
      </c>
      <c r="AT664" s="14">
        <f t="shared" si="399"/>
        <v>36</v>
      </c>
      <c r="AU664" s="14" t="str">
        <f>IF(AM664&gt;0,INDEX(挂机升级突破!$DT$4:$ED$4,AM664),"")</f>
        <v>金币</v>
      </c>
      <c r="AV664" s="14">
        <f>ROUND(INDEX(挂机升级突破!$DJ$6:$DJ$57,卡牌消耗!AT664)*INDEX(卡牌消耗!$B$8:$F$8,AR664)/$Q$4/50,0)*50</f>
        <v>10900</v>
      </c>
      <c r="AW664" s="14" t="str">
        <f>IF(AN664&gt;0,INDEX(挂机升级突破!$DT$4:$ED$4,AN664),"")</f>
        <v>橙色基础材料</v>
      </c>
      <c r="AX664" s="14">
        <f>ROUND(INDEX(挂机升级突破!$DT$6:$ED$57,卡牌消耗!AT664,AN664)*INDEX(卡牌消耗!$B$5:$F$5,AR664)/$Q$4/5,0)*5</f>
        <v>25</v>
      </c>
      <c r="AY664" s="14" t="str">
        <f>IF(AO664&gt;0,INDEX(挂机升级突破!$DT$4:$ED$4,AO664),"")</f>
        <v/>
      </c>
      <c r="AZ664" s="14" t="str">
        <f>IF(AO664&gt;0,ROUND(INDEX(挂机升级突破!$DT$6:$ED$57,卡牌消耗!AT664,AO664)*INDEX(卡牌消耗!$B$7:$F$7,AR664)/$Q$4,0),"")</f>
        <v/>
      </c>
      <c r="BL664" s="194"/>
      <c r="BM664" s="194"/>
      <c r="BN664" s="194"/>
      <c r="BO664" s="194"/>
      <c r="BP664" s="194"/>
      <c r="BQ664" s="208"/>
      <c r="BR664" s="194"/>
      <c r="BS664" s="194"/>
      <c r="BT664" s="194"/>
      <c r="BU664" s="194"/>
      <c r="BV664" s="194"/>
      <c r="BW664" s="194"/>
      <c r="BX664" s="194"/>
      <c r="BY664" s="194"/>
      <c r="BZ664" s="194"/>
    </row>
    <row r="665" spans="37:78" ht="16.5" x14ac:dyDescent="0.2">
      <c r="AK665" s="104">
        <v>661</v>
      </c>
      <c r="AL665" s="14">
        <f t="shared" si="395"/>
        <v>13</v>
      </c>
      <c r="AM665" s="14">
        <f>INDEX(挂机升级突破!DQ$6:DQ$57,卡牌消耗!$AT665)</f>
        <v>11</v>
      </c>
      <c r="AN665" s="14">
        <f>INDEX(挂机升级突破!DR$6:DR$57,卡牌消耗!$AT665)</f>
        <v>4</v>
      </c>
      <c r="AO665" s="14">
        <f>INDEX(挂机升级突破!DS$6:DS$57,卡牌消耗!$AT665)</f>
        <v>0</v>
      </c>
      <c r="AP665" s="14">
        <f>INDEX(挂机升级突破!$DP$6:$DP$57,卡牌消耗!AT665)</f>
        <v>110</v>
      </c>
      <c r="AQ665" s="14" t="str">
        <f t="shared" si="396"/>
        <v>塞伯罗斯</v>
      </c>
      <c r="AR665" s="14">
        <f t="shared" si="397"/>
        <v>2</v>
      </c>
      <c r="AS665" s="14" t="str">
        <f t="shared" si="398"/>
        <v>塞伯罗斯魂火-37</v>
      </c>
      <c r="AT665" s="14">
        <f t="shared" si="399"/>
        <v>37</v>
      </c>
      <c r="AU665" s="14" t="str">
        <f>IF(AM665&gt;0,INDEX(挂机升级突破!$DT$4:$ED$4,AM665),"")</f>
        <v>金币</v>
      </c>
      <c r="AV665" s="14">
        <f>ROUND(INDEX(挂机升级突破!$DJ$6:$DJ$57,卡牌消耗!AT665)*INDEX(卡牌消耗!$B$8:$F$8,AR665)/$Q$4/50,0)*50</f>
        <v>11650</v>
      </c>
      <c r="AW665" s="14" t="str">
        <f>IF(AN665&gt;0,INDEX(挂机升级突破!$DT$4:$ED$4,AN665),"")</f>
        <v>橙色基础材料</v>
      </c>
      <c r="AX665" s="14">
        <f>ROUND(INDEX(挂机升级突破!$DT$6:$ED$57,卡牌消耗!AT665,AN665)*INDEX(卡牌消耗!$B$5:$F$5,AR665)/$Q$4/5,0)*5</f>
        <v>25</v>
      </c>
      <c r="AY665" s="14" t="str">
        <f>IF(AO665&gt;0,INDEX(挂机升级突破!$DT$4:$ED$4,AO665),"")</f>
        <v/>
      </c>
      <c r="AZ665" s="14" t="str">
        <f>IF(AO665&gt;0,ROUND(INDEX(挂机升级突破!$DT$6:$ED$57,卡牌消耗!AT665,AO665)*INDEX(卡牌消耗!$B$7:$F$7,AR665)/$Q$4,0),"")</f>
        <v/>
      </c>
      <c r="BL665" s="194"/>
      <c r="BM665" s="194"/>
      <c r="BN665" s="194"/>
      <c r="BO665" s="194"/>
      <c r="BP665" s="194"/>
      <c r="BQ665" s="208"/>
      <c r="BR665" s="194"/>
      <c r="BS665" s="194"/>
      <c r="BT665" s="194"/>
      <c r="BU665" s="194"/>
      <c r="BV665" s="194"/>
      <c r="BW665" s="194"/>
      <c r="BX665" s="194"/>
      <c r="BY665" s="194"/>
      <c r="BZ665" s="194"/>
    </row>
    <row r="666" spans="37:78" ht="16.5" x14ac:dyDescent="0.2">
      <c r="AK666" s="104">
        <v>662</v>
      </c>
      <c r="AL666" s="14">
        <f t="shared" si="395"/>
        <v>13</v>
      </c>
      <c r="AM666" s="14">
        <f>INDEX(挂机升级突破!DQ$6:DQ$57,卡牌消耗!$AT666)</f>
        <v>11</v>
      </c>
      <c r="AN666" s="14">
        <f>INDEX(挂机升级突破!DR$6:DR$57,卡牌消耗!$AT666)</f>
        <v>5</v>
      </c>
      <c r="AO666" s="14">
        <f>INDEX(挂机升级突破!DS$6:DS$57,卡牌消耗!$AT666)</f>
        <v>0</v>
      </c>
      <c r="AP666" s="14">
        <f>INDEX(挂机升级突破!$DP$6:$DP$57,卡牌消耗!AT666)</f>
        <v>113</v>
      </c>
      <c r="AQ666" s="14" t="str">
        <f t="shared" si="396"/>
        <v>塞伯罗斯</v>
      </c>
      <c r="AR666" s="14">
        <f t="shared" si="397"/>
        <v>2</v>
      </c>
      <c r="AS666" s="14" t="str">
        <f t="shared" si="398"/>
        <v>塞伯罗斯魂火-38</v>
      </c>
      <c r="AT666" s="14">
        <f t="shared" si="399"/>
        <v>38</v>
      </c>
      <c r="AU666" s="14" t="str">
        <f>IF(AM666&gt;0,INDEX(挂机升级突破!$DT$4:$ED$4,AM666),"")</f>
        <v>金币</v>
      </c>
      <c r="AV666" s="14">
        <f>ROUND(INDEX(挂机升级突破!$DJ$6:$DJ$57,卡牌消耗!AT666)*INDEX(卡牌消耗!$B$8:$F$8,AR666)/$Q$4/50,0)*50</f>
        <v>15050</v>
      </c>
      <c r="AW666" s="14" t="str">
        <f>IF(AN666&gt;0,INDEX(挂机升级突破!$DT$4:$ED$4,AN666),"")</f>
        <v>红色基础材料</v>
      </c>
      <c r="AX666" s="14">
        <f>ROUND(INDEX(挂机升级突破!$DT$6:$ED$57,卡牌消耗!AT666,AN666)*INDEX(卡牌消耗!$B$5:$F$5,AR666)/$Q$4/5,0)*5</f>
        <v>5</v>
      </c>
      <c r="AY666" s="14" t="str">
        <f>IF(AO666&gt;0,INDEX(挂机升级突破!$DT$4:$ED$4,AO666),"")</f>
        <v/>
      </c>
      <c r="AZ666" s="14" t="str">
        <f>IF(AO666&gt;0,ROUND(INDEX(挂机升级突破!$DT$6:$ED$57,卡牌消耗!AT666,AO666)*INDEX(卡牌消耗!$B$7:$F$7,AR666)/$Q$4,0),"")</f>
        <v/>
      </c>
      <c r="BL666" s="194"/>
      <c r="BM666" s="194"/>
      <c r="BN666" s="194"/>
      <c r="BO666" s="194"/>
      <c r="BP666" s="194"/>
      <c r="BQ666" s="208"/>
      <c r="BR666" s="194"/>
      <c r="BS666" s="194"/>
      <c r="BT666" s="194"/>
      <c r="BU666" s="194"/>
      <c r="BV666" s="194"/>
      <c r="BW666" s="194"/>
      <c r="BX666" s="194"/>
      <c r="BY666" s="194"/>
      <c r="BZ666" s="194"/>
    </row>
    <row r="667" spans="37:78" ht="16.5" x14ac:dyDescent="0.2">
      <c r="AK667" s="104">
        <v>663</v>
      </c>
      <c r="AL667" s="14">
        <f t="shared" si="395"/>
        <v>13</v>
      </c>
      <c r="AM667" s="14">
        <f>INDEX(挂机升级突破!DQ$6:DQ$57,卡牌消耗!$AT667)</f>
        <v>11</v>
      </c>
      <c r="AN667" s="14">
        <f>INDEX(挂机升级突破!DR$6:DR$57,卡牌消耗!$AT667)</f>
        <v>5</v>
      </c>
      <c r="AO667" s="14">
        <f>INDEX(挂机升级突破!DS$6:DS$57,卡牌消耗!$AT667)</f>
        <v>0</v>
      </c>
      <c r="AP667" s="14">
        <f>INDEX(挂机升级突破!$DP$6:$DP$57,卡牌消耗!AT667)</f>
        <v>115</v>
      </c>
      <c r="AQ667" s="14" t="str">
        <f t="shared" si="396"/>
        <v>塞伯罗斯</v>
      </c>
      <c r="AR667" s="14">
        <f t="shared" si="397"/>
        <v>2</v>
      </c>
      <c r="AS667" s="14" t="str">
        <f t="shared" si="398"/>
        <v>塞伯罗斯魂火-39</v>
      </c>
      <c r="AT667" s="14">
        <f t="shared" si="399"/>
        <v>39</v>
      </c>
      <c r="AU667" s="14" t="str">
        <f>IF(AM667&gt;0,INDEX(挂机升级突破!$DT$4:$ED$4,AM667),"")</f>
        <v>金币</v>
      </c>
      <c r="AV667" s="14">
        <f>ROUND(INDEX(挂机升级突破!$DJ$6:$DJ$57,卡牌消耗!AT667)*INDEX(卡牌消耗!$B$8:$F$8,AR667)/$Q$4/50,0)*50</f>
        <v>15050</v>
      </c>
      <c r="AW667" s="14" t="str">
        <f>IF(AN667&gt;0,INDEX(挂机升级突破!$DT$4:$ED$4,AN667),"")</f>
        <v>红色基础材料</v>
      </c>
      <c r="AX667" s="14">
        <f>ROUND(INDEX(挂机升级突破!$DT$6:$ED$57,卡牌消耗!AT667,AN667)*INDEX(卡牌消耗!$B$5:$F$5,AR667)/$Q$4/5,0)*5</f>
        <v>5</v>
      </c>
      <c r="AY667" s="14" t="str">
        <f>IF(AO667&gt;0,INDEX(挂机升级突破!$DT$4:$ED$4,AO667),"")</f>
        <v/>
      </c>
      <c r="AZ667" s="14" t="str">
        <f>IF(AO667&gt;0,ROUND(INDEX(挂机升级突破!$DT$6:$ED$57,卡牌消耗!AT667,AO667)*INDEX(卡牌消耗!$B$7:$F$7,AR667)/$Q$4,0),"")</f>
        <v/>
      </c>
      <c r="BL667" s="194"/>
      <c r="BM667" s="194"/>
      <c r="BN667" s="194"/>
      <c r="BO667" s="194"/>
      <c r="BP667" s="194"/>
      <c r="BQ667" s="208"/>
      <c r="BR667" s="194"/>
      <c r="BS667" s="194"/>
      <c r="BT667" s="194"/>
      <c r="BU667" s="194"/>
      <c r="BV667" s="194"/>
      <c r="BW667" s="194"/>
      <c r="BX667" s="194"/>
      <c r="BY667" s="194"/>
      <c r="BZ667" s="194"/>
    </row>
    <row r="668" spans="37:78" ht="16.5" x14ac:dyDescent="0.2">
      <c r="AK668" s="104">
        <v>664</v>
      </c>
      <c r="AL668" s="14">
        <f t="shared" si="395"/>
        <v>13</v>
      </c>
      <c r="AM668" s="14">
        <f>INDEX(挂机升级突破!DQ$6:DQ$57,卡牌消耗!$AT668)</f>
        <v>11</v>
      </c>
      <c r="AN668" s="14">
        <f>INDEX(挂机升级突破!DR$6:DR$57,卡牌消耗!$AT668)</f>
        <v>5</v>
      </c>
      <c r="AO668" s="14">
        <f>INDEX(挂机升级突破!DS$6:DS$57,卡牌消耗!$AT668)</f>
        <v>0</v>
      </c>
      <c r="AP668" s="14">
        <f>INDEX(挂机升级突破!$DP$6:$DP$57,卡牌消耗!AT668)</f>
        <v>118</v>
      </c>
      <c r="AQ668" s="14" t="str">
        <f t="shared" si="396"/>
        <v>塞伯罗斯</v>
      </c>
      <c r="AR668" s="14">
        <f t="shared" si="397"/>
        <v>2</v>
      </c>
      <c r="AS668" s="14" t="str">
        <f t="shared" si="398"/>
        <v>塞伯罗斯魂火-40</v>
      </c>
      <c r="AT668" s="14">
        <f t="shared" si="399"/>
        <v>40</v>
      </c>
      <c r="AU668" s="14" t="str">
        <f>IF(AM668&gt;0,INDEX(挂机升级突破!$DT$4:$ED$4,AM668),"")</f>
        <v>金币</v>
      </c>
      <c r="AV668" s="14">
        <f>ROUND(INDEX(挂机升级突破!$DJ$6:$DJ$57,卡牌消耗!AT668)*INDEX(卡牌消耗!$B$8:$F$8,AR668)/$Q$4/50,0)*50</f>
        <v>15050</v>
      </c>
      <c r="AW668" s="14" t="str">
        <f>IF(AN668&gt;0,INDEX(挂机升级突破!$DT$4:$ED$4,AN668),"")</f>
        <v>红色基础材料</v>
      </c>
      <c r="AX668" s="14">
        <f>ROUND(INDEX(挂机升级突破!$DT$6:$ED$57,卡牌消耗!AT668,AN668)*INDEX(卡牌消耗!$B$5:$F$5,AR668)/$Q$4/5,0)*5</f>
        <v>5</v>
      </c>
      <c r="AY668" s="14" t="str">
        <f>IF(AO668&gt;0,INDEX(挂机升级突破!$DT$4:$ED$4,AO668),"")</f>
        <v/>
      </c>
      <c r="AZ668" s="14" t="str">
        <f>IF(AO668&gt;0,ROUND(INDEX(挂机升级突破!$DT$6:$ED$57,卡牌消耗!AT668,AO668)*INDEX(卡牌消耗!$B$7:$F$7,AR668)/$Q$4,0),"")</f>
        <v/>
      </c>
      <c r="BL668" s="194"/>
      <c r="BM668" s="194"/>
      <c r="BN668" s="194"/>
      <c r="BO668" s="194"/>
      <c r="BP668" s="194"/>
      <c r="BQ668" s="208"/>
      <c r="BR668" s="194"/>
      <c r="BS668" s="194"/>
      <c r="BT668" s="194"/>
      <c r="BU668" s="194"/>
      <c r="BV668" s="194"/>
      <c r="BW668" s="194"/>
      <c r="BX668" s="194"/>
      <c r="BY668" s="194"/>
      <c r="BZ668" s="194"/>
    </row>
    <row r="669" spans="37:78" ht="16.5" x14ac:dyDescent="0.2">
      <c r="AK669" s="104">
        <v>665</v>
      </c>
      <c r="AL669" s="14">
        <f t="shared" si="395"/>
        <v>13</v>
      </c>
      <c r="AM669" s="14">
        <f>INDEX(挂机升级突破!DQ$6:DQ$57,卡牌消耗!$AT669)</f>
        <v>11</v>
      </c>
      <c r="AN669" s="14">
        <f>INDEX(挂机升级突破!DR$6:DR$57,卡牌消耗!$AT669)</f>
        <v>5</v>
      </c>
      <c r="AO669" s="14">
        <f>INDEX(挂机升级突破!DS$6:DS$57,卡牌消耗!$AT669)</f>
        <v>10</v>
      </c>
      <c r="AP669" s="14">
        <f>INDEX(挂机升级突破!$DP$6:$DP$57,卡牌消耗!AT669)</f>
        <v>120</v>
      </c>
      <c r="AQ669" s="14" t="str">
        <f t="shared" si="396"/>
        <v>塞伯罗斯</v>
      </c>
      <c r="AR669" s="14">
        <f t="shared" si="397"/>
        <v>2</v>
      </c>
      <c r="AS669" s="14" t="str">
        <f t="shared" si="398"/>
        <v>塞伯罗斯魂火-41</v>
      </c>
      <c r="AT669" s="14">
        <f t="shared" si="399"/>
        <v>41</v>
      </c>
      <c r="AU669" s="14" t="str">
        <f>IF(AM669&gt;0,INDEX(挂机升级突破!$DT$4:$ED$4,AM669),"")</f>
        <v>金币</v>
      </c>
      <c r="AV669" s="14">
        <f>ROUND(INDEX(挂机升级突破!$DJ$6:$DJ$57,卡牌消耗!AT669)*INDEX(卡牌消耗!$B$8:$F$8,AR669)/$Q$4/50,0)*50</f>
        <v>20700</v>
      </c>
      <c r="AW669" s="14" t="str">
        <f>IF(AN669&gt;0,INDEX(挂机升级突破!$DT$4:$ED$4,AN669),"")</f>
        <v>红色基础材料</v>
      </c>
      <c r="AX669" s="14">
        <f>ROUND(INDEX(挂机升级突破!$DT$6:$ED$57,卡牌消耗!AT669,AN669)*INDEX(卡牌消耗!$B$5:$F$5,AR669)/$Q$4/5,0)*5</f>
        <v>10</v>
      </c>
      <c r="AY669" s="14" t="str">
        <f>IF(AO669&gt;0,INDEX(挂机升级突破!$DT$4:$ED$4,AO669),"")</f>
        <v>灵玉</v>
      </c>
      <c r="AZ669" s="14">
        <f>IF(AO669&gt;0,ROUND(INDEX(挂机升级突破!$DT$6:$ED$57,卡牌消耗!AT669,AO669)*INDEX(卡牌消耗!$B$7:$F$7,AR669)/$Q$4,0),"")</f>
        <v>1</v>
      </c>
      <c r="BL669" s="194"/>
      <c r="BM669" s="194"/>
      <c r="BN669" s="194"/>
      <c r="BO669" s="194"/>
      <c r="BP669" s="194"/>
      <c r="BQ669" s="208"/>
      <c r="BR669" s="194"/>
      <c r="BS669" s="194"/>
      <c r="BT669" s="194"/>
      <c r="BU669" s="194"/>
      <c r="BV669" s="194"/>
      <c r="BW669" s="194"/>
      <c r="BX669" s="194"/>
      <c r="BY669" s="194"/>
      <c r="BZ669" s="194"/>
    </row>
    <row r="670" spans="37:78" ht="16.5" x14ac:dyDescent="0.2">
      <c r="AK670" s="104">
        <v>666</v>
      </c>
      <c r="AL670" s="14">
        <f t="shared" si="395"/>
        <v>13</v>
      </c>
      <c r="AM670" s="14">
        <f>INDEX(挂机升级突破!DQ$6:DQ$57,卡牌消耗!$AT670)</f>
        <v>11</v>
      </c>
      <c r="AN670" s="14">
        <f>INDEX(挂机升级突破!DR$6:DR$57,卡牌消耗!$AT670)</f>
        <v>5</v>
      </c>
      <c r="AO670" s="14">
        <f>INDEX(挂机升级突破!DS$6:DS$57,卡牌消耗!$AT670)</f>
        <v>10</v>
      </c>
      <c r="AP670" s="14">
        <f>INDEX(挂机升级突破!$DP$6:$DP$57,卡牌消耗!AT670)</f>
        <v>123</v>
      </c>
      <c r="AQ670" s="14" t="str">
        <f t="shared" si="396"/>
        <v>塞伯罗斯</v>
      </c>
      <c r="AR670" s="14">
        <f t="shared" si="397"/>
        <v>2</v>
      </c>
      <c r="AS670" s="14" t="str">
        <f t="shared" si="398"/>
        <v>塞伯罗斯魂火-42</v>
      </c>
      <c r="AT670" s="14">
        <f t="shared" si="399"/>
        <v>42</v>
      </c>
      <c r="AU670" s="14" t="str">
        <f>IF(AM670&gt;0,INDEX(挂机升级突破!$DT$4:$ED$4,AM670),"")</f>
        <v>金币</v>
      </c>
      <c r="AV670" s="14">
        <f>ROUND(INDEX(挂机升级突破!$DJ$6:$DJ$57,卡牌消耗!AT670)*INDEX(卡牌消耗!$B$8:$F$8,AR670)/$Q$4/50,0)*50</f>
        <v>20700</v>
      </c>
      <c r="AW670" s="14" t="str">
        <f>IF(AN670&gt;0,INDEX(挂机升级突破!$DT$4:$ED$4,AN670),"")</f>
        <v>红色基础材料</v>
      </c>
      <c r="AX670" s="14">
        <f>ROUND(INDEX(挂机升级突破!$DT$6:$ED$57,卡牌消耗!AT670,AN670)*INDEX(卡牌消耗!$B$5:$F$5,AR670)/$Q$4/5,0)*5</f>
        <v>10</v>
      </c>
      <c r="AY670" s="14" t="str">
        <f>IF(AO670&gt;0,INDEX(挂机升级突破!$DT$4:$ED$4,AO670),"")</f>
        <v>灵玉</v>
      </c>
      <c r="AZ670" s="14">
        <f>IF(AO670&gt;0,ROUND(INDEX(挂机升级突破!$DT$6:$ED$57,卡牌消耗!AT670,AO670)*INDEX(卡牌消耗!$B$7:$F$7,AR670)/$Q$4,0),"")</f>
        <v>1</v>
      </c>
      <c r="BL670" s="194"/>
      <c r="BM670" s="194"/>
      <c r="BN670" s="194"/>
      <c r="BO670" s="194"/>
      <c r="BP670" s="194"/>
      <c r="BQ670" s="208"/>
      <c r="BR670" s="194"/>
      <c r="BS670" s="194"/>
      <c r="BT670" s="194"/>
      <c r="BU670" s="194"/>
      <c r="BV670" s="194"/>
      <c r="BW670" s="194"/>
      <c r="BX670" s="194"/>
      <c r="BY670" s="194"/>
      <c r="BZ670" s="194"/>
    </row>
    <row r="671" spans="37:78" ht="16.5" x14ac:dyDescent="0.2">
      <c r="AK671" s="104">
        <v>667</v>
      </c>
      <c r="AL671" s="14">
        <f t="shared" si="395"/>
        <v>13</v>
      </c>
      <c r="AM671" s="14">
        <f>INDEX(挂机升级突破!DQ$6:DQ$57,卡牌消耗!$AT671)</f>
        <v>11</v>
      </c>
      <c r="AN671" s="14">
        <f>INDEX(挂机升级突破!DR$6:DR$57,卡牌消耗!$AT671)</f>
        <v>5</v>
      </c>
      <c r="AO671" s="14">
        <f>INDEX(挂机升级突破!DS$6:DS$57,卡牌消耗!$AT671)</f>
        <v>10</v>
      </c>
      <c r="AP671" s="14">
        <f>INDEX(挂机升级突破!$DP$6:$DP$57,卡牌消耗!AT671)</f>
        <v>125</v>
      </c>
      <c r="AQ671" s="14" t="str">
        <f t="shared" si="396"/>
        <v>塞伯罗斯</v>
      </c>
      <c r="AR671" s="14">
        <f t="shared" si="397"/>
        <v>2</v>
      </c>
      <c r="AS671" s="14" t="str">
        <f t="shared" si="398"/>
        <v>塞伯罗斯魂火-43</v>
      </c>
      <c r="AT671" s="14">
        <f t="shared" si="399"/>
        <v>43</v>
      </c>
      <c r="AU671" s="14" t="str">
        <f>IF(AM671&gt;0,INDEX(挂机升级突破!$DT$4:$ED$4,AM671),"")</f>
        <v>金币</v>
      </c>
      <c r="AV671" s="14">
        <f>ROUND(INDEX(挂机升级突破!$DJ$6:$DJ$57,卡牌消耗!AT671)*INDEX(卡牌消耗!$B$8:$F$8,AR671)/$Q$4/50,0)*50</f>
        <v>20700</v>
      </c>
      <c r="AW671" s="14" t="str">
        <f>IF(AN671&gt;0,INDEX(挂机升级突破!$DT$4:$ED$4,AN671),"")</f>
        <v>红色基础材料</v>
      </c>
      <c r="AX671" s="14">
        <f>ROUND(INDEX(挂机升级突破!$DT$6:$ED$57,卡牌消耗!AT671,AN671)*INDEX(卡牌消耗!$B$5:$F$5,AR671)/$Q$4/5,0)*5</f>
        <v>10</v>
      </c>
      <c r="AY671" s="14" t="str">
        <f>IF(AO671&gt;0,INDEX(挂机升级突破!$DT$4:$ED$4,AO671),"")</f>
        <v>灵玉</v>
      </c>
      <c r="AZ671" s="14">
        <f>IF(AO671&gt;0,ROUND(INDEX(挂机升级突破!$DT$6:$ED$57,卡牌消耗!AT671,AO671)*INDEX(卡牌消耗!$B$7:$F$7,AR671)/$Q$4,0),"")</f>
        <v>1</v>
      </c>
      <c r="BL671" s="194"/>
      <c r="BM671" s="194"/>
      <c r="BN671" s="194"/>
      <c r="BO671" s="194"/>
      <c r="BP671" s="194"/>
      <c r="BQ671" s="208"/>
      <c r="BR671" s="194"/>
      <c r="BS671" s="194"/>
      <c r="BT671" s="194"/>
      <c r="BU671" s="194"/>
      <c r="BV671" s="194"/>
      <c r="BW671" s="194"/>
      <c r="BX671" s="194"/>
      <c r="BY671" s="194"/>
      <c r="BZ671" s="194"/>
    </row>
    <row r="672" spans="37:78" ht="16.5" x14ac:dyDescent="0.2">
      <c r="AK672" s="104">
        <v>668</v>
      </c>
      <c r="AL672" s="14">
        <f t="shared" si="395"/>
        <v>13</v>
      </c>
      <c r="AM672" s="14">
        <f>INDEX(挂机升级突破!DQ$6:DQ$57,卡牌消耗!$AT672)</f>
        <v>11</v>
      </c>
      <c r="AN672" s="14">
        <f>INDEX(挂机升级突破!DR$6:DR$57,卡牌消耗!$AT672)</f>
        <v>5</v>
      </c>
      <c r="AO672" s="14">
        <f>INDEX(挂机升级突破!DS$6:DS$57,卡牌消耗!$AT672)</f>
        <v>10</v>
      </c>
      <c r="AP672" s="14">
        <f>INDEX(挂机升级突破!$DP$6:$DP$57,卡牌消耗!AT672)</f>
        <v>128</v>
      </c>
      <c r="AQ672" s="14" t="str">
        <f t="shared" si="396"/>
        <v>塞伯罗斯</v>
      </c>
      <c r="AR672" s="14">
        <f t="shared" si="397"/>
        <v>2</v>
      </c>
      <c r="AS672" s="14" t="str">
        <f t="shared" si="398"/>
        <v>塞伯罗斯魂火-44</v>
      </c>
      <c r="AT672" s="14">
        <f t="shared" si="399"/>
        <v>44</v>
      </c>
      <c r="AU672" s="14" t="str">
        <f>IF(AM672&gt;0,INDEX(挂机升级突破!$DT$4:$ED$4,AM672),"")</f>
        <v>金币</v>
      </c>
      <c r="AV672" s="14">
        <f>ROUND(INDEX(挂机升级突破!$DJ$6:$DJ$57,卡牌消耗!AT672)*INDEX(卡牌消耗!$B$8:$F$8,AR672)/$Q$4/50,0)*50</f>
        <v>26300</v>
      </c>
      <c r="AW672" s="14" t="str">
        <f>IF(AN672&gt;0,INDEX(挂机升级突破!$DT$4:$ED$4,AN672),"")</f>
        <v>红色基础材料</v>
      </c>
      <c r="AX672" s="14">
        <f>ROUND(INDEX(挂机升级突破!$DT$6:$ED$57,卡牌消耗!AT672,AN672)*INDEX(卡牌消耗!$B$5:$F$5,AR672)/$Q$4/5,0)*5</f>
        <v>10</v>
      </c>
      <c r="AY672" s="14" t="str">
        <f>IF(AO672&gt;0,INDEX(挂机升级突破!$DT$4:$ED$4,AO672),"")</f>
        <v>灵玉</v>
      </c>
      <c r="AZ672" s="14">
        <f>IF(AO672&gt;0,ROUND(INDEX(挂机升级突破!$DT$6:$ED$57,卡牌消耗!AT672,AO672)*INDEX(卡牌消耗!$B$7:$F$7,AR672)/$Q$4,0),"")</f>
        <v>1</v>
      </c>
      <c r="BL672" s="194"/>
      <c r="BM672" s="194"/>
      <c r="BN672" s="194"/>
      <c r="BO672" s="194"/>
      <c r="BP672" s="194"/>
      <c r="BQ672" s="208"/>
      <c r="BR672" s="194"/>
      <c r="BS672" s="194"/>
      <c r="BT672" s="194"/>
      <c r="BU672" s="194"/>
      <c r="BV672" s="194"/>
      <c r="BW672" s="194"/>
      <c r="BX672" s="194"/>
      <c r="BY672" s="194"/>
      <c r="BZ672" s="194"/>
    </row>
    <row r="673" spans="37:78" ht="16.5" x14ac:dyDescent="0.2">
      <c r="AK673" s="104">
        <v>669</v>
      </c>
      <c r="AL673" s="14">
        <f t="shared" si="395"/>
        <v>13</v>
      </c>
      <c r="AM673" s="14">
        <f>INDEX(挂机升级突破!DQ$6:DQ$57,卡牌消耗!$AT673)</f>
        <v>11</v>
      </c>
      <c r="AN673" s="14">
        <f>INDEX(挂机升级突破!DR$6:DR$57,卡牌消耗!$AT673)</f>
        <v>5</v>
      </c>
      <c r="AO673" s="14">
        <f>INDEX(挂机升级突破!DS$6:DS$57,卡牌消耗!$AT673)</f>
        <v>10</v>
      </c>
      <c r="AP673" s="14">
        <f>INDEX(挂机升级突破!$DP$6:$DP$57,卡牌消耗!AT673)</f>
        <v>130</v>
      </c>
      <c r="AQ673" s="14" t="str">
        <f t="shared" si="396"/>
        <v>塞伯罗斯</v>
      </c>
      <c r="AR673" s="14">
        <f t="shared" si="397"/>
        <v>2</v>
      </c>
      <c r="AS673" s="14" t="str">
        <f t="shared" si="398"/>
        <v>塞伯罗斯魂火-45</v>
      </c>
      <c r="AT673" s="14">
        <f t="shared" si="399"/>
        <v>45</v>
      </c>
      <c r="AU673" s="14" t="str">
        <f>IF(AM673&gt;0,INDEX(挂机升级突破!$DT$4:$ED$4,AM673),"")</f>
        <v>金币</v>
      </c>
      <c r="AV673" s="14">
        <f>ROUND(INDEX(挂机升级突破!$DJ$6:$DJ$57,卡牌消耗!AT673)*INDEX(卡牌消耗!$B$8:$F$8,AR673)/$Q$4/50,0)*50</f>
        <v>26300</v>
      </c>
      <c r="AW673" s="14" t="str">
        <f>IF(AN673&gt;0,INDEX(挂机升级突破!$DT$4:$ED$4,AN673),"")</f>
        <v>红色基础材料</v>
      </c>
      <c r="AX673" s="14">
        <f>ROUND(INDEX(挂机升级突破!$DT$6:$ED$57,卡牌消耗!AT673,AN673)*INDEX(卡牌消耗!$B$5:$F$5,AR673)/$Q$4/5,0)*5</f>
        <v>10</v>
      </c>
      <c r="AY673" s="14" t="str">
        <f>IF(AO673&gt;0,INDEX(挂机升级突破!$DT$4:$ED$4,AO673),"")</f>
        <v>灵玉</v>
      </c>
      <c r="AZ673" s="14">
        <f>IF(AO673&gt;0,ROUND(INDEX(挂机升级突破!$DT$6:$ED$57,卡牌消耗!AT673,AO673)*INDEX(卡牌消耗!$B$7:$F$7,AR673)/$Q$4,0),"")</f>
        <v>1</v>
      </c>
      <c r="BL673" s="194"/>
      <c r="BM673" s="194"/>
      <c r="BN673" s="194"/>
      <c r="BO673" s="194"/>
      <c r="BP673" s="194"/>
      <c r="BQ673" s="208"/>
      <c r="BR673" s="194"/>
      <c r="BS673" s="194"/>
      <c r="BT673" s="194"/>
      <c r="BU673" s="194"/>
      <c r="BV673" s="194"/>
      <c r="BW673" s="194"/>
      <c r="BX673" s="194"/>
      <c r="BY673" s="194"/>
      <c r="BZ673" s="194"/>
    </row>
    <row r="674" spans="37:78" ht="16.5" x14ac:dyDescent="0.2">
      <c r="AK674" s="104">
        <v>670</v>
      </c>
      <c r="AL674" s="14">
        <f t="shared" si="395"/>
        <v>13</v>
      </c>
      <c r="AM674" s="14">
        <f>INDEX(挂机升级突破!DQ$6:DQ$57,卡牌消耗!$AT674)</f>
        <v>11</v>
      </c>
      <c r="AN674" s="14">
        <f>INDEX(挂机升级突破!DR$6:DR$57,卡牌消耗!$AT674)</f>
        <v>5</v>
      </c>
      <c r="AO674" s="14">
        <f>INDEX(挂机升级突破!DS$6:DS$57,卡牌消耗!$AT674)</f>
        <v>10</v>
      </c>
      <c r="AP674" s="14">
        <f>INDEX(挂机升级突破!$DP$6:$DP$57,卡牌消耗!AT674)</f>
        <v>133</v>
      </c>
      <c r="AQ674" s="14" t="str">
        <f t="shared" si="396"/>
        <v>塞伯罗斯</v>
      </c>
      <c r="AR674" s="14">
        <f t="shared" si="397"/>
        <v>2</v>
      </c>
      <c r="AS674" s="14" t="str">
        <f t="shared" si="398"/>
        <v>塞伯罗斯魂火-46</v>
      </c>
      <c r="AT674" s="14">
        <f t="shared" si="399"/>
        <v>46</v>
      </c>
      <c r="AU674" s="14" t="str">
        <f>IF(AM674&gt;0,INDEX(挂机升级突破!$DT$4:$ED$4,AM674),"")</f>
        <v>金币</v>
      </c>
      <c r="AV674" s="14">
        <f>ROUND(INDEX(挂机升级突破!$DJ$6:$DJ$57,卡牌消耗!AT674)*INDEX(卡牌消耗!$B$8:$F$8,AR674)/$Q$4/50,0)*50</f>
        <v>28200</v>
      </c>
      <c r="AW674" s="14" t="str">
        <f>IF(AN674&gt;0,INDEX(挂机升级突破!$DT$4:$ED$4,AN674),"")</f>
        <v>红色基础材料</v>
      </c>
      <c r="AX674" s="14">
        <f>ROUND(INDEX(挂机升级突破!$DT$6:$ED$57,卡牌消耗!AT674,AN674)*INDEX(卡牌消耗!$B$5:$F$5,AR674)/$Q$4/5,0)*5</f>
        <v>10</v>
      </c>
      <c r="AY674" s="14" t="str">
        <f>IF(AO674&gt;0,INDEX(挂机升级突破!$DT$4:$ED$4,AO674),"")</f>
        <v>灵玉</v>
      </c>
      <c r="AZ674" s="14">
        <f>IF(AO674&gt;0,ROUND(INDEX(挂机升级突破!$DT$6:$ED$57,卡牌消耗!AT674,AO674)*INDEX(卡牌消耗!$B$7:$F$7,AR674)/$Q$4,0),"")</f>
        <v>1</v>
      </c>
      <c r="BL674" s="194"/>
      <c r="BM674" s="194"/>
      <c r="BN674" s="194"/>
      <c r="BO674" s="194"/>
      <c r="BP674" s="194"/>
      <c r="BQ674" s="208"/>
      <c r="BR674" s="194"/>
      <c r="BS674" s="194"/>
      <c r="BT674" s="194"/>
      <c r="BU674" s="194"/>
      <c r="BV674" s="194"/>
      <c r="BW674" s="194"/>
      <c r="BX674" s="194"/>
      <c r="BY674" s="194"/>
      <c r="BZ674" s="194"/>
    </row>
    <row r="675" spans="37:78" ht="16.5" x14ac:dyDescent="0.2">
      <c r="AK675" s="104">
        <v>671</v>
      </c>
      <c r="AL675" s="14">
        <f t="shared" si="395"/>
        <v>13</v>
      </c>
      <c r="AM675" s="14">
        <f>INDEX(挂机升级突破!DQ$6:DQ$57,卡牌消耗!$AT675)</f>
        <v>11</v>
      </c>
      <c r="AN675" s="14">
        <f>INDEX(挂机升级突破!DR$6:DR$57,卡牌消耗!$AT675)</f>
        <v>5</v>
      </c>
      <c r="AO675" s="14">
        <f>INDEX(挂机升级突破!DS$6:DS$57,卡牌消耗!$AT675)</f>
        <v>10</v>
      </c>
      <c r="AP675" s="14">
        <f>INDEX(挂机升级突破!$DP$6:$DP$57,卡牌消耗!AT675)</f>
        <v>135</v>
      </c>
      <c r="AQ675" s="14" t="str">
        <f t="shared" si="396"/>
        <v>塞伯罗斯</v>
      </c>
      <c r="AR675" s="14">
        <f t="shared" si="397"/>
        <v>2</v>
      </c>
      <c r="AS675" s="14" t="str">
        <f t="shared" si="398"/>
        <v>塞伯罗斯魂火-47</v>
      </c>
      <c r="AT675" s="14">
        <f t="shared" si="399"/>
        <v>47</v>
      </c>
      <c r="AU675" s="14" t="str">
        <f>IF(AM675&gt;0,INDEX(挂机升级突破!$DT$4:$ED$4,AM675),"")</f>
        <v>金币</v>
      </c>
      <c r="AV675" s="14">
        <f>ROUND(INDEX(挂机升级突破!$DJ$6:$DJ$57,卡牌消耗!AT675)*INDEX(卡牌消耗!$B$8:$F$8,AR675)/$Q$4/50,0)*50</f>
        <v>57450</v>
      </c>
      <c r="AW675" s="14" t="str">
        <f>IF(AN675&gt;0,INDEX(挂机升级突破!$DT$4:$ED$4,AN675),"")</f>
        <v>红色基础材料</v>
      </c>
      <c r="AX675" s="14">
        <f>ROUND(INDEX(挂机升级突破!$DT$6:$ED$57,卡牌消耗!AT675,AN675)*INDEX(卡牌消耗!$B$5:$F$5,AR675)/$Q$4/5,0)*5</f>
        <v>10</v>
      </c>
      <c r="AY675" s="14" t="str">
        <f>IF(AO675&gt;0,INDEX(挂机升级突破!$DT$4:$ED$4,AO675),"")</f>
        <v>灵玉</v>
      </c>
      <c r="AZ675" s="14">
        <f>IF(AO675&gt;0,ROUND(INDEX(挂机升级突破!$DT$6:$ED$57,卡牌消耗!AT675,AO675)*INDEX(卡牌消耗!$B$7:$F$7,AR675)/$Q$4,0),"")</f>
        <v>1</v>
      </c>
      <c r="BL675" s="194"/>
      <c r="BM675" s="194"/>
      <c r="BN675" s="194"/>
      <c r="BO675" s="194"/>
      <c r="BP675" s="194"/>
      <c r="BQ675" s="208"/>
      <c r="BR675" s="194"/>
      <c r="BS675" s="194"/>
      <c r="BT675" s="194"/>
      <c r="BU675" s="194"/>
      <c r="BV675" s="194"/>
      <c r="BW675" s="194"/>
      <c r="BX675" s="194"/>
      <c r="BY675" s="194"/>
      <c r="BZ675" s="194"/>
    </row>
    <row r="676" spans="37:78" ht="16.5" x14ac:dyDescent="0.2">
      <c r="AK676" s="104">
        <v>672</v>
      </c>
      <c r="AL676" s="14">
        <f t="shared" si="395"/>
        <v>13</v>
      </c>
      <c r="AM676" s="14">
        <f>INDEX(挂机升级突破!DQ$6:DQ$57,卡牌消耗!$AT676)</f>
        <v>11</v>
      </c>
      <c r="AN676" s="14">
        <f>INDEX(挂机升级突破!DR$6:DR$57,卡牌消耗!$AT676)</f>
        <v>5</v>
      </c>
      <c r="AO676" s="14">
        <f>INDEX(挂机升级突破!DS$6:DS$57,卡牌消耗!$AT676)</f>
        <v>10</v>
      </c>
      <c r="AP676" s="14">
        <f>INDEX(挂机升级突破!$DP$6:$DP$57,卡牌消耗!AT676)</f>
        <v>138</v>
      </c>
      <c r="AQ676" s="14" t="str">
        <f t="shared" si="396"/>
        <v>塞伯罗斯</v>
      </c>
      <c r="AR676" s="14">
        <f t="shared" si="397"/>
        <v>2</v>
      </c>
      <c r="AS676" s="14" t="str">
        <f t="shared" si="398"/>
        <v>塞伯罗斯魂火-48</v>
      </c>
      <c r="AT676" s="14">
        <f t="shared" si="399"/>
        <v>48</v>
      </c>
      <c r="AU676" s="14" t="str">
        <f>IF(AM676&gt;0,INDEX(挂机升级突破!$DT$4:$ED$4,AM676),"")</f>
        <v>金币</v>
      </c>
      <c r="AV676" s="14">
        <f>ROUND(INDEX(挂机升级突破!$DJ$6:$DJ$57,卡牌消耗!AT676)*INDEX(卡牌消耗!$B$8:$F$8,AR676)/$Q$4/50,0)*50</f>
        <v>57450</v>
      </c>
      <c r="AW676" s="14" t="str">
        <f>IF(AN676&gt;0,INDEX(挂机升级突破!$DT$4:$ED$4,AN676),"")</f>
        <v>红色基础材料</v>
      </c>
      <c r="AX676" s="14">
        <f>ROUND(INDEX(挂机升级突破!$DT$6:$ED$57,卡牌消耗!AT676,AN676)*INDEX(卡牌消耗!$B$5:$F$5,AR676)/$Q$4/5,0)*5</f>
        <v>10</v>
      </c>
      <c r="AY676" s="14" t="str">
        <f>IF(AO676&gt;0,INDEX(挂机升级突破!$DT$4:$ED$4,AO676),"")</f>
        <v>灵玉</v>
      </c>
      <c r="AZ676" s="14">
        <f>IF(AO676&gt;0,ROUND(INDEX(挂机升级突破!$DT$6:$ED$57,卡牌消耗!AT676,AO676)*INDEX(卡牌消耗!$B$7:$F$7,AR676)/$Q$4,0),"")</f>
        <v>1</v>
      </c>
      <c r="BL676" s="194"/>
      <c r="BM676" s="194"/>
      <c r="BN676" s="194"/>
      <c r="BO676" s="194"/>
      <c r="BP676" s="194"/>
      <c r="BQ676" s="208"/>
      <c r="BR676" s="194"/>
      <c r="BS676" s="194"/>
      <c r="BT676" s="194"/>
      <c r="BU676" s="194"/>
      <c r="BV676" s="194"/>
      <c r="BW676" s="194"/>
      <c r="BX676" s="194"/>
      <c r="BY676" s="194"/>
      <c r="BZ676" s="194"/>
    </row>
    <row r="677" spans="37:78" ht="16.5" x14ac:dyDescent="0.2">
      <c r="AK677" s="104">
        <v>673</v>
      </c>
      <c r="AL677" s="14">
        <f t="shared" si="395"/>
        <v>13</v>
      </c>
      <c r="AM677" s="14">
        <f>INDEX(挂机升级突破!DQ$6:DQ$57,卡牌消耗!$AT677)</f>
        <v>11</v>
      </c>
      <c r="AN677" s="14">
        <f>INDEX(挂机升级突破!DR$6:DR$57,卡牌消耗!$AT677)</f>
        <v>5</v>
      </c>
      <c r="AO677" s="14">
        <f>INDEX(挂机升级突破!DS$6:DS$57,卡牌消耗!$AT677)</f>
        <v>10</v>
      </c>
      <c r="AP677" s="14">
        <f>INDEX(挂机升级突破!$DP$6:$DP$57,卡牌消耗!AT677)</f>
        <v>140</v>
      </c>
      <c r="AQ677" s="14" t="str">
        <f t="shared" si="396"/>
        <v>塞伯罗斯</v>
      </c>
      <c r="AR677" s="14">
        <f t="shared" si="397"/>
        <v>2</v>
      </c>
      <c r="AS677" s="14" t="str">
        <f t="shared" si="398"/>
        <v>塞伯罗斯魂火-49</v>
      </c>
      <c r="AT677" s="14">
        <f t="shared" si="399"/>
        <v>49</v>
      </c>
      <c r="AU677" s="14" t="str">
        <f>IF(AM677&gt;0,INDEX(挂机升级突破!$DT$4:$ED$4,AM677),"")</f>
        <v>金币</v>
      </c>
      <c r="AV677" s="14">
        <f>ROUND(INDEX(挂机升级突破!$DJ$6:$DJ$57,卡牌消耗!AT677)*INDEX(卡牌消耗!$B$8:$F$8,AR677)/$Q$4/50,0)*50</f>
        <v>57450</v>
      </c>
      <c r="AW677" s="14" t="str">
        <f>IF(AN677&gt;0,INDEX(挂机升级突破!$DT$4:$ED$4,AN677),"")</f>
        <v>红色基础材料</v>
      </c>
      <c r="AX677" s="14">
        <f>ROUND(INDEX(挂机升级突破!$DT$6:$ED$57,卡牌消耗!AT677,AN677)*INDEX(卡牌消耗!$B$5:$F$5,AR677)/$Q$4/5,0)*5</f>
        <v>10</v>
      </c>
      <c r="AY677" s="14" t="str">
        <f>IF(AO677&gt;0,INDEX(挂机升级突破!$DT$4:$ED$4,AO677),"")</f>
        <v>灵玉</v>
      </c>
      <c r="AZ677" s="14">
        <f>IF(AO677&gt;0,ROUND(INDEX(挂机升级突破!$DT$6:$ED$57,卡牌消耗!AT677,AO677)*INDEX(卡牌消耗!$B$7:$F$7,AR677)/$Q$4,0),"")</f>
        <v>1</v>
      </c>
      <c r="BL677" s="194"/>
      <c r="BM677" s="194"/>
      <c r="BN677" s="194"/>
      <c r="BO677" s="194"/>
      <c r="BP677" s="194"/>
      <c r="BQ677" s="208"/>
      <c r="BR677" s="194"/>
      <c r="BS677" s="194"/>
      <c r="BT677" s="194"/>
      <c r="BU677" s="194"/>
      <c r="BV677" s="194"/>
      <c r="BW677" s="194"/>
      <c r="BX677" s="194"/>
      <c r="BY677" s="194"/>
      <c r="BZ677" s="194"/>
    </row>
    <row r="678" spans="37:78" ht="16.5" x14ac:dyDescent="0.2">
      <c r="AK678" s="104">
        <v>674</v>
      </c>
      <c r="AL678" s="14">
        <f t="shared" si="395"/>
        <v>13</v>
      </c>
      <c r="AM678" s="14">
        <f>INDEX(挂机升级突破!DQ$6:DQ$57,卡牌消耗!$AT678)</f>
        <v>11</v>
      </c>
      <c r="AN678" s="14">
        <f>INDEX(挂机升级突破!DR$6:DR$57,卡牌消耗!$AT678)</f>
        <v>5</v>
      </c>
      <c r="AO678" s="14">
        <f>INDEX(挂机升级突破!DS$6:DS$57,卡牌消耗!$AT678)</f>
        <v>10</v>
      </c>
      <c r="AP678" s="14">
        <f>INDEX(挂机升级突破!$DP$6:$DP$57,卡牌消耗!AT678)</f>
        <v>143</v>
      </c>
      <c r="AQ678" s="14" t="str">
        <f t="shared" si="396"/>
        <v>塞伯罗斯</v>
      </c>
      <c r="AR678" s="14">
        <f t="shared" si="397"/>
        <v>2</v>
      </c>
      <c r="AS678" s="14" t="str">
        <f t="shared" si="398"/>
        <v>塞伯罗斯魂火-50</v>
      </c>
      <c r="AT678" s="14">
        <f t="shared" si="399"/>
        <v>50</v>
      </c>
      <c r="AU678" s="14" t="str">
        <f>IF(AM678&gt;0,INDEX(挂机升级突破!$DT$4:$ED$4,AM678),"")</f>
        <v>金币</v>
      </c>
      <c r="AV678" s="14">
        <f>ROUND(INDEX(挂机升级突破!$DJ$6:$DJ$57,卡牌消耗!AT678)*INDEX(卡牌消耗!$B$8:$F$8,AR678)/$Q$4/50,0)*50</f>
        <v>95750</v>
      </c>
      <c r="AW678" s="14" t="str">
        <f>IF(AN678&gt;0,INDEX(挂机升级突破!$DT$4:$ED$4,AN678),"")</f>
        <v>红色基础材料</v>
      </c>
      <c r="AX678" s="14">
        <f>ROUND(INDEX(挂机升级突破!$DT$6:$ED$57,卡牌消耗!AT678,AN678)*INDEX(卡牌消耗!$B$5:$F$5,AR678)/$Q$4/5,0)*5</f>
        <v>10</v>
      </c>
      <c r="AY678" s="14" t="str">
        <f>IF(AO678&gt;0,INDEX(挂机升级突破!$DT$4:$ED$4,AO678),"")</f>
        <v>灵玉</v>
      </c>
      <c r="AZ678" s="14">
        <f>IF(AO678&gt;0,ROUND(INDEX(挂机升级突破!$DT$6:$ED$57,卡牌消耗!AT678,AO678)*INDEX(卡牌消耗!$B$7:$F$7,AR678)/$Q$4,0),"")</f>
        <v>1</v>
      </c>
      <c r="BL678" s="194"/>
      <c r="BM678" s="194"/>
      <c r="BN678" s="194"/>
      <c r="BO678" s="194"/>
      <c r="BP678" s="194"/>
      <c r="BQ678" s="208"/>
      <c r="BR678" s="194"/>
      <c r="BS678" s="194"/>
      <c r="BT678" s="194"/>
      <c r="BU678" s="194"/>
      <c r="BV678" s="194"/>
      <c r="BW678" s="194"/>
      <c r="BX678" s="194"/>
      <c r="BY678" s="194"/>
      <c r="BZ678" s="194"/>
    </row>
    <row r="679" spans="37:78" ht="16.5" x14ac:dyDescent="0.2">
      <c r="AK679" s="104">
        <v>675</v>
      </c>
      <c r="AL679" s="14">
        <f t="shared" si="395"/>
        <v>13</v>
      </c>
      <c r="AM679" s="14">
        <f>INDEX(挂机升级突破!DQ$6:DQ$57,卡牌消耗!$AT679)</f>
        <v>11</v>
      </c>
      <c r="AN679" s="14">
        <f>INDEX(挂机升级突破!DR$6:DR$57,卡牌消耗!$AT679)</f>
        <v>5</v>
      </c>
      <c r="AO679" s="14">
        <f>INDEX(挂机升级突破!DS$6:DS$57,卡牌消耗!$AT679)</f>
        <v>10</v>
      </c>
      <c r="AP679" s="14">
        <f>INDEX(挂机升级突破!$DP$6:$DP$57,卡牌消耗!AT679)</f>
        <v>145</v>
      </c>
      <c r="AQ679" s="14" t="str">
        <f t="shared" si="396"/>
        <v>塞伯罗斯</v>
      </c>
      <c r="AR679" s="14">
        <f t="shared" si="397"/>
        <v>2</v>
      </c>
      <c r="AS679" s="14" t="str">
        <f t="shared" si="398"/>
        <v>塞伯罗斯魂火-51</v>
      </c>
      <c r="AT679" s="14">
        <f t="shared" si="399"/>
        <v>51</v>
      </c>
      <c r="AU679" s="14" t="str">
        <f>IF(AM679&gt;0,INDEX(挂机升级突破!$DT$4:$ED$4,AM679),"")</f>
        <v>金币</v>
      </c>
      <c r="AV679" s="14">
        <f>ROUND(INDEX(挂机升级突破!$DJ$6:$DJ$57,卡牌消耗!AT679)*INDEX(卡牌消耗!$B$8:$F$8,AR679)/$Q$4/50,0)*50</f>
        <v>105300</v>
      </c>
      <c r="AW679" s="14" t="str">
        <f>IF(AN679&gt;0,INDEX(挂机升级突破!$DT$4:$ED$4,AN679),"")</f>
        <v>红色基础材料</v>
      </c>
      <c r="AX679" s="14">
        <f>ROUND(INDEX(挂机升级突破!$DT$6:$ED$57,卡牌消耗!AT679,AN679)*INDEX(卡牌消耗!$B$5:$F$5,AR679)/$Q$4/5,0)*5</f>
        <v>10</v>
      </c>
      <c r="AY679" s="14" t="str">
        <f>IF(AO679&gt;0,INDEX(挂机升级突破!$DT$4:$ED$4,AO679),"")</f>
        <v>灵玉</v>
      </c>
      <c r="AZ679" s="14">
        <f>IF(AO679&gt;0,ROUND(INDEX(挂机升级突破!$DT$6:$ED$57,卡牌消耗!AT679,AO679)*INDEX(卡牌消耗!$B$7:$F$7,AR679)/$Q$4,0),"")</f>
        <v>1</v>
      </c>
      <c r="BL679" s="194"/>
      <c r="BM679" s="194"/>
      <c r="BN679" s="194"/>
      <c r="BO679" s="194"/>
      <c r="BP679" s="194"/>
      <c r="BQ679" s="208"/>
      <c r="BR679" s="194"/>
      <c r="BS679" s="194"/>
      <c r="BT679" s="194"/>
      <c r="BU679" s="194"/>
      <c r="BV679" s="194"/>
      <c r="BW679" s="194"/>
      <c r="BX679" s="194"/>
      <c r="BY679" s="194"/>
      <c r="BZ679" s="194"/>
    </row>
    <row r="680" spans="37:78" ht="16.5" x14ac:dyDescent="0.2">
      <c r="AK680" s="104">
        <v>676</v>
      </c>
      <c r="AL680" s="14">
        <f t="shared" si="395"/>
        <v>13</v>
      </c>
      <c r="AM680" s="14">
        <f>INDEX(挂机升级突破!DQ$6:DQ$57,卡牌消耗!$AT680)</f>
        <v>11</v>
      </c>
      <c r="AN680" s="14">
        <f>INDEX(挂机升级突破!DR$6:DR$57,卡牌消耗!$AT680)</f>
        <v>5</v>
      </c>
      <c r="AO680" s="14">
        <f>INDEX(挂机升级突破!DS$6:DS$57,卡牌消耗!$AT680)</f>
        <v>10</v>
      </c>
      <c r="AP680" s="14">
        <f>INDEX(挂机升级突破!$DP$6:$DP$57,卡牌消耗!AT680)</f>
        <v>148</v>
      </c>
      <c r="AQ680" s="14" t="str">
        <f t="shared" si="396"/>
        <v>塞伯罗斯</v>
      </c>
      <c r="AR680" s="14">
        <f t="shared" si="397"/>
        <v>2</v>
      </c>
      <c r="AS680" s="14" t="str">
        <f t="shared" si="398"/>
        <v>塞伯罗斯魂火-52</v>
      </c>
      <c r="AT680" s="14">
        <f t="shared" si="399"/>
        <v>52</v>
      </c>
      <c r="AU680" s="14" t="str">
        <f>IF(AM680&gt;0,INDEX(挂机升级突破!$DT$4:$ED$4,AM680),"")</f>
        <v>金币</v>
      </c>
      <c r="AV680" s="14">
        <f>ROUND(INDEX(挂机升级突破!$DJ$6:$DJ$57,卡牌消耗!AT680)*INDEX(卡牌消耗!$B$8:$F$8,AR680)/$Q$4/50,0)*50</f>
        <v>105300</v>
      </c>
      <c r="AW680" s="14" t="str">
        <f>IF(AN680&gt;0,INDEX(挂机升级突破!$DT$4:$ED$4,AN680),"")</f>
        <v>红色基础材料</v>
      </c>
      <c r="AX680" s="14">
        <f>ROUND(INDEX(挂机升级突破!$DT$6:$ED$57,卡牌消耗!AT680,AN680)*INDEX(卡牌消耗!$B$5:$F$5,AR680)/$Q$4/5,0)*5</f>
        <v>10</v>
      </c>
      <c r="AY680" s="14" t="str">
        <f>IF(AO680&gt;0,INDEX(挂机升级突破!$DT$4:$ED$4,AO680),"")</f>
        <v>灵玉</v>
      </c>
      <c r="AZ680" s="14">
        <f>IF(AO680&gt;0,ROUND(INDEX(挂机升级突破!$DT$6:$ED$57,卡牌消耗!AT680,AO680)*INDEX(卡牌消耗!$B$7:$F$7,AR680)/$Q$4,0),"")</f>
        <v>1</v>
      </c>
      <c r="BL680" s="194"/>
      <c r="BM680" s="194"/>
      <c r="BN680" s="194"/>
      <c r="BO680" s="194"/>
      <c r="BP680" s="194"/>
      <c r="BQ680" s="208"/>
      <c r="BR680" s="194"/>
      <c r="BS680" s="194"/>
      <c r="BT680" s="194"/>
      <c r="BU680" s="194"/>
      <c r="BV680" s="194"/>
      <c r="BW680" s="194"/>
      <c r="BX680" s="194"/>
      <c r="BY680" s="194"/>
      <c r="BZ680" s="194"/>
    </row>
    <row r="681" spans="37:78" ht="16.5" x14ac:dyDescent="0.2">
      <c r="AK681" s="104">
        <v>677</v>
      </c>
      <c r="AL681" s="14">
        <f t="shared" si="395"/>
        <v>14</v>
      </c>
      <c r="AM681" s="14">
        <f>INDEX(挂机升级突破!DQ$6:DQ$57,卡牌消耗!$AT681)</f>
        <v>11</v>
      </c>
      <c r="AN681" s="14">
        <f>INDEX(挂机升级突破!DR$6:DR$57,卡牌消耗!$AT681)</f>
        <v>1</v>
      </c>
      <c r="AO681" s="14">
        <f>INDEX(挂机升级突破!DS$6:DS$57,卡牌消耗!$AT681)</f>
        <v>0</v>
      </c>
      <c r="AP681" s="14">
        <f>INDEX(挂机升级突破!$DP$6:$DP$57,卡牌消耗!AT681)</f>
        <v>3</v>
      </c>
      <c r="AQ681" s="14" t="str">
        <f t="shared" si="396"/>
        <v>石灵明</v>
      </c>
      <c r="AR681" s="14">
        <f t="shared" si="397"/>
        <v>3</v>
      </c>
      <c r="AS681" s="14" t="str">
        <f t="shared" si="398"/>
        <v>石灵明魂火-1</v>
      </c>
      <c r="AT681" s="14">
        <f t="shared" si="399"/>
        <v>1</v>
      </c>
      <c r="AU681" s="14" t="str">
        <f>IF(AM681&gt;0,INDEX(挂机升级突破!$DT$4:$ED$4,AM681),"")</f>
        <v>金币</v>
      </c>
      <c r="AV681" s="14">
        <f>ROUND(INDEX(挂机升级突破!$DJ$6:$DJ$57,卡牌消耗!AT681)*INDEX(卡牌消耗!$B$8:$F$8,AR681)/$Q$4/50,0)*50</f>
        <v>850</v>
      </c>
      <c r="AW681" s="14" t="str">
        <f>IF(AN681&gt;0,INDEX(挂机升级突破!$DT$4:$ED$4,AN681),"")</f>
        <v>绿色基础材料</v>
      </c>
      <c r="AX681" s="14">
        <f>ROUND(INDEX(挂机升级突破!$DT$6:$ED$57,卡牌消耗!AT681,AN681)*INDEX(卡牌消耗!$B$5:$F$5,AR681)/$Q$4/5,0)*5</f>
        <v>25</v>
      </c>
      <c r="AY681" s="14" t="str">
        <f>IF(AO681&gt;0,INDEX(挂机升级突破!$DT$4:$ED$4,AO681),"")</f>
        <v/>
      </c>
      <c r="AZ681" s="14" t="str">
        <f>IF(AO681&gt;0,ROUND(INDEX(挂机升级突破!$DT$6:$ED$57,卡牌消耗!AT681,AO681)*INDEX(卡牌消耗!$B$7:$F$7,AR681)/$Q$4,0),"")</f>
        <v/>
      </c>
      <c r="BL681" s="194"/>
      <c r="BM681" s="194"/>
      <c r="BN681" s="194"/>
      <c r="BO681" s="194"/>
      <c r="BP681" s="194"/>
      <c r="BQ681" s="208"/>
      <c r="BR681" s="194"/>
      <c r="BS681" s="194"/>
      <c r="BT681" s="194"/>
      <c r="BU681" s="194"/>
      <c r="BV681" s="194"/>
      <c r="BW681" s="194"/>
      <c r="BX681" s="194"/>
      <c r="BY681" s="194"/>
      <c r="BZ681" s="194"/>
    </row>
    <row r="682" spans="37:78" ht="16.5" x14ac:dyDescent="0.2">
      <c r="AK682" s="104">
        <v>678</v>
      </c>
      <c r="AL682" s="14">
        <f t="shared" si="395"/>
        <v>14</v>
      </c>
      <c r="AM682" s="14">
        <f>INDEX(挂机升级突破!DQ$6:DQ$57,卡牌消耗!$AT682)</f>
        <v>11</v>
      </c>
      <c r="AN682" s="14">
        <f>INDEX(挂机升级突破!DR$6:DR$57,卡牌消耗!$AT682)</f>
        <v>1</v>
      </c>
      <c r="AO682" s="14">
        <f>INDEX(挂机升级突破!DS$6:DS$57,卡牌消耗!$AT682)</f>
        <v>0</v>
      </c>
      <c r="AP682" s="14">
        <f>INDEX(挂机升级突破!$DP$6:$DP$57,卡牌消耗!AT682)</f>
        <v>8</v>
      </c>
      <c r="AQ682" s="14" t="str">
        <f t="shared" si="396"/>
        <v>石灵明</v>
      </c>
      <c r="AR682" s="14">
        <f t="shared" si="397"/>
        <v>3</v>
      </c>
      <c r="AS682" s="14" t="str">
        <f t="shared" si="398"/>
        <v>石灵明魂火-2</v>
      </c>
      <c r="AT682" s="14">
        <f t="shared" si="399"/>
        <v>2</v>
      </c>
      <c r="AU682" s="14" t="str">
        <f>IF(AM682&gt;0,INDEX(挂机升级突破!$DT$4:$ED$4,AM682),"")</f>
        <v>金币</v>
      </c>
      <c r="AV682" s="14">
        <f>ROUND(INDEX(挂机升级突破!$DJ$6:$DJ$57,卡牌消耗!AT682)*INDEX(卡牌消耗!$B$8:$F$8,AR682)/$Q$4/50,0)*50</f>
        <v>1050</v>
      </c>
      <c r="AW682" s="14" t="str">
        <f>IF(AN682&gt;0,INDEX(挂机升级突破!$DT$4:$ED$4,AN682),"")</f>
        <v>绿色基础材料</v>
      </c>
      <c r="AX682" s="14">
        <f>ROUND(INDEX(挂机升级突破!$DT$6:$ED$57,卡牌消耗!AT682,AN682)*INDEX(卡牌消耗!$B$5:$F$5,AR682)/$Q$4/5,0)*5</f>
        <v>85</v>
      </c>
      <c r="AY682" s="14" t="str">
        <f>IF(AO682&gt;0,INDEX(挂机升级突破!$DT$4:$ED$4,AO682),"")</f>
        <v/>
      </c>
      <c r="AZ682" s="14" t="str">
        <f>IF(AO682&gt;0,ROUND(INDEX(挂机升级突破!$DT$6:$ED$57,卡牌消耗!AT682,AO682)*INDEX(卡牌消耗!$B$7:$F$7,AR682)/$Q$4,0),"")</f>
        <v/>
      </c>
      <c r="BL682" s="194"/>
      <c r="BM682" s="194"/>
      <c r="BN682" s="194"/>
      <c r="BO682" s="194"/>
      <c r="BP682" s="194"/>
      <c r="BQ682" s="208"/>
      <c r="BR682" s="194"/>
      <c r="BS682" s="194"/>
      <c r="BT682" s="194"/>
      <c r="BU682" s="194"/>
      <c r="BV682" s="194"/>
      <c r="BW682" s="194"/>
      <c r="BX682" s="194"/>
      <c r="BY682" s="194"/>
      <c r="BZ682" s="194"/>
    </row>
    <row r="683" spans="37:78" ht="16.5" x14ac:dyDescent="0.2">
      <c r="AK683" s="104">
        <v>679</v>
      </c>
      <c r="AL683" s="14">
        <f t="shared" si="395"/>
        <v>14</v>
      </c>
      <c r="AM683" s="14">
        <f>INDEX(挂机升级突破!DQ$6:DQ$57,卡牌消耗!$AT683)</f>
        <v>11</v>
      </c>
      <c r="AN683" s="14">
        <f>INDEX(挂机升级突破!DR$6:DR$57,卡牌消耗!$AT683)</f>
        <v>1</v>
      </c>
      <c r="AO683" s="14">
        <f>INDEX(挂机升级突破!DS$6:DS$57,卡牌消耗!$AT683)</f>
        <v>0</v>
      </c>
      <c r="AP683" s="14">
        <f>INDEX(挂机升级突破!$DP$6:$DP$57,卡牌消耗!AT683)</f>
        <v>13</v>
      </c>
      <c r="AQ683" s="14" t="str">
        <f t="shared" si="396"/>
        <v>石灵明</v>
      </c>
      <c r="AR683" s="14">
        <f t="shared" si="397"/>
        <v>3</v>
      </c>
      <c r="AS683" s="14" t="str">
        <f t="shared" si="398"/>
        <v>石灵明魂火-3</v>
      </c>
      <c r="AT683" s="14">
        <f t="shared" si="399"/>
        <v>3</v>
      </c>
      <c r="AU683" s="14" t="str">
        <f>IF(AM683&gt;0,INDEX(挂机升级突破!$DT$4:$ED$4,AM683),"")</f>
        <v>金币</v>
      </c>
      <c r="AV683" s="14">
        <f>ROUND(INDEX(挂机升级突破!$DJ$6:$DJ$57,卡牌消耗!AT683)*INDEX(卡牌消耗!$B$8:$F$8,AR683)/$Q$4/50,0)*50</f>
        <v>1050</v>
      </c>
      <c r="AW683" s="14" t="str">
        <f>IF(AN683&gt;0,INDEX(挂机升级突破!$DT$4:$ED$4,AN683),"")</f>
        <v>绿色基础材料</v>
      </c>
      <c r="AX683" s="14">
        <f>ROUND(INDEX(挂机升级突破!$DT$6:$ED$57,卡牌消耗!AT683,AN683)*INDEX(卡牌消耗!$B$5:$F$5,AR683)/$Q$4/5,0)*5</f>
        <v>100</v>
      </c>
      <c r="AY683" s="14" t="str">
        <f>IF(AO683&gt;0,INDEX(挂机升级突破!$DT$4:$ED$4,AO683),"")</f>
        <v/>
      </c>
      <c r="AZ683" s="14" t="str">
        <f>IF(AO683&gt;0,ROUND(INDEX(挂机升级突破!$DT$6:$ED$57,卡牌消耗!AT683,AO683)*INDEX(卡牌消耗!$B$7:$F$7,AR683)/$Q$4,0),"")</f>
        <v/>
      </c>
      <c r="BL683" s="194"/>
      <c r="BM683" s="194"/>
      <c r="BN683" s="194"/>
      <c r="BO683" s="194"/>
      <c r="BP683" s="194"/>
      <c r="BQ683" s="208"/>
      <c r="BR683" s="194"/>
      <c r="BS683" s="194"/>
      <c r="BT683" s="194"/>
      <c r="BU683" s="194"/>
      <c r="BV683" s="194"/>
      <c r="BW683" s="194"/>
      <c r="BX683" s="194"/>
      <c r="BY683" s="194"/>
      <c r="BZ683" s="194"/>
    </row>
    <row r="684" spans="37:78" ht="16.5" x14ac:dyDescent="0.2">
      <c r="AK684" s="104">
        <v>680</v>
      </c>
      <c r="AL684" s="14">
        <f t="shared" si="395"/>
        <v>14</v>
      </c>
      <c r="AM684" s="14">
        <f>INDEX(挂机升级突破!DQ$6:DQ$57,卡牌消耗!$AT684)</f>
        <v>11</v>
      </c>
      <c r="AN684" s="14">
        <f>INDEX(挂机升级突破!DR$6:DR$57,卡牌消耗!$AT684)</f>
        <v>1</v>
      </c>
      <c r="AO684" s="14">
        <f>INDEX(挂机升级突破!DS$6:DS$57,卡牌消耗!$AT684)</f>
        <v>0</v>
      </c>
      <c r="AP684" s="14">
        <f>INDEX(挂机升级突破!$DP$6:$DP$57,卡牌消耗!AT684)</f>
        <v>18</v>
      </c>
      <c r="AQ684" s="14" t="str">
        <f t="shared" si="396"/>
        <v>石灵明</v>
      </c>
      <c r="AR684" s="14">
        <f t="shared" si="397"/>
        <v>3</v>
      </c>
      <c r="AS684" s="14" t="str">
        <f t="shared" si="398"/>
        <v>石灵明魂火-4</v>
      </c>
      <c r="AT684" s="14">
        <f t="shared" si="399"/>
        <v>4</v>
      </c>
      <c r="AU684" s="14" t="str">
        <f>IF(AM684&gt;0,INDEX(挂机升级突破!$DT$4:$ED$4,AM684),"")</f>
        <v>金币</v>
      </c>
      <c r="AV684" s="14">
        <f>ROUND(INDEX(挂机升级突破!$DJ$6:$DJ$57,卡牌消耗!AT684)*INDEX(卡牌消耗!$B$8:$F$8,AR684)/$Q$4/50,0)*50</f>
        <v>1050</v>
      </c>
      <c r="AW684" s="14" t="str">
        <f>IF(AN684&gt;0,INDEX(挂机升级突破!$DT$4:$ED$4,AN684),"")</f>
        <v>绿色基础材料</v>
      </c>
      <c r="AX684" s="14">
        <f>ROUND(INDEX(挂机升级突破!$DT$6:$ED$57,卡牌消耗!AT684,AN684)*INDEX(卡牌消耗!$B$5:$F$5,AR684)/$Q$4/5,0)*5</f>
        <v>145</v>
      </c>
      <c r="AY684" s="14" t="str">
        <f>IF(AO684&gt;0,INDEX(挂机升级突破!$DT$4:$ED$4,AO684),"")</f>
        <v/>
      </c>
      <c r="AZ684" s="14" t="str">
        <f>IF(AO684&gt;0,ROUND(INDEX(挂机升级突破!$DT$6:$ED$57,卡牌消耗!AT684,AO684)*INDEX(卡牌消耗!$B$7:$F$7,AR684)/$Q$4,0),"")</f>
        <v/>
      </c>
      <c r="BL684" s="194"/>
      <c r="BM684" s="194"/>
      <c r="BN684" s="194"/>
      <c r="BO684" s="194"/>
      <c r="BP684" s="194"/>
      <c r="BQ684" s="208"/>
      <c r="BR684" s="194"/>
      <c r="BS684" s="194"/>
      <c r="BT684" s="194"/>
      <c r="BU684" s="194"/>
      <c r="BV684" s="194"/>
      <c r="BW684" s="194"/>
      <c r="BX684" s="194"/>
      <c r="BY684" s="194"/>
      <c r="BZ684" s="194"/>
    </row>
    <row r="685" spans="37:78" ht="16.5" x14ac:dyDescent="0.2">
      <c r="AK685" s="104">
        <v>681</v>
      </c>
      <c r="AL685" s="14">
        <f t="shared" si="395"/>
        <v>14</v>
      </c>
      <c r="AM685" s="14">
        <f>INDEX(挂机升级突破!DQ$6:DQ$57,卡牌消耗!$AT685)</f>
        <v>11</v>
      </c>
      <c r="AN685" s="14">
        <f>INDEX(挂机升级突破!DR$6:DR$57,卡牌消耗!$AT685)</f>
        <v>1</v>
      </c>
      <c r="AO685" s="14">
        <f>INDEX(挂机升级突破!DS$6:DS$57,卡牌消耗!$AT685)</f>
        <v>0</v>
      </c>
      <c r="AP685" s="14">
        <f>INDEX(挂机升级突破!$DP$6:$DP$57,卡牌消耗!AT685)</f>
        <v>23</v>
      </c>
      <c r="AQ685" s="14" t="str">
        <f t="shared" si="396"/>
        <v>石灵明</v>
      </c>
      <c r="AR685" s="14">
        <f t="shared" si="397"/>
        <v>3</v>
      </c>
      <c r="AS685" s="14" t="str">
        <f t="shared" si="398"/>
        <v>石灵明魂火-5</v>
      </c>
      <c r="AT685" s="14">
        <f t="shared" si="399"/>
        <v>5</v>
      </c>
      <c r="AU685" s="14" t="str">
        <f>IF(AM685&gt;0,INDEX(挂机升级突破!$DT$4:$ED$4,AM685),"")</f>
        <v>金币</v>
      </c>
      <c r="AV685" s="14">
        <f>ROUND(INDEX(挂机升级突破!$DJ$6:$DJ$57,卡牌消耗!AT685)*INDEX(卡牌消耗!$B$8:$F$8,AR685)/$Q$4/50,0)*50</f>
        <v>1050</v>
      </c>
      <c r="AW685" s="14" t="str">
        <f>IF(AN685&gt;0,INDEX(挂机升级突破!$DT$4:$ED$4,AN685),"")</f>
        <v>绿色基础材料</v>
      </c>
      <c r="AX685" s="14">
        <f>ROUND(INDEX(挂机升级突破!$DT$6:$ED$57,卡牌消耗!AT685,AN685)*INDEX(卡牌消耗!$B$5:$F$5,AR685)/$Q$4/5,0)*5</f>
        <v>155</v>
      </c>
      <c r="AY685" s="14" t="str">
        <f>IF(AO685&gt;0,INDEX(挂机升级突破!$DT$4:$ED$4,AO685),"")</f>
        <v/>
      </c>
      <c r="AZ685" s="14" t="str">
        <f>IF(AO685&gt;0,ROUND(INDEX(挂机升级突破!$DT$6:$ED$57,卡牌消耗!AT685,AO685)*INDEX(卡牌消耗!$B$7:$F$7,AR685)/$Q$4,0),"")</f>
        <v/>
      </c>
      <c r="BL685" s="194"/>
      <c r="BM685" s="194"/>
      <c r="BN685" s="194"/>
      <c r="BO685" s="194"/>
      <c r="BP685" s="194"/>
      <c r="BQ685" s="208"/>
      <c r="BR685" s="194"/>
      <c r="BS685" s="194"/>
      <c r="BT685" s="194"/>
      <c r="BU685" s="194"/>
      <c r="BV685" s="194"/>
      <c r="BW685" s="194"/>
      <c r="BX685" s="194"/>
      <c r="BY685" s="194"/>
      <c r="BZ685" s="194"/>
    </row>
    <row r="686" spans="37:78" ht="16.5" x14ac:dyDescent="0.2">
      <c r="AK686" s="104">
        <v>682</v>
      </c>
      <c r="AL686" s="14">
        <f t="shared" si="395"/>
        <v>14</v>
      </c>
      <c r="AM686" s="14">
        <f>INDEX(挂机升级突破!DQ$6:DQ$57,卡牌消耗!$AT686)</f>
        <v>11</v>
      </c>
      <c r="AN686" s="14">
        <f>INDEX(挂机升级突破!DR$6:DR$57,卡牌消耗!$AT686)</f>
        <v>2</v>
      </c>
      <c r="AO686" s="14">
        <f>INDEX(挂机升级突破!DS$6:DS$57,卡牌消耗!$AT686)</f>
        <v>0</v>
      </c>
      <c r="AP686" s="14">
        <f>INDEX(挂机升级突破!$DP$6:$DP$57,卡牌消耗!AT686)</f>
        <v>28</v>
      </c>
      <c r="AQ686" s="14" t="str">
        <f t="shared" si="396"/>
        <v>石灵明</v>
      </c>
      <c r="AR686" s="14">
        <f t="shared" si="397"/>
        <v>3</v>
      </c>
      <c r="AS686" s="14" t="str">
        <f t="shared" si="398"/>
        <v>石灵明魂火-6</v>
      </c>
      <c r="AT686" s="14">
        <f t="shared" si="399"/>
        <v>6</v>
      </c>
      <c r="AU686" s="14" t="str">
        <f>IF(AM686&gt;0,INDEX(挂机升级突破!$DT$4:$ED$4,AM686),"")</f>
        <v>金币</v>
      </c>
      <c r="AV686" s="14">
        <f>ROUND(INDEX(挂机升级突破!$DJ$6:$DJ$57,卡牌消耗!AT686)*INDEX(卡牌消耗!$B$8:$F$8,AR686)/$Q$4/50,0)*50</f>
        <v>1250</v>
      </c>
      <c r="AW686" s="14" t="str">
        <f>IF(AN686&gt;0,INDEX(挂机升级突破!$DT$4:$ED$4,AN686),"")</f>
        <v>蓝色基础材料</v>
      </c>
      <c r="AX686" s="14">
        <f>ROUND(INDEX(挂机升级突破!$DT$6:$ED$57,卡牌消耗!AT686,AN686)*INDEX(卡牌消耗!$B$5:$F$5,AR686)/$Q$4/5,0)*5</f>
        <v>30</v>
      </c>
      <c r="AY686" s="14" t="str">
        <f>IF(AO686&gt;0,INDEX(挂机升级突破!$DT$4:$ED$4,AO686),"")</f>
        <v/>
      </c>
      <c r="AZ686" s="14" t="str">
        <f>IF(AO686&gt;0,ROUND(INDEX(挂机升级突破!$DT$6:$ED$57,卡牌消耗!AT686,AO686)*INDEX(卡牌消耗!$B$7:$F$7,AR686)/$Q$4,0),"")</f>
        <v/>
      </c>
      <c r="BL686" s="194"/>
      <c r="BM686" s="194"/>
      <c r="BN686" s="194"/>
      <c r="BO686" s="194"/>
      <c r="BP686" s="194"/>
      <c r="BQ686" s="208"/>
      <c r="BR686" s="194"/>
      <c r="BS686" s="194"/>
      <c r="BT686" s="194"/>
      <c r="BU686" s="194"/>
      <c r="BV686" s="194"/>
      <c r="BW686" s="194"/>
      <c r="BX686" s="194"/>
      <c r="BY686" s="194"/>
      <c r="BZ686" s="194"/>
    </row>
    <row r="687" spans="37:78" ht="16.5" x14ac:dyDescent="0.2">
      <c r="AK687" s="104">
        <v>683</v>
      </c>
      <c r="AL687" s="14">
        <f t="shared" si="395"/>
        <v>14</v>
      </c>
      <c r="AM687" s="14">
        <f>INDEX(挂机升级突破!DQ$6:DQ$57,卡牌消耗!$AT687)</f>
        <v>11</v>
      </c>
      <c r="AN687" s="14">
        <f>INDEX(挂机升级突破!DR$6:DR$57,卡牌消耗!$AT687)</f>
        <v>2</v>
      </c>
      <c r="AO687" s="14">
        <f>INDEX(挂机升级突破!DS$6:DS$57,卡牌消耗!$AT687)</f>
        <v>0</v>
      </c>
      <c r="AP687" s="14">
        <f>INDEX(挂机升级突破!$DP$6:$DP$57,卡牌消耗!AT687)</f>
        <v>33</v>
      </c>
      <c r="AQ687" s="14" t="str">
        <f t="shared" si="396"/>
        <v>石灵明</v>
      </c>
      <c r="AR687" s="14">
        <f t="shared" si="397"/>
        <v>3</v>
      </c>
      <c r="AS687" s="14" t="str">
        <f t="shared" si="398"/>
        <v>石灵明魂火-7</v>
      </c>
      <c r="AT687" s="14">
        <f t="shared" si="399"/>
        <v>7</v>
      </c>
      <c r="AU687" s="14" t="str">
        <f>IF(AM687&gt;0,INDEX(挂机升级突破!$DT$4:$ED$4,AM687),"")</f>
        <v>金币</v>
      </c>
      <c r="AV687" s="14">
        <f>ROUND(INDEX(挂机升级突破!$DJ$6:$DJ$57,卡牌消耗!AT687)*INDEX(卡牌消耗!$B$8:$F$8,AR687)/$Q$4/50,0)*50</f>
        <v>1250</v>
      </c>
      <c r="AW687" s="14" t="str">
        <f>IF(AN687&gt;0,INDEX(挂机升级突破!$DT$4:$ED$4,AN687),"")</f>
        <v>蓝色基础材料</v>
      </c>
      <c r="AX687" s="14">
        <f>ROUND(INDEX(挂机升级突破!$DT$6:$ED$57,卡牌消耗!AT687,AN687)*INDEX(卡牌消耗!$B$5:$F$5,AR687)/$Q$4/5,0)*5</f>
        <v>30</v>
      </c>
      <c r="AY687" s="14" t="str">
        <f>IF(AO687&gt;0,INDEX(挂机升级突破!$DT$4:$ED$4,AO687),"")</f>
        <v/>
      </c>
      <c r="AZ687" s="14" t="str">
        <f>IF(AO687&gt;0,ROUND(INDEX(挂机升级突破!$DT$6:$ED$57,卡牌消耗!AT687,AO687)*INDEX(卡牌消耗!$B$7:$F$7,AR687)/$Q$4,0),"")</f>
        <v/>
      </c>
      <c r="BL687" s="194"/>
      <c r="BM687" s="194"/>
      <c r="BN687" s="194"/>
      <c r="BO687" s="194"/>
      <c r="BP687" s="194"/>
      <c r="BQ687" s="208"/>
      <c r="BR687" s="194"/>
      <c r="BS687" s="194"/>
      <c r="BT687" s="194"/>
      <c r="BU687" s="194"/>
      <c r="BV687" s="194"/>
      <c r="BW687" s="194"/>
      <c r="BX687" s="194"/>
      <c r="BY687" s="194"/>
      <c r="BZ687" s="194"/>
    </row>
    <row r="688" spans="37:78" ht="16.5" x14ac:dyDescent="0.2">
      <c r="AK688" s="104">
        <v>684</v>
      </c>
      <c r="AL688" s="14">
        <f t="shared" si="395"/>
        <v>14</v>
      </c>
      <c r="AM688" s="14">
        <f>INDEX(挂机升级突破!DQ$6:DQ$57,卡牌消耗!$AT688)</f>
        <v>11</v>
      </c>
      <c r="AN688" s="14">
        <f>INDEX(挂机升级突破!DR$6:DR$57,卡牌消耗!$AT688)</f>
        <v>2</v>
      </c>
      <c r="AO688" s="14">
        <f>INDEX(挂机升级突破!DS$6:DS$57,卡牌消耗!$AT688)</f>
        <v>0</v>
      </c>
      <c r="AP688" s="14">
        <f>INDEX(挂机升级突破!$DP$6:$DP$57,卡牌消耗!AT688)</f>
        <v>38</v>
      </c>
      <c r="AQ688" s="14" t="str">
        <f t="shared" si="396"/>
        <v>石灵明</v>
      </c>
      <c r="AR688" s="14">
        <f t="shared" si="397"/>
        <v>3</v>
      </c>
      <c r="AS688" s="14" t="str">
        <f t="shared" si="398"/>
        <v>石灵明魂火-8</v>
      </c>
      <c r="AT688" s="14">
        <f t="shared" si="399"/>
        <v>8</v>
      </c>
      <c r="AU688" s="14" t="str">
        <f>IF(AM688&gt;0,INDEX(挂机升级突破!$DT$4:$ED$4,AM688),"")</f>
        <v>金币</v>
      </c>
      <c r="AV688" s="14">
        <f>ROUND(INDEX(挂机升级突破!$DJ$6:$DJ$57,卡牌消耗!AT688)*INDEX(卡牌消耗!$B$8:$F$8,AR688)/$Q$4/50,0)*50</f>
        <v>1900</v>
      </c>
      <c r="AW688" s="14" t="str">
        <f>IF(AN688&gt;0,INDEX(挂机升级突破!$DT$4:$ED$4,AN688),"")</f>
        <v>蓝色基础材料</v>
      </c>
      <c r="AX688" s="14">
        <f>ROUND(INDEX(挂机升级突破!$DT$6:$ED$57,卡牌消耗!AT688,AN688)*INDEX(卡牌消耗!$B$5:$F$5,AR688)/$Q$4/5,0)*5</f>
        <v>60</v>
      </c>
      <c r="AY688" s="14" t="str">
        <f>IF(AO688&gt;0,INDEX(挂机升级突破!$DT$4:$ED$4,AO688),"")</f>
        <v/>
      </c>
      <c r="AZ688" s="14" t="str">
        <f>IF(AO688&gt;0,ROUND(INDEX(挂机升级突破!$DT$6:$ED$57,卡牌消耗!AT688,AO688)*INDEX(卡牌消耗!$B$7:$F$7,AR688)/$Q$4,0),"")</f>
        <v/>
      </c>
      <c r="BL688" s="194"/>
      <c r="BM688" s="194"/>
      <c r="BN688" s="194"/>
      <c r="BO688" s="194"/>
      <c r="BP688" s="194"/>
      <c r="BQ688" s="208"/>
      <c r="BR688" s="194"/>
      <c r="BS688" s="194"/>
      <c r="BT688" s="194"/>
      <c r="BU688" s="194"/>
      <c r="BV688" s="194"/>
      <c r="BW688" s="194"/>
      <c r="BX688" s="194"/>
      <c r="BY688" s="194"/>
      <c r="BZ688" s="194"/>
    </row>
    <row r="689" spans="37:78" ht="16.5" x14ac:dyDescent="0.2">
      <c r="AK689" s="104">
        <v>685</v>
      </c>
      <c r="AL689" s="14">
        <f t="shared" si="395"/>
        <v>14</v>
      </c>
      <c r="AM689" s="14">
        <f>INDEX(挂机升级突破!DQ$6:DQ$57,卡牌消耗!$AT689)</f>
        <v>11</v>
      </c>
      <c r="AN689" s="14">
        <f>INDEX(挂机升级突破!DR$6:DR$57,卡牌消耗!$AT689)</f>
        <v>2</v>
      </c>
      <c r="AO689" s="14">
        <f>INDEX(挂机升级突破!DS$6:DS$57,卡牌消耗!$AT689)</f>
        <v>0</v>
      </c>
      <c r="AP689" s="14">
        <f>INDEX(挂机升级突破!$DP$6:$DP$57,卡牌消耗!AT689)</f>
        <v>40</v>
      </c>
      <c r="AQ689" s="14" t="str">
        <f t="shared" si="396"/>
        <v>石灵明</v>
      </c>
      <c r="AR689" s="14">
        <f t="shared" si="397"/>
        <v>3</v>
      </c>
      <c r="AS689" s="14" t="str">
        <f t="shared" si="398"/>
        <v>石灵明魂火-9</v>
      </c>
      <c r="AT689" s="14">
        <f t="shared" si="399"/>
        <v>9</v>
      </c>
      <c r="AU689" s="14" t="str">
        <f>IF(AM689&gt;0,INDEX(挂机升级突破!$DT$4:$ED$4,AM689),"")</f>
        <v>金币</v>
      </c>
      <c r="AV689" s="14">
        <f>ROUND(INDEX(挂机升级突破!$DJ$6:$DJ$57,卡牌消耗!AT689)*INDEX(卡牌消耗!$B$8:$F$8,AR689)/$Q$4/50,0)*50</f>
        <v>1900</v>
      </c>
      <c r="AW689" s="14" t="str">
        <f>IF(AN689&gt;0,INDEX(挂机升级突破!$DT$4:$ED$4,AN689),"")</f>
        <v>蓝色基础材料</v>
      </c>
      <c r="AX689" s="14">
        <f>ROUND(INDEX(挂机升级突破!$DT$6:$ED$57,卡牌消耗!AT689,AN689)*INDEX(卡牌消耗!$B$5:$F$5,AR689)/$Q$4/5,0)*5</f>
        <v>60</v>
      </c>
      <c r="AY689" s="14" t="str">
        <f>IF(AO689&gt;0,INDEX(挂机升级突破!$DT$4:$ED$4,AO689),"")</f>
        <v/>
      </c>
      <c r="AZ689" s="14" t="str">
        <f>IF(AO689&gt;0,ROUND(INDEX(挂机升级突破!$DT$6:$ED$57,卡牌消耗!AT689,AO689)*INDEX(卡牌消耗!$B$7:$F$7,AR689)/$Q$4,0),"")</f>
        <v/>
      </c>
      <c r="BL689" s="194"/>
      <c r="BM689" s="194"/>
      <c r="BN689" s="194"/>
      <c r="BO689" s="194"/>
      <c r="BP689" s="194"/>
      <c r="BQ689" s="208"/>
      <c r="BR689" s="194"/>
      <c r="BS689" s="194"/>
      <c r="BT689" s="194"/>
      <c r="BU689" s="194"/>
      <c r="BV689" s="194"/>
      <c r="BW689" s="194"/>
      <c r="BX689" s="194"/>
      <c r="BY689" s="194"/>
      <c r="BZ689" s="194"/>
    </row>
    <row r="690" spans="37:78" ht="16.5" x14ac:dyDescent="0.2">
      <c r="AK690" s="104">
        <v>686</v>
      </c>
      <c r="AL690" s="14">
        <f t="shared" si="395"/>
        <v>14</v>
      </c>
      <c r="AM690" s="14">
        <f>INDEX(挂机升级突破!DQ$6:DQ$57,卡牌消耗!$AT690)</f>
        <v>11</v>
      </c>
      <c r="AN690" s="14">
        <f>INDEX(挂机升级突破!DR$6:DR$57,卡牌消耗!$AT690)</f>
        <v>2</v>
      </c>
      <c r="AO690" s="14">
        <f>INDEX(挂机升级突破!DS$6:DS$57,卡牌消耗!$AT690)</f>
        <v>0</v>
      </c>
      <c r="AP690" s="14">
        <f>INDEX(挂机升级突破!$DP$6:$DP$57,卡牌消耗!AT690)</f>
        <v>43</v>
      </c>
      <c r="AQ690" s="14" t="str">
        <f t="shared" si="396"/>
        <v>石灵明</v>
      </c>
      <c r="AR690" s="14">
        <f t="shared" si="397"/>
        <v>3</v>
      </c>
      <c r="AS690" s="14" t="str">
        <f t="shared" si="398"/>
        <v>石灵明魂火-10</v>
      </c>
      <c r="AT690" s="14">
        <f t="shared" si="399"/>
        <v>10</v>
      </c>
      <c r="AU690" s="14" t="str">
        <f>IF(AM690&gt;0,INDEX(挂机升级突破!$DT$4:$ED$4,AM690),"")</f>
        <v>金币</v>
      </c>
      <c r="AV690" s="14">
        <f>ROUND(INDEX(挂机升级突破!$DJ$6:$DJ$57,卡牌消耗!AT690)*INDEX(卡牌消耗!$B$8:$F$8,AR690)/$Q$4/50,0)*50</f>
        <v>3200</v>
      </c>
      <c r="AW690" s="14" t="str">
        <f>IF(AN690&gt;0,INDEX(挂机升级突破!$DT$4:$ED$4,AN690),"")</f>
        <v>蓝色基础材料</v>
      </c>
      <c r="AX690" s="14">
        <f>ROUND(INDEX(挂机升级突破!$DT$6:$ED$57,卡牌消耗!AT690,AN690)*INDEX(卡牌消耗!$B$5:$F$5,AR690)/$Q$4/5,0)*5</f>
        <v>85</v>
      </c>
      <c r="AY690" s="14" t="str">
        <f>IF(AO690&gt;0,INDEX(挂机升级突破!$DT$4:$ED$4,AO690),"")</f>
        <v/>
      </c>
      <c r="AZ690" s="14" t="str">
        <f>IF(AO690&gt;0,ROUND(INDEX(挂机升级突破!$DT$6:$ED$57,卡牌消耗!AT690,AO690)*INDEX(卡牌消耗!$B$7:$F$7,AR690)/$Q$4,0),"")</f>
        <v/>
      </c>
      <c r="BL690" s="194"/>
      <c r="BM690" s="194"/>
      <c r="BN690" s="194"/>
      <c r="BO690" s="194"/>
      <c r="BP690" s="194"/>
      <c r="BQ690" s="208"/>
      <c r="BR690" s="194"/>
      <c r="BS690" s="194"/>
      <c r="BT690" s="194"/>
      <c r="BU690" s="194"/>
      <c r="BV690" s="194"/>
      <c r="BW690" s="194"/>
      <c r="BX690" s="194"/>
      <c r="BY690" s="194"/>
      <c r="BZ690" s="194"/>
    </row>
    <row r="691" spans="37:78" ht="16.5" x14ac:dyDescent="0.2">
      <c r="AK691" s="104">
        <v>687</v>
      </c>
      <c r="AL691" s="14">
        <f t="shared" si="395"/>
        <v>14</v>
      </c>
      <c r="AM691" s="14">
        <f>INDEX(挂机升级突破!DQ$6:DQ$57,卡牌消耗!$AT691)</f>
        <v>11</v>
      </c>
      <c r="AN691" s="14">
        <f>INDEX(挂机升级突破!DR$6:DR$57,卡牌消耗!$AT691)</f>
        <v>2</v>
      </c>
      <c r="AO691" s="14">
        <f>INDEX(挂机升级突破!DS$6:DS$57,卡牌消耗!$AT691)</f>
        <v>0</v>
      </c>
      <c r="AP691" s="14">
        <f>INDEX(挂机升级突破!$DP$6:$DP$57,卡牌消耗!AT691)</f>
        <v>45</v>
      </c>
      <c r="AQ691" s="14" t="str">
        <f t="shared" si="396"/>
        <v>石灵明</v>
      </c>
      <c r="AR691" s="14">
        <f t="shared" si="397"/>
        <v>3</v>
      </c>
      <c r="AS691" s="14" t="str">
        <f t="shared" si="398"/>
        <v>石灵明魂火-11</v>
      </c>
      <c r="AT691" s="14">
        <f t="shared" si="399"/>
        <v>11</v>
      </c>
      <c r="AU691" s="14" t="str">
        <f>IF(AM691&gt;0,INDEX(挂机升级突破!$DT$4:$ED$4,AM691),"")</f>
        <v>金币</v>
      </c>
      <c r="AV691" s="14">
        <f>ROUND(INDEX(挂机升级突破!$DJ$6:$DJ$57,卡牌消耗!AT691)*INDEX(卡牌消耗!$B$8:$F$8,AR691)/$Q$4/50,0)*50</f>
        <v>3200</v>
      </c>
      <c r="AW691" s="14" t="str">
        <f>IF(AN691&gt;0,INDEX(挂机升级突破!$DT$4:$ED$4,AN691),"")</f>
        <v>蓝色基础材料</v>
      </c>
      <c r="AX691" s="14">
        <f>ROUND(INDEX(挂机升级突破!$DT$6:$ED$57,卡牌消耗!AT691,AN691)*INDEX(卡牌消耗!$B$5:$F$5,AR691)/$Q$4/5,0)*5</f>
        <v>85</v>
      </c>
      <c r="AY691" s="14" t="str">
        <f>IF(AO691&gt;0,INDEX(挂机升级突破!$DT$4:$ED$4,AO691),"")</f>
        <v/>
      </c>
      <c r="AZ691" s="14" t="str">
        <f>IF(AO691&gt;0,ROUND(INDEX(挂机升级突破!$DT$6:$ED$57,卡牌消耗!AT691,AO691)*INDEX(卡牌消耗!$B$7:$F$7,AR691)/$Q$4,0),"")</f>
        <v/>
      </c>
      <c r="BL691" s="194"/>
      <c r="BM691" s="194"/>
      <c r="BN691" s="194"/>
      <c r="BO691" s="194"/>
      <c r="BP691" s="194"/>
      <c r="BQ691" s="208"/>
      <c r="BR691" s="194"/>
      <c r="BS691" s="194"/>
      <c r="BT691" s="194"/>
      <c r="BU691" s="194"/>
      <c r="BV691" s="194"/>
      <c r="BW691" s="194"/>
      <c r="BX691" s="194"/>
      <c r="BY691" s="194"/>
      <c r="BZ691" s="194"/>
    </row>
    <row r="692" spans="37:78" ht="16.5" x14ac:dyDescent="0.2">
      <c r="AK692" s="104">
        <v>688</v>
      </c>
      <c r="AL692" s="14">
        <f t="shared" si="395"/>
        <v>14</v>
      </c>
      <c r="AM692" s="14">
        <f>INDEX(挂机升级突破!DQ$6:DQ$57,卡牌消耗!$AT692)</f>
        <v>11</v>
      </c>
      <c r="AN692" s="14">
        <f>INDEX(挂机升级突破!DR$6:DR$57,卡牌消耗!$AT692)</f>
        <v>2</v>
      </c>
      <c r="AO692" s="14">
        <f>INDEX(挂机升级突破!DS$6:DS$57,卡牌消耗!$AT692)</f>
        <v>0</v>
      </c>
      <c r="AP692" s="14">
        <f>INDEX(挂机升级突破!$DP$6:$DP$57,卡牌消耗!AT692)</f>
        <v>48</v>
      </c>
      <c r="AQ692" s="14" t="str">
        <f t="shared" si="396"/>
        <v>石灵明</v>
      </c>
      <c r="AR692" s="14">
        <f t="shared" si="397"/>
        <v>3</v>
      </c>
      <c r="AS692" s="14" t="str">
        <f t="shared" si="398"/>
        <v>石灵明魂火-12</v>
      </c>
      <c r="AT692" s="14">
        <f t="shared" si="399"/>
        <v>12</v>
      </c>
      <c r="AU692" s="14" t="str">
        <f>IF(AM692&gt;0,INDEX(挂机升级突破!$DT$4:$ED$4,AM692),"")</f>
        <v>金币</v>
      </c>
      <c r="AV692" s="14">
        <f>ROUND(INDEX(挂机升级突破!$DJ$6:$DJ$57,卡牌消耗!AT692)*INDEX(卡牌消耗!$B$8:$F$8,AR692)/$Q$4/50,0)*50</f>
        <v>2750</v>
      </c>
      <c r="AW692" s="14" t="str">
        <f>IF(AN692&gt;0,INDEX(挂机升级突破!$DT$4:$ED$4,AN692),"")</f>
        <v>蓝色基础材料</v>
      </c>
      <c r="AX692" s="14">
        <f>ROUND(INDEX(挂机升级突破!$DT$6:$ED$57,卡牌消耗!AT692,AN692)*INDEX(卡牌消耗!$B$5:$F$5,AR692)/$Q$4/5,0)*5</f>
        <v>115</v>
      </c>
      <c r="AY692" s="14" t="str">
        <f>IF(AO692&gt;0,INDEX(挂机升级突破!$DT$4:$ED$4,AO692),"")</f>
        <v/>
      </c>
      <c r="AZ692" s="14" t="str">
        <f>IF(AO692&gt;0,ROUND(INDEX(挂机升级突破!$DT$6:$ED$57,卡牌消耗!AT692,AO692)*INDEX(卡牌消耗!$B$7:$F$7,AR692)/$Q$4,0),"")</f>
        <v/>
      </c>
      <c r="BL692" s="194"/>
      <c r="BM692" s="194"/>
      <c r="BN692" s="194"/>
      <c r="BO692" s="194"/>
      <c r="BP692" s="194"/>
      <c r="BQ692" s="208"/>
      <c r="BR692" s="194"/>
      <c r="BS692" s="194"/>
      <c r="BT692" s="194"/>
      <c r="BU692" s="194"/>
      <c r="BV692" s="194"/>
      <c r="BW692" s="194"/>
      <c r="BX692" s="194"/>
      <c r="BY692" s="194"/>
      <c r="BZ692" s="194"/>
    </row>
    <row r="693" spans="37:78" ht="16.5" x14ac:dyDescent="0.2">
      <c r="AK693" s="104">
        <v>689</v>
      </c>
      <c r="AL693" s="14">
        <f t="shared" si="395"/>
        <v>14</v>
      </c>
      <c r="AM693" s="14">
        <f>INDEX(挂机升级突破!DQ$6:DQ$57,卡牌消耗!$AT693)</f>
        <v>11</v>
      </c>
      <c r="AN693" s="14">
        <f>INDEX(挂机升级突破!DR$6:DR$57,卡牌消耗!$AT693)</f>
        <v>2</v>
      </c>
      <c r="AO693" s="14">
        <f>INDEX(挂机升级突破!DS$6:DS$57,卡牌消耗!$AT693)</f>
        <v>0</v>
      </c>
      <c r="AP693" s="14">
        <f>INDEX(挂机升级突破!$DP$6:$DP$57,卡牌消耗!AT693)</f>
        <v>50</v>
      </c>
      <c r="AQ693" s="14" t="str">
        <f t="shared" si="396"/>
        <v>石灵明</v>
      </c>
      <c r="AR693" s="14">
        <f t="shared" si="397"/>
        <v>3</v>
      </c>
      <c r="AS693" s="14" t="str">
        <f t="shared" si="398"/>
        <v>石灵明魂火-13</v>
      </c>
      <c r="AT693" s="14">
        <f t="shared" si="399"/>
        <v>13</v>
      </c>
      <c r="AU693" s="14" t="str">
        <f>IF(AM693&gt;0,INDEX(挂机升级突破!$DT$4:$ED$4,AM693),"")</f>
        <v>金币</v>
      </c>
      <c r="AV693" s="14">
        <f>ROUND(INDEX(挂机升级突破!$DJ$6:$DJ$57,卡牌消耗!AT693)*INDEX(卡牌消耗!$B$8:$F$8,AR693)/$Q$4/50,0)*50</f>
        <v>2750</v>
      </c>
      <c r="AW693" s="14" t="str">
        <f>IF(AN693&gt;0,INDEX(挂机升级突破!$DT$4:$ED$4,AN693),"")</f>
        <v>蓝色基础材料</v>
      </c>
      <c r="AX693" s="14">
        <f>ROUND(INDEX(挂机升级突破!$DT$6:$ED$57,卡牌消耗!AT693,AN693)*INDEX(卡牌消耗!$B$5:$F$5,AR693)/$Q$4/5,0)*5</f>
        <v>115</v>
      </c>
      <c r="AY693" s="14" t="str">
        <f>IF(AO693&gt;0,INDEX(挂机升级突破!$DT$4:$ED$4,AO693),"")</f>
        <v/>
      </c>
      <c r="AZ693" s="14" t="str">
        <f>IF(AO693&gt;0,ROUND(INDEX(挂机升级突破!$DT$6:$ED$57,卡牌消耗!AT693,AO693)*INDEX(卡牌消耗!$B$7:$F$7,AR693)/$Q$4,0),"")</f>
        <v/>
      </c>
      <c r="BL693" s="194"/>
      <c r="BM693" s="194"/>
      <c r="BN693" s="194"/>
      <c r="BO693" s="194"/>
      <c r="BP693" s="194"/>
      <c r="BQ693" s="208"/>
      <c r="BR693" s="194"/>
      <c r="BS693" s="194"/>
      <c r="BT693" s="194"/>
      <c r="BU693" s="194"/>
      <c r="BV693" s="194"/>
      <c r="BW693" s="194"/>
      <c r="BX693" s="194"/>
      <c r="BY693" s="194"/>
      <c r="BZ693" s="194"/>
    </row>
    <row r="694" spans="37:78" ht="16.5" x14ac:dyDescent="0.2">
      <c r="AK694" s="104">
        <v>690</v>
      </c>
      <c r="AL694" s="14">
        <f t="shared" si="395"/>
        <v>14</v>
      </c>
      <c r="AM694" s="14">
        <f>INDEX(挂机升级突破!DQ$6:DQ$57,卡牌消耗!$AT694)</f>
        <v>11</v>
      </c>
      <c r="AN694" s="14">
        <f>INDEX(挂机升级突破!DR$6:DR$57,卡牌消耗!$AT694)</f>
        <v>3</v>
      </c>
      <c r="AO694" s="14">
        <f>INDEX(挂机升级突破!DS$6:DS$57,卡牌消耗!$AT694)</f>
        <v>0</v>
      </c>
      <c r="AP694" s="14">
        <f>INDEX(挂机升级突破!$DP$6:$DP$57,卡牌消耗!AT694)</f>
        <v>53</v>
      </c>
      <c r="AQ694" s="14" t="str">
        <f t="shared" si="396"/>
        <v>石灵明</v>
      </c>
      <c r="AR694" s="14">
        <f t="shared" si="397"/>
        <v>3</v>
      </c>
      <c r="AS694" s="14" t="str">
        <f t="shared" si="398"/>
        <v>石灵明魂火-14</v>
      </c>
      <c r="AT694" s="14">
        <f t="shared" si="399"/>
        <v>14</v>
      </c>
      <c r="AU694" s="14" t="str">
        <f>IF(AM694&gt;0,INDEX(挂机升级突破!$DT$4:$ED$4,AM694),"")</f>
        <v>金币</v>
      </c>
      <c r="AV694" s="14">
        <f>ROUND(INDEX(挂机升级突破!$DJ$6:$DJ$57,卡牌消耗!AT694)*INDEX(卡牌消耗!$B$8:$F$8,AR694)/$Q$4/50,0)*50</f>
        <v>3000</v>
      </c>
      <c r="AW694" s="14" t="str">
        <f>IF(AN694&gt;0,INDEX(挂机升级突破!$DT$4:$ED$4,AN694),"")</f>
        <v>紫色基础材料</v>
      </c>
      <c r="AX694" s="14">
        <f>ROUND(INDEX(挂机升级突破!$DT$6:$ED$57,卡牌消耗!AT694,AN694)*INDEX(卡牌消耗!$B$5:$F$5,AR694)/$Q$4/5,0)*5</f>
        <v>25</v>
      </c>
      <c r="AY694" s="14" t="str">
        <f>IF(AO694&gt;0,INDEX(挂机升级突破!$DT$4:$ED$4,AO694),"")</f>
        <v/>
      </c>
      <c r="AZ694" s="14" t="str">
        <f>IF(AO694&gt;0,ROUND(INDEX(挂机升级突破!$DT$6:$ED$57,卡牌消耗!AT694,AO694)*INDEX(卡牌消耗!$B$7:$F$7,AR694)/$Q$4,0),"")</f>
        <v/>
      </c>
      <c r="BL694" s="194"/>
      <c r="BM694" s="194"/>
      <c r="BN694" s="194"/>
      <c r="BO694" s="194"/>
      <c r="BP694" s="194"/>
      <c r="BQ694" s="208"/>
      <c r="BR694" s="194"/>
      <c r="BS694" s="194"/>
      <c r="BT694" s="194"/>
      <c r="BU694" s="194"/>
      <c r="BV694" s="194"/>
      <c r="BW694" s="194"/>
      <c r="BX694" s="194"/>
      <c r="BY694" s="194"/>
      <c r="BZ694" s="194"/>
    </row>
    <row r="695" spans="37:78" ht="16.5" x14ac:dyDescent="0.2">
      <c r="AK695" s="104">
        <v>691</v>
      </c>
      <c r="AL695" s="14">
        <f t="shared" si="395"/>
        <v>14</v>
      </c>
      <c r="AM695" s="14">
        <f>INDEX(挂机升级突破!DQ$6:DQ$57,卡牌消耗!$AT695)</f>
        <v>11</v>
      </c>
      <c r="AN695" s="14">
        <f>INDEX(挂机升级突破!DR$6:DR$57,卡牌消耗!$AT695)</f>
        <v>3</v>
      </c>
      <c r="AO695" s="14">
        <f>INDEX(挂机升级突破!DS$6:DS$57,卡牌消耗!$AT695)</f>
        <v>0</v>
      </c>
      <c r="AP695" s="14">
        <f>INDEX(挂机升级突破!$DP$6:$DP$57,卡牌消耗!AT695)</f>
        <v>55</v>
      </c>
      <c r="AQ695" s="14" t="str">
        <f t="shared" si="396"/>
        <v>石灵明</v>
      </c>
      <c r="AR695" s="14">
        <f t="shared" si="397"/>
        <v>3</v>
      </c>
      <c r="AS695" s="14" t="str">
        <f t="shared" si="398"/>
        <v>石灵明魂火-15</v>
      </c>
      <c r="AT695" s="14">
        <f t="shared" si="399"/>
        <v>15</v>
      </c>
      <c r="AU695" s="14" t="str">
        <f>IF(AM695&gt;0,INDEX(挂机升级突破!$DT$4:$ED$4,AM695),"")</f>
        <v>金币</v>
      </c>
      <c r="AV695" s="14">
        <f>ROUND(INDEX(挂机升级突破!$DJ$6:$DJ$57,卡牌消耗!AT695)*INDEX(卡牌消耗!$B$8:$F$8,AR695)/$Q$4/50,0)*50</f>
        <v>3250</v>
      </c>
      <c r="AW695" s="14" t="str">
        <f>IF(AN695&gt;0,INDEX(挂机升级突破!$DT$4:$ED$4,AN695),"")</f>
        <v>紫色基础材料</v>
      </c>
      <c r="AX695" s="14">
        <f>ROUND(INDEX(挂机升级突破!$DT$6:$ED$57,卡牌消耗!AT695,AN695)*INDEX(卡牌消耗!$B$5:$F$5,AR695)/$Q$4/5,0)*5</f>
        <v>25</v>
      </c>
      <c r="AY695" s="14" t="str">
        <f>IF(AO695&gt;0,INDEX(挂机升级突破!$DT$4:$ED$4,AO695),"")</f>
        <v/>
      </c>
      <c r="AZ695" s="14" t="str">
        <f>IF(AO695&gt;0,ROUND(INDEX(挂机升级突破!$DT$6:$ED$57,卡牌消耗!AT695,AO695)*INDEX(卡牌消耗!$B$7:$F$7,AR695)/$Q$4,0),"")</f>
        <v/>
      </c>
      <c r="BL695" s="194"/>
      <c r="BM695" s="194"/>
      <c r="BN695" s="194"/>
      <c r="BO695" s="194"/>
      <c r="BP695" s="194"/>
      <c r="BQ695" s="208"/>
      <c r="BR695" s="194"/>
      <c r="BS695" s="194"/>
      <c r="BT695" s="194"/>
      <c r="BU695" s="194"/>
      <c r="BV695" s="194"/>
      <c r="BW695" s="194"/>
      <c r="BX695" s="194"/>
      <c r="BY695" s="194"/>
      <c r="BZ695" s="194"/>
    </row>
    <row r="696" spans="37:78" ht="16.5" x14ac:dyDescent="0.2">
      <c r="AK696" s="104">
        <v>692</v>
      </c>
      <c r="AL696" s="14">
        <f t="shared" si="395"/>
        <v>14</v>
      </c>
      <c r="AM696" s="14">
        <f>INDEX(挂机升级突破!DQ$6:DQ$57,卡牌消耗!$AT696)</f>
        <v>11</v>
      </c>
      <c r="AN696" s="14">
        <f>INDEX(挂机升级突破!DR$6:DR$57,卡牌消耗!$AT696)</f>
        <v>3</v>
      </c>
      <c r="AO696" s="14">
        <f>INDEX(挂机升级突破!DS$6:DS$57,卡牌消耗!$AT696)</f>
        <v>0</v>
      </c>
      <c r="AP696" s="14">
        <f>INDEX(挂机升级突破!$DP$6:$DP$57,卡牌消耗!AT696)</f>
        <v>58</v>
      </c>
      <c r="AQ696" s="14" t="str">
        <f t="shared" si="396"/>
        <v>石灵明</v>
      </c>
      <c r="AR696" s="14">
        <f t="shared" si="397"/>
        <v>3</v>
      </c>
      <c r="AS696" s="14" t="str">
        <f t="shared" si="398"/>
        <v>石灵明魂火-16</v>
      </c>
      <c r="AT696" s="14">
        <f t="shared" si="399"/>
        <v>16</v>
      </c>
      <c r="AU696" s="14" t="str">
        <f>IF(AM696&gt;0,INDEX(挂机升级突破!$DT$4:$ED$4,AM696),"")</f>
        <v>金币</v>
      </c>
      <c r="AV696" s="14">
        <f>ROUND(INDEX(挂机升级突破!$DJ$6:$DJ$57,卡牌消耗!AT696)*INDEX(卡牌消耗!$B$8:$F$8,AR696)/$Q$4/50,0)*50</f>
        <v>3250</v>
      </c>
      <c r="AW696" s="14" t="str">
        <f>IF(AN696&gt;0,INDEX(挂机升级突破!$DT$4:$ED$4,AN696),"")</f>
        <v>紫色基础材料</v>
      </c>
      <c r="AX696" s="14">
        <f>ROUND(INDEX(挂机升级突破!$DT$6:$ED$57,卡牌消耗!AT696,AN696)*INDEX(卡牌消耗!$B$5:$F$5,AR696)/$Q$4/5,0)*5</f>
        <v>25</v>
      </c>
      <c r="AY696" s="14" t="str">
        <f>IF(AO696&gt;0,INDEX(挂机升级突破!$DT$4:$ED$4,AO696),"")</f>
        <v/>
      </c>
      <c r="AZ696" s="14" t="str">
        <f>IF(AO696&gt;0,ROUND(INDEX(挂机升级突破!$DT$6:$ED$57,卡牌消耗!AT696,AO696)*INDEX(卡牌消耗!$B$7:$F$7,AR696)/$Q$4,0),"")</f>
        <v/>
      </c>
      <c r="BL696" s="194"/>
      <c r="BM696" s="194"/>
      <c r="BN696" s="194"/>
      <c r="BO696" s="194"/>
      <c r="BP696" s="194"/>
      <c r="BQ696" s="208"/>
      <c r="BR696" s="194"/>
      <c r="BS696" s="194"/>
      <c r="BT696" s="194"/>
      <c r="BU696" s="194"/>
      <c r="BV696" s="194"/>
      <c r="BW696" s="194"/>
      <c r="BX696" s="194"/>
      <c r="BY696" s="194"/>
      <c r="BZ696" s="194"/>
    </row>
    <row r="697" spans="37:78" ht="16.5" x14ac:dyDescent="0.2">
      <c r="AK697" s="104">
        <v>693</v>
      </c>
      <c r="AL697" s="14">
        <f t="shared" si="395"/>
        <v>14</v>
      </c>
      <c r="AM697" s="14">
        <f>INDEX(挂机升级突破!DQ$6:DQ$57,卡牌消耗!$AT697)</f>
        <v>11</v>
      </c>
      <c r="AN697" s="14">
        <f>INDEX(挂机升级突破!DR$6:DR$57,卡牌消耗!$AT697)</f>
        <v>3</v>
      </c>
      <c r="AO697" s="14">
        <f>INDEX(挂机升级突破!DS$6:DS$57,卡牌消耗!$AT697)</f>
        <v>0</v>
      </c>
      <c r="AP697" s="14">
        <f>INDEX(挂机升级突破!$DP$6:$DP$57,卡牌消耗!AT697)</f>
        <v>60</v>
      </c>
      <c r="AQ697" s="14" t="str">
        <f t="shared" si="396"/>
        <v>石灵明</v>
      </c>
      <c r="AR697" s="14">
        <f t="shared" si="397"/>
        <v>3</v>
      </c>
      <c r="AS697" s="14" t="str">
        <f t="shared" si="398"/>
        <v>石灵明魂火-17</v>
      </c>
      <c r="AT697" s="14">
        <f t="shared" si="399"/>
        <v>17</v>
      </c>
      <c r="AU697" s="14" t="str">
        <f>IF(AM697&gt;0,INDEX(挂机升级突破!$DT$4:$ED$4,AM697),"")</f>
        <v>金币</v>
      </c>
      <c r="AV697" s="14">
        <f>ROUND(INDEX(挂机升级突破!$DJ$6:$DJ$57,卡牌消耗!AT697)*INDEX(卡牌消耗!$B$8:$F$8,AR697)/$Q$4/50,0)*50</f>
        <v>4100</v>
      </c>
      <c r="AW697" s="14" t="str">
        <f>IF(AN697&gt;0,INDEX(挂机升级突破!$DT$4:$ED$4,AN697),"")</f>
        <v>紫色基础材料</v>
      </c>
      <c r="AX697" s="14">
        <f>ROUND(INDEX(挂机升级突破!$DT$6:$ED$57,卡牌消耗!AT697,AN697)*INDEX(卡牌消耗!$B$5:$F$5,AR697)/$Q$4/5,0)*5</f>
        <v>45</v>
      </c>
      <c r="AY697" s="14" t="str">
        <f>IF(AO697&gt;0,INDEX(挂机升级突破!$DT$4:$ED$4,AO697),"")</f>
        <v/>
      </c>
      <c r="AZ697" s="14" t="str">
        <f>IF(AO697&gt;0,ROUND(INDEX(挂机升级突破!$DT$6:$ED$57,卡牌消耗!AT697,AO697)*INDEX(卡牌消耗!$B$7:$F$7,AR697)/$Q$4,0),"")</f>
        <v/>
      </c>
      <c r="BL697" s="194"/>
      <c r="BM697" s="194"/>
      <c r="BN697" s="194"/>
      <c r="BO697" s="194"/>
      <c r="BP697" s="194"/>
      <c r="BQ697" s="208"/>
      <c r="BR697" s="194"/>
      <c r="BS697" s="194"/>
      <c r="BT697" s="194"/>
      <c r="BU697" s="194"/>
      <c r="BV697" s="194"/>
      <c r="BW697" s="194"/>
      <c r="BX697" s="194"/>
      <c r="BY697" s="194"/>
      <c r="BZ697" s="194"/>
    </row>
    <row r="698" spans="37:78" ht="16.5" x14ac:dyDescent="0.2">
      <c r="AK698" s="104">
        <v>694</v>
      </c>
      <c r="AL698" s="14">
        <f t="shared" si="395"/>
        <v>14</v>
      </c>
      <c r="AM698" s="14">
        <f>INDEX(挂机升级突破!DQ$6:DQ$57,卡牌消耗!$AT698)</f>
        <v>11</v>
      </c>
      <c r="AN698" s="14">
        <f>INDEX(挂机升级突破!DR$6:DR$57,卡牌消耗!$AT698)</f>
        <v>3</v>
      </c>
      <c r="AO698" s="14">
        <f>INDEX(挂机升级突破!DS$6:DS$57,卡牌消耗!$AT698)</f>
        <v>0</v>
      </c>
      <c r="AP698" s="14">
        <f>INDEX(挂机升级突破!$DP$6:$DP$57,卡牌消耗!AT698)</f>
        <v>63</v>
      </c>
      <c r="AQ698" s="14" t="str">
        <f t="shared" si="396"/>
        <v>石灵明</v>
      </c>
      <c r="AR698" s="14">
        <f t="shared" si="397"/>
        <v>3</v>
      </c>
      <c r="AS698" s="14" t="str">
        <f t="shared" si="398"/>
        <v>石灵明魂火-18</v>
      </c>
      <c r="AT698" s="14">
        <f t="shared" si="399"/>
        <v>18</v>
      </c>
      <c r="AU698" s="14" t="str">
        <f>IF(AM698&gt;0,INDEX(挂机升级突破!$DT$4:$ED$4,AM698),"")</f>
        <v>金币</v>
      </c>
      <c r="AV698" s="14">
        <f>ROUND(INDEX(挂机升级突破!$DJ$6:$DJ$57,卡牌消耗!AT698)*INDEX(卡牌消耗!$B$8:$F$8,AR698)/$Q$4/50,0)*50</f>
        <v>4100</v>
      </c>
      <c r="AW698" s="14" t="str">
        <f>IF(AN698&gt;0,INDEX(挂机升级突破!$DT$4:$ED$4,AN698),"")</f>
        <v>紫色基础材料</v>
      </c>
      <c r="AX698" s="14">
        <f>ROUND(INDEX(挂机升级突破!$DT$6:$ED$57,卡牌消耗!AT698,AN698)*INDEX(卡牌消耗!$B$5:$F$5,AR698)/$Q$4/5,0)*5</f>
        <v>45</v>
      </c>
      <c r="AY698" s="14" t="str">
        <f>IF(AO698&gt;0,INDEX(挂机升级突破!$DT$4:$ED$4,AO698),"")</f>
        <v/>
      </c>
      <c r="AZ698" s="14" t="str">
        <f>IF(AO698&gt;0,ROUND(INDEX(挂机升级突破!$DT$6:$ED$57,卡牌消耗!AT698,AO698)*INDEX(卡牌消耗!$B$7:$F$7,AR698)/$Q$4,0),"")</f>
        <v/>
      </c>
      <c r="BL698" s="194"/>
      <c r="BM698" s="194"/>
      <c r="BN698" s="194"/>
      <c r="BO698" s="194"/>
      <c r="BP698" s="194"/>
      <c r="BQ698" s="208"/>
      <c r="BR698" s="194"/>
      <c r="BS698" s="194"/>
      <c r="BT698" s="194"/>
      <c r="BU698" s="194"/>
      <c r="BV698" s="194"/>
      <c r="BW698" s="194"/>
      <c r="BX698" s="194"/>
      <c r="BY698" s="194"/>
      <c r="BZ698" s="194"/>
    </row>
    <row r="699" spans="37:78" ht="16.5" x14ac:dyDescent="0.2">
      <c r="AK699" s="104">
        <v>695</v>
      </c>
      <c r="AL699" s="14">
        <f t="shared" si="395"/>
        <v>14</v>
      </c>
      <c r="AM699" s="14">
        <f>INDEX(挂机升级突破!DQ$6:DQ$57,卡牌消耗!$AT699)</f>
        <v>11</v>
      </c>
      <c r="AN699" s="14">
        <f>INDEX(挂机升级突破!DR$6:DR$57,卡牌消耗!$AT699)</f>
        <v>3</v>
      </c>
      <c r="AO699" s="14">
        <f>INDEX(挂机升级突破!DS$6:DS$57,卡牌消耗!$AT699)</f>
        <v>0</v>
      </c>
      <c r="AP699" s="14">
        <f>INDEX(挂机升级突破!$DP$6:$DP$57,卡牌消耗!AT699)</f>
        <v>65</v>
      </c>
      <c r="AQ699" s="14" t="str">
        <f t="shared" si="396"/>
        <v>石灵明</v>
      </c>
      <c r="AR699" s="14">
        <f t="shared" si="397"/>
        <v>3</v>
      </c>
      <c r="AS699" s="14" t="str">
        <f t="shared" si="398"/>
        <v>石灵明魂火-19</v>
      </c>
      <c r="AT699" s="14">
        <f t="shared" si="399"/>
        <v>19</v>
      </c>
      <c r="AU699" s="14" t="str">
        <f>IF(AM699&gt;0,INDEX(挂机升级突破!$DT$4:$ED$4,AM699),"")</f>
        <v>金币</v>
      </c>
      <c r="AV699" s="14">
        <f>ROUND(INDEX(挂机升级突破!$DJ$6:$DJ$57,卡牌消耗!AT699)*INDEX(卡牌消耗!$B$8:$F$8,AR699)/$Q$4/50,0)*50</f>
        <v>4100</v>
      </c>
      <c r="AW699" s="14" t="str">
        <f>IF(AN699&gt;0,INDEX(挂机升级突破!$DT$4:$ED$4,AN699),"")</f>
        <v>紫色基础材料</v>
      </c>
      <c r="AX699" s="14">
        <f>ROUND(INDEX(挂机升级突破!$DT$6:$ED$57,卡牌消耗!AT699,AN699)*INDEX(卡牌消耗!$B$5:$F$5,AR699)/$Q$4/5,0)*5</f>
        <v>45</v>
      </c>
      <c r="AY699" s="14" t="str">
        <f>IF(AO699&gt;0,INDEX(挂机升级突破!$DT$4:$ED$4,AO699),"")</f>
        <v/>
      </c>
      <c r="AZ699" s="14" t="str">
        <f>IF(AO699&gt;0,ROUND(INDEX(挂机升级突破!$DT$6:$ED$57,卡牌消耗!AT699,AO699)*INDEX(卡牌消耗!$B$7:$F$7,AR699)/$Q$4,0),"")</f>
        <v/>
      </c>
      <c r="BL699" s="194"/>
      <c r="BM699" s="194"/>
      <c r="BN699" s="194"/>
      <c r="BO699" s="194"/>
      <c r="BP699" s="194"/>
      <c r="BQ699" s="208"/>
      <c r="BR699" s="194"/>
      <c r="BS699" s="194"/>
      <c r="BT699" s="194"/>
      <c r="BU699" s="194"/>
      <c r="BV699" s="194"/>
      <c r="BW699" s="194"/>
      <c r="BX699" s="194"/>
      <c r="BY699" s="194"/>
      <c r="BZ699" s="194"/>
    </row>
    <row r="700" spans="37:78" ht="16.5" x14ac:dyDescent="0.2">
      <c r="AK700" s="104">
        <v>696</v>
      </c>
      <c r="AL700" s="14">
        <f t="shared" si="395"/>
        <v>14</v>
      </c>
      <c r="AM700" s="14">
        <f>INDEX(挂机升级突破!DQ$6:DQ$57,卡牌消耗!$AT700)</f>
        <v>11</v>
      </c>
      <c r="AN700" s="14">
        <f>INDEX(挂机升级突破!DR$6:DR$57,卡牌消耗!$AT700)</f>
        <v>3</v>
      </c>
      <c r="AO700" s="14">
        <f>INDEX(挂机升级突破!DS$6:DS$57,卡牌消耗!$AT700)</f>
        <v>0</v>
      </c>
      <c r="AP700" s="14">
        <f>INDEX(挂机升级突破!$DP$6:$DP$57,卡牌消耗!AT700)</f>
        <v>68</v>
      </c>
      <c r="AQ700" s="14" t="str">
        <f t="shared" si="396"/>
        <v>石灵明</v>
      </c>
      <c r="AR700" s="14">
        <f t="shared" si="397"/>
        <v>3</v>
      </c>
      <c r="AS700" s="14" t="str">
        <f t="shared" si="398"/>
        <v>石灵明魂火-20</v>
      </c>
      <c r="AT700" s="14">
        <f t="shared" si="399"/>
        <v>20</v>
      </c>
      <c r="AU700" s="14" t="str">
        <f>IF(AM700&gt;0,INDEX(挂机升级突破!$DT$4:$ED$4,AM700),"")</f>
        <v>金币</v>
      </c>
      <c r="AV700" s="14">
        <f>ROUND(INDEX(挂机升级突破!$DJ$6:$DJ$57,卡牌消耗!AT700)*INDEX(卡牌消耗!$B$8:$F$8,AR700)/$Q$4/50,0)*50</f>
        <v>5000</v>
      </c>
      <c r="AW700" s="14" t="str">
        <f>IF(AN700&gt;0,INDEX(挂机升级突破!$DT$4:$ED$4,AN700),"")</f>
        <v>紫色基础材料</v>
      </c>
      <c r="AX700" s="14">
        <f>ROUND(INDEX(挂机升级突破!$DT$6:$ED$57,卡牌消耗!AT700,AN700)*INDEX(卡牌消耗!$B$5:$F$5,AR700)/$Q$4/5,0)*5</f>
        <v>70</v>
      </c>
      <c r="AY700" s="14" t="str">
        <f>IF(AO700&gt;0,INDEX(挂机升级突破!$DT$4:$ED$4,AO700),"")</f>
        <v/>
      </c>
      <c r="AZ700" s="14" t="str">
        <f>IF(AO700&gt;0,ROUND(INDEX(挂机升级突破!$DT$6:$ED$57,卡牌消耗!AT700,AO700)*INDEX(卡牌消耗!$B$7:$F$7,AR700)/$Q$4,0),"")</f>
        <v/>
      </c>
      <c r="BL700" s="194"/>
      <c r="BM700" s="194"/>
      <c r="BN700" s="194"/>
      <c r="BO700" s="194"/>
      <c r="BP700" s="194"/>
      <c r="BQ700" s="208"/>
      <c r="BR700" s="194"/>
      <c r="BS700" s="194"/>
      <c r="BT700" s="194"/>
      <c r="BU700" s="194"/>
      <c r="BV700" s="194"/>
      <c r="BW700" s="194"/>
      <c r="BX700" s="194"/>
      <c r="BY700" s="194"/>
      <c r="BZ700" s="194"/>
    </row>
    <row r="701" spans="37:78" ht="16.5" x14ac:dyDescent="0.2">
      <c r="AK701" s="104">
        <v>697</v>
      </c>
      <c r="AL701" s="14">
        <f t="shared" si="395"/>
        <v>14</v>
      </c>
      <c r="AM701" s="14">
        <f>INDEX(挂机升级突破!DQ$6:DQ$57,卡牌消耗!$AT701)</f>
        <v>11</v>
      </c>
      <c r="AN701" s="14">
        <f>INDEX(挂机升级突破!DR$6:DR$57,卡牌消耗!$AT701)</f>
        <v>3</v>
      </c>
      <c r="AO701" s="14">
        <f>INDEX(挂机升级突破!DS$6:DS$57,卡牌消耗!$AT701)</f>
        <v>0</v>
      </c>
      <c r="AP701" s="14">
        <f>INDEX(挂机升级突破!$DP$6:$DP$57,卡牌消耗!AT701)</f>
        <v>70</v>
      </c>
      <c r="AQ701" s="14" t="str">
        <f t="shared" si="396"/>
        <v>石灵明</v>
      </c>
      <c r="AR701" s="14">
        <f t="shared" si="397"/>
        <v>3</v>
      </c>
      <c r="AS701" s="14" t="str">
        <f t="shared" si="398"/>
        <v>石灵明魂火-21</v>
      </c>
      <c r="AT701" s="14">
        <f t="shared" si="399"/>
        <v>21</v>
      </c>
      <c r="AU701" s="14" t="str">
        <f>IF(AM701&gt;0,INDEX(挂机升级突破!$DT$4:$ED$4,AM701),"")</f>
        <v>金币</v>
      </c>
      <c r="AV701" s="14">
        <f>ROUND(INDEX(挂机升级突破!$DJ$6:$DJ$57,卡牌消耗!AT701)*INDEX(卡牌消耗!$B$8:$F$8,AR701)/$Q$4/50,0)*50</f>
        <v>5000</v>
      </c>
      <c r="AW701" s="14" t="str">
        <f>IF(AN701&gt;0,INDEX(挂机升级突破!$DT$4:$ED$4,AN701),"")</f>
        <v>紫色基础材料</v>
      </c>
      <c r="AX701" s="14">
        <f>ROUND(INDEX(挂机升级突破!$DT$6:$ED$57,卡牌消耗!AT701,AN701)*INDEX(卡牌消耗!$B$5:$F$5,AR701)/$Q$4/5,0)*5</f>
        <v>70</v>
      </c>
      <c r="AY701" s="14" t="str">
        <f>IF(AO701&gt;0,INDEX(挂机升级突破!$DT$4:$ED$4,AO701),"")</f>
        <v/>
      </c>
      <c r="AZ701" s="14" t="str">
        <f>IF(AO701&gt;0,ROUND(INDEX(挂机升级突破!$DT$6:$ED$57,卡牌消耗!AT701,AO701)*INDEX(卡牌消耗!$B$7:$F$7,AR701)/$Q$4,0),"")</f>
        <v/>
      </c>
      <c r="BL701" s="194"/>
      <c r="BM701" s="194"/>
      <c r="BN701" s="194"/>
      <c r="BO701" s="194"/>
      <c r="BP701" s="194"/>
      <c r="BQ701" s="208"/>
      <c r="BR701" s="194"/>
      <c r="BS701" s="194"/>
      <c r="BT701" s="194"/>
      <c r="BU701" s="194"/>
      <c r="BV701" s="194"/>
      <c r="BW701" s="194"/>
      <c r="BX701" s="194"/>
      <c r="BY701" s="194"/>
      <c r="BZ701" s="194"/>
    </row>
    <row r="702" spans="37:78" ht="16.5" x14ac:dyDescent="0.2">
      <c r="AK702" s="104">
        <v>698</v>
      </c>
      <c r="AL702" s="14">
        <f t="shared" si="395"/>
        <v>14</v>
      </c>
      <c r="AM702" s="14">
        <f>INDEX(挂机升级突破!DQ$6:DQ$57,卡牌消耗!$AT702)</f>
        <v>11</v>
      </c>
      <c r="AN702" s="14">
        <f>INDEX(挂机升级突破!DR$6:DR$57,卡牌消耗!$AT702)</f>
        <v>3</v>
      </c>
      <c r="AO702" s="14">
        <f>INDEX(挂机升级突破!DS$6:DS$57,卡牌消耗!$AT702)</f>
        <v>0</v>
      </c>
      <c r="AP702" s="14">
        <f>INDEX(挂机升级突破!$DP$6:$DP$57,卡牌消耗!AT702)</f>
        <v>73</v>
      </c>
      <c r="AQ702" s="14" t="str">
        <f t="shared" si="396"/>
        <v>石灵明</v>
      </c>
      <c r="AR702" s="14">
        <f t="shared" si="397"/>
        <v>3</v>
      </c>
      <c r="AS702" s="14" t="str">
        <f t="shared" si="398"/>
        <v>石灵明魂火-22</v>
      </c>
      <c r="AT702" s="14">
        <f t="shared" si="399"/>
        <v>22</v>
      </c>
      <c r="AU702" s="14" t="str">
        <f>IF(AM702&gt;0,INDEX(挂机升级突破!$DT$4:$ED$4,AM702),"")</f>
        <v>金币</v>
      </c>
      <c r="AV702" s="14">
        <f>ROUND(INDEX(挂机升级突破!$DJ$6:$DJ$57,卡牌消耗!AT702)*INDEX(卡牌消耗!$B$8:$F$8,AR702)/$Q$4/50,0)*50</f>
        <v>5000</v>
      </c>
      <c r="AW702" s="14" t="str">
        <f>IF(AN702&gt;0,INDEX(挂机升级突破!$DT$4:$ED$4,AN702),"")</f>
        <v>紫色基础材料</v>
      </c>
      <c r="AX702" s="14">
        <f>ROUND(INDEX(挂机升级突破!$DT$6:$ED$57,卡牌消耗!AT702,AN702)*INDEX(卡牌消耗!$B$5:$F$5,AR702)/$Q$4/5,0)*5</f>
        <v>70</v>
      </c>
      <c r="AY702" s="14" t="str">
        <f>IF(AO702&gt;0,INDEX(挂机升级突破!$DT$4:$ED$4,AO702),"")</f>
        <v/>
      </c>
      <c r="AZ702" s="14" t="str">
        <f>IF(AO702&gt;0,ROUND(INDEX(挂机升级突破!$DT$6:$ED$57,卡牌消耗!AT702,AO702)*INDEX(卡牌消耗!$B$7:$F$7,AR702)/$Q$4,0),"")</f>
        <v/>
      </c>
      <c r="BL702" s="194"/>
      <c r="BM702" s="194"/>
      <c r="BN702" s="194"/>
      <c r="BO702" s="194"/>
      <c r="BP702" s="194"/>
      <c r="BQ702" s="208"/>
      <c r="BR702" s="194"/>
      <c r="BS702" s="194"/>
      <c r="BT702" s="194"/>
      <c r="BU702" s="194"/>
      <c r="BV702" s="194"/>
      <c r="BW702" s="194"/>
      <c r="BX702" s="194"/>
      <c r="BY702" s="194"/>
      <c r="BZ702" s="194"/>
    </row>
    <row r="703" spans="37:78" ht="16.5" x14ac:dyDescent="0.2">
      <c r="AK703" s="104">
        <v>699</v>
      </c>
      <c r="AL703" s="14">
        <f t="shared" si="395"/>
        <v>14</v>
      </c>
      <c r="AM703" s="14">
        <f>INDEX(挂机升级突破!DQ$6:DQ$57,卡牌消耗!$AT703)</f>
        <v>11</v>
      </c>
      <c r="AN703" s="14">
        <f>INDEX(挂机升级突破!DR$6:DR$57,卡牌消耗!$AT703)</f>
        <v>4</v>
      </c>
      <c r="AO703" s="14">
        <f>INDEX(挂机升级突破!DS$6:DS$57,卡牌消耗!$AT703)</f>
        <v>0</v>
      </c>
      <c r="AP703" s="14">
        <f>INDEX(挂机升级突破!$DP$6:$DP$57,卡牌消耗!AT703)</f>
        <v>75</v>
      </c>
      <c r="AQ703" s="14" t="str">
        <f t="shared" si="396"/>
        <v>石灵明</v>
      </c>
      <c r="AR703" s="14">
        <f t="shared" si="397"/>
        <v>3</v>
      </c>
      <c r="AS703" s="14" t="str">
        <f t="shared" si="398"/>
        <v>石灵明魂火-23</v>
      </c>
      <c r="AT703" s="14">
        <f t="shared" si="399"/>
        <v>23</v>
      </c>
      <c r="AU703" s="14" t="str">
        <f>IF(AM703&gt;0,INDEX(挂机升级突破!$DT$4:$ED$4,AM703),"")</f>
        <v>金币</v>
      </c>
      <c r="AV703" s="14">
        <f>ROUND(INDEX(挂机升级突破!$DJ$6:$DJ$57,卡牌消耗!AT703)*INDEX(卡牌消耗!$B$8:$F$8,AR703)/$Q$4/50,0)*50</f>
        <v>6900</v>
      </c>
      <c r="AW703" s="14" t="str">
        <f>IF(AN703&gt;0,INDEX(挂机升级突破!$DT$4:$ED$4,AN703),"")</f>
        <v>橙色基础材料</v>
      </c>
      <c r="AX703" s="14">
        <f>ROUND(INDEX(挂机升级突破!$DT$6:$ED$57,卡牌消耗!AT703,AN703)*INDEX(卡牌消耗!$B$5:$F$5,AR703)/$Q$4/5,0)*5</f>
        <v>20</v>
      </c>
      <c r="AY703" s="14" t="str">
        <f>IF(AO703&gt;0,INDEX(挂机升级突破!$DT$4:$ED$4,AO703),"")</f>
        <v/>
      </c>
      <c r="AZ703" s="14" t="str">
        <f>IF(AO703&gt;0,ROUND(INDEX(挂机升级突破!$DT$6:$ED$57,卡牌消耗!AT703,AO703)*INDEX(卡牌消耗!$B$7:$F$7,AR703)/$Q$4,0),"")</f>
        <v/>
      </c>
      <c r="BL703" s="194"/>
      <c r="BM703" s="194"/>
      <c r="BN703" s="194"/>
      <c r="BO703" s="194"/>
      <c r="BP703" s="194"/>
      <c r="BQ703" s="208"/>
      <c r="BR703" s="194"/>
      <c r="BS703" s="194"/>
      <c r="BT703" s="194"/>
      <c r="BU703" s="194"/>
      <c r="BV703" s="194"/>
      <c r="BW703" s="194"/>
      <c r="BX703" s="194"/>
      <c r="BY703" s="194"/>
      <c r="BZ703" s="194"/>
    </row>
    <row r="704" spans="37:78" ht="16.5" x14ac:dyDescent="0.2">
      <c r="AK704" s="104">
        <v>700</v>
      </c>
      <c r="AL704" s="14">
        <f t="shared" si="395"/>
        <v>14</v>
      </c>
      <c r="AM704" s="14">
        <f>INDEX(挂机升级突破!DQ$6:DQ$57,卡牌消耗!$AT704)</f>
        <v>11</v>
      </c>
      <c r="AN704" s="14">
        <f>INDEX(挂机升级突破!DR$6:DR$57,卡牌消耗!$AT704)</f>
        <v>4</v>
      </c>
      <c r="AO704" s="14">
        <f>INDEX(挂机升级突破!DS$6:DS$57,卡牌消耗!$AT704)</f>
        <v>0</v>
      </c>
      <c r="AP704" s="14">
        <f>INDEX(挂机升级突破!$DP$6:$DP$57,卡牌消耗!AT704)</f>
        <v>78</v>
      </c>
      <c r="AQ704" s="14" t="str">
        <f t="shared" si="396"/>
        <v>石灵明</v>
      </c>
      <c r="AR704" s="14">
        <f t="shared" si="397"/>
        <v>3</v>
      </c>
      <c r="AS704" s="14" t="str">
        <f t="shared" si="398"/>
        <v>石灵明魂火-24</v>
      </c>
      <c r="AT704" s="14">
        <f t="shared" si="399"/>
        <v>24</v>
      </c>
      <c r="AU704" s="14" t="str">
        <f>IF(AM704&gt;0,INDEX(挂机升级突破!$DT$4:$ED$4,AM704),"")</f>
        <v>金币</v>
      </c>
      <c r="AV704" s="14">
        <f>ROUND(INDEX(挂机升级突破!$DJ$6:$DJ$57,卡牌消耗!AT704)*INDEX(卡牌消耗!$B$8:$F$8,AR704)/$Q$4/50,0)*50</f>
        <v>6900</v>
      </c>
      <c r="AW704" s="14" t="str">
        <f>IF(AN704&gt;0,INDEX(挂机升级突破!$DT$4:$ED$4,AN704),"")</f>
        <v>橙色基础材料</v>
      </c>
      <c r="AX704" s="14">
        <f>ROUND(INDEX(挂机升级突破!$DT$6:$ED$57,卡牌消耗!AT704,AN704)*INDEX(卡牌消耗!$B$5:$F$5,AR704)/$Q$4/5,0)*5</f>
        <v>20</v>
      </c>
      <c r="AY704" s="14" t="str">
        <f>IF(AO704&gt;0,INDEX(挂机升级突破!$DT$4:$ED$4,AO704),"")</f>
        <v/>
      </c>
      <c r="AZ704" s="14" t="str">
        <f>IF(AO704&gt;0,ROUND(INDEX(挂机升级突破!$DT$6:$ED$57,卡牌消耗!AT704,AO704)*INDEX(卡牌消耗!$B$7:$F$7,AR704)/$Q$4,0),"")</f>
        <v/>
      </c>
      <c r="BL704" s="194"/>
      <c r="BM704" s="194"/>
      <c r="BN704" s="194"/>
      <c r="BO704" s="194"/>
      <c r="BP704" s="194"/>
      <c r="BQ704" s="208"/>
      <c r="BR704" s="194"/>
      <c r="BS704" s="194"/>
      <c r="BT704" s="194"/>
      <c r="BU704" s="194"/>
      <c r="BV704" s="194"/>
      <c r="BW704" s="194"/>
      <c r="BX704" s="194"/>
      <c r="BY704" s="194"/>
      <c r="BZ704" s="194"/>
    </row>
    <row r="705" spans="37:78" ht="16.5" x14ac:dyDescent="0.2">
      <c r="AK705" s="104">
        <v>701</v>
      </c>
      <c r="AL705" s="14">
        <f t="shared" si="395"/>
        <v>14</v>
      </c>
      <c r="AM705" s="14">
        <f>INDEX(挂机升级突破!DQ$6:DQ$57,卡牌消耗!$AT705)</f>
        <v>11</v>
      </c>
      <c r="AN705" s="14">
        <f>INDEX(挂机升级突破!DR$6:DR$57,卡牌消耗!$AT705)</f>
        <v>4</v>
      </c>
      <c r="AO705" s="14">
        <f>INDEX(挂机升级突破!DS$6:DS$57,卡牌消耗!$AT705)</f>
        <v>0</v>
      </c>
      <c r="AP705" s="14">
        <f>INDEX(挂机升级突破!$DP$6:$DP$57,卡牌消耗!AT705)</f>
        <v>80</v>
      </c>
      <c r="AQ705" s="14" t="str">
        <f t="shared" si="396"/>
        <v>石灵明</v>
      </c>
      <c r="AR705" s="14">
        <f t="shared" si="397"/>
        <v>3</v>
      </c>
      <c r="AS705" s="14" t="str">
        <f t="shared" si="398"/>
        <v>石灵明魂火-25</v>
      </c>
      <c r="AT705" s="14">
        <f t="shared" si="399"/>
        <v>25</v>
      </c>
      <c r="AU705" s="14" t="str">
        <f>IF(AM705&gt;0,INDEX(挂机升级突破!$DT$4:$ED$4,AM705),"")</f>
        <v>金币</v>
      </c>
      <c r="AV705" s="14">
        <f>ROUND(INDEX(挂机升级突破!$DJ$6:$DJ$57,卡牌消耗!AT705)*INDEX(卡牌消耗!$B$8:$F$8,AR705)/$Q$4/50,0)*50</f>
        <v>7550</v>
      </c>
      <c r="AW705" s="14" t="str">
        <f>IF(AN705&gt;0,INDEX(挂机升级突破!$DT$4:$ED$4,AN705),"")</f>
        <v>橙色基础材料</v>
      </c>
      <c r="AX705" s="14">
        <f>ROUND(INDEX(挂机升级突破!$DT$6:$ED$57,卡牌消耗!AT705,AN705)*INDEX(卡牌消耗!$B$5:$F$5,AR705)/$Q$4/5,0)*5</f>
        <v>20</v>
      </c>
      <c r="AY705" s="14" t="str">
        <f>IF(AO705&gt;0,INDEX(挂机升级突破!$DT$4:$ED$4,AO705),"")</f>
        <v/>
      </c>
      <c r="AZ705" s="14" t="str">
        <f>IF(AO705&gt;0,ROUND(INDEX(挂机升级突破!$DT$6:$ED$57,卡牌消耗!AT705,AO705)*INDEX(卡牌消耗!$B$7:$F$7,AR705)/$Q$4,0),"")</f>
        <v/>
      </c>
      <c r="BL705" s="194"/>
      <c r="BM705" s="194"/>
      <c r="BN705" s="194"/>
      <c r="BO705" s="194"/>
      <c r="BP705" s="194"/>
      <c r="BQ705" s="208"/>
      <c r="BR705" s="194"/>
      <c r="BS705" s="194"/>
      <c r="BT705" s="194"/>
      <c r="BU705" s="194"/>
      <c r="BV705" s="194"/>
      <c r="BW705" s="194"/>
      <c r="BX705" s="194"/>
      <c r="BY705" s="194"/>
      <c r="BZ705" s="194"/>
    </row>
    <row r="706" spans="37:78" ht="16.5" x14ac:dyDescent="0.2">
      <c r="AK706" s="104">
        <v>702</v>
      </c>
      <c r="AL706" s="14">
        <f t="shared" si="395"/>
        <v>14</v>
      </c>
      <c r="AM706" s="14">
        <f>INDEX(挂机升级突破!DQ$6:DQ$57,卡牌消耗!$AT706)</f>
        <v>11</v>
      </c>
      <c r="AN706" s="14">
        <f>INDEX(挂机升级突破!DR$6:DR$57,卡牌消耗!$AT706)</f>
        <v>4</v>
      </c>
      <c r="AO706" s="14">
        <f>INDEX(挂机升级突破!DS$6:DS$57,卡牌消耗!$AT706)</f>
        <v>0</v>
      </c>
      <c r="AP706" s="14">
        <f>INDEX(挂机升级突破!$DP$6:$DP$57,卡牌消耗!AT706)</f>
        <v>83</v>
      </c>
      <c r="AQ706" s="14" t="str">
        <f t="shared" si="396"/>
        <v>石灵明</v>
      </c>
      <c r="AR706" s="14">
        <f t="shared" si="397"/>
        <v>3</v>
      </c>
      <c r="AS706" s="14" t="str">
        <f t="shared" si="398"/>
        <v>石灵明魂火-26</v>
      </c>
      <c r="AT706" s="14">
        <f t="shared" si="399"/>
        <v>26</v>
      </c>
      <c r="AU706" s="14" t="str">
        <f>IF(AM706&gt;0,INDEX(挂机升级突破!$DT$4:$ED$4,AM706),"")</f>
        <v>金币</v>
      </c>
      <c r="AV706" s="14">
        <f>ROUND(INDEX(挂机升级突破!$DJ$6:$DJ$57,卡牌消耗!AT706)*INDEX(卡牌消耗!$B$8:$F$8,AR706)/$Q$4/50,0)*50</f>
        <v>8800</v>
      </c>
      <c r="AW706" s="14" t="str">
        <f>IF(AN706&gt;0,INDEX(挂机升级突破!$DT$4:$ED$4,AN706),"")</f>
        <v>橙色基础材料</v>
      </c>
      <c r="AX706" s="14">
        <f>ROUND(INDEX(挂机升级突破!$DT$6:$ED$57,卡牌消耗!AT706,AN706)*INDEX(卡牌消耗!$B$5:$F$5,AR706)/$Q$4/5,0)*5</f>
        <v>25</v>
      </c>
      <c r="AY706" s="14" t="str">
        <f>IF(AO706&gt;0,INDEX(挂机升级突破!$DT$4:$ED$4,AO706),"")</f>
        <v/>
      </c>
      <c r="AZ706" s="14" t="str">
        <f>IF(AO706&gt;0,ROUND(INDEX(挂机升级突破!$DT$6:$ED$57,卡牌消耗!AT706,AO706)*INDEX(卡牌消耗!$B$7:$F$7,AR706)/$Q$4,0),"")</f>
        <v/>
      </c>
      <c r="BL706" s="194"/>
      <c r="BM706" s="194"/>
      <c r="BN706" s="194"/>
      <c r="BO706" s="194"/>
      <c r="BP706" s="194"/>
      <c r="BQ706" s="208"/>
      <c r="BR706" s="194"/>
      <c r="BS706" s="194"/>
      <c r="BT706" s="194"/>
      <c r="BU706" s="194"/>
      <c r="BV706" s="194"/>
      <c r="BW706" s="194"/>
      <c r="BX706" s="194"/>
      <c r="BY706" s="194"/>
      <c r="BZ706" s="194"/>
    </row>
    <row r="707" spans="37:78" ht="16.5" x14ac:dyDescent="0.2">
      <c r="AK707" s="104">
        <v>703</v>
      </c>
      <c r="AL707" s="14">
        <f t="shared" si="395"/>
        <v>14</v>
      </c>
      <c r="AM707" s="14">
        <f>INDEX(挂机升级突破!DQ$6:DQ$57,卡牌消耗!$AT707)</f>
        <v>11</v>
      </c>
      <c r="AN707" s="14">
        <f>INDEX(挂机升级突破!DR$6:DR$57,卡牌消耗!$AT707)</f>
        <v>4</v>
      </c>
      <c r="AO707" s="14">
        <f>INDEX(挂机升级突破!DS$6:DS$57,卡牌消耗!$AT707)</f>
        <v>0</v>
      </c>
      <c r="AP707" s="14">
        <f>INDEX(挂机升级突破!$DP$6:$DP$57,卡牌消耗!AT707)</f>
        <v>85</v>
      </c>
      <c r="AQ707" s="14" t="str">
        <f t="shared" si="396"/>
        <v>石灵明</v>
      </c>
      <c r="AR707" s="14">
        <f t="shared" si="397"/>
        <v>3</v>
      </c>
      <c r="AS707" s="14" t="str">
        <f t="shared" si="398"/>
        <v>石灵明魂火-27</v>
      </c>
      <c r="AT707" s="14">
        <f t="shared" si="399"/>
        <v>27</v>
      </c>
      <c r="AU707" s="14" t="str">
        <f>IF(AM707&gt;0,INDEX(挂机升级突破!$DT$4:$ED$4,AM707),"")</f>
        <v>金币</v>
      </c>
      <c r="AV707" s="14">
        <f>ROUND(INDEX(挂机升级突破!$DJ$6:$DJ$57,卡牌消耗!AT707)*INDEX(卡牌消耗!$B$8:$F$8,AR707)/$Q$4/50,0)*50</f>
        <v>8800</v>
      </c>
      <c r="AW707" s="14" t="str">
        <f>IF(AN707&gt;0,INDEX(挂机升级突破!$DT$4:$ED$4,AN707),"")</f>
        <v>橙色基础材料</v>
      </c>
      <c r="AX707" s="14">
        <f>ROUND(INDEX(挂机升级突破!$DT$6:$ED$57,卡牌消耗!AT707,AN707)*INDEX(卡牌消耗!$B$5:$F$5,AR707)/$Q$4/5,0)*5</f>
        <v>25</v>
      </c>
      <c r="AY707" s="14" t="str">
        <f>IF(AO707&gt;0,INDEX(挂机升级突破!$DT$4:$ED$4,AO707),"")</f>
        <v/>
      </c>
      <c r="AZ707" s="14" t="str">
        <f>IF(AO707&gt;0,ROUND(INDEX(挂机升级突破!$DT$6:$ED$57,卡牌消耗!AT707,AO707)*INDEX(卡牌消耗!$B$7:$F$7,AR707)/$Q$4,0),"")</f>
        <v/>
      </c>
      <c r="BL707" s="194"/>
      <c r="BM707" s="194"/>
      <c r="BN707" s="194"/>
      <c r="BO707" s="194"/>
      <c r="BP707" s="194"/>
      <c r="BQ707" s="208"/>
      <c r="BR707" s="194"/>
      <c r="BS707" s="194"/>
      <c r="BT707" s="194"/>
      <c r="BU707" s="194"/>
      <c r="BV707" s="194"/>
      <c r="BW707" s="194"/>
      <c r="BX707" s="194"/>
      <c r="BY707" s="194"/>
      <c r="BZ707" s="194"/>
    </row>
    <row r="708" spans="37:78" ht="16.5" x14ac:dyDescent="0.2">
      <c r="AK708" s="104">
        <v>704</v>
      </c>
      <c r="AL708" s="14">
        <f t="shared" si="395"/>
        <v>14</v>
      </c>
      <c r="AM708" s="14">
        <f>INDEX(挂机升级突破!DQ$6:DQ$57,卡牌消耗!$AT708)</f>
        <v>11</v>
      </c>
      <c r="AN708" s="14">
        <f>INDEX(挂机升级突破!DR$6:DR$57,卡牌消耗!$AT708)</f>
        <v>4</v>
      </c>
      <c r="AO708" s="14">
        <f>INDEX(挂机升级突破!DS$6:DS$57,卡牌消耗!$AT708)</f>
        <v>0</v>
      </c>
      <c r="AP708" s="14">
        <f>INDEX(挂机升级突破!$DP$6:$DP$57,卡牌消耗!AT708)</f>
        <v>88</v>
      </c>
      <c r="AQ708" s="14" t="str">
        <f t="shared" si="396"/>
        <v>石灵明</v>
      </c>
      <c r="AR708" s="14">
        <f t="shared" si="397"/>
        <v>3</v>
      </c>
      <c r="AS708" s="14" t="str">
        <f t="shared" si="398"/>
        <v>石灵明魂火-28</v>
      </c>
      <c r="AT708" s="14">
        <f t="shared" si="399"/>
        <v>28</v>
      </c>
      <c r="AU708" s="14" t="str">
        <f>IF(AM708&gt;0,INDEX(挂机升级突破!$DT$4:$ED$4,AM708),"")</f>
        <v>金币</v>
      </c>
      <c r="AV708" s="14">
        <f>ROUND(INDEX(挂机升级突破!$DJ$6:$DJ$57,卡牌消耗!AT708)*INDEX(卡牌消耗!$B$8:$F$8,AR708)/$Q$4/50,0)*50</f>
        <v>8800</v>
      </c>
      <c r="AW708" s="14" t="str">
        <f>IF(AN708&gt;0,INDEX(挂机升级突破!$DT$4:$ED$4,AN708),"")</f>
        <v>橙色基础材料</v>
      </c>
      <c r="AX708" s="14">
        <f>ROUND(INDEX(挂机升级突破!$DT$6:$ED$57,卡牌消耗!AT708,AN708)*INDEX(卡牌消耗!$B$5:$F$5,AR708)/$Q$4/5,0)*5</f>
        <v>25</v>
      </c>
      <c r="AY708" s="14" t="str">
        <f>IF(AO708&gt;0,INDEX(挂机升级突破!$DT$4:$ED$4,AO708),"")</f>
        <v/>
      </c>
      <c r="AZ708" s="14" t="str">
        <f>IF(AO708&gt;0,ROUND(INDEX(挂机升级突破!$DT$6:$ED$57,卡牌消耗!AT708,AO708)*INDEX(卡牌消耗!$B$7:$F$7,AR708)/$Q$4,0),"")</f>
        <v/>
      </c>
      <c r="BL708" s="194"/>
      <c r="BM708" s="194"/>
      <c r="BN708" s="194"/>
      <c r="BO708" s="194"/>
      <c r="BP708" s="194"/>
      <c r="BQ708" s="208"/>
      <c r="BR708" s="194"/>
      <c r="BS708" s="194"/>
      <c r="BT708" s="194"/>
      <c r="BU708" s="194"/>
      <c r="BV708" s="194"/>
      <c r="BW708" s="194"/>
      <c r="BX708" s="194"/>
      <c r="BY708" s="194"/>
      <c r="BZ708" s="194"/>
    </row>
    <row r="709" spans="37:78" ht="16.5" x14ac:dyDescent="0.2">
      <c r="AK709" s="104">
        <v>705</v>
      </c>
      <c r="AL709" s="14">
        <f t="shared" si="395"/>
        <v>14</v>
      </c>
      <c r="AM709" s="14">
        <f>INDEX(挂机升级突破!DQ$6:DQ$57,卡牌消耗!$AT709)</f>
        <v>11</v>
      </c>
      <c r="AN709" s="14">
        <f>INDEX(挂机升级突破!DR$6:DR$57,卡牌消耗!$AT709)</f>
        <v>4</v>
      </c>
      <c r="AO709" s="14">
        <f>INDEX(挂机升级突破!DS$6:DS$57,卡牌消耗!$AT709)</f>
        <v>0</v>
      </c>
      <c r="AP709" s="14">
        <f>INDEX(挂机升级突破!$DP$6:$DP$57,卡牌消耗!AT709)</f>
        <v>90</v>
      </c>
      <c r="AQ709" s="14" t="str">
        <f t="shared" si="396"/>
        <v>石灵明</v>
      </c>
      <c r="AR709" s="14">
        <f t="shared" si="397"/>
        <v>3</v>
      </c>
      <c r="AS709" s="14" t="str">
        <f t="shared" si="398"/>
        <v>石灵明魂火-29</v>
      </c>
      <c r="AT709" s="14">
        <f t="shared" si="399"/>
        <v>29</v>
      </c>
      <c r="AU709" s="14" t="str">
        <f>IF(AM709&gt;0,INDEX(挂机升级突破!$DT$4:$ED$4,AM709),"")</f>
        <v>金币</v>
      </c>
      <c r="AV709" s="14">
        <f>ROUND(INDEX(挂机升级突破!$DJ$6:$DJ$57,卡牌消耗!AT709)*INDEX(卡牌消耗!$B$8:$F$8,AR709)/$Q$4/50,0)*50</f>
        <v>8900</v>
      </c>
      <c r="AW709" s="14" t="str">
        <f>IF(AN709&gt;0,INDEX(挂机升级突破!$DT$4:$ED$4,AN709),"")</f>
        <v>橙色基础材料</v>
      </c>
      <c r="AX709" s="14">
        <f>ROUND(INDEX(挂机升级突破!$DT$6:$ED$57,卡牌消耗!AT709,AN709)*INDEX(卡牌消耗!$B$5:$F$5,AR709)/$Q$4/5,0)*5</f>
        <v>25</v>
      </c>
      <c r="AY709" s="14" t="str">
        <f>IF(AO709&gt;0,INDEX(挂机升级突破!$DT$4:$ED$4,AO709),"")</f>
        <v/>
      </c>
      <c r="AZ709" s="14" t="str">
        <f>IF(AO709&gt;0,ROUND(INDEX(挂机升级突破!$DT$6:$ED$57,卡牌消耗!AT709,AO709)*INDEX(卡牌消耗!$B$7:$F$7,AR709)/$Q$4,0),"")</f>
        <v/>
      </c>
      <c r="BL709" s="194"/>
      <c r="BM709" s="194"/>
      <c r="BN709" s="194"/>
      <c r="BO709" s="194"/>
      <c r="BP709" s="194"/>
      <c r="BQ709" s="208"/>
      <c r="BR709" s="194"/>
      <c r="BS709" s="194"/>
      <c r="BT709" s="194"/>
      <c r="BU709" s="194"/>
      <c r="BV709" s="194"/>
      <c r="BW709" s="194"/>
      <c r="BX709" s="194"/>
      <c r="BY709" s="194"/>
      <c r="BZ709" s="194"/>
    </row>
    <row r="710" spans="37:78" ht="16.5" x14ac:dyDescent="0.2">
      <c r="AK710" s="104">
        <v>706</v>
      </c>
      <c r="AL710" s="14">
        <f t="shared" ref="AL710:AL773" si="400">INT((AK710-1)/52)+1</f>
        <v>14</v>
      </c>
      <c r="AM710" s="14">
        <f>INDEX(挂机升级突破!DQ$6:DQ$57,卡牌消耗!$AT710)</f>
        <v>11</v>
      </c>
      <c r="AN710" s="14">
        <f>INDEX(挂机升级突破!DR$6:DR$57,卡牌消耗!$AT710)</f>
        <v>4</v>
      </c>
      <c r="AO710" s="14">
        <f>INDEX(挂机升级突破!DS$6:DS$57,卡牌消耗!$AT710)</f>
        <v>0</v>
      </c>
      <c r="AP710" s="14">
        <f>INDEX(挂机升级突破!$DP$6:$DP$57,卡牌消耗!AT710)</f>
        <v>93</v>
      </c>
      <c r="AQ710" s="14" t="str">
        <f t="shared" ref="AQ710:AQ773" si="401">INDEX($B$13:$B$45,AL710)</f>
        <v>石灵明</v>
      </c>
      <c r="AR710" s="14">
        <f t="shared" ref="AR710:AR773" si="402">INDEX($C$13:$C$45,AL710)</f>
        <v>3</v>
      </c>
      <c r="AS710" s="14" t="str">
        <f t="shared" ref="AS710:AS773" si="403">AQ710&amp;"魂火-"&amp;AT710</f>
        <v>石灵明魂火-30</v>
      </c>
      <c r="AT710" s="14">
        <f t="shared" ref="AT710:AT773" si="404">AK710-(AL710-1)*52</f>
        <v>30</v>
      </c>
      <c r="AU710" s="14" t="str">
        <f>IF(AM710&gt;0,INDEX(挂机升级突破!$DT$4:$ED$4,AM710),"")</f>
        <v>金币</v>
      </c>
      <c r="AV710" s="14">
        <f>ROUND(INDEX(挂机升级突破!$DJ$6:$DJ$57,卡牌消耗!AT710)*INDEX(卡牌消耗!$B$8:$F$8,AR710)/$Q$4/50,0)*50</f>
        <v>8900</v>
      </c>
      <c r="AW710" s="14" t="str">
        <f>IF(AN710&gt;0,INDEX(挂机升级突破!$DT$4:$ED$4,AN710),"")</f>
        <v>橙色基础材料</v>
      </c>
      <c r="AX710" s="14">
        <f>ROUND(INDEX(挂机升级突破!$DT$6:$ED$57,卡牌消耗!AT710,AN710)*INDEX(卡牌消耗!$B$5:$F$5,AR710)/$Q$4/5,0)*5</f>
        <v>25</v>
      </c>
      <c r="AY710" s="14" t="str">
        <f>IF(AO710&gt;0,INDEX(挂机升级突破!$DT$4:$ED$4,AO710),"")</f>
        <v/>
      </c>
      <c r="AZ710" s="14" t="str">
        <f>IF(AO710&gt;0,ROUND(INDEX(挂机升级突破!$DT$6:$ED$57,卡牌消耗!AT710,AO710)*INDEX(卡牌消耗!$B$7:$F$7,AR710)/$Q$4,0),"")</f>
        <v/>
      </c>
      <c r="BL710" s="194"/>
      <c r="BM710" s="194"/>
      <c r="BN710" s="194"/>
      <c r="BO710" s="194"/>
      <c r="BP710" s="194"/>
      <c r="BQ710" s="208"/>
      <c r="BR710" s="194"/>
      <c r="BS710" s="194"/>
      <c r="BT710" s="194"/>
      <c r="BU710" s="194"/>
      <c r="BV710" s="194"/>
      <c r="BW710" s="194"/>
      <c r="BX710" s="194"/>
      <c r="BY710" s="194"/>
      <c r="BZ710" s="194"/>
    </row>
    <row r="711" spans="37:78" ht="16.5" x14ac:dyDescent="0.2">
      <c r="AK711" s="104">
        <v>707</v>
      </c>
      <c r="AL711" s="14">
        <f t="shared" si="400"/>
        <v>14</v>
      </c>
      <c r="AM711" s="14">
        <f>INDEX(挂机升级突破!DQ$6:DQ$57,卡牌消耗!$AT711)</f>
        <v>11</v>
      </c>
      <c r="AN711" s="14">
        <f>INDEX(挂机升级突破!DR$6:DR$57,卡牌消耗!$AT711)</f>
        <v>4</v>
      </c>
      <c r="AO711" s="14">
        <f>INDEX(挂机升级突破!DS$6:DS$57,卡牌消耗!$AT711)</f>
        <v>0</v>
      </c>
      <c r="AP711" s="14">
        <f>INDEX(挂机升级突破!$DP$6:$DP$57,卡牌消耗!AT711)</f>
        <v>95</v>
      </c>
      <c r="AQ711" s="14" t="str">
        <f t="shared" si="401"/>
        <v>石灵明</v>
      </c>
      <c r="AR711" s="14">
        <f t="shared" si="402"/>
        <v>3</v>
      </c>
      <c r="AS711" s="14" t="str">
        <f t="shared" si="403"/>
        <v>石灵明魂火-31</v>
      </c>
      <c r="AT711" s="14">
        <f t="shared" si="404"/>
        <v>31</v>
      </c>
      <c r="AU711" s="14" t="str">
        <f>IF(AM711&gt;0,INDEX(挂机升级突破!$DT$4:$ED$4,AM711),"")</f>
        <v>金币</v>
      </c>
      <c r="AV711" s="14">
        <f>ROUND(INDEX(挂机升级突破!$DJ$6:$DJ$57,卡牌消耗!AT711)*INDEX(卡牌消耗!$B$8:$F$8,AR711)/$Q$4/50,0)*50</f>
        <v>8900</v>
      </c>
      <c r="AW711" s="14" t="str">
        <f>IF(AN711&gt;0,INDEX(挂机升级突破!$DT$4:$ED$4,AN711),"")</f>
        <v>橙色基础材料</v>
      </c>
      <c r="AX711" s="14">
        <f>ROUND(INDEX(挂机升级突破!$DT$6:$ED$57,卡牌消耗!AT711,AN711)*INDEX(卡牌消耗!$B$5:$F$5,AR711)/$Q$4/5,0)*5</f>
        <v>25</v>
      </c>
      <c r="AY711" s="14" t="str">
        <f>IF(AO711&gt;0,INDEX(挂机升级突破!$DT$4:$ED$4,AO711),"")</f>
        <v/>
      </c>
      <c r="AZ711" s="14" t="str">
        <f>IF(AO711&gt;0,ROUND(INDEX(挂机升级突破!$DT$6:$ED$57,卡牌消耗!AT711,AO711)*INDEX(卡牌消耗!$B$7:$F$7,AR711)/$Q$4,0),"")</f>
        <v/>
      </c>
      <c r="BL711" s="194"/>
      <c r="BM711" s="194"/>
      <c r="BN711" s="194"/>
      <c r="BO711" s="194"/>
      <c r="BP711" s="194"/>
      <c r="BQ711" s="208"/>
      <c r="BR711" s="194"/>
      <c r="BS711" s="194"/>
      <c r="BT711" s="194"/>
      <c r="BU711" s="194"/>
      <c r="BV711" s="194"/>
      <c r="BW711" s="194"/>
      <c r="BX711" s="194"/>
      <c r="BY711" s="194"/>
      <c r="BZ711" s="194"/>
    </row>
    <row r="712" spans="37:78" ht="16.5" x14ac:dyDescent="0.2">
      <c r="AK712" s="104">
        <v>708</v>
      </c>
      <c r="AL712" s="14">
        <f t="shared" si="400"/>
        <v>14</v>
      </c>
      <c r="AM712" s="14">
        <f>INDEX(挂机升级突破!DQ$6:DQ$57,卡牌消耗!$AT712)</f>
        <v>11</v>
      </c>
      <c r="AN712" s="14">
        <f>INDEX(挂机升级突破!DR$6:DR$57,卡牌消耗!$AT712)</f>
        <v>4</v>
      </c>
      <c r="AO712" s="14">
        <f>INDEX(挂机升级突破!DS$6:DS$57,卡牌消耗!$AT712)</f>
        <v>0</v>
      </c>
      <c r="AP712" s="14">
        <f>INDEX(挂机升级突破!$DP$6:$DP$57,卡牌消耗!AT712)</f>
        <v>98</v>
      </c>
      <c r="AQ712" s="14" t="str">
        <f t="shared" si="401"/>
        <v>石灵明</v>
      </c>
      <c r="AR712" s="14">
        <f t="shared" si="402"/>
        <v>3</v>
      </c>
      <c r="AS712" s="14" t="str">
        <f t="shared" si="403"/>
        <v>石灵明魂火-32</v>
      </c>
      <c r="AT712" s="14">
        <f t="shared" si="404"/>
        <v>32</v>
      </c>
      <c r="AU712" s="14" t="str">
        <f>IF(AM712&gt;0,INDEX(挂机升级突破!$DT$4:$ED$4,AM712),"")</f>
        <v>金币</v>
      </c>
      <c r="AV712" s="14">
        <f>ROUND(INDEX(挂机升级突破!$DJ$6:$DJ$57,卡牌消耗!AT712)*INDEX(卡牌消耗!$B$8:$F$8,AR712)/$Q$4/50,0)*50</f>
        <v>12200</v>
      </c>
      <c r="AW712" s="14" t="str">
        <f>IF(AN712&gt;0,INDEX(挂机升级突破!$DT$4:$ED$4,AN712),"")</f>
        <v>橙色基础材料</v>
      </c>
      <c r="AX712" s="14">
        <f>ROUND(INDEX(挂机升级突破!$DT$6:$ED$57,卡牌消耗!AT712,AN712)*INDEX(卡牌消耗!$B$5:$F$5,AR712)/$Q$4/5,0)*5</f>
        <v>25</v>
      </c>
      <c r="AY712" s="14" t="str">
        <f>IF(AO712&gt;0,INDEX(挂机升级突破!$DT$4:$ED$4,AO712),"")</f>
        <v/>
      </c>
      <c r="AZ712" s="14" t="str">
        <f>IF(AO712&gt;0,ROUND(INDEX(挂机升级突破!$DT$6:$ED$57,卡牌消耗!AT712,AO712)*INDEX(卡牌消耗!$B$7:$F$7,AR712)/$Q$4,0),"")</f>
        <v/>
      </c>
      <c r="BL712" s="194"/>
      <c r="BM712" s="194"/>
      <c r="BN712" s="194"/>
      <c r="BO712" s="194"/>
      <c r="BP712" s="194"/>
      <c r="BQ712" s="208"/>
      <c r="BR712" s="194"/>
      <c r="BS712" s="194"/>
      <c r="BT712" s="194"/>
      <c r="BU712" s="194"/>
      <c r="BV712" s="194"/>
      <c r="BW712" s="194"/>
      <c r="BX712" s="194"/>
      <c r="BY712" s="194"/>
      <c r="BZ712" s="194"/>
    </row>
    <row r="713" spans="37:78" ht="16.5" x14ac:dyDescent="0.2">
      <c r="AK713" s="104">
        <v>709</v>
      </c>
      <c r="AL713" s="14">
        <f t="shared" si="400"/>
        <v>14</v>
      </c>
      <c r="AM713" s="14">
        <f>INDEX(挂机升级突破!DQ$6:DQ$57,卡牌消耗!$AT713)</f>
        <v>11</v>
      </c>
      <c r="AN713" s="14">
        <f>INDEX(挂机升级突破!DR$6:DR$57,卡牌消耗!$AT713)</f>
        <v>4</v>
      </c>
      <c r="AO713" s="14">
        <f>INDEX(挂机升级突破!DS$6:DS$57,卡牌消耗!$AT713)</f>
        <v>0</v>
      </c>
      <c r="AP713" s="14">
        <f>INDEX(挂机升级突破!$DP$6:$DP$57,卡牌消耗!AT713)</f>
        <v>100</v>
      </c>
      <c r="AQ713" s="14" t="str">
        <f t="shared" si="401"/>
        <v>石灵明</v>
      </c>
      <c r="AR713" s="14">
        <f t="shared" si="402"/>
        <v>3</v>
      </c>
      <c r="AS713" s="14" t="str">
        <f t="shared" si="403"/>
        <v>石灵明魂火-33</v>
      </c>
      <c r="AT713" s="14">
        <f t="shared" si="404"/>
        <v>33</v>
      </c>
      <c r="AU713" s="14" t="str">
        <f>IF(AM713&gt;0,INDEX(挂机升级突破!$DT$4:$ED$4,AM713),"")</f>
        <v>金币</v>
      </c>
      <c r="AV713" s="14">
        <f>ROUND(INDEX(挂机升级突破!$DJ$6:$DJ$57,卡牌消耗!AT713)*INDEX(卡牌消耗!$B$8:$F$8,AR713)/$Q$4/50,0)*50</f>
        <v>12200</v>
      </c>
      <c r="AW713" s="14" t="str">
        <f>IF(AN713&gt;0,INDEX(挂机升级突破!$DT$4:$ED$4,AN713),"")</f>
        <v>橙色基础材料</v>
      </c>
      <c r="AX713" s="14">
        <f>ROUND(INDEX(挂机升级突破!$DT$6:$ED$57,卡牌消耗!AT713,AN713)*INDEX(卡牌消耗!$B$5:$F$5,AR713)/$Q$4/5,0)*5</f>
        <v>25</v>
      </c>
      <c r="AY713" s="14" t="str">
        <f>IF(AO713&gt;0,INDEX(挂机升级突破!$DT$4:$ED$4,AO713),"")</f>
        <v/>
      </c>
      <c r="AZ713" s="14" t="str">
        <f>IF(AO713&gt;0,ROUND(INDEX(挂机升级突破!$DT$6:$ED$57,卡牌消耗!AT713,AO713)*INDEX(卡牌消耗!$B$7:$F$7,AR713)/$Q$4,0),"")</f>
        <v/>
      </c>
      <c r="BL713" s="194"/>
      <c r="BM713" s="194"/>
      <c r="BN713" s="194"/>
      <c r="BO713" s="194"/>
      <c r="BP713" s="194"/>
      <c r="BQ713" s="208"/>
      <c r="BR713" s="194"/>
      <c r="BS713" s="194"/>
      <c r="BT713" s="194"/>
      <c r="BU713" s="194"/>
      <c r="BV713" s="194"/>
      <c r="BW713" s="194"/>
      <c r="BX713" s="194"/>
      <c r="BY713" s="194"/>
      <c r="BZ713" s="194"/>
    </row>
    <row r="714" spans="37:78" ht="16.5" x14ac:dyDescent="0.2">
      <c r="AK714" s="104">
        <v>710</v>
      </c>
      <c r="AL714" s="14">
        <f t="shared" si="400"/>
        <v>14</v>
      </c>
      <c r="AM714" s="14">
        <f>INDEX(挂机升级突破!DQ$6:DQ$57,卡牌消耗!$AT714)</f>
        <v>11</v>
      </c>
      <c r="AN714" s="14">
        <f>INDEX(挂机升级突破!DR$6:DR$57,卡牌消耗!$AT714)</f>
        <v>4</v>
      </c>
      <c r="AO714" s="14">
        <f>INDEX(挂机升级突破!DS$6:DS$57,卡牌消耗!$AT714)</f>
        <v>0</v>
      </c>
      <c r="AP714" s="14">
        <f>INDEX(挂机升级突破!$DP$6:$DP$57,卡牌消耗!AT714)</f>
        <v>103</v>
      </c>
      <c r="AQ714" s="14" t="str">
        <f t="shared" si="401"/>
        <v>石灵明</v>
      </c>
      <c r="AR714" s="14">
        <f t="shared" si="402"/>
        <v>3</v>
      </c>
      <c r="AS714" s="14" t="str">
        <f t="shared" si="403"/>
        <v>石灵明魂火-34</v>
      </c>
      <c r="AT714" s="14">
        <f t="shared" si="404"/>
        <v>34</v>
      </c>
      <c r="AU714" s="14" t="str">
        <f>IF(AM714&gt;0,INDEX(挂机升级突破!$DT$4:$ED$4,AM714),"")</f>
        <v>金币</v>
      </c>
      <c r="AV714" s="14">
        <f>ROUND(INDEX(挂机升级突破!$DJ$6:$DJ$57,卡牌消耗!AT714)*INDEX(卡牌消耗!$B$8:$F$8,AR714)/$Q$4/50,0)*50</f>
        <v>12200</v>
      </c>
      <c r="AW714" s="14" t="str">
        <f>IF(AN714&gt;0,INDEX(挂机升级突破!$DT$4:$ED$4,AN714),"")</f>
        <v>橙色基础材料</v>
      </c>
      <c r="AX714" s="14">
        <f>ROUND(INDEX(挂机升级突破!$DT$6:$ED$57,卡牌消耗!AT714,AN714)*INDEX(卡牌消耗!$B$5:$F$5,AR714)/$Q$4/5,0)*5</f>
        <v>30</v>
      </c>
      <c r="AY714" s="14" t="str">
        <f>IF(AO714&gt;0,INDEX(挂机升级突破!$DT$4:$ED$4,AO714),"")</f>
        <v/>
      </c>
      <c r="AZ714" s="14" t="str">
        <f>IF(AO714&gt;0,ROUND(INDEX(挂机升级突破!$DT$6:$ED$57,卡牌消耗!AT714,AO714)*INDEX(卡牌消耗!$B$7:$F$7,AR714)/$Q$4,0),"")</f>
        <v/>
      </c>
      <c r="BL714" s="194"/>
      <c r="BM714" s="194"/>
      <c r="BN714" s="194"/>
      <c r="BO714" s="194"/>
      <c r="BP714" s="194"/>
      <c r="BQ714" s="208"/>
      <c r="BR714" s="194"/>
      <c r="BS714" s="194"/>
      <c r="BT714" s="194"/>
      <c r="BU714" s="194"/>
      <c r="BV714" s="194"/>
      <c r="BW714" s="194"/>
      <c r="BX714" s="194"/>
      <c r="BY714" s="194"/>
      <c r="BZ714" s="194"/>
    </row>
    <row r="715" spans="37:78" ht="16.5" x14ac:dyDescent="0.2">
      <c r="AK715" s="104">
        <v>711</v>
      </c>
      <c r="AL715" s="14">
        <f t="shared" si="400"/>
        <v>14</v>
      </c>
      <c r="AM715" s="14">
        <f>INDEX(挂机升级突破!DQ$6:DQ$57,卡牌消耗!$AT715)</f>
        <v>11</v>
      </c>
      <c r="AN715" s="14">
        <f>INDEX(挂机升级突破!DR$6:DR$57,卡牌消耗!$AT715)</f>
        <v>4</v>
      </c>
      <c r="AO715" s="14">
        <f>INDEX(挂机升级突破!DS$6:DS$57,卡牌消耗!$AT715)</f>
        <v>0</v>
      </c>
      <c r="AP715" s="14">
        <f>INDEX(挂机升级突破!$DP$6:$DP$57,卡牌消耗!AT715)</f>
        <v>105</v>
      </c>
      <c r="AQ715" s="14" t="str">
        <f t="shared" si="401"/>
        <v>石灵明</v>
      </c>
      <c r="AR715" s="14">
        <f t="shared" si="402"/>
        <v>3</v>
      </c>
      <c r="AS715" s="14" t="str">
        <f t="shared" si="403"/>
        <v>石灵明魂火-35</v>
      </c>
      <c r="AT715" s="14">
        <f t="shared" si="404"/>
        <v>35</v>
      </c>
      <c r="AU715" s="14" t="str">
        <f>IF(AM715&gt;0,INDEX(挂机升级突破!$DT$4:$ED$4,AM715),"")</f>
        <v>金币</v>
      </c>
      <c r="AV715" s="14">
        <f>ROUND(INDEX(挂机升级突破!$DJ$6:$DJ$57,卡牌消耗!AT715)*INDEX(卡牌消耗!$B$8:$F$8,AR715)/$Q$4/50,0)*50</f>
        <v>15550</v>
      </c>
      <c r="AW715" s="14" t="str">
        <f>IF(AN715&gt;0,INDEX(挂机升级突破!$DT$4:$ED$4,AN715),"")</f>
        <v>橙色基础材料</v>
      </c>
      <c r="AX715" s="14">
        <f>ROUND(INDEX(挂机升级突破!$DT$6:$ED$57,卡牌消耗!AT715,AN715)*INDEX(卡牌消耗!$B$5:$F$5,AR715)/$Q$4/5,0)*5</f>
        <v>30</v>
      </c>
      <c r="AY715" s="14" t="str">
        <f>IF(AO715&gt;0,INDEX(挂机升级突破!$DT$4:$ED$4,AO715),"")</f>
        <v/>
      </c>
      <c r="AZ715" s="14" t="str">
        <f>IF(AO715&gt;0,ROUND(INDEX(挂机升级突破!$DT$6:$ED$57,卡牌消耗!AT715,AO715)*INDEX(卡牌消耗!$B$7:$F$7,AR715)/$Q$4,0),"")</f>
        <v/>
      </c>
      <c r="BL715" s="194"/>
      <c r="BM715" s="194"/>
      <c r="BN715" s="194"/>
      <c r="BO715" s="194"/>
      <c r="BP715" s="194"/>
      <c r="BQ715" s="208"/>
      <c r="BR715" s="194"/>
      <c r="BS715" s="194"/>
      <c r="BT715" s="194"/>
      <c r="BU715" s="194"/>
      <c r="BV715" s="194"/>
      <c r="BW715" s="194"/>
      <c r="BX715" s="194"/>
      <c r="BY715" s="194"/>
      <c r="BZ715" s="194"/>
    </row>
    <row r="716" spans="37:78" ht="16.5" x14ac:dyDescent="0.2">
      <c r="AK716" s="104">
        <v>712</v>
      </c>
      <c r="AL716" s="14">
        <f t="shared" si="400"/>
        <v>14</v>
      </c>
      <c r="AM716" s="14">
        <f>INDEX(挂机升级突破!DQ$6:DQ$57,卡牌消耗!$AT716)</f>
        <v>11</v>
      </c>
      <c r="AN716" s="14">
        <f>INDEX(挂机升级突破!DR$6:DR$57,卡牌消耗!$AT716)</f>
        <v>4</v>
      </c>
      <c r="AO716" s="14">
        <f>INDEX(挂机升级突破!DS$6:DS$57,卡牌消耗!$AT716)</f>
        <v>0</v>
      </c>
      <c r="AP716" s="14">
        <f>INDEX(挂机升级突破!$DP$6:$DP$57,卡牌消耗!AT716)</f>
        <v>108</v>
      </c>
      <c r="AQ716" s="14" t="str">
        <f t="shared" si="401"/>
        <v>石灵明</v>
      </c>
      <c r="AR716" s="14">
        <f t="shared" si="402"/>
        <v>3</v>
      </c>
      <c r="AS716" s="14" t="str">
        <f t="shared" si="403"/>
        <v>石灵明魂火-36</v>
      </c>
      <c r="AT716" s="14">
        <f t="shared" si="404"/>
        <v>36</v>
      </c>
      <c r="AU716" s="14" t="str">
        <f>IF(AM716&gt;0,INDEX(挂机升级突破!$DT$4:$ED$4,AM716),"")</f>
        <v>金币</v>
      </c>
      <c r="AV716" s="14">
        <f>ROUND(INDEX(挂机升级突破!$DJ$6:$DJ$57,卡牌消耗!AT716)*INDEX(卡牌消耗!$B$8:$F$8,AR716)/$Q$4/50,0)*50</f>
        <v>15550</v>
      </c>
      <c r="AW716" s="14" t="str">
        <f>IF(AN716&gt;0,INDEX(挂机升级突破!$DT$4:$ED$4,AN716),"")</f>
        <v>橙色基础材料</v>
      </c>
      <c r="AX716" s="14">
        <f>ROUND(INDEX(挂机升级突破!$DT$6:$ED$57,卡牌消耗!AT716,AN716)*INDEX(卡牌消耗!$B$5:$F$5,AR716)/$Q$4/5,0)*5</f>
        <v>30</v>
      </c>
      <c r="AY716" s="14" t="str">
        <f>IF(AO716&gt;0,INDEX(挂机升级突破!$DT$4:$ED$4,AO716),"")</f>
        <v/>
      </c>
      <c r="AZ716" s="14" t="str">
        <f>IF(AO716&gt;0,ROUND(INDEX(挂机升级突破!$DT$6:$ED$57,卡牌消耗!AT716,AO716)*INDEX(卡牌消耗!$B$7:$F$7,AR716)/$Q$4,0),"")</f>
        <v/>
      </c>
      <c r="BL716" s="194"/>
      <c r="BM716" s="194"/>
      <c r="BN716" s="194"/>
      <c r="BO716" s="194"/>
      <c r="BP716" s="194"/>
      <c r="BQ716" s="208"/>
      <c r="BR716" s="194"/>
      <c r="BS716" s="194"/>
      <c r="BT716" s="194"/>
      <c r="BU716" s="194"/>
      <c r="BV716" s="194"/>
      <c r="BW716" s="194"/>
      <c r="BX716" s="194"/>
      <c r="BY716" s="194"/>
      <c r="BZ716" s="194"/>
    </row>
    <row r="717" spans="37:78" ht="16.5" x14ac:dyDescent="0.2">
      <c r="AK717" s="104">
        <v>713</v>
      </c>
      <c r="AL717" s="14">
        <f t="shared" si="400"/>
        <v>14</v>
      </c>
      <c r="AM717" s="14">
        <f>INDEX(挂机升级突破!DQ$6:DQ$57,卡牌消耗!$AT717)</f>
        <v>11</v>
      </c>
      <c r="AN717" s="14">
        <f>INDEX(挂机升级突破!DR$6:DR$57,卡牌消耗!$AT717)</f>
        <v>4</v>
      </c>
      <c r="AO717" s="14">
        <f>INDEX(挂机升级突破!DS$6:DS$57,卡牌消耗!$AT717)</f>
        <v>0</v>
      </c>
      <c r="AP717" s="14">
        <f>INDEX(挂机升级突破!$DP$6:$DP$57,卡牌消耗!AT717)</f>
        <v>110</v>
      </c>
      <c r="AQ717" s="14" t="str">
        <f t="shared" si="401"/>
        <v>石灵明</v>
      </c>
      <c r="AR717" s="14">
        <f t="shared" si="402"/>
        <v>3</v>
      </c>
      <c r="AS717" s="14" t="str">
        <f t="shared" si="403"/>
        <v>石灵明魂火-37</v>
      </c>
      <c r="AT717" s="14">
        <f t="shared" si="404"/>
        <v>37</v>
      </c>
      <c r="AU717" s="14" t="str">
        <f>IF(AM717&gt;0,INDEX(挂机升级突破!$DT$4:$ED$4,AM717),"")</f>
        <v>金币</v>
      </c>
      <c r="AV717" s="14">
        <f>ROUND(INDEX(挂机升级突破!$DJ$6:$DJ$57,卡牌消耗!AT717)*INDEX(卡牌消耗!$B$8:$F$8,AR717)/$Q$4/50,0)*50</f>
        <v>16650</v>
      </c>
      <c r="AW717" s="14" t="str">
        <f>IF(AN717&gt;0,INDEX(挂机升级突破!$DT$4:$ED$4,AN717),"")</f>
        <v>橙色基础材料</v>
      </c>
      <c r="AX717" s="14">
        <f>ROUND(INDEX(挂机升级突破!$DT$6:$ED$57,卡牌消耗!AT717,AN717)*INDEX(卡牌消耗!$B$5:$F$5,AR717)/$Q$4/5,0)*5</f>
        <v>30</v>
      </c>
      <c r="AY717" s="14" t="str">
        <f>IF(AO717&gt;0,INDEX(挂机升级突破!$DT$4:$ED$4,AO717),"")</f>
        <v/>
      </c>
      <c r="AZ717" s="14" t="str">
        <f>IF(AO717&gt;0,ROUND(INDEX(挂机升级突破!$DT$6:$ED$57,卡牌消耗!AT717,AO717)*INDEX(卡牌消耗!$B$7:$F$7,AR717)/$Q$4,0),"")</f>
        <v/>
      </c>
      <c r="BL717" s="194"/>
      <c r="BM717" s="194"/>
      <c r="BN717" s="194"/>
      <c r="BO717" s="194"/>
      <c r="BP717" s="194"/>
      <c r="BQ717" s="208"/>
      <c r="BR717" s="194"/>
      <c r="BS717" s="194"/>
      <c r="BT717" s="194"/>
      <c r="BU717" s="194"/>
      <c r="BV717" s="194"/>
      <c r="BW717" s="194"/>
      <c r="BX717" s="194"/>
      <c r="BY717" s="194"/>
      <c r="BZ717" s="194"/>
    </row>
    <row r="718" spans="37:78" ht="16.5" x14ac:dyDescent="0.2">
      <c r="AK718" s="104">
        <v>714</v>
      </c>
      <c r="AL718" s="14">
        <f t="shared" si="400"/>
        <v>14</v>
      </c>
      <c r="AM718" s="14">
        <f>INDEX(挂机升级突破!DQ$6:DQ$57,卡牌消耗!$AT718)</f>
        <v>11</v>
      </c>
      <c r="AN718" s="14">
        <f>INDEX(挂机升级突破!DR$6:DR$57,卡牌消耗!$AT718)</f>
        <v>5</v>
      </c>
      <c r="AO718" s="14">
        <f>INDEX(挂机升级突破!DS$6:DS$57,卡牌消耗!$AT718)</f>
        <v>0</v>
      </c>
      <c r="AP718" s="14">
        <f>INDEX(挂机升级突破!$DP$6:$DP$57,卡牌消耗!AT718)</f>
        <v>113</v>
      </c>
      <c r="AQ718" s="14" t="str">
        <f t="shared" si="401"/>
        <v>石灵明</v>
      </c>
      <c r="AR718" s="14">
        <f t="shared" si="402"/>
        <v>3</v>
      </c>
      <c r="AS718" s="14" t="str">
        <f t="shared" si="403"/>
        <v>石灵明魂火-38</v>
      </c>
      <c r="AT718" s="14">
        <f t="shared" si="404"/>
        <v>38</v>
      </c>
      <c r="AU718" s="14" t="str">
        <f>IF(AM718&gt;0,INDEX(挂机升级突破!$DT$4:$ED$4,AM718),"")</f>
        <v>金币</v>
      </c>
      <c r="AV718" s="14">
        <f>ROUND(INDEX(挂机升级突破!$DJ$6:$DJ$57,卡牌消耗!AT718)*INDEX(卡牌消耗!$B$8:$F$8,AR718)/$Q$4/50,0)*50</f>
        <v>21500</v>
      </c>
      <c r="AW718" s="14" t="str">
        <f>IF(AN718&gt;0,INDEX(挂机升级突破!$DT$4:$ED$4,AN718),"")</f>
        <v>红色基础材料</v>
      </c>
      <c r="AX718" s="14">
        <f>ROUND(INDEX(挂机升级突破!$DT$6:$ED$57,卡牌消耗!AT718,AN718)*INDEX(卡牌消耗!$B$5:$F$5,AR718)/$Q$4/5,0)*5</f>
        <v>10</v>
      </c>
      <c r="AY718" s="14" t="str">
        <f>IF(AO718&gt;0,INDEX(挂机升级突破!$DT$4:$ED$4,AO718),"")</f>
        <v/>
      </c>
      <c r="AZ718" s="14" t="str">
        <f>IF(AO718&gt;0,ROUND(INDEX(挂机升级突破!$DT$6:$ED$57,卡牌消耗!AT718,AO718)*INDEX(卡牌消耗!$B$7:$F$7,AR718)/$Q$4,0),"")</f>
        <v/>
      </c>
      <c r="BL718" s="194"/>
      <c r="BM718" s="194"/>
      <c r="BN718" s="194"/>
      <c r="BO718" s="194"/>
      <c r="BP718" s="194"/>
      <c r="BQ718" s="208"/>
      <c r="BR718" s="194"/>
      <c r="BS718" s="194"/>
      <c r="BT718" s="194"/>
      <c r="BU718" s="194"/>
      <c r="BV718" s="194"/>
      <c r="BW718" s="194"/>
      <c r="BX718" s="194"/>
      <c r="BY718" s="194"/>
      <c r="BZ718" s="194"/>
    </row>
    <row r="719" spans="37:78" ht="16.5" x14ac:dyDescent="0.2">
      <c r="AK719" s="104">
        <v>715</v>
      </c>
      <c r="AL719" s="14">
        <f t="shared" si="400"/>
        <v>14</v>
      </c>
      <c r="AM719" s="14">
        <f>INDEX(挂机升级突破!DQ$6:DQ$57,卡牌消耗!$AT719)</f>
        <v>11</v>
      </c>
      <c r="AN719" s="14">
        <f>INDEX(挂机升级突破!DR$6:DR$57,卡牌消耗!$AT719)</f>
        <v>5</v>
      </c>
      <c r="AO719" s="14">
        <f>INDEX(挂机升级突破!DS$6:DS$57,卡牌消耗!$AT719)</f>
        <v>0</v>
      </c>
      <c r="AP719" s="14">
        <f>INDEX(挂机升级突破!$DP$6:$DP$57,卡牌消耗!AT719)</f>
        <v>115</v>
      </c>
      <c r="AQ719" s="14" t="str">
        <f t="shared" si="401"/>
        <v>石灵明</v>
      </c>
      <c r="AR719" s="14">
        <f t="shared" si="402"/>
        <v>3</v>
      </c>
      <c r="AS719" s="14" t="str">
        <f t="shared" si="403"/>
        <v>石灵明魂火-39</v>
      </c>
      <c r="AT719" s="14">
        <f t="shared" si="404"/>
        <v>39</v>
      </c>
      <c r="AU719" s="14" t="str">
        <f>IF(AM719&gt;0,INDEX(挂机升级突破!$DT$4:$ED$4,AM719),"")</f>
        <v>金币</v>
      </c>
      <c r="AV719" s="14">
        <f>ROUND(INDEX(挂机升级突破!$DJ$6:$DJ$57,卡牌消耗!AT719)*INDEX(卡牌消耗!$B$8:$F$8,AR719)/$Q$4/50,0)*50</f>
        <v>21500</v>
      </c>
      <c r="AW719" s="14" t="str">
        <f>IF(AN719&gt;0,INDEX(挂机升级突破!$DT$4:$ED$4,AN719),"")</f>
        <v>红色基础材料</v>
      </c>
      <c r="AX719" s="14">
        <f>ROUND(INDEX(挂机升级突破!$DT$6:$ED$57,卡牌消耗!AT719,AN719)*INDEX(卡牌消耗!$B$5:$F$5,AR719)/$Q$4/5,0)*5</f>
        <v>10</v>
      </c>
      <c r="AY719" s="14" t="str">
        <f>IF(AO719&gt;0,INDEX(挂机升级突破!$DT$4:$ED$4,AO719),"")</f>
        <v/>
      </c>
      <c r="AZ719" s="14" t="str">
        <f>IF(AO719&gt;0,ROUND(INDEX(挂机升级突破!$DT$6:$ED$57,卡牌消耗!AT719,AO719)*INDEX(卡牌消耗!$B$7:$F$7,AR719)/$Q$4,0),"")</f>
        <v/>
      </c>
      <c r="BL719" s="194"/>
      <c r="BM719" s="194"/>
      <c r="BN719" s="194"/>
      <c r="BO719" s="194"/>
      <c r="BP719" s="194"/>
      <c r="BQ719" s="208"/>
      <c r="BR719" s="194"/>
      <c r="BS719" s="194"/>
      <c r="BT719" s="194"/>
      <c r="BU719" s="194"/>
      <c r="BV719" s="194"/>
      <c r="BW719" s="194"/>
      <c r="BX719" s="194"/>
      <c r="BY719" s="194"/>
      <c r="BZ719" s="194"/>
    </row>
    <row r="720" spans="37:78" ht="16.5" x14ac:dyDescent="0.2">
      <c r="AK720" s="104">
        <v>716</v>
      </c>
      <c r="AL720" s="14">
        <f t="shared" si="400"/>
        <v>14</v>
      </c>
      <c r="AM720" s="14">
        <f>INDEX(挂机升级突破!DQ$6:DQ$57,卡牌消耗!$AT720)</f>
        <v>11</v>
      </c>
      <c r="AN720" s="14">
        <f>INDEX(挂机升级突破!DR$6:DR$57,卡牌消耗!$AT720)</f>
        <v>5</v>
      </c>
      <c r="AO720" s="14">
        <f>INDEX(挂机升级突破!DS$6:DS$57,卡牌消耗!$AT720)</f>
        <v>0</v>
      </c>
      <c r="AP720" s="14">
        <f>INDEX(挂机升级突破!$DP$6:$DP$57,卡牌消耗!AT720)</f>
        <v>118</v>
      </c>
      <c r="AQ720" s="14" t="str">
        <f t="shared" si="401"/>
        <v>石灵明</v>
      </c>
      <c r="AR720" s="14">
        <f t="shared" si="402"/>
        <v>3</v>
      </c>
      <c r="AS720" s="14" t="str">
        <f t="shared" si="403"/>
        <v>石灵明魂火-40</v>
      </c>
      <c r="AT720" s="14">
        <f t="shared" si="404"/>
        <v>40</v>
      </c>
      <c r="AU720" s="14" t="str">
        <f>IF(AM720&gt;0,INDEX(挂机升级突破!$DT$4:$ED$4,AM720),"")</f>
        <v>金币</v>
      </c>
      <c r="AV720" s="14">
        <f>ROUND(INDEX(挂机升级突破!$DJ$6:$DJ$57,卡牌消耗!AT720)*INDEX(卡牌消耗!$B$8:$F$8,AR720)/$Q$4/50,0)*50</f>
        <v>21500</v>
      </c>
      <c r="AW720" s="14" t="str">
        <f>IF(AN720&gt;0,INDEX(挂机升级突破!$DT$4:$ED$4,AN720),"")</f>
        <v>红色基础材料</v>
      </c>
      <c r="AX720" s="14">
        <f>ROUND(INDEX(挂机升级突破!$DT$6:$ED$57,卡牌消耗!AT720,AN720)*INDEX(卡牌消耗!$B$5:$F$5,AR720)/$Q$4/5,0)*5</f>
        <v>10</v>
      </c>
      <c r="AY720" s="14" t="str">
        <f>IF(AO720&gt;0,INDEX(挂机升级突破!$DT$4:$ED$4,AO720),"")</f>
        <v/>
      </c>
      <c r="AZ720" s="14" t="str">
        <f>IF(AO720&gt;0,ROUND(INDEX(挂机升级突破!$DT$6:$ED$57,卡牌消耗!AT720,AO720)*INDEX(卡牌消耗!$B$7:$F$7,AR720)/$Q$4,0),"")</f>
        <v/>
      </c>
      <c r="BL720" s="194"/>
      <c r="BM720" s="194"/>
      <c r="BN720" s="194"/>
      <c r="BO720" s="194"/>
      <c r="BP720" s="194"/>
      <c r="BQ720" s="208"/>
      <c r="BR720" s="194"/>
      <c r="BS720" s="194"/>
      <c r="BT720" s="194"/>
      <c r="BU720" s="194"/>
      <c r="BV720" s="194"/>
      <c r="BW720" s="194"/>
      <c r="BX720" s="194"/>
      <c r="BY720" s="194"/>
      <c r="BZ720" s="194"/>
    </row>
    <row r="721" spans="37:78" ht="16.5" x14ac:dyDescent="0.2">
      <c r="AK721" s="104">
        <v>717</v>
      </c>
      <c r="AL721" s="14">
        <f t="shared" si="400"/>
        <v>14</v>
      </c>
      <c r="AM721" s="14">
        <f>INDEX(挂机升级突破!DQ$6:DQ$57,卡牌消耗!$AT721)</f>
        <v>11</v>
      </c>
      <c r="AN721" s="14">
        <f>INDEX(挂机升级突破!DR$6:DR$57,卡牌消耗!$AT721)</f>
        <v>5</v>
      </c>
      <c r="AO721" s="14">
        <f>INDEX(挂机升级突破!DS$6:DS$57,卡牌消耗!$AT721)</f>
        <v>10</v>
      </c>
      <c r="AP721" s="14">
        <f>INDEX(挂机升级突破!$DP$6:$DP$57,卡牌消耗!AT721)</f>
        <v>120</v>
      </c>
      <c r="AQ721" s="14" t="str">
        <f t="shared" si="401"/>
        <v>石灵明</v>
      </c>
      <c r="AR721" s="14">
        <f t="shared" si="402"/>
        <v>3</v>
      </c>
      <c r="AS721" s="14" t="str">
        <f t="shared" si="403"/>
        <v>石灵明魂火-41</v>
      </c>
      <c r="AT721" s="14">
        <f t="shared" si="404"/>
        <v>41</v>
      </c>
      <c r="AU721" s="14" t="str">
        <f>IF(AM721&gt;0,INDEX(挂机升级突破!$DT$4:$ED$4,AM721),"")</f>
        <v>金币</v>
      </c>
      <c r="AV721" s="14">
        <f>ROUND(INDEX(挂机升级突破!$DJ$6:$DJ$57,卡牌消耗!AT721)*INDEX(卡牌消耗!$B$8:$F$8,AR721)/$Q$4/50,0)*50</f>
        <v>29550</v>
      </c>
      <c r="AW721" s="14" t="str">
        <f>IF(AN721&gt;0,INDEX(挂机升级突破!$DT$4:$ED$4,AN721),"")</f>
        <v>红色基础材料</v>
      </c>
      <c r="AX721" s="14">
        <f>ROUND(INDEX(挂机升级突破!$DT$6:$ED$57,卡牌消耗!AT721,AN721)*INDEX(卡牌消耗!$B$5:$F$5,AR721)/$Q$4/5,0)*5</f>
        <v>10</v>
      </c>
      <c r="AY721" s="14" t="str">
        <f>IF(AO721&gt;0,INDEX(挂机升级突破!$DT$4:$ED$4,AO721),"")</f>
        <v>灵玉</v>
      </c>
      <c r="AZ721" s="14">
        <f>IF(AO721&gt;0,ROUND(INDEX(挂机升级突破!$DT$6:$ED$57,卡牌消耗!AT721,AO721)*INDEX(卡牌消耗!$B$7:$F$7,AR721)/$Q$4,0),"")</f>
        <v>2</v>
      </c>
      <c r="BL721" s="194"/>
      <c r="BM721" s="194"/>
      <c r="BN721" s="194"/>
      <c r="BO721" s="194"/>
      <c r="BP721" s="194"/>
      <c r="BQ721" s="208"/>
      <c r="BR721" s="194"/>
      <c r="BS721" s="194"/>
      <c r="BT721" s="194"/>
      <c r="BU721" s="194"/>
      <c r="BV721" s="194"/>
      <c r="BW721" s="194"/>
      <c r="BX721" s="194"/>
      <c r="BY721" s="194"/>
      <c r="BZ721" s="194"/>
    </row>
    <row r="722" spans="37:78" ht="16.5" x14ac:dyDescent="0.2">
      <c r="AK722" s="104">
        <v>718</v>
      </c>
      <c r="AL722" s="14">
        <f t="shared" si="400"/>
        <v>14</v>
      </c>
      <c r="AM722" s="14">
        <f>INDEX(挂机升级突破!DQ$6:DQ$57,卡牌消耗!$AT722)</f>
        <v>11</v>
      </c>
      <c r="AN722" s="14">
        <f>INDEX(挂机升级突破!DR$6:DR$57,卡牌消耗!$AT722)</f>
        <v>5</v>
      </c>
      <c r="AO722" s="14">
        <f>INDEX(挂机升级突破!DS$6:DS$57,卡牌消耗!$AT722)</f>
        <v>10</v>
      </c>
      <c r="AP722" s="14">
        <f>INDEX(挂机升级突破!$DP$6:$DP$57,卡牌消耗!AT722)</f>
        <v>123</v>
      </c>
      <c r="AQ722" s="14" t="str">
        <f t="shared" si="401"/>
        <v>石灵明</v>
      </c>
      <c r="AR722" s="14">
        <f t="shared" si="402"/>
        <v>3</v>
      </c>
      <c r="AS722" s="14" t="str">
        <f t="shared" si="403"/>
        <v>石灵明魂火-42</v>
      </c>
      <c r="AT722" s="14">
        <f t="shared" si="404"/>
        <v>42</v>
      </c>
      <c r="AU722" s="14" t="str">
        <f>IF(AM722&gt;0,INDEX(挂机升级突破!$DT$4:$ED$4,AM722),"")</f>
        <v>金币</v>
      </c>
      <c r="AV722" s="14">
        <f>ROUND(INDEX(挂机升级突破!$DJ$6:$DJ$57,卡牌消耗!AT722)*INDEX(卡牌消耗!$B$8:$F$8,AR722)/$Q$4/50,0)*50</f>
        <v>29550</v>
      </c>
      <c r="AW722" s="14" t="str">
        <f>IF(AN722&gt;0,INDEX(挂机升级突破!$DT$4:$ED$4,AN722),"")</f>
        <v>红色基础材料</v>
      </c>
      <c r="AX722" s="14">
        <f>ROUND(INDEX(挂机升级突破!$DT$6:$ED$57,卡牌消耗!AT722,AN722)*INDEX(卡牌消耗!$B$5:$F$5,AR722)/$Q$4/5,0)*5</f>
        <v>10</v>
      </c>
      <c r="AY722" s="14" t="str">
        <f>IF(AO722&gt;0,INDEX(挂机升级突破!$DT$4:$ED$4,AO722),"")</f>
        <v>灵玉</v>
      </c>
      <c r="AZ722" s="14">
        <f>IF(AO722&gt;0,ROUND(INDEX(挂机升级突破!$DT$6:$ED$57,卡牌消耗!AT722,AO722)*INDEX(卡牌消耗!$B$7:$F$7,AR722)/$Q$4,0),"")</f>
        <v>2</v>
      </c>
      <c r="BL722" s="194"/>
      <c r="BM722" s="194"/>
      <c r="BN722" s="194"/>
      <c r="BO722" s="194"/>
      <c r="BP722" s="194"/>
      <c r="BQ722" s="208"/>
      <c r="BR722" s="194"/>
      <c r="BS722" s="194"/>
      <c r="BT722" s="194"/>
      <c r="BU722" s="194"/>
      <c r="BV722" s="194"/>
      <c r="BW722" s="194"/>
      <c r="BX722" s="194"/>
      <c r="BY722" s="194"/>
      <c r="BZ722" s="194"/>
    </row>
    <row r="723" spans="37:78" ht="16.5" x14ac:dyDescent="0.2">
      <c r="AK723" s="104">
        <v>719</v>
      </c>
      <c r="AL723" s="14">
        <f t="shared" si="400"/>
        <v>14</v>
      </c>
      <c r="AM723" s="14">
        <f>INDEX(挂机升级突破!DQ$6:DQ$57,卡牌消耗!$AT723)</f>
        <v>11</v>
      </c>
      <c r="AN723" s="14">
        <f>INDEX(挂机升级突破!DR$6:DR$57,卡牌消耗!$AT723)</f>
        <v>5</v>
      </c>
      <c r="AO723" s="14">
        <f>INDEX(挂机升级突破!DS$6:DS$57,卡牌消耗!$AT723)</f>
        <v>10</v>
      </c>
      <c r="AP723" s="14">
        <f>INDEX(挂机升级突破!$DP$6:$DP$57,卡牌消耗!AT723)</f>
        <v>125</v>
      </c>
      <c r="AQ723" s="14" t="str">
        <f t="shared" si="401"/>
        <v>石灵明</v>
      </c>
      <c r="AR723" s="14">
        <f t="shared" si="402"/>
        <v>3</v>
      </c>
      <c r="AS723" s="14" t="str">
        <f t="shared" si="403"/>
        <v>石灵明魂火-43</v>
      </c>
      <c r="AT723" s="14">
        <f t="shared" si="404"/>
        <v>43</v>
      </c>
      <c r="AU723" s="14" t="str">
        <f>IF(AM723&gt;0,INDEX(挂机升级突破!$DT$4:$ED$4,AM723),"")</f>
        <v>金币</v>
      </c>
      <c r="AV723" s="14">
        <f>ROUND(INDEX(挂机升级突破!$DJ$6:$DJ$57,卡牌消耗!AT723)*INDEX(卡牌消耗!$B$8:$F$8,AR723)/$Q$4/50,0)*50</f>
        <v>29550</v>
      </c>
      <c r="AW723" s="14" t="str">
        <f>IF(AN723&gt;0,INDEX(挂机升级突破!$DT$4:$ED$4,AN723),"")</f>
        <v>红色基础材料</v>
      </c>
      <c r="AX723" s="14">
        <f>ROUND(INDEX(挂机升级突破!$DT$6:$ED$57,卡牌消耗!AT723,AN723)*INDEX(卡牌消耗!$B$5:$F$5,AR723)/$Q$4/5,0)*5</f>
        <v>10</v>
      </c>
      <c r="AY723" s="14" t="str">
        <f>IF(AO723&gt;0,INDEX(挂机升级突破!$DT$4:$ED$4,AO723),"")</f>
        <v>灵玉</v>
      </c>
      <c r="AZ723" s="14">
        <f>IF(AO723&gt;0,ROUND(INDEX(挂机升级突破!$DT$6:$ED$57,卡牌消耗!AT723,AO723)*INDEX(卡牌消耗!$B$7:$F$7,AR723)/$Q$4,0),"")</f>
        <v>2</v>
      </c>
      <c r="BL723" s="194"/>
      <c r="BM723" s="194"/>
      <c r="BN723" s="194"/>
      <c r="BO723" s="194"/>
      <c r="BP723" s="194"/>
      <c r="BQ723" s="208"/>
      <c r="BR723" s="194"/>
      <c r="BS723" s="194"/>
      <c r="BT723" s="194"/>
      <c r="BU723" s="194"/>
      <c r="BV723" s="194"/>
      <c r="BW723" s="194"/>
      <c r="BX723" s="194"/>
      <c r="BY723" s="194"/>
      <c r="BZ723" s="194"/>
    </row>
    <row r="724" spans="37:78" ht="16.5" x14ac:dyDescent="0.2">
      <c r="AK724" s="104">
        <v>720</v>
      </c>
      <c r="AL724" s="14">
        <f t="shared" si="400"/>
        <v>14</v>
      </c>
      <c r="AM724" s="14">
        <f>INDEX(挂机升级突破!DQ$6:DQ$57,卡牌消耗!$AT724)</f>
        <v>11</v>
      </c>
      <c r="AN724" s="14">
        <f>INDEX(挂机升级突破!DR$6:DR$57,卡牌消耗!$AT724)</f>
        <v>5</v>
      </c>
      <c r="AO724" s="14">
        <f>INDEX(挂机升级突破!DS$6:DS$57,卡牌消耗!$AT724)</f>
        <v>10</v>
      </c>
      <c r="AP724" s="14">
        <f>INDEX(挂机升级突破!$DP$6:$DP$57,卡牌消耗!AT724)</f>
        <v>128</v>
      </c>
      <c r="AQ724" s="14" t="str">
        <f t="shared" si="401"/>
        <v>石灵明</v>
      </c>
      <c r="AR724" s="14">
        <f t="shared" si="402"/>
        <v>3</v>
      </c>
      <c r="AS724" s="14" t="str">
        <f t="shared" si="403"/>
        <v>石灵明魂火-44</v>
      </c>
      <c r="AT724" s="14">
        <f t="shared" si="404"/>
        <v>44</v>
      </c>
      <c r="AU724" s="14" t="str">
        <f>IF(AM724&gt;0,INDEX(挂机升级突破!$DT$4:$ED$4,AM724),"")</f>
        <v>金币</v>
      </c>
      <c r="AV724" s="14">
        <f>ROUND(INDEX(挂机升级突破!$DJ$6:$DJ$57,卡牌消耗!AT724)*INDEX(卡牌消耗!$B$8:$F$8,AR724)/$Q$4/50,0)*50</f>
        <v>37600</v>
      </c>
      <c r="AW724" s="14" t="str">
        <f>IF(AN724&gt;0,INDEX(挂机升级突破!$DT$4:$ED$4,AN724),"")</f>
        <v>红色基础材料</v>
      </c>
      <c r="AX724" s="14">
        <f>ROUND(INDEX(挂机升级突破!$DT$6:$ED$57,卡牌消耗!AT724,AN724)*INDEX(卡牌消耗!$B$5:$F$5,AR724)/$Q$4/5,0)*5</f>
        <v>10</v>
      </c>
      <c r="AY724" s="14" t="str">
        <f>IF(AO724&gt;0,INDEX(挂机升级突破!$DT$4:$ED$4,AO724),"")</f>
        <v>灵玉</v>
      </c>
      <c r="AZ724" s="14">
        <f>IF(AO724&gt;0,ROUND(INDEX(挂机升级突破!$DT$6:$ED$57,卡牌消耗!AT724,AO724)*INDEX(卡牌消耗!$B$7:$F$7,AR724)/$Q$4,0),"")</f>
        <v>2</v>
      </c>
      <c r="BL724" s="194"/>
      <c r="BM724" s="194"/>
      <c r="BN724" s="194"/>
      <c r="BO724" s="194"/>
      <c r="BP724" s="194"/>
      <c r="BQ724" s="208"/>
      <c r="BR724" s="194"/>
      <c r="BS724" s="194"/>
      <c r="BT724" s="194"/>
      <c r="BU724" s="194"/>
      <c r="BV724" s="194"/>
      <c r="BW724" s="194"/>
      <c r="BX724" s="194"/>
      <c r="BY724" s="194"/>
      <c r="BZ724" s="194"/>
    </row>
    <row r="725" spans="37:78" ht="16.5" x14ac:dyDescent="0.2">
      <c r="AK725" s="104">
        <v>721</v>
      </c>
      <c r="AL725" s="14">
        <f t="shared" si="400"/>
        <v>14</v>
      </c>
      <c r="AM725" s="14">
        <f>INDEX(挂机升级突破!DQ$6:DQ$57,卡牌消耗!$AT725)</f>
        <v>11</v>
      </c>
      <c r="AN725" s="14">
        <f>INDEX(挂机升级突破!DR$6:DR$57,卡牌消耗!$AT725)</f>
        <v>5</v>
      </c>
      <c r="AO725" s="14">
        <f>INDEX(挂机升级突破!DS$6:DS$57,卡牌消耗!$AT725)</f>
        <v>10</v>
      </c>
      <c r="AP725" s="14">
        <f>INDEX(挂机升级突破!$DP$6:$DP$57,卡牌消耗!AT725)</f>
        <v>130</v>
      </c>
      <c r="AQ725" s="14" t="str">
        <f t="shared" si="401"/>
        <v>石灵明</v>
      </c>
      <c r="AR725" s="14">
        <f t="shared" si="402"/>
        <v>3</v>
      </c>
      <c r="AS725" s="14" t="str">
        <f t="shared" si="403"/>
        <v>石灵明魂火-45</v>
      </c>
      <c r="AT725" s="14">
        <f t="shared" si="404"/>
        <v>45</v>
      </c>
      <c r="AU725" s="14" t="str">
        <f>IF(AM725&gt;0,INDEX(挂机升级突破!$DT$4:$ED$4,AM725),"")</f>
        <v>金币</v>
      </c>
      <c r="AV725" s="14">
        <f>ROUND(INDEX(挂机升级突破!$DJ$6:$DJ$57,卡牌消耗!AT725)*INDEX(卡牌消耗!$B$8:$F$8,AR725)/$Q$4/50,0)*50</f>
        <v>37600</v>
      </c>
      <c r="AW725" s="14" t="str">
        <f>IF(AN725&gt;0,INDEX(挂机升级突破!$DT$4:$ED$4,AN725),"")</f>
        <v>红色基础材料</v>
      </c>
      <c r="AX725" s="14">
        <f>ROUND(INDEX(挂机升级突破!$DT$6:$ED$57,卡牌消耗!AT725,AN725)*INDEX(卡牌消耗!$B$5:$F$5,AR725)/$Q$4/5,0)*5</f>
        <v>10</v>
      </c>
      <c r="AY725" s="14" t="str">
        <f>IF(AO725&gt;0,INDEX(挂机升级突破!$DT$4:$ED$4,AO725),"")</f>
        <v>灵玉</v>
      </c>
      <c r="AZ725" s="14">
        <f>IF(AO725&gt;0,ROUND(INDEX(挂机升级突破!$DT$6:$ED$57,卡牌消耗!AT725,AO725)*INDEX(卡牌消耗!$B$7:$F$7,AR725)/$Q$4,0),"")</f>
        <v>2</v>
      </c>
      <c r="BL725" s="194"/>
      <c r="BM725" s="194"/>
      <c r="BN725" s="194"/>
      <c r="BO725" s="194"/>
      <c r="BP725" s="194"/>
      <c r="BQ725" s="208"/>
      <c r="BR725" s="194"/>
      <c r="BS725" s="194"/>
      <c r="BT725" s="194"/>
      <c r="BU725" s="194"/>
      <c r="BV725" s="194"/>
      <c r="BW725" s="194"/>
      <c r="BX725" s="194"/>
      <c r="BY725" s="194"/>
      <c r="BZ725" s="194"/>
    </row>
    <row r="726" spans="37:78" ht="16.5" x14ac:dyDescent="0.2">
      <c r="AK726" s="104">
        <v>722</v>
      </c>
      <c r="AL726" s="14">
        <f t="shared" si="400"/>
        <v>14</v>
      </c>
      <c r="AM726" s="14">
        <f>INDEX(挂机升级突破!DQ$6:DQ$57,卡牌消耗!$AT726)</f>
        <v>11</v>
      </c>
      <c r="AN726" s="14">
        <f>INDEX(挂机升级突破!DR$6:DR$57,卡牌消耗!$AT726)</f>
        <v>5</v>
      </c>
      <c r="AO726" s="14">
        <f>INDEX(挂机升级突破!DS$6:DS$57,卡牌消耗!$AT726)</f>
        <v>10</v>
      </c>
      <c r="AP726" s="14">
        <f>INDEX(挂机升级突破!$DP$6:$DP$57,卡牌消耗!AT726)</f>
        <v>133</v>
      </c>
      <c r="AQ726" s="14" t="str">
        <f t="shared" si="401"/>
        <v>石灵明</v>
      </c>
      <c r="AR726" s="14">
        <f t="shared" si="402"/>
        <v>3</v>
      </c>
      <c r="AS726" s="14" t="str">
        <f t="shared" si="403"/>
        <v>石灵明魂火-46</v>
      </c>
      <c r="AT726" s="14">
        <f t="shared" si="404"/>
        <v>46</v>
      </c>
      <c r="AU726" s="14" t="str">
        <f>IF(AM726&gt;0,INDEX(挂机升级突破!$DT$4:$ED$4,AM726),"")</f>
        <v>金币</v>
      </c>
      <c r="AV726" s="14">
        <f>ROUND(INDEX(挂机升级突破!$DJ$6:$DJ$57,卡牌消耗!AT726)*INDEX(卡牌消耗!$B$8:$F$8,AR726)/$Q$4/50,0)*50</f>
        <v>40300</v>
      </c>
      <c r="AW726" s="14" t="str">
        <f>IF(AN726&gt;0,INDEX(挂机升级突破!$DT$4:$ED$4,AN726),"")</f>
        <v>红色基础材料</v>
      </c>
      <c r="AX726" s="14">
        <f>ROUND(INDEX(挂机升级突破!$DT$6:$ED$57,卡牌消耗!AT726,AN726)*INDEX(卡牌消耗!$B$5:$F$5,AR726)/$Q$4/5,0)*5</f>
        <v>10</v>
      </c>
      <c r="AY726" s="14" t="str">
        <f>IF(AO726&gt;0,INDEX(挂机升级突破!$DT$4:$ED$4,AO726),"")</f>
        <v>灵玉</v>
      </c>
      <c r="AZ726" s="14">
        <f>IF(AO726&gt;0,ROUND(INDEX(挂机升级突破!$DT$6:$ED$57,卡牌消耗!AT726,AO726)*INDEX(卡牌消耗!$B$7:$F$7,AR726)/$Q$4,0),"")</f>
        <v>2</v>
      </c>
      <c r="BL726" s="194"/>
      <c r="BM726" s="194"/>
      <c r="BN726" s="194"/>
      <c r="BO726" s="194"/>
      <c r="BP726" s="194"/>
      <c r="BQ726" s="208"/>
      <c r="BR726" s="194"/>
      <c r="BS726" s="194"/>
      <c r="BT726" s="194"/>
      <c r="BU726" s="194"/>
      <c r="BV726" s="194"/>
      <c r="BW726" s="194"/>
      <c r="BX726" s="194"/>
      <c r="BY726" s="194"/>
      <c r="BZ726" s="194"/>
    </row>
    <row r="727" spans="37:78" ht="16.5" x14ac:dyDescent="0.2">
      <c r="AK727" s="104">
        <v>723</v>
      </c>
      <c r="AL727" s="14">
        <f t="shared" si="400"/>
        <v>14</v>
      </c>
      <c r="AM727" s="14">
        <f>INDEX(挂机升级突破!DQ$6:DQ$57,卡牌消耗!$AT727)</f>
        <v>11</v>
      </c>
      <c r="AN727" s="14">
        <f>INDEX(挂机升级突破!DR$6:DR$57,卡牌消耗!$AT727)</f>
        <v>5</v>
      </c>
      <c r="AO727" s="14">
        <f>INDEX(挂机升级突破!DS$6:DS$57,卡牌消耗!$AT727)</f>
        <v>10</v>
      </c>
      <c r="AP727" s="14">
        <f>INDEX(挂机升级突破!$DP$6:$DP$57,卡牌消耗!AT727)</f>
        <v>135</v>
      </c>
      <c r="AQ727" s="14" t="str">
        <f t="shared" si="401"/>
        <v>石灵明</v>
      </c>
      <c r="AR727" s="14">
        <f t="shared" si="402"/>
        <v>3</v>
      </c>
      <c r="AS727" s="14" t="str">
        <f t="shared" si="403"/>
        <v>石灵明魂火-47</v>
      </c>
      <c r="AT727" s="14">
        <f t="shared" si="404"/>
        <v>47</v>
      </c>
      <c r="AU727" s="14" t="str">
        <f>IF(AM727&gt;0,INDEX(挂机升级突破!$DT$4:$ED$4,AM727),"")</f>
        <v>金币</v>
      </c>
      <c r="AV727" s="14">
        <f>ROUND(INDEX(挂机升级突破!$DJ$6:$DJ$57,卡牌消耗!AT727)*INDEX(卡牌消耗!$B$8:$F$8,AR727)/$Q$4/50,0)*50</f>
        <v>82050</v>
      </c>
      <c r="AW727" s="14" t="str">
        <f>IF(AN727&gt;0,INDEX(挂机升级突破!$DT$4:$ED$4,AN727),"")</f>
        <v>红色基础材料</v>
      </c>
      <c r="AX727" s="14">
        <f>ROUND(INDEX(挂机升级突破!$DT$6:$ED$57,卡牌消耗!AT727,AN727)*INDEX(卡牌消耗!$B$5:$F$5,AR727)/$Q$4/5,0)*5</f>
        <v>10</v>
      </c>
      <c r="AY727" s="14" t="str">
        <f>IF(AO727&gt;0,INDEX(挂机升级突破!$DT$4:$ED$4,AO727),"")</f>
        <v>灵玉</v>
      </c>
      <c r="AZ727" s="14">
        <f>IF(AO727&gt;0,ROUND(INDEX(挂机升级突破!$DT$6:$ED$57,卡牌消耗!AT727,AO727)*INDEX(卡牌消耗!$B$7:$F$7,AR727)/$Q$4,0),"")</f>
        <v>2</v>
      </c>
      <c r="BL727" s="194"/>
      <c r="BM727" s="194"/>
      <c r="BN727" s="194"/>
      <c r="BO727" s="194"/>
      <c r="BP727" s="194"/>
      <c r="BQ727" s="208"/>
      <c r="BR727" s="194"/>
      <c r="BS727" s="194"/>
      <c r="BT727" s="194"/>
      <c r="BU727" s="194"/>
      <c r="BV727" s="194"/>
      <c r="BW727" s="194"/>
      <c r="BX727" s="194"/>
      <c r="BY727" s="194"/>
      <c r="BZ727" s="194"/>
    </row>
    <row r="728" spans="37:78" ht="16.5" x14ac:dyDescent="0.2">
      <c r="AK728" s="104">
        <v>724</v>
      </c>
      <c r="AL728" s="14">
        <f t="shared" si="400"/>
        <v>14</v>
      </c>
      <c r="AM728" s="14">
        <f>INDEX(挂机升级突破!DQ$6:DQ$57,卡牌消耗!$AT728)</f>
        <v>11</v>
      </c>
      <c r="AN728" s="14">
        <f>INDEX(挂机升级突破!DR$6:DR$57,卡牌消耗!$AT728)</f>
        <v>5</v>
      </c>
      <c r="AO728" s="14">
        <f>INDEX(挂机升级突破!DS$6:DS$57,卡牌消耗!$AT728)</f>
        <v>10</v>
      </c>
      <c r="AP728" s="14">
        <f>INDEX(挂机升级突破!$DP$6:$DP$57,卡牌消耗!AT728)</f>
        <v>138</v>
      </c>
      <c r="AQ728" s="14" t="str">
        <f t="shared" si="401"/>
        <v>石灵明</v>
      </c>
      <c r="AR728" s="14">
        <f t="shared" si="402"/>
        <v>3</v>
      </c>
      <c r="AS728" s="14" t="str">
        <f t="shared" si="403"/>
        <v>石灵明魂火-48</v>
      </c>
      <c r="AT728" s="14">
        <f t="shared" si="404"/>
        <v>48</v>
      </c>
      <c r="AU728" s="14" t="str">
        <f>IF(AM728&gt;0,INDEX(挂机升级突破!$DT$4:$ED$4,AM728),"")</f>
        <v>金币</v>
      </c>
      <c r="AV728" s="14">
        <f>ROUND(INDEX(挂机升级突破!$DJ$6:$DJ$57,卡牌消耗!AT728)*INDEX(卡牌消耗!$B$8:$F$8,AR728)/$Q$4/50,0)*50</f>
        <v>82050</v>
      </c>
      <c r="AW728" s="14" t="str">
        <f>IF(AN728&gt;0,INDEX(挂机升级突破!$DT$4:$ED$4,AN728),"")</f>
        <v>红色基础材料</v>
      </c>
      <c r="AX728" s="14">
        <f>ROUND(INDEX(挂机升级突破!$DT$6:$ED$57,卡牌消耗!AT728,AN728)*INDEX(卡牌消耗!$B$5:$F$5,AR728)/$Q$4/5,0)*5</f>
        <v>10</v>
      </c>
      <c r="AY728" s="14" t="str">
        <f>IF(AO728&gt;0,INDEX(挂机升级突破!$DT$4:$ED$4,AO728),"")</f>
        <v>灵玉</v>
      </c>
      <c r="AZ728" s="14">
        <f>IF(AO728&gt;0,ROUND(INDEX(挂机升级突破!$DT$6:$ED$57,卡牌消耗!AT728,AO728)*INDEX(卡牌消耗!$B$7:$F$7,AR728)/$Q$4,0),"")</f>
        <v>2</v>
      </c>
      <c r="BL728" s="194"/>
      <c r="BM728" s="194"/>
      <c r="BN728" s="194"/>
      <c r="BO728" s="194"/>
      <c r="BP728" s="194"/>
      <c r="BQ728" s="208"/>
      <c r="BR728" s="194"/>
      <c r="BS728" s="194"/>
      <c r="BT728" s="194"/>
      <c r="BU728" s="194"/>
      <c r="BV728" s="194"/>
      <c r="BW728" s="194"/>
      <c r="BX728" s="194"/>
      <c r="BY728" s="194"/>
      <c r="BZ728" s="194"/>
    </row>
    <row r="729" spans="37:78" ht="16.5" x14ac:dyDescent="0.2">
      <c r="AK729" s="104">
        <v>725</v>
      </c>
      <c r="AL729" s="14">
        <f t="shared" si="400"/>
        <v>14</v>
      </c>
      <c r="AM729" s="14">
        <f>INDEX(挂机升级突破!DQ$6:DQ$57,卡牌消耗!$AT729)</f>
        <v>11</v>
      </c>
      <c r="AN729" s="14">
        <f>INDEX(挂机升级突破!DR$6:DR$57,卡牌消耗!$AT729)</f>
        <v>5</v>
      </c>
      <c r="AO729" s="14">
        <f>INDEX(挂机升级突破!DS$6:DS$57,卡牌消耗!$AT729)</f>
        <v>10</v>
      </c>
      <c r="AP729" s="14">
        <f>INDEX(挂机升级突破!$DP$6:$DP$57,卡牌消耗!AT729)</f>
        <v>140</v>
      </c>
      <c r="AQ729" s="14" t="str">
        <f t="shared" si="401"/>
        <v>石灵明</v>
      </c>
      <c r="AR729" s="14">
        <f t="shared" si="402"/>
        <v>3</v>
      </c>
      <c r="AS729" s="14" t="str">
        <f t="shared" si="403"/>
        <v>石灵明魂火-49</v>
      </c>
      <c r="AT729" s="14">
        <f t="shared" si="404"/>
        <v>49</v>
      </c>
      <c r="AU729" s="14" t="str">
        <f>IF(AM729&gt;0,INDEX(挂机升级突破!$DT$4:$ED$4,AM729),"")</f>
        <v>金币</v>
      </c>
      <c r="AV729" s="14">
        <f>ROUND(INDEX(挂机升级突破!$DJ$6:$DJ$57,卡牌消耗!AT729)*INDEX(卡牌消耗!$B$8:$F$8,AR729)/$Q$4/50,0)*50</f>
        <v>82050</v>
      </c>
      <c r="AW729" s="14" t="str">
        <f>IF(AN729&gt;0,INDEX(挂机升级突破!$DT$4:$ED$4,AN729),"")</f>
        <v>红色基础材料</v>
      </c>
      <c r="AX729" s="14">
        <f>ROUND(INDEX(挂机升级突破!$DT$6:$ED$57,卡牌消耗!AT729,AN729)*INDEX(卡牌消耗!$B$5:$F$5,AR729)/$Q$4/5,0)*5</f>
        <v>15</v>
      </c>
      <c r="AY729" s="14" t="str">
        <f>IF(AO729&gt;0,INDEX(挂机升级突破!$DT$4:$ED$4,AO729),"")</f>
        <v>灵玉</v>
      </c>
      <c r="AZ729" s="14">
        <f>IF(AO729&gt;0,ROUND(INDEX(挂机升级突破!$DT$6:$ED$57,卡牌消耗!AT729,AO729)*INDEX(卡牌消耗!$B$7:$F$7,AR729)/$Q$4,0),"")</f>
        <v>2</v>
      </c>
      <c r="BL729" s="194"/>
      <c r="BM729" s="194"/>
      <c r="BN729" s="194"/>
      <c r="BO729" s="194"/>
      <c r="BP729" s="194"/>
      <c r="BQ729" s="208"/>
      <c r="BR729" s="194"/>
      <c r="BS729" s="194"/>
      <c r="BT729" s="194"/>
      <c r="BU729" s="194"/>
      <c r="BV729" s="194"/>
      <c r="BW729" s="194"/>
      <c r="BX729" s="194"/>
      <c r="BY729" s="194"/>
      <c r="BZ729" s="194"/>
    </row>
    <row r="730" spans="37:78" ht="16.5" x14ac:dyDescent="0.2">
      <c r="AK730" s="104">
        <v>726</v>
      </c>
      <c r="AL730" s="14">
        <f t="shared" si="400"/>
        <v>14</v>
      </c>
      <c r="AM730" s="14">
        <f>INDEX(挂机升级突破!DQ$6:DQ$57,卡牌消耗!$AT730)</f>
        <v>11</v>
      </c>
      <c r="AN730" s="14">
        <f>INDEX(挂机升级突破!DR$6:DR$57,卡牌消耗!$AT730)</f>
        <v>5</v>
      </c>
      <c r="AO730" s="14">
        <f>INDEX(挂机升级突破!DS$6:DS$57,卡牌消耗!$AT730)</f>
        <v>10</v>
      </c>
      <c r="AP730" s="14">
        <f>INDEX(挂机升级突破!$DP$6:$DP$57,卡牌消耗!AT730)</f>
        <v>143</v>
      </c>
      <c r="AQ730" s="14" t="str">
        <f t="shared" si="401"/>
        <v>石灵明</v>
      </c>
      <c r="AR730" s="14">
        <f t="shared" si="402"/>
        <v>3</v>
      </c>
      <c r="AS730" s="14" t="str">
        <f t="shared" si="403"/>
        <v>石灵明魂火-50</v>
      </c>
      <c r="AT730" s="14">
        <f t="shared" si="404"/>
        <v>50</v>
      </c>
      <c r="AU730" s="14" t="str">
        <f>IF(AM730&gt;0,INDEX(挂机升级突破!$DT$4:$ED$4,AM730),"")</f>
        <v>金币</v>
      </c>
      <c r="AV730" s="14">
        <f>ROUND(INDEX(挂机升级突破!$DJ$6:$DJ$57,卡牌消耗!AT730)*INDEX(卡牌消耗!$B$8:$F$8,AR730)/$Q$4/50,0)*50</f>
        <v>136750</v>
      </c>
      <c r="AW730" s="14" t="str">
        <f>IF(AN730&gt;0,INDEX(挂机升级突破!$DT$4:$ED$4,AN730),"")</f>
        <v>红色基础材料</v>
      </c>
      <c r="AX730" s="14">
        <f>ROUND(INDEX(挂机升级突破!$DT$6:$ED$57,卡牌消耗!AT730,AN730)*INDEX(卡牌消耗!$B$5:$F$5,AR730)/$Q$4/5,0)*5</f>
        <v>15</v>
      </c>
      <c r="AY730" s="14" t="str">
        <f>IF(AO730&gt;0,INDEX(挂机升级突破!$DT$4:$ED$4,AO730),"")</f>
        <v>灵玉</v>
      </c>
      <c r="AZ730" s="14">
        <f>IF(AO730&gt;0,ROUND(INDEX(挂机升级突破!$DT$6:$ED$57,卡牌消耗!AT730,AO730)*INDEX(卡牌消耗!$B$7:$F$7,AR730)/$Q$4,0),"")</f>
        <v>2</v>
      </c>
      <c r="BL730" s="194"/>
      <c r="BM730" s="194"/>
      <c r="BN730" s="194"/>
      <c r="BO730" s="194"/>
      <c r="BP730" s="194"/>
      <c r="BQ730" s="208"/>
      <c r="BR730" s="194"/>
      <c r="BS730" s="194"/>
      <c r="BT730" s="194"/>
      <c r="BU730" s="194"/>
      <c r="BV730" s="194"/>
      <c r="BW730" s="194"/>
      <c r="BX730" s="194"/>
      <c r="BY730" s="194"/>
      <c r="BZ730" s="194"/>
    </row>
    <row r="731" spans="37:78" ht="16.5" x14ac:dyDescent="0.2">
      <c r="AK731" s="104">
        <v>727</v>
      </c>
      <c r="AL731" s="14">
        <f t="shared" si="400"/>
        <v>14</v>
      </c>
      <c r="AM731" s="14">
        <f>INDEX(挂机升级突破!DQ$6:DQ$57,卡牌消耗!$AT731)</f>
        <v>11</v>
      </c>
      <c r="AN731" s="14">
        <f>INDEX(挂机升级突破!DR$6:DR$57,卡牌消耗!$AT731)</f>
        <v>5</v>
      </c>
      <c r="AO731" s="14">
        <f>INDEX(挂机升级突破!DS$6:DS$57,卡牌消耗!$AT731)</f>
        <v>10</v>
      </c>
      <c r="AP731" s="14">
        <f>INDEX(挂机升级突破!$DP$6:$DP$57,卡牌消耗!AT731)</f>
        <v>145</v>
      </c>
      <c r="AQ731" s="14" t="str">
        <f t="shared" si="401"/>
        <v>石灵明</v>
      </c>
      <c r="AR731" s="14">
        <f t="shared" si="402"/>
        <v>3</v>
      </c>
      <c r="AS731" s="14" t="str">
        <f t="shared" si="403"/>
        <v>石灵明魂火-51</v>
      </c>
      <c r="AT731" s="14">
        <f t="shared" si="404"/>
        <v>51</v>
      </c>
      <c r="AU731" s="14" t="str">
        <f>IF(AM731&gt;0,INDEX(挂机升级突破!$DT$4:$ED$4,AM731),"")</f>
        <v>金币</v>
      </c>
      <c r="AV731" s="14">
        <f>ROUND(INDEX(挂机升级突破!$DJ$6:$DJ$57,卡牌消耗!AT731)*INDEX(卡牌消耗!$B$8:$F$8,AR731)/$Q$4/50,0)*50</f>
        <v>150450</v>
      </c>
      <c r="AW731" s="14" t="str">
        <f>IF(AN731&gt;0,INDEX(挂机升级突破!$DT$4:$ED$4,AN731),"")</f>
        <v>红色基础材料</v>
      </c>
      <c r="AX731" s="14">
        <f>ROUND(INDEX(挂机升级突破!$DT$6:$ED$57,卡牌消耗!AT731,AN731)*INDEX(卡牌消耗!$B$5:$F$5,AR731)/$Q$4/5,0)*5</f>
        <v>15</v>
      </c>
      <c r="AY731" s="14" t="str">
        <f>IF(AO731&gt;0,INDEX(挂机升级突破!$DT$4:$ED$4,AO731),"")</f>
        <v>灵玉</v>
      </c>
      <c r="AZ731" s="14">
        <f>IF(AO731&gt;0,ROUND(INDEX(挂机升级突破!$DT$6:$ED$57,卡牌消耗!AT731,AO731)*INDEX(卡牌消耗!$B$7:$F$7,AR731)/$Q$4,0),"")</f>
        <v>2</v>
      </c>
      <c r="BL731" s="194"/>
      <c r="BM731" s="194"/>
      <c r="BN731" s="194"/>
      <c r="BO731" s="194"/>
      <c r="BP731" s="194"/>
      <c r="BQ731" s="208"/>
      <c r="BR731" s="194"/>
      <c r="BS731" s="194"/>
      <c r="BT731" s="194"/>
      <c r="BU731" s="194"/>
      <c r="BV731" s="194"/>
      <c r="BW731" s="194"/>
      <c r="BX731" s="194"/>
      <c r="BY731" s="194"/>
      <c r="BZ731" s="194"/>
    </row>
    <row r="732" spans="37:78" ht="16.5" x14ac:dyDescent="0.2">
      <c r="AK732" s="104">
        <v>728</v>
      </c>
      <c r="AL732" s="14">
        <f t="shared" si="400"/>
        <v>14</v>
      </c>
      <c r="AM732" s="14">
        <f>INDEX(挂机升级突破!DQ$6:DQ$57,卡牌消耗!$AT732)</f>
        <v>11</v>
      </c>
      <c r="AN732" s="14">
        <f>INDEX(挂机升级突破!DR$6:DR$57,卡牌消耗!$AT732)</f>
        <v>5</v>
      </c>
      <c r="AO732" s="14">
        <f>INDEX(挂机升级突破!DS$6:DS$57,卡牌消耗!$AT732)</f>
        <v>10</v>
      </c>
      <c r="AP732" s="14">
        <f>INDEX(挂机升级突破!$DP$6:$DP$57,卡牌消耗!AT732)</f>
        <v>148</v>
      </c>
      <c r="AQ732" s="14" t="str">
        <f t="shared" si="401"/>
        <v>石灵明</v>
      </c>
      <c r="AR732" s="14">
        <f t="shared" si="402"/>
        <v>3</v>
      </c>
      <c r="AS732" s="14" t="str">
        <f t="shared" si="403"/>
        <v>石灵明魂火-52</v>
      </c>
      <c r="AT732" s="14">
        <f t="shared" si="404"/>
        <v>52</v>
      </c>
      <c r="AU732" s="14" t="str">
        <f>IF(AM732&gt;0,INDEX(挂机升级突破!$DT$4:$ED$4,AM732),"")</f>
        <v>金币</v>
      </c>
      <c r="AV732" s="14">
        <f>ROUND(INDEX(挂机升级突破!$DJ$6:$DJ$57,卡牌消耗!AT732)*INDEX(卡牌消耗!$B$8:$F$8,AR732)/$Q$4/50,0)*50</f>
        <v>150450</v>
      </c>
      <c r="AW732" s="14" t="str">
        <f>IF(AN732&gt;0,INDEX(挂机升级突破!$DT$4:$ED$4,AN732),"")</f>
        <v>红色基础材料</v>
      </c>
      <c r="AX732" s="14">
        <f>ROUND(INDEX(挂机升级突破!$DT$6:$ED$57,卡牌消耗!AT732,AN732)*INDEX(卡牌消耗!$B$5:$F$5,AR732)/$Q$4/5,0)*5</f>
        <v>15</v>
      </c>
      <c r="AY732" s="14" t="str">
        <f>IF(AO732&gt;0,INDEX(挂机升级突破!$DT$4:$ED$4,AO732),"")</f>
        <v>灵玉</v>
      </c>
      <c r="AZ732" s="14">
        <f>IF(AO732&gt;0,ROUND(INDEX(挂机升级突破!$DT$6:$ED$57,卡牌消耗!AT732,AO732)*INDEX(卡牌消耗!$B$7:$F$7,AR732)/$Q$4,0),"")</f>
        <v>2</v>
      </c>
      <c r="BL732" s="194"/>
      <c r="BM732" s="194"/>
      <c r="BN732" s="194"/>
      <c r="BO732" s="194"/>
      <c r="BP732" s="194"/>
      <c r="BQ732" s="208"/>
      <c r="BR732" s="194"/>
      <c r="BS732" s="194"/>
      <c r="BT732" s="194"/>
      <c r="BU732" s="194"/>
      <c r="BV732" s="194"/>
      <c r="BW732" s="194"/>
      <c r="BX732" s="194"/>
      <c r="BY732" s="194"/>
      <c r="BZ732" s="194"/>
    </row>
    <row r="733" spans="37:78" ht="16.5" x14ac:dyDescent="0.2">
      <c r="AK733" s="104">
        <v>729</v>
      </c>
      <c r="AL733" s="14">
        <f t="shared" si="400"/>
        <v>15</v>
      </c>
      <c r="AM733" s="14">
        <f>INDEX(挂机升级突破!DQ$6:DQ$57,卡牌消耗!$AT733)</f>
        <v>11</v>
      </c>
      <c r="AN733" s="14">
        <f>INDEX(挂机升级突破!DR$6:DR$57,卡牌消耗!$AT733)</f>
        <v>1</v>
      </c>
      <c r="AO733" s="14">
        <f>INDEX(挂机升级突破!DS$6:DS$57,卡牌消耗!$AT733)</f>
        <v>0</v>
      </c>
      <c r="AP733" s="14">
        <f>INDEX(挂机升级突破!$DP$6:$DP$57,卡牌消耗!AT733)</f>
        <v>3</v>
      </c>
      <c r="AQ733" s="14" t="str">
        <f t="shared" si="401"/>
        <v>于禁</v>
      </c>
      <c r="AR733" s="14">
        <f t="shared" si="402"/>
        <v>2</v>
      </c>
      <c r="AS733" s="14" t="str">
        <f t="shared" si="403"/>
        <v>于禁魂火-1</v>
      </c>
      <c r="AT733" s="14">
        <f t="shared" si="404"/>
        <v>1</v>
      </c>
      <c r="AU733" s="14" t="str">
        <f>IF(AM733&gt;0,INDEX(挂机升级突破!$DT$4:$ED$4,AM733),"")</f>
        <v>金币</v>
      </c>
      <c r="AV733" s="14">
        <f>ROUND(INDEX(挂机升级突破!$DJ$6:$DJ$57,卡牌消耗!AT733)*INDEX(卡牌消耗!$B$8:$F$8,AR733)/$Q$4/50,0)*50</f>
        <v>600</v>
      </c>
      <c r="AW733" s="14" t="str">
        <f>IF(AN733&gt;0,INDEX(挂机升级突破!$DT$4:$ED$4,AN733),"")</f>
        <v>绿色基础材料</v>
      </c>
      <c r="AX733" s="14">
        <f>ROUND(INDEX(挂机升级突破!$DT$6:$ED$57,卡牌消耗!AT733,AN733)*INDEX(卡牌消耗!$B$5:$F$5,AR733)/$Q$4/5,0)*5</f>
        <v>20</v>
      </c>
      <c r="AY733" s="14" t="str">
        <f>IF(AO733&gt;0,INDEX(挂机升级突破!$DT$4:$ED$4,AO733),"")</f>
        <v/>
      </c>
      <c r="AZ733" s="14" t="str">
        <f>IF(AO733&gt;0,ROUND(INDEX(挂机升级突破!$DT$6:$ED$57,卡牌消耗!AT733,AO733)*INDEX(卡牌消耗!$B$7:$F$7,AR733)/$Q$4,0),"")</f>
        <v/>
      </c>
      <c r="BL733" s="194"/>
      <c r="BM733" s="194"/>
      <c r="BN733" s="194"/>
      <c r="BO733" s="194"/>
      <c r="BP733" s="194"/>
      <c r="BQ733" s="208"/>
      <c r="BR733" s="194"/>
      <c r="BS733" s="194"/>
      <c r="BT733" s="194"/>
      <c r="BU733" s="194"/>
      <c r="BV733" s="194"/>
      <c r="BW733" s="194"/>
      <c r="BX733" s="194"/>
      <c r="BY733" s="194"/>
      <c r="BZ733" s="194"/>
    </row>
    <row r="734" spans="37:78" ht="16.5" x14ac:dyDescent="0.2">
      <c r="AK734" s="104">
        <v>730</v>
      </c>
      <c r="AL734" s="14">
        <f t="shared" si="400"/>
        <v>15</v>
      </c>
      <c r="AM734" s="14">
        <f>INDEX(挂机升级突破!DQ$6:DQ$57,卡牌消耗!$AT734)</f>
        <v>11</v>
      </c>
      <c r="AN734" s="14">
        <f>INDEX(挂机升级突破!DR$6:DR$57,卡牌消耗!$AT734)</f>
        <v>1</v>
      </c>
      <c r="AO734" s="14">
        <f>INDEX(挂机升级突破!DS$6:DS$57,卡牌消耗!$AT734)</f>
        <v>0</v>
      </c>
      <c r="AP734" s="14">
        <f>INDEX(挂机升级突破!$DP$6:$DP$57,卡牌消耗!AT734)</f>
        <v>8</v>
      </c>
      <c r="AQ734" s="14" t="str">
        <f t="shared" si="401"/>
        <v>于禁</v>
      </c>
      <c r="AR734" s="14">
        <f t="shared" si="402"/>
        <v>2</v>
      </c>
      <c r="AS734" s="14" t="str">
        <f t="shared" si="403"/>
        <v>于禁魂火-2</v>
      </c>
      <c r="AT734" s="14">
        <f t="shared" si="404"/>
        <v>2</v>
      </c>
      <c r="AU734" s="14" t="str">
        <f>IF(AM734&gt;0,INDEX(挂机升级突破!$DT$4:$ED$4,AM734),"")</f>
        <v>金币</v>
      </c>
      <c r="AV734" s="14">
        <f>ROUND(INDEX(挂机升级突破!$DJ$6:$DJ$57,卡牌消耗!AT734)*INDEX(卡牌消耗!$B$8:$F$8,AR734)/$Q$4/50,0)*50</f>
        <v>750</v>
      </c>
      <c r="AW734" s="14" t="str">
        <f>IF(AN734&gt;0,INDEX(挂机升级突破!$DT$4:$ED$4,AN734),"")</f>
        <v>绿色基础材料</v>
      </c>
      <c r="AX734" s="14">
        <f>ROUND(INDEX(挂机升级突破!$DT$6:$ED$57,卡牌消耗!AT734,AN734)*INDEX(卡牌消耗!$B$5:$F$5,AR734)/$Q$4/5,0)*5</f>
        <v>70</v>
      </c>
      <c r="AY734" s="14" t="str">
        <f>IF(AO734&gt;0,INDEX(挂机升级突破!$DT$4:$ED$4,AO734),"")</f>
        <v/>
      </c>
      <c r="AZ734" s="14" t="str">
        <f>IF(AO734&gt;0,ROUND(INDEX(挂机升级突破!$DT$6:$ED$57,卡牌消耗!AT734,AO734)*INDEX(卡牌消耗!$B$7:$F$7,AR734)/$Q$4,0),"")</f>
        <v/>
      </c>
      <c r="BL734" s="194"/>
      <c r="BM734" s="194"/>
      <c r="BN734" s="194"/>
      <c r="BO734" s="194"/>
      <c r="BP734" s="194"/>
      <c r="BQ734" s="208"/>
      <c r="BR734" s="194"/>
      <c r="BS734" s="194"/>
      <c r="BT734" s="194"/>
      <c r="BU734" s="194"/>
      <c r="BV734" s="194"/>
      <c r="BW734" s="194"/>
      <c r="BX734" s="194"/>
      <c r="BY734" s="194"/>
      <c r="BZ734" s="194"/>
    </row>
    <row r="735" spans="37:78" ht="16.5" x14ac:dyDescent="0.2">
      <c r="AK735" s="104">
        <v>731</v>
      </c>
      <c r="AL735" s="14">
        <f t="shared" si="400"/>
        <v>15</v>
      </c>
      <c r="AM735" s="14">
        <f>INDEX(挂机升级突破!DQ$6:DQ$57,卡牌消耗!$AT735)</f>
        <v>11</v>
      </c>
      <c r="AN735" s="14">
        <f>INDEX(挂机升级突破!DR$6:DR$57,卡牌消耗!$AT735)</f>
        <v>1</v>
      </c>
      <c r="AO735" s="14">
        <f>INDEX(挂机升级突破!DS$6:DS$57,卡牌消耗!$AT735)</f>
        <v>0</v>
      </c>
      <c r="AP735" s="14">
        <f>INDEX(挂机升级突破!$DP$6:$DP$57,卡牌消耗!AT735)</f>
        <v>13</v>
      </c>
      <c r="AQ735" s="14" t="str">
        <f t="shared" si="401"/>
        <v>于禁</v>
      </c>
      <c r="AR735" s="14">
        <f t="shared" si="402"/>
        <v>2</v>
      </c>
      <c r="AS735" s="14" t="str">
        <f t="shared" si="403"/>
        <v>于禁魂火-3</v>
      </c>
      <c r="AT735" s="14">
        <f t="shared" si="404"/>
        <v>3</v>
      </c>
      <c r="AU735" s="14" t="str">
        <f>IF(AM735&gt;0,INDEX(挂机升级突破!$DT$4:$ED$4,AM735),"")</f>
        <v>金币</v>
      </c>
      <c r="AV735" s="14">
        <f>ROUND(INDEX(挂机升级突破!$DJ$6:$DJ$57,卡牌消耗!AT735)*INDEX(卡牌消耗!$B$8:$F$8,AR735)/$Q$4/50,0)*50</f>
        <v>750</v>
      </c>
      <c r="AW735" s="14" t="str">
        <f>IF(AN735&gt;0,INDEX(挂机升级突破!$DT$4:$ED$4,AN735),"")</f>
        <v>绿色基础材料</v>
      </c>
      <c r="AX735" s="14">
        <f>ROUND(INDEX(挂机升级突破!$DT$6:$ED$57,卡牌消耗!AT735,AN735)*INDEX(卡牌消耗!$B$5:$F$5,AR735)/$Q$4/5,0)*5</f>
        <v>80</v>
      </c>
      <c r="AY735" s="14" t="str">
        <f>IF(AO735&gt;0,INDEX(挂机升级突破!$DT$4:$ED$4,AO735),"")</f>
        <v/>
      </c>
      <c r="AZ735" s="14" t="str">
        <f>IF(AO735&gt;0,ROUND(INDEX(挂机升级突破!$DT$6:$ED$57,卡牌消耗!AT735,AO735)*INDEX(卡牌消耗!$B$7:$F$7,AR735)/$Q$4,0),"")</f>
        <v/>
      </c>
      <c r="BL735" s="194"/>
      <c r="BM735" s="194"/>
      <c r="BN735" s="194"/>
      <c r="BO735" s="194"/>
      <c r="BP735" s="194"/>
      <c r="BQ735" s="208"/>
      <c r="BR735" s="194"/>
      <c r="BS735" s="194"/>
      <c r="BT735" s="194"/>
      <c r="BU735" s="194"/>
      <c r="BV735" s="194"/>
      <c r="BW735" s="194"/>
      <c r="BX735" s="194"/>
      <c r="BY735" s="194"/>
      <c r="BZ735" s="194"/>
    </row>
    <row r="736" spans="37:78" ht="16.5" x14ac:dyDescent="0.2">
      <c r="AK736" s="104">
        <v>732</v>
      </c>
      <c r="AL736" s="14">
        <f t="shared" si="400"/>
        <v>15</v>
      </c>
      <c r="AM736" s="14">
        <f>INDEX(挂机升级突破!DQ$6:DQ$57,卡牌消耗!$AT736)</f>
        <v>11</v>
      </c>
      <c r="AN736" s="14">
        <f>INDEX(挂机升级突破!DR$6:DR$57,卡牌消耗!$AT736)</f>
        <v>1</v>
      </c>
      <c r="AO736" s="14">
        <f>INDEX(挂机升级突破!DS$6:DS$57,卡牌消耗!$AT736)</f>
        <v>0</v>
      </c>
      <c r="AP736" s="14">
        <f>INDEX(挂机升级突破!$DP$6:$DP$57,卡牌消耗!AT736)</f>
        <v>18</v>
      </c>
      <c r="AQ736" s="14" t="str">
        <f t="shared" si="401"/>
        <v>于禁</v>
      </c>
      <c r="AR736" s="14">
        <f t="shared" si="402"/>
        <v>2</v>
      </c>
      <c r="AS736" s="14" t="str">
        <f t="shared" si="403"/>
        <v>于禁魂火-4</v>
      </c>
      <c r="AT736" s="14">
        <f t="shared" si="404"/>
        <v>4</v>
      </c>
      <c r="AU736" s="14" t="str">
        <f>IF(AM736&gt;0,INDEX(挂机升级突破!$DT$4:$ED$4,AM736),"")</f>
        <v>金币</v>
      </c>
      <c r="AV736" s="14">
        <f>ROUND(INDEX(挂机升级突破!$DJ$6:$DJ$57,卡牌消耗!AT736)*INDEX(卡牌消耗!$B$8:$F$8,AR736)/$Q$4/50,0)*50</f>
        <v>750</v>
      </c>
      <c r="AW736" s="14" t="str">
        <f>IF(AN736&gt;0,INDEX(挂机升级突破!$DT$4:$ED$4,AN736),"")</f>
        <v>绿色基础材料</v>
      </c>
      <c r="AX736" s="14">
        <f>ROUND(INDEX(挂机升级突破!$DT$6:$ED$57,卡牌消耗!AT736,AN736)*INDEX(卡牌消耗!$B$5:$F$5,AR736)/$Q$4/5,0)*5</f>
        <v>115</v>
      </c>
      <c r="AY736" s="14" t="str">
        <f>IF(AO736&gt;0,INDEX(挂机升级突破!$DT$4:$ED$4,AO736),"")</f>
        <v/>
      </c>
      <c r="AZ736" s="14" t="str">
        <f>IF(AO736&gt;0,ROUND(INDEX(挂机升级突破!$DT$6:$ED$57,卡牌消耗!AT736,AO736)*INDEX(卡牌消耗!$B$7:$F$7,AR736)/$Q$4,0),"")</f>
        <v/>
      </c>
      <c r="BL736" s="194"/>
      <c r="BM736" s="194"/>
      <c r="BN736" s="194"/>
      <c r="BO736" s="194"/>
      <c r="BP736" s="194"/>
      <c r="BQ736" s="208"/>
      <c r="BR736" s="194"/>
      <c r="BS736" s="194"/>
      <c r="BT736" s="194"/>
      <c r="BU736" s="194"/>
      <c r="BV736" s="194"/>
      <c r="BW736" s="194"/>
      <c r="BX736" s="194"/>
      <c r="BY736" s="194"/>
      <c r="BZ736" s="194"/>
    </row>
    <row r="737" spans="37:52" ht="16.5" x14ac:dyDescent="0.2">
      <c r="AK737" s="104">
        <v>733</v>
      </c>
      <c r="AL737" s="14">
        <f t="shared" si="400"/>
        <v>15</v>
      </c>
      <c r="AM737" s="14">
        <f>INDEX(挂机升级突破!DQ$6:DQ$57,卡牌消耗!$AT737)</f>
        <v>11</v>
      </c>
      <c r="AN737" s="14">
        <f>INDEX(挂机升级突破!DR$6:DR$57,卡牌消耗!$AT737)</f>
        <v>1</v>
      </c>
      <c r="AO737" s="14">
        <f>INDEX(挂机升级突破!DS$6:DS$57,卡牌消耗!$AT737)</f>
        <v>0</v>
      </c>
      <c r="AP737" s="14">
        <f>INDEX(挂机升级突破!$DP$6:$DP$57,卡牌消耗!AT737)</f>
        <v>23</v>
      </c>
      <c r="AQ737" s="14" t="str">
        <f t="shared" si="401"/>
        <v>于禁</v>
      </c>
      <c r="AR737" s="14">
        <f t="shared" si="402"/>
        <v>2</v>
      </c>
      <c r="AS737" s="14" t="str">
        <f t="shared" si="403"/>
        <v>于禁魂火-5</v>
      </c>
      <c r="AT737" s="14">
        <f t="shared" si="404"/>
        <v>5</v>
      </c>
      <c r="AU737" s="14" t="str">
        <f>IF(AM737&gt;0,INDEX(挂机升级突破!$DT$4:$ED$4,AM737),"")</f>
        <v>金币</v>
      </c>
      <c r="AV737" s="14">
        <f>ROUND(INDEX(挂机升级突破!$DJ$6:$DJ$57,卡牌消耗!AT737)*INDEX(卡牌消耗!$B$8:$F$8,AR737)/$Q$4/50,0)*50</f>
        <v>750</v>
      </c>
      <c r="AW737" s="14" t="str">
        <f>IF(AN737&gt;0,INDEX(挂机升级突破!$DT$4:$ED$4,AN737),"")</f>
        <v>绿色基础材料</v>
      </c>
      <c r="AX737" s="14">
        <f>ROUND(INDEX(挂机升级突破!$DT$6:$ED$57,卡牌消耗!AT737,AN737)*INDEX(卡牌消耗!$B$5:$F$5,AR737)/$Q$4/5,0)*5</f>
        <v>125</v>
      </c>
      <c r="AY737" s="14" t="str">
        <f>IF(AO737&gt;0,INDEX(挂机升级突破!$DT$4:$ED$4,AO737),"")</f>
        <v/>
      </c>
      <c r="AZ737" s="14" t="str">
        <f>IF(AO737&gt;0,ROUND(INDEX(挂机升级突破!$DT$6:$ED$57,卡牌消耗!AT737,AO737)*INDEX(卡牌消耗!$B$7:$F$7,AR737)/$Q$4,0),"")</f>
        <v/>
      </c>
    </row>
    <row r="738" spans="37:52" ht="16.5" x14ac:dyDescent="0.2">
      <c r="AK738" s="104">
        <v>734</v>
      </c>
      <c r="AL738" s="14">
        <f t="shared" si="400"/>
        <v>15</v>
      </c>
      <c r="AM738" s="14">
        <f>INDEX(挂机升级突破!DQ$6:DQ$57,卡牌消耗!$AT738)</f>
        <v>11</v>
      </c>
      <c r="AN738" s="14">
        <f>INDEX(挂机升级突破!DR$6:DR$57,卡牌消耗!$AT738)</f>
        <v>2</v>
      </c>
      <c r="AO738" s="14">
        <f>INDEX(挂机升级突破!DS$6:DS$57,卡牌消耗!$AT738)</f>
        <v>0</v>
      </c>
      <c r="AP738" s="14">
        <f>INDEX(挂机升级突破!$DP$6:$DP$57,卡牌消耗!AT738)</f>
        <v>28</v>
      </c>
      <c r="AQ738" s="14" t="str">
        <f t="shared" si="401"/>
        <v>于禁</v>
      </c>
      <c r="AR738" s="14">
        <f t="shared" si="402"/>
        <v>2</v>
      </c>
      <c r="AS738" s="14" t="str">
        <f t="shared" si="403"/>
        <v>于禁魂火-6</v>
      </c>
      <c r="AT738" s="14">
        <f t="shared" si="404"/>
        <v>6</v>
      </c>
      <c r="AU738" s="14" t="str">
        <f>IF(AM738&gt;0,INDEX(挂机升级突破!$DT$4:$ED$4,AM738),"")</f>
        <v>金币</v>
      </c>
      <c r="AV738" s="14">
        <f>ROUND(INDEX(挂机升级突破!$DJ$6:$DJ$57,卡牌消耗!AT738)*INDEX(卡牌消耗!$B$8:$F$8,AR738)/$Q$4/50,0)*50</f>
        <v>900</v>
      </c>
      <c r="AW738" s="14" t="str">
        <f>IF(AN738&gt;0,INDEX(挂机升级突破!$DT$4:$ED$4,AN738),"")</f>
        <v>蓝色基础材料</v>
      </c>
      <c r="AX738" s="14">
        <f>ROUND(INDEX(挂机升级突破!$DT$6:$ED$57,卡牌消耗!AT738,AN738)*INDEX(卡牌消耗!$B$5:$F$5,AR738)/$Q$4/5,0)*5</f>
        <v>25</v>
      </c>
      <c r="AY738" s="14" t="str">
        <f>IF(AO738&gt;0,INDEX(挂机升级突破!$DT$4:$ED$4,AO738),"")</f>
        <v/>
      </c>
      <c r="AZ738" s="14" t="str">
        <f>IF(AO738&gt;0,ROUND(INDEX(挂机升级突破!$DT$6:$ED$57,卡牌消耗!AT738,AO738)*INDEX(卡牌消耗!$B$7:$F$7,AR738)/$Q$4,0),"")</f>
        <v/>
      </c>
    </row>
    <row r="739" spans="37:52" ht="16.5" x14ac:dyDescent="0.2">
      <c r="AK739" s="104">
        <v>735</v>
      </c>
      <c r="AL739" s="14">
        <f t="shared" si="400"/>
        <v>15</v>
      </c>
      <c r="AM739" s="14">
        <f>INDEX(挂机升级突破!DQ$6:DQ$57,卡牌消耗!$AT739)</f>
        <v>11</v>
      </c>
      <c r="AN739" s="14">
        <f>INDEX(挂机升级突破!DR$6:DR$57,卡牌消耗!$AT739)</f>
        <v>2</v>
      </c>
      <c r="AO739" s="14">
        <f>INDEX(挂机升级突破!DS$6:DS$57,卡牌消耗!$AT739)</f>
        <v>0</v>
      </c>
      <c r="AP739" s="14">
        <f>INDEX(挂机升级突破!$DP$6:$DP$57,卡牌消耗!AT739)</f>
        <v>33</v>
      </c>
      <c r="AQ739" s="14" t="str">
        <f t="shared" si="401"/>
        <v>于禁</v>
      </c>
      <c r="AR739" s="14">
        <f t="shared" si="402"/>
        <v>2</v>
      </c>
      <c r="AS739" s="14" t="str">
        <f t="shared" si="403"/>
        <v>于禁魂火-7</v>
      </c>
      <c r="AT739" s="14">
        <f t="shared" si="404"/>
        <v>7</v>
      </c>
      <c r="AU739" s="14" t="str">
        <f>IF(AM739&gt;0,INDEX(挂机升级突破!$DT$4:$ED$4,AM739),"")</f>
        <v>金币</v>
      </c>
      <c r="AV739" s="14">
        <f>ROUND(INDEX(挂机升级突破!$DJ$6:$DJ$57,卡牌消耗!AT739)*INDEX(卡牌消耗!$B$8:$F$8,AR739)/$Q$4/50,0)*50</f>
        <v>900</v>
      </c>
      <c r="AW739" s="14" t="str">
        <f>IF(AN739&gt;0,INDEX(挂机升级突破!$DT$4:$ED$4,AN739),"")</f>
        <v>蓝色基础材料</v>
      </c>
      <c r="AX739" s="14">
        <f>ROUND(INDEX(挂机升级突破!$DT$6:$ED$57,卡牌消耗!AT739,AN739)*INDEX(卡牌消耗!$B$5:$F$5,AR739)/$Q$4/5,0)*5</f>
        <v>25</v>
      </c>
      <c r="AY739" s="14" t="str">
        <f>IF(AO739&gt;0,INDEX(挂机升级突破!$DT$4:$ED$4,AO739),"")</f>
        <v/>
      </c>
      <c r="AZ739" s="14" t="str">
        <f>IF(AO739&gt;0,ROUND(INDEX(挂机升级突破!$DT$6:$ED$57,卡牌消耗!AT739,AO739)*INDEX(卡牌消耗!$B$7:$F$7,AR739)/$Q$4,0),"")</f>
        <v/>
      </c>
    </row>
    <row r="740" spans="37:52" ht="16.5" x14ac:dyDescent="0.2">
      <c r="AK740" s="104">
        <v>736</v>
      </c>
      <c r="AL740" s="14">
        <f t="shared" si="400"/>
        <v>15</v>
      </c>
      <c r="AM740" s="14">
        <f>INDEX(挂机升级突破!DQ$6:DQ$57,卡牌消耗!$AT740)</f>
        <v>11</v>
      </c>
      <c r="AN740" s="14">
        <f>INDEX(挂机升级突破!DR$6:DR$57,卡牌消耗!$AT740)</f>
        <v>2</v>
      </c>
      <c r="AO740" s="14">
        <f>INDEX(挂机升级突破!DS$6:DS$57,卡牌消耗!$AT740)</f>
        <v>0</v>
      </c>
      <c r="AP740" s="14">
        <f>INDEX(挂机升级突破!$DP$6:$DP$57,卡牌消耗!AT740)</f>
        <v>38</v>
      </c>
      <c r="AQ740" s="14" t="str">
        <f t="shared" si="401"/>
        <v>于禁</v>
      </c>
      <c r="AR740" s="14">
        <f t="shared" si="402"/>
        <v>2</v>
      </c>
      <c r="AS740" s="14" t="str">
        <f t="shared" si="403"/>
        <v>于禁魂火-8</v>
      </c>
      <c r="AT740" s="14">
        <f t="shared" si="404"/>
        <v>8</v>
      </c>
      <c r="AU740" s="14" t="str">
        <f>IF(AM740&gt;0,INDEX(挂机升级突破!$DT$4:$ED$4,AM740),"")</f>
        <v>金币</v>
      </c>
      <c r="AV740" s="14">
        <f>ROUND(INDEX(挂机升级突破!$DJ$6:$DJ$57,卡牌消耗!AT740)*INDEX(卡牌消耗!$B$8:$F$8,AR740)/$Q$4/50,0)*50</f>
        <v>1350</v>
      </c>
      <c r="AW740" s="14" t="str">
        <f>IF(AN740&gt;0,INDEX(挂机升级突破!$DT$4:$ED$4,AN740),"")</f>
        <v>蓝色基础材料</v>
      </c>
      <c r="AX740" s="14">
        <f>ROUND(INDEX(挂机升级突破!$DT$6:$ED$57,卡牌消耗!AT740,AN740)*INDEX(卡牌消耗!$B$5:$F$5,AR740)/$Q$4/5,0)*5</f>
        <v>45</v>
      </c>
      <c r="AY740" s="14" t="str">
        <f>IF(AO740&gt;0,INDEX(挂机升级突破!$DT$4:$ED$4,AO740),"")</f>
        <v/>
      </c>
      <c r="AZ740" s="14" t="str">
        <f>IF(AO740&gt;0,ROUND(INDEX(挂机升级突破!$DT$6:$ED$57,卡牌消耗!AT740,AO740)*INDEX(卡牌消耗!$B$7:$F$7,AR740)/$Q$4,0),"")</f>
        <v/>
      </c>
    </row>
    <row r="741" spans="37:52" ht="16.5" x14ac:dyDescent="0.2">
      <c r="AK741" s="104">
        <v>737</v>
      </c>
      <c r="AL741" s="14">
        <f t="shared" si="400"/>
        <v>15</v>
      </c>
      <c r="AM741" s="14">
        <f>INDEX(挂机升级突破!DQ$6:DQ$57,卡牌消耗!$AT741)</f>
        <v>11</v>
      </c>
      <c r="AN741" s="14">
        <f>INDEX(挂机升级突破!DR$6:DR$57,卡牌消耗!$AT741)</f>
        <v>2</v>
      </c>
      <c r="AO741" s="14">
        <f>INDEX(挂机升级突破!DS$6:DS$57,卡牌消耗!$AT741)</f>
        <v>0</v>
      </c>
      <c r="AP741" s="14">
        <f>INDEX(挂机升级突破!$DP$6:$DP$57,卡牌消耗!AT741)</f>
        <v>40</v>
      </c>
      <c r="AQ741" s="14" t="str">
        <f t="shared" si="401"/>
        <v>于禁</v>
      </c>
      <c r="AR741" s="14">
        <f t="shared" si="402"/>
        <v>2</v>
      </c>
      <c r="AS741" s="14" t="str">
        <f t="shared" si="403"/>
        <v>于禁魂火-9</v>
      </c>
      <c r="AT741" s="14">
        <f t="shared" si="404"/>
        <v>9</v>
      </c>
      <c r="AU741" s="14" t="str">
        <f>IF(AM741&gt;0,INDEX(挂机升级突破!$DT$4:$ED$4,AM741),"")</f>
        <v>金币</v>
      </c>
      <c r="AV741" s="14">
        <f>ROUND(INDEX(挂机升级突破!$DJ$6:$DJ$57,卡牌消耗!AT741)*INDEX(卡牌消耗!$B$8:$F$8,AR741)/$Q$4/50,0)*50</f>
        <v>1350</v>
      </c>
      <c r="AW741" s="14" t="str">
        <f>IF(AN741&gt;0,INDEX(挂机升级突破!$DT$4:$ED$4,AN741),"")</f>
        <v>蓝色基础材料</v>
      </c>
      <c r="AX741" s="14">
        <f>ROUND(INDEX(挂机升级突破!$DT$6:$ED$57,卡牌消耗!AT741,AN741)*INDEX(卡牌消耗!$B$5:$F$5,AR741)/$Q$4/5,0)*5</f>
        <v>45</v>
      </c>
      <c r="AY741" s="14" t="str">
        <f>IF(AO741&gt;0,INDEX(挂机升级突破!$DT$4:$ED$4,AO741),"")</f>
        <v/>
      </c>
      <c r="AZ741" s="14" t="str">
        <f>IF(AO741&gt;0,ROUND(INDEX(挂机升级突破!$DT$6:$ED$57,卡牌消耗!AT741,AO741)*INDEX(卡牌消耗!$B$7:$F$7,AR741)/$Q$4,0),"")</f>
        <v/>
      </c>
    </row>
    <row r="742" spans="37:52" ht="16.5" x14ac:dyDescent="0.2">
      <c r="AK742" s="104">
        <v>738</v>
      </c>
      <c r="AL742" s="14">
        <f t="shared" si="400"/>
        <v>15</v>
      </c>
      <c r="AM742" s="14">
        <f>INDEX(挂机升级突破!DQ$6:DQ$57,卡牌消耗!$AT742)</f>
        <v>11</v>
      </c>
      <c r="AN742" s="14">
        <f>INDEX(挂机升级突破!DR$6:DR$57,卡牌消耗!$AT742)</f>
        <v>2</v>
      </c>
      <c r="AO742" s="14">
        <f>INDEX(挂机升级突破!DS$6:DS$57,卡牌消耗!$AT742)</f>
        <v>0</v>
      </c>
      <c r="AP742" s="14">
        <f>INDEX(挂机升级突破!$DP$6:$DP$57,卡牌消耗!AT742)</f>
        <v>43</v>
      </c>
      <c r="AQ742" s="14" t="str">
        <f t="shared" si="401"/>
        <v>于禁</v>
      </c>
      <c r="AR742" s="14">
        <f t="shared" si="402"/>
        <v>2</v>
      </c>
      <c r="AS742" s="14" t="str">
        <f t="shared" si="403"/>
        <v>于禁魂火-10</v>
      </c>
      <c r="AT742" s="14">
        <f t="shared" si="404"/>
        <v>10</v>
      </c>
      <c r="AU742" s="14" t="str">
        <f>IF(AM742&gt;0,INDEX(挂机升级突破!$DT$4:$ED$4,AM742),"")</f>
        <v>金币</v>
      </c>
      <c r="AV742" s="14">
        <f>ROUND(INDEX(挂机升级突破!$DJ$6:$DJ$57,卡牌消耗!AT742)*INDEX(卡牌消耗!$B$8:$F$8,AR742)/$Q$4/50,0)*50</f>
        <v>2250</v>
      </c>
      <c r="AW742" s="14" t="str">
        <f>IF(AN742&gt;0,INDEX(挂机升级突破!$DT$4:$ED$4,AN742),"")</f>
        <v>蓝色基础材料</v>
      </c>
      <c r="AX742" s="14">
        <f>ROUND(INDEX(挂机升级突破!$DT$6:$ED$57,卡牌消耗!AT742,AN742)*INDEX(卡牌消耗!$B$5:$F$5,AR742)/$Q$4/5,0)*5</f>
        <v>70</v>
      </c>
      <c r="AY742" s="14" t="str">
        <f>IF(AO742&gt;0,INDEX(挂机升级突破!$DT$4:$ED$4,AO742),"")</f>
        <v/>
      </c>
      <c r="AZ742" s="14" t="str">
        <f>IF(AO742&gt;0,ROUND(INDEX(挂机升级突破!$DT$6:$ED$57,卡牌消耗!AT742,AO742)*INDEX(卡牌消耗!$B$7:$F$7,AR742)/$Q$4,0),"")</f>
        <v/>
      </c>
    </row>
    <row r="743" spans="37:52" ht="16.5" x14ac:dyDescent="0.2">
      <c r="AK743" s="104">
        <v>739</v>
      </c>
      <c r="AL743" s="14">
        <f t="shared" si="400"/>
        <v>15</v>
      </c>
      <c r="AM743" s="14">
        <f>INDEX(挂机升级突破!DQ$6:DQ$57,卡牌消耗!$AT743)</f>
        <v>11</v>
      </c>
      <c r="AN743" s="14">
        <f>INDEX(挂机升级突破!DR$6:DR$57,卡牌消耗!$AT743)</f>
        <v>2</v>
      </c>
      <c r="AO743" s="14">
        <f>INDEX(挂机升级突破!DS$6:DS$57,卡牌消耗!$AT743)</f>
        <v>0</v>
      </c>
      <c r="AP743" s="14">
        <f>INDEX(挂机升级突破!$DP$6:$DP$57,卡牌消耗!AT743)</f>
        <v>45</v>
      </c>
      <c r="AQ743" s="14" t="str">
        <f t="shared" si="401"/>
        <v>于禁</v>
      </c>
      <c r="AR743" s="14">
        <f t="shared" si="402"/>
        <v>2</v>
      </c>
      <c r="AS743" s="14" t="str">
        <f t="shared" si="403"/>
        <v>于禁魂火-11</v>
      </c>
      <c r="AT743" s="14">
        <f t="shared" si="404"/>
        <v>11</v>
      </c>
      <c r="AU743" s="14" t="str">
        <f>IF(AM743&gt;0,INDEX(挂机升级突破!$DT$4:$ED$4,AM743),"")</f>
        <v>金币</v>
      </c>
      <c r="AV743" s="14">
        <f>ROUND(INDEX(挂机升级突破!$DJ$6:$DJ$57,卡牌消耗!AT743)*INDEX(卡牌消耗!$B$8:$F$8,AR743)/$Q$4/50,0)*50</f>
        <v>2250</v>
      </c>
      <c r="AW743" s="14" t="str">
        <f>IF(AN743&gt;0,INDEX(挂机升级突破!$DT$4:$ED$4,AN743),"")</f>
        <v>蓝色基础材料</v>
      </c>
      <c r="AX743" s="14">
        <f>ROUND(INDEX(挂机升级突破!$DT$6:$ED$57,卡牌消耗!AT743,AN743)*INDEX(卡牌消耗!$B$5:$F$5,AR743)/$Q$4/5,0)*5</f>
        <v>70</v>
      </c>
      <c r="AY743" s="14" t="str">
        <f>IF(AO743&gt;0,INDEX(挂机升级突破!$DT$4:$ED$4,AO743),"")</f>
        <v/>
      </c>
      <c r="AZ743" s="14" t="str">
        <f>IF(AO743&gt;0,ROUND(INDEX(挂机升级突破!$DT$6:$ED$57,卡牌消耗!AT743,AO743)*INDEX(卡牌消耗!$B$7:$F$7,AR743)/$Q$4,0),"")</f>
        <v/>
      </c>
    </row>
    <row r="744" spans="37:52" ht="16.5" x14ac:dyDescent="0.2">
      <c r="AK744" s="104">
        <v>740</v>
      </c>
      <c r="AL744" s="14">
        <f t="shared" si="400"/>
        <v>15</v>
      </c>
      <c r="AM744" s="14">
        <f>INDEX(挂机升级突破!DQ$6:DQ$57,卡牌消耗!$AT744)</f>
        <v>11</v>
      </c>
      <c r="AN744" s="14">
        <f>INDEX(挂机升级突破!DR$6:DR$57,卡牌消耗!$AT744)</f>
        <v>2</v>
      </c>
      <c r="AO744" s="14">
        <f>INDEX(挂机升级突破!DS$6:DS$57,卡牌消耗!$AT744)</f>
        <v>0</v>
      </c>
      <c r="AP744" s="14">
        <f>INDEX(挂机升级突破!$DP$6:$DP$57,卡牌消耗!AT744)</f>
        <v>48</v>
      </c>
      <c r="AQ744" s="14" t="str">
        <f t="shared" si="401"/>
        <v>于禁</v>
      </c>
      <c r="AR744" s="14">
        <f t="shared" si="402"/>
        <v>2</v>
      </c>
      <c r="AS744" s="14" t="str">
        <f t="shared" si="403"/>
        <v>于禁魂火-12</v>
      </c>
      <c r="AT744" s="14">
        <f t="shared" si="404"/>
        <v>12</v>
      </c>
      <c r="AU744" s="14" t="str">
        <f>IF(AM744&gt;0,INDEX(挂机升级突破!$DT$4:$ED$4,AM744),"")</f>
        <v>金币</v>
      </c>
      <c r="AV744" s="14">
        <f>ROUND(INDEX(挂机升级突破!$DJ$6:$DJ$57,卡牌消耗!AT744)*INDEX(卡牌消耗!$B$8:$F$8,AR744)/$Q$4/50,0)*50</f>
        <v>1900</v>
      </c>
      <c r="AW744" s="14" t="str">
        <f>IF(AN744&gt;0,INDEX(挂机升级突破!$DT$4:$ED$4,AN744),"")</f>
        <v>蓝色基础材料</v>
      </c>
      <c r="AX744" s="14">
        <f>ROUND(INDEX(挂机升级突破!$DT$6:$ED$57,卡牌消耗!AT744,AN744)*INDEX(卡牌消耗!$B$5:$F$5,AR744)/$Q$4/5,0)*5</f>
        <v>90</v>
      </c>
      <c r="AY744" s="14" t="str">
        <f>IF(AO744&gt;0,INDEX(挂机升级突破!$DT$4:$ED$4,AO744),"")</f>
        <v/>
      </c>
      <c r="AZ744" s="14" t="str">
        <f>IF(AO744&gt;0,ROUND(INDEX(挂机升级突破!$DT$6:$ED$57,卡牌消耗!AT744,AO744)*INDEX(卡牌消耗!$B$7:$F$7,AR744)/$Q$4,0),"")</f>
        <v/>
      </c>
    </row>
    <row r="745" spans="37:52" ht="16.5" x14ac:dyDescent="0.2">
      <c r="AK745" s="104">
        <v>741</v>
      </c>
      <c r="AL745" s="14">
        <f t="shared" si="400"/>
        <v>15</v>
      </c>
      <c r="AM745" s="14">
        <f>INDEX(挂机升级突破!DQ$6:DQ$57,卡牌消耗!$AT745)</f>
        <v>11</v>
      </c>
      <c r="AN745" s="14">
        <f>INDEX(挂机升级突破!DR$6:DR$57,卡牌消耗!$AT745)</f>
        <v>2</v>
      </c>
      <c r="AO745" s="14">
        <f>INDEX(挂机升级突破!DS$6:DS$57,卡牌消耗!$AT745)</f>
        <v>0</v>
      </c>
      <c r="AP745" s="14">
        <f>INDEX(挂机升级突破!$DP$6:$DP$57,卡牌消耗!AT745)</f>
        <v>50</v>
      </c>
      <c r="AQ745" s="14" t="str">
        <f t="shared" si="401"/>
        <v>于禁</v>
      </c>
      <c r="AR745" s="14">
        <f t="shared" si="402"/>
        <v>2</v>
      </c>
      <c r="AS745" s="14" t="str">
        <f t="shared" si="403"/>
        <v>于禁魂火-13</v>
      </c>
      <c r="AT745" s="14">
        <f t="shared" si="404"/>
        <v>13</v>
      </c>
      <c r="AU745" s="14" t="str">
        <f>IF(AM745&gt;0,INDEX(挂机升级突破!$DT$4:$ED$4,AM745),"")</f>
        <v>金币</v>
      </c>
      <c r="AV745" s="14">
        <f>ROUND(INDEX(挂机升级突破!$DJ$6:$DJ$57,卡牌消耗!AT745)*INDEX(卡牌消耗!$B$8:$F$8,AR745)/$Q$4/50,0)*50</f>
        <v>1900</v>
      </c>
      <c r="AW745" s="14" t="str">
        <f>IF(AN745&gt;0,INDEX(挂机升级突破!$DT$4:$ED$4,AN745),"")</f>
        <v>蓝色基础材料</v>
      </c>
      <c r="AX745" s="14">
        <f>ROUND(INDEX(挂机升级突破!$DT$6:$ED$57,卡牌消耗!AT745,AN745)*INDEX(卡牌消耗!$B$5:$F$5,AR745)/$Q$4/5,0)*5</f>
        <v>90</v>
      </c>
      <c r="AY745" s="14" t="str">
        <f>IF(AO745&gt;0,INDEX(挂机升级突破!$DT$4:$ED$4,AO745),"")</f>
        <v/>
      </c>
      <c r="AZ745" s="14" t="str">
        <f>IF(AO745&gt;0,ROUND(INDEX(挂机升级突破!$DT$6:$ED$57,卡牌消耗!AT745,AO745)*INDEX(卡牌消耗!$B$7:$F$7,AR745)/$Q$4,0),"")</f>
        <v/>
      </c>
    </row>
    <row r="746" spans="37:52" ht="16.5" x14ac:dyDescent="0.2">
      <c r="AK746" s="104">
        <v>742</v>
      </c>
      <c r="AL746" s="14">
        <f t="shared" si="400"/>
        <v>15</v>
      </c>
      <c r="AM746" s="14">
        <f>INDEX(挂机升级突破!DQ$6:DQ$57,卡牌消耗!$AT746)</f>
        <v>11</v>
      </c>
      <c r="AN746" s="14">
        <f>INDEX(挂机升级突破!DR$6:DR$57,卡牌消耗!$AT746)</f>
        <v>3</v>
      </c>
      <c r="AO746" s="14">
        <f>INDEX(挂机升级突破!DS$6:DS$57,卡牌消耗!$AT746)</f>
        <v>0</v>
      </c>
      <c r="AP746" s="14">
        <f>INDEX(挂机升级突破!$DP$6:$DP$57,卡牌消耗!AT746)</f>
        <v>53</v>
      </c>
      <c r="AQ746" s="14" t="str">
        <f t="shared" si="401"/>
        <v>于禁</v>
      </c>
      <c r="AR746" s="14">
        <f t="shared" si="402"/>
        <v>2</v>
      </c>
      <c r="AS746" s="14" t="str">
        <f t="shared" si="403"/>
        <v>于禁魂火-14</v>
      </c>
      <c r="AT746" s="14">
        <f t="shared" si="404"/>
        <v>14</v>
      </c>
      <c r="AU746" s="14" t="str">
        <f>IF(AM746&gt;0,INDEX(挂机升级突破!$DT$4:$ED$4,AM746),"")</f>
        <v>金币</v>
      </c>
      <c r="AV746" s="14">
        <f>ROUND(INDEX(挂机升级突破!$DJ$6:$DJ$57,卡牌消耗!AT746)*INDEX(卡牌消耗!$B$8:$F$8,AR746)/$Q$4/50,0)*50</f>
        <v>2100</v>
      </c>
      <c r="AW746" s="14" t="str">
        <f>IF(AN746&gt;0,INDEX(挂机升级突破!$DT$4:$ED$4,AN746),"")</f>
        <v>紫色基础材料</v>
      </c>
      <c r="AX746" s="14">
        <f>ROUND(INDEX(挂机升级突破!$DT$6:$ED$57,卡牌消耗!AT746,AN746)*INDEX(卡牌消耗!$B$5:$F$5,AR746)/$Q$4/5,0)*5</f>
        <v>20</v>
      </c>
      <c r="AY746" s="14" t="str">
        <f>IF(AO746&gt;0,INDEX(挂机升级突破!$DT$4:$ED$4,AO746),"")</f>
        <v/>
      </c>
      <c r="AZ746" s="14" t="str">
        <f>IF(AO746&gt;0,ROUND(INDEX(挂机升级突破!$DT$6:$ED$57,卡牌消耗!AT746,AO746)*INDEX(卡牌消耗!$B$7:$F$7,AR746)/$Q$4,0),"")</f>
        <v/>
      </c>
    </row>
    <row r="747" spans="37:52" ht="16.5" x14ac:dyDescent="0.2">
      <c r="AK747" s="104">
        <v>743</v>
      </c>
      <c r="AL747" s="14">
        <f t="shared" si="400"/>
        <v>15</v>
      </c>
      <c r="AM747" s="14">
        <f>INDEX(挂机升级突破!DQ$6:DQ$57,卡牌消耗!$AT747)</f>
        <v>11</v>
      </c>
      <c r="AN747" s="14">
        <f>INDEX(挂机升级突破!DR$6:DR$57,卡牌消耗!$AT747)</f>
        <v>3</v>
      </c>
      <c r="AO747" s="14">
        <f>INDEX(挂机升级突破!DS$6:DS$57,卡牌消耗!$AT747)</f>
        <v>0</v>
      </c>
      <c r="AP747" s="14">
        <f>INDEX(挂机升级突破!$DP$6:$DP$57,卡牌消耗!AT747)</f>
        <v>55</v>
      </c>
      <c r="AQ747" s="14" t="str">
        <f t="shared" si="401"/>
        <v>于禁</v>
      </c>
      <c r="AR747" s="14">
        <f t="shared" si="402"/>
        <v>2</v>
      </c>
      <c r="AS747" s="14" t="str">
        <f t="shared" si="403"/>
        <v>于禁魂火-15</v>
      </c>
      <c r="AT747" s="14">
        <f t="shared" si="404"/>
        <v>15</v>
      </c>
      <c r="AU747" s="14" t="str">
        <f>IF(AM747&gt;0,INDEX(挂机升级突破!$DT$4:$ED$4,AM747),"")</f>
        <v>金币</v>
      </c>
      <c r="AV747" s="14">
        <f>ROUND(INDEX(挂机升级突破!$DJ$6:$DJ$57,卡牌消耗!AT747)*INDEX(卡牌消耗!$B$8:$F$8,AR747)/$Q$4/50,0)*50</f>
        <v>2300</v>
      </c>
      <c r="AW747" s="14" t="str">
        <f>IF(AN747&gt;0,INDEX(挂机升级突破!$DT$4:$ED$4,AN747),"")</f>
        <v>紫色基础材料</v>
      </c>
      <c r="AX747" s="14">
        <f>ROUND(INDEX(挂机升级突破!$DT$6:$ED$57,卡牌消耗!AT747,AN747)*INDEX(卡牌消耗!$B$5:$F$5,AR747)/$Q$4/5,0)*5</f>
        <v>20</v>
      </c>
      <c r="AY747" s="14" t="str">
        <f>IF(AO747&gt;0,INDEX(挂机升级突破!$DT$4:$ED$4,AO747),"")</f>
        <v/>
      </c>
      <c r="AZ747" s="14" t="str">
        <f>IF(AO747&gt;0,ROUND(INDEX(挂机升级突破!$DT$6:$ED$57,卡牌消耗!AT747,AO747)*INDEX(卡牌消耗!$B$7:$F$7,AR747)/$Q$4,0),"")</f>
        <v/>
      </c>
    </row>
    <row r="748" spans="37:52" ht="16.5" x14ac:dyDescent="0.2">
      <c r="AK748" s="104">
        <v>744</v>
      </c>
      <c r="AL748" s="14">
        <f t="shared" si="400"/>
        <v>15</v>
      </c>
      <c r="AM748" s="14">
        <f>INDEX(挂机升级突破!DQ$6:DQ$57,卡牌消耗!$AT748)</f>
        <v>11</v>
      </c>
      <c r="AN748" s="14">
        <f>INDEX(挂机升级突破!DR$6:DR$57,卡牌消耗!$AT748)</f>
        <v>3</v>
      </c>
      <c r="AO748" s="14">
        <f>INDEX(挂机升级突破!DS$6:DS$57,卡牌消耗!$AT748)</f>
        <v>0</v>
      </c>
      <c r="AP748" s="14">
        <f>INDEX(挂机升级突破!$DP$6:$DP$57,卡牌消耗!AT748)</f>
        <v>58</v>
      </c>
      <c r="AQ748" s="14" t="str">
        <f t="shared" si="401"/>
        <v>于禁</v>
      </c>
      <c r="AR748" s="14">
        <f t="shared" si="402"/>
        <v>2</v>
      </c>
      <c r="AS748" s="14" t="str">
        <f t="shared" si="403"/>
        <v>于禁魂火-16</v>
      </c>
      <c r="AT748" s="14">
        <f t="shared" si="404"/>
        <v>16</v>
      </c>
      <c r="AU748" s="14" t="str">
        <f>IF(AM748&gt;0,INDEX(挂机升级突破!$DT$4:$ED$4,AM748),"")</f>
        <v>金币</v>
      </c>
      <c r="AV748" s="14">
        <f>ROUND(INDEX(挂机升级突破!$DJ$6:$DJ$57,卡牌消耗!AT748)*INDEX(卡牌消耗!$B$8:$F$8,AR748)/$Q$4/50,0)*50</f>
        <v>2300</v>
      </c>
      <c r="AW748" s="14" t="str">
        <f>IF(AN748&gt;0,INDEX(挂机升级突破!$DT$4:$ED$4,AN748),"")</f>
        <v>紫色基础材料</v>
      </c>
      <c r="AX748" s="14">
        <f>ROUND(INDEX(挂机升级突破!$DT$6:$ED$57,卡牌消耗!AT748,AN748)*INDEX(卡牌消耗!$B$5:$F$5,AR748)/$Q$4/5,0)*5</f>
        <v>20</v>
      </c>
      <c r="AY748" s="14" t="str">
        <f>IF(AO748&gt;0,INDEX(挂机升级突破!$DT$4:$ED$4,AO748),"")</f>
        <v/>
      </c>
      <c r="AZ748" s="14" t="str">
        <f>IF(AO748&gt;0,ROUND(INDEX(挂机升级突破!$DT$6:$ED$57,卡牌消耗!AT748,AO748)*INDEX(卡牌消耗!$B$7:$F$7,AR748)/$Q$4,0),"")</f>
        <v/>
      </c>
    </row>
    <row r="749" spans="37:52" ht="16.5" x14ac:dyDescent="0.2">
      <c r="AK749" s="104">
        <v>745</v>
      </c>
      <c r="AL749" s="14">
        <f t="shared" si="400"/>
        <v>15</v>
      </c>
      <c r="AM749" s="14">
        <f>INDEX(挂机升级突破!DQ$6:DQ$57,卡牌消耗!$AT749)</f>
        <v>11</v>
      </c>
      <c r="AN749" s="14">
        <f>INDEX(挂机升级突破!DR$6:DR$57,卡牌消耗!$AT749)</f>
        <v>3</v>
      </c>
      <c r="AO749" s="14">
        <f>INDEX(挂机升级突破!DS$6:DS$57,卡牌消耗!$AT749)</f>
        <v>0</v>
      </c>
      <c r="AP749" s="14">
        <f>INDEX(挂机升级突破!$DP$6:$DP$57,卡牌消耗!AT749)</f>
        <v>60</v>
      </c>
      <c r="AQ749" s="14" t="str">
        <f t="shared" si="401"/>
        <v>于禁</v>
      </c>
      <c r="AR749" s="14">
        <f t="shared" si="402"/>
        <v>2</v>
      </c>
      <c r="AS749" s="14" t="str">
        <f t="shared" si="403"/>
        <v>于禁魂火-17</v>
      </c>
      <c r="AT749" s="14">
        <f t="shared" si="404"/>
        <v>17</v>
      </c>
      <c r="AU749" s="14" t="str">
        <f>IF(AM749&gt;0,INDEX(挂机升级突破!$DT$4:$ED$4,AM749),"")</f>
        <v>金币</v>
      </c>
      <c r="AV749" s="14">
        <f>ROUND(INDEX(挂机升级突破!$DJ$6:$DJ$57,卡牌消耗!AT749)*INDEX(卡牌消耗!$B$8:$F$8,AR749)/$Q$4/50,0)*50</f>
        <v>2850</v>
      </c>
      <c r="AW749" s="14" t="str">
        <f>IF(AN749&gt;0,INDEX(挂机升级突破!$DT$4:$ED$4,AN749),"")</f>
        <v>紫色基础材料</v>
      </c>
      <c r="AX749" s="14">
        <f>ROUND(INDEX(挂机升级突破!$DT$6:$ED$57,卡牌消耗!AT749,AN749)*INDEX(卡牌消耗!$B$5:$F$5,AR749)/$Q$4/5,0)*5</f>
        <v>35</v>
      </c>
      <c r="AY749" s="14" t="str">
        <f>IF(AO749&gt;0,INDEX(挂机升级突破!$DT$4:$ED$4,AO749),"")</f>
        <v/>
      </c>
      <c r="AZ749" s="14" t="str">
        <f>IF(AO749&gt;0,ROUND(INDEX(挂机升级突破!$DT$6:$ED$57,卡牌消耗!AT749,AO749)*INDEX(卡牌消耗!$B$7:$F$7,AR749)/$Q$4,0),"")</f>
        <v/>
      </c>
    </row>
    <row r="750" spans="37:52" ht="16.5" x14ac:dyDescent="0.2">
      <c r="AK750" s="104">
        <v>746</v>
      </c>
      <c r="AL750" s="14">
        <f t="shared" si="400"/>
        <v>15</v>
      </c>
      <c r="AM750" s="14">
        <f>INDEX(挂机升级突破!DQ$6:DQ$57,卡牌消耗!$AT750)</f>
        <v>11</v>
      </c>
      <c r="AN750" s="14">
        <f>INDEX(挂机升级突破!DR$6:DR$57,卡牌消耗!$AT750)</f>
        <v>3</v>
      </c>
      <c r="AO750" s="14">
        <f>INDEX(挂机升级突破!DS$6:DS$57,卡牌消耗!$AT750)</f>
        <v>0</v>
      </c>
      <c r="AP750" s="14">
        <f>INDEX(挂机升级突破!$DP$6:$DP$57,卡牌消耗!AT750)</f>
        <v>63</v>
      </c>
      <c r="AQ750" s="14" t="str">
        <f t="shared" si="401"/>
        <v>于禁</v>
      </c>
      <c r="AR750" s="14">
        <f t="shared" si="402"/>
        <v>2</v>
      </c>
      <c r="AS750" s="14" t="str">
        <f t="shared" si="403"/>
        <v>于禁魂火-18</v>
      </c>
      <c r="AT750" s="14">
        <f t="shared" si="404"/>
        <v>18</v>
      </c>
      <c r="AU750" s="14" t="str">
        <f>IF(AM750&gt;0,INDEX(挂机升级突破!$DT$4:$ED$4,AM750),"")</f>
        <v>金币</v>
      </c>
      <c r="AV750" s="14">
        <f>ROUND(INDEX(挂机升级突破!$DJ$6:$DJ$57,卡牌消耗!AT750)*INDEX(卡牌消耗!$B$8:$F$8,AR750)/$Q$4/50,0)*50</f>
        <v>2850</v>
      </c>
      <c r="AW750" s="14" t="str">
        <f>IF(AN750&gt;0,INDEX(挂机升级突破!$DT$4:$ED$4,AN750),"")</f>
        <v>紫色基础材料</v>
      </c>
      <c r="AX750" s="14">
        <f>ROUND(INDEX(挂机升级突破!$DT$6:$ED$57,卡牌消耗!AT750,AN750)*INDEX(卡牌消耗!$B$5:$F$5,AR750)/$Q$4/5,0)*5</f>
        <v>35</v>
      </c>
      <c r="AY750" s="14" t="str">
        <f>IF(AO750&gt;0,INDEX(挂机升级突破!$DT$4:$ED$4,AO750),"")</f>
        <v/>
      </c>
      <c r="AZ750" s="14" t="str">
        <f>IF(AO750&gt;0,ROUND(INDEX(挂机升级突破!$DT$6:$ED$57,卡牌消耗!AT750,AO750)*INDEX(卡牌消耗!$B$7:$F$7,AR750)/$Q$4,0),"")</f>
        <v/>
      </c>
    </row>
    <row r="751" spans="37:52" ht="16.5" x14ac:dyDescent="0.2">
      <c r="AK751" s="104">
        <v>747</v>
      </c>
      <c r="AL751" s="14">
        <f t="shared" si="400"/>
        <v>15</v>
      </c>
      <c r="AM751" s="14">
        <f>INDEX(挂机升级突破!DQ$6:DQ$57,卡牌消耗!$AT751)</f>
        <v>11</v>
      </c>
      <c r="AN751" s="14">
        <f>INDEX(挂机升级突破!DR$6:DR$57,卡牌消耗!$AT751)</f>
        <v>3</v>
      </c>
      <c r="AO751" s="14">
        <f>INDEX(挂机升级突破!DS$6:DS$57,卡牌消耗!$AT751)</f>
        <v>0</v>
      </c>
      <c r="AP751" s="14">
        <f>INDEX(挂机升级突破!$DP$6:$DP$57,卡牌消耗!AT751)</f>
        <v>65</v>
      </c>
      <c r="AQ751" s="14" t="str">
        <f t="shared" si="401"/>
        <v>于禁</v>
      </c>
      <c r="AR751" s="14">
        <f t="shared" si="402"/>
        <v>2</v>
      </c>
      <c r="AS751" s="14" t="str">
        <f t="shared" si="403"/>
        <v>于禁魂火-19</v>
      </c>
      <c r="AT751" s="14">
        <f t="shared" si="404"/>
        <v>19</v>
      </c>
      <c r="AU751" s="14" t="str">
        <f>IF(AM751&gt;0,INDEX(挂机升级突破!$DT$4:$ED$4,AM751),"")</f>
        <v>金币</v>
      </c>
      <c r="AV751" s="14">
        <f>ROUND(INDEX(挂机升级突破!$DJ$6:$DJ$57,卡牌消耗!AT751)*INDEX(卡牌消耗!$B$8:$F$8,AR751)/$Q$4/50,0)*50</f>
        <v>2850</v>
      </c>
      <c r="AW751" s="14" t="str">
        <f>IF(AN751&gt;0,INDEX(挂机升级突破!$DT$4:$ED$4,AN751),"")</f>
        <v>紫色基础材料</v>
      </c>
      <c r="AX751" s="14">
        <f>ROUND(INDEX(挂机升级突破!$DT$6:$ED$57,卡牌消耗!AT751,AN751)*INDEX(卡牌消耗!$B$5:$F$5,AR751)/$Q$4/5,0)*5</f>
        <v>35</v>
      </c>
      <c r="AY751" s="14" t="str">
        <f>IF(AO751&gt;0,INDEX(挂机升级突破!$DT$4:$ED$4,AO751),"")</f>
        <v/>
      </c>
      <c r="AZ751" s="14" t="str">
        <f>IF(AO751&gt;0,ROUND(INDEX(挂机升级突破!$DT$6:$ED$57,卡牌消耗!AT751,AO751)*INDEX(卡牌消耗!$B$7:$F$7,AR751)/$Q$4,0),"")</f>
        <v/>
      </c>
    </row>
    <row r="752" spans="37:52" ht="16.5" x14ac:dyDescent="0.2">
      <c r="AK752" s="104">
        <v>748</v>
      </c>
      <c r="AL752" s="14">
        <f t="shared" si="400"/>
        <v>15</v>
      </c>
      <c r="AM752" s="14">
        <f>INDEX(挂机升级突破!DQ$6:DQ$57,卡牌消耗!$AT752)</f>
        <v>11</v>
      </c>
      <c r="AN752" s="14">
        <f>INDEX(挂机升级突破!DR$6:DR$57,卡牌消耗!$AT752)</f>
        <v>3</v>
      </c>
      <c r="AO752" s="14">
        <f>INDEX(挂机升级突破!DS$6:DS$57,卡牌消耗!$AT752)</f>
        <v>0</v>
      </c>
      <c r="AP752" s="14">
        <f>INDEX(挂机升级突破!$DP$6:$DP$57,卡牌消耗!AT752)</f>
        <v>68</v>
      </c>
      <c r="AQ752" s="14" t="str">
        <f t="shared" si="401"/>
        <v>于禁</v>
      </c>
      <c r="AR752" s="14">
        <f t="shared" si="402"/>
        <v>2</v>
      </c>
      <c r="AS752" s="14" t="str">
        <f t="shared" si="403"/>
        <v>于禁魂火-20</v>
      </c>
      <c r="AT752" s="14">
        <f t="shared" si="404"/>
        <v>20</v>
      </c>
      <c r="AU752" s="14" t="str">
        <f>IF(AM752&gt;0,INDEX(挂机升级突破!$DT$4:$ED$4,AM752),"")</f>
        <v>金币</v>
      </c>
      <c r="AV752" s="14">
        <f>ROUND(INDEX(挂机升级突破!$DJ$6:$DJ$57,卡牌消耗!AT752)*INDEX(卡牌消耗!$B$8:$F$8,AR752)/$Q$4/50,0)*50</f>
        <v>3500</v>
      </c>
      <c r="AW752" s="14" t="str">
        <f>IF(AN752&gt;0,INDEX(挂机升级突破!$DT$4:$ED$4,AN752),"")</f>
        <v>紫色基础材料</v>
      </c>
      <c r="AX752" s="14">
        <f>ROUND(INDEX(挂机升级突破!$DT$6:$ED$57,卡牌消耗!AT752,AN752)*INDEX(卡牌消耗!$B$5:$F$5,AR752)/$Q$4/5,0)*5</f>
        <v>55</v>
      </c>
      <c r="AY752" s="14" t="str">
        <f>IF(AO752&gt;0,INDEX(挂机升级突破!$DT$4:$ED$4,AO752),"")</f>
        <v/>
      </c>
      <c r="AZ752" s="14" t="str">
        <f>IF(AO752&gt;0,ROUND(INDEX(挂机升级突破!$DT$6:$ED$57,卡牌消耗!AT752,AO752)*INDEX(卡牌消耗!$B$7:$F$7,AR752)/$Q$4,0),"")</f>
        <v/>
      </c>
    </row>
    <row r="753" spans="37:52" ht="16.5" x14ac:dyDescent="0.2">
      <c r="AK753" s="104">
        <v>749</v>
      </c>
      <c r="AL753" s="14">
        <f t="shared" si="400"/>
        <v>15</v>
      </c>
      <c r="AM753" s="14">
        <f>INDEX(挂机升级突破!DQ$6:DQ$57,卡牌消耗!$AT753)</f>
        <v>11</v>
      </c>
      <c r="AN753" s="14">
        <f>INDEX(挂机升级突破!DR$6:DR$57,卡牌消耗!$AT753)</f>
        <v>3</v>
      </c>
      <c r="AO753" s="14">
        <f>INDEX(挂机升级突破!DS$6:DS$57,卡牌消耗!$AT753)</f>
        <v>0</v>
      </c>
      <c r="AP753" s="14">
        <f>INDEX(挂机升级突破!$DP$6:$DP$57,卡牌消耗!AT753)</f>
        <v>70</v>
      </c>
      <c r="AQ753" s="14" t="str">
        <f t="shared" si="401"/>
        <v>于禁</v>
      </c>
      <c r="AR753" s="14">
        <f t="shared" si="402"/>
        <v>2</v>
      </c>
      <c r="AS753" s="14" t="str">
        <f t="shared" si="403"/>
        <v>于禁魂火-21</v>
      </c>
      <c r="AT753" s="14">
        <f t="shared" si="404"/>
        <v>21</v>
      </c>
      <c r="AU753" s="14" t="str">
        <f>IF(AM753&gt;0,INDEX(挂机升级突破!$DT$4:$ED$4,AM753),"")</f>
        <v>金币</v>
      </c>
      <c r="AV753" s="14">
        <f>ROUND(INDEX(挂机升级突破!$DJ$6:$DJ$57,卡牌消耗!AT753)*INDEX(卡牌消耗!$B$8:$F$8,AR753)/$Q$4/50,0)*50</f>
        <v>3500</v>
      </c>
      <c r="AW753" s="14" t="str">
        <f>IF(AN753&gt;0,INDEX(挂机升级突破!$DT$4:$ED$4,AN753),"")</f>
        <v>紫色基础材料</v>
      </c>
      <c r="AX753" s="14">
        <f>ROUND(INDEX(挂机升级突破!$DT$6:$ED$57,卡牌消耗!AT753,AN753)*INDEX(卡牌消耗!$B$5:$F$5,AR753)/$Q$4/5,0)*5</f>
        <v>55</v>
      </c>
      <c r="AY753" s="14" t="str">
        <f>IF(AO753&gt;0,INDEX(挂机升级突破!$DT$4:$ED$4,AO753),"")</f>
        <v/>
      </c>
      <c r="AZ753" s="14" t="str">
        <f>IF(AO753&gt;0,ROUND(INDEX(挂机升级突破!$DT$6:$ED$57,卡牌消耗!AT753,AO753)*INDEX(卡牌消耗!$B$7:$F$7,AR753)/$Q$4,0),"")</f>
        <v/>
      </c>
    </row>
    <row r="754" spans="37:52" ht="16.5" x14ac:dyDescent="0.2">
      <c r="AK754" s="104">
        <v>750</v>
      </c>
      <c r="AL754" s="14">
        <f t="shared" si="400"/>
        <v>15</v>
      </c>
      <c r="AM754" s="14">
        <f>INDEX(挂机升级突破!DQ$6:DQ$57,卡牌消耗!$AT754)</f>
        <v>11</v>
      </c>
      <c r="AN754" s="14">
        <f>INDEX(挂机升级突破!DR$6:DR$57,卡牌消耗!$AT754)</f>
        <v>3</v>
      </c>
      <c r="AO754" s="14">
        <f>INDEX(挂机升级突破!DS$6:DS$57,卡牌消耗!$AT754)</f>
        <v>0</v>
      </c>
      <c r="AP754" s="14">
        <f>INDEX(挂机升级突破!$DP$6:$DP$57,卡牌消耗!AT754)</f>
        <v>73</v>
      </c>
      <c r="AQ754" s="14" t="str">
        <f t="shared" si="401"/>
        <v>于禁</v>
      </c>
      <c r="AR754" s="14">
        <f t="shared" si="402"/>
        <v>2</v>
      </c>
      <c r="AS754" s="14" t="str">
        <f t="shared" si="403"/>
        <v>于禁魂火-22</v>
      </c>
      <c r="AT754" s="14">
        <f t="shared" si="404"/>
        <v>22</v>
      </c>
      <c r="AU754" s="14" t="str">
        <f>IF(AM754&gt;0,INDEX(挂机升级突破!$DT$4:$ED$4,AM754),"")</f>
        <v>金币</v>
      </c>
      <c r="AV754" s="14">
        <f>ROUND(INDEX(挂机升级突破!$DJ$6:$DJ$57,卡牌消耗!AT754)*INDEX(卡牌消耗!$B$8:$F$8,AR754)/$Q$4/50,0)*50</f>
        <v>3500</v>
      </c>
      <c r="AW754" s="14" t="str">
        <f>IF(AN754&gt;0,INDEX(挂机升级突破!$DT$4:$ED$4,AN754),"")</f>
        <v>紫色基础材料</v>
      </c>
      <c r="AX754" s="14">
        <f>ROUND(INDEX(挂机升级突破!$DT$6:$ED$57,卡牌消耗!AT754,AN754)*INDEX(卡牌消耗!$B$5:$F$5,AR754)/$Q$4/5,0)*5</f>
        <v>55</v>
      </c>
      <c r="AY754" s="14" t="str">
        <f>IF(AO754&gt;0,INDEX(挂机升级突破!$DT$4:$ED$4,AO754),"")</f>
        <v/>
      </c>
      <c r="AZ754" s="14" t="str">
        <f>IF(AO754&gt;0,ROUND(INDEX(挂机升级突破!$DT$6:$ED$57,卡牌消耗!AT754,AO754)*INDEX(卡牌消耗!$B$7:$F$7,AR754)/$Q$4,0),"")</f>
        <v/>
      </c>
    </row>
    <row r="755" spans="37:52" ht="16.5" x14ac:dyDescent="0.2">
      <c r="AK755" s="104">
        <v>751</v>
      </c>
      <c r="AL755" s="14">
        <f t="shared" si="400"/>
        <v>15</v>
      </c>
      <c r="AM755" s="14">
        <f>INDEX(挂机升级突破!DQ$6:DQ$57,卡牌消耗!$AT755)</f>
        <v>11</v>
      </c>
      <c r="AN755" s="14">
        <f>INDEX(挂机升级突破!DR$6:DR$57,卡牌消耗!$AT755)</f>
        <v>4</v>
      </c>
      <c r="AO755" s="14">
        <f>INDEX(挂机升级突破!DS$6:DS$57,卡牌消耗!$AT755)</f>
        <v>0</v>
      </c>
      <c r="AP755" s="14">
        <f>INDEX(挂机升级突破!$DP$6:$DP$57,卡牌消耗!AT755)</f>
        <v>75</v>
      </c>
      <c r="AQ755" s="14" t="str">
        <f t="shared" si="401"/>
        <v>于禁</v>
      </c>
      <c r="AR755" s="14">
        <f t="shared" si="402"/>
        <v>2</v>
      </c>
      <c r="AS755" s="14" t="str">
        <f t="shared" si="403"/>
        <v>于禁魂火-23</v>
      </c>
      <c r="AT755" s="14">
        <f t="shared" si="404"/>
        <v>23</v>
      </c>
      <c r="AU755" s="14" t="str">
        <f>IF(AM755&gt;0,INDEX(挂机升级突破!$DT$4:$ED$4,AM755),"")</f>
        <v>金币</v>
      </c>
      <c r="AV755" s="14">
        <f>ROUND(INDEX(挂机升级突破!$DJ$6:$DJ$57,卡牌消耗!AT755)*INDEX(卡牌消耗!$B$8:$F$8,AR755)/$Q$4/50,0)*50</f>
        <v>4850</v>
      </c>
      <c r="AW755" s="14" t="str">
        <f>IF(AN755&gt;0,INDEX(挂机升级突破!$DT$4:$ED$4,AN755),"")</f>
        <v>橙色基础材料</v>
      </c>
      <c r="AX755" s="14">
        <f>ROUND(INDEX(挂机升级突破!$DT$6:$ED$57,卡牌消耗!AT755,AN755)*INDEX(卡牌消耗!$B$5:$F$5,AR755)/$Q$4/5,0)*5</f>
        <v>15</v>
      </c>
      <c r="AY755" s="14" t="str">
        <f>IF(AO755&gt;0,INDEX(挂机升级突破!$DT$4:$ED$4,AO755),"")</f>
        <v/>
      </c>
      <c r="AZ755" s="14" t="str">
        <f>IF(AO755&gt;0,ROUND(INDEX(挂机升级突破!$DT$6:$ED$57,卡牌消耗!AT755,AO755)*INDEX(卡牌消耗!$B$7:$F$7,AR755)/$Q$4,0),"")</f>
        <v/>
      </c>
    </row>
    <row r="756" spans="37:52" ht="16.5" x14ac:dyDescent="0.2">
      <c r="AK756" s="104">
        <v>752</v>
      </c>
      <c r="AL756" s="14">
        <f t="shared" si="400"/>
        <v>15</v>
      </c>
      <c r="AM756" s="14">
        <f>INDEX(挂机升级突破!DQ$6:DQ$57,卡牌消耗!$AT756)</f>
        <v>11</v>
      </c>
      <c r="AN756" s="14">
        <f>INDEX(挂机升级突破!DR$6:DR$57,卡牌消耗!$AT756)</f>
        <v>4</v>
      </c>
      <c r="AO756" s="14">
        <f>INDEX(挂机升级突破!DS$6:DS$57,卡牌消耗!$AT756)</f>
        <v>0</v>
      </c>
      <c r="AP756" s="14">
        <f>INDEX(挂机升级突破!$DP$6:$DP$57,卡牌消耗!AT756)</f>
        <v>78</v>
      </c>
      <c r="AQ756" s="14" t="str">
        <f t="shared" si="401"/>
        <v>于禁</v>
      </c>
      <c r="AR756" s="14">
        <f t="shared" si="402"/>
        <v>2</v>
      </c>
      <c r="AS756" s="14" t="str">
        <f t="shared" si="403"/>
        <v>于禁魂火-24</v>
      </c>
      <c r="AT756" s="14">
        <f t="shared" si="404"/>
        <v>24</v>
      </c>
      <c r="AU756" s="14" t="str">
        <f>IF(AM756&gt;0,INDEX(挂机升级突破!$DT$4:$ED$4,AM756),"")</f>
        <v>金币</v>
      </c>
      <c r="AV756" s="14">
        <f>ROUND(INDEX(挂机升级突破!$DJ$6:$DJ$57,卡牌消耗!AT756)*INDEX(卡牌消耗!$B$8:$F$8,AR756)/$Q$4/50,0)*50</f>
        <v>4850</v>
      </c>
      <c r="AW756" s="14" t="str">
        <f>IF(AN756&gt;0,INDEX(挂机升级突破!$DT$4:$ED$4,AN756),"")</f>
        <v>橙色基础材料</v>
      </c>
      <c r="AX756" s="14">
        <f>ROUND(INDEX(挂机升级突破!$DT$6:$ED$57,卡牌消耗!AT756,AN756)*INDEX(卡牌消耗!$B$5:$F$5,AR756)/$Q$4/5,0)*5</f>
        <v>15</v>
      </c>
      <c r="AY756" s="14" t="str">
        <f>IF(AO756&gt;0,INDEX(挂机升级突破!$DT$4:$ED$4,AO756),"")</f>
        <v/>
      </c>
      <c r="AZ756" s="14" t="str">
        <f>IF(AO756&gt;0,ROUND(INDEX(挂机升级突破!$DT$6:$ED$57,卡牌消耗!AT756,AO756)*INDEX(卡牌消耗!$B$7:$F$7,AR756)/$Q$4,0),"")</f>
        <v/>
      </c>
    </row>
    <row r="757" spans="37:52" ht="16.5" x14ac:dyDescent="0.2">
      <c r="AK757" s="104">
        <v>753</v>
      </c>
      <c r="AL757" s="14">
        <f t="shared" si="400"/>
        <v>15</v>
      </c>
      <c r="AM757" s="14">
        <f>INDEX(挂机升级突破!DQ$6:DQ$57,卡牌消耗!$AT757)</f>
        <v>11</v>
      </c>
      <c r="AN757" s="14">
        <f>INDEX(挂机升级突破!DR$6:DR$57,卡牌消耗!$AT757)</f>
        <v>4</v>
      </c>
      <c r="AO757" s="14">
        <f>INDEX(挂机升级突破!DS$6:DS$57,卡牌消耗!$AT757)</f>
        <v>0</v>
      </c>
      <c r="AP757" s="14">
        <f>INDEX(挂机升级突破!$DP$6:$DP$57,卡牌消耗!AT757)</f>
        <v>80</v>
      </c>
      <c r="AQ757" s="14" t="str">
        <f t="shared" si="401"/>
        <v>于禁</v>
      </c>
      <c r="AR757" s="14">
        <f t="shared" si="402"/>
        <v>2</v>
      </c>
      <c r="AS757" s="14" t="str">
        <f t="shared" si="403"/>
        <v>于禁魂火-25</v>
      </c>
      <c r="AT757" s="14">
        <f t="shared" si="404"/>
        <v>25</v>
      </c>
      <c r="AU757" s="14" t="str">
        <f>IF(AM757&gt;0,INDEX(挂机升级突破!$DT$4:$ED$4,AM757),"")</f>
        <v>金币</v>
      </c>
      <c r="AV757" s="14">
        <f>ROUND(INDEX(挂机升级突破!$DJ$6:$DJ$57,卡牌消耗!AT757)*INDEX(卡牌消耗!$B$8:$F$8,AR757)/$Q$4/50,0)*50</f>
        <v>5250</v>
      </c>
      <c r="AW757" s="14" t="str">
        <f>IF(AN757&gt;0,INDEX(挂机升级突破!$DT$4:$ED$4,AN757),"")</f>
        <v>橙色基础材料</v>
      </c>
      <c r="AX757" s="14">
        <f>ROUND(INDEX(挂机升级突破!$DT$6:$ED$57,卡牌消耗!AT757,AN757)*INDEX(卡牌消耗!$B$5:$F$5,AR757)/$Q$4/5,0)*5</f>
        <v>15</v>
      </c>
      <c r="AY757" s="14" t="str">
        <f>IF(AO757&gt;0,INDEX(挂机升级突破!$DT$4:$ED$4,AO757),"")</f>
        <v/>
      </c>
      <c r="AZ757" s="14" t="str">
        <f>IF(AO757&gt;0,ROUND(INDEX(挂机升级突破!$DT$6:$ED$57,卡牌消耗!AT757,AO757)*INDEX(卡牌消耗!$B$7:$F$7,AR757)/$Q$4,0),"")</f>
        <v/>
      </c>
    </row>
    <row r="758" spans="37:52" ht="16.5" x14ac:dyDescent="0.2">
      <c r="AK758" s="104">
        <v>754</v>
      </c>
      <c r="AL758" s="14">
        <f t="shared" si="400"/>
        <v>15</v>
      </c>
      <c r="AM758" s="14">
        <f>INDEX(挂机升级突破!DQ$6:DQ$57,卡牌消耗!$AT758)</f>
        <v>11</v>
      </c>
      <c r="AN758" s="14">
        <f>INDEX(挂机升级突破!DR$6:DR$57,卡牌消耗!$AT758)</f>
        <v>4</v>
      </c>
      <c r="AO758" s="14">
        <f>INDEX(挂机升级突破!DS$6:DS$57,卡牌消耗!$AT758)</f>
        <v>0</v>
      </c>
      <c r="AP758" s="14">
        <f>INDEX(挂机升级突破!$DP$6:$DP$57,卡牌消耗!AT758)</f>
        <v>83</v>
      </c>
      <c r="AQ758" s="14" t="str">
        <f t="shared" si="401"/>
        <v>于禁</v>
      </c>
      <c r="AR758" s="14">
        <f t="shared" si="402"/>
        <v>2</v>
      </c>
      <c r="AS758" s="14" t="str">
        <f t="shared" si="403"/>
        <v>于禁魂火-26</v>
      </c>
      <c r="AT758" s="14">
        <f t="shared" si="404"/>
        <v>26</v>
      </c>
      <c r="AU758" s="14" t="str">
        <f>IF(AM758&gt;0,INDEX(挂机升级突破!$DT$4:$ED$4,AM758),"")</f>
        <v>金币</v>
      </c>
      <c r="AV758" s="14">
        <f>ROUND(INDEX(挂机升级突破!$DJ$6:$DJ$57,卡牌消耗!AT758)*INDEX(卡牌消耗!$B$8:$F$8,AR758)/$Q$4/50,0)*50</f>
        <v>6150</v>
      </c>
      <c r="AW758" s="14" t="str">
        <f>IF(AN758&gt;0,INDEX(挂机升级突破!$DT$4:$ED$4,AN758),"")</f>
        <v>橙色基础材料</v>
      </c>
      <c r="AX758" s="14">
        <f>ROUND(INDEX(挂机升级突破!$DT$6:$ED$57,卡牌消耗!AT758,AN758)*INDEX(卡牌消耗!$B$5:$F$5,AR758)/$Q$4/5,0)*5</f>
        <v>20</v>
      </c>
      <c r="AY758" s="14" t="str">
        <f>IF(AO758&gt;0,INDEX(挂机升级突破!$DT$4:$ED$4,AO758),"")</f>
        <v/>
      </c>
      <c r="AZ758" s="14" t="str">
        <f>IF(AO758&gt;0,ROUND(INDEX(挂机升级突破!$DT$6:$ED$57,卡牌消耗!AT758,AO758)*INDEX(卡牌消耗!$B$7:$F$7,AR758)/$Q$4,0),"")</f>
        <v/>
      </c>
    </row>
    <row r="759" spans="37:52" ht="16.5" x14ac:dyDescent="0.2">
      <c r="AK759" s="104">
        <v>755</v>
      </c>
      <c r="AL759" s="14">
        <f t="shared" si="400"/>
        <v>15</v>
      </c>
      <c r="AM759" s="14">
        <f>INDEX(挂机升级突破!DQ$6:DQ$57,卡牌消耗!$AT759)</f>
        <v>11</v>
      </c>
      <c r="AN759" s="14">
        <f>INDEX(挂机升级突破!DR$6:DR$57,卡牌消耗!$AT759)</f>
        <v>4</v>
      </c>
      <c r="AO759" s="14">
        <f>INDEX(挂机升级突破!DS$6:DS$57,卡牌消耗!$AT759)</f>
        <v>0</v>
      </c>
      <c r="AP759" s="14">
        <f>INDEX(挂机升级突破!$DP$6:$DP$57,卡牌消耗!AT759)</f>
        <v>85</v>
      </c>
      <c r="AQ759" s="14" t="str">
        <f t="shared" si="401"/>
        <v>于禁</v>
      </c>
      <c r="AR759" s="14">
        <f t="shared" si="402"/>
        <v>2</v>
      </c>
      <c r="AS759" s="14" t="str">
        <f t="shared" si="403"/>
        <v>于禁魂火-27</v>
      </c>
      <c r="AT759" s="14">
        <f t="shared" si="404"/>
        <v>27</v>
      </c>
      <c r="AU759" s="14" t="str">
        <f>IF(AM759&gt;0,INDEX(挂机升级突破!$DT$4:$ED$4,AM759),"")</f>
        <v>金币</v>
      </c>
      <c r="AV759" s="14">
        <f>ROUND(INDEX(挂机升级突破!$DJ$6:$DJ$57,卡牌消耗!AT759)*INDEX(卡牌消耗!$B$8:$F$8,AR759)/$Q$4/50,0)*50</f>
        <v>6150</v>
      </c>
      <c r="AW759" s="14" t="str">
        <f>IF(AN759&gt;0,INDEX(挂机升级突破!$DT$4:$ED$4,AN759),"")</f>
        <v>橙色基础材料</v>
      </c>
      <c r="AX759" s="14">
        <f>ROUND(INDEX(挂机升级突破!$DT$6:$ED$57,卡牌消耗!AT759,AN759)*INDEX(卡牌消耗!$B$5:$F$5,AR759)/$Q$4/5,0)*5</f>
        <v>20</v>
      </c>
      <c r="AY759" s="14" t="str">
        <f>IF(AO759&gt;0,INDEX(挂机升级突破!$DT$4:$ED$4,AO759),"")</f>
        <v/>
      </c>
      <c r="AZ759" s="14" t="str">
        <f>IF(AO759&gt;0,ROUND(INDEX(挂机升级突破!$DT$6:$ED$57,卡牌消耗!AT759,AO759)*INDEX(卡牌消耗!$B$7:$F$7,AR759)/$Q$4,0),"")</f>
        <v/>
      </c>
    </row>
    <row r="760" spans="37:52" ht="16.5" x14ac:dyDescent="0.2">
      <c r="AK760" s="104">
        <v>756</v>
      </c>
      <c r="AL760" s="14">
        <f t="shared" si="400"/>
        <v>15</v>
      </c>
      <c r="AM760" s="14">
        <f>INDEX(挂机升级突破!DQ$6:DQ$57,卡牌消耗!$AT760)</f>
        <v>11</v>
      </c>
      <c r="AN760" s="14">
        <f>INDEX(挂机升级突破!DR$6:DR$57,卡牌消耗!$AT760)</f>
        <v>4</v>
      </c>
      <c r="AO760" s="14">
        <f>INDEX(挂机升级突破!DS$6:DS$57,卡牌消耗!$AT760)</f>
        <v>0</v>
      </c>
      <c r="AP760" s="14">
        <f>INDEX(挂机升级突破!$DP$6:$DP$57,卡牌消耗!AT760)</f>
        <v>88</v>
      </c>
      <c r="AQ760" s="14" t="str">
        <f t="shared" si="401"/>
        <v>于禁</v>
      </c>
      <c r="AR760" s="14">
        <f t="shared" si="402"/>
        <v>2</v>
      </c>
      <c r="AS760" s="14" t="str">
        <f t="shared" si="403"/>
        <v>于禁魂火-28</v>
      </c>
      <c r="AT760" s="14">
        <f t="shared" si="404"/>
        <v>28</v>
      </c>
      <c r="AU760" s="14" t="str">
        <f>IF(AM760&gt;0,INDEX(挂机升级突破!$DT$4:$ED$4,AM760),"")</f>
        <v>金币</v>
      </c>
      <c r="AV760" s="14">
        <f>ROUND(INDEX(挂机升级突破!$DJ$6:$DJ$57,卡牌消耗!AT760)*INDEX(卡牌消耗!$B$8:$F$8,AR760)/$Q$4/50,0)*50</f>
        <v>6150</v>
      </c>
      <c r="AW760" s="14" t="str">
        <f>IF(AN760&gt;0,INDEX(挂机升级突破!$DT$4:$ED$4,AN760),"")</f>
        <v>橙色基础材料</v>
      </c>
      <c r="AX760" s="14">
        <f>ROUND(INDEX(挂机升级突破!$DT$6:$ED$57,卡牌消耗!AT760,AN760)*INDEX(卡牌消耗!$B$5:$F$5,AR760)/$Q$4/5,0)*5</f>
        <v>20</v>
      </c>
      <c r="AY760" s="14" t="str">
        <f>IF(AO760&gt;0,INDEX(挂机升级突破!$DT$4:$ED$4,AO760),"")</f>
        <v/>
      </c>
      <c r="AZ760" s="14" t="str">
        <f>IF(AO760&gt;0,ROUND(INDEX(挂机升级突破!$DT$6:$ED$57,卡牌消耗!AT760,AO760)*INDEX(卡牌消耗!$B$7:$F$7,AR760)/$Q$4,0),"")</f>
        <v/>
      </c>
    </row>
    <row r="761" spans="37:52" ht="16.5" x14ac:dyDescent="0.2">
      <c r="AK761" s="104">
        <v>757</v>
      </c>
      <c r="AL761" s="14">
        <f t="shared" si="400"/>
        <v>15</v>
      </c>
      <c r="AM761" s="14">
        <f>INDEX(挂机升级突破!DQ$6:DQ$57,卡牌消耗!$AT761)</f>
        <v>11</v>
      </c>
      <c r="AN761" s="14">
        <f>INDEX(挂机升级突破!DR$6:DR$57,卡牌消耗!$AT761)</f>
        <v>4</v>
      </c>
      <c r="AO761" s="14">
        <f>INDEX(挂机升级突破!DS$6:DS$57,卡牌消耗!$AT761)</f>
        <v>0</v>
      </c>
      <c r="AP761" s="14">
        <f>INDEX(挂机升级突破!$DP$6:$DP$57,卡牌消耗!AT761)</f>
        <v>90</v>
      </c>
      <c r="AQ761" s="14" t="str">
        <f t="shared" si="401"/>
        <v>于禁</v>
      </c>
      <c r="AR761" s="14">
        <f t="shared" si="402"/>
        <v>2</v>
      </c>
      <c r="AS761" s="14" t="str">
        <f t="shared" si="403"/>
        <v>于禁魂火-29</v>
      </c>
      <c r="AT761" s="14">
        <f t="shared" si="404"/>
        <v>29</v>
      </c>
      <c r="AU761" s="14" t="str">
        <f>IF(AM761&gt;0,INDEX(挂机升级突破!$DT$4:$ED$4,AM761),"")</f>
        <v>金币</v>
      </c>
      <c r="AV761" s="14">
        <f>ROUND(INDEX(挂机升级突破!$DJ$6:$DJ$57,卡牌消耗!AT761)*INDEX(卡牌消耗!$B$8:$F$8,AR761)/$Q$4/50,0)*50</f>
        <v>6200</v>
      </c>
      <c r="AW761" s="14" t="str">
        <f>IF(AN761&gt;0,INDEX(挂机升级突破!$DT$4:$ED$4,AN761),"")</f>
        <v>橙色基础材料</v>
      </c>
      <c r="AX761" s="14">
        <f>ROUND(INDEX(挂机升级突破!$DT$6:$ED$57,卡牌消耗!AT761,AN761)*INDEX(卡牌消耗!$B$5:$F$5,AR761)/$Q$4/5,0)*5</f>
        <v>20</v>
      </c>
      <c r="AY761" s="14" t="str">
        <f>IF(AO761&gt;0,INDEX(挂机升级突破!$DT$4:$ED$4,AO761),"")</f>
        <v/>
      </c>
      <c r="AZ761" s="14" t="str">
        <f>IF(AO761&gt;0,ROUND(INDEX(挂机升级突破!$DT$6:$ED$57,卡牌消耗!AT761,AO761)*INDEX(卡牌消耗!$B$7:$F$7,AR761)/$Q$4,0),"")</f>
        <v/>
      </c>
    </row>
    <row r="762" spans="37:52" ht="16.5" x14ac:dyDescent="0.2">
      <c r="AK762" s="104">
        <v>758</v>
      </c>
      <c r="AL762" s="14">
        <f t="shared" si="400"/>
        <v>15</v>
      </c>
      <c r="AM762" s="14">
        <f>INDEX(挂机升级突破!DQ$6:DQ$57,卡牌消耗!$AT762)</f>
        <v>11</v>
      </c>
      <c r="AN762" s="14">
        <f>INDEX(挂机升级突破!DR$6:DR$57,卡牌消耗!$AT762)</f>
        <v>4</v>
      </c>
      <c r="AO762" s="14">
        <f>INDEX(挂机升级突破!DS$6:DS$57,卡牌消耗!$AT762)</f>
        <v>0</v>
      </c>
      <c r="AP762" s="14">
        <f>INDEX(挂机升级突破!$DP$6:$DP$57,卡牌消耗!AT762)</f>
        <v>93</v>
      </c>
      <c r="AQ762" s="14" t="str">
        <f t="shared" si="401"/>
        <v>于禁</v>
      </c>
      <c r="AR762" s="14">
        <f t="shared" si="402"/>
        <v>2</v>
      </c>
      <c r="AS762" s="14" t="str">
        <f t="shared" si="403"/>
        <v>于禁魂火-30</v>
      </c>
      <c r="AT762" s="14">
        <f t="shared" si="404"/>
        <v>30</v>
      </c>
      <c r="AU762" s="14" t="str">
        <f>IF(AM762&gt;0,INDEX(挂机升级突破!$DT$4:$ED$4,AM762),"")</f>
        <v>金币</v>
      </c>
      <c r="AV762" s="14">
        <f>ROUND(INDEX(挂机升级突破!$DJ$6:$DJ$57,卡牌消耗!AT762)*INDEX(卡牌消耗!$B$8:$F$8,AR762)/$Q$4/50,0)*50</f>
        <v>6200</v>
      </c>
      <c r="AW762" s="14" t="str">
        <f>IF(AN762&gt;0,INDEX(挂机升级突破!$DT$4:$ED$4,AN762),"")</f>
        <v>橙色基础材料</v>
      </c>
      <c r="AX762" s="14">
        <f>ROUND(INDEX(挂机升级突破!$DT$6:$ED$57,卡牌消耗!AT762,AN762)*INDEX(卡牌消耗!$B$5:$F$5,AR762)/$Q$4/5,0)*5</f>
        <v>20</v>
      </c>
      <c r="AY762" s="14" t="str">
        <f>IF(AO762&gt;0,INDEX(挂机升级突破!$DT$4:$ED$4,AO762),"")</f>
        <v/>
      </c>
      <c r="AZ762" s="14" t="str">
        <f>IF(AO762&gt;0,ROUND(INDEX(挂机升级突破!$DT$6:$ED$57,卡牌消耗!AT762,AO762)*INDEX(卡牌消耗!$B$7:$F$7,AR762)/$Q$4,0),"")</f>
        <v/>
      </c>
    </row>
    <row r="763" spans="37:52" ht="16.5" x14ac:dyDescent="0.2">
      <c r="AK763" s="104">
        <v>759</v>
      </c>
      <c r="AL763" s="14">
        <f t="shared" si="400"/>
        <v>15</v>
      </c>
      <c r="AM763" s="14">
        <f>INDEX(挂机升级突破!DQ$6:DQ$57,卡牌消耗!$AT763)</f>
        <v>11</v>
      </c>
      <c r="AN763" s="14">
        <f>INDEX(挂机升级突破!DR$6:DR$57,卡牌消耗!$AT763)</f>
        <v>4</v>
      </c>
      <c r="AO763" s="14">
        <f>INDEX(挂机升级突破!DS$6:DS$57,卡牌消耗!$AT763)</f>
        <v>0</v>
      </c>
      <c r="AP763" s="14">
        <f>INDEX(挂机升级突破!$DP$6:$DP$57,卡牌消耗!AT763)</f>
        <v>95</v>
      </c>
      <c r="AQ763" s="14" t="str">
        <f t="shared" si="401"/>
        <v>于禁</v>
      </c>
      <c r="AR763" s="14">
        <f t="shared" si="402"/>
        <v>2</v>
      </c>
      <c r="AS763" s="14" t="str">
        <f t="shared" si="403"/>
        <v>于禁魂火-31</v>
      </c>
      <c r="AT763" s="14">
        <f t="shared" si="404"/>
        <v>31</v>
      </c>
      <c r="AU763" s="14" t="str">
        <f>IF(AM763&gt;0,INDEX(挂机升级突破!$DT$4:$ED$4,AM763),"")</f>
        <v>金币</v>
      </c>
      <c r="AV763" s="14">
        <f>ROUND(INDEX(挂机升级突破!$DJ$6:$DJ$57,卡牌消耗!AT763)*INDEX(卡牌消耗!$B$8:$F$8,AR763)/$Q$4/50,0)*50</f>
        <v>6200</v>
      </c>
      <c r="AW763" s="14" t="str">
        <f>IF(AN763&gt;0,INDEX(挂机升级突破!$DT$4:$ED$4,AN763),"")</f>
        <v>橙色基础材料</v>
      </c>
      <c r="AX763" s="14">
        <f>ROUND(INDEX(挂机升级突破!$DT$6:$ED$57,卡牌消耗!AT763,AN763)*INDEX(卡牌消耗!$B$5:$F$5,AR763)/$Q$4/5,0)*5</f>
        <v>20</v>
      </c>
      <c r="AY763" s="14" t="str">
        <f>IF(AO763&gt;0,INDEX(挂机升级突破!$DT$4:$ED$4,AO763),"")</f>
        <v/>
      </c>
      <c r="AZ763" s="14" t="str">
        <f>IF(AO763&gt;0,ROUND(INDEX(挂机升级突破!$DT$6:$ED$57,卡牌消耗!AT763,AO763)*INDEX(卡牌消耗!$B$7:$F$7,AR763)/$Q$4,0),"")</f>
        <v/>
      </c>
    </row>
    <row r="764" spans="37:52" ht="16.5" x14ac:dyDescent="0.2">
      <c r="AK764" s="104">
        <v>760</v>
      </c>
      <c r="AL764" s="14">
        <f t="shared" si="400"/>
        <v>15</v>
      </c>
      <c r="AM764" s="14">
        <f>INDEX(挂机升级突破!DQ$6:DQ$57,卡牌消耗!$AT764)</f>
        <v>11</v>
      </c>
      <c r="AN764" s="14">
        <f>INDEX(挂机升级突破!DR$6:DR$57,卡牌消耗!$AT764)</f>
        <v>4</v>
      </c>
      <c r="AO764" s="14">
        <f>INDEX(挂机升级突破!DS$6:DS$57,卡牌消耗!$AT764)</f>
        <v>0</v>
      </c>
      <c r="AP764" s="14">
        <f>INDEX(挂机升级突破!$DP$6:$DP$57,卡牌消耗!AT764)</f>
        <v>98</v>
      </c>
      <c r="AQ764" s="14" t="str">
        <f t="shared" si="401"/>
        <v>于禁</v>
      </c>
      <c r="AR764" s="14">
        <f t="shared" si="402"/>
        <v>2</v>
      </c>
      <c r="AS764" s="14" t="str">
        <f t="shared" si="403"/>
        <v>于禁魂火-32</v>
      </c>
      <c r="AT764" s="14">
        <f t="shared" si="404"/>
        <v>32</v>
      </c>
      <c r="AU764" s="14" t="str">
        <f>IF(AM764&gt;0,INDEX(挂机升级突破!$DT$4:$ED$4,AM764),"")</f>
        <v>金币</v>
      </c>
      <c r="AV764" s="14">
        <f>ROUND(INDEX(挂机升级突破!$DJ$6:$DJ$57,卡牌消耗!AT764)*INDEX(卡牌消耗!$B$8:$F$8,AR764)/$Q$4/50,0)*50</f>
        <v>8550</v>
      </c>
      <c r="AW764" s="14" t="str">
        <f>IF(AN764&gt;0,INDEX(挂机升级突破!$DT$4:$ED$4,AN764),"")</f>
        <v>橙色基础材料</v>
      </c>
      <c r="AX764" s="14">
        <f>ROUND(INDEX(挂机升级突破!$DT$6:$ED$57,卡牌消耗!AT764,AN764)*INDEX(卡牌消耗!$B$5:$F$5,AR764)/$Q$4/5,0)*5</f>
        <v>20</v>
      </c>
      <c r="AY764" s="14" t="str">
        <f>IF(AO764&gt;0,INDEX(挂机升级突破!$DT$4:$ED$4,AO764),"")</f>
        <v/>
      </c>
      <c r="AZ764" s="14" t="str">
        <f>IF(AO764&gt;0,ROUND(INDEX(挂机升级突破!$DT$6:$ED$57,卡牌消耗!AT764,AO764)*INDEX(卡牌消耗!$B$7:$F$7,AR764)/$Q$4,0),"")</f>
        <v/>
      </c>
    </row>
    <row r="765" spans="37:52" ht="16.5" x14ac:dyDescent="0.2">
      <c r="AK765" s="104">
        <v>761</v>
      </c>
      <c r="AL765" s="14">
        <f t="shared" si="400"/>
        <v>15</v>
      </c>
      <c r="AM765" s="14">
        <f>INDEX(挂机升级突破!DQ$6:DQ$57,卡牌消耗!$AT765)</f>
        <v>11</v>
      </c>
      <c r="AN765" s="14">
        <f>INDEX(挂机升级突破!DR$6:DR$57,卡牌消耗!$AT765)</f>
        <v>4</v>
      </c>
      <c r="AO765" s="14">
        <f>INDEX(挂机升级突破!DS$6:DS$57,卡牌消耗!$AT765)</f>
        <v>0</v>
      </c>
      <c r="AP765" s="14">
        <f>INDEX(挂机升级突破!$DP$6:$DP$57,卡牌消耗!AT765)</f>
        <v>100</v>
      </c>
      <c r="AQ765" s="14" t="str">
        <f t="shared" si="401"/>
        <v>于禁</v>
      </c>
      <c r="AR765" s="14">
        <f t="shared" si="402"/>
        <v>2</v>
      </c>
      <c r="AS765" s="14" t="str">
        <f t="shared" si="403"/>
        <v>于禁魂火-33</v>
      </c>
      <c r="AT765" s="14">
        <f t="shared" si="404"/>
        <v>33</v>
      </c>
      <c r="AU765" s="14" t="str">
        <f>IF(AM765&gt;0,INDEX(挂机升级突破!$DT$4:$ED$4,AM765),"")</f>
        <v>金币</v>
      </c>
      <c r="AV765" s="14">
        <f>ROUND(INDEX(挂机升级突破!$DJ$6:$DJ$57,卡牌消耗!AT765)*INDEX(卡牌消耗!$B$8:$F$8,AR765)/$Q$4/50,0)*50</f>
        <v>8550</v>
      </c>
      <c r="AW765" s="14" t="str">
        <f>IF(AN765&gt;0,INDEX(挂机升级突破!$DT$4:$ED$4,AN765),"")</f>
        <v>橙色基础材料</v>
      </c>
      <c r="AX765" s="14">
        <f>ROUND(INDEX(挂机升级突破!$DT$6:$ED$57,卡牌消耗!AT765,AN765)*INDEX(卡牌消耗!$B$5:$F$5,AR765)/$Q$4/5,0)*5</f>
        <v>20</v>
      </c>
      <c r="AY765" s="14" t="str">
        <f>IF(AO765&gt;0,INDEX(挂机升级突破!$DT$4:$ED$4,AO765),"")</f>
        <v/>
      </c>
      <c r="AZ765" s="14" t="str">
        <f>IF(AO765&gt;0,ROUND(INDEX(挂机升级突破!$DT$6:$ED$57,卡牌消耗!AT765,AO765)*INDEX(卡牌消耗!$B$7:$F$7,AR765)/$Q$4,0),"")</f>
        <v/>
      </c>
    </row>
    <row r="766" spans="37:52" ht="16.5" x14ac:dyDescent="0.2">
      <c r="AK766" s="104">
        <v>762</v>
      </c>
      <c r="AL766" s="14">
        <f t="shared" si="400"/>
        <v>15</v>
      </c>
      <c r="AM766" s="14">
        <f>INDEX(挂机升级突破!DQ$6:DQ$57,卡牌消耗!$AT766)</f>
        <v>11</v>
      </c>
      <c r="AN766" s="14">
        <f>INDEX(挂机升级突破!DR$6:DR$57,卡牌消耗!$AT766)</f>
        <v>4</v>
      </c>
      <c r="AO766" s="14">
        <f>INDEX(挂机升级突破!DS$6:DS$57,卡牌消耗!$AT766)</f>
        <v>0</v>
      </c>
      <c r="AP766" s="14">
        <f>INDEX(挂机升级突破!$DP$6:$DP$57,卡牌消耗!AT766)</f>
        <v>103</v>
      </c>
      <c r="AQ766" s="14" t="str">
        <f t="shared" si="401"/>
        <v>于禁</v>
      </c>
      <c r="AR766" s="14">
        <f t="shared" si="402"/>
        <v>2</v>
      </c>
      <c r="AS766" s="14" t="str">
        <f t="shared" si="403"/>
        <v>于禁魂火-34</v>
      </c>
      <c r="AT766" s="14">
        <f t="shared" si="404"/>
        <v>34</v>
      </c>
      <c r="AU766" s="14" t="str">
        <f>IF(AM766&gt;0,INDEX(挂机升级突破!$DT$4:$ED$4,AM766),"")</f>
        <v>金币</v>
      </c>
      <c r="AV766" s="14">
        <f>ROUND(INDEX(挂机升级突破!$DJ$6:$DJ$57,卡牌消耗!AT766)*INDEX(卡牌消耗!$B$8:$F$8,AR766)/$Q$4/50,0)*50</f>
        <v>8550</v>
      </c>
      <c r="AW766" s="14" t="str">
        <f>IF(AN766&gt;0,INDEX(挂机升级突破!$DT$4:$ED$4,AN766),"")</f>
        <v>橙色基础材料</v>
      </c>
      <c r="AX766" s="14">
        <f>ROUND(INDEX(挂机升级突破!$DT$6:$ED$57,卡牌消耗!AT766,AN766)*INDEX(卡牌消耗!$B$5:$F$5,AR766)/$Q$4/5,0)*5</f>
        <v>25</v>
      </c>
      <c r="AY766" s="14" t="str">
        <f>IF(AO766&gt;0,INDEX(挂机升级突破!$DT$4:$ED$4,AO766),"")</f>
        <v/>
      </c>
      <c r="AZ766" s="14" t="str">
        <f>IF(AO766&gt;0,ROUND(INDEX(挂机升级突破!$DT$6:$ED$57,卡牌消耗!AT766,AO766)*INDEX(卡牌消耗!$B$7:$F$7,AR766)/$Q$4,0),"")</f>
        <v/>
      </c>
    </row>
    <row r="767" spans="37:52" ht="16.5" x14ac:dyDescent="0.2">
      <c r="AK767" s="104">
        <v>763</v>
      </c>
      <c r="AL767" s="14">
        <f t="shared" si="400"/>
        <v>15</v>
      </c>
      <c r="AM767" s="14">
        <f>INDEX(挂机升级突破!DQ$6:DQ$57,卡牌消耗!$AT767)</f>
        <v>11</v>
      </c>
      <c r="AN767" s="14">
        <f>INDEX(挂机升级突破!DR$6:DR$57,卡牌消耗!$AT767)</f>
        <v>4</v>
      </c>
      <c r="AO767" s="14">
        <f>INDEX(挂机升级突破!DS$6:DS$57,卡牌消耗!$AT767)</f>
        <v>0</v>
      </c>
      <c r="AP767" s="14">
        <f>INDEX(挂机升级突破!$DP$6:$DP$57,卡牌消耗!AT767)</f>
        <v>105</v>
      </c>
      <c r="AQ767" s="14" t="str">
        <f t="shared" si="401"/>
        <v>于禁</v>
      </c>
      <c r="AR767" s="14">
        <f t="shared" si="402"/>
        <v>2</v>
      </c>
      <c r="AS767" s="14" t="str">
        <f t="shared" si="403"/>
        <v>于禁魂火-35</v>
      </c>
      <c r="AT767" s="14">
        <f t="shared" si="404"/>
        <v>35</v>
      </c>
      <c r="AU767" s="14" t="str">
        <f>IF(AM767&gt;0,INDEX(挂机升级突破!$DT$4:$ED$4,AM767),"")</f>
        <v>金币</v>
      </c>
      <c r="AV767" s="14">
        <f>ROUND(INDEX(挂机升级突破!$DJ$6:$DJ$57,卡牌消耗!AT767)*INDEX(卡牌消耗!$B$8:$F$8,AR767)/$Q$4/50,0)*50</f>
        <v>10900</v>
      </c>
      <c r="AW767" s="14" t="str">
        <f>IF(AN767&gt;0,INDEX(挂机升级突破!$DT$4:$ED$4,AN767),"")</f>
        <v>橙色基础材料</v>
      </c>
      <c r="AX767" s="14">
        <f>ROUND(INDEX(挂机升级突破!$DT$6:$ED$57,卡牌消耗!AT767,AN767)*INDEX(卡牌消耗!$B$5:$F$5,AR767)/$Q$4/5,0)*5</f>
        <v>25</v>
      </c>
      <c r="AY767" s="14" t="str">
        <f>IF(AO767&gt;0,INDEX(挂机升级突破!$DT$4:$ED$4,AO767),"")</f>
        <v/>
      </c>
      <c r="AZ767" s="14" t="str">
        <f>IF(AO767&gt;0,ROUND(INDEX(挂机升级突破!$DT$6:$ED$57,卡牌消耗!AT767,AO767)*INDEX(卡牌消耗!$B$7:$F$7,AR767)/$Q$4,0),"")</f>
        <v/>
      </c>
    </row>
    <row r="768" spans="37:52" ht="16.5" x14ac:dyDescent="0.2">
      <c r="AK768" s="104">
        <v>764</v>
      </c>
      <c r="AL768" s="14">
        <f t="shared" si="400"/>
        <v>15</v>
      </c>
      <c r="AM768" s="14">
        <f>INDEX(挂机升级突破!DQ$6:DQ$57,卡牌消耗!$AT768)</f>
        <v>11</v>
      </c>
      <c r="AN768" s="14">
        <f>INDEX(挂机升级突破!DR$6:DR$57,卡牌消耗!$AT768)</f>
        <v>4</v>
      </c>
      <c r="AO768" s="14">
        <f>INDEX(挂机升级突破!DS$6:DS$57,卡牌消耗!$AT768)</f>
        <v>0</v>
      </c>
      <c r="AP768" s="14">
        <f>INDEX(挂机升级突破!$DP$6:$DP$57,卡牌消耗!AT768)</f>
        <v>108</v>
      </c>
      <c r="AQ768" s="14" t="str">
        <f t="shared" si="401"/>
        <v>于禁</v>
      </c>
      <c r="AR768" s="14">
        <f t="shared" si="402"/>
        <v>2</v>
      </c>
      <c r="AS768" s="14" t="str">
        <f t="shared" si="403"/>
        <v>于禁魂火-36</v>
      </c>
      <c r="AT768" s="14">
        <f t="shared" si="404"/>
        <v>36</v>
      </c>
      <c r="AU768" s="14" t="str">
        <f>IF(AM768&gt;0,INDEX(挂机升级突破!$DT$4:$ED$4,AM768),"")</f>
        <v>金币</v>
      </c>
      <c r="AV768" s="14">
        <f>ROUND(INDEX(挂机升级突破!$DJ$6:$DJ$57,卡牌消耗!AT768)*INDEX(卡牌消耗!$B$8:$F$8,AR768)/$Q$4/50,0)*50</f>
        <v>10900</v>
      </c>
      <c r="AW768" s="14" t="str">
        <f>IF(AN768&gt;0,INDEX(挂机升级突破!$DT$4:$ED$4,AN768),"")</f>
        <v>橙色基础材料</v>
      </c>
      <c r="AX768" s="14">
        <f>ROUND(INDEX(挂机升级突破!$DT$6:$ED$57,卡牌消耗!AT768,AN768)*INDEX(卡牌消耗!$B$5:$F$5,AR768)/$Q$4/5,0)*5</f>
        <v>25</v>
      </c>
      <c r="AY768" s="14" t="str">
        <f>IF(AO768&gt;0,INDEX(挂机升级突破!$DT$4:$ED$4,AO768),"")</f>
        <v/>
      </c>
      <c r="AZ768" s="14" t="str">
        <f>IF(AO768&gt;0,ROUND(INDEX(挂机升级突破!$DT$6:$ED$57,卡牌消耗!AT768,AO768)*INDEX(卡牌消耗!$B$7:$F$7,AR768)/$Q$4,0),"")</f>
        <v/>
      </c>
    </row>
    <row r="769" spans="37:52" ht="16.5" x14ac:dyDescent="0.2">
      <c r="AK769" s="104">
        <v>765</v>
      </c>
      <c r="AL769" s="14">
        <f t="shared" si="400"/>
        <v>15</v>
      </c>
      <c r="AM769" s="14">
        <f>INDEX(挂机升级突破!DQ$6:DQ$57,卡牌消耗!$AT769)</f>
        <v>11</v>
      </c>
      <c r="AN769" s="14">
        <f>INDEX(挂机升级突破!DR$6:DR$57,卡牌消耗!$AT769)</f>
        <v>4</v>
      </c>
      <c r="AO769" s="14">
        <f>INDEX(挂机升级突破!DS$6:DS$57,卡牌消耗!$AT769)</f>
        <v>0</v>
      </c>
      <c r="AP769" s="14">
        <f>INDEX(挂机升级突破!$DP$6:$DP$57,卡牌消耗!AT769)</f>
        <v>110</v>
      </c>
      <c r="AQ769" s="14" t="str">
        <f t="shared" si="401"/>
        <v>于禁</v>
      </c>
      <c r="AR769" s="14">
        <f t="shared" si="402"/>
        <v>2</v>
      </c>
      <c r="AS769" s="14" t="str">
        <f t="shared" si="403"/>
        <v>于禁魂火-37</v>
      </c>
      <c r="AT769" s="14">
        <f t="shared" si="404"/>
        <v>37</v>
      </c>
      <c r="AU769" s="14" t="str">
        <f>IF(AM769&gt;0,INDEX(挂机升级突破!$DT$4:$ED$4,AM769),"")</f>
        <v>金币</v>
      </c>
      <c r="AV769" s="14">
        <f>ROUND(INDEX(挂机升级突破!$DJ$6:$DJ$57,卡牌消耗!AT769)*INDEX(卡牌消耗!$B$8:$F$8,AR769)/$Q$4/50,0)*50</f>
        <v>11650</v>
      </c>
      <c r="AW769" s="14" t="str">
        <f>IF(AN769&gt;0,INDEX(挂机升级突破!$DT$4:$ED$4,AN769),"")</f>
        <v>橙色基础材料</v>
      </c>
      <c r="AX769" s="14">
        <f>ROUND(INDEX(挂机升级突破!$DT$6:$ED$57,卡牌消耗!AT769,AN769)*INDEX(卡牌消耗!$B$5:$F$5,AR769)/$Q$4/5,0)*5</f>
        <v>25</v>
      </c>
      <c r="AY769" s="14" t="str">
        <f>IF(AO769&gt;0,INDEX(挂机升级突破!$DT$4:$ED$4,AO769),"")</f>
        <v/>
      </c>
      <c r="AZ769" s="14" t="str">
        <f>IF(AO769&gt;0,ROUND(INDEX(挂机升级突破!$DT$6:$ED$57,卡牌消耗!AT769,AO769)*INDEX(卡牌消耗!$B$7:$F$7,AR769)/$Q$4,0),"")</f>
        <v/>
      </c>
    </row>
    <row r="770" spans="37:52" ht="16.5" x14ac:dyDescent="0.2">
      <c r="AK770" s="104">
        <v>766</v>
      </c>
      <c r="AL770" s="14">
        <f t="shared" si="400"/>
        <v>15</v>
      </c>
      <c r="AM770" s="14">
        <f>INDEX(挂机升级突破!DQ$6:DQ$57,卡牌消耗!$AT770)</f>
        <v>11</v>
      </c>
      <c r="AN770" s="14">
        <f>INDEX(挂机升级突破!DR$6:DR$57,卡牌消耗!$AT770)</f>
        <v>5</v>
      </c>
      <c r="AO770" s="14">
        <f>INDEX(挂机升级突破!DS$6:DS$57,卡牌消耗!$AT770)</f>
        <v>0</v>
      </c>
      <c r="AP770" s="14">
        <f>INDEX(挂机升级突破!$DP$6:$DP$57,卡牌消耗!AT770)</f>
        <v>113</v>
      </c>
      <c r="AQ770" s="14" t="str">
        <f t="shared" si="401"/>
        <v>于禁</v>
      </c>
      <c r="AR770" s="14">
        <f t="shared" si="402"/>
        <v>2</v>
      </c>
      <c r="AS770" s="14" t="str">
        <f t="shared" si="403"/>
        <v>于禁魂火-38</v>
      </c>
      <c r="AT770" s="14">
        <f t="shared" si="404"/>
        <v>38</v>
      </c>
      <c r="AU770" s="14" t="str">
        <f>IF(AM770&gt;0,INDEX(挂机升级突破!$DT$4:$ED$4,AM770),"")</f>
        <v>金币</v>
      </c>
      <c r="AV770" s="14">
        <f>ROUND(INDEX(挂机升级突破!$DJ$6:$DJ$57,卡牌消耗!AT770)*INDEX(卡牌消耗!$B$8:$F$8,AR770)/$Q$4/50,0)*50</f>
        <v>15050</v>
      </c>
      <c r="AW770" s="14" t="str">
        <f>IF(AN770&gt;0,INDEX(挂机升级突破!$DT$4:$ED$4,AN770),"")</f>
        <v>红色基础材料</v>
      </c>
      <c r="AX770" s="14">
        <f>ROUND(INDEX(挂机升级突破!$DT$6:$ED$57,卡牌消耗!AT770,AN770)*INDEX(卡牌消耗!$B$5:$F$5,AR770)/$Q$4/5,0)*5</f>
        <v>5</v>
      </c>
      <c r="AY770" s="14" t="str">
        <f>IF(AO770&gt;0,INDEX(挂机升级突破!$DT$4:$ED$4,AO770),"")</f>
        <v/>
      </c>
      <c r="AZ770" s="14" t="str">
        <f>IF(AO770&gt;0,ROUND(INDEX(挂机升级突破!$DT$6:$ED$57,卡牌消耗!AT770,AO770)*INDEX(卡牌消耗!$B$7:$F$7,AR770)/$Q$4,0),"")</f>
        <v/>
      </c>
    </row>
    <row r="771" spans="37:52" ht="16.5" x14ac:dyDescent="0.2">
      <c r="AK771" s="104">
        <v>767</v>
      </c>
      <c r="AL771" s="14">
        <f t="shared" si="400"/>
        <v>15</v>
      </c>
      <c r="AM771" s="14">
        <f>INDEX(挂机升级突破!DQ$6:DQ$57,卡牌消耗!$AT771)</f>
        <v>11</v>
      </c>
      <c r="AN771" s="14">
        <f>INDEX(挂机升级突破!DR$6:DR$57,卡牌消耗!$AT771)</f>
        <v>5</v>
      </c>
      <c r="AO771" s="14">
        <f>INDEX(挂机升级突破!DS$6:DS$57,卡牌消耗!$AT771)</f>
        <v>0</v>
      </c>
      <c r="AP771" s="14">
        <f>INDEX(挂机升级突破!$DP$6:$DP$57,卡牌消耗!AT771)</f>
        <v>115</v>
      </c>
      <c r="AQ771" s="14" t="str">
        <f t="shared" si="401"/>
        <v>于禁</v>
      </c>
      <c r="AR771" s="14">
        <f t="shared" si="402"/>
        <v>2</v>
      </c>
      <c r="AS771" s="14" t="str">
        <f t="shared" si="403"/>
        <v>于禁魂火-39</v>
      </c>
      <c r="AT771" s="14">
        <f t="shared" si="404"/>
        <v>39</v>
      </c>
      <c r="AU771" s="14" t="str">
        <f>IF(AM771&gt;0,INDEX(挂机升级突破!$DT$4:$ED$4,AM771),"")</f>
        <v>金币</v>
      </c>
      <c r="AV771" s="14">
        <f>ROUND(INDEX(挂机升级突破!$DJ$6:$DJ$57,卡牌消耗!AT771)*INDEX(卡牌消耗!$B$8:$F$8,AR771)/$Q$4/50,0)*50</f>
        <v>15050</v>
      </c>
      <c r="AW771" s="14" t="str">
        <f>IF(AN771&gt;0,INDEX(挂机升级突破!$DT$4:$ED$4,AN771),"")</f>
        <v>红色基础材料</v>
      </c>
      <c r="AX771" s="14">
        <f>ROUND(INDEX(挂机升级突破!$DT$6:$ED$57,卡牌消耗!AT771,AN771)*INDEX(卡牌消耗!$B$5:$F$5,AR771)/$Q$4/5,0)*5</f>
        <v>5</v>
      </c>
      <c r="AY771" s="14" t="str">
        <f>IF(AO771&gt;0,INDEX(挂机升级突破!$DT$4:$ED$4,AO771),"")</f>
        <v/>
      </c>
      <c r="AZ771" s="14" t="str">
        <f>IF(AO771&gt;0,ROUND(INDEX(挂机升级突破!$DT$6:$ED$57,卡牌消耗!AT771,AO771)*INDEX(卡牌消耗!$B$7:$F$7,AR771)/$Q$4,0),"")</f>
        <v/>
      </c>
    </row>
    <row r="772" spans="37:52" ht="16.5" x14ac:dyDescent="0.2">
      <c r="AK772" s="104">
        <v>768</v>
      </c>
      <c r="AL772" s="14">
        <f t="shared" si="400"/>
        <v>15</v>
      </c>
      <c r="AM772" s="14">
        <f>INDEX(挂机升级突破!DQ$6:DQ$57,卡牌消耗!$AT772)</f>
        <v>11</v>
      </c>
      <c r="AN772" s="14">
        <f>INDEX(挂机升级突破!DR$6:DR$57,卡牌消耗!$AT772)</f>
        <v>5</v>
      </c>
      <c r="AO772" s="14">
        <f>INDEX(挂机升级突破!DS$6:DS$57,卡牌消耗!$AT772)</f>
        <v>0</v>
      </c>
      <c r="AP772" s="14">
        <f>INDEX(挂机升级突破!$DP$6:$DP$57,卡牌消耗!AT772)</f>
        <v>118</v>
      </c>
      <c r="AQ772" s="14" t="str">
        <f t="shared" si="401"/>
        <v>于禁</v>
      </c>
      <c r="AR772" s="14">
        <f t="shared" si="402"/>
        <v>2</v>
      </c>
      <c r="AS772" s="14" t="str">
        <f t="shared" si="403"/>
        <v>于禁魂火-40</v>
      </c>
      <c r="AT772" s="14">
        <f t="shared" si="404"/>
        <v>40</v>
      </c>
      <c r="AU772" s="14" t="str">
        <f>IF(AM772&gt;0,INDEX(挂机升级突破!$DT$4:$ED$4,AM772),"")</f>
        <v>金币</v>
      </c>
      <c r="AV772" s="14">
        <f>ROUND(INDEX(挂机升级突破!$DJ$6:$DJ$57,卡牌消耗!AT772)*INDEX(卡牌消耗!$B$8:$F$8,AR772)/$Q$4/50,0)*50</f>
        <v>15050</v>
      </c>
      <c r="AW772" s="14" t="str">
        <f>IF(AN772&gt;0,INDEX(挂机升级突破!$DT$4:$ED$4,AN772),"")</f>
        <v>红色基础材料</v>
      </c>
      <c r="AX772" s="14">
        <f>ROUND(INDEX(挂机升级突破!$DT$6:$ED$57,卡牌消耗!AT772,AN772)*INDEX(卡牌消耗!$B$5:$F$5,AR772)/$Q$4/5,0)*5</f>
        <v>5</v>
      </c>
      <c r="AY772" s="14" t="str">
        <f>IF(AO772&gt;0,INDEX(挂机升级突破!$DT$4:$ED$4,AO772),"")</f>
        <v/>
      </c>
      <c r="AZ772" s="14" t="str">
        <f>IF(AO772&gt;0,ROUND(INDEX(挂机升级突破!$DT$6:$ED$57,卡牌消耗!AT772,AO772)*INDEX(卡牌消耗!$B$7:$F$7,AR772)/$Q$4,0),"")</f>
        <v/>
      </c>
    </row>
    <row r="773" spans="37:52" ht="16.5" x14ac:dyDescent="0.2">
      <c r="AK773" s="104">
        <v>769</v>
      </c>
      <c r="AL773" s="14">
        <f t="shared" si="400"/>
        <v>15</v>
      </c>
      <c r="AM773" s="14">
        <f>INDEX(挂机升级突破!DQ$6:DQ$57,卡牌消耗!$AT773)</f>
        <v>11</v>
      </c>
      <c r="AN773" s="14">
        <f>INDEX(挂机升级突破!DR$6:DR$57,卡牌消耗!$AT773)</f>
        <v>5</v>
      </c>
      <c r="AO773" s="14">
        <f>INDEX(挂机升级突破!DS$6:DS$57,卡牌消耗!$AT773)</f>
        <v>10</v>
      </c>
      <c r="AP773" s="14">
        <f>INDEX(挂机升级突破!$DP$6:$DP$57,卡牌消耗!AT773)</f>
        <v>120</v>
      </c>
      <c r="AQ773" s="14" t="str">
        <f t="shared" si="401"/>
        <v>于禁</v>
      </c>
      <c r="AR773" s="14">
        <f t="shared" si="402"/>
        <v>2</v>
      </c>
      <c r="AS773" s="14" t="str">
        <f t="shared" si="403"/>
        <v>于禁魂火-41</v>
      </c>
      <c r="AT773" s="14">
        <f t="shared" si="404"/>
        <v>41</v>
      </c>
      <c r="AU773" s="14" t="str">
        <f>IF(AM773&gt;0,INDEX(挂机升级突破!$DT$4:$ED$4,AM773),"")</f>
        <v>金币</v>
      </c>
      <c r="AV773" s="14">
        <f>ROUND(INDEX(挂机升级突破!$DJ$6:$DJ$57,卡牌消耗!AT773)*INDEX(卡牌消耗!$B$8:$F$8,AR773)/$Q$4/50,0)*50</f>
        <v>20700</v>
      </c>
      <c r="AW773" s="14" t="str">
        <f>IF(AN773&gt;0,INDEX(挂机升级突破!$DT$4:$ED$4,AN773),"")</f>
        <v>红色基础材料</v>
      </c>
      <c r="AX773" s="14">
        <f>ROUND(INDEX(挂机升级突破!$DT$6:$ED$57,卡牌消耗!AT773,AN773)*INDEX(卡牌消耗!$B$5:$F$5,AR773)/$Q$4/5,0)*5</f>
        <v>10</v>
      </c>
      <c r="AY773" s="14" t="str">
        <f>IF(AO773&gt;0,INDEX(挂机升级突破!$DT$4:$ED$4,AO773),"")</f>
        <v>灵玉</v>
      </c>
      <c r="AZ773" s="14">
        <f>IF(AO773&gt;0,ROUND(INDEX(挂机升级突破!$DT$6:$ED$57,卡牌消耗!AT773,AO773)*INDEX(卡牌消耗!$B$7:$F$7,AR773)/$Q$4,0),"")</f>
        <v>1</v>
      </c>
    </row>
    <row r="774" spans="37:52" ht="16.5" x14ac:dyDescent="0.2">
      <c r="AK774" s="104">
        <v>770</v>
      </c>
      <c r="AL774" s="14">
        <f t="shared" ref="AL774:AL837" si="405">INT((AK774-1)/52)+1</f>
        <v>15</v>
      </c>
      <c r="AM774" s="14">
        <f>INDEX(挂机升级突破!DQ$6:DQ$57,卡牌消耗!$AT774)</f>
        <v>11</v>
      </c>
      <c r="AN774" s="14">
        <f>INDEX(挂机升级突破!DR$6:DR$57,卡牌消耗!$AT774)</f>
        <v>5</v>
      </c>
      <c r="AO774" s="14">
        <f>INDEX(挂机升级突破!DS$6:DS$57,卡牌消耗!$AT774)</f>
        <v>10</v>
      </c>
      <c r="AP774" s="14">
        <f>INDEX(挂机升级突破!$DP$6:$DP$57,卡牌消耗!AT774)</f>
        <v>123</v>
      </c>
      <c r="AQ774" s="14" t="str">
        <f t="shared" ref="AQ774:AQ837" si="406">INDEX($B$13:$B$45,AL774)</f>
        <v>于禁</v>
      </c>
      <c r="AR774" s="14">
        <f t="shared" ref="AR774:AR837" si="407">INDEX($C$13:$C$45,AL774)</f>
        <v>2</v>
      </c>
      <c r="AS774" s="14" t="str">
        <f t="shared" ref="AS774:AS837" si="408">AQ774&amp;"魂火-"&amp;AT774</f>
        <v>于禁魂火-42</v>
      </c>
      <c r="AT774" s="14">
        <f t="shared" ref="AT774:AT837" si="409">AK774-(AL774-1)*52</f>
        <v>42</v>
      </c>
      <c r="AU774" s="14" t="str">
        <f>IF(AM774&gt;0,INDEX(挂机升级突破!$DT$4:$ED$4,AM774),"")</f>
        <v>金币</v>
      </c>
      <c r="AV774" s="14">
        <f>ROUND(INDEX(挂机升级突破!$DJ$6:$DJ$57,卡牌消耗!AT774)*INDEX(卡牌消耗!$B$8:$F$8,AR774)/$Q$4/50,0)*50</f>
        <v>20700</v>
      </c>
      <c r="AW774" s="14" t="str">
        <f>IF(AN774&gt;0,INDEX(挂机升级突破!$DT$4:$ED$4,AN774),"")</f>
        <v>红色基础材料</v>
      </c>
      <c r="AX774" s="14">
        <f>ROUND(INDEX(挂机升级突破!$DT$6:$ED$57,卡牌消耗!AT774,AN774)*INDEX(卡牌消耗!$B$5:$F$5,AR774)/$Q$4/5,0)*5</f>
        <v>10</v>
      </c>
      <c r="AY774" s="14" t="str">
        <f>IF(AO774&gt;0,INDEX(挂机升级突破!$DT$4:$ED$4,AO774),"")</f>
        <v>灵玉</v>
      </c>
      <c r="AZ774" s="14">
        <f>IF(AO774&gt;0,ROUND(INDEX(挂机升级突破!$DT$6:$ED$57,卡牌消耗!AT774,AO774)*INDEX(卡牌消耗!$B$7:$F$7,AR774)/$Q$4,0),"")</f>
        <v>1</v>
      </c>
    </row>
    <row r="775" spans="37:52" ht="16.5" x14ac:dyDescent="0.2">
      <c r="AK775" s="104">
        <v>771</v>
      </c>
      <c r="AL775" s="14">
        <f t="shared" si="405"/>
        <v>15</v>
      </c>
      <c r="AM775" s="14">
        <f>INDEX(挂机升级突破!DQ$6:DQ$57,卡牌消耗!$AT775)</f>
        <v>11</v>
      </c>
      <c r="AN775" s="14">
        <f>INDEX(挂机升级突破!DR$6:DR$57,卡牌消耗!$AT775)</f>
        <v>5</v>
      </c>
      <c r="AO775" s="14">
        <f>INDEX(挂机升级突破!DS$6:DS$57,卡牌消耗!$AT775)</f>
        <v>10</v>
      </c>
      <c r="AP775" s="14">
        <f>INDEX(挂机升级突破!$DP$6:$DP$57,卡牌消耗!AT775)</f>
        <v>125</v>
      </c>
      <c r="AQ775" s="14" t="str">
        <f t="shared" si="406"/>
        <v>于禁</v>
      </c>
      <c r="AR775" s="14">
        <f t="shared" si="407"/>
        <v>2</v>
      </c>
      <c r="AS775" s="14" t="str">
        <f t="shared" si="408"/>
        <v>于禁魂火-43</v>
      </c>
      <c r="AT775" s="14">
        <f t="shared" si="409"/>
        <v>43</v>
      </c>
      <c r="AU775" s="14" t="str">
        <f>IF(AM775&gt;0,INDEX(挂机升级突破!$DT$4:$ED$4,AM775),"")</f>
        <v>金币</v>
      </c>
      <c r="AV775" s="14">
        <f>ROUND(INDEX(挂机升级突破!$DJ$6:$DJ$57,卡牌消耗!AT775)*INDEX(卡牌消耗!$B$8:$F$8,AR775)/$Q$4/50,0)*50</f>
        <v>20700</v>
      </c>
      <c r="AW775" s="14" t="str">
        <f>IF(AN775&gt;0,INDEX(挂机升级突破!$DT$4:$ED$4,AN775),"")</f>
        <v>红色基础材料</v>
      </c>
      <c r="AX775" s="14">
        <f>ROUND(INDEX(挂机升级突破!$DT$6:$ED$57,卡牌消耗!AT775,AN775)*INDEX(卡牌消耗!$B$5:$F$5,AR775)/$Q$4/5,0)*5</f>
        <v>10</v>
      </c>
      <c r="AY775" s="14" t="str">
        <f>IF(AO775&gt;0,INDEX(挂机升级突破!$DT$4:$ED$4,AO775),"")</f>
        <v>灵玉</v>
      </c>
      <c r="AZ775" s="14">
        <f>IF(AO775&gt;0,ROUND(INDEX(挂机升级突破!$DT$6:$ED$57,卡牌消耗!AT775,AO775)*INDEX(卡牌消耗!$B$7:$F$7,AR775)/$Q$4,0),"")</f>
        <v>1</v>
      </c>
    </row>
    <row r="776" spans="37:52" ht="16.5" x14ac:dyDescent="0.2">
      <c r="AK776" s="104">
        <v>772</v>
      </c>
      <c r="AL776" s="14">
        <f t="shared" si="405"/>
        <v>15</v>
      </c>
      <c r="AM776" s="14">
        <f>INDEX(挂机升级突破!DQ$6:DQ$57,卡牌消耗!$AT776)</f>
        <v>11</v>
      </c>
      <c r="AN776" s="14">
        <f>INDEX(挂机升级突破!DR$6:DR$57,卡牌消耗!$AT776)</f>
        <v>5</v>
      </c>
      <c r="AO776" s="14">
        <f>INDEX(挂机升级突破!DS$6:DS$57,卡牌消耗!$AT776)</f>
        <v>10</v>
      </c>
      <c r="AP776" s="14">
        <f>INDEX(挂机升级突破!$DP$6:$DP$57,卡牌消耗!AT776)</f>
        <v>128</v>
      </c>
      <c r="AQ776" s="14" t="str">
        <f t="shared" si="406"/>
        <v>于禁</v>
      </c>
      <c r="AR776" s="14">
        <f t="shared" si="407"/>
        <v>2</v>
      </c>
      <c r="AS776" s="14" t="str">
        <f t="shared" si="408"/>
        <v>于禁魂火-44</v>
      </c>
      <c r="AT776" s="14">
        <f t="shared" si="409"/>
        <v>44</v>
      </c>
      <c r="AU776" s="14" t="str">
        <f>IF(AM776&gt;0,INDEX(挂机升级突破!$DT$4:$ED$4,AM776),"")</f>
        <v>金币</v>
      </c>
      <c r="AV776" s="14">
        <f>ROUND(INDEX(挂机升级突破!$DJ$6:$DJ$57,卡牌消耗!AT776)*INDEX(卡牌消耗!$B$8:$F$8,AR776)/$Q$4/50,0)*50</f>
        <v>26300</v>
      </c>
      <c r="AW776" s="14" t="str">
        <f>IF(AN776&gt;0,INDEX(挂机升级突破!$DT$4:$ED$4,AN776),"")</f>
        <v>红色基础材料</v>
      </c>
      <c r="AX776" s="14">
        <f>ROUND(INDEX(挂机升级突破!$DT$6:$ED$57,卡牌消耗!AT776,AN776)*INDEX(卡牌消耗!$B$5:$F$5,AR776)/$Q$4/5,0)*5</f>
        <v>10</v>
      </c>
      <c r="AY776" s="14" t="str">
        <f>IF(AO776&gt;0,INDEX(挂机升级突破!$DT$4:$ED$4,AO776),"")</f>
        <v>灵玉</v>
      </c>
      <c r="AZ776" s="14">
        <f>IF(AO776&gt;0,ROUND(INDEX(挂机升级突破!$DT$6:$ED$57,卡牌消耗!AT776,AO776)*INDEX(卡牌消耗!$B$7:$F$7,AR776)/$Q$4,0),"")</f>
        <v>1</v>
      </c>
    </row>
    <row r="777" spans="37:52" ht="16.5" x14ac:dyDescent="0.2">
      <c r="AK777" s="104">
        <v>773</v>
      </c>
      <c r="AL777" s="14">
        <f t="shared" si="405"/>
        <v>15</v>
      </c>
      <c r="AM777" s="14">
        <f>INDEX(挂机升级突破!DQ$6:DQ$57,卡牌消耗!$AT777)</f>
        <v>11</v>
      </c>
      <c r="AN777" s="14">
        <f>INDEX(挂机升级突破!DR$6:DR$57,卡牌消耗!$AT777)</f>
        <v>5</v>
      </c>
      <c r="AO777" s="14">
        <f>INDEX(挂机升级突破!DS$6:DS$57,卡牌消耗!$AT777)</f>
        <v>10</v>
      </c>
      <c r="AP777" s="14">
        <f>INDEX(挂机升级突破!$DP$6:$DP$57,卡牌消耗!AT777)</f>
        <v>130</v>
      </c>
      <c r="AQ777" s="14" t="str">
        <f t="shared" si="406"/>
        <v>于禁</v>
      </c>
      <c r="AR777" s="14">
        <f t="shared" si="407"/>
        <v>2</v>
      </c>
      <c r="AS777" s="14" t="str">
        <f t="shared" si="408"/>
        <v>于禁魂火-45</v>
      </c>
      <c r="AT777" s="14">
        <f t="shared" si="409"/>
        <v>45</v>
      </c>
      <c r="AU777" s="14" t="str">
        <f>IF(AM777&gt;0,INDEX(挂机升级突破!$DT$4:$ED$4,AM777),"")</f>
        <v>金币</v>
      </c>
      <c r="AV777" s="14">
        <f>ROUND(INDEX(挂机升级突破!$DJ$6:$DJ$57,卡牌消耗!AT777)*INDEX(卡牌消耗!$B$8:$F$8,AR777)/$Q$4/50,0)*50</f>
        <v>26300</v>
      </c>
      <c r="AW777" s="14" t="str">
        <f>IF(AN777&gt;0,INDEX(挂机升级突破!$DT$4:$ED$4,AN777),"")</f>
        <v>红色基础材料</v>
      </c>
      <c r="AX777" s="14">
        <f>ROUND(INDEX(挂机升级突破!$DT$6:$ED$57,卡牌消耗!AT777,AN777)*INDEX(卡牌消耗!$B$5:$F$5,AR777)/$Q$4/5,0)*5</f>
        <v>10</v>
      </c>
      <c r="AY777" s="14" t="str">
        <f>IF(AO777&gt;0,INDEX(挂机升级突破!$DT$4:$ED$4,AO777),"")</f>
        <v>灵玉</v>
      </c>
      <c r="AZ777" s="14">
        <f>IF(AO777&gt;0,ROUND(INDEX(挂机升级突破!$DT$6:$ED$57,卡牌消耗!AT777,AO777)*INDEX(卡牌消耗!$B$7:$F$7,AR777)/$Q$4,0),"")</f>
        <v>1</v>
      </c>
    </row>
    <row r="778" spans="37:52" ht="16.5" x14ac:dyDescent="0.2">
      <c r="AK778" s="104">
        <v>774</v>
      </c>
      <c r="AL778" s="14">
        <f t="shared" si="405"/>
        <v>15</v>
      </c>
      <c r="AM778" s="14">
        <f>INDEX(挂机升级突破!DQ$6:DQ$57,卡牌消耗!$AT778)</f>
        <v>11</v>
      </c>
      <c r="AN778" s="14">
        <f>INDEX(挂机升级突破!DR$6:DR$57,卡牌消耗!$AT778)</f>
        <v>5</v>
      </c>
      <c r="AO778" s="14">
        <f>INDEX(挂机升级突破!DS$6:DS$57,卡牌消耗!$AT778)</f>
        <v>10</v>
      </c>
      <c r="AP778" s="14">
        <f>INDEX(挂机升级突破!$DP$6:$DP$57,卡牌消耗!AT778)</f>
        <v>133</v>
      </c>
      <c r="AQ778" s="14" t="str">
        <f t="shared" si="406"/>
        <v>于禁</v>
      </c>
      <c r="AR778" s="14">
        <f t="shared" si="407"/>
        <v>2</v>
      </c>
      <c r="AS778" s="14" t="str">
        <f t="shared" si="408"/>
        <v>于禁魂火-46</v>
      </c>
      <c r="AT778" s="14">
        <f t="shared" si="409"/>
        <v>46</v>
      </c>
      <c r="AU778" s="14" t="str">
        <f>IF(AM778&gt;0,INDEX(挂机升级突破!$DT$4:$ED$4,AM778),"")</f>
        <v>金币</v>
      </c>
      <c r="AV778" s="14">
        <f>ROUND(INDEX(挂机升级突破!$DJ$6:$DJ$57,卡牌消耗!AT778)*INDEX(卡牌消耗!$B$8:$F$8,AR778)/$Q$4/50,0)*50</f>
        <v>28200</v>
      </c>
      <c r="AW778" s="14" t="str">
        <f>IF(AN778&gt;0,INDEX(挂机升级突破!$DT$4:$ED$4,AN778),"")</f>
        <v>红色基础材料</v>
      </c>
      <c r="AX778" s="14">
        <f>ROUND(INDEX(挂机升级突破!$DT$6:$ED$57,卡牌消耗!AT778,AN778)*INDEX(卡牌消耗!$B$5:$F$5,AR778)/$Q$4/5,0)*5</f>
        <v>10</v>
      </c>
      <c r="AY778" s="14" t="str">
        <f>IF(AO778&gt;0,INDEX(挂机升级突破!$DT$4:$ED$4,AO778),"")</f>
        <v>灵玉</v>
      </c>
      <c r="AZ778" s="14">
        <f>IF(AO778&gt;0,ROUND(INDEX(挂机升级突破!$DT$6:$ED$57,卡牌消耗!AT778,AO778)*INDEX(卡牌消耗!$B$7:$F$7,AR778)/$Q$4,0),"")</f>
        <v>1</v>
      </c>
    </row>
    <row r="779" spans="37:52" ht="16.5" x14ac:dyDescent="0.2">
      <c r="AK779" s="104">
        <v>775</v>
      </c>
      <c r="AL779" s="14">
        <f t="shared" si="405"/>
        <v>15</v>
      </c>
      <c r="AM779" s="14">
        <f>INDEX(挂机升级突破!DQ$6:DQ$57,卡牌消耗!$AT779)</f>
        <v>11</v>
      </c>
      <c r="AN779" s="14">
        <f>INDEX(挂机升级突破!DR$6:DR$57,卡牌消耗!$AT779)</f>
        <v>5</v>
      </c>
      <c r="AO779" s="14">
        <f>INDEX(挂机升级突破!DS$6:DS$57,卡牌消耗!$AT779)</f>
        <v>10</v>
      </c>
      <c r="AP779" s="14">
        <f>INDEX(挂机升级突破!$DP$6:$DP$57,卡牌消耗!AT779)</f>
        <v>135</v>
      </c>
      <c r="AQ779" s="14" t="str">
        <f t="shared" si="406"/>
        <v>于禁</v>
      </c>
      <c r="AR779" s="14">
        <f t="shared" si="407"/>
        <v>2</v>
      </c>
      <c r="AS779" s="14" t="str">
        <f t="shared" si="408"/>
        <v>于禁魂火-47</v>
      </c>
      <c r="AT779" s="14">
        <f t="shared" si="409"/>
        <v>47</v>
      </c>
      <c r="AU779" s="14" t="str">
        <f>IF(AM779&gt;0,INDEX(挂机升级突破!$DT$4:$ED$4,AM779),"")</f>
        <v>金币</v>
      </c>
      <c r="AV779" s="14">
        <f>ROUND(INDEX(挂机升级突破!$DJ$6:$DJ$57,卡牌消耗!AT779)*INDEX(卡牌消耗!$B$8:$F$8,AR779)/$Q$4/50,0)*50</f>
        <v>57450</v>
      </c>
      <c r="AW779" s="14" t="str">
        <f>IF(AN779&gt;0,INDEX(挂机升级突破!$DT$4:$ED$4,AN779),"")</f>
        <v>红色基础材料</v>
      </c>
      <c r="AX779" s="14">
        <f>ROUND(INDEX(挂机升级突破!$DT$6:$ED$57,卡牌消耗!AT779,AN779)*INDEX(卡牌消耗!$B$5:$F$5,AR779)/$Q$4/5,0)*5</f>
        <v>10</v>
      </c>
      <c r="AY779" s="14" t="str">
        <f>IF(AO779&gt;0,INDEX(挂机升级突破!$DT$4:$ED$4,AO779),"")</f>
        <v>灵玉</v>
      </c>
      <c r="AZ779" s="14">
        <f>IF(AO779&gt;0,ROUND(INDEX(挂机升级突破!$DT$6:$ED$57,卡牌消耗!AT779,AO779)*INDEX(卡牌消耗!$B$7:$F$7,AR779)/$Q$4,0),"")</f>
        <v>1</v>
      </c>
    </row>
    <row r="780" spans="37:52" ht="16.5" x14ac:dyDescent="0.2">
      <c r="AK780" s="104">
        <v>776</v>
      </c>
      <c r="AL780" s="14">
        <f t="shared" si="405"/>
        <v>15</v>
      </c>
      <c r="AM780" s="14">
        <f>INDEX(挂机升级突破!DQ$6:DQ$57,卡牌消耗!$AT780)</f>
        <v>11</v>
      </c>
      <c r="AN780" s="14">
        <f>INDEX(挂机升级突破!DR$6:DR$57,卡牌消耗!$AT780)</f>
        <v>5</v>
      </c>
      <c r="AO780" s="14">
        <f>INDEX(挂机升级突破!DS$6:DS$57,卡牌消耗!$AT780)</f>
        <v>10</v>
      </c>
      <c r="AP780" s="14">
        <f>INDEX(挂机升级突破!$DP$6:$DP$57,卡牌消耗!AT780)</f>
        <v>138</v>
      </c>
      <c r="AQ780" s="14" t="str">
        <f t="shared" si="406"/>
        <v>于禁</v>
      </c>
      <c r="AR780" s="14">
        <f t="shared" si="407"/>
        <v>2</v>
      </c>
      <c r="AS780" s="14" t="str">
        <f t="shared" si="408"/>
        <v>于禁魂火-48</v>
      </c>
      <c r="AT780" s="14">
        <f t="shared" si="409"/>
        <v>48</v>
      </c>
      <c r="AU780" s="14" t="str">
        <f>IF(AM780&gt;0,INDEX(挂机升级突破!$DT$4:$ED$4,AM780),"")</f>
        <v>金币</v>
      </c>
      <c r="AV780" s="14">
        <f>ROUND(INDEX(挂机升级突破!$DJ$6:$DJ$57,卡牌消耗!AT780)*INDEX(卡牌消耗!$B$8:$F$8,AR780)/$Q$4/50,0)*50</f>
        <v>57450</v>
      </c>
      <c r="AW780" s="14" t="str">
        <f>IF(AN780&gt;0,INDEX(挂机升级突破!$DT$4:$ED$4,AN780),"")</f>
        <v>红色基础材料</v>
      </c>
      <c r="AX780" s="14">
        <f>ROUND(INDEX(挂机升级突破!$DT$6:$ED$57,卡牌消耗!AT780,AN780)*INDEX(卡牌消耗!$B$5:$F$5,AR780)/$Q$4/5,0)*5</f>
        <v>10</v>
      </c>
      <c r="AY780" s="14" t="str">
        <f>IF(AO780&gt;0,INDEX(挂机升级突破!$DT$4:$ED$4,AO780),"")</f>
        <v>灵玉</v>
      </c>
      <c r="AZ780" s="14">
        <f>IF(AO780&gt;0,ROUND(INDEX(挂机升级突破!$DT$6:$ED$57,卡牌消耗!AT780,AO780)*INDEX(卡牌消耗!$B$7:$F$7,AR780)/$Q$4,0),"")</f>
        <v>1</v>
      </c>
    </row>
    <row r="781" spans="37:52" ht="16.5" x14ac:dyDescent="0.2">
      <c r="AK781" s="104">
        <v>777</v>
      </c>
      <c r="AL781" s="14">
        <f t="shared" si="405"/>
        <v>15</v>
      </c>
      <c r="AM781" s="14">
        <f>INDEX(挂机升级突破!DQ$6:DQ$57,卡牌消耗!$AT781)</f>
        <v>11</v>
      </c>
      <c r="AN781" s="14">
        <f>INDEX(挂机升级突破!DR$6:DR$57,卡牌消耗!$AT781)</f>
        <v>5</v>
      </c>
      <c r="AO781" s="14">
        <f>INDEX(挂机升级突破!DS$6:DS$57,卡牌消耗!$AT781)</f>
        <v>10</v>
      </c>
      <c r="AP781" s="14">
        <f>INDEX(挂机升级突破!$DP$6:$DP$57,卡牌消耗!AT781)</f>
        <v>140</v>
      </c>
      <c r="AQ781" s="14" t="str">
        <f t="shared" si="406"/>
        <v>于禁</v>
      </c>
      <c r="AR781" s="14">
        <f t="shared" si="407"/>
        <v>2</v>
      </c>
      <c r="AS781" s="14" t="str">
        <f t="shared" si="408"/>
        <v>于禁魂火-49</v>
      </c>
      <c r="AT781" s="14">
        <f t="shared" si="409"/>
        <v>49</v>
      </c>
      <c r="AU781" s="14" t="str">
        <f>IF(AM781&gt;0,INDEX(挂机升级突破!$DT$4:$ED$4,AM781),"")</f>
        <v>金币</v>
      </c>
      <c r="AV781" s="14">
        <f>ROUND(INDEX(挂机升级突破!$DJ$6:$DJ$57,卡牌消耗!AT781)*INDEX(卡牌消耗!$B$8:$F$8,AR781)/$Q$4/50,0)*50</f>
        <v>57450</v>
      </c>
      <c r="AW781" s="14" t="str">
        <f>IF(AN781&gt;0,INDEX(挂机升级突破!$DT$4:$ED$4,AN781),"")</f>
        <v>红色基础材料</v>
      </c>
      <c r="AX781" s="14">
        <f>ROUND(INDEX(挂机升级突破!$DT$6:$ED$57,卡牌消耗!AT781,AN781)*INDEX(卡牌消耗!$B$5:$F$5,AR781)/$Q$4/5,0)*5</f>
        <v>10</v>
      </c>
      <c r="AY781" s="14" t="str">
        <f>IF(AO781&gt;0,INDEX(挂机升级突破!$DT$4:$ED$4,AO781),"")</f>
        <v>灵玉</v>
      </c>
      <c r="AZ781" s="14">
        <f>IF(AO781&gt;0,ROUND(INDEX(挂机升级突破!$DT$6:$ED$57,卡牌消耗!AT781,AO781)*INDEX(卡牌消耗!$B$7:$F$7,AR781)/$Q$4,0),"")</f>
        <v>1</v>
      </c>
    </row>
    <row r="782" spans="37:52" ht="16.5" x14ac:dyDescent="0.2">
      <c r="AK782" s="104">
        <v>778</v>
      </c>
      <c r="AL782" s="14">
        <f t="shared" si="405"/>
        <v>15</v>
      </c>
      <c r="AM782" s="14">
        <f>INDEX(挂机升级突破!DQ$6:DQ$57,卡牌消耗!$AT782)</f>
        <v>11</v>
      </c>
      <c r="AN782" s="14">
        <f>INDEX(挂机升级突破!DR$6:DR$57,卡牌消耗!$AT782)</f>
        <v>5</v>
      </c>
      <c r="AO782" s="14">
        <f>INDEX(挂机升级突破!DS$6:DS$57,卡牌消耗!$AT782)</f>
        <v>10</v>
      </c>
      <c r="AP782" s="14">
        <f>INDEX(挂机升级突破!$DP$6:$DP$57,卡牌消耗!AT782)</f>
        <v>143</v>
      </c>
      <c r="AQ782" s="14" t="str">
        <f t="shared" si="406"/>
        <v>于禁</v>
      </c>
      <c r="AR782" s="14">
        <f t="shared" si="407"/>
        <v>2</v>
      </c>
      <c r="AS782" s="14" t="str">
        <f t="shared" si="408"/>
        <v>于禁魂火-50</v>
      </c>
      <c r="AT782" s="14">
        <f t="shared" si="409"/>
        <v>50</v>
      </c>
      <c r="AU782" s="14" t="str">
        <f>IF(AM782&gt;0,INDEX(挂机升级突破!$DT$4:$ED$4,AM782),"")</f>
        <v>金币</v>
      </c>
      <c r="AV782" s="14">
        <f>ROUND(INDEX(挂机升级突破!$DJ$6:$DJ$57,卡牌消耗!AT782)*INDEX(卡牌消耗!$B$8:$F$8,AR782)/$Q$4/50,0)*50</f>
        <v>95750</v>
      </c>
      <c r="AW782" s="14" t="str">
        <f>IF(AN782&gt;0,INDEX(挂机升级突破!$DT$4:$ED$4,AN782),"")</f>
        <v>红色基础材料</v>
      </c>
      <c r="AX782" s="14">
        <f>ROUND(INDEX(挂机升级突破!$DT$6:$ED$57,卡牌消耗!AT782,AN782)*INDEX(卡牌消耗!$B$5:$F$5,AR782)/$Q$4/5,0)*5</f>
        <v>10</v>
      </c>
      <c r="AY782" s="14" t="str">
        <f>IF(AO782&gt;0,INDEX(挂机升级突破!$DT$4:$ED$4,AO782),"")</f>
        <v>灵玉</v>
      </c>
      <c r="AZ782" s="14">
        <f>IF(AO782&gt;0,ROUND(INDEX(挂机升级突破!$DT$6:$ED$57,卡牌消耗!AT782,AO782)*INDEX(卡牌消耗!$B$7:$F$7,AR782)/$Q$4,0),"")</f>
        <v>1</v>
      </c>
    </row>
    <row r="783" spans="37:52" ht="16.5" x14ac:dyDescent="0.2">
      <c r="AK783" s="104">
        <v>779</v>
      </c>
      <c r="AL783" s="14">
        <f t="shared" si="405"/>
        <v>15</v>
      </c>
      <c r="AM783" s="14">
        <f>INDEX(挂机升级突破!DQ$6:DQ$57,卡牌消耗!$AT783)</f>
        <v>11</v>
      </c>
      <c r="AN783" s="14">
        <f>INDEX(挂机升级突破!DR$6:DR$57,卡牌消耗!$AT783)</f>
        <v>5</v>
      </c>
      <c r="AO783" s="14">
        <f>INDEX(挂机升级突破!DS$6:DS$57,卡牌消耗!$AT783)</f>
        <v>10</v>
      </c>
      <c r="AP783" s="14">
        <f>INDEX(挂机升级突破!$DP$6:$DP$57,卡牌消耗!AT783)</f>
        <v>145</v>
      </c>
      <c r="AQ783" s="14" t="str">
        <f t="shared" si="406"/>
        <v>于禁</v>
      </c>
      <c r="AR783" s="14">
        <f t="shared" si="407"/>
        <v>2</v>
      </c>
      <c r="AS783" s="14" t="str">
        <f t="shared" si="408"/>
        <v>于禁魂火-51</v>
      </c>
      <c r="AT783" s="14">
        <f t="shared" si="409"/>
        <v>51</v>
      </c>
      <c r="AU783" s="14" t="str">
        <f>IF(AM783&gt;0,INDEX(挂机升级突破!$DT$4:$ED$4,AM783),"")</f>
        <v>金币</v>
      </c>
      <c r="AV783" s="14">
        <f>ROUND(INDEX(挂机升级突破!$DJ$6:$DJ$57,卡牌消耗!AT783)*INDEX(卡牌消耗!$B$8:$F$8,AR783)/$Q$4/50,0)*50</f>
        <v>105300</v>
      </c>
      <c r="AW783" s="14" t="str">
        <f>IF(AN783&gt;0,INDEX(挂机升级突破!$DT$4:$ED$4,AN783),"")</f>
        <v>红色基础材料</v>
      </c>
      <c r="AX783" s="14">
        <f>ROUND(INDEX(挂机升级突破!$DT$6:$ED$57,卡牌消耗!AT783,AN783)*INDEX(卡牌消耗!$B$5:$F$5,AR783)/$Q$4/5,0)*5</f>
        <v>10</v>
      </c>
      <c r="AY783" s="14" t="str">
        <f>IF(AO783&gt;0,INDEX(挂机升级突破!$DT$4:$ED$4,AO783),"")</f>
        <v>灵玉</v>
      </c>
      <c r="AZ783" s="14">
        <f>IF(AO783&gt;0,ROUND(INDEX(挂机升级突破!$DT$6:$ED$57,卡牌消耗!AT783,AO783)*INDEX(卡牌消耗!$B$7:$F$7,AR783)/$Q$4,0),"")</f>
        <v>1</v>
      </c>
    </row>
    <row r="784" spans="37:52" ht="16.5" x14ac:dyDescent="0.2">
      <c r="AK784" s="104">
        <v>780</v>
      </c>
      <c r="AL784" s="14">
        <f t="shared" si="405"/>
        <v>15</v>
      </c>
      <c r="AM784" s="14">
        <f>INDEX(挂机升级突破!DQ$6:DQ$57,卡牌消耗!$AT784)</f>
        <v>11</v>
      </c>
      <c r="AN784" s="14">
        <f>INDEX(挂机升级突破!DR$6:DR$57,卡牌消耗!$AT784)</f>
        <v>5</v>
      </c>
      <c r="AO784" s="14">
        <f>INDEX(挂机升级突破!DS$6:DS$57,卡牌消耗!$AT784)</f>
        <v>10</v>
      </c>
      <c r="AP784" s="14">
        <f>INDEX(挂机升级突破!$DP$6:$DP$57,卡牌消耗!AT784)</f>
        <v>148</v>
      </c>
      <c r="AQ784" s="14" t="str">
        <f t="shared" si="406"/>
        <v>于禁</v>
      </c>
      <c r="AR784" s="14">
        <f t="shared" si="407"/>
        <v>2</v>
      </c>
      <c r="AS784" s="14" t="str">
        <f t="shared" si="408"/>
        <v>于禁魂火-52</v>
      </c>
      <c r="AT784" s="14">
        <f t="shared" si="409"/>
        <v>52</v>
      </c>
      <c r="AU784" s="14" t="str">
        <f>IF(AM784&gt;0,INDEX(挂机升级突破!$DT$4:$ED$4,AM784),"")</f>
        <v>金币</v>
      </c>
      <c r="AV784" s="14">
        <f>ROUND(INDEX(挂机升级突破!$DJ$6:$DJ$57,卡牌消耗!AT784)*INDEX(卡牌消耗!$B$8:$F$8,AR784)/$Q$4/50,0)*50</f>
        <v>105300</v>
      </c>
      <c r="AW784" s="14" t="str">
        <f>IF(AN784&gt;0,INDEX(挂机升级突破!$DT$4:$ED$4,AN784),"")</f>
        <v>红色基础材料</v>
      </c>
      <c r="AX784" s="14">
        <f>ROUND(INDEX(挂机升级突破!$DT$6:$ED$57,卡牌消耗!AT784,AN784)*INDEX(卡牌消耗!$B$5:$F$5,AR784)/$Q$4/5,0)*5</f>
        <v>10</v>
      </c>
      <c r="AY784" s="14" t="str">
        <f>IF(AO784&gt;0,INDEX(挂机升级突破!$DT$4:$ED$4,AO784),"")</f>
        <v>灵玉</v>
      </c>
      <c r="AZ784" s="14">
        <f>IF(AO784&gt;0,ROUND(INDEX(挂机升级突破!$DT$6:$ED$57,卡牌消耗!AT784,AO784)*INDEX(卡牌消耗!$B$7:$F$7,AR784)/$Q$4,0),"")</f>
        <v>1</v>
      </c>
    </row>
    <row r="785" spans="37:52" ht="16.5" x14ac:dyDescent="0.2">
      <c r="AK785" s="104">
        <v>781</v>
      </c>
      <c r="AL785" s="14">
        <f t="shared" si="405"/>
        <v>16</v>
      </c>
      <c r="AM785" s="14">
        <f>INDEX(挂机升级突破!DQ$6:DQ$57,卡牌消耗!$AT785)</f>
        <v>11</v>
      </c>
      <c r="AN785" s="14">
        <f>INDEX(挂机升级突破!DR$6:DR$57,卡牌消耗!$AT785)</f>
        <v>1</v>
      </c>
      <c r="AO785" s="14">
        <f>INDEX(挂机升级突破!DS$6:DS$57,卡牌消耗!$AT785)</f>
        <v>0</v>
      </c>
      <c r="AP785" s="14">
        <f>INDEX(挂机升级突破!$DP$6:$DP$57,卡牌消耗!AT785)</f>
        <v>3</v>
      </c>
      <c r="AQ785" s="14" t="str">
        <f t="shared" si="406"/>
        <v>西方龙</v>
      </c>
      <c r="AR785" s="14">
        <f t="shared" si="407"/>
        <v>4</v>
      </c>
      <c r="AS785" s="14" t="str">
        <f t="shared" si="408"/>
        <v>西方龙魂火-1</v>
      </c>
      <c r="AT785" s="14">
        <f t="shared" si="409"/>
        <v>1</v>
      </c>
      <c r="AU785" s="14" t="str">
        <f>IF(AM785&gt;0,INDEX(挂机升级突破!$DT$4:$ED$4,AM785),"")</f>
        <v>金币</v>
      </c>
      <c r="AV785" s="14">
        <f>ROUND(INDEX(挂机升级突破!$DJ$6:$DJ$57,卡牌消耗!AT785)*INDEX(卡牌消耗!$B$8:$F$8,AR785)/$Q$4/50,0)*50</f>
        <v>1300</v>
      </c>
      <c r="AW785" s="14" t="str">
        <f>IF(AN785&gt;0,INDEX(挂机升级突破!$DT$4:$ED$4,AN785),"")</f>
        <v>绿色基础材料</v>
      </c>
      <c r="AX785" s="14">
        <f>ROUND(INDEX(挂机升级突破!$DT$6:$ED$57,卡牌消耗!AT785,AN785)*INDEX(卡牌消耗!$B$5:$F$5,AR785)/$Q$4/5,0)*5</f>
        <v>30</v>
      </c>
      <c r="AY785" s="14" t="str">
        <f>IF(AO785&gt;0,INDEX(挂机升级突破!$DT$4:$ED$4,AO785),"")</f>
        <v/>
      </c>
      <c r="AZ785" s="14" t="str">
        <f>IF(AO785&gt;0,ROUND(INDEX(挂机升级突破!$DT$6:$ED$57,卡牌消耗!AT785,AO785)*INDEX(卡牌消耗!$B$7:$F$7,AR785)/$Q$4,0),"")</f>
        <v/>
      </c>
    </row>
    <row r="786" spans="37:52" ht="16.5" x14ac:dyDescent="0.2">
      <c r="AK786" s="104">
        <v>782</v>
      </c>
      <c r="AL786" s="14">
        <f t="shared" si="405"/>
        <v>16</v>
      </c>
      <c r="AM786" s="14">
        <f>INDEX(挂机升级突破!DQ$6:DQ$57,卡牌消耗!$AT786)</f>
        <v>11</v>
      </c>
      <c r="AN786" s="14">
        <f>INDEX(挂机升级突破!DR$6:DR$57,卡牌消耗!$AT786)</f>
        <v>1</v>
      </c>
      <c r="AO786" s="14">
        <f>INDEX(挂机升级突破!DS$6:DS$57,卡牌消耗!$AT786)</f>
        <v>0</v>
      </c>
      <c r="AP786" s="14">
        <f>INDEX(挂机升级突破!$DP$6:$DP$57,卡牌消耗!AT786)</f>
        <v>8</v>
      </c>
      <c r="AQ786" s="14" t="str">
        <f t="shared" si="406"/>
        <v>西方龙</v>
      </c>
      <c r="AR786" s="14">
        <f t="shared" si="407"/>
        <v>4</v>
      </c>
      <c r="AS786" s="14" t="str">
        <f t="shared" si="408"/>
        <v>西方龙魂火-2</v>
      </c>
      <c r="AT786" s="14">
        <f t="shared" si="409"/>
        <v>2</v>
      </c>
      <c r="AU786" s="14" t="str">
        <f>IF(AM786&gt;0,INDEX(挂机升级突破!$DT$4:$ED$4,AM786),"")</f>
        <v>金币</v>
      </c>
      <c r="AV786" s="14">
        <f>ROUND(INDEX(挂机升级突破!$DJ$6:$DJ$57,卡牌消耗!AT786)*INDEX(卡牌消耗!$B$8:$F$8,AR786)/$Q$4/50,0)*50</f>
        <v>1550</v>
      </c>
      <c r="AW786" s="14" t="str">
        <f>IF(AN786&gt;0,INDEX(挂机升级突破!$DT$4:$ED$4,AN786),"")</f>
        <v>绿色基础材料</v>
      </c>
      <c r="AX786" s="14">
        <f>ROUND(INDEX(挂机升级突破!$DT$6:$ED$57,卡牌消耗!AT786,AN786)*INDEX(卡牌消耗!$B$5:$F$5,AR786)/$Q$4/5,0)*5</f>
        <v>105</v>
      </c>
      <c r="AY786" s="14" t="str">
        <f>IF(AO786&gt;0,INDEX(挂机升级突破!$DT$4:$ED$4,AO786),"")</f>
        <v/>
      </c>
      <c r="AZ786" s="14" t="str">
        <f>IF(AO786&gt;0,ROUND(INDEX(挂机升级突破!$DT$6:$ED$57,卡牌消耗!AT786,AO786)*INDEX(卡牌消耗!$B$7:$F$7,AR786)/$Q$4,0),"")</f>
        <v/>
      </c>
    </row>
    <row r="787" spans="37:52" ht="16.5" x14ac:dyDescent="0.2">
      <c r="AK787" s="104">
        <v>783</v>
      </c>
      <c r="AL787" s="14">
        <f t="shared" si="405"/>
        <v>16</v>
      </c>
      <c r="AM787" s="14">
        <f>INDEX(挂机升级突破!DQ$6:DQ$57,卡牌消耗!$AT787)</f>
        <v>11</v>
      </c>
      <c r="AN787" s="14">
        <f>INDEX(挂机升级突破!DR$6:DR$57,卡牌消耗!$AT787)</f>
        <v>1</v>
      </c>
      <c r="AO787" s="14">
        <f>INDEX(挂机升级突破!DS$6:DS$57,卡牌消耗!$AT787)</f>
        <v>0</v>
      </c>
      <c r="AP787" s="14">
        <f>INDEX(挂机升级突破!$DP$6:$DP$57,卡牌消耗!AT787)</f>
        <v>13</v>
      </c>
      <c r="AQ787" s="14" t="str">
        <f t="shared" si="406"/>
        <v>西方龙</v>
      </c>
      <c r="AR787" s="14">
        <f t="shared" si="407"/>
        <v>4</v>
      </c>
      <c r="AS787" s="14" t="str">
        <f t="shared" si="408"/>
        <v>西方龙魂火-3</v>
      </c>
      <c r="AT787" s="14">
        <f t="shared" si="409"/>
        <v>3</v>
      </c>
      <c r="AU787" s="14" t="str">
        <f>IF(AM787&gt;0,INDEX(挂机升级突破!$DT$4:$ED$4,AM787),"")</f>
        <v>金币</v>
      </c>
      <c r="AV787" s="14">
        <f>ROUND(INDEX(挂机升级突破!$DJ$6:$DJ$57,卡牌消耗!AT787)*INDEX(卡牌消耗!$B$8:$F$8,AR787)/$Q$4/50,0)*50</f>
        <v>1550</v>
      </c>
      <c r="AW787" s="14" t="str">
        <f>IF(AN787&gt;0,INDEX(挂机升级突破!$DT$4:$ED$4,AN787),"")</f>
        <v>绿色基础材料</v>
      </c>
      <c r="AX787" s="14">
        <f>ROUND(INDEX(挂机升级突破!$DT$6:$ED$57,卡牌消耗!AT787,AN787)*INDEX(卡牌消耗!$B$5:$F$5,AR787)/$Q$4/5,0)*5</f>
        <v>125</v>
      </c>
      <c r="AY787" s="14" t="str">
        <f>IF(AO787&gt;0,INDEX(挂机升级突破!$DT$4:$ED$4,AO787),"")</f>
        <v/>
      </c>
      <c r="AZ787" s="14" t="str">
        <f>IF(AO787&gt;0,ROUND(INDEX(挂机升级突破!$DT$6:$ED$57,卡牌消耗!AT787,AO787)*INDEX(卡牌消耗!$B$7:$F$7,AR787)/$Q$4,0),"")</f>
        <v/>
      </c>
    </row>
    <row r="788" spans="37:52" ht="16.5" x14ac:dyDescent="0.2">
      <c r="AK788" s="104">
        <v>784</v>
      </c>
      <c r="AL788" s="14">
        <f t="shared" si="405"/>
        <v>16</v>
      </c>
      <c r="AM788" s="14">
        <f>INDEX(挂机升级突破!DQ$6:DQ$57,卡牌消耗!$AT788)</f>
        <v>11</v>
      </c>
      <c r="AN788" s="14">
        <f>INDEX(挂机升级突破!DR$6:DR$57,卡牌消耗!$AT788)</f>
        <v>1</v>
      </c>
      <c r="AO788" s="14">
        <f>INDEX(挂机升级突破!DS$6:DS$57,卡牌消耗!$AT788)</f>
        <v>0</v>
      </c>
      <c r="AP788" s="14">
        <f>INDEX(挂机升级突破!$DP$6:$DP$57,卡牌消耗!AT788)</f>
        <v>18</v>
      </c>
      <c r="AQ788" s="14" t="str">
        <f t="shared" si="406"/>
        <v>西方龙</v>
      </c>
      <c r="AR788" s="14">
        <f t="shared" si="407"/>
        <v>4</v>
      </c>
      <c r="AS788" s="14" t="str">
        <f t="shared" si="408"/>
        <v>西方龙魂火-4</v>
      </c>
      <c r="AT788" s="14">
        <f t="shared" si="409"/>
        <v>4</v>
      </c>
      <c r="AU788" s="14" t="str">
        <f>IF(AM788&gt;0,INDEX(挂机升级突破!$DT$4:$ED$4,AM788),"")</f>
        <v>金币</v>
      </c>
      <c r="AV788" s="14">
        <f>ROUND(INDEX(挂机升级突破!$DJ$6:$DJ$57,卡牌消耗!AT788)*INDEX(卡牌消耗!$B$8:$F$8,AR788)/$Q$4/50,0)*50</f>
        <v>1550</v>
      </c>
      <c r="AW788" s="14" t="str">
        <f>IF(AN788&gt;0,INDEX(挂机升级突破!$DT$4:$ED$4,AN788),"")</f>
        <v>绿色基础材料</v>
      </c>
      <c r="AX788" s="14">
        <f>ROUND(INDEX(挂机升级突破!$DT$6:$ED$57,卡牌消耗!AT788,AN788)*INDEX(卡牌消耗!$B$5:$F$5,AR788)/$Q$4/5,0)*5</f>
        <v>170</v>
      </c>
      <c r="AY788" s="14" t="str">
        <f>IF(AO788&gt;0,INDEX(挂机升级突破!$DT$4:$ED$4,AO788),"")</f>
        <v/>
      </c>
      <c r="AZ788" s="14" t="str">
        <f>IF(AO788&gt;0,ROUND(INDEX(挂机升级突破!$DT$6:$ED$57,卡牌消耗!AT788,AO788)*INDEX(卡牌消耗!$B$7:$F$7,AR788)/$Q$4,0),"")</f>
        <v/>
      </c>
    </row>
    <row r="789" spans="37:52" ht="16.5" x14ac:dyDescent="0.2">
      <c r="AK789" s="104">
        <v>785</v>
      </c>
      <c r="AL789" s="14">
        <f t="shared" si="405"/>
        <v>16</v>
      </c>
      <c r="AM789" s="14">
        <f>INDEX(挂机升级突破!DQ$6:DQ$57,卡牌消耗!$AT789)</f>
        <v>11</v>
      </c>
      <c r="AN789" s="14">
        <f>INDEX(挂机升级突破!DR$6:DR$57,卡牌消耗!$AT789)</f>
        <v>1</v>
      </c>
      <c r="AO789" s="14">
        <f>INDEX(挂机升级突破!DS$6:DS$57,卡牌消耗!$AT789)</f>
        <v>0</v>
      </c>
      <c r="AP789" s="14">
        <f>INDEX(挂机升级突破!$DP$6:$DP$57,卡牌消耗!AT789)</f>
        <v>23</v>
      </c>
      <c r="AQ789" s="14" t="str">
        <f t="shared" si="406"/>
        <v>西方龙</v>
      </c>
      <c r="AR789" s="14">
        <f t="shared" si="407"/>
        <v>4</v>
      </c>
      <c r="AS789" s="14" t="str">
        <f t="shared" si="408"/>
        <v>西方龙魂火-5</v>
      </c>
      <c r="AT789" s="14">
        <f t="shared" si="409"/>
        <v>5</v>
      </c>
      <c r="AU789" s="14" t="str">
        <f>IF(AM789&gt;0,INDEX(挂机升级突破!$DT$4:$ED$4,AM789),"")</f>
        <v>金币</v>
      </c>
      <c r="AV789" s="14">
        <f>ROUND(INDEX(挂机升级突破!$DJ$6:$DJ$57,卡牌消耗!AT789)*INDEX(卡牌消耗!$B$8:$F$8,AR789)/$Q$4/50,0)*50</f>
        <v>1550</v>
      </c>
      <c r="AW789" s="14" t="str">
        <f>IF(AN789&gt;0,INDEX(挂机升级突破!$DT$4:$ED$4,AN789),"")</f>
        <v>绿色基础材料</v>
      </c>
      <c r="AX789" s="14">
        <f>ROUND(INDEX(挂机升级突破!$DT$6:$ED$57,卡牌消耗!AT789,AN789)*INDEX(卡牌消耗!$B$5:$F$5,AR789)/$Q$4/5,0)*5</f>
        <v>185</v>
      </c>
      <c r="AY789" s="14" t="str">
        <f>IF(AO789&gt;0,INDEX(挂机升级突破!$DT$4:$ED$4,AO789),"")</f>
        <v/>
      </c>
      <c r="AZ789" s="14" t="str">
        <f>IF(AO789&gt;0,ROUND(INDEX(挂机升级突破!$DT$6:$ED$57,卡牌消耗!AT789,AO789)*INDEX(卡牌消耗!$B$7:$F$7,AR789)/$Q$4,0),"")</f>
        <v/>
      </c>
    </row>
    <row r="790" spans="37:52" ht="16.5" x14ac:dyDescent="0.2">
      <c r="AK790" s="104">
        <v>786</v>
      </c>
      <c r="AL790" s="14">
        <f t="shared" si="405"/>
        <v>16</v>
      </c>
      <c r="AM790" s="14">
        <f>INDEX(挂机升级突破!DQ$6:DQ$57,卡牌消耗!$AT790)</f>
        <v>11</v>
      </c>
      <c r="AN790" s="14">
        <f>INDEX(挂机升级突破!DR$6:DR$57,卡牌消耗!$AT790)</f>
        <v>2</v>
      </c>
      <c r="AO790" s="14">
        <f>INDEX(挂机升级突破!DS$6:DS$57,卡牌消耗!$AT790)</f>
        <v>0</v>
      </c>
      <c r="AP790" s="14">
        <f>INDEX(挂机升级突破!$DP$6:$DP$57,卡牌消耗!AT790)</f>
        <v>28</v>
      </c>
      <c r="AQ790" s="14" t="str">
        <f t="shared" si="406"/>
        <v>西方龙</v>
      </c>
      <c r="AR790" s="14">
        <f t="shared" si="407"/>
        <v>4</v>
      </c>
      <c r="AS790" s="14" t="str">
        <f t="shared" si="408"/>
        <v>西方龙魂火-6</v>
      </c>
      <c r="AT790" s="14">
        <f t="shared" si="409"/>
        <v>6</v>
      </c>
      <c r="AU790" s="14" t="str">
        <f>IF(AM790&gt;0,INDEX(挂机升级突破!$DT$4:$ED$4,AM790),"")</f>
        <v>金币</v>
      </c>
      <c r="AV790" s="14">
        <f>ROUND(INDEX(挂机升级突破!$DJ$6:$DJ$57,卡牌消耗!AT790)*INDEX(卡牌消耗!$B$8:$F$8,AR790)/$Q$4/50,0)*50</f>
        <v>1900</v>
      </c>
      <c r="AW790" s="14" t="str">
        <f>IF(AN790&gt;0,INDEX(挂机升级突破!$DT$4:$ED$4,AN790),"")</f>
        <v>蓝色基础材料</v>
      </c>
      <c r="AX790" s="14">
        <f>ROUND(INDEX(挂机升级突破!$DT$6:$ED$57,卡牌消耗!AT790,AN790)*INDEX(卡牌消耗!$B$5:$F$5,AR790)/$Q$4/5,0)*5</f>
        <v>35</v>
      </c>
      <c r="AY790" s="14" t="str">
        <f>IF(AO790&gt;0,INDEX(挂机升级突破!$DT$4:$ED$4,AO790),"")</f>
        <v/>
      </c>
      <c r="AZ790" s="14" t="str">
        <f>IF(AO790&gt;0,ROUND(INDEX(挂机升级突破!$DT$6:$ED$57,卡牌消耗!AT790,AO790)*INDEX(卡牌消耗!$B$7:$F$7,AR790)/$Q$4,0),"")</f>
        <v/>
      </c>
    </row>
    <row r="791" spans="37:52" ht="16.5" x14ac:dyDescent="0.2">
      <c r="AK791" s="104">
        <v>787</v>
      </c>
      <c r="AL791" s="14">
        <f t="shared" si="405"/>
        <v>16</v>
      </c>
      <c r="AM791" s="14">
        <f>INDEX(挂机升级突破!DQ$6:DQ$57,卡牌消耗!$AT791)</f>
        <v>11</v>
      </c>
      <c r="AN791" s="14">
        <f>INDEX(挂机升级突破!DR$6:DR$57,卡牌消耗!$AT791)</f>
        <v>2</v>
      </c>
      <c r="AO791" s="14">
        <f>INDEX(挂机升级突破!DS$6:DS$57,卡牌消耗!$AT791)</f>
        <v>0</v>
      </c>
      <c r="AP791" s="14">
        <f>INDEX(挂机升级突破!$DP$6:$DP$57,卡牌消耗!AT791)</f>
        <v>33</v>
      </c>
      <c r="AQ791" s="14" t="str">
        <f t="shared" si="406"/>
        <v>西方龙</v>
      </c>
      <c r="AR791" s="14">
        <f t="shared" si="407"/>
        <v>4</v>
      </c>
      <c r="AS791" s="14" t="str">
        <f t="shared" si="408"/>
        <v>西方龙魂火-7</v>
      </c>
      <c r="AT791" s="14">
        <f t="shared" si="409"/>
        <v>7</v>
      </c>
      <c r="AU791" s="14" t="str">
        <f>IF(AM791&gt;0,INDEX(挂机升级突破!$DT$4:$ED$4,AM791),"")</f>
        <v>金币</v>
      </c>
      <c r="AV791" s="14">
        <f>ROUND(INDEX(挂机升级突破!$DJ$6:$DJ$57,卡牌消耗!AT791)*INDEX(卡牌消耗!$B$8:$F$8,AR791)/$Q$4/50,0)*50</f>
        <v>1900</v>
      </c>
      <c r="AW791" s="14" t="str">
        <f>IF(AN791&gt;0,INDEX(挂机升级突破!$DT$4:$ED$4,AN791),"")</f>
        <v>蓝色基础材料</v>
      </c>
      <c r="AX791" s="14">
        <f>ROUND(INDEX(挂机升级突破!$DT$6:$ED$57,卡牌消耗!AT791,AN791)*INDEX(卡牌消耗!$B$5:$F$5,AR791)/$Q$4/5,0)*5</f>
        <v>35</v>
      </c>
      <c r="AY791" s="14" t="str">
        <f>IF(AO791&gt;0,INDEX(挂机升级突破!$DT$4:$ED$4,AO791),"")</f>
        <v/>
      </c>
      <c r="AZ791" s="14" t="str">
        <f>IF(AO791&gt;0,ROUND(INDEX(挂机升级突破!$DT$6:$ED$57,卡牌消耗!AT791,AO791)*INDEX(卡牌消耗!$B$7:$F$7,AR791)/$Q$4,0),"")</f>
        <v/>
      </c>
    </row>
    <row r="792" spans="37:52" ht="16.5" x14ac:dyDescent="0.2">
      <c r="AK792" s="104">
        <v>788</v>
      </c>
      <c r="AL792" s="14">
        <f t="shared" si="405"/>
        <v>16</v>
      </c>
      <c r="AM792" s="14">
        <f>INDEX(挂机升级突破!DQ$6:DQ$57,卡牌消耗!$AT792)</f>
        <v>11</v>
      </c>
      <c r="AN792" s="14">
        <f>INDEX(挂机升级突破!DR$6:DR$57,卡牌消耗!$AT792)</f>
        <v>2</v>
      </c>
      <c r="AO792" s="14">
        <f>INDEX(挂机升级突破!DS$6:DS$57,卡牌消耗!$AT792)</f>
        <v>0</v>
      </c>
      <c r="AP792" s="14">
        <f>INDEX(挂机升级突破!$DP$6:$DP$57,卡牌消耗!AT792)</f>
        <v>38</v>
      </c>
      <c r="AQ792" s="14" t="str">
        <f t="shared" si="406"/>
        <v>西方龙</v>
      </c>
      <c r="AR792" s="14">
        <f t="shared" si="407"/>
        <v>4</v>
      </c>
      <c r="AS792" s="14" t="str">
        <f t="shared" si="408"/>
        <v>西方龙魂火-8</v>
      </c>
      <c r="AT792" s="14">
        <f t="shared" si="409"/>
        <v>8</v>
      </c>
      <c r="AU792" s="14" t="str">
        <f>IF(AM792&gt;0,INDEX(挂机升级突破!$DT$4:$ED$4,AM792),"")</f>
        <v>金币</v>
      </c>
      <c r="AV792" s="14">
        <f>ROUND(INDEX(挂机升级突破!$DJ$6:$DJ$57,卡牌消耗!AT792)*INDEX(卡牌消耗!$B$8:$F$8,AR792)/$Q$4/50,0)*50</f>
        <v>2850</v>
      </c>
      <c r="AW792" s="14" t="str">
        <f>IF(AN792&gt;0,INDEX(挂机升级突破!$DT$4:$ED$4,AN792),"")</f>
        <v>蓝色基础材料</v>
      </c>
      <c r="AX792" s="14">
        <f>ROUND(INDEX(挂机升级突破!$DT$6:$ED$57,卡牌消耗!AT792,AN792)*INDEX(卡牌消耗!$B$5:$F$5,AR792)/$Q$4/5,0)*5</f>
        <v>70</v>
      </c>
      <c r="AY792" s="14" t="str">
        <f>IF(AO792&gt;0,INDEX(挂机升级突破!$DT$4:$ED$4,AO792),"")</f>
        <v/>
      </c>
      <c r="AZ792" s="14" t="str">
        <f>IF(AO792&gt;0,ROUND(INDEX(挂机升级突破!$DT$6:$ED$57,卡牌消耗!AT792,AO792)*INDEX(卡牌消耗!$B$7:$F$7,AR792)/$Q$4,0),"")</f>
        <v/>
      </c>
    </row>
    <row r="793" spans="37:52" ht="16.5" x14ac:dyDescent="0.2">
      <c r="AK793" s="104">
        <v>789</v>
      </c>
      <c r="AL793" s="14">
        <f t="shared" si="405"/>
        <v>16</v>
      </c>
      <c r="AM793" s="14">
        <f>INDEX(挂机升级突破!DQ$6:DQ$57,卡牌消耗!$AT793)</f>
        <v>11</v>
      </c>
      <c r="AN793" s="14">
        <f>INDEX(挂机升级突破!DR$6:DR$57,卡牌消耗!$AT793)</f>
        <v>2</v>
      </c>
      <c r="AO793" s="14">
        <f>INDEX(挂机升级突破!DS$6:DS$57,卡牌消耗!$AT793)</f>
        <v>0</v>
      </c>
      <c r="AP793" s="14">
        <f>INDEX(挂机升级突破!$DP$6:$DP$57,卡牌消耗!AT793)</f>
        <v>40</v>
      </c>
      <c r="AQ793" s="14" t="str">
        <f t="shared" si="406"/>
        <v>西方龙</v>
      </c>
      <c r="AR793" s="14">
        <f t="shared" si="407"/>
        <v>4</v>
      </c>
      <c r="AS793" s="14" t="str">
        <f t="shared" si="408"/>
        <v>西方龙魂火-9</v>
      </c>
      <c r="AT793" s="14">
        <f t="shared" si="409"/>
        <v>9</v>
      </c>
      <c r="AU793" s="14" t="str">
        <f>IF(AM793&gt;0,INDEX(挂机升级突破!$DT$4:$ED$4,AM793),"")</f>
        <v>金币</v>
      </c>
      <c r="AV793" s="14">
        <f>ROUND(INDEX(挂机升级突破!$DJ$6:$DJ$57,卡牌消耗!AT793)*INDEX(卡牌消耗!$B$8:$F$8,AR793)/$Q$4/50,0)*50</f>
        <v>2850</v>
      </c>
      <c r="AW793" s="14" t="str">
        <f>IF(AN793&gt;0,INDEX(挂机升级突破!$DT$4:$ED$4,AN793),"")</f>
        <v>蓝色基础材料</v>
      </c>
      <c r="AX793" s="14">
        <f>ROUND(INDEX(挂机升级突破!$DT$6:$ED$57,卡牌消耗!AT793,AN793)*INDEX(卡牌消耗!$B$5:$F$5,AR793)/$Q$4/5,0)*5</f>
        <v>70</v>
      </c>
      <c r="AY793" s="14" t="str">
        <f>IF(AO793&gt;0,INDEX(挂机升级突破!$DT$4:$ED$4,AO793),"")</f>
        <v/>
      </c>
      <c r="AZ793" s="14" t="str">
        <f>IF(AO793&gt;0,ROUND(INDEX(挂机升级突破!$DT$6:$ED$57,卡牌消耗!AT793,AO793)*INDEX(卡牌消耗!$B$7:$F$7,AR793)/$Q$4,0),"")</f>
        <v/>
      </c>
    </row>
    <row r="794" spans="37:52" ht="16.5" x14ac:dyDescent="0.2">
      <c r="AK794" s="104">
        <v>790</v>
      </c>
      <c r="AL794" s="14">
        <f t="shared" si="405"/>
        <v>16</v>
      </c>
      <c r="AM794" s="14">
        <f>INDEX(挂机升级突破!DQ$6:DQ$57,卡牌消耗!$AT794)</f>
        <v>11</v>
      </c>
      <c r="AN794" s="14">
        <f>INDEX(挂机升级突破!DR$6:DR$57,卡牌消耗!$AT794)</f>
        <v>2</v>
      </c>
      <c r="AO794" s="14">
        <f>INDEX(挂机升级突破!DS$6:DS$57,卡牌消耗!$AT794)</f>
        <v>0</v>
      </c>
      <c r="AP794" s="14">
        <f>INDEX(挂机升级突破!$DP$6:$DP$57,卡牌消耗!AT794)</f>
        <v>43</v>
      </c>
      <c r="AQ794" s="14" t="str">
        <f t="shared" si="406"/>
        <v>西方龙</v>
      </c>
      <c r="AR794" s="14">
        <f t="shared" si="407"/>
        <v>4</v>
      </c>
      <c r="AS794" s="14" t="str">
        <f t="shared" si="408"/>
        <v>西方龙魂火-10</v>
      </c>
      <c r="AT794" s="14">
        <f t="shared" si="409"/>
        <v>10</v>
      </c>
      <c r="AU794" s="14" t="str">
        <f>IF(AM794&gt;0,INDEX(挂机升级突破!$DT$4:$ED$4,AM794),"")</f>
        <v>金币</v>
      </c>
      <c r="AV794" s="14">
        <f>ROUND(INDEX(挂机升级突破!$DJ$6:$DJ$57,卡牌消耗!AT794)*INDEX(卡牌消耗!$B$8:$F$8,AR794)/$Q$4/50,0)*50</f>
        <v>4750</v>
      </c>
      <c r="AW794" s="14" t="str">
        <f>IF(AN794&gt;0,INDEX(挂机升级突破!$DT$4:$ED$4,AN794),"")</f>
        <v>蓝色基础材料</v>
      </c>
      <c r="AX794" s="14">
        <f>ROUND(INDEX(挂机升级突破!$DT$6:$ED$57,卡牌消耗!AT794,AN794)*INDEX(卡牌消耗!$B$5:$F$5,AR794)/$Q$4/5,0)*5</f>
        <v>105</v>
      </c>
      <c r="AY794" s="14" t="str">
        <f>IF(AO794&gt;0,INDEX(挂机升级突破!$DT$4:$ED$4,AO794),"")</f>
        <v/>
      </c>
      <c r="AZ794" s="14" t="str">
        <f>IF(AO794&gt;0,ROUND(INDEX(挂机升级突破!$DT$6:$ED$57,卡牌消耗!AT794,AO794)*INDEX(卡牌消耗!$B$7:$F$7,AR794)/$Q$4,0),"")</f>
        <v/>
      </c>
    </row>
    <row r="795" spans="37:52" ht="16.5" x14ac:dyDescent="0.2">
      <c r="AK795" s="104">
        <v>791</v>
      </c>
      <c r="AL795" s="14">
        <f t="shared" si="405"/>
        <v>16</v>
      </c>
      <c r="AM795" s="14">
        <f>INDEX(挂机升级突破!DQ$6:DQ$57,卡牌消耗!$AT795)</f>
        <v>11</v>
      </c>
      <c r="AN795" s="14">
        <f>INDEX(挂机升级突破!DR$6:DR$57,卡牌消耗!$AT795)</f>
        <v>2</v>
      </c>
      <c r="AO795" s="14">
        <f>INDEX(挂机升级突破!DS$6:DS$57,卡牌消耗!$AT795)</f>
        <v>0</v>
      </c>
      <c r="AP795" s="14">
        <f>INDEX(挂机升级突破!$DP$6:$DP$57,卡牌消耗!AT795)</f>
        <v>45</v>
      </c>
      <c r="AQ795" s="14" t="str">
        <f t="shared" si="406"/>
        <v>西方龙</v>
      </c>
      <c r="AR795" s="14">
        <f t="shared" si="407"/>
        <v>4</v>
      </c>
      <c r="AS795" s="14" t="str">
        <f t="shared" si="408"/>
        <v>西方龙魂火-11</v>
      </c>
      <c r="AT795" s="14">
        <f t="shared" si="409"/>
        <v>11</v>
      </c>
      <c r="AU795" s="14" t="str">
        <f>IF(AM795&gt;0,INDEX(挂机升级突破!$DT$4:$ED$4,AM795),"")</f>
        <v>金币</v>
      </c>
      <c r="AV795" s="14">
        <f>ROUND(INDEX(挂机升级突破!$DJ$6:$DJ$57,卡牌消耗!AT795)*INDEX(卡牌消耗!$B$8:$F$8,AR795)/$Q$4/50,0)*50</f>
        <v>4750</v>
      </c>
      <c r="AW795" s="14" t="str">
        <f>IF(AN795&gt;0,INDEX(挂机升级突破!$DT$4:$ED$4,AN795),"")</f>
        <v>蓝色基础材料</v>
      </c>
      <c r="AX795" s="14">
        <f>ROUND(INDEX(挂机升级突破!$DT$6:$ED$57,卡牌消耗!AT795,AN795)*INDEX(卡牌消耗!$B$5:$F$5,AR795)/$Q$4/5,0)*5</f>
        <v>105</v>
      </c>
      <c r="AY795" s="14" t="str">
        <f>IF(AO795&gt;0,INDEX(挂机升级突破!$DT$4:$ED$4,AO795),"")</f>
        <v/>
      </c>
      <c r="AZ795" s="14" t="str">
        <f>IF(AO795&gt;0,ROUND(INDEX(挂机升级突破!$DT$6:$ED$57,卡牌消耗!AT795,AO795)*INDEX(卡牌消耗!$B$7:$F$7,AR795)/$Q$4,0),"")</f>
        <v/>
      </c>
    </row>
    <row r="796" spans="37:52" ht="16.5" x14ac:dyDescent="0.2">
      <c r="AK796" s="104">
        <v>792</v>
      </c>
      <c r="AL796" s="14">
        <f t="shared" si="405"/>
        <v>16</v>
      </c>
      <c r="AM796" s="14">
        <f>INDEX(挂机升级突破!DQ$6:DQ$57,卡牌消耗!$AT796)</f>
        <v>11</v>
      </c>
      <c r="AN796" s="14">
        <f>INDEX(挂机升级突破!DR$6:DR$57,卡牌消耗!$AT796)</f>
        <v>2</v>
      </c>
      <c r="AO796" s="14">
        <f>INDEX(挂机升级突破!DS$6:DS$57,卡牌消耗!$AT796)</f>
        <v>0</v>
      </c>
      <c r="AP796" s="14">
        <f>INDEX(挂机升级突破!$DP$6:$DP$57,卡牌消耗!AT796)</f>
        <v>48</v>
      </c>
      <c r="AQ796" s="14" t="str">
        <f t="shared" si="406"/>
        <v>西方龙</v>
      </c>
      <c r="AR796" s="14">
        <f t="shared" si="407"/>
        <v>4</v>
      </c>
      <c r="AS796" s="14" t="str">
        <f t="shared" si="408"/>
        <v>西方龙魂火-12</v>
      </c>
      <c r="AT796" s="14">
        <f t="shared" si="409"/>
        <v>12</v>
      </c>
      <c r="AU796" s="14" t="str">
        <f>IF(AM796&gt;0,INDEX(挂机升级突破!$DT$4:$ED$4,AM796),"")</f>
        <v>金币</v>
      </c>
      <c r="AV796" s="14">
        <f>ROUND(INDEX(挂机升级突破!$DJ$6:$DJ$57,卡牌消耗!AT796)*INDEX(卡牌消耗!$B$8:$F$8,AR796)/$Q$4/50,0)*50</f>
        <v>4100</v>
      </c>
      <c r="AW796" s="14" t="str">
        <f>IF(AN796&gt;0,INDEX(挂机升级突破!$DT$4:$ED$4,AN796),"")</f>
        <v>蓝色基础材料</v>
      </c>
      <c r="AX796" s="14">
        <f>ROUND(INDEX(挂机升级突破!$DT$6:$ED$57,卡牌消耗!AT796,AN796)*INDEX(卡牌消耗!$B$5:$F$5,AR796)/$Q$4/5,0)*5</f>
        <v>140</v>
      </c>
      <c r="AY796" s="14" t="str">
        <f>IF(AO796&gt;0,INDEX(挂机升级突破!$DT$4:$ED$4,AO796),"")</f>
        <v/>
      </c>
      <c r="AZ796" s="14" t="str">
        <f>IF(AO796&gt;0,ROUND(INDEX(挂机升级突破!$DT$6:$ED$57,卡牌消耗!AT796,AO796)*INDEX(卡牌消耗!$B$7:$F$7,AR796)/$Q$4,0),"")</f>
        <v/>
      </c>
    </row>
    <row r="797" spans="37:52" ht="16.5" x14ac:dyDescent="0.2">
      <c r="AK797" s="104">
        <v>793</v>
      </c>
      <c r="AL797" s="14">
        <f t="shared" si="405"/>
        <v>16</v>
      </c>
      <c r="AM797" s="14">
        <f>INDEX(挂机升级突破!DQ$6:DQ$57,卡牌消耗!$AT797)</f>
        <v>11</v>
      </c>
      <c r="AN797" s="14">
        <f>INDEX(挂机升级突破!DR$6:DR$57,卡牌消耗!$AT797)</f>
        <v>2</v>
      </c>
      <c r="AO797" s="14">
        <f>INDEX(挂机升级突破!DS$6:DS$57,卡牌消耗!$AT797)</f>
        <v>0</v>
      </c>
      <c r="AP797" s="14">
        <f>INDEX(挂机升级突破!$DP$6:$DP$57,卡牌消耗!AT797)</f>
        <v>50</v>
      </c>
      <c r="AQ797" s="14" t="str">
        <f t="shared" si="406"/>
        <v>西方龙</v>
      </c>
      <c r="AR797" s="14">
        <f t="shared" si="407"/>
        <v>4</v>
      </c>
      <c r="AS797" s="14" t="str">
        <f t="shared" si="408"/>
        <v>西方龙魂火-13</v>
      </c>
      <c r="AT797" s="14">
        <f t="shared" si="409"/>
        <v>13</v>
      </c>
      <c r="AU797" s="14" t="str">
        <f>IF(AM797&gt;0,INDEX(挂机升级突破!$DT$4:$ED$4,AM797),"")</f>
        <v>金币</v>
      </c>
      <c r="AV797" s="14">
        <f>ROUND(INDEX(挂机升级突破!$DJ$6:$DJ$57,卡牌消耗!AT797)*INDEX(卡牌消耗!$B$8:$F$8,AR797)/$Q$4/50,0)*50</f>
        <v>4100</v>
      </c>
      <c r="AW797" s="14" t="str">
        <f>IF(AN797&gt;0,INDEX(挂机升级突破!$DT$4:$ED$4,AN797),"")</f>
        <v>蓝色基础材料</v>
      </c>
      <c r="AX797" s="14">
        <f>ROUND(INDEX(挂机升级突破!$DT$6:$ED$57,卡牌消耗!AT797,AN797)*INDEX(卡牌消耗!$B$5:$F$5,AR797)/$Q$4/5,0)*5</f>
        <v>140</v>
      </c>
      <c r="AY797" s="14" t="str">
        <f>IF(AO797&gt;0,INDEX(挂机升级突破!$DT$4:$ED$4,AO797),"")</f>
        <v/>
      </c>
      <c r="AZ797" s="14" t="str">
        <f>IF(AO797&gt;0,ROUND(INDEX(挂机升级突破!$DT$6:$ED$57,卡牌消耗!AT797,AO797)*INDEX(卡牌消耗!$B$7:$F$7,AR797)/$Q$4,0),"")</f>
        <v/>
      </c>
    </row>
    <row r="798" spans="37:52" ht="16.5" x14ac:dyDescent="0.2">
      <c r="AK798" s="104">
        <v>794</v>
      </c>
      <c r="AL798" s="14">
        <f t="shared" si="405"/>
        <v>16</v>
      </c>
      <c r="AM798" s="14">
        <f>INDEX(挂机升级突破!DQ$6:DQ$57,卡牌消耗!$AT798)</f>
        <v>11</v>
      </c>
      <c r="AN798" s="14">
        <f>INDEX(挂机升级突破!DR$6:DR$57,卡牌消耗!$AT798)</f>
        <v>3</v>
      </c>
      <c r="AO798" s="14">
        <f>INDEX(挂机升级突破!DS$6:DS$57,卡牌消耗!$AT798)</f>
        <v>0</v>
      </c>
      <c r="AP798" s="14">
        <f>INDEX(挂机升级突破!$DP$6:$DP$57,卡牌消耗!AT798)</f>
        <v>53</v>
      </c>
      <c r="AQ798" s="14" t="str">
        <f t="shared" si="406"/>
        <v>西方龙</v>
      </c>
      <c r="AR798" s="14">
        <f t="shared" si="407"/>
        <v>4</v>
      </c>
      <c r="AS798" s="14" t="str">
        <f t="shared" si="408"/>
        <v>西方龙魂火-14</v>
      </c>
      <c r="AT798" s="14">
        <f t="shared" si="409"/>
        <v>14</v>
      </c>
      <c r="AU798" s="14" t="str">
        <f>IF(AM798&gt;0,INDEX(挂机升级突破!$DT$4:$ED$4,AM798),"")</f>
        <v>金币</v>
      </c>
      <c r="AV798" s="14">
        <f>ROUND(INDEX(挂机升级突破!$DJ$6:$DJ$57,卡牌消耗!AT798)*INDEX(卡牌消耗!$B$8:$F$8,AR798)/$Q$4/50,0)*50</f>
        <v>4500</v>
      </c>
      <c r="AW798" s="14" t="str">
        <f>IF(AN798&gt;0,INDEX(挂机升级突破!$DT$4:$ED$4,AN798),"")</f>
        <v>紫色基础材料</v>
      </c>
      <c r="AX798" s="14">
        <f>ROUND(INDEX(挂机升级突破!$DT$6:$ED$57,卡牌消耗!AT798,AN798)*INDEX(卡牌消耗!$B$5:$F$5,AR798)/$Q$4/5,0)*5</f>
        <v>30</v>
      </c>
      <c r="AY798" s="14" t="str">
        <f>IF(AO798&gt;0,INDEX(挂机升级突破!$DT$4:$ED$4,AO798),"")</f>
        <v/>
      </c>
      <c r="AZ798" s="14" t="str">
        <f>IF(AO798&gt;0,ROUND(INDEX(挂机升级突破!$DT$6:$ED$57,卡牌消耗!AT798,AO798)*INDEX(卡牌消耗!$B$7:$F$7,AR798)/$Q$4,0),"")</f>
        <v/>
      </c>
    </row>
    <row r="799" spans="37:52" ht="16.5" x14ac:dyDescent="0.2">
      <c r="AK799" s="104">
        <v>795</v>
      </c>
      <c r="AL799" s="14">
        <f t="shared" si="405"/>
        <v>16</v>
      </c>
      <c r="AM799" s="14">
        <f>INDEX(挂机升级突破!DQ$6:DQ$57,卡牌消耗!$AT799)</f>
        <v>11</v>
      </c>
      <c r="AN799" s="14">
        <f>INDEX(挂机升级突破!DR$6:DR$57,卡牌消耗!$AT799)</f>
        <v>3</v>
      </c>
      <c r="AO799" s="14">
        <f>INDEX(挂机升级突破!DS$6:DS$57,卡牌消耗!$AT799)</f>
        <v>0</v>
      </c>
      <c r="AP799" s="14">
        <f>INDEX(挂机升级突破!$DP$6:$DP$57,卡牌消耗!AT799)</f>
        <v>55</v>
      </c>
      <c r="AQ799" s="14" t="str">
        <f t="shared" si="406"/>
        <v>西方龙</v>
      </c>
      <c r="AR799" s="14">
        <f t="shared" si="407"/>
        <v>4</v>
      </c>
      <c r="AS799" s="14" t="str">
        <f t="shared" si="408"/>
        <v>西方龙魂火-15</v>
      </c>
      <c r="AT799" s="14">
        <f t="shared" si="409"/>
        <v>15</v>
      </c>
      <c r="AU799" s="14" t="str">
        <f>IF(AM799&gt;0,INDEX(挂机升级突破!$DT$4:$ED$4,AM799),"")</f>
        <v>金币</v>
      </c>
      <c r="AV799" s="14">
        <f>ROUND(INDEX(挂机升级突破!$DJ$6:$DJ$57,卡牌消耗!AT799)*INDEX(卡牌消耗!$B$8:$F$8,AR799)/$Q$4/50,0)*50</f>
        <v>4900</v>
      </c>
      <c r="AW799" s="14" t="str">
        <f>IF(AN799&gt;0,INDEX(挂机升级突破!$DT$4:$ED$4,AN799),"")</f>
        <v>紫色基础材料</v>
      </c>
      <c r="AX799" s="14">
        <f>ROUND(INDEX(挂机升级突破!$DT$6:$ED$57,卡牌消耗!AT799,AN799)*INDEX(卡牌消耗!$B$5:$F$5,AR799)/$Q$4/5,0)*5</f>
        <v>30</v>
      </c>
      <c r="AY799" s="14" t="str">
        <f>IF(AO799&gt;0,INDEX(挂机升级突破!$DT$4:$ED$4,AO799),"")</f>
        <v/>
      </c>
      <c r="AZ799" s="14" t="str">
        <f>IF(AO799&gt;0,ROUND(INDEX(挂机升级突破!$DT$6:$ED$57,卡牌消耗!AT799,AO799)*INDEX(卡牌消耗!$B$7:$F$7,AR799)/$Q$4,0),"")</f>
        <v/>
      </c>
    </row>
    <row r="800" spans="37:52" ht="16.5" x14ac:dyDescent="0.2">
      <c r="AK800" s="104">
        <v>796</v>
      </c>
      <c r="AL800" s="14">
        <f t="shared" si="405"/>
        <v>16</v>
      </c>
      <c r="AM800" s="14">
        <f>INDEX(挂机升级突破!DQ$6:DQ$57,卡牌消耗!$AT800)</f>
        <v>11</v>
      </c>
      <c r="AN800" s="14">
        <f>INDEX(挂机升级突破!DR$6:DR$57,卡牌消耗!$AT800)</f>
        <v>3</v>
      </c>
      <c r="AO800" s="14">
        <f>INDEX(挂机升级突破!DS$6:DS$57,卡牌消耗!$AT800)</f>
        <v>0</v>
      </c>
      <c r="AP800" s="14">
        <f>INDEX(挂机升级突破!$DP$6:$DP$57,卡牌消耗!AT800)</f>
        <v>58</v>
      </c>
      <c r="AQ800" s="14" t="str">
        <f t="shared" si="406"/>
        <v>西方龙</v>
      </c>
      <c r="AR800" s="14">
        <f t="shared" si="407"/>
        <v>4</v>
      </c>
      <c r="AS800" s="14" t="str">
        <f t="shared" si="408"/>
        <v>西方龙魂火-16</v>
      </c>
      <c r="AT800" s="14">
        <f t="shared" si="409"/>
        <v>16</v>
      </c>
      <c r="AU800" s="14" t="str">
        <f>IF(AM800&gt;0,INDEX(挂机升级突破!$DT$4:$ED$4,AM800),"")</f>
        <v>金币</v>
      </c>
      <c r="AV800" s="14">
        <f>ROUND(INDEX(挂机升级突破!$DJ$6:$DJ$57,卡牌消耗!AT800)*INDEX(卡牌消耗!$B$8:$F$8,AR800)/$Q$4/50,0)*50</f>
        <v>4900</v>
      </c>
      <c r="AW800" s="14" t="str">
        <f>IF(AN800&gt;0,INDEX(挂机升级突破!$DT$4:$ED$4,AN800),"")</f>
        <v>紫色基础材料</v>
      </c>
      <c r="AX800" s="14">
        <f>ROUND(INDEX(挂机升级突破!$DT$6:$ED$57,卡牌消耗!AT800,AN800)*INDEX(卡牌消耗!$B$5:$F$5,AR800)/$Q$4/5,0)*5</f>
        <v>30</v>
      </c>
      <c r="AY800" s="14" t="str">
        <f>IF(AO800&gt;0,INDEX(挂机升级突破!$DT$4:$ED$4,AO800),"")</f>
        <v/>
      </c>
      <c r="AZ800" s="14" t="str">
        <f>IF(AO800&gt;0,ROUND(INDEX(挂机升级突破!$DT$6:$ED$57,卡牌消耗!AT800,AO800)*INDEX(卡牌消耗!$B$7:$F$7,AR800)/$Q$4,0),"")</f>
        <v/>
      </c>
    </row>
    <row r="801" spans="37:52" ht="16.5" x14ac:dyDescent="0.2">
      <c r="AK801" s="104">
        <v>797</v>
      </c>
      <c r="AL801" s="14">
        <f t="shared" si="405"/>
        <v>16</v>
      </c>
      <c r="AM801" s="14">
        <f>INDEX(挂机升级突破!DQ$6:DQ$57,卡牌消耗!$AT801)</f>
        <v>11</v>
      </c>
      <c r="AN801" s="14">
        <f>INDEX(挂机升级突破!DR$6:DR$57,卡牌消耗!$AT801)</f>
        <v>3</v>
      </c>
      <c r="AO801" s="14">
        <f>INDEX(挂机升级突破!DS$6:DS$57,卡牌消耗!$AT801)</f>
        <v>0</v>
      </c>
      <c r="AP801" s="14">
        <f>INDEX(挂机升级突破!$DP$6:$DP$57,卡牌消耗!AT801)</f>
        <v>60</v>
      </c>
      <c r="AQ801" s="14" t="str">
        <f t="shared" si="406"/>
        <v>西方龙</v>
      </c>
      <c r="AR801" s="14">
        <f t="shared" si="407"/>
        <v>4</v>
      </c>
      <c r="AS801" s="14" t="str">
        <f t="shared" si="408"/>
        <v>西方龙魂火-17</v>
      </c>
      <c r="AT801" s="14">
        <f t="shared" si="409"/>
        <v>17</v>
      </c>
      <c r="AU801" s="14" t="str">
        <f>IF(AM801&gt;0,INDEX(挂机升级突破!$DT$4:$ED$4,AM801),"")</f>
        <v>金币</v>
      </c>
      <c r="AV801" s="14">
        <f>ROUND(INDEX(挂机升级突破!$DJ$6:$DJ$57,卡牌消耗!AT801)*INDEX(卡牌消耗!$B$8:$F$8,AR801)/$Q$4/50,0)*50</f>
        <v>6150</v>
      </c>
      <c r="AW801" s="14" t="str">
        <f>IF(AN801&gt;0,INDEX(挂机升级突破!$DT$4:$ED$4,AN801),"")</f>
        <v>紫色基础材料</v>
      </c>
      <c r="AX801" s="14">
        <f>ROUND(INDEX(挂机升级突破!$DT$6:$ED$57,卡牌消耗!AT801,AN801)*INDEX(卡牌消耗!$B$5:$F$5,AR801)/$Q$4/5,0)*5</f>
        <v>55</v>
      </c>
      <c r="AY801" s="14" t="str">
        <f>IF(AO801&gt;0,INDEX(挂机升级突破!$DT$4:$ED$4,AO801),"")</f>
        <v/>
      </c>
      <c r="AZ801" s="14" t="str">
        <f>IF(AO801&gt;0,ROUND(INDEX(挂机升级突破!$DT$6:$ED$57,卡牌消耗!AT801,AO801)*INDEX(卡牌消耗!$B$7:$F$7,AR801)/$Q$4,0),"")</f>
        <v/>
      </c>
    </row>
    <row r="802" spans="37:52" ht="16.5" x14ac:dyDescent="0.2">
      <c r="AK802" s="104">
        <v>798</v>
      </c>
      <c r="AL802" s="14">
        <f t="shared" si="405"/>
        <v>16</v>
      </c>
      <c r="AM802" s="14">
        <f>INDEX(挂机升级突破!DQ$6:DQ$57,卡牌消耗!$AT802)</f>
        <v>11</v>
      </c>
      <c r="AN802" s="14">
        <f>INDEX(挂机升级突破!DR$6:DR$57,卡牌消耗!$AT802)</f>
        <v>3</v>
      </c>
      <c r="AO802" s="14">
        <f>INDEX(挂机升级突破!DS$6:DS$57,卡牌消耗!$AT802)</f>
        <v>0</v>
      </c>
      <c r="AP802" s="14">
        <f>INDEX(挂机升级突破!$DP$6:$DP$57,卡牌消耗!AT802)</f>
        <v>63</v>
      </c>
      <c r="AQ802" s="14" t="str">
        <f t="shared" si="406"/>
        <v>西方龙</v>
      </c>
      <c r="AR802" s="14">
        <f t="shared" si="407"/>
        <v>4</v>
      </c>
      <c r="AS802" s="14" t="str">
        <f t="shared" si="408"/>
        <v>西方龙魂火-18</v>
      </c>
      <c r="AT802" s="14">
        <f t="shared" si="409"/>
        <v>18</v>
      </c>
      <c r="AU802" s="14" t="str">
        <f>IF(AM802&gt;0,INDEX(挂机升级突破!$DT$4:$ED$4,AM802),"")</f>
        <v>金币</v>
      </c>
      <c r="AV802" s="14">
        <f>ROUND(INDEX(挂机升级突破!$DJ$6:$DJ$57,卡牌消耗!AT802)*INDEX(卡牌消耗!$B$8:$F$8,AR802)/$Q$4/50,0)*50</f>
        <v>6150</v>
      </c>
      <c r="AW802" s="14" t="str">
        <f>IF(AN802&gt;0,INDEX(挂机升级突破!$DT$4:$ED$4,AN802),"")</f>
        <v>紫色基础材料</v>
      </c>
      <c r="AX802" s="14">
        <f>ROUND(INDEX(挂机升级突破!$DT$6:$ED$57,卡牌消耗!AT802,AN802)*INDEX(卡牌消耗!$B$5:$F$5,AR802)/$Q$4/5,0)*5</f>
        <v>55</v>
      </c>
      <c r="AY802" s="14" t="str">
        <f>IF(AO802&gt;0,INDEX(挂机升级突破!$DT$4:$ED$4,AO802),"")</f>
        <v/>
      </c>
      <c r="AZ802" s="14" t="str">
        <f>IF(AO802&gt;0,ROUND(INDEX(挂机升级突破!$DT$6:$ED$57,卡牌消耗!AT802,AO802)*INDEX(卡牌消耗!$B$7:$F$7,AR802)/$Q$4,0),"")</f>
        <v/>
      </c>
    </row>
    <row r="803" spans="37:52" ht="16.5" x14ac:dyDescent="0.2">
      <c r="AK803" s="104">
        <v>799</v>
      </c>
      <c r="AL803" s="14">
        <f t="shared" si="405"/>
        <v>16</v>
      </c>
      <c r="AM803" s="14">
        <f>INDEX(挂机升级突破!DQ$6:DQ$57,卡牌消耗!$AT803)</f>
        <v>11</v>
      </c>
      <c r="AN803" s="14">
        <f>INDEX(挂机升级突破!DR$6:DR$57,卡牌消耗!$AT803)</f>
        <v>3</v>
      </c>
      <c r="AO803" s="14">
        <f>INDEX(挂机升级突破!DS$6:DS$57,卡牌消耗!$AT803)</f>
        <v>0</v>
      </c>
      <c r="AP803" s="14">
        <f>INDEX(挂机升级突破!$DP$6:$DP$57,卡牌消耗!AT803)</f>
        <v>65</v>
      </c>
      <c r="AQ803" s="14" t="str">
        <f t="shared" si="406"/>
        <v>西方龙</v>
      </c>
      <c r="AR803" s="14">
        <f t="shared" si="407"/>
        <v>4</v>
      </c>
      <c r="AS803" s="14" t="str">
        <f t="shared" si="408"/>
        <v>西方龙魂火-19</v>
      </c>
      <c r="AT803" s="14">
        <f t="shared" si="409"/>
        <v>19</v>
      </c>
      <c r="AU803" s="14" t="str">
        <f>IF(AM803&gt;0,INDEX(挂机升级突破!$DT$4:$ED$4,AM803),"")</f>
        <v>金币</v>
      </c>
      <c r="AV803" s="14">
        <f>ROUND(INDEX(挂机升级突破!$DJ$6:$DJ$57,卡牌消耗!AT803)*INDEX(卡牌消耗!$B$8:$F$8,AR803)/$Q$4/50,0)*50</f>
        <v>6150</v>
      </c>
      <c r="AW803" s="14" t="str">
        <f>IF(AN803&gt;0,INDEX(挂机升级突破!$DT$4:$ED$4,AN803),"")</f>
        <v>紫色基础材料</v>
      </c>
      <c r="AX803" s="14">
        <f>ROUND(INDEX(挂机升级突破!$DT$6:$ED$57,卡牌消耗!AT803,AN803)*INDEX(卡牌消耗!$B$5:$F$5,AR803)/$Q$4/5,0)*5</f>
        <v>55</v>
      </c>
      <c r="AY803" s="14" t="str">
        <f>IF(AO803&gt;0,INDEX(挂机升级突破!$DT$4:$ED$4,AO803),"")</f>
        <v/>
      </c>
      <c r="AZ803" s="14" t="str">
        <f>IF(AO803&gt;0,ROUND(INDEX(挂机升级突破!$DT$6:$ED$57,卡牌消耗!AT803,AO803)*INDEX(卡牌消耗!$B$7:$F$7,AR803)/$Q$4,0),"")</f>
        <v/>
      </c>
    </row>
    <row r="804" spans="37:52" ht="16.5" x14ac:dyDescent="0.2">
      <c r="AK804" s="104">
        <v>800</v>
      </c>
      <c r="AL804" s="14">
        <f t="shared" si="405"/>
        <v>16</v>
      </c>
      <c r="AM804" s="14">
        <f>INDEX(挂机升级突破!DQ$6:DQ$57,卡牌消耗!$AT804)</f>
        <v>11</v>
      </c>
      <c r="AN804" s="14">
        <f>INDEX(挂机升级突破!DR$6:DR$57,卡牌消耗!$AT804)</f>
        <v>3</v>
      </c>
      <c r="AO804" s="14">
        <f>INDEX(挂机升级突破!DS$6:DS$57,卡牌消耗!$AT804)</f>
        <v>0</v>
      </c>
      <c r="AP804" s="14">
        <f>INDEX(挂机升级突破!$DP$6:$DP$57,卡牌消耗!AT804)</f>
        <v>68</v>
      </c>
      <c r="AQ804" s="14" t="str">
        <f t="shared" si="406"/>
        <v>西方龙</v>
      </c>
      <c r="AR804" s="14">
        <f t="shared" si="407"/>
        <v>4</v>
      </c>
      <c r="AS804" s="14" t="str">
        <f t="shared" si="408"/>
        <v>西方龙魂火-20</v>
      </c>
      <c r="AT804" s="14">
        <f t="shared" si="409"/>
        <v>20</v>
      </c>
      <c r="AU804" s="14" t="str">
        <f>IF(AM804&gt;0,INDEX(挂机升级突破!$DT$4:$ED$4,AM804),"")</f>
        <v>金币</v>
      </c>
      <c r="AV804" s="14">
        <f>ROUND(INDEX(挂机升级突破!$DJ$6:$DJ$57,卡牌消耗!AT804)*INDEX(卡牌消耗!$B$8:$F$8,AR804)/$Q$4/50,0)*50</f>
        <v>7550</v>
      </c>
      <c r="AW804" s="14" t="str">
        <f>IF(AN804&gt;0,INDEX(挂机升级突破!$DT$4:$ED$4,AN804),"")</f>
        <v>紫色基础材料</v>
      </c>
      <c r="AX804" s="14">
        <f>ROUND(INDEX(挂机升级突破!$DT$6:$ED$57,卡牌消耗!AT804,AN804)*INDEX(卡牌消耗!$B$5:$F$5,AR804)/$Q$4/5,0)*5</f>
        <v>85</v>
      </c>
      <c r="AY804" s="14" t="str">
        <f>IF(AO804&gt;0,INDEX(挂机升级突破!$DT$4:$ED$4,AO804),"")</f>
        <v/>
      </c>
      <c r="AZ804" s="14" t="str">
        <f>IF(AO804&gt;0,ROUND(INDEX(挂机升级突破!$DT$6:$ED$57,卡牌消耗!AT804,AO804)*INDEX(卡牌消耗!$B$7:$F$7,AR804)/$Q$4,0),"")</f>
        <v/>
      </c>
    </row>
    <row r="805" spans="37:52" ht="16.5" x14ac:dyDescent="0.2">
      <c r="AK805" s="104">
        <v>801</v>
      </c>
      <c r="AL805" s="14">
        <f t="shared" si="405"/>
        <v>16</v>
      </c>
      <c r="AM805" s="14">
        <f>INDEX(挂机升级突破!DQ$6:DQ$57,卡牌消耗!$AT805)</f>
        <v>11</v>
      </c>
      <c r="AN805" s="14">
        <f>INDEX(挂机升级突破!DR$6:DR$57,卡牌消耗!$AT805)</f>
        <v>3</v>
      </c>
      <c r="AO805" s="14">
        <f>INDEX(挂机升级突破!DS$6:DS$57,卡牌消耗!$AT805)</f>
        <v>0</v>
      </c>
      <c r="AP805" s="14">
        <f>INDEX(挂机升级突破!$DP$6:$DP$57,卡牌消耗!AT805)</f>
        <v>70</v>
      </c>
      <c r="AQ805" s="14" t="str">
        <f t="shared" si="406"/>
        <v>西方龙</v>
      </c>
      <c r="AR805" s="14">
        <f t="shared" si="407"/>
        <v>4</v>
      </c>
      <c r="AS805" s="14" t="str">
        <f t="shared" si="408"/>
        <v>西方龙魂火-21</v>
      </c>
      <c r="AT805" s="14">
        <f t="shared" si="409"/>
        <v>21</v>
      </c>
      <c r="AU805" s="14" t="str">
        <f>IF(AM805&gt;0,INDEX(挂机升级突破!$DT$4:$ED$4,AM805),"")</f>
        <v>金币</v>
      </c>
      <c r="AV805" s="14">
        <f>ROUND(INDEX(挂机升级突破!$DJ$6:$DJ$57,卡牌消耗!AT805)*INDEX(卡牌消耗!$B$8:$F$8,AR805)/$Q$4/50,0)*50</f>
        <v>7550</v>
      </c>
      <c r="AW805" s="14" t="str">
        <f>IF(AN805&gt;0,INDEX(挂机升级突破!$DT$4:$ED$4,AN805),"")</f>
        <v>紫色基础材料</v>
      </c>
      <c r="AX805" s="14">
        <f>ROUND(INDEX(挂机升级突破!$DT$6:$ED$57,卡牌消耗!AT805,AN805)*INDEX(卡牌消耗!$B$5:$F$5,AR805)/$Q$4/5,0)*5</f>
        <v>85</v>
      </c>
      <c r="AY805" s="14" t="str">
        <f>IF(AO805&gt;0,INDEX(挂机升级突破!$DT$4:$ED$4,AO805),"")</f>
        <v/>
      </c>
      <c r="AZ805" s="14" t="str">
        <f>IF(AO805&gt;0,ROUND(INDEX(挂机升级突破!$DT$6:$ED$57,卡牌消耗!AT805,AO805)*INDEX(卡牌消耗!$B$7:$F$7,AR805)/$Q$4,0),"")</f>
        <v/>
      </c>
    </row>
    <row r="806" spans="37:52" ht="16.5" x14ac:dyDescent="0.2">
      <c r="AK806" s="104">
        <v>802</v>
      </c>
      <c r="AL806" s="14">
        <f t="shared" si="405"/>
        <v>16</v>
      </c>
      <c r="AM806" s="14">
        <f>INDEX(挂机升级突破!DQ$6:DQ$57,卡牌消耗!$AT806)</f>
        <v>11</v>
      </c>
      <c r="AN806" s="14">
        <f>INDEX(挂机升级突破!DR$6:DR$57,卡牌消耗!$AT806)</f>
        <v>3</v>
      </c>
      <c r="AO806" s="14">
        <f>INDEX(挂机升级突破!DS$6:DS$57,卡牌消耗!$AT806)</f>
        <v>0</v>
      </c>
      <c r="AP806" s="14">
        <f>INDEX(挂机升级突破!$DP$6:$DP$57,卡牌消耗!AT806)</f>
        <v>73</v>
      </c>
      <c r="AQ806" s="14" t="str">
        <f t="shared" si="406"/>
        <v>西方龙</v>
      </c>
      <c r="AR806" s="14">
        <f t="shared" si="407"/>
        <v>4</v>
      </c>
      <c r="AS806" s="14" t="str">
        <f t="shared" si="408"/>
        <v>西方龙魂火-22</v>
      </c>
      <c r="AT806" s="14">
        <f t="shared" si="409"/>
        <v>22</v>
      </c>
      <c r="AU806" s="14" t="str">
        <f>IF(AM806&gt;0,INDEX(挂机升级突破!$DT$4:$ED$4,AM806),"")</f>
        <v>金币</v>
      </c>
      <c r="AV806" s="14">
        <f>ROUND(INDEX(挂机升级突破!$DJ$6:$DJ$57,卡牌消耗!AT806)*INDEX(卡牌消耗!$B$8:$F$8,AR806)/$Q$4/50,0)*50</f>
        <v>7550</v>
      </c>
      <c r="AW806" s="14" t="str">
        <f>IF(AN806&gt;0,INDEX(挂机升级突破!$DT$4:$ED$4,AN806),"")</f>
        <v>紫色基础材料</v>
      </c>
      <c r="AX806" s="14">
        <f>ROUND(INDEX(挂机升级突破!$DT$6:$ED$57,卡牌消耗!AT806,AN806)*INDEX(卡牌消耗!$B$5:$F$5,AR806)/$Q$4/5,0)*5</f>
        <v>85</v>
      </c>
      <c r="AY806" s="14" t="str">
        <f>IF(AO806&gt;0,INDEX(挂机升级突破!$DT$4:$ED$4,AO806),"")</f>
        <v/>
      </c>
      <c r="AZ806" s="14" t="str">
        <f>IF(AO806&gt;0,ROUND(INDEX(挂机升级突破!$DT$6:$ED$57,卡牌消耗!AT806,AO806)*INDEX(卡牌消耗!$B$7:$F$7,AR806)/$Q$4,0),"")</f>
        <v/>
      </c>
    </row>
    <row r="807" spans="37:52" ht="16.5" x14ac:dyDescent="0.2">
      <c r="AK807" s="104">
        <v>803</v>
      </c>
      <c r="AL807" s="14">
        <f t="shared" si="405"/>
        <v>16</v>
      </c>
      <c r="AM807" s="14">
        <f>INDEX(挂机升级突破!DQ$6:DQ$57,卡牌消耗!$AT807)</f>
        <v>11</v>
      </c>
      <c r="AN807" s="14">
        <f>INDEX(挂机升级突破!DR$6:DR$57,卡牌消耗!$AT807)</f>
        <v>4</v>
      </c>
      <c r="AO807" s="14">
        <f>INDEX(挂机升级突破!DS$6:DS$57,卡牌消耗!$AT807)</f>
        <v>0</v>
      </c>
      <c r="AP807" s="14">
        <f>INDEX(挂机升级突破!$DP$6:$DP$57,卡牌消耗!AT807)</f>
        <v>75</v>
      </c>
      <c r="AQ807" s="14" t="str">
        <f t="shared" si="406"/>
        <v>西方龙</v>
      </c>
      <c r="AR807" s="14">
        <f t="shared" si="407"/>
        <v>4</v>
      </c>
      <c r="AS807" s="14" t="str">
        <f t="shared" si="408"/>
        <v>西方龙魂火-23</v>
      </c>
      <c r="AT807" s="14">
        <f t="shared" si="409"/>
        <v>23</v>
      </c>
      <c r="AU807" s="14" t="str">
        <f>IF(AM807&gt;0,INDEX(挂机升级突破!$DT$4:$ED$4,AM807),"")</f>
        <v>金币</v>
      </c>
      <c r="AV807" s="14">
        <f>ROUND(INDEX(挂机升级突破!$DJ$6:$DJ$57,卡牌消耗!AT807)*INDEX(卡牌消耗!$B$8:$F$8,AR807)/$Q$4/50,0)*50</f>
        <v>10350</v>
      </c>
      <c r="AW807" s="14" t="str">
        <f>IF(AN807&gt;0,INDEX(挂机升级突破!$DT$4:$ED$4,AN807),"")</f>
        <v>橙色基础材料</v>
      </c>
      <c r="AX807" s="14">
        <f>ROUND(INDEX(挂机升级突破!$DT$6:$ED$57,卡牌消耗!AT807,AN807)*INDEX(卡牌消耗!$B$5:$F$5,AR807)/$Q$4/5,0)*5</f>
        <v>25</v>
      </c>
      <c r="AY807" s="14" t="str">
        <f>IF(AO807&gt;0,INDEX(挂机升级突破!$DT$4:$ED$4,AO807),"")</f>
        <v/>
      </c>
      <c r="AZ807" s="14" t="str">
        <f>IF(AO807&gt;0,ROUND(INDEX(挂机升级突破!$DT$6:$ED$57,卡牌消耗!AT807,AO807)*INDEX(卡牌消耗!$B$7:$F$7,AR807)/$Q$4,0),"")</f>
        <v/>
      </c>
    </row>
    <row r="808" spans="37:52" ht="16.5" x14ac:dyDescent="0.2">
      <c r="AK808" s="104">
        <v>804</v>
      </c>
      <c r="AL808" s="14">
        <f t="shared" si="405"/>
        <v>16</v>
      </c>
      <c r="AM808" s="14">
        <f>INDEX(挂机升级突破!DQ$6:DQ$57,卡牌消耗!$AT808)</f>
        <v>11</v>
      </c>
      <c r="AN808" s="14">
        <f>INDEX(挂机升级突破!DR$6:DR$57,卡牌消耗!$AT808)</f>
        <v>4</v>
      </c>
      <c r="AO808" s="14">
        <f>INDEX(挂机升级突破!DS$6:DS$57,卡牌消耗!$AT808)</f>
        <v>0</v>
      </c>
      <c r="AP808" s="14">
        <f>INDEX(挂机升级突破!$DP$6:$DP$57,卡牌消耗!AT808)</f>
        <v>78</v>
      </c>
      <c r="AQ808" s="14" t="str">
        <f t="shared" si="406"/>
        <v>西方龙</v>
      </c>
      <c r="AR808" s="14">
        <f t="shared" si="407"/>
        <v>4</v>
      </c>
      <c r="AS808" s="14" t="str">
        <f t="shared" si="408"/>
        <v>西方龙魂火-24</v>
      </c>
      <c r="AT808" s="14">
        <f t="shared" si="409"/>
        <v>24</v>
      </c>
      <c r="AU808" s="14" t="str">
        <f>IF(AM808&gt;0,INDEX(挂机升级突破!$DT$4:$ED$4,AM808),"")</f>
        <v>金币</v>
      </c>
      <c r="AV808" s="14">
        <f>ROUND(INDEX(挂机升级突破!$DJ$6:$DJ$57,卡牌消耗!AT808)*INDEX(卡牌消耗!$B$8:$F$8,AR808)/$Q$4/50,0)*50</f>
        <v>10350</v>
      </c>
      <c r="AW808" s="14" t="str">
        <f>IF(AN808&gt;0,INDEX(挂机升级突破!$DT$4:$ED$4,AN808),"")</f>
        <v>橙色基础材料</v>
      </c>
      <c r="AX808" s="14">
        <f>ROUND(INDEX(挂机升级突破!$DT$6:$ED$57,卡牌消耗!AT808,AN808)*INDEX(卡牌消耗!$B$5:$F$5,AR808)/$Q$4/5,0)*5</f>
        <v>25</v>
      </c>
      <c r="AY808" s="14" t="str">
        <f>IF(AO808&gt;0,INDEX(挂机升级突破!$DT$4:$ED$4,AO808),"")</f>
        <v/>
      </c>
      <c r="AZ808" s="14" t="str">
        <f>IF(AO808&gt;0,ROUND(INDEX(挂机升级突破!$DT$6:$ED$57,卡牌消耗!AT808,AO808)*INDEX(卡牌消耗!$B$7:$F$7,AR808)/$Q$4,0),"")</f>
        <v/>
      </c>
    </row>
    <row r="809" spans="37:52" ht="16.5" x14ac:dyDescent="0.2">
      <c r="AK809" s="104">
        <v>805</v>
      </c>
      <c r="AL809" s="14">
        <f t="shared" si="405"/>
        <v>16</v>
      </c>
      <c r="AM809" s="14">
        <f>INDEX(挂机升级突破!DQ$6:DQ$57,卡牌消耗!$AT809)</f>
        <v>11</v>
      </c>
      <c r="AN809" s="14">
        <f>INDEX(挂机升级突破!DR$6:DR$57,卡牌消耗!$AT809)</f>
        <v>4</v>
      </c>
      <c r="AO809" s="14">
        <f>INDEX(挂机升级突破!DS$6:DS$57,卡牌消耗!$AT809)</f>
        <v>0</v>
      </c>
      <c r="AP809" s="14">
        <f>INDEX(挂机升级突破!$DP$6:$DP$57,卡牌消耗!AT809)</f>
        <v>80</v>
      </c>
      <c r="AQ809" s="14" t="str">
        <f t="shared" si="406"/>
        <v>西方龙</v>
      </c>
      <c r="AR809" s="14">
        <f t="shared" si="407"/>
        <v>4</v>
      </c>
      <c r="AS809" s="14" t="str">
        <f t="shared" si="408"/>
        <v>西方龙魂火-25</v>
      </c>
      <c r="AT809" s="14">
        <f t="shared" si="409"/>
        <v>25</v>
      </c>
      <c r="AU809" s="14" t="str">
        <f>IF(AM809&gt;0,INDEX(挂机升级突破!$DT$4:$ED$4,AM809),"")</f>
        <v>金币</v>
      </c>
      <c r="AV809" s="14">
        <f>ROUND(INDEX(挂机升级突破!$DJ$6:$DJ$57,卡牌消耗!AT809)*INDEX(卡牌消耗!$B$8:$F$8,AR809)/$Q$4/50,0)*50</f>
        <v>11300</v>
      </c>
      <c r="AW809" s="14" t="str">
        <f>IF(AN809&gt;0,INDEX(挂机升级突破!$DT$4:$ED$4,AN809),"")</f>
        <v>橙色基础材料</v>
      </c>
      <c r="AX809" s="14">
        <f>ROUND(INDEX(挂机升级突破!$DT$6:$ED$57,卡牌消耗!AT809,AN809)*INDEX(卡牌消耗!$B$5:$F$5,AR809)/$Q$4/5,0)*5</f>
        <v>25</v>
      </c>
      <c r="AY809" s="14" t="str">
        <f>IF(AO809&gt;0,INDEX(挂机升级突破!$DT$4:$ED$4,AO809),"")</f>
        <v/>
      </c>
      <c r="AZ809" s="14" t="str">
        <f>IF(AO809&gt;0,ROUND(INDEX(挂机升级突破!$DT$6:$ED$57,卡牌消耗!AT809,AO809)*INDEX(卡牌消耗!$B$7:$F$7,AR809)/$Q$4,0),"")</f>
        <v/>
      </c>
    </row>
    <row r="810" spans="37:52" ht="16.5" x14ac:dyDescent="0.2">
      <c r="AK810" s="104">
        <v>806</v>
      </c>
      <c r="AL810" s="14">
        <f t="shared" si="405"/>
        <v>16</v>
      </c>
      <c r="AM810" s="14">
        <f>INDEX(挂机升级突破!DQ$6:DQ$57,卡牌消耗!$AT810)</f>
        <v>11</v>
      </c>
      <c r="AN810" s="14">
        <f>INDEX(挂机升级突破!DR$6:DR$57,卡牌消耗!$AT810)</f>
        <v>4</v>
      </c>
      <c r="AO810" s="14">
        <f>INDEX(挂机升级突破!DS$6:DS$57,卡牌消耗!$AT810)</f>
        <v>0</v>
      </c>
      <c r="AP810" s="14">
        <f>INDEX(挂机升级突破!$DP$6:$DP$57,卡牌消耗!AT810)</f>
        <v>83</v>
      </c>
      <c r="AQ810" s="14" t="str">
        <f t="shared" si="406"/>
        <v>西方龙</v>
      </c>
      <c r="AR810" s="14">
        <f t="shared" si="407"/>
        <v>4</v>
      </c>
      <c r="AS810" s="14" t="str">
        <f t="shared" si="408"/>
        <v>西方龙魂火-26</v>
      </c>
      <c r="AT810" s="14">
        <f t="shared" si="409"/>
        <v>26</v>
      </c>
      <c r="AU810" s="14" t="str">
        <f>IF(AM810&gt;0,INDEX(挂机升级突破!$DT$4:$ED$4,AM810),"")</f>
        <v>金币</v>
      </c>
      <c r="AV810" s="14">
        <f>ROUND(INDEX(挂机升级突破!$DJ$6:$DJ$57,卡牌消耗!AT810)*INDEX(卡牌消耗!$B$8:$F$8,AR810)/$Q$4/50,0)*50</f>
        <v>13150</v>
      </c>
      <c r="AW810" s="14" t="str">
        <f>IF(AN810&gt;0,INDEX(挂机升级突破!$DT$4:$ED$4,AN810),"")</f>
        <v>橙色基础材料</v>
      </c>
      <c r="AX810" s="14">
        <f>ROUND(INDEX(挂机升级突破!$DT$6:$ED$57,卡牌消耗!AT810,AN810)*INDEX(卡牌消耗!$B$5:$F$5,AR810)/$Q$4/5,0)*5</f>
        <v>30</v>
      </c>
      <c r="AY810" s="14" t="str">
        <f>IF(AO810&gt;0,INDEX(挂机升级突破!$DT$4:$ED$4,AO810),"")</f>
        <v/>
      </c>
      <c r="AZ810" s="14" t="str">
        <f>IF(AO810&gt;0,ROUND(INDEX(挂机升级突破!$DT$6:$ED$57,卡牌消耗!AT810,AO810)*INDEX(卡牌消耗!$B$7:$F$7,AR810)/$Q$4,0),"")</f>
        <v/>
      </c>
    </row>
    <row r="811" spans="37:52" ht="16.5" x14ac:dyDescent="0.2">
      <c r="AK811" s="104">
        <v>807</v>
      </c>
      <c r="AL811" s="14">
        <f t="shared" si="405"/>
        <v>16</v>
      </c>
      <c r="AM811" s="14">
        <f>INDEX(挂机升级突破!DQ$6:DQ$57,卡牌消耗!$AT811)</f>
        <v>11</v>
      </c>
      <c r="AN811" s="14">
        <f>INDEX(挂机升级突破!DR$6:DR$57,卡牌消耗!$AT811)</f>
        <v>4</v>
      </c>
      <c r="AO811" s="14">
        <f>INDEX(挂机升级突破!DS$6:DS$57,卡牌消耗!$AT811)</f>
        <v>0</v>
      </c>
      <c r="AP811" s="14">
        <f>INDEX(挂机升级突破!$DP$6:$DP$57,卡牌消耗!AT811)</f>
        <v>85</v>
      </c>
      <c r="AQ811" s="14" t="str">
        <f t="shared" si="406"/>
        <v>西方龙</v>
      </c>
      <c r="AR811" s="14">
        <f t="shared" si="407"/>
        <v>4</v>
      </c>
      <c r="AS811" s="14" t="str">
        <f t="shared" si="408"/>
        <v>西方龙魂火-27</v>
      </c>
      <c r="AT811" s="14">
        <f t="shared" si="409"/>
        <v>27</v>
      </c>
      <c r="AU811" s="14" t="str">
        <f>IF(AM811&gt;0,INDEX(挂机升级突破!$DT$4:$ED$4,AM811),"")</f>
        <v>金币</v>
      </c>
      <c r="AV811" s="14">
        <f>ROUND(INDEX(挂机升级突破!$DJ$6:$DJ$57,卡牌消耗!AT811)*INDEX(卡牌消耗!$B$8:$F$8,AR811)/$Q$4/50,0)*50</f>
        <v>13150</v>
      </c>
      <c r="AW811" s="14" t="str">
        <f>IF(AN811&gt;0,INDEX(挂机升级突破!$DT$4:$ED$4,AN811),"")</f>
        <v>橙色基础材料</v>
      </c>
      <c r="AX811" s="14">
        <f>ROUND(INDEX(挂机升级突破!$DT$6:$ED$57,卡牌消耗!AT811,AN811)*INDEX(卡牌消耗!$B$5:$F$5,AR811)/$Q$4/5,0)*5</f>
        <v>30</v>
      </c>
      <c r="AY811" s="14" t="str">
        <f>IF(AO811&gt;0,INDEX(挂机升级突破!$DT$4:$ED$4,AO811),"")</f>
        <v/>
      </c>
      <c r="AZ811" s="14" t="str">
        <f>IF(AO811&gt;0,ROUND(INDEX(挂机升级突破!$DT$6:$ED$57,卡牌消耗!AT811,AO811)*INDEX(卡牌消耗!$B$7:$F$7,AR811)/$Q$4,0),"")</f>
        <v/>
      </c>
    </row>
    <row r="812" spans="37:52" ht="16.5" x14ac:dyDescent="0.2">
      <c r="AK812" s="104">
        <v>808</v>
      </c>
      <c r="AL812" s="14">
        <f t="shared" si="405"/>
        <v>16</v>
      </c>
      <c r="AM812" s="14">
        <f>INDEX(挂机升级突破!DQ$6:DQ$57,卡牌消耗!$AT812)</f>
        <v>11</v>
      </c>
      <c r="AN812" s="14">
        <f>INDEX(挂机升级突破!DR$6:DR$57,卡牌消耗!$AT812)</f>
        <v>4</v>
      </c>
      <c r="AO812" s="14">
        <f>INDEX(挂机升级突破!DS$6:DS$57,卡牌消耗!$AT812)</f>
        <v>0</v>
      </c>
      <c r="AP812" s="14">
        <f>INDEX(挂机升级突破!$DP$6:$DP$57,卡牌消耗!AT812)</f>
        <v>88</v>
      </c>
      <c r="AQ812" s="14" t="str">
        <f t="shared" si="406"/>
        <v>西方龙</v>
      </c>
      <c r="AR812" s="14">
        <f t="shared" si="407"/>
        <v>4</v>
      </c>
      <c r="AS812" s="14" t="str">
        <f t="shared" si="408"/>
        <v>西方龙魂火-28</v>
      </c>
      <c r="AT812" s="14">
        <f t="shared" si="409"/>
        <v>28</v>
      </c>
      <c r="AU812" s="14" t="str">
        <f>IF(AM812&gt;0,INDEX(挂机升级突破!$DT$4:$ED$4,AM812),"")</f>
        <v>金币</v>
      </c>
      <c r="AV812" s="14">
        <f>ROUND(INDEX(挂机升级突破!$DJ$6:$DJ$57,卡牌消耗!AT812)*INDEX(卡牌消耗!$B$8:$F$8,AR812)/$Q$4/50,0)*50</f>
        <v>13150</v>
      </c>
      <c r="AW812" s="14" t="str">
        <f>IF(AN812&gt;0,INDEX(挂机升级突破!$DT$4:$ED$4,AN812),"")</f>
        <v>橙色基础材料</v>
      </c>
      <c r="AX812" s="14">
        <f>ROUND(INDEX(挂机升级突破!$DT$6:$ED$57,卡牌消耗!AT812,AN812)*INDEX(卡牌消耗!$B$5:$F$5,AR812)/$Q$4/5,0)*5</f>
        <v>30</v>
      </c>
      <c r="AY812" s="14" t="str">
        <f>IF(AO812&gt;0,INDEX(挂机升级突破!$DT$4:$ED$4,AO812),"")</f>
        <v/>
      </c>
      <c r="AZ812" s="14" t="str">
        <f>IF(AO812&gt;0,ROUND(INDEX(挂机升级突破!$DT$6:$ED$57,卡牌消耗!AT812,AO812)*INDEX(卡牌消耗!$B$7:$F$7,AR812)/$Q$4,0),"")</f>
        <v/>
      </c>
    </row>
    <row r="813" spans="37:52" ht="16.5" x14ac:dyDescent="0.2">
      <c r="AK813" s="104">
        <v>809</v>
      </c>
      <c r="AL813" s="14">
        <f t="shared" si="405"/>
        <v>16</v>
      </c>
      <c r="AM813" s="14">
        <f>INDEX(挂机升级突破!DQ$6:DQ$57,卡牌消耗!$AT813)</f>
        <v>11</v>
      </c>
      <c r="AN813" s="14">
        <f>INDEX(挂机升级突破!DR$6:DR$57,卡牌消耗!$AT813)</f>
        <v>4</v>
      </c>
      <c r="AO813" s="14">
        <f>INDEX(挂机升级突破!DS$6:DS$57,卡牌消耗!$AT813)</f>
        <v>0</v>
      </c>
      <c r="AP813" s="14">
        <f>INDEX(挂机升级突破!$DP$6:$DP$57,卡牌消耗!AT813)</f>
        <v>90</v>
      </c>
      <c r="AQ813" s="14" t="str">
        <f t="shared" si="406"/>
        <v>西方龙</v>
      </c>
      <c r="AR813" s="14">
        <f t="shared" si="407"/>
        <v>4</v>
      </c>
      <c r="AS813" s="14" t="str">
        <f t="shared" si="408"/>
        <v>西方龙魂火-29</v>
      </c>
      <c r="AT813" s="14">
        <f t="shared" si="409"/>
        <v>29</v>
      </c>
      <c r="AU813" s="14" t="str">
        <f>IF(AM813&gt;0,INDEX(挂机升级突破!$DT$4:$ED$4,AM813),"")</f>
        <v>金币</v>
      </c>
      <c r="AV813" s="14">
        <f>ROUND(INDEX(挂机升级突破!$DJ$6:$DJ$57,卡牌消耗!AT813)*INDEX(卡牌消耗!$B$8:$F$8,AR813)/$Q$4/50,0)*50</f>
        <v>13350</v>
      </c>
      <c r="AW813" s="14" t="str">
        <f>IF(AN813&gt;0,INDEX(挂机升级突破!$DT$4:$ED$4,AN813),"")</f>
        <v>橙色基础材料</v>
      </c>
      <c r="AX813" s="14">
        <f>ROUND(INDEX(挂机升级突破!$DT$6:$ED$57,卡牌消耗!AT813,AN813)*INDEX(卡牌消耗!$B$5:$F$5,AR813)/$Q$4/5,0)*5</f>
        <v>30</v>
      </c>
      <c r="AY813" s="14" t="str">
        <f>IF(AO813&gt;0,INDEX(挂机升级突破!$DT$4:$ED$4,AO813),"")</f>
        <v/>
      </c>
      <c r="AZ813" s="14" t="str">
        <f>IF(AO813&gt;0,ROUND(INDEX(挂机升级突破!$DT$6:$ED$57,卡牌消耗!AT813,AO813)*INDEX(卡牌消耗!$B$7:$F$7,AR813)/$Q$4,0),"")</f>
        <v/>
      </c>
    </row>
    <row r="814" spans="37:52" ht="16.5" x14ac:dyDescent="0.2">
      <c r="AK814" s="104">
        <v>810</v>
      </c>
      <c r="AL814" s="14">
        <f t="shared" si="405"/>
        <v>16</v>
      </c>
      <c r="AM814" s="14">
        <f>INDEX(挂机升级突破!DQ$6:DQ$57,卡牌消耗!$AT814)</f>
        <v>11</v>
      </c>
      <c r="AN814" s="14">
        <f>INDEX(挂机升级突破!DR$6:DR$57,卡牌消耗!$AT814)</f>
        <v>4</v>
      </c>
      <c r="AO814" s="14">
        <f>INDEX(挂机升级突破!DS$6:DS$57,卡牌消耗!$AT814)</f>
        <v>0</v>
      </c>
      <c r="AP814" s="14">
        <f>INDEX(挂机升级突破!$DP$6:$DP$57,卡牌消耗!AT814)</f>
        <v>93</v>
      </c>
      <c r="AQ814" s="14" t="str">
        <f t="shared" si="406"/>
        <v>西方龙</v>
      </c>
      <c r="AR814" s="14">
        <f t="shared" si="407"/>
        <v>4</v>
      </c>
      <c r="AS814" s="14" t="str">
        <f t="shared" si="408"/>
        <v>西方龙魂火-30</v>
      </c>
      <c r="AT814" s="14">
        <f t="shared" si="409"/>
        <v>30</v>
      </c>
      <c r="AU814" s="14" t="str">
        <f>IF(AM814&gt;0,INDEX(挂机升级突破!$DT$4:$ED$4,AM814),"")</f>
        <v>金币</v>
      </c>
      <c r="AV814" s="14">
        <f>ROUND(INDEX(挂机升级突破!$DJ$6:$DJ$57,卡牌消耗!AT814)*INDEX(卡牌消耗!$B$8:$F$8,AR814)/$Q$4/50,0)*50</f>
        <v>13350</v>
      </c>
      <c r="AW814" s="14" t="str">
        <f>IF(AN814&gt;0,INDEX(挂机升级突破!$DT$4:$ED$4,AN814),"")</f>
        <v>橙色基础材料</v>
      </c>
      <c r="AX814" s="14">
        <f>ROUND(INDEX(挂机升级突破!$DT$6:$ED$57,卡牌消耗!AT814,AN814)*INDEX(卡牌消耗!$B$5:$F$5,AR814)/$Q$4/5,0)*5</f>
        <v>30</v>
      </c>
      <c r="AY814" s="14" t="str">
        <f>IF(AO814&gt;0,INDEX(挂机升级突破!$DT$4:$ED$4,AO814),"")</f>
        <v/>
      </c>
      <c r="AZ814" s="14" t="str">
        <f>IF(AO814&gt;0,ROUND(INDEX(挂机升级突破!$DT$6:$ED$57,卡牌消耗!AT814,AO814)*INDEX(卡牌消耗!$B$7:$F$7,AR814)/$Q$4,0),"")</f>
        <v/>
      </c>
    </row>
    <row r="815" spans="37:52" ht="16.5" x14ac:dyDescent="0.2">
      <c r="AK815" s="104">
        <v>811</v>
      </c>
      <c r="AL815" s="14">
        <f t="shared" si="405"/>
        <v>16</v>
      </c>
      <c r="AM815" s="14">
        <f>INDEX(挂机升级突破!DQ$6:DQ$57,卡牌消耗!$AT815)</f>
        <v>11</v>
      </c>
      <c r="AN815" s="14">
        <f>INDEX(挂机升级突破!DR$6:DR$57,卡牌消耗!$AT815)</f>
        <v>4</v>
      </c>
      <c r="AO815" s="14">
        <f>INDEX(挂机升级突破!DS$6:DS$57,卡牌消耗!$AT815)</f>
        <v>0</v>
      </c>
      <c r="AP815" s="14">
        <f>INDEX(挂机升级突破!$DP$6:$DP$57,卡牌消耗!AT815)</f>
        <v>95</v>
      </c>
      <c r="AQ815" s="14" t="str">
        <f t="shared" si="406"/>
        <v>西方龙</v>
      </c>
      <c r="AR815" s="14">
        <f t="shared" si="407"/>
        <v>4</v>
      </c>
      <c r="AS815" s="14" t="str">
        <f t="shared" si="408"/>
        <v>西方龙魂火-31</v>
      </c>
      <c r="AT815" s="14">
        <f t="shared" si="409"/>
        <v>31</v>
      </c>
      <c r="AU815" s="14" t="str">
        <f>IF(AM815&gt;0,INDEX(挂机升级突破!$DT$4:$ED$4,AM815),"")</f>
        <v>金币</v>
      </c>
      <c r="AV815" s="14">
        <f>ROUND(INDEX(挂机升级突破!$DJ$6:$DJ$57,卡牌消耗!AT815)*INDEX(卡牌消耗!$B$8:$F$8,AR815)/$Q$4/50,0)*50</f>
        <v>13350</v>
      </c>
      <c r="AW815" s="14" t="str">
        <f>IF(AN815&gt;0,INDEX(挂机升级突破!$DT$4:$ED$4,AN815),"")</f>
        <v>橙色基础材料</v>
      </c>
      <c r="AX815" s="14">
        <f>ROUND(INDEX(挂机升级突破!$DT$6:$ED$57,卡牌消耗!AT815,AN815)*INDEX(卡牌消耗!$B$5:$F$5,AR815)/$Q$4/5,0)*5</f>
        <v>30</v>
      </c>
      <c r="AY815" s="14" t="str">
        <f>IF(AO815&gt;0,INDEX(挂机升级突破!$DT$4:$ED$4,AO815),"")</f>
        <v/>
      </c>
      <c r="AZ815" s="14" t="str">
        <f>IF(AO815&gt;0,ROUND(INDEX(挂机升级突破!$DT$6:$ED$57,卡牌消耗!AT815,AO815)*INDEX(卡牌消耗!$B$7:$F$7,AR815)/$Q$4,0),"")</f>
        <v/>
      </c>
    </row>
    <row r="816" spans="37:52" ht="16.5" x14ac:dyDescent="0.2">
      <c r="AK816" s="104">
        <v>812</v>
      </c>
      <c r="AL816" s="14">
        <f t="shared" si="405"/>
        <v>16</v>
      </c>
      <c r="AM816" s="14">
        <f>INDEX(挂机升级突破!DQ$6:DQ$57,卡牌消耗!$AT816)</f>
        <v>11</v>
      </c>
      <c r="AN816" s="14">
        <f>INDEX(挂机升级突破!DR$6:DR$57,卡牌消耗!$AT816)</f>
        <v>4</v>
      </c>
      <c r="AO816" s="14">
        <f>INDEX(挂机升级突破!DS$6:DS$57,卡牌消耗!$AT816)</f>
        <v>0</v>
      </c>
      <c r="AP816" s="14">
        <f>INDEX(挂机升级突破!$DP$6:$DP$57,卡牌消耗!AT816)</f>
        <v>98</v>
      </c>
      <c r="AQ816" s="14" t="str">
        <f t="shared" si="406"/>
        <v>西方龙</v>
      </c>
      <c r="AR816" s="14">
        <f t="shared" si="407"/>
        <v>4</v>
      </c>
      <c r="AS816" s="14" t="str">
        <f t="shared" si="408"/>
        <v>西方龙魂火-32</v>
      </c>
      <c r="AT816" s="14">
        <f t="shared" si="409"/>
        <v>32</v>
      </c>
      <c r="AU816" s="14" t="str">
        <f>IF(AM816&gt;0,INDEX(挂机升级突破!$DT$4:$ED$4,AM816),"")</f>
        <v>金币</v>
      </c>
      <c r="AV816" s="14">
        <f>ROUND(INDEX(挂机升级突破!$DJ$6:$DJ$57,卡牌消耗!AT816)*INDEX(卡牌消耗!$B$8:$F$8,AR816)/$Q$4/50,0)*50</f>
        <v>18350</v>
      </c>
      <c r="AW816" s="14" t="str">
        <f>IF(AN816&gt;0,INDEX(挂机升级突破!$DT$4:$ED$4,AN816),"")</f>
        <v>橙色基础材料</v>
      </c>
      <c r="AX816" s="14">
        <f>ROUND(INDEX(挂机升级突破!$DT$6:$ED$57,卡牌消耗!AT816,AN816)*INDEX(卡牌消耗!$B$5:$F$5,AR816)/$Q$4/5,0)*5</f>
        <v>30</v>
      </c>
      <c r="AY816" s="14" t="str">
        <f>IF(AO816&gt;0,INDEX(挂机升级突破!$DT$4:$ED$4,AO816),"")</f>
        <v/>
      </c>
      <c r="AZ816" s="14" t="str">
        <f>IF(AO816&gt;0,ROUND(INDEX(挂机升级突破!$DT$6:$ED$57,卡牌消耗!AT816,AO816)*INDEX(卡牌消耗!$B$7:$F$7,AR816)/$Q$4,0),"")</f>
        <v/>
      </c>
    </row>
    <row r="817" spans="37:52" ht="16.5" x14ac:dyDescent="0.2">
      <c r="AK817" s="104">
        <v>813</v>
      </c>
      <c r="AL817" s="14">
        <f t="shared" si="405"/>
        <v>16</v>
      </c>
      <c r="AM817" s="14">
        <f>INDEX(挂机升级突破!DQ$6:DQ$57,卡牌消耗!$AT817)</f>
        <v>11</v>
      </c>
      <c r="AN817" s="14">
        <f>INDEX(挂机升级突破!DR$6:DR$57,卡牌消耗!$AT817)</f>
        <v>4</v>
      </c>
      <c r="AO817" s="14">
        <f>INDEX(挂机升级突破!DS$6:DS$57,卡牌消耗!$AT817)</f>
        <v>0</v>
      </c>
      <c r="AP817" s="14">
        <f>INDEX(挂机升级突破!$DP$6:$DP$57,卡牌消耗!AT817)</f>
        <v>100</v>
      </c>
      <c r="AQ817" s="14" t="str">
        <f t="shared" si="406"/>
        <v>西方龙</v>
      </c>
      <c r="AR817" s="14">
        <f t="shared" si="407"/>
        <v>4</v>
      </c>
      <c r="AS817" s="14" t="str">
        <f t="shared" si="408"/>
        <v>西方龙魂火-33</v>
      </c>
      <c r="AT817" s="14">
        <f t="shared" si="409"/>
        <v>33</v>
      </c>
      <c r="AU817" s="14" t="str">
        <f>IF(AM817&gt;0,INDEX(挂机升级突破!$DT$4:$ED$4,AM817),"")</f>
        <v>金币</v>
      </c>
      <c r="AV817" s="14">
        <f>ROUND(INDEX(挂机升级突破!$DJ$6:$DJ$57,卡牌消耗!AT817)*INDEX(卡牌消耗!$B$8:$F$8,AR817)/$Q$4/50,0)*50</f>
        <v>18350</v>
      </c>
      <c r="AW817" s="14" t="str">
        <f>IF(AN817&gt;0,INDEX(挂机升级突破!$DT$4:$ED$4,AN817),"")</f>
        <v>橙色基础材料</v>
      </c>
      <c r="AX817" s="14">
        <f>ROUND(INDEX(挂机升级突破!$DT$6:$ED$57,卡牌消耗!AT817,AN817)*INDEX(卡牌消耗!$B$5:$F$5,AR817)/$Q$4/5,0)*5</f>
        <v>30</v>
      </c>
      <c r="AY817" s="14" t="str">
        <f>IF(AO817&gt;0,INDEX(挂机升级突破!$DT$4:$ED$4,AO817),"")</f>
        <v/>
      </c>
      <c r="AZ817" s="14" t="str">
        <f>IF(AO817&gt;0,ROUND(INDEX(挂机升级突破!$DT$6:$ED$57,卡牌消耗!AT817,AO817)*INDEX(卡牌消耗!$B$7:$F$7,AR817)/$Q$4,0),"")</f>
        <v/>
      </c>
    </row>
    <row r="818" spans="37:52" ht="16.5" x14ac:dyDescent="0.2">
      <c r="AK818" s="104">
        <v>814</v>
      </c>
      <c r="AL818" s="14">
        <f t="shared" si="405"/>
        <v>16</v>
      </c>
      <c r="AM818" s="14">
        <f>INDEX(挂机升级突破!DQ$6:DQ$57,卡牌消耗!$AT818)</f>
        <v>11</v>
      </c>
      <c r="AN818" s="14">
        <f>INDEX(挂机升级突破!DR$6:DR$57,卡牌消耗!$AT818)</f>
        <v>4</v>
      </c>
      <c r="AO818" s="14">
        <f>INDEX(挂机升级突破!DS$6:DS$57,卡牌消耗!$AT818)</f>
        <v>0</v>
      </c>
      <c r="AP818" s="14">
        <f>INDEX(挂机升级突破!$DP$6:$DP$57,卡牌消耗!AT818)</f>
        <v>103</v>
      </c>
      <c r="AQ818" s="14" t="str">
        <f t="shared" si="406"/>
        <v>西方龙</v>
      </c>
      <c r="AR818" s="14">
        <f t="shared" si="407"/>
        <v>4</v>
      </c>
      <c r="AS818" s="14" t="str">
        <f t="shared" si="408"/>
        <v>西方龙魂火-34</v>
      </c>
      <c r="AT818" s="14">
        <f t="shared" si="409"/>
        <v>34</v>
      </c>
      <c r="AU818" s="14" t="str">
        <f>IF(AM818&gt;0,INDEX(挂机升级突破!$DT$4:$ED$4,AM818),"")</f>
        <v>金币</v>
      </c>
      <c r="AV818" s="14">
        <f>ROUND(INDEX(挂机升级突破!$DJ$6:$DJ$57,卡牌消耗!AT818)*INDEX(卡牌消耗!$B$8:$F$8,AR818)/$Q$4/50,0)*50</f>
        <v>18350</v>
      </c>
      <c r="AW818" s="14" t="str">
        <f>IF(AN818&gt;0,INDEX(挂机升级突破!$DT$4:$ED$4,AN818),"")</f>
        <v>橙色基础材料</v>
      </c>
      <c r="AX818" s="14">
        <f>ROUND(INDEX(挂机升级突破!$DT$6:$ED$57,卡牌消耗!AT818,AN818)*INDEX(卡牌消耗!$B$5:$F$5,AR818)/$Q$4/5,0)*5</f>
        <v>35</v>
      </c>
      <c r="AY818" s="14" t="str">
        <f>IF(AO818&gt;0,INDEX(挂机升级突破!$DT$4:$ED$4,AO818),"")</f>
        <v/>
      </c>
      <c r="AZ818" s="14" t="str">
        <f>IF(AO818&gt;0,ROUND(INDEX(挂机升级突破!$DT$6:$ED$57,卡牌消耗!AT818,AO818)*INDEX(卡牌消耗!$B$7:$F$7,AR818)/$Q$4,0),"")</f>
        <v/>
      </c>
    </row>
    <row r="819" spans="37:52" ht="16.5" x14ac:dyDescent="0.2">
      <c r="AK819" s="104">
        <v>815</v>
      </c>
      <c r="AL819" s="14">
        <f t="shared" si="405"/>
        <v>16</v>
      </c>
      <c r="AM819" s="14">
        <f>INDEX(挂机升级突破!DQ$6:DQ$57,卡牌消耗!$AT819)</f>
        <v>11</v>
      </c>
      <c r="AN819" s="14">
        <f>INDEX(挂机升级突破!DR$6:DR$57,卡牌消耗!$AT819)</f>
        <v>4</v>
      </c>
      <c r="AO819" s="14">
        <f>INDEX(挂机升级突破!DS$6:DS$57,卡牌消耗!$AT819)</f>
        <v>0</v>
      </c>
      <c r="AP819" s="14">
        <f>INDEX(挂机升级突破!$DP$6:$DP$57,卡牌消耗!AT819)</f>
        <v>105</v>
      </c>
      <c r="AQ819" s="14" t="str">
        <f t="shared" si="406"/>
        <v>西方龙</v>
      </c>
      <c r="AR819" s="14">
        <f t="shared" si="407"/>
        <v>4</v>
      </c>
      <c r="AS819" s="14" t="str">
        <f t="shared" si="408"/>
        <v>西方龙魂火-35</v>
      </c>
      <c r="AT819" s="14">
        <f t="shared" si="409"/>
        <v>35</v>
      </c>
      <c r="AU819" s="14" t="str">
        <f>IF(AM819&gt;0,INDEX(挂机升级突破!$DT$4:$ED$4,AM819),"")</f>
        <v>金币</v>
      </c>
      <c r="AV819" s="14">
        <f>ROUND(INDEX(挂机升级突破!$DJ$6:$DJ$57,卡牌消耗!AT819)*INDEX(卡牌消耗!$B$8:$F$8,AR819)/$Q$4/50,0)*50</f>
        <v>23350</v>
      </c>
      <c r="AW819" s="14" t="str">
        <f>IF(AN819&gt;0,INDEX(挂机升级突破!$DT$4:$ED$4,AN819),"")</f>
        <v>橙色基础材料</v>
      </c>
      <c r="AX819" s="14">
        <f>ROUND(INDEX(挂机升级突破!$DT$6:$ED$57,卡牌消耗!AT819,AN819)*INDEX(卡牌消耗!$B$5:$F$5,AR819)/$Q$4/5,0)*5</f>
        <v>35</v>
      </c>
      <c r="AY819" s="14" t="str">
        <f>IF(AO819&gt;0,INDEX(挂机升级突破!$DT$4:$ED$4,AO819),"")</f>
        <v/>
      </c>
      <c r="AZ819" s="14" t="str">
        <f>IF(AO819&gt;0,ROUND(INDEX(挂机升级突破!$DT$6:$ED$57,卡牌消耗!AT819,AO819)*INDEX(卡牌消耗!$B$7:$F$7,AR819)/$Q$4,0),"")</f>
        <v/>
      </c>
    </row>
    <row r="820" spans="37:52" ht="16.5" x14ac:dyDescent="0.2">
      <c r="AK820" s="104">
        <v>816</v>
      </c>
      <c r="AL820" s="14">
        <f t="shared" si="405"/>
        <v>16</v>
      </c>
      <c r="AM820" s="14">
        <f>INDEX(挂机升级突破!DQ$6:DQ$57,卡牌消耗!$AT820)</f>
        <v>11</v>
      </c>
      <c r="AN820" s="14">
        <f>INDEX(挂机升级突破!DR$6:DR$57,卡牌消耗!$AT820)</f>
        <v>4</v>
      </c>
      <c r="AO820" s="14">
        <f>INDEX(挂机升级突破!DS$6:DS$57,卡牌消耗!$AT820)</f>
        <v>0</v>
      </c>
      <c r="AP820" s="14">
        <f>INDEX(挂机升级突破!$DP$6:$DP$57,卡牌消耗!AT820)</f>
        <v>108</v>
      </c>
      <c r="AQ820" s="14" t="str">
        <f t="shared" si="406"/>
        <v>西方龙</v>
      </c>
      <c r="AR820" s="14">
        <f t="shared" si="407"/>
        <v>4</v>
      </c>
      <c r="AS820" s="14" t="str">
        <f t="shared" si="408"/>
        <v>西方龙魂火-36</v>
      </c>
      <c r="AT820" s="14">
        <f t="shared" si="409"/>
        <v>36</v>
      </c>
      <c r="AU820" s="14" t="str">
        <f>IF(AM820&gt;0,INDEX(挂机升级突破!$DT$4:$ED$4,AM820),"")</f>
        <v>金币</v>
      </c>
      <c r="AV820" s="14">
        <f>ROUND(INDEX(挂机升级突破!$DJ$6:$DJ$57,卡牌消耗!AT820)*INDEX(卡牌消耗!$B$8:$F$8,AR820)/$Q$4/50,0)*50</f>
        <v>23350</v>
      </c>
      <c r="AW820" s="14" t="str">
        <f>IF(AN820&gt;0,INDEX(挂机升级突破!$DT$4:$ED$4,AN820),"")</f>
        <v>橙色基础材料</v>
      </c>
      <c r="AX820" s="14">
        <f>ROUND(INDEX(挂机升级突破!$DT$6:$ED$57,卡牌消耗!AT820,AN820)*INDEX(卡牌消耗!$B$5:$F$5,AR820)/$Q$4/5,0)*5</f>
        <v>35</v>
      </c>
      <c r="AY820" s="14" t="str">
        <f>IF(AO820&gt;0,INDEX(挂机升级突破!$DT$4:$ED$4,AO820),"")</f>
        <v/>
      </c>
      <c r="AZ820" s="14" t="str">
        <f>IF(AO820&gt;0,ROUND(INDEX(挂机升级突破!$DT$6:$ED$57,卡牌消耗!AT820,AO820)*INDEX(卡牌消耗!$B$7:$F$7,AR820)/$Q$4,0),"")</f>
        <v/>
      </c>
    </row>
    <row r="821" spans="37:52" ht="16.5" x14ac:dyDescent="0.2">
      <c r="AK821" s="104">
        <v>817</v>
      </c>
      <c r="AL821" s="14">
        <f t="shared" si="405"/>
        <v>16</v>
      </c>
      <c r="AM821" s="14">
        <f>INDEX(挂机升级突破!DQ$6:DQ$57,卡牌消耗!$AT821)</f>
        <v>11</v>
      </c>
      <c r="AN821" s="14">
        <f>INDEX(挂机升级突破!DR$6:DR$57,卡牌消耗!$AT821)</f>
        <v>4</v>
      </c>
      <c r="AO821" s="14">
        <f>INDEX(挂机升级突破!DS$6:DS$57,卡牌消耗!$AT821)</f>
        <v>0</v>
      </c>
      <c r="AP821" s="14">
        <f>INDEX(挂机升级突破!$DP$6:$DP$57,卡牌消耗!AT821)</f>
        <v>110</v>
      </c>
      <c r="AQ821" s="14" t="str">
        <f t="shared" si="406"/>
        <v>西方龙</v>
      </c>
      <c r="AR821" s="14">
        <f t="shared" si="407"/>
        <v>4</v>
      </c>
      <c r="AS821" s="14" t="str">
        <f t="shared" si="408"/>
        <v>西方龙魂火-37</v>
      </c>
      <c r="AT821" s="14">
        <f t="shared" si="409"/>
        <v>37</v>
      </c>
      <c r="AU821" s="14" t="str">
        <f>IF(AM821&gt;0,INDEX(挂机升级突破!$DT$4:$ED$4,AM821),"")</f>
        <v>金币</v>
      </c>
      <c r="AV821" s="14">
        <f>ROUND(INDEX(挂机升级突破!$DJ$6:$DJ$57,卡牌消耗!AT821)*INDEX(卡牌消耗!$B$8:$F$8,AR821)/$Q$4/50,0)*50</f>
        <v>25000</v>
      </c>
      <c r="AW821" s="14" t="str">
        <f>IF(AN821&gt;0,INDEX(挂机升级突破!$DT$4:$ED$4,AN821),"")</f>
        <v>橙色基础材料</v>
      </c>
      <c r="AX821" s="14">
        <f>ROUND(INDEX(挂机升级突破!$DT$6:$ED$57,卡牌消耗!AT821,AN821)*INDEX(卡牌消耗!$B$5:$F$5,AR821)/$Q$4/5,0)*5</f>
        <v>35</v>
      </c>
      <c r="AY821" s="14" t="str">
        <f>IF(AO821&gt;0,INDEX(挂机升级突破!$DT$4:$ED$4,AO821),"")</f>
        <v/>
      </c>
      <c r="AZ821" s="14" t="str">
        <f>IF(AO821&gt;0,ROUND(INDEX(挂机升级突破!$DT$6:$ED$57,卡牌消耗!AT821,AO821)*INDEX(卡牌消耗!$B$7:$F$7,AR821)/$Q$4,0),"")</f>
        <v/>
      </c>
    </row>
    <row r="822" spans="37:52" ht="16.5" x14ac:dyDescent="0.2">
      <c r="AK822" s="104">
        <v>818</v>
      </c>
      <c r="AL822" s="14">
        <f t="shared" si="405"/>
        <v>16</v>
      </c>
      <c r="AM822" s="14">
        <f>INDEX(挂机升级突破!DQ$6:DQ$57,卡牌消耗!$AT822)</f>
        <v>11</v>
      </c>
      <c r="AN822" s="14">
        <f>INDEX(挂机升级突破!DR$6:DR$57,卡牌消耗!$AT822)</f>
        <v>5</v>
      </c>
      <c r="AO822" s="14">
        <f>INDEX(挂机升级突破!DS$6:DS$57,卡牌消耗!$AT822)</f>
        <v>0</v>
      </c>
      <c r="AP822" s="14">
        <f>INDEX(挂机升级突破!$DP$6:$DP$57,卡牌消耗!AT822)</f>
        <v>113</v>
      </c>
      <c r="AQ822" s="14" t="str">
        <f t="shared" si="406"/>
        <v>西方龙</v>
      </c>
      <c r="AR822" s="14">
        <f t="shared" si="407"/>
        <v>4</v>
      </c>
      <c r="AS822" s="14" t="str">
        <f t="shared" si="408"/>
        <v>西方龙魂火-38</v>
      </c>
      <c r="AT822" s="14">
        <f t="shared" si="409"/>
        <v>38</v>
      </c>
      <c r="AU822" s="14" t="str">
        <f>IF(AM822&gt;0,INDEX(挂机升级突破!$DT$4:$ED$4,AM822),"")</f>
        <v>金币</v>
      </c>
      <c r="AV822" s="14">
        <f>ROUND(INDEX(挂机升级突破!$DJ$6:$DJ$57,卡牌消耗!AT822)*INDEX(卡牌消耗!$B$8:$F$8,AR822)/$Q$4/50,0)*50</f>
        <v>32250</v>
      </c>
      <c r="AW822" s="14" t="str">
        <f>IF(AN822&gt;0,INDEX(挂机升级突破!$DT$4:$ED$4,AN822),"")</f>
        <v>红色基础材料</v>
      </c>
      <c r="AX822" s="14">
        <f>ROUND(INDEX(挂机升级突破!$DT$6:$ED$57,卡牌消耗!AT822,AN822)*INDEX(卡牌消耗!$B$5:$F$5,AR822)/$Q$4/5,0)*5</f>
        <v>10</v>
      </c>
      <c r="AY822" s="14" t="str">
        <f>IF(AO822&gt;0,INDEX(挂机升级突破!$DT$4:$ED$4,AO822),"")</f>
        <v/>
      </c>
      <c r="AZ822" s="14" t="str">
        <f>IF(AO822&gt;0,ROUND(INDEX(挂机升级突破!$DT$6:$ED$57,卡牌消耗!AT822,AO822)*INDEX(卡牌消耗!$B$7:$F$7,AR822)/$Q$4,0),"")</f>
        <v/>
      </c>
    </row>
    <row r="823" spans="37:52" ht="16.5" x14ac:dyDescent="0.2">
      <c r="AK823" s="104">
        <v>819</v>
      </c>
      <c r="AL823" s="14">
        <f t="shared" si="405"/>
        <v>16</v>
      </c>
      <c r="AM823" s="14">
        <f>INDEX(挂机升级突破!DQ$6:DQ$57,卡牌消耗!$AT823)</f>
        <v>11</v>
      </c>
      <c r="AN823" s="14">
        <f>INDEX(挂机升级突破!DR$6:DR$57,卡牌消耗!$AT823)</f>
        <v>5</v>
      </c>
      <c r="AO823" s="14">
        <f>INDEX(挂机升级突破!DS$6:DS$57,卡牌消耗!$AT823)</f>
        <v>0</v>
      </c>
      <c r="AP823" s="14">
        <f>INDEX(挂机升级突破!$DP$6:$DP$57,卡牌消耗!AT823)</f>
        <v>115</v>
      </c>
      <c r="AQ823" s="14" t="str">
        <f t="shared" si="406"/>
        <v>西方龙</v>
      </c>
      <c r="AR823" s="14">
        <f t="shared" si="407"/>
        <v>4</v>
      </c>
      <c r="AS823" s="14" t="str">
        <f t="shared" si="408"/>
        <v>西方龙魂火-39</v>
      </c>
      <c r="AT823" s="14">
        <f t="shared" si="409"/>
        <v>39</v>
      </c>
      <c r="AU823" s="14" t="str">
        <f>IF(AM823&gt;0,INDEX(挂机升级突破!$DT$4:$ED$4,AM823),"")</f>
        <v>金币</v>
      </c>
      <c r="AV823" s="14">
        <f>ROUND(INDEX(挂机升级突破!$DJ$6:$DJ$57,卡牌消耗!AT823)*INDEX(卡牌消耗!$B$8:$F$8,AR823)/$Q$4/50,0)*50</f>
        <v>32250</v>
      </c>
      <c r="AW823" s="14" t="str">
        <f>IF(AN823&gt;0,INDEX(挂机升级突破!$DT$4:$ED$4,AN823),"")</f>
        <v>红色基础材料</v>
      </c>
      <c r="AX823" s="14">
        <f>ROUND(INDEX(挂机升级突破!$DT$6:$ED$57,卡牌消耗!AT823,AN823)*INDEX(卡牌消耗!$B$5:$F$5,AR823)/$Q$4/5,0)*5</f>
        <v>10</v>
      </c>
      <c r="AY823" s="14" t="str">
        <f>IF(AO823&gt;0,INDEX(挂机升级突破!$DT$4:$ED$4,AO823),"")</f>
        <v/>
      </c>
      <c r="AZ823" s="14" t="str">
        <f>IF(AO823&gt;0,ROUND(INDEX(挂机升级突破!$DT$6:$ED$57,卡牌消耗!AT823,AO823)*INDEX(卡牌消耗!$B$7:$F$7,AR823)/$Q$4,0),"")</f>
        <v/>
      </c>
    </row>
    <row r="824" spans="37:52" ht="16.5" x14ac:dyDescent="0.2">
      <c r="AK824" s="104">
        <v>820</v>
      </c>
      <c r="AL824" s="14">
        <f t="shared" si="405"/>
        <v>16</v>
      </c>
      <c r="AM824" s="14">
        <f>INDEX(挂机升级突破!DQ$6:DQ$57,卡牌消耗!$AT824)</f>
        <v>11</v>
      </c>
      <c r="AN824" s="14">
        <f>INDEX(挂机升级突破!DR$6:DR$57,卡牌消耗!$AT824)</f>
        <v>5</v>
      </c>
      <c r="AO824" s="14">
        <f>INDEX(挂机升级突破!DS$6:DS$57,卡牌消耗!$AT824)</f>
        <v>0</v>
      </c>
      <c r="AP824" s="14">
        <f>INDEX(挂机升级突破!$DP$6:$DP$57,卡牌消耗!AT824)</f>
        <v>118</v>
      </c>
      <c r="AQ824" s="14" t="str">
        <f t="shared" si="406"/>
        <v>西方龙</v>
      </c>
      <c r="AR824" s="14">
        <f t="shared" si="407"/>
        <v>4</v>
      </c>
      <c r="AS824" s="14" t="str">
        <f t="shared" si="408"/>
        <v>西方龙魂火-40</v>
      </c>
      <c r="AT824" s="14">
        <f t="shared" si="409"/>
        <v>40</v>
      </c>
      <c r="AU824" s="14" t="str">
        <f>IF(AM824&gt;0,INDEX(挂机升级突破!$DT$4:$ED$4,AM824),"")</f>
        <v>金币</v>
      </c>
      <c r="AV824" s="14">
        <f>ROUND(INDEX(挂机升级突破!$DJ$6:$DJ$57,卡牌消耗!AT824)*INDEX(卡牌消耗!$B$8:$F$8,AR824)/$Q$4/50,0)*50</f>
        <v>32250</v>
      </c>
      <c r="AW824" s="14" t="str">
        <f>IF(AN824&gt;0,INDEX(挂机升级突破!$DT$4:$ED$4,AN824),"")</f>
        <v>红色基础材料</v>
      </c>
      <c r="AX824" s="14">
        <f>ROUND(INDEX(挂机升级突破!$DT$6:$ED$57,卡牌消耗!AT824,AN824)*INDEX(卡牌消耗!$B$5:$F$5,AR824)/$Q$4/5,0)*5</f>
        <v>10</v>
      </c>
      <c r="AY824" s="14" t="str">
        <f>IF(AO824&gt;0,INDEX(挂机升级突破!$DT$4:$ED$4,AO824),"")</f>
        <v/>
      </c>
      <c r="AZ824" s="14" t="str">
        <f>IF(AO824&gt;0,ROUND(INDEX(挂机升级突破!$DT$6:$ED$57,卡牌消耗!AT824,AO824)*INDEX(卡牌消耗!$B$7:$F$7,AR824)/$Q$4,0),"")</f>
        <v/>
      </c>
    </row>
    <row r="825" spans="37:52" ht="16.5" x14ac:dyDescent="0.2">
      <c r="AK825" s="104">
        <v>821</v>
      </c>
      <c r="AL825" s="14">
        <f t="shared" si="405"/>
        <v>16</v>
      </c>
      <c r="AM825" s="14">
        <f>INDEX(挂机升级突破!DQ$6:DQ$57,卡牌消耗!$AT825)</f>
        <v>11</v>
      </c>
      <c r="AN825" s="14">
        <f>INDEX(挂机升级突破!DR$6:DR$57,卡牌消耗!$AT825)</f>
        <v>5</v>
      </c>
      <c r="AO825" s="14">
        <f>INDEX(挂机升级突破!DS$6:DS$57,卡牌消耗!$AT825)</f>
        <v>10</v>
      </c>
      <c r="AP825" s="14">
        <f>INDEX(挂机升级突破!$DP$6:$DP$57,卡牌消耗!AT825)</f>
        <v>120</v>
      </c>
      <c r="AQ825" s="14" t="str">
        <f t="shared" si="406"/>
        <v>西方龙</v>
      </c>
      <c r="AR825" s="14">
        <f t="shared" si="407"/>
        <v>4</v>
      </c>
      <c r="AS825" s="14" t="str">
        <f t="shared" si="408"/>
        <v>西方龙魂火-41</v>
      </c>
      <c r="AT825" s="14">
        <f t="shared" si="409"/>
        <v>41</v>
      </c>
      <c r="AU825" s="14" t="str">
        <f>IF(AM825&gt;0,INDEX(挂机升级突破!$DT$4:$ED$4,AM825),"")</f>
        <v>金币</v>
      </c>
      <c r="AV825" s="14">
        <f>ROUND(INDEX(挂机升级突破!$DJ$6:$DJ$57,卡牌消耗!AT825)*INDEX(卡牌消耗!$B$8:$F$8,AR825)/$Q$4/50,0)*50</f>
        <v>44300</v>
      </c>
      <c r="AW825" s="14" t="str">
        <f>IF(AN825&gt;0,INDEX(挂机升级突破!$DT$4:$ED$4,AN825),"")</f>
        <v>红色基础材料</v>
      </c>
      <c r="AX825" s="14">
        <f>ROUND(INDEX(挂机升级突破!$DT$6:$ED$57,卡牌消耗!AT825,AN825)*INDEX(卡牌消耗!$B$5:$F$5,AR825)/$Q$4/5,0)*5</f>
        <v>10</v>
      </c>
      <c r="AY825" s="14" t="str">
        <f>IF(AO825&gt;0,INDEX(挂机升级突破!$DT$4:$ED$4,AO825),"")</f>
        <v>灵玉</v>
      </c>
      <c r="AZ825" s="14">
        <f>IF(AO825&gt;0,ROUND(INDEX(挂机升级突破!$DT$6:$ED$57,卡牌消耗!AT825,AO825)*INDEX(卡牌消耗!$B$7:$F$7,AR825)/$Q$4,0),"")</f>
        <v>3</v>
      </c>
    </row>
    <row r="826" spans="37:52" ht="16.5" x14ac:dyDescent="0.2">
      <c r="AK826" s="104">
        <v>822</v>
      </c>
      <c r="AL826" s="14">
        <f t="shared" si="405"/>
        <v>16</v>
      </c>
      <c r="AM826" s="14">
        <f>INDEX(挂机升级突破!DQ$6:DQ$57,卡牌消耗!$AT826)</f>
        <v>11</v>
      </c>
      <c r="AN826" s="14">
        <f>INDEX(挂机升级突破!DR$6:DR$57,卡牌消耗!$AT826)</f>
        <v>5</v>
      </c>
      <c r="AO826" s="14">
        <f>INDEX(挂机升级突破!DS$6:DS$57,卡牌消耗!$AT826)</f>
        <v>10</v>
      </c>
      <c r="AP826" s="14">
        <f>INDEX(挂机升级突破!$DP$6:$DP$57,卡牌消耗!AT826)</f>
        <v>123</v>
      </c>
      <c r="AQ826" s="14" t="str">
        <f t="shared" si="406"/>
        <v>西方龙</v>
      </c>
      <c r="AR826" s="14">
        <f t="shared" si="407"/>
        <v>4</v>
      </c>
      <c r="AS826" s="14" t="str">
        <f t="shared" si="408"/>
        <v>西方龙魂火-42</v>
      </c>
      <c r="AT826" s="14">
        <f t="shared" si="409"/>
        <v>42</v>
      </c>
      <c r="AU826" s="14" t="str">
        <f>IF(AM826&gt;0,INDEX(挂机升级突破!$DT$4:$ED$4,AM826),"")</f>
        <v>金币</v>
      </c>
      <c r="AV826" s="14">
        <f>ROUND(INDEX(挂机升级突破!$DJ$6:$DJ$57,卡牌消耗!AT826)*INDEX(卡牌消耗!$B$8:$F$8,AR826)/$Q$4/50,0)*50</f>
        <v>44300</v>
      </c>
      <c r="AW826" s="14" t="str">
        <f>IF(AN826&gt;0,INDEX(挂机升级突破!$DT$4:$ED$4,AN826),"")</f>
        <v>红色基础材料</v>
      </c>
      <c r="AX826" s="14">
        <f>ROUND(INDEX(挂机升级突破!$DT$6:$ED$57,卡牌消耗!AT826,AN826)*INDEX(卡牌消耗!$B$5:$F$5,AR826)/$Q$4/5,0)*5</f>
        <v>10</v>
      </c>
      <c r="AY826" s="14" t="str">
        <f>IF(AO826&gt;0,INDEX(挂机升级突破!$DT$4:$ED$4,AO826),"")</f>
        <v>灵玉</v>
      </c>
      <c r="AZ826" s="14">
        <f>IF(AO826&gt;0,ROUND(INDEX(挂机升级突破!$DT$6:$ED$57,卡牌消耗!AT826,AO826)*INDEX(卡牌消耗!$B$7:$F$7,AR826)/$Q$4,0),"")</f>
        <v>3</v>
      </c>
    </row>
    <row r="827" spans="37:52" ht="16.5" x14ac:dyDescent="0.2">
      <c r="AK827" s="104">
        <v>823</v>
      </c>
      <c r="AL827" s="14">
        <f t="shared" si="405"/>
        <v>16</v>
      </c>
      <c r="AM827" s="14">
        <f>INDEX(挂机升级突破!DQ$6:DQ$57,卡牌消耗!$AT827)</f>
        <v>11</v>
      </c>
      <c r="AN827" s="14">
        <f>INDEX(挂机升级突破!DR$6:DR$57,卡牌消耗!$AT827)</f>
        <v>5</v>
      </c>
      <c r="AO827" s="14">
        <f>INDEX(挂机升级突破!DS$6:DS$57,卡牌消耗!$AT827)</f>
        <v>10</v>
      </c>
      <c r="AP827" s="14">
        <f>INDEX(挂机升级突破!$DP$6:$DP$57,卡牌消耗!AT827)</f>
        <v>125</v>
      </c>
      <c r="AQ827" s="14" t="str">
        <f t="shared" si="406"/>
        <v>西方龙</v>
      </c>
      <c r="AR827" s="14">
        <f t="shared" si="407"/>
        <v>4</v>
      </c>
      <c r="AS827" s="14" t="str">
        <f t="shared" si="408"/>
        <v>西方龙魂火-43</v>
      </c>
      <c r="AT827" s="14">
        <f t="shared" si="409"/>
        <v>43</v>
      </c>
      <c r="AU827" s="14" t="str">
        <f>IF(AM827&gt;0,INDEX(挂机升级突破!$DT$4:$ED$4,AM827),"")</f>
        <v>金币</v>
      </c>
      <c r="AV827" s="14">
        <f>ROUND(INDEX(挂机升级突破!$DJ$6:$DJ$57,卡牌消耗!AT827)*INDEX(卡牌消耗!$B$8:$F$8,AR827)/$Q$4/50,0)*50</f>
        <v>44300</v>
      </c>
      <c r="AW827" s="14" t="str">
        <f>IF(AN827&gt;0,INDEX(挂机升级突破!$DT$4:$ED$4,AN827),"")</f>
        <v>红色基础材料</v>
      </c>
      <c r="AX827" s="14">
        <f>ROUND(INDEX(挂机升级突破!$DT$6:$ED$57,卡牌消耗!AT827,AN827)*INDEX(卡牌消耗!$B$5:$F$5,AR827)/$Q$4/5,0)*5</f>
        <v>10</v>
      </c>
      <c r="AY827" s="14" t="str">
        <f>IF(AO827&gt;0,INDEX(挂机升级突破!$DT$4:$ED$4,AO827),"")</f>
        <v>灵玉</v>
      </c>
      <c r="AZ827" s="14">
        <f>IF(AO827&gt;0,ROUND(INDEX(挂机升级突破!$DT$6:$ED$57,卡牌消耗!AT827,AO827)*INDEX(卡牌消耗!$B$7:$F$7,AR827)/$Q$4,0),"")</f>
        <v>3</v>
      </c>
    </row>
    <row r="828" spans="37:52" ht="16.5" x14ac:dyDescent="0.2">
      <c r="AK828" s="104">
        <v>824</v>
      </c>
      <c r="AL828" s="14">
        <f t="shared" si="405"/>
        <v>16</v>
      </c>
      <c r="AM828" s="14">
        <f>INDEX(挂机升级突破!DQ$6:DQ$57,卡牌消耗!$AT828)</f>
        <v>11</v>
      </c>
      <c r="AN828" s="14">
        <f>INDEX(挂机升级突破!DR$6:DR$57,卡牌消耗!$AT828)</f>
        <v>5</v>
      </c>
      <c r="AO828" s="14">
        <f>INDEX(挂机升级突破!DS$6:DS$57,卡牌消耗!$AT828)</f>
        <v>10</v>
      </c>
      <c r="AP828" s="14">
        <f>INDEX(挂机升级突破!$DP$6:$DP$57,卡牌消耗!AT828)</f>
        <v>128</v>
      </c>
      <c r="AQ828" s="14" t="str">
        <f t="shared" si="406"/>
        <v>西方龙</v>
      </c>
      <c r="AR828" s="14">
        <f t="shared" si="407"/>
        <v>4</v>
      </c>
      <c r="AS828" s="14" t="str">
        <f t="shared" si="408"/>
        <v>西方龙魂火-44</v>
      </c>
      <c r="AT828" s="14">
        <f t="shared" si="409"/>
        <v>44</v>
      </c>
      <c r="AU828" s="14" t="str">
        <f>IF(AM828&gt;0,INDEX(挂机升级突破!$DT$4:$ED$4,AM828),"")</f>
        <v>金币</v>
      </c>
      <c r="AV828" s="14">
        <f>ROUND(INDEX(挂机升级突破!$DJ$6:$DJ$57,卡牌消耗!AT828)*INDEX(卡牌消耗!$B$8:$F$8,AR828)/$Q$4/50,0)*50</f>
        <v>56400</v>
      </c>
      <c r="AW828" s="14" t="str">
        <f>IF(AN828&gt;0,INDEX(挂机升级突破!$DT$4:$ED$4,AN828),"")</f>
        <v>红色基础材料</v>
      </c>
      <c r="AX828" s="14">
        <f>ROUND(INDEX(挂机升级突破!$DT$6:$ED$57,卡牌消耗!AT828,AN828)*INDEX(卡牌消耗!$B$5:$F$5,AR828)/$Q$4/5,0)*5</f>
        <v>15</v>
      </c>
      <c r="AY828" s="14" t="str">
        <f>IF(AO828&gt;0,INDEX(挂机升级突破!$DT$4:$ED$4,AO828),"")</f>
        <v>灵玉</v>
      </c>
      <c r="AZ828" s="14">
        <f>IF(AO828&gt;0,ROUND(INDEX(挂机升级突破!$DT$6:$ED$57,卡牌消耗!AT828,AO828)*INDEX(卡牌消耗!$B$7:$F$7,AR828)/$Q$4,0),"")</f>
        <v>3</v>
      </c>
    </row>
    <row r="829" spans="37:52" ht="16.5" x14ac:dyDescent="0.2">
      <c r="AK829" s="104">
        <v>825</v>
      </c>
      <c r="AL829" s="14">
        <f t="shared" si="405"/>
        <v>16</v>
      </c>
      <c r="AM829" s="14">
        <f>INDEX(挂机升级突破!DQ$6:DQ$57,卡牌消耗!$AT829)</f>
        <v>11</v>
      </c>
      <c r="AN829" s="14">
        <f>INDEX(挂机升级突破!DR$6:DR$57,卡牌消耗!$AT829)</f>
        <v>5</v>
      </c>
      <c r="AO829" s="14">
        <f>INDEX(挂机升级突破!DS$6:DS$57,卡牌消耗!$AT829)</f>
        <v>10</v>
      </c>
      <c r="AP829" s="14">
        <f>INDEX(挂机升级突破!$DP$6:$DP$57,卡牌消耗!AT829)</f>
        <v>130</v>
      </c>
      <c r="AQ829" s="14" t="str">
        <f t="shared" si="406"/>
        <v>西方龙</v>
      </c>
      <c r="AR829" s="14">
        <f t="shared" si="407"/>
        <v>4</v>
      </c>
      <c r="AS829" s="14" t="str">
        <f t="shared" si="408"/>
        <v>西方龙魂火-45</v>
      </c>
      <c r="AT829" s="14">
        <f t="shared" si="409"/>
        <v>45</v>
      </c>
      <c r="AU829" s="14" t="str">
        <f>IF(AM829&gt;0,INDEX(挂机升级突破!$DT$4:$ED$4,AM829),"")</f>
        <v>金币</v>
      </c>
      <c r="AV829" s="14">
        <f>ROUND(INDEX(挂机升级突破!$DJ$6:$DJ$57,卡牌消耗!AT829)*INDEX(卡牌消耗!$B$8:$F$8,AR829)/$Q$4/50,0)*50</f>
        <v>56400</v>
      </c>
      <c r="AW829" s="14" t="str">
        <f>IF(AN829&gt;0,INDEX(挂机升级突破!$DT$4:$ED$4,AN829),"")</f>
        <v>红色基础材料</v>
      </c>
      <c r="AX829" s="14">
        <f>ROUND(INDEX(挂机升级突破!$DT$6:$ED$57,卡牌消耗!AT829,AN829)*INDEX(卡牌消耗!$B$5:$F$5,AR829)/$Q$4/5,0)*5</f>
        <v>15</v>
      </c>
      <c r="AY829" s="14" t="str">
        <f>IF(AO829&gt;0,INDEX(挂机升级突破!$DT$4:$ED$4,AO829),"")</f>
        <v>灵玉</v>
      </c>
      <c r="AZ829" s="14">
        <f>IF(AO829&gt;0,ROUND(INDEX(挂机升级突破!$DT$6:$ED$57,卡牌消耗!AT829,AO829)*INDEX(卡牌消耗!$B$7:$F$7,AR829)/$Q$4,0),"")</f>
        <v>3</v>
      </c>
    </row>
    <row r="830" spans="37:52" ht="16.5" x14ac:dyDescent="0.2">
      <c r="AK830" s="104">
        <v>826</v>
      </c>
      <c r="AL830" s="14">
        <f t="shared" si="405"/>
        <v>16</v>
      </c>
      <c r="AM830" s="14">
        <f>INDEX(挂机升级突破!DQ$6:DQ$57,卡牌消耗!$AT830)</f>
        <v>11</v>
      </c>
      <c r="AN830" s="14">
        <f>INDEX(挂机升级突破!DR$6:DR$57,卡牌消耗!$AT830)</f>
        <v>5</v>
      </c>
      <c r="AO830" s="14">
        <f>INDEX(挂机升级突破!DS$6:DS$57,卡牌消耗!$AT830)</f>
        <v>10</v>
      </c>
      <c r="AP830" s="14">
        <f>INDEX(挂机升级突破!$DP$6:$DP$57,卡牌消耗!AT830)</f>
        <v>133</v>
      </c>
      <c r="AQ830" s="14" t="str">
        <f t="shared" si="406"/>
        <v>西方龙</v>
      </c>
      <c r="AR830" s="14">
        <f t="shared" si="407"/>
        <v>4</v>
      </c>
      <c r="AS830" s="14" t="str">
        <f t="shared" si="408"/>
        <v>西方龙魂火-46</v>
      </c>
      <c r="AT830" s="14">
        <f t="shared" si="409"/>
        <v>46</v>
      </c>
      <c r="AU830" s="14" t="str">
        <f>IF(AM830&gt;0,INDEX(挂机升级突破!$DT$4:$ED$4,AM830),"")</f>
        <v>金币</v>
      </c>
      <c r="AV830" s="14">
        <f>ROUND(INDEX(挂机升级突破!$DJ$6:$DJ$57,卡牌消耗!AT830)*INDEX(卡牌消耗!$B$8:$F$8,AR830)/$Q$4/50,0)*50</f>
        <v>60450</v>
      </c>
      <c r="AW830" s="14" t="str">
        <f>IF(AN830&gt;0,INDEX(挂机升级突破!$DT$4:$ED$4,AN830),"")</f>
        <v>红色基础材料</v>
      </c>
      <c r="AX830" s="14">
        <f>ROUND(INDEX(挂机升级突破!$DT$6:$ED$57,卡牌消耗!AT830,AN830)*INDEX(卡牌消耗!$B$5:$F$5,AR830)/$Q$4/5,0)*5</f>
        <v>15</v>
      </c>
      <c r="AY830" s="14" t="str">
        <f>IF(AO830&gt;0,INDEX(挂机升级突破!$DT$4:$ED$4,AO830),"")</f>
        <v>灵玉</v>
      </c>
      <c r="AZ830" s="14">
        <f>IF(AO830&gt;0,ROUND(INDEX(挂机升级突破!$DT$6:$ED$57,卡牌消耗!AT830,AO830)*INDEX(卡牌消耗!$B$7:$F$7,AR830)/$Q$4,0),"")</f>
        <v>3</v>
      </c>
    </row>
    <row r="831" spans="37:52" ht="16.5" x14ac:dyDescent="0.2">
      <c r="AK831" s="104">
        <v>827</v>
      </c>
      <c r="AL831" s="14">
        <f t="shared" si="405"/>
        <v>16</v>
      </c>
      <c r="AM831" s="14">
        <f>INDEX(挂机升级突破!DQ$6:DQ$57,卡牌消耗!$AT831)</f>
        <v>11</v>
      </c>
      <c r="AN831" s="14">
        <f>INDEX(挂机升级突破!DR$6:DR$57,卡牌消耗!$AT831)</f>
        <v>5</v>
      </c>
      <c r="AO831" s="14">
        <f>INDEX(挂机升级突破!DS$6:DS$57,卡牌消耗!$AT831)</f>
        <v>10</v>
      </c>
      <c r="AP831" s="14">
        <f>INDEX(挂机升级突破!$DP$6:$DP$57,卡牌消耗!AT831)</f>
        <v>135</v>
      </c>
      <c r="AQ831" s="14" t="str">
        <f t="shared" si="406"/>
        <v>西方龙</v>
      </c>
      <c r="AR831" s="14">
        <f t="shared" si="407"/>
        <v>4</v>
      </c>
      <c r="AS831" s="14" t="str">
        <f t="shared" si="408"/>
        <v>西方龙魂火-47</v>
      </c>
      <c r="AT831" s="14">
        <f t="shared" si="409"/>
        <v>47</v>
      </c>
      <c r="AU831" s="14" t="str">
        <f>IF(AM831&gt;0,INDEX(挂机升级突破!$DT$4:$ED$4,AM831),"")</f>
        <v>金币</v>
      </c>
      <c r="AV831" s="14">
        <f>ROUND(INDEX(挂机升级突破!$DJ$6:$DJ$57,卡牌消耗!AT831)*INDEX(卡牌消耗!$B$8:$F$8,AR831)/$Q$4/50,0)*50</f>
        <v>123100</v>
      </c>
      <c r="AW831" s="14" t="str">
        <f>IF(AN831&gt;0,INDEX(挂机升级突破!$DT$4:$ED$4,AN831),"")</f>
        <v>红色基础材料</v>
      </c>
      <c r="AX831" s="14">
        <f>ROUND(INDEX(挂机升级突破!$DT$6:$ED$57,卡牌消耗!AT831,AN831)*INDEX(卡牌消耗!$B$5:$F$5,AR831)/$Q$4/5,0)*5</f>
        <v>15</v>
      </c>
      <c r="AY831" s="14" t="str">
        <f>IF(AO831&gt;0,INDEX(挂机升级突破!$DT$4:$ED$4,AO831),"")</f>
        <v>灵玉</v>
      </c>
      <c r="AZ831" s="14">
        <f>IF(AO831&gt;0,ROUND(INDEX(挂机升级突破!$DT$6:$ED$57,卡牌消耗!AT831,AO831)*INDEX(卡牌消耗!$B$7:$F$7,AR831)/$Q$4,0),"")</f>
        <v>3</v>
      </c>
    </row>
    <row r="832" spans="37:52" ht="16.5" x14ac:dyDescent="0.2">
      <c r="AK832" s="104">
        <v>828</v>
      </c>
      <c r="AL832" s="14">
        <f t="shared" si="405"/>
        <v>16</v>
      </c>
      <c r="AM832" s="14">
        <f>INDEX(挂机升级突破!DQ$6:DQ$57,卡牌消耗!$AT832)</f>
        <v>11</v>
      </c>
      <c r="AN832" s="14">
        <f>INDEX(挂机升级突破!DR$6:DR$57,卡牌消耗!$AT832)</f>
        <v>5</v>
      </c>
      <c r="AO832" s="14">
        <f>INDEX(挂机升级突破!DS$6:DS$57,卡牌消耗!$AT832)</f>
        <v>10</v>
      </c>
      <c r="AP832" s="14">
        <f>INDEX(挂机升级突破!$DP$6:$DP$57,卡牌消耗!AT832)</f>
        <v>138</v>
      </c>
      <c r="AQ832" s="14" t="str">
        <f t="shared" si="406"/>
        <v>西方龙</v>
      </c>
      <c r="AR832" s="14">
        <f t="shared" si="407"/>
        <v>4</v>
      </c>
      <c r="AS832" s="14" t="str">
        <f t="shared" si="408"/>
        <v>西方龙魂火-48</v>
      </c>
      <c r="AT832" s="14">
        <f t="shared" si="409"/>
        <v>48</v>
      </c>
      <c r="AU832" s="14" t="str">
        <f>IF(AM832&gt;0,INDEX(挂机升级突破!$DT$4:$ED$4,AM832),"")</f>
        <v>金币</v>
      </c>
      <c r="AV832" s="14">
        <f>ROUND(INDEX(挂机升级突破!$DJ$6:$DJ$57,卡牌消耗!AT832)*INDEX(卡牌消耗!$B$8:$F$8,AR832)/$Q$4/50,0)*50</f>
        <v>123100</v>
      </c>
      <c r="AW832" s="14" t="str">
        <f>IF(AN832&gt;0,INDEX(挂机升级突破!$DT$4:$ED$4,AN832),"")</f>
        <v>红色基础材料</v>
      </c>
      <c r="AX832" s="14">
        <f>ROUND(INDEX(挂机升级突破!$DT$6:$ED$57,卡牌消耗!AT832,AN832)*INDEX(卡牌消耗!$B$5:$F$5,AR832)/$Q$4/5,0)*5</f>
        <v>15</v>
      </c>
      <c r="AY832" s="14" t="str">
        <f>IF(AO832&gt;0,INDEX(挂机升级突破!$DT$4:$ED$4,AO832),"")</f>
        <v>灵玉</v>
      </c>
      <c r="AZ832" s="14">
        <f>IF(AO832&gt;0,ROUND(INDEX(挂机升级突破!$DT$6:$ED$57,卡牌消耗!AT832,AO832)*INDEX(卡牌消耗!$B$7:$F$7,AR832)/$Q$4,0),"")</f>
        <v>3</v>
      </c>
    </row>
    <row r="833" spans="37:52" ht="16.5" x14ac:dyDescent="0.2">
      <c r="AK833" s="104">
        <v>829</v>
      </c>
      <c r="AL833" s="14">
        <f t="shared" si="405"/>
        <v>16</v>
      </c>
      <c r="AM833" s="14">
        <f>INDEX(挂机升级突破!DQ$6:DQ$57,卡牌消耗!$AT833)</f>
        <v>11</v>
      </c>
      <c r="AN833" s="14">
        <f>INDEX(挂机升级突破!DR$6:DR$57,卡牌消耗!$AT833)</f>
        <v>5</v>
      </c>
      <c r="AO833" s="14">
        <f>INDEX(挂机升级突破!DS$6:DS$57,卡牌消耗!$AT833)</f>
        <v>10</v>
      </c>
      <c r="AP833" s="14">
        <f>INDEX(挂机升级突破!$DP$6:$DP$57,卡牌消耗!AT833)</f>
        <v>140</v>
      </c>
      <c r="AQ833" s="14" t="str">
        <f t="shared" si="406"/>
        <v>西方龙</v>
      </c>
      <c r="AR833" s="14">
        <f t="shared" si="407"/>
        <v>4</v>
      </c>
      <c r="AS833" s="14" t="str">
        <f t="shared" si="408"/>
        <v>西方龙魂火-49</v>
      </c>
      <c r="AT833" s="14">
        <f t="shared" si="409"/>
        <v>49</v>
      </c>
      <c r="AU833" s="14" t="str">
        <f>IF(AM833&gt;0,INDEX(挂机升级突破!$DT$4:$ED$4,AM833),"")</f>
        <v>金币</v>
      </c>
      <c r="AV833" s="14">
        <f>ROUND(INDEX(挂机升级突破!$DJ$6:$DJ$57,卡牌消耗!AT833)*INDEX(卡牌消耗!$B$8:$F$8,AR833)/$Q$4/50,0)*50</f>
        <v>123100</v>
      </c>
      <c r="AW833" s="14" t="str">
        <f>IF(AN833&gt;0,INDEX(挂机升级突破!$DT$4:$ED$4,AN833),"")</f>
        <v>红色基础材料</v>
      </c>
      <c r="AX833" s="14">
        <f>ROUND(INDEX(挂机升级突破!$DT$6:$ED$57,卡牌消耗!AT833,AN833)*INDEX(卡牌消耗!$B$5:$F$5,AR833)/$Q$4/5,0)*5</f>
        <v>15</v>
      </c>
      <c r="AY833" s="14" t="str">
        <f>IF(AO833&gt;0,INDEX(挂机升级突破!$DT$4:$ED$4,AO833),"")</f>
        <v>灵玉</v>
      </c>
      <c r="AZ833" s="14">
        <f>IF(AO833&gt;0,ROUND(INDEX(挂机升级突破!$DT$6:$ED$57,卡牌消耗!AT833,AO833)*INDEX(卡牌消耗!$B$7:$F$7,AR833)/$Q$4,0),"")</f>
        <v>3</v>
      </c>
    </row>
    <row r="834" spans="37:52" ht="16.5" x14ac:dyDescent="0.2">
      <c r="AK834" s="104">
        <v>830</v>
      </c>
      <c r="AL834" s="14">
        <f t="shared" si="405"/>
        <v>16</v>
      </c>
      <c r="AM834" s="14">
        <f>INDEX(挂机升级突破!DQ$6:DQ$57,卡牌消耗!$AT834)</f>
        <v>11</v>
      </c>
      <c r="AN834" s="14">
        <f>INDEX(挂机升级突破!DR$6:DR$57,卡牌消耗!$AT834)</f>
        <v>5</v>
      </c>
      <c r="AO834" s="14">
        <f>INDEX(挂机升级突破!DS$6:DS$57,卡牌消耗!$AT834)</f>
        <v>10</v>
      </c>
      <c r="AP834" s="14">
        <f>INDEX(挂机升级突破!$DP$6:$DP$57,卡牌消耗!AT834)</f>
        <v>143</v>
      </c>
      <c r="AQ834" s="14" t="str">
        <f t="shared" si="406"/>
        <v>西方龙</v>
      </c>
      <c r="AR834" s="14">
        <f t="shared" si="407"/>
        <v>4</v>
      </c>
      <c r="AS834" s="14" t="str">
        <f t="shared" si="408"/>
        <v>西方龙魂火-50</v>
      </c>
      <c r="AT834" s="14">
        <f t="shared" si="409"/>
        <v>50</v>
      </c>
      <c r="AU834" s="14" t="str">
        <f>IF(AM834&gt;0,INDEX(挂机升级突破!$DT$4:$ED$4,AM834),"")</f>
        <v>金币</v>
      </c>
      <c r="AV834" s="14">
        <f>ROUND(INDEX(挂机升级突破!$DJ$6:$DJ$57,卡牌消耗!AT834)*INDEX(卡牌消耗!$B$8:$F$8,AR834)/$Q$4/50,0)*50</f>
        <v>205150</v>
      </c>
      <c r="AW834" s="14" t="str">
        <f>IF(AN834&gt;0,INDEX(挂机升级突破!$DT$4:$ED$4,AN834),"")</f>
        <v>红色基础材料</v>
      </c>
      <c r="AX834" s="14">
        <f>ROUND(INDEX(挂机升级突破!$DT$6:$ED$57,卡牌消耗!AT834,AN834)*INDEX(卡牌消耗!$B$5:$F$5,AR834)/$Q$4/5,0)*5</f>
        <v>15</v>
      </c>
      <c r="AY834" s="14" t="str">
        <f>IF(AO834&gt;0,INDEX(挂机升级突破!$DT$4:$ED$4,AO834),"")</f>
        <v>灵玉</v>
      </c>
      <c r="AZ834" s="14">
        <f>IF(AO834&gt;0,ROUND(INDEX(挂机升级突破!$DT$6:$ED$57,卡牌消耗!AT834,AO834)*INDEX(卡牌消耗!$B$7:$F$7,AR834)/$Q$4,0),"")</f>
        <v>3</v>
      </c>
    </row>
    <row r="835" spans="37:52" ht="16.5" x14ac:dyDescent="0.2">
      <c r="AK835" s="104">
        <v>831</v>
      </c>
      <c r="AL835" s="14">
        <f t="shared" si="405"/>
        <v>16</v>
      </c>
      <c r="AM835" s="14">
        <f>INDEX(挂机升级突破!DQ$6:DQ$57,卡牌消耗!$AT835)</f>
        <v>11</v>
      </c>
      <c r="AN835" s="14">
        <f>INDEX(挂机升级突破!DR$6:DR$57,卡牌消耗!$AT835)</f>
        <v>5</v>
      </c>
      <c r="AO835" s="14">
        <f>INDEX(挂机升级突破!DS$6:DS$57,卡牌消耗!$AT835)</f>
        <v>10</v>
      </c>
      <c r="AP835" s="14">
        <f>INDEX(挂机升级突破!$DP$6:$DP$57,卡牌消耗!AT835)</f>
        <v>145</v>
      </c>
      <c r="AQ835" s="14" t="str">
        <f t="shared" si="406"/>
        <v>西方龙</v>
      </c>
      <c r="AR835" s="14">
        <f t="shared" si="407"/>
        <v>4</v>
      </c>
      <c r="AS835" s="14" t="str">
        <f t="shared" si="408"/>
        <v>西方龙魂火-51</v>
      </c>
      <c r="AT835" s="14">
        <f t="shared" si="409"/>
        <v>51</v>
      </c>
      <c r="AU835" s="14" t="str">
        <f>IF(AM835&gt;0,INDEX(挂机升级突破!$DT$4:$ED$4,AM835),"")</f>
        <v>金币</v>
      </c>
      <c r="AV835" s="14">
        <f>ROUND(INDEX(挂机升级突破!$DJ$6:$DJ$57,卡牌消耗!AT835)*INDEX(卡牌消耗!$B$8:$F$8,AR835)/$Q$4/50,0)*50</f>
        <v>225650</v>
      </c>
      <c r="AW835" s="14" t="str">
        <f>IF(AN835&gt;0,INDEX(挂机升级突破!$DT$4:$ED$4,AN835),"")</f>
        <v>红色基础材料</v>
      </c>
      <c r="AX835" s="14">
        <f>ROUND(INDEX(挂机升级突破!$DT$6:$ED$57,卡牌消耗!AT835,AN835)*INDEX(卡牌消耗!$B$5:$F$5,AR835)/$Q$4/5,0)*5</f>
        <v>15</v>
      </c>
      <c r="AY835" s="14" t="str">
        <f>IF(AO835&gt;0,INDEX(挂机升级突破!$DT$4:$ED$4,AO835),"")</f>
        <v>灵玉</v>
      </c>
      <c r="AZ835" s="14">
        <f>IF(AO835&gt;0,ROUND(INDEX(挂机升级突破!$DT$6:$ED$57,卡牌消耗!AT835,AO835)*INDEX(卡牌消耗!$B$7:$F$7,AR835)/$Q$4,0),"")</f>
        <v>3</v>
      </c>
    </row>
    <row r="836" spans="37:52" ht="16.5" x14ac:dyDescent="0.2">
      <c r="AK836" s="104">
        <v>832</v>
      </c>
      <c r="AL836" s="14">
        <f t="shared" si="405"/>
        <v>16</v>
      </c>
      <c r="AM836" s="14">
        <f>INDEX(挂机升级突破!DQ$6:DQ$57,卡牌消耗!$AT836)</f>
        <v>11</v>
      </c>
      <c r="AN836" s="14">
        <f>INDEX(挂机升级突破!DR$6:DR$57,卡牌消耗!$AT836)</f>
        <v>5</v>
      </c>
      <c r="AO836" s="14">
        <f>INDEX(挂机升级突破!DS$6:DS$57,卡牌消耗!$AT836)</f>
        <v>10</v>
      </c>
      <c r="AP836" s="14">
        <f>INDEX(挂机升级突破!$DP$6:$DP$57,卡牌消耗!AT836)</f>
        <v>148</v>
      </c>
      <c r="AQ836" s="14" t="str">
        <f t="shared" si="406"/>
        <v>西方龙</v>
      </c>
      <c r="AR836" s="14">
        <f t="shared" si="407"/>
        <v>4</v>
      </c>
      <c r="AS836" s="14" t="str">
        <f t="shared" si="408"/>
        <v>西方龙魂火-52</v>
      </c>
      <c r="AT836" s="14">
        <f t="shared" si="409"/>
        <v>52</v>
      </c>
      <c r="AU836" s="14" t="str">
        <f>IF(AM836&gt;0,INDEX(挂机升级突破!$DT$4:$ED$4,AM836),"")</f>
        <v>金币</v>
      </c>
      <c r="AV836" s="14">
        <f>ROUND(INDEX(挂机升级突破!$DJ$6:$DJ$57,卡牌消耗!AT836)*INDEX(卡牌消耗!$B$8:$F$8,AR836)/$Q$4/50,0)*50</f>
        <v>225650</v>
      </c>
      <c r="AW836" s="14" t="str">
        <f>IF(AN836&gt;0,INDEX(挂机升级突破!$DT$4:$ED$4,AN836),"")</f>
        <v>红色基础材料</v>
      </c>
      <c r="AX836" s="14">
        <f>ROUND(INDEX(挂机升级突破!$DT$6:$ED$57,卡牌消耗!AT836,AN836)*INDEX(卡牌消耗!$B$5:$F$5,AR836)/$Q$4/5,0)*5</f>
        <v>15</v>
      </c>
      <c r="AY836" s="14" t="str">
        <f>IF(AO836&gt;0,INDEX(挂机升级突破!$DT$4:$ED$4,AO836),"")</f>
        <v>灵玉</v>
      </c>
      <c r="AZ836" s="14">
        <f>IF(AO836&gt;0,ROUND(INDEX(挂机升级突破!$DT$6:$ED$57,卡牌消耗!AT836,AO836)*INDEX(卡牌消耗!$B$7:$F$7,AR836)/$Q$4,0),"")</f>
        <v>3</v>
      </c>
    </row>
    <row r="837" spans="37:52" ht="16.5" x14ac:dyDescent="0.2">
      <c r="AK837" s="104">
        <v>833</v>
      </c>
      <c r="AL837" s="14">
        <f t="shared" si="405"/>
        <v>17</v>
      </c>
      <c r="AM837" s="14">
        <f>INDEX(挂机升级突破!DQ$6:DQ$57,卡牌消耗!$AT837)</f>
        <v>11</v>
      </c>
      <c r="AN837" s="14">
        <f>INDEX(挂机升级突破!DR$6:DR$57,卡牌消耗!$AT837)</f>
        <v>1</v>
      </c>
      <c r="AO837" s="14">
        <f>INDEX(挂机升级突破!DS$6:DS$57,卡牌消耗!$AT837)</f>
        <v>0</v>
      </c>
      <c r="AP837" s="14">
        <f>INDEX(挂机升级突破!$DP$6:$DP$57,卡牌消耗!AT837)</f>
        <v>3</v>
      </c>
      <c r="AQ837" s="14" t="str">
        <f t="shared" si="406"/>
        <v>飞廉</v>
      </c>
      <c r="AR837" s="14">
        <f t="shared" si="407"/>
        <v>3</v>
      </c>
      <c r="AS837" s="14" t="str">
        <f t="shared" si="408"/>
        <v>飞廉魂火-1</v>
      </c>
      <c r="AT837" s="14">
        <f t="shared" si="409"/>
        <v>1</v>
      </c>
      <c r="AU837" s="14" t="str">
        <f>IF(AM837&gt;0,INDEX(挂机升级突破!$DT$4:$ED$4,AM837),"")</f>
        <v>金币</v>
      </c>
      <c r="AV837" s="14">
        <f>ROUND(INDEX(挂机升级突破!$DJ$6:$DJ$57,卡牌消耗!AT837)*INDEX(卡牌消耗!$B$8:$F$8,AR837)/$Q$4/50,0)*50</f>
        <v>850</v>
      </c>
      <c r="AW837" s="14" t="str">
        <f>IF(AN837&gt;0,INDEX(挂机升级突破!$DT$4:$ED$4,AN837),"")</f>
        <v>绿色基础材料</v>
      </c>
      <c r="AX837" s="14">
        <f>ROUND(INDEX(挂机升级突破!$DT$6:$ED$57,卡牌消耗!AT837,AN837)*INDEX(卡牌消耗!$B$5:$F$5,AR837)/$Q$4/5,0)*5</f>
        <v>25</v>
      </c>
      <c r="AY837" s="14" t="str">
        <f>IF(AO837&gt;0,INDEX(挂机升级突破!$DT$4:$ED$4,AO837),"")</f>
        <v/>
      </c>
      <c r="AZ837" s="14" t="str">
        <f>IF(AO837&gt;0,ROUND(INDEX(挂机升级突破!$DT$6:$ED$57,卡牌消耗!AT837,AO837)*INDEX(卡牌消耗!$B$7:$F$7,AR837)/$Q$4,0),"")</f>
        <v/>
      </c>
    </row>
    <row r="838" spans="37:52" ht="16.5" x14ac:dyDescent="0.2">
      <c r="AK838" s="104">
        <v>834</v>
      </c>
      <c r="AL838" s="14">
        <f t="shared" ref="AL838:AL901" si="410">INT((AK838-1)/52)+1</f>
        <v>17</v>
      </c>
      <c r="AM838" s="14">
        <f>INDEX(挂机升级突破!DQ$6:DQ$57,卡牌消耗!$AT838)</f>
        <v>11</v>
      </c>
      <c r="AN838" s="14">
        <f>INDEX(挂机升级突破!DR$6:DR$57,卡牌消耗!$AT838)</f>
        <v>1</v>
      </c>
      <c r="AO838" s="14">
        <f>INDEX(挂机升级突破!DS$6:DS$57,卡牌消耗!$AT838)</f>
        <v>0</v>
      </c>
      <c r="AP838" s="14">
        <f>INDEX(挂机升级突破!$DP$6:$DP$57,卡牌消耗!AT838)</f>
        <v>8</v>
      </c>
      <c r="AQ838" s="14" t="str">
        <f t="shared" ref="AQ838:AQ901" si="411">INDEX($B$13:$B$45,AL838)</f>
        <v>飞廉</v>
      </c>
      <c r="AR838" s="14">
        <f t="shared" ref="AR838:AR901" si="412">INDEX($C$13:$C$45,AL838)</f>
        <v>3</v>
      </c>
      <c r="AS838" s="14" t="str">
        <f t="shared" ref="AS838:AS901" si="413">AQ838&amp;"魂火-"&amp;AT838</f>
        <v>飞廉魂火-2</v>
      </c>
      <c r="AT838" s="14">
        <f t="shared" ref="AT838:AT901" si="414">AK838-(AL838-1)*52</f>
        <v>2</v>
      </c>
      <c r="AU838" s="14" t="str">
        <f>IF(AM838&gt;0,INDEX(挂机升级突破!$DT$4:$ED$4,AM838),"")</f>
        <v>金币</v>
      </c>
      <c r="AV838" s="14">
        <f>ROUND(INDEX(挂机升级突破!$DJ$6:$DJ$57,卡牌消耗!AT838)*INDEX(卡牌消耗!$B$8:$F$8,AR838)/$Q$4/50,0)*50</f>
        <v>1050</v>
      </c>
      <c r="AW838" s="14" t="str">
        <f>IF(AN838&gt;0,INDEX(挂机升级突破!$DT$4:$ED$4,AN838),"")</f>
        <v>绿色基础材料</v>
      </c>
      <c r="AX838" s="14">
        <f>ROUND(INDEX(挂机升级突破!$DT$6:$ED$57,卡牌消耗!AT838,AN838)*INDEX(卡牌消耗!$B$5:$F$5,AR838)/$Q$4/5,0)*5</f>
        <v>85</v>
      </c>
      <c r="AY838" s="14" t="str">
        <f>IF(AO838&gt;0,INDEX(挂机升级突破!$DT$4:$ED$4,AO838),"")</f>
        <v/>
      </c>
      <c r="AZ838" s="14" t="str">
        <f>IF(AO838&gt;0,ROUND(INDEX(挂机升级突破!$DT$6:$ED$57,卡牌消耗!AT838,AO838)*INDEX(卡牌消耗!$B$7:$F$7,AR838)/$Q$4,0),"")</f>
        <v/>
      </c>
    </row>
    <row r="839" spans="37:52" ht="16.5" x14ac:dyDescent="0.2">
      <c r="AK839" s="104">
        <v>835</v>
      </c>
      <c r="AL839" s="14">
        <f t="shared" si="410"/>
        <v>17</v>
      </c>
      <c r="AM839" s="14">
        <f>INDEX(挂机升级突破!DQ$6:DQ$57,卡牌消耗!$AT839)</f>
        <v>11</v>
      </c>
      <c r="AN839" s="14">
        <f>INDEX(挂机升级突破!DR$6:DR$57,卡牌消耗!$AT839)</f>
        <v>1</v>
      </c>
      <c r="AO839" s="14">
        <f>INDEX(挂机升级突破!DS$6:DS$57,卡牌消耗!$AT839)</f>
        <v>0</v>
      </c>
      <c r="AP839" s="14">
        <f>INDEX(挂机升级突破!$DP$6:$DP$57,卡牌消耗!AT839)</f>
        <v>13</v>
      </c>
      <c r="AQ839" s="14" t="str">
        <f t="shared" si="411"/>
        <v>飞廉</v>
      </c>
      <c r="AR839" s="14">
        <f t="shared" si="412"/>
        <v>3</v>
      </c>
      <c r="AS839" s="14" t="str">
        <f t="shared" si="413"/>
        <v>飞廉魂火-3</v>
      </c>
      <c r="AT839" s="14">
        <f t="shared" si="414"/>
        <v>3</v>
      </c>
      <c r="AU839" s="14" t="str">
        <f>IF(AM839&gt;0,INDEX(挂机升级突破!$DT$4:$ED$4,AM839),"")</f>
        <v>金币</v>
      </c>
      <c r="AV839" s="14">
        <f>ROUND(INDEX(挂机升级突破!$DJ$6:$DJ$57,卡牌消耗!AT839)*INDEX(卡牌消耗!$B$8:$F$8,AR839)/$Q$4/50,0)*50</f>
        <v>1050</v>
      </c>
      <c r="AW839" s="14" t="str">
        <f>IF(AN839&gt;0,INDEX(挂机升级突破!$DT$4:$ED$4,AN839),"")</f>
        <v>绿色基础材料</v>
      </c>
      <c r="AX839" s="14">
        <f>ROUND(INDEX(挂机升级突破!$DT$6:$ED$57,卡牌消耗!AT839,AN839)*INDEX(卡牌消耗!$B$5:$F$5,AR839)/$Q$4/5,0)*5</f>
        <v>100</v>
      </c>
      <c r="AY839" s="14" t="str">
        <f>IF(AO839&gt;0,INDEX(挂机升级突破!$DT$4:$ED$4,AO839),"")</f>
        <v/>
      </c>
      <c r="AZ839" s="14" t="str">
        <f>IF(AO839&gt;0,ROUND(INDEX(挂机升级突破!$DT$6:$ED$57,卡牌消耗!AT839,AO839)*INDEX(卡牌消耗!$B$7:$F$7,AR839)/$Q$4,0),"")</f>
        <v/>
      </c>
    </row>
    <row r="840" spans="37:52" ht="16.5" x14ac:dyDescent="0.2">
      <c r="AK840" s="104">
        <v>836</v>
      </c>
      <c r="AL840" s="14">
        <f t="shared" si="410"/>
        <v>17</v>
      </c>
      <c r="AM840" s="14">
        <f>INDEX(挂机升级突破!DQ$6:DQ$57,卡牌消耗!$AT840)</f>
        <v>11</v>
      </c>
      <c r="AN840" s="14">
        <f>INDEX(挂机升级突破!DR$6:DR$57,卡牌消耗!$AT840)</f>
        <v>1</v>
      </c>
      <c r="AO840" s="14">
        <f>INDEX(挂机升级突破!DS$6:DS$57,卡牌消耗!$AT840)</f>
        <v>0</v>
      </c>
      <c r="AP840" s="14">
        <f>INDEX(挂机升级突破!$DP$6:$DP$57,卡牌消耗!AT840)</f>
        <v>18</v>
      </c>
      <c r="AQ840" s="14" t="str">
        <f t="shared" si="411"/>
        <v>飞廉</v>
      </c>
      <c r="AR840" s="14">
        <f t="shared" si="412"/>
        <v>3</v>
      </c>
      <c r="AS840" s="14" t="str">
        <f t="shared" si="413"/>
        <v>飞廉魂火-4</v>
      </c>
      <c r="AT840" s="14">
        <f t="shared" si="414"/>
        <v>4</v>
      </c>
      <c r="AU840" s="14" t="str">
        <f>IF(AM840&gt;0,INDEX(挂机升级突破!$DT$4:$ED$4,AM840),"")</f>
        <v>金币</v>
      </c>
      <c r="AV840" s="14">
        <f>ROUND(INDEX(挂机升级突破!$DJ$6:$DJ$57,卡牌消耗!AT840)*INDEX(卡牌消耗!$B$8:$F$8,AR840)/$Q$4/50,0)*50</f>
        <v>1050</v>
      </c>
      <c r="AW840" s="14" t="str">
        <f>IF(AN840&gt;0,INDEX(挂机升级突破!$DT$4:$ED$4,AN840),"")</f>
        <v>绿色基础材料</v>
      </c>
      <c r="AX840" s="14">
        <f>ROUND(INDEX(挂机升级突破!$DT$6:$ED$57,卡牌消耗!AT840,AN840)*INDEX(卡牌消耗!$B$5:$F$5,AR840)/$Q$4/5,0)*5</f>
        <v>145</v>
      </c>
      <c r="AY840" s="14" t="str">
        <f>IF(AO840&gt;0,INDEX(挂机升级突破!$DT$4:$ED$4,AO840),"")</f>
        <v/>
      </c>
      <c r="AZ840" s="14" t="str">
        <f>IF(AO840&gt;0,ROUND(INDEX(挂机升级突破!$DT$6:$ED$57,卡牌消耗!AT840,AO840)*INDEX(卡牌消耗!$B$7:$F$7,AR840)/$Q$4,0),"")</f>
        <v/>
      </c>
    </row>
    <row r="841" spans="37:52" ht="16.5" x14ac:dyDescent="0.2">
      <c r="AK841" s="104">
        <v>837</v>
      </c>
      <c r="AL841" s="14">
        <f t="shared" si="410"/>
        <v>17</v>
      </c>
      <c r="AM841" s="14">
        <f>INDEX(挂机升级突破!DQ$6:DQ$57,卡牌消耗!$AT841)</f>
        <v>11</v>
      </c>
      <c r="AN841" s="14">
        <f>INDEX(挂机升级突破!DR$6:DR$57,卡牌消耗!$AT841)</f>
        <v>1</v>
      </c>
      <c r="AO841" s="14">
        <f>INDEX(挂机升级突破!DS$6:DS$57,卡牌消耗!$AT841)</f>
        <v>0</v>
      </c>
      <c r="AP841" s="14">
        <f>INDEX(挂机升级突破!$DP$6:$DP$57,卡牌消耗!AT841)</f>
        <v>23</v>
      </c>
      <c r="AQ841" s="14" t="str">
        <f t="shared" si="411"/>
        <v>飞廉</v>
      </c>
      <c r="AR841" s="14">
        <f t="shared" si="412"/>
        <v>3</v>
      </c>
      <c r="AS841" s="14" t="str">
        <f t="shared" si="413"/>
        <v>飞廉魂火-5</v>
      </c>
      <c r="AT841" s="14">
        <f t="shared" si="414"/>
        <v>5</v>
      </c>
      <c r="AU841" s="14" t="str">
        <f>IF(AM841&gt;0,INDEX(挂机升级突破!$DT$4:$ED$4,AM841),"")</f>
        <v>金币</v>
      </c>
      <c r="AV841" s="14">
        <f>ROUND(INDEX(挂机升级突破!$DJ$6:$DJ$57,卡牌消耗!AT841)*INDEX(卡牌消耗!$B$8:$F$8,AR841)/$Q$4/50,0)*50</f>
        <v>1050</v>
      </c>
      <c r="AW841" s="14" t="str">
        <f>IF(AN841&gt;0,INDEX(挂机升级突破!$DT$4:$ED$4,AN841),"")</f>
        <v>绿色基础材料</v>
      </c>
      <c r="AX841" s="14">
        <f>ROUND(INDEX(挂机升级突破!$DT$6:$ED$57,卡牌消耗!AT841,AN841)*INDEX(卡牌消耗!$B$5:$F$5,AR841)/$Q$4/5,0)*5</f>
        <v>155</v>
      </c>
      <c r="AY841" s="14" t="str">
        <f>IF(AO841&gt;0,INDEX(挂机升级突破!$DT$4:$ED$4,AO841),"")</f>
        <v/>
      </c>
      <c r="AZ841" s="14" t="str">
        <f>IF(AO841&gt;0,ROUND(INDEX(挂机升级突破!$DT$6:$ED$57,卡牌消耗!AT841,AO841)*INDEX(卡牌消耗!$B$7:$F$7,AR841)/$Q$4,0),"")</f>
        <v/>
      </c>
    </row>
    <row r="842" spans="37:52" ht="16.5" x14ac:dyDescent="0.2">
      <c r="AK842" s="104">
        <v>838</v>
      </c>
      <c r="AL842" s="14">
        <f t="shared" si="410"/>
        <v>17</v>
      </c>
      <c r="AM842" s="14">
        <f>INDEX(挂机升级突破!DQ$6:DQ$57,卡牌消耗!$AT842)</f>
        <v>11</v>
      </c>
      <c r="AN842" s="14">
        <f>INDEX(挂机升级突破!DR$6:DR$57,卡牌消耗!$AT842)</f>
        <v>2</v>
      </c>
      <c r="AO842" s="14">
        <f>INDEX(挂机升级突破!DS$6:DS$57,卡牌消耗!$AT842)</f>
        <v>0</v>
      </c>
      <c r="AP842" s="14">
        <f>INDEX(挂机升级突破!$DP$6:$DP$57,卡牌消耗!AT842)</f>
        <v>28</v>
      </c>
      <c r="AQ842" s="14" t="str">
        <f t="shared" si="411"/>
        <v>飞廉</v>
      </c>
      <c r="AR842" s="14">
        <f t="shared" si="412"/>
        <v>3</v>
      </c>
      <c r="AS842" s="14" t="str">
        <f t="shared" si="413"/>
        <v>飞廉魂火-6</v>
      </c>
      <c r="AT842" s="14">
        <f t="shared" si="414"/>
        <v>6</v>
      </c>
      <c r="AU842" s="14" t="str">
        <f>IF(AM842&gt;0,INDEX(挂机升级突破!$DT$4:$ED$4,AM842),"")</f>
        <v>金币</v>
      </c>
      <c r="AV842" s="14">
        <f>ROUND(INDEX(挂机升级突破!$DJ$6:$DJ$57,卡牌消耗!AT842)*INDEX(卡牌消耗!$B$8:$F$8,AR842)/$Q$4/50,0)*50</f>
        <v>1250</v>
      </c>
      <c r="AW842" s="14" t="str">
        <f>IF(AN842&gt;0,INDEX(挂机升级突破!$DT$4:$ED$4,AN842),"")</f>
        <v>蓝色基础材料</v>
      </c>
      <c r="AX842" s="14">
        <f>ROUND(INDEX(挂机升级突破!$DT$6:$ED$57,卡牌消耗!AT842,AN842)*INDEX(卡牌消耗!$B$5:$F$5,AR842)/$Q$4/5,0)*5</f>
        <v>30</v>
      </c>
      <c r="AY842" s="14" t="str">
        <f>IF(AO842&gt;0,INDEX(挂机升级突破!$DT$4:$ED$4,AO842),"")</f>
        <v/>
      </c>
      <c r="AZ842" s="14" t="str">
        <f>IF(AO842&gt;0,ROUND(INDEX(挂机升级突破!$DT$6:$ED$57,卡牌消耗!AT842,AO842)*INDEX(卡牌消耗!$B$7:$F$7,AR842)/$Q$4,0),"")</f>
        <v/>
      </c>
    </row>
    <row r="843" spans="37:52" ht="16.5" x14ac:dyDescent="0.2">
      <c r="AK843" s="104">
        <v>839</v>
      </c>
      <c r="AL843" s="14">
        <f t="shared" si="410"/>
        <v>17</v>
      </c>
      <c r="AM843" s="14">
        <f>INDEX(挂机升级突破!DQ$6:DQ$57,卡牌消耗!$AT843)</f>
        <v>11</v>
      </c>
      <c r="AN843" s="14">
        <f>INDEX(挂机升级突破!DR$6:DR$57,卡牌消耗!$AT843)</f>
        <v>2</v>
      </c>
      <c r="AO843" s="14">
        <f>INDEX(挂机升级突破!DS$6:DS$57,卡牌消耗!$AT843)</f>
        <v>0</v>
      </c>
      <c r="AP843" s="14">
        <f>INDEX(挂机升级突破!$DP$6:$DP$57,卡牌消耗!AT843)</f>
        <v>33</v>
      </c>
      <c r="AQ843" s="14" t="str">
        <f t="shared" si="411"/>
        <v>飞廉</v>
      </c>
      <c r="AR843" s="14">
        <f t="shared" si="412"/>
        <v>3</v>
      </c>
      <c r="AS843" s="14" t="str">
        <f t="shared" si="413"/>
        <v>飞廉魂火-7</v>
      </c>
      <c r="AT843" s="14">
        <f t="shared" si="414"/>
        <v>7</v>
      </c>
      <c r="AU843" s="14" t="str">
        <f>IF(AM843&gt;0,INDEX(挂机升级突破!$DT$4:$ED$4,AM843),"")</f>
        <v>金币</v>
      </c>
      <c r="AV843" s="14">
        <f>ROUND(INDEX(挂机升级突破!$DJ$6:$DJ$57,卡牌消耗!AT843)*INDEX(卡牌消耗!$B$8:$F$8,AR843)/$Q$4/50,0)*50</f>
        <v>1250</v>
      </c>
      <c r="AW843" s="14" t="str">
        <f>IF(AN843&gt;0,INDEX(挂机升级突破!$DT$4:$ED$4,AN843),"")</f>
        <v>蓝色基础材料</v>
      </c>
      <c r="AX843" s="14">
        <f>ROUND(INDEX(挂机升级突破!$DT$6:$ED$57,卡牌消耗!AT843,AN843)*INDEX(卡牌消耗!$B$5:$F$5,AR843)/$Q$4/5,0)*5</f>
        <v>30</v>
      </c>
      <c r="AY843" s="14" t="str">
        <f>IF(AO843&gt;0,INDEX(挂机升级突破!$DT$4:$ED$4,AO843),"")</f>
        <v/>
      </c>
      <c r="AZ843" s="14" t="str">
        <f>IF(AO843&gt;0,ROUND(INDEX(挂机升级突破!$DT$6:$ED$57,卡牌消耗!AT843,AO843)*INDEX(卡牌消耗!$B$7:$F$7,AR843)/$Q$4,0),"")</f>
        <v/>
      </c>
    </row>
    <row r="844" spans="37:52" ht="16.5" x14ac:dyDescent="0.2">
      <c r="AK844" s="104">
        <v>840</v>
      </c>
      <c r="AL844" s="14">
        <f t="shared" si="410"/>
        <v>17</v>
      </c>
      <c r="AM844" s="14">
        <f>INDEX(挂机升级突破!DQ$6:DQ$57,卡牌消耗!$AT844)</f>
        <v>11</v>
      </c>
      <c r="AN844" s="14">
        <f>INDEX(挂机升级突破!DR$6:DR$57,卡牌消耗!$AT844)</f>
        <v>2</v>
      </c>
      <c r="AO844" s="14">
        <f>INDEX(挂机升级突破!DS$6:DS$57,卡牌消耗!$AT844)</f>
        <v>0</v>
      </c>
      <c r="AP844" s="14">
        <f>INDEX(挂机升级突破!$DP$6:$DP$57,卡牌消耗!AT844)</f>
        <v>38</v>
      </c>
      <c r="AQ844" s="14" t="str">
        <f t="shared" si="411"/>
        <v>飞廉</v>
      </c>
      <c r="AR844" s="14">
        <f t="shared" si="412"/>
        <v>3</v>
      </c>
      <c r="AS844" s="14" t="str">
        <f t="shared" si="413"/>
        <v>飞廉魂火-8</v>
      </c>
      <c r="AT844" s="14">
        <f t="shared" si="414"/>
        <v>8</v>
      </c>
      <c r="AU844" s="14" t="str">
        <f>IF(AM844&gt;0,INDEX(挂机升级突破!$DT$4:$ED$4,AM844),"")</f>
        <v>金币</v>
      </c>
      <c r="AV844" s="14">
        <f>ROUND(INDEX(挂机升级突破!$DJ$6:$DJ$57,卡牌消耗!AT844)*INDEX(卡牌消耗!$B$8:$F$8,AR844)/$Q$4/50,0)*50</f>
        <v>1900</v>
      </c>
      <c r="AW844" s="14" t="str">
        <f>IF(AN844&gt;0,INDEX(挂机升级突破!$DT$4:$ED$4,AN844),"")</f>
        <v>蓝色基础材料</v>
      </c>
      <c r="AX844" s="14">
        <f>ROUND(INDEX(挂机升级突破!$DT$6:$ED$57,卡牌消耗!AT844,AN844)*INDEX(卡牌消耗!$B$5:$F$5,AR844)/$Q$4/5,0)*5</f>
        <v>60</v>
      </c>
      <c r="AY844" s="14" t="str">
        <f>IF(AO844&gt;0,INDEX(挂机升级突破!$DT$4:$ED$4,AO844),"")</f>
        <v/>
      </c>
      <c r="AZ844" s="14" t="str">
        <f>IF(AO844&gt;0,ROUND(INDEX(挂机升级突破!$DT$6:$ED$57,卡牌消耗!AT844,AO844)*INDEX(卡牌消耗!$B$7:$F$7,AR844)/$Q$4,0),"")</f>
        <v/>
      </c>
    </row>
    <row r="845" spans="37:52" ht="16.5" x14ac:dyDescent="0.2">
      <c r="AK845" s="104">
        <v>841</v>
      </c>
      <c r="AL845" s="14">
        <f t="shared" si="410"/>
        <v>17</v>
      </c>
      <c r="AM845" s="14">
        <f>INDEX(挂机升级突破!DQ$6:DQ$57,卡牌消耗!$AT845)</f>
        <v>11</v>
      </c>
      <c r="AN845" s="14">
        <f>INDEX(挂机升级突破!DR$6:DR$57,卡牌消耗!$AT845)</f>
        <v>2</v>
      </c>
      <c r="AO845" s="14">
        <f>INDEX(挂机升级突破!DS$6:DS$57,卡牌消耗!$AT845)</f>
        <v>0</v>
      </c>
      <c r="AP845" s="14">
        <f>INDEX(挂机升级突破!$DP$6:$DP$57,卡牌消耗!AT845)</f>
        <v>40</v>
      </c>
      <c r="AQ845" s="14" t="str">
        <f t="shared" si="411"/>
        <v>飞廉</v>
      </c>
      <c r="AR845" s="14">
        <f t="shared" si="412"/>
        <v>3</v>
      </c>
      <c r="AS845" s="14" t="str">
        <f t="shared" si="413"/>
        <v>飞廉魂火-9</v>
      </c>
      <c r="AT845" s="14">
        <f t="shared" si="414"/>
        <v>9</v>
      </c>
      <c r="AU845" s="14" t="str">
        <f>IF(AM845&gt;0,INDEX(挂机升级突破!$DT$4:$ED$4,AM845),"")</f>
        <v>金币</v>
      </c>
      <c r="AV845" s="14">
        <f>ROUND(INDEX(挂机升级突破!$DJ$6:$DJ$57,卡牌消耗!AT845)*INDEX(卡牌消耗!$B$8:$F$8,AR845)/$Q$4/50,0)*50</f>
        <v>1900</v>
      </c>
      <c r="AW845" s="14" t="str">
        <f>IF(AN845&gt;0,INDEX(挂机升级突破!$DT$4:$ED$4,AN845),"")</f>
        <v>蓝色基础材料</v>
      </c>
      <c r="AX845" s="14">
        <f>ROUND(INDEX(挂机升级突破!$DT$6:$ED$57,卡牌消耗!AT845,AN845)*INDEX(卡牌消耗!$B$5:$F$5,AR845)/$Q$4/5,0)*5</f>
        <v>60</v>
      </c>
      <c r="AY845" s="14" t="str">
        <f>IF(AO845&gt;0,INDEX(挂机升级突破!$DT$4:$ED$4,AO845),"")</f>
        <v/>
      </c>
      <c r="AZ845" s="14" t="str">
        <f>IF(AO845&gt;0,ROUND(INDEX(挂机升级突破!$DT$6:$ED$57,卡牌消耗!AT845,AO845)*INDEX(卡牌消耗!$B$7:$F$7,AR845)/$Q$4,0),"")</f>
        <v/>
      </c>
    </row>
    <row r="846" spans="37:52" ht="16.5" x14ac:dyDescent="0.2">
      <c r="AK846" s="104">
        <v>842</v>
      </c>
      <c r="AL846" s="14">
        <f t="shared" si="410"/>
        <v>17</v>
      </c>
      <c r="AM846" s="14">
        <f>INDEX(挂机升级突破!DQ$6:DQ$57,卡牌消耗!$AT846)</f>
        <v>11</v>
      </c>
      <c r="AN846" s="14">
        <f>INDEX(挂机升级突破!DR$6:DR$57,卡牌消耗!$AT846)</f>
        <v>2</v>
      </c>
      <c r="AO846" s="14">
        <f>INDEX(挂机升级突破!DS$6:DS$57,卡牌消耗!$AT846)</f>
        <v>0</v>
      </c>
      <c r="AP846" s="14">
        <f>INDEX(挂机升级突破!$DP$6:$DP$57,卡牌消耗!AT846)</f>
        <v>43</v>
      </c>
      <c r="AQ846" s="14" t="str">
        <f t="shared" si="411"/>
        <v>飞廉</v>
      </c>
      <c r="AR846" s="14">
        <f t="shared" si="412"/>
        <v>3</v>
      </c>
      <c r="AS846" s="14" t="str">
        <f t="shared" si="413"/>
        <v>飞廉魂火-10</v>
      </c>
      <c r="AT846" s="14">
        <f t="shared" si="414"/>
        <v>10</v>
      </c>
      <c r="AU846" s="14" t="str">
        <f>IF(AM846&gt;0,INDEX(挂机升级突破!$DT$4:$ED$4,AM846),"")</f>
        <v>金币</v>
      </c>
      <c r="AV846" s="14">
        <f>ROUND(INDEX(挂机升级突破!$DJ$6:$DJ$57,卡牌消耗!AT846)*INDEX(卡牌消耗!$B$8:$F$8,AR846)/$Q$4/50,0)*50</f>
        <v>3200</v>
      </c>
      <c r="AW846" s="14" t="str">
        <f>IF(AN846&gt;0,INDEX(挂机升级突破!$DT$4:$ED$4,AN846),"")</f>
        <v>蓝色基础材料</v>
      </c>
      <c r="AX846" s="14">
        <f>ROUND(INDEX(挂机升级突破!$DT$6:$ED$57,卡牌消耗!AT846,AN846)*INDEX(卡牌消耗!$B$5:$F$5,AR846)/$Q$4/5,0)*5</f>
        <v>85</v>
      </c>
      <c r="AY846" s="14" t="str">
        <f>IF(AO846&gt;0,INDEX(挂机升级突破!$DT$4:$ED$4,AO846),"")</f>
        <v/>
      </c>
      <c r="AZ846" s="14" t="str">
        <f>IF(AO846&gt;0,ROUND(INDEX(挂机升级突破!$DT$6:$ED$57,卡牌消耗!AT846,AO846)*INDEX(卡牌消耗!$B$7:$F$7,AR846)/$Q$4,0),"")</f>
        <v/>
      </c>
    </row>
    <row r="847" spans="37:52" ht="16.5" x14ac:dyDescent="0.2">
      <c r="AK847" s="104">
        <v>843</v>
      </c>
      <c r="AL847" s="14">
        <f t="shared" si="410"/>
        <v>17</v>
      </c>
      <c r="AM847" s="14">
        <f>INDEX(挂机升级突破!DQ$6:DQ$57,卡牌消耗!$AT847)</f>
        <v>11</v>
      </c>
      <c r="AN847" s="14">
        <f>INDEX(挂机升级突破!DR$6:DR$57,卡牌消耗!$AT847)</f>
        <v>2</v>
      </c>
      <c r="AO847" s="14">
        <f>INDEX(挂机升级突破!DS$6:DS$57,卡牌消耗!$AT847)</f>
        <v>0</v>
      </c>
      <c r="AP847" s="14">
        <f>INDEX(挂机升级突破!$DP$6:$DP$57,卡牌消耗!AT847)</f>
        <v>45</v>
      </c>
      <c r="AQ847" s="14" t="str">
        <f t="shared" si="411"/>
        <v>飞廉</v>
      </c>
      <c r="AR847" s="14">
        <f t="shared" si="412"/>
        <v>3</v>
      </c>
      <c r="AS847" s="14" t="str">
        <f t="shared" si="413"/>
        <v>飞廉魂火-11</v>
      </c>
      <c r="AT847" s="14">
        <f t="shared" si="414"/>
        <v>11</v>
      </c>
      <c r="AU847" s="14" t="str">
        <f>IF(AM847&gt;0,INDEX(挂机升级突破!$DT$4:$ED$4,AM847),"")</f>
        <v>金币</v>
      </c>
      <c r="AV847" s="14">
        <f>ROUND(INDEX(挂机升级突破!$DJ$6:$DJ$57,卡牌消耗!AT847)*INDEX(卡牌消耗!$B$8:$F$8,AR847)/$Q$4/50,0)*50</f>
        <v>3200</v>
      </c>
      <c r="AW847" s="14" t="str">
        <f>IF(AN847&gt;0,INDEX(挂机升级突破!$DT$4:$ED$4,AN847),"")</f>
        <v>蓝色基础材料</v>
      </c>
      <c r="AX847" s="14">
        <f>ROUND(INDEX(挂机升级突破!$DT$6:$ED$57,卡牌消耗!AT847,AN847)*INDEX(卡牌消耗!$B$5:$F$5,AR847)/$Q$4/5,0)*5</f>
        <v>85</v>
      </c>
      <c r="AY847" s="14" t="str">
        <f>IF(AO847&gt;0,INDEX(挂机升级突破!$DT$4:$ED$4,AO847),"")</f>
        <v/>
      </c>
      <c r="AZ847" s="14" t="str">
        <f>IF(AO847&gt;0,ROUND(INDEX(挂机升级突破!$DT$6:$ED$57,卡牌消耗!AT847,AO847)*INDEX(卡牌消耗!$B$7:$F$7,AR847)/$Q$4,0),"")</f>
        <v/>
      </c>
    </row>
    <row r="848" spans="37:52" ht="16.5" x14ac:dyDescent="0.2">
      <c r="AK848" s="104">
        <v>844</v>
      </c>
      <c r="AL848" s="14">
        <f t="shared" si="410"/>
        <v>17</v>
      </c>
      <c r="AM848" s="14">
        <f>INDEX(挂机升级突破!DQ$6:DQ$57,卡牌消耗!$AT848)</f>
        <v>11</v>
      </c>
      <c r="AN848" s="14">
        <f>INDEX(挂机升级突破!DR$6:DR$57,卡牌消耗!$AT848)</f>
        <v>2</v>
      </c>
      <c r="AO848" s="14">
        <f>INDEX(挂机升级突破!DS$6:DS$57,卡牌消耗!$AT848)</f>
        <v>0</v>
      </c>
      <c r="AP848" s="14">
        <f>INDEX(挂机升级突破!$DP$6:$DP$57,卡牌消耗!AT848)</f>
        <v>48</v>
      </c>
      <c r="AQ848" s="14" t="str">
        <f t="shared" si="411"/>
        <v>飞廉</v>
      </c>
      <c r="AR848" s="14">
        <f t="shared" si="412"/>
        <v>3</v>
      </c>
      <c r="AS848" s="14" t="str">
        <f t="shared" si="413"/>
        <v>飞廉魂火-12</v>
      </c>
      <c r="AT848" s="14">
        <f t="shared" si="414"/>
        <v>12</v>
      </c>
      <c r="AU848" s="14" t="str">
        <f>IF(AM848&gt;0,INDEX(挂机升级突破!$DT$4:$ED$4,AM848),"")</f>
        <v>金币</v>
      </c>
      <c r="AV848" s="14">
        <f>ROUND(INDEX(挂机升级突破!$DJ$6:$DJ$57,卡牌消耗!AT848)*INDEX(卡牌消耗!$B$8:$F$8,AR848)/$Q$4/50,0)*50</f>
        <v>2750</v>
      </c>
      <c r="AW848" s="14" t="str">
        <f>IF(AN848&gt;0,INDEX(挂机升级突破!$DT$4:$ED$4,AN848),"")</f>
        <v>蓝色基础材料</v>
      </c>
      <c r="AX848" s="14">
        <f>ROUND(INDEX(挂机升级突破!$DT$6:$ED$57,卡牌消耗!AT848,AN848)*INDEX(卡牌消耗!$B$5:$F$5,AR848)/$Q$4/5,0)*5</f>
        <v>115</v>
      </c>
      <c r="AY848" s="14" t="str">
        <f>IF(AO848&gt;0,INDEX(挂机升级突破!$DT$4:$ED$4,AO848),"")</f>
        <v/>
      </c>
      <c r="AZ848" s="14" t="str">
        <f>IF(AO848&gt;0,ROUND(INDEX(挂机升级突破!$DT$6:$ED$57,卡牌消耗!AT848,AO848)*INDEX(卡牌消耗!$B$7:$F$7,AR848)/$Q$4,0),"")</f>
        <v/>
      </c>
    </row>
    <row r="849" spans="37:52" ht="16.5" x14ac:dyDescent="0.2">
      <c r="AK849" s="104">
        <v>845</v>
      </c>
      <c r="AL849" s="14">
        <f t="shared" si="410"/>
        <v>17</v>
      </c>
      <c r="AM849" s="14">
        <f>INDEX(挂机升级突破!DQ$6:DQ$57,卡牌消耗!$AT849)</f>
        <v>11</v>
      </c>
      <c r="AN849" s="14">
        <f>INDEX(挂机升级突破!DR$6:DR$57,卡牌消耗!$AT849)</f>
        <v>2</v>
      </c>
      <c r="AO849" s="14">
        <f>INDEX(挂机升级突破!DS$6:DS$57,卡牌消耗!$AT849)</f>
        <v>0</v>
      </c>
      <c r="AP849" s="14">
        <f>INDEX(挂机升级突破!$DP$6:$DP$57,卡牌消耗!AT849)</f>
        <v>50</v>
      </c>
      <c r="AQ849" s="14" t="str">
        <f t="shared" si="411"/>
        <v>飞廉</v>
      </c>
      <c r="AR849" s="14">
        <f t="shared" si="412"/>
        <v>3</v>
      </c>
      <c r="AS849" s="14" t="str">
        <f t="shared" si="413"/>
        <v>飞廉魂火-13</v>
      </c>
      <c r="AT849" s="14">
        <f t="shared" si="414"/>
        <v>13</v>
      </c>
      <c r="AU849" s="14" t="str">
        <f>IF(AM849&gt;0,INDEX(挂机升级突破!$DT$4:$ED$4,AM849),"")</f>
        <v>金币</v>
      </c>
      <c r="AV849" s="14">
        <f>ROUND(INDEX(挂机升级突破!$DJ$6:$DJ$57,卡牌消耗!AT849)*INDEX(卡牌消耗!$B$8:$F$8,AR849)/$Q$4/50,0)*50</f>
        <v>2750</v>
      </c>
      <c r="AW849" s="14" t="str">
        <f>IF(AN849&gt;0,INDEX(挂机升级突破!$DT$4:$ED$4,AN849),"")</f>
        <v>蓝色基础材料</v>
      </c>
      <c r="AX849" s="14">
        <f>ROUND(INDEX(挂机升级突破!$DT$6:$ED$57,卡牌消耗!AT849,AN849)*INDEX(卡牌消耗!$B$5:$F$5,AR849)/$Q$4/5,0)*5</f>
        <v>115</v>
      </c>
      <c r="AY849" s="14" t="str">
        <f>IF(AO849&gt;0,INDEX(挂机升级突破!$DT$4:$ED$4,AO849),"")</f>
        <v/>
      </c>
      <c r="AZ849" s="14" t="str">
        <f>IF(AO849&gt;0,ROUND(INDEX(挂机升级突破!$DT$6:$ED$57,卡牌消耗!AT849,AO849)*INDEX(卡牌消耗!$B$7:$F$7,AR849)/$Q$4,0),"")</f>
        <v/>
      </c>
    </row>
    <row r="850" spans="37:52" ht="16.5" x14ac:dyDescent="0.2">
      <c r="AK850" s="104">
        <v>846</v>
      </c>
      <c r="AL850" s="14">
        <f t="shared" si="410"/>
        <v>17</v>
      </c>
      <c r="AM850" s="14">
        <f>INDEX(挂机升级突破!DQ$6:DQ$57,卡牌消耗!$AT850)</f>
        <v>11</v>
      </c>
      <c r="AN850" s="14">
        <f>INDEX(挂机升级突破!DR$6:DR$57,卡牌消耗!$AT850)</f>
        <v>3</v>
      </c>
      <c r="AO850" s="14">
        <f>INDEX(挂机升级突破!DS$6:DS$57,卡牌消耗!$AT850)</f>
        <v>0</v>
      </c>
      <c r="AP850" s="14">
        <f>INDEX(挂机升级突破!$DP$6:$DP$57,卡牌消耗!AT850)</f>
        <v>53</v>
      </c>
      <c r="AQ850" s="14" t="str">
        <f t="shared" si="411"/>
        <v>飞廉</v>
      </c>
      <c r="AR850" s="14">
        <f t="shared" si="412"/>
        <v>3</v>
      </c>
      <c r="AS850" s="14" t="str">
        <f t="shared" si="413"/>
        <v>飞廉魂火-14</v>
      </c>
      <c r="AT850" s="14">
        <f t="shared" si="414"/>
        <v>14</v>
      </c>
      <c r="AU850" s="14" t="str">
        <f>IF(AM850&gt;0,INDEX(挂机升级突破!$DT$4:$ED$4,AM850),"")</f>
        <v>金币</v>
      </c>
      <c r="AV850" s="14">
        <f>ROUND(INDEX(挂机升级突破!$DJ$6:$DJ$57,卡牌消耗!AT850)*INDEX(卡牌消耗!$B$8:$F$8,AR850)/$Q$4/50,0)*50</f>
        <v>3000</v>
      </c>
      <c r="AW850" s="14" t="str">
        <f>IF(AN850&gt;0,INDEX(挂机升级突破!$DT$4:$ED$4,AN850),"")</f>
        <v>紫色基础材料</v>
      </c>
      <c r="AX850" s="14">
        <f>ROUND(INDEX(挂机升级突破!$DT$6:$ED$57,卡牌消耗!AT850,AN850)*INDEX(卡牌消耗!$B$5:$F$5,AR850)/$Q$4/5,0)*5</f>
        <v>25</v>
      </c>
      <c r="AY850" s="14" t="str">
        <f>IF(AO850&gt;0,INDEX(挂机升级突破!$DT$4:$ED$4,AO850),"")</f>
        <v/>
      </c>
      <c r="AZ850" s="14" t="str">
        <f>IF(AO850&gt;0,ROUND(INDEX(挂机升级突破!$DT$6:$ED$57,卡牌消耗!AT850,AO850)*INDEX(卡牌消耗!$B$7:$F$7,AR850)/$Q$4,0),"")</f>
        <v/>
      </c>
    </row>
    <row r="851" spans="37:52" ht="16.5" x14ac:dyDescent="0.2">
      <c r="AK851" s="104">
        <v>847</v>
      </c>
      <c r="AL851" s="14">
        <f t="shared" si="410"/>
        <v>17</v>
      </c>
      <c r="AM851" s="14">
        <f>INDEX(挂机升级突破!DQ$6:DQ$57,卡牌消耗!$AT851)</f>
        <v>11</v>
      </c>
      <c r="AN851" s="14">
        <f>INDEX(挂机升级突破!DR$6:DR$57,卡牌消耗!$AT851)</f>
        <v>3</v>
      </c>
      <c r="AO851" s="14">
        <f>INDEX(挂机升级突破!DS$6:DS$57,卡牌消耗!$AT851)</f>
        <v>0</v>
      </c>
      <c r="AP851" s="14">
        <f>INDEX(挂机升级突破!$DP$6:$DP$57,卡牌消耗!AT851)</f>
        <v>55</v>
      </c>
      <c r="AQ851" s="14" t="str">
        <f t="shared" si="411"/>
        <v>飞廉</v>
      </c>
      <c r="AR851" s="14">
        <f t="shared" si="412"/>
        <v>3</v>
      </c>
      <c r="AS851" s="14" t="str">
        <f t="shared" si="413"/>
        <v>飞廉魂火-15</v>
      </c>
      <c r="AT851" s="14">
        <f t="shared" si="414"/>
        <v>15</v>
      </c>
      <c r="AU851" s="14" t="str">
        <f>IF(AM851&gt;0,INDEX(挂机升级突破!$DT$4:$ED$4,AM851),"")</f>
        <v>金币</v>
      </c>
      <c r="AV851" s="14">
        <f>ROUND(INDEX(挂机升级突破!$DJ$6:$DJ$57,卡牌消耗!AT851)*INDEX(卡牌消耗!$B$8:$F$8,AR851)/$Q$4/50,0)*50</f>
        <v>3250</v>
      </c>
      <c r="AW851" s="14" t="str">
        <f>IF(AN851&gt;0,INDEX(挂机升级突破!$DT$4:$ED$4,AN851),"")</f>
        <v>紫色基础材料</v>
      </c>
      <c r="AX851" s="14">
        <f>ROUND(INDEX(挂机升级突破!$DT$6:$ED$57,卡牌消耗!AT851,AN851)*INDEX(卡牌消耗!$B$5:$F$5,AR851)/$Q$4/5,0)*5</f>
        <v>25</v>
      </c>
      <c r="AY851" s="14" t="str">
        <f>IF(AO851&gt;0,INDEX(挂机升级突破!$DT$4:$ED$4,AO851),"")</f>
        <v/>
      </c>
      <c r="AZ851" s="14" t="str">
        <f>IF(AO851&gt;0,ROUND(INDEX(挂机升级突破!$DT$6:$ED$57,卡牌消耗!AT851,AO851)*INDEX(卡牌消耗!$B$7:$F$7,AR851)/$Q$4,0),"")</f>
        <v/>
      </c>
    </row>
    <row r="852" spans="37:52" ht="16.5" x14ac:dyDescent="0.2">
      <c r="AK852" s="104">
        <v>848</v>
      </c>
      <c r="AL852" s="14">
        <f t="shared" si="410"/>
        <v>17</v>
      </c>
      <c r="AM852" s="14">
        <f>INDEX(挂机升级突破!DQ$6:DQ$57,卡牌消耗!$AT852)</f>
        <v>11</v>
      </c>
      <c r="AN852" s="14">
        <f>INDEX(挂机升级突破!DR$6:DR$57,卡牌消耗!$AT852)</f>
        <v>3</v>
      </c>
      <c r="AO852" s="14">
        <f>INDEX(挂机升级突破!DS$6:DS$57,卡牌消耗!$AT852)</f>
        <v>0</v>
      </c>
      <c r="AP852" s="14">
        <f>INDEX(挂机升级突破!$DP$6:$DP$57,卡牌消耗!AT852)</f>
        <v>58</v>
      </c>
      <c r="AQ852" s="14" t="str">
        <f t="shared" si="411"/>
        <v>飞廉</v>
      </c>
      <c r="AR852" s="14">
        <f t="shared" si="412"/>
        <v>3</v>
      </c>
      <c r="AS852" s="14" t="str">
        <f t="shared" si="413"/>
        <v>飞廉魂火-16</v>
      </c>
      <c r="AT852" s="14">
        <f t="shared" si="414"/>
        <v>16</v>
      </c>
      <c r="AU852" s="14" t="str">
        <f>IF(AM852&gt;0,INDEX(挂机升级突破!$DT$4:$ED$4,AM852),"")</f>
        <v>金币</v>
      </c>
      <c r="AV852" s="14">
        <f>ROUND(INDEX(挂机升级突破!$DJ$6:$DJ$57,卡牌消耗!AT852)*INDEX(卡牌消耗!$B$8:$F$8,AR852)/$Q$4/50,0)*50</f>
        <v>3250</v>
      </c>
      <c r="AW852" s="14" t="str">
        <f>IF(AN852&gt;0,INDEX(挂机升级突破!$DT$4:$ED$4,AN852),"")</f>
        <v>紫色基础材料</v>
      </c>
      <c r="AX852" s="14">
        <f>ROUND(INDEX(挂机升级突破!$DT$6:$ED$57,卡牌消耗!AT852,AN852)*INDEX(卡牌消耗!$B$5:$F$5,AR852)/$Q$4/5,0)*5</f>
        <v>25</v>
      </c>
      <c r="AY852" s="14" t="str">
        <f>IF(AO852&gt;0,INDEX(挂机升级突破!$DT$4:$ED$4,AO852),"")</f>
        <v/>
      </c>
      <c r="AZ852" s="14" t="str">
        <f>IF(AO852&gt;0,ROUND(INDEX(挂机升级突破!$DT$6:$ED$57,卡牌消耗!AT852,AO852)*INDEX(卡牌消耗!$B$7:$F$7,AR852)/$Q$4,0),"")</f>
        <v/>
      </c>
    </row>
    <row r="853" spans="37:52" ht="16.5" x14ac:dyDescent="0.2">
      <c r="AK853" s="104">
        <v>849</v>
      </c>
      <c r="AL853" s="14">
        <f t="shared" si="410"/>
        <v>17</v>
      </c>
      <c r="AM853" s="14">
        <f>INDEX(挂机升级突破!DQ$6:DQ$57,卡牌消耗!$AT853)</f>
        <v>11</v>
      </c>
      <c r="AN853" s="14">
        <f>INDEX(挂机升级突破!DR$6:DR$57,卡牌消耗!$AT853)</f>
        <v>3</v>
      </c>
      <c r="AO853" s="14">
        <f>INDEX(挂机升级突破!DS$6:DS$57,卡牌消耗!$AT853)</f>
        <v>0</v>
      </c>
      <c r="AP853" s="14">
        <f>INDEX(挂机升级突破!$DP$6:$DP$57,卡牌消耗!AT853)</f>
        <v>60</v>
      </c>
      <c r="AQ853" s="14" t="str">
        <f t="shared" si="411"/>
        <v>飞廉</v>
      </c>
      <c r="AR853" s="14">
        <f t="shared" si="412"/>
        <v>3</v>
      </c>
      <c r="AS853" s="14" t="str">
        <f t="shared" si="413"/>
        <v>飞廉魂火-17</v>
      </c>
      <c r="AT853" s="14">
        <f t="shared" si="414"/>
        <v>17</v>
      </c>
      <c r="AU853" s="14" t="str">
        <f>IF(AM853&gt;0,INDEX(挂机升级突破!$DT$4:$ED$4,AM853),"")</f>
        <v>金币</v>
      </c>
      <c r="AV853" s="14">
        <f>ROUND(INDEX(挂机升级突破!$DJ$6:$DJ$57,卡牌消耗!AT853)*INDEX(卡牌消耗!$B$8:$F$8,AR853)/$Q$4/50,0)*50</f>
        <v>4100</v>
      </c>
      <c r="AW853" s="14" t="str">
        <f>IF(AN853&gt;0,INDEX(挂机升级突破!$DT$4:$ED$4,AN853),"")</f>
        <v>紫色基础材料</v>
      </c>
      <c r="AX853" s="14">
        <f>ROUND(INDEX(挂机升级突破!$DT$6:$ED$57,卡牌消耗!AT853,AN853)*INDEX(卡牌消耗!$B$5:$F$5,AR853)/$Q$4/5,0)*5</f>
        <v>45</v>
      </c>
      <c r="AY853" s="14" t="str">
        <f>IF(AO853&gt;0,INDEX(挂机升级突破!$DT$4:$ED$4,AO853),"")</f>
        <v/>
      </c>
      <c r="AZ853" s="14" t="str">
        <f>IF(AO853&gt;0,ROUND(INDEX(挂机升级突破!$DT$6:$ED$57,卡牌消耗!AT853,AO853)*INDEX(卡牌消耗!$B$7:$F$7,AR853)/$Q$4,0),"")</f>
        <v/>
      </c>
    </row>
    <row r="854" spans="37:52" ht="16.5" x14ac:dyDescent="0.2">
      <c r="AK854" s="104">
        <v>850</v>
      </c>
      <c r="AL854" s="14">
        <f t="shared" si="410"/>
        <v>17</v>
      </c>
      <c r="AM854" s="14">
        <f>INDEX(挂机升级突破!DQ$6:DQ$57,卡牌消耗!$AT854)</f>
        <v>11</v>
      </c>
      <c r="AN854" s="14">
        <f>INDEX(挂机升级突破!DR$6:DR$57,卡牌消耗!$AT854)</f>
        <v>3</v>
      </c>
      <c r="AO854" s="14">
        <f>INDEX(挂机升级突破!DS$6:DS$57,卡牌消耗!$AT854)</f>
        <v>0</v>
      </c>
      <c r="AP854" s="14">
        <f>INDEX(挂机升级突破!$DP$6:$DP$57,卡牌消耗!AT854)</f>
        <v>63</v>
      </c>
      <c r="AQ854" s="14" t="str">
        <f t="shared" si="411"/>
        <v>飞廉</v>
      </c>
      <c r="AR854" s="14">
        <f t="shared" si="412"/>
        <v>3</v>
      </c>
      <c r="AS854" s="14" t="str">
        <f t="shared" si="413"/>
        <v>飞廉魂火-18</v>
      </c>
      <c r="AT854" s="14">
        <f t="shared" si="414"/>
        <v>18</v>
      </c>
      <c r="AU854" s="14" t="str">
        <f>IF(AM854&gt;0,INDEX(挂机升级突破!$DT$4:$ED$4,AM854),"")</f>
        <v>金币</v>
      </c>
      <c r="AV854" s="14">
        <f>ROUND(INDEX(挂机升级突破!$DJ$6:$DJ$57,卡牌消耗!AT854)*INDEX(卡牌消耗!$B$8:$F$8,AR854)/$Q$4/50,0)*50</f>
        <v>4100</v>
      </c>
      <c r="AW854" s="14" t="str">
        <f>IF(AN854&gt;0,INDEX(挂机升级突破!$DT$4:$ED$4,AN854),"")</f>
        <v>紫色基础材料</v>
      </c>
      <c r="AX854" s="14">
        <f>ROUND(INDEX(挂机升级突破!$DT$6:$ED$57,卡牌消耗!AT854,AN854)*INDEX(卡牌消耗!$B$5:$F$5,AR854)/$Q$4/5,0)*5</f>
        <v>45</v>
      </c>
      <c r="AY854" s="14" t="str">
        <f>IF(AO854&gt;0,INDEX(挂机升级突破!$DT$4:$ED$4,AO854),"")</f>
        <v/>
      </c>
      <c r="AZ854" s="14" t="str">
        <f>IF(AO854&gt;0,ROUND(INDEX(挂机升级突破!$DT$6:$ED$57,卡牌消耗!AT854,AO854)*INDEX(卡牌消耗!$B$7:$F$7,AR854)/$Q$4,0),"")</f>
        <v/>
      </c>
    </row>
    <row r="855" spans="37:52" ht="16.5" x14ac:dyDescent="0.2">
      <c r="AK855" s="104">
        <v>851</v>
      </c>
      <c r="AL855" s="14">
        <f t="shared" si="410"/>
        <v>17</v>
      </c>
      <c r="AM855" s="14">
        <f>INDEX(挂机升级突破!DQ$6:DQ$57,卡牌消耗!$AT855)</f>
        <v>11</v>
      </c>
      <c r="AN855" s="14">
        <f>INDEX(挂机升级突破!DR$6:DR$57,卡牌消耗!$AT855)</f>
        <v>3</v>
      </c>
      <c r="AO855" s="14">
        <f>INDEX(挂机升级突破!DS$6:DS$57,卡牌消耗!$AT855)</f>
        <v>0</v>
      </c>
      <c r="AP855" s="14">
        <f>INDEX(挂机升级突破!$DP$6:$DP$57,卡牌消耗!AT855)</f>
        <v>65</v>
      </c>
      <c r="AQ855" s="14" t="str">
        <f t="shared" si="411"/>
        <v>飞廉</v>
      </c>
      <c r="AR855" s="14">
        <f t="shared" si="412"/>
        <v>3</v>
      </c>
      <c r="AS855" s="14" t="str">
        <f t="shared" si="413"/>
        <v>飞廉魂火-19</v>
      </c>
      <c r="AT855" s="14">
        <f t="shared" si="414"/>
        <v>19</v>
      </c>
      <c r="AU855" s="14" t="str">
        <f>IF(AM855&gt;0,INDEX(挂机升级突破!$DT$4:$ED$4,AM855),"")</f>
        <v>金币</v>
      </c>
      <c r="AV855" s="14">
        <f>ROUND(INDEX(挂机升级突破!$DJ$6:$DJ$57,卡牌消耗!AT855)*INDEX(卡牌消耗!$B$8:$F$8,AR855)/$Q$4/50,0)*50</f>
        <v>4100</v>
      </c>
      <c r="AW855" s="14" t="str">
        <f>IF(AN855&gt;0,INDEX(挂机升级突破!$DT$4:$ED$4,AN855),"")</f>
        <v>紫色基础材料</v>
      </c>
      <c r="AX855" s="14">
        <f>ROUND(INDEX(挂机升级突破!$DT$6:$ED$57,卡牌消耗!AT855,AN855)*INDEX(卡牌消耗!$B$5:$F$5,AR855)/$Q$4/5,0)*5</f>
        <v>45</v>
      </c>
      <c r="AY855" s="14" t="str">
        <f>IF(AO855&gt;0,INDEX(挂机升级突破!$DT$4:$ED$4,AO855),"")</f>
        <v/>
      </c>
      <c r="AZ855" s="14" t="str">
        <f>IF(AO855&gt;0,ROUND(INDEX(挂机升级突破!$DT$6:$ED$57,卡牌消耗!AT855,AO855)*INDEX(卡牌消耗!$B$7:$F$7,AR855)/$Q$4,0),"")</f>
        <v/>
      </c>
    </row>
    <row r="856" spans="37:52" ht="16.5" x14ac:dyDescent="0.2">
      <c r="AK856" s="104">
        <v>852</v>
      </c>
      <c r="AL856" s="14">
        <f t="shared" si="410"/>
        <v>17</v>
      </c>
      <c r="AM856" s="14">
        <f>INDEX(挂机升级突破!DQ$6:DQ$57,卡牌消耗!$AT856)</f>
        <v>11</v>
      </c>
      <c r="AN856" s="14">
        <f>INDEX(挂机升级突破!DR$6:DR$57,卡牌消耗!$AT856)</f>
        <v>3</v>
      </c>
      <c r="AO856" s="14">
        <f>INDEX(挂机升级突破!DS$6:DS$57,卡牌消耗!$AT856)</f>
        <v>0</v>
      </c>
      <c r="AP856" s="14">
        <f>INDEX(挂机升级突破!$DP$6:$DP$57,卡牌消耗!AT856)</f>
        <v>68</v>
      </c>
      <c r="AQ856" s="14" t="str">
        <f t="shared" si="411"/>
        <v>飞廉</v>
      </c>
      <c r="AR856" s="14">
        <f t="shared" si="412"/>
        <v>3</v>
      </c>
      <c r="AS856" s="14" t="str">
        <f t="shared" si="413"/>
        <v>飞廉魂火-20</v>
      </c>
      <c r="AT856" s="14">
        <f t="shared" si="414"/>
        <v>20</v>
      </c>
      <c r="AU856" s="14" t="str">
        <f>IF(AM856&gt;0,INDEX(挂机升级突破!$DT$4:$ED$4,AM856),"")</f>
        <v>金币</v>
      </c>
      <c r="AV856" s="14">
        <f>ROUND(INDEX(挂机升级突破!$DJ$6:$DJ$57,卡牌消耗!AT856)*INDEX(卡牌消耗!$B$8:$F$8,AR856)/$Q$4/50,0)*50</f>
        <v>5000</v>
      </c>
      <c r="AW856" s="14" t="str">
        <f>IF(AN856&gt;0,INDEX(挂机升级突破!$DT$4:$ED$4,AN856),"")</f>
        <v>紫色基础材料</v>
      </c>
      <c r="AX856" s="14">
        <f>ROUND(INDEX(挂机升级突破!$DT$6:$ED$57,卡牌消耗!AT856,AN856)*INDEX(卡牌消耗!$B$5:$F$5,AR856)/$Q$4/5,0)*5</f>
        <v>70</v>
      </c>
      <c r="AY856" s="14" t="str">
        <f>IF(AO856&gt;0,INDEX(挂机升级突破!$DT$4:$ED$4,AO856),"")</f>
        <v/>
      </c>
      <c r="AZ856" s="14" t="str">
        <f>IF(AO856&gt;0,ROUND(INDEX(挂机升级突破!$DT$6:$ED$57,卡牌消耗!AT856,AO856)*INDEX(卡牌消耗!$B$7:$F$7,AR856)/$Q$4,0),"")</f>
        <v/>
      </c>
    </row>
    <row r="857" spans="37:52" ht="16.5" x14ac:dyDescent="0.2">
      <c r="AK857" s="104">
        <v>853</v>
      </c>
      <c r="AL857" s="14">
        <f t="shared" si="410"/>
        <v>17</v>
      </c>
      <c r="AM857" s="14">
        <f>INDEX(挂机升级突破!DQ$6:DQ$57,卡牌消耗!$AT857)</f>
        <v>11</v>
      </c>
      <c r="AN857" s="14">
        <f>INDEX(挂机升级突破!DR$6:DR$57,卡牌消耗!$AT857)</f>
        <v>3</v>
      </c>
      <c r="AO857" s="14">
        <f>INDEX(挂机升级突破!DS$6:DS$57,卡牌消耗!$AT857)</f>
        <v>0</v>
      </c>
      <c r="AP857" s="14">
        <f>INDEX(挂机升级突破!$DP$6:$DP$57,卡牌消耗!AT857)</f>
        <v>70</v>
      </c>
      <c r="AQ857" s="14" t="str">
        <f t="shared" si="411"/>
        <v>飞廉</v>
      </c>
      <c r="AR857" s="14">
        <f t="shared" si="412"/>
        <v>3</v>
      </c>
      <c r="AS857" s="14" t="str">
        <f t="shared" si="413"/>
        <v>飞廉魂火-21</v>
      </c>
      <c r="AT857" s="14">
        <f t="shared" si="414"/>
        <v>21</v>
      </c>
      <c r="AU857" s="14" t="str">
        <f>IF(AM857&gt;0,INDEX(挂机升级突破!$DT$4:$ED$4,AM857),"")</f>
        <v>金币</v>
      </c>
      <c r="AV857" s="14">
        <f>ROUND(INDEX(挂机升级突破!$DJ$6:$DJ$57,卡牌消耗!AT857)*INDEX(卡牌消耗!$B$8:$F$8,AR857)/$Q$4/50,0)*50</f>
        <v>5000</v>
      </c>
      <c r="AW857" s="14" t="str">
        <f>IF(AN857&gt;0,INDEX(挂机升级突破!$DT$4:$ED$4,AN857),"")</f>
        <v>紫色基础材料</v>
      </c>
      <c r="AX857" s="14">
        <f>ROUND(INDEX(挂机升级突破!$DT$6:$ED$57,卡牌消耗!AT857,AN857)*INDEX(卡牌消耗!$B$5:$F$5,AR857)/$Q$4/5,0)*5</f>
        <v>70</v>
      </c>
      <c r="AY857" s="14" t="str">
        <f>IF(AO857&gt;0,INDEX(挂机升级突破!$DT$4:$ED$4,AO857),"")</f>
        <v/>
      </c>
      <c r="AZ857" s="14" t="str">
        <f>IF(AO857&gt;0,ROUND(INDEX(挂机升级突破!$DT$6:$ED$57,卡牌消耗!AT857,AO857)*INDEX(卡牌消耗!$B$7:$F$7,AR857)/$Q$4,0),"")</f>
        <v/>
      </c>
    </row>
    <row r="858" spans="37:52" ht="16.5" x14ac:dyDescent="0.2">
      <c r="AK858" s="104">
        <v>854</v>
      </c>
      <c r="AL858" s="14">
        <f t="shared" si="410"/>
        <v>17</v>
      </c>
      <c r="AM858" s="14">
        <f>INDEX(挂机升级突破!DQ$6:DQ$57,卡牌消耗!$AT858)</f>
        <v>11</v>
      </c>
      <c r="AN858" s="14">
        <f>INDEX(挂机升级突破!DR$6:DR$57,卡牌消耗!$AT858)</f>
        <v>3</v>
      </c>
      <c r="AO858" s="14">
        <f>INDEX(挂机升级突破!DS$6:DS$57,卡牌消耗!$AT858)</f>
        <v>0</v>
      </c>
      <c r="AP858" s="14">
        <f>INDEX(挂机升级突破!$DP$6:$DP$57,卡牌消耗!AT858)</f>
        <v>73</v>
      </c>
      <c r="AQ858" s="14" t="str">
        <f t="shared" si="411"/>
        <v>飞廉</v>
      </c>
      <c r="AR858" s="14">
        <f t="shared" si="412"/>
        <v>3</v>
      </c>
      <c r="AS858" s="14" t="str">
        <f t="shared" si="413"/>
        <v>飞廉魂火-22</v>
      </c>
      <c r="AT858" s="14">
        <f t="shared" si="414"/>
        <v>22</v>
      </c>
      <c r="AU858" s="14" t="str">
        <f>IF(AM858&gt;0,INDEX(挂机升级突破!$DT$4:$ED$4,AM858),"")</f>
        <v>金币</v>
      </c>
      <c r="AV858" s="14">
        <f>ROUND(INDEX(挂机升级突破!$DJ$6:$DJ$57,卡牌消耗!AT858)*INDEX(卡牌消耗!$B$8:$F$8,AR858)/$Q$4/50,0)*50</f>
        <v>5000</v>
      </c>
      <c r="AW858" s="14" t="str">
        <f>IF(AN858&gt;0,INDEX(挂机升级突破!$DT$4:$ED$4,AN858),"")</f>
        <v>紫色基础材料</v>
      </c>
      <c r="AX858" s="14">
        <f>ROUND(INDEX(挂机升级突破!$DT$6:$ED$57,卡牌消耗!AT858,AN858)*INDEX(卡牌消耗!$B$5:$F$5,AR858)/$Q$4/5,0)*5</f>
        <v>70</v>
      </c>
      <c r="AY858" s="14" t="str">
        <f>IF(AO858&gt;0,INDEX(挂机升级突破!$DT$4:$ED$4,AO858),"")</f>
        <v/>
      </c>
      <c r="AZ858" s="14" t="str">
        <f>IF(AO858&gt;0,ROUND(INDEX(挂机升级突破!$DT$6:$ED$57,卡牌消耗!AT858,AO858)*INDEX(卡牌消耗!$B$7:$F$7,AR858)/$Q$4,0),"")</f>
        <v/>
      </c>
    </row>
    <row r="859" spans="37:52" ht="16.5" x14ac:dyDescent="0.2">
      <c r="AK859" s="104">
        <v>855</v>
      </c>
      <c r="AL859" s="14">
        <f t="shared" si="410"/>
        <v>17</v>
      </c>
      <c r="AM859" s="14">
        <f>INDEX(挂机升级突破!DQ$6:DQ$57,卡牌消耗!$AT859)</f>
        <v>11</v>
      </c>
      <c r="AN859" s="14">
        <f>INDEX(挂机升级突破!DR$6:DR$57,卡牌消耗!$AT859)</f>
        <v>4</v>
      </c>
      <c r="AO859" s="14">
        <f>INDEX(挂机升级突破!DS$6:DS$57,卡牌消耗!$AT859)</f>
        <v>0</v>
      </c>
      <c r="AP859" s="14">
        <f>INDEX(挂机升级突破!$DP$6:$DP$57,卡牌消耗!AT859)</f>
        <v>75</v>
      </c>
      <c r="AQ859" s="14" t="str">
        <f t="shared" si="411"/>
        <v>飞廉</v>
      </c>
      <c r="AR859" s="14">
        <f t="shared" si="412"/>
        <v>3</v>
      </c>
      <c r="AS859" s="14" t="str">
        <f t="shared" si="413"/>
        <v>飞廉魂火-23</v>
      </c>
      <c r="AT859" s="14">
        <f t="shared" si="414"/>
        <v>23</v>
      </c>
      <c r="AU859" s="14" t="str">
        <f>IF(AM859&gt;0,INDEX(挂机升级突破!$DT$4:$ED$4,AM859),"")</f>
        <v>金币</v>
      </c>
      <c r="AV859" s="14">
        <f>ROUND(INDEX(挂机升级突破!$DJ$6:$DJ$57,卡牌消耗!AT859)*INDEX(卡牌消耗!$B$8:$F$8,AR859)/$Q$4/50,0)*50</f>
        <v>6900</v>
      </c>
      <c r="AW859" s="14" t="str">
        <f>IF(AN859&gt;0,INDEX(挂机升级突破!$DT$4:$ED$4,AN859),"")</f>
        <v>橙色基础材料</v>
      </c>
      <c r="AX859" s="14">
        <f>ROUND(INDEX(挂机升级突破!$DT$6:$ED$57,卡牌消耗!AT859,AN859)*INDEX(卡牌消耗!$B$5:$F$5,AR859)/$Q$4/5,0)*5</f>
        <v>20</v>
      </c>
      <c r="AY859" s="14" t="str">
        <f>IF(AO859&gt;0,INDEX(挂机升级突破!$DT$4:$ED$4,AO859),"")</f>
        <v/>
      </c>
      <c r="AZ859" s="14" t="str">
        <f>IF(AO859&gt;0,ROUND(INDEX(挂机升级突破!$DT$6:$ED$57,卡牌消耗!AT859,AO859)*INDEX(卡牌消耗!$B$7:$F$7,AR859)/$Q$4,0),"")</f>
        <v/>
      </c>
    </row>
    <row r="860" spans="37:52" ht="16.5" x14ac:dyDescent="0.2">
      <c r="AK860" s="104">
        <v>856</v>
      </c>
      <c r="AL860" s="14">
        <f t="shared" si="410"/>
        <v>17</v>
      </c>
      <c r="AM860" s="14">
        <f>INDEX(挂机升级突破!DQ$6:DQ$57,卡牌消耗!$AT860)</f>
        <v>11</v>
      </c>
      <c r="AN860" s="14">
        <f>INDEX(挂机升级突破!DR$6:DR$57,卡牌消耗!$AT860)</f>
        <v>4</v>
      </c>
      <c r="AO860" s="14">
        <f>INDEX(挂机升级突破!DS$6:DS$57,卡牌消耗!$AT860)</f>
        <v>0</v>
      </c>
      <c r="AP860" s="14">
        <f>INDEX(挂机升级突破!$DP$6:$DP$57,卡牌消耗!AT860)</f>
        <v>78</v>
      </c>
      <c r="AQ860" s="14" t="str">
        <f t="shared" si="411"/>
        <v>飞廉</v>
      </c>
      <c r="AR860" s="14">
        <f t="shared" si="412"/>
        <v>3</v>
      </c>
      <c r="AS860" s="14" t="str">
        <f t="shared" si="413"/>
        <v>飞廉魂火-24</v>
      </c>
      <c r="AT860" s="14">
        <f t="shared" si="414"/>
        <v>24</v>
      </c>
      <c r="AU860" s="14" t="str">
        <f>IF(AM860&gt;0,INDEX(挂机升级突破!$DT$4:$ED$4,AM860),"")</f>
        <v>金币</v>
      </c>
      <c r="AV860" s="14">
        <f>ROUND(INDEX(挂机升级突破!$DJ$6:$DJ$57,卡牌消耗!AT860)*INDEX(卡牌消耗!$B$8:$F$8,AR860)/$Q$4/50,0)*50</f>
        <v>6900</v>
      </c>
      <c r="AW860" s="14" t="str">
        <f>IF(AN860&gt;0,INDEX(挂机升级突破!$DT$4:$ED$4,AN860),"")</f>
        <v>橙色基础材料</v>
      </c>
      <c r="AX860" s="14">
        <f>ROUND(INDEX(挂机升级突破!$DT$6:$ED$57,卡牌消耗!AT860,AN860)*INDEX(卡牌消耗!$B$5:$F$5,AR860)/$Q$4/5,0)*5</f>
        <v>20</v>
      </c>
      <c r="AY860" s="14" t="str">
        <f>IF(AO860&gt;0,INDEX(挂机升级突破!$DT$4:$ED$4,AO860),"")</f>
        <v/>
      </c>
      <c r="AZ860" s="14" t="str">
        <f>IF(AO860&gt;0,ROUND(INDEX(挂机升级突破!$DT$6:$ED$57,卡牌消耗!AT860,AO860)*INDEX(卡牌消耗!$B$7:$F$7,AR860)/$Q$4,0),"")</f>
        <v/>
      </c>
    </row>
    <row r="861" spans="37:52" ht="16.5" x14ac:dyDescent="0.2">
      <c r="AK861" s="104">
        <v>857</v>
      </c>
      <c r="AL861" s="14">
        <f t="shared" si="410"/>
        <v>17</v>
      </c>
      <c r="AM861" s="14">
        <f>INDEX(挂机升级突破!DQ$6:DQ$57,卡牌消耗!$AT861)</f>
        <v>11</v>
      </c>
      <c r="AN861" s="14">
        <f>INDEX(挂机升级突破!DR$6:DR$57,卡牌消耗!$AT861)</f>
        <v>4</v>
      </c>
      <c r="AO861" s="14">
        <f>INDEX(挂机升级突破!DS$6:DS$57,卡牌消耗!$AT861)</f>
        <v>0</v>
      </c>
      <c r="AP861" s="14">
        <f>INDEX(挂机升级突破!$DP$6:$DP$57,卡牌消耗!AT861)</f>
        <v>80</v>
      </c>
      <c r="AQ861" s="14" t="str">
        <f t="shared" si="411"/>
        <v>飞廉</v>
      </c>
      <c r="AR861" s="14">
        <f t="shared" si="412"/>
        <v>3</v>
      </c>
      <c r="AS861" s="14" t="str">
        <f t="shared" si="413"/>
        <v>飞廉魂火-25</v>
      </c>
      <c r="AT861" s="14">
        <f t="shared" si="414"/>
        <v>25</v>
      </c>
      <c r="AU861" s="14" t="str">
        <f>IF(AM861&gt;0,INDEX(挂机升级突破!$DT$4:$ED$4,AM861),"")</f>
        <v>金币</v>
      </c>
      <c r="AV861" s="14">
        <f>ROUND(INDEX(挂机升级突破!$DJ$6:$DJ$57,卡牌消耗!AT861)*INDEX(卡牌消耗!$B$8:$F$8,AR861)/$Q$4/50,0)*50</f>
        <v>7550</v>
      </c>
      <c r="AW861" s="14" t="str">
        <f>IF(AN861&gt;0,INDEX(挂机升级突破!$DT$4:$ED$4,AN861),"")</f>
        <v>橙色基础材料</v>
      </c>
      <c r="AX861" s="14">
        <f>ROUND(INDEX(挂机升级突破!$DT$6:$ED$57,卡牌消耗!AT861,AN861)*INDEX(卡牌消耗!$B$5:$F$5,AR861)/$Q$4/5,0)*5</f>
        <v>20</v>
      </c>
      <c r="AY861" s="14" t="str">
        <f>IF(AO861&gt;0,INDEX(挂机升级突破!$DT$4:$ED$4,AO861),"")</f>
        <v/>
      </c>
      <c r="AZ861" s="14" t="str">
        <f>IF(AO861&gt;0,ROUND(INDEX(挂机升级突破!$DT$6:$ED$57,卡牌消耗!AT861,AO861)*INDEX(卡牌消耗!$B$7:$F$7,AR861)/$Q$4,0),"")</f>
        <v/>
      </c>
    </row>
    <row r="862" spans="37:52" ht="16.5" x14ac:dyDescent="0.2">
      <c r="AK862" s="104">
        <v>858</v>
      </c>
      <c r="AL862" s="14">
        <f t="shared" si="410"/>
        <v>17</v>
      </c>
      <c r="AM862" s="14">
        <f>INDEX(挂机升级突破!DQ$6:DQ$57,卡牌消耗!$AT862)</f>
        <v>11</v>
      </c>
      <c r="AN862" s="14">
        <f>INDEX(挂机升级突破!DR$6:DR$57,卡牌消耗!$AT862)</f>
        <v>4</v>
      </c>
      <c r="AO862" s="14">
        <f>INDEX(挂机升级突破!DS$6:DS$57,卡牌消耗!$AT862)</f>
        <v>0</v>
      </c>
      <c r="AP862" s="14">
        <f>INDEX(挂机升级突破!$DP$6:$DP$57,卡牌消耗!AT862)</f>
        <v>83</v>
      </c>
      <c r="AQ862" s="14" t="str">
        <f t="shared" si="411"/>
        <v>飞廉</v>
      </c>
      <c r="AR862" s="14">
        <f t="shared" si="412"/>
        <v>3</v>
      </c>
      <c r="AS862" s="14" t="str">
        <f t="shared" si="413"/>
        <v>飞廉魂火-26</v>
      </c>
      <c r="AT862" s="14">
        <f t="shared" si="414"/>
        <v>26</v>
      </c>
      <c r="AU862" s="14" t="str">
        <f>IF(AM862&gt;0,INDEX(挂机升级突破!$DT$4:$ED$4,AM862),"")</f>
        <v>金币</v>
      </c>
      <c r="AV862" s="14">
        <f>ROUND(INDEX(挂机升级突破!$DJ$6:$DJ$57,卡牌消耗!AT862)*INDEX(卡牌消耗!$B$8:$F$8,AR862)/$Q$4/50,0)*50</f>
        <v>8800</v>
      </c>
      <c r="AW862" s="14" t="str">
        <f>IF(AN862&gt;0,INDEX(挂机升级突破!$DT$4:$ED$4,AN862),"")</f>
        <v>橙色基础材料</v>
      </c>
      <c r="AX862" s="14">
        <f>ROUND(INDEX(挂机升级突破!$DT$6:$ED$57,卡牌消耗!AT862,AN862)*INDEX(卡牌消耗!$B$5:$F$5,AR862)/$Q$4/5,0)*5</f>
        <v>25</v>
      </c>
      <c r="AY862" s="14" t="str">
        <f>IF(AO862&gt;0,INDEX(挂机升级突破!$DT$4:$ED$4,AO862),"")</f>
        <v/>
      </c>
      <c r="AZ862" s="14" t="str">
        <f>IF(AO862&gt;0,ROUND(INDEX(挂机升级突破!$DT$6:$ED$57,卡牌消耗!AT862,AO862)*INDEX(卡牌消耗!$B$7:$F$7,AR862)/$Q$4,0),"")</f>
        <v/>
      </c>
    </row>
    <row r="863" spans="37:52" ht="16.5" x14ac:dyDescent="0.2">
      <c r="AK863" s="104">
        <v>859</v>
      </c>
      <c r="AL863" s="14">
        <f t="shared" si="410"/>
        <v>17</v>
      </c>
      <c r="AM863" s="14">
        <f>INDEX(挂机升级突破!DQ$6:DQ$57,卡牌消耗!$AT863)</f>
        <v>11</v>
      </c>
      <c r="AN863" s="14">
        <f>INDEX(挂机升级突破!DR$6:DR$57,卡牌消耗!$AT863)</f>
        <v>4</v>
      </c>
      <c r="AO863" s="14">
        <f>INDEX(挂机升级突破!DS$6:DS$57,卡牌消耗!$AT863)</f>
        <v>0</v>
      </c>
      <c r="AP863" s="14">
        <f>INDEX(挂机升级突破!$DP$6:$DP$57,卡牌消耗!AT863)</f>
        <v>85</v>
      </c>
      <c r="AQ863" s="14" t="str">
        <f t="shared" si="411"/>
        <v>飞廉</v>
      </c>
      <c r="AR863" s="14">
        <f t="shared" si="412"/>
        <v>3</v>
      </c>
      <c r="AS863" s="14" t="str">
        <f t="shared" si="413"/>
        <v>飞廉魂火-27</v>
      </c>
      <c r="AT863" s="14">
        <f t="shared" si="414"/>
        <v>27</v>
      </c>
      <c r="AU863" s="14" t="str">
        <f>IF(AM863&gt;0,INDEX(挂机升级突破!$DT$4:$ED$4,AM863),"")</f>
        <v>金币</v>
      </c>
      <c r="AV863" s="14">
        <f>ROUND(INDEX(挂机升级突破!$DJ$6:$DJ$57,卡牌消耗!AT863)*INDEX(卡牌消耗!$B$8:$F$8,AR863)/$Q$4/50,0)*50</f>
        <v>8800</v>
      </c>
      <c r="AW863" s="14" t="str">
        <f>IF(AN863&gt;0,INDEX(挂机升级突破!$DT$4:$ED$4,AN863),"")</f>
        <v>橙色基础材料</v>
      </c>
      <c r="AX863" s="14">
        <f>ROUND(INDEX(挂机升级突破!$DT$6:$ED$57,卡牌消耗!AT863,AN863)*INDEX(卡牌消耗!$B$5:$F$5,AR863)/$Q$4/5,0)*5</f>
        <v>25</v>
      </c>
      <c r="AY863" s="14" t="str">
        <f>IF(AO863&gt;0,INDEX(挂机升级突破!$DT$4:$ED$4,AO863),"")</f>
        <v/>
      </c>
      <c r="AZ863" s="14" t="str">
        <f>IF(AO863&gt;0,ROUND(INDEX(挂机升级突破!$DT$6:$ED$57,卡牌消耗!AT863,AO863)*INDEX(卡牌消耗!$B$7:$F$7,AR863)/$Q$4,0),"")</f>
        <v/>
      </c>
    </row>
    <row r="864" spans="37:52" ht="16.5" x14ac:dyDescent="0.2">
      <c r="AK864" s="104">
        <v>860</v>
      </c>
      <c r="AL864" s="14">
        <f t="shared" si="410"/>
        <v>17</v>
      </c>
      <c r="AM864" s="14">
        <f>INDEX(挂机升级突破!DQ$6:DQ$57,卡牌消耗!$AT864)</f>
        <v>11</v>
      </c>
      <c r="AN864" s="14">
        <f>INDEX(挂机升级突破!DR$6:DR$57,卡牌消耗!$AT864)</f>
        <v>4</v>
      </c>
      <c r="AO864" s="14">
        <f>INDEX(挂机升级突破!DS$6:DS$57,卡牌消耗!$AT864)</f>
        <v>0</v>
      </c>
      <c r="AP864" s="14">
        <f>INDEX(挂机升级突破!$DP$6:$DP$57,卡牌消耗!AT864)</f>
        <v>88</v>
      </c>
      <c r="AQ864" s="14" t="str">
        <f t="shared" si="411"/>
        <v>飞廉</v>
      </c>
      <c r="AR864" s="14">
        <f t="shared" si="412"/>
        <v>3</v>
      </c>
      <c r="AS864" s="14" t="str">
        <f t="shared" si="413"/>
        <v>飞廉魂火-28</v>
      </c>
      <c r="AT864" s="14">
        <f t="shared" si="414"/>
        <v>28</v>
      </c>
      <c r="AU864" s="14" t="str">
        <f>IF(AM864&gt;0,INDEX(挂机升级突破!$DT$4:$ED$4,AM864),"")</f>
        <v>金币</v>
      </c>
      <c r="AV864" s="14">
        <f>ROUND(INDEX(挂机升级突破!$DJ$6:$DJ$57,卡牌消耗!AT864)*INDEX(卡牌消耗!$B$8:$F$8,AR864)/$Q$4/50,0)*50</f>
        <v>8800</v>
      </c>
      <c r="AW864" s="14" t="str">
        <f>IF(AN864&gt;0,INDEX(挂机升级突破!$DT$4:$ED$4,AN864),"")</f>
        <v>橙色基础材料</v>
      </c>
      <c r="AX864" s="14">
        <f>ROUND(INDEX(挂机升级突破!$DT$6:$ED$57,卡牌消耗!AT864,AN864)*INDEX(卡牌消耗!$B$5:$F$5,AR864)/$Q$4/5,0)*5</f>
        <v>25</v>
      </c>
      <c r="AY864" s="14" t="str">
        <f>IF(AO864&gt;0,INDEX(挂机升级突破!$DT$4:$ED$4,AO864),"")</f>
        <v/>
      </c>
      <c r="AZ864" s="14" t="str">
        <f>IF(AO864&gt;0,ROUND(INDEX(挂机升级突破!$DT$6:$ED$57,卡牌消耗!AT864,AO864)*INDEX(卡牌消耗!$B$7:$F$7,AR864)/$Q$4,0),"")</f>
        <v/>
      </c>
    </row>
    <row r="865" spans="37:52" ht="16.5" x14ac:dyDescent="0.2">
      <c r="AK865" s="104">
        <v>861</v>
      </c>
      <c r="AL865" s="14">
        <f t="shared" si="410"/>
        <v>17</v>
      </c>
      <c r="AM865" s="14">
        <f>INDEX(挂机升级突破!DQ$6:DQ$57,卡牌消耗!$AT865)</f>
        <v>11</v>
      </c>
      <c r="AN865" s="14">
        <f>INDEX(挂机升级突破!DR$6:DR$57,卡牌消耗!$AT865)</f>
        <v>4</v>
      </c>
      <c r="AO865" s="14">
        <f>INDEX(挂机升级突破!DS$6:DS$57,卡牌消耗!$AT865)</f>
        <v>0</v>
      </c>
      <c r="AP865" s="14">
        <f>INDEX(挂机升级突破!$DP$6:$DP$57,卡牌消耗!AT865)</f>
        <v>90</v>
      </c>
      <c r="AQ865" s="14" t="str">
        <f t="shared" si="411"/>
        <v>飞廉</v>
      </c>
      <c r="AR865" s="14">
        <f t="shared" si="412"/>
        <v>3</v>
      </c>
      <c r="AS865" s="14" t="str">
        <f t="shared" si="413"/>
        <v>飞廉魂火-29</v>
      </c>
      <c r="AT865" s="14">
        <f t="shared" si="414"/>
        <v>29</v>
      </c>
      <c r="AU865" s="14" t="str">
        <f>IF(AM865&gt;0,INDEX(挂机升级突破!$DT$4:$ED$4,AM865),"")</f>
        <v>金币</v>
      </c>
      <c r="AV865" s="14">
        <f>ROUND(INDEX(挂机升级突破!$DJ$6:$DJ$57,卡牌消耗!AT865)*INDEX(卡牌消耗!$B$8:$F$8,AR865)/$Q$4/50,0)*50</f>
        <v>8900</v>
      </c>
      <c r="AW865" s="14" t="str">
        <f>IF(AN865&gt;0,INDEX(挂机升级突破!$DT$4:$ED$4,AN865),"")</f>
        <v>橙色基础材料</v>
      </c>
      <c r="AX865" s="14">
        <f>ROUND(INDEX(挂机升级突破!$DT$6:$ED$57,卡牌消耗!AT865,AN865)*INDEX(卡牌消耗!$B$5:$F$5,AR865)/$Q$4/5,0)*5</f>
        <v>25</v>
      </c>
      <c r="AY865" s="14" t="str">
        <f>IF(AO865&gt;0,INDEX(挂机升级突破!$DT$4:$ED$4,AO865),"")</f>
        <v/>
      </c>
      <c r="AZ865" s="14" t="str">
        <f>IF(AO865&gt;0,ROUND(INDEX(挂机升级突破!$DT$6:$ED$57,卡牌消耗!AT865,AO865)*INDEX(卡牌消耗!$B$7:$F$7,AR865)/$Q$4,0),"")</f>
        <v/>
      </c>
    </row>
    <row r="866" spans="37:52" ht="16.5" x14ac:dyDescent="0.2">
      <c r="AK866" s="104">
        <v>862</v>
      </c>
      <c r="AL866" s="14">
        <f t="shared" si="410"/>
        <v>17</v>
      </c>
      <c r="AM866" s="14">
        <f>INDEX(挂机升级突破!DQ$6:DQ$57,卡牌消耗!$AT866)</f>
        <v>11</v>
      </c>
      <c r="AN866" s="14">
        <f>INDEX(挂机升级突破!DR$6:DR$57,卡牌消耗!$AT866)</f>
        <v>4</v>
      </c>
      <c r="AO866" s="14">
        <f>INDEX(挂机升级突破!DS$6:DS$57,卡牌消耗!$AT866)</f>
        <v>0</v>
      </c>
      <c r="AP866" s="14">
        <f>INDEX(挂机升级突破!$DP$6:$DP$57,卡牌消耗!AT866)</f>
        <v>93</v>
      </c>
      <c r="AQ866" s="14" t="str">
        <f t="shared" si="411"/>
        <v>飞廉</v>
      </c>
      <c r="AR866" s="14">
        <f t="shared" si="412"/>
        <v>3</v>
      </c>
      <c r="AS866" s="14" t="str">
        <f t="shared" si="413"/>
        <v>飞廉魂火-30</v>
      </c>
      <c r="AT866" s="14">
        <f t="shared" si="414"/>
        <v>30</v>
      </c>
      <c r="AU866" s="14" t="str">
        <f>IF(AM866&gt;0,INDEX(挂机升级突破!$DT$4:$ED$4,AM866),"")</f>
        <v>金币</v>
      </c>
      <c r="AV866" s="14">
        <f>ROUND(INDEX(挂机升级突破!$DJ$6:$DJ$57,卡牌消耗!AT866)*INDEX(卡牌消耗!$B$8:$F$8,AR866)/$Q$4/50,0)*50</f>
        <v>8900</v>
      </c>
      <c r="AW866" s="14" t="str">
        <f>IF(AN866&gt;0,INDEX(挂机升级突破!$DT$4:$ED$4,AN866),"")</f>
        <v>橙色基础材料</v>
      </c>
      <c r="AX866" s="14">
        <f>ROUND(INDEX(挂机升级突破!$DT$6:$ED$57,卡牌消耗!AT866,AN866)*INDEX(卡牌消耗!$B$5:$F$5,AR866)/$Q$4/5,0)*5</f>
        <v>25</v>
      </c>
      <c r="AY866" s="14" t="str">
        <f>IF(AO866&gt;0,INDEX(挂机升级突破!$DT$4:$ED$4,AO866),"")</f>
        <v/>
      </c>
      <c r="AZ866" s="14" t="str">
        <f>IF(AO866&gt;0,ROUND(INDEX(挂机升级突破!$DT$6:$ED$57,卡牌消耗!AT866,AO866)*INDEX(卡牌消耗!$B$7:$F$7,AR866)/$Q$4,0),"")</f>
        <v/>
      </c>
    </row>
    <row r="867" spans="37:52" ht="16.5" x14ac:dyDescent="0.2">
      <c r="AK867" s="104">
        <v>863</v>
      </c>
      <c r="AL867" s="14">
        <f t="shared" si="410"/>
        <v>17</v>
      </c>
      <c r="AM867" s="14">
        <f>INDEX(挂机升级突破!DQ$6:DQ$57,卡牌消耗!$AT867)</f>
        <v>11</v>
      </c>
      <c r="AN867" s="14">
        <f>INDEX(挂机升级突破!DR$6:DR$57,卡牌消耗!$AT867)</f>
        <v>4</v>
      </c>
      <c r="AO867" s="14">
        <f>INDEX(挂机升级突破!DS$6:DS$57,卡牌消耗!$AT867)</f>
        <v>0</v>
      </c>
      <c r="AP867" s="14">
        <f>INDEX(挂机升级突破!$DP$6:$DP$57,卡牌消耗!AT867)</f>
        <v>95</v>
      </c>
      <c r="AQ867" s="14" t="str">
        <f t="shared" si="411"/>
        <v>飞廉</v>
      </c>
      <c r="AR867" s="14">
        <f t="shared" si="412"/>
        <v>3</v>
      </c>
      <c r="AS867" s="14" t="str">
        <f t="shared" si="413"/>
        <v>飞廉魂火-31</v>
      </c>
      <c r="AT867" s="14">
        <f t="shared" si="414"/>
        <v>31</v>
      </c>
      <c r="AU867" s="14" t="str">
        <f>IF(AM867&gt;0,INDEX(挂机升级突破!$DT$4:$ED$4,AM867),"")</f>
        <v>金币</v>
      </c>
      <c r="AV867" s="14">
        <f>ROUND(INDEX(挂机升级突破!$DJ$6:$DJ$57,卡牌消耗!AT867)*INDEX(卡牌消耗!$B$8:$F$8,AR867)/$Q$4/50,0)*50</f>
        <v>8900</v>
      </c>
      <c r="AW867" s="14" t="str">
        <f>IF(AN867&gt;0,INDEX(挂机升级突破!$DT$4:$ED$4,AN867),"")</f>
        <v>橙色基础材料</v>
      </c>
      <c r="AX867" s="14">
        <f>ROUND(INDEX(挂机升级突破!$DT$6:$ED$57,卡牌消耗!AT867,AN867)*INDEX(卡牌消耗!$B$5:$F$5,AR867)/$Q$4/5,0)*5</f>
        <v>25</v>
      </c>
      <c r="AY867" s="14" t="str">
        <f>IF(AO867&gt;0,INDEX(挂机升级突破!$DT$4:$ED$4,AO867),"")</f>
        <v/>
      </c>
      <c r="AZ867" s="14" t="str">
        <f>IF(AO867&gt;0,ROUND(INDEX(挂机升级突破!$DT$6:$ED$57,卡牌消耗!AT867,AO867)*INDEX(卡牌消耗!$B$7:$F$7,AR867)/$Q$4,0),"")</f>
        <v/>
      </c>
    </row>
    <row r="868" spans="37:52" ht="16.5" x14ac:dyDescent="0.2">
      <c r="AK868" s="104">
        <v>864</v>
      </c>
      <c r="AL868" s="14">
        <f t="shared" si="410"/>
        <v>17</v>
      </c>
      <c r="AM868" s="14">
        <f>INDEX(挂机升级突破!DQ$6:DQ$57,卡牌消耗!$AT868)</f>
        <v>11</v>
      </c>
      <c r="AN868" s="14">
        <f>INDEX(挂机升级突破!DR$6:DR$57,卡牌消耗!$AT868)</f>
        <v>4</v>
      </c>
      <c r="AO868" s="14">
        <f>INDEX(挂机升级突破!DS$6:DS$57,卡牌消耗!$AT868)</f>
        <v>0</v>
      </c>
      <c r="AP868" s="14">
        <f>INDEX(挂机升级突破!$DP$6:$DP$57,卡牌消耗!AT868)</f>
        <v>98</v>
      </c>
      <c r="AQ868" s="14" t="str">
        <f t="shared" si="411"/>
        <v>飞廉</v>
      </c>
      <c r="AR868" s="14">
        <f t="shared" si="412"/>
        <v>3</v>
      </c>
      <c r="AS868" s="14" t="str">
        <f t="shared" si="413"/>
        <v>飞廉魂火-32</v>
      </c>
      <c r="AT868" s="14">
        <f t="shared" si="414"/>
        <v>32</v>
      </c>
      <c r="AU868" s="14" t="str">
        <f>IF(AM868&gt;0,INDEX(挂机升级突破!$DT$4:$ED$4,AM868),"")</f>
        <v>金币</v>
      </c>
      <c r="AV868" s="14">
        <f>ROUND(INDEX(挂机升级突破!$DJ$6:$DJ$57,卡牌消耗!AT868)*INDEX(卡牌消耗!$B$8:$F$8,AR868)/$Q$4/50,0)*50</f>
        <v>12200</v>
      </c>
      <c r="AW868" s="14" t="str">
        <f>IF(AN868&gt;0,INDEX(挂机升级突破!$DT$4:$ED$4,AN868),"")</f>
        <v>橙色基础材料</v>
      </c>
      <c r="AX868" s="14">
        <f>ROUND(INDEX(挂机升级突破!$DT$6:$ED$57,卡牌消耗!AT868,AN868)*INDEX(卡牌消耗!$B$5:$F$5,AR868)/$Q$4/5,0)*5</f>
        <v>25</v>
      </c>
      <c r="AY868" s="14" t="str">
        <f>IF(AO868&gt;0,INDEX(挂机升级突破!$DT$4:$ED$4,AO868),"")</f>
        <v/>
      </c>
      <c r="AZ868" s="14" t="str">
        <f>IF(AO868&gt;0,ROUND(INDEX(挂机升级突破!$DT$6:$ED$57,卡牌消耗!AT868,AO868)*INDEX(卡牌消耗!$B$7:$F$7,AR868)/$Q$4,0),"")</f>
        <v/>
      </c>
    </row>
    <row r="869" spans="37:52" ht="16.5" x14ac:dyDescent="0.2">
      <c r="AK869" s="104">
        <v>865</v>
      </c>
      <c r="AL869" s="14">
        <f t="shared" si="410"/>
        <v>17</v>
      </c>
      <c r="AM869" s="14">
        <f>INDEX(挂机升级突破!DQ$6:DQ$57,卡牌消耗!$AT869)</f>
        <v>11</v>
      </c>
      <c r="AN869" s="14">
        <f>INDEX(挂机升级突破!DR$6:DR$57,卡牌消耗!$AT869)</f>
        <v>4</v>
      </c>
      <c r="AO869" s="14">
        <f>INDEX(挂机升级突破!DS$6:DS$57,卡牌消耗!$AT869)</f>
        <v>0</v>
      </c>
      <c r="AP869" s="14">
        <f>INDEX(挂机升级突破!$DP$6:$DP$57,卡牌消耗!AT869)</f>
        <v>100</v>
      </c>
      <c r="AQ869" s="14" t="str">
        <f t="shared" si="411"/>
        <v>飞廉</v>
      </c>
      <c r="AR869" s="14">
        <f t="shared" si="412"/>
        <v>3</v>
      </c>
      <c r="AS869" s="14" t="str">
        <f t="shared" si="413"/>
        <v>飞廉魂火-33</v>
      </c>
      <c r="AT869" s="14">
        <f t="shared" si="414"/>
        <v>33</v>
      </c>
      <c r="AU869" s="14" t="str">
        <f>IF(AM869&gt;0,INDEX(挂机升级突破!$DT$4:$ED$4,AM869),"")</f>
        <v>金币</v>
      </c>
      <c r="AV869" s="14">
        <f>ROUND(INDEX(挂机升级突破!$DJ$6:$DJ$57,卡牌消耗!AT869)*INDEX(卡牌消耗!$B$8:$F$8,AR869)/$Q$4/50,0)*50</f>
        <v>12200</v>
      </c>
      <c r="AW869" s="14" t="str">
        <f>IF(AN869&gt;0,INDEX(挂机升级突破!$DT$4:$ED$4,AN869),"")</f>
        <v>橙色基础材料</v>
      </c>
      <c r="AX869" s="14">
        <f>ROUND(INDEX(挂机升级突破!$DT$6:$ED$57,卡牌消耗!AT869,AN869)*INDEX(卡牌消耗!$B$5:$F$5,AR869)/$Q$4/5,0)*5</f>
        <v>25</v>
      </c>
      <c r="AY869" s="14" t="str">
        <f>IF(AO869&gt;0,INDEX(挂机升级突破!$DT$4:$ED$4,AO869),"")</f>
        <v/>
      </c>
      <c r="AZ869" s="14" t="str">
        <f>IF(AO869&gt;0,ROUND(INDEX(挂机升级突破!$DT$6:$ED$57,卡牌消耗!AT869,AO869)*INDEX(卡牌消耗!$B$7:$F$7,AR869)/$Q$4,0),"")</f>
        <v/>
      </c>
    </row>
    <row r="870" spans="37:52" ht="16.5" x14ac:dyDescent="0.2">
      <c r="AK870" s="104">
        <v>866</v>
      </c>
      <c r="AL870" s="14">
        <f t="shared" si="410"/>
        <v>17</v>
      </c>
      <c r="AM870" s="14">
        <f>INDEX(挂机升级突破!DQ$6:DQ$57,卡牌消耗!$AT870)</f>
        <v>11</v>
      </c>
      <c r="AN870" s="14">
        <f>INDEX(挂机升级突破!DR$6:DR$57,卡牌消耗!$AT870)</f>
        <v>4</v>
      </c>
      <c r="AO870" s="14">
        <f>INDEX(挂机升级突破!DS$6:DS$57,卡牌消耗!$AT870)</f>
        <v>0</v>
      </c>
      <c r="AP870" s="14">
        <f>INDEX(挂机升级突破!$DP$6:$DP$57,卡牌消耗!AT870)</f>
        <v>103</v>
      </c>
      <c r="AQ870" s="14" t="str">
        <f t="shared" si="411"/>
        <v>飞廉</v>
      </c>
      <c r="AR870" s="14">
        <f t="shared" si="412"/>
        <v>3</v>
      </c>
      <c r="AS870" s="14" t="str">
        <f t="shared" si="413"/>
        <v>飞廉魂火-34</v>
      </c>
      <c r="AT870" s="14">
        <f t="shared" si="414"/>
        <v>34</v>
      </c>
      <c r="AU870" s="14" t="str">
        <f>IF(AM870&gt;0,INDEX(挂机升级突破!$DT$4:$ED$4,AM870),"")</f>
        <v>金币</v>
      </c>
      <c r="AV870" s="14">
        <f>ROUND(INDEX(挂机升级突破!$DJ$6:$DJ$57,卡牌消耗!AT870)*INDEX(卡牌消耗!$B$8:$F$8,AR870)/$Q$4/50,0)*50</f>
        <v>12200</v>
      </c>
      <c r="AW870" s="14" t="str">
        <f>IF(AN870&gt;0,INDEX(挂机升级突破!$DT$4:$ED$4,AN870),"")</f>
        <v>橙色基础材料</v>
      </c>
      <c r="AX870" s="14">
        <f>ROUND(INDEX(挂机升级突破!$DT$6:$ED$57,卡牌消耗!AT870,AN870)*INDEX(卡牌消耗!$B$5:$F$5,AR870)/$Q$4/5,0)*5</f>
        <v>30</v>
      </c>
      <c r="AY870" s="14" t="str">
        <f>IF(AO870&gt;0,INDEX(挂机升级突破!$DT$4:$ED$4,AO870),"")</f>
        <v/>
      </c>
      <c r="AZ870" s="14" t="str">
        <f>IF(AO870&gt;0,ROUND(INDEX(挂机升级突破!$DT$6:$ED$57,卡牌消耗!AT870,AO870)*INDEX(卡牌消耗!$B$7:$F$7,AR870)/$Q$4,0),"")</f>
        <v/>
      </c>
    </row>
    <row r="871" spans="37:52" ht="16.5" x14ac:dyDescent="0.2">
      <c r="AK871" s="104">
        <v>867</v>
      </c>
      <c r="AL871" s="14">
        <f t="shared" si="410"/>
        <v>17</v>
      </c>
      <c r="AM871" s="14">
        <f>INDEX(挂机升级突破!DQ$6:DQ$57,卡牌消耗!$AT871)</f>
        <v>11</v>
      </c>
      <c r="AN871" s="14">
        <f>INDEX(挂机升级突破!DR$6:DR$57,卡牌消耗!$AT871)</f>
        <v>4</v>
      </c>
      <c r="AO871" s="14">
        <f>INDEX(挂机升级突破!DS$6:DS$57,卡牌消耗!$AT871)</f>
        <v>0</v>
      </c>
      <c r="AP871" s="14">
        <f>INDEX(挂机升级突破!$DP$6:$DP$57,卡牌消耗!AT871)</f>
        <v>105</v>
      </c>
      <c r="AQ871" s="14" t="str">
        <f t="shared" si="411"/>
        <v>飞廉</v>
      </c>
      <c r="AR871" s="14">
        <f t="shared" si="412"/>
        <v>3</v>
      </c>
      <c r="AS871" s="14" t="str">
        <f t="shared" si="413"/>
        <v>飞廉魂火-35</v>
      </c>
      <c r="AT871" s="14">
        <f t="shared" si="414"/>
        <v>35</v>
      </c>
      <c r="AU871" s="14" t="str">
        <f>IF(AM871&gt;0,INDEX(挂机升级突破!$DT$4:$ED$4,AM871),"")</f>
        <v>金币</v>
      </c>
      <c r="AV871" s="14">
        <f>ROUND(INDEX(挂机升级突破!$DJ$6:$DJ$57,卡牌消耗!AT871)*INDEX(卡牌消耗!$B$8:$F$8,AR871)/$Q$4/50,0)*50</f>
        <v>15550</v>
      </c>
      <c r="AW871" s="14" t="str">
        <f>IF(AN871&gt;0,INDEX(挂机升级突破!$DT$4:$ED$4,AN871),"")</f>
        <v>橙色基础材料</v>
      </c>
      <c r="AX871" s="14">
        <f>ROUND(INDEX(挂机升级突破!$DT$6:$ED$57,卡牌消耗!AT871,AN871)*INDEX(卡牌消耗!$B$5:$F$5,AR871)/$Q$4/5,0)*5</f>
        <v>30</v>
      </c>
      <c r="AY871" s="14" t="str">
        <f>IF(AO871&gt;0,INDEX(挂机升级突破!$DT$4:$ED$4,AO871),"")</f>
        <v/>
      </c>
      <c r="AZ871" s="14" t="str">
        <f>IF(AO871&gt;0,ROUND(INDEX(挂机升级突破!$DT$6:$ED$57,卡牌消耗!AT871,AO871)*INDEX(卡牌消耗!$B$7:$F$7,AR871)/$Q$4,0),"")</f>
        <v/>
      </c>
    </row>
    <row r="872" spans="37:52" ht="16.5" x14ac:dyDescent="0.2">
      <c r="AK872" s="104">
        <v>868</v>
      </c>
      <c r="AL872" s="14">
        <f t="shared" si="410"/>
        <v>17</v>
      </c>
      <c r="AM872" s="14">
        <f>INDEX(挂机升级突破!DQ$6:DQ$57,卡牌消耗!$AT872)</f>
        <v>11</v>
      </c>
      <c r="AN872" s="14">
        <f>INDEX(挂机升级突破!DR$6:DR$57,卡牌消耗!$AT872)</f>
        <v>4</v>
      </c>
      <c r="AO872" s="14">
        <f>INDEX(挂机升级突破!DS$6:DS$57,卡牌消耗!$AT872)</f>
        <v>0</v>
      </c>
      <c r="AP872" s="14">
        <f>INDEX(挂机升级突破!$DP$6:$DP$57,卡牌消耗!AT872)</f>
        <v>108</v>
      </c>
      <c r="AQ872" s="14" t="str">
        <f t="shared" si="411"/>
        <v>飞廉</v>
      </c>
      <c r="AR872" s="14">
        <f t="shared" si="412"/>
        <v>3</v>
      </c>
      <c r="AS872" s="14" t="str">
        <f t="shared" si="413"/>
        <v>飞廉魂火-36</v>
      </c>
      <c r="AT872" s="14">
        <f t="shared" si="414"/>
        <v>36</v>
      </c>
      <c r="AU872" s="14" t="str">
        <f>IF(AM872&gt;0,INDEX(挂机升级突破!$DT$4:$ED$4,AM872),"")</f>
        <v>金币</v>
      </c>
      <c r="AV872" s="14">
        <f>ROUND(INDEX(挂机升级突破!$DJ$6:$DJ$57,卡牌消耗!AT872)*INDEX(卡牌消耗!$B$8:$F$8,AR872)/$Q$4/50,0)*50</f>
        <v>15550</v>
      </c>
      <c r="AW872" s="14" t="str">
        <f>IF(AN872&gt;0,INDEX(挂机升级突破!$DT$4:$ED$4,AN872),"")</f>
        <v>橙色基础材料</v>
      </c>
      <c r="AX872" s="14">
        <f>ROUND(INDEX(挂机升级突破!$DT$6:$ED$57,卡牌消耗!AT872,AN872)*INDEX(卡牌消耗!$B$5:$F$5,AR872)/$Q$4/5,0)*5</f>
        <v>30</v>
      </c>
      <c r="AY872" s="14" t="str">
        <f>IF(AO872&gt;0,INDEX(挂机升级突破!$DT$4:$ED$4,AO872),"")</f>
        <v/>
      </c>
      <c r="AZ872" s="14" t="str">
        <f>IF(AO872&gt;0,ROUND(INDEX(挂机升级突破!$DT$6:$ED$57,卡牌消耗!AT872,AO872)*INDEX(卡牌消耗!$B$7:$F$7,AR872)/$Q$4,0),"")</f>
        <v/>
      </c>
    </row>
    <row r="873" spans="37:52" ht="16.5" x14ac:dyDescent="0.2">
      <c r="AK873" s="104">
        <v>869</v>
      </c>
      <c r="AL873" s="14">
        <f t="shared" si="410"/>
        <v>17</v>
      </c>
      <c r="AM873" s="14">
        <f>INDEX(挂机升级突破!DQ$6:DQ$57,卡牌消耗!$AT873)</f>
        <v>11</v>
      </c>
      <c r="AN873" s="14">
        <f>INDEX(挂机升级突破!DR$6:DR$57,卡牌消耗!$AT873)</f>
        <v>4</v>
      </c>
      <c r="AO873" s="14">
        <f>INDEX(挂机升级突破!DS$6:DS$57,卡牌消耗!$AT873)</f>
        <v>0</v>
      </c>
      <c r="AP873" s="14">
        <f>INDEX(挂机升级突破!$DP$6:$DP$57,卡牌消耗!AT873)</f>
        <v>110</v>
      </c>
      <c r="AQ873" s="14" t="str">
        <f t="shared" si="411"/>
        <v>飞廉</v>
      </c>
      <c r="AR873" s="14">
        <f t="shared" si="412"/>
        <v>3</v>
      </c>
      <c r="AS873" s="14" t="str">
        <f t="shared" si="413"/>
        <v>飞廉魂火-37</v>
      </c>
      <c r="AT873" s="14">
        <f t="shared" si="414"/>
        <v>37</v>
      </c>
      <c r="AU873" s="14" t="str">
        <f>IF(AM873&gt;0,INDEX(挂机升级突破!$DT$4:$ED$4,AM873),"")</f>
        <v>金币</v>
      </c>
      <c r="AV873" s="14">
        <f>ROUND(INDEX(挂机升级突破!$DJ$6:$DJ$57,卡牌消耗!AT873)*INDEX(卡牌消耗!$B$8:$F$8,AR873)/$Q$4/50,0)*50</f>
        <v>16650</v>
      </c>
      <c r="AW873" s="14" t="str">
        <f>IF(AN873&gt;0,INDEX(挂机升级突破!$DT$4:$ED$4,AN873),"")</f>
        <v>橙色基础材料</v>
      </c>
      <c r="AX873" s="14">
        <f>ROUND(INDEX(挂机升级突破!$DT$6:$ED$57,卡牌消耗!AT873,AN873)*INDEX(卡牌消耗!$B$5:$F$5,AR873)/$Q$4/5,0)*5</f>
        <v>30</v>
      </c>
      <c r="AY873" s="14" t="str">
        <f>IF(AO873&gt;0,INDEX(挂机升级突破!$DT$4:$ED$4,AO873),"")</f>
        <v/>
      </c>
      <c r="AZ873" s="14" t="str">
        <f>IF(AO873&gt;0,ROUND(INDEX(挂机升级突破!$DT$6:$ED$57,卡牌消耗!AT873,AO873)*INDEX(卡牌消耗!$B$7:$F$7,AR873)/$Q$4,0),"")</f>
        <v/>
      </c>
    </row>
    <row r="874" spans="37:52" ht="16.5" x14ac:dyDescent="0.2">
      <c r="AK874" s="104">
        <v>870</v>
      </c>
      <c r="AL874" s="14">
        <f t="shared" si="410"/>
        <v>17</v>
      </c>
      <c r="AM874" s="14">
        <f>INDEX(挂机升级突破!DQ$6:DQ$57,卡牌消耗!$AT874)</f>
        <v>11</v>
      </c>
      <c r="AN874" s="14">
        <f>INDEX(挂机升级突破!DR$6:DR$57,卡牌消耗!$AT874)</f>
        <v>5</v>
      </c>
      <c r="AO874" s="14">
        <f>INDEX(挂机升级突破!DS$6:DS$57,卡牌消耗!$AT874)</f>
        <v>0</v>
      </c>
      <c r="AP874" s="14">
        <f>INDEX(挂机升级突破!$DP$6:$DP$57,卡牌消耗!AT874)</f>
        <v>113</v>
      </c>
      <c r="AQ874" s="14" t="str">
        <f t="shared" si="411"/>
        <v>飞廉</v>
      </c>
      <c r="AR874" s="14">
        <f t="shared" si="412"/>
        <v>3</v>
      </c>
      <c r="AS874" s="14" t="str">
        <f t="shared" si="413"/>
        <v>飞廉魂火-38</v>
      </c>
      <c r="AT874" s="14">
        <f t="shared" si="414"/>
        <v>38</v>
      </c>
      <c r="AU874" s="14" t="str">
        <f>IF(AM874&gt;0,INDEX(挂机升级突破!$DT$4:$ED$4,AM874),"")</f>
        <v>金币</v>
      </c>
      <c r="AV874" s="14">
        <f>ROUND(INDEX(挂机升级突破!$DJ$6:$DJ$57,卡牌消耗!AT874)*INDEX(卡牌消耗!$B$8:$F$8,AR874)/$Q$4/50,0)*50</f>
        <v>21500</v>
      </c>
      <c r="AW874" s="14" t="str">
        <f>IF(AN874&gt;0,INDEX(挂机升级突破!$DT$4:$ED$4,AN874),"")</f>
        <v>红色基础材料</v>
      </c>
      <c r="AX874" s="14">
        <f>ROUND(INDEX(挂机升级突破!$DT$6:$ED$57,卡牌消耗!AT874,AN874)*INDEX(卡牌消耗!$B$5:$F$5,AR874)/$Q$4/5,0)*5</f>
        <v>10</v>
      </c>
      <c r="AY874" s="14" t="str">
        <f>IF(AO874&gt;0,INDEX(挂机升级突破!$DT$4:$ED$4,AO874),"")</f>
        <v/>
      </c>
      <c r="AZ874" s="14" t="str">
        <f>IF(AO874&gt;0,ROUND(INDEX(挂机升级突破!$DT$6:$ED$57,卡牌消耗!AT874,AO874)*INDEX(卡牌消耗!$B$7:$F$7,AR874)/$Q$4,0),"")</f>
        <v/>
      </c>
    </row>
    <row r="875" spans="37:52" ht="16.5" x14ac:dyDescent="0.2">
      <c r="AK875" s="104">
        <v>871</v>
      </c>
      <c r="AL875" s="14">
        <f t="shared" si="410"/>
        <v>17</v>
      </c>
      <c r="AM875" s="14">
        <f>INDEX(挂机升级突破!DQ$6:DQ$57,卡牌消耗!$AT875)</f>
        <v>11</v>
      </c>
      <c r="AN875" s="14">
        <f>INDEX(挂机升级突破!DR$6:DR$57,卡牌消耗!$AT875)</f>
        <v>5</v>
      </c>
      <c r="AO875" s="14">
        <f>INDEX(挂机升级突破!DS$6:DS$57,卡牌消耗!$AT875)</f>
        <v>0</v>
      </c>
      <c r="AP875" s="14">
        <f>INDEX(挂机升级突破!$DP$6:$DP$57,卡牌消耗!AT875)</f>
        <v>115</v>
      </c>
      <c r="AQ875" s="14" t="str">
        <f t="shared" si="411"/>
        <v>飞廉</v>
      </c>
      <c r="AR875" s="14">
        <f t="shared" si="412"/>
        <v>3</v>
      </c>
      <c r="AS875" s="14" t="str">
        <f t="shared" si="413"/>
        <v>飞廉魂火-39</v>
      </c>
      <c r="AT875" s="14">
        <f t="shared" si="414"/>
        <v>39</v>
      </c>
      <c r="AU875" s="14" t="str">
        <f>IF(AM875&gt;0,INDEX(挂机升级突破!$DT$4:$ED$4,AM875),"")</f>
        <v>金币</v>
      </c>
      <c r="AV875" s="14">
        <f>ROUND(INDEX(挂机升级突破!$DJ$6:$DJ$57,卡牌消耗!AT875)*INDEX(卡牌消耗!$B$8:$F$8,AR875)/$Q$4/50,0)*50</f>
        <v>21500</v>
      </c>
      <c r="AW875" s="14" t="str">
        <f>IF(AN875&gt;0,INDEX(挂机升级突破!$DT$4:$ED$4,AN875),"")</f>
        <v>红色基础材料</v>
      </c>
      <c r="AX875" s="14">
        <f>ROUND(INDEX(挂机升级突破!$DT$6:$ED$57,卡牌消耗!AT875,AN875)*INDEX(卡牌消耗!$B$5:$F$5,AR875)/$Q$4/5,0)*5</f>
        <v>10</v>
      </c>
      <c r="AY875" s="14" t="str">
        <f>IF(AO875&gt;0,INDEX(挂机升级突破!$DT$4:$ED$4,AO875),"")</f>
        <v/>
      </c>
      <c r="AZ875" s="14" t="str">
        <f>IF(AO875&gt;0,ROUND(INDEX(挂机升级突破!$DT$6:$ED$57,卡牌消耗!AT875,AO875)*INDEX(卡牌消耗!$B$7:$F$7,AR875)/$Q$4,0),"")</f>
        <v/>
      </c>
    </row>
    <row r="876" spans="37:52" ht="16.5" x14ac:dyDescent="0.2">
      <c r="AK876" s="104">
        <v>872</v>
      </c>
      <c r="AL876" s="14">
        <f t="shared" si="410"/>
        <v>17</v>
      </c>
      <c r="AM876" s="14">
        <f>INDEX(挂机升级突破!DQ$6:DQ$57,卡牌消耗!$AT876)</f>
        <v>11</v>
      </c>
      <c r="AN876" s="14">
        <f>INDEX(挂机升级突破!DR$6:DR$57,卡牌消耗!$AT876)</f>
        <v>5</v>
      </c>
      <c r="AO876" s="14">
        <f>INDEX(挂机升级突破!DS$6:DS$57,卡牌消耗!$AT876)</f>
        <v>0</v>
      </c>
      <c r="AP876" s="14">
        <f>INDEX(挂机升级突破!$DP$6:$DP$57,卡牌消耗!AT876)</f>
        <v>118</v>
      </c>
      <c r="AQ876" s="14" t="str">
        <f t="shared" si="411"/>
        <v>飞廉</v>
      </c>
      <c r="AR876" s="14">
        <f t="shared" si="412"/>
        <v>3</v>
      </c>
      <c r="AS876" s="14" t="str">
        <f t="shared" si="413"/>
        <v>飞廉魂火-40</v>
      </c>
      <c r="AT876" s="14">
        <f t="shared" si="414"/>
        <v>40</v>
      </c>
      <c r="AU876" s="14" t="str">
        <f>IF(AM876&gt;0,INDEX(挂机升级突破!$DT$4:$ED$4,AM876),"")</f>
        <v>金币</v>
      </c>
      <c r="AV876" s="14">
        <f>ROUND(INDEX(挂机升级突破!$DJ$6:$DJ$57,卡牌消耗!AT876)*INDEX(卡牌消耗!$B$8:$F$8,AR876)/$Q$4/50,0)*50</f>
        <v>21500</v>
      </c>
      <c r="AW876" s="14" t="str">
        <f>IF(AN876&gt;0,INDEX(挂机升级突破!$DT$4:$ED$4,AN876),"")</f>
        <v>红色基础材料</v>
      </c>
      <c r="AX876" s="14">
        <f>ROUND(INDEX(挂机升级突破!$DT$6:$ED$57,卡牌消耗!AT876,AN876)*INDEX(卡牌消耗!$B$5:$F$5,AR876)/$Q$4/5,0)*5</f>
        <v>10</v>
      </c>
      <c r="AY876" s="14" t="str">
        <f>IF(AO876&gt;0,INDEX(挂机升级突破!$DT$4:$ED$4,AO876),"")</f>
        <v/>
      </c>
      <c r="AZ876" s="14" t="str">
        <f>IF(AO876&gt;0,ROUND(INDEX(挂机升级突破!$DT$6:$ED$57,卡牌消耗!AT876,AO876)*INDEX(卡牌消耗!$B$7:$F$7,AR876)/$Q$4,0),"")</f>
        <v/>
      </c>
    </row>
    <row r="877" spans="37:52" ht="16.5" x14ac:dyDescent="0.2">
      <c r="AK877" s="104">
        <v>873</v>
      </c>
      <c r="AL877" s="14">
        <f t="shared" si="410"/>
        <v>17</v>
      </c>
      <c r="AM877" s="14">
        <f>INDEX(挂机升级突破!DQ$6:DQ$57,卡牌消耗!$AT877)</f>
        <v>11</v>
      </c>
      <c r="AN877" s="14">
        <f>INDEX(挂机升级突破!DR$6:DR$57,卡牌消耗!$AT877)</f>
        <v>5</v>
      </c>
      <c r="AO877" s="14">
        <f>INDEX(挂机升级突破!DS$6:DS$57,卡牌消耗!$AT877)</f>
        <v>10</v>
      </c>
      <c r="AP877" s="14">
        <f>INDEX(挂机升级突破!$DP$6:$DP$57,卡牌消耗!AT877)</f>
        <v>120</v>
      </c>
      <c r="AQ877" s="14" t="str">
        <f t="shared" si="411"/>
        <v>飞廉</v>
      </c>
      <c r="AR877" s="14">
        <f t="shared" si="412"/>
        <v>3</v>
      </c>
      <c r="AS877" s="14" t="str">
        <f t="shared" si="413"/>
        <v>飞廉魂火-41</v>
      </c>
      <c r="AT877" s="14">
        <f t="shared" si="414"/>
        <v>41</v>
      </c>
      <c r="AU877" s="14" t="str">
        <f>IF(AM877&gt;0,INDEX(挂机升级突破!$DT$4:$ED$4,AM877),"")</f>
        <v>金币</v>
      </c>
      <c r="AV877" s="14">
        <f>ROUND(INDEX(挂机升级突破!$DJ$6:$DJ$57,卡牌消耗!AT877)*INDEX(卡牌消耗!$B$8:$F$8,AR877)/$Q$4/50,0)*50</f>
        <v>29550</v>
      </c>
      <c r="AW877" s="14" t="str">
        <f>IF(AN877&gt;0,INDEX(挂机升级突破!$DT$4:$ED$4,AN877),"")</f>
        <v>红色基础材料</v>
      </c>
      <c r="AX877" s="14">
        <f>ROUND(INDEX(挂机升级突破!$DT$6:$ED$57,卡牌消耗!AT877,AN877)*INDEX(卡牌消耗!$B$5:$F$5,AR877)/$Q$4/5,0)*5</f>
        <v>10</v>
      </c>
      <c r="AY877" s="14" t="str">
        <f>IF(AO877&gt;0,INDEX(挂机升级突破!$DT$4:$ED$4,AO877),"")</f>
        <v>灵玉</v>
      </c>
      <c r="AZ877" s="14">
        <f>IF(AO877&gt;0,ROUND(INDEX(挂机升级突破!$DT$6:$ED$57,卡牌消耗!AT877,AO877)*INDEX(卡牌消耗!$B$7:$F$7,AR877)/$Q$4,0),"")</f>
        <v>2</v>
      </c>
    </row>
    <row r="878" spans="37:52" ht="16.5" x14ac:dyDescent="0.2">
      <c r="AK878" s="104">
        <v>874</v>
      </c>
      <c r="AL878" s="14">
        <f t="shared" si="410"/>
        <v>17</v>
      </c>
      <c r="AM878" s="14">
        <f>INDEX(挂机升级突破!DQ$6:DQ$57,卡牌消耗!$AT878)</f>
        <v>11</v>
      </c>
      <c r="AN878" s="14">
        <f>INDEX(挂机升级突破!DR$6:DR$57,卡牌消耗!$AT878)</f>
        <v>5</v>
      </c>
      <c r="AO878" s="14">
        <f>INDEX(挂机升级突破!DS$6:DS$57,卡牌消耗!$AT878)</f>
        <v>10</v>
      </c>
      <c r="AP878" s="14">
        <f>INDEX(挂机升级突破!$DP$6:$DP$57,卡牌消耗!AT878)</f>
        <v>123</v>
      </c>
      <c r="AQ878" s="14" t="str">
        <f t="shared" si="411"/>
        <v>飞廉</v>
      </c>
      <c r="AR878" s="14">
        <f t="shared" si="412"/>
        <v>3</v>
      </c>
      <c r="AS878" s="14" t="str">
        <f t="shared" si="413"/>
        <v>飞廉魂火-42</v>
      </c>
      <c r="AT878" s="14">
        <f t="shared" si="414"/>
        <v>42</v>
      </c>
      <c r="AU878" s="14" t="str">
        <f>IF(AM878&gt;0,INDEX(挂机升级突破!$DT$4:$ED$4,AM878),"")</f>
        <v>金币</v>
      </c>
      <c r="AV878" s="14">
        <f>ROUND(INDEX(挂机升级突破!$DJ$6:$DJ$57,卡牌消耗!AT878)*INDEX(卡牌消耗!$B$8:$F$8,AR878)/$Q$4/50,0)*50</f>
        <v>29550</v>
      </c>
      <c r="AW878" s="14" t="str">
        <f>IF(AN878&gt;0,INDEX(挂机升级突破!$DT$4:$ED$4,AN878),"")</f>
        <v>红色基础材料</v>
      </c>
      <c r="AX878" s="14">
        <f>ROUND(INDEX(挂机升级突破!$DT$6:$ED$57,卡牌消耗!AT878,AN878)*INDEX(卡牌消耗!$B$5:$F$5,AR878)/$Q$4/5,0)*5</f>
        <v>10</v>
      </c>
      <c r="AY878" s="14" t="str">
        <f>IF(AO878&gt;0,INDEX(挂机升级突破!$DT$4:$ED$4,AO878),"")</f>
        <v>灵玉</v>
      </c>
      <c r="AZ878" s="14">
        <f>IF(AO878&gt;0,ROUND(INDEX(挂机升级突破!$DT$6:$ED$57,卡牌消耗!AT878,AO878)*INDEX(卡牌消耗!$B$7:$F$7,AR878)/$Q$4,0),"")</f>
        <v>2</v>
      </c>
    </row>
    <row r="879" spans="37:52" ht="16.5" x14ac:dyDescent="0.2">
      <c r="AK879" s="104">
        <v>875</v>
      </c>
      <c r="AL879" s="14">
        <f t="shared" si="410"/>
        <v>17</v>
      </c>
      <c r="AM879" s="14">
        <f>INDEX(挂机升级突破!DQ$6:DQ$57,卡牌消耗!$AT879)</f>
        <v>11</v>
      </c>
      <c r="AN879" s="14">
        <f>INDEX(挂机升级突破!DR$6:DR$57,卡牌消耗!$AT879)</f>
        <v>5</v>
      </c>
      <c r="AO879" s="14">
        <f>INDEX(挂机升级突破!DS$6:DS$57,卡牌消耗!$AT879)</f>
        <v>10</v>
      </c>
      <c r="AP879" s="14">
        <f>INDEX(挂机升级突破!$DP$6:$DP$57,卡牌消耗!AT879)</f>
        <v>125</v>
      </c>
      <c r="AQ879" s="14" t="str">
        <f t="shared" si="411"/>
        <v>飞廉</v>
      </c>
      <c r="AR879" s="14">
        <f t="shared" si="412"/>
        <v>3</v>
      </c>
      <c r="AS879" s="14" t="str">
        <f t="shared" si="413"/>
        <v>飞廉魂火-43</v>
      </c>
      <c r="AT879" s="14">
        <f t="shared" si="414"/>
        <v>43</v>
      </c>
      <c r="AU879" s="14" t="str">
        <f>IF(AM879&gt;0,INDEX(挂机升级突破!$DT$4:$ED$4,AM879),"")</f>
        <v>金币</v>
      </c>
      <c r="AV879" s="14">
        <f>ROUND(INDEX(挂机升级突破!$DJ$6:$DJ$57,卡牌消耗!AT879)*INDEX(卡牌消耗!$B$8:$F$8,AR879)/$Q$4/50,0)*50</f>
        <v>29550</v>
      </c>
      <c r="AW879" s="14" t="str">
        <f>IF(AN879&gt;0,INDEX(挂机升级突破!$DT$4:$ED$4,AN879),"")</f>
        <v>红色基础材料</v>
      </c>
      <c r="AX879" s="14">
        <f>ROUND(INDEX(挂机升级突破!$DT$6:$ED$57,卡牌消耗!AT879,AN879)*INDEX(卡牌消耗!$B$5:$F$5,AR879)/$Q$4/5,0)*5</f>
        <v>10</v>
      </c>
      <c r="AY879" s="14" t="str">
        <f>IF(AO879&gt;0,INDEX(挂机升级突破!$DT$4:$ED$4,AO879),"")</f>
        <v>灵玉</v>
      </c>
      <c r="AZ879" s="14">
        <f>IF(AO879&gt;0,ROUND(INDEX(挂机升级突破!$DT$6:$ED$57,卡牌消耗!AT879,AO879)*INDEX(卡牌消耗!$B$7:$F$7,AR879)/$Q$4,0),"")</f>
        <v>2</v>
      </c>
    </row>
    <row r="880" spans="37:52" ht="16.5" x14ac:dyDescent="0.2">
      <c r="AK880" s="104">
        <v>876</v>
      </c>
      <c r="AL880" s="14">
        <f t="shared" si="410"/>
        <v>17</v>
      </c>
      <c r="AM880" s="14">
        <f>INDEX(挂机升级突破!DQ$6:DQ$57,卡牌消耗!$AT880)</f>
        <v>11</v>
      </c>
      <c r="AN880" s="14">
        <f>INDEX(挂机升级突破!DR$6:DR$57,卡牌消耗!$AT880)</f>
        <v>5</v>
      </c>
      <c r="AO880" s="14">
        <f>INDEX(挂机升级突破!DS$6:DS$57,卡牌消耗!$AT880)</f>
        <v>10</v>
      </c>
      <c r="AP880" s="14">
        <f>INDEX(挂机升级突破!$DP$6:$DP$57,卡牌消耗!AT880)</f>
        <v>128</v>
      </c>
      <c r="AQ880" s="14" t="str">
        <f t="shared" si="411"/>
        <v>飞廉</v>
      </c>
      <c r="AR880" s="14">
        <f t="shared" si="412"/>
        <v>3</v>
      </c>
      <c r="AS880" s="14" t="str">
        <f t="shared" si="413"/>
        <v>飞廉魂火-44</v>
      </c>
      <c r="AT880" s="14">
        <f t="shared" si="414"/>
        <v>44</v>
      </c>
      <c r="AU880" s="14" t="str">
        <f>IF(AM880&gt;0,INDEX(挂机升级突破!$DT$4:$ED$4,AM880),"")</f>
        <v>金币</v>
      </c>
      <c r="AV880" s="14">
        <f>ROUND(INDEX(挂机升级突破!$DJ$6:$DJ$57,卡牌消耗!AT880)*INDEX(卡牌消耗!$B$8:$F$8,AR880)/$Q$4/50,0)*50</f>
        <v>37600</v>
      </c>
      <c r="AW880" s="14" t="str">
        <f>IF(AN880&gt;0,INDEX(挂机升级突破!$DT$4:$ED$4,AN880),"")</f>
        <v>红色基础材料</v>
      </c>
      <c r="AX880" s="14">
        <f>ROUND(INDEX(挂机升级突破!$DT$6:$ED$57,卡牌消耗!AT880,AN880)*INDEX(卡牌消耗!$B$5:$F$5,AR880)/$Q$4/5,0)*5</f>
        <v>10</v>
      </c>
      <c r="AY880" s="14" t="str">
        <f>IF(AO880&gt;0,INDEX(挂机升级突破!$DT$4:$ED$4,AO880),"")</f>
        <v>灵玉</v>
      </c>
      <c r="AZ880" s="14">
        <f>IF(AO880&gt;0,ROUND(INDEX(挂机升级突破!$DT$6:$ED$57,卡牌消耗!AT880,AO880)*INDEX(卡牌消耗!$B$7:$F$7,AR880)/$Q$4,0),"")</f>
        <v>2</v>
      </c>
    </row>
    <row r="881" spans="37:52" ht="16.5" x14ac:dyDescent="0.2">
      <c r="AK881" s="104">
        <v>877</v>
      </c>
      <c r="AL881" s="14">
        <f t="shared" si="410"/>
        <v>17</v>
      </c>
      <c r="AM881" s="14">
        <f>INDEX(挂机升级突破!DQ$6:DQ$57,卡牌消耗!$AT881)</f>
        <v>11</v>
      </c>
      <c r="AN881" s="14">
        <f>INDEX(挂机升级突破!DR$6:DR$57,卡牌消耗!$AT881)</f>
        <v>5</v>
      </c>
      <c r="AO881" s="14">
        <f>INDEX(挂机升级突破!DS$6:DS$57,卡牌消耗!$AT881)</f>
        <v>10</v>
      </c>
      <c r="AP881" s="14">
        <f>INDEX(挂机升级突破!$DP$6:$DP$57,卡牌消耗!AT881)</f>
        <v>130</v>
      </c>
      <c r="AQ881" s="14" t="str">
        <f t="shared" si="411"/>
        <v>飞廉</v>
      </c>
      <c r="AR881" s="14">
        <f t="shared" si="412"/>
        <v>3</v>
      </c>
      <c r="AS881" s="14" t="str">
        <f t="shared" si="413"/>
        <v>飞廉魂火-45</v>
      </c>
      <c r="AT881" s="14">
        <f t="shared" si="414"/>
        <v>45</v>
      </c>
      <c r="AU881" s="14" t="str">
        <f>IF(AM881&gt;0,INDEX(挂机升级突破!$DT$4:$ED$4,AM881),"")</f>
        <v>金币</v>
      </c>
      <c r="AV881" s="14">
        <f>ROUND(INDEX(挂机升级突破!$DJ$6:$DJ$57,卡牌消耗!AT881)*INDEX(卡牌消耗!$B$8:$F$8,AR881)/$Q$4/50,0)*50</f>
        <v>37600</v>
      </c>
      <c r="AW881" s="14" t="str">
        <f>IF(AN881&gt;0,INDEX(挂机升级突破!$DT$4:$ED$4,AN881),"")</f>
        <v>红色基础材料</v>
      </c>
      <c r="AX881" s="14">
        <f>ROUND(INDEX(挂机升级突破!$DT$6:$ED$57,卡牌消耗!AT881,AN881)*INDEX(卡牌消耗!$B$5:$F$5,AR881)/$Q$4/5,0)*5</f>
        <v>10</v>
      </c>
      <c r="AY881" s="14" t="str">
        <f>IF(AO881&gt;0,INDEX(挂机升级突破!$DT$4:$ED$4,AO881),"")</f>
        <v>灵玉</v>
      </c>
      <c r="AZ881" s="14">
        <f>IF(AO881&gt;0,ROUND(INDEX(挂机升级突破!$DT$6:$ED$57,卡牌消耗!AT881,AO881)*INDEX(卡牌消耗!$B$7:$F$7,AR881)/$Q$4,0),"")</f>
        <v>2</v>
      </c>
    </row>
    <row r="882" spans="37:52" ht="16.5" x14ac:dyDescent="0.2">
      <c r="AK882" s="104">
        <v>878</v>
      </c>
      <c r="AL882" s="14">
        <f t="shared" si="410"/>
        <v>17</v>
      </c>
      <c r="AM882" s="14">
        <f>INDEX(挂机升级突破!DQ$6:DQ$57,卡牌消耗!$AT882)</f>
        <v>11</v>
      </c>
      <c r="AN882" s="14">
        <f>INDEX(挂机升级突破!DR$6:DR$57,卡牌消耗!$AT882)</f>
        <v>5</v>
      </c>
      <c r="AO882" s="14">
        <f>INDEX(挂机升级突破!DS$6:DS$57,卡牌消耗!$AT882)</f>
        <v>10</v>
      </c>
      <c r="AP882" s="14">
        <f>INDEX(挂机升级突破!$DP$6:$DP$57,卡牌消耗!AT882)</f>
        <v>133</v>
      </c>
      <c r="AQ882" s="14" t="str">
        <f t="shared" si="411"/>
        <v>飞廉</v>
      </c>
      <c r="AR882" s="14">
        <f t="shared" si="412"/>
        <v>3</v>
      </c>
      <c r="AS882" s="14" t="str">
        <f t="shared" si="413"/>
        <v>飞廉魂火-46</v>
      </c>
      <c r="AT882" s="14">
        <f t="shared" si="414"/>
        <v>46</v>
      </c>
      <c r="AU882" s="14" t="str">
        <f>IF(AM882&gt;0,INDEX(挂机升级突破!$DT$4:$ED$4,AM882),"")</f>
        <v>金币</v>
      </c>
      <c r="AV882" s="14">
        <f>ROUND(INDEX(挂机升级突破!$DJ$6:$DJ$57,卡牌消耗!AT882)*INDEX(卡牌消耗!$B$8:$F$8,AR882)/$Q$4/50,0)*50</f>
        <v>40300</v>
      </c>
      <c r="AW882" s="14" t="str">
        <f>IF(AN882&gt;0,INDEX(挂机升级突破!$DT$4:$ED$4,AN882),"")</f>
        <v>红色基础材料</v>
      </c>
      <c r="AX882" s="14">
        <f>ROUND(INDEX(挂机升级突破!$DT$6:$ED$57,卡牌消耗!AT882,AN882)*INDEX(卡牌消耗!$B$5:$F$5,AR882)/$Q$4/5,0)*5</f>
        <v>10</v>
      </c>
      <c r="AY882" s="14" t="str">
        <f>IF(AO882&gt;0,INDEX(挂机升级突破!$DT$4:$ED$4,AO882),"")</f>
        <v>灵玉</v>
      </c>
      <c r="AZ882" s="14">
        <f>IF(AO882&gt;0,ROUND(INDEX(挂机升级突破!$DT$6:$ED$57,卡牌消耗!AT882,AO882)*INDEX(卡牌消耗!$B$7:$F$7,AR882)/$Q$4,0),"")</f>
        <v>2</v>
      </c>
    </row>
    <row r="883" spans="37:52" ht="16.5" x14ac:dyDescent="0.2">
      <c r="AK883" s="104">
        <v>879</v>
      </c>
      <c r="AL883" s="14">
        <f t="shared" si="410"/>
        <v>17</v>
      </c>
      <c r="AM883" s="14">
        <f>INDEX(挂机升级突破!DQ$6:DQ$57,卡牌消耗!$AT883)</f>
        <v>11</v>
      </c>
      <c r="AN883" s="14">
        <f>INDEX(挂机升级突破!DR$6:DR$57,卡牌消耗!$AT883)</f>
        <v>5</v>
      </c>
      <c r="AO883" s="14">
        <f>INDEX(挂机升级突破!DS$6:DS$57,卡牌消耗!$AT883)</f>
        <v>10</v>
      </c>
      <c r="AP883" s="14">
        <f>INDEX(挂机升级突破!$DP$6:$DP$57,卡牌消耗!AT883)</f>
        <v>135</v>
      </c>
      <c r="AQ883" s="14" t="str">
        <f t="shared" si="411"/>
        <v>飞廉</v>
      </c>
      <c r="AR883" s="14">
        <f t="shared" si="412"/>
        <v>3</v>
      </c>
      <c r="AS883" s="14" t="str">
        <f t="shared" si="413"/>
        <v>飞廉魂火-47</v>
      </c>
      <c r="AT883" s="14">
        <f t="shared" si="414"/>
        <v>47</v>
      </c>
      <c r="AU883" s="14" t="str">
        <f>IF(AM883&gt;0,INDEX(挂机升级突破!$DT$4:$ED$4,AM883),"")</f>
        <v>金币</v>
      </c>
      <c r="AV883" s="14">
        <f>ROUND(INDEX(挂机升级突破!$DJ$6:$DJ$57,卡牌消耗!AT883)*INDEX(卡牌消耗!$B$8:$F$8,AR883)/$Q$4/50,0)*50</f>
        <v>82050</v>
      </c>
      <c r="AW883" s="14" t="str">
        <f>IF(AN883&gt;0,INDEX(挂机升级突破!$DT$4:$ED$4,AN883),"")</f>
        <v>红色基础材料</v>
      </c>
      <c r="AX883" s="14">
        <f>ROUND(INDEX(挂机升级突破!$DT$6:$ED$57,卡牌消耗!AT883,AN883)*INDEX(卡牌消耗!$B$5:$F$5,AR883)/$Q$4/5,0)*5</f>
        <v>10</v>
      </c>
      <c r="AY883" s="14" t="str">
        <f>IF(AO883&gt;0,INDEX(挂机升级突破!$DT$4:$ED$4,AO883),"")</f>
        <v>灵玉</v>
      </c>
      <c r="AZ883" s="14">
        <f>IF(AO883&gt;0,ROUND(INDEX(挂机升级突破!$DT$6:$ED$57,卡牌消耗!AT883,AO883)*INDEX(卡牌消耗!$B$7:$F$7,AR883)/$Q$4,0),"")</f>
        <v>2</v>
      </c>
    </row>
    <row r="884" spans="37:52" ht="16.5" x14ac:dyDescent="0.2">
      <c r="AK884" s="104">
        <v>880</v>
      </c>
      <c r="AL884" s="14">
        <f t="shared" si="410"/>
        <v>17</v>
      </c>
      <c r="AM884" s="14">
        <f>INDEX(挂机升级突破!DQ$6:DQ$57,卡牌消耗!$AT884)</f>
        <v>11</v>
      </c>
      <c r="AN884" s="14">
        <f>INDEX(挂机升级突破!DR$6:DR$57,卡牌消耗!$AT884)</f>
        <v>5</v>
      </c>
      <c r="AO884" s="14">
        <f>INDEX(挂机升级突破!DS$6:DS$57,卡牌消耗!$AT884)</f>
        <v>10</v>
      </c>
      <c r="AP884" s="14">
        <f>INDEX(挂机升级突破!$DP$6:$DP$57,卡牌消耗!AT884)</f>
        <v>138</v>
      </c>
      <c r="AQ884" s="14" t="str">
        <f t="shared" si="411"/>
        <v>飞廉</v>
      </c>
      <c r="AR884" s="14">
        <f t="shared" si="412"/>
        <v>3</v>
      </c>
      <c r="AS884" s="14" t="str">
        <f t="shared" si="413"/>
        <v>飞廉魂火-48</v>
      </c>
      <c r="AT884" s="14">
        <f t="shared" si="414"/>
        <v>48</v>
      </c>
      <c r="AU884" s="14" t="str">
        <f>IF(AM884&gt;0,INDEX(挂机升级突破!$DT$4:$ED$4,AM884),"")</f>
        <v>金币</v>
      </c>
      <c r="AV884" s="14">
        <f>ROUND(INDEX(挂机升级突破!$DJ$6:$DJ$57,卡牌消耗!AT884)*INDEX(卡牌消耗!$B$8:$F$8,AR884)/$Q$4/50,0)*50</f>
        <v>82050</v>
      </c>
      <c r="AW884" s="14" t="str">
        <f>IF(AN884&gt;0,INDEX(挂机升级突破!$DT$4:$ED$4,AN884),"")</f>
        <v>红色基础材料</v>
      </c>
      <c r="AX884" s="14">
        <f>ROUND(INDEX(挂机升级突破!$DT$6:$ED$57,卡牌消耗!AT884,AN884)*INDEX(卡牌消耗!$B$5:$F$5,AR884)/$Q$4/5,0)*5</f>
        <v>10</v>
      </c>
      <c r="AY884" s="14" t="str">
        <f>IF(AO884&gt;0,INDEX(挂机升级突破!$DT$4:$ED$4,AO884),"")</f>
        <v>灵玉</v>
      </c>
      <c r="AZ884" s="14">
        <f>IF(AO884&gt;0,ROUND(INDEX(挂机升级突破!$DT$6:$ED$57,卡牌消耗!AT884,AO884)*INDEX(卡牌消耗!$B$7:$F$7,AR884)/$Q$4,0),"")</f>
        <v>2</v>
      </c>
    </row>
    <row r="885" spans="37:52" ht="16.5" x14ac:dyDescent="0.2">
      <c r="AK885" s="104">
        <v>881</v>
      </c>
      <c r="AL885" s="14">
        <f t="shared" si="410"/>
        <v>17</v>
      </c>
      <c r="AM885" s="14">
        <f>INDEX(挂机升级突破!DQ$6:DQ$57,卡牌消耗!$AT885)</f>
        <v>11</v>
      </c>
      <c r="AN885" s="14">
        <f>INDEX(挂机升级突破!DR$6:DR$57,卡牌消耗!$AT885)</f>
        <v>5</v>
      </c>
      <c r="AO885" s="14">
        <f>INDEX(挂机升级突破!DS$6:DS$57,卡牌消耗!$AT885)</f>
        <v>10</v>
      </c>
      <c r="AP885" s="14">
        <f>INDEX(挂机升级突破!$DP$6:$DP$57,卡牌消耗!AT885)</f>
        <v>140</v>
      </c>
      <c r="AQ885" s="14" t="str">
        <f t="shared" si="411"/>
        <v>飞廉</v>
      </c>
      <c r="AR885" s="14">
        <f t="shared" si="412"/>
        <v>3</v>
      </c>
      <c r="AS885" s="14" t="str">
        <f t="shared" si="413"/>
        <v>飞廉魂火-49</v>
      </c>
      <c r="AT885" s="14">
        <f t="shared" si="414"/>
        <v>49</v>
      </c>
      <c r="AU885" s="14" t="str">
        <f>IF(AM885&gt;0,INDEX(挂机升级突破!$DT$4:$ED$4,AM885),"")</f>
        <v>金币</v>
      </c>
      <c r="AV885" s="14">
        <f>ROUND(INDEX(挂机升级突破!$DJ$6:$DJ$57,卡牌消耗!AT885)*INDEX(卡牌消耗!$B$8:$F$8,AR885)/$Q$4/50,0)*50</f>
        <v>82050</v>
      </c>
      <c r="AW885" s="14" t="str">
        <f>IF(AN885&gt;0,INDEX(挂机升级突破!$DT$4:$ED$4,AN885),"")</f>
        <v>红色基础材料</v>
      </c>
      <c r="AX885" s="14">
        <f>ROUND(INDEX(挂机升级突破!$DT$6:$ED$57,卡牌消耗!AT885,AN885)*INDEX(卡牌消耗!$B$5:$F$5,AR885)/$Q$4/5,0)*5</f>
        <v>15</v>
      </c>
      <c r="AY885" s="14" t="str">
        <f>IF(AO885&gt;0,INDEX(挂机升级突破!$DT$4:$ED$4,AO885),"")</f>
        <v>灵玉</v>
      </c>
      <c r="AZ885" s="14">
        <f>IF(AO885&gt;0,ROUND(INDEX(挂机升级突破!$DT$6:$ED$57,卡牌消耗!AT885,AO885)*INDEX(卡牌消耗!$B$7:$F$7,AR885)/$Q$4,0),"")</f>
        <v>2</v>
      </c>
    </row>
    <row r="886" spans="37:52" ht="16.5" x14ac:dyDescent="0.2">
      <c r="AK886" s="104">
        <v>882</v>
      </c>
      <c r="AL886" s="14">
        <f t="shared" si="410"/>
        <v>17</v>
      </c>
      <c r="AM886" s="14">
        <f>INDEX(挂机升级突破!DQ$6:DQ$57,卡牌消耗!$AT886)</f>
        <v>11</v>
      </c>
      <c r="AN886" s="14">
        <f>INDEX(挂机升级突破!DR$6:DR$57,卡牌消耗!$AT886)</f>
        <v>5</v>
      </c>
      <c r="AO886" s="14">
        <f>INDEX(挂机升级突破!DS$6:DS$57,卡牌消耗!$AT886)</f>
        <v>10</v>
      </c>
      <c r="AP886" s="14">
        <f>INDEX(挂机升级突破!$DP$6:$DP$57,卡牌消耗!AT886)</f>
        <v>143</v>
      </c>
      <c r="AQ886" s="14" t="str">
        <f t="shared" si="411"/>
        <v>飞廉</v>
      </c>
      <c r="AR886" s="14">
        <f t="shared" si="412"/>
        <v>3</v>
      </c>
      <c r="AS886" s="14" t="str">
        <f t="shared" si="413"/>
        <v>飞廉魂火-50</v>
      </c>
      <c r="AT886" s="14">
        <f t="shared" si="414"/>
        <v>50</v>
      </c>
      <c r="AU886" s="14" t="str">
        <f>IF(AM886&gt;0,INDEX(挂机升级突破!$DT$4:$ED$4,AM886),"")</f>
        <v>金币</v>
      </c>
      <c r="AV886" s="14">
        <f>ROUND(INDEX(挂机升级突破!$DJ$6:$DJ$57,卡牌消耗!AT886)*INDEX(卡牌消耗!$B$8:$F$8,AR886)/$Q$4/50,0)*50</f>
        <v>136750</v>
      </c>
      <c r="AW886" s="14" t="str">
        <f>IF(AN886&gt;0,INDEX(挂机升级突破!$DT$4:$ED$4,AN886),"")</f>
        <v>红色基础材料</v>
      </c>
      <c r="AX886" s="14">
        <f>ROUND(INDEX(挂机升级突破!$DT$6:$ED$57,卡牌消耗!AT886,AN886)*INDEX(卡牌消耗!$B$5:$F$5,AR886)/$Q$4/5,0)*5</f>
        <v>15</v>
      </c>
      <c r="AY886" s="14" t="str">
        <f>IF(AO886&gt;0,INDEX(挂机升级突破!$DT$4:$ED$4,AO886),"")</f>
        <v>灵玉</v>
      </c>
      <c r="AZ886" s="14">
        <f>IF(AO886&gt;0,ROUND(INDEX(挂机升级突破!$DT$6:$ED$57,卡牌消耗!AT886,AO886)*INDEX(卡牌消耗!$B$7:$F$7,AR886)/$Q$4,0),"")</f>
        <v>2</v>
      </c>
    </row>
    <row r="887" spans="37:52" ht="16.5" x14ac:dyDescent="0.2">
      <c r="AK887" s="104">
        <v>883</v>
      </c>
      <c r="AL887" s="14">
        <f t="shared" si="410"/>
        <v>17</v>
      </c>
      <c r="AM887" s="14">
        <f>INDEX(挂机升级突破!DQ$6:DQ$57,卡牌消耗!$AT887)</f>
        <v>11</v>
      </c>
      <c r="AN887" s="14">
        <f>INDEX(挂机升级突破!DR$6:DR$57,卡牌消耗!$AT887)</f>
        <v>5</v>
      </c>
      <c r="AO887" s="14">
        <f>INDEX(挂机升级突破!DS$6:DS$57,卡牌消耗!$AT887)</f>
        <v>10</v>
      </c>
      <c r="AP887" s="14">
        <f>INDEX(挂机升级突破!$DP$6:$DP$57,卡牌消耗!AT887)</f>
        <v>145</v>
      </c>
      <c r="AQ887" s="14" t="str">
        <f t="shared" si="411"/>
        <v>飞廉</v>
      </c>
      <c r="AR887" s="14">
        <f t="shared" si="412"/>
        <v>3</v>
      </c>
      <c r="AS887" s="14" t="str">
        <f t="shared" si="413"/>
        <v>飞廉魂火-51</v>
      </c>
      <c r="AT887" s="14">
        <f t="shared" si="414"/>
        <v>51</v>
      </c>
      <c r="AU887" s="14" t="str">
        <f>IF(AM887&gt;0,INDEX(挂机升级突破!$DT$4:$ED$4,AM887),"")</f>
        <v>金币</v>
      </c>
      <c r="AV887" s="14">
        <f>ROUND(INDEX(挂机升级突破!$DJ$6:$DJ$57,卡牌消耗!AT887)*INDEX(卡牌消耗!$B$8:$F$8,AR887)/$Q$4/50,0)*50</f>
        <v>150450</v>
      </c>
      <c r="AW887" s="14" t="str">
        <f>IF(AN887&gt;0,INDEX(挂机升级突破!$DT$4:$ED$4,AN887),"")</f>
        <v>红色基础材料</v>
      </c>
      <c r="AX887" s="14">
        <f>ROUND(INDEX(挂机升级突破!$DT$6:$ED$57,卡牌消耗!AT887,AN887)*INDEX(卡牌消耗!$B$5:$F$5,AR887)/$Q$4/5,0)*5</f>
        <v>15</v>
      </c>
      <c r="AY887" s="14" t="str">
        <f>IF(AO887&gt;0,INDEX(挂机升级突破!$DT$4:$ED$4,AO887),"")</f>
        <v>灵玉</v>
      </c>
      <c r="AZ887" s="14">
        <f>IF(AO887&gt;0,ROUND(INDEX(挂机升级突破!$DT$6:$ED$57,卡牌消耗!AT887,AO887)*INDEX(卡牌消耗!$B$7:$F$7,AR887)/$Q$4,0),"")</f>
        <v>2</v>
      </c>
    </row>
    <row r="888" spans="37:52" ht="16.5" x14ac:dyDescent="0.2">
      <c r="AK888" s="104">
        <v>884</v>
      </c>
      <c r="AL888" s="14">
        <f t="shared" si="410"/>
        <v>17</v>
      </c>
      <c r="AM888" s="14">
        <f>INDEX(挂机升级突破!DQ$6:DQ$57,卡牌消耗!$AT888)</f>
        <v>11</v>
      </c>
      <c r="AN888" s="14">
        <f>INDEX(挂机升级突破!DR$6:DR$57,卡牌消耗!$AT888)</f>
        <v>5</v>
      </c>
      <c r="AO888" s="14">
        <f>INDEX(挂机升级突破!DS$6:DS$57,卡牌消耗!$AT888)</f>
        <v>10</v>
      </c>
      <c r="AP888" s="14">
        <f>INDEX(挂机升级突破!$DP$6:$DP$57,卡牌消耗!AT888)</f>
        <v>148</v>
      </c>
      <c r="AQ888" s="14" t="str">
        <f t="shared" si="411"/>
        <v>飞廉</v>
      </c>
      <c r="AR888" s="14">
        <f t="shared" si="412"/>
        <v>3</v>
      </c>
      <c r="AS888" s="14" t="str">
        <f t="shared" si="413"/>
        <v>飞廉魂火-52</v>
      </c>
      <c r="AT888" s="14">
        <f t="shared" si="414"/>
        <v>52</v>
      </c>
      <c r="AU888" s="14" t="str">
        <f>IF(AM888&gt;0,INDEX(挂机升级突破!$DT$4:$ED$4,AM888),"")</f>
        <v>金币</v>
      </c>
      <c r="AV888" s="14">
        <f>ROUND(INDEX(挂机升级突破!$DJ$6:$DJ$57,卡牌消耗!AT888)*INDEX(卡牌消耗!$B$8:$F$8,AR888)/$Q$4/50,0)*50</f>
        <v>150450</v>
      </c>
      <c r="AW888" s="14" t="str">
        <f>IF(AN888&gt;0,INDEX(挂机升级突破!$DT$4:$ED$4,AN888),"")</f>
        <v>红色基础材料</v>
      </c>
      <c r="AX888" s="14">
        <f>ROUND(INDEX(挂机升级突破!$DT$6:$ED$57,卡牌消耗!AT888,AN888)*INDEX(卡牌消耗!$B$5:$F$5,AR888)/$Q$4/5,0)*5</f>
        <v>15</v>
      </c>
      <c r="AY888" s="14" t="str">
        <f>IF(AO888&gt;0,INDEX(挂机升级突破!$DT$4:$ED$4,AO888),"")</f>
        <v>灵玉</v>
      </c>
      <c r="AZ888" s="14">
        <f>IF(AO888&gt;0,ROUND(INDEX(挂机升级突破!$DT$6:$ED$57,卡牌消耗!AT888,AO888)*INDEX(卡牌消耗!$B$7:$F$7,AR888)/$Q$4,0),"")</f>
        <v>2</v>
      </c>
    </row>
    <row r="889" spans="37:52" ht="16.5" x14ac:dyDescent="0.2">
      <c r="AK889" s="104">
        <v>885</v>
      </c>
      <c r="AL889" s="14">
        <f t="shared" si="410"/>
        <v>18</v>
      </c>
      <c r="AM889" s="14">
        <f>INDEX(挂机升级突破!DQ$6:DQ$57,卡牌消耗!$AT889)</f>
        <v>11</v>
      </c>
      <c r="AN889" s="14">
        <f>INDEX(挂机升级突破!DR$6:DR$57,卡牌消耗!$AT889)</f>
        <v>1</v>
      </c>
      <c r="AO889" s="14">
        <f>INDEX(挂机升级突破!DS$6:DS$57,卡牌消耗!$AT889)</f>
        <v>0</v>
      </c>
      <c r="AP889" s="14">
        <f>INDEX(挂机升级突破!$DP$6:$DP$57,卡牌消耗!AT889)</f>
        <v>3</v>
      </c>
      <c r="AQ889" s="14" t="str">
        <f t="shared" si="411"/>
        <v>噬日</v>
      </c>
      <c r="AR889" s="14">
        <f t="shared" si="412"/>
        <v>2</v>
      </c>
      <c r="AS889" s="14" t="str">
        <f t="shared" si="413"/>
        <v>噬日魂火-1</v>
      </c>
      <c r="AT889" s="14">
        <f t="shared" si="414"/>
        <v>1</v>
      </c>
      <c r="AU889" s="14" t="str">
        <f>IF(AM889&gt;0,INDEX(挂机升级突破!$DT$4:$ED$4,AM889),"")</f>
        <v>金币</v>
      </c>
      <c r="AV889" s="14">
        <f>ROUND(INDEX(挂机升级突破!$DJ$6:$DJ$57,卡牌消耗!AT889)*INDEX(卡牌消耗!$B$8:$F$8,AR889)/$Q$4/50,0)*50</f>
        <v>600</v>
      </c>
      <c r="AW889" s="14" t="str">
        <f>IF(AN889&gt;0,INDEX(挂机升级突破!$DT$4:$ED$4,AN889),"")</f>
        <v>绿色基础材料</v>
      </c>
      <c r="AX889" s="14">
        <f>ROUND(INDEX(挂机升级突破!$DT$6:$ED$57,卡牌消耗!AT889,AN889)*INDEX(卡牌消耗!$B$5:$F$5,AR889)/$Q$4/5,0)*5</f>
        <v>20</v>
      </c>
      <c r="AY889" s="14" t="str">
        <f>IF(AO889&gt;0,INDEX(挂机升级突破!$DT$4:$ED$4,AO889),"")</f>
        <v/>
      </c>
      <c r="AZ889" s="14" t="str">
        <f>IF(AO889&gt;0,ROUND(INDEX(挂机升级突破!$DT$6:$ED$57,卡牌消耗!AT889,AO889)*INDEX(卡牌消耗!$B$7:$F$7,AR889)/$Q$4,0),"")</f>
        <v/>
      </c>
    </row>
    <row r="890" spans="37:52" ht="16.5" x14ac:dyDescent="0.2">
      <c r="AK890" s="104">
        <v>886</v>
      </c>
      <c r="AL890" s="14">
        <f t="shared" si="410"/>
        <v>18</v>
      </c>
      <c r="AM890" s="14">
        <f>INDEX(挂机升级突破!DQ$6:DQ$57,卡牌消耗!$AT890)</f>
        <v>11</v>
      </c>
      <c r="AN890" s="14">
        <f>INDEX(挂机升级突破!DR$6:DR$57,卡牌消耗!$AT890)</f>
        <v>1</v>
      </c>
      <c r="AO890" s="14">
        <f>INDEX(挂机升级突破!DS$6:DS$57,卡牌消耗!$AT890)</f>
        <v>0</v>
      </c>
      <c r="AP890" s="14">
        <f>INDEX(挂机升级突破!$DP$6:$DP$57,卡牌消耗!AT890)</f>
        <v>8</v>
      </c>
      <c r="AQ890" s="14" t="str">
        <f t="shared" si="411"/>
        <v>噬日</v>
      </c>
      <c r="AR890" s="14">
        <f t="shared" si="412"/>
        <v>2</v>
      </c>
      <c r="AS890" s="14" t="str">
        <f t="shared" si="413"/>
        <v>噬日魂火-2</v>
      </c>
      <c r="AT890" s="14">
        <f t="shared" si="414"/>
        <v>2</v>
      </c>
      <c r="AU890" s="14" t="str">
        <f>IF(AM890&gt;0,INDEX(挂机升级突破!$DT$4:$ED$4,AM890),"")</f>
        <v>金币</v>
      </c>
      <c r="AV890" s="14">
        <f>ROUND(INDEX(挂机升级突破!$DJ$6:$DJ$57,卡牌消耗!AT890)*INDEX(卡牌消耗!$B$8:$F$8,AR890)/$Q$4/50,0)*50</f>
        <v>750</v>
      </c>
      <c r="AW890" s="14" t="str">
        <f>IF(AN890&gt;0,INDEX(挂机升级突破!$DT$4:$ED$4,AN890),"")</f>
        <v>绿色基础材料</v>
      </c>
      <c r="AX890" s="14">
        <f>ROUND(INDEX(挂机升级突破!$DT$6:$ED$57,卡牌消耗!AT890,AN890)*INDEX(卡牌消耗!$B$5:$F$5,AR890)/$Q$4/5,0)*5</f>
        <v>70</v>
      </c>
      <c r="AY890" s="14" t="str">
        <f>IF(AO890&gt;0,INDEX(挂机升级突破!$DT$4:$ED$4,AO890),"")</f>
        <v/>
      </c>
      <c r="AZ890" s="14" t="str">
        <f>IF(AO890&gt;0,ROUND(INDEX(挂机升级突破!$DT$6:$ED$57,卡牌消耗!AT890,AO890)*INDEX(卡牌消耗!$B$7:$F$7,AR890)/$Q$4,0),"")</f>
        <v/>
      </c>
    </row>
    <row r="891" spans="37:52" ht="16.5" x14ac:dyDescent="0.2">
      <c r="AK891" s="104">
        <v>887</v>
      </c>
      <c r="AL891" s="14">
        <f t="shared" si="410"/>
        <v>18</v>
      </c>
      <c r="AM891" s="14">
        <f>INDEX(挂机升级突破!DQ$6:DQ$57,卡牌消耗!$AT891)</f>
        <v>11</v>
      </c>
      <c r="AN891" s="14">
        <f>INDEX(挂机升级突破!DR$6:DR$57,卡牌消耗!$AT891)</f>
        <v>1</v>
      </c>
      <c r="AO891" s="14">
        <f>INDEX(挂机升级突破!DS$6:DS$57,卡牌消耗!$AT891)</f>
        <v>0</v>
      </c>
      <c r="AP891" s="14">
        <f>INDEX(挂机升级突破!$DP$6:$DP$57,卡牌消耗!AT891)</f>
        <v>13</v>
      </c>
      <c r="AQ891" s="14" t="str">
        <f t="shared" si="411"/>
        <v>噬日</v>
      </c>
      <c r="AR891" s="14">
        <f t="shared" si="412"/>
        <v>2</v>
      </c>
      <c r="AS891" s="14" t="str">
        <f t="shared" si="413"/>
        <v>噬日魂火-3</v>
      </c>
      <c r="AT891" s="14">
        <f t="shared" si="414"/>
        <v>3</v>
      </c>
      <c r="AU891" s="14" t="str">
        <f>IF(AM891&gt;0,INDEX(挂机升级突破!$DT$4:$ED$4,AM891),"")</f>
        <v>金币</v>
      </c>
      <c r="AV891" s="14">
        <f>ROUND(INDEX(挂机升级突破!$DJ$6:$DJ$57,卡牌消耗!AT891)*INDEX(卡牌消耗!$B$8:$F$8,AR891)/$Q$4/50,0)*50</f>
        <v>750</v>
      </c>
      <c r="AW891" s="14" t="str">
        <f>IF(AN891&gt;0,INDEX(挂机升级突破!$DT$4:$ED$4,AN891),"")</f>
        <v>绿色基础材料</v>
      </c>
      <c r="AX891" s="14">
        <f>ROUND(INDEX(挂机升级突破!$DT$6:$ED$57,卡牌消耗!AT891,AN891)*INDEX(卡牌消耗!$B$5:$F$5,AR891)/$Q$4/5,0)*5</f>
        <v>80</v>
      </c>
      <c r="AY891" s="14" t="str">
        <f>IF(AO891&gt;0,INDEX(挂机升级突破!$DT$4:$ED$4,AO891),"")</f>
        <v/>
      </c>
      <c r="AZ891" s="14" t="str">
        <f>IF(AO891&gt;0,ROUND(INDEX(挂机升级突破!$DT$6:$ED$57,卡牌消耗!AT891,AO891)*INDEX(卡牌消耗!$B$7:$F$7,AR891)/$Q$4,0),"")</f>
        <v/>
      </c>
    </row>
    <row r="892" spans="37:52" ht="16.5" x14ac:dyDescent="0.2">
      <c r="AK892" s="104">
        <v>888</v>
      </c>
      <c r="AL892" s="14">
        <f t="shared" si="410"/>
        <v>18</v>
      </c>
      <c r="AM892" s="14">
        <f>INDEX(挂机升级突破!DQ$6:DQ$57,卡牌消耗!$AT892)</f>
        <v>11</v>
      </c>
      <c r="AN892" s="14">
        <f>INDEX(挂机升级突破!DR$6:DR$57,卡牌消耗!$AT892)</f>
        <v>1</v>
      </c>
      <c r="AO892" s="14">
        <f>INDEX(挂机升级突破!DS$6:DS$57,卡牌消耗!$AT892)</f>
        <v>0</v>
      </c>
      <c r="AP892" s="14">
        <f>INDEX(挂机升级突破!$DP$6:$DP$57,卡牌消耗!AT892)</f>
        <v>18</v>
      </c>
      <c r="AQ892" s="14" t="str">
        <f t="shared" si="411"/>
        <v>噬日</v>
      </c>
      <c r="AR892" s="14">
        <f t="shared" si="412"/>
        <v>2</v>
      </c>
      <c r="AS892" s="14" t="str">
        <f t="shared" si="413"/>
        <v>噬日魂火-4</v>
      </c>
      <c r="AT892" s="14">
        <f t="shared" si="414"/>
        <v>4</v>
      </c>
      <c r="AU892" s="14" t="str">
        <f>IF(AM892&gt;0,INDEX(挂机升级突破!$DT$4:$ED$4,AM892),"")</f>
        <v>金币</v>
      </c>
      <c r="AV892" s="14">
        <f>ROUND(INDEX(挂机升级突破!$DJ$6:$DJ$57,卡牌消耗!AT892)*INDEX(卡牌消耗!$B$8:$F$8,AR892)/$Q$4/50,0)*50</f>
        <v>750</v>
      </c>
      <c r="AW892" s="14" t="str">
        <f>IF(AN892&gt;0,INDEX(挂机升级突破!$DT$4:$ED$4,AN892),"")</f>
        <v>绿色基础材料</v>
      </c>
      <c r="AX892" s="14">
        <f>ROUND(INDEX(挂机升级突破!$DT$6:$ED$57,卡牌消耗!AT892,AN892)*INDEX(卡牌消耗!$B$5:$F$5,AR892)/$Q$4/5,0)*5</f>
        <v>115</v>
      </c>
      <c r="AY892" s="14" t="str">
        <f>IF(AO892&gt;0,INDEX(挂机升级突破!$DT$4:$ED$4,AO892),"")</f>
        <v/>
      </c>
      <c r="AZ892" s="14" t="str">
        <f>IF(AO892&gt;0,ROUND(INDEX(挂机升级突破!$DT$6:$ED$57,卡牌消耗!AT892,AO892)*INDEX(卡牌消耗!$B$7:$F$7,AR892)/$Q$4,0),"")</f>
        <v/>
      </c>
    </row>
    <row r="893" spans="37:52" ht="16.5" x14ac:dyDescent="0.2">
      <c r="AK893" s="104">
        <v>889</v>
      </c>
      <c r="AL893" s="14">
        <f t="shared" si="410"/>
        <v>18</v>
      </c>
      <c r="AM893" s="14">
        <f>INDEX(挂机升级突破!DQ$6:DQ$57,卡牌消耗!$AT893)</f>
        <v>11</v>
      </c>
      <c r="AN893" s="14">
        <f>INDEX(挂机升级突破!DR$6:DR$57,卡牌消耗!$AT893)</f>
        <v>1</v>
      </c>
      <c r="AO893" s="14">
        <f>INDEX(挂机升级突破!DS$6:DS$57,卡牌消耗!$AT893)</f>
        <v>0</v>
      </c>
      <c r="AP893" s="14">
        <f>INDEX(挂机升级突破!$DP$6:$DP$57,卡牌消耗!AT893)</f>
        <v>23</v>
      </c>
      <c r="AQ893" s="14" t="str">
        <f t="shared" si="411"/>
        <v>噬日</v>
      </c>
      <c r="AR893" s="14">
        <f t="shared" si="412"/>
        <v>2</v>
      </c>
      <c r="AS893" s="14" t="str">
        <f t="shared" si="413"/>
        <v>噬日魂火-5</v>
      </c>
      <c r="AT893" s="14">
        <f t="shared" si="414"/>
        <v>5</v>
      </c>
      <c r="AU893" s="14" t="str">
        <f>IF(AM893&gt;0,INDEX(挂机升级突破!$DT$4:$ED$4,AM893),"")</f>
        <v>金币</v>
      </c>
      <c r="AV893" s="14">
        <f>ROUND(INDEX(挂机升级突破!$DJ$6:$DJ$57,卡牌消耗!AT893)*INDEX(卡牌消耗!$B$8:$F$8,AR893)/$Q$4/50,0)*50</f>
        <v>750</v>
      </c>
      <c r="AW893" s="14" t="str">
        <f>IF(AN893&gt;0,INDEX(挂机升级突破!$DT$4:$ED$4,AN893),"")</f>
        <v>绿色基础材料</v>
      </c>
      <c r="AX893" s="14">
        <f>ROUND(INDEX(挂机升级突破!$DT$6:$ED$57,卡牌消耗!AT893,AN893)*INDEX(卡牌消耗!$B$5:$F$5,AR893)/$Q$4/5,0)*5</f>
        <v>125</v>
      </c>
      <c r="AY893" s="14" t="str">
        <f>IF(AO893&gt;0,INDEX(挂机升级突破!$DT$4:$ED$4,AO893),"")</f>
        <v/>
      </c>
      <c r="AZ893" s="14" t="str">
        <f>IF(AO893&gt;0,ROUND(INDEX(挂机升级突破!$DT$6:$ED$57,卡牌消耗!AT893,AO893)*INDEX(卡牌消耗!$B$7:$F$7,AR893)/$Q$4,0),"")</f>
        <v/>
      </c>
    </row>
    <row r="894" spans="37:52" ht="16.5" x14ac:dyDescent="0.2">
      <c r="AK894" s="104">
        <v>890</v>
      </c>
      <c r="AL894" s="14">
        <f t="shared" si="410"/>
        <v>18</v>
      </c>
      <c r="AM894" s="14">
        <f>INDEX(挂机升级突破!DQ$6:DQ$57,卡牌消耗!$AT894)</f>
        <v>11</v>
      </c>
      <c r="AN894" s="14">
        <f>INDEX(挂机升级突破!DR$6:DR$57,卡牌消耗!$AT894)</f>
        <v>2</v>
      </c>
      <c r="AO894" s="14">
        <f>INDEX(挂机升级突破!DS$6:DS$57,卡牌消耗!$AT894)</f>
        <v>0</v>
      </c>
      <c r="AP894" s="14">
        <f>INDEX(挂机升级突破!$DP$6:$DP$57,卡牌消耗!AT894)</f>
        <v>28</v>
      </c>
      <c r="AQ894" s="14" t="str">
        <f t="shared" si="411"/>
        <v>噬日</v>
      </c>
      <c r="AR894" s="14">
        <f t="shared" si="412"/>
        <v>2</v>
      </c>
      <c r="AS894" s="14" t="str">
        <f t="shared" si="413"/>
        <v>噬日魂火-6</v>
      </c>
      <c r="AT894" s="14">
        <f t="shared" si="414"/>
        <v>6</v>
      </c>
      <c r="AU894" s="14" t="str">
        <f>IF(AM894&gt;0,INDEX(挂机升级突破!$DT$4:$ED$4,AM894),"")</f>
        <v>金币</v>
      </c>
      <c r="AV894" s="14">
        <f>ROUND(INDEX(挂机升级突破!$DJ$6:$DJ$57,卡牌消耗!AT894)*INDEX(卡牌消耗!$B$8:$F$8,AR894)/$Q$4/50,0)*50</f>
        <v>900</v>
      </c>
      <c r="AW894" s="14" t="str">
        <f>IF(AN894&gt;0,INDEX(挂机升级突破!$DT$4:$ED$4,AN894),"")</f>
        <v>蓝色基础材料</v>
      </c>
      <c r="AX894" s="14">
        <f>ROUND(INDEX(挂机升级突破!$DT$6:$ED$57,卡牌消耗!AT894,AN894)*INDEX(卡牌消耗!$B$5:$F$5,AR894)/$Q$4/5,0)*5</f>
        <v>25</v>
      </c>
      <c r="AY894" s="14" t="str">
        <f>IF(AO894&gt;0,INDEX(挂机升级突破!$DT$4:$ED$4,AO894),"")</f>
        <v/>
      </c>
      <c r="AZ894" s="14" t="str">
        <f>IF(AO894&gt;0,ROUND(INDEX(挂机升级突破!$DT$6:$ED$57,卡牌消耗!AT894,AO894)*INDEX(卡牌消耗!$B$7:$F$7,AR894)/$Q$4,0),"")</f>
        <v/>
      </c>
    </row>
    <row r="895" spans="37:52" ht="16.5" x14ac:dyDescent="0.2">
      <c r="AK895" s="104">
        <v>891</v>
      </c>
      <c r="AL895" s="14">
        <f t="shared" si="410"/>
        <v>18</v>
      </c>
      <c r="AM895" s="14">
        <f>INDEX(挂机升级突破!DQ$6:DQ$57,卡牌消耗!$AT895)</f>
        <v>11</v>
      </c>
      <c r="AN895" s="14">
        <f>INDEX(挂机升级突破!DR$6:DR$57,卡牌消耗!$AT895)</f>
        <v>2</v>
      </c>
      <c r="AO895" s="14">
        <f>INDEX(挂机升级突破!DS$6:DS$57,卡牌消耗!$AT895)</f>
        <v>0</v>
      </c>
      <c r="AP895" s="14">
        <f>INDEX(挂机升级突破!$DP$6:$DP$57,卡牌消耗!AT895)</f>
        <v>33</v>
      </c>
      <c r="AQ895" s="14" t="str">
        <f t="shared" si="411"/>
        <v>噬日</v>
      </c>
      <c r="AR895" s="14">
        <f t="shared" si="412"/>
        <v>2</v>
      </c>
      <c r="AS895" s="14" t="str">
        <f t="shared" si="413"/>
        <v>噬日魂火-7</v>
      </c>
      <c r="AT895" s="14">
        <f t="shared" si="414"/>
        <v>7</v>
      </c>
      <c r="AU895" s="14" t="str">
        <f>IF(AM895&gt;0,INDEX(挂机升级突破!$DT$4:$ED$4,AM895),"")</f>
        <v>金币</v>
      </c>
      <c r="AV895" s="14">
        <f>ROUND(INDEX(挂机升级突破!$DJ$6:$DJ$57,卡牌消耗!AT895)*INDEX(卡牌消耗!$B$8:$F$8,AR895)/$Q$4/50,0)*50</f>
        <v>900</v>
      </c>
      <c r="AW895" s="14" t="str">
        <f>IF(AN895&gt;0,INDEX(挂机升级突破!$DT$4:$ED$4,AN895),"")</f>
        <v>蓝色基础材料</v>
      </c>
      <c r="AX895" s="14">
        <f>ROUND(INDEX(挂机升级突破!$DT$6:$ED$57,卡牌消耗!AT895,AN895)*INDEX(卡牌消耗!$B$5:$F$5,AR895)/$Q$4/5,0)*5</f>
        <v>25</v>
      </c>
      <c r="AY895" s="14" t="str">
        <f>IF(AO895&gt;0,INDEX(挂机升级突破!$DT$4:$ED$4,AO895),"")</f>
        <v/>
      </c>
      <c r="AZ895" s="14" t="str">
        <f>IF(AO895&gt;0,ROUND(INDEX(挂机升级突破!$DT$6:$ED$57,卡牌消耗!AT895,AO895)*INDEX(卡牌消耗!$B$7:$F$7,AR895)/$Q$4,0),"")</f>
        <v/>
      </c>
    </row>
    <row r="896" spans="37:52" ht="16.5" x14ac:dyDescent="0.2">
      <c r="AK896" s="104">
        <v>892</v>
      </c>
      <c r="AL896" s="14">
        <f t="shared" si="410"/>
        <v>18</v>
      </c>
      <c r="AM896" s="14">
        <f>INDEX(挂机升级突破!DQ$6:DQ$57,卡牌消耗!$AT896)</f>
        <v>11</v>
      </c>
      <c r="AN896" s="14">
        <f>INDEX(挂机升级突破!DR$6:DR$57,卡牌消耗!$AT896)</f>
        <v>2</v>
      </c>
      <c r="AO896" s="14">
        <f>INDEX(挂机升级突破!DS$6:DS$57,卡牌消耗!$AT896)</f>
        <v>0</v>
      </c>
      <c r="AP896" s="14">
        <f>INDEX(挂机升级突破!$DP$6:$DP$57,卡牌消耗!AT896)</f>
        <v>38</v>
      </c>
      <c r="AQ896" s="14" t="str">
        <f t="shared" si="411"/>
        <v>噬日</v>
      </c>
      <c r="AR896" s="14">
        <f t="shared" si="412"/>
        <v>2</v>
      </c>
      <c r="AS896" s="14" t="str">
        <f t="shared" si="413"/>
        <v>噬日魂火-8</v>
      </c>
      <c r="AT896" s="14">
        <f t="shared" si="414"/>
        <v>8</v>
      </c>
      <c r="AU896" s="14" t="str">
        <f>IF(AM896&gt;0,INDEX(挂机升级突破!$DT$4:$ED$4,AM896),"")</f>
        <v>金币</v>
      </c>
      <c r="AV896" s="14">
        <f>ROUND(INDEX(挂机升级突破!$DJ$6:$DJ$57,卡牌消耗!AT896)*INDEX(卡牌消耗!$B$8:$F$8,AR896)/$Q$4/50,0)*50</f>
        <v>1350</v>
      </c>
      <c r="AW896" s="14" t="str">
        <f>IF(AN896&gt;0,INDEX(挂机升级突破!$DT$4:$ED$4,AN896),"")</f>
        <v>蓝色基础材料</v>
      </c>
      <c r="AX896" s="14">
        <f>ROUND(INDEX(挂机升级突破!$DT$6:$ED$57,卡牌消耗!AT896,AN896)*INDEX(卡牌消耗!$B$5:$F$5,AR896)/$Q$4/5,0)*5</f>
        <v>45</v>
      </c>
      <c r="AY896" s="14" t="str">
        <f>IF(AO896&gt;0,INDEX(挂机升级突破!$DT$4:$ED$4,AO896),"")</f>
        <v/>
      </c>
      <c r="AZ896" s="14" t="str">
        <f>IF(AO896&gt;0,ROUND(INDEX(挂机升级突破!$DT$6:$ED$57,卡牌消耗!AT896,AO896)*INDEX(卡牌消耗!$B$7:$F$7,AR896)/$Q$4,0),"")</f>
        <v/>
      </c>
    </row>
    <row r="897" spans="37:52" ht="16.5" x14ac:dyDescent="0.2">
      <c r="AK897" s="104">
        <v>893</v>
      </c>
      <c r="AL897" s="14">
        <f t="shared" si="410"/>
        <v>18</v>
      </c>
      <c r="AM897" s="14">
        <f>INDEX(挂机升级突破!DQ$6:DQ$57,卡牌消耗!$AT897)</f>
        <v>11</v>
      </c>
      <c r="AN897" s="14">
        <f>INDEX(挂机升级突破!DR$6:DR$57,卡牌消耗!$AT897)</f>
        <v>2</v>
      </c>
      <c r="AO897" s="14">
        <f>INDEX(挂机升级突破!DS$6:DS$57,卡牌消耗!$AT897)</f>
        <v>0</v>
      </c>
      <c r="AP897" s="14">
        <f>INDEX(挂机升级突破!$DP$6:$DP$57,卡牌消耗!AT897)</f>
        <v>40</v>
      </c>
      <c r="AQ897" s="14" t="str">
        <f t="shared" si="411"/>
        <v>噬日</v>
      </c>
      <c r="AR897" s="14">
        <f t="shared" si="412"/>
        <v>2</v>
      </c>
      <c r="AS897" s="14" t="str">
        <f t="shared" si="413"/>
        <v>噬日魂火-9</v>
      </c>
      <c r="AT897" s="14">
        <f t="shared" si="414"/>
        <v>9</v>
      </c>
      <c r="AU897" s="14" t="str">
        <f>IF(AM897&gt;0,INDEX(挂机升级突破!$DT$4:$ED$4,AM897),"")</f>
        <v>金币</v>
      </c>
      <c r="AV897" s="14">
        <f>ROUND(INDEX(挂机升级突破!$DJ$6:$DJ$57,卡牌消耗!AT897)*INDEX(卡牌消耗!$B$8:$F$8,AR897)/$Q$4/50,0)*50</f>
        <v>1350</v>
      </c>
      <c r="AW897" s="14" t="str">
        <f>IF(AN897&gt;0,INDEX(挂机升级突破!$DT$4:$ED$4,AN897),"")</f>
        <v>蓝色基础材料</v>
      </c>
      <c r="AX897" s="14">
        <f>ROUND(INDEX(挂机升级突破!$DT$6:$ED$57,卡牌消耗!AT897,AN897)*INDEX(卡牌消耗!$B$5:$F$5,AR897)/$Q$4/5,0)*5</f>
        <v>45</v>
      </c>
      <c r="AY897" s="14" t="str">
        <f>IF(AO897&gt;0,INDEX(挂机升级突破!$DT$4:$ED$4,AO897),"")</f>
        <v/>
      </c>
      <c r="AZ897" s="14" t="str">
        <f>IF(AO897&gt;0,ROUND(INDEX(挂机升级突破!$DT$6:$ED$57,卡牌消耗!AT897,AO897)*INDEX(卡牌消耗!$B$7:$F$7,AR897)/$Q$4,0),"")</f>
        <v/>
      </c>
    </row>
    <row r="898" spans="37:52" ht="16.5" x14ac:dyDescent="0.2">
      <c r="AK898" s="104">
        <v>894</v>
      </c>
      <c r="AL898" s="14">
        <f t="shared" si="410"/>
        <v>18</v>
      </c>
      <c r="AM898" s="14">
        <f>INDEX(挂机升级突破!DQ$6:DQ$57,卡牌消耗!$AT898)</f>
        <v>11</v>
      </c>
      <c r="AN898" s="14">
        <f>INDEX(挂机升级突破!DR$6:DR$57,卡牌消耗!$AT898)</f>
        <v>2</v>
      </c>
      <c r="AO898" s="14">
        <f>INDEX(挂机升级突破!DS$6:DS$57,卡牌消耗!$AT898)</f>
        <v>0</v>
      </c>
      <c r="AP898" s="14">
        <f>INDEX(挂机升级突破!$DP$6:$DP$57,卡牌消耗!AT898)</f>
        <v>43</v>
      </c>
      <c r="AQ898" s="14" t="str">
        <f t="shared" si="411"/>
        <v>噬日</v>
      </c>
      <c r="AR898" s="14">
        <f t="shared" si="412"/>
        <v>2</v>
      </c>
      <c r="AS898" s="14" t="str">
        <f t="shared" si="413"/>
        <v>噬日魂火-10</v>
      </c>
      <c r="AT898" s="14">
        <f t="shared" si="414"/>
        <v>10</v>
      </c>
      <c r="AU898" s="14" t="str">
        <f>IF(AM898&gt;0,INDEX(挂机升级突破!$DT$4:$ED$4,AM898),"")</f>
        <v>金币</v>
      </c>
      <c r="AV898" s="14">
        <f>ROUND(INDEX(挂机升级突破!$DJ$6:$DJ$57,卡牌消耗!AT898)*INDEX(卡牌消耗!$B$8:$F$8,AR898)/$Q$4/50,0)*50</f>
        <v>2250</v>
      </c>
      <c r="AW898" s="14" t="str">
        <f>IF(AN898&gt;0,INDEX(挂机升级突破!$DT$4:$ED$4,AN898),"")</f>
        <v>蓝色基础材料</v>
      </c>
      <c r="AX898" s="14">
        <f>ROUND(INDEX(挂机升级突破!$DT$6:$ED$57,卡牌消耗!AT898,AN898)*INDEX(卡牌消耗!$B$5:$F$5,AR898)/$Q$4/5,0)*5</f>
        <v>70</v>
      </c>
      <c r="AY898" s="14" t="str">
        <f>IF(AO898&gt;0,INDEX(挂机升级突破!$DT$4:$ED$4,AO898),"")</f>
        <v/>
      </c>
      <c r="AZ898" s="14" t="str">
        <f>IF(AO898&gt;0,ROUND(INDEX(挂机升级突破!$DT$6:$ED$57,卡牌消耗!AT898,AO898)*INDEX(卡牌消耗!$B$7:$F$7,AR898)/$Q$4,0),"")</f>
        <v/>
      </c>
    </row>
    <row r="899" spans="37:52" ht="16.5" x14ac:dyDescent="0.2">
      <c r="AK899" s="104">
        <v>895</v>
      </c>
      <c r="AL899" s="14">
        <f t="shared" si="410"/>
        <v>18</v>
      </c>
      <c r="AM899" s="14">
        <f>INDEX(挂机升级突破!DQ$6:DQ$57,卡牌消耗!$AT899)</f>
        <v>11</v>
      </c>
      <c r="AN899" s="14">
        <f>INDEX(挂机升级突破!DR$6:DR$57,卡牌消耗!$AT899)</f>
        <v>2</v>
      </c>
      <c r="AO899" s="14">
        <f>INDEX(挂机升级突破!DS$6:DS$57,卡牌消耗!$AT899)</f>
        <v>0</v>
      </c>
      <c r="AP899" s="14">
        <f>INDEX(挂机升级突破!$DP$6:$DP$57,卡牌消耗!AT899)</f>
        <v>45</v>
      </c>
      <c r="AQ899" s="14" t="str">
        <f t="shared" si="411"/>
        <v>噬日</v>
      </c>
      <c r="AR899" s="14">
        <f t="shared" si="412"/>
        <v>2</v>
      </c>
      <c r="AS899" s="14" t="str">
        <f t="shared" si="413"/>
        <v>噬日魂火-11</v>
      </c>
      <c r="AT899" s="14">
        <f t="shared" si="414"/>
        <v>11</v>
      </c>
      <c r="AU899" s="14" t="str">
        <f>IF(AM899&gt;0,INDEX(挂机升级突破!$DT$4:$ED$4,AM899),"")</f>
        <v>金币</v>
      </c>
      <c r="AV899" s="14">
        <f>ROUND(INDEX(挂机升级突破!$DJ$6:$DJ$57,卡牌消耗!AT899)*INDEX(卡牌消耗!$B$8:$F$8,AR899)/$Q$4/50,0)*50</f>
        <v>2250</v>
      </c>
      <c r="AW899" s="14" t="str">
        <f>IF(AN899&gt;0,INDEX(挂机升级突破!$DT$4:$ED$4,AN899),"")</f>
        <v>蓝色基础材料</v>
      </c>
      <c r="AX899" s="14">
        <f>ROUND(INDEX(挂机升级突破!$DT$6:$ED$57,卡牌消耗!AT899,AN899)*INDEX(卡牌消耗!$B$5:$F$5,AR899)/$Q$4/5,0)*5</f>
        <v>70</v>
      </c>
      <c r="AY899" s="14" t="str">
        <f>IF(AO899&gt;0,INDEX(挂机升级突破!$DT$4:$ED$4,AO899),"")</f>
        <v/>
      </c>
      <c r="AZ899" s="14" t="str">
        <f>IF(AO899&gt;0,ROUND(INDEX(挂机升级突破!$DT$6:$ED$57,卡牌消耗!AT899,AO899)*INDEX(卡牌消耗!$B$7:$F$7,AR899)/$Q$4,0),"")</f>
        <v/>
      </c>
    </row>
    <row r="900" spans="37:52" ht="16.5" x14ac:dyDescent="0.2">
      <c r="AK900" s="104">
        <v>896</v>
      </c>
      <c r="AL900" s="14">
        <f t="shared" si="410"/>
        <v>18</v>
      </c>
      <c r="AM900" s="14">
        <f>INDEX(挂机升级突破!DQ$6:DQ$57,卡牌消耗!$AT900)</f>
        <v>11</v>
      </c>
      <c r="AN900" s="14">
        <f>INDEX(挂机升级突破!DR$6:DR$57,卡牌消耗!$AT900)</f>
        <v>2</v>
      </c>
      <c r="AO900" s="14">
        <f>INDEX(挂机升级突破!DS$6:DS$57,卡牌消耗!$AT900)</f>
        <v>0</v>
      </c>
      <c r="AP900" s="14">
        <f>INDEX(挂机升级突破!$DP$6:$DP$57,卡牌消耗!AT900)</f>
        <v>48</v>
      </c>
      <c r="AQ900" s="14" t="str">
        <f t="shared" si="411"/>
        <v>噬日</v>
      </c>
      <c r="AR900" s="14">
        <f t="shared" si="412"/>
        <v>2</v>
      </c>
      <c r="AS900" s="14" t="str">
        <f t="shared" si="413"/>
        <v>噬日魂火-12</v>
      </c>
      <c r="AT900" s="14">
        <f t="shared" si="414"/>
        <v>12</v>
      </c>
      <c r="AU900" s="14" t="str">
        <f>IF(AM900&gt;0,INDEX(挂机升级突破!$DT$4:$ED$4,AM900),"")</f>
        <v>金币</v>
      </c>
      <c r="AV900" s="14">
        <f>ROUND(INDEX(挂机升级突破!$DJ$6:$DJ$57,卡牌消耗!AT900)*INDEX(卡牌消耗!$B$8:$F$8,AR900)/$Q$4/50,0)*50</f>
        <v>1900</v>
      </c>
      <c r="AW900" s="14" t="str">
        <f>IF(AN900&gt;0,INDEX(挂机升级突破!$DT$4:$ED$4,AN900),"")</f>
        <v>蓝色基础材料</v>
      </c>
      <c r="AX900" s="14">
        <f>ROUND(INDEX(挂机升级突破!$DT$6:$ED$57,卡牌消耗!AT900,AN900)*INDEX(卡牌消耗!$B$5:$F$5,AR900)/$Q$4/5,0)*5</f>
        <v>90</v>
      </c>
      <c r="AY900" s="14" t="str">
        <f>IF(AO900&gt;0,INDEX(挂机升级突破!$DT$4:$ED$4,AO900),"")</f>
        <v/>
      </c>
      <c r="AZ900" s="14" t="str">
        <f>IF(AO900&gt;0,ROUND(INDEX(挂机升级突破!$DT$6:$ED$57,卡牌消耗!AT900,AO900)*INDEX(卡牌消耗!$B$7:$F$7,AR900)/$Q$4,0),"")</f>
        <v/>
      </c>
    </row>
    <row r="901" spans="37:52" ht="16.5" x14ac:dyDescent="0.2">
      <c r="AK901" s="104">
        <v>897</v>
      </c>
      <c r="AL901" s="14">
        <f t="shared" si="410"/>
        <v>18</v>
      </c>
      <c r="AM901" s="14">
        <f>INDEX(挂机升级突破!DQ$6:DQ$57,卡牌消耗!$AT901)</f>
        <v>11</v>
      </c>
      <c r="AN901" s="14">
        <f>INDEX(挂机升级突破!DR$6:DR$57,卡牌消耗!$AT901)</f>
        <v>2</v>
      </c>
      <c r="AO901" s="14">
        <f>INDEX(挂机升级突破!DS$6:DS$57,卡牌消耗!$AT901)</f>
        <v>0</v>
      </c>
      <c r="AP901" s="14">
        <f>INDEX(挂机升级突破!$DP$6:$DP$57,卡牌消耗!AT901)</f>
        <v>50</v>
      </c>
      <c r="AQ901" s="14" t="str">
        <f t="shared" si="411"/>
        <v>噬日</v>
      </c>
      <c r="AR901" s="14">
        <f t="shared" si="412"/>
        <v>2</v>
      </c>
      <c r="AS901" s="14" t="str">
        <f t="shared" si="413"/>
        <v>噬日魂火-13</v>
      </c>
      <c r="AT901" s="14">
        <f t="shared" si="414"/>
        <v>13</v>
      </c>
      <c r="AU901" s="14" t="str">
        <f>IF(AM901&gt;0,INDEX(挂机升级突破!$DT$4:$ED$4,AM901),"")</f>
        <v>金币</v>
      </c>
      <c r="AV901" s="14">
        <f>ROUND(INDEX(挂机升级突破!$DJ$6:$DJ$57,卡牌消耗!AT901)*INDEX(卡牌消耗!$B$8:$F$8,AR901)/$Q$4/50,0)*50</f>
        <v>1900</v>
      </c>
      <c r="AW901" s="14" t="str">
        <f>IF(AN901&gt;0,INDEX(挂机升级突破!$DT$4:$ED$4,AN901),"")</f>
        <v>蓝色基础材料</v>
      </c>
      <c r="AX901" s="14">
        <f>ROUND(INDEX(挂机升级突破!$DT$6:$ED$57,卡牌消耗!AT901,AN901)*INDEX(卡牌消耗!$B$5:$F$5,AR901)/$Q$4/5,0)*5</f>
        <v>90</v>
      </c>
      <c r="AY901" s="14" t="str">
        <f>IF(AO901&gt;0,INDEX(挂机升级突破!$DT$4:$ED$4,AO901),"")</f>
        <v/>
      </c>
      <c r="AZ901" s="14" t="str">
        <f>IF(AO901&gt;0,ROUND(INDEX(挂机升级突破!$DT$6:$ED$57,卡牌消耗!AT901,AO901)*INDEX(卡牌消耗!$B$7:$F$7,AR901)/$Q$4,0),"")</f>
        <v/>
      </c>
    </row>
    <row r="902" spans="37:52" ht="16.5" x14ac:dyDescent="0.2">
      <c r="AK902" s="104">
        <v>898</v>
      </c>
      <c r="AL902" s="14">
        <f t="shared" ref="AL902:AL965" si="415">INT((AK902-1)/52)+1</f>
        <v>18</v>
      </c>
      <c r="AM902" s="14">
        <f>INDEX(挂机升级突破!DQ$6:DQ$57,卡牌消耗!$AT902)</f>
        <v>11</v>
      </c>
      <c r="AN902" s="14">
        <f>INDEX(挂机升级突破!DR$6:DR$57,卡牌消耗!$AT902)</f>
        <v>3</v>
      </c>
      <c r="AO902" s="14">
        <f>INDEX(挂机升级突破!DS$6:DS$57,卡牌消耗!$AT902)</f>
        <v>0</v>
      </c>
      <c r="AP902" s="14">
        <f>INDEX(挂机升级突破!$DP$6:$DP$57,卡牌消耗!AT902)</f>
        <v>53</v>
      </c>
      <c r="AQ902" s="14" t="str">
        <f t="shared" ref="AQ902:AQ965" si="416">INDEX($B$13:$B$45,AL902)</f>
        <v>噬日</v>
      </c>
      <c r="AR902" s="14">
        <f t="shared" ref="AR902:AR965" si="417">INDEX($C$13:$C$45,AL902)</f>
        <v>2</v>
      </c>
      <c r="AS902" s="14" t="str">
        <f t="shared" ref="AS902:AS965" si="418">AQ902&amp;"魂火-"&amp;AT902</f>
        <v>噬日魂火-14</v>
      </c>
      <c r="AT902" s="14">
        <f t="shared" ref="AT902:AT965" si="419">AK902-(AL902-1)*52</f>
        <v>14</v>
      </c>
      <c r="AU902" s="14" t="str">
        <f>IF(AM902&gt;0,INDEX(挂机升级突破!$DT$4:$ED$4,AM902),"")</f>
        <v>金币</v>
      </c>
      <c r="AV902" s="14">
        <f>ROUND(INDEX(挂机升级突破!$DJ$6:$DJ$57,卡牌消耗!AT902)*INDEX(卡牌消耗!$B$8:$F$8,AR902)/$Q$4/50,0)*50</f>
        <v>2100</v>
      </c>
      <c r="AW902" s="14" t="str">
        <f>IF(AN902&gt;0,INDEX(挂机升级突破!$DT$4:$ED$4,AN902),"")</f>
        <v>紫色基础材料</v>
      </c>
      <c r="AX902" s="14">
        <f>ROUND(INDEX(挂机升级突破!$DT$6:$ED$57,卡牌消耗!AT902,AN902)*INDEX(卡牌消耗!$B$5:$F$5,AR902)/$Q$4/5,0)*5</f>
        <v>20</v>
      </c>
      <c r="AY902" s="14" t="str">
        <f>IF(AO902&gt;0,INDEX(挂机升级突破!$DT$4:$ED$4,AO902),"")</f>
        <v/>
      </c>
      <c r="AZ902" s="14" t="str">
        <f>IF(AO902&gt;0,ROUND(INDEX(挂机升级突破!$DT$6:$ED$57,卡牌消耗!AT902,AO902)*INDEX(卡牌消耗!$B$7:$F$7,AR902)/$Q$4,0),"")</f>
        <v/>
      </c>
    </row>
    <row r="903" spans="37:52" ht="16.5" x14ac:dyDescent="0.2">
      <c r="AK903" s="104">
        <v>899</v>
      </c>
      <c r="AL903" s="14">
        <f t="shared" si="415"/>
        <v>18</v>
      </c>
      <c r="AM903" s="14">
        <f>INDEX(挂机升级突破!DQ$6:DQ$57,卡牌消耗!$AT903)</f>
        <v>11</v>
      </c>
      <c r="AN903" s="14">
        <f>INDEX(挂机升级突破!DR$6:DR$57,卡牌消耗!$AT903)</f>
        <v>3</v>
      </c>
      <c r="AO903" s="14">
        <f>INDEX(挂机升级突破!DS$6:DS$57,卡牌消耗!$AT903)</f>
        <v>0</v>
      </c>
      <c r="AP903" s="14">
        <f>INDEX(挂机升级突破!$DP$6:$DP$57,卡牌消耗!AT903)</f>
        <v>55</v>
      </c>
      <c r="AQ903" s="14" t="str">
        <f t="shared" si="416"/>
        <v>噬日</v>
      </c>
      <c r="AR903" s="14">
        <f t="shared" si="417"/>
        <v>2</v>
      </c>
      <c r="AS903" s="14" t="str">
        <f t="shared" si="418"/>
        <v>噬日魂火-15</v>
      </c>
      <c r="AT903" s="14">
        <f t="shared" si="419"/>
        <v>15</v>
      </c>
      <c r="AU903" s="14" t="str">
        <f>IF(AM903&gt;0,INDEX(挂机升级突破!$DT$4:$ED$4,AM903),"")</f>
        <v>金币</v>
      </c>
      <c r="AV903" s="14">
        <f>ROUND(INDEX(挂机升级突破!$DJ$6:$DJ$57,卡牌消耗!AT903)*INDEX(卡牌消耗!$B$8:$F$8,AR903)/$Q$4/50,0)*50</f>
        <v>2300</v>
      </c>
      <c r="AW903" s="14" t="str">
        <f>IF(AN903&gt;0,INDEX(挂机升级突破!$DT$4:$ED$4,AN903),"")</f>
        <v>紫色基础材料</v>
      </c>
      <c r="AX903" s="14">
        <f>ROUND(INDEX(挂机升级突破!$DT$6:$ED$57,卡牌消耗!AT903,AN903)*INDEX(卡牌消耗!$B$5:$F$5,AR903)/$Q$4/5,0)*5</f>
        <v>20</v>
      </c>
      <c r="AY903" s="14" t="str">
        <f>IF(AO903&gt;0,INDEX(挂机升级突破!$DT$4:$ED$4,AO903),"")</f>
        <v/>
      </c>
      <c r="AZ903" s="14" t="str">
        <f>IF(AO903&gt;0,ROUND(INDEX(挂机升级突破!$DT$6:$ED$57,卡牌消耗!AT903,AO903)*INDEX(卡牌消耗!$B$7:$F$7,AR903)/$Q$4,0),"")</f>
        <v/>
      </c>
    </row>
    <row r="904" spans="37:52" ht="16.5" x14ac:dyDescent="0.2">
      <c r="AK904" s="104">
        <v>900</v>
      </c>
      <c r="AL904" s="14">
        <f t="shared" si="415"/>
        <v>18</v>
      </c>
      <c r="AM904" s="14">
        <f>INDEX(挂机升级突破!DQ$6:DQ$57,卡牌消耗!$AT904)</f>
        <v>11</v>
      </c>
      <c r="AN904" s="14">
        <f>INDEX(挂机升级突破!DR$6:DR$57,卡牌消耗!$AT904)</f>
        <v>3</v>
      </c>
      <c r="AO904" s="14">
        <f>INDEX(挂机升级突破!DS$6:DS$57,卡牌消耗!$AT904)</f>
        <v>0</v>
      </c>
      <c r="AP904" s="14">
        <f>INDEX(挂机升级突破!$DP$6:$DP$57,卡牌消耗!AT904)</f>
        <v>58</v>
      </c>
      <c r="AQ904" s="14" t="str">
        <f t="shared" si="416"/>
        <v>噬日</v>
      </c>
      <c r="AR904" s="14">
        <f t="shared" si="417"/>
        <v>2</v>
      </c>
      <c r="AS904" s="14" t="str">
        <f t="shared" si="418"/>
        <v>噬日魂火-16</v>
      </c>
      <c r="AT904" s="14">
        <f t="shared" si="419"/>
        <v>16</v>
      </c>
      <c r="AU904" s="14" t="str">
        <f>IF(AM904&gt;0,INDEX(挂机升级突破!$DT$4:$ED$4,AM904),"")</f>
        <v>金币</v>
      </c>
      <c r="AV904" s="14">
        <f>ROUND(INDEX(挂机升级突破!$DJ$6:$DJ$57,卡牌消耗!AT904)*INDEX(卡牌消耗!$B$8:$F$8,AR904)/$Q$4/50,0)*50</f>
        <v>2300</v>
      </c>
      <c r="AW904" s="14" t="str">
        <f>IF(AN904&gt;0,INDEX(挂机升级突破!$DT$4:$ED$4,AN904),"")</f>
        <v>紫色基础材料</v>
      </c>
      <c r="AX904" s="14">
        <f>ROUND(INDEX(挂机升级突破!$DT$6:$ED$57,卡牌消耗!AT904,AN904)*INDEX(卡牌消耗!$B$5:$F$5,AR904)/$Q$4/5,0)*5</f>
        <v>20</v>
      </c>
      <c r="AY904" s="14" t="str">
        <f>IF(AO904&gt;0,INDEX(挂机升级突破!$DT$4:$ED$4,AO904),"")</f>
        <v/>
      </c>
      <c r="AZ904" s="14" t="str">
        <f>IF(AO904&gt;0,ROUND(INDEX(挂机升级突破!$DT$6:$ED$57,卡牌消耗!AT904,AO904)*INDEX(卡牌消耗!$B$7:$F$7,AR904)/$Q$4,0),"")</f>
        <v/>
      </c>
    </row>
    <row r="905" spans="37:52" ht="16.5" x14ac:dyDescent="0.2">
      <c r="AK905" s="104">
        <v>901</v>
      </c>
      <c r="AL905" s="14">
        <f t="shared" si="415"/>
        <v>18</v>
      </c>
      <c r="AM905" s="14">
        <f>INDEX(挂机升级突破!DQ$6:DQ$57,卡牌消耗!$AT905)</f>
        <v>11</v>
      </c>
      <c r="AN905" s="14">
        <f>INDEX(挂机升级突破!DR$6:DR$57,卡牌消耗!$AT905)</f>
        <v>3</v>
      </c>
      <c r="AO905" s="14">
        <f>INDEX(挂机升级突破!DS$6:DS$57,卡牌消耗!$AT905)</f>
        <v>0</v>
      </c>
      <c r="AP905" s="14">
        <f>INDEX(挂机升级突破!$DP$6:$DP$57,卡牌消耗!AT905)</f>
        <v>60</v>
      </c>
      <c r="AQ905" s="14" t="str">
        <f t="shared" si="416"/>
        <v>噬日</v>
      </c>
      <c r="AR905" s="14">
        <f t="shared" si="417"/>
        <v>2</v>
      </c>
      <c r="AS905" s="14" t="str">
        <f t="shared" si="418"/>
        <v>噬日魂火-17</v>
      </c>
      <c r="AT905" s="14">
        <f t="shared" si="419"/>
        <v>17</v>
      </c>
      <c r="AU905" s="14" t="str">
        <f>IF(AM905&gt;0,INDEX(挂机升级突破!$DT$4:$ED$4,AM905),"")</f>
        <v>金币</v>
      </c>
      <c r="AV905" s="14">
        <f>ROUND(INDEX(挂机升级突破!$DJ$6:$DJ$57,卡牌消耗!AT905)*INDEX(卡牌消耗!$B$8:$F$8,AR905)/$Q$4/50,0)*50</f>
        <v>2850</v>
      </c>
      <c r="AW905" s="14" t="str">
        <f>IF(AN905&gt;0,INDEX(挂机升级突破!$DT$4:$ED$4,AN905),"")</f>
        <v>紫色基础材料</v>
      </c>
      <c r="AX905" s="14">
        <f>ROUND(INDEX(挂机升级突破!$DT$6:$ED$57,卡牌消耗!AT905,AN905)*INDEX(卡牌消耗!$B$5:$F$5,AR905)/$Q$4/5,0)*5</f>
        <v>35</v>
      </c>
      <c r="AY905" s="14" t="str">
        <f>IF(AO905&gt;0,INDEX(挂机升级突破!$DT$4:$ED$4,AO905),"")</f>
        <v/>
      </c>
      <c r="AZ905" s="14" t="str">
        <f>IF(AO905&gt;0,ROUND(INDEX(挂机升级突破!$DT$6:$ED$57,卡牌消耗!AT905,AO905)*INDEX(卡牌消耗!$B$7:$F$7,AR905)/$Q$4,0),"")</f>
        <v/>
      </c>
    </row>
    <row r="906" spans="37:52" ht="16.5" x14ac:dyDescent="0.2">
      <c r="AK906" s="104">
        <v>902</v>
      </c>
      <c r="AL906" s="14">
        <f t="shared" si="415"/>
        <v>18</v>
      </c>
      <c r="AM906" s="14">
        <f>INDEX(挂机升级突破!DQ$6:DQ$57,卡牌消耗!$AT906)</f>
        <v>11</v>
      </c>
      <c r="AN906" s="14">
        <f>INDEX(挂机升级突破!DR$6:DR$57,卡牌消耗!$AT906)</f>
        <v>3</v>
      </c>
      <c r="AO906" s="14">
        <f>INDEX(挂机升级突破!DS$6:DS$57,卡牌消耗!$AT906)</f>
        <v>0</v>
      </c>
      <c r="AP906" s="14">
        <f>INDEX(挂机升级突破!$DP$6:$DP$57,卡牌消耗!AT906)</f>
        <v>63</v>
      </c>
      <c r="AQ906" s="14" t="str">
        <f t="shared" si="416"/>
        <v>噬日</v>
      </c>
      <c r="AR906" s="14">
        <f t="shared" si="417"/>
        <v>2</v>
      </c>
      <c r="AS906" s="14" t="str">
        <f t="shared" si="418"/>
        <v>噬日魂火-18</v>
      </c>
      <c r="AT906" s="14">
        <f t="shared" si="419"/>
        <v>18</v>
      </c>
      <c r="AU906" s="14" t="str">
        <f>IF(AM906&gt;0,INDEX(挂机升级突破!$DT$4:$ED$4,AM906),"")</f>
        <v>金币</v>
      </c>
      <c r="AV906" s="14">
        <f>ROUND(INDEX(挂机升级突破!$DJ$6:$DJ$57,卡牌消耗!AT906)*INDEX(卡牌消耗!$B$8:$F$8,AR906)/$Q$4/50,0)*50</f>
        <v>2850</v>
      </c>
      <c r="AW906" s="14" t="str">
        <f>IF(AN906&gt;0,INDEX(挂机升级突破!$DT$4:$ED$4,AN906),"")</f>
        <v>紫色基础材料</v>
      </c>
      <c r="AX906" s="14">
        <f>ROUND(INDEX(挂机升级突破!$DT$6:$ED$57,卡牌消耗!AT906,AN906)*INDEX(卡牌消耗!$B$5:$F$5,AR906)/$Q$4/5,0)*5</f>
        <v>35</v>
      </c>
      <c r="AY906" s="14" t="str">
        <f>IF(AO906&gt;0,INDEX(挂机升级突破!$DT$4:$ED$4,AO906),"")</f>
        <v/>
      </c>
      <c r="AZ906" s="14" t="str">
        <f>IF(AO906&gt;0,ROUND(INDEX(挂机升级突破!$DT$6:$ED$57,卡牌消耗!AT906,AO906)*INDEX(卡牌消耗!$B$7:$F$7,AR906)/$Q$4,0),"")</f>
        <v/>
      </c>
    </row>
    <row r="907" spans="37:52" ht="16.5" x14ac:dyDescent="0.2">
      <c r="AK907" s="104">
        <v>903</v>
      </c>
      <c r="AL907" s="14">
        <f t="shared" si="415"/>
        <v>18</v>
      </c>
      <c r="AM907" s="14">
        <f>INDEX(挂机升级突破!DQ$6:DQ$57,卡牌消耗!$AT907)</f>
        <v>11</v>
      </c>
      <c r="AN907" s="14">
        <f>INDEX(挂机升级突破!DR$6:DR$57,卡牌消耗!$AT907)</f>
        <v>3</v>
      </c>
      <c r="AO907" s="14">
        <f>INDEX(挂机升级突破!DS$6:DS$57,卡牌消耗!$AT907)</f>
        <v>0</v>
      </c>
      <c r="AP907" s="14">
        <f>INDEX(挂机升级突破!$DP$6:$DP$57,卡牌消耗!AT907)</f>
        <v>65</v>
      </c>
      <c r="AQ907" s="14" t="str">
        <f t="shared" si="416"/>
        <v>噬日</v>
      </c>
      <c r="AR907" s="14">
        <f t="shared" si="417"/>
        <v>2</v>
      </c>
      <c r="AS907" s="14" t="str">
        <f t="shared" si="418"/>
        <v>噬日魂火-19</v>
      </c>
      <c r="AT907" s="14">
        <f t="shared" si="419"/>
        <v>19</v>
      </c>
      <c r="AU907" s="14" t="str">
        <f>IF(AM907&gt;0,INDEX(挂机升级突破!$DT$4:$ED$4,AM907),"")</f>
        <v>金币</v>
      </c>
      <c r="AV907" s="14">
        <f>ROUND(INDEX(挂机升级突破!$DJ$6:$DJ$57,卡牌消耗!AT907)*INDEX(卡牌消耗!$B$8:$F$8,AR907)/$Q$4/50,0)*50</f>
        <v>2850</v>
      </c>
      <c r="AW907" s="14" t="str">
        <f>IF(AN907&gt;0,INDEX(挂机升级突破!$DT$4:$ED$4,AN907),"")</f>
        <v>紫色基础材料</v>
      </c>
      <c r="AX907" s="14">
        <f>ROUND(INDEX(挂机升级突破!$DT$6:$ED$57,卡牌消耗!AT907,AN907)*INDEX(卡牌消耗!$B$5:$F$5,AR907)/$Q$4/5,0)*5</f>
        <v>35</v>
      </c>
      <c r="AY907" s="14" t="str">
        <f>IF(AO907&gt;0,INDEX(挂机升级突破!$DT$4:$ED$4,AO907),"")</f>
        <v/>
      </c>
      <c r="AZ907" s="14" t="str">
        <f>IF(AO907&gt;0,ROUND(INDEX(挂机升级突破!$DT$6:$ED$57,卡牌消耗!AT907,AO907)*INDEX(卡牌消耗!$B$7:$F$7,AR907)/$Q$4,0),"")</f>
        <v/>
      </c>
    </row>
    <row r="908" spans="37:52" ht="16.5" x14ac:dyDescent="0.2">
      <c r="AK908" s="104">
        <v>904</v>
      </c>
      <c r="AL908" s="14">
        <f t="shared" si="415"/>
        <v>18</v>
      </c>
      <c r="AM908" s="14">
        <f>INDEX(挂机升级突破!DQ$6:DQ$57,卡牌消耗!$AT908)</f>
        <v>11</v>
      </c>
      <c r="AN908" s="14">
        <f>INDEX(挂机升级突破!DR$6:DR$57,卡牌消耗!$AT908)</f>
        <v>3</v>
      </c>
      <c r="AO908" s="14">
        <f>INDEX(挂机升级突破!DS$6:DS$57,卡牌消耗!$AT908)</f>
        <v>0</v>
      </c>
      <c r="AP908" s="14">
        <f>INDEX(挂机升级突破!$DP$6:$DP$57,卡牌消耗!AT908)</f>
        <v>68</v>
      </c>
      <c r="AQ908" s="14" t="str">
        <f t="shared" si="416"/>
        <v>噬日</v>
      </c>
      <c r="AR908" s="14">
        <f t="shared" si="417"/>
        <v>2</v>
      </c>
      <c r="AS908" s="14" t="str">
        <f t="shared" si="418"/>
        <v>噬日魂火-20</v>
      </c>
      <c r="AT908" s="14">
        <f t="shared" si="419"/>
        <v>20</v>
      </c>
      <c r="AU908" s="14" t="str">
        <f>IF(AM908&gt;0,INDEX(挂机升级突破!$DT$4:$ED$4,AM908),"")</f>
        <v>金币</v>
      </c>
      <c r="AV908" s="14">
        <f>ROUND(INDEX(挂机升级突破!$DJ$6:$DJ$57,卡牌消耗!AT908)*INDEX(卡牌消耗!$B$8:$F$8,AR908)/$Q$4/50,0)*50</f>
        <v>3500</v>
      </c>
      <c r="AW908" s="14" t="str">
        <f>IF(AN908&gt;0,INDEX(挂机升级突破!$DT$4:$ED$4,AN908),"")</f>
        <v>紫色基础材料</v>
      </c>
      <c r="AX908" s="14">
        <f>ROUND(INDEX(挂机升级突破!$DT$6:$ED$57,卡牌消耗!AT908,AN908)*INDEX(卡牌消耗!$B$5:$F$5,AR908)/$Q$4/5,0)*5</f>
        <v>55</v>
      </c>
      <c r="AY908" s="14" t="str">
        <f>IF(AO908&gt;0,INDEX(挂机升级突破!$DT$4:$ED$4,AO908),"")</f>
        <v/>
      </c>
      <c r="AZ908" s="14" t="str">
        <f>IF(AO908&gt;0,ROUND(INDEX(挂机升级突破!$DT$6:$ED$57,卡牌消耗!AT908,AO908)*INDEX(卡牌消耗!$B$7:$F$7,AR908)/$Q$4,0),"")</f>
        <v/>
      </c>
    </row>
    <row r="909" spans="37:52" ht="16.5" x14ac:dyDescent="0.2">
      <c r="AK909" s="104">
        <v>905</v>
      </c>
      <c r="AL909" s="14">
        <f t="shared" si="415"/>
        <v>18</v>
      </c>
      <c r="AM909" s="14">
        <f>INDEX(挂机升级突破!DQ$6:DQ$57,卡牌消耗!$AT909)</f>
        <v>11</v>
      </c>
      <c r="AN909" s="14">
        <f>INDEX(挂机升级突破!DR$6:DR$57,卡牌消耗!$AT909)</f>
        <v>3</v>
      </c>
      <c r="AO909" s="14">
        <f>INDEX(挂机升级突破!DS$6:DS$57,卡牌消耗!$AT909)</f>
        <v>0</v>
      </c>
      <c r="AP909" s="14">
        <f>INDEX(挂机升级突破!$DP$6:$DP$57,卡牌消耗!AT909)</f>
        <v>70</v>
      </c>
      <c r="AQ909" s="14" t="str">
        <f t="shared" si="416"/>
        <v>噬日</v>
      </c>
      <c r="AR909" s="14">
        <f t="shared" si="417"/>
        <v>2</v>
      </c>
      <c r="AS909" s="14" t="str">
        <f t="shared" si="418"/>
        <v>噬日魂火-21</v>
      </c>
      <c r="AT909" s="14">
        <f t="shared" si="419"/>
        <v>21</v>
      </c>
      <c r="AU909" s="14" t="str">
        <f>IF(AM909&gt;0,INDEX(挂机升级突破!$DT$4:$ED$4,AM909),"")</f>
        <v>金币</v>
      </c>
      <c r="AV909" s="14">
        <f>ROUND(INDEX(挂机升级突破!$DJ$6:$DJ$57,卡牌消耗!AT909)*INDEX(卡牌消耗!$B$8:$F$8,AR909)/$Q$4/50,0)*50</f>
        <v>3500</v>
      </c>
      <c r="AW909" s="14" t="str">
        <f>IF(AN909&gt;0,INDEX(挂机升级突破!$DT$4:$ED$4,AN909),"")</f>
        <v>紫色基础材料</v>
      </c>
      <c r="AX909" s="14">
        <f>ROUND(INDEX(挂机升级突破!$DT$6:$ED$57,卡牌消耗!AT909,AN909)*INDEX(卡牌消耗!$B$5:$F$5,AR909)/$Q$4/5,0)*5</f>
        <v>55</v>
      </c>
      <c r="AY909" s="14" t="str">
        <f>IF(AO909&gt;0,INDEX(挂机升级突破!$DT$4:$ED$4,AO909),"")</f>
        <v/>
      </c>
      <c r="AZ909" s="14" t="str">
        <f>IF(AO909&gt;0,ROUND(INDEX(挂机升级突破!$DT$6:$ED$57,卡牌消耗!AT909,AO909)*INDEX(卡牌消耗!$B$7:$F$7,AR909)/$Q$4,0),"")</f>
        <v/>
      </c>
    </row>
    <row r="910" spans="37:52" ht="16.5" x14ac:dyDescent="0.2">
      <c r="AK910" s="104">
        <v>906</v>
      </c>
      <c r="AL910" s="14">
        <f t="shared" si="415"/>
        <v>18</v>
      </c>
      <c r="AM910" s="14">
        <f>INDEX(挂机升级突破!DQ$6:DQ$57,卡牌消耗!$AT910)</f>
        <v>11</v>
      </c>
      <c r="AN910" s="14">
        <f>INDEX(挂机升级突破!DR$6:DR$57,卡牌消耗!$AT910)</f>
        <v>3</v>
      </c>
      <c r="AO910" s="14">
        <f>INDEX(挂机升级突破!DS$6:DS$57,卡牌消耗!$AT910)</f>
        <v>0</v>
      </c>
      <c r="AP910" s="14">
        <f>INDEX(挂机升级突破!$DP$6:$DP$57,卡牌消耗!AT910)</f>
        <v>73</v>
      </c>
      <c r="AQ910" s="14" t="str">
        <f t="shared" si="416"/>
        <v>噬日</v>
      </c>
      <c r="AR910" s="14">
        <f t="shared" si="417"/>
        <v>2</v>
      </c>
      <c r="AS910" s="14" t="str">
        <f t="shared" si="418"/>
        <v>噬日魂火-22</v>
      </c>
      <c r="AT910" s="14">
        <f t="shared" si="419"/>
        <v>22</v>
      </c>
      <c r="AU910" s="14" t="str">
        <f>IF(AM910&gt;0,INDEX(挂机升级突破!$DT$4:$ED$4,AM910),"")</f>
        <v>金币</v>
      </c>
      <c r="AV910" s="14">
        <f>ROUND(INDEX(挂机升级突破!$DJ$6:$DJ$57,卡牌消耗!AT910)*INDEX(卡牌消耗!$B$8:$F$8,AR910)/$Q$4/50,0)*50</f>
        <v>3500</v>
      </c>
      <c r="AW910" s="14" t="str">
        <f>IF(AN910&gt;0,INDEX(挂机升级突破!$DT$4:$ED$4,AN910),"")</f>
        <v>紫色基础材料</v>
      </c>
      <c r="AX910" s="14">
        <f>ROUND(INDEX(挂机升级突破!$DT$6:$ED$57,卡牌消耗!AT910,AN910)*INDEX(卡牌消耗!$B$5:$F$5,AR910)/$Q$4/5,0)*5</f>
        <v>55</v>
      </c>
      <c r="AY910" s="14" t="str">
        <f>IF(AO910&gt;0,INDEX(挂机升级突破!$DT$4:$ED$4,AO910),"")</f>
        <v/>
      </c>
      <c r="AZ910" s="14" t="str">
        <f>IF(AO910&gt;0,ROUND(INDEX(挂机升级突破!$DT$6:$ED$57,卡牌消耗!AT910,AO910)*INDEX(卡牌消耗!$B$7:$F$7,AR910)/$Q$4,0),"")</f>
        <v/>
      </c>
    </row>
    <row r="911" spans="37:52" ht="16.5" x14ac:dyDescent="0.2">
      <c r="AK911" s="104">
        <v>907</v>
      </c>
      <c r="AL911" s="14">
        <f t="shared" si="415"/>
        <v>18</v>
      </c>
      <c r="AM911" s="14">
        <f>INDEX(挂机升级突破!DQ$6:DQ$57,卡牌消耗!$AT911)</f>
        <v>11</v>
      </c>
      <c r="AN911" s="14">
        <f>INDEX(挂机升级突破!DR$6:DR$57,卡牌消耗!$AT911)</f>
        <v>4</v>
      </c>
      <c r="AO911" s="14">
        <f>INDEX(挂机升级突破!DS$6:DS$57,卡牌消耗!$AT911)</f>
        <v>0</v>
      </c>
      <c r="AP911" s="14">
        <f>INDEX(挂机升级突破!$DP$6:$DP$57,卡牌消耗!AT911)</f>
        <v>75</v>
      </c>
      <c r="AQ911" s="14" t="str">
        <f t="shared" si="416"/>
        <v>噬日</v>
      </c>
      <c r="AR911" s="14">
        <f t="shared" si="417"/>
        <v>2</v>
      </c>
      <c r="AS911" s="14" t="str">
        <f t="shared" si="418"/>
        <v>噬日魂火-23</v>
      </c>
      <c r="AT911" s="14">
        <f t="shared" si="419"/>
        <v>23</v>
      </c>
      <c r="AU911" s="14" t="str">
        <f>IF(AM911&gt;0,INDEX(挂机升级突破!$DT$4:$ED$4,AM911),"")</f>
        <v>金币</v>
      </c>
      <c r="AV911" s="14">
        <f>ROUND(INDEX(挂机升级突破!$DJ$6:$DJ$57,卡牌消耗!AT911)*INDEX(卡牌消耗!$B$8:$F$8,AR911)/$Q$4/50,0)*50</f>
        <v>4850</v>
      </c>
      <c r="AW911" s="14" t="str">
        <f>IF(AN911&gt;0,INDEX(挂机升级突破!$DT$4:$ED$4,AN911),"")</f>
        <v>橙色基础材料</v>
      </c>
      <c r="AX911" s="14">
        <f>ROUND(INDEX(挂机升级突破!$DT$6:$ED$57,卡牌消耗!AT911,AN911)*INDEX(卡牌消耗!$B$5:$F$5,AR911)/$Q$4/5,0)*5</f>
        <v>15</v>
      </c>
      <c r="AY911" s="14" t="str">
        <f>IF(AO911&gt;0,INDEX(挂机升级突破!$DT$4:$ED$4,AO911),"")</f>
        <v/>
      </c>
      <c r="AZ911" s="14" t="str">
        <f>IF(AO911&gt;0,ROUND(INDEX(挂机升级突破!$DT$6:$ED$57,卡牌消耗!AT911,AO911)*INDEX(卡牌消耗!$B$7:$F$7,AR911)/$Q$4,0),"")</f>
        <v/>
      </c>
    </row>
    <row r="912" spans="37:52" ht="16.5" x14ac:dyDescent="0.2">
      <c r="AK912" s="104">
        <v>908</v>
      </c>
      <c r="AL912" s="14">
        <f t="shared" si="415"/>
        <v>18</v>
      </c>
      <c r="AM912" s="14">
        <f>INDEX(挂机升级突破!DQ$6:DQ$57,卡牌消耗!$AT912)</f>
        <v>11</v>
      </c>
      <c r="AN912" s="14">
        <f>INDEX(挂机升级突破!DR$6:DR$57,卡牌消耗!$AT912)</f>
        <v>4</v>
      </c>
      <c r="AO912" s="14">
        <f>INDEX(挂机升级突破!DS$6:DS$57,卡牌消耗!$AT912)</f>
        <v>0</v>
      </c>
      <c r="AP912" s="14">
        <f>INDEX(挂机升级突破!$DP$6:$DP$57,卡牌消耗!AT912)</f>
        <v>78</v>
      </c>
      <c r="AQ912" s="14" t="str">
        <f t="shared" si="416"/>
        <v>噬日</v>
      </c>
      <c r="AR912" s="14">
        <f t="shared" si="417"/>
        <v>2</v>
      </c>
      <c r="AS912" s="14" t="str">
        <f t="shared" si="418"/>
        <v>噬日魂火-24</v>
      </c>
      <c r="AT912" s="14">
        <f t="shared" si="419"/>
        <v>24</v>
      </c>
      <c r="AU912" s="14" t="str">
        <f>IF(AM912&gt;0,INDEX(挂机升级突破!$DT$4:$ED$4,AM912),"")</f>
        <v>金币</v>
      </c>
      <c r="AV912" s="14">
        <f>ROUND(INDEX(挂机升级突破!$DJ$6:$DJ$57,卡牌消耗!AT912)*INDEX(卡牌消耗!$B$8:$F$8,AR912)/$Q$4/50,0)*50</f>
        <v>4850</v>
      </c>
      <c r="AW912" s="14" t="str">
        <f>IF(AN912&gt;0,INDEX(挂机升级突破!$DT$4:$ED$4,AN912),"")</f>
        <v>橙色基础材料</v>
      </c>
      <c r="AX912" s="14">
        <f>ROUND(INDEX(挂机升级突破!$DT$6:$ED$57,卡牌消耗!AT912,AN912)*INDEX(卡牌消耗!$B$5:$F$5,AR912)/$Q$4/5,0)*5</f>
        <v>15</v>
      </c>
      <c r="AY912" s="14" t="str">
        <f>IF(AO912&gt;0,INDEX(挂机升级突破!$DT$4:$ED$4,AO912),"")</f>
        <v/>
      </c>
      <c r="AZ912" s="14" t="str">
        <f>IF(AO912&gt;0,ROUND(INDEX(挂机升级突破!$DT$6:$ED$57,卡牌消耗!AT912,AO912)*INDEX(卡牌消耗!$B$7:$F$7,AR912)/$Q$4,0),"")</f>
        <v/>
      </c>
    </row>
    <row r="913" spans="37:52" ht="16.5" x14ac:dyDescent="0.2">
      <c r="AK913" s="104">
        <v>909</v>
      </c>
      <c r="AL913" s="14">
        <f t="shared" si="415"/>
        <v>18</v>
      </c>
      <c r="AM913" s="14">
        <f>INDEX(挂机升级突破!DQ$6:DQ$57,卡牌消耗!$AT913)</f>
        <v>11</v>
      </c>
      <c r="AN913" s="14">
        <f>INDEX(挂机升级突破!DR$6:DR$57,卡牌消耗!$AT913)</f>
        <v>4</v>
      </c>
      <c r="AO913" s="14">
        <f>INDEX(挂机升级突破!DS$6:DS$57,卡牌消耗!$AT913)</f>
        <v>0</v>
      </c>
      <c r="AP913" s="14">
        <f>INDEX(挂机升级突破!$DP$6:$DP$57,卡牌消耗!AT913)</f>
        <v>80</v>
      </c>
      <c r="AQ913" s="14" t="str">
        <f t="shared" si="416"/>
        <v>噬日</v>
      </c>
      <c r="AR913" s="14">
        <f t="shared" si="417"/>
        <v>2</v>
      </c>
      <c r="AS913" s="14" t="str">
        <f t="shared" si="418"/>
        <v>噬日魂火-25</v>
      </c>
      <c r="AT913" s="14">
        <f t="shared" si="419"/>
        <v>25</v>
      </c>
      <c r="AU913" s="14" t="str">
        <f>IF(AM913&gt;0,INDEX(挂机升级突破!$DT$4:$ED$4,AM913),"")</f>
        <v>金币</v>
      </c>
      <c r="AV913" s="14">
        <f>ROUND(INDEX(挂机升级突破!$DJ$6:$DJ$57,卡牌消耗!AT913)*INDEX(卡牌消耗!$B$8:$F$8,AR913)/$Q$4/50,0)*50</f>
        <v>5250</v>
      </c>
      <c r="AW913" s="14" t="str">
        <f>IF(AN913&gt;0,INDEX(挂机升级突破!$DT$4:$ED$4,AN913),"")</f>
        <v>橙色基础材料</v>
      </c>
      <c r="AX913" s="14">
        <f>ROUND(INDEX(挂机升级突破!$DT$6:$ED$57,卡牌消耗!AT913,AN913)*INDEX(卡牌消耗!$B$5:$F$5,AR913)/$Q$4/5,0)*5</f>
        <v>15</v>
      </c>
      <c r="AY913" s="14" t="str">
        <f>IF(AO913&gt;0,INDEX(挂机升级突破!$DT$4:$ED$4,AO913),"")</f>
        <v/>
      </c>
      <c r="AZ913" s="14" t="str">
        <f>IF(AO913&gt;0,ROUND(INDEX(挂机升级突破!$DT$6:$ED$57,卡牌消耗!AT913,AO913)*INDEX(卡牌消耗!$B$7:$F$7,AR913)/$Q$4,0),"")</f>
        <v/>
      </c>
    </row>
    <row r="914" spans="37:52" ht="16.5" x14ac:dyDescent="0.2">
      <c r="AK914" s="104">
        <v>910</v>
      </c>
      <c r="AL914" s="14">
        <f t="shared" si="415"/>
        <v>18</v>
      </c>
      <c r="AM914" s="14">
        <f>INDEX(挂机升级突破!DQ$6:DQ$57,卡牌消耗!$AT914)</f>
        <v>11</v>
      </c>
      <c r="AN914" s="14">
        <f>INDEX(挂机升级突破!DR$6:DR$57,卡牌消耗!$AT914)</f>
        <v>4</v>
      </c>
      <c r="AO914" s="14">
        <f>INDEX(挂机升级突破!DS$6:DS$57,卡牌消耗!$AT914)</f>
        <v>0</v>
      </c>
      <c r="AP914" s="14">
        <f>INDEX(挂机升级突破!$DP$6:$DP$57,卡牌消耗!AT914)</f>
        <v>83</v>
      </c>
      <c r="AQ914" s="14" t="str">
        <f t="shared" si="416"/>
        <v>噬日</v>
      </c>
      <c r="AR914" s="14">
        <f t="shared" si="417"/>
        <v>2</v>
      </c>
      <c r="AS914" s="14" t="str">
        <f t="shared" si="418"/>
        <v>噬日魂火-26</v>
      </c>
      <c r="AT914" s="14">
        <f t="shared" si="419"/>
        <v>26</v>
      </c>
      <c r="AU914" s="14" t="str">
        <f>IF(AM914&gt;0,INDEX(挂机升级突破!$DT$4:$ED$4,AM914),"")</f>
        <v>金币</v>
      </c>
      <c r="AV914" s="14">
        <f>ROUND(INDEX(挂机升级突破!$DJ$6:$DJ$57,卡牌消耗!AT914)*INDEX(卡牌消耗!$B$8:$F$8,AR914)/$Q$4/50,0)*50</f>
        <v>6150</v>
      </c>
      <c r="AW914" s="14" t="str">
        <f>IF(AN914&gt;0,INDEX(挂机升级突破!$DT$4:$ED$4,AN914),"")</f>
        <v>橙色基础材料</v>
      </c>
      <c r="AX914" s="14">
        <f>ROUND(INDEX(挂机升级突破!$DT$6:$ED$57,卡牌消耗!AT914,AN914)*INDEX(卡牌消耗!$B$5:$F$5,AR914)/$Q$4/5,0)*5</f>
        <v>20</v>
      </c>
      <c r="AY914" s="14" t="str">
        <f>IF(AO914&gt;0,INDEX(挂机升级突破!$DT$4:$ED$4,AO914),"")</f>
        <v/>
      </c>
      <c r="AZ914" s="14" t="str">
        <f>IF(AO914&gt;0,ROUND(INDEX(挂机升级突破!$DT$6:$ED$57,卡牌消耗!AT914,AO914)*INDEX(卡牌消耗!$B$7:$F$7,AR914)/$Q$4,0),"")</f>
        <v/>
      </c>
    </row>
    <row r="915" spans="37:52" ht="16.5" x14ac:dyDescent="0.2">
      <c r="AK915" s="104">
        <v>911</v>
      </c>
      <c r="AL915" s="14">
        <f t="shared" si="415"/>
        <v>18</v>
      </c>
      <c r="AM915" s="14">
        <f>INDEX(挂机升级突破!DQ$6:DQ$57,卡牌消耗!$AT915)</f>
        <v>11</v>
      </c>
      <c r="AN915" s="14">
        <f>INDEX(挂机升级突破!DR$6:DR$57,卡牌消耗!$AT915)</f>
        <v>4</v>
      </c>
      <c r="AO915" s="14">
        <f>INDEX(挂机升级突破!DS$6:DS$57,卡牌消耗!$AT915)</f>
        <v>0</v>
      </c>
      <c r="AP915" s="14">
        <f>INDEX(挂机升级突破!$DP$6:$DP$57,卡牌消耗!AT915)</f>
        <v>85</v>
      </c>
      <c r="AQ915" s="14" t="str">
        <f t="shared" si="416"/>
        <v>噬日</v>
      </c>
      <c r="AR915" s="14">
        <f t="shared" si="417"/>
        <v>2</v>
      </c>
      <c r="AS915" s="14" t="str">
        <f t="shared" si="418"/>
        <v>噬日魂火-27</v>
      </c>
      <c r="AT915" s="14">
        <f t="shared" si="419"/>
        <v>27</v>
      </c>
      <c r="AU915" s="14" t="str">
        <f>IF(AM915&gt;0,INDEX(挂机升级突破!$DT$4:$ED$4,AM915),"")</f>
        <v>金币</v>
      </c>
      <c r="AV915" s="14">
        <f>ROUND(INDEX(挂机升级突破!$DJ$6:$DJ$57,卡牌消耗!AT915)*INDEX(卡牌消耗!$B$8:$F$8,AR915)/$Q$4/50,0)*50</f>
        <v>6150</v>
      </c>
      <c r="AW915" s="14" t="str">
        <f>IF(AN915&gt;0,INDEX(挂机升级突破!$DT$4:$ED$4,AN915),"")</f>
        <v>橙色基础材料</v>
      </c>
      <c r="AX915" s="14">
        <f>ROUND(INDEX(挂机升级突破!$DT$6:$ED$57,卡牌消耗!AT915,AN915)*INDEX(卡牌消耗!$B$5:$F$5,AR915)/$Q$4/5,0)*5</f>
        <v>20</v>
      </c>
      <c r="AY915" s="14" t="str">
        <f>IF(AO915&gt;0,INDEX(挂机升级突破!$DT$4:$ED$4,AO915),"")</f>
        <v/>
      </c>
      <c r="AZ915" s="14" t="str">
        <f>IF(AO915&gt;0,ROUND(INDEX(挂机升级突破!$DT$6:$ED$57,卡牌消耗!AT915,AO915)*INDEX(卡牌消耗!$B$7:$F$7,AR915)/$Q$4,0),"")</f>
        <v/>
      </c>
    </row>
    <row r="916" spans="37:52" ht="16.5" x14ac:dyDescent="0.2">
      <c r="AK916" s="104">
        <v>912</v>
      </c>
      <c r="AL916" s="14">
        <f t="shared" si="415"/>
        <v>18</v>
      </c>
      <c r="AM916" s="14">
        <f>INDEX(挂机升级突破!DQ$6:DQ$57,卡牌消耗!$AT916)</f>
        <v>11</v>
      </c>
      <c r="AN916" s="14">
        <f>INDEX(挂机升级突破!DR$6:DR$57,卡牌消耗!$AT916)</f>
        <v>4</v>
      </c>
      <c r="AO916" s="14">
        <f>INDEX(挂机升级突破!DS$6:DS$57,卡牌消耗!$AT916)</f>
        <v>0</v>
      </c>
      <c r="AP916" s="14">
        <f>INDEX(挂机升级突破!$DP$6:$DP$57,卡牌消耗!AT916)</f>
        <v>88</v>
      </c>
      <c r="AQ916" s="14" t="str">
        <f t="shared" si="416"/>
        <v>噬日</v>
      </c>
      <c r="AR916" s="14">
        <f t="shared" si="417"/>
        <v>2</v>
      </c>
      <c r="AS916" s="14" t="str">
        <f t="shared" si="418"/>
        <v>噬日魂火-28</v>
      </c>
      <c r="AT916" s="14">
        <f t="shared" si="419"/>
        <v>28</v>
      </c>
      <c r="AU916" s="14" t="str">
        <f>IF(AM916&gt;0,INDEX(挂机升级突破!$DT$4:$ED$4,AM916),"")</f>
        <v>金币</v>
      </c>
      <c r="AV916" s="14">
        <f>ROUND(INDEX(挂机升级突破!$DJ$6:$DJ$57,卡牌消耗!AT916)*INDEX(卡牌消耗!$B$8:$F$8,AR916)/$Q$4/50,0)*50</f>
        <v>6150</v>
      </c>
      <c r="AW916" s="14" t="str">
        <f>IF(AN916&gt;0,INDEX(挂机升级突破!$DT$4:$ED$4,AN916),"")</f>
        <v>橙色基础材料</v>
      </c>
      <c r="AX916" s="14">
        <f>ROUND(INDEX(挂机升级突破!$DT$6:$ED$57,卡牌消耗!AT916,AN916)*INDEX(卡牌消耗!$B$5:$F$5,AR916)/$Q$4/5,0)*5</f>
        <v>20</v>
      </c>
      <c r="AY916" s="14" t="str">
        <f>IF(AO916&gt;0,INDEX(挂机升级突破!$DT$4:$ED$4,AO916),"")</f>
        <v/>
      </c>
      <c r="AZ916" s="14" t="str">
        <f>IF(AO916&gt;0,ROUND(INDEX(挂机升级突破!$DT$6:$ED$57,卡牌消耗!AT916,AO916)*INDEX(卡牌消耗!$B$7:$F$7,AR916)/$Q$4,0),"")</f>
        <v/>
      </c>
    </row>
    <row r="917" spans="37:52" ht="16.5" x14ac:dyDescent="0.2">
      <c r="AK917" s="104">
        <v>913</v>
      </c>
      <c r="AL917" s="14">
        <f t="shared" si="415"/>
        <v>18</v>
      </c>
      <c r="AM917" s="14">
        <f>INDEX(挂机升级突破!DQ$6:DQ$57,卡牌消耗!$AT917)</f>
        <v>11</v>
      </c>
      <c r="AN917" s="14">
        <f>INDEX(挂机升级突破!DR$6:DR$57,卡牌消耗!$AT917)</f>
        <v>4</v>
      </c>
      <c r="AO917" s="14">
        <f>INDEX(挂机升级突破!DS$6:DS$57,卡牌消耗!$AT917)</f>
        <v>0</v>
      </c>
      <c r="AP917" s="14">
        <f>INDEX(挂机升级突破!$DP$6:$DP$57,卡牌消耗!AT917)</f>
        <v>90</v>
      </c>
      <c r="AQ917" s="14" t="str">
        <f t="shared" si="416"/>
        <v>噬日</v>
      </c>
      <c r="AR917" s="14">
        <f t="shared" si="417"/>
        <v>2</v>
      </c>
      <c r="AS917" s="14" t="str">
        <f t="shared" si="418"/>
        <v>噬日魂火-29</v>
      </c>
      <c r="AT917" s="14">
        <f t="shared" si="419"/>
        <v>29</v>
      </c>
      <c r="AU917" s="14" t="str">
        <f>IF(AM917&gt;0,INDEX(挂机升级突破!$DT$4:$ED$4,AM917),"")</f>
        <v>金币</v>
      </c>
      <c r="AV917" s="14">
        <f>ROUND(INDEX(挂机升级突破!$DJ$6:$DJ$57,卡牌消耗!AT917)*INDEX(卡牌消耗!$B$8:$F$8,AR917)/$Q$4/50,0)*50</f>
        <v>6200</v>
      </c>
      <c r="AW917" s="14" t="str">
        <f>IF(AN917&gt;0,INDEX(挂机升级突破!$DT$4:$ED$4,AN917),"")</f>
        <v>橙色基础材料</v>
      </c>
      <c r="AX917" s="14">
        <f>ROUND(INDEX(挂机升级突破!$DT$6:$ED$57,卡牌消耗!AT917,AN917)*INDEX(卡牌消耗!$B$5:$F$5,AR917)/$Q$4/5,0)*5</f>
        <v>20</v>
      </c>
      <c r="AY917" s="14" t="str">
        <f>IF(AO917&gt;0,INDEX(挂机升级突破!$DT$4:$ED$4,AO917),"")</f>
        <v/>
      </c>
      <c r="AZ917" s="14" t="str">
        <f>IF(AO917&gt;0,ROUND(INDEX(挂机升级突破!$DT$6:$ED$57,卡牌消耗!AT917,AO917)*INDEX(卡牌消耗!$B$7:$F$7,AR917)/$Q$4,0),"")</f>
        <v/>
      </c>
    </row>
    <row r="918" spans="37:52" ht="16.5" x14ac:dyDescent="0.2">
      <c r="AK918" s="104">
        <v>914</v>
      </c>
      <c r="AL918" s="14">
        <f t="shared" si="415"/>
        <v>18</v>
      </c>
      <c r="AM918" s="14">
        <f>INDEX(挂机升级突破!DQ$6:DQ$57,卡牌消耗!$AT918)</f>
        <v>11</v>
      </c>
      <c r="AN918" s="14">
        <f>INDEX(挂机升级突破!DR$6:DR$57,卡牌消耗!$AT918)</f>
        <v>4</v>
      </c>
      <c r="AO918" s="14">
        <f>INDEX(挂机升级突破!DS$6:DS$57,卡牌消耗!$AT918)</f>
        <v>0</v>
      </c>
      <c r="AP918" s="14">
        <f>INDEX(挂机升级突破!$DP$6:$DP$57,卡牌消耗!AT918)</f>
        <v>93</v>
      </c>
      <c r="AQ918" s="14" t="str">
        <f t="shared" si="416"/>
        <v>噬日</v>
      </c>
      <c r="AR918" s="14">
        <f t="shared" si="417"/>
        <v>2</v>
      </c>
      <c r="AS918" s="14" t="str">
        <f t="shared" si="418"/>
        <v>噬日魂火-30</v>
      </c>
      <c r="AT918" s="14">
        <f t="shared" si="419"/>
        <v>30</v>
      </c>
      <c r="AU918" s="14" t="str">
        <f>IF(AM918&gt;0,INDEX(挂机升级突破!$DT$4:$ED$4,AM918),"")</f>
        <v>金币</v>
      </c>
      <c r="AV918" s="14">
        <f>ROUND(INDEX(挂机升级突破!$DJ$6:$DJ$57,卡牌消耗!AT918)*INDEX(卡牌消耗!$B$8:$F$8,AR918)/$Q$4/50,0)*50</f>
        <v>6200</v>
      </c>
      <c r="AW918" s="14" t="str">
        <f>IF(AN918&gt;0,INDEX(挂机升级突破!$DT$4:$ED$4,AN918),"")</f>
        <v>橙色基础材料</v>
      </c>
      <c r="AX918" s="14">
        <f>ROUND(INDEX(挂机升级突破!$DT$6:$ED$57,卡牌消耗!AT918,AN918)*INDEX(卡牌消耗!$B$5:$F$5,AR918)/$Q$4/5,0)*5</f>
        <v>20</v>
      </c>
      <c r="AY918" s="14" t="str">
        <f>IF(AO918&gt;0,INDEX(挂机升级突破!$DT$4:$ED$4,AO918),"")</f>
        <v/>
      </c>
      <c r="AZ918" s="14" t="str">
        <f>IF(AO918&gt;0,ROUND(INDEX(挂机升级突破!$DT$6:$ED$57,卡牌消耗!AT918,AO918)*INDEX(卡牌消耗!$B$7:$F$7,AR918)/$Q$4,0),"")</f>
        <v/>
      </c>
    </row>
    <row r="919" spans="37:52" ht="16.5" x14ac:dyDescent="0.2">
      <c r="AK919" s="104">
        <v>915</v>
      </c>
      <c r="AL919" s="14">
        <f t="shared" si="415"/>
        <v>18</v>
      </c>
      <c r="AM919" s="14">
        <f>INDEX(挂机升级突破!DQ$6:DQ$57,卡牌消耗!$AT919)</f>
        <v>11</v>
      </c>
      <c r="AN919" s="14">
        <f>INDEX(挂机升级突破!DR$6:DR$57,卡牌消耗!$AT919)</f>
        <v>4</v>
      </c>
      <c r="AO919" s="14">
        <f>INDEX(挂机升级突破!DS$6:DS$57,卡牌消耗!$AT919)</f>
        <v>0</v>
      </c>
      <c r="AP919" s="14">
        <f>INDEX(挂机升级突破!$DP$6:$DP$57,卡牌消耗!AT919)</f>
        <v>95</v>
      </c>
      <c r="AQ919" s="14" t="str">
        <f t="shared" si="416"/>
        <v>噬日</v>
      </c>
      <c r="AR919" s="14">
        <f t="shared" si="417"/>
        <v>2</v>
      </c>
      <c r="AS919" s="14" t="str">
        <f t="shared" si="418"/>
        <v>噬日魂火-31</v>
      </c>
      <c r="AT919" s="14">
        <f t="shared" si="419"/>
        <v>31</v>
      </c>
      <c r="AU919" s="14" t="str">
        <f>IF(AM919&gt;0,INDEX(挂机升级突破!$DT$4:$ED$4,AM919),"")</f>
        <v>金币</v>
      </c>
      <c r="AV919" s="14">
        <f>ROUND(INDEX(挂机升级突破!$DJ$6:$DJ$57,卡牌消耗!AT919)*INDEX(卡牌消耗!$B$8:$F$8,AR919)/$Q$4/50,0)*50</f>
        <v>6200</v>
      </c>
      <c r="AW919" s="14" t="str">
        <f>IF(AN919&gt;0,INDEX(挂机升级突破!$DT$4:$ED$4,AN919),"")</f>
        <v>橙色基础材料</v>
      </c>
      <c r="AX919" s="14">
        <f>ROUND(INDEX(挂机升级突破!$DT$6:$ED$57,卡牌消耗!AT919,AN919)*INDEX(卡牌消耗!$B$5:$F$5,AR919)/$Q$4/5,0)*5</f>
        <v>20</v>
      </c>
      <c r="AY919" s="14" t="str">
        <f>IF(AO919&gt;0,INDEX(挂机升级突破!$DT$4:$ED$4,AO919),"")</f>
        <v/>
      </c>
      <c r="AZ919" s="14" t="str">
        <f>IF(AO919&gt;0,ROUND(INDEX(挂机升级突破!$DT$6:$ED$57,卡牌消耗!AT919,AO919)*INDEX(卡牌消耗!$B$7:$F$7,AR919)/$Q$4,0),"")</f>
        <v/>
      </c>
    </row>
    <row r="920" spans="37:52" ht="16.5" x14ac:dyDescent="0.2">
      <c r="AK920" s="104">
        <v>916</v>
      </c>
      <c r="AL920" s="14">
        <f t="shared" si="415"/>
        <v>18</v>
      </c>
      <c r="AM920" s="14">
        <f>INDEX(挂机升级突破!DQ$6:DQ$57,卡牌消耗!$AT920)</f>
        <v>11</v>
      </c>
      <c r="AN920" s="14">
        <f>INDEX(挂机升级突破!DR$6:DR$57,卡牌消耗!$AT920)</f>
        <v>4</v>
      </c>
      <c r="AO920" s="14">
        <f>INDEX(挂机升级突破!DS$6:DS$57,卡牌消耗!$AT920)</f>
        <v>0</v>
      </c>
      <c r="AP920" s="14">
        <f>INDEX(挂机升级突破!$DP$6:$DP$57,卡牌消耗!AT920)</f>
        <v>98</v>
      </c>
      <c r="AQ920" s="14" t="str">
        <f t="shared" si="416"/>
        <v>噬日</v>
      </c>
      <c r="AR920" s="14">
        <f t="shared" si="417"/>
        <v>2</v>
      </c>
      <c r="AS920" s="14" t="str">
        <f t="shared" si="418"/>
        <v>噬日魂火-32</v>
      </c>
      <c r="AT920" s="14">
        <f t="shared" si="419"/>
        <v>32</v>
      </c>
      <c r="AU920" s="14" t="str">
        <f>IF(AM920&gt;0,INDEX(挂机升级突破!$DT$4:$ED$4,AM920),"")</f>
        <v>金币</v>
      </c>
      <c r="AV920" s="14">
        <f>ROUND(INDEX(挂机升级突破!$DJ$6:$DJ$57,卡牌消耗!AT920)*INDEX(卡牌消耗!$B$8:$F$8,AR920)/$Q$4/50,0)*50</f>
        <v>8550</v>
      </c>
      <c r="AW920" s="14" t="str">
        <f>IF(AN920&gt;0,INDEX(挂机升级突破!$DT$4:$ED$4,AN920),"")</f>
        <v>橙色基础材料</v>
      </c>
      <c r="AX920" s="14">
        <f>ROUND(INDEX(挂机升级突破!$DT$6:$ED$57,卡牌消耗!AT920,AN920)*INDEX(卡牌消耗!$B$5:$F$5,AR920)/$Q$4/5,0)*5</f>
        <v>20</v>
      </c>
      <c r="AY920" s="14" t="str">
        <f>IF(AO920&gt;0,INDEX(挂机升级突破!$DT$4:$ED$4,AO920),"")</f>
        <v/>
      </c>
      <c r="AZ920" s="14" t="str">
        <f>IF(AO920&gt;0,ROUND(INDEX(挂机升级突破!$DT$6:$ED$57,卡牌消耗!AT920,AO920)*INDEX(卡牌消耗!$B$7:$F$7,AR920)/$Q$4,0),"")</f>
        <v/>
      </c>
    </row>
    <row r="921" spans="37:52" ht="16.5" x14ac:dyDescent="0.2">
      <c r="AK921" s="104">
        <v>917</v>
      </c>
      <c r="AL921" s="14">
        <f t="shared" si="415"/>
        <v>18</v>
      </c>
      <c r="AM921" s="14">
        <f>INDEX(挂机升级突破!DQ$6:DQ$57,卡牌消耗!$AT921)</f>
        <v>11</v>
      </c>
      <c r="AN921" s="14">
        <f>INDEX(挂机升级突破!DR$6:DR$57,卡牌消耗!$AT921)</f>
        <v>4</v>
      </c>
      <c r="AO921" s="14">
        <f>INDEX(挂机升级突破!DS$6:DS$57,卡牌消耗!$AT921)</f>
        <v>0</v>
      </c>
      <c r="AP921" s="14">
        <f>INDEX(挂机升级突破!$DP$6:$DP$57,卡牌消耗!AT921)</f>
        <v>100</v>
      </c>
      <c r="AQ921" s="14" t="str">
        <f t="shared" si="416"/>
        <v>噬日</v>
      </c>
      <c r="AR921" s="14">
        <f t="shared" si="417"/>
        <v>2</v>
      </c>
      <c r="AS921" s="14" t="str">
        <f t="shared" si="418"/>
        <v>噬日魂火-33</v>
      </c>
      <c r="AT921" s="14">
        <f t="shared" si="419"/>
        <v>33</v>
      </c>
      <c r="AU921" s="14" t="str">
        <f>IF(AM921&gt;0,INDEX(挂机升级突破!$DT$4:$ED$4,AM921),"")</f>
        <v>金币</v>
      </c>
      <c r="AV921" s="14">
        <f>ROUND(INDEX(挂机升级突破!$DJ$6:$DJ$57,卡牌消耗!AT921)*INDEX(卡牌消耗!$B$8:$F$8,AR921)/$Q$4/50,0)*50</f>
        <v>8550</v>
      </c>
      <c r="AW921" s="14" t="str">
        <f>IF(AN921&gt;0,INDEX(挂机升级突破!$DT$4:$ED$4,AN921),"")</f>
        <v>橙色基础材料</v>
      </c>
      <c r="AX921" s="14">
        <f>ROUND(INDEX(挂机升级突破!$DT$6:$ED$57,卡牌消耗!AT921,AN921)*INDEX(卡牌消耗!$B$5:$F$5,AR921)/$Q$4/5,0)*5</f>
        <v>20</v>
      </c>
      <c r="AY921" s="14" t="str">
        <f>IF(AO921&gt;0,INDEX(挂机升级突破!$DT$4:$ED$4,AO921),"")</f>
        <v/>
      </c>
      <c r="AZ921" s="14" t="str">
        <f>IF(AO921&gt;0,ROUND(INDEX(挂机升级突破!$DT$6:$ED$57,卡牌消耗!AT921,AO921)*INDEX(卡牌消耗!$B$7:$F$7,AR921)/$Q$4,0),"")</f>
        <v/>
      </c>
    </row>
    <row r="922" spans="37:52" ht="16.5" x14ac:dyDescent="0.2">
      <c r="AK922" s="104">
        <v>918</v>
      </c>
      <c r="AL922" s="14">
        <f t="shared" si="415"/>
        <v>18</v>
      </c>
      <c r="AM922" s="14">
        <f>INDEX(挂机升级突破!DQ$6:DQ$57,卡牌消耗!$AT922)</f>
        <v>11</v>
      </c>
      <c r="AN922" s="14">
        <f>INDEX(挂机升级突破!DR$6:DR$57,卡牌消耗!$AT922)</f>
        <v>4</v>
      </c>
      <c r="AO922" s="14">
        <f>INDEX(挂机升级突破!DS$6:DS$57,卡牌消耗!$AT922)</f>
        <v>0</v>
      </c>
      <c r="AP922" s="14">
        <f>INDEX(挂机升级突破!$DP$6:$DP$57,卡牌消耗!AT922)</f>
        <v>103</v>
      </c>
      <c r="AQ922" s="14" t="str">
        <f t="shared" si="416"/>
        <v>噬日</v>
      </c>
      <c r="AR922" s="14">
        <f t="shared" si="417"/>
        <v>2</v>
      </c>
      <c r="AS922" s="14" t="str">
        <f t="shared" si="418"/>
        <v>噬日魂火-34</v>
      </c>
      <c r="AT922" s="14">
        <f t="shared" si="419"/>
        <v>34</v>
      </c>
      <c r="AU922" s="14" t="str">
        <f>IF(AM922&gt;0,INDEX(挂机升级突破!$DT$4:$ED$4,AM922),"")</f>
        <v>金币</v>
      </c>
      <c r="AV922" s="14">
        <f>ROUND(INDEX(挂机升级突破!$DJ$6:$DJ$57,卡牌消耗!AT922)*INDEX(卡牌消耗!$B$8:$F$8,AR922)/$Q$4/50,0)*50</f>
        <v>8550</v>
      </c>
      <c r="AW922" s="14" t="str">
        <f>IF(AN922&gt;0,INDEX(挂机升级突破!$DT$4:$ED$4,AN922),"")</f>
        <v>橙色基础材料</v>
      </c>
      <c r="AX922" s="14">
        <f>ROUND(INDEX(挂机升级突破!$DT$6:$ED$57,卡牌消耗!AT922,AN922)*INDEX(卡牌消耗!$B$5:$F$5,AR922)/$Q$4/5,0)*5</f>
        <v>25</v>
      </c>
      <c r="AY922" s="14" t="str">
        <f>IF(AO922&gt;0,INDEX(挂机升级突破!$DT$4:$ED$4,AO922),"")</f>
        <v/>
      </c>
      <c r="AZ922" s="14" t="str">
        <f>IF(AO922&gt;0,ROUND(INDEX(挂机升级突破!$DT$6:$ED$57,卡牌消耗!AT922,AO922)*INDEX(卡牌消耗!$B$7:$F$7,AR922)/$Q$4,0),"")</f>
        <v/>
      </c>
    </row>
    <row r="923" spans="37:52" ht="16.5" x14ac:dyDescent="0.2">
      <c r="AK923" s="104">
        <v>919</v>
      </c>
      <c r="AL923" s="14">
        <f t="shared" si="415"/>
        <v>18</v>
      </c>
      <c r="AM923" s="14">
        <f>INDEX(挂机升级突破!DQ$6:DQ$57,卡牌消耗!$AT923)</f>
        <v>11</v>
      </c>
      <c r="AN923" s="14">
        <f>INDEX(挂机升级突破!DR$6:DR$57,卡牌消耗!$AT923)</f>
        <v>4</v>
      </c>
      <c r="AO923" s="14">
        <f>INDEX(挂机升级突破!DS$6:DS$57,卡牌消耗!$AT923)</f>
        <v>0</v>
      </c>
      <c r="AP923" s="14">
        <f>INDEX(挂机升级突破!$DP$6:$DP$57,卡牌消耗!AT923)</f>
        <v>105</v>
      </c>
      <c r="AQ923" s="14" t="str">
        <f t="shared" si="416"/>
        <v>噬日</v>
      </c>
      <c r="AR923" s="14">
        <f t="shared" si="417"/>
        <v>2</v>
      </c>
      <c r="AS923" s="14" t="str">
        <f t="shared" si="418"/>
        <v>噬日魂火-35</v>
      </c>
      <c r="AT923" s="14">
        <f t="shared" si="419"/>
        <v>35</v>
      </c>
      <c r="AU923" s="14" t="str">
        <f>IF(AM923&gt;0,INDEX(挂机升级突破!$DT$4:$ED$4,AM923),"")</f>
        <v>金币</v>
      </c>
      <c r="AV923" s="14">
        <f>ROUND(INDEX(挂机升级突破!$DJ$6:$DJ$57,卡牌消耗!AT923)*INDEX(卡牌消耗!$B$8:$F$8,AR923)/$Q$4/50,0)*50</f>
        <v>10900</v>
      </c>
      <c r="AW923" s="14" t="str">
        <f>IF(AN923&gt;0,INDEX(挂机升级突破!$DT$4:$ED$4,AN923),"")</f>
        <v>橙色基础材料</v>
      </c>
      <c r="AX923" s="14">
        <f>ROUND(INDEX(挂机升级突破!$DT$6:$ED$57,卡牌消耗!AT923,AN923)*INDEX(卡牌消耗!$B$5:$F$5,AR923)/$Q$4/5,0)*5</f>
        <v>25</v>
      </c>
      <c r="AY923" s="14" t="str">
        <f>IF(AO923&gt;0,INDEX(挂机升级突破!$DT$4:$ED$4,AO923),"")</f>
        <v/>
      </c>
      <c r="AZ923" s="14" t="str">
        <f>IF(AO923&gt;0,ROUND(INDEX(挂机升级突破!$DT$6:$ED$57,卡牌消耗!AT923,AO923)*INDEX(卡牌消耗!$B$7:$F$7,AR923)/$Q$4,0),"")</f>
        <v/>
      </c>
    </row>
    <row r="924" spans="37:52" ht="16.5" x14ac:dyDescent="0.2">
      <c r="AK924" s="104">
        <v>920</v>
      </c>
      <c r="AL924" s="14">
        <f t="shared" si="415"/>
        <v>18</v>
      </c>
      <c r="AM924" s="14">
        <f>INDEX(挂机升级突破!DQ$6:DQ$57,卡牌消耗!$AT924)</f>
        <v>11</v>
      </c>
      <c r="AN924" s="14">
        <f>INDEX(挂机升级突破!DR$6:DR$57,卡牌消耗!$AT924)</f>
        <v>4</v>
      </c>
      <c r="AO924" s="14">
        <f>INDEX(挂机升级突破!DS$6:DS$57,卡牌消耗!$AT924)</f>
        <v>0</v>
      </c>
      <c r="AP924" s="14">
        <f>INDEX(挂机升级突破!$DP$6:$DP$57,卡牌消耗!AT924)</f>
        <v>108</v>
      </c>
      <c r="AQ924" s="14" t="str">
        <f t="shared" si="416"/>
        <v>噬日</v>
      </c>
      <c r="AR924" s="14">
        <f t="shared" si="417"/>
        <v>2</v>
      </c>
      <c r="AS924" s="14" t="str">
        <f t="shared" si="418"/>
        <v>噬日魂火-36</v>
      </c>
      <c r="AT924" s="14">
        <f t="shared" si="419"/>
        <v>36</v>
      </c>
      <c r="AU924" s="14" t="str">
        <f>IF(AM924&gt;0,INDEX(挂机升级突破!$DT$4:$ED$4,AM924),"")</f>
        <v>金币</v>
      </c>
      <c r="AV924" s="14">
        <f>ROUND(INDEX(挂机升级突破!$DJ$6:$DJ$57,卡牌消耗!AT924)*INDEX(卡牌消耗!$B$8:$F$8,AR924)/$Q$4/50,0)*50</f>
        <v>10900</v>
      </c>
      <c r="AW924" s="14" t="str">
        <f>IF(AN924&gt;0,INDEX(挂机升级突破!$DT$4:$ED$4,AN924),"")</f>
        <v>橙色基础材料</v>
      </c>
      <c r="AX924" s="14">
        <f>ROUND(INDEX(挂机升级突破!$DT$6:$ED$57,卡牌消耗!AT924,AN924)*INDEX(卡牌消耗!$B$5:$F$5,AR924)/$Q$4/5,0)*5</f>
        <v>25</v>
      </c>
      <c r="AY924" s="14" t="str">
        <f>IF(AO924&gt;0,INDEX(挂机升级突破!$DT$4:$ED$4,AO924),"")</f>
        <v/>
      </c>
      <c r="AZ924" s="14" t="str">
        <f>IF(AO924&gt;0,ROUND(INDEX(挂机升级突破!$DT$6:$ED$57,卡牌消耗!AT924,AO924)*INDEX(卡牌消耗!$B$7:$F$7,AR924)/$Q$4,0),"")</f>
        <v/>
      </c>
    </row>
    <row r="925" spans="37:52" ht="16.5" x14ac:dyDescent="0.2">
      <c r="AK925" s="104">
        <v>921</v>
      </c>
      <c r="AL925" s="14">
        <f t="shared" si="415"/>
        <v>18</v>
      </c>
      <c r="AM925" s="14">
        <f>INDEX(挂机升级突破!DQ$6:DQ$57,卡牌消耗!$AT925)</f>
        <v>11</v>
      </c>
      <c r="AN925" s="14">
        <f>INDEX(挂机升级突破!DR$6:DR$57,卡牌消耗!$AT925)</f>
        <v>4</v>
      </c>
      <c r="AO925" s="14">
        <f>INDEX(挂机升级突破!DS$6:DS$57,卡牌消耗!$AT925)</f>
        <v>0</v>
      </c>
      <c r="AP925" s="14">
        <f>INDEX(挂机升级突破!$DP$6:$DP$57,卡牌消耗!AT925)</f>
        <v>110</v>
      </c>
      <c r="AQ925" s="14" t="str">
        <f t="shared" si="416"/>
        <v>噬日</v>
      </c>
      <c r="AR925" s="14">
        <f t="shared" si="417"/>
        <v>2</v>
      </c>
      <c r="AS925" s="14" t="str">
        <f t="shared" si="418"/>
        <v>噬日魂火-37</v>
      </c>
      <c r="AT925" s="14">
        <f t="shared" si="419"/>
        <v>37</v>
      </c>
      <c r="AU925" s="14" t="str">
        <f>IF(AM925&gt;0,INDEX(挂机升级突破!$DT$4:$ED$4,AM925),"")</f>
        <v>金币</v>
      </c>
      <c r="AV925" s="14">
        <f>ROUND(INDEX(挂机升级突破!$DJ$6:$DJ$57,卡牌消耗!AT925)*INDEX(卡牌消耗!$B$8:$F$8,AR925)/$Q$4/50,0)*50</f>
        <v>11650</v>
      </c>
      <c r="AW925" s="14" t="str">
        <f>IF(AN925&gt;0,INDEX(挂机升级突破!$DT$4:$ED$4,AN925),"")</f>
        <v>橙色基础材料</v>
      </c>
      <c r="AX925" s="14">
        <f>ROUND(INDEX(挂机升级突破!$DT$6:$ED$57,卡牌消耗!AT925,AN925)*INDEX(卡牌消耗!$B$5:$F$5,AR925)/$Q$4/5,0)*5</f>
        <v>25</v>
      </c>
      <c r="AY925" s="14" t="str">
        <f>IF(AO925&gt;0,INDEX(挂机升级突破!$DT$4:$ED$4,AO925),"")</f>
        <v/>
      </c>
      <c r="AZ925" s="14" t="str">
        <f>IF(AO925&gt;0,ROUND(INDEX(挂机升级突破!$DT$6:$ED$57,卡牌消耗!AT925,AO925)*INDEX(卡牌消耗!$B$7:$F$7,AR925)/$Q$4,0),"")</f>
        <v/>
      </c>
    </row>
    <row r="926" spans="37:52" ht="16.5" x14ac:dyDescent="0.2">
      <c r="AK926" s="104">
        <v>922</v>
      </c>
      <c r="AL926" s="14">
        <f t="shared" si="415"/>
        <v>18</v>
      </c>
      <c r="AM926" s="14">
        <f>INDEX(挂机升级突破!DQ$6:DQ$57,卡牌消耗!$AT926)</f>
        <v>11</v>
      </c>
      <c r="AN926" s="14">
        <f>INDEX(挂机升级突破!DR$6:DR$57,卡牌消耗!$AT926)</f>
        <v>5</v>
      </c>
      <c r="AO926" s="14">
        <f>INDEX(挂机升级突破!DS$6:DS$57,卡牌消耗!$AT926)</f>
        <v>0</v>
      </c>
      <c r="AP926" s="14">
        <f>INDEX(挂机升级突破!$DP$6:$DP$57,卡牌消耗!AT926)</f>
        <v>113</v>
      </c>
      <c r="AQ926" s="14" t="str">
        <f t="shared" si="416"/>
        <v>噬日</v>
      </c>
      <c r="AR926" s="14">
        <f t="shared" si="417"/>
        <v>2</v>
      </c>
      <c r="AS926" s="14" t="str">
        <f t="shared" si="418"/>
        <v>噬日魂火-38</v>
      </c>
      <c r="AT926" s="14">
        <f t="shared" si="419"/>
        <v>38</v>
      </c>
      <c r="AU926" s="14" t="str">
        <f>IF(AM926&gt;0,INDEX(挂机升级突破!$DT$4:$ED$4,AM926),"")</f>
        <v>金币</v>
      </c>
      <c r="AV926" s="14">
        <f>ROUND(INDEX(挂机升级突破!$DJ$6:$DJ$57,卡牌消耗!AT926)*INDEX(卡牌消耗!$B$8:$F$8,AR926)/$Q$4/50,0)*50</f>
        <v>15050</v>
      </c>
      <c r="AW926" s="14" t="str">
        <f>IF(AN926&gt;0,INDEX(挂机升级突破!$DT$4:$ED$4,AN926),"")</f>
        <v>红色基础材料</v>
      </c>
      <c r="AX926" s="14">
        <f>ROUND(INDEX(挂机升级突破!$DT$6:$ED$57,卡牌消耗!AT926,AN926)*INDEX(卡牌消耗!$B$5:$F$5,AR926)/$Q$4/5,0)*5</f>
        <v>5</v>
      </c>
      <c r="AY926" s="14" t="str">
        <f>IF(AO926&gt;0,INDEX(挂机升级突破!$DT$4:$ED$4,AO926),"")</f>
        <v/>
      </c>
      <c r="AZ926" s="14" t="str">
        <f>IF(AO926&gt;0,ROUND(INDEX(挂机升级突破!$DT$6:$ED$57,卡牌消耗!AT926,AO926)*INDEX(卡牌消耗!$B$7:$F$7,AR926)/$Q$4,0),"")</f>
        <v/>
      </c>
    </row>
    <row r="927" spans="37:52" ht="16.5" x14ac:dyDescent="0.2">
      <c r="AK927" s="104">
        <v>923</v>
      </c>
      <c r="AL927" s="14">
        <f t="shared" si="415"/>
        <v>18</v>
      </c>
      <c r="AM927" s="14">
        <f>INDEX(挂机升级突破!DQ$6:DQ$57,卡牌消耗!$AT927)</f>
        <v>11</v>
      </c>
      <c r="AN927" s="14">
        <f>INDEX(挂机升级突破!DR$6:DR$57,卡牌消耗!$AT927)</f>
        <v>5</v>
      </c>
      <c r="AO927" s="14">
        <f>INDEX(挂机升级突破!DS$6:DS$57,卡牌消耗!$AT927)</f>
        <v>0</v>
      </c>
      <c r="AP927" s="14">
        <f>INDEX(挂机升级突破!$DP$6:$DP$57,卡牌消耗!AT927)</f>
        <v>115</v>
      </c>
      <c r="AQ927" s="14" t="str">
        <f t="shared" si="416"/>
        <v>噬日</v>
      </c>
      <c r="AR927" s="14">
        <f t="shared" si="417"/>
        <v>2</v>
      </c>
      <c r="AS927" s="14" t="str">
        <f t="shared" si="418"/>
        <v>噬日魂火-39</v>
      </c>
      <c r="AT927" s="14">
        <f t="shared" si="419"/>
        <v>39</v>
      </c>
      <c r="AU927" s="14" t="str">
        <f>IF(AM927&gt;0,INDEX(挂机升级突破!$DT$4:$ED$4,AM927),"")</f>
        <v>金币</v>
      </c>
      <c r="AV927" s="14">
        <f>ROUND(INDEX(挂机升级突破!$DJ$6:$DJ$57,卡牌消耗!AT927)*INDEX(卡牌消耗!$B$8:$F$8,AR927)/$Q$4/50,0)*50</f>
        <v>15050</v>
      </c>
      <c r="AW927" s="14" t="str">
        <f>IF(AN927&gt;0,INDEX(挂机升级突破!$DT$4:$ED$4,AN927),"")</f>
        <v>红色基础材料</v>
      </c>
      <c r="AX927" s="14">
        <f>ROUND(INDEX(挂机升级突破!$DT$6:$ED$57,卡牌消耗!AT927,AN927)*INDEX(卡牌消耗!$B$5:$F$5,AR927)/$Q$4/5,0)*5</f>
        <v>5</v>
      </c>
      <c r="AY927" s="14" t="str">
        <f>IF(AO927&gt;0,INDEX(挂机升级突破!$DT$4:$ED$4,AO927),"")</f>
        <v/>
      </c>
      <c r="AZ927" s="14" t="str">
        <f>IF(AO927&gt;0,ROUND(INDEX(挂机升级突破!$DT$6:$ED$57,卡牌消耗!AT927,AO927)*INDEX(卡牌消耗!$B$7:$F$7,AR927)/$Q$4,0),"")</f>
        <v/>
      </c>
    </row>
    <row r="928" spans="37:52" ht="16.5" x14ac:dyDescent="0.2">
      <c r="AK928" s="104">
        <v>924</v>
      </c>
      <c r="AL928" s="14">
        <f t="shared" si="415"/>
        <v>18</v>
      </c>
      <c r="AM928" s="14">
        <f>INDEX(挂机升级突破!DQ$6:DQ$57,卡牌消耗!$AT928)</f>
        <v>11</v>
      </c>
      <c r="AN928" s="14">
        <f>INDEX(挂机升级突破!DR$6:DR$57,卡牌消耗!$AT928)</f>
        <v>5</v>
      </c>
      <c r="AO928" s="14">
        <f>INDEX(挂机升级突破!DS$6:DS$57,卡牌消耗!$AT928)</f>
        <v>0</v>
      </c>
      <c r="AP928" s="14">
        <f>INDEX(挂机升级突破!$DP$6:$DP$57,卡牌消耗!AT928)</f>
        <v>118</v>
      </c>
      <c r="AQ928" s="14" t="str">
        <f t="shared" si="416"/>
        <v>噬日</v>
      </c>
      <c r="AR928" s="14">
        <f t="shared" si="417"/>
        <v>2</v>
      </c>
      <c r="AS928" s="14" t="str">
        <f t="shared" si="418"/>
        <v>噬日魂火-40</v>
      </c>
      <c r="AT928" s="14">
        <f t="shared" si="419"/>
        <v>40</v>
      </c>
      <c r="AU928" s="14" t="str">
        <f>IF(AM928&gt;0,INDEX(挂机升级突破!$DT$4:$ED$4,AM928),"")</f>
        <v>金币</v>
      </c>
      <c r="AV928" s="14">
        <f>ROUND(INDEX(挂机升级突破!$DJ$6:$DJ$57,卡牌消耗!AT928)*INDEX(卡牌消耗!$B$8:$F$8,AR928)/$Q$4/50,0)*50</f>
        <v>15050</v>
      </c>
      <c r="AW928" s="14" t="str">
        <f>IF(AN928&gt;0,INDEX(挂机升级突破!$DT$4:$ED$4,AN928),"")</f>
        <v>红色基础材料</v>
      </c>
      <c r="AX928" s="14">
        <f>ROUND(INDEX(挂机升级突破!$DT$6:$ED$57,卡牌消耗!AT928,AN928)*INDEX(卡牌消耗!$B$5:$F$5,AR928)/$Q$4/5,0)*5</f>
        <v>5</v>
      </c>
      <c r="AY928" s="14" t="str">
        <f>IF(AO928&gt;0,INDEX(挂机升级突破!$DT$4:$ED$4,AO928),"")</f>
        <v/>
      </c>
      <c r="AZ928" s="14" t="str">
        <f>IF(AO928&gt;0,ROUND(INDEX(挂机升级突破!$DT$6:$ED$57,卡牌消耗!AT928,AO928)*INDEX(卡牌消耗!$B$7:$F$7,AR928)/$Q$4,0),"")</f>
        <v/>
      </c>
    </row>
    <row r="929" spans="37:52" ht="16.5" x14ac:dyDescent="0.2">
      <c r="AK929" s="104">
        <v>925</v>
      </c>
      <c r="AL929" s="14">
        <f t="shared" si="415"/>
        <v>18</v>
      </c>
      <c r="AM929" s="14">
        <f>INDEX(挂机升级突破!DQ$6:DQ$57,卡牌消耗!$AT929)</f>
        <v>11</v>
      </c>
      <c r="AN929" s="14">
        <f>INDEX(挂机升级突破!DR$6:DR$57,卡牌消耗!$AT929)</f>
        <v>5</v>
      </c>
      <c r="AO929" s="14">
        <f>INDEX(挂机升级突破!DS$6:DS$57,卡牌消耗!$AT929)</f>
        <v>10</v>
      </c>
      <c r="AP929" s="14">
        <f>INDEX(挂机升级突破!$DP$6:$DP$57,卡牌消耗!AT929)</f>
        <v>120</v>
      </c>
      <c r="AQ929" s="14" t="str">
        <f t="shared" si="416"/>
        <v>噬日</v>
      </c>
      <c r="AR929" s="14">
        <f t="shared" si="417"/>
        <v>2</v>
      </c>
      <c r="AS929" s="14" t="str">
        <f t="shared" si="418"/>
        <v>噬日魂火-41</v>
      </c>
      <c r="AT929" s="14">
        <f t="shared" si="419"/>
        <v>41</v>
      </c>
      <c r="AU929" s="14" t="str">
        <f>IF(AM929&gt;0,INDEX(挂机升级突破!$DT$4:$ED$4,AM929),"")</f>
        <v>金币</v>
      </c>
      <c r="AV929" s="14">
        <f>ROUND(INDEX(挂机升级突破!$DJ$6:$DJ$57,卡牌消耗!AT929)*INDEX(卡牌消耗!$B$8:$F$8,AR929)/$Q$4/50,0)*50</f>
        <v>20700</v>
      </c>
      <c r="AW929" s="14" t="str">
        <f>IF(AN929&gt;0,INDEX(挂机升级突破!$DT$4:$ED$4,AN929),"")</f>
        <v>红色基础材料</v>
      </c>
      <c r="AX929" s="14">
        <f>ROUND(INDEX(挂机升级突破!$DT$6:$ED$57,卡牌消耗!AT929,AN929)*INDEX(卡牌消耗!$B$5:$F$5,AR929)/$Q$4/5,0)*5</f>
        <v>10</v>
      </c>
      <c r="AY929" s="14" t="str">
        <f>IF(AO929&gt;0,INDEX(挂机升级突破!$DT$4:$ED$4,AO929),"")</f>
        <v>灵玉</v>
      </c>
      <c r="AZ929" s="14">
        <f>IF(AO929&gt;0,ROUND(INDEX(挂机升级突破!$DT$6:$ED$57,卡牌消耗!AT929,AO929)*INDEX(卡牌消耗!$B$7:$F$7,AR929)/$Q$4,0),"")</f>
        <v>1</v>
      </c>
    </row>
    <row r="930" spans="37:52" ht="16.5" x14ac:dyDescent="0.2">
      <c r="AK930" s="104">
        <v>926</v>
      </c>
      <c r="AL930" s="14">
        <f t="shared" si="415"/>
        <v>18</v>
      </c>
      <c r="AM930" s="14">
        <f>INDEX(挂机升级突破!DQ$6:DQ$57,卡牌消耗!$AT930)</f>
        <v>11</v>
      </c>
      <c r="AN930" s="14">
        <f>INDEX(挂机升级突破!DR$6:DR$57,卡牌消耗!$AT930)</f>
        <v>5</v>
      </c>
      <c r="AO930" s="14">
        <f>INDEX(挂机升级突破!DS$6:DS$57,卡牌消耗!$AT930)</f>
        <v>10</v>
      </c>
      <c r="AP930" s="14">
        <f>INDEX(挂机升级突破!$DP$6:$DP$57,卡牌消耗!AT930)</f>
        <v>123</v>
      </c>
      <c r="AQ930" s="14" t="str">
        <f t="shared" si="416"/>
        <v>噬日</v>
      </c>
      <c r="AR930" s="14">
        <f t="shared" si="417"/>
        <v>2</v>
      </c>
      <c r="AS930" s="14" t="str">
        <f t="shared" si="418"/>
        <v>噬日魂火-42</v>
      </c>
      <c r="AT930" s="14">
        <f t="shared" si="419"/>
        <v>42</v>
      </c>
      <c r="AU930" s="14" t="str">
        <f>IF(AM930&gt;0,INDEX(挂机升级突破!$DT$4:$ED$4,AM930),"")</f>
        <v>金币</v>
      </c>
      <c r="AV930" s="14">
        <f>ROUND(INDEX(挂机升级突破!$DJ$6:$DJ$57,卡牌消耗!AT930)*INDEX(卡牌消耗!$B$8:$F$8,AR930)/$Q$4/50,0)*50</f>
        <v>20700</v>
      </c>
      <c r="AW930" s="14" t="str">
        <f>IF(AN930&gt;0,INDEX(挂机升级突破!$DT$4:$ED$4,AN930),"")</f>
        <v>红色基础材料</v>
      </c>
      <c r="AX930" s="14">
        <f>ROUND(INDEX(挂机升级突破!$DT$6:$ED$57,卡牌消耗!AT930,AN930)*INDEX(卡牌消耗!$B$5:$F$5,AR930)/$Q$4/5,0)*5</f>
        <v>10</v>
      </c>
      <c r="AY930" s="14" t="str">
        <f>IF(AO930&gt;0,INDEX(挂机升级突破!$DT$4:$ED$4,AO930),"")</f>
        <v>灵玉</v>
      </c>
      <c r="AZ930" s="14">
        <f>IF(AO930&gt;0,ROUND(INDEX(挂机升级突破!$DT$6:$ED$57,卡牌消耗!AT930,AO930)*INDEX(卡牌消耗!$B$7:$F$7,AR930)/$Q$4,0),"")</f>
        <v>1</v>
      </c>
    </row>
    <row r="931" spans="37:52" ht="16.5" x14ac:dyDescent="0.2">
      <c r="AK931" s="104">
        <v>927</v>
      </c>
      <c r="AL931" s="14">
        <f t="shared" si="415"/>
        <v>18</v>
      </c>
      <c r="AM931" s="14">
        <f>INDEX(挂机升级突破!DQ$6:DQ$57,卡牌消耗!$AT931)</f>
        <v>11</v>
      </c>
      <c r="AN931" s="14">
        <f>INDEX(挂机升级突破!DR$6:DR$57,卡牌消耗!$AT931)</f>
        <v>5</v>
      </c>
      <c r="AO931" s="14">
        <f>INDEX(挂机升级突破!DS$6:DS$57,卡牌消耗!$AT931)</f>
        <v>10</v>
      </c>
      <c r="AP931" s="14">
        <f>INDEX(挂机升级突破!$DP$6:$DP$57,卡牌消耗!AT931)</f>
        <v>125</v>
      </c>
      <c r="AQ931" s="14" t="str">
        <f t="shared" si="416"/>
        <v>噬日</v>
      </c>
      <c r="AR931" s="14">
        <f t="shared" si="417"/>
        <v>2</v>
      </c>
      <c r="AS931" s="14" t="str">
        <f t="shared" si="418"/>
        <v>噬日魂火-43</v>
      </c>
      <c r="AT931" s="14">
        <f t="shared" si="419"/>
        <v>43</v>
      </c>
      <c r="AU931" s="14" t="str">
        <f>IF(AM931&gt;0,INDEX(挂机升级突破!$DT$4:$ED$4,AM931),"")</f>
        <v>金币</v>
      </c>
      <c r="AV931" s="14">
        <f>ROUND(INDEX(挂机升级突破!$DJ$6:$DJ$57,卡牌消耗!AT931)*INDEX(卡牌消耗!$B$8:$F$8,AR931)/$Q$4/50,0)*50</f>
        <v>20700</v>
      </c>
      <c r="AW931" s="14" t="str">
        <f>IF(AN931&gt;0,INDEX(挂机升级突破!$DT$4:$ED$4,AN931),"")</f>
        <v>红色基础材料</v>
      </c>
      <c r="AX931" s="14">
        <f>ROUND(INDEX(挂机升级突破!$DT$6:$ED$57,卡牌消耗!AT931,AN931)*INDEX(卡牌消耗!$B$5:$F$5,AR931)/$Q$4/5,0)*5</f>
        <v>10</v>
      </c>
      <c r="AY931" s="14" t="str">
        <f>IF(AO931&gt;0,INDEX(挂机升级突破!$DT$4:$ED$4,AO931),"")</f>
        <v>灵玉</v>
      </c>
      <c r="AZ931" s="14">
        <f>IF(AO931&gt;0,ROUND(INDEX(挂机升级突破!$DT$6:$ED$57,卡牌消耗!AT931,AO931)*INDEX(卡牌消耗!$B$7:$F$7,AR931)/$Q$4,0),"")</f>
        <v>1</v>
      </c>
    </row>
    <row r="932" spans="37:52" ht="16.5" x14ac:dyDescent="0.2">
      <c r="AK932" s="104">
        <v>928</v>
      </c>
      <c r="AL932" s="14">
        <f t="shared" si="415"/>
        <v>18</v>
      </c>
      <c r="AM932" s="14">
        <f>INDEX(挂机升级突破!DQ$6:DQ$57,卡牌消耗!$AT932)</f>
        <v>11</v>
      </c>
      <c r="AN932" s="14">
        <f>INDEX(挂机升级突破!DR$6:DR$57,卡牌消耗!$AT932)</f>
        <v>5</v>
      </c>
      <c r="AO932" s="14">
        <f>INDEX(挂机升级突破!DS$6:DS$57,卡牌消耗!$AT932)</f>
        <v>10</v>
      </c>
      <c r="AP932" s="14">
        <f>INDEX(挂机升级突破!$DP$6:$DP$57,卡牌消耗!AT932)</f>
        <v>128</v>
      </c>
      <c r="AQ932" s="14" t="str">
        <f t="shared" si="416"/>
        <v>噬日</v>
      </c>
      <c r="AR932" s="14">
        <f t="shared" si="417"/>
        <v>2</v>
      </c>
      <c r="AS932" s="14" t="str">
        <f t="shared" si="418"/>
        <v>噬日魂火-44</v>
      </c>
      <c r="AT932" s="14">
        <f t="shared" si="419"/>
        <v>44</v>
      </c>
      <c r="AU932" s="14" t="str">
        <f>IF(AM932&gt;0,INDEX(挂机升级突破!$DT$4:$ED$4,AM932),"")</f>
        <v>金币</v>
      </c>
      <c r="AV932" s="14">
        <f>ROUND(INDEX(挂机升级突破!$DJ$6:$DJ$57,卡牌消耗!AT932)*INDEX(卡牌消耗!$B$8:$F$8,AR932)/$Q$4/50,0)*50</f>
        <v>26300</v>
      </c>
      <c r="AW932" s="14" t="str">
        <f>IF(AN932&gt;0,INDEX(挂机升级突破!$DT$4:$ED$4,AN932),"")</f>
        <v>红色基础材料</v>
      </c>
      <c r="AX932" s="14">
        <f>ROUND(INDEX(挂机升级突破!$DT$6:$ED$57,卡牌消耗!AT932,AN932)*INDEX(卡牌消耗!$B$5:$F$5,AR932)/$Q$4/5,0)*5</f>
        <v>10</v>
      </c>
      <c r="AY932" s="14" t="str">
        <f>IF(AO932&gt;0,INDEX(挂机升级突破!$DT$4:$ED$4,AO932),"")</f>
        <v>灵玉</v>
      </c>
      <c r="AZ932" s="14">
        <f>IF(AO932&gt;0,ROUND(INDEX(挂机升级突破!$DT$6:$ED$57,卡牌消耗!AT932,AO932)*INDEX(卡牌消耗!$B$7:$F$7,AR932)/$Q$4,0),"")</f>
        <v>1</v>
      </c>
    </row>
    <row r="933" spans="37:52" ht="16.5" x14ac:dyDescent="0.2">
      <c r="AK933" s="104">
        <v>929</v>
      </c>
      <c r="AL933" s="14">
        <f t="shared" si="415"/>
        <v>18</v>
      </c>
      <c r="AM933" s="14">
        <f>INDEX(挂机升级突破!DQ$6:DQ$57,卡牌消耗!$AT933)</f>
        <v>11</v>
      </c>
      <c r="AN933" s="14">
        <f>INDEX(挂机升级突破!DR$6:DR$57,卡牌消耗!$AT933)</f>
        <v>5</v>
      </c>
      <c r="AO933" s="14">
        <f>INDEX(挂机升级突破!DS$6:DS$57,卡牌消耗!$AT933)</f>
        <v>10</v>
      </c>
      <c r="AP933" s="14">
        <f>INDEX(挂机升级突破!$DP$6:$DP$57,卡牌消耗!AT933)</f>
        <v>130</v>
      </c>
      <c r="AQ933" s="14" t="str">
        <f t="shared" si="416"/>
        <v>噬日</v>
      </c>
      <c r="AR933" s="14">
        <f t="shared" si="417"/>
        <v>2</v>
      </c>
      <c r="AS933" s="14" t="str">
        <f t="shared" si="418"/>
        <v>噬日魂火-45</v>
      </c>
      <c r="AT933" s="14">
        <f t="shared" si="419"/>
        <v>45</v>
      </c>
      <c r="AU933" s="14" t="str">
        <f>IF(AM933&gt;0,INDEX(挂机升级突破!$DT$4:$ED$4,AM933),"")</f>
        <v>金币</v>
      </c>
      <c r="AV933" s="14">
        <f>ROUND(INDEX(挂机升级突破!$DJ$6:$DJ$57,卡牌消耗!AT933)*INDEX(卡牌消耗!$B$8:$F$8,AR933)/$Q$4/50,0)*50</f>
        <v>26300</v>
      </c>
      <c r="AW933" s="14" t="str">
        <f>IF(AN933&gt;0,INDEX(挂机升级突破!$DT$4:$ED$4,AN933),"")</f>
        <v>红色基础材料</v>
      </c>
      <c r="AX933" s="14">
        <f>ROUND(INDEX(挂机升级突破!$DT$6:$ED$57,卡牌消耗!AT933,AN933)*INDEX(卡牌消耗!$B$5:$F$5,AR933)/$Q$4/5,0)*5</f>
        <v>10</v>
      </c>
      <c r="AY933" s="14" t="str">
        <f>IF(AO933&gt;0,INDEX(挂机升级突破!$DT$4:$ED$4,AO933),"")</f>
        <v>灵玉</v>
      </c>
      <c r="AZ933" s="14">
        <f>IF(AO933&gt;0,ROUND(INDEX(挂机升级突破!$DT$6:$ED$57,卡牌消耗!AT933,AO933)*INDEX(卡牌消耗!$B$7:$F$7,AR933)/$Q$4,0),"")</f>
        <v>1</v>
      </c>
    </row>
    <row r="934" spans="37:52" ht="16.5" x14ac:dyDescent="0.2">
      <c r="AK934" s="104">
        <v>930</v>
      </c>
      <c r="AL934" s="14">
        <f t="shared" si="415"/>
        <v>18</v>
      </c>
      <c r="AM934" s="14">
        <f>INDEX(挂机升级突破!DQ$6:DQ$57,卡牌消耗!$AT934)</f>
        <v>11</v>
      </c>
      <c r="AN934" s="14">
        <f>INDEX(挂机升级突破!DR$6:DR$57,卡牌消耗!$AT934)</f>
        <v>5</v>
      </c>
      <c r="AO934" s="14">
        <f>INDEX(挂机升级突破!DS$6:DS$57,卡牌消耗!$AT934)</f>
        <v>10</v>
      </c>
      <c r="AP934" s="14">
        <f>INDEX(挂机升级突破!$DP$6:$DP$57,卡牌消耗!AT934)</f>
        <v>133</v>
      </c>
      <c r="AQ934" s="14" t="str">
        <f t="shared" si="416"/>
        <v>噬日</v>
      </c>
      <c r="AR934" s="14">
        <f t="shared" si="417"/>
        <v>2</v>
      </c>
      <c r="AS934" s="14" t="str">
        <f t="shared" si="418"/>
        <v>噬日魂火-46</v>
      </c>
      <c r="AT934" s="14">
        <f t="shared" si="419"/>
        <v>46</v>
      </c>
      <c r="AU934" s="14" t="str">
        <f>IF(AM934&gt;0,INDEX(挂机升级突破!$DT$4:$ED$4,AM934),"")</f>
        <v>金币</v>
      </c>
      <c r="AV934" s="14">
        <f>ROUND(INDEX(挂机升级突破!$DJ$6:$DJ$57,卡牌消耗!AT934)*INDEX(卡牌消耗!$B$8:$F$8,AR934)/$Q$4/50,0)*50</f>
        <v>28200</v>
      </c>
      <c r="AW934" s="14" t="str">
        <f>IF(AN934&gt;0,INDEX(挂机升级突破!$DT$4:$ED$4,AN934),"")</f>
        <v>红色基础材料</v>
      </c>
      <c r="AX934" s="14">
        <f>ROUND(INDEX(挂机升级突破!$DT$6:$ED$57,卡牌消耗!AT934,AN934)*INDEX(卡牌消耗!$B$5:$F$5,AR934)/$Q$4/5,0)*5</f>
        <v>10</v>
      </c>
      <c r="AY934" s="14" t="str">
        <f>IF(AO934&gt;0,INDEX(挂机升级突破!$DT$4:$ED$4,AO934),"")</f>
        <v>灵玉</v>
      </c>
      <c r="AZ934" s="14">
        <f>IF(AO934&gt;0,ROUND(INDEX(挂机升级突破!$DT$6:$ED$57,卡牌消耗!AT934,AO934)*INDEX(卡牌消耗!$B$7:$F$7,AR934)/$Q$4,0),"")</f>
        <v>1</v>
      </c>
    </row>
    <row r="935" spans="37:52" ht="16.5" x14ac:dyDescent="0.2">
      <c r="AK935" s="104">
        <v>931</v>
      </c>
      <c r="AL935" s="14">
        <f t="shared" si="415"/>
        <v>18</v>
      </c>
      <c r="AM935" s="14">
        <f>INDEX(挂机升级突破!DQ$6:DQ$57,卡牌消耗!$AT935)</f>
        <v>11</v>
      </c>
      <c r="AN935" s="14">
        <f>INDEX(挂机升级突破!DR$6:DR$57,卡牌消耗!$AT935)</f>
        <v>5</v>
      </c>
      <c r="AO935" s="14">
        <f>INDEX(挂机升级突破!DS$6:DS$57,卡牌消耗!$AT935)</f>
        <v>10</v>
      </c>
      <c r="AP935" s="14">
        <f>INDEX(挂机升级突破!$DP$6:$DP$57,卡牌消耗!AT935)</f>
        <v>135</v>
      </c>
      <c r="AQ935" s="14" t="str">
        <f t="shared" si="416"/>
        <v>噬日</v>
      </c>
      <c r="AR935" s="14">
        <f t="shared" si="417"/>
        <v>2</v>
      </c>
      <c r="AS935" s="14" t="str">
        <f t="shared" si="418"/>
        <v>噬日魂火-47</v>
      </c>
      <c r="AT935" s="14">
        <f t="shared" si="419"/>
        <v>47</v>
      </c>
      <c r="AU935" s="14" t="str">
        <f>IF(AM935&gt;0,INDEX(挂机升级突破!$DT$4:$ED$4,AM935),"")</f>
        <v>金币</v>
      </c>
      <c r="AV935" s="14">
        <f>ROUND(INDEX(挂机升级突破!$DJ$6:$DJ$57,卡牌消耗!AT935)*INDEX(卡牌消耗!$B$8:$F$8,AR935)/$Q$4/50,0)*50</f>
        <v>57450</v>
      </c>
      <c r="AW935" s="14" t="str">
        <f>IF(AN935&gt;0,INDEX(挂机升级突破!$DT$4:$ED$4,AN935),"")</f>
        <v>红色基础材料</v>
      </c>
      <c r="AX935" s="14">
        <f>ROUND(INDEX(挂机升级突破!$DT$6:$ED$57,卡牌消耗!AT935,AN935)*INDEX(卡牌消耗!$B$5:$F$5,AR935)/$Q$4/5,0)*5</f>
        <v>10</v>
      </c>
      <c r="AY935" s="14" t="str">
        <f>IF(AO935&gt;0,INDEX(挂机升级突破!$DT$4:$ED$4,AO935),"")</f>
        <v>灵玉</v>
      </c>
      <c r="AZ935" s="14">
        <f>IF(AO935&gt;0,ROUND(INDEX(挂机升级突破!$DT$6:$ED$57,卡牌消耗!AT935,AO935)*INDEX(卡牌消耗!$B$7:$F$7,AR935)/$Q$4,0),"")</f>
        <v>1</v>
      </c>
    </row>
    <row r="936" spans="37:52" ht="16.5" x14ac:dyDescent="0.2">
      <c r="AK936" s="104">
        <v>932</v>
      </c>
      <c r="AL936" s="14">
        <f t="shared" si="415"/>
        <v>18</v>
      </c>
      <c r="AM936" s="14">
        <f>INDEX(挂机升级突破!DQ$6:DQ$57,卡牌消耗!$AT936)</f>
        <v>11</v>
      </c>
      <c r="AN936" s="14">
        <f>INDEX(挂机升级突破!DR$6:DR$57,卡牌消耗!$AT936)</f>
        <v>5</v>
      </c>
      <c r="AO936" s="14">
        <f>INDEX(挂机升级突破!DS$6:DS$57,卡牌消耗!$AT936)</f>
        <v>10</v>
      </c>
      <c r="AP936" s="14">
        <f>INDEX(挂机升级突破!$DP$6:$DP$57,卡牌消耗!AT936)</f>
        <v>138</v>
      </c>
      <c r="AQ936" s="14" t="str">
        <f t="shared" si="416"/>
        <v>噬日</v>
      </c>
      <c r="AR936" s="14">
        <f t="shared" si="417"/>
        <v>2</v>
      </c>
      <c r="AS936" s="14" t="str">
        <f t="shared" si="418"/>
        <v>噬日魂火-48</v>
      </c>
      <c r="AT936" s="14">
        <f t="shared" si="419"/>
        <v>48</v>
      </c>
      <c r="AU936" s="14" t="str">
        <f>IF(AM936&gt;0,INDEX(挂机升级突破!$DT$4:$ED$4,AM936),"")</f>
        <v>金币</v>
      </c>
      <c r="AV936" s="14">
        <f>ROUND(INDEX(挂机升级突破!$DJ$6:$DJ$57,卡牌消耗!AT936)*INDEX(卡牌消耗!$B$8:$F$8,AR936)/$Q$4/50,0)*50</f>
        <v>57450</v>
      </c>
      <c r="AW936" s="14" t="str">
        <f>IF(AN936&gt;0,INDEX(挂机升级突破!$DT$4:$ED$4,AN936),"")</f>
        <v>红色基础材料</v>
      </c>
      <c r="AX936" s="14">
        <f>ROUND(INDEX(挂机升级突破!$DT$6:$ED$57,卡牌消耗!AT936,AN936)*INDEX(卡牌消耗!$B$5:$F$5,AR936)/$Q$4/5,0)*5</f>
        <v>10</v>
      </c>
      <c r="AY936" s="14" t="str">
        <f>IF(AO936&gt;0,INDEX(挂机升级突破!$DT$4:$ED$4,AO936),"")</f>
        <v>灵玉</v>
      </c>
      <c r="AZ936" s="14">
        <f>IF(AO936&gt;0,ROUND(INDEX(挂机升级突破!$DT$6:$ED$57,卡牌消耗!AT936,AO936)*INDEX(卡牌消耗!$B$7:$F$7,AR936)/$Q$4,0),"")</f>
        <v>1</v>
      </c>
    </row>
    <row r="937" spans="37:52" ht="16.5" x14ac:dyDescent="0.2">
      <c r="AK937" s="104">
        <v>933</v>
      </c>
      <c r="AL937" s="14">
        <f t="shared" si="415"/>
        <v>18</v>
      </c>
      <c r="AM937" s="14">
        <f>INDEX(挂机升级突破!DQ$6:DQ$57,卡牌消耗!$AT937)</f>
        <v>11</v>
      </c>
      <c r="AN937" s="14">
        <f>INDEX(挂机升级突破!DR$6:DR$57,卡牌消耗!$AT937)</f>
        <v>5</v>
      </c>
      <c r="AO937" s="14">
        <f>INDEX(挂机升级突破!DS$6:DS$57,卡牌消耗!$AT937)</f>
        <v>10</v>
      </c>
      <c r="AP937" s="14">
        <f>INDEX(挂机升级突破!$DP$6:$DP$57,卡牌消耗!AT937)</f>
        <v>140</v>
      </c>
      <c r="AQ937" s="14" t="str">
        <f t="shared" si="416"/>
        <v>噬日</v>
      </c>
      <c r="AR937" s="14">
        <f t="shared" si="417"/>
        <v>2</v>
      </c>
      <c r="AS937" s="14" t="str">
        <f t="shared" si="418"/>
        <v>噬日魂火-49</v>
      </c>
      <c r="AT937" s="14">
        <f t="shared" si="419"/>
        <v>49</v>
      </c>
      <c r="AU937" s="14" t="str">
        <f>IF(AM937&gt;0,INDEX(挂机升级突破!$DT$4:$ED$4,AM937),"")</f>
        <v>金币</v>
      </c>
      <c r="AV937" s="14">
        <f>ROUND(INDEX(挂机升级突破!$DJ$6:$DJ$57,卡牌消耗!AT937)*INDEX(卡牌消耗!$B$8:$F$8,AR937)/$Q$4/50,0)*50</f>
        <v>57450</v>
      </c>
      <c r="AW937" s="14" t="str">
        <f>IF(AN937&gt;0,INDEX(挂机升级突破!$DT$4:$ED$4,AN937),"")</f>
        <v>红色基础材料</v>
      </c>
      <c r="AX937" s="14">
        <f>ROUND(INDEX(挂机升级突破!$DT$6:$ED$57,卡牌消耗!AT937,AN937)*INDEX(卡牌消耗!$B$5:$F$5,AR937)/$Q$4/5,0)*5</f>
        <v>10</v>
      </c>
      <c r="AY937" s="14" t="str">
        <f>IF(AO937&gt;0,INDEX(挂机升级突破!$DT$4:$ED$4,AO937),"")</f>
        <v>灵玉</v>
      </c>
      <c r="AZ937" s="14">
        <f>IF(AO937&gt;0,ROUND(INDEX(挂机升级突破!$DT$6:$ED$57,卡牌消耗!AT937,AO937)*INDEX(卡牌消耗!$B$7:$F$7,AR937)/$Q$4,0),"")</f>
        <v>1</v>
      </c>
    </row>
    <row r="938" spans="37:52" ht="16.5" x14ac:dyDescent="0.2">
      <c r="AK938" s="104">
        <v>934</v>
      </c>
      <c r="AL938" s="14">
        <f t="shared" si="415"/>
        <v>18</v>
      </c>
      <c r="AM938" s="14">
        <f>INDEX(挂机升级突破!DQ$6:DQ$57,卡牌消耗!$AT938)</f>
        <v>11</v>
      </c>
      <c r="AN938" s="14">
        <f>INDEX(挂机升级突破!DR$6:DR$57,卡牌消耗!$AT938)</f>
        <v>5</v>
      </c>
      <c r="AO938" s="14">
        <f>INDEX(挂机升级突破!DS$6:DS$57,卡牌消耗!$AT938)</f>
        <v>10</v>
      </c>
      <c r="AP938" s="14">
        <f>INDEX(挂机升级突破!$DP$6:$DP$57,卡牌消耗!AT938)</f>
        <v>143</v>
      </c>
      <c r="AQ938" s="14" t="str">
        <f t="shared" si="416"/>
        <v>噬日</v>
      </c>
      <c r="AR938" s="14">
        <f t="shared" si="417"/>
        <v>2</v>
      </c>
      <c r="AS938" s="14" t="str">
        <f t="shared" si="418"/>
        <v>噬日魂火-50</v>
      </c>
      <c r="AT938" s="14">
        <f t="shared" si="419"/>
        <v>50</v>
      </c>
      <c r="AU938" s="14" t="str">
        <f>IF(AM938&gt;0,INDEX(挂机升级突破!$DT$4:$ED$4,AM938),"")</f>
        <v>金币</v>
      </c>
      <c r="AV938" s="14">
        <f>ROUND(INDEX(挂机升级突破!$DJ$6:$DJ$57,卡牌消耗!AT938)*INDEX(卡牌消耗!$B$8:$F$8,AR938)/$Q$4/50,0)*50</f>
        <v>95750</v>
      </c>
      <c r="AW938" s="14" t="str">
        <f>IF(AN938&gt;0,INDEX(挂机升级突破!$DT$4:$ED$4,AN938),"")</f>
        <v>红色基础材料</v>
      </c>
      <c r="AX938" s="14">
        <f>ROUND(INDEX(挂机升级突破!$DT$6:$ED$57,卡牌消耗!AT938,AN938)*INDEX(卡牌消耗!$B$5:$F$5,AR938)/$Q$4/5,0)*5</f>
        <v>10</v>
      </c>
      <c r="AY938" s="14" t="str">
        <f>IF(AO938&gt;0,INDEX(挂机升级突破!$DT$4:$ED$4,AO938),"")</f>
        <v>灵玉</v>
      </c>
      <c r="AZ938" s="14">
        <f>IF(AO938&gt;0,ROUND(INDEX(挂机升级突破!$DT$6:$ED$57,卡牌消耗!AT938,AO938)*INDEX(卡牌消耗!$B$7:$F$7,AR938)/$Q$4,0),"")</f>
        <v>1</v>
      </c>
    </row>
    <row r="939" spans="37:52" ht="16.5" x14ac:dyDescent="0.2">
      <c r="AK939" s="104">
        <v>935</v>
      </c>
      <c r="AL939" s="14">
        <f t="shared" si="415"/>
        <v>18</v>
      </c>
      <c r="AM939" s="14">
        <f>INDEX(挂机升级突破!DQ$6:DQ$57,卡牌消耗!$AT939)</f>
        <v>11</v>
      </c>
      <c r="AN939" s="14">
        <f>INDEX(挂机升级突破!DR$6:DR$57,卡牌消耗!$AT939)</f>
        <v>5</v>
      </c>
      <c r="AO939" s="14">
        <f>INDEX(挂机升级突破!DS$6:DS$57,卡牌消耗!$AT939)</f>
        <v>10</v>
      </c>
      <c r="AP939" s="14">
        <f>INDEX(挂机升级突破!$DP$6:$DP$57,卡牌消耗!AT939)</f>
        <v>145</v>
      </c>
      <c r="AQ939" s="14" t="str">
        <f t="shared" si="416"/>
        <v>噬日</v>
      </c>
      <c r="AR939" s="14">
        <f t="shared" si="417"/>
        <v>2</v>
      </c>
      <c r="AS939" s="14" t="str">
        <f t="shared" si="418"/>
        <v>噬日魂火-51</v>
      </c>
      <c r="AT939" s="14">
        <f t="shared" si="419"/>
        <v>51</v>
      </c>
      <c r="AU939" s="14" t="str">
        <f>IF(AM939&gt;0,INDEX(挂机升级突破!$DT$4:$ED$4,AM939),"")</f>
        <v>金币</v>
      </c>
      <c r="AV939" s="14">
        <f>ROUND(INDEX(挂机升级突破!$DJ$6:$DJ$57,卡牌消耗!AT939)*INDEX(卡牌消耗!$B$8:$F$8,AR939)/$Q$4/50,0)*50</f>
        <v>105300</v>
      </c>
      <c r="AW939" s="14" t="str">
        <f>IF(AN939&gt;0,INDEX(挂机升级突破!$DT$4:$ED$4,AN939),"")</f>
        <v>红色基础材料</v>
      </c>
      <c r="AX939" s="14">
        <f>ROUND(INDEX(挂机升级突破!$DT$6:$ED$57,卡牌消耗!AT939,AN939)*INDEX(卡牌消耗!$B$5:$F$5,AR939)/$Q$4/5,0)*5</f>
        <v>10</v>
      </c>
      <c r="AY939" s="14" t="str">
        <f>IF(AO939&gt;0,INDEX(挂机升级突破!$DT$4:$ED$4,AO939),"")</f>
        <v>灵玉</v>
      </c>
      <c r="AZ939" s="14">
        <f>IF(AO939&gt;0,ROUND(INDEX(挂机升级突破!$DT$6:$ED$57,卡牌消耗!AT939,AO939)*INDEX(卡牌消耗!$B$7:$F$7,AR939)/$Q$4,0),"")</f>
        <v>1</v>
      </c>
    </row>
    <row r="940" spans="37:52" ht="16.5" x14ac:dyDescent="0.2">
      <c r="AK940" s="104">
        <v>936</v>
      </c>
      <c r="AL940" s="14">
        <f t="shared" si="415"/>
        <v>18</v>
      </c>
      <c r="AM940" s="14">
        <f>INDEX(挂机升级突破!DQ$6:DQ$57,卡牌消耗!$AT940)</f>
        <v>11</v>
      </c>
      <c r="AN940" s="14">
        <f>INDEX(挂机升级突破!DR$6:DR$57,卡牌消耗!$AT940)</f>
        <v>5</v>
      </c>
      <c r="AO940" s="14">
        <f>INDEX(挂机升级突破!DS$6:DS$57,卡牌消耗!$AT940)</f>
        <v>10</v>
      </c>
      <c r="AP940" s="14">
        <f>INDEX(挂机升级突破!$DP$6:$DP$57,卡牌消耗!AT940)</f>
        <v>148</v>
      </c>
      <c r="AQ940" s="14" t="str">
        <f t="shared" si="416"/>
        <v>噬日</v>
      </c>
      <c r="AR940" s="14">
        <f t="shared" si="417"/>
        <v>2</v>
      </c>
      <c r="AS940" s="14" t="str">
        <f t="shared" si="418"/>
        <v>噬日魂火-52</v>
      </c>
      <c r="AT940" s="14">
        <f t="shared" si="419"/>
        <v>52</v>
      </c>
      <c r="AU940" s="14" t="str">
        <f>IF(AM940&gt;0,INDEX(挂机升级突破!$DT$4:$ED$4,AM940),"")</f>
        <v>金币</v>
      </c>
      <c r="AV940" s="14">
        <f>ROUND(INDEX(挂机升级突破!$DJ$6:$DJ$57,卡牌消耗!AT940)*INDEX(卡牌消耗!$B$8:$F$8,AR940)/$Q$4/50,0)*50</f>
        <v>105300</v>
      </c>
      <c r="AW940" s="14" t="str">
        <f>IF(AN940&gt;0,INDEX(挂机升级突破!$DT$4:$ED$4,AN940),"")</f>
        <v>红色基础材料</v>
      </c>
      <c r="AX940" s="14">
        <f>ROUND(INDEX(挂机升级突破!$DT$6:$ED$57,卡牌消耗!AT940,AN940)*INDEX(卡牌消耗!$B$5:$F$5,AR940)/$Q$4/5,0)*5</f>
        <v>10</v>
      </c>
      <c r="AY940" s="14" t="str">
        <f>IF(AO940&gt;0,INDEX(挂机升级突破!$DT$4:$ED$4,AO940),"")</f>
        <v>灵玉</v>
      </c>
      <c r="AZ940" s="14">
        <f>IF(AO940&gt;0,ROUND(INDEX(挂机升级突破!$DT$6:$ED$57,卡牌消耗!AT940,AO940)*INDEX(卡牌消耗!$B$7:$F$7,AR940)/$Q$4,0),"")</f>
        <v>1</v>
      </c>
    </row>
    <row r="941" spans="37:52" ht="16.5" x14ac:dyDescent="0.2">
      <c r="AK941" s="104">
        <v>937</v>
      </c>
      <c r="AL941" s="14">
        <f t="shared" si="415"/>
        <v>19</v>
      </c>
      <c r="AM941" s="14">
        <f>INDEX(挂机升级突破!DQ$6:DQ$57,卡牌消耗!$AT941)</f>
        <v>11</v>
      </c>
      <c r="AN941" s="14">
        <f>INDEX(挂机升级突破!DR$6:DR$57,卡牌消耗!$AT941)</f>
        <v>1</v>
      </c>
      <c r="AO941" s="14">
        <f>INDEX(挂机升级突破!DS$6:DS$57,卡牌消耗!$AT941)</f>
        <v>0</v>
      </c>
      <c r="AP941" s="14">
        <f>INDEX(挂机升级突破!$DP$6:$DP$57,卡牌消耗!AT941)</f>
        <v>3</v>
      </c>
      <c r="AQ941" s="14" t="str">
        <f t="shared" si="416"/>
        <v>食火蜥</v>
      </c>
      <c r="AR941" s="14">
        <f t="shared" si="417"/>
        <v>2</v>
      </c>
      <c r="AS941" s="14" t="str">
        <f t="shared" si="418"/>
        <v>食火蜥魂火-1</v>
      </c>
      <c r="AT941" s="14">
        <f t="shared" si="419"/>
        <v>1</v>
      </c>
      <c r="AU941" s="14" t="str">
        <f>IF(AM941&gt;0,INDEX(挂机升级突破!$DT$4:$ED$4,AM941),"")</f>
        <v>金币</v>
      </c>
      <c r="AV941" s="14">
        <f>ROUND(INDEX(挂机升级突破!$DJ$6:$DJ$57,卡牌消耗!AT941)*INDEX(卡牌消耗!$B$8:$F$8,AR941)/$Q$4/50,0)*50</f>
        <v>600</v>
      </c>
      <c r="AW941" s="14" t="str">
        <f>IF(AN941&gt;0,INDEX(挂机升级突破!$DT$4:$ED$4,AN941),"")</f>
        <v>绿色基础材料</v>
      </c>
      <c r="AX941" s="14">
        <f>ROUND(INDEX(挂机升级突破!$DT$6:$ED$57,卡牌消耗!AT941,AN941)*INDEX(卡牌消耗!$B$5:$F$5,AR941)/$Q$4/5,0)*5</f>
        <v>20</v>
      </c>
      <c r="AY941" s="14" t="str">
        <f>IF(AO941&gt;0,INDEX(挂机升级突破!$DT$4:$ED$4,AO941),"")</f>
        <v/>
      </c>
      <c r="AZ941" s="14" t="str">
        <f>IF(AO941&gt;0,ROUND(INDEX(挂机升级突破!$DT$6:$ED$57,卡牌消耗!AT941,AO941)*INDEX(卡牌消耗!$B$7:$F$7,AR941)/$Q$4,0),"")</f>
        <v/>
      </c>
    </row>
    <row r="942" spans="37:52" ht="16.5" x14ac:dyDescent="0.2">
      <c r="AK942" s="104">
        <v>938</v>
      </c>
      <c r="AL942" s="14">
        <f t="shared" si="415"/>
        <v>19</v>
      </c>
      <c r="AM942" s="14">
        <f>INDEX(挂机升级突破!DQ$6:DQ$57,卡牌消耗!$AT942)</f>
        <v>11</v>
      </c>
      <c r="AN942" s="14">
        <f>INDEX(挂机升级突破!DR$6:DR$57,卡牌消耗!$AT942)</f>
        <v>1</v>
      </c>
      <c r="AO942" s="14">
        <f>INDEX(挂机升级突破!DS$6:DS$57,卡牌消耗!$AT942)</f>
        <v>0</v>
      </c>
      <c r="AP942" s="14">
        <f>INDEX(挂机升级突破!$DP$6:$DP$57,卡牌消耗!AT942)</f>
        <v>8</v>
      </c>
      <c r="AQ942" s="14" t="str">
        <f t="shared" si="416"/>
        <v>食火蜥</v>
      </c>
      <c r="AR942" s="14">
        <f t="shared" si="417"/>
        <v>2</v>
      </c>
      <c r="AS942" s="14" t="str">
        <f t="shared" si="418"/>
        <v>食火蜥魂火-2</v>
      </c>
      <c r="AT942" s="14">
        <f t="shared" si="419"/>
        <v>2</v>
      </c>
      <c r="AU942" s="14" t="str">
        <f>IF(AM942&gt;0,INDEX(挂机升级突破!$DT$4:$ED$4,AM942),"")</f>
        <v>金币</v>
      </c>
      <c r="AV942" s="14">
        <f>ROUND(INDEX(挂机升级突破!$DJ$6:$DJ$57,卡牌消耗!AT942)*INDEX(卡牌消耗!$B$8:$F$8,AR942)/$Q$4/50,0)*50</f>
        <v>750</v>
      </c>
      <c r="AW942" s="14" t="str">
        <f>IF(AN942&gt;0,INDEX(挂机升级突破!$DT$4:$ED$4,AN942),"")</f>
        <v>绿色基础材料</v>
      </c>
      <c r="AX942" s="14">
        <f>ROUND(INDEX(挂机升级突破!$DT$6:$ED$57,卡牌消耗!AT942,AN942)*INDEX(卡牌消耗!$B$5:$F$5,AR942)/$Q$4/5,0)*5</f>
        <v>70</v>
      </c>
      <c r="AY942" s="14" t="str">
        <f>IF(AO942&gt;0,INDEX(挂机升级突破!$DT$4:$ED$4,AO942),"")</f>
        <v/>
      </c>
      <c r="AZ942" s="14" t="str">
        <f>IF(AO942&gt;0,ROUND(INDEX(挂机升级突破!$DT$6:$ED$57,卡牌消耗!AT942,AO942)*INDEX(卡牌消耗!$B$7:$F$7,AR942)/$Q$4,0),"")</f>
        <v/>
      </c>
    </row>
    <row r="943" spans="37:52" ht="16.5" x14ac:dyDescent="0.2">
      <c r="AK943" s="104">
        <v>939</v>
      </c>
      <c r="AL943" s="14">
        <f t="shared" si="415"/>
        <v>19</v>
      </c>
      <c r="AM943" s="14">
        <f>INDEX(挂机升级突破!DQ$6:DQ$57,卡牌消耗!$AT943)</f>
        <v>11</v>
      </c>
      <c r="AN943" s="14">
        <f>INDEX(挂机升级突破!DR$6:DR$57,卡牌消耗!$AT943)</f>
        <v>1</v>
      </c>
      <c r="AO943" s="14">
        <f>INDEX(挂机升级突破!DS$6:DS$57,卡牌消耗!$AT943)</f>
        <v>0</v>
      </c>
      <c r="AP943" s="14">
        <f>INDEX(挂机升级突破!$DP$6:$DP$57,卡牌消耗!AT943)</f>
        <v>13</v>
      </c>
      <c r="AQ943" s="14" t="str">
        <f t="shared" si="416"/>
        <v>食火蜥</v>
      </c>
      <c r="AR943" s="14">
        <f t="shared" si="417"/>
        <v>2</v>
      </c>
      <c r="AS943" s="14" t="str">
        <f t="shared" si="418"/>
        <v>食火蜥魂火-3</v>
      </c>
      <c r="AT943" s="14">
        <f t="shared" si="419"/>
        <v>3</v>
      </c>
      <c r="AU943" s="14" t="str">
        <f>IF(AM943&gt;0,INDEX(挂机升级突破!$DT$4:$ED$4,AM943),"")</f>
        <v>金币</v>
      </c>
      <c r="AV943" s="14">
        <f>ROUND(INDEX(挂机升级突破!$DJ$6:$DJ$57,卡牌消耗!AT943)*INDEX(卡牌消耗!$B$8:$F$8,AR943)/$Q$4/50,0)*50</f>
        <v>750</v>
      </c>
      <c r="AW943" s="14" t="str">
        <f>IF(AN943&gt;0,INDEX(挂机升级突破!$DT$4:$ED$4,AN943),"")</f>
        <v>绿色基础材料</v>
      </c>
      <c r="AX943" s="14">
        <f>ROUND(INDEX(挂机升级突破!$DT$6:$ED$57,卡牌消耗!AT943,AN943)*INDEX(卡牌消耗!$B$5:$F$5,AR943)/$Q$4/5,0)*5</f>
        <v>80</v>
      </c>
      <c r="AY943" s="14" t="str">
        <f>IF(AO943&gt;0,INDEX(挂机升级突破!$DT$4:$ED$4,AO943),"")</f>
        <v/>
      </c>
      <c r="AZ943" s="14" t="str">
        <f>IF(AO943&gt;0,ROUND(INDEX(挂机升级突破!$DT$6:$ED$57,卡牌消耗!AT943,AO943)*INDEX(卡牌消耗!$B$7:$F$7,AR943)/$Q$4,0),"")</f>
        <v/>
      </c>
    </row>
    <row r="944" spans="37:52" ht="16.5" x14ac:dyDescent="0.2">
      <c r="AK944" s="104">
        <v>940</v>
      </c>
      <c r="AL944" s="14">
        <f t="shared" si="415"/>
        <v>19</v>
      </c>
      <c r="AM944" s="14">
        <f>INDEX(挂机升级突破!DQ$6:DQ$57,卡牌消耗!$AT944)</f>
        <v>11</v>
      </c>
      <c r="AN944" s="14">
        <f>INDEX(挂机升级突破!DR$6:DR$57,卡牌消耗!$AT944)</f>
        <v>1</v>
      </c>
      <c r="AO944" s="14">
        <f>INDEX(挂机升级突破!DS$6:DS$57,卡牌消耗!$AT944)</f>
        <v>0</v>
      </c>
      <c r="AP944" s="14">
        <f>INDEX(挂机升级突破!$DP$6:$DP$57,卡牌消耗!AT944)</f>
        <v>18</v>
      </c>
      <c r="AQ944" s="14" t="str">
        <f t="shared" si="416"/>
        <v>食火蜥</v>
      </c>
      <c r="AR944" s="14">
        <f t="shared" si="417"/>
        <v>2</v>
      </c>
      <c r="AS944" s="14" t="str">
        <f t="shared" si="418"/>
        <v>食火蜥魂火-4</v>
      </c>
      <c r="AT944" s="14">
        <f t="shared" si="419"/>
        <v>4</v>
      </c>
      <c r="AU944" s="14" t="str">
        <f>IF(AM944&gt;0,INDEX(挂机升级突破!$DT$4:$ED$4,AM944),"")</f>
        <v>金币</v>
      </c>
      <c r="AV944" s="14">
        <f>ROUND(INDEX(挂机升级突破!$DJ$6:$DJ$57,卡牌消耗!AT944)*INDEX(卡牌消耗!$B$8:$F$8,AR944)/$Q$4/50,0)*50</f>
        <v>750</v>
      </c>
      <c r="AW944" s="14" t="str">
        <f>IF(AN944&gt;0,INDEX(挂机升级突破!$DT$4:$ED$4,AN944),"")</f>
        <v>绿色基础材料</v>
      </c>
      <c r="AX944" s="14">
        <f>ROUND(INDEX(挂机升级突破!$DT$6:$ED$57,卡牌消耗!AT944,AN944)*INDEX(卡牌消耗!$B$5:$F$5,AR944)/$Q$4/5,0)*5</f>
        <v>115</v>
      </c>
      <c r="AY944" s="14" t="str">
        <f>IF(AO944&gt;0,INDEX(挂机升级突破!$DT$4:$ED$4,AO944),"")</f>
        <v/>
      </c>
      <c r="AZ944" s="14" t="str">
        <f>IF(AO944&gt;0,ROUND(INDEX(挂机升级突破!$DT$6:$ED$57,卡牌消耗!AT944,AO944)*INDEX(卡牌消耗!$B$7:$F$7,AR944)/$Q$4,0),"")</f>
        <v/>
      </c>
    </row>
    <row r="945" spans="37:52" ht="16.5" x14ac:dyDescent="0.2">
      <c r="AK945" s="104">
        <v>941</v>
      </c>
      <c r="AL945" s="14">
        <f t="shared" si="415"/>
        <v>19</v>
      </c>
      <c r="AM945" s="14">
        <f>INDEX(挂机升级突破!DQ$6:DQ$57,卡牌消耗!$AT945)</f>
        <v>11</v>
      </c>
      <c r="AN945" s="14">
        <f>INDEX(挂机升级突破!DR$6:DR$57,卡牌消耗!$AT945)</f>
        <v>1</v>
      </c>
      <c r="AO945" s="14">
        <f>INDEX(挂机升级突破!DS$6:DS$57,卡牌消耗!$AT945)</f>
        <v>0</v>
      </c>
      <c r="AP945" s="14">
        <f>INDEX(挂机升级突破!$DP$6:$DP$57,卡牌消耗!AT945)</f>
        <v>23</v>
      </c>
      <c r="AQ945" s="14" t="str">
        <f t="shared" si="416"/>
        <v>食火蜥</v>
      </c>
      <c r="AR945" s="14">
        <f t="shared" si="417"/>
        <v>2</v>
      </c>
      <c r="AS945" s="14" t="str">
        <f t="shared" si="418"/>
        <v>食火蜥魂火-5</v>
      </c>
      <c r="AT945" s="14">
        <f t="shared" si="419"/>
        <v>5</v>
      </c>
      <c r="AU945" s="14" t="str">
        <f>IF(AM945&gt;0,INDEX(挂机升级突破!$DT$4:$ED$4,AM945),"")</f>
        <v>金币</v>
      </c>
      <c r="AV945" s="14">
        <f>ROUND(INDEX(挂机升级突破!$DJ$6:$DJ$57,卡牌消耗!AT945)*INDEX(卡牌消耗!$B$8:$F$8,AR945)/$Q$4/50,0)*50</f>
        <v>750</v>
      </c>
      <c r="AW945" s="14" t="str">
        <f>IF(AN945&gt;0,INDEX(挂机升级突破!$DT$4:$ED$4,AN945),"")</f>
        <v>绿色基础材料</v>
      </c>
      <c r="AX945" s="14">
        <f>ROUND(INDEX(挂机升级突破!$DT$6:$ED$57,卡牌消耗!AT945,AN945)*INDEX(卡牌消耗!$B$5:$F$5,AR945)/$Q$4/5,0)*5</f>
        <v>125</v>
      </c>
      <c r="AY945" s="14" t="str">
        <f>IF(AO945&gt;0,INDEX(挂机升级突破!$DT$4:$ED$4,AO945),"")</f>
        <v/>
      </c>
      <c r="AZ945" s="14" t="str">
        <f>IF(AO945&gt;0,ROUND(INDEX(挂机升级突破!$DT$6:$ED$57,卡牌消耗!AT945,AO945)*INDEX(卡牌消耗!$B$7:$F$7,AR945)/$Q$4,0),"")</f>
        <v/>
      </c>
    </row>
    <row r="946" spans="37:52" ht="16.5" x14ac:dyDescent="0.2">
      <c r="AK946" s="104">
        <v>942</v>
      </c>
      <c r="AL946" s="14">
        <f t="shared" si="415"/>
        <v>19</v>
      </c>
      <c r="AM946" s="14">
        <f>INDEX(挂机升级突破!DQ$6:DQ$57,卡牌消耗!$AT946)</f>
        <v>11</v>
      </c>
      <c r="AN946" s="14">
        <f>INDEX(挂机升级突破!DR$6:DR$57,卡牌消耗!$AT946)</f>
        <v>2</v>
      </c>
      <c r="AO946" s="14">
        <f>INDEX(挂机升级突破!DS$6:DS$57,卡牌消耗!$AT946)</f>
        <v>0</v>
      </c>
      <c r="AP946" s="14">
        <f>INDEX(挂机升级突破!$DP$6:$DP$57,卡牌消耗!AT946)</f>
        <v>28</v>
      </c>
      <c r="AQ946" s="14" t="str">
        <f t="shared" si="416"/>
        <v>食火蜥</v>
      </c>
      <c r="AR946" s="14">
        <f t="shared" si="417"/>
        <v>2</v>
      </c>
      <c r="AS946" s="14" t="str">
        <f t="shared" si="418"/>
        <v>食火蜥魂火-6</v>
      </c>
      <c r="AT946" s="14">
        <f t="shared" si="419"/>
        <v>6</v>
      </c>
      <c r="AU946" s="14" t="str">
        <f>IF(AM946&gt;0,INDEX(挂机升级突破!$DT$4:$ED$4,AM946),"")</f>
        <v>金币</v>
      </c>
      <c r="AV946" s="14">
        <f>ROUND(INDEX(挂机升级突破!$DJ$6:$DJ$57,卡牌消耗!AT946)*INDEX(卡牌消耗!$B$8:$F$8,AR946)/$Q$4/50,0)*50</f>
        <v>900</v>
      </c>
      <c r="AW946" s="14" t="str">
        <f>IF(AN946&gt;0,INDEX(挂机升级突破!$DT$4:$ED$4,AN946),"")</f>
        <v>蓝色基础材料</v>
      </c>
      <c r="AX946" s="14">
        <f>ROUND(INDEX(挂机升级突破!$DT$6:$ED$57,卡牌消耗!AT946,AN946)*INDEX(卡牌消耗!$B$5:$F$5,AR946)/$Q$4/5,0)*5</f>
        <v>25</v>
      </c>
      <c r="AY946" s="14" t="str">
        <f>IF(AO946&gt;0,INDEX(挂机升级突破!$DT$4:$ED$4,AO946),"")</f>
        <v/>
      </c>
      <c r="AZ946" s="14" t="str">
        <f>IF(AO946&gt;0,ROUND(INDEX(挂机升级突破!$DT$6:$ED$57,卡牌消耗!AT946,AO946)*INDEX(卡牌消耗!$B$7:$F$7,AR946)/$Q$4,0),"")</f>
        <v/>
      </c>
    </row>
    <row r="947" spans="37:52" ht="16.5" x14ac:dyDescent="0.2">
      <c r="AK947" s="104">
        <v>943</v>
      </c>
      <c r="AL947" s="14">
        <f t="shared" si="415"/>
        <v>19</v>
      </c>
      <c r="AM947" s="14">
        <f>INDEX(挂机升级突破!DQ$6:DQ$57,卡牌消耗!$AT947)</f>
        <v>11</v>
      </c>
      <c r="AN947" s="14">
        <f>INDEX(挂机升级突破!DR$6:DR$57,卡牌消耗!$AT947)</f>
        <v>2</v>
      </c>
      <c r="AO947" s="14">
        <f>INDEX(挂机升级突破!DS$6:DS$57,卡牌消耗!$AT947)</f>
        <v>0</v>
      </c>
      <c r="AP947" s="14">
        <f>INDEX(挂机升级突破!$DP$6:$DP$57,卡牌消耗!AT947)</f>
        <v>33</v>
      </c>
      <c r="AQ947" s="14" t="str">
        <f t="shared" si="416"/>
        <v>食火蜥</v>
      </c>
      <c r="AR947" s="14">
        <f t="shared" si="417"/>
        <v>2</v>
      </c>
      <c r="AS947" s="14" t="str">
        <f t="shared" si="418"/>
        <v>食火蜥魂火-7</v>
      </c>
      <c r="AT947" s="14">
        <f t="shared" si="419"/>
        <v>7</v>
      </c>
      <c r="AU947" s="14" t="str">
        <f>IF(AM947&gt;0,INDEX(挂机升级突破!$DT$4:$ED$4,AM947),"")</f>
        <v>金币</v>
      </c>
      <c r="AV947" s="14">
        <f>ROUND(INDEX(挂机升级突破!$DJ$6:$DJ$57,卡牌消耗!AT947)*INDEX(卡牌消耗!$B$8:$F$8,AR947)/$Q$4/50,0)*50</f>
        <v>900</v>
      </c>
      <c r="AW947" s="14" t="str">
        <f>IF(AN947&gt;0,INDEX(挂机升级突破!$DT$4:$ED$4,AN947),"")</f>
        <v>蓝色基础材料</v>
      </c>
      <c r="AX947" s="14">
        <f>ROUND(INDEX(挂机升级突破!$DT$6:$ED$57,卡牌消耗!AT947,AN947)*INDEX(卡牌消耗!$B$5:$F$5,AR947)/$Q$4/5,0)*5</f>
        <v>25</v>
      </c>
      <c r="AY947" s="14" t="str">
        <f>IF(AO947&gt;0,INDEX(挂机升级突破!$DT$4:$ED$4,AO947),"")</f>
        <v/>
      </c>
      <c r="AZ947" s="14" t="str">
        <f>IF(AO947&gt;0,ROUND(INDEX(挂机升级突破!$DT$6:$ED$57,卡牌消耗!AT947,AO947)*INDEX(卡牌消耗!$B$7:$F$7,AR947)/$Q$4,0),"")</f>
        <v/>
      </c>
    </row>
    <row r="948" spans="37:52" ht="16.5" x14ac:dyDescent="0.2">
      <c r="AK948" s="104">
        <v>944</v>
      </c>
      <c r="AL948" s="14">
        <f t="shared" si="415"/>
        <v>19</v>
      </c>
      <c r="AM948" s="14">
        <f>INDEX(挂机升级突破!DQ$6:DQ$57,卡牌消耗!$AT948)</f>
        <v>11</v>
      </c>
      <c r="AN948" s="14">
        <f>INDEX(挂机升级突破!DR$6:DR$57,卡牌消耗!$AT948)</f>
        <v>2</v>
      </c>
      <c r="AO948" s="14">
        <f>INDEX(挂机升级突破!DS$6:DS$57,卡牌消耗!$AT948)</f>
        <v>0</v>
      </c>
      <c r="AP948" s="14">
        <f>INDEX(挂机升级突破!$DP$6:$DP$57,卡牌消耗!AT948)</f>
        <v>38</v>
      </c>
      <c r="AQ948" s="14" t="str">
        <f t="shared" si="416"/>
        <v>食火蜥</v>
      </c>
      <c r="AR948" s="14">
        <f t="shared" si="417"/>
        <v>2</v>
      </c>
      <c r="AS948" s="14" t="str">
        <f t="shared" si="418"/>
        <v>食火蜥魂火-8</v>
      </c>
      <c r="AT948" s="14">
        <f t="shared" si="419"/>
        <v>8</v>
      </c>
      <c r="AU948" s="14" t="str">
        <f>IF(AM948&gt;0,INDEX(挂机升级突破!$DT$4:$ED$4,AM948),"")</f>
        <v>金币</v>
      </c>
      <c r="AV948" s="14">
        <f>ROUND(INDEX(挂机升级突破!$DJ$6:$DJ$57,卡牌消耗!AT948)*INDEX(卡牌消耗!$B$8:$F$8,AR948)/$Q$4/50,0)*50</f>
        <v>1350</v>
      </c>
      <c r="AW948" s="14" t="str">
        <f>IF(AN948&gt;0,INDEX(挂机升级突破!$DT$4:$ED$4,AN948),"")</f>
        <v>蓝色基础材料</v>
      </c>
      <c r="AX948" s="14">
        <f>ROUND(INDEX(挂机升级突破!$DT$6:$ED$57,卡牌消耗!AT948,AN948)*INDEX(卡牌消耗!$B$5:$F$5,AR948)/$Q$4/5,0)*5</f>
        <v>45</v>
      </c>
      <c r="AY948" s="14" t="str">
        <f>IF(AO948&gt;0,INDEX(挂机升级突破!$DT$4:$ED$4,AO948),"")</f>
        <v/>
      </c>
      <c r="AZ948" s="14" t="str">
        <f>IF(AO948&gt;0,ROUND(INDEX(挂机升级突破!$DT$6:$ED$57,卡牌消耗!AT948,AO948)*INDEX(卡牌消耗!$B$7:$F$7,AR948)/$Q$4,0),"")</f>
        <v/>
      </c>
    </row>
    <row r="949" spans="37:52" ht="16.5" x14ac:dyDescent="0.2">
      <c r="AK949" s="104">
        <v>945</v>
      </c>
      <c r="AL949" s="14">
        <f t="shared" si="415"/>
        <v>19</v>
      </c>
      <c r="AM949" s="14">
        <f>INDEX(挂机升级突破!DQ$6:DQ$57,卡牌消耗!$AT949)</f>
        <v>11</v>
      </c>
      <c r="AN949" s="14">
        <f>INDEX(挂机升级突破!DR$6:DR$57,卡牌消耗!$AT949)</f>
        <v>2</v>
      </c>
      <c r="AO949" s="14">
        <f>INDEX(挂机升级突破!DS$6:DS$57,卡牌消耗!$AT949)</f>
        <v>0</v>
      </c>
      <c r="AP949" s="14">
        <f>INDEX(挂机升级突破!$DP$6:$DP$57,卡牌消耗!AT949)</f>
        <v>40</v>
      </c>
      <c r="AQ949" s="14" t="str">
        <f t="shared" si="416"/>
        <v>食火蜥</v>
      </c>
      <c r="AR949" s="14">
        <f t="shared" si="417"/>
        <v>2</v>
      </c>
      <c r="AS949" s="14" t="str">
        <f t="shared" si="418"/>
        <v>食火蜥魂火-9</v>
      </c>
      <c r="AT949" s="14">
        <f t="shared" si="419"/>
        <v>9</v>
      </c>
      <c r="AU949" s="14" t="str">
        <f>IF(AM949&gt;0,INDEX(挂机升级突破!$DT$4:$ED$4,AM949),"")</f>
        <v>金币</v>
      </c>
      <c r="AV949" s="14">
        <f>ROUND(INDEX(挂机升级突破!$DJ$6:$DJ$57,卡牌消耗!AT949)*INDEX(卡牌消耗!$B$8:$F$8,AR949)/$Q$4/50,0)*50</f>
        <v>1350</v>
      </c>
      <c r="AW949" s="14" t="str">
        <f>IF(AN949&gt;0,INDEX(挂机升级突破!$DT$4:$ED$4,AN949),"")</f>
        <v>蓝色基础材料</v>
      </c>
      <c r="AX949" s="14">
        <f>ROUND(INDEX(挂机升级突破!$DT$6:$ED$57,卡牌消耗!AT949,AN949)*INDEX(卡牌消耗!$B$5:$F$5,AR949)/$Q$4/5,0)*5</f>
        <v>45</v>
      </c>
      <c r="AY949" s="14" t="str">
        <f>IF(AO949&gt;0,INDEX(挂机升级突破!$DT$4:$ED$4,AO949),"")</f>
        <v/>
      </c>
      <c r="AZ949" s="14" t="str">
        <f>IF(AO949&gt;0,ROUND(INDEX(挂机升级突破!$DT$6:$ED$57,卡牌消耗!AT949,AO949)*INDEX(卡牌消耗!$B$7:$F$7,AR949)/$Q$4,0),"")</f>
        <v/>
      </c>
    </row>
    <row r="950" spans="37:52" ht="16.5" x14ac:dyDescent="0.2">
      <c r="AK950" s="104">
        <v>946</v>
      </c>
      <c r="AL950" s="14">
        <f t="shared" si="415"/>
        <v>19</v>
      </c>
      <c r="AM950" s="14">
        <f>INDEX(挂机升级突破!DQ$6:DQ$57,卡牌消耗!$AT950)</f>
        <v>11</v>
      </c>
      <c r="AN950" s="14">
        <f>INDEX(挂机升级突破!DR$6:DR$57,卡牌消耗!$AT950)</f>
        <v>2</v>
      </c>
      <c r="AO950" s="14">
        <f>INDEX(挂机升级突破!DS$6:DS$57,卡牌消耗!$AT950)</f>
        <v>0</v>
      </c>
      <c r="AP950" s="14">
        <f>INDEX(挂机升级突破!$DP$6:$DP$57,卡牌消耗!AT950)</f>
        <v>43</v>
      </c>
      <c r="AQ950" s="14" t="str">
        <f t="shared" si="416"/>
        <v>食火蜥</v>
      </c>
      <c r="AR950" s="14">
        <f t="shared" si="417"/>
        <v>2</v>
      </c>
      <c r="AS950" s="14" t="str">
        <f t="shared" si="418"/>
        <v>食火蜥魂火-10</v>
      </c>
      <c r="AT950" s="14">
        <f t="shared" si="419"/>
        <v>10</v>
      </c>
      <c r="AU950" s="14" t="str">
        <f>IF(AM950&gt;0,INDEX(挂机升级突破!$DT$4:$ED$4,AM950),"")</f>
        <v>金币</v>
      </c>
      <c r="AV950" s="14">
        <f>ROUND(INDEX(挂机升级突破!$DJ$6:$DJ$57,卡牌消耗!AT950)*INDEX(卡牌消耗!$B$8:$F$8,AR950)/$Q$4/50,0)*50</f>
        <v>2250</v>
      </c>
      <c r="AW950" s="14" t="str">
        <f>IF(AN950&gt;0,INDEX(挂机升级突破!$DT$4:$ED$4,AN950),"")</f>
        <v>蓝色基础材料</v>
      </c>
      <c r="AX950" s="14">
        <f>ROUND(INDEX(挂机升级突破!$DT$6:$ED$57,卡牌消耗!AT950,AN950)*INDEX(卡牌消耗!$B$5:$F$5,AR950)/$Q$4/5,0)*5</f>
        <v>70</v>
      </c>
      <c r="AY950" s="14" t="str">
        <f>IF(AO950&gt;0,INDEX(挂机升级突破!$DT$4:$ED$4,AO950),"")</f>
        <v/>
      </c>
      <c r="AZ950" s="14" t="str">
        <f>IF(AO950&gt;0,ROUND(INDEX(挂机升级突破!$DT$6:$ED$57,卡牌消耗!AT950,AO950)*INDEX(卡牌消耗!$B$7:$F$7,AR950)/$Q$4,0),"")</f>
        <v/>
      </c>
    </row>
    <row r="951" spans="37:52" ht="16.5" x14ac:dyDescent="0.2">
      <c r="AK951" s="104">
        <v>947</v>
      </c>
      <c r="AL951" s="14">
        <f t="shared" si="415"/>
        <v>19</v>
      </c>
      <c r="AM951" s="14">
        <f>INDEX(挂机升级突破!DQ$6:DQ$57,卡牌消耗!$AT951)</f>
        <v>11</v>
      </c>
      <c r="AN951" s="14">
        <f>INDEX(挂机升级突破!DR$6:DR$57,卡牌消耗!$AT951)</f>
        <v>2</v>
      </c>
      <c r="AO951" s="14">
        <f>INDEX(挂机升级突破!DS$6:DS$57,卡牌消耗!$AT951)</f>
        <v>0</v>
      </c>
      <c r="AP951" s="14">
        <f>INDEX(挂机升级突破!$DP$6:$DP$57,卡牌消耗!AT951)</f>
        <v>45</v>
      </c>
      <c r="AQ951" s="14" t="str">
        <f t="shared" si="416"/>
        <v>食火蜥</v>
      </c>
      <c r="AR951" s="14">
        <f t="shared" si="417"/>
        <v>2</v>
      </c>
      <c r="AS951" s="14" t="str">
        <f t="shared" si="418"/>
        <v>食火蜥魂火-11</v>
      </c>
      <c r="AT951" s="14">
        <f t="shared" si="419"/>
        <v>11</v>
      </c>
      <c r="AU951" s="14" t="str">
        <f>IF(AM951&gt;0,INDEX(挂机升级突破!$DT$4:$ED$4,AM951),"")</f>
        <v>金币</v>
      </c>
      <c r="AV951" s="14">
        <f>ROUND(INDEX(挂机升级突破!$DJ$6:$DJ$57,卡牌消耗!AT951)*INDEX(卡牌消耗!$B$8:$F$8,AR951)/$Q$4/50,0)*50</f>
        <v>2250</v>
      </c>
      <c r="AW951" s="14" t="str">
        <f>IF(AN951&gt;0,INDEX(挂机升级突破!$DT$4:$ED$4,AN951),"")</f>
        <v>蓝色基础材料</v>
      </c>
      <c r="AX951" s="14">
        <f>ROUND(INDEX(挂机升级突破!$DT$6:$ED$57,卡牌消耗!AT951,AN951)*INDEX(卡牌消耗!$B$5:$F$5,AR951)/$Q$4/5,0)*5</f>
        <v>70</v>
      </c>
      <c r="AY951" s="14" t="str">
        <f>IF(AO951&gt;0,INDEX(挂机升级突破!$DT$4:$ED$4,AO951),"")</f>
        <v/>
      </c>
      <c r="AZ951" s="14" t="str">
        <f>IF(AO951&gt;0,ROUND(INDEX(挂机升级突破!$DT$6:$ED$57,卡牌消耗!AT951,AO951)*INDEX(卡牌消耗!$B$7:$F$7,AR951)/$Q$4,0),"")</f>
        <v/>
      </c>
    </row>
    <row r="952" spans="37:52" ht="16.5" x14ac:dyDescent="0.2">
      <c r="AK952" s="104">
        <v>948</v>
      </c>
      <c r="AL952" s="14">
        <f t="shared" si="415"/>
        <v>19</v>
      </c>
      <c r="AM952" s="14">
        <f>INDEX(挂机升级突破!DQ$6:DQ$57,卡牌消耗!$AT952)</f>
        <v>11</v>
      </c>
      <c r="AN952" s="14">
        <f>INDEX(挂机升级突破!DR$6:DR$57,卡牌消耗!$AT952)</f>
        <v>2</v>
      </c>
      <c r="AO952" s="14">
        <f>INDEX(挂机升级突破!DS$6:DS$57,卡牌消耗!$AT952)</f>
        <v>0</v>
      </c>
      <c r="AP952" s="14">
        <f>INDEX(挂机升级突破!$DP$6:$DP$57,卡牌消耗!AT952)</f>
        <v>48</v>
      </c>
      <c r="AQ952" s="14" t="str">
        <f t="shared" si="416"/>
        <v>食火蜥</v>
      </c>
      <c r="AR952" s="14">
        <f t="shared" si="417"/>
        <v>2</v>
      </c>
      <c r="AS952" s="14" t="str">
        <f t="shared" si="418"/>
        <v>食火蜥魂火-12</v>
      </c>
      <c r="AT952" s="14">
        <f t="shared" si="419"/>
        <v>12</v>
      </c>
      <c r="AU952" s="14" t="str">
        <f>IF(AM952&gt;0,INDEX(挂机升级突破!$DT$4:$ED$4,AM952),"")</f>
        <v>金币</v>
      </c>
      <c r="AV952" s="14">
        <f>ROUND(INDEX(挂机升级突破!$DJ$6:$DJ$57,卡牌消耗!AT952)*INDEX(卡牌消耗!$B$8:$F$8,AR952)/$Q$4/50,0)*50</f>
        <v>1900</v>
      </c>
      <c r="AW952" s="14" t="str">
        <f>IF(AN952&gt;0,INDEX(挂机升级突破!$DT$4:$ED$4,AN952),"")</f>
        <v>蓝色基础材料</v>
      </c>
      <c r="AX952" s="14">
        <f>ROUND(INDEX(挂机升级突破!$DT$6:$ED$57,卡牌消耗!AT952,AN952)*INDEX(卡牌消耗!$B$5:$F$5,AR952)/$Q$4/5,0)*5</f>
        <v>90</v>
      </c>
      <c r="AY952" s="14" t="str">
        <f>IF(AO952&gt;0,INDEX(挂机升级突破!$DT$4:$ED$4,AO952),"")</f>
        <v/>
      </c>
      <c r="AZ952" s="14" t="str">
        <f>IF(AO952&gt;0,ROUND(INDEX(挂机升级突破!$DT$6:$ED$57,卡牌消耗!AT952,AO952)*INDEX(卡牌消耗!$B$7:$F$7,AR952)/$Q$4,0),"")</f>
        <v/>
      </c>
    </row>
    <row r="953" spans="37:52" ht="16.5" x14ac:dyDescent="0.2">
      <c r="AK953" s="104">
        <v>949</v>
      </c>
      <c r="AL953" s="14">
        <f t="shared" si="415"/>
        <v>19</v>
      </c>
      <c r="AM953" s="14">
        <f>INDEX(挂机升级突破!DQ$6:DQ$57,卡牌消耗!$AT953)</f>
        <v>11</v>
      </c>
      <c r="AN953" s="14">
        <f>INDEX(挂机升级突破!DR$6:DR$57,卡牌消耗!$AT953)</f>
        <v>2</v>
      </c>
      <c r="AO953" s="14">
        <f>INDEX(挂机升级突破!DS$6:DS$57,卡牌消耗!$AT953)</f>
        <v>0</v>
      </c>
      <c r="AP953" s="14">
        <f>INDEX(挂机升级突破!$DP$6:$DP$57,卡牌消耗!AT953)</f>
        <v>50</v>
      </c>
      <c r="AQ953" s="14" t="str">
        <f t="shared" si="416"/>
        <v>食火蜥</v>
      </c>
      <c r="AR953" s="14">
        <f t="shared" si="417"/>
        <v>2</v>
      </c>
      <c r="AS953" s="14" t="str">
        <f t="shared" si="418"/>
        <v>食火蜥魂火-13</v>
      </c>
      <c r="AT953" s="14">
        <f t="shared" si="419"/>
        <v>13</v>
      </c>
      <c r="AU953" s="14" t="str">
        <f>IF(AM953&gt;0,INDEX(挂机升级突破!$DT$4:$ED$4,AM953),"")</f>
        <v>金币</v>
      </c>
      <c r="AV953" s="14">
        <f>ROUND(INDEX(挂机升级突破!$DJ$6:$DJ$57,卡牌消耗!AT953)*INDEX(卡牌消耗!$B$8:$F$8,AR953)/$Q$4/50,0)*50</f>
        <v>1900</v>
      </c>
      <c r="AW953" s="14" t="str">
        <f>IF(AN953&gt;0,INDEX(挂机升级突破!$DT$4:$ED$4,AN953),"")</f>
        <v>蓝色基础材料</v>
      </c>
      <c r="AX953" s="14">
        <f>ROUND(INDEX(挂机升级突破!$DT$6:$ED$57,卡牌消耗!AT953,AN953)*INDEX(卡牌消耗!$B$5:$F$5,AR953)/$Q$4/5,0)*5</f>
        <v>90</v>
      </c>
      <c r="AY953" s="14" t="str">
        <f>IF(AO953&gt;0,INDEX(挂机升级突破!$DT$4:$ED$4,AO953),"")</f>
        <v/>
      </c>
      <c r="AZ953" s="14" t="str">
        <f>IF(AO953&gt;0,ROUND(INDEX(挂机升级突破!$DT$6:$ED$57,卡牌消耗!AT953,AO953)*INDEX(卡牌消耗!$B$7:$F$7,AR953)/$Q$4,0),"")</f>
        <v/>
      </c>
    </row>
    <row r="954" spans="37:52" ht="16.5" x14ac:dyDescent="0.2">
      <c r="AK954" s="104">
        <v>950</v>
      </c>
      <c r="AL954" s="14">
        <f t="shared" si="415"/>
        <v>19</v>
      </c>
      <c r="AM954" s="14">
        <f>INDEX(挂机升级突破!DQ$6:DQ$57,卡牌消耗!$AT954)</f>
        <v>11</v>
      </c>
      <c r="AN954" s="14">
        <f>INDEX(挂机升级突破!DR$6:DR$57,卡牌消耗!$AT954)</f>
        <v>3</v>
      </c>
      <c r="AO954" s="14">
        <f>INDEX(挂机升级突破!DS$6:DS$57,卡牌消耗!$AT954)</f>
        <v>0</v>
      </c>
      <c r="AP954" s="14">
        <f>INDEX(挂机升级突破!$DP$6:$DP$57,卡牌消耗!AT954)</f>
        <v>53</v>
      </c>
      <c r="AQ954" s="14" t="str">
        <f t="shared" si="416"/>
        <v>食火蜥</v>
      </c>
      <c r="AR954" s="14">
        <f t="shared" si="417"/>
        <v>2</v>
      </c>
      <c r="AS954" s="14" t="str">
        <f t="shared" si="418"/>
        <v>食火蜥魂火-14</v>
      </c>
      <c r="AT954" s="14">
        <f t="shared" si="419"/>
        <v>14</v>
      </c>
      <c r="AU954" s="14" t="str">
        <f>IF(AM954&gt;0,INDEX(挂机升级突破!$DT$4:$ED$4,AM954),"")</f>
        <v>金币</v>
      </c>
      <c r="AV954" s="14">
        <f>ROUND(INDEX(挂机升级突破!$DJ$6:$DJ$57,卡牌消耗!AT954)*INDEX(卡牌消耗!$B$8:$F$8,AR954)/$Q$4/50,0)*50</f>
        <v>2100</v>
      </c>
      <c r="AW954" s="14" t="str">
        <f>IF(AN954&gt;0,INDEX(挂机升级突破!$DT$4:$ED$4,AN954),"")</f>
        <v>紫色基础材料</v>
      </c>
      <c r="AX954" s="14">
        <f>ROUND(INDEX(挂机升级突破!$DT$6:$ED$57,卡牌消耗!AT954,AN954)*INDEX(卡牌消耗!$B$5:$F$5,AR954)/$Q$4/5,0)*5</f>
        <v>20</v>
      </c>
      <c r="AY954" s="14" t="str">
        <f>IF(AO954&gt;0,INDEX(挂机升级突破!$DT$4:$ED$4,AO954),"")</f>
        <v/>
      </c>
      <c r="AZ954" s="14" t="str">
        <f>IF(AO954&gt;0,ROUND(INDEX(挂机升级突破!$DT$6:$ED$57,卡牌消耗!AT954,AO954)*INDEX(卡牌消耗!$B$7:$F$7,AR954)/$Q$4,0),"")</f>
        <v/>
      </c>
    </row>
    <row r="955" spans="37:52" ht="16.5" x14ac:dyDescent="0.2">
      <c r="AK955" s="104">
        <v>951</v>
      </c>
      <c r="AL955" s="14">
        <f t="shared" si="415"/>
        <v>19</v>
      </c>
      <c r="AM955" s="14">
        <f>INDEX(挂机升级突破!DQ$6:DQ$57,卡牌消耗!$AT955)</f>
        <v>11</v>
      </c>
      <c r="AN955" s="14">
        <f>INDEX(挂机升级突破!DR$6:DR$57,卡牌消耗!$AT955)</f>
        <v>3</v>
      </c>
      <c r="AO955" s="14">
        <f>INDEX(挂机升级突破!DS$6:DS$57,卡牌消耗!$AT955)</f>
        <v>0</v>
      </c>
      <c r="AP955" s="14">
        <f>INDEX(挂机升级突破!$DP$6:$DP$57,卡牌消耗!AT955)</f>
        <v>55</v>
      </c>
      <c r="AQ955" s="14" t="str">
        <f t="shared" si="416"/>
        <v>食火蜥</v>
      </c>
      <c r="AR955" s="14">
        <f t="shared" si="417"/>
        <v>2</v>
      </c>
      <c r="AS955" s="14" t="str">
        <f t="shared" si="418"/>
        <v>食火蜥魂火-15</v>
      </c>
      <c r="AT955" s="14">
        <f t="shared" si="419"/>
        <v>15</v>
      </c>
      <c r="AU955" s="14" t="str">
        <f>IF(AM955&gt;0,INDEX(挂机升级突破!$DT$4:$ED$4,AM955),"")</f>
        <v>金币</v>
      </c>
      <c r="AV955" s="14">
        <f>ROUND(INDEX(挂机升级突破!$DJ$6:$DJ$57,卡牌消耗!AT955)*INDEX(卡牌消耗!$B$8:$F$8,AR955)/$Q$4/50,0)*50</f>
        <v>2300</v>
      </c>
      <c r="AW955" s="14" t="str">
        <f>IF(AN955&gt;0,INDEX(挂机升级突破!$DT$4:$ED$4,AN955),"")</f>
        <v>紫色基础材料</v>
      </c>
      <c r="AX955" s="14">
        <f>ROUND(INDEX(挂机升级突破!$DT$6:$ED$57,卡牌消耗!AT955,AN955)*INDEX(卡牌消耗!$B$5:$F$5,AR955)/$Q$4/5,0)*5</f>
        <v>20</v>
      </c>
      <c r="AY955" s="14" t="str">
        <f>IF(AO955&gt;0,INDEX(挂机升级突破!$DT$4:$ED$4,AO955),"")</f>
        <v/>
      </c>
      <c r="AZ955" s="14" t="str">
        <f>IF(AO955&gt;0,ROUND(INDEX(挂机升级突破!$DT$6:$ED$57,卡牌消耗!AT955,AO955)*INDEX(卡牌消耗!$B$7:$F$7,AR955)/$Q$4,0),"")</f>
        <v/>
      </c>
    </row>
    <row r="956" spans="37:52" ht="16.5" x14ac:dyDescent="0.2">
      <c r="AK956" s="104">
        <v>952</v>
      </c>
      <c r="AL956" s="14">
        <f t="shared" si="415"/>
        <v>19</v>
      </c>
      <c r="AM956" s="14">
        <f>INDEX(挂机升级突破!DQ$6:DQ$57,卡牌消耗!$AT956)</f>
        <v>11</v>
      </c>
      <c r="AN956" s="14">
        <f>INDEX(挂机升级突破!DR$6:DR$57,卡牌消耗!$AT956)</f>
        <v>3</v>
      </c>
      <c r="AO956" s="14">
        <f>INDEX(挂机升级突破!DS$6:DS$57,卡牌消耗!$AT956)</f>
        <v>0</v>
      </c>
      <c r="AP956" s="14">
        <f>INDEX(挂机升级突破!$DP$6:$DP$57,卡牌消耗!AT956)</f>
        <v>58</v>
      </c>
      <c r="AQ956" s="14" t="str">
        <f t="shared" si="416"/>
        <v>食火蜥</v>
      </c>
      <c r="AR956" s="14">
        <f t="shared" si="417"/>
        <v>2</v>
      </c>
      <c r="AS956" s="14" t="str">
        <f t="shared" si="418"/>
        <v>食火蜥魂火-16</v>
      </c>
      <c r="AT956" s="14">
        <f t="shared" si="419"/>
        <v>16</v>
      </c>
      <c r="AU956" s="14" t="str">
        <f>IF(AM956&gt;0,INDEX(挂机升级突破!$DT$4:$ED$4,AM956),"")</f>
        <v>金币</v>
      </c>
      <c r="AV956" s="14">
        <f>ROUND(INDEX(挂机升级突破!$DJ$6:$DJ$57,卡牌消耗!AT956)*INDEX(卡牌消耗!$B$8:$F$8,AR956)/$Q$4/50,0)*50</f>
        <v>2300</v>
      </c>
      <c r="AW956" s="14" t="str">
        <f>IF(AN956&gt;0,INDEX(挂机升级突破!$DT$4:$ED$4,AN956),"")</f>
        <v>紫色基础材料</v>
      </c>
      <c r="AX956" s="14">
        <f>ROUND(INDEX(挂机升级突破!$DT$6:$ED$57,卡牌消耗!AT956,AN956)*INDEX(卡牌消耗!$B$5:$F$5,AR956)/$Q$4/5,0)*5</f>
        <v>20</v>
      </c>
      <c r="AY956" s="14" t="str">
        <f>IF(AO956&gt;0,INDEX(挂机升级突破!$DT$4:$ED$4,AO956),"")</f>
        <v/>
      </c>
      <c r="AZ956" s="14" t="str">
        <f>IF(AO956&gt;0,ROUND(INDEX(挂机升级突破!$DT$6:$ED$57,卡牌消耗!AT956,AO956)*INDEX(卡牌消耗!$B$7:$F$7,AR956)/$Q$4,0),"")</f>
        <v/>
      </c>
    </row>
    <row r="957" spans="37:52" ht="16.5" x14ac:dyDescent="0.2">
      <c r="AK957" s="104">
        <v>953</v>
      </c>
      <c r="AL957" s="14">
        <f t="shared" si="415"/>
        <v>19</v>
      </c>
      <c r="AM957" s="14">
        <f>INDEX(挂机升级突破!DQ$6:DQ$57,卡牌消耗!$AT957)</f>
        <v>11</v>
      </c>
      <c r="AN957" s="14">
        <f>INDEX(挂机升级突破!DR$6:DR$57,卡牌消耗!$AT957)</f>
        <v>3</v>
      </c>
      <c r="AO957" s="14">
        <f>INDEX(挂机升级突破!DS$6:DS$57,卡牌消耗!$AT957)</f>
        <v>0</v>
      </c>
      <c r="AP957" s="14">
        <f>INDEX(挂机升级突破!$DP$6:$DP$57,卡牌消耗!AT957)</f>
        <v>60</v>
      </c>
      <c r="AQ957" s="14" t="str">
        <f t="shared" si="416"/>
        <v>食火蜥</v>
      </c>
      <c r="AR957" s="14">
        <f t="shared" si="417"/>
        <v>2</v>
      </c>
      <c r="AS957" s="14" t="str">
        <f t="shared" si="418"/>
        <v>食火蜥魂火-17</v>
      </c>
      <c r="AT957" s="14">
        <f t="shared" si="419"/>
        <v>17</v>
      </c>
      <c r="AU957" s="14" t="str">
        <f>IF(AM957&gt;0,INDEX(挂机升级突破!$DT$4:$ED$4,AM957),"")</f>
        <v>金币</v>
      </c>
      <c r="AV957" s="14">
        <f>ROUND(INDEX(挂机升级突破!$DJ$6:$DJ$57,卡牌消耗!AT957)*INDEX(卡牌消耗!$B$8:$F$8,AR957)/$Q$4/50,0)*50</f>
        <v>2850</v>
      </c>
      <c r="AW957" s="14" t="str">
        <f>IF(AN957&gt;0,INDEX(挂机升级突破!$DT$4:$ED$4,AN957),"")</f>
        <v>紫色基础材料</v>
      </c>
      <c r="AX957" s="14">
        <f>ROUND(INDEX(挂机升级突破!$DT$6:$ED$57,卡牌消耗!AT957,AN957)*INDEX(卡牌消耗!$B$5:$F$5,AR957)/$Q$4/5,0)*5</f>
        <v>35</v>
      </c>
      <c r="AY957" s="14" t="str">
        <f>IF(AO957&gt;0,INDEX(挂机升级突破!$DT$4:$ED$4,AO957),"")</f>
        <v/>
      </c>
      <c r="AZ957" s="14" t="str">
        <f>IF(AO957&gt;0,ROUND(INDEX(挂机升级突破!$DT$6:$ED$57,卡牌消耗!AT957,AO957)*INDEX(卡牌消耗!$B$7:$F$7,AR957)/$Q$4,0),"")</f>
        <v/>
      </c>
    </row>
    <row r="958" spans="37:52" ht="16.5" x14ac:dyDescent="0.2">
      <c r="AK958" s="104">
        <v>954</v>
      </c>
      <c r="AL958" s="14">
        <f t="shared" si="415"/>
        <v>19</v>
      </c>
      <c r="AM958" s="14">
        <f>INDEX(挂机升级突破!DQ$6:DQ$57,卡牌消耗!$AT958)</f>
        <v>11</v>
      </c>
      <c r="AN958" s="14">
        <f>INDEX(挂机升级突破!DR$6:DR$57,卡牌消耗!$AT958)</f>
        <v>3</v>
      </c>
      <c r="AO958" s="14">
        <f>INDEX(挂机升级突破!DS$6:DS$57,卡牌消耗!$AT958)</f>
        <v>0</v>
      </c>
      <c r="AP958" s="14">
        <f>INDEX(挂机升级突破!$DP$6:$DP$57,卡牌消耗!AT958)</f>
        <v>63</v>
      </c>
      <c r="AQ958" s="14" t="str">
        <f t="shared" si="416"/>
        <v>食火蜥</v>
      </c>
      <c r="AR958" s="14">
        <f t="shared" si="417"/>
        <v>2</v>
      </c>
      <c r="AS958" s="14" t="str">
        <f t="shared" si="418"/>
        <v>食火蜥魂火-18</v>
      </c>
      <c r="AT958" s="14">
        <f t="shared" si="419"/>
        <v>18</v>
      </c>
      <c r="AU958" s="14" t="str">
        <f>IF(AM958&gt;0,INDEX(挂机升级突破!$DT$4:$ED$4,AM958),"")</f>
        <v>金币</v>
      </c>
      <c r="AV958" s="14">
        <f>ROUND(INDEX(挂机升级突破!$DJ$6:$DJ$57,卡牌消耗!AT958)*INDEX(卡牌消耗!$B$8:$F$8,AR958)/$Q$4/50,0)*50</f>
        <v>2850</v>
      </c>
      <c r="AW958" s="14" t="str">
        <f>IF(AN958&gt;0,INDEX(挂机升级突破!$DT$4:$ED$4,AN958),"")</f>
        <v>紫色基础材料</v>
      </c>
      <c r="AX958" s="14">
        <f>ROUND(INDEX(挂机升级突破!$DT$6:$ED$57,卡牌消耗!AT958,AN958)*INDEX(卡牌消耗!$B$5:$F$5,AR958)/$Q$4/5,0)*5</f>
        <v>35</v>
      </c>
      <c r="AY958" s="14" t="str">
        <f>IF(AO958&gt;0,INDEX(挂机升级突破!$DT$4:$ED$4,AO958),"")</f>
        <v/>
      </c>
      <c r="AZ958" s="14" t="str">
        <f>IF(AO958&gt;0,ROUND(INDEX(挂机升级突破!$DT$6:$ED$57,卡牌消耗!AT958,AO958)*INDEX(卡牌消耗!$B$7:$F$7,AR958)/$Q$4,0),"")</f>
        <v/>
      </c>
    </row>
    <row r="959" spans="37:52" ht="16.5" x14ac:dyDescent="0.2">
      <c r="AK959" s="104">
        <v>955</v>
      </c>
      <c r="AL959" s="14">
        <f t="shared" si="415"/>
        <v>19</v>
      </c>
      <c r="AM959" s="14">
        <f>INDEX(挂机升级突破!DQ$6:DQ$57,卡牌消耗!$AT959)</f>
        <v>11</v>
      </c>
      <c r="AN959" s="14">
        <f>INDEX(挂机升级突破!DR$6:DR$57,卡牌消耗!$AT959)</f>
        <v>3</v>
      </c>
      <c r="AO959" s="14">
        <f>INDEX(挂机升级突破!DS$6:DS$57,卡牌消耗!$AT959)</f>
        <v>0</v>
      </c>
      <c r="AP959" s="14">
        <f>INDEX(挂机升级突破!$DP$6:$DP$57,卡牌消耗!AT959)</f>
        <v>65</v>
      </c>
      <c r="AQ959" s="14" t="str">
        <f t="shared" si="416"/>
        <v>食火蜥</v>
      </c>
      <c r="AR959" s="14">
        <f t="shared" si="417"/>
        <v>2</v>
      </c>
      <c r="AS959" s="14" t="str">
        <f t="shared" si="418"/>
        <v>食火蜥魂火-19</v>
      </c>
      <c r="AT959" s="14">
        <f t="shared" si="419"/>
        <v>19</v>
      </c>
      <c r="AU959" s="14" t="str">
        <f>IF(AM959&gt;0,INDEX(挂机升级突破!$DT$4:$ED$4,AM959),"")</f>
        <v>金币</v>
      </c>
      <c r="AV959" s="14">
        <f>ROUND(INDEX(挂机升级突破!$DJ$6:$DJ$57,卡牌消耗!AT959)*INDEX(卡牌消耗!$B$8:$F$8,AR959)/$Q$4/50,0)*50</f>
        <v>2850</v>
      </c>
      <c r="AW959" s="14" t="str">
        <f>IF(AN959&gt;0,INDEX(挂机升级突破!$DT$4:$ED$4,AN959),"")</f>
        <v>紫色基础材料</v>
      </c>
      <c r="AX959" s="14">
        <f>ROUND(INDEX(挂机升级突破!$DT$6:$ED$57,卡牌消耗!AT959,AN959)*INDEX(卡牌消耗!$B$5:$F$5,AR959)/$Q$4/5,0)*5</f>
        <v>35</v>
      </c>
      <c r="AY959" s="14" t="str">
        <f>IF(AO959&gt;0,INDEX(挂机升级突破!$DT$4:$ED$4,AO959),"")</f>
        <v/>
      </c>
      <c r="AZ959" s="14" t="str">
        <f>IF(AO959&gt;0,ROUND(INDEX(挂机升级突破!$DT$6:$ED$57,卡牌消耗!AT959,AO959)*INDEX(卡牌消耗!$B$7:$F$7,AR959)/$Q$4,0),"")</f>
        <v/>
      </c>
    </row>
    <row r="960" spans="37:52" ht="16.5" x14ac:dyDescent="0.2">
      <c r="AK960" s="104">
        <v>956</v>
      </c>
      <c r="AL960" s="14">
        <f t="shared" si="415"/>
        <v>19</v>
      </c>
      <c r="AM960" s="14">
        <f>INDEX(挂机升级突破!DQ$6:DQ$57,卡牌消耗!$AT960)</f>
        <v>11</v>
      </c>
      <c r="AN960" s="14">
        <f>INDEX(挂机升级突破!DR$6:DR$57,卡牌消耗!$AT960)</f>
        <v>3</v>
      </c>
      <c r="AO960" s="14">
        <f>INDEX(挂机升级突破!DS$6:DS$57,卡牌消耗!$AT960)</f>
        <v>0</v>
      </c>
      <c r="AP960" s="14">
        <f>INDEX(挂机升级突破!$DP$6:$DP$57,卡牌消耗!AT960)</f>
        <v>68</v>
      </c>
      <c r="AQ960" s="14" t="str">
        <f t="shared" si="416"/>
        <v>食火蜥</v>
      </c>
      <c r="AR960" s="14">
        <f t="shared" si="417"/>
        <v>2</v>
      </c>
      <c r="AS960" s="14" t="str">
        <f t="shared" si="418"/>
        <v>食火蜥魂火-20</v>
      </c>
      <c r="AT960" s="14">
        <f t="shared" si="419"/>
        <v>20</v>
      </c>
      <c r="AU960" s="14" t="str">
        <f>IF(AM960&gt;0,INDEX(挂机升级突破!$DT$4:$ED$4,AM960),"")</f>
        <v>金币</v>
      </c>
      <c r="AV960" s="14">
        <f>ROUND(INDEX(挂机升级突破!$DJ$6:$DJ$57,卡牌消耗!AT960)*INDEX(卡牌消耗!$B$8:$F$8,AR960)/$Q$4/50,0)*50</f>
        <v>3500</v>
      </c>
      <c r="AW960" s="14" t="str">
        <f>IF(AN960&gt;0,INDEX(挂机升级突破!$DT$4:$ED$4,AN960),"")</f>
        <v>紫色基础材料</v>
      </c>
      <c r="AX960" s="14">
        <f>ROUND(INDEX(挂机升级突破!$DT$6:$ED$57,卡牌消耗!AT960,AN960)*INDEX(卡牌消耗!$B$5:$F$5,AR960)/$Q$4/5,0)*5</f>
        <v>55</v>
      </c>
      <c r="AY960" s="14" t="str">
        <f>IF(AO960&gt;0,INDEX(挂机升级突破!$DT$4:$ED$4,AO960),"")</f>
        <v/>
      </c>
      <c r="AZ960" s="14" t="str">
        <f>IF(AO960&gt;0,ROUND(INDEX(挂机升级突破!$DT$6:$ED$57,卡牌消耗!AT960,AO960)*INDEX(卡牌消耗!$B$7:$F$7,AR960)/$Q$4,0),"")</f>
        <v/>
      </c>
    </row>
    <row r="961" spans="37:52" ht="16.5" x14ac:dyDescent="0.2">
      <c r="AK961" s="104">
        <v>957</v>
      </c>
      <c r="AL961" s="14">
        <f t="shared" si="415"/>
        <v>19</v>
      </c>
      <c r="AM961" s="14">
        <f>INDEX(挂机升级突破!DQ$6:DQ$57,卡牌消耗!$AT961)</f>
        <v>11</v>
      </c>
      <c r="AN961" s="14">
        <f>INDEX(挂机升级突破!DR$6:DR$57,卡牌消耗!$AT961)</f>
        <v>3</v>
      </c>
      <c r="AO961" s="14">
        <f>INDEX(挂机升级突破!DS$6:DS$57,卡牌消耗!$AT961)</f>
        <v>0</v>
      </c>
      <c r="AP961" s="14">
        <f>INDEX(挂机升级突破!$DP$6:$DP$57,卡牌消耗!AT961)</f>
        <v>70</v>
      </c>
      <c r="AQ961" s="14" t="str">
        <f t="shared" si="416"/>
        <v>食火蜥</v>
      </c>
      <c r="AR961" s="14">
        <f t="shared" si="417"/>
        <v>2</v>
      </c>
      <c r="AS961" s="14" t="str">
        <f t="shared" si="418"/>
        <v>食火蜥魂火-21</v>
      </c>
      <c r="AT961" s="14">
        <f t="shared" si="419"/>
        <v>21</v>
      </c>
      <c r="AU961" s="14" t="str">
        <f>IF(AM961&gt;0,INDEX(挂机升级突破!$DT$4:$ED$4,AM961),"")</f>
        <v>金币</v>
      </c>
      <c r="AV961" s="14">
        <f>ROUND(INDEX(挂机升级突破!$DJ$6:$DJ$57,卡牌消耗!AT961)*INDEX(卡牌消耗!$B$8:$F$8,AR961)/$Q$4/50,0)*50</f>
        <v>3500</v>
      </c>
      <c r="AW961" s="14" t="str">
        <f>IF(AN961&gt;0,INDEX(挂机升级突破!$DT$4:$ED$4,AN961),"")</f>
        <v>紫色基础材料</v>
      </c>
      <c r="AX961" s="14">
        <f>ROUND(INDEX(挂机升级突破!$DT$6:$ED$57,卡牌消耗!AT961,AN961)*INDEX(卡牌消耗!$B$5:$F$5,AR961)/$Q$4/5,0)*5</f>
        <v>55</v>
      </c>
      <c r="AY961" s="14" t="str">
        <f>IF(AO961&gt;0,INDEX(挂机升级突破!$DT$4:$ED$4,AO961),"")</f>
        <v/>
      </c>
      <c r="AZ961" s="14" t="str">
        <f>IF(AO961&gt;0,ROUND(INDEX(挂机升级突破!$DT$6:$ED$57,卡牌消耗!AT961,AO961)*INDEX(卡牌消耗!$B$7:$F$7,AR961)/$Q$4,0),"")</f>
        <v/>
      </c>
    </row>
    <row r="962" spans="37:52" ht="16.5" x14ac:dyDescent="0.2">
      <c r="AK962" s="104">
        <v>958</v>
      </c>
      <c r="AL962" s="14">
        <f t="shared" si="415"/>
        <v>19</v>
      </c>
      <c r="AM962" s="14">
        <f>INDEX(挂机升级突破!DQ$6:DQ$57,卡牌消耗!$AT962)</f>
        <v>11</v>
      </c>
      <c r="AN962" s="14">
        <f>INDEX(挂机升级突破!DR$6:DR$57,卡牌消耗!$AT962)</f>
        <v>3</v>
      </c>
      <c r="AO962" s="14">
        <f>INDEX(挂机升级突破!DS$6:DS$57,卡牌消耗!$AT962)</f>
        <v>0</v>
      </c>
      <c r="AP962" s="14">
        <f>INDEX(挂机升级突破!$DP$6:$DP$57,卡牌消耗!AT962)</f>
        <v>73</v>
      </c>
      <c r="AQ962" s="14" t="str">
        <f t="shared" si="416"/>
        <v>食火蜥</v>
      </c>
      <c r="AR962" s="14">
        <f t="shared" si="417"/>
        <v>2</v>
      </c>
      <c r="AS962" s="14" t="str">
        <f t="shared" si="418"/>
        <v>食火蜥魂火-22</v>
      </c>
      <c r="AT962" s="14">
        <f t="shared" si="419"/>
        <v>22</v>
      </c>
      <c r="AU962" s="14" t="str">
        <f>IF(AM962&gt;0,INDEX(挂机升级突破!$DT$4:$ED$4,AM962),"")</f>
        <v>金币</v>
      </c>
      <c r="AV962" s="14">
        <f>ROUND(INDEX(挂机升级突破!$DJ$6:$DJ$57,卡牌消耗!AT962)*INDEX(卡牌消耗!$B$8:$F$8,AR962)/$Q$4/50,0)*50</f>
        <v>3500</v>
      </c>
      <c r="AW962" s="14" t="str">
        <f>IF(AN962&gt;0,INDEX(挂机升级突破!$DT$4:$ED$4,AN962),"")</f>
        <v>紫色基础材料</v>
      </c>
      <c r="AX962" s="14">
        <f>ROUND(INDEX(挂机升级突破!$DT$6:$ED$57,卡牌消耗!AT962,AN962)*INDEX(卡牌消耗!$B$5:$F$5,AR962)/$Q$4/5,0)*5</f>
        <v>55</v>
      </c>
      <c r="AY962" s="14" t="str">
        <f>IF(AO962&gt;0,INDEX(挂机升级突破!$DT$4:$ED$4,AO962),"")</f>
        <v/>
      </c>
      <c r="AZ962" s="14" t="str">
        <f>IF(AO962&gt;0,ROUND(INDEX(挂机升级突破!$DT$6:$ED$57,卡牌消耗!AT962,AO962)*INDEX(卡牌消耗!$B$7:$F$7,AR962)/$Q$4,0),"")</f>
        <v/>
      </c>
    </row>
    <row r="963" spans="37:52" ht="16.5" x14ac:dyDescent="0.2">
      <c r="AK963" s="104">
        <v>959</v>
      </c>
      <c r="AL963" s="14">
        <f t="shared" si="415"/>
        <v>19</v>
      </c>
      <c r="AM963" s="14">
        <f>INDEX(挂机升级突破!DQ$6:DQ$57,卡牌消耗!$AT963)</f>
        <v>11</v>
      </c>
      <c r="AN963" s="14">
        <f>INDEX(挂机升级突破!DR$6:DR$57,卡牌消耗!$AT963)</f>
        <v>4</v>
      </c>
      <c r="AO963" s="14">
        <f>INDEX(挂机升级突破!DS$6:DS$57,卡牌消耗!$AT963)</f>
        <v>0</v>
      </c>
      <c r="AP963" s="14">
        <f>INDEX(挂机升级突破!$DP$6:$DP$57,卡牌消耗!AT963)</f>
        <v>75</v>
      </c>
      <c r="AQ963" s="14" t="str">
        <f t="shared" si="416"/>
        <v>食火蜥</v>
      </c>
      <c r="AR963" s="14">
        <f t="shared" si="417"/>
        <v>2</v>
      </c>
      <c r="AS963" s="14" t="str">
        <f t="shared" si="418"/>
        <v>食火蜥魂火-23</v>
      </c>
      <c r="AT963" s="14">
        <f t="shared" si="419"/>
        <v>23</v>
      </c>
      <c r="AU963" s="14" t="str">
        <f>IF(AM963&gt;0,INDEX(挂机升级突破!$DT$4:$ED$4,AM963),"")</f>
        <v>金币</v>
      </c>
      <c r="AV963" s="14">
        <f>ROUND(INDEX(挂机升级突破!$DJ$6:$DJ$57,卡牌消耗!AT963)*INDEX(卡牌消耗!$B$8:$F$8,AR963)/$Q$4/50,0)*50</f>
        <v>4850</v>
      </c>
      <c r="AW963" s="14" t="str">
        <f>IF(AN963&gt;0,INDEX(挂机升级突破!$DT$4:$ED$4,AN963),"")</f>
        <v>橙色基础材料</v>
      </c>
      <c r="AX963" s="14">
        <f>ROUND(INDEX(挂机升级突破!$DT$6:$ED$57,卡牌消耗!AT963,AN963)*INDEX(卡牌消耗!$B$5:$F$5,AR963)/$Q$4/5,0)*5</f>
        <v>15</v>
      </c>
      <c r="AY963" s="14" t="str">
        <f>IF(AO963&gt;0,INDEX(挂机升级突破!$DT$4:$ED$4,AO963),"")</f>
        <v/>
      </c>
      <c r="AZ963" s="14" t="str">
        <f>IF(AO963&gt;0,ROUND(INDEX(挂机升级突破!$DT$6:$ED$57,卡牌消耗!AT963,AO963)*INDEX(卡牌消耗!$B$7:$F$7,AR963)/$Q$4,0),"")</f>
        <v/>
      </c>
    </row>
    <row r="964" spans="37:52" ht="16.5" x14ac:dyDescent="0.2">
      <c r="AK964" s="104">
        <v>960</v>
      </c>
      <c r="AL964" s="14">
        <f t="shared" si="415"/>
        <v>19</v>
      </c>
      <c r="AM964" s="14">
        <f>INDEX(挂机升级突破!DQ$6:DQ$57,卡牌消耗!$AT964)</f>
        <v>11</v>
      </c>
      <c r="AN964" s="14">
        <f>INDEX(挂机升级突破!DR$6:DR$57,卡牌消耗!$AT964)</f>
        <v>4</v>
      </c>
      <c r="AO964" s="14">
        <f>INDEX(挂机升级突破!DS$6:DS$57,卡牌消耗!$AT964)</f>
        <v>0</v>
      </c>
      <c r="AP964" s="14">
        <f>INDEX(挂机升级突破!$DP$6:$DP$57,卡牌消耗!AT964)</f>
        <v>78</v>
      </c>
      <c r="AQ964" s="14" t="str">
        <f t="shared" si="416"/>
        <v>食火蜥</v>
      </c>
      <c r="AR964" s="14">
        <f t="shared" si="417"/>
        <v>2</v>
      </c>
      <c r="AS964" s="14" t="str">
        <f t="shared" si="418"/>
        <v>食火蜥魂火-24</v>
      </c>
      <c r="AT964" s="14">
        <f t="shared" si="419"/>
        <v>24</v>
      </c>
      <c r="AU964" s="14" t="str">
        <f>IF(AM964&gt;0,INDEX(挂机升级突破!$DT$4:$ED$4,AM964),"")</f>
        <v>金币</v>
      </c>
      <c r="AV964" s="14">
        <f>ROUND(INDEX(挂机升级突破!$DJ$6:$DJ$57,卡牌消耗!AT964)*INDEX(卡牌消耗!$B$8:$F$8,AR964)/$Q$4/50,0)*50</f>
        <v>4850</v>
      </c>
      <c r="AW964" s="14" t="str">
        <f>IF(AN964&gt;0,INDEX(挂机升级突破!$DT$4:$ED$4,AN964),"")</f>
        <v>橙色基础材料</v>
      </c>
      <c r="AX964" s="14">
        <f>ROUND(INDEX(挂机升级突破!$DT$6:$ED$57,卡牌消耗!AT964,AN964)*INDEX(卡牌消耗!$B$5:$F$5,AR964)/$Q$4/5,0)*5</f>
        <v>15</v>
      </c>
      <c r="AY964" s="14" t="str">
        <f>IF(AO964&gt;0,INDEX(挂机升级突破!$DT$4:$ED$4,AO964),"")</f>
        <v/>
      </c>
      <c r="AZ964" s="14" t="str">
        <f>IF(AO964&gt;0,ROUND(INDEX(挂机升级突破!$DT$6:$ED$57,卡牌消耗!AT964,AO964)*INDEX(卡牌消耗!$B$7:$F$7,AR964)/$Q$4,0),"")</f>
        <v/>
      </c>
    </row>
    <row r="965" spans="37:52" ht="16.5" x14ac:dyDescent="0.2">
      <c r="AK965" s="104">
        <v>961</v>
      </c>
      <c r="AL965" s="14">
        <f t="shared" si="415"/>
        <v>19</v>
      </c>
      <c r="AM965" s="14">
        <f>INDEX(挂机升级突破!DQ$6:DQ$57,卡牌消耗!$AT965)</f>
        <v>11</v>
      </c>
      <c r="AN965" s="14">
        <f>INDEX(挂机升级突破!DR$6:DR$57,卡牌消耗!$AT965)</f>
        <v>4</v>
      </c>
      <c r="AO965" s="14">
        <f>INDEX(挂机升级突破!DS$6:DS$57,卡牌消耗!$AT965)</f>
        <v>0</v>
      </c>
      <c r="AP965" s="14">
        <f>INDEX(挂机升级突破!$DP$6:$DP$57,卡牌消耗!AT965)</f>
        <v>80</v>
      </c>
      <c r="AQ965" s="14" t="str">
        <f t="shared" si="416"/>
        <v>食火蜥</v>
      </c>
      <c r="AR965" s="14">
        <f t="shared" si="417"/>
        <v>2</v>
      </c>
      <c r="AS965" s="14" t="str">
        <f t="shared" si="418"/>
        <v>食火蜥魂火-25</v>
      </c>
      <c r="AT965" s="14">
        <f t="shared" si="419"/>
        <v>25</v>
      </c>
      <c r="AU965" s="14" t="str">
        <f>IF(AM965&gt;0,INDEX(挂机升级突破!$DT$4:$ED$4,AM965),"")</f>
        <v>金币</v>
      </c>
      <c r="AV965" s="14">
        <f>ROUND(INDEX(挂机升级突破!$DJ$6:$DJ$57,卡牌消耗!AT965)*INDEX(卡牌消耗!$B$8:$F$8,AR965)/$Q$4/50,0)*50</f>
        <v>5250</v>
      </c>
      <c r="AW965" s="14" t="str">
        <f>IF(AN965&gt;0,INDEX(挂机升级突破!$DT$4:$ED$4,AN965),"")</f>
        <v>橙色基础材料</v>
      </c>
      <c r="AX965" s="14">
        <f>ROUND(INDEX(挂机升级突破!$DT$6:$ED$57,卡牌消耗!AT965,AN965)*INDEX(卡牌消耗!$B$5:$F$5,AR965)/$Q$4/5,0)*5</f>
        <v>15</v>
      </c>
      <c r="AY965" s="14" t="str">
        <f>IF(AO965&gt;0,INDEX(挂机升级突破!$DT$4:$ED$4,AO965),"")</f>
        <v/>
      </c>
      <c r="AZ965" s="14" t="str">
        <f>IF(AO965&gt;0,ROUND(INDEX(挂机升级突破!$DT$6:$ED$57,卡牌消耗!AT965,AO965)*INDEX(卡牌消耗!$B$7:$F$7,AR965)/$Q$4,0),"")</f>
        <v/>
      </c>
    </row>
    <row r="966" spans="37:52" ht="16.5" x14ac:dyDescent="0.2">
      <c r="AK966" s="104">
        <v>962</v>
      </c>
      <c r="AL966" s="14">
        <f t="shared" ref="AL966:AL1029" si="420">INT((AK966-1)/52)+1</f>
        <v>19</v>
      </c>
      <c r="AM966" s="14">
        <f>INDEX(挂机升级突破!DQ$6:DQ$57,卡牌消耗!$AT966)</f>
        <v>11</v>
      </c>
      <c r="AN966" s="14">
        <f>INDEX(挂机升级突破!DR$6:DR$57,卡牌消耗!$AT966)</f>
        <v>4</v>
      </c>
      <c r="AO966" s="14">
        <f>INDEX(挂机升级突破!DS$6:DS$57,卡牌消耗!$AT966)</f>
        <v>0</v>
      </c>
      <c r="AP966" s="14">
        <f>INDEX(挂机升级突破!$DP$6:$DP$57,卡牌消耗!AT966)</f>
        <v>83</v>
      </c>
      <c r="AQ966" s="14" t="str">
        <f t="shared" ref="AQ966:AQ1029" si="421">INDEX($B$13:$B$45,AL966)</f>
        <v>食火蜥</v>
      </c>
      <c r="AR966" s="14">
        <f t="shared" ref="AR966:AR1029" si="422">INDEX($C$13:$C$45,AL966)</f>
        <v>2</v>
      </c>
      <c r="AS966" s="14" t="str">
        <f t="shared" ref="AS966:AS1029" si="423">AQ966&amp;"魂火-"&amp;AT966</f>
        <v>食火蜥魂火-26</v>
      </c>
      <c r="AT966" s="14">
        <f t="shared" ref="AT966:AT1029" si="424">AK966-(AL966-1)*52</f>
        <v>26</v>
      </c>
      <c r="AU966" s="14" t="str">
        <f>IF(AM966&gt;0,INDEX(挂机升级突破!$DT$4:$ED$4,AM966),"")</f>
        <v>金币</v>
      </c>
      <c r="AV966" s="14">
        <f>ROUND(INDEX(挂机升级突破!$DJ$6:$DJ$57,卡牌消耗!AT966)*INDEX(卡牌消耗!$B$8:$F$8,AR966)/$Q$4/50,0)*50</f>
        <v>6150</v>
      </c>
      <c r="AW966" s="14" t="str">
        <f>IF(AN966&gt;0,INDEX(挂机升级突破!$DT$4:$ED$4,AN966),"")</f>
        <v>橙色基础材料</v>
      </c>
      <c r="AX966" s="14">
        <f>ROUND(INDEX(挂机升级突破!$DT$6:$ED$57,卡牌消耗!AT966,AN966)*INDEX(卡牌消耗!$B$5:$F$5,AR966)/$Q$4/5,0)*5</f>
        <v>20</v>
      </c>
      <c r="AY966" s="14" t="str">
        <f>IF(AO966&gt;0,INDEX(挂机升级突破!$DT$4:$ED$4,AO966),"")</f>
        <v/>
      </c>
      <c r="AZ966" s="14" t="str">
        <f>IF(AO966&gt;0,ROUND(INDEX(挂机升级突破!$DT$6:$ED$57,卡牌消耗!AT966,AO966)*INDEX(卡牌消耗!$B$7:$F$7,AR966)/$Q$4,0),"")</f>
        <v/>
      </c>
    </row>
    <row r="967" spans="37:52" ht="16.5" x14ac:dyDescent="0.2">
      <c r="AK967" s="104">
        <v>963</v>
      </c>
      <c r="AL967" s="14">
        <f t="shared" si="420"/>
        <v>19</v>
      </c>
      <c r="AM967" s="14">
        <f>INDEX(挂机升级突破!DQ$6:DQ$57,卡牌消耗!$AT967)</f>
        <v>11</v>
      </c>
      <c r="AN967" s="14">
        <f>INDEX(挂机升级突破!DR$6:DR$57,卡牌消耗!$AT967)</f>
        <v>4</v>
      </c>
      <c r="AO967" s="14">
        <f>INDEX(挂机升级突破!DS$6:DS$57,卡牌消耗!$AT967)</f>
        <v>0</v>
      </c>
      <c r="AP967" s="14">
        <f>INDEX(挂机升级突破!$DP$6:$DP$57,卡牌消耗!AT967)</f>
        <v>85</v>
      </c>
      <c r="AQ967" s="14" t="str">
        <f t="shared" si="421"/>
        <v>食火蜥</v>
      </c>
      <c r="AR967" s="14">
        <f t="shared" si="422"/>
        <v>2</v>
      </c>
      <c r="AS967" s="14" t="str">
        <f t="shared" si="423"/>
        <v>食火蜥魂火-27</v>
      </c>
      <c r="AT967" s="14">
        <f t="shared" si="424"/>
        <v>27</v>
      </c>
      <c r="AU967" s="14" t="str">
        <f>IF(AM967&gt;0,INDEX(挂机升级突破!$DT$4:$ED$4,AM967),"")</f>
        <v>金币</v>
      </c>
      <c r="AV967" s="14">
        <f>ROUND(INDEX(挂机升级突破!$DJ$6:$DJ$57,卡牌消耗!AT967)*INDEX(卡牌消耗!$B$8:$F$8,AR967)/$Q$4/50,0)*50</f>
        <v>6150</v>
      </c>
      <c r="AW967" s="14" t="str">
        <f>IF(AN967&gt;0,INDEX(挂机升级突破!$DT$4:$ED$4,AN967),"")</f>
        <v>橙色基础材料</v>
      </c>
      <c r="AX967" s="14">
        <f>ROUND(INDEX(挂机升级突破!$DT$6:$ED$57,卡牌消耗!AT967,AN967)*INDEX(卡牌消耗!$B$5:$F$5,AR967)/$Q$4/5,0)*5</f>
        <v>20</v>
      </c>
      <c r="AY967" s="14" t="str">
        <f>IF(AO967&gt;0,INDEX(挂机升级突破!$DT$4:$ED$4,AO967),"")</f>
        <v/>
      </c>
      <c r="AZ967" s="14" t="str">
        <f>IF(AO967&gt;0,ROUND(INDEX(挂机升级突破!$DT$6:$ED$57,卡牌消耗!AT967,AO967)*INDEX(卡牌消耗!$B$7:$F$7,AR967)/$Q$4,0),"")</f>
        <v/>
      </c>
    </row>
    <row r="968" spans="37:52" ht="16.5" x14ac:dyDescent="0.2">
      <c r="AK968" s="104">
        <v>964</v>
      </c>
      <c r="AL968" s="14">
        <f t="shared" si="420"/>
        <v>19</v>
      </c>
      <c r="AM968" s="14">
        <f>INDEX(挂机升级突破!DQ$6:DQ$57,卡牌消耗!$AT968)</f>
        <v>11</v>
      </c>
      <c r="AN968" s="14">
        <f>INDEX(挂机升级突破!DR$6:DR$57,卡牌消耗!$AT968)</f>
        <v>4</v>
      </c>
      <c r="AO968" s="14">
        <f>INDEX(挂机升级突破!DS$6:DS$57,卡牌消耗!$AT968)</f>
        <v>0</v>
      </c>
      <c r="AP968" s="14">
        <f>INDEX(挂机升级突破!$DP$6:$DP$57,卡牌消耗!AT968)</f>
        <v>88</v>
      </c>
      <c r="AQ968" s="14" t="str">
        <f t="shared" si="421"/>
        <v>食火蜥</v>
      </c>
      <c r="AR968" s="14">
        <f t="shared" si="422"/>
        <v>2</v>
      </c>
      <c r="AS968" s="14" t="str">
        <f t="shared" si="423"/>
        <v>食火蜥魂火-28</v>
      </c>
      <c r="AT968" s="14">
        <f t="shared" si="424"/>
        <v>28</v>
      </c>
      <c r="AU968" s="14" t="str">
        <f>IF(AM968&gt;0,INDEX(挂机升级突破!$DT$4:$ED$4,AM968),"")</f>
        <v>金币</v>
      </c>
      <c r="AV968" s="14">
        <f>ROUND(INDEX(挂机升级突破!$DJ$6:$DJ$57,卡牌消耗!AT968)*INDEX(卡牌消耗!$B$8:$F$8,AR968)/$Q$4/50,0)*50</f>
        <v>6150</v>
      </c>
      <c r="AW968" s="14" t="str">
        <f>IF(AN968&gt;0,INDEX(挂机升级突破!$DT$4:$ED$4,AN968),"")</f>
        <v>橙色基础材料</v>
      </c>
      <c r="AX968" s="14">
        <f>ROUND(INDEX(挂机升级突破!$DT$6:$ED$57,卡牌消耗!AT968,AN968)*INDEX(卡牌消耗!$B$5:$F$5,AR968)/$Q$4/5,0)*5</f>
        <v>20</v>
      </c>
      <c r="AY968" s="14" t="str">
        <f>IF(AO968&gt;0,INDEX(挂机升级突破!$DT$4:$ED$4,AO968),"")</f>
        <v/>
      </c>
      <c r="AZ968" s="14" t="str">
        <f>IF(AO968&gt;0,ROUND(INDEX(挂机升级突破!$DT$6:$ED$57,卡牌消耗!AT968,AO968)*INDEX(卡牌消耗!$B$7:$F$7,AR968)/$Q$4,0),"")</f>
        <v/>
      </c>
    </row>
    <row r="969" spans="37:52" ht="16.5" x14ac:dyDescent="0.2">
      <c r="AK969" s="104">
        <v>965</v>
      </c>
      <c r="AL969" s="14">
        <f t="shared" si="420"/>
        <v>19</v>
      </c>
      <c r="AM969" s="14">
        <f>INDEX(挂机升级突破!DQ$6:DQ$57,卡牌消耗!$AT969)</f>
        <v>11</v>
      </c>
      <c r="AN969" s="14">
        <f>INDEX(挂机升级突破!DR$6:DR$57,卡牌消耗!$AT969)</f>
        <v>4</v>
      </c>
      <c r="AO969" s="14">
        <f>INDEX(挂机升级突破!DS$6:DS$57,卡牌消耗!$AT969)</f>
        <v>0</v>
      </c>
      <c r="AP969" s="14">
        <f>INDEX(挂机升级突破!$DP$6:$DP$57,卡牌消耗!AT969)</f>
        <v>90</v>
      </c>
      <c r="AQ969" s="14" t="str">
        <f t="shared" si="421"/>
        <v>食火蜥</v>
      </c>
      <c r="AR969" s="14">
        <f t="shared" si="422"/>
        <v>2</v>
      </c>
      <c r="AS969" s="14" t="str">
        <f t="shared" si="423"/>
        <v>食火蜥魂火-29</v>
      </c>
      <c r="AT969" s="14">
        <f t="shared" si="424"/>
        <v>29</v>
      </c>
      <c r="AU969" s="14" t="str">
        <f>IF(AM969&gt;0,INDEX(挂机升级突破!$DT$4:$ED$4,AM969),"")</f>
        <v>金币</v>
      </c>
      <c r="AV969" s="14">
        <f>ROUND(INDEX(挂机升级突破!$DJ$6:$DJ$57,卡牌消耗!AT969)*INDEX(卡牌消耗!$B$8:$F$8,AR969)/$Q$4/50,0)*50</f>
        <v>6200</v>
      </c>
      <c r="AW969" s="14" t="str">
        <f>IF(AN969&gt;0,INDEX(挂机升级突破!$DT$4:$ED$4,AN969),"")</f>
        <v>橙色基础材料</v>
      </c>
      <c r="AX969" s="14">
        <f>ROUND(INDEX(挂机升级突破!$DT$6:$ED$57,卡牌消耗!AT969,AN969)*INDEX(卡牌消耗!$B$5:$F$5,AR969)/$Q$4/5,0)*5</f>
        <v>20</v>
      </c>
      <c r="AY969" s="14" t="str">
        <f>IF(AO969&gt;0,INDEX(挂机升级突破!$DT$4:$ED$4,AO969),"")</f>
        <v/>
      </c>
      <c r="AZ969" s="14" t="str">
        <f>IF(AO969&gt;0,ROUND(INDEX(挂机升级突破!$DT$6:$ED$57,卡牌消耗!AT969,AO969)*INDEX(卡牌消耗!$B$7:$F$7,AR969)/$Q$4,0),"")</f>
        <v/>
      </c>
    </row>
    <row r="970" spans="37:52" ht="16.5" x14ac:dyDescent="0.2">
      <c r="AK970" s="104">
        <v>966</v>
      </c>
      <c r="AL970" s="14">
        <f t="shared" si="420"/>
        <v>19</v>
      </c>
      <c r="AM970" s="14">
        <f>INDEX(挂机升级突破!DQ$6:DQ$57,卡牌消耗!$AT970)</f>
        <v>11</v>
      </c>
      <c r="AN970" s="14">
        <f>INDEX(挂机升级突破!DR$6:DR$57,卡牌消耗!$AT970)</f>
        <v>4</v>
      </c>
      <c r="AO970" s="14">
        <f>INDEX(挂机升级突破!DS$6:DS$57,卡牌消耗!$AT970)</f>
        <v>0</v>
      </c>
      <c r="AP970" s="14">
        <f>INDEX(挂机升级突破!$DP$6:$DP$57,卡牌消耗!AT970)</f>
        <v>93</v>
      </c>
      <c r="AQ970" s="14" t="str">
        <f t="shared" si="421"/>
        <v>食火蜥</v>
      </c>
      <c r="AR970" s="14">
        <f t="shared" si="422"/>
        <v>2</v>
      </c>
      <c r="AS970" s="14" t="str">
        <f t="shared" si="423"/>
        <v>食火蜥魂火-30</v>
      </c>
      <c r="AT970" s="14">
        <f t="shared" si="424"/>
        <v>30</v>
      </c>
      <c r="AU970" s="14" t="str">
        <f>IF(AM970&gt;0,INDEX(挂机升级突破!$DT$4:$ED$4,AM970),"")</f>
        <v>金币</v>
      </c>
      <c r="AV970" s="14">
        <f>ROUND(INDEX(挂机升级突破!$DJ$6:$DJ$57,卡牌消耗!AT970)*INDEX(卡牌消耗!$B$8:$F$8,AR970)/$Q$4/50,0)*50</f>
        <v>6200</v>
      </c>
      <c r="AW970" s="14" t="str">
        <f>IF(AN970&gt;0,INDEX(挂机升级突破!$DT$4:$ED$4,AN970),"")</f>
        <v>橙色基础材料</v>
      </c>
      <c r="AX970" s="14">
        <f>ROUND(INDEX(挂机升级突破!$DT$6:$ED$57,卡牌消耗!AT970,AN970)*INDEX(卡牌消耗!$B$5:$F$5,AR970)/$Q$4/5,0)*5</f>
        <v>20</v>
      </c>
      <c r="AY970" s="14" t="str">
        <f>IF(AO970&gt;0,INDEX(挂机升级突破!$DT$4:$ED$4,AO970),"")</f>
        <v/>
      </c>
      <c r="AZ970" s="14" t="str">
        <f>IF(AO970&gt;0,ROUND(INDEX(挂机升级突破!$DT$6:$ED$57,卡牌消耗!AT970,AO970)*INDEX(卡牌消耗!$B$7:$F$7,AR970)/$Q$4,0),"")</f>
        <v/>
      </c>
    </row>
    <row r="971" spans="37:52" ht="16.5" x14ac:dyDescent="0.2">
      <c r="AK971" s="104">
        <v>967</v>
      </c>
      <c r="AL971" s="14">
        <f t="shared" si="420"/>
        <v>19</v>
      </c>
      <c r="AM971" s="14">
        <f>INDEX(挂机升级突破!DQ$6:DQ$57,卡牌消耗!$AT971)</f>
        <v>11</v>
      </c>
      <c r="AN971" s="14">
        <f>INDEX(挂机升级突破!DR$6:DR$57,卡牌消耗!$AT971)</f>
        <v>4</v>
      </c>
      <c r="AO971" s="14">
        <f>INDEX(挂机升级突破!DS$6:DS$57,卡牌消耗!$AT971)</f>
        <v>0</v>
      </c>
      <c r="AP971" s="14">
        <f>INDEX(挂机升级突破!$DP$6:$DP$57,卡牌消耗!AT971)</f>
        <v>95</v>
      </c>
      <c r="AQ971" s="14" t="str">
        <f t="shared" si="421"/>
        <v>食火蜥</v>
      </c>
      <c r="AR971" s="14">
        <f t="shared" si="422"/>
        <v>2</v>
      </c>
      <c r="AS971" s="14" t="str">
        <f t="shared" si="423"/>
        <v>食火蜥魂火-31</v>
      </c>
      <c r="AT971" s="14">
        <f t="shared" si="424"/>
        <v>31</v>
      </c>
      <c r="AU971" s="14" t="str">
        <f>IF(AM971&gt;0,INDEX(挂机升级突破!$DT$4:$ED$4,AM971),"")</f>
        <v>金币</v>
      </c>
      <c r="AV971" s="14">
        <f>ROUND(INDEX(挂机升级突破!$DJ$6:$DJ$57,卡牌消耗!AT971)*INDEX(卡牌消耗!$B$8:$F$8,AR971)/$Q$4/50,0)*50</f>
        <v>6200</v>
      </c>
      <c r="AW971" s="14" t="str">
        <f>IF(AN971&gt;0,INDEX(挂机升级突破!$DT$4:$ED$4,AN971),"")</f>
        <v>橙色基础材料</v>
      </c>
      <c r="AX971" s="14">
        <f>ROUND(INDEX(挂机升级突破!$DT$6:$ED$57,卡牌消耗!AT971,AN971)*INDEX(卡牌消耗!$B$5:$F$5,AR971)/$Q$4/5,0)*5</f>
        <v>20</v>
      </c>
      <c r="AY971" s="14" t="str">
        <f>IF(AO971&gt;0,INDEX(挂机升级突破!$DT$4:$ED$4,AO971),"")</f>
        <v/>
      </c>
      <c r="AZ971" s="14" t="str">
        <f>IF(AO971&gt;0,ROUND(INDEX(挂机升级突破!$DT$6:$ED$57,卡牌消耗!AT971,AO971)*INDEX(卡牌消耗!$B$7:$F$7,AR971)/$Q$4,0),"")</f>
        <v/>
      </c>
    </row>
    <row r="972" spans="37:52" ht="16.5" x14ac:dyDescent="0.2">
      <c r="AK972" s="104">
        <v>968</v>
      </c>
      <c r="AL972" s="14">
        <f t="shared" si="420"/>
        <v>19</v>
      </c>
      <c r="AM972" s="14">
        <f>INDEX(挂机升级突破!DQ$6:DQ$57,卡牌消耗!$AT972)</f>
        <v>11</v>
      </c>
      <c r="AN972" s="14">
        <f>INDEX(挂机升级突破!DR$6:DR$57,卡牌消耗!$AT972)</f>
        <v>4</v>
      </c>
      <c r="AO972" s="14">
        <f>INDEX(挂机升级突破!DS$6:DS$57,卡牌消耗!$AT972)</f>
        <v>0</v>
      </c>
      <c r="AP972" s="14">
        <f>INDEX(挂机升级突破!$DP$6:$DP$57,卡牌消耗!AT972)</f>
        <v>98</v>
      </c>
      <c r="AQ972" s="14" t="str">
        <f t="shared" si="421"/>
        <v>食火蜥</v>
      </c>
      <c r="AR972" s="14">
        <f t="shared" si="422"/>
        <v>2</v>
      </c>
      <c r="AS972" s="14" t="str">
        <f t="shared" si="423"/>
        <v>食火蜥魂火-32</v>
      </c>
      <c r="AT972" s="14">
        <f t="shared" si="424"/>
        <v>32</v>
      </c>
      <c r="AU972" s="14" t="str">
        <f>IF(AM972&gt;0,INDEX(挂机升级突破!$DT$4:$ED$4,AM972),"")</f>
        <v>金币</v>
      </c>
      <c r="AV972" s="14">
        <f>ROUND(INDEX(挂机升级突破!$DJ$6:$DJ$57,卡牌消耗!AT972)*INDEX(卡牌消耗!$B$8:$F$8,AR972)/$Q$4/50,0)*50</f>
        <v>8550</v>
      </c>
      <c r="AW972" s="14" t="str">
        <f>IF(AN972&gt;0,INDEX(挂机升级突破!$DT$4:$ED$4,AN972),"")</f>
        <v>橙色基础材料</v>
      </c>
      <c r="AX972" s="14">
        <f>ROUND(INDEX(挂机升级突破!$DT$6:$ED$57,卡牌消耗!AT972,AN972)*INDEX(卡牌消耗!$B$5:$F$5,AR972)/$Q$4/5,0)*5</f>
        <v>20</v>
      </c>
      <c r="AY972" s="14" t="str">
        <f>IF(AO972&gt;0,INDEX(挂机升级突破!$DT$4:$ED$4,AO972),"")</f>
        <v/>
      </c>
      <c r="AZ972" s="14" t="str">
        <f>IF(AO972&gt;0,ROUND(INDEX(挂机升级突破!$DT$6:$ED$57,卡牌消耗!AT972,AO972)*INDEX(卡牌消耗!$B$7:$F$7,AR972)/$Q$4,0),"")</f>
        <v/>
      </c>
    </row>
    <row r="973" spans="37:52" ht="16.5" x14ac:dyDescent="0.2">
      <c r="AK973" s="104">
        <v>969</v>
      </c>
      <c r="AL973" s="14">
        <f t="shared" si="420"/>
        <v>19</v>
      </c>
      <c r="AM973" s="14">
        <f>INDEX(挂机升级突破!DQ$6:DQ$57,卡牌消耗!$AT973)</f>
        <v>11</v>
      </c>
      <c r="AN973" s="14">
        <f>INDEX(挂机升级突破!DR$6:DR$57,卡牌消耗!$AT973)</f>
        <v>4</v>
      </c>
      <c r="AO973" s="14">
        <f>INDEX(挂机升级突破!DS$6:DS$57,卡牌消耗!$AT973)</f>
        <v>0</v>
      </c>
      <c r="AP973" s="14">
        <f>INDEX(挂机升级突破!$DP$6:$DP$57,卡牌消耗!AT973)</f>
        <v>100</v>
      </c>
      <c r="AQ973" s="14" t="str">
        <f t="shared" si="421"/>
        <v>食火蜥</v>
      </c>
      <c r="AR973" s="14">
        <f t="shared" si="422"/>
        <v>2</v>
      </c>
      <c r="AS973" s="14" t="str">
        <f t="shared" si="423"/>
        <v>食火蜥魂火-33</v>
      </c>
      <c r="AT973" s="14">
        <f t="shared" si="424"/>
        <v>33</v>
      </c>
      <c r="AU973" s="14" t="str">
        <f>IF(AM973&gt;0,INDEX(挂机升级突破!$DT$4:$ED$4,AM973),"")</f>
        <v>金币</v>
      </c>
      <c r="AV973" s="14">
        <f>ROUND(INDEX(挂机升级突破!$DJ$6:$DJ$57,卡牌消耗!AT973)*INDEX(卡牌消耗!$B$8:$F$8,AR973)/$Q$4/50,0)*50</f>
        <v>8550</v>
      </c>
      <c r="AW973" s="14" t="str">
        <f>IF(AN973&gt;0,INDEX(挂机升级突破!$DT$4:$ED$4,AN973),"")</f>
        <v>橙色基础材料</v>
      </c>
      <c r="AX973" s="14">
        <f>ROUND(INDEX(挂机升级突破!$DT$6:$ED$57,卡牌消耗!AT973,AN973)*INDEX(卡牌消耗!$B$5:$F$5,AR973)/$Q$4/5,0)*5</f>
        <v>20</v>
      </c>
      <c r="AY973" s="14" t="str">
        <f>IF(AO973&gt;0,INDEX(挂机升级突破!$DT$4:$ED$4,AO973),"")</f>
        <v/>
      </c>
      <c r="AZ973" s="14" t="str">
        <f>IF(AO973&gt;0,ROUND(INDEX(挂机升级突破!$DT$6:$ED$57,卡牌消耗!AT973,AO973)*INDEX(卡牌消耗!$B$7:$F$7,AR973)/$Q$4,0),"")</f>
        <v/>
      </c>
    </row>
    <row r="974" spans="37:52" ht="16.5" x14ac:dyDescent="0.2">
      <c r="AK974" s="104">
        <v>970</v>
      </c>
      <c r="AL974" s="14">
        <f t="shared" si="420"/>
        <v>19</v>
      </c>
      <c r="AM974" s="14">
        <f>INDEX(挂机升级突破!DQ$6:DQ$57,卡牌消耗!$AT974)</f>
        <v>11</v>
      </c>
      <c r="AN974" s="14">
        <f>INDEX(挂机升级突破!DR$6:DR$57,卡牌消耗!$AT974)</f>
        <v>4</v>
      </c>
      <c r="AO974" s="14">
        <f>INDEX(挂机升级突破!DS$6:DS$57,卡牌消耗!$AT974)</f>
        <v>0</v>
      </c>
      <c r="AP974" s="14">
        <f>INDEX(挂机升级突破!$DP$6:$DP$57,卡牌消耗!AT974)</f>
        <v>103</v>
      </c>
      <c r="AQ974" s="14" t="str">
        <f t="shared" si="421"/>
        <v>食火蜥</v>
      </c>
      <c r="AR974" s="14">
        <f t="shared" si="422"/>
        <v>2</v>
      </c>
      <c r="AS974" s="14" t="str">
        <f t="shared" si="423"/>
        <v>食火蜥魂火-34</v>
      </c>
      <c r="AT974" s="14">
        <f t="shared" si="424"/>
        <v>34</v>
      </c>
      <c r="AU974" s="14" t="str">
        <f>IF(AM974&gt;0,INDEX(挂机升级突破!$DT$4:$ED$4,AM974),"")</f>
        <v>金币</v>
      </c>
      <c r="AV974" s="14">
        <f>ROUND(INDEX(挂机升级突破!$DJ$6:$DJ$57,卡牌消耗!AT974)*INDEX(卡牌消耗!$B$8:$F$8,AR974)/$Q$4/50,0)*50</f>
        <v>8550</v>
      </c>
      <c r="AW974" s="14" t="str">
        <f>IF(AN974&gt;0,INDEX(挂机升级突破!$DT$4:$ED$4,AN974),"")</f>
        <v>橙色基础材料</v>
      </c>
      <c r="AX974" s="14">
        <f>ROUND(INDEX(挂机升级突破!$DT$6:$ED$57,卡牌消耗!AT974,AN974)*INDEX(卡牌消耗!$B$5:$F$5,AR974)/$Q$4/5,0)*5</f>
        <v>25</v>
      </c>
      <c r="AY974" s="14" t="str">
        <f>IF(AO974&gt;0,INDEX(挂机升级突破!$DT$4:$ED$4,AO974),"")</f>
        <v/>
      </c>
      <c r="AZ974" s="14" t="str">
        <f>IF(AO974&gt;0,ROUND(INDEX(挂机升级突破!$DT$6:$ED$57,卡牌消耗!AT974,AO974)*INDEX(卡牌消耗!$B$7:$F$7,AR974)/$Q$4,0),"")</f>
        <v/>
      </c>
    </row>
    <row r="975" spans="37:52" ht="16.5" x14ac:dyDescent="0.2">
      <c r="AK975" s="104">
        <v>971</v>
      </c>
      <c r="AL975" s="14">
        <f t="shared" si="420"/>
        <v>19</v>
      </c>
      <c r="AM975" s="14">
        <f>INDEX(挂机升级突破!DQ$6:DQ$57,卡牌消耗!$AT975)</f>
        <v>11</v>
      </c>
      <c r="AN975" s="14">
        <f>INDEX(挂机升级突破!DR$6:DR$57,卡牌消耗!$AT975)</f>
        <v>4</v>
      </c>
      <c r="AO975" s="14">
        <f>INDEX(挂机升级突破!DS$6:DS$57,卡牌消耗!$AT975)</f>
        <v>0</v>
      </c>
      <c r="AP975" s="14">
        <f>INDEX(挂机升级突破!$DP$6:$DP$57,卡牌消耗!AT975)</f>
        <v>105</v>
      </c>
      <c r="AQ975" s="14" t="str">
        <f t="shared" si="421"/>
        <v>食火蜥</v>
      </c>
      <c r="AR975" s="14">
        <f t="shared" si="422"/>
        <v>2</v>
      </c>
      <c r="AS975" s="14" t="str">
        <f t="shared" si="423"/>
        <v>食火蜥魂火-35</v>
      </c>
      <c r="AT975" s="14">
        <f t="shared" si="424"/>
        <v>35</v>
      </c>
      <c r="AU975" s="14" t="str">
        <f>IF(AM975&gt;0,INDEX(挂机升级突破!$DT$4:$ED$4,AM975),"")</f>
        <v>金币</v>
      </c>
      <c r="AV975" s="14">
        <f>ROUND(INDEX(挂机升级突破!$DJ$6:$DJ$57,卡牌消耗!AT975)*INDEX(卡牌消耗!$B$8:$F$8,AR975)/$Q$4/50,0)*50</f>
        <v>10900</v>
      </c>
      <c r="AW975" s="14" t="str">
        <f>IF(AN975&gt;0,INDEX(挂机升级突破!$DT$4:$ED$4,AN975),"")</f>
        <v>橙色基础材料</v>
      </c>
      <c r="AX975" s="14">
        <f>ROUND(INDEX(挂机升级突破!$DT$6:$ED$57,卡牌消耗!AT975,AN975)*INDEX(卡牌消耗!$B$5:$F$5,AR975)/$Q$4/5,0)*5</f>
        <v>25</v>
      </c>
      <c r="AY975" s="14" t="str">
        <f>IF(AO975&gt;0,INDEX(挂机升级突破!$DT$4:$ED$4,AO975),"")</f>
        <v/>
      </c>
      <c r="AZ975" s="14" t="str">
        <f>IF(AO975&gt;0,ROUND(INDEX(挂机升级突破!$DT$6:$ED$57,卡牌消耗!AT975,AO975)*INDEX(卡牌消耗!$B$7:$F$7,AR975)/$Q$4,0),"")</f>
        <v/>
      </c>
    </row>
    <row r="976" spans="37:52" ht="16.5" x14ac:dyDescent="0.2">
      <c r="AK976" s="104">
        <v>972</v>
      </c>
      <c r="AL976" s="14">
        <f t="shared" si="420"/>
        <v>19</v>
      </c>
      <c r="AM976" s="14">
        <f>INDEX(挂机升级突破!DQ$6:DQ$57,卡牌消耗!$AT976)</f>
        <v>11</v>
      </c>
      <c r="AN976" s="14">
        <f>INDEX(挂机升级突破!DR$6:DR$57,卡牌消耗!$AT976)</f>
        <v>4</v>
      </c>
      <c r="AO976" s="14">
        <f>INDEX(挂机升级突破!DS$6:DS$57,卡牌消耗!$AT976)</f>
        <v>0</v>
      </c>
      <c r="AP976" s="14">
        <f>INDEX(挂机升级突破!$DP$6:$DP$57,卡牌消耗!AT976)</f>
        <v>108</v>
      </c>
      <c r="AQ976" s="14" t="str">
        <f t="shared" si="421"/>
        <v>食火蜥</v>
      </c>
      <c r="AR976" s="14">
        <f t="shared" si="422"/>
        <v>2</v>
      </c>
      <c r="AS976" s="14" t="str">
        <f t="shared" si="423"/>
        <v>食火蜥魂火-36</v>
      </c>
      <c r="AT976" s="14">
        <f t="shared" si="424"/>
        <v>36</v>
      </c>
      <c r="AU976" s="14" t="str">
        <f>IF(AM976&gt;0,INDEX(挂机升级突破!$DT$4:$ED$4,AM976),"")</f>
        <v>金币</v>
      </c>
      <c r="AV976" s="14">
        <f>ROUND(INDEX(挂机升级突破!$DJ$6:$DJ$57,卡牌消耗!AT976)*INDEX(卡牌消耗!$B$8:$F$8,AR976)/$Q$4/50,0)*50</f>
        <v>10900</v>
      </c>
      <c r="AW976" s="14" t="str">
        <f>IF(AN976&gt;0,INDEX(挂机升级突破!$DT$4:$ED$4,AN976),"")</f>
        <v>橙色基础材料</v>
      </c>
      <c r="AX976" s="14">
        <f>ROUND(INDEX(挂机升级突破!$DT$6:$ED$57,卡牌消耗!AT976,AN976)*INDEX(卡牌消耗!$B$5:$F$5,AR976)/$Q$4/5,0)*5</f>
        <v>25</v>
      </c>
      <c r="AY976" s="14" t="str">
        <f>IF(AO976&gt;0,INDEX(挂机升级突破!$DT$4:$ED$4,AO976),"")</f>
        <v/>
      </c>
      <c r="AZ976" s="14" t="str">
        <f>IF(AO976&gt;0,ROUND(INDEX(挂机升级突破!$DT$6:$ED$57,卡牌消耗!AT976,AO976)*INDEX(卡牌消耗!$B$7:$F$7,AR976)/$Q$4,0),"")</f>
        <v/>
      </c>
    </row>
    <row r="977" spans="37:52" ht="16.5" x14ac:dyDescent="0.2">
      <c r="AK977" s="104">
        <v>973</v>
      </c>
      <c r="AL977" s="14">
        <f t="shared" si="420"/>
        <v>19</v>
      </c>
      <c r="AM977" s="14">
        <f>INDEX(挂机升级突破!DQ$6:DQ$57,卡牌消耗!$AT977)</f>
        <v>11</v>
      </c>
      <c r="AN977" s="14">
        <f>INDEX(挂机升级突破!DR$6:DR$57,卡牌消耗!$AT977)</f>
        <v>4</v>
      </c>
      <c r="AO977" s="14">
        <f>INDEX(挂机升级突破!DS$6:DS$57,卡牌消耗!$AT977)</f>
        <v>0</v>
      </c>
      <c r="AP977" s="14">
        <f>INDEX(挂机升级突破!$DP$6:$DP$57,卡牌消耗!AT977)</f>
        <v>110</v>
      </c>
      <c r="AQ977" s="14" t="str">
        <f t="shared" si="421"/>
        <v>食火蜥</v>
      </c>
      <c r="AR977" s="14">
        <f t="shared" si="422"/>
        <v>2</v>
      </c>
      <c r="AS977" s="14" t="str">
        <f t="shared" si="423"/>
        <v>食火蜥魂火-37</v>
      </c>
      <c r="AT977" s="14">
        <f t="shared" si="424"/>
        <v>37</v>
      </c>
      <c r="AU977" s="14" t="str">
        <f>IF(AM977&gt;0,INDEX(挂机升级突破!$DT$4:$ED$4,AM977),"")</f>
        <v>金币</v>
      </c>
      <c r="AV977" s="14">
        <f>ROUND(INDEX(挂机升级突破!$DJ$6:$DJ$57,卡牌消耗!AT977)*INDEX(卡牌消耗!$B$8:$F$8,AR977)/$Q$4/50,0)*50</f>
        <v>11650</v>
      </c>
      <c r="AW977" s="14" t="str">
        <f>IF(AN977&gt;0,INDEX(挂机升级突破!$DT$4:$ED$4,AN977),"")</f>
        <v>橙色基础材料</v>
      </c>
      <c r="AX977" s="14">
        <f>ROUND(INDEX(挂机升级突破!$DT$6:$ED$57,卡牌消耗!AT977,AN977)*INDEX(卡牌消耗!$B$5:$F$5,AR977)/$Q$4/5,0)*5</f>
        <v>25</v>
      </c>
      <c r="AY977" s="14" t="str">
        <f>IF(AO977&gt;0,INDEX(挂机升级突破!$DT$4:$ED$4,AO977),"")</f>
        <v/>
      </c>
      <c r="AZ977" s="14" t="str">
        <f>IF(AO977&gt;0,ROUND(INDEX(挂机升级突破!$DT$6:$ED$57,卡牌消耗!AT977,AO977)*INDEX(卡牌消耗!$B$7:$F$7,AR977)/$Q$4,0),"")</f>
        <v/>
      </c>
    </row>
    <row r="978" spans="37:52" ht="16.5" x14ac:dyDescent="0.2">
      <c r="AK978" s="104">
        <v>974</v>
      </c>
      <c r="AL978" s="14">
        <f t="shared" si="420"/>
        <v>19</v>
      </c>
      <c r="AM978" s="14">
        <f>INDEX(挂机升级突破!DQ$6:DQ$57,卡牌消耗!$AT978)</f>
        <v>11</v>
      </c>
      <c r="AN978" s="14">
        <f>INDEX(挂机升级突破!DR$6:DR$57,卡牌消耗!$AT978)</f>
        <v>5</v>
      </c>
      <c r="AO978" s="14">
        <f>INDEX(挂机升级突破!DS$6:DS$57,卡牌消耗!$AT978)</f>
        <v>0</v>
      </c>
      <c r="AP978" s="14">
        <f>INDEX(挂机升级突破!$DP$6:$DP$57,卡牌消耗!AT978)</f>
        <v>113</v>
      </c>
      <c r="AQ978" s="14" t="str">
        <f t="shared" si="421"/>
        <v>食火蜥</v>
      </c>
      <c r="AR978" s="14">
        <f t="shared" si="422"/>
        <v>2</v>
      </c>
      <c r="AS978" s="14" t="str">
        <f t="shared" si="423"/>
        <v>食火蜥魂火-38</v>
      </c>
      <c r="AT978" s="14">
        <f t="shared" si="424"/>
        <v>38</v>
      </c>
      <c r="AU978" s="14" t="str">
        <f>IF(AM978&gt;0,INDEX(挂机升级突破!$DT$4:$ED$4,AM978),"")</f>
        <v>金币</v>
      </c>
      <c r="AV978" s="14">
        <f>ROUND(INDEX(挂机升级突破!$DJ$6:$DJ$57,卡牌消耗!AT978)*INDEX(卡牌消耗!$B$8:$F$8,AR978)/$Q$4/50,0)*50</f>
        <v>15050</v>
      </c>
      <c r="AW978" s="14" t="str">
        <f>IF(AN978&gt;0,INDEX(挂机升级突破!$DT$4:$ED$4,AN978),"")</f>
        <v>红色基础材料</v>
      </c>
      <c r="AX978" s="14">
        <f>ROUND(INDEX(挂机升级突破!$DT$6:$ED$57,卡牌消耗!AT978,AN978)*INDEX(卡牌消耗!$B$5:$F$5,AR978)/$Q$4/5,0)*5</f>
        <v>5</v>
      </c>
      <c r="AY978" s="14" t="str">
        <f>IF(AO978&gt;0,INDEX(挂机升级突破!$DT$4:$ED$4,AO978),"")</f>
        <v/>
      </c>
      <c r="AZ978" s="14" t="str">
        <f>IF(AO978&gt;0,ROUND(INDEX(挂机升级突破!$DT$6:$ED$57,卡牌消耗!AT978,AO978)*INDEX(卡牌消耗!$B$7:$F$7,AR978)/$Q$4,0),"")</f>
        <v/>
      </c>
    </row>
    <row r="979" spans="37:52" ht="16.5" x14ac:dyDescent="0.2">
      <c r="AK979" s="104">
        <v>975</v>
      </c>
      <c r="AL979" s="14">
        <f t="shared" si="420"/>
        <v>19</v>
      </c>
      <c r="AM979" s="14">
        <f>INDEX(挂机升级突破!DQ$6:DQ$57,卡牌消耗!$AT979)</f>
        <v>11</v>
      </c>
      <c r="AN979" s="14">
        <f>INDEX(挂机升级突破!DR$6:DR$57,卡牌消耗!$AT979)</f>
        <v>5</v>
      </c>
      <c r="AO979" s="14">
        <f>INDEX(挂机升级突破!DS$6:DS$57,卡牌消耗!$AT979)</f>
        <v>0</v>
      </c>
      <c r="AP979" s="14">
        <f>INDEX(挂机升级突破!$DP$6:$DP$57,卡牌消耗!AT979)</f>
        <v>115</v>
      </c>
      <c r="AQ979" s="14" t="str">
        <f t="shared" si="421"/>
        <v>食火蜥</v>
      </c>
      <c r="AR979" s="14">
        <f t="shared" si="422"/>
        <v>2</v>
      </c>
      <c r="AS979" s="14" t="str">
        <f t="shared" si="423"/>
        <v>食火蜥魂火-39</v>
      </c>
      <c r="AT979" s="14">
        <f t="shared" si="424"/>
        <v>39</v>
      </c>
      <c r="AU979" s="14" t="str">
        <f>IF(AM979&gt;0,INDEX(挂机升级突破!$DT$4:$ED$4,AM979),"")</f>
        <v>金币</v>
      </c>
      <c r="AV979" s="14">
        <f>ROUND(INDEX(挂机升级突破!$DJ$6:$DJ$57,卡牌消耗!AT979)*INDEX(卡牌消耗!$B$8:$F$8,AR979)/$Q$4/50,0)*50</f>
        <v>15050</v>
      </c>
      <c r="AW979" s="14" t="str">
        <f>IF(AN979&gt;0,INDEX(挂机升级突破!$DT$4:$ED$4,AN979),"")</f>
        <v>红色基础材料</v>
      </c>
      <c r="AX979" s="14">
        <f>ROUND(INDEX(挂机升级突破!$DT$6:$ED$57,卡牌消耗!AT979,AN979)*INDEX(卡牌消耗!$B$5:$F$5,AR979)/$Q$4/5,0)*5</f>
        <v>5</v>
      </c>
      <c r="AY979" s="14" t="str">
        <f>IF(AO979&gt;0,INDEX(挂机升级突破!$DT$4:$ED$4,AO979),"")</f>
        <v/>
      </c>
      <c r="AZ979" s="14" t="str">
        <f>IF(AO979&gt;0,ROUND(INDEX(挂机升级突破!$DT$6:$ED$57,卡牌消耗!AT979,AO979)*INDEX(卡牌消耗!$B$7:$F$7,AR979)/$Q$4,0),"")</f>
        <v/>
      </c>
    </row>
    <row r="980" spans="37:52" ht="16.5" x14ac:dyDescent="0.2">
      <c r="AK980" s="104">
        <v>976</v>
      </c>
      <c r="AL980" s="14">
        <f t="shared" si="420"/>
        <v>19</v>
      </c>
      <c r="AM980" s="14">
        <f>INDEX(挂机升级突破!DQ$6:DQ$57,卡牌消耗!$AT980)</f>
        <v>11</v>
      </c>
      <c r="AN980" s="14">
        <f>INDEX(挂机升级突破!DR$6:DR$57,卡牌消耗!$AT980)</f>
        <v>5</v>
      </c>
      <c r="AO980" s="14">
        <f>INDEX(挂机升级突破!DS$6:DS$57,卡牌消耗!$AT980)</f>
        <v>0</v>
      </c>
      <c r="AP980" s="14">
        <f>INDEX(挂机升级突破!$DP$6:$DP$57,卡牌消耗!AT980)</f>
        <v>118</v>
      </c>
      <c r="AQ980" s="14" t="str">
        <f t="shared" si="421"/>
        <v>食火蜥</v>
      </c>
      <c r="AR980" s="14">
        <f t="shared" si="422"/>
        <v>2</v>
      </c>
      <c r="AS980" s="14" t="str">
        <f t="shared" si="423"/>
        <v>食火蜥魂火-40</v>
      </c>
      <c r="AT980" s="14">
        <f t="shared" si="424"/>
        <v>40</v>
      </c>
      <c r="AU980" s="14" t="str">
        <f>IF(AM980&gt;0,INDEX(挂机升级突破!$DT$4:$ED$4,AM980),"")</f>
        <v>金币</v>
      </c>
      <c r="AV980" s="14">
        <f>ROUND(INDEX(挂机升级突破!$DJ$6:$DJ$57,卡牌消耗!AT980)*INDEX(卡牌消耗!$B$8:$F$8,AR980)/$Q$4/50,0)*50</f>
        <v>15050</v>
      </c>
      <c r="AW980" s="14" t="str">
        <f>IF(AN980&gt;0,INDEX(挂机升级突破!$DT$4:$ED$4,AN980),"")</f>
        <v>红色基础材料</v>
      </c>
      <c r="AX980" s="14">
        <f>ROUND(INDEX(挂机升级突破!$DT$6:$ED$57,卡牌消耗!AT980,AN980)*INDEX(卡牌消耗!$B$5:$F$5,AR980)/$Q$4/5,0)*5</f>
        <v>5</v>
      </c>
      <c r="AY980" s="14" t="str">
        <f>IF(AO980&gt;0,INDEX(挂机升级突破!$DT$4:$ED$4,AO980),"")</f>
        <v/>
      </c>
      <c r="AZ980" s="14" t="str">
        <f>IF(AO980&gt;0,ROUND(INDEX(挂机升级突破!$DT$6:$ED$57,卡牌消耗!AT980,AO980)*INDEX(卡牌消耗!$B$7:$F$7,AR980)/$Q$4,0),"")</f>
        <v/>
      </c>
    </row>
    <row r="981" spans="37:52" ht="16.5" x14ac:dyDescent="0.2">
      <c r="AK981" s="104">
        <v>977</v>
      </c>
      <c r="AL981" s="14">
        <f t="shared" si="420"/>
        <v>19</v>
      </c>
      <c r="AM981" s="14">
        <f>INDEX(挂机升级突破!DQ$6:DQ$57,卡牌消耗!$AT981)</f>
        <v>11</v>
      </c>
      <c r="AN981" s="14">
        <f>INDEX(挂机升级突破!DR$6:DR$57,卡牌消耗!$AT981)</f>
        <v>5</v>
      </c>
      <c r="AO981" s="14">
        <f>INDEX(挂机升级突破!DS$6:DS$57,卡牌消耗!$AT981)</f>
        <v>10</v>
      </c>
      <c r="AP981" s="14">
        <f>INDEX(挂机升级突破!$DP$6:$DP$57,卡牌消耗!AT981)</f>
        <v>120</v>
      </c>
      <c r="AQ981" s="14" t="str">
        <f t="shared" si="421"/>
        <v>食火蜥</v>
      </c>
      <c r="AR981" s="14">
        <f t="shared" si="422"/>
        <v>2</v>
      </c>
      <c r="AS981" s="14" t="str">
        <f t="shared" si="423"/>
        <v>食火蜥魂火-41</v>
      </c>
      <c r="AT981" s="14">
        <f t="shared" si="424"/>
        <v>41</v>
      </c>
      <c r="AU981" s="14" t="str">
        <f>IF(AM981&gt;0,INDEX(挂机升级突破!$DT$4:$ED$4,AM981),"")</f>
        <v>金币</v>
      </c>
      <c r="AV981" s="14">
        <f>ROUND(INDEX(挂机升级突破!$DJ$6:$DJ$57,卡牌消耗!AT981)*INDEX(卡牌消耗!$B$8:$F$8,AR981)/$Q$4/50,0)*50</f>
        <v>20700</v>
      </c>
      <c r="AW981" s="14" t="str">
        <f>IF(AN981&gt;0,INDEX(挂机升级突破!$DT$4:$ED$4,AN981),"")</f>
        <v>红色基础材料</v>
      </c>
      <c r="AX981" s="14">
        <f>ROUND(INDEX(挂机升级突破!$DT$6:$ED$57,卡牌消耗!AT981,AN981)*INDEX(卡牌消耗!$B$5:$F$5,AR981)/$Q$4/5,0)*5</f>
        <v>10</v>
      </c>
      <c r="AY981" s="14" t="str">
        <f>IF(AO981&gt;0,INDEX(挂机升级突破!$DT$4:$ED$4,AO981),"")</f>
        <v>灵玉</v>
      </c>
      <c r="AZ981" s="14">
        <f>IF(AO981&gt;0,ROUND(INDEX(挂机升级突破!$DT$6:$ED$57,卡牌消耗!AT981,AO981)*INDEX(卡牌消耗!$B$7:$F$7,AR981)/$Q$4,0),"")</f>
        <v>1</v>
      </c>
    </row>
    <row r="982" spans="37:52" ht="16.5" x14ac:dyDescent="0.2">
      <c r="AK982" s="104">
        <v>978</v>
      </c>
      <c r="AL982" s="14">
        <f t="shared" si="420"/>
        <v>19</v>
      </c>
      <c r="AM982" s="14">
        <f>INDEX(挂机升级突破!DQ$6:DQ$57,卡牌消耗!$AT982)</f>
        <v>11</v>
      </c>
      <c r="AN982" s="14">
        <f>INDEX(挂机升级突破!DR$6:DR$57,卡牌消耗!$AT982)</f>
        <v>5</v>
      </c>
      <c r="AO982" s="14">
        <f>INDEX(挂机升级突破!DS$6:DS$57,卡牌消耗!$AT982)</f>
        <v>10</v>
      </c>
      <c r="AP982" s="14">
        <f>INDEX(挂机升级突破!$DP$6:$DP$57,卡牌消耗!AT982)</f>
        <v>123</v>
      </c>
      <c r="AQ982" s="14" t="str">
        <f t="shared" si="421"/>
        <v>食火蜥</v>
      </c>
      <c r="AR982" s="14">
        <f t="shared" si="422"/>
        <v>2</v>
      </c>
      <c r="AS982" s="14" t="str">
        <f t="shared" si="423"/>
        <v>食火蜥魂火-42</v>
      </c>
      <c r="AT982" s="14">
        <f t="shared" si="424"/>
        <v>42</v>
      </c>
      <c r="AU982" s="14" t="str">
        <f>IF(AM982&gt;0,INDEX(挂机升级突破!$DT$4:$ED$4,AM982),"")</f>
        <v>金币</v>
      </c>
      <c r="AV982" s="14">
        <f>ROUND(INDEX(挂机升级突破!$DJ$6:$DJ$57,卡牌消耗!AT982)*INDEX(卡牌消耗!$B$8:$F$8,AR982)/$Q$4/50,0)*50</f>
        <v>20700</v>
      </c>
      <c r="AW982" s="14" t="str">
        <f>IF(AN982&gt;0,INDEX(挂机升级突破!$DT$4:$ED$4,AN982),"")</f>
        <v>红色基础材料</v>
      </c>
      <c r="AX982" s="14">
        <f>ROUND(INDEX(挂机升级突破!$DT$6:$ED$57,卡牌消耗!AT982,AN982)*INDEX(卡牌消耗!$B$5:$F$5,AR982)/$Q$4/5,0)*5</f>
        <v>10</v>
      </c>
      <c r="AY982" s="14" t="str">
        <f>IF(AO982&gt;0,INDEX(挂机升级突破!$DT$4:$ED$4,AO982),"")</f>
        <v>灵玉</v>
      </c>
      <c r="AZ982" s="14">
        <f>IF(AO982&gt;0,ROUND(INDEX(挂机升级突破!$DT$6:$ED$57,卡牌消耗!AT982,AO982)*INDEX(卡牌消耗!$B$7:$F$7,AR982)/$Q$4,0),"")</f>
        <v>1</v>
      </c>
    </row>
    <row r="983" spans="37:52" ht="16.5" x14ac:dyDescent="0.2">
      <c r="AK983" s="104">
        <v>979</v>
      </c>
      <c r="AL983" s="14">
        <f t="shared" si="420"/>
        <v>19</v>
      </c>
      <c r="AM983" s="14">
        <f>INDEX(挂机升级突破!DQ$6:DQ$57,卡牌消耗!$AT983)</f>
        <v>11</v>
      </c>
      <c r="AN983" s="14">
        <f>INDEX(挂机升级突破!DR$6:DR$57,卡牌消耗!$AT983)</f>
        <v>5</v>
      </c>
      <c r="AO983" s="14">
        <f>INDEX(挂机升级突破!DS$6:DS$57,卡牌消耗!$AT983)</f>
        <v>10</v>
      </c>
      <c r="AP983" s="14">
        <f>INDEX(挂机升级突破!$DP$6:$DP$57,卡牌消耗!AT983)</f>
        <v>125</v>
      </c>
      <c r="AQ983" s="14" t="str">
        <f t="shared" si="421"/>
        <v>食火蜥</v>
      </c>
      <c r="AR983" s="14">
        <f t="shared" si="422"/>
        <v>2</v>
      </c>
      <c r="AS983" s="14" t="str">
        <f t="shared" si="423"/>
        <v>食火蜥魂火-43</v>
      </c>
      <c r="AT983" s="14">
        <f t="shared" si="424"/>
        <v>43</v>
      </c>
      <c r="AU983" s="14" t="str">
        <f>IF(AM983&gt;0,INDEX(挂机升级突破!$DT$4:$ED$4,AM983),"")</f>
        <v>金币</v>
      </c>
      <c r="AV983" s="14">
        <f>ROUND(INDEX(挂机升级突破!$DJ$6:$DJ$57,卡牌消耗!AT983)*INDEX(卡牌消耗!$B$8:$F$8,AR983)/$Q$4/50,0)*50</f>
        <v>20700</v>
      </c>
      <c r="AW983" s="14" t="str">
        <f>IF(AN983&gt;0,INDEX(挂机升级突破!$DT$4:$ED$4,AN983),"")</f>
        <v>红色基础材料</v>
      </c>
      <c r="AX983" s="14">
        <f>ROUND(INDEX(挂机升级突破!$DT$6:$ED$57,卡牌消耗!AT983,AN983)*INDEX(卡牌消耗!$B$5:$F$5,AR983)/$Q$4/5,0)*5</f>
        <v>10</v>
      </c>
      <c r="AY983" s="14" t="str">
        <f>IF(AO983&gt;0,INDEX(挂机升级突破!$DT$4:$ED$4,AO983),"")</f>
        <v>灵玉</v>
      </c>
      <c r="AZ983" s="14">
        <f>IF(AO983&gt;0,ROUND(INDEX(挂机升级突破!$DT$6:$ED$57,卡牌消耗!AT983,AO983)*INDEX(卡牌消耗!$B$7:$F$7,AR983)/$Q$4,0),"")</f>
        <v>1</v>
      </c>
    </row>
    <row r="984" spans="37:52" ht="16.5" x14ac:dyDescent="0.2">
      <c r="AK984" s="104">
        <v>980</v>
      </c>
      <c r="AL984" s="14">
        <f t="shared" si="420"/>
        <v>19</v>
      </c>
      <c r="AM984" s="14">
        <f>INDEX(挂机升级突破!DQ$6:DQ$57,卡牌消耗!$AT984)</f>
        <v>11</v>
      </c>
      <c r="AN984" s="14">
        <f>INDEX(挂机升级突破!DR$6:DR$57,卡牌消耗!$AT984)</f>
        <v>5</v>
      </c>
      <c r="AO984" s="14">
        <f>INDEX(挂机升级突破!DS$6:DS$57,卡牌消耗!$AT984)</f>
        <v>10</v>
      </c>
      <c r="AP984" s="14">
        <f>INDEX(挂机升级突破!$DP$6:$DP$57,卡牌消耗!AT984)</f>
        <v>128</v>
      </c>
      <c r="AQ984" s="14" t="str">
        <f t="shared" si="421"/>
        <v>食火蜥</v>
      </c>
      <c r="AR984" s="14">
        <f t="shared" si="422"/>
        <v>2</v>
      </c>
      <c r="AS984" s="14" t="str">
        <f t="shared" si="423"/>
        <v>食火蜥魂火-44</v>
      </c>
      <c r="AT984" s="14">
        <f t="shared" si="424"/>
        <v>44</v>
      </c>
      <c r="AU984" s="14" t="str">
        <f>IF(AM984&gt;0,INDEX(挂机升级突破!$DT$4:$ED$4,AM984),"")</f>
        <v>金币</v>
      </c>
      <c r="AV984" s="14">
        <f>ROUND(INDEX(挂机升级突破!$DJ$6:$DJ$57,卡牌消耗!AT984)*INDEX(卡牌消耗!$B$8:$F$8,AR984)/$Q$4/50,0)*50</f>
        <v>26300</v>
      </c>
      <c r="AW984" s="14" t="str">
        <f>IF(AN984&gt;0,INDEX(挂机升级突破!$DT$4:$ED$4,AN984),"")</f>
        <v>红色基础材料</v>
      </c>
      <c r="AX984" s="14">
        <f>ROUND(INDEX(挂机升级突破!$DT$6:$ED$57,卡牌消耗!AT984,AN984)*INDEX(卡牌消耗!$B$5:$F$5,AR984)/$Q$4/5,0)*5</f>
        <v>10</v>
      </c>
      <c r="AY984" s="14" t="str">
        <f>IF(AO984&gt;0,INDEX(挂机升级突破!$DT$4:$ED$4,AO984),"")</f>
        <v>灵玉</v>
      </c>
      <c r="AZ984" s="14">
        <f>IF(AO984&gt;0,ROUND(INDEX(挂机升级突破!$DT$6:$ED$57,卡牌消耗!AT984,AO984)*INDEX(卡牌消耗!$B$7:$F$7,AR984)/$Q$4,0),"")</f>
        <v>1</v>
      </c>
    </row>
    <row r="985" spans="37:52" ht="16.5" x14ac:dyDescent="0.2">
      <c r="AK985" s="104">
        <v>981</v>
      </c>
      <c r="AL985" s="14">
        <f t="shared" si="420"/>
        <v>19</v>
      </c>
      <c r="AM985" s="14">
        <f>INDEX(挂机升级突破!DQ$6:DQ$57,卡牌消耗!$AT985)</f>
        <v>11</v>
      </c>
      <c r="AN985" s="14">
        <f>INDEX(挂机升级突破!DR$6:DR$57,卡牌消耗!$AT985)</f>
        <v>5</v>
      </c>
      <c r="AO985" s="14">
        <f>INDEX(挂机升级突破!DS$6:DS$57,卡牌消耗!$AT985)</f>
        <v>10</v>
      </c>
      <c r="AP985" s="14">
        <f>INDEX(挂机升级突破!$DP$6:$DP$57,卡牌消耗!AT985)</f>
        <v>130</v>
      </c>
      <c r="AQ985" s="14" t="str">
        <f t="shared" si="421"/>
        <v>食火蜥</v>
      </c>
      <c r="AR985" s="14">
        <f t="shared" si="422"/>
        <v>2</v>
      </c>
      <c r="AS985" s="14" t="str">
        <f t="shared" si="423"/>
        <v>食火蜥魂火-45</v>
      </c>
      <c r="AT985" s="14">
        <f t="shared" si="424"/>
        <v>45</v>
      </c>
      <c r="AU985" s="14" t="str">
        <f>IF(AM985&gt;0,INDEX(挂机升级突破!$DT$4:$ED$4,AM985),"")</f>
        <v>金币</v>
      </c>
      <c r="AV985" s="14">
        <f>ROUND(INDEX(挂机升级突破!$DJ$6:$DJ$57,卡牌消耗!AT985)*INDEX(卡牌消耗!$B$8:$F$8,AR985)/$Q$4/50,0)*50</f>
        <v>26300</v>
      </c>
      <c r="AW985" s="14" t="str">
        <f>IF(AN985&gt;0,INDEX(挂机升级突破!$DT$4:$ED$4,AN985),"")</f>
        <v>红色基础材料</v>
      </c>
      <c r="AX985" s="14">
        <f>ROUND(INDEX(挂机升级突破!$DT$6:$ED$57,卡牌消耗!AT985,AN985)*INDEX(卡牌消耗!$B$5:$F$5,AR985)/$Q$4/5,0)*5</f>
        <v>10</v>
      </c>
      <c r="AY985" s="14" t="str">
        <f>IF(AO985&gt;0,INDEX(挂机升级突破!$DT$4:$ED$4,AO985),"")</f>
        <v>灵玉</v>
      </c>
      <c r="AZ985" s="14">
        <f>IF(AO985&gt;0,ROUND(INDEX(挂机升级突破!$DT$6:$ED$57,卡牌消耗!AT985,AO985)*INDEX(卡牌消耗!$B$7:$F$7,AR985)/$Q$4,0),"")</f>
        <v>1</v>
      </c>
    </row>
    <row r="986" spans="37:52" ht="16.5" x14ac:dyDescent="0.2">
      <c r="AK986" s="104">
        <v>982</v>
      </c>
      <c r="AL986" s="14">
        <f t="shared" si="420"/>
        <v>19</v>
      </c>
      <c r="AM986" s="14">
        <f>INDEX(挂机升级突破!DQ$6:DQ$57,卡牌消耗!$AT986)</f>
        <v>11</v>
      </c>
      <c r="AN986" s="14">
        <f>INDEX(挂机升级突破!DR$6:DR$57,卡牌消耗!$AT986)</f>
        <v>5</v>
      </c>
      <c r="AO986" s="14">
        <f>INDEX(挂机升级突破!DS$6:DS$57,卡牌消耗!$AT986)</f>
        <v>10</v>
      </c>
      <c r="AP986" s="14">
        <f>INDEX(挂机升级突破!$DP$6:$DP$57,卡牌消耗!AT986)</f>
        <v>133</v>
      </c>
      <c r="AQ986" s="14" t="str">
        <f t="shared" si="421"/>
        <v>食火蜥</v>
      </c>
      <c r="AR986" s="14">
        <f t="shared" si="422"/>
        <v>2</v>
      </c>
      <c r="AS986" s="14" t="str">
        <f t="shared" si="423"/>
        <v>食火蜥魂火-46</v>
      </c>
      <c r="AT986" s="14">
        <f t="shared" si="424"/>
        <v>46</v>
      </c>
      <c r="AU986" s="14" t="str">
        <f>IF(AM986&gt;0,INDEX(挂机升级突破!$DT$4:$ED$4,AM986),"")</f>
        <v>金币</v>
      </c>
      <c r="AV986" s="14">
        <f>ROUND(INDEX(挂机升级突破!$DJ$6:$DJ$57,卡牌消耗!AT986)*INDEX(卡牌消耗!$B$8:$F$8,AR986)/$Q$4/50,0)*50</f>
        <v>28200</v>
      </c>
      <c r="AW986" s="14" t="str">
        <f>IF(AN986&gt;0,INDEX(挂机升级突破!$DT$4:$ED$4,AN986),"")</f>
        <v>红色基础材料</v>
      </c>
      <c r="AX986" s="14">
        <f>ROUND(INDEX(挂机升级突破!$DT$6:$ED$57,卡牌消耗!AT986,AN986)*INDEX(卡牌消耗!$B$5:$F$5,AR986)/$Q$4/5,0)*5</f>
        <v>10</v>
      </c>
      <c r="AY986" s="14" t="str">
        <f>IF(AO986&gt;0,INDEX(挂机升级突破!$DT$4:$ED$4,AO986),"")</f>
        <v>灵玉</v>
      </c>
      <c r="AZ986" s="14">
        <f>IF(AO986&gt;0,ROUND(INDEX(挂机升级突破!$DT$6:$ED$57,卡牌消耗!AT986,AO986)*INDEX(卡牌消耗!$B$7:$F$7,AR986)/$Q$4,0),"")</f>
        <v>1</v>
      </c>
    </row>
    <row r="987" spans="37:52" ht="16.5" x14ac:dyDescent="0.2">
      <c r="AK987" s="104">
        <v>983</v>
      </c>
      <c r="AL987" s="14">
        <f t="shared" si="420"/>
        <v>19</v>
      </c>
      <c r="AM987" s="14">
        <f>INDEX(挂机升级突破!DQ$6:DQ$57,卡牌消耗!$AT987)</f>
        <v>11</v>
      </c>
      <c r="AN987" s="14">
        <f>INDEX(挂机升级突破!DR$6:DR$57,卡牌消耗!$AT987)</f>
        <v>5</v>
      </c>
      <c r="AO987" s="14">
        <f>INDEX(挂机升级突破!DS$6:DS$57,卡牌消耗!$AT987)</f>
        <v>10</v>
      </c>
      <c r="AP987" s="14">
        <f>INDEX(挂机升级突破!$DP$6:$DP$57,卡牌消耗!AT987)</f>
        <v>135</v>
      </c>
      <c r="AQ987" s="14" t="str">
        <f t="shared" si="421"/>
        <v>食火蜥</v>
      </c>
      <c r="AR987" s="14">
        <f t="shared" si="422"/>
        <v>2</v>
      </c>
      <c r="AS987" s="14" t="str">
        <f t="shared" si="423"/>
        <v>食火蜥魂火-47</v>
      </c>
      <c r="AT987" s="14">
        <f t="shared" si="424"/>
        <v>47</v>
      </c>
      <c r="AU987" s="14" t="str">
        <f>IF(AM987&gt;0,INDEX(挂机升级突破!$DT$4:$ED$4,AM987),"")</f>
        <v>金币</v>
      </c>
      <c r="AV987" s="14">
        <f>ROUND(INDEX(挂机升级突破!$DJ$6:$DJ$57,卡牌消耗!AT987)*INDEX(卡牌消耗!$B$8:$F$8,AR987)/$Q$4/50,0)*50</f>
        <v>57450</v>
      </c>
      <c r="AW987" s="14" t="str">
        <f>IF(AN987&gt;0,INDEX(挂机升级突破!$DT$4:$ED$4,AN987),"")</f>
        <v>红色基础材料</v>
      </c>
      <c r="AX987" s="14">
        <f>ROUND(INDEX(挂机升级突破!$DT$6:$ED$57,卡牌消耗!AT987,AN987)*INDEX(卡牌消耗!$B$5:$F$5,AR987)/$Q$4/5,0)*5</f>
        <v>10</v>
      </c>
      <c r="AY987" s="14" t="str">
        <f>IF(AO987&gt;0,INDEX(挂机升级突破!$DT$4:$ED$4,AO987),"")</f>
        <v>灵玉</v>
      </c>
      <c r="AZ987" s="14">
        <f>IF(AO987&gt;0,ROUND(INDEX(挂机升级突破!$DT$6:$ED$57,卡牌消耗!AT987,AO987)*INDEX(卡牌消耗!$B$7:$F$7,AR987)/$Q$4,0),"")</f>
        <v>1</v>
      </c>
    </row>
    <row r="988" spans="37:52" ht="16.5" x14ac:dyDescent="0.2">
      <c r="AK988" s="104">
        <v>984</v>
      </c>
      <c r="AL988" s="14">
        <f t="shared" si="420"/>
        <v>19</v>
      </c>
      <c r="AM988" s="14">
        <f>INDEX(挂机升级突破!DQ$6:DQ$57,卡牌消耗!$AT988)</f>
        <v>11</v>
      </c>
      <c r="AN988" s="14">
        <f>INDEX(挂机升级突破!DR$6:DR$57,卡牌消耗!$AT988)</f>
        <v>5</v>
      </c>
      <c r="AO988" s="14">
        <f>INDEX(挂机升级突破!DS$6:DS$57,卡牌消耗!$AT988)</f>
        <v>10</v>
      </c>
      <c r="AP988" s="14">
        <f>INDEX(挂机升级突破!$DP$6:$DP$57,卡牌消耗!AT988)</f>
        <v>138</v>
      </c>
      <c r="AQ988" s="14" t="str">
        <f t="shared" si="421"/>
        <v>食火蜥</v>
      </c>
      <c r="AR988" s="14">
        <f t="shared" si="422"/>
        <v>2</v>
      </c>
      <c r="AS988" s="14" t="str">
        <f t="shared" si="423"/>
        <v>食火蜥魂火-48</v>
      </c>
      <c r="AT988" s="14">
        <f t="shared" si="424"/>
        <v>48</v>
      </c>
      <c r="AU988" s="14" t="str">
        <f>IF(AM988&gt;0,INDEX(挂机升级突破!$DT$4:$ED$4,AM988),"")</f>
        <v>金币</v>
      </c>
      <c r="AV988" s="14">
        <f>ROUND(INDEX(挂机升级突破!$DJ$6:$DJ$57,卡牌消耗!AT988)*INDEX(卡牌消耗!$B$8:$F$8,AR988)/$Q$4/50,0)*50</f>
        <v>57450</v>
      </c>
      <c r="AW988" s="14" t="str">
        <f>IF(AN988&gt;0,INDEX(挂机升级突破!$DT$4:$ED$4,AN988),"")</f>
        <v>红色基础材料</v>
      </c>
      <c r="AX988" s="14">
        <f>ROUND(INDEX(挂机升级突破!$DT$6:$ED$57,卡牌消耗!AT988,AN988)*INDEX(卡牌消耗!$B$5:$F$5,AR988)/$Q$4/5,0)*5</f>
        <v>10</v>
      </c>
      <c r="AY988" s="14" t="str">
        <f>IF(AO988&gt;0,INDEX(挂机升级突破!$DT$4:$ED$4,AO988),"")</f>
        <v>灵玉</v>
      </c>
      <c r="AZ988" s="14">
        <f>IF(AO988&gt;0,ROUND(INDEX(挂机升级突破!$DT$6:$ED$57,卡牌消耗!AT988,AO988)*INDEX(卡牌消耗!$B$7:$F$7,AR988)/$Q$4,0),"")</f>
        <v>1</v>
      </c>
    </row>
    <row r="989" spans="37:52" ht="16.5" x14ac:dyDescent="0.2">
      <c r="AK989" s="104">
        <v>985</v>
      </c>
      <c r="AL989" s="14">
        <f t="shared" si="420"/>
        <v>19</v>
      </c>
      <c r="AM989" s="14">
        <f>INDEX(挂机升级突破!DQ$6:DQ$57,卡牌消耗!$AT989)</f>
        <v>11</v>
      </c>
      <c r="AN989" s="14">
        <f>INDEX(挂机升级突破!DR$6:DR$57,卡牌消耗!$AT989)</f>
        <v>5</v>
      </c>
      <c r="AO989" s="14">
        <f>INDEX(挂机升级突破!DS$6:DS$57,卡牌消耗!$AT989)</f>
        <v>10</v>
      </c>
      <c r="AP989" s="14">
        <f>INDEX(挂机升级突破!$DP$6:$DP$57,卡牌消耗!AT989)</f>
        <v>140</v>
      </c>
      <c r="AQ989" s="14" t="str">
        <f t="shared" si="421"/>
        <v>食火蜥</v>
      </c>
      <c r="AR989" s="14">
        <f t="shared" si="422"/>
        <v>2</v>
      </c>
      <c r="AS989" s="14" t="str">
        <f t="shared" si="423"/>
        <v>食火蜥魂火-49</v>
      </c>
      <c r="AT989" s="14">
        <f t="shared" si="424"/>
        <v>49</v>
      </c>
      <c r="AU989" s="14" t="str">
        <f>IF(AM989&gt;0,INDEX(挂机升级突破!$DT$4:$ED$4,AM989),"")</f>
        <v>金币</v>
      </c>
      <c r="AV989" s="14">
        <f>ROUND(INDEX(挂机升级突破!$DJ$6:$DJ$57,卡牌消耗!AT989)*INDEX(卡牌消耗!$B$8:$F$8,AR989)/$Q$4/50,0)*50</f>
        <v>57450</v>
      </c>
      <c r="AW989" s="14" t="str">
        <f>IF(AN989&gt;0,INDEX(挂机升级突破!$DT$4:$ED$4,AN989),"")</f>
        <v>红色基础材料</v>
      </c>
      <c r="AX989" s="14">
        <f>ROUND(INDEX(挂机升级突破!$DT$6:$ED$57,卡牌消耗!AT989,AN989)*INDEX(卡牌消耗!$B$5:$F$5,AR989)/$Q$4/5,0)*5</f>
        <v>10</v>
      </c>
      <c r="AY989" s="14" t="str">
        <f>IF(AO989&gt;0,INDEX(挂机升级突破!$DT$4:$ED$4,AO989),"")</f>
        <v>灵玉</v>
      </c>
      <c r="AZ989" s="14">
        <f>IF(AO989&gt;0,ROUND(INDEX(挂机升级突破!$DT$6:$ED$57,卡牌消耗!AT989,AO989)*INDEX(卡牌消耗!$B$7:$F$7,AR989)/$Q$4,0),"")</f>
        <v>1</v>
      </c>
    </row>
    <row r="990" spans="37:52" ht="16.5" x14ac:dyDescent="0.2">
      <c r="AK990" s="104">
        <v>986</v>
      </c>
      <c r="AL990" s="14">
        <f t="shared" si="420"/>
        <v>19</v>
      </c>
      <c r="AM990" s="14">
        <f>INDEX(挂机升级突破!DQ$6:DQ$57,卡牌消耗!$AT990)</f>
        <v>11</v>
      </c>
      <c r="AN990" s="14">
        <f>INDEX(挂机升级突破!DR$6:DR$57,卡牌消耗!$AT990)</f>
        <v>5</v>
      </c>
      <c r="AO990" s="14">
        <f>INDEX(挂机升级突破!DS$6:DS$57,卡牌消耗!$AT990)</f>
        <v>10</v>
      </c>
      <c r="AP990" s="14">
        <f>INDEX(挂机升级突破!$DP$6:$DP$57,卡牌消耗!AT990)</f>
        <v>143</v>
      </c>
      <c r="AQ990" s="14" t="str">
        <f t="shared" si="421"/>
        <v>食火蜥</v>
      </c>
      <c r="AR990" s="14">
        <f t="shared" si="422"/>
        <v>2</v>
      </c>
      <c r="AS990" s="14" t="str">
        <f t="shared" si="423"/>
        <v>食火蜥魂火-50</v>
      </c>
      <c r="AT990" s="14">
        <f t="shared" si="424"/>
        <v>50</v>
      </c>
      <c r="AU990" s="14" t="str">
        <f>IF(AM990&gt;0,INDEX(挂机升级突破!$DT$4:$ED$4,AM990),"")</f>
        <v>金币</v>
      </c>
      <c r="AV990" s="14">
        <f>ROUND(INDEX(挂机升级突破!$DJ$6:$DJ$57,卡牌消耗!AT990)*INDEX(卡牌消耗!$B$8:$F$8,AR990)/$Q$4/50,0)*50</f>
        <v>95750</v>
      </c>
      <c r="AW990" s="14" t="str">
        <f>IF(AN990&gt;0,INDEX(挂机升级突破!$DT$4:$ED$4,AN990),"")</f>
        <v>红色基础材料</v>
      </c>
      <c r="AX990" s="14">
        <f>ROUND(INDEX(挂机升级突破!$DT$6:$ED$57,卡牌消耗!AT990,AN990)*INDEX(卡牌消耗!$B$5:$F$5,AR990)/$Q$4/5,0)*5</f>
        <v>10</v>
      </c>
      <c r="AY990" s="14" t="str">
        <f>IF(AO990&gt;0,INDEX(挂机升级突破!$DT$4:$ED$4,AO990),"")</f>
        <v>灵玉</v>
      </c>
      <c r="AZ990" s="14">
        <f>IF(AO990&gt;0,ROUND(INDEX(挂机升级突破!$DT$6:$ED$57,卡牌消耗!AT990,AO990)*INDEX(卡牌消耗!$B$7:$F$7,AR990)/$Q$4,0),"")</f>
        <v>1</v>
      </c>
    </row>
    <row r="991" spans="37:52" ht="16.5" x14ac:dyDescent="0.2">
      <c r="AK991" s="104">
        <v>987</v>
      </c>
      <c r="AL991" s="14">
        <f t="shared" si="420"/>
        <v>19</v>
      </c>
      <c r="AM991" s="14">
        <f>INDEX(挂机升级突破!DQ$6:DQ$57,卡牌消耗!$AT991)</f>
        <v>11</v>
      </c>
      <c r="AN991" s="14">
        <f>INDEX(挂机升级突破!DR$6:DR$57,卡牌消耗!$AT991)</f>
        <v>5</v>
      </c>
      <c r="AO991" s="14">
        <f>INDEX(挂机升级突破!DS$6:DS$57,卡牌消耗!$AT991)</f>
        <v>10</v>
      </c>
      <c r="AP991" s="14">
        <f>INDEX(挂机升级突破!$DP$6:$DP$57,卡牌消耗!AT991)</f>
        <v>145</v>
      </c>
      <c r="AQ991" s="14" t="str">
        <f t="shared" si="421"/>
        <v>食火蜥</v>
      </c>
      <c r="AR991" s="14">
        <f t="shared" si="422"/>
        <v>2</v>
      </c>
      <c r="AS991" s="14" t="str">
        <f t="shared" si="423"/>
        <v>食火蜥魂火-51</v>
      </c>
      <c r="AT991" s="14">
        <f t="shared" si="424"/>
        <v>51</v>
      </c>
      <c r="AU991" s="14" t="str">
        <f>IF(AM991&gt;0,INDEX(挂机升级突破!$DT$4:$ED$4,AM991),"")</f>
        <v>金币</v>
      </c>
      <c r="AV991" s="14">
        <f>ROUND(INDEX(挂机升级突破!$DJ$6:$DJ$57,卡牌消耗!AT991)*INDEX(卡牌消耗!$B$8:$F$8,AR991)/$Q$4/50,0)*50</f>
        <v>105300</v>
      </c>
      <c r="AW991" s="14" t="str">
        <f>IF(AN991&gt;0,INDEX(挂机升级突破!$DT$4:$ED$4,AN991),"")</f>
        <v>红色基础材料</v>
      </c>
      <c r="AX991" s="14">
        <f>ROUND(INDEX(挂机升级突破!$DT$6:$ED$57,卡牌消耗!AT991,AN991)*INDEX(卡牌消耗!$B$5:$F$5,AR991)/$Q$4/5,0)*5</f>
        <v>10</v>
      </c>
      <c r="AY991" s="14" t="str">
        <f>IF(AO991&gt;0,INDEX(挂机升级突破!$DT$4:$ED$4,AO991),"")</f>
        <v>灵玉</v>
      </c>
      <c r="AZ991" s="14">
        <f>IF(AO991&gt;0,ROUND(INDEX(挂机升级突破!$DT$6:$ED$57,卡牌消耗!AT991,AO991)*INDEX(卡牌消耗!$B$7:$F$7,AR991)/$Q$4,0),"")</f>
        <v>1</v>
      </c>
    </row>
    <row r="992" spans="37:52" ht="16.5" x14ac:dyDescent="0.2">
      <c r="AK992" s="104">
        <v>988</v>
      </c>
      <c r="AL992" s="14">
        <f t="shared" si="420"/>
        <v>19</v>
      </c>
      <c r="AM992" s="14">
        <f>INDEX(挂机升级突破!DQ$6:DQ$57,卡牌消耗!$AT992)</f>
        <v>11</v>
      </c>
      <c r="AN992" s="14">
        <f>INDEX(挂机升级突破!DR$6:DR$57,卡牌消耗!$AT992)</f>
        <v>5</v>
      </c>
      <c r="AO992" s="14">
        <f>INDEX(挂机升级突破!DS$6:DS$57,卡牌消耗!$AT992)</f>
        <v>10</v>
      </c>
      <c r="AP992" s="14">
        <f>INDEX(挂机升级突破!$DP$6:$DP$57,卡牌消耗!AT992)</f>
        <v>148</v>
      </c>
      <c r="AQ992" s="14" t="str">
        <f t="shared" si="421"/>
        <v>食火蜥</v>
      </c>
      <c r="AR992" s="14">
        <f t="shared" si="422"/>
        <v>2</v>
      </c>
      <c r="AS992" s="14" t="str">
        <f t="shared" si="423"/>
        <v>食火蜥魂火-52</v>
      </c>
      <c r="AT992" s="14">
        <f t="shared" si="424"/>
        <v>52</v>
      </c>
      <c r="AU992" s="14" t="str">
        <f>IF(AM992&gt;0,INDEX(挂机升级突破!$DT$4:$ED$4,AM992),"")</f>
        <v>金币</v>
      </c>
      <c r="AV992" s="14">
        <f>ROUND(INDEX(挂机升级突破!$DJ$6:$DJ$57,卡牌消耗!AT992)*INDEX(卡牌消耗!$B$8:$F$8,AR992)/$Q$4/50,0)*50</f>
        <v>105300</v>
      </c>
      <c r="AW992" s="14" t="str">
        <f>IF(AN992&gt;0,INDEX(挂机升级突破!$DT$4:$ED$4,AN992),"")</f>
        <v>红色基础材料</v>
      </c>
      <c r="AX992" s="14">
        <f>ROUND(INDEX(挂机升级突破!$DT$6:$ED$57,卡牌消耗!AT992,AN992)*INDEX(卡牌消耗!$B$5:$F$5,AR992)/$Q$4/5,0)*5</f>
        <v>10</v>
      </c>
      <c r="AY992" s="14" t="str">
        <f>IF(AO992&gt;0,INDEX(挂机升级突破!$DT$4:$ED$4,AO992),"")</f>
        <v>灵玉</v>
      </c>
      <c r="AZ992" s="14">
        <f>IF(AO992&gt;0,ROUND(INDEX(挂机升级突破!$DT$6:$ED$57,卡牌消耗!AT992,AO992)*INDEX(卡牌消耗!$B$7:$F$7,AR992)/$Q$4,0),"")</f>
        <v>1</v>
      </c>
    </row>
    <row r="993" spans="37:52" ht="16.5" x14ac:dyDescent="0.2">
      <c r="AK993" s="104">
        <v>989</v>
      </c>
      <c r="AL993" s="14">
        <f t="shared" si="420"/>
        <v>20</v>
      </c>
      <c r="AM993" s="14">
        <f>INDEX(挂机升级突破!DQ$6:DQ$57,卡牌消耗!$AT993)</f>
        <v>11</v>
      </c>
      <c r="AN993" s="14">
        <f>INDEX(挂机升级突破!DR$6:DR$57,卡牌消耗!$AT993)</f>
        <v>1</v>
      </c>
      <c r="AO993" s="14">
        <f>INDEX(挂机升级突破!DS$6:DS$57,卡牌消耗!$AT993)</f>
        <v>0</v>
      </c>
      <c r="AP993" s="14">
        <f>INDEX(挂机升级突破!$DP$6:$DP$57,卡牌消耗!AT993)</f>
        <v>3</v>
      </c>
      <c r="AQ993" s="14" t="str">
        <f t="shared" si="421"/>
        <v>高顺</v>
      </c>
      <c r="AR993" s="14">
        <f t="shared" si="422"/>
        <v>3</v>
      </c>
      <c r="AS993" s="14" t="str">
        <f t="shared" si="423"/>
        <v>高顺魂火-1</v>
      </c>
      <c r="AT993" s="14">
        <f t="shared" si="424"/>
        <v>1</v>
      </c>
      <c r="AU993" s="14" t="str">
        <f>IF(AM993&gt;0,INDEX(挂机升级突破!$DT$4:$ED$4,AM993),"")</f>
        <v>金币</v>
      </c>
      <c r="AV993" s="14">
        <f>ROUND(INDEX(挂机升级突破!$DJ$6:$DJ$57,卡牌消耗!AT993)*INDEX(卡牌消耗!$B$8:$F$8,AR993)/$Q$4/50,0)*50</f>
        <v>850</v>
      </c>
      <c r="AW993" s="14" t="str">
        <f>IF(AN993&gt;0,INDEX(挂机升级突破!$DT$4:$ED$4,AN993),"")</f>
        <v>绿色基础材料</v>
      </c>
      <c r="AX993" s="14">
        <f>ROUND(INDEX(挂机升级突破!$DT$6:$ED$57,卡牌消耗!AT993,AN993)*INDEX(卡牌消耗!$B$5:$F$5,AR993)/$Q$4/5,0)*5</f>
        <v>25</v>
      </c>
      <c r="AY993" s="14" t="str">
        <f>IF(AO993&gt;0,INDEX(挂机升级突破!$DT$4:$ED$4,AO993),"")</f>
        <v/>
      </c>
      <c r="AZ993" s="14" t="str">
        <f>IF(AO993&gt;0,ROUND(INDEX(挂机升级突破!$DT$6:$ED$57,卡牌消耗!AT993,AO993)*INDEX(卡牌消耗!$B$7:$F$7,AR993)/$Q$4,0),"")</f>
        <v/>
      </c>
    </row>
    <row r="994" spans="37:52" ht="16.5" x14ac:dyDescent="0.2">
      <c r="AK994" s="104">
        <v>990</v>
      </c>
      <c r="AL994" s="14">
        <f t="shared" si="420"/>
        <v>20</v>
      </c>
      <c r="AM994" s="14">
        <f>INDEX(挂机升级突破!DQ$6:DQ$57,卡牌消耗!$AT994)</f>
        <v>11</v>
      </c>
      <c r="AN994" s="14">
        <f>INDEX(挂机升级突破!DR$6:DR$57,卡牌消耗!$AT994)</f>
        <v>1</v>
      </c>
      <c r="AO994" s="14">
        <f>INDEX(挂机升级突破!DS$6:DS$57,卡牌消耗!$AT994)</f>
        <v>0</v>
      </c>
      <c r="AP994" s="14">
        <f>INDEX(挂机升级突破!$DP$6:$DP$57,卡牌消耗!AT994)</f>
        <v>8</v>
      </c>
      <c r="AQ994" s="14" t="str">
        <f t="shared" si="421"/>
        <v>高顺</v>
      </c>
      <c r="AR994" s="14">
        <f t="shared" si="422"/>
        <v>3</v>
      </c>
      <c r="AS994" s="14" t="str">
        <f t="shared" si="423"/>
        <v>高顺魂火-2</v>
      </c>
      <c r="AT994" s="14">
        <f t="shared" si="424"/>
        <v>2</v>
      </c>
      <c r="AU994" s="14" t="str">
        <f>IF(AM994&gt;0,INDEX(挂机升级突破!$DT$4:$ED$4,AM994),"")</f>
        <v>金币</v>
      </c>
      <c r="AV994" s="14">
        <f>ROUND(INDEX(挂机升级突破!$DJ$6:$DJ$57,卡牌消耗!AT994)*INDEX(卡牌消耗!$B$8:$F$8,AR994)/$Q$4/50,0)*50</f>
        <v>1050</v>
      </c>
      <c r="AW994" s="14" t="str">
        <f>IF(AN994&gt;0,INDEX(挂机升级突破!$DT$4:$ED$4,AN994),"")</f>
        <v>绿色基础材料</v>
      </c>
      <c r="AX994" s="14">
        <f>ROUND(INDEX(挂机升级突破!$DT$6:$ED$57,卡牌消耗!AT994,AN994)*INDEX(卡牌消耗!$B$5:$F$5,AR994)/$Q$4/5,0)*5</f>
        <v>85</v>
      </c>
      <c r="AY994" s="14" t="str">
        <f>IF(AO994&gt;0,INDEX(挂机升级突破!$DT$4:$ED$4,AO994),"")</f>
        <v/>
      </c>
      <c r="AZ994" s="14" t="str">
        <f>IF(AO994&gt;0,ROUND(INDEX(挂机升级突破!$DT$6:$ED$57,卡牌消耗!AT994,AO994)*INDEX(卡牌消耗!$B$7:$F$7,AR994)/$Q$4,0),"")</f>
        <v/>
      </c>
    </row>
    <row r="995" spans="37:52" ht="16.5" x14ac:dyDescent="0.2">
      <c r="AK995" s="104">
        <v>991</v>
      </c>
      <c r="AL995" s="14">
        <f t="shared" si="420"/>
        <v>20</v>
      </c>
      <c r="AM995" s="14">
        <f>INDEX(挂机升级突破!DQ$6:DQ$57,卡牌消耗!$AT995)</f>
        <v>11</v>
      </c>
      <c r="AN995" s="14">
        <f>INDEX(挂机升级突破!DR$6:DR$57,卡牌消耗!$AT995)</f>
        <v>1</v>
      </c>
      <c r="AO995" s="14">
        <f>INDEX(挂机升级突破!DS$6:DS$57,卡牌消耗!$AT995)</f>
        <v>0</v>
      </c>
      <c r="AP995" s="14">
        <f>INDEX(挂机升级突破!$DP$6:$DP$57,卡牌消耗!AT995)</f>
        <v>13</v>
      </c>
      <c r="AQ995" s="14" t="str">
        <f t="shared" si="421"/>
        <v>高顺</v>
      </c>
      <c r="AR995" s="14">
        <f t="shared" si="422"/>
        <v>3</v>
      </c>
      <c r="AS995" s="14" t="str">
        <f t="shared" si="423"/>
        <v>高顺魂火-3</v>
      </c>
      <c r="AT995" s="14">
        <f t="shared" si="424"/>
        <v>3</v>
      </c>
      <c r="AU995" s="14" t="str">
        <f>IF(AM995&gt;0,INDEX(挂机升级突破!$DT$4:$ED$4,AM995),"")</f>
        <v>金币</v>
      </c>
      <c r="AV995" s="14">
        <f>ROUND(INDEX(挂机升级突破!$DJ$6:$DJ$57,卡牌消耗!AT995)*INDEX(卡牌消耗!$B$8:$F$8,AR995)/$Q$4/50,0)*50</f>
        <v>1050</v>
      </c>
      <c r="AW995" s="14" t="str">
        <f>IF(AN995&gt;0,INDEX(挂机升级突破!$DT$4:$ED$4,AN995),"")</f>
        <v>绿色基础材料</v>
      </c>
      <c r="AX995" s="14">
        <f>ROUND(INDEX(挂机升级突破!$DT$6:$ED$57,卡牌消耗!AT995,AN995)*INDEX(卡牌消耗!$B$5:$F$5,AR995)/$Q$4/5,0)*5</f>
        <v>100</v>
      </c>
      <c r="AY995" s="14" t="str">
        <f>IF(AO995&gt;0,INDEX(挂机升级突破!$DT$4:$ED$4,AO995),"")</f>
        <v/>
      </c>
      <c r="AZ995" s="14" t="str">
        <f>IF(AO995&gt;0,ROUND(INDEX(挂机升级突破!$DT$6:$ED$57,卡牌消耗!AT995,AO995)*INDEX(卡牌消耗!$B$7:$F$7,AR995)/$Q$4,0),"")</f>
        <v/>
      </c>
    </row>
    <row r="996" spans="37:52" ht="16.5" x14ac:dyDescent="0.2">
      <c r="AK996" s="104">
        <v>992</v>
      </c>
      <c r="AL996" s="14">
        <f t="shared" si="420"/>
        <v>20</v>
      </c>
      <c r="AM996" s="14">
        <f>INDEX(挂机升级突破!DQ$6:DQ$57,卡牌消耗!$AT996)</f>
        <v>11</v>
      </c>
      <c r="AN996" s="14">
        <f>INDEX(挂机升级突破!DR$6:DR$57,卡牌消耗!$AT996)</f>
        <v>1</v>
      </c>
      <c r="AO996" s="14">
        <f>INDEX(挂机升级突破!DS$6:DS$57,卡牌消耗!$AT996)</f>
        <v>0</v>
      </c>
      <c r="AP996" s="14">
        <f>INDEX(挂机升级突破!$DP$6:$DP$57,卡牌消耗!AT996)</f>
        <v>18</v>
      </c>
      <c r="AQ996" s="14" t="str">
        <f t="shared" si="421"/>
        <v>高顺</v>
      </c>
      <c r="AR996" s="14">
        <f t="shared" si="422"/>
        <v>3</v>
      </c>
      <c r="AS996" s="14" t="str">
        <f t="shared" si="423"/>
        <v>高顺魂火-4</v>
      </c>
      <c r="AT996" s="14">
        <f t="shared" si="424"/>
        <v>4</v>
      </c>
      <c r="AU996" s="14" t="str">
        <f>IF(AM996&gt;0,INDEX(挂机升级突破!$DT$4:$ED$4,AM996),"")</f>
        <v>金币</v>
      </c>
      <c r="AV996" s="14">
        <f>ROUND(INDEX(挂机升级突破!$DJ$6:$DJ$57,卡牌消耗!AT996)*INDEX(卡牌消耗!$B$8:$F$8,AR996)/$Q$4/50,0)*50</f>
        <v>1050</v>
      </c>
      <c r="AW996" s="14" t="str">
        <f>IF(AN996&gt;0,INDEX(挂机升级突破!$DT$4:$ED$4,AN996),"")</f>
        <v>绿色基础材料</v>
      </c>
      <c r="AX996" s="14">
        <f>ROUND(INDEX(挂机升级突破!$DT$6:$ED$57,卡牌消耗!AT996,AN996)*INDEX(卡牌消耗!$B$5:$F$5,AR996)/$Q$4/5,0)*5</f>
        <v>145</v>
      </c>
      <c r="AY996" s="14" t="str">
        <f>IF(AO996&gt;0,INDEX(挂机升级突破!$DT$4:$ED$4,AO996),"")</f>
        <v/>
      </c>
      <c r="AZ996" s="14" t="str">
        <f>IF(AO996&gt;0,ROUND(INDEX(挂机升级突破!$DT$6:$ED$57,卡牌消耗!AT996,AO996)*INDEX(卡牌消耗!$B$7:$F$7,AR996)/$Q$4,0),"")</f>
        <v/>
      </c>
    </row>
    <row r="997" spans="37:52" ht="16.5" x14ac:dyDescent="0.2">
      <c r="AK997" s="104">
        <v>993</v>
      </c>
      <c r="AL997" s="14">
        <f t="shared" si="420"/>
        <v>20</v>
      </c>
      <c r="AM997" s="14">
        <f>INDEX(挂机升级突破!DQ$6:DQ$57,卡牌消耗!$AT997)</f>
        <v>11</v>
      </c>
      <c r="AN997" s="14">
        <f>INDEX(挂机升级突破!DR$6:DR$57,卡牌消耗!$AT997)</f>
        <v>1</v>
      </c>
      <c r="AO997" s="14">
        <f>INDEX(挂机升级突破!DS$6:DS$57,卡牌消耗!$AT997)</f>
        <v>0</v>
      </c>
      <c r="AP997" s="14">
        <f>INDEX(挂机升级突破!$DP$6:$DP$57,卡牌消耗!AT997)</f>
        <v>23</v>
      </c>
      <c r="AQ997" s="14" t="str">
        <f t="shared" si="421"/>
        <v>高顺</v>
      </c>
      <c r="AR997" s="14">
        <f t="shared" si="422"/>
        <v>3</v>
      </c>
      <c r="AS997" s="14" t="str">
        <f t="shared" si="423"/>
        <v>高顺魂火-5</v>
      </c>
      <c r="AT997" s="14">
        <f t="shared" si="424"/>
        <v>5</v>
      </c>
      <c r="AU997" s="14" t="str">
        <f>IF(AM997&gt;0,INDEX(挂机升级突破!$DT$4:$ED$4,AM997),"")</f>
        <v>金币</v>
      </c>
      <c r="AV997" s="14">
        <f>ROUND(INDEX(挂机升级突破!$DJ$6:$DJ$57,卡牌消耗!AT997)*INDEX(卡牌消耗!$B$8:$F$8,AR997)/$Q$4/50,0)*50</f>
        <v>1050</v>
      </c>
      <c r="AW997" s="14" t="str">
        <f>IF(AN997&gt;0,INDEX(挂机升级突破!$DT$4:$ED$4,AN997),"")</f>
        <v>绿色基础材料</v>
      </c>
      <c r="AX997" s="14">
        <f>ROUND(INDEX(挂机升级突破!$DT$6:$ED$57,卡牌消耗!AT997,AN997)*INDEX(卡牌消耗!$B$5:$F$5,AR997)/$Q$4/5,0)*5</f>
        <v>155</v>
      </c>
      <c r="AY997" s="14" t="str">
        <f>IF(AO997&gt;0,INDEX(挂机升级突破!$DT$4:$ED$4,AO997),"")</f>
        <v/>
      </c>
      <c r="AZ997" s="14" t="str">
        <f>IF(AO997&gt;0,ROUND(INDEX(挂机升级突破!$DT$6:$ED$57,卡牌消耗!AT997,AO997)*INDEX(卡牌消耗!$B$7:$F$7,AR997)/$Q$4,0),"")</f>
        <v/>
      </c>
    </row>
    <row r="998" spans="37:52" ht="16.5" x14ac:dyDescent="0.2">
      <c r="AK998" s="104">
        <v>994</v>
      </c>
      <c r="AL998" s="14">
        <f t="shared" si="420"/>
        <v>20</v>
      </c>
      <c r="AM998" s="14">
        <f>INDEX(挂机升级突破!DQ$6:DQ$57,卡牌消耗!$AT998)</f>
        <v>11</v>
      </c>
      <c r="AN998" s="14">
        <f>INDEX(挂机升级突破!DR$6:DR$57,卡牌消耗!$AT998)</f>
        <v>2</v>
      </c>
      <c r="AO998" s="14">
        <f>INDEX(挂机升级突破!DS$6:DS$57,卡牌消耗!$AT998)</f>
        <v>0</v>
      </c>
      <c r="AP998" s="14">
        <f>INDEX(挂机升级突破!$DP$6:$DP$57,卡牌消耗!AT998)</f>
        <v>28</v>
      </c>
      <c r="AQ998" s="14" t="str">
        <f t="shared" si="421"/>
        <v>高顺</v>
      </c>
      <c r="AR998" s="14">
        <f t="shared" si="422"/>
        <v>3</v>
      </c>
      <c r="AS998" s="14" t="str">
        <f t="shared" si="423"/>
        <v>高顺魂火-6</v>
      </c>
      <c r="AT998" s="14">
        <f t="shared" si="424"/>
        <v>6</v>
      </c>
      <c r="AU998" s="14" t="str">
        <f>IF(AM998&gt;0,INDEX(挂机升级突破!$DT$4:$ED$4,AM998),"")</f>
        <v>金币</v>
      </c>
      <c r="AV998" s="14">
        <f>ROUND(INDEX(挂机升级突破!$DJ$6:$DJ$57,卡牌消耗!AT998)*INDEX(卡牌消耗!$B$8:$F$8,AR998)/$Q$4/50,0)*50</f>
        <v>1250</v>
      </c>
      <c r="AW998" s="14" t="str">
        <f>IF(AN998&gt;0,INDEX(挂机升级突破!$DT$4:$ED$4,AN998),"")</f>
        <v>蓝色基础材料</v>
      </c>
      <c r="AX998" s="14">
        <f>ROUND(INDEX(挂机升级突破!$DT$6:$ED$57,卡牌消耗!AT998,AN998)*INDEX(卡牌消耗!$B$5:$F$5,AR998)/$Q$4/5,0)*5</f>
        <v>30</v>
      </c>
      <c r="AY998" s="14" t="str">
        <f>IF(AO998&gt;0,INDEX(挂机升级突破!$DT$4:$ED$4,AO998),"")</f>
        <v/>
      </c>
      <c r="AZ998" s="14" t="str">
        <f>IF(AO998&gt;0,ROUND(INDEX(挂机升级突破!$DT$6:$ED$57,卡牌消耗!AT998,AO998)*INDEX(卡牌消耗!$B$7:$F$7,AR998)/$Q$4,0),"")</f>
        <v/>
      </c>
    </row>
    <row r="999" spans="37:52" ht="16.5" x14ac:dyDescent="0.2">
      <c r="AK999" s="104">
        <v>995</v>
      </c>
      <c r="AL999" s="14">
        <f t="shared" si="420"/>
        <v>20</v>
      </c>
      <c r="AM999" s="14">
        <f>INDEX(挂机升级突破!DQ$6:DQ$57,卡牌消耗!$AT999)</f>
        <v>11</v>
      </c>
      <c r="AN999" s="14">
        <f>INDEX(挂机升级突破!DR$6:DR$57,卡牌消耗!$AT999)</f>
        <v>2</v>
      </c>
      <c r="AO999" s="14">
        <f>INDEX(挂机升级突破!DS$6:DS$57,卡牌消耗!$AT999)</f>
        <v>0</v>
      </c>
      <c r="AP999" s="14">
        <f>INDEX(挂机升级突破!$DP$6:$DP$57,卡牌消耗!AT999)</f>
        <v>33</v>
      </c>
      <c r="AQ999" s="14" t="str">
        <f t="shared" si="421"/>
        <v>高顺</v>
      </c>
      <c r="AR999" s="14">
        <f t="shared" si="422"/>
        <v>3</v>
      </c>
      <c r="AS999" s="14" t="str">
        <f t="shared" si="423"/>
        <v>高顺魂火-7</v>
      </c>
      <c r="AT999" s="14">
        <f t="shared" si="424"/>
        <v>7</v>
      </c>
      <c r="AU999" s="14" t="str">
        <f>IF(AM999&gt;0,INDEX(挂机升级突破!$DT$4:$ED$4,AM999),"")</f>
        <v>金币</v>
      </c>
      <c r="AV999" s="14">
        <f>ROUND(INDEX(挂机升级突破!$DJ$6:$DJ$57,卡牌消耗!AT999)*INDEX(卡牌消耗!$B$8:$F$8,AR999)/$Q$4/50,0)*50</f>
        <v>1250</v>
      </c>
      <c r="AW999" s="14" t="str">
        <f>IF(AN999&gt;0,INDEX(挂机升级突破!$DT$4:$ED$4,AN999),"")</f>
        <v>蓝色基础材料</v>
      </c>
      <c r="AX999" s="14">
        <f>ROUND(INDEX(挂机升级突破!$DT$6:$ED$57,卡牌消耗!AT999,AN999)*INDEX(卡牌消耗!$B$5:$F$5,AR999)/$Q$4/5,0)*5</f>
        <v>30</v>
      </c>
      <c r="AY999" s="14" t="str">
        <f>IF(AO999&gt;0,INDEX(挂机升级突破!$DT$4:$ED$4,AO999),"")</f>
        <v/>
      </c>
      <c r="AZ999" s="14" t="str">
        <f>IF(AO999&gt;0,ROUND(INDEX(挂机升级突破!$DT$6:$ED$57,卡牌消耗!AT999,AO999)*INDEX(卡牌消耗!$B$7:$F$7,AR999)/$Q$4,0),"")</f>
        <v/>
      </c>
    </row>
    <row r="1000" spans="37:52" ht="16.5" x14ac:dyDescent="0.2">
      <c r="AK1000" s="104">
        <v>996</v>
      </c>
      <c r="AL1000" s="14">
        <f t="shared" si="420"/>
        <v>20</v>
      </c>
      <c r="AM1000" s="14">
        <f>INDEX(挂机升级突破!DQ$6:DQ$57,卡牌消耗!$AT1000)</f>
        <v>11</v>
      </c>
      <c r="AN1000" s="14">
        <f>INDEX(挂机升级突破!DR$6:DR$57,卡牌消耗!$AT1000)</f>
        <v>2</v>
      </c>
      <c r="AO1000" s="14">
        <f>INDEX(挂机升级突破!DS$6:DS$57,卡牌消耗!$AT1000)</f>
        <v>0</v>
      </c>
      <c r="AP1000" s="14">
        <f>INDEX(挂机升级突破!$DP$6:$DP$57,卡牌消耗!AT1000)</f>
        <v>38</v>
      </c>
      <c r="AQ1000" s="14" t="str">
        <f t="shared" si="421"/>
        <v>高顺</v>
      </c>
      <c r="AR1000" s="14">
        <f t="shared" si="422"/>
        <v>3</v>
      </c>
      <c r="AS1000" s="14" t="str">
        <f t="shared" si="423"/>
        <v>高顺魂火-8</v>
      </c>
      <c r="AT1000" s="14">
        <f t="shared" si="424"/>
        <v>8</v>
      </c>
      <c r="AU1000" s="14" t="str">
        <f>IF(AM1000&gt;0,INDEX(挂机升级突破!$DT$4:$ED$4,AM1000),"")</f>
        <v>金币</v>
      </c>
      <c r="AV1000" s="14">
        <f>ROUND(INDEX(挂机升级突破!$DJ$6:$DJ$57,卡牌消耗!AT1000)*INDEX(卡牌消耗!$B$8:$F$8,AR1000)/$Q$4/50,0)*50</f>
        <v>1900</v>
      </c>
      <c r="AW1000" s="14" t="str">
        <f>IF(AN1000&gt;0,INDEX(挂机升级突破!$DT$4:$ED$4,AN1000),"")</f>
        <v>蓝色基础材料</v>
      </c>
      <c r="AX1000" s="14">
        <f>ROUND(INDEX(挂机升级突破!$DT$6:$ED$57,卡牌消耗!AT1000,AN1000)*INDEX(卡牌消耗!$B$5:$F$5,AR1000)/$Q$4/5,0)*5</f>
        <v>60</v>
      </c>
      <c r="AY1000" s="14" t="str">
        <f>IF(AO1000&gt;0,INDEX(挂机升级突破!$DT$4:$ED$4,AO1000),"")</f>
        <v/>
      </c>
      <c r="AZ1000" s="14" t="str">
        <f>IF(AO1000&gt;0,ROUND(INDEX(挂机升级突破!$DT$6:$ED$57,卡牌消耗!AT1000,AO1000)*INDEX(卡牌消耗!$B$7:$F$7,AR1000)/$Q$4,0),"")</f>
        <v/>
      </c>
    </row>
    <row r="1001" spans="37:52" ht="16.5" x14ac:dyDescent="0.2">
      <c r="AK1001" s="104">
        <v>997</v>
      </c>
      <c r="AL1001" s="14">
        <f t="shared" si="420"/>
        <v>20</v>
      </c>
      <c r="AM1001" s="14">
        <f>INDEX(挂机升级突破!DQ$6:DQ$57,卡牌消耗!$AT1001)</f>
        <v>11</v>
      </c>
      <c r="AN1001" s="14">
        <f>INDEX(挂机升级突破!DR$6:DR$57,卡牌消耗!$AT1001)</f>
        <v>2</v>
      </c>
      <c r="AO1001" s="14">
        <f>INDEX(挂机升级突破!DS$6:DS$57,卡牌消耗!$AT1001)</f>
        <v>0</v>
      </c>
      <c r="AP1001" s="14">
        <f>INDEX(挂机升级突破!$DP$6:$DP$57,卡牌消耗!AT1001)</f>
        <v>40</v>
      </c>
      <c r="AQ1001" s="14" t="str">
        <f t="shared" si="421"/>
        <v>高顺</v>
      </c>
      <c r="AR1001" s="14">
        <f t="shared" si="422"/>
        <v>3</v>
      </c>
      <c r="AS1001" s="14" t="str">
        <f t="shared" si="423"/>
        <v>高顺魂火-9</v>
      </c>
      <c r="AT1001" s="14">
        <f t="shared" si="424"/>
        <v>9</v>
      </c>
      <c r="AU1001" s="14" t="str">
        <f>IF(AM1001&gt;0,INDEX(挂机升级突破!$DT$4:$ED$4,AM1001),"")</f>
        <v>金币</v>
      </c>
      <c r="AV1001" s="14">
        <f>ROUND(INDEX(挂机升级突破!$DJ$6:$DJ$57,卡牌消耗!AT1001)*INDEX(卡牌消耗!$B$8:$F$8,AR1001)/$Q$4/50,0)*50</f>
        <v>1900</v>
      </c>
      <c r="AW1001" s="14" t="str">
        <f>IF(AN1001&gt;0,INDEX(挂机升级突破!$DT$4:$ED$4,AN1001),"")</f>
        <v>蓝色基础材料</v>
      </c>
      <c r="AX1001" s="14">
        <f>ROUND(INDEX(挂机升级突破!$DT$6:$ED$57,卡牌消耗!AT1001,AN1001)*INDEX(卡牌消耗!$B$5:$F$5,AR1001)/$Q$4/5,0)*5</f>
        <v>60</v>
      </c>
      <c r="AY1001" s="14" t="str">
        <f>IF(AO1001&gt;0,INDEX(挂机升级突破!$DT$4:$ED$4,AO1001),"")</f>
        <v/>
      </c>
      <c r="AZ1001" s="14" t="str">
        <f>IF(AO1001&gt;0,ROUND(INDEX(挂机升级突破!$DT$6:$ED$57,卡牌消耗!AT1001,AO1001)*INDEX(卡牌消耗!$B$7:$F$7,AR1001)/$Q$4,0),"")</f>
        <v/>
      </c>
    </row>
    <row r="1002" spans="37:52" ht="16.5" x14ac:dyDescent="0.2">
      <c r="AK1002" s="104">
        <v>998</v>
      </c>
      <c r="AL1002" s="14">
        <f t="shared" si="420"/>
        <v>20</v>
      </c>
      <c r="AM1002" s="14">
        <f>INDEX(挂机升级突破!DQ$6:DQ$57,卡牌消耗!$AT1002)</f>
        <v>11</v>
      </c>
      <c r="AN1002" s="14">
        <f>INDEX(挂机升级突破!DR$6:DR$57,卡牌消耗!$AT1002)</f>
        <v>2</v>
      </c>
      <c r="AO1002" s="14">
        <f>INDEX(挂机升级突破!DS$6:DS$57,卡牌消耗!$AT1002)</f>
        <v>0</v>
      </c>
      <c r="AP1002" s="14">
        <f>INDEX(挂机升级突破!$DP$6:$DP$57,卡牌消耗!AT1002)</f>
        <v>43</v>
      </c>
      <c r="AQ1002" s="14" t="str">
        <f t="shared" si="421"/>
        <v>高顺</v>
      </c>
      <c r="AR1002" s="14">
        <f t="shared" si="422"/>
        <v>3</v>
      </c>
      <c r="AS1002" s="14" t="str">
        <f t="shared" si="423"/>
        <v>高顺魂火-10</v>
      </c>
      <c r="AT1002" s="14">
        <f t="shared" si="424"/>
        <v>10</v>
      </c>
      <c r="AU1002" s="14" t="str">
        <f>IF(AM1002&gt;0,INDEX(挂机升级突破!$DT$4:$ED$4,AM1002),"")</f>
        <v>金币</v>
      </c>
      <c r="AV1002" s="14">
        <f>ROUND(INDEX(挂机升级突破!$DJ$6:$DJ$57,卡牌消耗!AT1002)*INDEX(卡牌消耗!$B$8:$F$8,AR1002)/$Q$4/50,0)*50</f>
        <v>3200</v>
      </c>
      <c r="AW1002" s="14" t="str">
        <f>IF(AN1002&gt;0,INDEX(挂机升级突破!$DT$4:$ED$4,AN1002),"")</f>
        <v>蓝色基础材料</v>
      </c>
      <c r="AX1002" s="14">
        <f>ROUND(INDEX(挂机升级突破!$DT$6:$ED$57,卡牌消耗!AT1002,AN1002)*INDEX(卡牌消耗!$B$5:$F$5,AR1002)/$Q$4/5,0)*5</f>
        <v>85</v>
      </c>
      <c r="AY1002" s="14" t="str">
        <f>IF(AO1002&gt;0,INDEX(挂机升级突破!$DT$4:$ED$4,AO1002),"")</f>
        <v/>
      </c>
      <c r="AZ1002" s="14" t="str">
        <f>IF(AO1002&gt;0,ROUND(INDEX(挂机升级突破!$DT$6:$ED$57,卡牌消耗!AT1002,AO1002)*INDEX(卡牌消耗!$B$7:$F$7,AR1002)/$Q$4,0),"")</f>
        <v/>
      </c>
    </row>
    <row r="1003" spans="37:52" ht="16.5" x14ac:dyDescent="0.2">
      <c r="AK1003" s="104">
        <v>999</v>
      </c>
      <c r="AL1003" s="14">
        <f t="shared" si="420"/>
        <v>20</v>
      </c>
      <c r="AM1003" s="14">
        <f>INDEX(挂机升级突破!DQ$6:DQ$57,卡牌消耗!$AT1003)</f>
        <v>11</v>
      </c>
      <c r="AN1003" s="14">
        <f>INDEX(挂机升级突破!DR$6:DR$57,卡牌消耗!$AT1003)</f>
        <v>2</v>
      </c>
      <c r="AO1003" s="14">
        <f>INDEX(挂机升级突破!DS$6:DS$57,卡牌消耗!$AT1003)</f>
        <v>0</v>
      </c>
      <c r="AP1003" s="14">
        <f>INDEX(挂机升级突破!$DP$6:$DP$57,卡牌消耗!AT1003)</f>
        <v>45</v>
      </c>
      <c r="AQ1003" s="14" t="str">
        <f t="shared" si="421"/>
        <v>高顺</v>
      </c>
      <c r="AR1003" s="14">
        <f t="shared" si="422"/>
        <v>3</v>
      </c>
      <c r="AS1003" s="14" t="str">
        <f t="shared" si="423"/>
        <v>高顺魂火-11</v>
      </c>
      <c r="AT1003" s="14">
        <f t="shared" si="424"/>
        <v>11</v>
      </c>
      <c r="AU1003" s="14" t="str">
        <f>IF(AM1003&gt;0,INDEX(挂机升级突破!$DT$4:$ED$4,AM1003),"")</f>
        <v>金币</v>
      </c>
      <c r="AV1003" s="14">
        <f>ROUND(INDEX(挂机升级突破!$DJ$6:$DJ$57,卡牌消耗!AT1003)*INDEX(卡牌消耗!$B$8:$F$8,AR1003)/$Q$4/50,0)*50</f>
        <v>3200</v>
      </c>
      <c r="AW1003" s="14" t="str">
        <f>IF(AN1003&gt;0,INDEX(挂机升级突破!$DT$4:$ED$4,AN1003),"")</f>
        <v>蓝色基础材料</v>
      </c>
      <c r="AX1003" s="14">
        <f>ROUND(INDEX(挂机升级突破!$DT$6:$ED$57,卡牌消耗!AT1003,AN1003)*INDEX(卡牌消耗!$B$5:$F$5,AR1003)/$Q$4/5,0)*5</f>
        <v>85</v>
      </c>
      <c r="AY1003" s="14" t="str">
        <f>IF(AO1003&gt;0,INDEX(挂机升级突破!$DT$4:$ED$4,AO1003),"")</f>
        <v/>
      </c>
      <c r="AZ1003" s="14" t="str">
        <f>IF(AO1003&gt;0,ROUND(INDEX(挂机升级突破!$DT$6:$ED$57,卡牌消耗!AT1003,AO1003)*INDEX(卡牌消耗!$B$7:$F$7,AR1003)/$Q$4,0),"")</f>
        <v/>
      </c>
    </row>
    <row r="1004" spans="37:52" ht="16.5" x14ac:dyDescent="0.2">
      <c r="AK1004" s="104">
        <v>1000</v>
      </c>
      <c r="AL1004" s="14">
        <f t="shared" si="420"/>
        <v>20</v>
      </c>
      <c r="AM1004" s="14">
        <f>INDEX(挂机升级突破!DQ$6:DQ$57,卡牌消耗!$AT1004)</f>
        <v>11</v>
      </c>
      <c r="AN1004" s="14">
        <f>INDEX(挂机升级突破!DR$6:DR$57,卡牌消耗!$AT1004)</f>
        <v>2</v>
      </c>
      <c r="AO1004" s="14">
        <f>INDEX(挂机升级突破!DS$6:DS$57,卡牌消耗!$AT1004)</f>
        <v>0</v>
      </c>
      <c r="AP1004" s="14">
        <f>INDEX(挂机升级突破!$DP$6:$DP$57,卡牌消耗!AT1004)</f>
        <v>48</v>
      </c>
      <c r="AQ1004" s="14" t="str">
        <f t="shared" si="421"/>
        <v>高顺</v>
      </c>
      <c r="AR1004" s="14">
        <f t="shared" si="422"/>
        <v>3</v>
      </c>
      <c r="AS1004" s="14" t="str">
        <f t="shared" si="423"/>
        <v>高顺魂火-12</v>
      </c>
      <c r="AT1004" s="14">
        <f t="shared" si="424"/>
        <v>12</v>
      </c>
      <c r="AU1004" s="14" t="str">
        <f>IF(AM1004&gt;0,INDEX(挂机升级突破!$DT$4:$ED$4,AM1004),"")</f>
        <v>金币</v>
      </c>
      <c r="AV1004" s="14">
        <f>ROUND(INDEX(挂机升级突破!$DJ$6:$DJ$57,卡牌消耗!AT1004)*INDEX(卡牌消耗!$B$8:$F$8,AR1004)/$Q$4/50,0)*50</f>
        <v>2750</v>
      </c>
      <c r="AW1004" s="14" t="str">
        <f>IF(AN1004&gt;0,INDEX(挂机升级突破!$DT$4:$ED$4,AN1004),"")</f>
        <v>蓝色基础材料</v>
      </c>
      <c r="AX1004" s="14">
        <f>ROUND(INDEX(挂机升级突破!$DT$6:$ED$57,卡牌消耗!AT1004,AN1004)*INDEX(卡牌消耗!$B$5:$F$5,AR1004)/$Q$4/5,0)*5</f>
        <v>115</v>
      </c>
      <c r="AY1004" s="14" t="str">
        <f>IF(AO1004&gt;0,INDEX(挂机升级突破!$DT$4:$ED$4,AO1004),"")</f>
        <v/>
      </c>
      <c r="AZ1004" s="14" t="str">
        <f>IF(AO1004&gt;0,ROUND(INDEX(挂机升级突破!$DT$6:$ED$57,卡牌消耗!AT1004,AO1004)*INDEX(卡牌消耗!$B$7:$F$7,AR1004)/$Q$4,0),"")</f>
        <v/>
      </c>
    </row>
    <row r="1005" spans="37:52" ht="16.5" x14ac:dyDescent="0.2">
      <c r="AK1005" s="104">
        <v>1001</v>
      </c>
      <c r="AL1005" s="14">
        <f t="shared" si="420"/>
        <v>20</v>
      </c>
      <c r="AM1005" s="14">
        <f>INDEX(挂机升级突破!DQ$6:DQ$57,卡牌消耗!$AT1005)</f>
        <v>11</v>
      </c>
      <c r="AN1005" s="14">
        <f>INDEX(挂机升级突破!DR$6:DR$57,卡牌消耗!$AT1005)</f>
        <v>2</v>
      </c>
      <c r="AO1005" s="14">
        <f>INDEX(挂机升级突破!DS$6:DS$57,卡牌消耗!$AT1005)</f>
        <v>0</v>
      </c>
      <c r="AP1005" s="14">
        <f>INDEX(挂机升级突破!$DP$6:$DP$57,卡牌消耗!AT1005)</f>
        <v>50</v>
      </c>
      <c r="AQ1005" s="14" t="str">
        <f t="shared" si="421"/>
        <v>高顺</v>
      </c>
      <c r="AR1005" s="14">
        <f t="shared" si="422"/>
        <v>3</v>
      </c>
      <c r="AS1005" s="14" t="str">
        <f t="shared" si="423"/>
        <v>高顺魂火-13</v>
      </c>
      <c r="AT1005" s="14">
        <f t="shared" si="424"/>
        <v>13</v>
      </c>
      <c r="AU1005" s="14" t="str">
        <f>IF(AM1005&gt;0,INDEX(挂机升级突破!$DT$4:$ED$4,AM1005),"")</f>
        <v>金币</v>
      </c>
      <c r="AV1005" s="14">
        <f>ROUND(INDEX(挂机升级突破!$DJ$6:$DJ$57,卡牌消耗!AT1005)*INDEX(卡牌消耗!$B$8:$F$8,AR1005)/$Q$4/50,0)*50</f>
        <v>2750</v>
      </c>
      <c r="AW1005" s="14" t="str">
        <f>IF(AN1005&gt;0,INDEX(挂机升级突破!$DT$4:$ED$4,AN1005),"")</f>
        <v>蓝色基础材料</v>
      </c>
      <c r="AX1005" s="14">
        <f>ROUND(INDEX(挂机升级突破!$DT$6:$ED$57,卡牌消耗!AT1005,AN1005)*INDEX(卡牌消耗!$B$5:$F$5,AR1005)/$Q$4/5,0)*5</f>
        <v>115</v>
      </c>
      <c r="AY1005" s="14" t="str">
        <f>IF(AO1005&gt;0,INDEX(挂机升级突破!$DT$4:$ED$4,AO1005),"")</f>
        <v/>
      </c>
      <c r="AZ1005" s="14" t="str">
        <f>IF(AO1005&gt;0,ROUND(INDEX(挂机升级突破!$DT$6:$ED$57,卡牌消耗!AT1005,AO1005)*INDEX(卡牌消耗!$B$7:$F$7,AR1005)/$Q$4,0),"")</f>
        <v/>
      </c>
    </row>
    <row r="1006" spans="37:52" ht="16.5" x14ac:dyDescent="0.2">
      <c r="AK1006" s="104">
        <v>1002</v>
      </c>
      <c r="AL1006" s="14">
        <f t="shared" si="420"/>
        <v>20</v>
      </c>
      <c r="AM1006" s="14">
        <f>INDEX(挂机升级突破!DQ$6:DQ$57,卡牌消耗!$AT1006)</f>
        <v>11</v>
      </c>
      <c r="AN1006" s="14">
        <f>INDEX(挂机升级突破!DR$6:DR$57,卡牌消耗!$AT1006)</f>
        <v>3</v>
      </c>
      <c r="AO1006" s="14">
        <f>INDEX(挂机升级突破!DS$6:DS$57,卡牌消耗!$AT1006)</f>
        <v>0</v>
      </c>
      <c r="AP1006" s="14">
        <f>INDEX(挂机升级突破!$DP$6:$DP$57,卡牌消耗!AT1006)</f>
        <v>53</v>
      </c>
      <c r="AQ1006" s="14" t="str">
        <f t="shared" si="421"/>
        <v>高顺</v>
      </c>
      <c r="AR1006" s="14">
        <f t="shared" si="422"/>
        <v>3</v>
      </c>
      <c r="AS1006" s="14" t="str">
        <f t="shared" si="423"/>
        <v>高顺魂火-14</v>
      </c>
      <c r="AT1006" s="14">
        <f t="shared" si="424"/>
        <v>14</v>
      </c>
      <c r="AU1006" s="14" t="str">
        <f>IF(AM1006&gt;0,INDEX(挂机升级突破!$DT$4:$ED$4,AM1006),"")</f>
        <v>金币</v>
      </c>
      <c r="AV1006" s="14">
        <f>ROUND(INDEX(挂机升级突破!$DJ$6:$DJ$57,卡牌消耗!AT1006)*INDEX(卡牌消耗!$B$8:$F$8,AR1006)/$Q$4/50,0)*50</f>
        <v>3000</v>
      </c>
      <c r="AW1006" s="14" t="str">
        <f>IF(AN1006&gt;0,INDEX(挂机升级突破!$DT$4:$ED$4,AN1006),"")</f>
        <v>紫色基础材料</v>
      </c>
      <c r="AX1006" s="14">
        <f>ROUND(INDEX(挂机升级突破!$DT$6:$ED$57,卡牌消耗!AT1006,AN1006)*INDEX(卡牌消耗!$B$5:$F$5,AR1006)/$Q$4/5,0)*5</f>
        <v>25</v>
      </c>
      <c r="AY1006" s="14" t="str">
        <f>IF(AO1006&gt;0,INDEX(挂机升级突破!$DT$4:$ED$4,AO1006),"")</f>
        <v/>
      </c>
      <c r="AZ1006" s="14" t="str">
        <f>IF(AO1006&gt;0,ROUND(INDEX(挂机升级突破!$DT$6:$ED$57,卡牌消耗!AT1006,AO1006)*INDEX(卡牌消耗!$B$7:$F$7,AR1006)/$Q$4,0),"")</f>
        <v/>
      </c>
    </row>
    <row r="1007" spans="37:52" ht="16.5" x14ac:dyDescent="0.2">
      <c r="AK1007" s="104">
        <v>1003</v>
      </c>
      <c r="AL1007" s="14">
        <f t="shared" si="420"/>
        <v>20</v>
      </c>
      <c r="AM1007" s="14">
        <f>INDEX(挂机升级突破!DQ$6:DQ$57,卡牌消耗!$AT1007)</f>
        <v>11</v>
      </c>
      <c r="AN1007" s="14">
        <f>INDEX(挂机升级突破!DR$6:DR$57,卡牌消耗!$AT1007)</f>
        <v>3</v>
      </c>
      <c r="AO1007" s="14">
        <f>INDEX(挂机升级突破!DS$6:DS$57,卡牌消耗!$AT1007)</f>
        <v>0</v>
      </c>
      <c r="AP1007" s="14">
        <f>INDEX(挂机升级突破!$DP$6:$DP$57,卡牌消耗!AT1007)</f>
        <v>55</v>
      </c>
      <c r="AQ1007" s="14" t="str">
        <f t="shared" si="421"/>
        <v>高顺</v>
      </c>
      <c r="AR1007" s="14">
        <f t="shared" si="422"/>
        <v>3</v>
      </c>
      <c r="AS1007" s="14" t="str">
        <f t="shared" si="423"/>
        <v>高顺魂火-15</v>
      </c>
      <c r="AT1007" s="14">
        <f t="shared" si="424"/>
        <v>15</v>
      </c>
      <c r="AU1007" s="14" t="str">
        <f>IF(AM1007&gt;0,INDEX(挂机升级突破!$DT$4:$ED$4,AM1007),"")</f>
        <v>金币</v>
      </c>
      <c r="AV1007" s="14">
        <f>ROUND(INDEX(挂机升级突破!$DJ$6:$DJ$57,卡牌消耗!AT1007)*INDEX(卡牌消耗!$B$8:$F$8,AR1007)/$Q$4/50,0)*50</f>
        <v>3250</v>
      </c>
      <c r="AW1007" s="14" t="str">
        <f>IF(AN1007&gt;0,INDEX(挂机升级突破!$DT$4:$ED$4,AN1007),"")</f>
        <v>紫色基础材料</v>
      </c>
      <c r="AX1007" s="14">
        <f>ROUND(INDEX(挂机升级突破!$DT$6:$ED$57,卡牌消耗!AT1007,AN1007)*INDEX(卡牌消耗!$B$5:$F$5,AR1007)/$Q$4/5,0)*5</f>
        <v>25</v>
      </c>
      <c r="AY1007" s="14" t="str">
        <f>IF(AO1007&gt;0,INDEX(挂机升级突破!$DT$4:$ED$4,AO1007),"")</f>
        <v/>
      </c>
      <c r="AZ1007" s="14" t="str">
        <f>IF(AO1007&gt;0,ROUND(INDEX(挂机升级突破!$DT$6:$ED$57,卡牌消耗!AT1007,AO1007)*INDEX(卡牌消耗!$B$7:$F$7,AR1007)/$Q$4,0),"")</f>
        <v/>
      </c>
    </row>
    <row r="1008" spans="37:52" ht="16.5" x14ac:dyDescent="0.2">
      <c r="AK1008" s="104">
        <v>1004</v>
      </c>
      <c r="AL1008" s="14">
        <f t="shared" si="420"/>
        <v>20</v>
      </c>
      <c r="AM1008" s="14">
        <f>INDEX(挂机升级突破!DQ$6:DQ$57,卡牌消耗!$AT1008)</f>
        <v>11</v>
      </c>
      <c r="AN1008" s="14">
        <f>INDEX(挂机升级突破!DR$6:DR$57,卡牌消耗!$AT1008)</f>
        <v>3</v>
      </c>
      <c r="AO1008" s="14">
        <f>INDEX(挂机升级突破!DS$6:DS$57,卡牌消耗!$AT1008)</f>
        <v>0</v>
      </c>
      <c r="AP1008" s="14">
        <f>INDEX(挂机升级突破!$DP$6:$DP$57,卡牌消耗!AT1008)</f>
        <v>58</v>
      </c>
      <c r="AQ1008" s="14" t="str">
        <f t="shared" si="421"/>
        <v>高顺</v>
      </c>
      <c r="AR1008" s="14">
        <f t="shared" si="422"/>
        <v>3</v>
      </c>
      <c r="AS1008" s="14" t="str">
        <f t="shared" si="423"/>
        <v>高顺魂火-16</v>
      </c>
      <c r="AT1008" s="14">
        <f t="shared" si="424"/>
        <v>16</v>
      </c>
      <c r="AU1008" s="14" t="str">
        <f>IF(AM1008&gt;0,INDEX(挂机升级突破!$DT$4:$ED$4,AM1008),"")</f>
        <v>金币</v>
      </c>
      <c r="AV1008" s="14">
        <f>ROUND(INDEX(挂机升级突破!$DJ$6:$DJ$57,卡牌消耗!AT1008)*INDEX(卡牌消耗!$B$8:$F$8,AR1008)/$Q$4/50,0)*50</f>
        <v>3250</v>
      </c>
      <c r="AW1008" s="14" t="str">
        <f>IF(AN1008&gt;0,INDEX(挂机升级突破!$DT$4:$ED$4,AN1008),"")</f>
        <v>紫色基础材料</v>
      </c>
      <c r="AX1008" s="14">
        <f>ROUND(INDEX(挂机升级突破!$DT$6:$ED$57,卡牌消耗!AT1008,AN1008)*INDEX(卡牌消耗!$B$5:$F$5,AR1008)/$Q$4/5,0)*5</f>
        <v>25</v>
      </c>
      <c r="AY1008" s="14" t="str">
        <f>IF(AO1008&gt;0,INDEX(挂机升级突破!$DT$4:$ED$4,AO1008),"")</f>
        <v/>
      </c>
      <c r="AZ1008" s="14" t="str">
        <f>IF(AO1008&gt;0,ROUND(INDEX(挂机升级突破!$DT$6:$ED$57,卡牌消耗!AT1008,AO1008)*INDEX(卡牌消耗!$B$7:$F$7,AR1008)/$Q$4,0),"")</f>
        <v/>
      </c>
    </row>
    <row r="1009" spans="37:52" ht="16.5" x14ac:dyDescent="0.2">
      <c r="AK1009" s="104">
        <v>1005</v>
      </c>
      <c r="AL1009" s="14">
        <f t="shared" si="420"/>
        <v>20</v>
      </c>
      <c r="AM1009" s="14">
        <f>INDEX(挂机升级突破!DQ$6:DQ$57,卡牌消耗!$AT1009)</f>
        <v>11</v>
      </c>
      <c r="AN1009" s="14">
        <f>INDEX(挂机升级突破!DR$6:DR$57,卡牌消耗!$AT1009)</f>
        <v>3</v>
      </c>
      <c r="AO1009" s="14">
        <f>INDEX(挂机升级突破!DS$6:DS$57,卡牌消耗!$AT1009)</f>
        <v>0</v>
      </c>
      <c r="AP1009" s="14">
        <f>INDEX(挂机升级突破!$DP$6:$DP$57,卡牌消耗!AT1009)</f>
        <v>60</v>
      </c>
      <c r="AQ1009" s="14" t="str">
        <f t="shared" si="421"/>
        <v>高顺</v>
      </c>
      <c r="AR1009" s="14">
        <f t="shared" si="422"/>
        <v>3</v>
      </c>
      <c r="AS1009" s="14" t="str">
        <f t="shared" si="423"/>
        <v>高顺魂火-17</v>
      </c>
      <c r="AT1009" s="14">
        <f t="shared" si="424"/>
        <v>17</v>
      </c>
      <c r="AU1009" s="14" t="str">
        <f>IF(AM1009&gt;0,INDEX(挂机升级突破!$DT$4:$ED$4,AM1009),"")</f>
        <v>金币</v>
      </c>
      <c r="AV1009" s="14">
        <f>ROUND(INDEX(挂机升级突破!$DJ$6:$DJ$57,卡牌消耗!AT1009)*INDEX(卡牌消耗!$B$8:$F$8,AR1009)/$Q$4/50,0)*50</f>
        <v>4100</v>
      </c>
      <c r="AW1009" s="14" t="str">
        <f>IF(AN1009&gt;0,INDEX(挂机升级突破!$DT$4:$ED$4,AN1009),"")</f>
        <v>紫色基础材料</v>
      </c>
      <c r="AX1009" s="14">
        <f>ROUND(INDEX(挂机升级突破!$DT$6:$ED$57,卡牌消耗!AT1009,AN1009)*INDEX(卡牌消耗!$B$5:$F$5,AR1009)/$Q$4/5,0)*5</f>
        <v>45</v>
      </c>
      <c r="AY1009" s="14" t="str">
        <f>IF(AO1009&gt;0,INDEX(挂机升级突破!$DT$4:$ED$4,AO1009),"")</f>
        <v/>
      </c>
      <c r="AZ1009" s="14" t="str">
        <f>IF(AO1009&gt;0,ROUND(INDEX(挂机升级突破!$DT$6:$ED$57,卡牌消耗!AT1009,AO1009)*INDEX(卡牌消耗!$B$7:$F$7,AR1009)/$Q$4,0),"")</f>
        <v/>
      </c>
    </row>
    <row r="1010" spans="37:52" ht="16.5" x14ac:dyDescent="0.2">
      <c r="AK1010" s="104">
        <v>1006</v>
      </c>
      <c r="AL1010" s="14">
        <f t="shared" si="420"/>
        <v>20</v>
      </c>
      <c r="AM1010" s="14">
        <f>INDEX(挂机升级突破!DQ$6:DQ$57,卡牌消耗!$AT1010)</f>
        <v>11</v>
      </c>
      <c r="AN1010" s="14">
        <f>INDEX(挂机升级突破!DR$6:DR$57,卡牌消耗!$AT1010)</f>
        <v>3</v>
      </c>
      <c r="AO1010" s="14">
        <f>INDEX(挂机升级突破!DS$6:DS$57,卡牌消耗!$AT1010)</f>
        <v>0</v>
      </c>
      <c r="AP1010" s="14">
        <f>INDEX(挂机升级突破!$DP$6:$DP$57,卡牌消耗!AT1010)</f>
        <v>63</v>
      </c>
      <c r="AQ1010" s="14" t="str">
        <f t="shared" si="421"/>
        <v>高顺</v>
      </c>
      <c r="AR1010" s="14">
        <f t="shared" si="422"/>
        <v>3</v>
      </c>
      <c r="AS1010" s="14" t="str">
        <f t="shared" si="423"/>
        <v>高顺魂火-18</v>
      </c>
      <c r="AT1010" s="14">
        <f t="shared" si="424"/>
        <v>18</v>
      </c>
      <c r="AU1010" s="14" t="str">
        <f>IF(AM1010&gt;0,INDEX(挂机升级突破!$DT$4:$ED$4,AM1010),"")</f>
        <v>金币</v>
      </c>
      <c r="AV1010" s="14">
        <f>ROUND(INDEX(挂机升级突破!$DJ$6:$DJ$57,卡牌消耗!AT1010)*INDEX(卡牌消耗!$B$8:$F$8,AR1010)/$Q$4/50,0)*50</f>
        <v>4100</v>
      </c>
      <c r="AW1010" s="14" t="str">
        <f>IF(AN1010&gt;0,INDEX(挂机升级突破!$DT$4:$ED$4,AN1010),"")</f>
        <v>紫色基础材料</v>
      </c>
      <c r="AX1010" s="14">
        <f>ROUND(INDEX(挂机升级突破!$DT$6:$ED$57,卡牌消耗!AT1010,AN1010)*INDEX(卡牌消耗!$B$5:$F$5,AR1010)/$Q$4/5,0)*5</f>
        <v>45</v>
      </c>
      <c r="AY1010" s="14" t="str">
        <f>IF(AO1010&gt;0,INDEX(挂机升级突破!$DT$4:$ED$4,AO1010),"")</f>
        <v/>
      </c>
      <c r="AZ1010" s="14" t="str">
        <f>IF(AO1010&gt;0,ROUND(INDEX(挂机升级突破!$DT$6:$ED$57,卡牌消耗!AT1010,AO1010)*INDEX(卡牌消耗!$B$7:$F$7,AR1010)/$Q$4,0),"")</f>
        <v/>
      </c>
    </row>
    <row r="1011" spans="37:52" ht="16.5" x14ac:dyDescent="0.2">
      <c r="AK1011" s="104">
        <v>1007</v>
      </c>
      <c r="AL1011" s="14">
        <f t="shared" si="420"/>
        <v>20</v>
      </c>
      <c r="AM1011" s="14">
        <f>INDEX(挂机升级突破!DQ$6:DQ$57,卡牌消耗!$AT1011)</f>
        <v>11</v>
      </c>
      <c r="AN1011" s="14">
        <f>INDEX(挂机升级突破!DR$6:DR$57,卡牌消耗!$AT1011)</f>
        <v>3</v>
      </c>
      <c r="AO1011" s="14">
        <f>INDEX(挂机升级突破!DS$6:DS$57,卡牌消耗!$AT1011)</f>
        <v>0</v>
      </c>
      <c r="AP1011" s="14">
        <f>INDEX(挂机升级突破!$DP$6:$DP$57,卡牌消耗!AT1011)</f>
        <v>65</v>
      </c>
      <c r="AQ1011" s="14" t="str">
        <f t="shared" si="421"/>
        <v>高顺</v>
      </c>
      <c r="AR1011" s="14">
        <f t="shared" si="422"/>
        <v>3</v>
      </c>
      <c r="AS1011" s="14" t="str">
        <f t="shared" si="423"/>
        <v>高顺魂火-19</v>
      </c>
      <c r="AT1011" s="14">
        <f t="shared" si="424"/>
        <v>19</v>
      </c>
      <c r="AU1011" s="14" t="str">
        <f>IF(AM1011&gt;0,INDEX(挂机升级突破!$DT$4:$ED$4,AM1011),"")</f>
        <v>金币</v>
      </c>
      <c r="AV1011" s="14">
        <f>ROUND(INDEX(挂机升级突破!$DJ$6:$DJ$57,卡牌消耗!AT1011)*INDEX(卡牌消耗!$B$8:$F$8,AR1011)/$Q$4/50,0)*50</f>
        <v>4100</v>
      </c>
      <c r="AW1011" s="14" t="str">
        <f>IF(AN1011&gt;0,INDEX(挂机升级突破!$DT$4:$ED$4,AN1011),"")</f>
        <v>紫色基础材料</v>
      </c>
      <c r="AX1011" s="14">
        <f>ROUND(INDEX(挂机升级突破!$DT$6:$ED$57,卡牌消耗!AT1011,AN1011)*INDEX(卡牌消耗!$B$5:$F$5,AR1011)/$Q$4/5,0)*5</f>
        <v>45</v>
      </c>
      <c r="AY1011" s="14" t="str">
        <f>IF(AO1011&gt;0,INDEX(挂机升级突破!$DT$4:$ED$4,AO1011),"")</f>
        <v/>
      </c>
      <c r="AZ1011" s="14" t="str">
        <f>IF(AO1011&gt;0,ROUND(INDEX(挂机升级突破!$DT$6:$ED$57,卡牌消耗!AT1011,AO1011)*INDEX(卡牌消耗!$B$7:$F$7,AR1011)/$Q$4,0),"")</f>
        <v/>
      </c>
    </row>
    <row r="1012" spans="37:52" ht="16.5" x14ac:dyDescent="0.2">
      <c r="AK1012" s="104">
        <v>1008</v>
      </c>
      <c r="AL1012" s="14">
        <f t="shared" si="420"/>
        <v>20</v>
      </c>
      <c r="AM1012" s="14">
        <f>INDEX(挂机升级突破!DQ$6:DQ$57,卡牌消耗!$AT1012)</f>
        <v>11</v>
      </c>
      <c r="AN1012" s="14">
        <f>INDEX(挂机升级突破!DR$6:DR$57,卡牌消耗!$AT1012)</f>
        <v>3</v>
      </c>
      <c r="AO1012" s="14">
        <f>INDEX(挂机升级突破!DS$6:DS$57,卡牌消耗!$AT1012)</f>
        <v>0</v>
      </c>
      <c r="AP1012" s="14">
        <f>INDEX(挂机升级突破!$DP$6:$DP$57,卡牌消耗!AT1012)</f>
        <v>68</v>
      </c>
      <c r="AQ1012" s="14" t="str">
        <f t="shared" si="421"/>
        <v>高顺</v>
      </c>
      <c r="AR1012" s="14">
        <f t="shared" si="422"/>
        <v>3</v>
      </c>
      <c r="AS1012" s="14" t="str">
        <f t="shared" si="423"/>
        <v>高顺魂火-20</v>
      </c>
      <c r="AT1012" s="14">
        <f t="shared" si="424"/>
        <v>20</v>
      </c>
      <c r="AU1012" s="14" t="str">
        <f>IF(AM1012&gt;0,INDEX(挂机升级突破!$DT$4:$ED$4,AM1012),"")</f>
        <v>金币</v>
      </c>
      <c r="AV1012" s="14">
        <f>ROUND(INDEX(挂机升级突破!$DJ$6:$DJ$57,卡牌消耗!AT1012)*INDEX(卡牌消耗!$B$8:$F$8,AR1012)/$Q$4/50,0)*50</f>
        <v>5000</v>
      </c>
      <c r="AW1012" s="14" t="str">
        <f>IF(AN1012&gt;0,INDEX(挂机升级突破!$DT$4:$ED$4,AN1012),"")</f>
        <v>紫色基础材料</v>
      </c>
      <c r="AX1012" s="14">
        <f>ROUND(INDEX(挂机升级突破!$DT$6:$ED$57,卡牌消耗!AT1012,AN1012)*INDEX(卡牌消耗!$B$5:$F$5,AR1012)/$Q$4/5,0)*5</f>
        <v>70</v>
      </c>
      <c r="AY1012" s="14" t="str">
        <f>IF(AO1012&gt;0,INDEX(挂机升级突破!$DT$4:$ED$4,AO1012),"")</f>
        <v/>
      </c>
      <c r="AZ1012" s="14" t="str">
        <f>IF(AO1012&gt;0,ROUND(INDEX(挂机升级突破!$DT$6:$ED$57,卡牌消耗!AT1012,AO1012)*INDEX(卡牌消耗!$B$7:$F$7,AR1012)/$Q$4,0),"")</f>
        <v/>
      </c>
    </row>
    <row r="1013" spans="37:52" ht="16.5" x14ac:dyDescent="0.2">
      <c r="AK1013" s="104">
        <v>1009</v>
      </c>
      <c r="AL1013" s="14">
        <f t="shared" si="420"/>
        <v>20</v>
      </c>
      <c r="AM1013" s="14">
        <f>INDEX(挂机升级突破!DQ$6:DQ$57,卡牌消耗!$AT1013)</f>
        <v>11</v>
      </c>
      <c r="AN1013" s="14">
        <f>INDEX(挂机升级突破!DR$6:DR$57,卡牌消耗!$AT1013)</f>
        <v>3</v>
      </c>
      <c r="AO1013" s="14">
        <f>INDEX(挂机升级突破!DS$6:DS$57,卡牌消耗!$AT1013)</f>
        <v>0</v>
      </c>
      <c r="AP1013" s="14">
        <f>INDEX(挂机升级突破!$DP$6:$DP$57,卡牌消耗!AT1013)</f>
        <v>70</v>
      </c>
      <c r="AQ1013" s="14" t="str">
        <f t="shared" si="421"/>
        <v>高顺</v>
      </c>
      <c r="AR1013" s="14">
        <f t="shared" si="422"/>
        <v>3</v>
      </c>
      <c r="AS1013" s="14" t="str">
        <f t="shared" si="423"/>
        <v>高顺魂火-21</v>
      </c>
      <c r="AT1013" s="14">
        <f t="shared" si="424"/>
        <v>21</v>
      </c>
      <c r="AU1013" s="14" t="str">
        <f>IF(AM1013&gt;0,INDEX(挂机升级突破!$DT$4:$ED$4,AM1013),"")</f>
        <v>金币</v>
      </c>
      <c r="AV1013" s="14">
        <f>ROUND(INDEX(挂机升级突破!$DJ$6:$DJ$57,卡牌消耗!AT1013)*INDEX(卡牌消耗!$B$8:$F$8,AR1013)/$Q$4/50,0)*50</f>
        <v>5000</v>
      </c>
      <c r="AW1013" s="14" t="str">
        <f>IF(AN1013&gt;0,INDEX(挂机升级突破!$DT$4:$ED$4,AN1013),"")</f>
        <v>紫色基础材料</v>
      </c>
      <c r="AX1013" s="14">
        <f>ROUND(INDEX(挂机升级突破!$DT$6:$ED$57,卡牌消耗!AT1013,AN1013)*INDEX(卡牌消耗!$B$5:$F$5,AR1013)/$Q$4/5,0)*5</f>
        <v>70</v>
      </c>
      <c r="AY1013" s="14" t="str">
        <f>IF(AO1013&gt;0,INDEX(挂机升级突破!$DT$4:$ED$4,AO1013),"")</f>
        <v/>
      </c>
      <c r="AZ1013" s="14" t="str">
        <f>IF(AO1013&gt;0,ROUND(INDEX(挂机升级突破!$DT$6:$ED$57,卡牌消耗!AT1013,AO1013)*INDEX(卡牌消耗!$B$7:$F$7,AR1013)/$Q$4,0),"")</f>
        <v/>
      </c>
    </row>
    <row r="1014" spans="37:52" ht="16.5" x14ac:dyDescent="0.2">
      <c r="AK1014" s="104">
        <v>1010</v>
      </c>
      <c r="AL1014" s="14">
        <f t="shared" si="420"/>
        <v>20</v>
      </c>
      <c r="AM1014" s="14">
        <f>INDEX(挂机升级突破!DQ$6:DQ$57,卡牌消耗!$AT1014)</f>
        <v>11</v>
      </c>
      <c r="AN1014" s="14">
        <f>INDEX(挂机升级突破!DR$6:DR$57,卡牌消耗!$AT1014)</f>
        <v>3</v>
      </c>
      <c r="AO1014" s="14">
        <f>INDEX(挂机升级突破!DS$6:DS$57,卡牌消耗!$AT1014)</f>
        <v>0</v>
      </c>
      <c r="AP1014" s="14">
        <f>INDEX(挂机升级突破!$DP$6:$DP$57,卡牌消耗!AT1014)</f>
        <v>73</v>
      </c>
      <c r="AQ1014" s="14" t="str">
        <f t="shared" si="421"/>
        <v>高顺</v>
      </c>
      <c r="AR1014" s="14">
        <f t="shared" si="422"/>
        <v>3</v>
      </c>
      <c r="AS1014" s="14" t="str">
        <f t="shared" si="423"/>
        <v>高顺魂火-22</v>
      </c>
      <c r="AT1014" s="14">
        <f t="shared" si="424"/>
        <v>22</v>
      </c>
      <c r="AU1014" s="14" t="str">
        <f>IF(AM1014&gt;0,INDEX(挂机升级突破!$DT$4:$ED$4,AM1014),"")</f>
        <v>金币</v>
      </c>
      <c r="AV1014" s="14">
        <f>ROUND(INDEX(挂机升级突破!$DJ$6:$DJ$57,卡牌消耗!AT1014)*INDEX(卡牌消耗!$B$8:$F$8,AR1014)/$Q$4/50,0)*50</f>
        <v>5000</v>
      </c>
      <c r="AW1014" s="14" t="str">
        <f>IF(AN1014&gt;0,INDEX(挂机升级突破!$DT$4:$ED$4,AN1014),"")</f>
        <v>紫色基础材料</v>
      </c>
      <c r="AX1014" s="14">
        <f>ROUND(INDEX(挂机升级突破!$DT$6:$ED$57,卡牌消耗!AT1014,AN1014)*INDEX(卡牌消耗!$B$5:$F$5,AR1014)/$Q$4/5,0)*5</f>
        <v>70</v>
      </c>
      <c r="AY1014" s="14" t="str">
        <f>IF(AO1014&gt;0,INDEX(挂机升级突破!$DT$4:$ED$4,AO1014),"")</f>
        <v/>
      </c>
      <c r="AZ1014" s="14" t="str">
        <f>IF(AO1014&gt;0,ROUND(INDEX(挂机升级突破!$DT$6:$ED$57,卡牌消耗!AT1014,AO1014)*INDEX(卡牌消耗!$B$7:$F$7,AR1014)/$Q$4,0),"")</f>
        <v/>
      </c>
    </row>
    <row r="1015" spans="37:52" ht="16.5" x14ac:dyDescent="0.2">
      <c r="AK1015" s="104">
        <v>1011</v>
      </c>
      <c r="AL1015" s="14">
        <f t="shared" si="420"/>
        <v>20</v>
      </c>
      <c r="AM1015" s="14">
        <f>INDEX(挂机升级突破!DQ$6:DQ$57,卡牌消耗!$AT1015)</f>
        <v>11</v>
      </c>
      <c r="AN1015" s="14">
        <f>INDEX(挂机升级突破!DR$6:DR$57,卡牌消耗!$AT1015)</f>
        <v>4</v>
      </c>
      <c r="AO1015" s="14">
        <f>INDEX(挂机升级突破!DS$6:DS$57,卡牌消耗!$AT1015)</f>
        <v>0</v>
      </c>
      <c r="AP1015" s="14">
        <f>INDEX(挂机升级突破!$DP$6:$DP$57,卡牌消耗!AT1015)</f>
        <v>75</v>
      </c>
      <c r="AQ1015" s="14" t="str">
        <f t="shared" si="421"/>
        <v>高顺</v>
      </c>
      <c r="AR1015" s="14">
        <f t="shared" si="422"/>
        <v>3</v>
      </c>
      <c r="AS1015" s="14" t="str">
        <f t="shared" si="423"/>
        <v>高顺魂火-23</v>
      </c>
      <c r="AT1015" s="14">
        <f t="shared" si="424"/>
        <v>23</v>
      </c>
      <c r="AU1015" s="14" t="str">
        <f>IF(AM1015&gt;0,INDEX(挂机升级突破!$DT$4:$ED$4,AM1015),"")</f>
        <v>金币</v>
      </c>
      <c r="AV1015" s="14">
        <f>ROUND(INDEX(挂机升级突破!$DJ$6:$DJ$57,卡牌消耗!AT1015)*INDEX(卡牌消耗!$B$8:$F$8,AR1015)/$Q$4/50,0)*50</f>
        <v>6900</v>
      </c>
      <c r="AW1015" s="14" t="str">
        <f>IF(AN1015&gt;0,INDEX(挂机升级突破!$DT$4:$ED$4,AN1015),"")</f>
        <v>橙色基础材料</v>
      </c>
      <c r="AX1015" s="14">
        <f>ROUND(INDEX(挂机升级突破!$DT$6:$ED$57,卡牌消耗!AT1015,AN1015)*INDEX(卡牌消耗!$B$5:$F$5,AR1015)/$Q$4/5,0)*5</f>
        <v>20</v>
      </c>
      <c r="AY1015" s="14" t="str">
        <f>IF(AO1015&gt;0,INDEX(挂机升级突破!$DT$4:$ED$4,AO1015),"")</f>
        <v/>
      </c>
      <c r="AZ1015" s="14" t="str">
        <f>IF(AO1015&gt;0,ROUND(INDEX(挂机升级突破!$DT$6:$ED$57,卡牌消耗!AT1015,AO1015)*INDEX(卡牌消耗!$B$7:$F$7,AR1015)/$Q$4,0),"")</f>
        <v/>
      </c>
    </row>
    <row r="1016" spans="37:52" ht="16.5" x14ac:dyDescent="0.2">
      <c r="AK1016" s="104">
        <v>1012</v>
      </c>
      <c r="AL1016" s="14">
        <f t="shared" si="420"/>
        <v>20</v>
      </c>
      <c r="AM1016" s="14">
        <f>INDEX(挂机升级突破!DQ$6:DQ$57,卡牌消耗!$AT1016)</f>
        <v>11</v>
      </c>
      <c r="AN1016" s="14">
        <f>INDEX(挂机升级突破!DR$6:DR$57,卡牌消耗!$AT1016)</f>
        <v>4</v>
      </c>
      <c r="AO1016" s="14">
        <f>INDEX(挂机升级突破!DS$6:DS$57,卡牌消耗!$AT1016)</f>
        <v>0</v>
      </c>
      <c r="AP1016" s="14">
        <f>INDEX(挂机升级突破!$DP$6:$DP$57,卡牌消耗!AT1016)</f>
        <v>78</v>
      </c>
      <c r="AQ1016" s="14" t="str">
        <f t="shared" si="421"/>
        <v>高顺</v>
      </c>
      <c r="AR1016" s="14">
        <f t="shared" si="422"/>
        <v>3</v>
      </c>
      <c r="AS1016" s="14" t="str">
        <f t="shared" si="423"/>
        <v>高顺魂火-24</v>
      </c>
      <c r="AT1016" s="14">
        <f t="shared" si="424"/>
        <v>24</v>
      </c>
      <c r="AU1016" s="14" t="str">
        <f>IF(AM1016&gt;0,INDEX(挂机升级突破!$DT$4:$ED$4,AM1016),"")</f>
        <v>金币</v>
      </c>
      <c r="AV1016" s="14">
        <f>ROUND(INDEX(挂机升级突破!$DJ$6:$DJ$57,卡牌消耗!AT1016)*INDEX(卡牌消耗!$B$8:$F$8,AR1016)/$Q$4/50,0)*50</f>
        <v>6900</v>
      </c>
      <c r="AW1016" s="14" t="str">
        <f>IF(AN1016&gt;0,INDEX(挂机升级突破!$DT$4:$ED$4,AN1016),"")</f>
        <v>橙色基础材料</v>
      </c>
      <c r="AX1016" s="14">
        <f>ROUND(INDEX(挂机升级突破!$DT$6:$ED$57,卡牌消耗!AT1016,AN1016)*INDEX(卡牌消耗!$B$5:$F$5,AR1016)/$Q$4/5,0)*5</f>
        <v>20</v>
      </c>
      <c r="AY1016" s="14" t="str">
        <f>IF(AO1016&gt;0,INDEX(挂机升级突破!$DT$4:$ED$4,AO1016),"")</f>
        <v/>
      </c>
      <c r="AZ1016" s="14" t="str">
        <f>IF(AO1016&gt;0,ROUND(INDEX(挂机升级突破!$DT$6:$ED$57,卡牌消耗!AT1016,AO1016)*INDEX(卡牌消耗!$B$7:$F$7,AR1016)/$Q$4,0),"")</f>
        <v/>
      </c>
    </row>
    <row r="1017" spans="37:52" ht="16.5" x14ac:dyDescent="0.2">
      <c r="AK1017" s="104">
        <v>1013</v>
      </c>
      <c r="AL1017" s="14">
        <f t="shared" si="420"/>
        <v>20</v>
      </c>
      <c r="AM1017" s="14">
        <f>INDEX(挂机升级突破!DQ$6:DQ$57,卡牌消耗!$AT1017)</f>
        <v>11</v>
      </c>
      <c r="AN1017" s="14">
        <f>INDEX(挂机升级突破!DR$6:DR$57,卡牌消耗!$AT1017)</f>
        <v>4</v>
      </c>
      <c r="AO1017" s="14">
        <f>INDEX(挂机升级突破!DS$6:DS$57,卡牌消耗!$AT1017)</f>
        <v>0</v>
      </c>
      <c r="AP1017" s="14">
        <f>INDEX(挂机升级突破!$DP$6:$DP$57,卡牌消耗!AT1017)</f>
        <v>80</v>
      </c>
      <c r="AQ1017" s="14" t="str">
        <f t="shared" si="421"/>
        <v>高顺</v>
      </c>
      <c r="AR1017" s="14">
        <f t="shared" si="422"/>
        <v>3</v>
      </c>
      <c r="AS1017" s="14" t="str">
        <f t="shared" si="423"/>
        <v>高顺魂火-25</v>
      </c>
      <c r="AT1017" s="14">
        <f t="shared" si="424"/>
        <v>25</v>
      </c>
      <c r="AU1017" s="14" t="str">
        <f>IF(AM1017&gt;0,INDEX(挂机升级突破!$DT$4:$ED$4,AM1017),"")</f>
        <v>金币</v>
      </c>
      <c r="AV1017" s="14">
        <f>ROUND(INDEX(挂机升级突破!$DJ$6:$DJ$57,卡牌消耗!AT1017)*INDEX(卡牌消耗!$B$8:$F$8,AR1017)/$Q$4/50,0)*50</f>
        <v>7550</v>
      </c>
      <c r="AW1017" s="14" t="str">
        <f>IF(AN1017&gt;0,INDEX(挂机升级突破!$DT$4:$ED$4,AN1017),"")</f>
        <v>橙色基础材料</v>
      </c>
      <c r="AX1017" s="14">
        <f>ROUND(INDEX(挂机升级突破!$DT$6:$ED$57,卡牌消耗!AT1017,AN1017)*INDEX(卡牌消耗!$B$5:$F$5,AR1017)/$Q$4/5,0)*5</f>
        <v>20</v>
      </c>
      <c r="AY1017" s="14" t="str">
        <f>IF(AO1017&gt;0,INDEX(挂机升级突破!$DT$4:$ED$4,AO1017),"")</f>
        <v/>
      </c>
      <c r="AZ1017" s="14" t="str">
        <f>IF(AO1017&gt;0,ROUND(INDEX(挂机升级突破!$DT$6:$ED$57,卡牌消耗!AT1017,AO1017)*INDEX(卡牌消耗!$B$7:$F$7,AR1017)/$Q$4,0),"")</f>
        <v/>
      </c>
    </row>
    <row r="1018" spans="37:52" ht="16.5" x14ac:dyDescent="0.2">
      <c r="AK1018" s="104">
        <v>1014</v>
      </c>
      <c r="AL1018" s="14">
        <f t="shared" si="420"/>
        <v>20</v>
      </c>
      <c r="AM1018" s="14">
        <f>INDEX(挂机升级突破!DQ$6:DQ$57,卡牌消耗!$AT1018)</f>
        <v>11</v>
      </c>
      <c r="AN1018" s="14">
        <f>INDEX(挂机升级突破!DR$6:DR$57,卡牌消耗!$AT1018)</f>
        <v>4</v>
      </c>
      <c r="AO1018" s="14">
        <f>INDEX(挂机升级突破!DS$6:DS$57,卡牌消耗!$AT1018)</f>
        <v>0</v>
      </c>
      <c r="AP1018" s="14">
        <f>INDEX(挂机升级突破!$DP$6:$DP$57,卡牌消耗!AT1018)</f>
        <v>83</v>
      </c>
      <c r="AQ1018" s="14" t="str">
        <f t="shared" si="421"/>
        <v>高顺</v>
      </c>
      <c r="AR1018" s="14">
        <f t="shared" si="422"/>
        <v>3</v>
      </c>
      <c r="AS1018" s="14" t="str">
        <f t="shared" si="423"/>
        <v>高顺魂火-26</v>
      </c>
      <c r="AT1018" s="14">
        <f t="shared" si="424"/>
        <v>26</v>
      </c>
      <c r="AU1018" s="14" t="str">
        <f>IF(AM1018&gt;0,INDEX(挂机升级突破!$DT$4:$ED$4,AM1018),"")</f>
        <v>金币</v>
      </c>
      <c r="AV1018" s="14">
        <f>ROUND(INDEX(挂机升级突破!$DJ$6:$DJ$57,卡牌消耗!AT1018)*INDEX(卡牌消耗!$B$8:$F$8,AR1018)/$Q$4/50,0)*50</f>
        <v>8800</v>
      </c>
      <c r="AW1018" s="14" t="str">
        <f>IF(AN1018&gt;0,INDEX(挂机升级突破!$DT$4:$ED$4,AN1018),"")</f>
        <v>橙色基础材料</v>
      </c>
      <c r="AX1018" s="14">
        <f>ROUND(INDEX(挂机升级突破!$DT$6:$ED$57,卡牌消耗!AT1018,AN1018)*INDEX(卡牌消耗!$B$5:$F$5,AR1018)/$Q$4/5,0)*5</f>
        <v>25</v>
      </c>
      <c r="AY1018" s="14" t="str">
        <f>IF(AO1018&gt;0,INDEX(挂机升级突破!$DT$4:$ED$4,AO1018),"")</f>
        <v/>
      </c>
      <c r="AZ1018" s="14" t="str">
        <f>IF(AO1018&gt;0,ROUND(INDEX(挂机升级突破!$DT$6:$ED$57,卡牌消耗!AT1018,AO1018)*INDEX(卡牌消耗!$B$7:$F$7,AR1018)/$Q$4,0),"")</f>
        <v/>
      </c>
    </row>
    <row r="1019" spans="37:52" ht="16.5" x14ac:dyDescent="0.2">
      <c r="AK1019" s="104">
        <v>1015</v>
      </c>
      <c r="AL1019" s="14">
        <f t="shared" si="420"/>
        <v>20</v>
      </c>
      <c r="AM1019" s="14">
        <f>INDEX(挂机升级突破!DQ$6:DQ$57,卡牌消耗!$AT1019)</f>
        <v>11</v>
      </c>
      <c r="AN1019" s="14">
        <f>INDEX(挂机升级突破!DR$6:DR$57,卡牌消耗!$AT1019)</f>
        <v>4</v>
      </c>
      <c r="AO1019" s="14">
        <f>INDEX(挂机升级突破!DS$6:DS$57,卡牌消耗!$AT1019)</f>
        <v>0</v>
      </c>
      <c r="AP1019" s="14">
        <f>INDEX(挂机升级突破!$DP$6:$DP$57,卡牌消耗!AT1019)</f>
        <v>85</v>
      </c>
      <c r="AQ1019" s="14" t="str">
        <f t="shared" si="421"/>
        <v>高顺</v>
      </c>
      <c r="AR1019" s="14">
        <f t="shared" si="422"/>
        <v>3</v>
      </c>
      <c r="AS1019" s="14" t="str">
        <f t="shared" si="423"/>
        <v>高顺魂火-27</v>
      </c>
      <c r="AT1019" s="14">
        <f t="shared" si="424"/>
        <v>27</v>
      </c>
      <c r="AU1019" s="14" t="str">
        <f>IF(AM1019&gt;0,INDEX(挂机升级突破!$DT$4:$ED$4,AM1019),"")</f>
        <v>金币</v>
      </c>
      <c r="AV1019" s="14">
        <f>ROUND(INDEX(挂机升级突破!$DJ$6:$DJ$57,卡牌消耗!AT1019)*INDEX(卡牌消耗!$B$8:$F$8,AR1019)/$Q$4/50,0)*50</f>
        <v>8800</v>
      </c>
      <c r="AW1019" s="14" t="str">
        <f>IF(AN1019&gt;0,INDEX(挂机升级突破!$DT$4:$ED$4,AN1019),"")</f>
        <v>橙色基础材料</v>
      </c>
      <c r="AX1019" s="14">
        <f>ROUND(INDEX(挂机升级突破!$DT$6:$ED$57,卡牌消耗!AT1019,AN1019)*INDEX(卡牌消耗!$B$5:$F$5,AR1019)/$Q$4/5,0)*5</f>
        <v>25</v>
      </c>
      <c r="AY1019" s="14" t="str">
        <f>IF(AO1019&gt;0,INDEX(挂机升级突破!$DT$4:$ED$4,AO1019),"")</f>
        <v/>
      </c>
      <c r="AZ1019" s="14" t="str">
        <f>IF(AO1019&gt;0,ROUND(INDEX(挂机升级突破!$DT$6:$ED$57,卡牌消耗!AT1019,AO1019)*INDEX(卡牌消耗!$B$7:$F$7,AR1019)/$Q$4,0),"")</f>
        <v/>
      </c>
    </row>
    <row r="1020" spans="37:52" ht="16.5" x14ac:dyDescent="0.2">
      <c r="AK1020" s="104">
        <v>1016</v>
      </c>
      <c r="AL1020" s="14">
        <f t="shared" si="420"/>
        <v>20</v>
      </c>
      <c r="AM1020" s="14">
        <f>INDEX(挂机升级突破!DQ$6:DQ$57,卡牌消耗!$AT1020)</f>
        <v>11</v>
      </c>
      <c r="AN1020" s="14">
        <f>INDEX(挂机升级突破!DR$6:DR$57,卡牌消耗!$AT1020)</f>
        <v>4</v>
      </c>
      <c r="AO1020" s="14">
        <f>INDEX(挂机升级突破!DS$6:DS$57,卡牌消耗!$AT1020)</f>
        <v>0</v>
      </c>
      <c r="AP1020" s="14">
        <f>INDEX(挂机升级突破!$DP$6:$DP$57,卡牌消耗!AT1020)</f>
        <v>88</v>
      </c>
      <c r="AQ1020" s="14" t="str">
        <f t="shared" si="421"/>
        <v>高顺</v>
      </c>
      <c r="AR1020" s="14">
        <f t="shared" si="422"/>
        <v>3</v>
      </c>
      <c r="AS1020" s="14" t="str">
        <f t="shared" si="423"/>
        <v>高顺魂火-28</v>
      </c>
      <c r="AT1020" s="14">
        <f t="shared" si="424"/>
        <v>28</v>
      </c>
      <c r="AU1020" s="14" t="str">
        <f>IF(AM1020&gt;0,INDEX(挂机升级突破!$DT$4:$ED$4,AM1020),"")</f>
        <v>金币</v>
      </c>
      <c r="AV1020" s="14">
        <f>ROUND(INDEX(挂机升级突破!$DJ$6:$DJ$57,卡牌消耗!AT1020)*INDEX(卡牌消耗!$B$8:$F$8,AR1020)/$Q$4/50,0)*50</f>
        <v>8800</v>
      </c>
      <c r="AW1020" s="14" t="str">
        <f>IF(AN1020&gt;0,INDEX(挂机升级突破!$DT$4:$ED$4,AN1020),"")</f>
        <v>橙色基础材料</v>
      </c>
      <c r="AX1020" s="14">
        <f>ROUND(INDEX(挂机升级突破!$DT$6:$ED$57,卡牌消耗!AT1020,AN1020)*INDEX(卡牌消耗!$B$5:$F$5,AR1020)/$Q$4/5,0)*5</f>
        <v>25</v>
      </c>
      <c r="AY1020" s="14" t="str">
        <f>IF(AO1020&gt;0,INDEX(挂机升级突破!$DT$4:$ED$4,AO1020),"")</f>
        <v/>
      </c>
      <c r="AZ1020" s="14" t="str">
        <f>IF(AO1020&gt;0,ROUND(INDEX(挂机升级突破!$DT$6:$ED$57,卡牌消耗!AT1020,AO1020)*INDEX(卡牌消耗!$B$7:$F$7,AR1020)/$Q$4,0),"")</f>
        <v/>
      </c>
    </row>
    <row r="1021" spans="37:52" ht="16.5" x14ac:dyDescent="0.2">
      <c r="AK1021" s="104">
        <v>1017</v>
      </c>
      <c r="AL1021" s="14">
        <f t="shared" si="420"/>
        <v>20</v>
      </c>
      <c r="AM1021" s="14">
        <f>INDEX(挂机升级突破!DQ$6:DQ$57,卡牌消耗!$AT1021)</f>
        <v>11</v>
      </c>
      <c r="AN1021" s="14">
        <f>INDEX(挂机升级突破!DR$6:DR$57,卡牌消耗!$AT1021)</f>
        <v>4</v>
      </c>
      <c r="AO1021" s="14">
        <f>INDEX(挂机升级突破!DS$6:DS$57,卡牌消耗!$AT1021)</f>
        <v>0</v>
      </c>
      <c r="AP1021" s="14">
        <f>INDEX(挂机升级突破!$DP$6:$DP$57,卡牌消耗!AT1021)</f>
        <v>90</v>
      </c>
      <c r="AQ1021" s="14" t="str">
        <f t="shared" si="421"/>
        <v>高顺</v>
      </c>
      <c r="AR1021" s="14">
        <f t="shared" si="422"/>
        <v>3</v>
      </c>
      <c r="AS1021" s="14" t="str">
        <f t="shared" si="423"/>
        <v>高顺魂火-29</v>
      </c>
      <c r="AT1021" s="14">
        <f t="shared" si="424"/>
        <v>29</v>
      </c>
      <c r="AU1021" s="14" t="str">
        <f>IF(AM1021&gt;0,INDEX(挂机升级突破!$DT$4:$ED$4,AM1021),"")</f>
        <v>金币</v>
      </c>
      <c r="AV1021" s="14">
        <f>ROUND(INDEX(挂机升级突破!$DJ$6:$DJ$57,卡牌消耗!AT1021)*INDEX(卡牌消耗!$B$8:$F$8,AR1021)/$Q$4/50,0)*50</f>
        <v>8900</v>
      </c>
      <c r="AW1021" s="14" t="str">
        <f>IF(AN1021&gt;0,INDEX(挂机升级突破!$DT$4:$ED$4,AN1021),"")</f>
        <v>橙色基础材料</v>
      </c>
      <c r="AX1021" s="14">
        <f>ROUND(INDEX(挂机升级突破!$DT$6:$ED$57,卡牌消耗!AT1021,AN1021)*INDEX(卡牌消耗!$B$5:$F$5,AR1021)/$Q$4/5,0)*5</f>
        <v>25</v>
      </c>
      <c r="AY1021" s="14" t="str">
        <f>IF(AO1021&gt;0,INDEX(挂机升级突破!$DT$4:$ED$4,AO1021),"")</f>
        <v/>
      </c>
      <c r="AZ1021" s="14" t="str">
        <f>IF(AO1021&gt;0,ROUND(INDEX(挂机升级突破!$DT$6:$ED$57,卡牌消耗!AT1021,AO1021)*INDEX(卡牌消耗!$B$7:$F$7,AR1021)/$Q$4,0),"")</f>
        <v/>
      </c>
    </row>
    <row r="1022" spans="37:52" ht="16.5" x14ac:dyDescent="0.2">
      <c r="AK1022" s="104">
        <v>1018</v>
      </c>
      <c r="AL1022" s="14">
        <f t="shared" si="420"/>
        <v>20</v>
      </c>
      <c r="AM1022" s="14">
        <f>INDEX(挂机升级突破!DQ$6:DQ$57,卡牌消耗!$AT1022)</f>
        <v>11</v>
      </c>
      <c r="AN1022" s="14">
        <f>INDEX(挂机升级突破!DR$6:DR$57,卡牌消耗!$AT1022)</f>
        <v>4</v>
      </c>
      <c r="AO1022" s="14">
        <f>INDEX(挂机升级突破!DS$6:DS$57,卡牌消耗!$AT1022)</f>
        <v>0</v>
      </c>
      <c r="AP1022" s="14">
        <f>INDEX(挂机升级突破!$DP$6:$DP$57,卡牌消耗!AT1022)</f>
        <v>93</v>
      </c>
      <c r="AQ1022" s="14" t="str">
        <f t="shared" si="421"/>
        <v>高顺</v>
      </c>
      <c r="AR1022" s="14">
        <f t="shared" si="422"/>
        <v>3</v>
      </c>
      <c r="AS1022" s="14" t="str">
        <f t="shared" si="423"/>
        <v>高顺魂火-30</v>
      </c>
      <c r="AT1022" s="14">
        <f t="shared" si="424"/>
        <v>30</v>
      </c>
      <c r="AU1022" s="14" t="str">
        <f>IF(AM1022&gt;0,INDEX(挂机升级突破!$DT$4:$ED$4,AM1022),"")</f>
        <v>金币</v>
      </c>
      <c r="AV1022" s="14">
        <f>ROUND(INDEX(挂机升级突破!$DJ$6:$DJ$57,卡牌消耗!AT1022)*INDEX(卡牌消耗!$B$8:$F$8,AR1022)/$Q$4/50,0)*50</f>
        <v>8900</v>
      </c>
      <c r="AW1022" s="14" t="str">
        <f>IF(AN1022&gt;0,INDEX(挂机升级突破!$DT$4:$ED$4,AN1022),"")</f>
        <v>橙色基础材料</v>
      </c>
      <c r="AX1022" s="14">
        <f>ROUND(INDEX(挂机升级突破!$DT$6:$ED$57,卡牌消耗!AT1022,AN1022)*INDEX(卡牌消耗!$B$5:$F$5,AR1022)/$Q$4/5,0)*5</f>
        <v>25</v>
      </c>
      <c r="AY1022" s="14" t="str">
        <f>IF(AO1022&gt;0,INDEX(挂机升级突破!$DT$4:$ED$4,AO1022),"")</f>
        <v/>
      </c>
      <c r="AZ1022" s="14" t="str">
        <f>IF(AO1022&gt;0,ROUND(INDEX(挂机升级突破!$DT$6:$ED$57,卡牌消耗!AT1022,AO1022)*INDEX(卡牌消耗!$B$7:$F$7,AR1022)/$Q$4,0),"")</f>
        <v/>
      </c>
    </row>
    <row r="1023" spans="37:52" ht="16.5" x14ac:dyDescent="0.2">
      <c r="AK1023" s="104">
        <v>1019</v>
      </c>
      <c r="AL1023" s="14">
        <f t="shared" si="420"/>
        <v>20</v>
      </c>
      <c r="AM1023" s="14">
        <f>INDEX(挂机升级突破!DQ$6:DQ$57,卡牌消耗!$AT1023)</f>
        <v>11</v>
      </c>
      <c r="AN1023" s="14">
        <f>INDEX(挂机升级突破!DR$6:DR$57,卡牌消耗!$AT1023)</f>
        <v>4</v>
      </c>
      <c r="AO1023" s="14">
        <f>INDEX(挂机升级突破!DS$6:DS$57,卡牌消耗!$AT1023)</f>
        <v>0</v>
      </c>
      <c r="AP1023" s="14">
        <f>INDEX(挂机升级突破!$DP$6:$DP$57,卡牌消耗!AT1023)</f>
        <v>95</v>
      </c>
      <c r="AQ1023" s="14" t="str">
        <f t="shared" si="421"/>
        <v>高顺</v>
      </c>
      <c r="AR1023" s="14">
        <f t="shared" si="422"/>
        <v>3</v>
      </c>
      <c r="AS1023" s="14" t="str">
        <f t="shared" si="423"/>
        <v>高顺魂火-31</v>
      </c>
      <c r="AT1023" s="14">
        <f t="shared" si="424"/>
        <v>31</v>
      </c>
      <c r="AU1023" s="14" t="str">
        <f>IF(AM1023&gt;0,INDEX(挂机升级突破!$DT$4:$ED$4,AM1023),"")</f>
        <v>金币</v>
      </c>
      <c r="AV1023" s="14">
        <f>ROUND(INDEX(挂机升级突破!$DJ$6:$DJ$57,卡牌消耗!AT1023)*INDEX(卡牌消耗!$B$8:$F$8,AR1023)/$Q$4/50,0)*50</f>
        <v>8900</v>
      </c>
      <c r="AW1023" s="14" t="str">
        <f>IF(AN1023&gt;0,INDEX(挂机升级突破!$DT$4:$ED$4,AN1023),"")</f>
        <v>橙色基础材料</v>
      </c>
      <c r="AX1023" s="14">
        <f>ROUND(INDEX(挂机升级突破!$DT$6:$ED$57,卡牌消耗!AT1023,AN1023)*INDEX(卡牌消耗!$B$5:$F$5,AR1023)/$Q$4/5,0)*5</f>
        <v>25</v>
      </c>
      <c r="AY1023" s="14" t="str">
        <f>IF(AO1023&gt;0,INDEX(挂机升级突破!$DT$4:$ED$4,AO1023),"")</f>
        <v/>
      </c>
      <c r="AZ1023" s="14" t="str">
        <f>IF(AO1023&gt;0,ROUND(INDEX(挂机升级突破!$DT$6:$ED$57,卡牌消耗!AT1023,AO1023)*INDEX(卡牌消耗!$B$7:$F$7,AR1023)/$Q$4,0),"")</f>
        <v/>
      </c>
    </row>
    <row r="1024" spans="37:52" ht="16.5" x14ac:dyDescent="0.2">
      <c r="AK1024" s="104">
        <v>1020</v>
      </c>
      <c r="AL1024" s="14">
        <f t="shared" si="420"/>
        <v>20</v>
      </c>
      <c r="AM1024" s="14">
        <f>INDEX(挂机升级突破!DQ$6:DQ$57,卡牌消耗!$AT1024)</f>
        <v>11</v>
      </c>
      <c r="AN1024" s="14">
        <f>INDEX(挂机升级突破!DR$6:DR$57,卡牌消耗!$AT1024)</f>
        <v>4</v>
      </c>
      <c r="AO1024" s="14">
        <f>INDEX(挂机升级突破!DS$6:DS$57,卡牌消耗!$AT1024)</f>
        <v>0</v>
      </c>
      <c r="AP1024" s="14">
        <f>INDEX(挂机升级突破!$DP$6:$DP$57,卡牌消耗!AT1024)</f>
        <v>98</v>
      </c>
      <c r="AQ1024" s="14" t="str">
        <f t="shared" si="421"/>
        <v>高顺</v>
      </c>
      <c r="AR1024" s="14">
        <f t="shared" si="422"/>
        <v>3</v>
      </c>
      <c r="AS1024" s="14" t="str">
        <f t="shared" si="423"/>
        <v>高顺魂火-32</v>
      </c>
      <c r="AT1024" s="14">
        <f t="shared" si="424"/>
        <v>32</v>
      </c>
      <c r="AU1024" s="14" t="str">
        <f>IF(AM1024&gt;0,INDEX(挂机升级突破!$DT$4:$ED$4,AM1024),"")</f>
        <v>金币</v>
      </c>
      <c r="AV1024" s="14">
        <f>ROUND(INDEX(挂机升级突破!$DJ$6:$DJ$57,卡牌消耗!AT1024)*INDEX(卡牌消耗!$B$8:$F$8,AR1024)/$Q$4/50,0)*50</f>
        <v>12200</v>
      </c>
      <c r="AW1024" s="14" t="str">
        <f>IF(AN1024&gt;0,INDEX(挂机升级突破!$DT$4:$ED$4,AN1024),"")</f>
        <v>橙色基础材料</v>
      </c>
      <c r="AX1024" s="14">
        <f>ROUND(INDEX(挂机升级突破!$DT$6:$ED$57,卡牌消耗!AT1024,AN1024)*INDEX(卡牌消耗!$B$5:$F$5,AR1024)/$Q$4/5,0)*5</f>
        <v>25</v>
      </c>
      <c r="AY1024" s="14" t="str">
        <f>IF(AO1024&gt;0,INDEX(挂机升级突破!$DT$4:$ED$4,AO1024),"")</f>
        <v/>
      </c>
      <c r="AZ1024" s="14" t="str">
        <f>IF(AO1024&gt;0,ROUND(INDEX(挂机升级突破!$DT$6:$ED$57,卡牌消耗!AT1024,AO1024)*INDEX(卡牌消耗!$B$7:$F$7,AR1024)/$Q$4,0),"")</f>
        <v/>
      </c>
    </row>
    <row r="1025" spans="37:52" ht="16.5" x14ac:dyDescent="0.2">
      <c r="AK1025" s="104">
        <v>1021</v>
      </c>
      <c r="AL1025" s="14">
        <f t="shared" si="420"/>
        <v>20</v>
      </c>
      <c r="AM1025" s="14">
        <f>INDEX(挂机升级突破!DQ$6:DQ$57,卡牌消耗!$AT1025)</f>
        <v>11</v>
      </c>
      <c r="AN1025" s="14">
        <f>INDEX(挂机升级突破!DR$6:DR$57,卡牌消耗!$AT1025)</f>
        <v>4</v>
      </c>
      <c r="AO1025" s="14">
        <f>INDEX(挂机升级突破!DS$6:DS$57,卡牌消耗!$AT1025)</f>
        <v>0</v>
      </c>
      <c r="AP1025" s="14">
        <f>INDEX(挂机升级突破!$DP$6:$DP$57,卡牌消耗!AT1025)</f>
        <v>100</v>
      </c>
      <c r="AQ1025" s="14" t="str">
        <f t="shared" si="421"/>
        <v>高顺</v>
      </c>
      <c r="AR1025" s="14">
        <f t="shared" si="422"/>
        <v>3</v>
      </c>
      <c r="AS1025" s="14" t="str">
        <f t="shared" si="423"/>
        <v>高顺魂火-33</v>
      </c>
      <c r="AT1025" s="14">
        <f t="shared" si="424"/>
        <v>33</v>
      </c>
      <c r="AU1025" s="14" t="str">
        <f>IF(AM1025&gt;0,INDEX(挂机升级突破!$DT$4:$ED$4,AM1025),"")</f>
        <v>金币</v>
      </c>
      <c r="AV1025" s="14">
        <f>ROUND(INDEX(挂机升级突破!$DJ$6:$DJ$57,卡牌消耗!AT1025)*INDEX(卡牌消耗!$B$8:$F$8,AR1025)/$Q$4/50,0)*50</f>
        <v>12200</v>
      </c>
      <c r="AW1025" s="14" t="str">
        <f>IF(AN1025&gt;0,INDEX(挂机升级突破!$DT$4:$ED$4,AN1025),"")</f>
        <v>橙色基础材料</v>
      </c>
      <c r="AX1025" s="14">
        <f>ROUND(INDEX(挂机升级突破!$DT$6:$ED$57,卡牌消耗!AT1025,AN1025)*INDEX(卡牌消耗!$B$5:$F$5,AR1025)/$Q$4/5,0)*5</f>
        <v>25</v>
      </c>
      <c r="AY1025" s="14" t="str">
        <f>IF(AO1025&gt;0,INDEX(挂机升级突破!$DT$4:$ED$4,AO1025),"")</f>
        <v/>
      </c>
      <c r="AZ1025" s="14" t="str">
        <f>IF(AO1025&gt;0,ROUND(INDEX(挂机升级突破!$DT$6:$ED$57,卡牌消耗!AT1025,AO1025)*INDEX(卡牌消耗!$B$7:$F$7,AR1025)/$Q$4,0),"")</f>
        <v/>
      </c>
    </row>
    <row r="1026" spans="37:52" ht="16.5" x14ac:dyDescent="0.2">
      <c r="AK1026" s="104">
        <v>1022</v>
      </c>
      <c r="AL1026" s="14">
        <f t="shared" si="420"/>
        <v>20</v>
      </c>
      <c r="AM1026" s="14">
        <f>INDEX(挂机升级突破!DQ$6:DQ$57,卡牌消耗!$AT1026)</f>
        <v>11</v>
      </c>
      <c r="AN1026" s="14">
        <f>INDEX(挂机升级突破!DR$6:DR$57,卡牌消耗!$AT1026)</f>
        <v>4</v>
      </c>
      <c r="AO1026" s="14">
        <f>INDEX(挂机升级突破!DS$6:DS$57,卡牌消耗!$AT1026)</f>
        <v>0</v>
      </c>
      <c r="AP1026" s="14">
        <f>INDEX(挂机升级突破!$DP$6:$DP$57,卡牌消耗!AT1026)</f>
        <v>103</v>
      </c>
      <c r="AQ1026" s="14" t="str">
        <f t="shared" si="421"/>
        <v>高顺</v>
      </c>
      <c r="AR1026" s="14">
        <f t="shared" si="422"/>
        <v>3</v>
      </c>
      <c r="AS1026" s="14" t="str">
        <f t="shared" si="423"/>
        <v>高顺魂火-34</v>
      </c>
      <c r="AT1026" s="14">
        <f t="shared" si="424"/>
        <v>34</v>
      </c>
      <c r="AU1026" s="14" t="str">
        <f>IF(AM1026&gt;0,INDEX(挂机升级突破!$DT$4:$ED$4,AM1026),"")</f>
        <v>金币</v>
      </c>
      <c r="AV1026" s="14">
        <f>ROUND(INDEX(挂机升级突破!$DJ$6:$DJ$57,卡牌消耗!AT1026)*INDEX(卡牌消耗!$B$8:$F$8,AR1026)/$Q$4/50,0)*50</f>
        <v>12200</v>
      </c>
      <c r="AW1026" s="14" t="str">
        <f>IF(AN1026&gt;0,INDEX(挂机升级突破!$DT$4:$ED$4,AN1026),"")</f>
        <v>橙色基础材料</v>
      </c>
      <c r="AX1026" s="14">
        <f>ROUND(INDEX(挂机升级突破!$DT$6:$ED$57,卡牌消耗!AT1026,AN1026)*INDEX(卡牌消耗!$B$5:$F$5,AR1026)/$Q$4/5,0)*5</f>
        <v>30</v>
      </c>
      <c r="AY1026" s="14" t="str">
        <f>IF(AO1026&gt;0,INDEX(挂机升级突破!$DT$4:$ED$4,AO1026),"")</f>
        <v/>
      </c>
      <c r="AZ1026" s="14" t="str">
        <f>IF(AO1026&gt;0,ROUND(INDEX(挂机升级突破!$DT$6:$ED$57,卡牌消耗!AT1026,AO1026)*INDEX(卡牌消耗!$B$7:$F$7,AR1026)/$Q$4,0),"")</f>
        <v/>
      </c>
    </row>
    <row r="1027" spans="37:52" ht="16.5" x14ac:dyDescent="0.2">
      <c r="AK1027" s="104">
        <v>1023</v>
      </c>
      <c r="AL1027" s="14">
        <f t="shared" si="420"/>
        <v>20</v>
      </c>
      <c r="AM1027" s="14">
        <f>INDEX(挂机升级突破!DQ$6:DQ$57,卡牌消耗!$AT1027)</f>
        <v>11</v>
      </c>
      <c r="AN1027" s="14">
        <f>INDEX(挂机升级突破!DR$6:DR$57,卡牌消耗!$AT1027)</f>
        <v>4</v>
      </c>
      <c r="AO1027" s="14">
        <f>INDEX(挂机升级突破!DS$6:DS$57,卡牌消耗!$AT1027)</f>
        <v>0</v>
      </c>
      <c r="AP1027" s="14">
        <f>INDEX(挂机升级突破!$DP$6:$DP$57,卡牌消耗!AT1027)</f>
        <v>105</v>
      </c>
      <c r="AQ1027" s="14" t="str">
        <f t="shared" si="421"/>
        <v>高顺</v>
      </c>
      <c r="AR1027" s="14">
        <f t="shared" si="422"/>
        <v>3</v>
      </c>
      <c r="AS1027" s="14" t="str">
        <f t="shared" si="423"/>
        <v>高顺魂火-35</v>
      </c>
      <c r="AT1027" s="14">
        <f t="shared" si="424"/>
        <v>35</v>
      </c>
      <c r="AU1027" s="14" t="str">
        <f>IF(AM1027&gt;0,INDEX(挂机升级突破!$DT$4:$ED$4,AM1027),"")</f>
        <v>金币</v>
      </c>
      <c r="AV1027" s="14">
        <f>ROUND(INDEX(挂机升级突破!$DJ$6:$DJ$57,卡牌消耗!AT1027)*INDEX(卡牌消耗!$B$8:$F$8,AR1027)/$Q$4/50,0)*50</f>
        <v>15550</v>
      </c>
      <c r="AW1027" s="14" t="str">
        <f>IF(AN1027&gt;0,INDEX(挂机升级突破!$DT$4:$ED$4,AN1027),"")</f>
        <v>橙色基础材料</v>
      </c>
      <c r="AX1027" s="14">
        <f>ROUND(INDEX(挂机升级突破!$DT$6:$ED$57,卡牌消耗!AT1027,AN1027)*INDEX(卡牌消耗!$B$5:$F$5,AR1027)/$Q$4/5,0)*5</f>
        <v>30</v>
      </c>
      <c r="AY1027" s="14" t="str">
        <f>IF(AO1027&gt;0,INDEX(挂机升级突破!$DT$4:$ED$4,AO1027),"")</f>
        <v/>
      </c>
      <c r="AZ1027" s="14" t="str">
        <f>IF(AO1027&gt;0,ROUND(INDEX(挂机升级突破!$DT$6:$ED$57,卡牌消耗!AT1027,AO1027)*INDEX(卡牌消耗!$B$7:$F$7,AR1027)/$Q$4,0),"")</f>
        <v/>
      </c>
    </row>
    <row r="1028" spans="37:52" ht="16.5" x14ac:dyDescent="0.2">
      <c r="AK1028" s="104">
        <v>1024</v>
      </c>
      <c r="AL1028" s="14">
        <f t="shared" si="420"/>
        <v>20</v>
      </c>
      <c r="AM1028" s="14">
        <f>INDEX(挂机升级突破!DQ$6:DQ$57,卡牌消耗!$AT1028)</f>
        <v>11</v>
      </c>
      <c r="AN1028" s="14">
        <f>INDEX(挂机升级突破!DR$6:DR$57,卡牌消耗!$AT1028)</f>
        <v>4</v>
      </c>
      <c r="AO1028" s="14">
        <f>INDEX(挂机升级突破!DS$6:DS$57,卡牌消耗!$AT1028)</f>
        <v>0</v>
      </c>
      <c r="AP1028" s="14">
        <f>INDEX(挂机升级突破!$DP$6:$DP$57,卡牌消耗!AT1028)</f>
        <v>108</v>
      </c>
      <c r="AQ1028" s="14" t="str">
        <f t="shared" si="421"/>
        <v>高顺</v>
      </c>
      <c r="AR1028" s="14">
        <f t="shared" si="422"/>
        <v>3</v>
      </c>
      <c r="AS1028" s="14" t="str">
        <f t="shared" si="423"/>
        <v>高顺魂火-36</v>
      </c>
      <c r="AT1028" s="14">
        <f t="shared" si="424"/>
        <v>36</v>
      </c>
      <c r="AU1028" s="14" t="str">
        <f>IF(AM1028&gt;0,INDEX(挂机升级突破!$DT$4:$ED$4,AM1028),"")</f>
        <v>金币</v>
      </c>
      <c r="AV1028" s="14">
        <f>ROUND(INDEX(挂机升级突破!$DJ$6:$DJ$57,卡牌消耗!AT1028)*INDEX(卡牌消耗!$B$8:$F$8,AR1028)/$Q$4/50,0)*50</f>
        <v>15550</v>
      </c>
      <c r="AW1028" s="14" t="str">
        <f>IF(AN1028&gt;0,INDEX(挂机升级突破!$DT$4:$ED$4,AN1028),"")</f>
        <v>橙色基础材料</v>
      </c>
      <c r="AX1028" s="14">
        <f>ROUND(INDEX(挂机升级突破!$DT$6:$ED$57,卡牌消耗!AT1028,AN1028)*INDEX(卡牌消耗!$B$5:$F$5,AR1028)/$Q$4/5,0)*5</f>
        <v>30</v>
      </c>
      <c r="AY1028" s="14" t="str">
        <f>IF(AO1028&gt;0,INDEX(挂机升级突破!$DT$4:$ED$4,AO1028),"")</f>
        <v/>
      </c>
      <c r="AZ1028" s="14" t="str">
        <f>IF(AO1028&gt;0,ROUND(INDEX(挂机升级突破!$DT$6:$ED$57,卡牌消耗!AT1028,AO1028)*INDEX(卡牌消耗!$B$7:$F$7,AR1028)/$Q$4,0),"")</f>
        <v/>
      </c>
    </row>
    <row r="1029" spans="37:52" ht="16.5" x14ac:dyDescent="0.2">
      <c r="AK1029" s="104">
        <v>1025</v>
      </c>
      <c r="AL1029" s="14">
        <f t="shared" si="420"/>
        <v>20</v>
      </c>
      <c r="AM1029" s="14">
        <f>INDEX(挂机升级突破!DQ$6:DQ$57,卡牌消耗!$AT1029)</f>
        <v>11</v>
      </c>
      <c r="AN1029" s="14">
        <f>INDEX(挂机升级突破!DR$6:DR$57,卡牌消耗!$AT1029)</f>
        <v>4</v>
      </c>
      <c r="AO1029" s="14">
        <f>INDEX(挂机升级突破!DS$6:DS$57,卡牌消耗!$AT1029)</f>
        <v>0</v>
      </c>
      <c r="AP1029" s="14">
        <f>INDEX(挂机升级突破!$DP$6:$DP$57,卡牌消耗!AT1029)</f>
        <v>110</v>
      </c>
      <c r="AQ1029" s="14" t="str">
        <f t="shared" si="421"/>
        <v>高顺</v>
      </c>
      <c r="AR1029" s="14">
        <f t="shared" si="422"/>
        <v>3</v>
      </c>
      <c r="AS1029" s="14" t="str">
        <f t="shared" si="423"/>
        <v>高顺魂火-37</v>
      </c>
      <c r="AT1029" s="14">
        <f t="shared" si="424"/>
        <v>37</v>
      </c>
      <c r="AU1029" s="14" t="str">
        <f>IF(AM1029&gt;0,INDEX(挂机升级突破!$DT$4:$ED$4,AM1029),"")</f>
        <v>金币</v>
      </c>
      <c r="AV1029" s="14">
        <f>ROUND(INDEX(挂机升级突破!$DJ$6:$DJ$57,卡牌消耗!AT1029)*INDEX(卡牌消耗!$B$8:$F$8,AR1029)/$Q$4/50,0)*50</f>
        <v>16650</v>
      </c>
      <c r="AW1029" s="14" t="str">
        <f>IF(AN1029&gt;0,INDEX(挂机升级突破!$DT$4:$ED$4,AN1029),"")</f>
        <v>橙色基础材料</v>
      </c>
      <c r="AX1029" s="14">
        <f>ROUND(INDEX(挂机升级突破!$DT$6:$ED$57,卡牌消耗!AT1029,AN1029)*INDEX(卡牌消耗!$B$5:$F$5,AR1029)/$Q$4/5,0)*5</f>
        <v>30</v>
      </c>
      <c r="AY1029" s="14" t="str">
        <f>IF(AO1029&gt;0,INDEX(挂机升级突破!$DT$4:$ED$4,AO1029),"")</f>
        <v/>
      </c>
      <c r="AZ1029" s="14" t="str">
        <f>IF(AO1029&gt;0,ROUND(INDEX(挂机升级突破!$DT$6:$ED$57,卡牌消耗!AT1029,AO1029)*INDEX(卡牌消耗!$B$7:$F$7,AR1029)/$Q$4,0),"")</f>
        <v/>
      </c>
    </row>
    <row r="1030" spans="37:52" ht="16.5" x14ac:dyDescent="0.2">
      <c r="AK1030" s="104">
        <v>1026</v>
      </c>
      <c r="AL1030" s="14">
        <f t="shared" ref="AL1030:AL1093" si="425">INT((AK1030-1)/52)+1</f>
        <v>20</v>
      </c>
      <c r="AM1030" s="14">
        <f>INDEX(挂机升级突破!DQ$6:DQ$57,卡牌消耗!$AT1030)</f>
        <v>11</v>
      </c>
      <c r="AN1030" s="14">
        <f>INDEX(挂机升级突破!DR$6:DR$57,卡牌消耗!$AT1030)</f>
        <v>5</v>
      </c>
      <c r="AO1030" s="14">
        <f>INDEX(挂机升级突破!DS$6:DS$57,卡牌消耗!$AT1030)</f>
        <v>0</v>
      </c>
      <c r="AP1030" s="14">
        <f>INDEX(挂机升级突破!$DP$6:$DP$57,卡牌消耗!AT1030)</f>
        <v>113</v>
      </c>
      <c r="AQ1030" s="14" t="str">
        <f t="shared" ref="AQ1030:AQ1093" si="426">INDEX($B$13:$B$45,AL1030)</f>
        <v>高顺</v>
      </c>
      <c r="AR1030" s="14">
        <f t="shared" ref="AR1030:AR1093" si="427">INDEX($C$13:$C$45,AL1030)</f>
        <v>3</v>
      </c>
      <c r="AS1030" s="14" t="str">
        <f t="shared" ref="AS1030:AS1093" si="428">AQ1030&amp;"魂火-"&amp;AT1030</f>
        <v>高顺魂火-38</v>
      </c>
      <c r="AT1030" s="14">
        <f t="shared" ref="AT1030:AT1093" si="429">AK1030-(AL1030-1)*52</f>
        <v>38</v>
      </c>
      <c r="AU1030" s="14" t="str">
        <f>IF(AM1030&gt;0,INDEX(挂机升级突破!$DT$4:$ED$4,AM1030),"")</f>
        <v>金币</v>
      </c>
      <c r="AV1030" s="14">
        <f>ROUND(INDEX(挂机升级突破!$DJ$6:$DJ$57,卡牌消耗!AT1030)*INDEX(卡牌消耗!$B$8:$F$8,AR1030)/$Q$4/50,0)*50</f>
        <v>21500</v>
      </c>
      <c r="AW1030" s="14" t="str">
        <f>IF(AN1030&gt;0,INDEX(挂机升级突破!$DT$4:$ED$4,AN1030),"")</f>
        <v>红色基础材料</v>
      </c>
      <c r="AX1030" s="14">
        <f>ROUND(INDEX(挂机升级突破!$DT$6:$ED$57,卡牌消耗!AT1030,AN1030)*INDEX(卡牌消耗!$B$5:$F$5,AR1030)/$Q$4/5,0)*5</f>
        <v>10</v>
      </c>
      <c r="AY1030" s="14" t="str">
        <f>IF(AO1030&gt;0,INDEX(挂机升级突破!$DT$4:$ED$4,AO1030),"")</f>
        <v/>
      </c>
      <c r="AZ1030" s="14" t="str">
        <f>IF(AO1030&gt;0,ROUND(INDEX(挂机升级突破!$DT$6:$ED$57,卡牌消耗!AT1030,AO1030)*INDEX(卡牌消耗!$B$7:$F$7,AR1030)/$Q$4,0),"")</f>
        <v/>
      </c>
    </row>
    <row r="1031" spans="37:52" ht="16.5" x14ac:dyDescent="0.2">
      <c r="AK1031" s="104">
        <v>1027</v>
      </c>
      <c r="AL1031" s="14">
        <f t="shared" si="425"/>
        <v>20</v>
      </c>
      <c r="AM1031" s="14">
        <f>INDEX(挂机升级突破!DQ$6:DQ$57,卡牌消耗!$AT1031)</f>
        <v>11</v>
      </c>
      <c r="AN1031" s="14">
        <f>INDEX(挂机升级突破!DR$6:DR$57,卡牌消耗!$AT1031)</f>
        <v>5</v>
      </c>
      <c r="AO1031" s="14">
        <f>INDEX(挂机升级突破!DS$6:DS$57,卡牌消耗!$AT1031)</f>
        <v>0</v>
      </c>
      <c r="AP1031" s="14">
        <f>INDEX(挂机升级突破!$DP$6:$DP$57,卡牌消耗!AT1031)</f>
        <v>115</v>
      </c>
      <c r="AQ1031" s="14" t="str">
        <f t="shared" si="426"/>
        <v>高顺</v>
      </c>
      <c r="AR1031" s="14">
        <f t="shared" si="427"/>
        <v>3</v>
      </c>
      <c r="AS1031" s="14" t="str">
        <f t="shared" si="428"/>
        <v>高顺魂火-39</v>
      </c>
      <c r="AT1031" s="14">
        <f t="shared" si="429"/>
        <v>39</v>
      </c>
      <c r="AU1031" s="14" t="str">
        <f>IF(AM1031&gt;0,INDEX(挂机升级突破!$DT$4:$ED$4,AM1031),"")</f>
        <v>金币</v>
      </c>
      <c r="AV1031" s="14">
        <f>ROUND(INDEX(挂机升级突破!$DJ$6:$DJ$57,卡牌消耗!AT1031)*INDEX(卡牌消耗!$B$8:$F$8,AR1031)/$Q$4/50,0)*50</f>
        <v>21500</v>
      </c>
      <c r="AW1031" s="14" t="str">
        <f>IF(AN1031&gt;0,INDEX(挂机升级突破!$DT$4:$ED$4,AN1031),"")</f>
        <v>红色基础材料</v>
      </c>
      <c r="AX1031" s="14">
        <f>ROUND(INDEX(挂机升级突破!$DT$6:$ED$57,卡牌消耗!AT1031,AN1031)*INDEX(卡牌消耗!$B$5:$F$5,AR1031)/$Q$4/5,0)*5</f>
        <v>10</v>
      </c>
      <c r="AY1031" s="14" t="str">
        <f>IF(AO1031&gt;0,INDEX(挂机升级突破!$DT$4:$ED$4,AO1031),"")</f>
        <v/>
      </c>
      <c r="AZ1031" s="14" t="str">
        <f>IF(AO1031&gt;0,ROUND(INDEX(挂机升级突破!$DT$6:$ED$57,卡牌消耗!AT1031,AO1031)*INDEX(卡牌消耗!$B$7:$F$7,AR1031)/$Q$4,0),"")</f>
        <v/>
      </c>
    </row>
    <row r="1032" spans="37:52" ht="16.5" x14ac:dyDescent="0.2">
      <c r="AK1032" s="104">
        <v>1028</v>
      </c>
      <c r="AL1032" s="14">
        <f t="shared" si="425"/>
        <v>20</v>
      </c>
      <c r="AM1032" s="14">
        <f>INDEX(挂机升级突破!DQ$6:DQ$57,卡牌消耗!$AT1032)</f>
        <v>11</v>
      </c>
      <c r="AN1032" s="14">
        <f>INDEX(挂机升级突破!DR$6:DR$57,卡牌消耗!$AT1032)</f>
        <v>5</v>
      </c>
      <c r="AO1032" s="14">
        <f>INDEX(挂机升级突破!DS$6:DS$57,卡牌消耗!$AT1032)</f>
        <v>0</v>
      </c>
      <c r="AP1032" s="14">
        <f>INDEX(挂机升级突破!$DP$6:$DP$57,卡牌消耗!AT1032)</f>
        <v>118</v>
      </c>
      <c r="AQ1032" s="14" t="str">
        <f t="shared" si="426"/>
        <v>高顺</v>
      </c>
      <c r="AR1032" s="14">
        <f t="shared" si="427"/>
        <v>3</v>
      </c>
      <c r="AS1032" s="14" t="str">
        <f t="shared" si="428"/>
        <v>高顺魂火-40</v>
      </c>
      <c r="AT1032" s="14">
        <f t="shared" si="429"/>
        <v>40</v>
      </c>
      <c r="AU1032" s="14" t="str">
        <f>IF(AM1032&gt;0,INDEX(挂机升级突破!$DT$4:$ED$4,AM1032),"")</f>
        <v>金币</v>
      </c>
      <c r="AV1032" s="14">
        <f>ROUND(INDEX(挂机升级突破!$DJ$6:$DJ$57,卡牌消耗!AT1032)*INDEX(卡牌消耗!$B$8:$F$8,AR1032)/$Q$4/50,0)*50</f>
        <v>21500</v>
      </c>
      <c r="AW1032" s="14" t="str">
        <f>IF(AN1032&gt;0,INDEX(挂机升级突破!$DT$4:$ED$4,AN1032),"")</f>
        <v>红色基础材料</v>
      </c>
      <c r="AX1032" s="14">
        <f>ROUND(INDEX(挂机升级突破!$DT$6:$ED$57,卡牌消耗!AT1032,AN1032)*INDEX(卡牌消耗!$B$5:$F$5,AR1032)/$Q$4/5,0)*5</f>
        <v>10</v>
      </c>
      <c r="AY1032" s="14" t="str">
        <f>IF(AO1032&gt;0,INDEX(挂机升级突破!$DT$4:$ED$4,AO1032),"")</f>
        <v/>
      </c>
      <c r="AZ1032" s="14" t="str">
        <f>IF(AO1032&gt;0,ROUND(INDEX(挂机升级突破!$DT$6:$ED$57,卡牌消耗!AT1032,AO1032)*INDEX(卡牌消耗!$B$7:$F$7,AR1032)/$Q$4,0),"")</f>
        <v/>
      </c>
    </row>
    <row r="1033" spans="37:52" ht="16.5" x14ac:dyDescent="0.2">
      <c r="AK1033" s="104">
        <v>1029</v>
      </c>
      <c r="AL1033" s="14">
        <f t="shared" si="425"/>
        <v>20</v>
      </c>
      <c r="AM1033" s="14">
        <f>INDEX(挂机升级突破!DQ$6:DQ$57,卡牌消耗!$AT1033)</f>
        <v>11</v>
      </c>
      <c r="AN1033" s="14">
        <f>INDEX(挂机升级突破!DR$6:DR$57,卡牌消耗!$AT1033)</f>
        <v>5</v>
      </c>
      <c r="AO1033" s="14">
        <f>INDEX(挂机升级突破!DS$6:DS$57,卡牌消耗!$AT1033)</f>
        <v>10</v>
      </c>
      <c r="AP1033" s="14">
        <f>INDEX(挂机升级突破!$DP$6:$DP$57,卡牌消耗!AT1033)</f>
        <v>120</v>
      </c>
      <c r="AQ1033" s="14" t="str">
        <f t="shared" si="426"/>
        <v>高顺</v>
      </c>
      <c r="AR1033" s="14">
        <f t="shared" si="427"/>
        <v>3</v>
      </c>
      <c r="AS1033" s="14" t="str">
        <f t="shared" si="428"/>
        <v>高顺魂火-41</v>
      </c>
      <c r="AT1033" s="14">
        <f t="shared" si="429"/>
        <v>41</v>
      </c>
      <c r="AU1033" s="14" t="str">
        <f>IF(AM1033&gt;0,INDEX(挂机升级突破!$DT$4:$ED$4,AM1033),"")</f>
        <v>金币</v>
      </c>
      <c r="AV1033" s="14">
        <f>ROUND(INDEX(挂机升级突破!$DJ$6:$DJ$57,卡牌消耗!AT1033)*INDEX(卡牌消耗!$B$8:$F$8,AR1033)/$Q$4/50,0)*50</f>
        <v>29550</v>
      </c>
      <c r="AW1033" s="14" t="str">
        <f>IF(AN1033&gt;0,INDEX(挂机升级突破!$DT$4:$ED$4,AN1033),"")</f>
        <v>红色基础材料</v>
      </c>
      <c r="AX1033" s="14">
        <f>ROUND(INDEX(挂机升级突破!$DT$6:$ED$57,卡牌消耗!AT1033,AN1033)*INDEX(卡牌消耗!$B$5:$F$5,AR1033)/$Q$4/5,0)*5</f>
        <v>10</v>
      </c>
      <c r="AY1033" s="14" t="str">
        <f>IF(AO1033&gt;0,INDEX(挂机升级突破!$DT$4:$ED$4,AO1033),"")</f>
        <v>灵玉</v>
      </c>
      <c r="AZ1033" s="14">
        <f>IF(AO1033&gt;0,ROUND(INDEX(挂机升级突破!$DT$6:$ED$57,卡牌消耗!AT1033,AO1033)*INDEX(卡牌消耗!$B$7:$F$7,AR1033)/$Q$4,0),"")</f>
        <v>2</v>
      </c>
    </row>
    <row r="1034" spans="37:52" ht="16.5" x14ac:dyDescent="0.2">
      <c r="AK1034" s="104">
        <v>1030</v>
      </c>
      <c r="AL1034" s="14">
        <f t="shared" si="425"/>
        <v>20</v>
      </c>
      <c r="AM1034" s="14">
        <f>INDEX(挂机升级突破!DQ$6:DQ$57,卡牌消耗!$AT1034)</f>
        <v>11</v>
      </c>
      <c r="AN1034" s="14">
        <f>INDEX(挂机升级突破!DR$6:DR$57,卡牌消耗!$AT1034)</f>
        <v>5</v>
      </c>
      <c r="AO1034" s="14">
        <f>INDEX(挂机升级突破!DS$6:DS$57,卡牌消耗!$AT1034)</f>
        <v>10</v>
      </c>
      <c r="AP1034" s="14">
        <f>INDEX(挂机升级突破!$DP$6:$DP$57,卡牌消耗!AT1034)</f>
        <v>123</v>
      </c>
      <c r="AQ1034" s="14" t="str">
        <f t="shared" si="426"/>
        <v>高顺</v>
      </c>
      <c r="AR1034" s="14">
        <f t="shared" si="427"/>
        <v>3</v>
      </c>
      <c r="AS1034" s="14" t="str">
        <f t="shared" si="428"/>
        <v>高顺魂火-42</v>
      </c>
      <c r="AT1034" s="14">
        <f t="shared" si="429"/>
        <v>42</v>
      </c>
      <c r="AU1034" s="14" t="str">
        <f>IF(AM1034&gt;0,INDEX(挂机升级突破!$DT$4:$ED$4,AM1034),"")</f>
        <v>金币</v>
      </c>
      <c r="AV1034" s="14">
        <f>ROUND(INDEX(挂机升级突破!$DJ$6:$DJ$57,卡牌消耗!AT1034)*INDEX(卡牌消耗!$B$8:$F$8,AR1034)/$Q$4/50,0)*50</f>
        <v>29550</v>
      </c>
      <c r="AW1034" s="14" t="str">
        <f>IF(AN1034&gt;0,INDEX(挂机升级突破!$DT$4:$ED$4,AN1034),"")</f>
        <v>红色基础材料</v>
      </c>
      <c r="AX1034" s="14">
        <f>ROUND(INDEX(挂机升级突破!$DT$6:$ED$57,卡牌消耗!AT1034,AN1034)*INDEX(卡牌消耗!$B$5:$F$5,AR1034)/$Q$4/5,0)*5</f>
        <v>10</v>
      </c>
      <c r="AY1034" s="14" t="str">
        <f>IF(AO1034&gt;0,INDEX(挂机升级突破!$DT$4:$ED$4,AO1034),"")</f>
        <v>灵玉</v>
      </c>
      <c r="AZ1034" s="14">
        <f>IF(AO1034&gt;0,ROUND(INDEX(挂机升级突破!$DT$6:$ED$57,卡牌消耗!AT1034,AO1034)*INDEX(卡牌消耗!$B$7:$F$7,AR1034)/$Q$4,0),"")</f>
        <v>2</v>
      </c>
    </row>
    <row r="1035" spans="37:52" ht="16.5" x14ac:dyDescent="0.2">
      <c r="AK1035" s="104">
        <v>1031</v>
      </c>
      <c r="AL1035" s="14">
        <f t="shared" si="425"/>
        <v>20</v>
      </c>
      <c r="AM1035" s="14">
        <f>INDEX(挂机升级突破!DQ$6:DQ$57,卡牌消耗!$AT1035)</f>
        <v>11</v>
      </c>
      <c r="AN1035" s="14">
        <f>INDEX(挂机升级突破!DR$6:DR$57,卡牌消耗!$AT1035)</f>
        <v>5</v>
      </c>
      <c r="AO1035" s="14">
        <f>INDEX(挂机升级突破!DS$6:DS$57,卡牌消耗!$AT1035)</f>
        <v>10</v>
      </c>
      <c r="AP1035" s="14">
        <f>INDEX(挂机升级突破!$DP$6:$DP$57,卡牌消耗!AT1035)</f>
        <v>125</v>
      </c>
      <c r="AQ1035" s="14" t="str">
        <f t="shared" si="426"/>
        <v>高顺</v>
      </c>
      <c r="AR1035" s="14">
        <f t="shared" si="427"/>
        <v>3</v>
      </c>
      <c r="AS1035" s="14" t="str">
        <f t="shared" si="428"/>
        <v>高顺魂火-43</v>
      </c>
      <c r="AT1035" s="14">
        <f t="shared" si="429"/>
        <v>43</v>
      </c>
      <c r="AU1035" s="14" t="str">
        <f>IF(AM1035&gt;0,INDEX(挂机升级突破!$DT$4:$ED$4,AM1035),"")</f>
        <v>金币</v>
      </c>
      <c r="AV1035" s="14">
        <f>ROUND(INDEX(挂机升级突破!$DJ$6:$DJ$57,卡牌消耗!AT1035)*INDEX(卡牌消耗!$B$8:$F$8,AR1035)/$Q$4/50,0)*50</f>
        <v>29550</v>
      </c>
      <c r="AW1035" s="14" t="str">
        <f>IF(AN1035&gt;0,INDEX(挂机升级突破!$DT$4:$ED$4,AN1035),"")</f>
        <v>红色基础材料</v>
      </c>
      <c r="AX1035" s="14">
        <f>ROUND(INDEX(挂机升级突破!$DT$6:$ED$57,卡牌消耗!AT1035,AN1035)*INDEX(卡牌消耗!$B$5:$F$5,AR1035)/$Q$4/5,0)*5</f>
        <v>10</v>
      </c>
      <c r="AY1035" s="14" t="str">
        <f>IF(AO1035&gt;0,INDEX(挂机升级突破!$DT$4:$ED$4,AO1035),"")</f>
        <v>灵玉</v>
      </c>
      <c r="AZ1035" s="14">
        <f>IF(AO1035&gt;0,ROUND(INDEX(挂机升级突破!$DT$6:$ED$57,卡牌消耗!AT1035,AO1035)*INDEX(卡牌消耗!$B$7:$F$7,AR1035)/$Q$4,0),"")</f>
        <v>2</v>
      </c>
    </row>
    <row r="1036" spans="37:52" ht="16.5" x14ac:dyDescent="0.2">
      <c r="AK1036" s="104">
        <v>1032</v>
      </c>
      <c r="AL1036" s="14">
        <f t="shared" si="425"/>
        <v>20</v>
      </c>
      <c r="AM1036" s="14">
        <f>INDEX(挂机升级突破!DQ$6:DQ$57,卡牌消耗!$AT1036)</f>
        <v>11</v>
      </c>
      <c r="AN1036" s="14">
        <f>INDEX(挂机升级突破!DR$6:DR$57,卡牌消耗!$AT1036)</f>
        <v>5</v>
      </c>
      <c r="AO1036" s="14">
        <f>INDEX(挂机升级突破!DS$6:DS$57,卡牌消耗!$AT1036)</f>
        <v>10</v>
      </c>
      <c r="AP1036" s="14">
        <f>INDEX(挂机升级突破!$DP$6:$DP$57,卡牌消耗!AT1036)</f>
        <v>128</v>
      </c>
      <c r="AQ1036" s="14" t="str">
        <f t="shared" si="426"/>
        <v>高顺</v>
      </c>
      <c r="AR1036" s="14">
        <f t="shared" si="427"/>
        <v>3</v>
      </c>
      <c r="AS1036" s="14" t="str">
        <f t="shared" si="428"/>
        <v>高顺魂火-44</v>
      </c>
      <c r="AT1036" s="14">
        <f t="shared" si="429"/>
        <v>44</v>
      </c>
      <c r="AU1036" s="14" t="str">
        <f>IF(AM1036&gt;0,INDEX(挂机升级突破!$DT$4:$ED$4,AM1036),"")</f>
        <v>金币</v>
      </c>
      <c r="AV1036" s="14">
        <f>ROUND(INDEX(挂机升级突破!$DJ$6:$DJ$57,卡牌消耗!AT1036)*INDEX(卡牌消耗!$B$8:$F$8,AR1036)/$Q$4/50,0)*50</f>
        <v>37600</v>
      </c>
      <c r="AW1036" s="14" t="str">
        <f>IF(AN1036&gt;0,INDEX(挂机升级突破!$DT$4:$ED$4,AN1036),"")</f>
        <v>红色基础材料</v>
      </c>
      <c r="AX1036" s="14">
        <f>ROUND(INDEX(挂机升级突破!$DT$6:$ED$57,卡牌消耗!AT1036,AN1036)*INDEX(卡牌消耗!$B$5:$F$5,AR1036)/$Q$4/5,0)*5</f>
        <v>10</v>
      </c>
      <c r="AY1036" s="14" t="str">
        <f>IF(AO1036&gt;0,INDEX(挂机升级突破!$DT$4:$ED$4,AO1036),"")</f>
        <v>灵玉</v>
      </c>
      <c r="AZ1036" s="14">
        <f>IF(AO1036&gt;0,ROUND(INDEX(挂机升级突破!$DT$6:$ED$57,卡牌消耗!AT1036,AO1036)*INDEX(卡牌消耗!$B$7:$F$7,AR1036)/$Q$4,0),"")</f>
        <v>2</v>
      </c>
    </row>
    <row r="1037" spans="37:52" ht="16.5" x14ac:dyDescent="0.2">
      <c r="AK1037" s="104">
        <v>1033</v>
      </c>
      <c r="AL1037" s="14">
        <f t="shared" si="425"/>
        <v>20</v>
      </c>
      <c r="AM1037" s="14">
        <f>INDEX(挂机升级突破!DQ$6:DQ$57,卡牌消耗!$AT1037)</f>
        <v>11</v>
      </c>
      <c r="AN1037" s="14">
        <f>INDEX(挂机升级突破!DR$6:DR$57,卡牌消耗!$AT1037)</f>
        <v>5</v>
      </c>
      <c r="AO1037" s="14">
        <f>INDEX(挂机升级突破!DS$6:DS$57,卡牌消耗!$AT1037)</f>
        <v>10</v>
      </c>
      <c r="AP1037" s="14">
        <f>INDEX(挂机升级突破!$DP$6:$DP$57,卡牌消耗!AT1037)</f>
        <v>130</v>
      </c>
      <c r="AQ1037" s="14" t="str">
        <f t="shared" si="426"/>
        <v>高顺</v>
      </c>
      <c r="AR1037" s="14">
        <f t="shared" si="427"/>
        <v>3</v>
      </c>
      <c r="AS1037" s="14" t="str">
        <f t="shared" si="428"/>
        <v>高顺魂火-45</v>
      </c>
      <c r="AT1037" s="14">
        <f t="shared" si="429"/>
        <v>45</v>
      </c>
      <c r="AU1037" s="14" t="str">
        <f>IF(AM1037&gt;0,INDEX(挂机升级突破!$DT$4:$ED$4,AM1037),"")</f>
        <v>金币</v>
      </c>
      <c r="AV1037" s="14">
        <f>ROUND(INDEX(挂机升级突破!$DJ$6:$DJ$57,卡牌消耗!AT1037)*INDEX(卡牌消耗!$B$8:$F$8,AR1037)/$Q$4/50,0)*50</f>
        <v>37600</v>
      </c>
      <c r="AW1037" s="14" t="str">
        <f>IF(AN1037&gt;0,INDEX(挂机升级突破!$DT$4:$ED$4,AN1037),"")</f>
        <v>红色基础材料</v>
      </c>
      <c r="AX1037" s="14">
        <f>ROUND(INDEX(挂机升级突破!$DT$6:$ED$57,卡牌消耗!AT1037,AN1037)*INDEX(卡牌消耗!$B$5:$F$5,AR1037)/$Q$4/5,0)*5</f>
        <v>10</v>
      </c>
      <c r="AY1037" s="14" t="str">
        <f>IF(AO1037&gt;0,INDEX(挂机升级突破!$DT$4:$ED$4,AO1037),"")</f>
        <v>灵玉</v>
      </c>
      <c r="AZ1037" s="14">
        <f>IF(AO1037&gt;0,ROUND(INDEX(挂机升级突破!$DT$6:$ED$57,卡牌消耗!AT1037,AO1037)*INDEX(卡牌消耗!$B$7:$F$7,AR1037)/$Q$4,0),"")</f>
        <v>2</v>
      </c>
    </row>
    <row r="1038" spans="37:52" ht="16.5" x14ac:dyDescent="0.2">
      <c r="AK1038" s="104">
        <v>1034</v>
      </c>
      <c r="AL1038" s="14">
        <f t="shared" si="425"/>
        <v>20</v>
      </c>
      <c r="AM1038" s="14">
        <f>INDEX(挂机升级突破!DQ$6:DQ$57,卡牌消耗!$AT1038)</f>
        <v>11</v>
      </c>
      <c r="AN1038" s="14">
        <f>INDEX(挂机升级突破!DR$6:DR$57,卡牌消耗!$AT1038)</f>
        <v>5</v>
      </c>
      <c r="AO1038" s="14">
        <f>INDEX(挂机升级突破!DS$6:DS$57,卡牌消耗!$AT1038)</f>
        <v>10</v>
      </c>
      <c r="AP1038" s="14">
        <f>INDEX(挂机升级突破!$DP$6:$DP$57,卡牌消耗!AT1038)</f>
        <v>133</v>
      </c>
      <c r="AQ1038" s="14" t="str">
        <f t="shared" si="426"/>
        <v>高顺</v>
      </c>
      <c r="AR1038" s="14">
        <f t="shared" si="427"/>
        <v>3</v>
      </c>
      <c r="AS1038" s="14" t="str">
        <f t="shared" si="428"/>
        <v>高顺魂火-46</v>
      </c>
      <c r="AT1038" s="14">
        <f t="shared" si="429"/>
        <v>46</v>
      </c>
      <c r="AU1038" s="14" t="str">
        <f>IF(AM1038&gt;0,INDEX(挂机升级突破!$DT$4:$ED$4,AM1038),"")</f>
        <v>金币</v>
      </c>
      <c r="AV1038" s="14">
        <f>ROUND(INDEX(挂机升级突破!$DJ$6:$DJ$57,卡牌消耗!AT1038)*INDEX(卡牌消耗!$B$8:$F$8,AR1038)/$Q$4/50,0)*50</f>
        <v>40300</v>
      </c>
      <c r="AW1038" s="14" t="str">
        <f>IF(AN1038&gt;0,INDEX(挂机升级突破!$DT$4:$ED$4,AN1038),"")</f>
        <v>红色基础材料</v>
      </c>
      <c r="AX1038" s="14">
        <f>ROUND(INDEX(挂机升级突破!$DT$6:$ED$57,卡牌消耗!AT1038,AN1038)*INDEX(卡牌消耗!$B$5:$F$5,AR1038)/$Q$4/5,0)*5</f>
        <v>10</v>
      </c>
      <c r="AY1038" s="14" t="str">
        <f>IF(AO1038&gt;0,INDEX(挂机升级突破!$DT$4:$ED$4,AO1038),"")</f>
        <v>灵玉</v>
      </c>
      <c r="AZ1038" s="14">
        <f>IF(AO1038&gt;0,ROUND(INDEX(挂机升级突破!$DT$6:$ED$57,卡牌消耗!AT1038,AO1038)*INDEX(卡牌消耗!$B$7:$F$7,AR1038)/$Q$4,0),"")</f>
        <v>2</v>
      </c>
    </row>
    <row r="1039" spans="37:52" ht="16.5" x14ac:dyDescent="0.2">
      <c r="AK1039" s="104">
        <v>1035</v>
      </c>
      <c r="AL1039" s="14">
        <f t="shared" si="425"/>
        <v>20</v>
      </c>
      <c r="AM1039" s="14">
        <f>INDEX(挂机升级突破!DQ$6:DQ$57,卡牌消耗!$AT1039)</f>
        <v>11</v>
      </c>
      <c r="AN1039" s="14">
        <f>INDEX(挂机升级突破!DR$6:DR$57,卡牌消耗!$AT1039)</f>
        <v>5</v>
      </c>
      <c r="AO1039" s="14">
        <f>INDEX(挂机升级突破!DS$6:DS$57,卡牌消耗!$AT1039)</f>
        <v>10</v>
      </c>
      <c r="AP1039" s="14">
        <f>INDEX(挂机升级突破!$DP$6:$DP$57,卡牌消耗!AT1039)</f>
        <v>135</v>
      </c>
      <c r="AQ1039" s="14" t="str">
        <f t="shared" si="426"/>
        <v>高顺</v>
      </c>
      <c r="AR1039" s="14">
        <f t="shared" si="427"/>
        <v>3</v>
      </c>
      <c r="AS1039" s="14" t="str">
        <f t="shared" si="428"/>
        <v>高顺魂火-47</v>
      </c>
      <c r="AT1039" s="14">
        <f t="shared" si="429"/>
        <v>47</v>
      </c>
      <c r="AU1039" s="14" t="str">
        <f>IF(AM1039&gt;0,INDEX(挂机升级突破!$DT$4:$ED$4,AM1039),"")</f>
        <v>金币</v>
      </c>
      <c r="AV1039" s="14">
        <f>ROUND(INDEX(挂机升级突破!$DJ$6:$DJ$57,卡牌消耗!AT1039)*INDEX(卡牌消耗!$B$8:$F$8,AR1039)/$Q$4/50,0)*50</f>
        <v>82050</v>
      </c>
      <c r="AW1039" s="14" t="str">
        <f>IF(AN1039&gt;0,INDEX(挂机升级突破!$DT$4:$ED$4,AN1039),"")</f>
        <v>红色基础材料</v>
      </c>
      <c r="AX1039" s="14">
        <f>ROUND(INDEX(挂机升级突破!$DT$6:$ED$57,卡牌消耗!AT1039,AN1039)*INDEX(卡牌消耗!$B$5:$F$5,AR1039)/$Q$4/5,0)*5</f>
        <v>10</v>
      </c>
      <c r="AY1039" s="14" t="str">
        <f>IF(AO1039&gt;0,INDEX(挂机升级突破!$DT$4:$ED$4,AO1039),"")</f>
        <v>灵玉</v>
      </c>
      <c r="AZ1039" s="14">
        <f>IF(AO1039&gt;0,ROUND(INDEX(挂机升级突破!$DT$6:$ED$57,卡牌消耗!AT1039,AO1039)*INDEX(卡牌消耗!$B$7:$F$7,AR1039)/$Q$4,0),"")</f>
        <v>2</v>
      </c>
    </row>
    <row r="1040" spans="37:52" ht="16.5" x14ac:dyDescent="0.2">
      <c r="AK1040" s="104">
        <v>1036</v>
      </c>
      <c r="AL1040" s="14">
        <f t="shared" si="425"/>
        <v>20</v>
      </c>
      <c r="AM1040" s="14">
        <f>INDEX(挂机升级突破!DQ$6:DQ$57,卡牌消耗!$AT1040)</f>
        <v>11</v>
      </c>
      <c r="AN1040" s="14">
        <f>INDEX(挂机升级突破!DR$6:DR$57,卡牌消耗!$AT1040)</f>
        <v>5</v>
      </c>
      <c r="AO1040" s="14">
        <f>INDEX(挂机升级突破!DS$6:DS$57,卡牌消耗!$AT1040)</f>
        <v>10</v>
      </c>
      <c r="AP1040" s="14">
        <f>INDEX(挂机升级突破!$DP$6:$DP$57,卡牌消耗!AT1040)</f>
        <v>138</v>
      </c>
      <c r="AQ1040" s="14" t="str">
        <f t="shared" si="426"/>
        <v>高顺</v>
      </c>
      <c r="AR1040" s="14">
        <f t="shared" si="427"/>
        <v>3</v>
      </c>
      <c r="AS1040" s="14" t="str">
        <f t="shared" si="428"/>
        <v>高顺魂火-48</v>
      </c>
      <c r="AT1040" s="14">
        <f t="shared" si="429"/>
        <v>48</v>
      </c>
      <c r="AU1040" s="14" t="str">
        <f>IF(AM1040&gt;0,INDEX(挂机升级突破!$DT$4:$ED$4,AM1040),"")</f>
        <v>金币</v>
      </c>
      <c r="AV1040" s="14">
        <f>ROUND(INDEX(挂机升级突破!$DJ$6:$DJ$57,卡牌消耗!AT1040)*INDEX(卡牌消耗!$B$8:$F$8,AR1040)/$Q$4/50,0)*50</f>
        <v>82050</v>
      </c>
      <c r="AW1040" s="14" t="str">
        <f>IF(AN1040&gt;0,INDEX(挂机升级突破!$DT$4:$ED$4,AN1040),"")</f>
        <v>红色基础材料</v>
      </c>
      <c r="AX1040" s="14">
        <f>ROUND(INDEX(挂机升级突破!$DT$6:$ED$57,卡牌消耗!AT1040,AN1040)*INDEX(卡牌消耗!$B$5:$F$5,AR1040)/$Q$4/5,0)*5</f>
        <v>10</v>
      </c>
      <c r="AY1040" s="14" t="str">
        <f>IF(AO1040&gt;0,INDEX(挂机升级突破!$DT$4:$ED$4,AO1040),"")</f>
        <v>灵玉</v>
      </c>
      <c r="AZ1040" s="14">
        <f>IF(AO1040&gt;0,ROUND(INDEX(挂机升级突破!$DT$6:$ED$57,卡牌消耗!AT1040,AO1040)*INDEX(卡牌消耗!$B$7:$F$7,AR1040)/$Q$4,0),"")</f>
        <v>2</v>
      </c>
    </row>
    <row r="1041" spans="37:52" ht="16.5" x14ac:dyDescent="0.2">
      <c r="AK1041" s="104">
        <v>1037</v>
      </c>
      <c r="AL1041" s="14">
        <f t="shared" si="425"/>
        <v>20</v>
      </c>
      <c r="AM1041" s="14">
        <f>INDEX(挂机升级突破!DQ$6:DQ$57,卡牌消耗!$AT1041)</f>
        <v>11</v>
      </c>
      <c r="AN1041" s="14">
        <f>INDEX(挂机升级突破!DR$6:DR$57,卡牌消耗!$AT1041)</f>
        <v>5</v>
      </c>
      <c r="AO1041" s="14">
        <f>INDEX(挂机升级突破!DS$6:DS$57,卡牌消耗!$AT1041)</f>
        <v>10</v>
      </c>
      <c r="AP1041" s="14">
        <f>INDEX(挂机升级突破!$DP$6:$DP$57,卡牌消耗!AT1041)</f>
        <v>140</v>
      </c>
      <c r="AQ1041" s="14" t="str">
        <f t="shared" si="426"/>
        <v>高顺</v>
      </c>
      <c r="AR1041" s="14">
        <f t="shared" si="427"/>
        <v>3</v>
      </c>
      <c r="AS1041" s="14" t="str">
        <f t="shared" si="428"/>
        <v>高顺魂火-49</v>
      </c>
      <c r="AT1041" s="14">
        <f t="shared" si="429"/>
        <v>49</v>
      </c>
      <c r="AU1041" s="14" t="str">
        <f>IF(AM1041&gt;0,INDEX(挂机升级突破!$DT$4:$ED$4,AM1041),"")</f>
        <v>金币</v>
      </c>
      <c r="AV1041" s="14">
        <f>ROUND(INDEX(挂机升级突破!$DJ$6:$DJ$57,卡牌消耗!AT1041)*INDEX(卡牌消耗!$B$8:$F$8,AR1041)/$Q$4/50,0)*50</f>
        <v>82050</v>
      </c>
      <c r="AW1041" s="14" t="str">
        <f>IF(AN1041&gt;0,INDEX(挂机升级突破!$DT$4:$ED$4,AN1041),"")</f>
        <v>红色基础材料</v>
      </c>
      <c r="AX1041" s="14">
        <f>ROUND(INDEX(挂机升级突破!$DT$6:$ED$57,卡牌消耗!AT1041,AN1041)*INDEX(卡牌消耗!$B$5:$F$5,AR1041)/$Q$4/5,0)*5</f>
        <v>15</v>
      </c>
      <c r="AY1041" s="14" t="str">
        <f>IF(AO1041&gt;0,INDEX(挂机升级突破!$DT$4:$ED$4,AO1041),"")</f>
        <v>灵玉</v>
      </c>
      <c r="AZ1041" s="14">
        <f>IF(AO1041&gt;0,ROUND(INDEX(挂机升级突破!$DT$6:$ED$57,卡牌消耗!AT1041,AO1041)*INDEX(卡牌消耗!$B$7:$F$7,AR1041)/$Q$4,0),"")</f>
        <v>2</v>
      </c>
    </row>
    <row r="1042" spans="37:52" ht="16.5" x14ac:dyDescent="0.2">
      <c r="AK1042" s="104">
        <v>1038</v>
      </c>
      <c r="AL1042" s="14">
        <f t="shared" si="425"/>
        <v>20</v>
      </c>
      <c r="AM1042" s="14">
        <f>INDEX(挂机升级突破!DQ$6:DQ$57,卡牌消耗!$AT1042)</f>
        <v>11</v>
      </c>
      <c r="AN1042" s="14">
        <f>INDEX(挂机升级突破!DR$6:DR$57,卡牌消耗!$AT1042)</f>
        <v>5</v>
      </c>
      <c r="AO1042" s="14">
        <f>INDEX(挂机升级突破!DS$6:DS$57,卡牌消耗!$AT1042)</f>
        <v>10</v>
      </c>
      <c r="AP1042" s="14">
        <f>INDEX(挂机升级突破!$DP$6:$DP$57,卡牌消耗!AT1042)</f>
        <v>143</v>
      </c>
      <c r="AQ1042" s="14" t="str">
        <f t="shared" si="426"/>
        <v>高顺</v>
      </c>
      <c r="AR1042" s="14">
        <f t="shared" si="427"/>
        <v>3</v>
      </c>
      <c r="AS1042" s="14" t="str">
        <f t="shared" si="428"/>
        <v>高顺魂火-50</v>
      </c>
      <c r="AT1042" s="14">
        <f t="shared" si="429"/>
        <v>50</v>
      </c>
      <c r="AU1042" s="14" t="str">
        <f>IF(AM1042&gt;0,INDEX(挂机升级突破!$DT$4:$ED$4,AM1042),"")</f>
        <v>金币</v>
      </c>
      <c r="AV1042" s="14">
        <f>ROUND(INDEX(挂机升级突破!$DJ$6:$DJ$57,卡牌消耗!AT1042)*INDEX(卡牌消耗!$B$8:$F$8,AR1042)/$Q$4/50,0)*50</f>
        <v>136750</v>
      </c>
      <c r="AW1042" s="14" t="str">
        <f>IF(AN1042&gt;0,INDEX(挂机升级突破!$DT$4:$ED$4,AN1042),"")</f>
        <v>红色基础材料</v>
      </c>
      <c r="AX1042" s="14">
        <f>ROUND(INDEX(挂机升级突破!$DT$6:$ED$57,卡牌消耗!AT1042,AN1042)*INDEX(卡牌消耗!$B$5:$F$5,AR1042)/$Q$4/5,0)*5</f>
        <v>15</v>
      </c>
      <c r="AY1042" s="14" t="str">
        <f>IF(AO1042&gt;0,INDEX(挂机升级突破!$DT$4:$ED$4,AO1042),"")</f>
        <v>灵玉</v>
      </c>
      <c r="AZ1042" s="14">
        <f>IF(AO1042&gt;0,ROUND(INDEX(挂机升级突破!$DT$6:$ED$57,卡牌消耗!AT1042,AO1042)*INDEX(卡牌消耗!$B$7:$F$7,AR1042)/$Q$4,0),"")</f>
        <v>2</v>
      </c>
    </row>
    <row r="1043" spans="37:52" ht="16.5" x14ac:dyDescent="0.2">
      <c r="AK1043" s="104">
        <v>1039</v>
      </c>
      <c r="AL1043" s="14">
        <f t="shared" si="425"/>
        <v>20</v>
      </c>
      <c r="AM1043" s="14">
        <f>INDEX(挂机升级突破!DQ$6:DQ$57,卡牌消耗!$AT1043)</f>
        <v>11</v>
      </c>
      <c r="AN1043" s="14">
        <f>INDEX(挂机升级突破!DR$6:DR$57,卡牌消耗!$AT1043)</f>
        <v>5</v>
      </c>
      <c r="AO1043" s="14">
        <f>INDEX(挂机升级突破!DS$6:DS$57,卡牌消耗!$AT1043)</f>
        <v>10</v>
      </c>
      <c r="AP1043" s="14">
        <f>INDEX(挂机升级突破!$DP$6:$DP$57,卡牌消耗!AT1043)</f>
        <v>145</v>
      </c>
      <c r="AQ1043" s="14" t="str">
        <f t="shared" si="426"/>
        <v>高顺</v>
      </c>
      <c r="AR1043" s="14">
        <f t="shared" si="427"/>
        <v>3</v>
      </c>
      <c r="AS1043" s="14" t="str">
        <f t="shared" si="428"/>
        <v>高顺魂火-51</v>
      </c>
      <c r="AT1043" s="14">
        <f t="shared" si="429"/>
        <v>51</v>
      </c>
      <c r="AU1043" s="14" t="str">
        <f>IF(AM1043&gt;0,INDEX(挂机升级突破!$DT$4:$ED$4,AM1043),"")</f>
        <v>金币</v>
      </c>
      <c r="AV1043" s="14">
        <f>ROUND(INDEX(挂机升级突破!$DJ$6:$DJ$57,卡牌消耗!AT1043)*INDEX(卡牌消耗!$B$8:$F$8,AR1043)/$Q$4/50,0)*50</f>
        <v>150450</v>
      </c>
      <c r="AW1043" s="14" t="str">
        <f>IF(AN1043&gt;0,INDEX(挂机升级突破!$DT$4:$ED$4,AN1043),"")</f>
        <v>红色基础材料</v>
      </c>
      <c r="AX1043" s="14">
        <f>ROUND(INDEX(挂机升级突破!$DT$6:$ED$57,卡牌消耗!AT1043,AN1043)*INDEX(卡牌消耗!$B$5:$F$5,AR1043)/$Q$4/5,0)*5</f>
        <v>15</v>
      </c>
      <c r="AY1043" s="14" t="str">
        <f>IF(AO1043&gt;0,INDEX(挂机升级突破!$DT$4:$ED$4,AO1043),"")</f>
        <v>灵玉</v>
      </c>
      <c r="AZ1043" s="14">
        <f>IF(AO1043&gt;0,ROUND(INDEX(挂机升级突破!$DT$6:$ED$57,卡牌消耗!AT1043,AO1043)*INDEX(卡牌消耗!$B$7:$F$7,AR1043)/$Q$4,0),"")</f>
        <v>2</v>
      </c>
    </row>
    <row r="1044" spans="37:52" ht="16.5" x14ac:dyDescent="0.2">
      <c r="AK1044" s="104">
        <v>1040</v>
      </c>
      <c r="AL1044" s="14">
        <f t="shared" si="425"/>
        <v>20</v>
      </c>
      <c r="AM1044" s="14">
        <f>INDEX(挂机升级突破!DQ$6:DQ$57,卡牌消耗!$AT1044)</f>
        <v>11</v>
      </c>
      <c r="AN1044" s="14">
        <f>INDEX(挂机升级突破!DR$6:DR$57,卡牌消耗!$AT1044)</f>
        <v>5</v>
      </c>
      <c r="AO1044" s="14">
        <f>INDEX(挂机升级突破!DS$6:DS$57,卡牌消耗!$AT1044)</f>
        <v>10</v>
      </c>
      <c r="AP1044" s="14">
        <f>INDEX(挂机升级突破!$DP$6:$DP$57,卡牌消耗!AT1044)</f>
        <v>148</v>
      </c>
      <c r="AQ1044" s="14" t="str">
        <f t="shared" si="426"/>
        <v>高顺</v>
      </c>
      <c r="AR1044" s="14">
        <f t="shared" si="427"/>
        <v>3</v>
      </c>
      <c r="AS1044" s="14" t="str">
        <f t="shared" si="428"/>
        <v>高顺魂火-52</v>
      </c>
      <c r="AT1044" s="14">
        <f t="shared" si="429"/>
        <v>52</v>
      </c>
      <c r="AU1044" s="14" t="str">
        <f>IF(AM1044&gt;0,INDEX(挂机升级突破!$DT$4:$ED$4,AM1044),"")</f>
        <v>金币</v>
      </c>
      <c r="AV1044" s="14">
        <f>ROUND(INDEX(挂机升级突破!$DJ$6:$DJ$57,卡牌消耗!AT1044)*INDEX(卡牌消耗!$B$8:$F$8,AR1044)/$Q$4/50,0)*50</f>
        <v>150450</v>
      </c>
      <c r="AW1044" s="14" t="str">
        <f>IF(AN1044&gt;0,INDEX(挂机升级突破!$DT$4:$ED$4,AN1044),"")</f>
        <v>红色基础材料</v>
      </c>
      <c r="AX1044" s="14">
        <f>ROUND(INDEX(挂机升级突破!$DT$6:$ED$57,卡牌消耗!AT1044,AN1044)*INDEX(卡牌消耗!$B$5:$F$5,AR1044)/$Q$4/5,0)*5</f>
        <v>15</v>
      </c>
      <c r="AY1044" s="14" t="str">
        <f>IF(AO1044&gt;0,INDEX(挂机升级突破!$DT$4:$ED$4,AO1044),"")</f>
        <v>灵玉</v>
      </c>
      <c r="AZ1044" s="14">
        <f>IF(AO1044&gt;0,ROUND(INDEX(挂机升级突破!$DT$6:$ED$57,卡牌消耗!AT1044,AO1044)*INDEX(卡牌消耗!$B$7:$F$7,AR1044)/$Q$4,0),"")</f>
        <v>2</v>
      </c>
    </row>
    <row r="1045" spans="37:52" ht="16.5" x14ac:dyDescent="0.2">
      <c r="AK1045" s="104">
        <v>1041</v>
      </c>
      <c r="AL1045" s="14">
        <f t="shared" si="425"/>
        <v>21</v>
      </c>
      <c r="AM1045" s="14">
        <f>INDEX(挂机升级突破!DQ$6:DQ$57,卡牌消耗!$AT1045)</f>
        <v>11</v>
      </c>
      <c r="AN1045" s="14">
        <f>INDEX(挂机升级突破!DR$6:DR$57,卡牌消耗!$AT1045)</f>
        <v>1</v>
      </c>
      <c r="AO1045" s="14">
        <f>INDEX(挂机升级突破!DS$6:DS$57,卡牌消耗!$AT1045)</f>
        <v>0</v>
      </c>
      <c r="AP1045" s="14">
        <f>INDEX(挂机升级突破!$DP$6:$DP$57,卡牌消耗!AT1045)</f>
        <v>3</v>
      </c>
      <c r="AQ1045" s="14" t="str">
        <f t="shared" si="426"/>
        <v>烈风螳螂</v>
      </c>
      <c r="AR1045" s="14">
        <f t="shared" si="427"/>
        <v>3</v>
      </c>
      <c r="AS1045" s="14" t="str">
        <f t="shared" si="428"/>
        <v>烈风螳螂魂火-1</v>
      </c>
      <c r="AT1045" s="14">
        <f t="shared" si="429"/>
        <v>1</v>
      </c>
      <c r="AU1045" s="14" t="str">
        <f>IF(AM1045&gt;0,INDEX(挂机升级突破!$DT$4:$ED$4,AM1045),"")</f>
        <v>金币</v>
      </c>
      <c r="AV1045" s="14">
        <f>ROUND(INDEX(挂机升级突破!$DJ$6:$DJ$57,卡牌消耗!AT1045)*INDEX(卡牌消耗!$B$8:$F$8,AR1045)/$Q$4/50,0)*50</f>
        <v>850</v>
      </c>
      <c r="AW1045" s="14" t="str">
        <f>IF(AN1045&gt;0,INDEX(挂机升级突破!$DT$4:$ED$4,AN1045),"")</f>
        <v>绿色基础材料</v>
      </c>
      <c r="AX1045" s="14">
        <f>ROUND(INDEX(挂机升级突破!$DT$6:$ED$57,卡牌消耗!AT1045,AN1045)*INDEX(卡牌消耗!$B$5:$F$5,AR1045)/$Q$4/5,0)*5</f>
        <v>25</v>
      </c>
      <c r="AY1045" s="14" t="str">
        <f>IF(AO1045&gt;0,INDEX(挂机升级突破!$DT$4:$ED$4,AO1045),"")</f>
        <v/>
      </c>
      <c r="AZ1045" s="14" t="str">
        <f>IF(AO1045&gt;0,ROUND(INDEX(挂机升级突破!$DT$6:$ED$57,卡牌消耗!AT1045,AO1045)*INDEX(卡牌消耗!$B$7:$F$7,AR1045)/$Q$4,0),"")</f>
        <v/>
      </c>
    </row>
    <row r="1046" spans="37:52" ht="16.5" x14ac:dyDescent="0.2">
      <c r="AK1046" s="104">
        <v>1042</v>
      </c>
      <c r="AL1046" s="14">
        <f t="shared" si="425"/>
        <v>21</v>
      </c>
      <c r="AM1046" s="14">
        <f>INDEX(挂机升级突破!DQ$6:DQ$57,卡牌消耗!$AT1046)</f>
        <v>11</v>
      </c>
      <c r="AN1046" s="14">
        <f>INDEX(挂机升级突破!DR$6:DR$57,卡牌消耗!$AT1046)</f>
        <v>1</v>
      </c>
      <c r="AO1046" s="14">
        <f>INDEX(挂机升级突破!DS$6:DS$57,卡牌消耗!$AT1046)</f>
        <v>0</v>
      </c>
      <c r="AP1046" s="14">
        <f>INDEX(挂机升级突破!$DP$6:$DP$57,卡牌消耗!AT1046)</f>
        <v>8</v>
      </c>
      <c r="AQ1046" s="14" t="str">
        <f t="shared" si="426"/>
        <v>烈风螳螂</v>
      </c>
      <c r="AR1046" s="14">
        <f t="shared" si="427"/>
        <v>3</v>
      </c>
      <c r="AS1046" s="14" t="str">
        <f t="shared" si="428"/>
        <v>烈风螳螂魂火-2</v>
      </c>
      <c r="AT1046" s="14">
        <f t="shared" si="429"/>
        <v>2</v>
      </c>
      <c r="AU1046" s="14" t="str">
        <f>IF(AM1046&gt;0,INDEX(挂机升级突破!$DT$4:$ED$4,AM1046),"")</f>
        <v>金币</v>
      </c>
      <c r="AV1046" s="14">
        <f>ROUND(INDEX(挂机升级突破!$DJ$6:$DJ$57,卡牌消耗!AT1046)*INDEX(卡牌消耗!$B$8:$F$8,AR1046)/$Q$4/50,0)*50</f>
        <v>1050</v>
      </c>
      <c r="AW1046" s="14" t="str">
        <f>IF(AN1046&gt;0,INDEX(挂机升级突破!$DT$4:$ED$4,AN1046),"")</f>
        <v>绿色基础材料</v>
      </c>
      <c r="AX1046" s="14">
        <f>ROUND(INDEX(挂机升级突破!$DT$6:$ED$57,卡牌消耗!AT1046,AN1046)*INDEX(卡牌消耗!$B$5:$F$5,AR1046)/$Q$4/5,0)*5</f>
        <v>85</v>
      </c>
      <c r="AY1046" s="14" t="str">
        <f>IF(AO1046&gt;0,INDEX(挂机升级突破!$DT$4:$ED$4,AO1046),"")</f>
        <v/>
      </c>
      <c r="AZ1046" s="14" t="str">
        <f>IF(AO1046&gt;0,ROUND(INDEX(挂机升级突破!$DT$6:$ED$57,卡牌消耗!AT1046,AO1046)*INDEX(卡牌消耗!$B$7:$F$7,AR1046)/$Q$4,0),"")</f>
        <v/>
      </c>
    </row>
    <row r="1047" spans="37:52" ht="16.5" x14ac:dyDescent="0.2">
      <c r="AK1047" s="104">
        <v>1043</v>
      </c>
      <c r="AL1047" s="14">
        <f t="shared" si="425"/>
        <v>21</v>
      </c>
      <c r="AM1047" s="14">
        <f>INDEX(挂机升级突破!DQ$6:DQ$57,卡牌消耗!$AT1047)</f>
        <v>11</v>
      </c>
      <c r="AN1047" s="14">
        <f>INDEX(挂机升级突破!DR$6:DR$57,卡牌消耗!$AT1047)</f>
        <v>1</v>
      </c>
      <c r="AO1047" s="14">
        <f>INDEX(挂机升级突破!DS$6:DS$57,卡牌消耗!$AT1047)</f>
        <v>0</v>
      </c>
      <c r="AP1047" s="14">
        <f>INDEX(挂机升级突破!$DP$6:$DP$57,卡牌消耗!AT1047)</f>
        <v>13</v>
      </c>
      <c r="AQ1047" s="14" t="str">
        <f t="shared" si="426"/>
        <v>烈风螳螂</v>
      </c>
      <c r="AR1047" s="14">
        <f t="shared" si="427"/>
        <v>3</v>
      </c>
      <c r="AS1047" s="14" t="str">
        <f t="shared" si="428"/>
        <v>烈风螳螂魂火-3</v>
      </c>
      <c r="AT1047" s="14">
        <f t="shared" si="429"/>
        <v>3</v>
      </c>
      <c r="AU1047" s="14" t="str">
        <f>IF(AM1047&gt;0,INDEX(挂机升级突破!$DT$4:$ED$4,AM1047),"")</f>
        <v>金币</v>
      </c>
      <c r="AV1047" s="14">
        <f>ROUND(INDEX(挂机升级突破!$DJ$6:$DJ$57,卡牌消耗!AT1047)*INDEX(卡牌消耗!$B$8:$F$8,AR1047)/$Q$4/50,0)*50</f>
        <v>1050</v>
      </c>
      <c r="AW1047" s="14" t="str">
        <f>IF(AN1047&gt;0,INDEX(挂机升级突破!$DT$4:$ED$4,AN1047),"")</f>
        <v>绿色基础材料</v>
      </c>
      <c r="AX1047" s="14">
        <f>ROUND(INDEX(挂机升级突破!$DT$6:$ED$57,卡牌消耗!AT1047,AN1047)*INDEX(卡牌消耗!$B$5:$F$5,AR1047)/$Q$4/5,0)*5</f>
        <v>100</v>
      </c>
      <c r="AY1047" s="14" t="str">
        <f>IF(AO1047&gt;0,INDEX(挂机升级突破!$DT$4:$ED$4,AO1047),"")</f>
        <v/>
      </c>
      <c r="AZ1047" s="14" t="str">
        <f>IF(AO1047&gt;0,ROUND(INDEX(挂机升级突破!$DT$6:$ED$57,卡牌消耗!AT1047,AO1047)*INDEX(卡牌消耗!$B$7:$F$7,AR1047)/$Q$4,0),"")</f>
        <v/>
      </c>
    </row>
    <row r="1048" spans="37:52" ht="16.5" x14ac:dyDescent="0.2">
      <c r="AK1048" s="104">
        <v>1044</v>
      </c>
      <c r="AL1048" s="14">
        <f t="shared" si="425"/>
        <v>21</v>
      </c>
      <c r="AM1048" s="14">
        <f>INDEX(挂机升级突破!DQ$6:DQ$57,卡牌消耗!$AT1048)</f>
        <v>11</v>
      </c>
      <c r="AN1048" s="14">
        <f>INDEX(挂机升级突破!DR$6:DR$57,卡牌消耗!$AT1048)</f>
        <v>1</v>
      </c>
      <c r="AO1048" s="14">
        <f>INDEX(挂机升级突破!DS$6:DS$57,卡牌消耗!$AT1048)</f>
        <v>0</v>
      </c>
      <c r="AP1048" s="14">
        <f>INDEX(挂机升级突破!$DP$6:$DP$57,卡牌消耗!AT1048)</f>
        <v>18</v>
      </c>
      <c r="AQ1048" s="14" t="str">
        <f t="shared" si="426"/>
        <v>烈风螳螂</v>
      </c>
      <c r="AR1048" s="14">
        <f t="shared" si="427"/>
        <v>3</v>
      </c>
      <c r="AS1048" s="14" t="str">
        <f t="shared" si="428"/>
        <v>烈风螳螂魂火-4</v>
      </c>
      <c r="AT1048" s="14">
        <f t="shared" si="429"/>
        <v>4</v>
      </c>
      <c r="AU1048" s="14" t="str">
        <f>IF(AM1048&gt;0,INDEX(挂机升级突破!$DT$4:$ED$4,AM1048),"")</f>
        <v>金币</v>
      </c>
      <c r="AV1048" s="14">
        <f>ROUND(INDEX(挂机升级突破!$DJ$6:$DJ$57,卡牌消耗!AT1048)*INDEX(卡牌消耗!$B$8:$F$8,AR1048)/$Q$4/50,0)*50</f>
        <v>1050</v>
      </c>
      <c r="AW1048" s="14" t="str">
        <f>IF(AN1048&gt;0,INDEX(挂机升级突破!$DT$4:$ED$4,AN1048),"")</f>
        <v>绿色基础材料</v>
      </c>
      <c r="AX1048" s="14">
        <f>ROUND(INDEX(挂机升级突破!$DT$6:$ED$57,卡牌消耗!AT1048,AN1048)*INDEX(卡牌消耗!$B$5:$F$5,AR1048)/$Q$4/5,0)*5</f>
        <v>145</v>
      </c>
      <c r="AY1048" s="14" t="str">
        <f>IF(AO1048&gt;0,INDEX(挂机升级突破!$DT$4:$ED$4,AO1048),"")</f>
        <v/>
      </c>
      <c r="AZ1048" s="14" t="str">
        <f>IF(AO1048&gt;0,ROUND(INDEX(挂机升级突破!$DT$6:$ED$57,卡牌消耗!AT1048,AO1048)*INDEX(卡牌消耗!$B$7:$F$7,AR1048)/$Q$4,0),"")</f>
        <v/>
      </c>
    </row>
    <row r="1049" spans="37:52" ht="16.5" x14ac:dyDescent="0.2">
      <c r="AK1049" s="104">
        <v>1045</v>
      </c>
      <c r="AL1049" s="14">
        <f t="shared" si="425"/>
        <v>21</v>
      </c>
      <c r="AM1049" s="14">
        <f>INDEX(挂机升级突破!DQ$6:DQ$57,卡牌消耗!$AT1049)</f>
        <v>11</v>
      </c>
      <c r="AN1049" s="14">
        <f>INDEX(挂机升级突破!DR$6:DR$57,卡牌消耗!$AT1049)</f>
        <v>1</v>
      </c>
      <c r="AO1049" s="14">
        <f>INDEX(挂机升级突破!DS$6:DS$57,卡牌消耗!$AT1049)</f>
        <v>0</v>
      </c>
      <c r="AP1049" s="14">
        <f>INDEX(挂机升级突破!$DP$6:$DP$57,卡牌消耗!AT1049)</f>
        <v>23</v>
      </c>
      <c r="AQ1049" s="14" t="str">
        <f t="shared" si="426"/>
        <v>烈风螳螂</v>
      </c>
      <c r="AR1049" s="14">
        <f t="shared" si="427"/>
        <v>3</v>
      </c>
      <c r="AS1049" s="14" t="str">
        <f t="shared" si="428"/>
        <v>烈风螳螂魂火-5</v>
      </c>
      <c r="AT1049" s="14">
        <f t="shared" si="429"/>
        <v>5</v>
      </c>
      <c r="AU1049" s="14" t="str">
        <f>IF(AM1049&gt;0,INDEX(挂机升级突破!$DT$4:$ED$4,AM1049),"")</f>
        <v>金币</v>
      </c>
      <c r="AV1049" s="14">
        <f>ROUND(INDEX(挂机升级突破!$DJ$6:$DJ$57,卡牌消耗!AT1049)*INDEX(卡牌消耗!$B$8:$F$8,AR1049)/$Q$4/50,0)*50</f>
        <v>1050</v>
      </c>
      <c r="AW1049" s="14" t="str">
        <f>IF(AN1049&gt;0,INDEX(挂机升级突破!$DT$4:$ED$4,AN1049),"")</f>
        <v>绿色基础材料</v>
      </c>
      <c r="AX1049" s="14">
        <f>ROUND(INDEX(挂机升级突破!$DT$6:$ED$57,卡牌消耗!AT1049,AN1049)*INDEX(卡牌消耗!$B$5:$F$5,AR1049)/$Q$4/5,0)*5</f>
        <v>155</v>
      </c>
      <c r="AY1049" s="14" t="str">
        <f>IF(AO1049&gt;0,INDEX(挂机升级突破!$DT$4:$ED$4,AO1049),"")</f>
        <v/>
      </c>
      <c r="AZ1049" s="14" t="str">
        <f>IF(AO1049&gt;0,ROUND(INDEX(挂机升级突破!$DT$6:$ED$57,卡牌消耗!AT1049,AO1049)*INDEX(卡牌消耗!$B$7:$F$7,AR1049)/$Q$4,0),"")</f>
        <v/>
      </c>
    </row>
    <row r="1050" spans="37:52" ht="16.5" x14ac:dyDescent="0.2">
      <c r="AK1050" s="104">
        <v>1046</v>
      </c>
      <c r="AL1050" s="14">
        <f t="shared" si="425"/>
        <v>21</v>
      </c>
      <c r="AM1050" s="14">
        <f>INDEX(挂机升级突破!DQ$6:DQ$57,卡牌消耗!$AT1050)</f>
        <v>11</v>
      </c>
      <c r="AN1050" s="14">
        <f>INDEX(挂机升级突破!DR$6:DR$57,卡牌消耗!$AT1050)</f>
        <v>2</v>
      </c>
      <c r="AO1050" s="14">
        <f>INDEX(挂机升级突破!DS$6:DS$57,卡牌消耗!$AT1050)</f>
        <v>0</v>
      </c>
      <c r="AP1050" s="14">
        <f>INDEX(挂机升级突破!$DP$6:$DP$57,卡牌消耗!AT1050)</f>
        <v>28</v>
      </c>
      <c r="AQ1050" s="14" t="str">
        <f t="shared" si="426"/>
        <v>烈风螳螂</v>
      </c>
      <c r="AR1050" s="14">
        <f t="shared" si="427"/>
        <v>3</v>
      </c>
      <c r="AS1050" s="14" t="str">
        <f t="shared" si="428"/>
        <v>烈风螳螂魂火-6</v>
      </c>
      <c r="AT1050" s="14">
        <f t="shared" si="429"/>
        <v>6</v>
      </c>
      <c r="AU1050" s="14" t="str">
        <f>IF(AM1050&gt;0,INDEX(挂机升级突破!$DT$4:$ED$4,AM1050),"")</f>
        <v>金币</v>
      </c>
      <c r="AV1050" s="14">
        <f>ROUND(INDEX(挂机升级突破!$DJ$6:$DJ$57,卡牌消耗!AT1050)*INDEX(卡牌消耗!$B$8:$F$8,AR1050)/$Q$4/50,0)*50</f>
        <v>1250</v>
      </c>
      <c r="AW1050" s="14" t="str">
        <f>IF(AN1050&gt;0,INDEX(挂机升级突破!$DT$4:$ED$4,AN1050),"")</f>
        <v>蓝色基础材料</v>
      </c>
      <c r="AX1050" s="14">
        <f>ROUND(INDEX(挂机升级突破!$DT$6:$ED$57,卡牌消耗!AT1050,AN1050)*INDEX(卡牌消耗!$B$5:$F$5,AR1050)/$Q$4/5,0)*5</f>
        <v>30</v>
      </c>
      <c r="AY1050" s="14" t="str">
        <f>IF(AO1050&gt;0,INDEX(挂机升级突破!$DT$4:$ED$4,AO1050),"")</f>
        <v/>
      </c>
      <c r="AZ1050" s="14" t="str">
        <f>IF(AO1050&gt;0,ROUND(INDEX(挂机升级突破!$DT$6:$ED$57,卡牌消耗!AT1050,AO1050)*INDEX(卡牌消耗!$B$7:$F$7,AR1050)/$Q$4,0),"")</f>
        <v/>
      </c>
    </row>
    <row r="1051" spans="37:52" ht="16.5" x14ac:dyDescent="0.2">
      <c r="AK1051" s="104">
        <v>1047</v>
      </c>
      <c r="AL1051" s="14">
        <f t="shared" si="425"/>
        <v>21</v>
      </c>
      <c r="AM1051" s="14">
        <f>INDEX(挂机升级突破!DQ$6:DQ$57,卡牌消耗!$AT1051)</f>
        <v>11</v>
      </c>
      <c r="AN1051" s="14">
        <f>INDEX(挂机升级突破!DR$6:DR$57,卡牌消耗!$AT1051)</f>
        <v>2</v>
      </c>
      <c r="AO1051" s="14">
        <f>INDEX(挂机升级突破!DS$6:DS$57,卡牌消耗!$AT1051)</f>
        <v>0</v>
      </c>
      <c r="AP1051" s="14">
        <f>INDEX(挂机升级突破!$DP$6:$DP$57,卡牌消耗!AT1051)</f>
        <v>33</v>
      </c>
      <c r="AQ1051" s="14" t="str">
        <f t="shared" si="426"/>
        <v>烈风螳螂</v>
      </c>
      <c r="AR1051" s="14">
        <f t="shared" si="427"/>
        <v>3</v>
      </c>
      <c r="AS1051" s="14" t="str">
        <f t="shared" si="428"/>
        <v>烈风螳螂魂火-7</v>
      </c>
      <c r="AT1051" s="14">
        <f t="shared" si="429"/>
        <v>7</v>
      </c>
      <c r="AU1051" s="14" t="str">
        <f>IF(AM1051&gt;0,INDEX(挂机升级突破!$DT$4:$ED$4,AM1051),"")</f>
        <v>金币</v>
      </c>
      <c r="AV1051" s="14">
        <f>ROUND(INDEX(挂机升级突破!$DJ$6:$DJ$57,卡牌消耗!AT1051)*INDEX(卡牌消耗!$B$8:$F$8,AR1051)/$Q$4/50,0)*50</f>
        <v>1250</v>
      </c>
      <c r="AW1051" s="14" t="str">
        <f>IF(AN1051&gt;0,INDEX(挂机升级突破!$DT$4:$ED$4,AN1051),"")</f>
        <v>蓝色基础材料</v>
      </c>
      <c r="AX1051" s="14">
        <f>ROUND(INDEX(挂机升级突破!$DT$6:$ED$57,卡牌消耗!AT1051,AN1051)*INDEX(卡牌消耗!$B$5:$F$5,AR1051)/$Q$4/5,0)*5</f>
        <v>30</v>
      </c>
      <c r="AY1051" s="14" t="str">
        <f>IF(AO1051&gt;0,INDEX(挂机升级突破!$DT$4:$ED$4,AO1051),"")</f>
        <v/>
      </c>
      <c r="AZ1051" s="14" t="str">
        <f>IF(AO1051&gt;0,ROUND(INDEX(挂机升级突破!$DT$6:$ED$57,卡牌消耗!AT1051,AO1051)*INDEX(卡牌消耗!$B$7:$F$7,AR1051)/$Q$4,0),"")</f>
        <v/>
      </c>
    </row>
    <row r="1052" spans="37:52" ht="16.5" x14ac:dyDescent="0.2">
      <c r="AK1052" s="104">
        <v>1048</v>
      </c>
      <c r="AL1052" s="14">
        <f t="shared" si="425"/>
        <v>21</v>
      </c>
      <c r="AM1052" s="14">
        <f>INDEX(挂机升级突破!DQ$6:DQ$57,卡牌消耗!$AT1052)</f>
        <v>11</v>
      </c>
      <c r="AN1052" s="14">
        <f>INDEX(挂机升级突破!DR$6:DR$57,卡牌消耗!$AT1052)</f>
        <v>2</v>
      </c>
      <c r="AO1052" s="14">
        <f>INDEX(挂机升级突破!DS$6:DS$57,卡牌消耗!$AT1052)</f>
        <v>0</v>
      </c>
      <c r="AP1052" s="14">
        <f>INDEX(挂机升级突破!$DP$6:$DP$57,卡牌消耗!AT1052)</f>
        <v>38</v>
      </c>
      <c r="AQ1052" s="14" t="str">
        <f t="shared" si="426"/>
        <v>烈风螳螂</v>
      </c>
      <c r="AR1052" s="14">
        <f t="shared" si="427"/>
        <v>3</v>
      </c>
      <c r="AS1052" s="14" t="str">
        <f t="shared" si="428"/>
        <v>烈风螳螂魂火-8</v>
      </c>
      <c r="AT1052" s="14">
        <f t="shared" si="429"/>
        <v>8</v>
      </c>
      <c r="AU1052" s="14" t="str">
        <f>IF(AM1052&gt;0,INDEX(挂机升级突破!$DT$4:$ED$4,AM1052),"")</f>
        <v>金币</v>
      </c>
      <c r="AV1052" s="14">
        <f>ROUND(INDEX(挂机升级突破!$DJ$6:$DJ$57,卡牌消耗!AT1052)*INDEX(卡牌消耗!$B$8:$F$8,AR1052)/$Q$4/50,0)*50</f>
        <v>1900</v>
      </c>
      <c r="AW1052" s="14" t="str">
        <f>IF(AN1052&gt;0,INDEX(挂机升级突破!$DT$4:$ED$4,AN1052),"")</f>
        <v>蓝色基础材料</v>
      </c>
      <c r="AX1052" s="14">
        <f>ROUND(INDEX(挂机升级突破!$DT$6:$ED$57,卡牌消耗!AT1052,AN1052)*INDEX(卡牌消耗!$B$5:$F$5,AR1052)/$Q$4/5,0)*5</f>
        <v>60</v>
      </c>
      <c r="AY1052" s="14" t="str">
        <f>IF(AO1052&gt;0,INDEX(挂机升级突破!$DT$4:$ED$4,AO1052),"")</f>
        <v/>
      </c>
      <c r="AZ1052" s="14" t="str">
        <f>IF(AO1052&gt;0,ROUND(INDEX(挂机升级突破!$DT$6:$ED$57,卡牌消耗!AT1052,AO1052)*INDEX(卡牌消耗!$B$7:$F$7,AR1052)/$Q$4,0),"")</f>
        <v/>
      </c>
    </row>
    <row r="1053" spans="37:52" ht="16.5" x14ac:dyDescent="0.2">
      <c r="AK1053" s="104">
        <v>1049</v>
      </c>
      <c r="AL1053" s="14">
        <f t="shared" si="425"/>
        <v>21</v>
      </c>
      <c r="AM1053" s="14">
        <f>INDEX(挂机升级突破!DQ$6:DQ$57,卡牌消耗!$AT1053)</f>
        <v>11</v>
      </c>
      <c r="AN1053" s="14">
        <f>INDEX(挂机升级突破!DR$6:DR$57,卡牌消耗!$AT1053)</f>
        <v>2</v>
      </c>
      <c r="AO1053" s="14">
        <f>INDEX(挂机升级突破!DS$6:DS$57,卡牌消耗!$AT1053)</f>
        <v>0</v>
      </c>
      <c r="AP1053" s="14">
        <f>INDEX(挂机升级突破!$DP$6:$DP$57,卡牌消耗!AT1053)</f>
        <v>40</v>
      </c>
      <c r="AQ1053" s="14" t="str">
        <f t="shared" si="426"/>
        <v>烈风螳螂</v>
      </c>
      <c r="AR1053" s="14">
        <f t="shared" si="427"/>
        <v>3</v>
      </c>
      <c r="AS1053" s="14" t="str">
        <f t="shared" si="428"/>
        <v>烈风螳螂魂火-9</v>
      </c>
      <c r="AT1053" s="14">
        <f t="shared" si="429"/>
        <v>9</v>
      </c>
      <c r="AU1053" s="14" t="str">
        <f>IF(AM1053&gt;0,INDEX(挂机升级突破!$DT$4:$ED$4,AM1053),"")</f>
        <v>金币</v>
      </c>
      <c r="AV1053" s="14">
        <f>ROUND(INDEX(挂机升级突破!$DJ$6:$DJ$57,卡牌消耗!AT1053)*INDEX(卡牌消耗!$B$8:$F$8,AR1053)/$Q$4/50,0)*50</f>
        <v>1900</v>
      </c>
      <c r="AW1053" s="14" t="str">
        <f>IF(AN1053&gt;0,INDEX(挂机升级突破!$DT$4:$ED$4,AN1053),"")</f>
        <v>蓝色基础材料</v>
      </c>
      <c r="AX1053" s="14">
        <f>ROUND(INDEX(挂机升级突破!$DT$6:$ED$57,卡牌消耗!AT1053,AN1053)*INDEX(卡牌消耗!$B$5:$F$5,AR1053)/$Q$4/5,0)*5</f>
        <v>60</v>
      </c>
      <c r="AY1053" s="14" t="str">
        <f>IF(AO1053&gt;0,INDEX(挂机升级突破!$DT$4:$ED$4,AO1053),"")</f>
        <v/>
      </c>
      <c r="AZ1053" s="14" t="str">
        <f>IF(AO1053&gt;0,ROUND(INDEX(挂机升级突破!$DT$6:$ED$57,卡牌消耗!AT1053,AO1053)*INDEX(卡牌消耗!$B$7:$F$7,AR1053)/$Q$4,0),"")</f>
        <v/>
      </c>
    </row>
    <row r="1054" spans="37:52" ht="16.5" x14ac:dyDescent="0.2">
      <c r="AK1054" s="104">
        <v>1050</v>
      </c>
      <c r="AL1054" s="14">
        <f t="shared" si="425"/>
        <v>21</v>
      </c>
      <c r="AM1054" s="14">
        <f>INDEX(挂机升级突破!DQ$6:DQ$57,卡牌消耗!$AT1054)</f>
        <v>11</v>
      </c>
      <c r="AN1054" s="14">
        <f>INDEX(挂机升级突破!DR$6:DR$57,卡牌消耗!$AT1054)</f>
        <v>2</v>
      </c>
      <c r="AO1054" s="14">
        <f>INDEX(挂机升级突破!DS$6:DS$57,卡牌消耗!$AT1054)</f>
        <v>0</v>
      </c>
      <c r="AP1054" s="14">
        <f>INDEX(挂机升级突破!$DP$6:$DP$57,卡牌消耗!AT1054)</f>
        <v>43</v>
      </c>
      <c r="AQ1054" s="14" t="str">
        <f t="shared" si="426"/>
        <v>烈风螳螂</v>
      </c>
      <c r="AR1054" s="14">
        <f t="shared" si="427"/>
        <v>3</v>
      </c>
      <c r="AS1054" s="14" t="str">
        <f t="shared" si="428"/>
        <v>烈风螳螂魂火-10</v>
      </c>
      <c r="AT1054" s="14">
        <f t="shared" si="429"/>
        <v>10</v>
      </c>
      <c r="AU1054" s="14" t="str">
        <f>IF(AM1054&gt;0,INDEX(挂机升级突破!$DT$4:$ED$4,AM1054),"")</f>
        <v>金币</v>
      </c>
      <c r="AV1054" s="14">
        <f>ROUND(INDEX(挂机升级突破!$DJ$6:$DJ$57,卡牌消耗!AT1054)*INDEX(卡牌消耗!$B$8:$F$8,AR1054)/$Q$4/50,0)*50</f>
        <v>3200</v>
      </c>
      <c r="AW1054" s="14" t="str">
        <f>IF(AN1054&gt;0,INDEX(挂机升级突破!$DT$4:$ED$4,AN1054),"")</f>
        <v>蓝色基础材料</v>
      </c>
      <c r="AX1054" s="14">
        <f>ROUND(INDEX(挂机升级突破!$DT$6:$ED$57,卡牌消耗!AT1054,AN1054)*INDEX(卡牌消耗!$B$5:$F$5,AR1054)/$Q$4/5,0)*5</f>
        <v>85</v>
      </c>
      <c r="AY1054" s="14" t="str">
        <f>IF(AO1054&gt;0,INDEX(挂机升级突破!$DT$4:$ED$4,AO1054),"")</f>
        <v/>
      </c>
      <c r="AZ1054" s="14" t="str">
        <f>IF(AO1054&gt;0,ROUND(INDEX(挂机升级突破!$DT$6:$ED$57,卡牌消耗!AT1054,AO1054)*INDEX(卡牌消耗!$B$7:$F$7,AR1054)/$Q$4,0),"")</f>
        <v/>
      </c>
    </row>
    <row r="1055" spans="37:52" ht="16.5" x14ac:dyDescent="0.2">
      <c r="AK1055" s="104">
        <v>1051</v>
      </c>
      <c r="AL1055" s="14">
        <f t="shared" si="425"/>
        <v>21</v>
      </c>
      <c r="AM1055" s="14">
        <f>INDEX(挂机升级突破!DQ$6:DQ$57,卡牌消耗!$AT1055)</f>
        <v>11</v>
      </c>
      <c r="AN1055" s="14">
        <f>INDEX(挂机升级突破!DR$6:DR$57,卡牌消耗!$AT1055)</f>
        <v>2</v>
      </c>
      <c r="AO1055" s="14">
        <f>INDEX(挂机升级突破!DS$6:DS$57,卡牌消耗!$AT1055)</f>
        <v>0</v>
      </c>
      <c r="AP1055" s="14">
        <f>INDEX(挂机升级突破!$DP$6:$DP$57,卡牌消耗!AT1055)</f>
        <v>45</v>
      </c>
      <c r="AQ1055" s="14" t="str">
        <f t="shared" si="426"/>
        <v>烈风螳螂</v>
      </c>
      <c r="AR1055" s="14">
        <f t="shared" si="427"/>
        <v>3</v>
      </c>
      <c r="AS1055" s="14" t="str">
        <f t="shared" si="428"/>
        <v>烈风螳螂魂火-11</v>
      </c>
      <c r="AT1055" s="14">
        <f t="shared" si="429"/>
        <v>11</v>
      </c>
      <c r="AU1055" s="14" t="str">
        <f>IF(AM1055&gt;0,INDEX(挂机升级突破!$DT$4:$ED$4,AM1055),"")</f>
        <v>金币</v>
      </c>
      <c r="AV1055" s="14">
        <f>ROUND(INDEX(挂机升级突破!$DJ$6:$DJ$57,卡牌消耗!AT1055)*INDEX(卡牌消耗!$B$8:$F$8,AR1055)/$Q$4/50,0)*50</f>
        <v>3200</v>
      </c>
      <c r="AW1055" s="14" t="str">
        <f>IF(AN1055&gt;0,INDEX(挂机升级突破!$DT$4:$ED$4,AN1055),"")</f>
        <v>蓝色基础材料</v>
      </c>
      <c r="AX1055" s="14">
        <f>ROUND(INDEX(挂机升级突破!$DT$6:$ED$57,卡牌消耗!AT1055,AN1055)*INDEX(卡牌消耗!$B$5:$F$5,AR1055)/$Q$4/5,0)*5</f>
        <v>85</v>
      </c>
      <c r="AY1055" s="14" t="str">
        <f>IF(AO1055&gt;0,INDEX(挂机升级突破!$DT$4:$ED$4,AO1055),"")</f>
        <v/>
      </c>
      <c r="AZ1055" s="14" t="str">
        <f>IF(AO1055&gt;0,ROUND(INDEX(挂机升级突破!$DT$6:$ED$57,卡牌消耗!AT1055,AO1055)*INDEX(卡牌消耗!$B$7:$F$7,AR1055)/$Q$4,0),"")</f>
        <v/>
      </c>
    </row>
    <row r="1056" spans="37:52" ht="16.5" x14ac:dyDescent="0.2">
      <c r="AK1056" s="104">
        <v>1052</v>
      </c>
      <c r="AL1056" s="14">
        <f t="shared" si="425"/>
        <v>21</v>
      </c>
      <c r="AM1056" s="14">
        <f>INDEX(挂机升级突破!DQ$6:DQ$57,卡牌消耗!$AT1056)</f>
        <v>11</v>
      </c>
      <c r="AN1056" s="14">
        <f>INDEX(挂机升级突破!DR$6:DR$57,卡牌消耗!$AT1056)</f>
        <v>2</v>
      </c>
      <c r="AO1056" s="14">
        <f>INDEX(挂机升级突破!DS$6:DS$57,卡牌消耗!$AT1056)</f>
        <v>0</v>
      </c>
      <c r="AP1056" s="14">
        <f>INDEX(挂机升级突破!$DP$6:$DP$57,卡牌消耗!AT1056)</f>
        <v>48</v>
      </c>
      <c r="AQ1056" s="14" t="str">
        <f t="shared" si="426"/>
        <v>烈风螳螂</v>
      </c>
      <c r="AR1056" s="14">
        <f t="shared" si="427"/>
        <v>3</v>
      </c>
      <c r="AS1056" s="14" t="str">
        <f t="shared" si="428"/>
        <v>烈风螳螂魂火-12</v>
      </c>
      <c r="AT1056" s="14">
        <f t="shared" si="429"/>
        <v>12</v>
      </c>
      <c r="AU1056" s="14" t="str">
        <f>IF(AM1056&gt;0,INDEX(挂机升级突破!$DT$4:$ED$4,AM1056),"")</f>
        <v>金币</v>
      </c>
      <c r="AV1056" s="14">
        <f>ROUND(INDEX(挂机升级突破!$DJ$6:$DJ$57,卡牌消耗!AT1056)*INDEX(卡牌消耗!$B$8:$F$8,AR1056)/$Q$4/50,0)*50</f>
        <v>2750</v>
      </c>
      <c r="AW1056" s="14" t="str">
        <f>IF(AN1056&gt;0,INDEX(挂机升级突破!$DT$4:$ED$4,AN1056),"")</f>
        <v>蓝色基础材料</v>
      </c>
      <c r="AX1056" s="14">
        <f>ROUND(INDEX(挂机升级突破!$DT$6:$ED$57,卡牌消耗!AT1056,AN1056)*INDEX(卡牌消耗!$B$5:$F$5,AR1056)/$Q$4/5,0)*5</f>
        <v>115</v>
      </c>
      <c r="AY1056" s="14" t="str">
        <f>IF(AO1056&gt;0,INDEX(挂机升级突破!$DT$4:$ED$4,AO1056),"")</f>
        <v/>
      </c>
      <c r="AZ1056" s="14" t="str">
        <f>IF(AO1056&gt;0,ROUND(INDEX(挂机升级突破!$DT$6:$ED$57,卡牌消耗!AT1056,AO1056)*INDEX(卡牌消耗!$B$7:$F$7,AR1056)/$Q$4,0),"")</f>
        <v/>
      </c>
    </row>
    <row r="1057" spans="37:52" ht="16.5" x14ac:dyDescent="0.2">
      <c r="AK1057" s="104">
        <v>1053</v>
      </c>
      <c r="AL1057" s="14">
        <f t="shared" si="425"/>
        <v>21</v>
      </c>
      <c r="AM1057" s="14">
        <f>INDEX(挂机升级突破!DQ$6:DQ$57,卡牌消耗!$AT1057)</f>
        <v>11</v>
      </c>
      <c r="AN1057" s="14">
        <f>INDEX(挂机升级突破!DR$6:DR$57,卡牌消耗!$AT1057)</f>
        <v>2</v>
      </c>
      <c r="AO1057" s="14">
        <f>INDEX(挂机升级突破!DS$6:DS$57,卡牌消耗!$AT1057)</f>
        <v>0</v>
      </c>
      <c r="AP1057" s="14">
        <f>INDEX(挂机升级突破!$DP$6:$DP$57,卡牌消耗!AT1057)</f>
        <v>50</v>
      </c>
      <c r="AQ1057" s="14" t="str">
        <f t="shared" si="426"/>
        <v>烈风螳螂</v>
      </c>
      <c r="AR1057" s="14">
        <f t="shared" si="427"/>
        <v>3</v>
      </c>
      <c r="AS1057" s="14" t="str">
        <f t="shared" si="428"/>
        <v>烈风螳螂魂火-13</v>
      </c>
      <c r="AT1057" s="14">
        <f t="shared" si="429"/>
        <v>13</v>
      </c>
      <c r="AU1057" s="14" t="str">
        <f>IF(AM1057&gt;0,INDEX(挂机升级突破!$DT$4:$ED$4,AM1057),"")</f>
        <v>金币</v>
      </c>
      <c r="AV1057" s="14">
        <f>ROUND(INDEX(挂机升级突破!$DJ$6:$DJ$57,卡牌消耗!AT1057)*INDEX(卡牌消耗!$B$8:$F$8,AR1057)/$Q$4/50,0)*50</f>
        <v>2750</v>
      </c>
      <c r="AW1057" s="14" t="str">
        <f>IF(AN1057&gt;0,INDEX(挂机升级突破!$DT$4:$ED$4,AN1057),"")</f>
        <v>蓝色基础材料</v>
      </c>
      <c r="AX1057" s="14">
        <f>ROUND(INDEX(挂机升级突破!$DT$6:$ED$57,卡牌消耗!AT1057,AN1057)*INDEX(卡牌消耗!$B$5:$F$5,AR1057)/$Q$4/5,0)*5</f>
        <v>115</v>
      </c>
      <c r="AY1057" s="14" t="str">
        <f>IF(AO1057&gt;0,INDEX(挂机升级突破!$DT$4:$ED$4,AO1057),"")</f>
        <v/>
      </c>
      <c r="AZ1057" s="14" t="str">
        <f>IF(AO1057&gt;0,ROUND(INDEX(挂机升级突破!$DT$6:$ED$57,卡牌消耗!AT1057,AO1057)*INDEX(卡牌消耗!$B$7:$F$7,AR1057)/$Q$4,0),"")</f>
        <v/>
      </c>
    </row>
    <row r="1058" spans="37:52" ht="16.5" x14ac:dyDescent="0.2">
      <c r="AK1058" s="104">
        <v>1054</v>
      </c>
      <c r="AL1058" s="14">
        <f t="shared" si="425"/>
        <v>21</v>
      </c>
      <c r="AM1058" s="14">
        <f>INDEX(挂机升级突破!DQ$6:DQ$57,卡牌消耗!$AT1058)</f>
        <v>11</v>
      </c>
      <c r="AN1058" s="14">
        <f>INDEX(挂机升级突破!DR$6:DR$57,卡牌消耗!$AT1058)</f>
        <v>3</v>
      </c>
      <c r="AO1058" s="14">
        <f>INDEX(挂机升级突破!DS$6:DS$57,卡牌消耗!$AT1058)</f>
        <v>0</v>
      </c>
      <c r="AP1058" s="14">
        <f>INDEX(挂机升级突破!$DP$6:$DP$57,卡牌消耗!AT1058)</f>
        <v>53</v>
      </c>
      <c r="AQ1058" s="14" t="str">
        <f t="shared" si="426"/>
        <v>烈风螳螂</v>
      </c>
      <c r="AR1058" s="14">
        <f t="shared" si="427"/>
        <v>3</v>
      </c>
      <c r="AS1058" s="14" t="str">
        <f t="shared" si="428"/>
        <v>烈风螳螂魂火-14</v>
      </c>
      <c r="AT1058" s="14">
        <f t="shared" si="429"/>
        <v>14</v>
      </c>
      <c r="AU1058" s="14" t="str">
        <f>IF(AM1058&gt;0,INDEX(挂机升级突破!$DT$4:$ED$4,AM1058),"")</f>
        <v>金币</v>
      </c>
      <c r="AV1058" s="14">
        <f>ROUND(INDEX(挂机升级突破!$DJ$6:$DJ$57,卡牌消耗!AT1058)*INDEX(卡牌消耗!$B$8:$F$8,AR1058)/$Q$4/50,0)*50</f>
        <v>3000</v>
      </c>
      <c r="AW1058" s="14" t="str">
        <f>IF(AN1058&gt;0,INDEX(挂机升级突破!$DT$4:$ED$4,AN1058),"")</f>
        <v>紫色基础材料</v>
      </c>
      <c r="AX1058" s="14">
        <f>ROUND(INDEX(挂机升级突破!$DT$6:$ED$57,卡牌消耗!AT1058,AN1058)*INDEX(卡牌消耗!$B$5:$F$5,AR1058)/$Q$4/5,0)*5</f>
        <v>25</v>
      </c>
      <c r="AY1058" s="14" t="str">
        <f>IF(AO1058&gt;0,INDEX(挂机升级突破!$DT$4:$ED$4,AO1058),"")</f>
        <v/>
      </c>
      <c r="AZ1058" s="14" t="str">
        <f>IF(AO1058&gt;0,ROUND(INDEX(挂机升级突破!$DT$6:$ED$57,卡牌消耗!AT1058,AO1058)*INDEX(卡牌消耗!$B$7:$F$7,AR1058)/$Q$4,0),"")</f>
        <v/>
      </c>
    </row>
    <row r="1059" spans="37:52" ht="16.5" x14ac:dyDescent="0.2">
      <c r="AK1059" s="104">
        <v>1055</v>
      </c>
      <c r="AL1059" s="14">
        <f t="shared" si="425"/>
        <v>21</v>
      </c>
      <c r="AM1059" s="14">
        <f>INDEX(挂机升级突破!DQ$6:DQ$57,卡牌消耗!$AT1059)</f>
        <v>11</v>
      </c>
      <c r="AN1059" s="14">
        <f>INDEX(挂机升级突破!DR$6:DR$57,卡牌消耗!$AT1059)</f>
        <v>3</v>
      </c>
      <c r="AO1059" s="14">
        <f>INDEX(挂机升级突破!DS$6:DS$57,卡牌消耗!$AT1059)</f>
        <v>0</v>
      </c>
      <c r="AP1059" s="14">
        <f>INDEX(挂机升级突破!$DP$6:$DP$57,卡牌消耗!AT1059)</f>
        <v>55</v>
      </c>
      <c r="AQ1059" s="14" t="str">
        <f t="shared" si="426"/>
        <v>烈风螳螂</v>
      </c>
      <c r="AR1059" s="14">
        <f t="shared" si="427"/>
        <v>3</v>
      </c>
      <c r="AS1059" s="14" t="str">
        <f t="shared" si="428"/>
        <v>烈风螳螂魂火-15</v>
      </c>
      <c r="AT1059" s="14">
        <f t="shared" si="429"/>
        <v>15</v>
      </c>
      <c r="AU1059" s="14" t="str">
        <f>IF(AM1059&gt;0,INDEX(挂机升级突破!$DT$4:$ED$4,AM1059),"")</f>
        <v>金币</v>
      </c>
      <c r="AV1059" s="14">
        <f>ROUND(INDEX(挂机升级突破!$DJ$6:$DJ$57,卡牌消耗!AT1059)*INDEX(卡牌消耗!$B$8:$F$8,AR1059)/$Q$4/50,0)*50</f>
        <v>3250</v>
      </c>
      <c r="AW1059" s="14" t="str">
        <f>IF(AN1059&gt;0,INDEX(挂机升级突破!$DT$4:$ED$4,AN1059),"")</f>
        <v>紫色基础材料</v>
      </c>
      <c r="AX1059" s="14">
        <f>ROUND(INDEX(挂机升级突破!$DT$6:$ED$57,卡牌消耗!AT1059,AN1059)*INDEX(卡牌消耗!$B$5:$F$5,AR1059)/$Q$4/5,0)*5</f>
        <v>25</v>
      </c>
      <c r="AY1059" s="14" t="str">
        <f>IF(AO1059&gt;0,INDEX(挂机升级突破!$DT$4:$ED$4,AO1059),"")</f>
        <v/>
      </c>
      <c r="AZ1059" s="14" t="str">
        <f>IF(AO1059&gt;0,ROUND(INDEX(挂机升级突破!$DT$6:$ED$57,卡牌消耗!AT1059,AO1059)*INDEX(卡牌消耗!$B$7:$F$7,AR1059)/$Q$4,0),"")</f>
        <v/>
      </c>
    </row>
    <row r="1060" spans="37:52" ht="16.5" x14ac:dyDescent="0.2">
      <c r="AK1060" s="104">
        <v>1056</v>
      </c>
      <c r="AL1060" s="14">
        <f t="shared" si="425"/>
        <v>21</v>
      </c>
      <c r="AM1060" s="14">
        <f>INDEX(挂机升级突破!DQ$6:DQ$57,卡牌消耗!$AT1060)</f>
        <v>11</v>
      </c>
      <c r="AN1060" s="14">
        <f>INDEX(挂机升级突破!DR$6:DR$57,卡牌消耗!$AT1060)</f>
        <v>3</v>
      </c>
      <c r="AO1060" s="14">
        <f>INDEX(挂机升级突破!DS$6:DS$57,卡牌消耗!$AT1060)</f>
        <v>0</v>
      </c>
      <c r="AP1060" s="14">
        <f>INDEX(挂机升级突破!$DP$6:$DP$57,卡牌消耗!AT1060)</f>
        <v>58</v>
      </c>
      <c r="AQ1060" s="14" t="str">
        <f t="shared" si="426"/>
        <v>烈风螳螂</v>
      </c>
      <c r="AR1060" s="14">
        <f t="shared" si="427"/>
        <v>3</v>
      </c>
      <c r="AS1060" s="14" t="str">
        <f t="shared" si="428"/>
        <v>烈风螳螂魂火-16</v>
      </c>
      <c r="AT1060" s="14">
        <f t="shared" si="429"/>
        <v>16</v>
      </c>
      <c r="AU1060" s="14" t="str">
        <f>IF(AM1060&gt;0,INDEX(挂机升级突破!$DT$4:$ED$4,AM1060),"")</f>
        <v>金币</v>
      </c>
      <c r="AV1060" s="14">
        <f>ROUND(INDEX(挂机升级突破!$DJ$6:$DJ$57,卡牌消耗!AT1060)*INDEX(卡牌消耗!$B$8:$F$8,AR1060)/$Q$4/50,0)*50</f>
        <v>3250</v>
      </c>
      <c r="AW1060" s="14" t="str">
        <f>IF(AN1060&gt;0,INDEX(挂机升级突破!$DT$4:$ED$4,AN1060),"")</f>
        <v>紫色基础材料</v>
      </c>
      <c r="AX1060" s="14">
        <f>ROUND(INDEX(挂机升级突破!$DT$6:$ED$57,卡牌消耗!AT1060,AN1060)*INDEX(卡牌消耗!$B$5:$F$5,AR1060)/$Q$4/5,0)*5</f>
        <v>25</v>
      </c>
      <c r="AY1060" s="14" t="str">
        <f>IF(AO1060&gt;0,INDEX(挂机升级突破!$DT$4:$ED$4,AO1060),"")</f>
        <v/>
      </c>
      <c r="AZ1060" s="14" t="str">
        <f>IF(AO1060&gt;0,ROUND(INDEX(挂机升级突破!$DT$6:$ED$57,卡牌消耗!AT1060,AO1060)*INDEX(卡牌消耗!$B$7:$F$7,AR1060)/$Q$4,0),"")</f>
        <v/>
      </c>
    </row>
    <row r="1061" spans="37:52" ht="16.5" x14ac:dyDescent="0.2">
      <c r="AK1061" s="104">
        <v>1057</v>
      </c>
      <c r="AL1061" s="14">
        <f t="shared" si="425"/>
        <v>21</v>
      </c>
      <c r="AM1061" s="14">
        <f>INDEX(挂机升级突破!DQ$6:DQ$57,卡牌消耗!$AT1061)</f>
        <v>11</v>
      </c>
      <c r="AN1061" s="14">
        <f>INDEX(挂机升级突破!DR$6:DR$57,卡牌消耗!$AT1061)</f>
        <v>3</v>
      </c>
      <c r="AO1061" s="14">
        <f>INDEX(挂机升级突破!DS$6:DS$57,卡牌消耗!$AT1061)</f>
        <v>0</v>
      </c>
      <c r="AP1061" s="14">
        <f>INDEX(挂机升级突破!$DP$6:$DP$57,卡牌消耗!AT1061)</f>
        <v>60</v>
      </c>
      <c r="AQ1061" s="14" t="str">
        <f t="shared" si="426"/>
        <v>烈风螳螂</v>
      </c>
      <c r="AR1061" s="14">
        <f t="shared" si="427"/>
        <v>3</v>
      </c>
      <c r="AS1061" s="14" t="str">
        <f t="shared" si="428"/>
        <v>烈风螳螂魂火-17</v>
      </c>
      <c r="AT1061" s="14">
        <f t="shared" si="429"/>
        <v>17</v>
      </c>
      <c r="AU1061" s="14" t="str">
        <f>IF(AM1061&gt;0,INDEX(挂机升级突破!$DT$4:$ED$4,AM1061),"")</f>
        <v>金币</v>
      </c>
      <c r="AV1061" s="14">
        <f>ROUND(INDEX(挂机升级突破!$DJ$6:$DJ$57,卡牌消耗!AT1061)*INDEX(卡牌消耗!$B$8:$F$8,AR1061)/$Q$4/50,0)*50</f>
        <v>4100</v>
      </c>
      <c r="AW1061" s="14" t="str">
        <f>IF(AN1061&gt;0,INDEX(挂机升级突破!$DT$4:$ED$4,AN1061),"")</f>
        <v>紫色基础材料</v>
      </c>
      <c r="AX1061" s="14">
        <f>ROUND(INDEX(挂机升级突破!$DT$6:$ED$57,卡牌消耗!AT1061,AN1061)*INDEX(卡牌消耗!$B$5:$F$5,AR1061)/$Q$4/5,0)*5</f>
        <v>45</v>
      </c>
      <c r="AY1061" s="14" t="str">
        <f>IF(AO1061&gt;0,INDEX(挂机升级突破!$DT$4:$ED$4,AO1061),"")</f>
        <v/>
      </c>
      <c r="AZ1061" s="14" t="str">
        <f>IF(AO1061&gt;0,ROUND(INDEX(挂机升级突破!$DT$6:$ED$57,卡牌消耗!AT1061,AO1061)*INDEX(卡牌消耗!$B$7:$F$7,AR1061)/$Q$4,0),"")</f>
        <v/>
      </c>
    </row>
    <row r="1062" spans="37:52" ht="16.5" x14ac:dyDescent="0.2">
      <c r="AK1062" s="104">
        <v>1058</v>
      </c>
      <c r="AL1062" s="14">
        <f t="shared" si="425"/>
        <v>21</v>
      </c>
      <c r="AM1062" s="14">
        <f>INDEX(挂机升级突破!DQ$6:DQ$57,卡牌消耗!$AT1062)</f>
        <v>11</v>
      </c>
      <c r="AN1062" s="14">
        <f>INDEX(挂机升级突破!DR$6:DR$57,卡牌消耗!$AT1062)</f>
        <v>3</v>
      </c>
      <c r="AO1062" s="14">
        <f>INDEX(挂机升级突破!DS$6:DS$57,卡牌消耗!$AT1062)</f>
        <v>0</v>
      </c>
      <c r="AP1062" s="14">
        <f>INDEX(挂机升级突破!$DP$6:$DP$57,卡牌消耗!AT1062)</f>
        <v>63</v>
      </c>
      <c r="AQ1062" s="14" t="str">
        <f t="shared" si="426"/>
        <v>烈风螳螂</v>
      </c>
      <c r="AR1062" s="14">
        <f t="shared" si="427"/>
        <v>3</v>
      </c>
      <c r="AS1062" s="14" t="str">
        <f t="shared" si="428"/>
        <v>烈风螳螂魂火-18</v>
      </c>
      <c r="AT1062" s="14">
        <f t="shared" si="429"/>
        <v>18</v>
      </c>
      <c r="AU1062" s="14" t="str">
        <f>IF(AM1062&gt;0,INDEX(挂机升级突破!$DT$4:$ED$4,AM1062),"")</f>
        <v>金币</v>
      </c>
      <c r="AV1062" s="14">
        <f>ROUND(INDEX(挂机升级突破!$DJ$6:$DJ$57,卡牌消耗!AT1062)*INDEX(卡牌消耗!$B$8:$F$8,AR1062)/$Q$4/50,0)*50</f>
        <v>4100</v>
      </c>
      <c r="AW1062" s="14" t="str">
        <f>IF(AN1062&gt;0,INDEX(挂机升级突破!$DT$4:$ED$4,AN1062),"")</f>
        <v>紫色基础材料</v>
      </c>
      <c r="AX1062" s="14">
        <f>ROUND(INDEX(挂机升级突破!$DT$6:$ED$57,卡牌消耗!AT1062,AN1062)*INDEX(卡牌消耗!$B$5:$F$5,AR1062)/$Q$4/5,0)*5</f>
        <v>45</v>
      </c>
      <c r="AY1062" s="14" t="str">
        <f>IF(AO1062&gt;0,INDEX(挂机升级突破!$DT$4:$ED$4,AO1062),"")</f>
        <v/>
      </c>
      <c r="AZ1062" s="14" t="str">
        <f>IF(AO1062&gt;0,ROUND(INDEX(挂机升级突破!$DT$6:$ED$57,卡牌消耗!AT1062,AO1062)*INDEX(卡牌消耗!$B$7:$F$7,AR1062)/$Q$4,0),"")</f>
        <v/>
      </c>
    </row>
    <row r="1063" spans="37:52" ht="16.5" x14ac:dyDescent="0.2">
      <c r="AK1063" s="104">
        <v>1059</v>
      </c>
      <c r="AL1063" s="14">
        <f t="shared" si="425"/>
        <v>21</v>
      </c>
      <c r="AM1063" s="14">
        <f>INDEX(挂机升级突破!DQ$6:DQ$57,卡牌消耗!$AT1063)</f>
        <v>11</v>
      </c>
      <c r="AN1063" s="14">
        <f>INDEX(挂机升级突破!DR$6:DR$57,卡牌消耗!$AT1063)</f>
        <v>3</v>
      </c>
      <c r="AO1063" s="14">
        <f>INDEX(挂机升级突破!DS$6:DS$57,卡牌消耗!$AT1063)</f>
        <v>0</v>
      </c>
      <c r="AP1063" s="14">
        <f>INDEX(挂机升级突破!$DP$6:$DP$57,卡牌消耗!AT1063)</f>
        <v>65</v>
      </c>
      <c r="AQ1063" s="14" t="str">
        <f t="shared" si="426"/>
        <v>烈风螳螂</v>
      </c>
      <c r="AR1063" s="14">
        <f t="shared" si="427"/>
        <v>3</v>
      </c>
      <c r="AS1063" s="14" t="str">
        <f t="shared" si="428"/>
        <v>烈风螳螂魂火-19</v>
      </c>
      <c r="AT1063" s="14">
        <f t="shared" si="429"/>
        <v>19</v>
      </c>
      <c r="AU1063" s="14" t="str">
        <f>IF(AM1063&gt;0,INDEX(挂机升级突破!$DT$4:$ED$4,AM1063),"")</f>
        <v>金币</v>
      </c>
      <c r="AV1063" s="14">
        <f>ROUND(INDEX(挂机升级突破!$DJ$6:$DJ$57,卡牌消耗!AT1063)*INDEX(卡牌消耗!$B$8:$F$8,AR1063)/$Q$4/50,0)*50</f>
        <v>4100</v>
      </c>
      <c r="AW1063" s="14" t="str">
        <f>IF(AN1063&gt;0,INDEX(挂机升级突破!$DT$4:$ED$4,AN1063),"")</f>
        <v>紫色基础材料</v>
      </c>
      <c r="AX1063" s="14">
        <f>ROUND(INDEX(挂机升级突破!$DT$6:$ED$57,卡牌消耗!AT1063,AN1063)*INDEX(卡牌消耗!$B$5:$F$5,AR1063)/$Q$4/5,0)*5</f>
        <v>45</v>
      </c>
      <c r="AY1063" s="14" t="str">
        <f>IF(AO1063&gt;0,INDEX(挂机升级突破!$DT$4:$ED$4,AO1063),"")</f>
        <v/>
      </c>
      <c r="AZ1063" s="14" t="str">
        <f>IF(AO1063&gt;0,ROUND(INDEX(挂机升级突破!$DT$6:$ED$57,卡牌消耗!AT1063,AO1063)*INDEX(卡牌消耗!$B$7:$F$7,AR1063)/$Q$4,0),"")</f>
        <v/>
      </c>
    </row>
    <row r="1064" spans="37:52" ht="16.5" x14ac:dyDescent="0.2">
      <c r="AK1064" s="104">
        <v>1060</v>
      </c>
      <c r="AL1064" s="14">
        <f t="shared" si="425"/>
        <v>21</v>
      </c>
      <c r="AM1064" s="14">
        <f>INDEX(挂机升级突破!DQ$6:DQ$57,卡牌消耗!$AT1064)</f>
        <v>11</v>
      </c>
      <c r="AN1064" s="14">
        <f>INDEX(挂机升级突破!DR$6:DR$57,卡牌消耗!$AT1064)</f>
        <v>3</v>
      </c>
      <c r="AO1064" s="14">
        <f>INDEX(挂机升级突破!DS$6:DS$57,卡牌消耗!$AT1064)</f>
        <v>0</v>
      </c>
      <c r="AP1064" s="14">
        <f>INDEX(挂机升级突破!$DP$6:$DP$57,卡牌消耗!AT1064)</f>
        <v>68</v>
      </c>
      <c r="AQ1064" s="14" t="str">
        <f t="shared" si="426"/>
        <v>烈风螳螂</v>
      </c>
      <c r="AR1064" s="14">
        <f t="shared" si="427"/>
        <v>3</v>
      </c>
      <c r="AS1064" s="14" t="str">
        <f t="shared" si="428"/>
        <v>烈风螳螂魂火-20</v>
      </c>
      <c r="AT1064" s="14">
        <f t="shared" si="429"/>
        <v>20</v>
      </c>
      <c r="AU1064" s="14" t="str">
        <f>IF(AM1064&gt;0,INDEX(挂机升级突破!$DT$4:$ED$4,AM1064),"")</f>
        <v>金币</v>
      </c>
      <c r="AV1064" s="14">
        <f>ROUND(INDEX(挂机升级突破!$DJ$6:$DJ$57,卡牌消耗!AT1064)*INDEX(卡牌消耗!$B$8:$F$8,AR1064)/$Q$4/50,0)*50</f>
        <v>5000</v>
      </c>
      <c r="AW1064" s="14" t="str">
        <f>IF(AN1064&gt;0,INDEX(挂机升级突破!$DT$4:$ED$4,AN1064),"")</f>
        <v>紫色基础材料</v>
      </c>
      <c r="AX1064" s="14">
        <f>ROUND(INDEX(挂机升级突破!$DT$6:$ED$57,卡牌消耗!AT1064,AN1064)*INDEX(卡牌消耗!$B$5:$F$5,AR1064)/$Q$4/5,0)*5</f>
        <v>70</v>
      </c>
      <c r="AY1064" s="14" t="str">
        <f>IF(AO1064&gt;0,INDEX(挂机升级突破!$DT$4:$ED$4,AO1064),"")</f>
        <v/>
      </c>
      <c r="AZ1064" s="14" t="str">
        <f>IF(AO1064&gt;0,ROUND(INDEX(挂机升级突破!$DT$6:$ED$57,卡牌消耗!AT1064,AO1064)*INDEX(卡牌消耗!$B$7:$F$7,AR1064)/$Q$4,0),"")</f>
        <v/>
      </c>
    </row>
    <row r="1065" spans="37:52" ht="16.5" x14ac:dyDescent="0.2">
      <c r="AK1065" s="104">
        <v>1061</v>
      </c>
      <c r="AL1065" s="14">
        <f t="shared" si="425"/>
        <v>21</v>
      </c>
      <c r="AM1065" s="14">
        <f>INDEX(挂机升级突破!DQ$6:DQ$57,卡牌消耗!$AT1065)</f>
        <v>11</v>
      </c>
      <c r="AN1065" s="14">
        <f>INDEX(挂机升级突破!DR$6:DR$57,卡牌消耗!$AT1065)</f>
        <v>3</v>
      </c>
      <c r="AO1065" s="14">
        <f>INDEX(挂机升级突破!DS$6:DS$57,卡牌消耗!$AT1065)</f>
        <v>0</v>
      </c>
      <c r="AP1065" s="14">
        <f>INDEX(挂机升级突破!$DP$6:$DP$57,卡牌消耗!AT1065)</f>
        <v>70</v>
      </c>
      <c r="AQ1065" s="14" t="str">
        <f t="shared" si="426"/>
        <v>烈风螳螂</v>
      </c>
      <c r="AR1065" s="14">
        <f t="shared" si="427"/>
        <v>3</v>
      </c>
      <c r="AS1065" s="14" t="str">
        <f t="shared" si="428"/>
        <v>烈风螳螂魂火-21</v>
      </c>
      <c r="AT1065" s="14">
        <f t="shared" si="429"/>
        <v>21</v>
      </c>
      <c r="AU1065" s="14" t="str">
        <f>IF(AM1065&gt;0,INDEX(挂机升级突破!$DT$4:$ED$4,AM1065),"")</f>
        <v>金币</v>
      </c>
      <c r="AV1065" s="14">
        <f>ROUND(INDEX(挂机升级突破!$DJ$6:$DJ$57,卡牌消耗!AT1065)*INDEX(卡牌消耗!$B$8:$F$8,AR1065)/$Q$4/50,0)*50</f>
        <v>5000</v>
      </c>
      <c r="AW1065" s="14" t="str">
        <f>IF(AN1065&gt;0,INDEX(挂机升级突破!$DT$4:$ED$4,AN1065),"")</f>
        <v>紫色基础材料</v>
      </c>
      <c r="AX1065" s="14">
        <f>ROUND(INDEX(挂机升级突破!$DT$6:$ED$57,卡牌消耗!AT1065,AN1065)*INDEX(卡牌消耗!$B$5:$F$5,AR1065)/$Q$4/5,0)*5</f>
        <v>70</v>
      </c>
      <c r="AY1065" s="14" t="str">
        <f>IF(AO1065&gt;0,INDEX(挂机升级突破!$DT$4:$ED$4,AO1065),"")</f>
        <v/>
      </c>
      <c r="AZ1065" s="14" t="str">
        <f>IF(AO1065&gt;0,ROUND(INDEX(挂机升级突破!$DT$6:$ED$57,卡牌消耗!AT1065,AO1065)*INDEX(卡牌消耗!$B$7:$F$7,AR1065)/$Q$4,0),"")</f>
        <v/>
      </c>
    </row>
    <row r="1066" spans="37:52" ht="16.5" x14ac:dyDescent="0.2">
      <c r="AK1066" s="104">
        <v>1062</v>
      </c>
      <c r="AL1066" s="14">
        <f t="shared" si="425"/>
        <v>21</v>
      </c>
      <c r="AM1066" s="14">
        <f>INDEX(挂机升级突破!DQ$6:DQ$57,卡牌消耗!$AT1066)</f>
        <v>11</v>
      </c>
      <c r="AN1066" s="14">
        <f>INDEX(挂机升级突破!DR$6:DR$57,卡牌消耗!$AT1066)</f>
        <v>3</v>
      </c>
      <c r="AO1066" s="14">
        <f>INDEX(挂机升级突破!DS$6:DS$57,卡牌消耗!$AT1066)</f>
        <v>0</v>
      </c>
      <c r="AP1066" s="14">
        <f>INDEX(挂机升级突破!$DP$6:$DP$57,卡牌消耗!AT1066)</f>
        <v>73</v>
      </c>
      <c r="AQ1066" s="14" t="str">
        <f t="shared" si="426"/>
        <v>烈风螳螂</v>
      </c>
      <c r="AR1066" s="14">
        <f t="shared" si="427"/>
        <v>3</v>
      </c>
      <c r="AS1066" s="14" t="str">
        <f t="shared" si="428"/>
        <v>烈风螳螂魂火-22</v>
      </c>
      <c r="AT1066" s="14">
        <f t="shared" si="429"/>
        <v>22</v>
      </c>
      <c r="AU1066" s="14" t="str">
        <f>IF(AM1066&gt;0,INDEX(挂机升级突破!$DT$4:$ED$4,AM1066),"")</f>
        <v>金币</v>
      </c>
      <c r="AV1066" s="14">
        <f>ROUND(INDEX(挂机升级突破!$DJ$6:$DJ$57,卡牌消耗!AT1066)*INDEX(卡牌消耗!$B$8:$F$8,AR1066)/$Q$4/50,0)*50</f>
        <v>5000</v>
      </c>
      <c r="AW1066" s="14" t="str">
        <f>IF(AN1066&gt;0,INDEX(挂机升级突破!$DT$4:$ED$4,AN1066),"")</f>
        <v>紫色基础材料</v>
      </c>
      <c r="AX1066" s="14">
        <f>ROUND(INDEX(挂机升级突破!$DT$6:$ED$57,卡牌消耗!AT1066,AN1066)*INDEX(卡牌消耗!$B$5:$F$5,AR1066)/$Q$4/5,0)*5</f>
        <v>70</v>
      </c>
      <c r="AY1066" s="14" t="str">
        <f>IF(AO1066&gt;0,INDEX(挂机升级突破!$DT$4:$ED$4,AO1066),"")</f>
        <v/>
      </c>
      <c r="AZ1066" s="14" t="str">
        <f>IF(AO1066&gt;0,ROUND(INDEX(挂机升级突破!$DT$6:$ED$57,卡牌消耗!AT1066,AO1066)*INDEX(卡牌消耗!$B$7:$F$7,AR1066)/$Q$4,0),"")</f>
        <v/>
      </c>
    </row>
    <row r="1067" spans="37:52" ht="16.5" x14ac:dyDescent="0.2">
      <c r="AK1067" s="104">
        <v>1063</v>
      </c>
      <c r="AL1067" s="14">
        <f t="shared" si="425"/>
        <v>21</v>
      </c>
      <c r="AM1067" s="14">
        <f>INDEX(挂机升级突破!DQ$6:DQ$57,卡牌消耗!$AT1067)</f>
        <v>11</v>
      </c>
      <c r="AN1067" s="14">
        <f>INDEX(挂机升级突破!DR$6:DR$57,卡牌消耗!$AT1067)</f>
        <v>4</v>
      </c>
      <c r="AO1067" s="14">
        <f>INDEX(挂机升级突破!DS$6:DS$57,卡牌消耗!$AT1067)</f>
        <v>0</v>
      </c>
      <c r="AP1067" s="14">
        <f>INDEX(挂机升级突破!$DP$6:$DP$57,卡牌消耗!AT1067)</f>
        <v>75</v>
      </c>
      <c r="AQ1067" s="14" t="str">
        <f t="shared" si="426"/>
        <v>烈风螳螂</v>
      </c>
      <c r="AR1067" s="14">
        <f t="shared" si="427"/>
        <v>3</v>
      </c>
      <c r="AS1067" s="14" t="str">
        <f t="shared" si="428"/>
        <v>烈风螳螂魂火-23</v>
      </c>
      <c r="AT1067" s="14">
        <f t="shared" si="429"/>
        <v>23</v>
      </c>
      <c r="AU1067" s="14" t="str">
        <f>IF(AM1067&gt;0,INDEX(挂机升级突破!$DT$4:$ED$4,AM1067),"")</f>
        <v>金币</v>
      </c>
      <c r="AV1067" s="14">
        <f>ROUND(INDEX(挂机升级突破!$DJ$6:$DJ$57,卡牌消耗!AT1067)*INDEX(卡牌消耗!$B$8:$F$8,AR1067)/$Q$4/50,0)*50</f>
        <v>6900</v>
      </c>
      <c r="AW1067" s="14" t="str">
        <f>IF(AN1067&gt;0,INDEX(挂机升级突破!$DT$4:$ED$4,AN1067),"")</f>
        <v>橙色基础材料</v>
      </c>
      <c r="AX1067" s="14">
        <f>ROUND(INDEX(挂机升级突破!$DT$6:$ED$57,卡牌消耗!AT1067,AN1067)*INDEX(卡牌消耗!$B$5:$F$5,AR1067)/$Q$4/5,0)*5</f>
        <v>20</v>
      </c>
      <c r="AY1067" s="14" t="str">
        <f>IF(AO1067&gt;0,INDEX(挂机升级突破!$DT$4:$ED$4,AO1067),"")</f>
        <v/>
      </c>
      <c r="AZ1067" s="14" t="str">
        <f>IF(AO1067&gt;0,ROUND(INDEX(挂机升级突破!$DT$6:$ED$57,卡牌消耗!AT1067,AO1067)*INDEX(卡牌消耗!$B$7:$F$7,AR1067)/$Q$4,0),"")</f>
        <v/>
      </c>
    </row>
    <row r="1068" spans="37:52" ht="16.5" x14ac:dyDescent="0.2">
      <c r="AK1068" s="104">
        <v>1064</v>
      </c>
      <c r="AL1068" s="14">
        <f t="shared" si="425"/>
        <v>21</v>
      </c>
      <c r="AM1068" s="14">
        <f>INDEX(挂机升级突破!DQ$6:DQ$57,卡牌消耗!$AT1068)</f>
        <v>11</v>
      </c>
      <c r="AN1068" s="14">
        <f>INDEX(挂机升级突破!DR$6:DR$57,卡牌消耗!$AT1068)</f>
        <v>4</v>
      </c>
      <c r="AO1068" s="14">
        <f>INDEX(挂机升级突破!DS$6:DS$57,卡牌消耗!$AT1068)</f>
        <v>0</v>
      </c>
      <c r="AP1068" s="14">
        <f>INDEX(挂机升级突破!$DP$6:$DP$57,卡牌消耗!AT1068)</f>
        <v>78</v>
      </c>
      <c r="AQ1068" s="14" t="str">
        <f t="shared" si="426"/>
        <v>烈风螳螂</v>
      </c>
      <c r="AR1068" s="14">
        <f t="shared" si="427"/>
        <v>3</v>
      </c>
      <c r="AS1068" s="14" t="str">
        <f t="shared" si="428"/>
        <v>烈风螳螂魂火-24</v>
      </c>
      <c r="AT1068" s="14">
        <f t="shared" si="429"/>
        <v>24</v>
      </c>
      <c r="AU1068" s="14" t="str">
        <f>IF(AM1068&gt;0,INDEX(挂机升级突破!$DT$4:$ED$4,AM1068),"")</f>
        <v>金币</v>
      </c>
      <c r="AV1068" s="14">
        <f>ROUND(INDEX(挂机升级突破!$DJ$6:$DJ$57,卡牌消耗!AT1068)*INDEX(卡牌消耗!$B$8:$F$8,AR1068)/$Q$4/50,0)*50</f>
        <v>6900</v>
      </c>
      <c r="AW1068" s="14" t="str">
        <f>IF(AN1068&gt;0,INDEX(挂机升级突破!$DT$4:$ED$4,AN1068),"")</f>
        <v>橙色基础材料</v>
      </c>
      <c r="AX1068" s="14">
        <f>ROUND(INDEX(挂机升级突破!$DT$6:$ED$57,卡牌消耗!AT1068,AN1068)*INDEX(卡牌消耗!$B$5:$F$5,AR1068)/$Q$4/5,0)*5</f>
        <v>20</v>
      </c>
      <c r="AY1068" s="14" t="str">
        <f>IF(AO1068&gt;0,INDEX(挂机升级突破!$DT$4:$ED$4,AO1068),"")</f>
        <v/>
      </c>
      <c r="AZ1068" s="14" t="str">
        <f>IF(AO1068&gt;0,ROUND(INDEX(挂机升级突破!$DT$6:$ED$57,卡牌消耗!AT1068,AO1068)*INDEX(卡牌消耗!$B$7:$F$7,AR1068)/$Q$4,0),"")</f>
        <v/>
      </c>
    </row>
    <row r="1069" spans="37:52" ht="16.5" x14ac:dyDescent="0.2">
      <c r="AK1069" s="104">
        <v>1065</v>
      </c>
      <c r="AL1069" s="14">
        <f t="shared" si="425"/>
        <v>21</v>
      </c>
      <c r="AM1069" s="14">
        <f>INDEX(挂机升级突破!DQ$6:DQ$57,卡牌消耗!$AT1069)</f>
        <v>11</v>
      </c>
      <c r="AN1069" s="14">
        <f>INDEX(挂机升级突破!DR$6:DR$57,卡牌消耗!$AT1069)</f>
        <v>4</v>
      </c>
      <c r="AO1069" s="14">
        <f>INDEX(挂机升级突破!DS$6:DS$57,卡牌消耗!$AT1069)</f>
        <v>0</v>
      </c>
      <c r="AP1069" s="14">
        <f>INDEX(挂机升级突破!$DP$6:$DP$57,卡牌消耗!AT1069)</f>
        <v>80</v>
      </c>
      <c r="AQ1069" s="14" t="str">
        <f t="shared" si="426"/>
        <v>烈风螳螂</v>
      </c>
      <c r="AR1069" s="14">
        <f t="shared" si="427"/>
        <v>3</v>
      </c>
      <c r="AS1069" s="14" t="str">
        <f t="shared" si="428"/>
        <v>烈风螳螂魂火-25</v>
      </c>
      <c r="AT1069" s="14">
        <f t="shared" si="429"/>
        <v>25</v>
      </c>
      <c r="AU1069" s="14" t="str">
        <f>IF(AM1069&gt;0,INDEX(挂机升级突破!$DT$4:$ED$4,AM1069),"")</f>
        <v>金币</v>
      </c>
      <c r="AV1069" s="14">
        <f>ROUND(INDEX(挂机升级突破!$DJ$6:$DJ$57,卡牌消耗!AT1069)*INDEX(卡牌消耗!$B$8:$F$8,AR1069)/$Q$4/50,0)*50</f>
        <v>7550</v>
      </c>
      <c r="AW1069" s="14" t="str">
        <f>IF(AN1069&gt;0,INDEX(挂机升级突破!$DT$4:$ED$4,AN1069),"")</f>
        <v>橙色基础材料</v>
      </c>
      <c r="AX1069" s="14">
        <f>ROUND(INDEX(挂机升级突破!$DT$6:$ED$57,卡牌消耗!AT1069,AN1069)*INDEX(卡牌消耗!$B$5:$F$5,AR1069)/$Q$4/5,0)*5</f>
        <v>20</v>
      </c>
      <c r="AY1069" s="14" t="str">
        <f>IF(AO1069&gt;0,INDEX(挂机升级突破!$DT$4:$ED$4,AO1069),"")</f>
        <v/>
      </c>
      <c r="AZ1069" s="14" t="str">
        <f>IF(AO1069&gt;0,ROUND(INDEX(挂机升级突破!$DT$6:$ED$57,卡牌消耗!AT1069,AO1069)*INDEX(卡牌消耗!$B$7:$F$7,AR1069)/$Q$4,0),"")</f>
        <v/>
      </c>
    </row>
    <row r="1070" spans="37:52" ht="16.5" x14ac:dyDescent="0.2">
      <c r="AK1070" s="104">
        <v>1066</v>
      </c>
      <c r="AL1070" s="14">
        <f t="shared" si="425"/>
        <v>21</v>
      </c>
      <c r="AM1070" s="14">
        <f>INDEX(挂机升级突破!DQ$6:DQ$57,卡牌消耗!$AT1070)</f>
        <v>11</v>
      </c>
      <c r="AN1070" s="14">
        <f>INDEX(挂机升级突破!DR$6:DR$57,卡牌消耗!$AT1070)</f>
        <v>4</v>
      </c>
      <c r="AO1070" s="14">
        <f>INDEX(挂机升级突破!DS$6:DS$57,卡牌消耗!$AT1070)</f>
        <v>0</v>
      </c>
      <c r="AP1070" s="14">
        <f>INDEX(挂机升级突破!$DP$6:$DP$57,卡牌消耗!AT1070)</f>
        <v>83</v>
      </c>
      <c r="AQ1070" s="14" t="str">
        <f t="shared" si="426"/>
        <v>烈风螳螂</v>
      </c>
      <c r="AR1070" s="14">
        <f t="shared" si="427"/>
        <v>3</v>
      </c>
      <c r="AS1070" s="14" t="str">
        <f t="shared" si="428"/>
        <v>烈风螳螂魂火-26</v>
      </c>
      <c r="AT1070" s="14">
        <f t="shared" si="429"/>
        <v>26</v>
      </c>
      <c r="AU1070" s="14" t="str">
        <f>IF(AM1070&gt;0,INDEX(挂机升级突破!$DT$4:$ED$4,AM1070),"")</f>
        <v>金币</v>
      </c>
      <c r="AV1070" s="14">
        <f>ROUND(INDEX(挂机升级突破!$DJ$6:$DJ$57,卡牌消耗!AT1070)*INDEX(卡牌消耗!$B$8:$F$8,AR1070)/$Q$4/50,0)*50</f>
        <v>8800</v>
      </c>
      <c r="AW1070" s="14" t="str">
        <f>IF(AN1070&gt;0,INDEX(挂机升级突破!$DT$4:$ED$4,AN1070),"")</f>
        <v>橙色基础材料</v>
      </c>
      <c r="AX1070" s="14">
        <f>ROUND(INDEX(挂机升级突破!$DT$6:$ED$57,卡牌消耗!AT1070,AN1070)*INDEX(卡牌消耗!$B$5:$F$5,AR1070)/$Q$4/5,0)*5</f>
        <v>25</v>
      </c>
      <c r="AY1070" s="14" t="str">
        <f>IF(AO1070&gt;0,INDEX(挂机升级突破!$DT$4:$ED$4,AO1070),"")</f>
        <v/>
      </c>
      <c r="AZ1070" s="14" t="str">
        <f>IF(AO1070&gt;0,ROUND(INDEX(挂机升级突破!$DT$6:$ED$57,卡牌消耗!AT1070,AO1070)*INDEX(卡牌消耗!$B$7:$F$7,AR1070)/$Q$4,0),"")</f>
        <v/>
      </c>
    </row>
    <row r="1071" spans="37:52" ht="16.5" x14ac:dyDescent="0.2">
      <c r="AK1071" s="104">
        <v>1067</v>
      </c>
      <c r="AL1071" s="14">
        <f t="shared" si="425"/>
        <v>21</v>
      </c>
      <c r="AM1071" s="14">
        <f>INDEX(挂机升级突破!DQ$6:DQ$57,卡牌消耗!$AT1071)</f>
        <v>11</v>
      </c>
      <c r="AN1071" s="14">
        <f>INDEX(挂机升级突破!DR$6:DR$57,卡牌消耗!$AT1071)</f>
        <v>4</v>
      </c>
      <c r="AO1071" s="14">
        <f>INDEX(挂机升级突破!DS$6:DS$57,卡牌消耗!$AT1071)</f>
        <v>0</v>
      </c>
      <c r="AP1071" s="14">
        <f>INDEX(挂机升级突破!$DP$6:$DP$57,卡牌消耗!AT1071)</f>
        <v>85</v>
      </c>
      <c r="AQ1071" s="14" t="str">
        <f t="shared" si="426"/>
        <v>烈风螳螂</v>
      </c>
      <c r="AR1071" s="14">
        <f t="shared" si="427"/>
        <v>3</v>
      </c>
      <c r="AS1071" s="14" t="str">
        <f t="shared" si="428"/>
        <v>烈风螳螂魂火-27</v>
      </c>
      <c r="AT1071" s="14">
        <f t="shared" si="429"/>
        <v>27</v>
      </c>
      <c r="AU1071" s="14" t="str">
        <f>IF(AM1071&gt;0,INDEX(挂机升级突破!$DT$4:$ED$4,AM1071),"")</f>
        <v>金币</v>
      </c>
      <c r="AV1071" s="14">
        <f>ROUND(INDEX(挂机升级突破!$DJ$6:$DJ$57,卡牌消耗!AT1071)*INDEX(卡牌消耗!$B$8:$F$8,AR1071)/$Q$4/50,0)*50</f>
        <v>8800</v>
      </c>
      <c r="AW1071" s="14" t="str">
        <f>IF(AN1071&gt;0,INDEX(挂机升级突破!$DT$4:$ED$4,AN1071),"")</f>
        <v>橙色基础材料</v>
      </c>
      <c r="AX1071" s="14">
        <f>ROUND(INDEX(挂机升级突破!$DT$6:$ED$57,卡牌消耗!AT1071,AN1071)*INDEX(卡牌消耗!$B$5:$F$5,AR1071)/$Q$4/5,0)*5</f>
        <v>25</v>
      </c>
      <c r="AY1071" s="14" t="str">
        <f>IF(AO1071&gt;0,INDEX(挂机升级突破!$DT$4:$ED$4,AO1071),"")</f>
        <v/>
      </c>
      <c r="AZ1071" s="14" t="str">
        <f>IF(AO1071&gt;0,ROUND(INDEX(挂机升级突破!$DT$6:$ED$57,卡牌消耗!AT1071,AO1071)*INDEX(卡牌消耗!$B$7:$F$7,AR1071)/$Q$4,0),"")</f>
        <v/>
      </c>
    </row>
    <row r="1072" spans="37:52" ht="16.5" x14ac:dyDescent="0.2">
      <c r="AK1072" s="104">
        <v>1068</v>
      </c>
      <c r="AL1072" s="14">
        <f t="shared" si="425"/>
        <v>21</v>
      </c>
      <c r="AM1072" s="14">
        <f>INDEX(挂机升级突破!DQ$6:DQ$57,卡牌消耗!$AT1072)</f>
        <v>11</v>
      </c>
      <c r="AN1072" s="14">
        <f>INDEX(挂机升级突破!DR$6:DR$57,卡牌消耗!$AT1072)</f>
        <v>4</v>
      </c>
      <c r="AO1072" s="14">
        <f>INDEX(挂机升级突破!DS$6:DS$57,卡牌消耗!$AT1072)</f>
        <v>0</v>
      </c>
      <c r="AP1072" s="14">
        <f>INDEX(挂机升级突破!$DP$6:$DP$57,卡牌消耗!AT1072)</f>
        <v>88</v>
      </c>
      <c r="AQ1072" s="14" t="str">
        <f t="shared" si="426"/>
        <v>烈风螳螂</v>
      </c>
      <c r="AR1072" s="14">
        <f t="shared" si="427"/>
        <v>3</v>
      </c>
      <c r="AS1072" s="14" t="str">
        <f t="shared" si="428"/>
        <v>烈风螳螂魂火-28</v>
      </c>
      <c r="AT1072" s="14">
        <f t="shared" si="429"/>
        <v>28</v>
      </c>
      <c r="AU1072" s="14" t="str">
        <f>IF(AM1072&gt;0,INDEX(挂机升级突破!$DT$4:$ED$4,AM1072),"")</f>
        <v>金币</v>
      </c>
      <c r="AV1072" s="14">
        <f>ROUND(INDEX(挂机升级突破!$DJ$6:$DJ$57,卡牌消耗!AT1072)*INDEX(卡牌消耗!$B$8:$F$8,AR1072)/$Q$4/50,0)*50</f>
        <v>8800</v>
      </c>
      <c r="AW1072" s="14" t="str">
        <f>IF(AN1072&gt;0,INDEX(挂机升级突破!$DT$4:$ED$4,AN1072),"")</f>
        <v>橙色基础材料</v>
      </c>
      <c r="AX1072" s="14">
        <f>ROUND(INDEX(挂机升级突破!$DT$6:$ED$57,卡牌消耗!AT1072,AN1072)*INDEX(卡牌消耗!$B$5:$F$5,AR1072)/$Q$4/5,0)*5</f>
        <v>25</v>
      </c>
      <c r="AY1072" s="14" t="str">
        <f>IF(AO1072&gt;0,INDEX(挂机升级突破!$DT$4:$ED$4,AO1072),"")</f>
        <v/>
      </c>
      <c r="AZ1072" s="14" t="str">
        <f>IF(AO1072&gt;0,ROUND(INDEX(挂机升级突破!$DT$6:$ED$57,卡牌消耗!AT1072,AO1072)*INDEX(卡牌消耗!$B$7:$F$7,AR1072)/$Q$4,0),"")</f>
        <v/>
      </c>
    </row>
    <row r="1073" spans="37:52" ht="16.5" x14ac:dyDescent="0.2">
      <c r="AK1073" s="104">
        <v>1069</v>
      </c>
      <c r="AL1073" s="14">
        <f t="shared" si="425"/>
        <v>21</v>
      </c>
      <c r="AM1073" s="14">
        <f>INDEX(挂机升级突破!DQ$6:DQ$57,卡牌消耗!$AT1073)</f>
        <v>11</v>
      </c>
      <c r="AN1073" s="14">
        <f>INDEX(挂机升级突破!DR$6:DR$57,卡牌消耗!$AT1073)</f>
        <v>4</v>
      </c>
      <c r="AO1073" s="14">
        <f>INDEX(挂机升级突破!DS$6:DS$57,卡牌消耗!$AT1073)</f>
        <v>0</v>
      </c>
      <c r="AP1073" s="14">
        <f>INDEX(挂机升级突破!$DP$6:$DP$57,卡牌消耗!AT1073)</f>
        <v>90</v>
      </c>
      <c r="AQ1073" s="14" t="str">
        <f t="shared" si="426"/>
        <v>烈风螳螂</v>
      </c>
      <c r="AR1073" s="14">
        <f t="shared" si="427"/>
        <v>3</v>
      </c>
      <c r="AS1073" s="14" t="str">
        <f t="shared" si="428"/>
        <v>烈风螳螂魂火-29</v>
      </c>
      <c r="AT1073" s="14">
        <f t="shared" si="429"/>
        <v>29</v>
      </c>
      <c r="AU1073" s="14" t="str">
        <f>IF(AM1073&gt;0,INDEX(挂机升级突破!$DT$4:$ED$4,AM1073),"")</f>
        <v>金币</v>
      </c>
      <c r="AV1073" s="14">
        <f>ROUND(INDEX(挂机升级突破!$DJ$6:$DJ$57,卡牌消耗!AT1073)*INDEX(卡牌消耗!$B$8:$F$8,AR1073)/$Q$4/50,0)*50</f>
        <v>8900</v>
      </c>
      <c r="AW1073" s="14" t="str">
        <f>IF(AN1073&gt;0,INDEX(挂机升级突破!$DT$4:$ED$4,AN1073),"")</f>
        <v>橙色基础材料</v>
      </c>
      <c r="AX1073" s="14">
        <f>ROUND(INDEX(挂机升级突破!$DT$6:$ED$57,卡牌消耗!AT1073,AN1073)*INDEX(卡牌消耗!$B$5:$F$5,AR1073)/$Q$4/5,0)*5</f>
        <v>25</v>
      </c>
      <c r="AY1073" s="14" t="str">
        <f>IF(AO1073&gt;0,INDEX(挂机升级突破!$DT$4:$ED$4,AO1073),"")</f>
        <v/>
      </c>
      <c r="AZ1073" s="14" t="str">
        <f>IF(AO1073&gt;0,ROUND(INDEX(挂机升级突破!$DT$6:$ED$57,卡牌消耗!AT1073,AO1073)*INDEX(卡牌消耗!$B$7:$F$7,AR1073)/$Q$4,0),"")</f>
        <v/>
      </c>
    </row>
    <row r="1074" spans="37:52" ht="16.5" x14ac:dyDescent="0.2">
      <c r="AK1074" s="104">
        <v>1070</v>
      </c>
      <c r="AL1074" s="14">
        <f t="shared" si="425"/>
        <v>21</v>
      </c>
      <c r="AM1074" s="14">
        <f>INDEX(挂机升级突破!DQ$6:DQ$57,卡牌消耗!$AT1074)</f>
        <v>11</v>
      </c>
      <c r="AN1074" s="14">
        <f>INDEX(挂机升级突破!DR$6:DR$57,卡牌消耗!$AT1074)</f>
        <v>4</v>
      </c>
      <c r="AO1074" s="14">
        <f>INDEX(挂机升级突破!DS$6:DS$57,卡牌消耗!$AT1074)</f>
        <v>0</v>
      </c>
      <c r="AP1074" s="14">
        <f>INDEX(挂机升级突破!$DP$6:$DP$57,卡牌消耗!AT1074)</f>
        <v>93</v>
      </c>
      <c r="AQ1074" s="14" t="str">
        <f t="shared" si="426"/>
        <v>烈风螳螂</v>
      </c>
      <c r="AR1074" s="14">
        <f t="shared" si="427"/>
        <v>3</v>
      </c>
      <c r="AS1074" s="14" t="str">
        <f t="shared" si="428"/>
        <v>烈风螳螂魂火-30</v>
      </c>
      <c r="AT1074" s="14">
        <f t="shared" si="429"/>
        <v>30</v>
      </c>
      <c r="AU1074" s="14" t="str">
        <f>IF(AM1074&gt;0,INDEX(挂机升级突破!$DT$4:$ED$4,AM1074),"")</f>
        <v>金币</v>
      </c>
      <c r="AV1074" s="14">
        <f>ROUND(INDEX(挂机升级突破!$DJ$6:$DJ$57,卡牌消耗!AT1074)*INDEX(卡牌消耗!$B$8:$F$8,AR1074)/$Q$4/50,0)*50</f>
        <v>8900</v>
      </c>
      <c r="AW1074" s="14" t="str">
        <f>IF(AN1074&gt;0,INDEX(挂机升级突破!$DT$4:$ED$4,AN1074),"")</f>
        <v>橙色基础材料</v>
      </c>
      <c r="AX1074" s="14">
        <f>ROUND(INDEX(挂机升级突破!$DT$6:$ED$57,卡牌消耗!AT1074,AN1074)*INDEX(卡牌消耗!$B$5:$F$5,AR1074)/$Q$4/5,0)*5</f>
        <v>25</v>
      </c>
      <c r="AY1074" s="14" t="str">
        <f>IF(AO1074&gt;0,INDEX(挂机升级突破!$DT$4:$ED$4,AO1074),"")</f>
        <v/>
      </c>
      <c r="AZ1074" s="14" t="str">
        <f>IF(AO1074&gt;0,ROUND(INDEX(挂机升级突破!$DT$6:$ED$57,卡牌消耗!AT1074,AO1074)*INDEX(卡牌消耗!$B$7:$F$7,AR1074)/$Q$4,0),"")</f>
        <v/>
      </c>
    </row>
    <row r="1075" spans="37:52" ht="16.5" x14ac:dyDescent="0.2">
      <c r="AK1075" s="104">
        <v>1071</v>
      </c>
      <c r="AL1075" s="14">
        <f t="shared" si="425"/>
        <v>21</v>
      </c>
      <c r="AM1075" s="14">
        <f>INDEX(挂机升级突破!DQ$6:DQ$57,卡牌消耗!$AT1075)</f>
        <v>11</v>
      </c>
      <c r="AN1075" s="14">
        <f>INDEX(挂机升级突破!DR$6:DR$57,卡牌消耗!$AT1075)</f>
        <v>4</v>
      </c>
      <c r="AO1075" s="14">
        <f>INDEX(挂机升级突破!DS$6:DS$57,卡牌消耗!$AT1075)</f>
        <v>0</v>
      </c>
      <c r="AP1075" s="14">
        <f>INDEX(挂机升级突破!$DP$6:$DP$57,卡牌消耗!AT1075)</f>
        <v>95</v>
      </c>
      <c r="AQ1075" s="14" t="str">
        <f t="shared" si="426"/>
        <v>烈风螳螂</v>
      </c>
      <c r="AR1075" s="14">
        <f t="shared" si="427"/>
        <v>3</v>
      </c>
      <c r="AS1075" s="14" t="str">
        <f t="shared" si="428"/>
        <v>烈风螳螂魂火-31</v>
      </c>
      <c r="AT1075" s="14">
        <f t="shared" si="429"/>
        <v>31</v>
      </c>
      <c r="AU1075" s="14" t="str">
        <f>IF(AM1075&gt;0,INDEX(挂机升级突破!$DT$4:$ED$4,AM1075),"")</f>
        <v>金币</v>
      </c>
      <c r="AV1075" s="14">
        <f>ROUND(INDEX(挂机升级突破!$DJ$6:$DJ$57,卡牌消耗!AT1075)*INDEX(卡牌消耗!$B$8:$F$8,AR1075)/$Q$4/50,0)*50</f>
        <v>8900</v>
      </c>
      <c r="AW1075" s="14" t="str">
        <f>IF(AN1075&gt;0,INDEX(挂机升级突破!$DT$4:$ED$4,AN1075),"")</f>
        <v>橙色基础材料</v>
      </c>
      <c r="AX1075" s="14">
        <f>ROUND(INDEX(挂机升级突破!$DT$6:$ED$57,卡牌消耗!AT1075,AN1075)*INDEX(卡牌消耗!$B$5:$F$5,AR1075)/$Q$4/5,0)*5</f>
        <v>25</v>
      </c>
      <c r="AY1075" s="14" t="str">
        <f>IF(AO1075&gt;0,INDEX(挂机升级突破!$DT$4:$ED$4,AO1075),"")</f>
        <v/>
      </c>
      <c r="AZ1075" s="14" t="str">
        <f>IF(AO1075&gt;0,ROUND(INDEX(挂机升级突破!$DT$6:$ED$57,卡牌消耗!AT1075,AO1075)*INDEX(卡牌消耗!$B$7:$F$7,AR1075)/$Q$4,0),"")</f>
        <v/>
      </c>
    </row>
    <row r="1076" spans="37:52" ht="16.5" x14ac:dyDescent="0.2">
      <c r="AK1076" s="104">
        <v>1072</v>
      </c>
      <c r="AL1076" s="14">
        <f t="shared" si="425"/>
        <v>21</v>
      </c>
      <c r="AM1076" s="14">
        <f>INDEX(挂机升级突破!DQ$6:DQ$57,卡牌消耗!$AT1076)</f>
        <v>11</v>
      </c>
      <c r="AN1076" s="14">
        <f>INDEX(挂机升级突破!DR$6:DR$57,卡牌消耗!$AT1076)</f>
        <v>4</v>
      </c>
      <c r="AO1076" s="14">
        <f>INDEX(挂机升级突破!DS$6:DS$57,卡牌消耗!$AT1076)</f>
        <v>0</v>
      </c>
      <c r="AP1076" s="14">
        <f>INDEX(挂机升级突破!$DP$6:$DP$57,卡牌消耗!AT1076)</f>
        <v>98</v>
      </c>
      <c r="AQ1076" s="14" t="str">
        <f t="shared" si="426"/>
        <v>烈风螳螂</v>
      </c>
      <c r="AR1076" s="14">
        <f t="shared" si="427"/>
        <v>3</v>
      </c>
      <c r="AS1076" s="14" t="str">
        <f t="shared" si="428"/>
        <v>烈风螳螂魂火-32</v>
      </c>
      <c r="AT1076" s="14">
        <f t="shared" si="429"/>
        <v>32</v>
      </c>
      <c r="AU1076" s="14" t="str">
        <f>IF(AM1076&gt;0,INDEX(挂机升级突破!$DT$4:$ED$4,AM1076),"")</f>
        <v>金币</v>
      </c>
      <c r="AV1076" s="14">
        <f>ROUND(INDEX(挂机升级突破!$DJ$6:$DJ$57,卡牌消耗!AT1076)*INDEX(卡牌消耗!$B$8:$F$8,AR1076)/$Q$4/50,0)*50</f>
        <v>12200</v>
      </c>
      <c r="AW1076" s="14" t="str">
        <f>IF(AN1076&gt;0,INDEX(挂机升级突破!$DT$4:$ED$4,AN1076),"")</f>
        <v>橙色基础材料</v>
      </c>
      <c r="AX1076" s="14">
        <f>ROUND(INDEX(挂机升级突破!$DT$6:$ED$57,卡牌消耗!AT1076,AN1076)*INDEX(卡牌消耗!$B$5:$F$5,AR1076)/$Q$4/5,0)*5</f>
        <v>25</v>
      </c>
      <c r="AY1076" s="14" t="str">
        <f>IF(AO1076&gt;0,INDEX(挂机升级突破!$DT$4:$ED$4,AO1076),"")</f>
        <v/>
      </c>
      <c r="AZ1076" s="14" t="str">
        <f>IF(AO1076&gt;0,ROUND(INDEX(挂机升级突破!$DT$6:$ED$57,卡牌消耗!AT1076,AO1076)*INDEX(卡牌消耗!$B$7:$F$7,AR1076)/$Q$4,0),"")</f>
        <v/>
      </c>
    </row>
    <row r="1077" spans="37:52" ht="16.5" x14ac:dyDescent="0.2">
      <c r="AK1077" s="104">
        <v>1073</v>
      </c>
      <c r="AL1077" s="14">
        <f t="shared" si="425"/>
        <v>21</v>
      </c>
      <c r="AM1077" s="14">
        <f>INDEX(挂机升级突破!DQ$6:DQ$57,卡牌消耗!$AT1077)</f>
        <v>11</v>
      </c>
      <c r="AN1077" s="14">
        <f>INDEX(挂机升级突破!DR$6:DR$57,卡牌消耗!$AT1077)</f>
        <v>4</v>
      </c>
      <c r="AO1077" s="14">
        <f>INDEX(挂机升级突破!DS$6:DS$57,卡牌消耗!$AT1077)</f>
        <v>0</v>
      </c>
      <c r="AP1077" s="14">
        <f>INDEX(挂机升级突破!$DP$6:$DP$57,卡牌消耗!AT1077)</f>
        <v>100</v>
      </c>
      <c r="AQ1077" s="14" t="str">
        <f t="shared" si="426"/>
        <v>烈风螳螂</v>
      </c>
      <c r="AR1077" s="14">
        <f t="shared" si="427"/>
        <v>3</v>
      </c>
      <c r="AS1077" s="14" t="str">
        <f t="shared" si="428"/>
        <v>烈风螳螂魂火-33</v>
      </c>
      <c r="AT1077" s="14">
        <f t="shared" si="429"/>
        <v>33</v>
      </c>
      <c r="AU1077" s="14" t="str">
        <f>IF(AM1077&gt;0,INDEX(挂机升级突破!$DT$4:$ED$4,AM1077),"")</f>
        <v>金币</v>
      </c>
      <c r="AV1077" s="14">
        <f>ROUND(INDEX(挂机升级突破!$DJ$6:$DJ$57,卡牌消耗!AT1077)*INDEX(卡牌消耗!$B$8:$F$8,AR1077)/$Q$4/50,0)*50</f>
        <v>12200</v>
      </c>
      <c r="AW1077" s="14" t="str">
        <f>IF(AN1077&gt;0,INDEX(挂机升级突破!$DT$4:$ED$4,AN1077),"")</f>
        <v>橙色基础材料</v>
      </c>
      <c r="AX1077" s="14">
        <f>ROUND(INDEX(挂机升级突破!$DT$6:$ED$57,卡牌消耗!AT1077,AN1077)*INDEX(卡牌消耗!$B$5:$F$5,AR1077)/$Q$4/5,0)*5</f>
        <v>25</v>
      </c>
      <c r="AY1077" s="14" t="str">
        <f>IF(AO1077&gt;0,INDEX(挂机升级突破!$DT$4:$ED$4,AO1077),"")</f>
        <v/>
      </c>
      <c r="AZ1077" s="14" t="str">
        <f>IF(AO1077&gt;0,ROUND(INDEX(挂机升级突破!$DT$6:$ED$57,卡牌消耗!AT1077,AO1077)*INDEX(卡牌消耗!$B$7:$F$7,AR1077)/$Q$4,0),"")</f>
        <v/>
      </c>
    </row>
    <row r="1078" spans="37:52" ht="16.5" x14ac:dyDescent="0.2">
      <c r="AK1078" s="104">
        <v>1074</v>
      </c>
      <c r="AL1078" s="14">
        <f t="shared" si="425"/>
        <v>21</v>
      </c>
      <c r="AM1078" s="14">
        <f>INDEX(挂机升级突破!DQ$6:DQ$57,卡牌消耗!$AT1078)</f>
        <v>11</v>
      </c>
      <c r="AN1078" s="14">
        <f>INDEX(挂机升级突破!DR$6:DR$57,卡牌消耗!$AT1078)</f>
        <v>4</v>
      </c>
      <c r="AO1078" s="14">
        <f>INDEX(挂机升级突破!DS$6:DS$57,卡牌消耗!$AT1078)</f>
        <v>0</v>
      </c>
      <c r="AP1078" s="14">
        <f>INDEX(挂机升级突破!$DP$6:$DP$57,卡牌消耗!AT1078)</f>
        <v>103</v>
      </c>
      <c r="AQ1078" s="14" t="str">
        <f t="shared" si="426"/>
        <v>烈风螳螂</v>
      </c>
      <c r="AR1078" s="14">
        <f t="shared" si="427"/>
        <v>3</v>
      </c>
      <c r="AS1078" s="14" t="str">
        <f t="shared" si="428"/>
        <v>烈风螳螂魂火-34</v>
      </c>
      <c r="AT1078" s="14">
        <f t="shared" si="429"/>
        <v>34</v>
      </c>
      <c r="AU1078" s="14" t="str">
        <f>IF(AM1078&gt;0,INDEX(挂机升级突破!$DT$4:$ED$4,AM1078),"")</f>
        <v>金币</v>
      </c>
      <c r="AV1078" s="14">
        <f>ROUND(INDEX(挂机升级突破!$DJ$6:$DJ$57,卡牌消耗!AT1078)*INDEX(卡牌消耗!$B$8:$F$8,AR1078)/$Q$4/50,0)*50</f>
        <v>12200</v>
      </c>
      <c r="AW1078" s="14" t="str">
        <f>IF(AN1078&gt;0,INDEX(挂机升级突破!$DT$4:$ED$4,AN1078),"")</f>
        <v>橙色基础材料</v>
      </c>
      <c r="AX1078" s="14">
        <f>ROUND(INDEX(挂机升级突破!$DT$6:$ED$57,卡牌消耗!AT1078,AN1078)*INDEX(卡牌消耗!$B$5:$F$5,AR1078)/$Q$4/5,0)*5</f>
        <v>30</v>
      </c>
      <c r="AY1078" s="14" t="str">
        <f>IF(AO1078&gt;0,INDEX(挂机升级突破!$DT$4:$ED$4,AO1078),"")</f>
        <v/>
      </c>
      <c r="AZ1078" s="14" t="str">
        <f>IF(AO1078&gt;0,ROUND(INDEX(挂机升级突破!$DT$6:$ED$57,卡牌消耗!AT1078,AO1078)*INDEX(卡牌消耗!$B$7:$F$7,AR1078)/$Q$4,0),"")</f>
        <v/>
      </c>
    </row>
    <row r="1079" spans="37:52" ht="16.5" x14ac:dyDescent="0.2">
      <c r="AK1079" s="104">
        <v>1075</v>
      </c>
      <c r="AL1079" s="14">
        <f t="shared" si="425"/>
        <v>21</v>
      </c>
      <c r="AM1079" s="14">
        <f>INDEX(挂机升级突破!DQ$6:DQ$57,卡牌消耗!$AT1079)</f>
        <v>11</v>
      </c>
      <c r="AN1079" s="14">
        <f>INDEX(挂机升级突破!DR$6:DR$57,卡牌消耗!$AT1079)</f>
        <v>4</v>
      </c>
      <c r="AO1079" s="14">
        <f>INDEX(挂机升级突破!DS$6:DS$57,卡牌消耗!$AT1079)</f>
        <v>0</v>
      </c>
      <c r="AP1079" s="14">
        <f>INDEX(挂机升级突破!$DP$6:$DP$57,卡牌消耗!AT1079)</f>
        <v>105</v>
      </c>
      <c r="AQ1079" s="14" t="str">
        <f t="shared" si="426"/>
        <v>烈风螳螂</v>
      </c>
      <c r="AR1079" s="14">
        <f t="shared" si="427"/>
        <v>3</v>
      </c>
      <c r="AS1079" s="14" t="str">
        <f t="shared" si="428"/>
        <v>烈风螳螂魂火-35</v>
      </c>
      <c r="AT1079" s="14">
        <f t="shared" si="429"/>
        <v>35</v>
      </c>
      <c r="AU1079" s="14" t="str">
        <f>IF(AM1079&gt;0,INDEX(挂机升级突破!$DT$4:$ED$4,AM1079),"")</f>
        <v>金币</v>
      </c>
      <c r="AV1079" s="14">
        <f>ROUND(INDEX(挂机升级突破!$DJ$6:$DJ$57,卡牌消耗!AT1079)*INDEX(卡牌消耗!$B$8:$F$8,AR1079)/$Q$4/50,0)*50</f>
        <v>15550</v>
      </c>
      <c r="AW1079" s="14" t="str">
        <f>IF(AN1079&gt;0,INDEX(挂机升级突破!$DT$4:$ED$4,AN1079),"")</f>
        <v>橙色基础材料</v>
      </c>
      <c r="AX1079" s="14">
        <f>ROUND(INDEX(挂机升级突破!$DT$6:$ED$57,卡牌消耗!AT1079,AN1079)*INDEX(卡牌消耗!$B$5:$F$5,AR1079)/$Q$4/5,0)*5</f>
        <v>30</v>
      </c>
      <c r="AY1079" s="14" t="str">
        <f>IF(AO1079&gt;0,INDEX(挂机升级突破!$DT$4:$ED$4,AO1079),"")</f>
        <v/>
      </c>
      <c r="AZ1079" s="14" t="str">
        <f>IF(AO1079&gt;0,ROUND(INDEX(挂机升级突破!$DT$6:$ED$57,卡牌消耗!AT1079,AO1079)*INDEX(卡牌消耗!$B$7:$F$7,AR1079)/$Q$4,0),"")</f>
        <v/>
      </c>
    </row>
    <row r="1080" spans="37:52" ht="16.5" x14ac:dyDescent="0.2">
      <c r="AK1080" s="104">
        <v>1076</v>
      </c>
      <c r="AL1080" s="14">
        <f t="shared" si="425"/>
        <v>21</v>
      </c>
      <c r="AM1080" s="14">
        <f>INDEX(挂机升级突破!DQ$6:DQ$57,卡牌消耗!$AT1080)</f>
        <v>11</v>
      </c>
      <c r="AN1080" s="14">
        <f>INDEX(挂机升级突破!DR$6:DR$57,卡牌消耗!$AT1080)</f>
        <v>4</v>
      </c>
      <c r="AO1080" s="14">
        <f>INDEX(挂机升级突破!DS$6:DS$57,卡牌消耗!$AT1080)</f>
        <v>0</v>
      </c>
      <c r="AP1080" s="14">
        <f>INDEX(挂机升级突破!$DP$6:$DP$57,卡牌消耗!AT1080)</f>
        <v>108</v>
      </c>
      <c r="AQ1080" s="14" t="str">
        <f t="shared" si="426"/>
        <v>烈风螳螂</v>
      </c>
      <c r="AR1080" s="14">
        <f t="shared" si="427"/>
        <v>3</v>
      </c>
      <c r="AS1080" s="14" t="str">
        <f t="shared" si="428"/>
        <v>烈风螳螂魂火-36</v>
      </c>
      <c r="AT1080" s="14">
        <f t="shared" si="429"/>
        <v>36</v>
      </c>
      <c r="AU1080" s="14" t="str">
        <f>IF(AM1080&gt;0,INDEX(挂机升级突破!$DT$4:$ED$4,AM1080),"")</f>
        <v>金币</v>
      </c>
      <c r="AV1080" s="14">
        <f>ROUND(INDEX(挂机升级突破!$DJ$6:$DJ$57,卡牌消耗!AT1080)*INDEX(卡牌消耗!$B$8:$F$8,AR1080)/$Q$4/50,0)*50</f>
        <v>15550</v>
      </c>
      <c r="AW1080" s="14" t="str">
        <f>IF(AN1080&gt;0,INDEX(挂机升级突破!$DT$4:$ED$4,AN1080),"")</f>
        <v>橙色基础材料</v>
      </c>
      <c r="AX1080" s="14">
        <f>ROUND(INDEX(挂机升级突破!$DT$6:$ED$57,卡牌消耗!AT1080,AN1080)*INDEX(卡牌消耗!$B$5:$F$5,AR1080)/$Q$4/5,0)*5</f>
        <v>30</v>
      </c>
      <c r="AY1080" s="14" t="str">
        <f>IF(AO1080&gt;0,INDEX(挂机升级突破!$DT$4:$ED$4,AO1080),"")</f>
        <v/>
      </c>
      <c r="AZ1080" s="14" t="str">
        <f>IF(AO1080&gt;0,ROUND(INDEX(挂机升级突破!$DT$6:$ED$57,卡牌消耗!AT1080,AO1080)*INDEX(卡牌消耗!$B$7:$F$7,AR1080)/$Q$4,0),"")</f>
        <v/>
      </c>
    </row>
    <row r="1081" spans="37:52" ht="16.5" x14ac:dyDescent="0.2">
      <c r="AK1081" s="104">
        <v>1077</v>
      </c>
      <c r="AL1081" s="14">
        <f t="shared" si="425"/>
        <v>21</v>
      </c>
      <c r="AM1081" s="14">
        <f>INDEX(挂机升级突破!DQ$6:DQ$57,卡牌消耗!$AT1081)</f>
        <v>11</v>
      </c>
      <c r="AN1081" s="14">
        <f>INDEX(挂机升级突破!DR$6:DR$57,卡牌消耗!$AT1081)</f>
        <v>4</v>
      </c>
      <c r="AO1081" s="14">
        <f>INDEX(挂机升级突破!DS$6:DS$57,卡牌消耗!$AT1081)</f>
        <v>0</v>
      </c>
      <c r="AP1081" s="14">
        <f>INDEX(挂机升级突破!$DP$6:$DP$57,卡牌消耗!AT1081)</f>
        <v>110</v>
      </c>
      <c r="AQ1081" s="14" t="str">
        <f t="shared" si="426"/>
        <v>烈风螳螂</v>
      </c>
      <c r="AR1081" s="14">
        <f t="shared" si="427"/>
        <v>3</v>
      </c>
      <c r="AS1081" s="14" t="str">
        <f t="shared" si="428"/>
        <v>烈风螳螂魂火-37</v>
      </c>
      <c r="AT1081" s="14">
        <f t="shared" si="429"/>
        <v>37</v>
      </c>
      <c r="AU1081" s="14" t="str">
        <f>IF(AM1081&gt;0,INDEX(挂机升级突破!$DT$4:$ED$4,AM1081),"")</f>
        <v>金币</v>
      </c>
      <c r="AV1081" s="14">
        <f>ROUND(INDEX(挂机升级突破!$DJ$6:$DJ$57,卡牌消耗!AT1081)*INDEX(卡牌消耗!$B$8:$F$8,AR1081)/$Q$4/50,0)*50</f>
        <v>16650</v>
      </c>
      <c r="AW1081" s="14" t="str">
        <f>IF(AN1081&gt;0,INDEX(挂机升级突破!$DT$4:$ED$4,AN1081),"")</f>
        <v>橙色基础材料</v>
      </c>
      <c r="AX1081" s="14">
        <f>ROUND(INDEX(挂机升级突破!$DT$6:$ED$57,卡牌消耗!AT1081,AN1081)*INDEX(卡牌消耗!$B$5:$F$5,AR1081)/$Q$4/5,0)*5</f>
        <v>30</v>
      </c>
      <c r="AY1081" s="14" t="str">
        <f>IF(AO1081&gt;0,INDEX(挂机升级突破!$DT$4:$ED$4,AO1081),"")</f>
        <v/>
      </c>
      <c r="AZ1081" s="14" t="str">
        <f>IF(AO1081&gt;0,ROUND(INDEX(挂机升级突破!$DT$6:$ED$57,卡牌消耗!AT1081,AO1081)*INDEX(卡牌消耗!$B$7:$F$7,AR1081)/$Q$4,0),"")</f>
        <v/>
      </c>
    </row>
    <row r="1082" spans="37:52" ht="16.5" x14ac:dyDescent="0.2">
      <c r="AK1082" s="104">
        <v>1078</v>
      </c>
      <c r="AL1082" s="14">
        <f t="shared" si="425"/>
        <v>21</v>
      </c>
      <c r="AM1082" s="14">
        <f>INDEX(挂机升级突破!DQ$6:DQ$57,卡牌消耗!$AT1082)</f>
        <v>11</v>
      </c>
      <c r="AN1082" s="14">
        <f>INDEX(挂机升级突破!DR$6:DR$57,卡牌消耗!$AT1082)</f>
        <v>5</v>
      </c>
      <c r="AO1082" s="14">
        <f>INDEX(挂机升级突破!DS$6:DS$57,卡牌消耗!$AT1082)</f>
        <v>0</v>
      </c>
      <c r="AP1082" s="14">
        <f>INDEX(挂机升级突破!$DP$6:$DP$57,卡牌消耗!AT1082)</f>
        <v>113</v>
      </c>
      <c r="AQ1082" s="14" t="str">
        <f t="shared" si="426"/>
        <v>烈风螳螂</v>
      </c>
      <c r="AR1082" s="14">
        <f t="shared" si="427"/>
        <v>3</v>
      </c>
      <c r="AS1082" s="14" t="str">
        <f t="shared" si="428"/>
        <v>烈风螳螂魂火-38</v>
      </c>
      <c r="AT1082" s="14">
        <f t="shared" si="429"/>
        <v>38</v>
      </c>
      <c r="AU1082" s="14" t="str">
        <f>IF(AM1082&gt;0,INDEX(挂机升级突破!$DT$4:$ED$4,AM1082),"")</f>
        <v>金币</v>
      </c>
      <c r="AV1082" s="14">
        <f>ROUND(INDEX(挂机升级突破!$DJ$6:$DJ$57,卡牌消耗!AT1082)*INDEX(卡牌消耗!$B$8:$F$8,AR1082)/$Q$4/50,0)*50</f>
        <v>21500</v>
      </c>
      <c r="AW1082" s="14" t="str">
        <f>IF(AN1082&gt;0,INDEX(挂机升级突破!$DT$4:$ED$4,AN1082),"")</f>
        <v>红色基础材料</v>
      </c>
      <c r="AX1082" s="14">
        <f>ROUND(INDEX(挂机升级突破!$DT$6:$ED$57,卡牌消耗!AT1082,AN1082)*INDEX(卡牌消耗!$B$5:$F$5,AR1082)/$Q$4/5,0)*5</f>
        <v>10</v>
      </c>
      <c r="AY1082" s="14" t="str">
        <f>IF(AO1082&gt;0,INDEX(挂机升级突破!$DT$4:$ED$4,AO1082),"")</f>
        <v/>
      </c>
      <c r="AZ1082" s="14" t="str">
        <f>IF(AO1082&gt;0,ROUND(INDEX(挂机升级突破!$DT$6:$ED$57,卡牌消耗!AT1082,AO1082)*INDEX(卡牌消耗!$B$7:$F$7,AR1082)/$Q$4,0),"")</f>
        <v/>
      </c>
    </row>
    <row r="1083" spans="37:52" ht="16.5" x14ac:dyDescent="0.2">
      <c r="AK1083" s="104">
        <v>1079</v>
      </c>
      <c r="AL1083" s="14">
        <f t="shared" si="425"/>
        <v>21</v>
      </c>
      <c r="AM1083" s="14">
        <f>INDEX(挂机升级突破!DQ$6:DQ$57,卡牌消耗!$AT1083)</f>
        <v>11</v>
      </c>
      <c r="AN1083" s="14">
        <f>INDEX(挂机升级突破!DR$6:DR$57,卡牌消耗!$AT1083)</f>
        <v>5</v>
      </c>
      <c r="AO1083" s="14">
        <f>INDEX(挂机升级突破!DS$6:DS$57,卡牌消耗!$AT1083)</f>
        <v>0</v>
      </c>
      <c r="AP1083" s="14">
        <f>INDEX(挂机升级突破!$DP$6:$DP$57,卡牌消耗!AT1083)</f>
        <v>115</v>
      </c>
      <c r="AQ1083" s="14" t="str">
        <f t="shared" si="426"/>
        <v>烈风螳螂</v>
      </c>
      <c r="AR1083" s="14">
        <f t="shared" si="427"/>
        <v>3</v>
      </c>
      <c r="AS1083" s="14" t="str">
        <f t="shared" si="428"/>
        <v>烈风螳螂魂火-39</v>
      </c>
      <c r="AT1083" s="14">
        <f t="shared" si="429"/>
        <v>39</v>
      </c>
      <c r="AU1083" s="14" t="str">
        <f>IF(AM1083&gt;0,INDEX(挂机升级突破!$DT$4:$ED$4,AM1083),"")</f>
        <v>金币</v>
      </c>
      <c r="AV1083" s="14">
        <f>ROUND(INDEX(挂机升级突破!$DJ$6:$DJ$57,卡牌消耗!AT1083)*INDEX(卡牌消耗!$B$8:$F$8,AR1083)/$Q$4/50,0)*50</f>
        <v>21500</v>
      </c>
      <c r="AW1083" s="14" t="str">
        <f>IF(AN1083&gt;0,INDEX(挂机升级突破!$DT$4:$ED$4,AN1083),"")</f>
        <v>红色基础材料</v>
      </c>
      <c r="AX1083" s="14">
        <f>ROUND(INDEX(挂机升级突破!$DT$6:$ED$57,卡牌消耗!AT1083,AN1083)*INDEX(卡牌消耗!$B$5:$F$5,AR1083)/$Q$4/5,0)*5</f>
        <v>10</v>
      </c>
      <c r="AY1083" s="14" t="str">
        <f>IF(AO1083&gt;0,INDEX(挂机升级突破!$DT$4:$ED$4,AO1083),"")</f>
        <v/>
      </c>
      <c r="AZ1083" s="14" t="str">
        <f>IF(AO1083&gt;0,ROUND(INDEX(挂机升级突破!$DT$6:$ED$57,卡牌消耗!AT1083,AO1083)*INDEX(卡牌消耗!$B$7:$F$7,AR1083)/$Q$4,0),"")</f>
        <v/>
      </c>
    </row>
    <row r="1084" spans="37:52" ht="16.5" x14ac:dyDescent="0.2">
      <c r="AK1084" s="104">
        <v>1080</v>
      </c>
      <c r="AL1084" s="14">
        <f t="shared" si="425"/>
        <v>21</v>
      </c>
      <c r="AM1084" s="14">
        <f>INDEX(挂机升级突破!DQ$6:DQ$57,卡牌消耗!$AT1084)</f>
        <v>11</v>
      </c>
      <c r="AN1084" s="14">
        <f>INDEX(挂机升级突破!DR$6:DR$57,卡牌消耗!$AT1084)</f>
        <v>5</v>
      </c>
      <c r="AO1084" s="14">
        <f>INDEX(挂机升级突破!DS$6:DS$57,卡牌消耗!$AT1084)</f>
        <v>0</v>
      </c>
      <c r="AP1084" s="14">
        <f>INDEX(挂机升级突破!$DP$6:$DP$57,卡牌消耗!AT1084)</f>
        <v>118</v>
      </c>
      <c r="AQ1084" s="14" t="str">
        <f t="shared" si="426"/>
        <v>烈风螳螂</v>
      </c>
      <c r="AR1084" s="14">
        <f t="shared" si="427"/>
        <v>3</v>
      </c>
      <c r="AS1084" s="14" t="str">
        <f t="shared" si="428"/>
        <v>烈风螳螂魂火-40</v>
      </c>
      <c r="AT1084" s="14">
        <f t="shared" si="429"/>
        <v>40</v>
      </c>
      <c r="AU1084" s="14" t="str">
        <f>IF(AM1084&gt;0,INDEX(挂机升级突破!$DT$4:$ED$4,AM1084),"")</f>
        <v>金币</v>
      </c>
      <c r="AV1084" s="14">
        <f>ROUND(INDEX(挂机升级突破!$DJ$6:$DJ$57,卡牌消耗!AT1084)*INDEX(卡牌消耗!$B$8:$F$8,AR1084)/$Q$4/50,0)*50</f>
        <v>21500</v>
      </c>
      <c r="AW1084" s="14" t="str">
        <f>IF(AN1084&gt;0,INDEX(挂机升级突破!$DT$4:$ED$4,AN1084),"")</f>
        <v>红色基础材料</v>
      </c>
      <c r="AX1084" s="14">
        <f>ROUND(INDEX(挂机升级突破!$DT$6:$ED$57,卡牌消耗!AT1084,AN1084)*INDEX(卡牌消耗!$B$5:$F$5,AR1084)/$Q$4/5,0)*5</f>
        <v>10</v>
      </c>
      <c r="AY1084" s="14" t="str">
        <f>IF(AO1084&gt;0,INDEX(挂机升级突破!$DT$4:$ED$4,AO1084),"")</f>
        <v/>
      </c>
      <c r="AZ1084" s="14" t="str">
        <f>IF(AO1084&gt;0,ROUND(INDEX(挂机升级突破!$DT$6:$ED$57,卡牌消耗!AT1084,AO1084)*INDEX(卡牌消耗!$B$7:$F$7,AR1084)/$Q$4,0),"")</f>
        <v/>
      </c>
    </row>
    <row r="1085" spans="37:52" ht="16.5" x14ac:dyDescent="0.2">
      <c r="AK1085" s="104">
        <v>1081</v>
      </c>
      <c r="AL1085" s="14">
        <f t="shared" si="425"/>
        <v>21</v>
      </c>
      <c r="AM1085" s="14">
        <f>INDEX(挂机升级突破!DQ$6:DQ$57,卡牌消耗!$AT1085)</f>
        <v>11</v>
      </c>
      <c r="AN1085" s="14">
        <f>INDEX(挂机升级突破!DR$6:DR$57,卡牌消耗!$AT1085)</f>
        <v>5</v>
      </c>
      <c r="AO1085" s="14">
        <f>INDEX(挂机升级突破!DS$6:DS$57,卡牌消耗!$AT1085)</f>
        <v>10</v>
      </c>
      <c r="AP1085" s="14">
        <f>INDEX(挂机升级突破!$DP$6:$DP$57,卡牌消耗!AT1085)</f>
        <v>120</v>
      </c>
      <c r="AQ1085" s="14" t="str">
        <f t="shared" si="426"/>
        <v>烈风螳螂</v>
      </c>
      <c r="AR1085" s="14">
        <f t="shared" si="427"/>
        <v>3</v>
      </c>
      <c r="AS1085" s="14" t="str">
        <f t="shared" si="428"/>
        <v>烈风螳螂魂火-41</v>
      </c>
      <c r="AT1085" s="14">
        <f t="shared" si="429"/>
        <v>41</v>
      </c>
      <c r="AU1085" s="14" t="str">
        <f>IF(AM1085&gt;0,INDEX(挂机升级突破!$DT$4:$ED$4,AM1085),"")</f>
        <v>金币</v>
      </c>
      <c r="AV1085" s="14">
        <f>ROUND(INDEX(挂机升级突破!$DJ$6:$DJ$57,卡牌消耗!AT1085)*INDEX(卡牌消耗!$B$8:$F$8,AR1085)/$Q$4/50,0)*50</f>
        <v>29550</v>
      </c>
      <c r="AW1085" s="14" t="str">
        <f>IF(AN1085&gt;0,INDEX(挂机升级突破!$DT$4:$ED$4,AN1085),"")</f>
        <v>红色基础材料</v>
      </c>
      <c r="AX1085" s="14">
        <f>ROUND(INDEX(挂机升级突破!$DT$6:$ED$57,卡牌消耗!AT1085,AN1085)*INDEX(卡牌消耗!$B$5:$F$5,AR1085)/$Q$4/5,0)*5</f>
        <v>10</v>
      </c>
      <c r="AY1085" s="14" t="str">
        <f>IF(AO1085&gt;0,INDEX(挂机升级突破!$DT$4:$ED$4,AO1085),"")</f>
        <v>灵玉</v>
      </c>
      <c r="AZ1085" s="14">
        <f>IF(AO1085&gt;0,ROUND(INDEX(挂机升级突破!$DT$6:$ED$57,卡牌消耗!AT1085,AO1085)*INDEX(卡牌消耗!$B$7:$F$7,AR1085)/$Q$4,0),"")</f>
        <v>2</v>
      </c>
    </row>
    <row r="1086" spans="37:52" ht="16.5" x14ac:dyDescent="0.2">
      <c r="AK1086" s="104">
        <v>1082</v>
      </c>
      <c r="AL1086" s="14">
        <f t="shared" si="425"/>
        <v>21</v>
      </c>
      <c r="AM1086" s="14">
        <f>INDEX(挂机升级突破!DQ$6:DQ$57,卡牌消耗!$AT1086)</f>
        <v>11</v>
      </c>
      <c r="AN1086" s="14">
        <f>INDEX(挂机升级突破!DR$6:DR$57,卡牌消耗!$AT1086)</f>
        <v>5</v>
      </c>
      <c r="AO1086" s="14">
        <f>INDEX(挂机升级突破!DS$6:DS$57,卡牌消耗!$AT1086)</f>
        <v>10</v>
      </c>
      <c r="AP1086" s="14">
        <f>INDEX(挂机升级突破!$DP$6:$DP$57,卡牌消耗!AT1086)</f>
        <v>123</v>
      </c>
      <c r="AQ1086" s="14" t="str">
        <f t="shared" si="426"/>
        <v>烈风螳螂</v>
      </c>
      <c r="AR1086" s="14">
        <f t="shared" si="427"/>
        <v>3</v>
      </c>
      <c r="AS1086" s="14" t="str">
        <f t="shared" si="428"/>
        <v>烈风螳螂魂火-42</v>
      </c>
      <c r="AT1086" s="14">
        <f t="shared" si="429"/>
        <v>42</v>
      </c>
      <c r="AU1086" s="14" t="str">
        <f>IF(AM1086&gt;0,INDEX(挂机升级突破!$DT$4:$ED$4,AM1086),"")</f>
        <v>金币</v>
      </c>
      <c r="AV1086" s="14">
        <f>ROUND(INDEX(挂机升级突破!$DJ$6:$DJ$57,卡牌消耗!AT1086)*INDEX(卡牌消耗!$B$8:$F$8,AR1086)/$Q$4/50,0)*50</f>
        <v>29550</v>
      </c>
      <c r="AW1086" s="14" t="str">
        <f>IF(AN1086&gt;0,INDEX(挂机升级突破!$DT$4:$ED$4,AN1086),"")</f>
        <v>红色基础材料</v>
      </c>
      <c r="AX1086" s="14">
        <f>ROUND(INDEX(挂机升级突破!$DT$6:$ED$57,卡牌消耗!AT1086,AN1086)*INDEX(卡牌消耗!$B$5:$F$5,AR1086)/$Q$4/5,0)*5</f>
        <v>10</v>
      </c>
      <c r="AY1086" s="14" t="str">
        <f>IF(AO1086&gt;0,INDEX(挂机升级突破!$DT$4:$ED$4,AO1086),"")</f>
        <v>灵玉</v>
      </c>
      <c r="AZ1086" s="14">
        <f>IF(AO1086&gt;0,ROUND(INDEX(挂机升级突破!$DT$6:$ED$57,卡牌消耗!AT1086,AO1086)*INDEX(卡牌消耗!$B$7:$F$7,AR1086)/$Q$4,0),"")</f>
        <v>2</v>
      </c>
    </row>
    <row r="1087" spans="37:52" ht="16.5" x14ac:dyDescent="0.2">
      <c r="AK1087" s="104">
        <v>1083</v>
      </c>
      <c r="AL1087" s="14">
        <f t="shared" si="425"/>
        <v>21</v>
      </c>
      <c r="AM1087" s="14">
        <f>INDEX(挂机升级突破!DQ$6:DQ$57,卡牌消耗!$AT1087)</f>
        <v>11</v>
      </c>
      <c r="AN1087" s="14">
        <f>INDEX(挂机升级突破!DR$6:DR$57,卡牌消耗!$AT1087)</f>
        <v>5</v>
      </c>
      <c r="AO1087" s="14">
        <f>INDEX(挂机升级突破!DS$6:DS$57,卡牌消耗!$AT1087)</f>
        <v>10</v>
      </c>
      <c r="AP1087" s="14">
        <f>INDEX(挂机升级突破!$DP$6:$DP$57,卡牌消耗!AT1087)</f>
        <v>125</v>
      </c>
      <c r="AQ1087" s="14" t="str">
        <f t="shared" si="426"/>
        <v>烈风螳螂</v>
      </c>
      <c r="AR1087" s="14">
        <f t="shared" si="427"/>
        <v>3</v>
      </c>
      <c r="AS1087" s="14" t="str">
        <f t="shared" si="428"/>
        <v>烈风螳螂魂火-43</v>
      </c>
      <c r="AT1087" s="14">
        <f t="shared" si="429"/>
        <v>43</v>
      </c>
      <c r="AU1087" s="14" t="str">
        <f>IF(AM1087&gt;0,INDEX(挂机升级突破!$DT$4:$ED$4,AM1087),"")</f>
        <v>金币</v>
      </c>
      <c r="AV1087" s="14">
        <f>ROUND(INDEX(挂机升级突破!$DJ$6:$DJ$57,卡牌消耗!AT1087)*INDEX(卡牌消耗!$B$8:$F$8,AR1087)/$Q$4/50,0)*50</f>
        <v>29550</v>
      </c>
      <c r="AW1087" s="14" t="str">
        <f>IF(AN1087&gt;0,INDEX(挂机升级突破!$DT$4:$ED$4,AN1087),"")</f>
        <v>红色基础材料</v>
      </c>
      <c r="AX1087" s="14">
        <f>ROUND(INDEX(挂机升级突破!$DT$6:$ED$57,卡牌消耗!AT1087,AN1087)*INDEX(卡牌消耗!$B$5:$F$5,AR1087)/$Q$4/5,0)*5</f>
        <v>10</v>
      </c>
      <c r="AY1087" s="14" t="str">
        <f>IF(AO1087&gt;0,INDEX(挂机升级突破!$DT$4:$ED$4,AO1087),"")</f>
        <v>灵玉</v>
      </c>
      <c r="AZ1087" s="14">
        <f>IF(AO1087&gt;0,ROUND(INDEX(挂机升级突破!$DT$6:$ED$57,卡牌消耗!AT1087,AO1087)*INDEX(卡牌消耗!$B$7:$F$7,AR1087)/$Q$4,0),"")</f>
        <v>2</v>
      </c>
    </row>
    <row r="1088" spans="37:52" ht="16.5" x14ac:dyDescent="0.2">
      <c r="AK1088" s="104">
        <v>1084</v>
      </c>
      <c r="AL1088" s="14">
        <f t="shared" si="425"/>
        <v>21</v>
      </c>
      <c r="AM1088" s="14">
        <f>INDEX(挂机升级突破!DQ$6:DQ$57,卡牌消耗!$AT1088)</f>
        <v>11</v>
      </c>
      <c r="AN1088" s="14">
        <f>INDEX(挂机升级突破!DR$6:DR$57,卡牌消耗!$AT1088)</f>
        <v>5</v>
      </c>
      <c r="AO1088" s="14">
        <f>INDEX(挂机升级突破!DS$6:DS$57,卡牌消耗!$AT1088)</f>
        <v>10</v>
      </c>
      <c r="AP1088" s="14">
        <f>INDEX(挂机升级突破!$DP$6:$DP$57,卡牌消耗!AT1088)</f>
        <v>128</v>
      </c>
      <c r="AQ1088" s="14" t="str">
        <f t="shared" si="426"/>
        <v>烈风螳螂</v>
      </c>
      <c r="AR1088" s="14">
        <f t="shared" si="427"/>
        <v>3</v>
      </c>
      <c r="AS1088" s="14" t="str">
        <f t="shared" si="428"/>
        <v>烈风螳螂魂火-44</v>
      </c>
      <c r="AT1088" s="14">
        <f t="shared" si="429"/>
        <v>44</v>
      </c>
      <c r="AU1088" s="14" t="str">
        <f>IF(AM1088&gt;0,INDEX(挂机升级突破!$DT$4:$ED$4,AM1088),"")</f>
        <v>金币</v>
      </c>
      <c r="AV1088" s="14">
        <f>ROUND(INDEX(挂机升级突破!$DJ$6:$DJ$57,卡牌消耗!AT1088)*INDEX(卡牌消耗!$B$8:$F$8,AR1088)/$Q$4/50,0)*50</f>
        <v>37600</v>
      </c>
      <c r="AW1088" s="14" t="str">
        <f>IF(AN1088&gt;0,INDEX(挂机升级突破!$DT$4:$ED$4,AN1088),"")</f>
        <v>红色基础材料</v>
      </c>
      <c r="AX1088" s="14">
        <f>ROUND(INDEX(挂机升级突破!$DT$6:$ED$57,卡牌消耗!AT1088,AN1088)*INDEX(卡牌消耗!$B$5:$F$5,AR1088)/$Q$4/5,0)*5</f>
        <v>10</v>
      </c>
      <c r="AY1088" s="14" t="str">
        <f>IF(AO1088&gt;0,INDEX(挂机升级突破!$DT$4:$ED$4,AO1088),"")</f>
        <v>灵玉</v>
      </c>
      <c r="AZ1088" s="14">
        <f>IF(AO1088&gt;0,ROUND(INDEX(挂机升级突破!$DT$6:$ED$57,卡牌消耗!AT1088,AO1088)*INDEX(卡牌消耗!$B$7:$F$7,AR1088)/$Q$4,0),"")</f>
        <v>2</v>
      </c>
    </row>
    <row r="1089" spans="37:52" ht="16.5" x14ac:dyDescent="0.2">
      <c r="AK1089" s="104">
        <v>1085</v>
      </c>
      <c r="AL1089" s="14">
        <f t="shared" si="425"/>
        <v>21</v>
      </c>
      <c r="AM1089" s="14">
        <f>INDEX(挂机升级突破!DQ$6:DQ$57,卡牌消耗!$AT1089)</f>
        <v>11</v>
      </c>
      <c r="AN1089" s="14">
        <f>INDEX(挂机升级突破!DR$6:DR$57,卡牌消耗!$AT1089)</f>
        <v>5</v>
      </c>
      <c r="AO1089" s="14">
        <f>INDEX(挂机升级突破!DS$6:DS$57,卡牌消耗!$AT1089)</f>
        <v>10</v>
      </c>
      <c r="AP1089" s="14">
        <f>INDEX(挂机升级突破!$DP$6:$DP$57,卡牌消耗!AT1089)</f>
        <v>130</v>
      </c>
      <c r="AQ1089" s="14" t="str">
        <f t="shared" si="426"/>
        <v>烈风螳螂</v>
      </c>
      <c r="AR1089" s="14">
        <f t="shared" si="427"/>
        <v>3</v>
      </c>
      <c r="AS1089" s="14" t="str">
        <f t="shared" si="428"/>
        <v>烈风螳螂魂火-45</v>
      </c>
      <c r="AT1089" s="14">
        <f t="shared" si="429"/>
        <v>45</v>
      </c>
      <c r="AU1089" s="14" t="str">
        <f>IF(AM1089&gt;0,INDEX(挂机升级突破!$DT$4:$ED$4,AM1089),"")</f>
        <v>金币</v>
      </c>
      <c r="AV1089" s="14">
        <f>ROUND(INDEX(挂机升级突破!$DJ$6:$DJ$57,卡牌消耗!AT1089)*INDEX(卡牌消耗!$B$8:$F$8,AR1089)/$Q$4/50,0)*50</f>
        <v>37600</v>
      </c>
      <c r="AW1089" s="14" t="str">
        <f>IF(AN1089&gt;0,INDEX(挂机升级突破!$DT$4:$ED$4,AN1089),"")</f>
        <v>红色基础材料</v>
      </c>
      <c r="AX1089" s="14">
        <f>ROUND(INDEX(挂机升级突破!$DT$6:$ED$57,卡牌消耗!AT1089,AN1089)*INDEX(卡牌消耗!$B$5:$F$5,AR1089)/$Q$4/5,0)*5</f>
        <v>10</v>
      </c>
      <c r="AY1089" s="14" t="str">
        <f>IF(AO1089&gt;0,INDEX(挂机升级突破!$DT$4:$ED$4,AO1089),"")</f>
        <v>灵玉</v>
      </c>
      <c r="AZ1089" s="14">
        <f>IF(AO1089&gt;0,ROUND(INDEX(挂机升级突破!$DT$6:$ED$57,卡牌消耗!AT1089,AO1089)*INDEX(卡牌消耗!$B$7:$F$7,AR1089)/$Q$4,0),"")</f>
        <v>2</v>
      </c>
    </row>
    <row r="1090" spans="37:52" ht="16.5" x14ac:dyDescent="0.2">
      <c r="AK1090" s="104">
        <v>1086</v>
      </c>
      <c r="AL1090" s="14">
        <f t="shared" si="425"/>
        <v>21</v>
      </c>
      <c r="AM1090" s="14">
        <f>INDEX(挂机升级突破!DQ$6:DQ$57,卡牌消耗!$AT1090)</f>
        <v>11</v>
      </c>
      <c r="AN1090" s="14">
        <f>INDEX(挂机升级突破!DR$6:DR$57,卡牌消耗!$AT1090)</f>
        <v>5</v>
      </c>
      <c r="AO1090" s="14">
        <f>INDEX(挂机升级突破!DS$6:DS$57,卡牌消耗!$AT1090)</f>
        <v>10</v>
      </c>
      <c r="AP1090" s="14">
        <f>INDEX(挂机升级突破!$DP$6:$DP$57,卡牌消耗!AT1090)</f>
        <v>133</v>
      </c>
      <c r="AQ1090" s="14" t="str">
        <f t="shared" si="426"/>
        <v>烈风螳螂</v>
      </c>
      <c r="AR1090" s="14">
        <f t="shared" si="427"/>
        <v>3</v>
      </c>
      <c r="AS1090" s="14" t="str">
        <f t="shared" si="428"/>
        <v>烈风螳螂魂火-46</v>
      </c>
      <c r="AT1090" s="14">
        <f t="shared" si="429"/>
        <v>46</v>
      </c>
      <c r="AU1090" s="14" t="str">
        <f>IF(AM1090&gt;0,INDEX(挂机升级突破!$DT$4:$ED$4,AM1090),"")</f>
        <v>金币</v>
      </c>
      <c r="AV1090" s="14">
        <f>ROUND(INDEX(挂机升级突破!$DJ$6:$DJ$57,卡牌消耗!AT1090)*INDEX(卡牌消耗!$B$8:$F$8,AR1090)/$Q$4/50,0)*50</f>
        <v>40300</v>
      </c>
      <c r="AW1090" s="14" t="str">
        <f>IF(AN1090&gt;0,INDEX(挂机升级突破!$DT$4:$ED$4,AN1090),"")</f>
        <v>红色基础材料</v>
      </c>
      <c r="AX1090" s="14">
        <f>ROUND(INDEX(挂机升级突破!$DT$6:$ED$57,卡牌消耗!AT1090,AN1090)*INDEX(卡牌消耗!$B$5:$F$5,AR1090)/$Q$4/5,0)*5</f>
        <v>10</v>
      </c>
      <c r="AY1090" s="14" t="str">
        <f>IF(AO1090&gt;0,INDEX(挂机升级突破!$DT$4:$ED$4,AO1090),"")</f>
        <v>灵玉</v>
      </c>
      <c r="AZ1090" s="14">
        <f>IF(AO1090&gt;0,ROUND(INDEX(挂机升级突破!$DT$6:$ED$57,卡牌消耗!AT1090,AO1090)*INDEX(卡牌消耗!$B$7:$F$7,AR1090)/$Q$4,0),"")</f>
        <v>2</v>
      </c>
    </row>
    <row r="1091" spans="37:52" ht="16.5" x14ac:dyDescent="0.2">
      <c r="AK1091" s="104">
        <v>1087</v>
      </c>
      <c r="AL1091" s="14">
        <f t="shared" si="425"/>
        <v>21</v>
      </c>
      <c r="AM1091" s="14">
        <f>INDEX(挂机升级突破!DQ$6:DQ$57,卡牌消耗!$AT1091)</f>
        <v>11</v>
      </c>
      <c r="AN1091" s="14">
        <f>INDEX(挂机升级突破!DR$6:DR$57,卡牌消耗!$AT1091)</f>
        <v>5</v>
      </c>
      <c r="AO1091" s="14">
        <f>INDEX(挂机升级突破!DS$6:DS$57,卡牌消耗!$AT1091)</f>
        <v>10</v>
      </c>
      <c r="AP1091" s="14">
        <f>INDEX(挂机升级突破!$DP$6:$DP$57,卡牌消耗!AT1091)</f>
        <v>135</v>
      </c>
      <c r="AQ1091" s="14" t="str">
        <f t="shared" si="426"/>
        <v>烈风螳螂</v>
      </c>
      <c r="AR1091" s="14">
        <f t="shared" si="427"/>
        <v>3</v>
      </c>
      <c r="AS1091" s="14" t="str">
        <f t="shared" si="428"/>
        <v>烈风螳螂魂火-47</v>
      </c>
      <c r="AT1091" s="14">
        <f t="shared" si="429"/>
        <v>47</v>
      </c>
      <c r="AU1091" s="14" t="str">
        <f>IF(AM1091&gt;0,INDEX(挂机升级突破!$DT$4:$ED$4,AM1091),"")</f>
        <v>金币</v>
      </c>
      <c r="AV1091" s="14">
        <f>ROUND(INDEX(挂机升级突破!$DJ$6:$DJ$57,卡牌消耗!AT1091)*INDEX(卡牌消耗!$B$8:$F$8,AR1091)/$Q$4/50,0)*50</f>
        <v>82050</v>
      </c>
      <c r="AW1091" s="14" t="str">
        <f>IF(AN1091&gt;0,INDEX(挂机升级突破!$DT$4:$ED$4,AN1091),"")</f>
        <v>红色基础材料</v>
      </c>
      <c r="AX1091" s="14">
        <f>ROUND(INDEX(挂机升级突破!$DT$6:$ED$57,卡牌消耗!AT1091,AN1091)*INDEX(卡牌消耗!$B$5:$F$5,AR1091)/$Q$4/5,0)*5</f>
        <v>10</v>
      </c>
      <c r="AY1091" s="14" t="str">
        <f>IF(AO1091&gt;0,INDEX(挂机升级突破!$DT$4:$ED$4,AO1091),"")</f>
        <v>灵玉</v>
      </c>
      <c r="AZ1091" s="14">
        <f>IF(AO1091&gt;0,ROUND(INDEX(挂机升级突破!$DT$6:$ED$57,卡牌消耗!AT1091,AO1091)*INDEX(卡牌消耗!$B$7:$F$7,AR1091)/$Q$4,0),"")</f>
        <v>2</v>
      </c>
    </row>
    <row r="1092" spans="37:52" ht="16.5" x14ac:dyDescent="0.2">
      <c r="AK1092" s="104">
        <v>1088</v>
      </c>
      <c r="AL1092" s="14">
        <f t="shared" si="425"/>
        <v>21</v>
      </c>
      <c r="AM1092" s="14">
        <f>INDEX(挂机升级突破!DQ$6:DQ$57,卡牌消耗!$AT1092)</f>
        <v>11</v>
      </c>
      <c r="AN1092" s="14">
        <f>INDEX(挂机升级突破!DR$6:DR$57,卡牌消耗!$AT1092)</f>
        <v>5</v>
      </c>
      <c r="AO1092" s="14">
        <f>INDEX(挂机升级突破!DS$6:DS$57,卡牌消耗!$AT1092)</f>
        <v>10</v>
      </c>
      <c r="AP1092" s="14">
        <f>INDEX(挂机升级突破!$DP$6:$DP$57,卡牌消耗!AT1092)</f>
        <v>138</v>
      </c>
      <c r="AQ1092" s="14" t="str">
        <f t="shared" si="426"/>
        <v>烈风螳螂</v>
      </c>
      <c r="AR1092" s="14">
        <f t="shared" si="427"/>
        <v>3</v>
      </c>
      <c r="AS1092" s="14" t="str">
        <f t="shared" si="428"/>
        <v>烈风螳螂魂火-48</v>
      </c>
      <c r="AT1092" s="14">
        <f t="shared" si="429"/>
        <v>48</v>
      </c>
      <c r="AU1092" s="14" t="str">
        <f>IF(AM1092&gt;0,INDEX(挂机升级突破!$DT$4:$ED$4,AM1092),"")</f>
        <v>金币</v>
      </c>
      <c r="AV1092" s="14">
        <f>ROUND(INDEX(挂机升级突破!$DJ$6:$DJ$57,卡牌消耗!AT1092)*INDEX(卡牌消耗!$B$8:$F$8,AR1092)/$Q$4/50,0)*50</f>
        <v>82050</v>
      </c>
      <c r="AW1092" s="14" t="str">
        <f>IF(AN1092&gt;0,INDEX(挂机升级突破!$DT$4:$ED$4,AN1092),"")</f>
        <v>红色基础材料</v>
      </c>
      <c r="AX1092" s="14">
        <f>ROUND(INDEX(挂机升级突破!$DT$6:$ED$57,卡牌消耗!AT1092,AN1092)*INDEX(卡牌消耗!$B$5:$F$5,AR1092)/$Q$4/5,0)*5</f>
        <v>10</v>
      </c>
      <c r="AY1092" s="14" t="str">
        <f>IF(AO1092&gt;0,INDEX(挂机升级突破!$DT$4:$ED$4,AO1092),"")</f>
        <v>灵玉</v>
      </c>
      <c r="AZ1092" s="14">
        <f>IF(AO1092&gt;0,ROUND(INDEX(挂机升级突破!$DT$6:$ED$57,卡牌消耗!AT1092,AO1092)*INDEX(卡牌消耗!$B$7:$F$7,AR1092)/$Q$4,0),"")</f>
        <v>2</v>
      </c>
    </row>
    <row r="1093" spans="37:52" ht="16.5" x14ac:dyDescent="0.2">
      <c r="AK1093" s="104">
        <v>1089</v>
      </c>
      <c r="AL1093" s="14">
        <f t="shared" si="425"/>
        <v>21</v>
      </c>
      <c r="AM1093" s="14">
        <f>INDEX(挂机升级突破!DQ$6:DQ$57,卡牌消耗!$AT1093)</f>
        <v>11</v>
      </c>
      <c r="AN1093" s="14">
        <f>INDEX(挂机升级突破!DR$6:DR$57,卡牌消耗!$AT1093)</f>
        <v>5</v>
      </c>
      <c r="AO1093" s="14">
        <f>INDEX(挂机升级突破!DS$6:DS$57,卡牌消耗!$AT1093)</f>
        <v>10</v>
      </c>
      <c r="AP1093" s="14">
        <f>INDEX(挂机升级突破!$DP$6:$DP$57,卡牌消耗!AT1093)</f>
        <v>140</v>
      </c>
      <c r="AQ1093" s="14" t="str">
        <f t="shared" si="426"/>
        <v>烈风螳螂</v>
      </c>
      <c r="AR1093" s="14">
        <f t="shared" si="427"/>
        <v>3</v>
      </c>
      <c r="AS1093" s="14" t="str">
        <f t="shared" si="428"/>
        <v>烈风螳螂魂火-49</v>
      </c>
      <c r="AT1093" s="14">
        <f t="shared" si="429"/>
        <v>49</v>
      </c>
      <c r="AU1093" s="14" t="str">
        <f>IF(AM1093&gt;0,INDEX(挂机升级突破!$DT$4:$ED$4,AM1093),"")</f>
        <v>金币</v>
      </c>
      <c r="AV1093" s="14">
        <f>ROUND(INDEX(挂机升级突破!$DJ$6:$DJ$57,卡牌消耗!AT1093)*INDEX(卡牌消耗!$B$8:$F$8,AR1093)/$Q$4/50,0)*50</f>
        <v>82050</v>
      </c>
      <c r="AW1093" s="14" t="str">
        <f>IF(AN1093&gt;0,INDEX(挂机升级突破!$DT$4:$ED$4,AN1093),"")</f>
        <v>红色基础材料</v>
      </c>
      <c r="AX1093" s="14">
        <f>ROUND(INDEX(挂机升级突破!$DT$6:$ED$57,卡牌消耗!AT1093,AN1093)*INDEX(卡牌消耗!$B$5:$F$5,AR1093)/$Q$4/5,0)*5</f>
        <v>15</v>
      </c>
      <c r="AY1093" s="14" t="str">
        <f>IF(AO1093&gt;0,INDEX(挂机升级突破!$DT$4:$ED$4,AO1093),"")</f>
        <v>灵玉</v>
      </c>
      <c r="AZ1093" s="14">
        <f>IF(AO1093&gt;0,ROUND(INDEX(挂机升级突破!$DT$6:$ED$57,卡牌消耗!AT1093,AO1093)*INDEX(卡牌消耗!$B$7:$F$7,AR1093)/$Q$4,0),"")</f>
        <v>2</v>
      </c>
    </row>
    <row r="1094" spans="37:52" ht="16.5" x14ac:dyDescent="0.2">
      <c r="AK1094" s="104">
        <v>1090</v>
      </c>
      <c r="AL1094" s="14">
        <f t="shared" ref="AL1094:AL1157" si="430">INT((AK1094-1)/52)+1</f>
        <v>21</v>
      </c>
      <c r="AM1094" s="14">
        <f>INDEX(挂机升级突破!DQ$6:DQ$57,卡牌消耗!$AT1094)</f>
        <v>11</v>
      </c>
      <c r="AN1094" s="14">
        <f>INDEX(挂机升级突破!DR$6:DR$57,卡牌消耗!$AT1094)</f>
        <v>5</v>
      </c>
      <c r="AO1094" s="14">
        <f>INDEX(挂机升级突破!DS$6:DS$57,卡牌消耗!$AT1094)</f>
        <v>10</v>
      </c>
      <c r="AP1094" s="14">
        <f>INDEX(挂机升级突破!$DP$6:$DP$57,卡牌消耗!AT1094)</f>
        <v>143</v>
      </c>
      <c r="AQ1094" s="14" t="str">
        <f t="shared" ref="AQ1094:AQ1157" si="431">INDEX($B$13:$B$45,AL1094)</f>
        <v>烈风螳螂</v>
      </c>
      <c r="AR1094" s="14">
        <f t="shared" ref="AR1094:AR1157" si="432">INDEX($C$13:$C$45,AL1094)</f>
        <v>3</v>
      </c>
      <c r="AS1094" s="14" t="str">
        <f t="shared" ref="AS1094:AS1157" si="433">AQ1094&amp;"魂火-"&amp;AT1094</f>
        <v>烈风螳螂魂火-50</v>
      </c>
      <c r="AT1094" s="14">
        <f t="shared" ref="AT1094:AT1157" si="434">AK1094-(AL1094-1)*52</f>
        <v>50</v>
      </c>
      <c r="AU1094" s="14" t="str">
        <f>IF(AM1094&gt;0,INDEX(挂机升级突破!$DT$4:$ED$4,AM1094),"")</f>
        <v>金币</v>
      </c>
      <c r="AV1094" s="14">
        <f>ROUND(INDEX(挂机升级突破!$DJ$6:$DJ$57,卡牌消耗!AT1094)*INDEX(卡牌消耗!$B$8:$F$8,AR1094)/$Q$4/50,0)*50</f>
        <v>136750</v>
      </c>
      <c r="AW1094" s="14" t="str">
        <f>IF(AN1094&gt;0,INDEX(挂机升级突破!$DT$4:$ED$4,AN1094),"")</f>
        <v>红色基础材料</v>
      </c>
      <c r="AX1094" s="14">
        <f>ROUND(INDEX(挂机升级突破!$DT$6:$ED$57,卡牌消耗!AT1094,AN1094)*INDEX(卡牌消耗!$B$5:$F$5,AR1094)/$Q$4/5,0)*5</f>
        <v>15</v>
      </c>
      <c r="AY1094" s="14" t="str">
        <f>IF(AO1094&gt;0,INDEX(挂机升级突破!$DT$4:$ED$4,AO1094),"")</f>
        <v>灵玉</v>
      </c>
      <c r="AZ1094" s="14">
        <f>IF(AO1094&gt;0,ROUND(INDEX(挂机升级突破!$DT$6:$ED$57,卡牌消耗!AT1094,AO1094)*INDEX(卡牌消耗!$B$7:$F$7,AR1094)/$Q$4,0),"")</f>
        <v>2</v>
      </c>
    </row>
    <row r="1095" spans="37:52" ht="16.5" x14ac:dyDescent="0.2">
      <c r="AK1095" s="104">
        <v>1091</v>
      </c>
      <c r="AL1095" s="14">
        <f t="shared" si="430"/>
        <v>21</v>
      </c>
      <c r="AM1095" s="14">
        <f>INDEX(挂机升级突破!DQ$6:DQ$57,卡牌消耗!$AT1095)</f>
        <v>11</v>
      </c>
      <c r="AN1095" s="14">
        <f>INDEX(挂机升级突破!DR$6:DR$57,卡牌消耗!$AT1095)</f>
        <v>5</v>
      </c>
      <c r="AO1095" s="14">
        <f>INDEX(挂机升级突破!DS$6:DS$57,卡牌消耗!$AT1095)</f>
        <v>10</v>
      </c>
      <c r="AP1095" s="14">
        <f>INDEX(挂机升级突破!$DP$6:$DP$57,卡牌消耗!AT1095)</f>
        <v>145</v>
      </c>
      <c r="AQ1095" s="14" t="str">
        <f t="shared" si="431"/>
        <v>烈风螳螂</v>
      </c>
      <c r="AR1095" s="14">
        <f t="shared" si="432"/>
        <v>3</v>
      </c>
      <c r="AS1095" s="14" t="str">
        <f t="shared" si="433"/>
        <v>烈风螳螂魂火-51</v>
      </c>
      <c r="AT1095" s="14">
        <f t="shared" si="434"/>
        <v>51</v>
      </c>
      <c r="AU1095" s="14" t="str">
        <f>IF(AM1095&gt;0,INDEX(挂机升级突破!$DT$4:$ED$4,AM1095),"")</f>
        <v>金币</v>
      </c>
      <c r="AV1095" s="14">
        <f>ROUND(INDEX(挂机升级突破!$DJ$6:$DJ$57,卡牌消耗!AT1095)*INDEX(卡牌消耗!$B$8:$F$8,AR1095)/$Q$4/50,0)*50</f>
        <v>150450</v>
      </c>
      <c r="AW1095" s="14" t="str">
        <f>IF(AN1095&gt;0,INDEX(挂机升级突破!$DT$4:$ED$4,AN1095),"")</f>
        <v>红色基础材料</v>
      </c>
      <c r="AX1095" s="14">
        <f>ROUND(INDEX(挂机升级突破!$DT$6:$ED$57,卡牌消耗!AT1095,AN1095)*INDEX(卡牌消耗!$B$5:$F$5,AR1095)/$Q$4/5,0)*5</f>
        <v>15</v>
      </c>
      <c r="AY1095" s="14" t="str">
        <f>IF(AO1095&gt;0,INDEX(挂机升级突破!$DT$4:$ED$4,AO1095),"")</f>
        <v>灵玉</v>
      </c>
      <c r="AZ1095" s="14">
        <f>IF(AO1095&gt;0,ROUND(INDEX(挂机升级突破!$DT$6:$ED$57,卡牌消耗!AT1095,AO1095)*INDEX(卡牌消耗!$B$7:$F$7,AR1095)/$Q$4,0),"")</f>
        <v>2</v>
      </c>
    </row>
    <row r="1096" spans="37:52" ht="16.5" x14ac:dyDescent="0.2">
      <c r="AK1096" s="104">
        <v>1092</v>
      </c>
      <c r="AL1096" s="14">
        <f t="shared" si="430"/>
        <v>21</v>
      </c>
      <c r="AM1096" s="14">
        <f>INDEX(挂机升级突破!DQ$6:DQ$57,卡牌消耗!$AT1096)</f>
        <v>11</v>
      </c>
      <c r="AN1096" s="14">
        <f>INDEX(挂机升级突破!DR$6:DR$57,卡牌消耗!$AT1096)</f>
        <v>5</v>
      </c>
      <c r="AO1096" s="14">
        <f>INDEX(挂机升级突破!DS$6:DS$57,卡牌消耗!$AT1096)</f>
        <v>10</v>
      </c>
      <c r="AP1096" s="14">
        <f>INDEX(挂机升级突破!$DP$6:$DP$57,卡牌消耗!AT1096)</f>
        <v>148</v>
      </c>
      <c r="AQ1096" s="14" t="str">
        <f t="shared" si="431"/>
        <v>烈风螳螂</v>
      </c>
      <c r="AR1096" s="14">
        <f t="shared" si="432"/>
        <v>3</v>
      </c>
      <c r="AS1096" s="14" t="str">
        <f t="shared" si="433"/>
        <v>烈风螳螂魂火-52</v>
      </c>
      <c r="AT1096" s="14">
        <f t="shared" si="434"/>
        <v>52</v>
      </c>
      <c r="AU1096" s="14" t="str">
        <f>IF(AM1096&gt;0,INDEX(挂机升级突破!$DT$4:$ED$4,AM1096),"")</f>
        <v>金币</v>
      </c>
      <c r="AV1096" s="14">
        <f>ROUND(INDEX(挂机升级突破!$DJ$6:$DJ$57,卡牌消耗!AT1096)*INDEX(卡牌消耗!$B$8:$F$8,AR1096)/$Q$4/50,0)*50</f>
        <v>150450</v>
      </c>
      <c r="AW1096" s="14" t="str">
        <f>IF(AN1096&gt;0,INDEX(挂机升级突破!$DT$4:$ED$4,AN1096),"")</f>
        <v>红色基础材料</v>
      </c>
      <c r="AX1096" s="14">
        <f>ROUND(INDEX(挂机升级突破!$DT$6:$ED$57,卡牌消耗!AT1096,AN1096)*INDEX(卡牌消耗!$B$5:$F$5,AR1096)/$Q$4/5,0)*5</f>
        <v>15</v>
      </c>
      <c r="AY1096" s="14" t="str">
        <f>IF(AO1096&gt;0,INDEX(挂机升级突破!$DT$4:$ED$4,AO1096),"")</f>
        <v>灵玉</v>
      </c>
      <c r="AZ1096" s="14">
        <f>IF(AO1096&gt;0,ROUND(INDEX(挂机升级突破!$DT$6:$ED$57,卡牌消耗!AT1096,AO1096)*INDEX(卡牌消耗!$B$7:$F$7,AR1096)/$Q$4,0),"")</f>
        <v>2</v>
      </c>
    </row>
    <row r="1097" spans="37:52" ht="16.5" x14ac:dyDescent="0.2">
      <c r="AK1097" s="104">
        <v>1093</v>
      </c>
      <c r="AL1097" s="14">
        <f t="shared" si="430"/>
        <v>22</v>
      </c>
      <c r="AM1097" s="14">
        <f>INDEX(挂机升级突破!DQ$6:DQ$57,卡牌消耗!$AT1097)</f>
        <v>11</v>
      </c>
      <c r="AN1097" s="14">
        <f>INDEX(挂机升级突破!DR$6:DR$57,卡牌消耗!$AT1097)</f>
        <v>1</v>
      </c>
      <c r="AO1097" s="14">
        <f>INDEX(挂机升级突破!DS$6:DS$57,卡牌消耗!$AT1097)</f>
        <v>0</v>
      </c>
      <c r="AP1097" s="14">
        <f>INDEX(挂机升级突破!$DP$6:$DP$57,卡牌消耗!AT1097)</f>
        <v>3</v>
      </c>
      <c r="AQ1097" s="14" t="str">
        <f t="shared" si="431"/>
        <v>柠檬精</v>
      </c>
      <c r="AR1097" s="14">
        <f t="shared" si="432"/>
        <v>2</v>
      </c>
      <c r="AS1097" s="14" t="str">
        <f t="shared" si="433"/>
        <v>柠檬精魂火-1</v>
      </c>
      <c r="AT1097" s="14">
        <f t="shared" si="434"/>
        <v>1</v>
      </c>
      <c r="AU1097" s="14" t="str">
        <f>IF(AM1097&gt;0,INDEX(挂机升级突破!$DT$4:$ED$4,AM1097),"")</f>
        <v>金币</v>
      </c>
      <c r="AV1097" s="14">
        <f>ROUND(INDEX(挂机升级突破!$DJ$6:$DJ$57,卡牌消耗!AT1097)*INDEX(卡牌消耗!$B$8:$F$8,AR1097)/$Q$4/50,0)*50</f>
        <v>600</v>
      </c>
      <c r="AW1097" s="14" t="str">
        <f>IF(AN1097&gt;0,INDEX(挂机升级突破!$DT$4:$ED$4,AN1097),"")</f>
        <v>绿色基础材料</v>
      </c>
      <c r="AX1097" s="14">
        <f>ROUND(INDEX(挂机升级突破!$DT$6:$ED$57,卡牌消耗!AT1097,AN1097)*INDEX(卡牌消耗!$B$5:$F$5,AR1097)/$Q$4/5,0)*5</f>
        <v>20</v>
      </c>
      <c r="AY1097" s="14" t="str">
        <f>IF(AO1097&gt;0,INDEX(挂机升级突破!$DT$4:$ED$4,AO1097),"")</f>
        <v/>
      </c>
      <c r="AZ1097" s="14" t="str">
        <f>IF(AO1097&gt;0,ROUND(INDEX(挂机升级突破!$DT$6:$ED$57,卡牌消耗!AT1097,AO1097)*INDEX(卡牌消耗!$B$7:$F$7,AR1097)/$Q$4,0),"")</f>
        <v/>
      </c>
    </row>
    <row r="1098" spans="37:52" ht="16.5" x14ac:dyDescent="0.2">
      <c r="AK1098" s="104">
        <v>1094</v>
      </c>
      <c r="AL1098" s="14">
        <f t="shared" si="430"/>
        <v>22</v>
      </c>
      <c r="AM1098" s="14">
        <f>INDEX(挂机升级突破!DQ$6:DQ$57,卡牌消耗!$AT1098)</f>
        <v>11</v>
      </c>
      <c r="AN1098" s="14">
        <f>INDEX(挂机升级突破!DR$6:DR$57,卡牌消耗!$AT1098)</f>
        <v>1</v>
      </c>
      <c r="AO1098" s="14">
        <f>INDEX(挂机升级突破!DS$6:DS$57,卡牌消耗!$AT1098)</f>
        <v>0</v>
      </c>
      <c r="AP1098" s="14">
        <f>INDEX(挂机升级突破!$DP$6:$DP$57,卡牌消耗!AT1098)</f>
        <v>8</v>
      </c>
      <c r="AQ1098" s="14" t="str">
        <f t="shared" si="431"/>
        <v>柠檬精</v>
      </c>
      <c r="AR1098" s="14">
        <f t="shared" si="432"/>
        <v>2</v>
      </c>
      <c r="AS1098" s="14" t="str">
        <f t="shared" si="433"/>
        <v>柠檬精魂火-2</v>
      </c>
      <c r="AT1098" s="14">
        <f t="shared" si="434"/>
        <v>2</v>
      </c>
      <c r="AU1098" s="14" t="str">
        <f>IF(AM1098&gt;0,INDEX(挂机升级突破!$DT$4:$ED$4,AM1098),"")</f>
        <v>金币</v>
      </c>
      <c r="AV1098" s="14">
        <f>ROUND(INDEX(挂机升级突破!$DJ$6:$DJ$57,卡牌消耗!AT1098)*INDEX(卡牌消耗!$B$8:$F$8,AR1098)/$Q$4/50,0)*50</f>
        <v>750</v>
      </c>
      <c r="AW1098" s="14" t="str">
        <f>IF(AN1098&gt;0,INDEX(挂机升级突破!$DT$4:$ED$4,AN1098),"")</f>
        <v>绿色基础材料</v>
      </c>
      <c r="AX1098" s="14">
        <f>ROUND(INDEX(挂机升级突破!$DT$6:$ED$57,卡牌消耗!AT1098,AN1098)*INDEX(卡牌消耗!$B$5:$F$5,AR1098)/$Q$4/5,0)*5</f>
        <v>70</v>
      </c>
      <c r="AY1098" s="14" t="str">
        <f>IF(AO1098&gt;0,INDEX(挂机升级突破!$DT$4:$ED$4,AO1098),"")</f>
        <v/>
      </c>
      <c r="AZ1098" s="14" t="str">
        <f>IF(AO1098&gt;0,ROUND(INDEX(挂机升级突破!$DT$6:$ED$57,卡牌消耗!AT1098,AO1098)*INDEX(卡牌消耗!$B$7:$F$7,AR1098)/$Q$4,0),"")</f>
        <v/>
      </c>
    </row>
    <row r="1099" spans="37:52" ht="16.5" x14ac:dyDescent="0.2">
      <c r="AK1099" s="104">
        <v>1095</v>
      </c>
      <c r="AL1099" s="14">
        <f t="shared" si="430"/>
        <v>22</v>
      </c>
      <c r="AM1099" s="14">
        <f>INDEX(挂机升级突破!DQ$6:DQ$57,卡牌消耗!$AT1099)</f>
        <v>11</v>
      </c>
      <c r="AN1099" s="14">
        <f>INDEX(挂机升级突破!DR$6:DR$57,卡牌消耗!$AT1099)</f>
        <v>1</v>
      </c>
      <c r="AO1099" s="14">
        <f>INDEX(挂机升级突破!DS$6:DS$57,卡牌消耗!$AT1099)</f>
        <v>0</v>
      </c>
      <c r="AP1099" s="14">
        <f>INDEX(挂机升级突破!$DP$6:$DP$57,卡牌消耗!AT1099)</f>
        <v>13</v>
      </c>
      <c r="AQ1099" s="14" t="str">
        <f t="shared" si="431"/>
        <v>柠檬精</v>
      </c>
      <c r="AR1099" s="14">
        <f t="shared" si="432"/>
        <v>2</v>
      </c>
      <c r="AS1099" s="14" t="str">
        <f t="shared" si="433"/>
        <v>柠檬精魂火-3</v>
      </c>
      <c r="AT1099" s="14">
        <f t="shared" si="434"/>
        <v>3</v>
      </c>
      <c r="AU1099" s="14" t="str">
        <f>IF(AM1099&gt;0,INDEX(挂机升级突破!$DT$4:$ED$4,AM1099),"")</f>
        <v>金币</v>
      </c>
      <c r="AV1099" s="14">
        <f>ROUND(INDEX(挂机升级突破!$DJ$6:$DJ$57,卡牌消耗!AT1099)*INDEX(卡牌消耗!$B$8:$F$8,AR1099)/$Q$4/50,0)*50</f>
        <v>750</v>
      </c>
      <c r="AW1099" s="14" t="str">
        <f>IF(AN1099&gt;0,INDEX(挂机升级突破!$DT$4:$ED$4,AN1099),"")</f>
        <v>绿色基础材料</v>
      </c>
      <c r="AX1099" s="14">
        <f>ROUND(INDEX(挂机升级突破!$DT$6:$ED$57,卡牌消耗!AT1099,AN1099)*INDEX(卡牌消耗!$B$5:$F$5,AR1099)/$Q$4/5,0)*5</f>
        <v>80</v>
      </c>
      <c r="AY1099" s="14" t="str">
        <f>IF(AO1099&gt;0,INDEX(挂机升级突破!$DT$4:$ED$4,AO1099),"")</f>
        <v/>
      </c>
      <c r="AZ1099" s="14" t="str">
        <f>IF(AO1099&gt;0,ROUND(INDEX(挂机升级突破!$DT$6:$ED$57,卡牌消耗!AT1099,AO1099)*INDEX(卡牌消耗!$B$7:$F$7,AR1099)/$Q$4,0),"")</f>
        <v/>
      </c>
    </row>
    <row r="1100" spans="37:52" ht="16.5" x14ac:dyDescent="0.2">
      <c r="AK1100" s="104">
        <v>1096</v>
      </c>
      <c r="AL1100" s="14">
        <f t="shared" si="430"/>
        <v>22</v>
      </c>
      <c r="AM1100" s="14">
        <f>INDEX(挂机升级突破!DQ$6:DQ$57,卡牌消耗!$AT1100)</f>
        <v>11</v>
      </c>
      <c r="AN1100" s="14">
        <f>INDEX(挂机升级突破!DR$6:DR$57,卡牌消耗!$AT1100)</f>
        <v>1</v>
      </c>
      <c r="AO1100" s="14">
        <f>INDEX(挂机升级突破!DS$6:DS$57,卡牌消耗!$AT1100)</f>
        <v>0</v>
      </c>
      <c r="AP1100" s="14">
        <f>INDEX(挂机升级突破!$DP$6:$DP$57,卡牌消耗!AT1100)</f>
        <v>18</v>
      </c>
      <c r="AQ1100" s="14" t="str">
        <f t="shared" si="431"/>
        <v>柠檬精</v>
      </c>
      <c r="AR1100" s="14">
        <f t="shared" si="432"/>
        <v>2</v>
      </c>
      <c r="AS1100" s="14" t="str">
        <f t="shared" si="433"/>
        <v>柠檬精魂火-4</v>
      </c>
      <c r="AT1100" s="14">
        <f t="shared" si="434"/>
        <v>4</v>
      </c>
      <c r="AU1100" s="14" t="str">
        <f>IF(AM1100&gt;0,INDEX(挂机升级突破!$DT$4:$ED$4,AM1100),"")</f>
        <v>金币</v>
      </c>
      <c r="AV1100" s="14">
        <f>ROUND(INDEX(挂机升级突破!$DJ$6:$DJ$57,卡牌消耗!AT1100)*INDEX(卡牌消耗!$B$8:$F$8,AR1100)/$Q$4/50,0)*50</f>
        <v>750</v>
      </c>
      <c r="AW1100" s="14" t="str">
        <f>IF(AN1100&gt;0,INDEX(挂机升级突破!$DT$4:$ED$4,AN1100),"")</f>
        <v>绿色基础材料</v>
      </c>
      <c r="AX1100" s="14">
        <f>ROUND(INDEX(挂机升级突破!$DT$6:$ED$57,卡牌消耗!AT1100,AN1100)*INDEX(卡牌消耗!$B$5:$F$5,AR1100)/$Q$4/5,0)*5</f>
        <v>115</v>
      </c>
      <c r="AY1100" s="14" t="str">
        <f>IF(AO1100&gt;0,INDEX(挂机升级突破!$DT$4:$ED$4,AO1100),"")</f>
        <v/>
      </c>
      <c r="AZ1100" s="14" t="str">
        <f>IF(AO1100&gt;0,ROUND(INDEX(挂机升级突破!$DT$6:$ED$57,卡牌消耗!AT1100,AO1100)*INDEX(卡牌消耗!$B$7:$F$7,AR1100)/$Q$4,0),"")</f>
        <v/>
      </c>
    </row>
    <row r="1101" spans="37:52" ht="16.5" x14ac:dyDescent="0.2">
      <c r="AK1101" s="104">
        <v>1097</v>
      </c>
      <c r="AL1101" s="14">
        <f t="shared" si="430"/>
        <v>22</v>
      </c>
      <c r="AM1101" s="14">
        <f>INDEX(挂机升级突破!DQ$6:DQ$57,卡牌消耗!$AT1101)</f>
        <v>11</v>
      </c>
      <c r="AN1101" s="14">
        <f>INDEX(挂机升级突破!DR$6:DR$57,卡牌消耗!$AT1101)</f>
        <v>1</v>
      </c>
      <c r="AO1101" s="14">
        <f>INDEX(挂机升级突破!DS$6:DS$57,卡牌消耗!$AT1101)</f>
        <v>0</v>
      </c>
      <c r="AP1101" s="14">
        <f>INDEX(挂机升级突破!$DP$6:$DP$57,卡牌消耗!AT1101)</f>
        <v>23</v>
      </c>
      <c r="AQ1101" s="14" t="str">
        <f t="shared" si="431"/>
        <v>柠檬精</v>
      </c>
      <c r="AR1101" s="14">
        <f t="shared" si="432"/>
        <v>2</v>
      </c>
      <c r="AS1101" s="14" t="str">
        <f t="shared" si="433"/>
        <v>柠檬精魂火-5</v>
      </c>
      <c r="AT1101" s="14">
        <f t="shared" si="434"/>
        <v>5</v>
      </c>
      <c r="AU1101" s="14" t="str">
        <f>IF(AM1101&gt;0,INDEX(挂机升级突破!$DT$4:$ED$4,AM1101),"")</f>
        <v>金币</v>
      </c>
      <c r="AV1101" s="14">
        <f>ROUND(INDEX(挂机升级突破!$DJ$6:$DJ$57,卡牌消耗!AT1101)*INDEX(卡牌消耗!$B$8:$F$8,AR1101)/$Q$4/50,0)*50</f>
        <v>750</v>
      </c>
      <c r="AW1101" s="14" t="str">
        <f>IF(AN1101&gt;0,INDEX(挂机升级突破!$DT$4:$ED$4,AN1101),"")</f>
        <v>绿色基础材料</v>
      </c>
      <c r="AX1101" s="14">
        <f>ROUND(INDEX(挂机升级突破!$DT$6:$ED$57,卡牌消耗!AT1101,AN1101)*INDEX(卡牌消耗!$B$5:$F$5,AR1101)/$Q$4/5,0)*5</f>
        <v>125</v>
      </c>
      <c r="AY1101" s="14" t="str">
        <f>IF(AO1101&gt;0,INDEX(挂机升级突破!$DT$4:$ED$4,AO1101),"")</f>
        <v/>
      </c>
      <c r="AZ1101" s="14" t="str">
        <f>IF(AO1101&gt;0,ROUND(INDEX(挂机升级突破!$DT$6:$ED$57,卡牌消耗!AT1101,AO1101)*INDEX(卡牌消耗!$B$7:$F$7,AR1101)/$Q$4,0),"")</f>
        <v/>
      </c>
    </row>
    <row r="1102" spans="37:52" ht="16.5" x14ac:dyDescent="0.2">
      <c r="AK1102" s="104">
        <v>1098</v>
      </c>
      <c r="AL1102" s="14">
        <f t="shared" si="430"/>
        <v>22</v>
      </c>
      <c r="AM1102" s="14">
        <f>INDEX(挂机升级突破!DQ$6:DQ$57,卡牌消耗!$AT1102)</f>
        <v>11</v>
      </c>
      <c r="AN1102" s="14">
        <f>INDEX(挂机升级突破!DR$6:DR$57,卡牌消耗!$AT1102)</f>
        <v>2</v>
      </c>
      <c r="AO1102" s="14">
        <f>INDEX(挂机升级突破!DS$6:DS$57,卡牌消耗!$AT1102)</f>
        <v>0</v>
      </c>
      <c r="AP1102" s="14">
        <f>INDEX(挂机升级突破!$DP$6:$DP$57,卡牌消耗!AT1102)</f>
        <v>28</v>
      </c>
      <c r="AQ1102" s="14" t="str">
        <f t="shared" si="431"/>
        <v>柠檬精</v>
      </c>
      <c r="AR1102" s="14">
        <f t="shared" si="432"/>
        <v>2</v>
      </c>
      <c r="AS1102" s="14" t="str">
        <f t="shared" si="433"/>
        <v>柠檬精魂火-6</v>
      </c>
      <c r="AT1102" s="14">
        <f t="shared" si="434"/>
        <v>6</v>
      </c>
      <c r="AU1102" s="14" t="str">
        <f>IF(AM1102&gt;0,INDEX(挂机升级突破!$DT$4:$ED$4,AM1102),"")</f>
        <v>金币</v>
      </c>
      <c r="AV1102" s="14">
        <f>ROUND(INDEX(挂机升级突破!$DJ$6:$DJ$57,卡牌消耗!AT1102)*INDEX(卡牌消耗!$B$8:$F$8,AR1102)/$Q$4/50,0)*50</f>
        <v>900</v>
      </c>
      <c r="AW1102" s="14" t="str">
        <f>IF(AN1102&gt;0,INDEX(挂机升级突破!$DT$4:$ED$4,AN1102),"")</f>
        <v>蓝色基础材料</v>
      </c>
      <c r="AX1102" s="14">
        <f>ROUND(INDEX(挂机升级突破!$DT$6:$ED$57,卡牌消耗!AT1102,AN1102)*INDEX(卡牌消耗!$B$5:$F$5,AR1102)/$Q$4/5,0)*5</f>
        <v>25</v>
      </c>
      <c r="AY1102" s="14" t="str">
        <f>IF(AO1102&gt;0,INDEX(挂机升级突破!$DT$4:$ED$4,AO1102),"")</f>
        <v/>
      </c>
      <c r="AZ1102" s="14" t="str">
        <f>IF(AO1102&gt;0,ROUND(INDEX(挂机升级突破!$DT$6:$ED$57,卡牌消耗!AT1102,AO1102)*INDEX(卡牌消耗!$B$7:$F$7,AR1102)/$Q$4,0),"")</f>
        <v/>
      </c>
    </row>
    <row r="1103" spans="37:52" ht="16.5" x14ac:dyDescent="0.2">
      <c r="AK1103" s="104">
        <v>1099</v>
      </c>
      <c r="AL1103" s="14">
        <f t="shared" si="430"/>
        <v>22</v>
      </c>
      <c r="AM1103" s="14">
        <f>INDEX(挂机升级突破!DQ$6:DQ$57,卡牌消耗!$AT1103)</f>
        <v>11</v>
      </c>
      <c r="AN1103" s="14">
        <f>INDEX(挂机升级突破!DR$6:DR$57,卡牌消耗!$AT1103)</f>
        <v>2</v>
      </c>
      <c r="AO1103" s="14">
        <f>INDEX(挂机升级突破!DS$6:DS$57,卡牌消耗!$AT1103)</f>
        <v>0</v>
      </c>
      <c r="AP1103" s="14">
        <f>INDEX(挂机升级突破!$DP$6:$DP$57,卡牌消耗!AT1103)</f>
        <v>33</v>
      </c>
      <c r="AQ1103" s="14" t="str">
        <f t="shared" si="431"/>
        <v>柠檬精</v>
      </c>
      <c r="AR1103" s="14">
        <f t="shared" si="432"/>
        <v>2</v>
      </c>
      <c r="AS1103" s="14" t="str">
        <f t="shared" si="433"/>
        <v>柠檬精魂火-7</v>
      </c>
      <c r="AT1103" s="14">
        <f t="shared" si="434"/>
        <v>7</v>
      </c>
      <c r="AU1103" s="14" t="str">
        <f>IF(AM1103&gt;0,INDEX(挂机升级突破!$DT$4:$ED$4,AM1103),"")</f>
        <v>金币</v>
      </c>
      <c r="AV1103" s="14">
        <f>ROUND(INDEX(挂机升级突破!$DJ$6:$DJ$57,卡牌消耗!AT1103)*INDEX(卡牌消耗!$B$8:$F$8,AR1103)/$Q$4/50,0)*50</f>
        <v>900</v>
      </c>
      <c r="AW1103" s="14" t="str">
        <f>IF(AN1103&gt;0,INDEX(挂机升级突破!$DT$4:$ED$4,AN1103),"")</f>
        <v>蓝色基础材料</v>
      </c>
      <c r="AX1103" s="14">
        <f>ROUND(INDEX(挂机升级突破!$DT$6:$ED$57,卡牌消耗!AT1103,AN1103)*INDEX(卡牌消耗!$B$5:$F$5,AR1103)/$Q$4/5,0)*5</f>
        <v>25</v>
      </c>
      <c r="AY1103" s="14" t="str">
        <f>IF(AO1103&gt;0,INDEX(挂机升级突破!$DT$4:$ED$4,AO1103),"")</f>
        <v/>
      </c>
      <c r="AZ1103" s="14" t="str">
        <f>IF(AO1103&gt;0,ROUND(INDEX(挂机升级突破!$DT$6:$ED$57,卡牌消耗!AT1103,AO1103)*INDEX(卡牌消耗!$B$7:$F$7,AR1103)/$Q$4,0),"")</f>
        <v/>
      </c>
    </row>
    <row r="1104" spans="37:52" ht="16.5" x14ac:dyDescent="0.2">
      <c r="AK1104" s="104">
        <v>1100</v>
      </c>
      <c r="AL1104" s="14">
        <f t="shared" si="430"/>
        <v>22</v>
      </c>
      <c r="AM1104" s="14">
        <f>INDEX(挂机升级突破!DQ$6:DQ$57,卡牌消耗!$AT1104)</f>
        <v>11</v>
      </c>
      <c r="AN1104" s="14">
        <f>INDEX(挂机升级突破!DR$6:DR$57,卡牌消耗!$AT1104)</f>
        <v>2</v>
      </c>
      <c r="AO1104" s="14">
        <f>INDEX(挂机升级突破!DS$6:DS$57,卡牌消耗!$AT1104)</f>
        <v>0</v>
      </c>
      <c r="AP1104" s="14">
        <f>INDEX(挂机升级突破!$DP$6:$DP$57,卡牌消耗!AT1104)</f>
        <v>38</v>
      </c>
      <c r="AQ1104" s="14" t="str">
        <f t="shared" si="431"/>
        <v>柠檬精</v>
      </c>
      <c r="AR1104" s="14">
        <f t="shared" si="432"/>
        <v>2</v>
      </c>
      <c r="AS1104" s="14" t="str">
        <f t="shared" si="433"/>
        <v>柠檬精魂火-8</v>
      </c>
      <c r="AT1104" s="14">
        <f t="shared" si="434"/>
        <v>8</v>
      </c>
      <c r="AU1104" s="14" t="str">
        <f>IF(AM1104&gt;0,INDEX(挂机升级突破!$DT$4:$ED$4,AM1104),"")</f>
        <v>金币</v>
      </c>
      <c r="AV1104" s="14">
        <f>ROUND(INDEX(挂机升级突破!$DJ$6:$DJ$57,卡牌消耗!AT1104)*INDEX(卡牌消耗!$B$8:$F$8,AR1104)/$Q$4/50,0)*50</f>
        <v>1350</v>
      </c>
      <c r="AW1104" s="14" t="str">
        <f>IF(AN1104&gt;0,INDEX(挂机升级突破!$DT$4:$ED$4,AN1104),"")</f>
        <v>蓝色基础材料</v>
      </c>
      <c r="AX1104" s="14">
        <f>ROUND(INDEX(挂机升级突破!$DT$6:$ED$57,卡牌消耗!AT1104,AN1104)*INDEX(卡牌消耗!$B$5:$F$5,AR1104)/$Q$4/5,0)*5</f>
        <v>45</v>
      </c>
      <c r="AY1104" s="14" t="str">
        <f>IF(AO1104&gt;0,INDEX(挂机升级突破!$DT$4:$ED$4,AO1104),"")</f>
        <v/>
      </c>
      <c r="AZ1104" s="14" t="str">
        <f>IF(AO1104&gt;0,ROUND(INDEX(挂机升级突破!$DT$6:$ED$57,卡牌消耗!AT1104,AO1104)*INDEX(卡牌消耗!$B$7:$F$7,AR1104)/$Q$4,0),"")</f>
        <v/>
      </c>
    </row>
    <row r="1105" spans="37:52" ht="16.5" x14ac:dyDescent="0.2">
      <c r="AK1105" s="104">
        <v>1101</v>
      </c>
      <c r="AL1105" s="14">
        <f t="shared" si="430"/>
        <v>22</v>
      </c>
      <c r="AM1105" s="14">
        <f>INDEX(挂机升级突破!DQ$6:DQ$57,卡牌消耗!$AT1105)</f>
        <v>11</v>
      </c>
      <c r="AN1105" s="14">
        <f>INDEX(挂机升级突破!DR$6:DR$57,卡牌消耗!$AT1105)</f>
        <v>2</v>
      </c>
      <c r="AO1105" s="14">
        <f>INDEX(挂机升级突破!DS$6:DS$57,卡牌消耗!$AT1105)</f>
        <v>0</v>
      </c>
      <c r="AP1105" s="14">
        <f>INDEX(挂机升级突破!$DP$6:$DP$57,卡牌消耗!AT1105)</f>
        <v>40</v>
      </c>
      <c r="AQ1105" s="14" t="str">
        <f t="shared" si="431"/>
        <v>柠檬精</v>
      </c>
      <c r="AR1105" s="14">
        <f t="shared" si="432"/>
        <v>2</v>
      </c>
      <c r="AS1105" s="14" t="str">
        <f t="shared" si="433"/>
        <v>柠檬精魂火-9</v>
      </c>
      <c r="AT1105" s="14">
        <f t="shared" si="434"/>
        <v>9</v>
      </c>
      <c r="AU1105" s="14" t="str">
        <f>IF(AM1105&gt;0,INDEX(挂机升级突破!$DT$4:$ED$4,AM1105),"")</f>
        <v>金币</v>
      </c>
      <c r="AV1105" s="14">
        <f>ROUND(INDEX(挂机升级突破!$DJ$6:$DJ$57,卡牌消耗!AT1105)*INDEX(卡牌消耗!$B$8:$F$8,AR1105)/$Q$4/50,0)*50</f>
        <v>1350</v>
      </c>
      <c r="AW1105" s="14" t="str">
        <f>IF(AN1105&gt;0,INDEX(挂机升级突破!$DT$4:$ED$4,AN1105),"")</f>
        <v>蓝色基础材料</v>
      </c>
      <c r="AX1105" s="14">
        <f>ROUND(INDEX(挂机升级突破!$DT$6:$ED$57,卡牌消耗!AT1105,AN1105)*INDEX(卡牌消耗!$B$5:$F$5,AR1105)/$Q$4/5,0)*5</f>
        <v>45</v>
      </c>
      <c r="AY1105" s="14" t="str">
        <f>IF(AO1105&gt;0,INDEX(挂机升级突破!$DT$4:$ED$4,AO1105),"")</f>
        <v/>
      </c>
      <c r="AZ1105" s="14" t="str">
        <f>IF(AO1105&gt;0,ROUND(INDEX(挂机升级突破!$DT$6:$ED$57,卡牌消耗!AT1105,AO1105)*INDEX(卡牌消耗!$B$7:$F$7,AR1105)/$Q$4,0),"")</f>
        <v/>
      </c>
    </row>
    <row r="1106" spans="37:52" ht="16.5" x14ac:dyDescent="0.2">
      <c r="AK1106" s="104">
        <v>1102</v>
      </c>
      <c r="AL1106" s="14">
        <f t="shared" si="430"/>
        <v>22</v>
      </c>
      <c r="AM1106" s="14">
        <f>INDEX(挂机升级突破!DQ$6:DQ$57,卡牌消耗!$AT1106)</f>
        <v>11</v>
      </c>
      <c r="AN1106" s="14">
        <f>INDEX(挂机升级突破!DR$6:DR$57,卡牌消耗!$AT1106)</f>
        <v>2</v>
      </c>
      <c r="AO1106" s="14">
        <f>INDEX(挂机升级突破!DS$6:DS$57,卡牌消耗!$AT1106)</f>
        <v>0</v>
      </c>
      <c r="AP1106" s="14">
        <f>INDEX(挂机升级突破!$DP$6:$DP$57,卡牌消耗!AT1106)</f>
        <v>43</v>
      </c>
      <c r="AQ1106" s="14" t="str">
        <f t="shared" si="431"/>
        <v>柠檬精</v>
      </c>
      <c r="AR1106" s="14">
        <f t="shared" si="432"/>
        <v>2</v>
      </c>
      <c r="AS1106" s="14" t="str">
        <f t="shared" si="433"/>
        <v>柠檬精魂火-10</v>
      </c>
      <c r="AT1106" s="14">
        <f t="shared" si="434"/>
        <v>10</v>
      </c>
      <c r="AU1106" s="14" t="str">
        <f>IF(AM1106&gt;0,INDEX(挂机升级突破!$DT$4:$ED$4,AM1106),"")</f>
        <v>金币</v>
      </c>
      <c r="AV1106" s="14">
        <f>ROUND(INDEX(挂机升级突破!$DJ$6:$DJ$57,卡牌消耗!AT1106)*INDEX(卡牌消耗!$B$8:$F$8,AR1106)/$Q$4/50,0)*50</f>
        <v>2250</v>
      </c>
      <c r="AW1106" s="14" t="str">
        <f>IF(AN1106&gt;0,INDEX(挂机升级突破!$DT$4:$ED$4,AN1106),"")</f>
        <v>蓝色基础材料</v>
      </c>
      <c r="AX1106" s="14">
        <f>ROUND(INDEX(挂机升级突破!$DT$6:$ED$57,卡牌消耗!AT1106,AN1106)*INDEX(卡牌消耗!$B$5:$F$5,AR1106)/$Q$4/5,0)*5</f>
        <v>70</v>
      </c>
      <c r="AY1106" s="14" t="str">
        <f>IF(AO1106&gt;0,INDEX(挂机升级突破!$DT$4:$ED$4,AO1106),"")</f>
        <v/>
      </c>
      <c r="AZ1106" s="14" t="str">
        <f>IF(AO1106&gt;0,ROUND(INDEX(挂机升级突破!$DT$6:$ED$57,卡牌消耗!AT1106,AO1106)*INDEX(卡牌消耗!$B$7:$F$7,AR1106)/$Q$4,0),"")</f>
        <v/>
      </c>
    </row>
    <row r="1107" spans="37:52" ht="16.5" x14ac:dyDescent="0.2">
      <c r="AK1107" s="104">
        <v>1103</v>
      </c>
      <c r="AL1107" s="14">
        <f t="shared" si="430"/>
        <v>22</v>
      </c>
      <c r="AM1107" s="14">
        <f>INDEX(挂机升级突破!DQ$6:DQ$57,卡牌消耗!$AT1107)</f>
        <v>11</v>
      </c>
      <c r="AN1107" s="14">
        <f>INDEX(挂机升级突破!DR$6:DR$57,卡牌消耗!$AT1107)</f>
        <v>2</v>
      </c>
      <c r="AO1107" s="14">
        <f>INDEX(挂机升级突破!DS$6:DS$57,卡牌消耗!$AT1107)</f>
        <v>0</v>
      </c>
      <c r="AP1107" s="14">
        <f>INDEX(挂机升级突破!$DP$6:$DP$57,卡牌消耗!AT1107)</f>
        <v>45</v>
      </c>
      <c r="AQ1107" s="14" t="str">
        <f t="shared" si="431"/>
        <v>柠檬精</v>
      </c>
      <c r="AR1107" s="14">
        <f t="shared" si="432"/>
        <v>2</v>
      </c>
      <c r="AS1107" s="14" t="str">
        <f t="shared" si="433"/>
        <v>柠檬精魂火-11</v>
      </c>
      <c r="AT1107" s="14">
        <f t="shared" si="434"/>
        <v>11</v>
      </c>
      <c r="AU1107" s="14" t="str">
        <f>IF(AM1107&gt;0,INDEX(挂机升级突破!$DT$4:$ED$4,AM1107),"")</f>
        <v>金币</v>
      </c>
      <c r="AV1107" s="14">
        <f>ROUND(INDEX(挂机升级突破!$DJ$6:$DJ$57,卡牌消耗!AT1107)*INDEX(卡牌消耗!$B$8:$F$8,AR1107)/$Q$4/50,0)*50</f>
        <v>2250</v>
      </c>
      <c r="AW1107" s="14" t="str">
        <f>IF(AN1107&gt;0,INDEX(挂机升级突破!$DT$4:$ED$4,AN1107),"")</f>
        <v>蓝色基础材料</v>
      </c>
      <c r="AX1107" s="14">
        <f>ROUND(INDEX(挂机升级突破!$DT$6:$ED$57,卡牌消耗!AT1107,AN1107)*INDEX(卡牌消耗!$B$5:$F$5,AR1107)/$Q$4/5,0)*5</f>
        <v>70</v>
      </c>
      <c r="AY1107" s="14" t="str">
        <f>IF(AO1107&gt;0,INDEX(挂机升级突破!$DT$4:$ED$4,AO1107),"")</f>
        <v/>
      </c>
      <c r="AZ1107" s="14" t="str">
        <f>IF(AO1107&gt;0,ROUND(INDEX(挂机升级突破!$DT$6:$ED$57,卡牌消耗!AT1107,AO1107)*INDEX(卡牌消耗!$B$7:$F$7,AR1107)/$Q$4,0),"")</f>
        <v/>
      </c>
    </row>
    <row r="1108" spans="37:52" ht="16.5" x14ac:dyDescent="0.2">
      <c r="AK1108" s="104">
        <v>1104</v>
      </c>
      <c r="AL1108" s="14">
        <f t="shared" si="430"/>
        <v>22</v>
      </c>
      <c r="AM1108" s="14">
        <f>INDEX(挂机升级突破!DQ$6:DQ$57,卡牌消耗!$AT1108)</f>
        <v>11</v>
      </c>
      <c r="AN1108" s="14">
        <f>INDEX(挂机升级突破!DR$6:DR$57,卡牌消耗!$AT1108)</f>
        <v>2</v>
      </c>
      <c r="AO1108" s="14">
        <f>INDEX(挂机升级突破!DS$6:DS$57,卡牌消耗!$AT1108)</f>
        <v>0</v>
      </c>
      <c r="AP1108" s="14">
        <f>INDEX(挂机升级突破!$DP$6:$DP$57,卡牌消耗!AT1108)</f>
        <v>48</v>
      </c>
      <c r="AQ1108" s="14" t="str">
        <f t="shared" si="431"/>
        <v>柠檬精</v>
      </c>
      <c r="AR1108" s="14">
        <f t="shared" si="432"/>
        <v>2</v>
      </c>
      <c r="AS1108" s="14" t="str">
        <f t="shared" si="433"/>
        <v>柠檬精魂火-12</v>
      </c>
      <c r="AT1108" s="14">
        <f t="shared" si="434"/>
        <v>12</v>
      </c>
      <c r="AU1108" s="14" t="str">
        <f>IF(AM1108&gt;0,INDEX(挂机升级突破!$DT$4:$ED$4,AM1108),"")</f>
        <v>金币</v>
      </c>
      <c r="AV1108" s="14">
        <f>ROUND(INDEX(挂机升级突破!$DJ$6:$DJ$57,卡牌消耗!AT1108)*INDEX(卡牌消耗!$B$8:$F$8,AR1108)/$Q$4/50,0)*50</f>
        <v>1900</v>
      </c>
      <c r="AW1108" s="14" t="str">
        <f>IF(AN1108&gt;0,INDEX(挂机升级突破!$DT$4:$ED$4,AN1108),"")</f>
        <v>蓝色基础材料</v>
      </c>
      <c r="AX1108" s="14">
        <f>ROUND(INDEX(挂机升级突破!$DT$6:$ED$57,卡牌消耗!AT1108,AN1108)*INDEX(卡牌消耗!$B$5:$F$5,AR1108)/$Q$4/5,0)*5</f>
        <v>90</v>
      </c>
      <c r="AY1108" s="14" t="str">
        <f>IF(AO1108&gt;0,INDEX(挂机升级突破!$DT$4:$ED$4,AO1108),"")</f>
        <v/>
      </c>
      <c r="AZ1108" s="14" t="str">
        <f>IF(AO1108&gt;0,ROUND(INDEX(挂机升级突破!$DT$6:$ED$57,卡牌消耗!AT1108,AO1108)*INDEX(卡牌消耗!$B$7:$F$7,AR1108)/$Q$4,0),"")</f>
        <v/>
      </c>
    </row>
    <row r="1109" spans="37:52" ht="16.5" x14ac:dyDescent="0.2">
      <c r="AK1109" s="104">
        <v>1105</v>
      </c>
      <c r="AL1109" s="14">
        <f t="shared" si="430"/>
        <v>22</v>
      </c>
      <c r="AM1109" s="14">
        <f>INDEX(挂机升级突破!DQ$6:DQ$57,卡牌消耗!$AT1109)</f>
        <v>11</v>
      </c>
      <c r="AN1109" s="14">
        <f>INDEX(挂机升级突破!DR$6:DR$57,卡牌消耗!$AT1109)</f>
        <v>2</v>
      </c>
      <c r="AO1109" s="14">
        <f>INDEX(挂机升级突破!DS$6:DS$57,卡牌消耗!$AT1109)</f>
        <v>0</v>
      </c>
      <c r="AP1109" s="14">
        <f>INDEX(挂机升级突破!$DP$6:$DP$57,卡牌消耗!AT1109)</f>
        <v>50</v>
      </c>
      <c r="AQ1109" s="14" t="str">
        <f t="shared" si="431"/>
        <v>柠檬精</v>
      </c>
      <c r="AR1109" s="14">
        <f t="shared" si="432"/>
        <v>2</v>
      </c>
      <c r="AS1109" s="14" t="str">
        <f t="shared" si="433"/>
        <v>柠檬精魂火-13</v>
      </c>
      <c r="AT1109" s="14">
        <f t="shared" si="434"/>
        <v>13</v>
      </c>
      <c r="AU1109" s="14" t="str">
        <f>IF(AM1109&gt;0,INDEX(挂机升级突破!$DT$4:$ED$4,AM1109),"")</f>
        <v>金币</v>
      </c>
      <c r="AV1109" s="14">
        <f>ROUND(INDEX(挂机升级突破!$DJ$6:$DJ$57,卡牌消耗!AT1109)*INDEX(卡牌消耗!$B$8:$F$8,AR1109)/$Q$4/50,0)*50</f>
        <v>1900</v>
      </c>
      <c r="AW1109" s="14" t="str">
        <f>IF(AN1109&gt;0,INDEX(挂机升级突破!$DT$4:$ED$4,AN1109),"")</f>
        <v>蓝色基础材料</v>
      </c>
      <c r="AX1109" s="14">
        <f>ROUND(INDEX(挂机升级突破!$DT$6:$ED$57,卡牌消耗!AT1109,AN1109)*INDEX(卡牌消耗!$B$5:$F$5,AR1109)/$Q$4/5,0)*5</f>
        <v>90</v>
      </c>
      <c r="AY1109" s="14" t="str">
        <f>IF(AO1109&gt;0,INDEX(挂机升级突破!$DT$4:$ED$4,AO1109),"")</f>
        <v/>
      </c>
      <c r="AZ1109" s="14" t="str">
        <f>IF(AO1109&gt;0,ROUND(INDEX(挂机升级突破!$DT$6:$ED$57,卡牌消耗!AT1109,AO1109)*INDEX(卡牌消耗!$B$7:$F$7,AR1109)/$Q$4,0),"")</f>
        <v/>
      </c>
    </row>
    <row r="1110" spans="37:52" ht="16.5" x14ac:dyDescent="0.2">
      <c r="AK1110" s="104">
        <v>1106</v>
      </c>
      <c r="AL1110" s="14">
        <f t="shared" si="430"/>
        <v>22</v>
      </c>
      <c r="AM1110" s="14">
        <f>INDEX(挂机升级突破!DQ$6:DQ$57,卡牌消耗!$AT1110)</f>
        <v>11</v>
      </c>
      <c r="AN1110" s="14">
        <f>INDEX(挂机升级突破!DR$6:DR$57,卡牌消耗!$AT1110)</f>
        <v>3</v>
      </c>
      <c r="AO1110" s="14">
        <f>INDEX(挂机升级突破!DS$6:DS$57,卡牌消耗!$AT1110)</f>
        <v>0</v>
      </c>
      <c r="AP1110" s="14">
        <f>INDEX(挂机升级突破!$DP$6:$DP$57,卡牌消耗!AT1110)</f>
        <v>53</v>
      </c>
      <c r="AQ1110" s="14" t="str">
        <f t="shared" si="431"/>
        <v>柠檬精</v>
      </c>
      <c r="AR1110" s="14">
        <f t="shared" si="432"/>
        <v>2</v>
      </c>
      <c r="AS1110" s="14" t="str">
        <f t="shared" si="433"/>
        <v>柠檬精魂火-14</v>
      </c>
      <c r="AT1110" s="14">
        <f t="shared" si="434"/>
        <v>14</v>
      </c>
      <c r="AU1110" s="14" t="str">
        <f>IF(AM1110&gt;0,INDEX(挂机升级突破!$DT$4:$ED$4,AM1110),"")</f>
        <v>金币</v>
      </c>
      <c r="AV1110" s="14">
        <f>ROUND(INDEX(挂机升级突破!$DJ$6:$DJ$57,卡牌消耗!AT1110)*INDEX(卡牌消耗!$B$8:$F$8,AR1110)/$Q$4/50,0)*50</f>
        <v>2100</v>
      </c>
      <c r="AW1110" s="14" t="str">
        <f>IF(AN1110&gt;0,INDEX(挂机升级突破!$DT$4:$ED$4,AN1110),"")</f>
        <v>紫色基础材料</v>
      </c>
      <c r="AX1110" s="14">
        <f>ROUND(INDEX(挂机升级突破!$DT$6:$ED$57,卡牌消耗!AT1110,AN1110)*INDEX(卡牌消耗!$B$5:$F$5,AR1110)/$Q$4/5,0)*5</f>
        <v>20</v>
      </c>
      <c r="AY1110" s="14" t="str">
        <f>IF(AO1110&gt;0,INDEX(挂机升级突破!$DT$4:$ED$4,AO1110),"")</f>
        <v/>
      </c>
      <c r="AZ1110" s="14" t="str">
        <f>IF(AO1110&gt;0,ROUND(INDEX(挂机升级突破!$DT$6:$ED$57,卡牌消耗!AT1110,AO1110)*INDEX(卡牌消耗!$B$7:$F$7,AR1110)/$Q$4,0),"")</f>
        <v/>
      </c>
    </row>
    <row r="1111" spans="37:52" ht="16.5" x14ac:dyDescent="0.2">
      <c r="AK1111" s="104">
        <v>1107</v>
      </c>
      <c r="AL1111" s="14">
        <f t="shared" si="430"/>
        <v>22</v>
      </c>
      <c r="AM1111" s="14">
        <f>INDEX(挂机升级突破!DQ$6:DQ$57,卡牌消耗!$AT1111)</f>
        <v>11</v>
      </c>
      <c r="AN1111" s="14">
        <f>INDEX(挂机升级突破!DR$6:DR$57,卡牌消耗!$AT1111)</f>
        <v>3</v>
      </c>
      <c r="AO1111" s="14">
        <f>INDEX(挂机升级突破!DS$6:DS$57,卡牌消耗!$AT1111)</f>
        <v>0</v>
      </c>
      <c r="AP1111" s="14">
        <f>INDEX(挂机升级突破!$DP$6:$DP$57,卡牌消耗!AT1111)</f>
        <v>55</v>
      </c>
      <c r="AQ1111" s="14" t="str">
        <f t="shared" si="431"/>
        <v>柠檬精</v>
      </c>
      <c r="AR1111" s="14">
        <f t="shared" si="432"/>
        <v>2</v>
      </c>
      <c r="AS1111" s="14" t="str">
        <f t="shared" si="433"/>
        <v>柠檬精魂火-15</v>
      </c>
      <c r="AT1111" s="14">
        <f t="shared" si="434"/>
        <v>15</v>
      </c>
      <c r="AU1111" s="14" t="str">
        <f>IF(AM1111&gt;0,INDEX(挂机升级突破!$DT$4:$ED$4,AM1111),"")</f>
        <v>金币</v>
      </c>
      <c r="AV1111" s="14">
        <f>ROUND(INDEX(挂机升级突破!$DJ$6:$DJ$57,卡牌消耗!AT1111)*INDEX(卡牌消耗!$B$8:$F$8,AR1111)/$Q$4/50,0)*50</f>
        <v>2300</v>
      </c>
      <c r="AW1111" s="14" t="str">
        <f>IF(AN1111&gt;0,INDEX(挂机升级突破!$DT$4:$ED$4,AN1111),"")</f>
        <v>紫色基础材料</v>
      </c>
      <c r="AX1111" s="14">
        <f>ROUND(INDEX(挂机升级突破!$DT$6:$ED$57,卡牌消耗!AT1111,AN1111)*INDEX(卡牌消耗!$B$5:$F$5,AR1111)/$Q$4/5,0)*5</f>
        <v>20</v>
      </c>
      <c r="AY1111" s="14" t="str">
        <f>IF(AO1111&gt;0,INDEX(挂机升级突破!$DT$4:$ED$4,AO1111),"")</f>
        <v/>
      </c>
      <c r="AZ1111" s="14" t="str">
        <f>IF(AO1111&gt;0,ROUND(INDEX(挂机升级突破!$DT$6:$ED$57,卡牌消耗!AT1111,AO1111)*INDEX(卡牌消耗!$B$7:$F$7,AR1111)/$Q$4,0),"")</f>
        <v/>
      </c>
    </row>
    <row r="1112" spans="37:52" ht="16.5" x14ac:dyDescent="0.2">
      <c r="AK1112" s="104">
        <v>1108</v>
      </c>
      <c r="AL1112" s="14">
        <f t="shared" si="430"/>
        <v>22</v>
      </c>
      <c r="AM1112" s="14">
        <f>INDEX(挂机升级突破!DQ$6:DQ$57,卡牌消耗!$AT1112)</f>
        <v>11</v>
      </c>
      <c r="AN1112" s="14">
        <f>INDEX(挂机升级突破!DR$6:DR$57,卡牌消耗!$AT1112)</f>
        <v>3</v>
      </c>
      <c r="AO1112" s="14">
        <f>INDEX(挂机升级突破!DS$6:DS$57,卡牌消耗!$AT1112)</f>
        <v>0</v>
      </c>
      <c r="AP1112" s="14">
        <f>INDEX(挂机升级突破!$DP$6:$DP$57,卡牌消耗!AT1112)</f>
        <v>58</v>
      </c>
      <c r="AQ1112" s="14" t="str">
        <f t="shared" si="431"/>
        <v>柠檬精</v>
      </c>
      <c r="AR1112" s="14">
        <f t="shared" si="432"/>
        <v>2</v>
      </c>
      <c r="AS1112" s="14" t="str">
        <f t="shared" si="433"/>
        <v>柠檬精魂火-16</v>
      </c>
      <c r="AT1112" s="14">
        <f t="shared" si="434"/>
        <v>16</v>
      </c>
      <c r="AU1112" s="14" t="str">
        <f>IF(AM1112&gt;0,INDEX(挂机升级突破!$DT$4:$ED$4,AM1112),"")</f>
        <v>金币</v>
      </c>
      <c r="AV1112" s="14">
        <f>ROUND(INDEX(挂机升级突破!$DJ$6:$DJ$57,卡牌消耗!AT1112)*INDEX(卡牌消耗!$B$8:$F$8,AR1112)/$Q$4/50,0)*50</f>
        <v>2300</v>
      </c>
      <c r="AW1112" s="14" t="str">
        <f>IF(AN1112&gt;0,INDEX(挂机升级突破!$DT$4:$ED$4,AN1112),"")</f>
        <v>紫色基础材料</v>
      </c>
      <c r="AX1112" s="14">
        <f>ROUND(INDEX(挂机升级突破!$DT$6:$ED$57,卡牌消耗!AT1112,AN1112)*INDEX(卡牌消耗!$B$5:$F$5,AR1112)/$Q$4/5,0)*5</f>
        <v>20</v>
      </c>
      <c r="AY1112" s="14" t="str">
        <f>IF(AO1112&gt;0,INDEX(挂机升级突破!$DT$4:$ED$4,AO1112),"")</f>
        <v/>
      </c>
      <c r="AZ1112" s="14" t="str">
        <f>IF(AO1112&gt;0,ROUND(INDEX(挂机升级突破!$DT$6:$ED$57,卡牌消耗!AT1112,AO1112)*INDEX(卡牌消耗!$B$7:$F$7,AR1112)/$Q$4,0),"")</f>
        <v/>
      </c>
    </row>
    <row r="1113" spans="37:52" ht="16.5" x14ac:dyDescent="0.2">
      <c r="AK1113" s="104">
        <v>1109</v>
      </c>
      <c r="AL1113" s="14">
        <f t="shared" si="430"/>
        <v>22</v>
      </c>
      <c r="AM1113" s="14">
        <f>INDEX(挂机升级突破!DQ$6:DQ$57,卡牌消耗!$AT1113)</f>
        <v>11</v>
      </c>
      <c r="AN1113" s="14">
        <f>INDEX(挂机升级突破!DR$6:DR$57,卡牌消耗!$AT1113)</f>
        <v>3</v>
      </c>
      <c r="AO1113" s="14">
        <f>INDEX(挂机升级突破!DS$6:DS$57,卡牌消耗!$AT1113)</f>
        <v>0</v>
      </c>
      <c r="AP1113" s="14">
        <f>INDEX(挂机升级突破!$DP$6:$DP$57,卡牌消耗!AT1113)</f>
        <v>60</v>
      </c>
      <c r="AQ1113" s="14" t="str">
        <f t="shared" si="431"/>
        <v>柠檬精</v>
      </c>
      <c r="AR1113" s="14">
        <f t="shared" si="432"/>
        <v>2</v>
      </c>
      <c r="AS1113" s="14" t="str">
        <f t="shared" si="433"/>
        <v>柠檬精魂火-17</v>
      </c>
      <c r="AT1113" s="14">
        <f t="shared" si="434"/>
        <v>17</v>
      </c>
      <c r="AU1113" s="14" t="str">
        <f>IF(AM1113&gt;0,INDEX(挂机升级突破!$DT$4:$ED$4,AM1113),"")</f>
        <v>金币</v>
      </c>
      <c r="AV1113" s="14">
        <f>ROUND(INDEX(挂机升级突破!$DJ$6:$DJ$57,卡牌消耗!AT1113)*INDEX(卡牌消耗!$B$8:$F$8,AR1113)/$Q$4/50,0)*50</f>
        <v>2850</v>
      </c>
      <c r="AW1113" s="14" t="str">
        <f>IF(AN1113&gt;0,INDEX(挂机升级突破!$DT$4:$ED$4,AN1113),"")</f>
        <v>紫色基础材料</v>
      </c>
      <c r="AX1113" s="14">
        <f>ROUND(INDEX(挂机升级突破!$DT$6:$ED$57,卡牌消耗!AT1113,AN1113)*INDEX(卡牌消耗!$B$5:$F$5,AR1113)/$Q$4/5,0)*5</f>
        <v>35</v>
      </c>
      <c r="AY1113" s="14" t="str">
        <f>IF(AO1113&gt;0,INDEX(挂机升级突破!$DT$4:$ED$4,AO1113),"")</f>
        <v/>
      </c>
      <c r="AZ1113" s="14" t="str">
        <f>IF(AO1113&gt;0,ROUND(INDEX(挂机升级突破!$DT$6:$ED$57,卡牌消耗!AT1113,AO1113)*INDEX(卡牌消耗!$B$7:$F$7,AR1113)/$Q$4,0),"")</f>
        <v/>
      </c>
    </row>
    <row r="1114" spans="37:52" ht="16.5" x14ac:dyDescent="0.2">
      <c r="AK1114" s="104">
        <v>1110</v>
      </c>
      <c r="AL1114" s="14">
        <f t="shared" si="430"/>
        <v>22</v>
      </c>
      <c r="AM1114" s="14">
        <f>INDEX(挂机升级突破!DQ$6:DQ$57,卡牌消耗!$AT1114)</f>
        <v>11</v>
      </c>
      <c r="AN1114" s="14">
        <f>INDEX(挂机升级突破!DR$6:DR$57,卡牌消耗!$AT1114)</f>
        <v>3</v>
      </c>
      <c r="AO1114" s="14">
        <f>INDEX(挂机升级突破!DS$6:DS$57,卡牌消耗!$AT1114)</f>
        <v>0</v>
      </c>
      <c r="AP1114" s="14">
        <f>INDEX(挂机升级突破!$DP$6:$DP$57,卡牌消耗!AT1114)</f>
        <v>63</v>
      </c>
      <c r="AQ1114" s="14" t="str">
        <f t="shared" si="431"/>
        <v>柠檬精</v>
      </c>
      <c r="AR1114" s="14">
        <f t="shared" si="432"/>
        <v>2</v>
      </c>
      <c r="AS1114" s="14" t="str">
        <f t="shared" si="433"/>
        <v>柠檬精魂火-18</v>
      </c>
      <c r="AT1114" s="14">
        <f t="shared" si="434"/>
        <v>18</v>
      </c>
      <c r="AU1114" s="14" t="str">
        <f>IF(AM1114&gt;0,INDEX(挂机升级突破!$DT$4:$ED$4,AM1114),"")</f>
        <v>金币</v>
      </c>
      <c r="AV1114" s="14">
        <f>ROUND(INDEX(挂机升级突破!$DJ$6:$DJ$57,卡牌消耗!AT1114)*INDEX(卡牌消耗!$B$8:$F$8,AR1114)/$Q$4/50,0)*50</f>
        <v>2850</v>
      </c>
      <c r="AW1114" s="14" t="str">
        <f>IF(AN1114&gt;0,INDEX(挂机升级突破!$DT$4:$ED$4,AN1114),"")</f>
        <v>紫色基础材料</v>
      </c>
      <c r="AX1114" s="14">
        <f>ROUND(INDEX(挂机升级突破!$DT$6:$ED$57,卡牌消耗!AT1114,AN1114)*INDEX(卡牌消耗!$B$5:$F$5,AR1114)/$Q$4/5,0)*5</f>
        <v>35</v>
      </c>
      <c r="AY1114" s="14" t="str">
        <f>IF(AO1114&gt;0,INDEX(挂机升级突破!$DT$4:$ED$4,AO1114),"")</f>
        <v/>
      </c>
      <c r="AZ1114" s="14" t="str">
        <f>IF(AO1114&gt;0,ROUND(INDEX(挂机升级突破!$DT$6:$ED$57,卡牌消耗!AT1114,AO1114)*INDEX(卡牌消耗!$B$7:$F$7,AR1114)/$Q$4,0),"")</f>
        <v/>
      </c>
    </row>
    <row r="1115" spans="37:52" ht="16.5" x14ac:dyDescent="0.2">
      <c r="AK1115" s="104">
        <v>1111</v>
      </c>
      <c r="AL1115" s="14">
        <f t="shared" si="430"/>
        <v>22</v>
      </c>
      <c r="AM1115" s="14">
        <f>INDEX(挂机升级突破!DQ$6:DQ$57,卡牌消耗!$AT1115)</f>
        <v>11</v>
      </c>
      <c r="AN1115" s="14">
        <f>INDEX(挂机升级突破!DR$6:DR$57,卡牌消耗!$AT1115)</f>
        <v>3</v>
      </c>
      <c r="AO1115" s="14">
        <f>INDEX(挂机升级突破!DS$6:DS$57,卡牌消耗!$AT1115)</f>
        <v>0</v>
      </c>
      <c r="AP1115" s="14">
        <f>INDEX(挂机升级突破!$DP$6:$DP$57,卡牌消耗!AT1115)</f>
        <v>65</v>
      </c>
      <c r="AQ1115" s="14" t="str">
        <f t="shared" si="431"/>
        <v>柠檬精</v>
      </c>
      <c r="AR1115" s="14">
        <f t="shared" si="432"/>
        <v>2</v>
      </c>
      <c r="AS1115" s="14" t="str">
        <f t="shared" si="433"/>
        <v>柠檬精魂火-19</v>
      </c>
      <c r="AT1115" s="14">
        <f t="shared" si="434"/>
        <v>19</v>
      </c>
      <c r="AU1115" s="14" t="str">
        <f>IF(AM1115&gt;0,INDEX(挂机升级突破!$DT$4:$ED$4,AM1115),"")</f>
        <v>金币</v>
      </c>
      <c r="AV1115" s="14">
        <f>ROUND(INDEX(挂机升级突破!$DJ$6:$DJ$57,卡牌消耗!AT1115)*INDEX(卡牌消耗!$B$8:$F$8,AR1115)/$Q$4/50,0)*50</f>
        <v>2850</v>
      </c>
      <c r="AW1115" s="14" t="str">
        <f>IF(AN1115&gt;0,INDEX(挂机升级突破!$DT$4:$ED$4,AN1115),"")</f>
        <v>紫色基础材料</v>
      </c>
      <c r="AX1115" s="14">
        <f>ROUND(INDEX(挂机升级突破!$DT$6:$ED$57,卡牌消耗!AT1115,AN1115)*INDEX(卡牌消耗!$B$5:$F$5,AR1115)/$Q$4/5,0)*5</f>
        <v>35</v>
      </c>
      <c r="AY1115" s="14" t="str">
        <f>IF(AO1115&gt;0,INDEX(挂机升级突破!$DT$4:$ED$4,AO1115),"")</f>
        <v/>
      </c>
      <c r="AZ1115" s="14" t="str">
        <f>IF(AO1115&gt;0,ROUND(INDEX(挂机升级突破!$DT$6:$ED$57,卡牌消耗!AT1115,AO1115)*INDEX(卡牌消耗!$B$7:$F$7,AR1115)/$Q$4,0),"")</f>
        <v/>
      </c>
    </row>
    <row r="1116" spans="37:52" ht="16.5" x14ac:dyDescent="0.2">
      <c r="AK1116" s="104">
        <v>1112</v>
      </c>
      <c r="AL1116" s="14">
        <f t="shared" si="430"/>
        <v>22</v>
      </c>
      <c r="AM1116" s="14">
        <f>INDEX(挂机升级突破!DQ$6:DQ$57,卡牌消耗!$AT1116)</f>
        <v>11</v>
      </c>
      <c r="AN1116" s="14">
        <f>INDEX(挂机升级突破!DR$6:DR$57,卡牌消耗!$AT1116)</f>
        <v>3</v>
      </c>
      <c r="AO1116" s="14">
        <f>INDEX(挂机升级突破!DS$6:DS$57,卡牌消耗!$AT1116)</f>
        <v>0</v>
      </c>
      <c r="AP1116" s="14">
        <f>INDEX(挂机升级突破!$DP$6:$DP$57,卡牌消耗!AT1116)</f>
        <v>68</v>
      </c>
      <c r="AQ1116" s="14" t="str">
        <f t="shared" si="431"/>
        <v>柠檬精</v>
      </c>
      <c r="AR1116" s="14">
        <f t="shared" si="432"/>
        <v>2</v>
      </c>
      <c r="AS1116" s="14" t="str">
        <f t="shared" si="433"/>
        <v>柠檬精魂火-20</v>
      </c>
      <c r="AT1116" s="14">
        <f t="shared" si="434"/>
        <v>20</v>
      </c>
      <c r="AU1116" s="14" t="str">
        <f>IF(AM1116&gt;0,INDEX(挂机升级突破!$DT$4:$ED$4,AM1116),"")</f>
        <v>金币</v>
      </c>
      <c r="AV1116" s="14">
        <f>ROUND(INDEX(挂机升级突破!$DJ$6:$DJ$57,卡牌消耗!AT1116)*INDEX(卡牌消耗!$B$8:$F$8,AR1116)/$Q$4/50,0)*50</f>
        <v>3500</v>
      </c>
      <c r="AW1116" s="14" t="str">
        <f>IF(AN1116&gt;0,INDEX(挂机升级突破!$DT$4:$ED$4,AN1116),"")</f>
        <v>紫色基础材料</v>
      </c>
      <c r="AX1116" s="14">
        <f>ROUND(INDEX(挂机升级突破!$DT$6:$ED$57,卡牌消耗!AT1116,AN1116)*INDEX(卡牌消耗!$B$5:$F$5,AR1116)/$Q$4/5,0)*5</f>
        <v>55</v>
      </c>
      <c r="AY1116" s="14" t="str">
        <f>IF(AO1116&gt;0,INDEX(挂机升级突破!$DT$4:$ED$4,AO1116),"")</f>
        <v/>
      </c>
      <c r="AZ1116" s="14" t="str">
        <f>IF(AO1116&gt;0,ROUND(INDEX(挂机升级突破!$DT$6:$ED$57,卡牌消耗!AT1116,AO1116)*INDEX(卡牌消耗!$B$7:$F$7,AR1116)/$Q$4,0),"")</f>
        <v/>
      </c>
    </row>
    <row r="1117" spans="37:52" ht="16.5" x14ac:dyDescent="0.2">
      <c r="AK1117" s="104">
        <v>1113</v>
      </c>
      <c r="AL1117" s="14">
        <f t="shared" si="430"/>
        <v>22</v>
      </c>
      <c r="AM1117" s="14">
        <f>INDEX(挂机升级突破!DQ$6:DQ$57,卡牌消耗!$AT1117)</f>
        <v>11</v>
      </c>
      <c r="AN1117" s="14">
        <f>INDEX(挂机升级突破!DR$6:DR$57,卡牌消耗!$AT1117)</f>
        <v>3</v>
      </c>
      <c r="AO1117" s="14">
        <f>INDEX(挂机升级突破!DS$6:DS$57,卡牌消耗!$AT1117)</f>
        <v>0</v>
      </c>
      <c r="AP1117" s="14">
        <f>INDEX(挂机升级突破!$DP$6:$DP$57,卡牌消耗!AT1117)</f>
        <v>70</v>
      </c>
      <c r="AQ1117" s="14" t="str">
        <f t="shared" si="431"/>
        <v>柠檬精</v>
      </c>
      <c r="AR1117" s="14">
        <f t="shared" si="432"/>
        <v>2</v>
      </c>
      <c r="AS1117" s="14" t="str">
        <f t="shared" si="433"/>
        <v>柠檬精魂火-21</v>
      </c>
      <c r="AT1117" s="14">
        <f t="shared" si="434"/>
        <v>21</v>
      </c>
      <c r="AU1117" s="14" t="str">
        <f>IF(AM1117&gt;0,INDEX(挂机升级突破!$DT$4:$ED$4,AM1117),"")</f>
        <v>金币</v>
      </c>
      <c r="AV1117" s="14">
        <f>ROUND(INDEX(挂机升级突破!$DJ$6:$DJ$57,卡牌消耗!AT1117)*INDEX(卡牌消耗!$B$8:$F$8,AR1117)/$Q$4/50,0)*50</f>
        <v>3500</v>
      </c>
      <c r="AW1117" s="14" t="str">
        <f>IF(AN1117&gt;0,INDEX(挂机升级突破!$DT$4:$ED$4,AN1117),"")</f>
        <v>紫色基础材料</v>
      </c>
      <c r="AX1117" s="14">
        <f>ROUND(INDEX(挂机升级突破!$DT$6:$ED$57,卡牌消耗!AT1117,AN1117)*INDEX(卡牌消耗!$B$5:$F$5,AR1117)/$Q$4/5,0)*5</f>
        <v>55</v>
      </c>
      <c r="AY1117" s="14" t="str">
        <f>IF(AO1117&gt;0,INDEX(挂机升级突破!$DT$4:$ED$4,AO1117),"")</f>
        <v/>
      </c>
      <c r="AZ1117" s="14" t="str">
        <f>IF(AO1117&gt;0,ROUND(INDEX(挂机升级突破!$DT$6:$ED$57,卡牌消耗!AT1117,AO1117)*INDEX(卡牌消耗!$B$7:$F$7,AR1117)/$Q$4,0),"")</f>
        <v/>
      </c>
    </row>
    <row r="1118" spans="37:52" ht="16.5" x14ac:dyDescent="0.2">
      <c r="AK1118" s="104">
        <v>1114</v>
      </c>
      <c r="AL1118" s="14">
        <f t="shared" si="430"/>
        <v>22</v>
      </c>
      <c r="AM1118" s="14">
        <f>INDEX(挂机升级突破!DQ$6:DQ$57,卡牌消耗!$AT1118)</f>
        <v>11</v>
      </c>
      <c r="AN1118" s="14">
        <f>INDEX(挂机升级突破!DR$6:DR$57,卡牌消耗!$AT1118)</f>
        <v>3</v>
      </c>
      <c r="AO1118" s="14">
        <f>INDEX(挂机升级突破!DS$6:DS$57,卡牌消耗!$AT1118)</f>
        <v>0</v>
      </c>
      <c r="AP1118" s="14">
        <f>INDEX(挂机升级突破!$DP$6:$DP$57,卡牌消耗!AT1118)</f>
        <v>73</v>
      </c>
      <c r="AQ1118" s="14" t="str">
        <f t="shared" si="431"/>
        <v>柠檬精</v>
      </c>
      <c r="AR1118" s="14">
        <f t="shared" si="432"/>
        <v>2</v>
      </c>
      <c r="AS1118" s="14" t="str">
        <f t="shared" si="433"/>
        <v>柠檬精魂火-22</v>
      </c>
      <c r="AT1118" s="14">
        <f t="shared" si="434"/>
        <v>22</v>
      </c>
      <c r="AU1118" s="14" t="str">
        <f>IF(AM1118&gt;0,INDEX(挂机升级突破!$DT$4:$ED$4,AM1118),"")</f>
        <v>金币</v>
      </c>
      <c r="AV1118" s="14">
        <f>ROUND(INDEX(挂机升级突破!$DJ$6:$DJ$57,卡牌消耗!AT1118)*INDEX(卡牌消耗!$B$8:$F$8,AR1118)/$Q$4/50,0)*50</f>
        <v>3500</v>
      </c>
      <c r="AW1118" s="14" t="str">
        <f>IF(AN1118&gt;0,INDEX(挂机升级突破!$DT$4:$ED$4,AN1118),"")</f>
        <v>紫色基础材料</v>
      </c>
      <c r="AX1118" s="14">
        <f>ROUND(INDEX(挂机升级突破!$DT$6:$ED$57,卡牌消耗!AT1118,AN1118)*INDEX(卡牌消耗!$B$5:$F$5,AR1118)/$Q$4/5,0)*5</f>
        <v>55</v>
      </c>
      <c r="AY1118" s="14" t="str">
        <f>IF(AO1118&gt;0,INDEX(挂机升级突破!$DT$4:$ED$4,AO1118),"")</f>
        <v/>
      </c>
      <c r="AZ1118" s="14" t="str">
        <f>IF(AO1118&gt;0,ROUND(INDEX(挂机升级突破!$DT$6:$ED$57,卡牌消耗!AT1118,AO1118)*INDEX(卡牌消耗!$B$7:$F$7,AR1118)/$Q$4,0),"")</f>
        <v/>
      </c>
    </row>
    <row r="1119" spans="37:52" ht="16.5" x14ac:dyDescent="0.2">
      <c r="AK1119" s="104">
        <v>1115</v>
      </c>
      <c r="AL1119" s="14">
        <f t="shared" si="430"/>
        <v>22</v>
      </c>
      <c r="AM1119" s="14">
        <f>INDEX(挂机升级突破!DQ$6:DQ$57,卡牌消耗!$AT1119)</f>
        <v>11</v>
      </c>
      <c r="AN1119" s="14">
        <f>INDEX(挂机升级突破!DR$6:DR$57,卡牌消耗!$AT1119)</f>
        <v>4</v>
      </c>
      <c r="AO1119" s="14">
        <f>INDEX(挂机升级突破!DS$6:DS$57,卡牌消耗!$AT1119)</f>
        <v>0</v>
      </c>
      <c r="AP1119" s="14">
        <f>INDEX(挂机升级突破!$DP$6:$DP$57,卡牌消耗!AT1119)</f>
        <v>75</v>
      </c>
      <c r="AQ1119" s="14" t="str">
        <f t="shared" si="431"/>
        <v>柠檬精</v>
      </c>
      <c r="AR1119" s="14">
        <f t="shared" si="432"/>
        <v>2</v>
      </c>
      <c r="AS1119" s="14" t="str">
        <f t="shared" si="433"/>
        <v>柠檬精魂火-23</v>
      </c>
      <c r="AT1119" s="14">
        <f t="shared" si="434"/>
        <v>23</v>
      </c>
      <c r="AU1119" s="14" t="str">
        <f>IF(AM1119&gt;0,INDEX(挂机升级突破!$DT$4:$ED$4,AM1119),"")</f>
        <v>金币</v>
      </c>
      <c r="AV1119" s="14">
        <f>ROUND(INDEX(挂机升级突破!$DJ$6:$DJ$57,卡牌消耗!AT1119)*INDEX(卡牌消耗!$B$8:$F$8,AR1119)/$Q$4/50,0)*50</f>
        <v>4850</v>
      </c>
      <c r="AW1119" s="14" t="str">
        <f>IF(AN1119&gt;0,INDEX(挂机升级突破!$DT$4:$ED$4,AN1119),"")</f>
        <v>橙色基础材料</v>
      </c>
      <c r="AX1119" s="14">
        <f>ROUND(INDEX(挂机升级突破!$DT$6:$ED$57,卡牌消耗!AT1119,AN1119)*INDEX(卡牌消耗!$B$5:$F$5,AR1119)/$Q$4/5,0)*5</f>
        <v>15</v>
      </c>
      <c r="AY1119" s="14" t="str">
        <f>IF(AO1119&gt;0,INDEX(挂机升级突破!$DT$4:$ED$4,AO1119),"")</f>
        <v/>
      </c>
      <c r="AZ1119" s="14" t="str">
        <f>IF(AO1119&gt;0,ROUND(INDEX(挂机升级突破!$DT$6:$ED$57,卡牌消耗!AT1119,AO1119)*INDEX(卡牌消耗!$B$7:$F$7,AR1119)/$Q$4,0),"")</f>
        <v/>
      </c>
    </row>
    <row r="1120" spans="37:52" ht="16.5" x14ac:dyDescent="0.2">
      <c r="AK1120" s="104">
        <v>1116</v>
      </c>
      <c r="AL1120" s="14">
        <f t="shared" si="430"/>
        <v>22</v>
      </c>
      <c r="AM1120" s="14">
        <f>INDEX(挂机升级突破!DQ$6:DQ$57,卡牌消耗!$AT1120)</f>
        <v>11</v>
      </c>
      <c r="AN1120" s="14">
        <f>INDEX(挂机升级突破!DR$6:DR$57,卡牌消耗!$AT1120)</f>
        <v>4</v>
      </c>
      <c r="AO1120" s="14">
        <f>INDEX(挂机升级突破!DS$6:DS$57,卡牌消耗!$AT1120)</f>
        <v>0</v>
      </c>
      <c r="AP1120" s="14">
        <f>INDEX(挂机升级突破!$DP$6:$DP$57,卡牌消耗!AT1120)</f>
        <v>78</v>
      </c>
      <c r="AQ1120" s="14" t="str">
        <f t="shared" si="431"/>
        <v>柠檬精</v>
      </c>
      <c r="AR1120" s="14">
        <f t="shared" si="432"/>
        <v>2</v>
      </c>
      <c r="AS1120" s="14" t="str">
        <f t="shared" si="433"/>
        <v>柠檬精魂火-24</v>
      </c>
      <c r="AT1120" s="14">
        <f t="shared" si="434"/>
        <v>24</v>
      </c>
      <c r="AU1120" s="14" t="str">
        <f>IF(AM1120&gt;0,INDEX(挂机升级突破!$DT$4:$ED$4,AM1120),"")</f>
        <v>金币</v>
      </c>
      <c r="AV1120" s="14">
        <f>ROUND(INDEX(挂机升级突破!$DJ$6:$DJ$57,卡牌消耗!AT1120)*INDEX(卡牌消耗!$B$8:$F$8,AR1120)/$Q$4/50,0)*50</f>
        <v>4850</v>
      </c>
      <c r="AW1120" s="14" t="str">
        <f>IF(AN1120&gt;0,INDEX(挂机升级突破!$DT$4:$ED$4,AN1120),"")</f>
        <v>橙色基础材料</v>
      </c>
      <c r="AX1120" s="14">
        <f>ROUND(INDEX(挂机升级突破!$DT$6:$ED$57,卡牌消耗!AT1120,AN1120)*INDEX(卡牌消耗!$B$5:$F$5,AR1120)/$Q$4/5,0)*5</f>
        <v>15</v>
      </c>
      <c r="AY1120" s="14" t="str">
        <f>IF(AO1120&gt;0,INDEX(挂机升级突破!$DT$4:$ED$4,AO1120),"")</f>
        <v/>
      </c>
      <c r="AZ1120" s="14" t="str">
        <f>IF(AO1120&gt;0,ROUND(INDEX(挂机升级突破!$DT$6:$ED$57,卡牌消耗!AT1120,AO1120)*INDEX(卡牌消耗!$B$7:$F$7,AR1120)/$Q$4,0),"")</f>
        <v/>
      </c>
    </row>
    <row r="1121" spans="37:52" ht="16.5" x14ac:dyDescent="0.2">
      <c r="AK1121" s="104">
        <v>1117</v>
      </c>
      <c r="AL1121" s="14">
        <f t="shared" si="430"/>
        <v>22</v>
      </c>
      <c r="AM1121" s="14">
        <f>INDEX(挂机升级突破!DQ$6:DQ$57,卡牌消耗!$AT1121)</f>
        <v>11</v>
      </c>
      <c r="AN1121" s="14">
        <f>INDEX(挂机升级突破!DR$6:DR$57,卡牌消耗!$AT1121)</f>
        <v>4</v>
      </c>
      <c r="AO1121" s="14">
        <f>INDEX(挂机升级突破!DS$6:DS$57,卡牌消耗!$AT1121)</f>
        <v>0</v>
      </c>
      <c r="AP1121" s="14">
        <f>INDEX(挂机升级突破!$DP$6:$DP$57,卡牌消耗!AT1121)</f>
        <v>80</v>
      </c>
      <c r="AQ1121" s="14" t="str">
        <f t="shared" si="431"/>
        <v>柠檬精</v>
      </c>
      <c r="AR1121" s="14">
        <f t="shared" si="432"/>
        <v>2</v>
      </c>
      <c r="AS1121" s="14" t="str">
        <f t="shared" si="433"/>
        <v>柠檬精魂火-25</v>
      </c>
      <c r="AT1121" s="14">
        <f t="shared" si="434"/>
        <v>25</v>
      </c>
      <c r="AU1121" s="14" t="str">
        <f>IF(AM1121&gt;0,INDEX(挂机升级突破!$DT$4:$ED$4,AM1121),"")</f>
        <v>金币</v>
      </c>
      <c r="AV1121" s="14">
        <f>ROUND(INDEX(挂机升级突破!$DJ$6:$DJ$57,卡牌消耗!AT1121)*INDEX(卡牌消耗!$B$8:$F$8,AR1121)/$Q$4/50,0)*50</f>
        <v>5250</v>
      </c>
      <c r="AW1121" s="14" t="str">
        <f>IF(AN1121&gt;0,INDEX(挂机升级突破!$DT$4:$ED$4,AN1121),"")</f>
        <v>橙色基础材料</v>
      </c>
      <c r="AX1121" s="14">
        <f>ROUND(INDEX(挂机升级突破!$DT$6:$ED$57,卡牌消耗!AT1121,AN1121)*INDEX(卡牌消耗!$B$5:$F$5,AR1121)/$Q$4/5,0)*5</f>
        <v>15</v>
      </c>
      <c r="AY1121" s="14" t="str">
        <f>IF(AO1121&gt;0,INDEX(挂机升级突破!$DT$4:$ED$4,AO1121),"")</f>
        <v/>
      </c>
      <c r="AZ1121" s="14" t="str">
        <f>IF(AO1121&gt;0,ROUND(INDEX(挂机升级突破!$DT$6:$ED$57,卡牌消耗!AT1121,AO1121)*INDEX(卡牌消耗!$B$7:$F$7,AR1121)/$Q$4,0),"")</f>
        <v/>
      </c>
    </row>
    <row r="1122" spans="37:52" ht="16.5" x14ac:dyDescent="0.2">
      <c r="AK1122" s="104">
        <v>1118</v>
      </c>
      <c r="AL1122" s="14">
        <f t="shared" si="430"/>
        <v>22</v>
      </c>
      <c r="AM1122" s="14">
        <f>INDEX(挂机升级突破!DQ$6:DQ$57,卡牌消耗!$AT1122)</f>
        <v>11</v>
      </c>
      <c r="AN1122" s="14">
        <f>INDEX(挂机升级突破!DR$6:DR$57,卡牌消耗!$AT1122)</f>
        <v>4</v>
      </c>
      <c r="AO1122" s="14">
        <f>INDEX(挂机升级突破!DS$6:DS$57,卡牌消耗!$AT1122)</f>
        <v>0</v>
      </c>
      <c r="AP1122" s="14">
        <f>INDEX(挂机升级突破!$DP$6:$DP$57,卡牌消耗!AT1122)</f>
        <v>83</v>
      </c>
      <c r="AQ1122" s="14" t="str">
        <f t="shared" si="431"/>
        <v>柠檬精</v>
      </c>
      <c r="AR1122" s="14">
        <f t="shared" si="432"/>
        <v>2</v>
      </c>
      <c r="AS1122" s="14" t="str">
        <f t="shared" si="433"/>
        <v>柠檬精魂火-26</v>
      </c>
      <c r="AT1122" s="14">
        <f t="shared" si="434"/>
        <v>26</v>
      </c>
      <c r="AU1122" s="14" t="str">
        <f>IF(AM1122&gt;0,INDEX(挂机升级突破!$DT$4:$ED$4,AM1122),"")</f>
        <v>金币</v>
      </c>
      <c r="AV1122" s="14">
        <f>ROUND(INDEX(挂机升级突破!$DJ$6:$DJ$57,卡牌消耗!AT1122)*INDEX(卡牌消耗!$B$8:$F$8,AR1122)/$Q$4/50,0)*50</f>
        <v>6150</v>
      </c>
      <c r="AW1122" s="14" t="str">
        <f>IF(AN1122&gt;0,INDEX(挂机升级突破!$DT$4:$ED$4,AN1122),"")</f>
        <v>橙色基础材料</v>
      </c>
      <c r="AX1122" s="14">
        <f>ROUND(INDEX(挂机升级突破!$DT$6:$ED$57,卡牌消耗!AT1122,AN1122)*INDEX(卡牌消耗!$B$5:$F$5,AR1122)/$Q$4/5,0)*5</f>
        <v>20</v>
      </c>
      <c r="AY1122" s="14" t="str">
        <f>IF(AO1122&gt;0,INDEX(挂机升级突破!$DT$4:$ED$4,AO1122),"")</f>
        <v/>
      </c>
      <c r="AZ1122" s="14" t="str">
        <f>IF(AO1122&gt;0,ROUND(INDEX(挂机升级突破!$DT$6:$ED$57,卡牌消耗!AT1122,AO1122)*INDEX(卡牌消耗!$B$7:$F$7,AR1122)/$Q$4,0),"")</f>
        <v/>
      </c>
    </row>
    <row r="1123" spans="37:52" ht="16.5" x14ac:dyDescent="0.2">
      <c r="AK1123" s="104">
        <v>1119</v>
      </c>
      <c r="AL1123" s="14">
        <f t="shared" si="430"/>
        <v>22</v>
      </c>
      <c r="AM1123" s="14">
        <f>INDEX(挂机升级突破!DQ$6:DQ$57,卡牌消耗!$AT1123)</f>
        <v>11</v>
      </c>
      <c r="AN1123" s="14">
        <f>INDEX(挂机升级突破!DR$6:DR$57,卡牌消耗!$AT1123)</f>
        <v>4</v>
      </c>
      <c r="AO1123" s="14">
        <f>INDEX(挂机升级突破!DS$6:DS$57,卡牌消耗!$AT1123)</f>
        <v>0</v>
      </c>
      <c r="AP1123" s="14">
        <f>INDEX(挂机升级突破!$DP$6:$DP$57,卡牌消耗!AT1123)</f>
        <v>85</v>
      </c>
      <c r="AQ1123" s="14" t="str">
        <f t="shared" si="431"/>
        <v>柠檬精</v>
      </c>
      <c r="AR1123" s="14">
        <f t="shared" si="432"/>
        <v>2</v>
      </c>
      <c r="AS1123" s="14" t="str">
        <f t="shared" si="433"/>
        <v>柠檬精魂火-27</v>
      </c>
      <c r="AT1123" s="14">
        <f t="shared" si="434"/>
        <v>27</v>
      </c>
      <c r="AU1123" s="14" t="str">
        <f>IF(AM1123&gt;0,INDEX(挂机升级突破!$DT$4:$ED$4,AM1123),"")</f>
        <v>金币</v>
      </c>
      <c r="AV1123" s="14">
        <f>ROUND(INDEX(挂机升级突破!$DJ$6:$DJ$57,卡牌消耗!AT1123)*INDEX(卡牌消耗!$B$8:$F$8,AR1123)/$Q$4/50,0)*50</f>
        <v>6150</v>
      </c>
      <c r="AW1123" s="14" t="str">
        <f>IF(AN1123&gt;0,INDEX(挂机升级突破!$DT$4:$ED$4,AN1123),"")</f>
        <v>橙色基础材料</v>
      </c>
      <c r="AX1123" s="14">
        <f>ROUND(INDEX(挂机升级突破!$DT$6:$ED$57,卡牌消耗!AT1123,AN1123)*INDEX(卡牌消耗!$B$5:$F$5,AR1123)/$Q$4/5,0)*5</f>
        <v>20</v>
      </c>
      <c r="AY1123" s="14" t="str">
        <f>IF(AO1123&gt;0,INDEX(挂机升级突破!$DT$4:$ED$4,AO1123),"")</f>
        <v/>
      </c>
      <c r="AZ1123" s="14" t="str">
        <f>IF(AO1123&gt;0,ROUND(INDEX(挂机升级突破!$DT$6:$ED$57,卡牌消耗!AT1123,AO1123)*INDEX(卡牌消耗!$B$7:$F$7,AR1123)/$Q$4,0),"")</f>
        <v/>
      </c>
    </row>
    <row r="1124" spans="37:52" ht="16.5" x14ac:dyDescent="0.2">
      <c r="AK1124" s="104">
        <v>1120</v>
      </c>
      <c r="AL1124" s="14">
        <f t="shared" si="430"/>
        <v>22</v>
      </c>
      <c r="AM1124" s="14">
        <f>INDEX(挂机升级突破!DQ$6:DQ$57,卡牌消耗!$AT1124)</f>
        <v>11</v>
      </c>
      <c r="AN1124" s="14">
        <f>INDEX(挂机升级突破!DR$6:DR$57,卡牌消耗!$AT1124)</f>
        <v>4</v>
      </c>
      <c r="AO1124" s="14">
        <f>INDEX(挂机升级突破!DS$6:DS$57,卡牌消耗!$AT1124)</f>
        <v>0</v>
      </c>
      <c r="AP1124" s="14">
        <f>INDEX(挂机升级突破!$DP$6:$DP$57,卡牌消耗!AT1124)</f>
        <v>88</v>
      </c>
      <c r="AQ1124" s="14" t="str">
        <f t="shared" si="431"/>
        <v>柠檬精</v>
      </c>
      <c r="AR1124" s="14">
        <f t="shared" si="432"/>
        <v>2</v>
      </c>
      <c r="AS1124" s="14" t="str">
        <f t="shared" si="433"/>
        <v>柠檬精魂火-28</v>
      </c>
      <c r="AT1124" s="14">
        <f t="shared" si="434"/>
        <v>28</v>
      </c>
      <c r="AU1124" s="14" t="str">
        <f>IF(AM1124&gt;0,INDEX(挂机升级突破!$DT$4:$ED$4,AM1124),"")</f>
        <v>金币</v>
      </c>
      <c r="AV1124" s="14">
        <f>ROUND(INDEX(挂机升级突破!$DJ$6:$DJ$57,卡牌消耗!AT1124)*INDEX(卡牌消耗!$B$8:$F$8,AR1124)/$Q$4/50,0)*50</f>
        <v>6150</v>
      </c>
      <c r="AW1124" s="14" t="str">
        <f>IF(AN1124&gt;0,INDEX(挂机升级突破!$DT$4:$ED$4,AN1124),"")</f>
        <v>橙色基础材料</v>
      </c>
      <c r="AX1124" s="14">
        <f>ROUND(INDEX(挂机升级突破!$DT$6:$ED$57,卡牌消耗!AT1124,AN1124)*INDEX(卡牌消耗!$B$5:$F$5,AR1124)/$Q$4/5,0)*5</f>
        <v>20</v>
      </c>
      <c r="AY1124" s="14" t="str">
        <f>IF(AO1124&gt;0,INDEX(挂机升级突破!$DT$4:$ED$4,AO1124),"")</f>
        <v/>
      </c>
      <c r="AZ1124" s="14" t="str">
        <f>IF(AO1124&gt;0,ROUND(INDEX(挂机升级突破!$DT$6:$ED$57,卡牌消耗!AT1124,AO1124)*INDEX(卡牌消耗!$B$7:$F$7,AR1124)/$Q$4,0),"")</f>
        <v/>
      </c>
    </row>
    <row r="1125" spans="37:52" ht="16.5" x14ac:dyDescent="0.2">
      <c r="AK1125" s="104">
        <v>1121</v>
      </c>
      <c r="AL1125" s="14">
        <f t="shared" si="430"/>
        <v>22</v>
      </c>
      <c r="AM1125" s="14">
        <f>INDEX(挂机升级突破!DQ$6:DQ$57,卡牌消耗!$AT1125)</f>
        <v>11</v>
      </c>
      <c r="AN1125" s="14">
        <f>INDEX(挂机升级突破!DR$6:DR$57,卡牌消耗!$AT1125)</f>
        <v>4</v>
      </c>
      <c r="AO1125" s="14">
        <f>INDEX(挂机升级突破!DS$6:DS$57,卡牌消耗!$AT1125)</f>
        <v>0</v>
      </c>
      <c r="AP1125" s="14">
        <f>INDEX(挂机升级突破!$DP$6:$DP$57,卡牌消耗!AT1125)</f>
        <v>90</v>
      </c>
      <c r="AQ1125" s="14" t="str">
        <f t="shared" si="431"/>
        <v>柠檬精</v>
      </c>
      <c r="AR1125" s="14">
        <f t="shared" si="432"/>
        <v>2</v>
      </c>
      <c r="AS1125" s="14" t="str">
        <f t="shared" si="433"/>
        <v>柠檬精魂火-29</v>
      </c>
      <c r="AT1125" s="14">
        <f t="shared" si="434"/>
        <v>29</v>
      </c>
      <c r="AU1125" s="14" t="str">
        <f>IF(AM1125&gt;0,INDEX(挂机升级突破!$DT$4:$ED$4,AM1125),"")</f>
        <v>金币</v>
      </c>
      <c r="AV1125" s="14">
        <f>ROUND(INDEX(挂机升级突破!$DJ$6:$DJ$57,卡牌消耗!AT1125)*INDEX(卡牌消耗!$B$8:$F$8,AR1125)/$Q$4/50,0)*50</f>
        <v>6200</v>
      </c>
      <c r="AW1125" s="14" t="str">
        <f>IF(AN1125&gt;0,INDEX(挂机升级突破!$DT$4:$ED$4,AN1125),"")</f>
        <v>橙色基础材料</v>
      </c>
      <c r="AX1125" s="14">
        <f>ROUND(INDEX(挂机升级突破!$DT$6:$ED$57,卡牌消耗!AT1125,AN1125)*INDEX(卡牌消耗!$B$5:$F$5,AR1125)/$Q$4/5,0)*5</f>
        <v>20</v>
      </c>
      <c r="AY1125" s="14" t="str">
        <f>IF(AO1125&gt;0,INDEX(挂机升级突破!$DT$4:$ED$4,AO1125),"")</f>
        <v/>
      </c>
      <c r="AZ1125" s="14" t="str">
        <f>IF(AO1125&gt;0,ROUND(INDEX(挂机升级突破!$DT$6:$ED$57,卡牌消耗!AT1125,AO1125)*INDEX(卡牌消耗!$B$7:$F$7,AR1125)/$Q$4,0),"")</f>
        <v/>
      </c>
    </row>
    <row r="1126" spans="37:52" ht="16.5" x14ac:dyDescent="0.2">
      <c r="AK1126" s="104">
        <v>1122</v>
      </c>
      <c r="AL1126" s="14">
        <f t="shared" si="430"/>
        <v>22</v>
      </c>
      <c r="AM1126" s="14">
        <f>INDEX(挂机升级突破!DQ$6:DQ$57,卡牌消耗!$AT1126)</f>
        <v>11</v>
      </c>
      <c r="AN1126" s="14">
        <f>INDEX(挂机升级突破!DR$6:DR$57,卡牌消耗!$AT1126)</f>
        <v>4</v>
      </c>
      <c r="AO1126" s="14">
        <f>INDEX(挂机升级突破!DS$6:DS$57,卡牌消耗!$AT1126)</f>
        <v>0</v>
      </c>
      <c r="AP1126" s="14">
        <f>INDEX(挂机升级突破!$DP$6:$DP$57,卡牌消耗!AT1126)</f>
        <v>93</v>
      </c>
      <c r="AQ1126" s="14" t="str">
        <f t="shared" si="431"/>
        <v>柠檬精</v>
      </c>
      <c r="AR1126" s="14">
        <f t="shared" si="432"/>
        <v>2</v>
      </c>
      <c r="AS1126" s="14" t="str">
        <f t="shared" si="433"/>
        <v>柠檬精魂火-30</v>
      </c>
      <c r="AT1126" s="14">
        <f t="shared" si="434"/>
        <v>30</v>
      </c>
      <c r="AU1126" s="14" t="str">
        <f>IF(AM1126&gt;0,INDEX(挂机升级突破!$DT$4:$ED$4,AM1126),"")</f>
        <v>金币</v>
      </c>
      <c r="AV1126" s="14">
        <f>ROUND(INDEX(挂机升级突破!$DJ$6:$DJ$57,卡牌消耗!AT1126)*INDEX(卡牌消耗!$B$8:$F$8,AR1126)/$Q$4/50,0)*50</f>
        <v>6200</v>
      </c>
      <c r="AW1126" s="14" t="str">
        <f>IF(AN1126&gt;0,INDEX(挂机升级突破!$DT$4:$ED$4,AN1126),"")</f>
        <v>橙色基础材料</v>
      </c>
      <c r="AX1126" s="14">
        <f>ROUND(INDEX(挂机升级突破!$DT$6:$ED$57,卡牌消耗!AT1126,AN1126)*INDEX(卡牌消耗!$B$5:$F$5,AR1126)/$Q$4/5,0)*5</f>
        <v>20</v>
      </c>
      <c r="AY1126" s="14" t="str">
        <f>IF(AO1126&gt;0,INDEX(挂机升级突破!$DT$4:$ED$4,AO1126),"")</f>
        <v/>
      </c>
      <c r="AZ1126" s="14" t="str">
        <f>IF(AO1126&gt;0,ROUND(INDEX(挂机升级突破!$DT$6:$ED$57,卡牌消耗!AT1126,AO1126)*INDEX(卡牌消耗!$B$7:$F$7,AR1126)/$Q$4,0),"")</f>
        <v/>
      </c>
    </row>
    <row r="1127" spans="37:52" ht="16.5" x14ac:dyDescent="0.2">
      <c r="AK1127" s="104">
        <v>1123</v>
      </c>
      <c r="AL1127" s="14">
        <f t="shared" si="430"/>
        <v>22</v>
      </c>
      <c r="AM1127" s="14">
        <f>INDEX(挂机升级突破!DQ$6:DQ$57,卡牌消耗!$AT1127)</f>
        <v>11</v>
      </c>
      <c r="AN1127" s="14">
        <f>INDEX(挂机升级突破!DR$6:DR$57,卡牌消耗!$AT1127)</f>
        <v>4</v>
      </c>
      <c r="AO1127" s="14">
        <f>INDEX(挂机升级突破!DS$6:DS$57,卡牌消耗!$AT1127)</f>
        <v>0</v>
      </c>
      <c r="AP1127" s="14">
        <f>INDEX(挂机升级突破!$DP$6:$DP$57,卡牌消耗!AT1127)</f>
        <v>95</v>
      </c>
      <c r="AQ1127" s="14" t="str">
        <f t="shared" si="431"/>
        <v>柠檬精</v>
      </c>
      <c r="AR1127" s="14">
        <f t="shared" si="432"/>
        <v>2</v>
      </c>
      <c r="AS1127" s="14" t="str">
        <f t="shared" si="433"/>
        <v>柠檬精魂火-31</v>
      </c>
      <c r="AT1127" s="14">
        <f t="shared" si="434"/>
        <v>31</v>
      </c>
      <c r="AU1127" s="14" t="str">
        <f>IF(AM1127&gt;0,INDEX(挂机升级突破!$DT$4:$ED$4,AM1127),"")</f>
        <v>金币</v>
      </c>
      <c r="AV1127" s="14">
        <f>ROUND(INDEX(挂机升级突破!$DJ$6:$DJ$57,卡牌消耗!AT1127)*INDEX(卡牌消耗!$B$8:$F$8,AR1127)/$Q$4/50,0)*50</f>
        <v>6200</v>
      </c>
      <c r="AW1127" s="14" t="str">
        <f>IF(AN1127&gt;0,INDEX(挂机升级突破!$DT$4:$ED$4,AN1127),"")</f>
        <v>橙色基础材料</v>
      </c>
      <c r="AX1127" s="14">
        <f>ROUND(INDEX(挂机升级突破!$DT$6:$ED$57,卡牌消耗!AT1127,AN1127)*INDEX(卡牌消耗!$B$5:$F$5,AR1127)/$Q$4/5,0)*5</f>
        <v>20</v>
      </c>
      <c r="AY1127" s="14" t="str">
        <f>IF(AO1127&gt;0,INDEX(挂机升级突破!$DT$4:$ED$4,AO1127),"")</f>
        <v/>
      </c>
      <c r="AZ1127" s="14" t="str">
        <f>IF(AO1127&gt;0,ROUND(INDEX(挂机升级突破!$DT$6:$ED$57,卡牌消耗!AT1127,AO1127)*INDEX(卡牌消耗!$B$7:$F$7,AR1127)/$Q$4,0),"")</f>
        <v/>
      </c>
    </row>
    <row r="1128" spans="37:52" ht="16.5" x14ac:dyDescent="0.2">
      <c r="AK1128" s="104">
        <v>1124</v>
      </c>
      <c r="AL1128" s="14">
        <f t="shared" si="430"/>
        <v>22</v>
      </c>
      <c r="AM1128" s="14">
        <f>INDEX(挂机升级突破!DQ$6:DQ$57,卡牌消耗!$AT1128)</f>
        <v>11</v>
      </c>
      <c r="AN1128" s="14">
        <f>INDEX(挂机升级突破!DR$6:DR$57,卡牌消耗!$AT1128)</f>
        <v>4</v>
      </c>
      <c r="AO1128" s="14">
        <f>INDEX(挂机升级突破!DS$6:DS$57,卡牌消耗!$AT1128)</f>
        <v>0</v>
      </c>
      <c r="AP1128" s="14">
        <f>INDEX(挂机升级突破!$DP$6:$DP$57,卡牌消耗!AT1128)</f>
        <v>98</v>
      </c>
      <c r="AQ1128" s="14" t="str">
        <f t="shared" si="431"/>
        <v>柠檬精</v>
      </c>
      <c r="AR1128" s="14">
        <f t="shared" si="432"/>
        <v>2</v>
      </c>
      <c r="AS1128" s="14" t="str">
        <f t="shared" si="433"/>
        <v>柠檬精魂火-32</v>
      </c>
      <c r="AT1128" s="14">
        <f t="shared" si="434"/>
        <v>32</v>
      </c>
      <c r="AU1128" s="14" t="str">
        <f>IF(AM1128&gt;0,INDEX(挂机升级突破!$DT$4:$ED$4,AM1128),"")</f>
        <v>金币</v>
      </c>
      <c r="AV1128" s="14">
        <f>ROUND(INDEX(挂机升级突破!$DJ$6:$DJ$57,卡牌消耗!AT1128)*INDEX(卡牌消耗!$B$8:$F$8,AR1128)/$Q$4/50,0)*50</f>
        <v>8550</v>
      </c>
      <c r="AW1128" s="14" t="str">
        <f>IF(AN1128&gt;0,INDEX(挂机升级突破!$DT$4:$ED$4,AN1128),"")</f>
        <v>橙色基础材料</v>
      </c>
      <c r="AX1128" s="14">
        <f>ROUND(INDEX(挂机升级突破!$DT$6:$ED$57,卡牌消耗!AT1128,AN1128)*INDEX(卡牌消耗!$B$5:$F$5,AR1128)/$Q$4/5,0)*5</f>
        <v>20</v>
      </c>
      <c r="AY1128" s="14" t="str">
        <f>IF(AO1128&gt;0,INDEX(挂机升级突破!$DT$4:$ED$4,AO1128),"")</f>
        <v/>
      </c>
      <c r="AZ1128" s="14" t="str">
        <f>IF(AO1128&gt;0,ROUND(INDEX(挂机升级突破!$DT$6:$ED$57,卡牌消耗!AT1128,AO1128)*INDEX(卡牌消耗!$B$7:$F$7,AR1128)/$Q$4,0),"")</f>
        <v/>
      </c>
    </row>
    <row r="1129" spans="37:52" ht="16.5" x14ac:dyDescent="0.2">
      <c r="AK1129" s="104">
        <v>1125</v>
      </c>
      <c r="AL1129" s="14">
        <f t="shared" si="430"/>
        <v>22</v>
      </c>
      <c r="AM1129" s="14">
        <f>INDEX(挂机升级突破!DQ$6:DQ$57,卡牌消耗!$AT1129)</f>
        <v>11</v>
      </c>
      <c r="AN1129" s="14">
        <f>INDEX(挂机升级突破!DR$6:DR$57,卡牌消耗!$AT1129)</f>
        <v>4</v>
      </c>
      <c r="AO1129" s="14">
        <f>INDEX(挂机升级突破!DS$6:DS$57,卡牌消耗!$AT1129)</f>
        <v>0</v>
      </c>
      <c r="AP1129" s="14">
        <f>INDEX(挂机升级突破!$DP$6:$DP$57,卡牌消耗!AT1129)</f>
        <v>100</v>
      </c>
      <c r="AQ1129" s="14" t="str">
        <f t="shared" si="431"/>
        <v>柠檬精</v>
      </c>
      <c r="AR1129" s="14">
        <f t="shared" si="432"/>
        <v>2</v>
      </c>
      <c r="AS1129" s="14" t="str">
        <f t="shared" si="433"/>
        <v>柠檬精魂火-33</v>
      </c>
      <c r="AT1129" s="14">
        <f t="shared" si="434"/>
        <v>33</v>
      </c>
      <c r="AU1129" s="14" t="str">
        <f>IF(AM1129&gt;0,INDEX(挂机升级突破!$DT$4:$ED$4,AM1129),"")</f>
        <v>金币</v>
      </c>
      <c r="AV1129" s="14">
        <f>ROUND(INDEX(挂机升级突破!$DJ$6:$DJ$57,卡牌消耗!AT1129)*INDEX(卡牌消耗!$B$8:$F$8,AR1129)/$Q$4/50,0)*50</f>
        <v>8550</v>
      </c>
      <c r="AW1129" s="14" t="str">
        <f>IF(AN1129&gt;0,INDEX(挂机升级突破!$DT$4:$ED$4,AN1129),"")</f>
        <v>橙色基础材料</v>
      </c>
      <c r="AX1129" s="14">
        <f>ROUND(INDEX(挂机升级突破!$DT$6:$ED$57,卡牌消耗!AT1129,AN1129)*INDEX(卡牌消耗!$B$5:$F$5,AR1129)/$Q$4/5,0)*5</f>
        <v>20</v>
      </c>
      <c r="AY1129" s="14" t="str">
        <f>IF(AO1129&gt;0,INDEX(挂机升级突破!$DT$4:$ED$4,AO1129),"")</f>
        <v/>
      </c>
      <c r="AZ1129" s="14" t="str">
        <f>IF(AO1129&gt;0,ROUND(INDEX(挂机升级突破!$DT$6:$ED$57,卡牌消耗!AT1129,AO1129)*INDEX(卡牌消耗!$B$7:$F$7,AR1129)/$Q$4,0),"")</f>
        <v/>
      </c>
    </row>
    <row r="1130" spans="37:52" ht="16.5" x14ac:dyDescent="0.2">
      <c r="AK1130" s="104">
        <v>1126</v>
      </c>
      <c r="AL1130" s="14">
        <f t="shared" si="430"/>
        <v>22</v>
      </c>
      <c r="AM1130" s="14">
        <f>INDEX(挂机升级突破!DQ$6:DQ$57,卡牌消耗!$AT1130)</f>
        <v>11</v>
      </c>
      <c r="AN1130" s="14">
        <f>INDEX(挂机升级突破!DR$6:DR$57,卡牌消耗!$AT1130)</f>
        <v>4</v>
      </c>
      <c r="AO1130" s="14">
        <f>INDEX(挂机升级突破!DS$6:DS$57,卡牌消耗!$AT1130)</f>
        <v>0</v>
      </c>
      <c r="AP1130" s="14">
        <f>INDEX(挂机升级突破!$DP$6:$DP$57,卡牌消耗!AT1130)</f>
        <v>103</v>
      </c>
      <c r="AQ1130" s="14" t="str">
        <f t="shared" si="431"/>
        <v>柠檬精</v>
      </c>
      <c r="AR1130" s="14">
        <f t="shared" si="432"/>
        <v>2</v>
      </c>
      <c r="AS1130" s="14" t="str">
        <f t="shared" si="433"/>
        <v>柠檬精魂火-34</v>
      </c>
      <c r="AT1130" s="14">
        <f t="shared" si="434"/>
        <v>34</v>
      </c>
      <c r="AU1130" s="14" t="str">
        <f>IF(AM1130&gt;0,INDEX(挂机升级突破!$DT$4:$ED$4,AM1130),"")</f>
        <v>金币</v>
      </c>
      <c r="AV1130" s="14">
        <f>ROUND(INDEX(挂机升级突破!$DJ$6:$DJ$57,卡牌消耗!AT1130)*INDEX(卡牌消耗!$B$8:$F$8,AR1130)/$Q$4/50,0)*50</f>
        <v>8550</v>
      </c>
      <c r="AW1130" s="14" t="str">
        <f>IF(AN1130&gt;0,INDEX(挂机升级突破!$DT$4:$ED$4,AN1130),"")</f>
        <v>橙色基础材料</v>
      </c>
      <c r="AX1130" s="14">
        <f>ROUND(INDEX(挂机升级突破!$DT$6:$ED$57,卡牌消耗!AT1130,AN1130)*INDEX(卡牌消耗!$B$5:$F$5,AR1130)/$Q$4/5,0)*5</f>
        <v>25</v>
      </c>
      <c r="AY1130" s="14" t="str">
        <f>IF(AO1130&gt;0,INDEX(挂机升级突破!$DT$4:$ED$4,AO1130),"")</f>
        <v/>
      </c>
      <c r="AZ1130" s="14" t="str">
        <f>IF(AO1130&gt;0,ROUND(INDEX(挂机升级突破!$DT$6:$ED$57,卡牌消耗!AT1130,AO1130)*INDEX(卡牌消耗!$B$7:$F$7,AR1130)/$Q$4,0),"")</f>
        <v/>
      </c>
    </row>
    <row r="1131" spans="37:52" ht="16.5" x14ac:dyDescent="0.2">
      <c r="AK1131" s="104">
        <v>1127</v>
      </c>
      <c r="AL1131" s="14">
        <f t="shared" si="430"/>
        <v>22</v>
      </c>
      <c r="AM1131" s="14">
        <f>INDEX(挂机升级突破!DQ$6:DQ$57,卡牌消耗!$AT1131)</f>
        <v>11</v>
      </c>
      <c r="AN1131" s="14">
        <f>INDEX(挂机升级突破!DR$6:DR$57,卡牌消耗!$AT1131)</f>
        <v>4</v>
      </c>
      <c r="AO1131" s="14">
        <f>INDEX(挂机升级突破!DS$6:DS$57,卡牌消耗!$AT1131)</f>
        <v>0</v>
      </c>
      <c r="AP1131" s="14">
        <f>INDEX(挂机升级突破!$DP$6:$DP$57,卡牌消耗!AT1131)</f>
        <v>105</v>
      </c>
      <c r="AQ1131" s="14" t="str">
        <f t="shared" si="431"/>
        <v>柠檬精</v>
      </c>
      <c r="AR1131" s="14">
        <f t="shared" si="432"/>
        <v>2</v>
      </c>
      <c r="AS1131" s="14" t="str">
        <f t="shared" si="433"/>
        <v>柠檬精魂火-35</v>
      </c>
      <c r="AT1131" s="14">
        <f t="shared" si="434"/>
        <v>35</v>
      </c>
      <c r="AU1131" s="14" t="str">
        <f>IF(AM1131&gt;0,INDEX(挂机升级突破!$DT$4:$ED$4,AM1131),"")</f>
        <v>金币</v>
      </c>
      <c r="AV1131" s="14">
        <f>ROUND(INDEX(挂机升级突破!$DJ$6:$DJ$57,卡牌消耗!AT1131)*INDEX(卡牌消耗!$B$8:$F$8,AR1131)/$Q$4/50,0)*50</f>
        <v>10900</v>
      </c>
      <c r="AW1131" s="14" t="str">
        <f>IF(AN1131&gt;0,INDEX(挂机升级突破!$DT$4:$ED$4,AN1131),"")</f>
        <v>橙色基础材料</v>
      </c>
      <c r="AX1131" s="14">
        <f>ROUND(INDEX(挂机升级突破!$DT$6:$ED$57,卡牌消耗!AT1131,AN1131)*INDEX(卡牌消耗!$B$5:$F$5,AR1131)/$Q$4/5,0)*5</f>
        <v>25</v>
      </c>
      <c r="AY1131" s="14" t="str">
        <f>IF(AO1131&gt;0,INDEX(挂机升级突破!$DT$4:$ED$4,AO1131),"")</f>
        <v/>
      </c>
      <c r="AZ1131" s="14" t="str">
        <f>IF(AO1131&gt;0,ROUND(INDEX(挂机升级突破!$DT$6:$ED$57,卡牌消耗!AT1131,AO1131)*INDEX(卡牌消耗!$B$7:$F$7,AR1131)/$Q$4,0),"")</f>
        <v/>
      </c>
    </row>
    <row r="1132" spans="37:52" ht="16.5" x14ac:dyDescent="0.2">
      <c r="AK1132" s="104">
        <v>1128</v>
      </c>
      <c r="AL1132" s="14">
        <f t="shared" si="430"/>
        <v>22</v>
      </c>
      <c r="AM1132" s="14">
        <f>INDEX(挂机升级突破!DQ$6:DQ$57,卡牌消耗!$AT1132)</f>
        <v>11</v>
      </c>
      <c r="AN1132" s="14">
        <f>INDEX(挂机升级突破!DR$6:DR$57,卡牌消耗!$AT1132)</f>
        <v>4</v>
      </c>
      <c r="AO1132" s="14">
        <f>INDEX(挂机升级突破!DS$6:DS$57,卡牌消耗!$AT1132)</f>
        <v>0</v>
      </c>
      <c r="AP1132" s="14">
        <f>INDEX(挂机升级突破!$DP$6:$DP$57,卡牌消耗!AT1132)</f>
        <v>108</v>
      </c>
      <c r="AQ1132" s="14" t="str">
        <f t="shared" si="431"/>
        <v>柠檬精</v>
      </c>
      <c r="AR1132" s="14">
        <f t="shared" si="432"/>
        <v>2</v>
      </c>
      <c r="AS1132" s="14" t="str">
        <f t="shared" si="433"/>
        <v>柠檬精魂火-36</v>
      </c>
      <c r="AT1132" s="14">
        <f t="shared" si="434"/>
        <v>36</v>
      </c>
      <c r="AU1132" s="14" t="str">
        <f>IF(AM1132&gt;0,INDEX(挂机升级突破!$DT$4:$ED$4,AM1132),"")</f>
        <v>金币</v>
      </c>
      <c r="AV1132" s="14">
        <f>ROUND(INDEX(挂机升级突破!$DJ$6:$DJ$57,卡牌消耗!AT1132)*INDEX(卡牌消耗!$B$8:$F$8,AR1132)/$Q$4/50,0)*50</f>
        <v>10900</v>
      </c>
      <c r="AW1132" s="14" t="str">
        <f>IF(AN1132&gt;0,INDEX(挂机升级突破!$DT$4:$ED$4,AN1132),"")</f>
        <v>橙色基础材料</v>
      </c>
      <c r="AX1132" s="14">
        <f>ROUND(INDEX(挂机升级突破!$DT$6:$ED$57,卡牌消耗!AT1132,AN1132)*INDEX(卡牌消耗!$B$5:$F$5,AR1132)/$Q$4/5,0)*5</f>
        <v>25</v>
      </c>
      <c r="AY1132" s="14" t="str">
        <f>IF(AO1132&gt;0,INDEX(挂机升级突破!$DT$4:$ED$4,AO1132),"")</f>
        <v/>
      </c>
      <c r="AZ1132" s="14" t="str">
        <f>IF(AO1132&gt;0,ROUND(INDEX(挂机升级突破!$DT$6:$ED$57,卡牌消耗!AT1132,AO1132)*INDEX(卡牌消耗!$B$7:$F$7,AR1132)/$Q$4,0),"")</f>
        <v/>
      </c>
    </row>
    <row r="1133" spans="37:52" ht="16.5" x14ac:dyDescent="0.2">
      <c r="AK1133" s="104">
        <v>1129</v>
      </c>
      <c r="AL1133" s="14">
        <f t="shared" si="430"/>
        <v>22</v>
      </c>
      <c r="AM1133" s="14">
        <f>INDEX(挂机升级突破!DQ$6:DQ$57,卡牌消耗!$AT1133)</f>
        <v>11</v>
      </c>
      <c r="AN1133" s="14">
        <f>INDEX(挂机升级突破!DR$6:DR$57,卡牌消耗!$AT1133)</f>
        <v>4</v>
      </c>
      <c r="AO1133" s="14">
        <f>INDEX(挂机升级突破!DS$6:DS$57,卡牌消耗!$AT1133)</f>
        <v>0</v>
      </c>
      <c r="AP1133" s="14">
        <f>INDEX(挂机升级突破!$DP$6:$DP$57,卡牌消耗!AT1133)</f>
        <v>110</v>
      </c>
      <c r="AQ1133" s="14" t="str">
        <f t="shared" si="431"/>
        <v>柠檬精</v>
      </c>
      <c r="AR1133" s="14">
        <f t="shared" si="432"/>
        <v>2</v>
      </c>
      <c r="AS1133" s="14" t="str">
        <f t="shared" si="433"/>
        <v>柠檬精魂火-37</v>
      </c>
      <c r="AT1133" s="14">
        <f t="shared" si="434"/>
        <v>37</v>
      </c>
      <c r="AU1133" s="14" t="str">
        <f>IF(AM1133&gt;0,INDEX(挂机升级突破!$DT$4:$ED$4,AM1133),"")</f>
        <v>金币</v>
      </c>
      <c r="AV1133" s="14">
        <f>ROUND(INDEX(挂机升级突破!$DJ$6:$DJ$57,卡牌消耗!AT1133)*INDEX(卡牌消耗!$B$8:$F$8,AR1133)/$Q$4/50,0)*50</f>
        <v>11650</v>
      </c>
      <c r="AW1133" s="14" t="str">
        <f>IF(AN1133&gt;0,INDEX(挂机升级突破!$DT$4:$ED$4,AN1133),"")</f>
        <v>橙色基础材料</v>
      </c>
      <c r="AX1133" s="14">
        <f>ROUND(INDEX(挂机升级突破!$DT$6:$ED$57,卡牌消耗!AT1133,AN1133)*INDEX(卡牌消耗!$B$5:$F$5,AR1133)/$Q$4/5,0)*5</f>
        <v>25</v>
      </c>
      <c r="AY1133" s="14" t="str">
        <f>IF(AO1133&gt;0,INDEX(挂机升级突破!$DT$4:$ED$4,AO1133),"")</f>
        <v/>
      </c>
      <c r="AZ1133" s="14" t="str">
        <f>IF(AO1133&gt;0,ROUND(INDEX(挂机升级突破!$DT$6:$ED$57,卡牌消耗!AT1133,AO1133)*INDEX(卡牌消耗!$B$7:$F$7,AR1133)/$Q$4,0),"")</f>
        <v/>
      </c>
    </row>
    <row r="1134" spans="37:52" ht="16.5" x14ac:dyDescent="0.2">
      <c r="AK1134" s="104">
        <v>1130</v>
      </c>
      <c r="AL1134" s="14">
        <f t="shared" si="430"/>
        <v>22</v>
      </c>
      <c r="AM1134" s="14">
        <f>INDEX(挂机升级突破!DQ$6:DQ$57,卡牌消耗!$AT1134)</f>
        <v>11</v>
      </c>
      <c r="AN1134" s="14">
        <f>INDEX(挂机升级突破!DR$6:DR$57,卡牌消耗!$AT1134)</f>
        <v>5</v>
      </c>
      <c r="AO1134" s="14">
        <f>INDEX(挂机升级突破!DS$6:DS$57,卡牌消耗!$AT1134)</f>
        <v>0</v>
      </c>
      <c r="AP1134" s="14">
        <f>INDEX(挂机升级突破!$DP$6:$DP$57,卡牌消耗!AT1134)</f>
        <v>113</v>
      </c>
      <c r="AQ1134" s="14" t="str">
        <f t="shared" si="431"/>
        <v>柠檬精</v>
      </c>
      <c r="AR1134" s="14">
        <f t="shared" si="432"/>
        <v>2</v>
      </c>
      <c r="AS1134" s="14" t="str">
        <f t="shared" si="433"/>
        <v>柠檬精魂火-38</v>
      </c>
      <c r="AT1134" s="14">
        <f t="shared" si="434"/>
        <v>38</v>
      </c>
      <c r="AU1134" s="14" t="str">
        <f>IF(AM1134&gt;0,INDEX(挂机升级突破!$DT$4:$ED$4,AM1134),"")</f>
        <v>金币</v>
      </c>
      <c r="AV1134" s="14">
        <f>ROUND(INDEX(挂机升级突破!$DJ$6:$DJ$57,卡牌消耗!AT1134)*INDEX(卡牌消耗!$B$8:$F$8,AR1134)/$Q$4/50,0)*50</f>
        <v>15050</v>
      </c>
      <c r="AW1134" s="14" t="str">
        <f>IF(AN1134&gt;0,INDEX(挂机升级突破!$DT$4:$ED$4,AN1134),"")</f>
        <v>红色基础材料</v>
      </c>
      <c r="AX1134" s="14">
        <f>ROUND(INDEX(挂机升级突破!$DT$6:$ED$57,卡牌消耗!AT1134,AN1134)*INDEX(卡牌消耗!$B$5:$F$5,AR1134)/$Q$4/5,0)*5</f>
        <v>5</v>
      </c>
      <c r="AY1134" s="14" t="str">
        <f>IF(AO1134&gt;0,INDEX(挂机升级突破!$DT$4:$ED$4,AO1134),"")</f>
        <v/>
      </c>
      <c r="AZ1134" s="14" t="str">
        <f>IF(AO1134&gt;0,ROUND(INDEX(挂机升级突破!$DT$6:$ED$57,卡牌消耗!AT1134,AO1134)*INDEX(卡牌消耗!$B$7:$F$7,AR1134)/$Q$4,0),"")</f>
        <v/>
      </c>
    </row>
    <row r="1135" spans="37:52" ht="16.5" x14ac:dyDescent="0.2">
      <c r="AK1135" s="104">
        <v>1131</v>
      </c>
      <c r="AL1135" s="14">
        <f t="shared" si="430"/>
        <v>22</v>
      </c>
      <c r="AM1135" s="14">
        <f>INDEX(挂机升级突破!DQ$6:DQ$57,卡牌消耗!$AT1135)</f>
        <v>11</v>
      </c>
      <c r="AN1135" s="14">
        <f>INDEX(挂机升级突破!DR$6:DR$57,卡牌消耗!$AT1135)</f>
        <v>5</v>
      </c>
      <c r="AO1135" s="14">
        <f>INDEX(挂机升级突破!DS$6:DS$57,卡牌消耗!$AT1135)</f>
        <v>0</v>
      </c>
      <c r="AP1135" s="14">
        <f>INDEX(挂机升级突破!$DP$6:$DP$57,卡牌消耗!AT1135)</f>
        <v>115</v>
      </c>
      <c r="AQ1135" s="14" t="str">
        <f t="shared" si="431"/>
        <v>柠檬精</v>
      </c>
      <c r="AR1135" s="14">
        <f t="shared" si="432"/>
        <v>2</v>
      </c>
      <c r="AS1135" s="14" t="str">
        <f t="shared" si="433"/>
        <v>柠檬精魂火-39</v>
      </c>
      <c r="AT1135" s="14">
        <f t="shared" si="434"/>
        <v>39</v>
      </c>
      <c r="AU1135" s="14" t="str">
        <f>IF(AM1135&gt;0,INDEX(挂机升级突破!$DT$4:$ED$4,AM1135),"")</f>
        <v>金币</v>
      </c>
      <c r="AV1135" s="14">
        <f>ROUND(INDEX(挂机升级突破!$DJ$6:$DJ$57,卡牌消耗!AT1135)*INDEX(卡牌消耗!$B$8:$F$8,AR1135)/$Q$4/50,0)*50</f>
        <v>15050</v>
      </c>
      <c r="AW1135" s="14" t="str">
        <f>IF(AN1135&gt;0,INDEX(挂机升级突破!$DT$4:$ED$4,AN1135),"")</f>
        <v>红色基础材料</v>
      </c>
      <c r="AX1135" s="14">
        <f>ROUND(INDEX(挂机升级突破!$DT$6:$ED$57,卡牌消耗!AT1135,AN1135)*INDEX(卡牌消耗!$B$5:$F$5,AR1135)/$Q$4/5,0)*5</f>
        <v>5</v>
      </c>
      <c r="AY1135" s="14" t="str">
        <f>IF(AO1135&gt;0,INDEX(挂机升级突破!$DT$4:$ED$4,AO1135),"")</f>
        <v/>
      </c>
      <c r="AZ1135" s="14" t="str">
        <f>IF(AO1135&gt;0,ROUND(INDEX(挂机升级突破!$DT$6:$ED$57,卡牌消耗!AT1135,AO1135)*INDEX(卡牌消耗!$B$7:$F$7,AR1135)/$Q$4,0),"")</f>
        <v/>
      </c>
    </row>
    <row r="1136" spans="37:52" ht="16.5" x14ac:dyDescent="0.2">
      <c r="AK1136" s="104">
        <v>1132</v>
      </c>
      <c r="AL1136" s="14">
        <f t="shared" si="430"/>
        <v>22</v>
      </c>
      <c r="AM1136" s="14">
        <f>INDEX(挂机升级突破!DQ$6:DQ$57,卡牌消耗!$AT1136)</f>
        <v>11</v>
      </c>
      <c r="AN1136" s="14">
        <f>INDEX(挂机升级突破!DR$6:DR$57,卡牌消耗!$AT1136)</f>
        <v>5</v>
      </c>
      <c r="AO1136" s="14">
        <f>INDEX(挂机升级突破!DS$6:DS$57,卡牌消耗!$AT1136)</f>
        <v>0</v>
      </c>
      <c r="AP1136" s="14">
        <f>INDEX(挂机升级突破!$DP$6:$DP$57,卡牌消耗!AT1136)</f>
        <v>118</v>
      </c>
      <c r="AQ1136" s="14" t="str">
        <f t="shared" si="431"/>
        <v>柠檬精</v>
      </c>
      <c r="AR1136" s="14">
        <f t="shared" si="432"/>
        <v>2</v>
      </c>
      <c r="AS1136" s="14" t="str">
        <f t="shared" si="433"/>
        <v>柠檬精魂火-40</v>
      </c>
      <c r="AT1136" s="14">
        <f t="shared" si="434"/>
        <v>40</v>
      </c>
      <c r="AU1136" s="14" t="str">
        <f>IF(AM1136&gt;0,INDEX(挂机升级突破!$DT$4:$ED$4,AM1136),"")</f>
        <v>金币</v>
      </c>
      <c r="AV1136" s="14">
        <f>ROUND(INDEX(挂机升级突破!$DJ$6:$DJ$57,卡牌消耗!AT1136)*INDEX(卡牌消耗!$B$8:$F$8,AR1136)/$Q$4/50,0)*50</f>
        <v>15050</v>
      </c>
      <c r="AW1136" s="14" t="str">
        <f>IF(AN1136&gt;0,INDEX(挂机升级突破!$DT$4:$ED$4,AN1136),"")</f>
        <v>红色基础材料</v>
      </c>
      <c r="AX1136" s="14">
        <f>ROUND(INDEX(挂机升级突破!$DT$6:$ED$57,卡牌消耗!AT1136,AN1136)*INDEX(卡牌消耗!$B$5:$F$5,AR1136)/$Q$4/5,0)*5</f>
        <v>5</v>
      </c>
      <c r="AY1136" s="14" t="str">
        <f>IF(AO1136&gt;0,INDEX(挂机升级突破!$DT$4:$ED$4,AO1136),"")</f>
        <v/>
      </c>
      <c r="AZ1136" s="14" t="str">
        <f>IF(AO1136&gt;0,ROUND(INDEX(挂机升级突破!$DT$6:$ED$57,卡牌消耗!AT1136,AO1136)*INDEX(卡牌消耗!$B$7:$F$7,AR1136)/$Q$4,0),"")</f>
        <v/>
      </c>
    </row>
    <row r="1137" spans="37:52" ht="16.5" x14ac:dyDescent="0.2">
      <c r="AK1137" s="104">
        <v>1133</v>
      </c>
      <c r="AL1137" s="14">
        <f t="shared" si="430"/>
        <v>22</v>
      </c>
      <c r="AM1137" s="14">
        <f>INDEX(挂机升级突破!DQ$6:DQ$57,卡牌消耗!$AT1137)</f>
        <v>11</v>
      </c>
      <c r="AN1137" s="14">
        <f>INDEX(挂机升级突破!DR$6:DR$57,卡牌消耗!$AT1137)</f>
        <v>5</v>
      </c>
      <c r="AO1137" s="14">
        <f>INDEX(挂机升级突破!DS$6:DS$57,卡牌消耗!$AT1137)</f>
        <v>10</v>
      </c>
      <c r="AP1137" s="14">
        <f>INDEX(挂机升级突破!$DP$6:$DP$57,卡牌消耗!AT1137)</f>
        <v>120</v>
      </c>
      <c r="AQ1137" s="14" t="str">
        <f t="shared" si="431"/>
        <v>柠檬精</v>
      </c>
      <c r="AR1137" s="14">
        <f t="shared" si="432"/>
        <v>2</v>
      </c>
      <c r="AS1137" s="14" t="str">
        <f t="shared" si="433"/>
        <v>柠檬精魂火-41</v>
      </c>
      <c r="AT1137" s="14">
        <f t="shared" si="434"/>
        <v>41</v>
      </c>
      <c r="AU1137" s="14" t="str">
        <f>IF(AM1137&gt;0,INDEX(挂机升级突破!$DT$4:$ED$4,AM1137),"")</f>
        <v>金币</v>
      </c>
      <c r="AV1137" s="14">
        <f>ROUND(INDEX(挂机升级突破!$DJ$6:$DJ$57,卡牌消耗!AT1137)*INDEX(卡牌消耗!$B$8:$F$8,AR1137)/$Q$4/50,0)*50</f>
        <v>20700</v>
      </c>
      <c r="AW1137" s="14" t="str">
        <f>IF(AN1137&gt;0,INDEX(挂机升级突破!$DT$4:$ED$4,AN1137),"")</f>
        <v>红色基础材料</v>
      </c>
      <c r="AX1137" s="14">
        <f>ROUND(INDEX(挂机升级突破!$DT$6:$ED$57,卡牌消耗!AT1137,AN1137)*INDEX(卡牌消耗!$B$5:$F$5,AR1137)/$Q$4/5,0)*5</f>
        <v>10</v>
      </c>
      <c r="AY1137" s="14" t="str">
        <f>IF(AO1137&gt;0,INDEX(挂机升级突破!$DT$4:$ED$4,AO1137),"")</f>
        <v>灵玉</v>
      </c>
      <c r="AZ1137" s="14">
        <f>IF(AO1137&gt;0,ROUND(INDEX(挂机升级突破!$DT$6:$ED$57,卡牌消耗!AT1137,AO1137)*INDEX(卡牌消耗!$B$7:$F$7,AR1137)/$Q$4,0),"")</f>
        <v>1</v>
      </c>
    </row>
    <row r="1138" spans="37:52" ht="16.5" x14ac:dyDescent="0.2">
      <c r="AK1138" s="104">
        <v>1134</v>
      </c>
      <c r="AL1138" s="14">
        <f t="shared" si="430"/>
        <v>22</v>
      </c>
      <c r="AM1138" s="14">
        <f>INDEX(挂机升级突破!DQ$6:DQ$57,卡牌消耗!$AT1138)</f>
        <v>11</v>
      </c>
      <c r="AN1138" s="14">
        <f>INDEX(挂机升级突破!DR$6:DR$57,卡牌消耗!$AT1138)</f>
        <v>5</v>
      </c>
      <c r="AO1138" s="14">
        <f>INDEX(挂机升级突破!DS$6:DS$57,卡牌消耗!$AT1138)</f>
        <v>10</v>
      </c>
      <c r="AP1138" s="14">
        <f>INDEX(挂机升级突破!$DP$6:$DP$57,卡牌消耗!AT1138)</f>
        <v>123</v>
      </c>
      <c r="AQ1138" s="14" t="str">
        <f t="shared" si="431"/>
        <v>柠檬精</v>
      </c>
      <c r="AR1138" s="14">
        <f t="shared" si="432"/>
        <v>2</v>
      </c>
      <c r="AS1138" s="14" t="str">
        <f t="shared" si="433"/>
        <v>柠檬精魂火-42</v>
      </c>
      <c r="AT1138" s="14">
        <f t="shared" si="434"/>
        <v>42</v>
      </c>
      <c r="AU1138" s="14" t="str">
        <f>IF(AM1138&gt;0,INDEX(挂机升级突破!$DT$4:$ED$4,AM1138),"")</f>
        <v>金币</v>
      </c>
      <c r="AV1138" s="14">
        <f>ROUND(INDEX(挂机升级突破!$DJ$6:$DJ$57,卡牌消耗!AT1138)*INDEX(卡牌消耗!$B$8:$F$8,AR1138)/$Q$4/50,0)*50</f>
        <v>20700</v>
      </c>
      <c r="AW1138" s="14" t="str">
        <f>IF(AN1138&gt;0,INDEX(挂机升级突破!$DT$4:$ED$4,AN1138),"")</f>
        <v>红色基础材料</v>
      </c>
      <c r="AX1138" s="14">
        <f>ROUND(INDEX(挂机升级突破!$DT$6:$ED$57,卡牌消耗!AT1138,AN1138)*INDEX(卡牌消耗!$B$5:$F$5,AR1138)/$Q$4/5,0)*5</f>
        <v>10</v>
      </c>
      <c r="AY1138" s="14" t="str">
        <f>IF(AO1138&gt;0,INDEX(挂机升级突破!$DT$4:$ED$4,AO1138),"")</f>
        <v>灵玉</v>
      </c>
      <c r="AZ1138" s="14">
        <f>IF(AO1138&gt;0,ROUND(INDEX(挂机升级突破!$DT$6:$ED$57,卡牌消耗!AT1138,AO1138)*INDEX(卡牌消耗!$B$7:$F$7,AR1138)/$Q$4,0),"")</f>
        <v>1</v>
      </c>
    </row>
    <row r="1139" spans="37:52" ht="16.5" x14ac:dyDescent="0.2">
      <c r="AK1139" s="104">
        <v>1135</v>
      </c>
      <c r="AL1139" s="14">
        <f t="shared" si="430"/>
        <v>22</v>
      </c>
      <c r="AM1139" s="14">
        <f>INDEX(挂机升级突破!DQ$6:DQ$57,卡牌消耗!$AT1139)</f>
        <v>11</v>
      </c>
      <c r="AN1139" s="14">
        <f>INDEX(挂机升级突破!DR$6:DR$57,卡牌消耗!$AT1139)</f>
        <v>5</v>
      </c>
      <c r="AO1139" s="14">
        <f>INDEX(挂机升级突破!DS$6:DS$57,卡牌消耗!$AT1139)</f>
        <v>10</v>
      </c>
      <c r="AP1139" s="14">
        <f>INDEX(挂机升级突破!$DP$6:$DP$57,卡牌消耗!AT1139)</f>
        <v>125</v>
      </c>
      <c r="AQ1139" s="14" t="str">
        <f t="shared" si="431"/>
        <v>柠檬精</v>
      </c>
      <c r="AR1139" s="14">
        <f t="shared" si="432"/>
        <v>2</v>
      </c>
      <c r="AS1139" s="14" t="str">
        <f t="shared" si="433"/>
        <v>柠檬精魂火-43</v>
      </c>
      <c r="AT1139" s="14">
        <f t="shared" si="434"/>
        <v>43</v>
      </c>
      <c r="AU1139" s="14" t="str">
        <f>IF(AM1139&gt;0,INDEX(挂机升级突破!$DT$4:$ED$4,AM1139),"")</f>
        <v>金币</v>
      </c>
      <c r="AV1139" s="14">
        <f>ROUND(INDEX(挂机升级突破!$DJ$6:$DJ$57,卡牌消耗!AT1139)*INDEX(卡牌消耗!$B$8:$F$8,AR1139)/$Q$4/50,0)*50</f>
        <v>20700</v>
      </c>
      <c r="AW1139" s="14" t="str">
        <f>IF(AN1139&gt;0,INDEX(挂机升级突破!$DT$4:$ED$4,AN1139),"")</f>
        <v>红色基础材料</v>
      </c>
      <c r="AX1139" s="14">
        <f>ROUND(INDEX(挂机升级突破!$DT$6:$ED$57,卡牌消耗!AT1139,AN1139)*INDEX(卡牌消耗!$B$5:$F$5,AR1139)/$Q$4/5,0)*5</f>
        <v>10</v>
      </c>
      <c r="AY1139" s="14" t="str">
        <f>IF(AO1139&gt;0,INDEX(挂机升级突破!$DT$4:$ED$4,AO1139),"")</f>
        <v>灵玉</v>
      </c>
      <c r="AZ1139" s="14">
        <f>IF(AO1139&gt;0,ROUND(INDEX(挂机升级突破!$DT$6:$ED$57,卡牌消耗!AT1139,AO1139)*INDEX(卡牌消耗!$B$7:$F$7,AR1139)/$Q$4,0),"")</f>
        <v>1</v>
      </c>
    </row>
    <row r="1140" spans="37:52" ht="16.5" x14ac:dyDescent="0.2">
      <c r="AK1140" s="104">
        <v>1136</v>
      </c>
      <c r="AL1140" s="14">
        <f t="shared" si="430"/>
        <v>22</v>
      </c>
      <c r="AM1140" s="14">
        <f>INDEX(挂机升级突破!DQ$6:DQ$57,卡牌消耗!$AT1140)</f>
        <v>11</v>
      </c>
      <c r="AN1140" s="14">
        <f>INDEX(挂机升级突破!DR$6:DR$57,卡牌消耗!$AT1140)</f>
        <v>5</v>
      </c>
      <c r="AO1140" s="14">
        <f>INDEX(挂机升级突破!DS$6:DS$57,卡牌消耗!$AT1140)</f>
        <v>10</v>
      </c>
      <c r="AP1140" s="14">
        <f>INDEX(挂机升级突破!$DP$6:$DP$57,卡牌消耗!AT1140)</f>
        <v>128</v>
      </c>
      <c r="AQ1140" s="14" t="str">
        <f t="shared" si="431"/>
        <v>柠檬精</v>
      </c>
      <c r="AR1140" s="14">
        <f t="shared" si="432"/>
        <v>2</v>
      </c>
      <c r="AS1140" s="14" t="str">
        <f t="shared" si="433"/>
        <v>柠檬精魂火-44</v>
      </c>
      <c r="AT1140" s="14">
        <f t="shared" si="434"/>
        <v>44</v>
      </c>
      <c r="AU1140" s="14" t="str">
        <f>IF(AM1140&gt;0,INDEX(挂机升级突破!$DT$4:$ED$4,AM1140),"")</f>
        <v>金币</v>
      </c>
      <c r="AV1140" s="14">
        <f>ROUND(INDEX(挂机升级突破!$DJ$6:$DJ$57,卡牌消耗!AT1140)*INDEX(卡牌消耗!$B$8:$F$8,AR1140)/$Q$4/50,0)*50</f>
        <v>26300</v>
      </c>
      <c r="AW1140" s="14" t="str">
        <f>IF(AN1140&gt;0,INDEX(挂机升级突破!$DT$4:$ED$4,AN1140),"")</f>
        <v>红色基础材料</v>
      </c>
      <c r="AX1140" s="14">
        <f>ROUND(INDEX(挂机升级突破!$DT$6:$ED$57,卡牌消耗!AT1140,AN1140)*INDEX(卡牌消耗!$B$5:$F$5,AR1140)/$Q$4/5,0)*5</f>
        <v>10</v>
      </c>
      <c r="AY1140" s="14" t="str">
        <f>IF(AO1140&gt;0,INDEX(挂机升级突破!$DT$4:$ED$4,AO1140),"")</f>
        <v>灵玉</v>
      </c>
      <c r="AZ1140" s="14">
        <f>IF(AO1140&gt;0,ROUND(INDEX(挂机升级突破!$DT$6:$ED$57,卡牌消耗!AT1140,AO1140)*INDEX(卡牌消耗!$B$7:$F$7,AR1140)/$Q$4,0),"")</f>
        <v>1</v>
      </c>
    </row>
    <row r="1141" spans="37:52" ht="16.5" x14ac:dyDescent="0.2">
      <c r="AK1141" s="104">
        <v>1137</v>
      </c>
      <c r="AL1141" s="14">
        <f t="shared" si="430"/>
        <v>22</v>
      </c>
      <c r="AM1141" s="14">
        <f>INDEX(挂机升级突破!DQ$6:DQ$57,卡牌消耗!$AT1141)</f>
        <v>11</v>
      </c>
      <c r="AN1141" s="14">
        <f>INDEX(挂机升级突破!DR$6:DR$57,卡牌消耗!$AT1141)</f>
        <v>5</v>
      </c>
      <c r="AO1141" s="14">
        <f>INDEX(挂机升级突破!DS$6:DS$57,卡牌消耗!$AT1141)</f>
        <v>10</v>
      </c>
      <c r="AP1141" s="14">
        <f>INDEX(挂机升级突破!$DP$6:$DP$57,卡牌消耗!AT1141)</f>
        <v>130</v>
      </c>
      <c r="AQ1141" s="14" t="str">
        <f t="shared" si="431"/>
        <v>柠檬精</v>
      </c>
      <c r="AR1141" s="14">
        <f t="shared" si="432"/>
        <v>2</v>
      </c>
      <c r="AS1141" s="14" t="str">
        <f t="shared" si="433"/>
        <v>柠檬精魂火-45</v>
      </c>
      <c r="AT1141" s="14">
        <f t="shared" si="434"/>
        <v>45</v>
      </c>
      <c r="AU1141" s="14" t="str">
        <f>IF(AM1141&gt;0,INDEX(挂机升级突破!$DT$4:$ED$4,AM1141),"")</f>
        <v>金币</v>
      </c>
      <c r="AV1141" s="14">
        <f>ROUND(INDEX(挂机升级突破!$DJ$6:$DJ$57,卡牌消耗!AT1141)*INDEX(卡牌消耗!$B$8:$F$8,AR1141)/$Q$4/50,0)*50</f>
        <v>26300</v>
      </c>
      <c r="AW1141" s="14" t="str">
        <f>IF(AN1141&gt;0,INDEX(挂机升级突破!$DT$4:$ED$4,AN1141),"")</f>
        <v>红色基础材料</v>
      </c>
      <c r="AX1141" s="14">
        <f>ROUND(INDEX(挂机升级突破!$DT$6:$ED$57,卡牌消耗!AT1141,AN1141)*INDEX(卡牌消耗!$B$5:$F$5,AR1141)/$Q$4/5,0)*5</f>
        <v>10</v>
      </c>
      <c r="AY1141" s="14" t="str">
        <f>IF(AO1141&gt;0,INDEX(挂机升级突破!$DT$4:$ED$4,AO1141),"")</f>
        <v>灵玉</v>
      </c>
      <c r="AZ1141" s="14">
        <f>IF(AO1141&gt;0,ROUND(INDEX(挂机升级突破!$DT$6:$ED$57,卡牌消耗!AT1141,AO1141)*INDEX(卡牌消耗!$B$7:$F$7,AR1141)/$Q$4,0),"")</f>
        <v>1</v>
      </c>
    </row>
    <row r="1142" spans="37:52" ht="16.5" x14ac:dyDescent="0.2">
      <c r="AK1142" s="104">
        <v>1138</v>
      </c>
      <c r="AL1142" s="14">
        <f t="shared" si="430"/>
        <v>22</v>
      </c>
      <c r="AM1142" s="14">
        <f>INDEX(挂机升级突破!DQ$6:DQ$57,卡牌消耗!$AT1142)</f>
        <v>11</v>
      </c>
      <c r="AN1142" s="14">
        <f>INDEX(挂机升级突破!DR$6:DR$57,卡牌消耗!$AT1142)</f>
        <v>5</v>
      </c>
      <c r="AO1142" s="14">
        <f>INDEX(挂机升级突破!DS$6:DS$57,卡牌消耗!$AT1142)</f>
        <v>10</v>
      </c>
      <c r="AP1142" s="14">
        <f>INDEX(挂机升级突破!$DP$6:$DP$57,卡牌消耗!AT1142)</f>
        <v>133</v>
      </c>
      <c r="AQ1142" s="14" t="str">
        <f t="shared" si="431"/>
        <v>柠檬精</v>
      </c>
      <c r="AR1142" s="14">
        <f t="shared" si="432"/>
        <v>2</v>
      </c>
      <c r="AS1142" s="14" t="str">
        <f t="shared" si="433"/>
        <v>柠檬精魂火-46</v>
      </c>
      <c r="AT1142" s="14">
        <f t="shared" si="434"/>
        <v>46</v>
      </c>
      <c r="AU1142" s="14" t="str">
        <f>IF(AM1142&gt;0,INDEX(挂机升级突破!$DT$4:$ED$4,AM1142),"")</f>
        <v>金币</v>
      </c>
      <c r="AV1142" s="14">
        <f>ROUND(INDEX(挂机升级突破!$DJ$6:$DJ$57,卡牌消耗!AT1142)*INDEX(卡牌消耗!$B$8:$F$8,AR1142)/$Q$4/50,0)*50</f>
        <v>28200</v>
      </c>
      <c r="AW1142" s="14" t="str">
        <f>IF(AN1142&gt;0,INDEX(挂机升级突破!$DT$4:$ED$4,AN1142),"")</f>
        <v>红色基础材料</v>
      </c>
      <c r="AX1142" s="14">
        <f>ROUND(INDEX(挂机升级突破!$DT$6:$ED$57,卡牌消耗!AT1142,AN1142)*INDEX(卡牌消耗!$B$5:$F$5,AR1142)/$Q$4/5,0)*5</f>
        <v>10</v>
      </c>
      <c r="AY1142" s="14" t="str">
        <f>IF(AO1142&gt;0,INDEX(挂机升级突破!$DT$4:$ED$4,AO1142),"")</f>
        <v>灵玉</v>
      </c>
      <c r="AZ1142" s="14">
        <f>IF(AO1142&gt;0,ROUND(INDEX(挂机升级突破!$DT$6:$ED$57,卡牌消耗!AT1142,AO1142)*INDEX(卡牌消耗!$B$7:$F$7,AR1142)/$Q$4,0),"")</f>
        <v>1</v>
      </c>
    </row>
    <row r="1143" spans="37:52" ht="16.5" x14ac:dyDescent="0.2">
      <c r="AK1143" s="104">
        <v>1139</v>
      </c>
      <c r="AL1143" s="14">
        <f t="shared" si="430"/>
        <v>22</v>
      </c>
      <c r="AM1143" s="14">
        <f>INDEX(挂机升级突破!DQ$6:DQ$57,卡牌消耗!$AT1143)</f>
        <v>11</v>
      </c>
      <c r="AN1143" s="14">
        <f>INDEX(挂机升级突破!DR$6:DR$57,卡牌消耗!$AT1143)</f>
        <v>5</v>
      </c>
      <c r="AO1143" s="14">
        <f>INDEX(挂机升级突破!DS$6:DS$57,卡牌消耗!$AT1143)</f>
        <v>10</v>
      </c>
      <c r="AP1143" s="14">
        <f>INDEX(挂机升级突破!$DP$6:$DP$57,卡牌消耗!AT1143)</f>
        <v>135</v>
      </c>
      <c r="AQ1143" s="14" t="str">
        <f t="shared" si="431"/>
        <v>柠檬精</v>
      </c>
      <c r="AR1143" s="14">
        <f t="shared" si="432"/>
        <v>2</v>
      </c>
      <c r="AS1143" s="14" t="str">
        <f t="shared" si="433"/>
        <v>柠檬精魂火-47</v>
      </c>
      <c r="AT1143" s="14">
        <f t="shared" si="434"/>
        <v>47</v>
      </c>
      <c r="AU1143" s="14" t="str">
        <f>IF(AM1143&gt;0,INDEX(挂机升级突破!$DT$4:$ED$4,AM1143),"")</f>
        <v>金币</v>
      </c>
      <c r="AV1143" s="14">
        <f>ROUND(INDEX(挂机升级突破!$DJ$6:$DJ$57,卡牌消耗!AT1143)*INDEX(卡牌消耗!$B$8:$F$8,AR1143)/$Q$4/50,0)*50</f>
        <v>57450</v>
      </c>
      <c r="AW1143" s="14" t="str">
        <f>IF(AN1143&gt;0,INDEX(挂机升级突破!$DT$4:$ED$4,AN1143),"")</f>
        <v>红色基础材料</v>
      </c>
      <c r="AX1143" s="14">
        <f>ROUND(INDEX(挂机升级突破!$DT$6:$ED$57,卡牌消耗!AT1143,AN1143)*INDEX(卡牌消耗!$B$5:$F$5,AR1143)/$Q$4/5,0)*5</f>
        <v>10</v>
      </c>
      <c r="AY1143" s="14" t="str">
        <f>IF(AO1143&gt;0,INDEX(挂机升级突破!$DT$4:$ED$4,AO1143),"")</f>
        <v>灵玉</v>
      </c>
      <c r="AZ1143" s="14">
        <f>IF(AO1143&gt;0,ROUND(INDEX(挂机升级突破!$DT$6:$ED$57,卡牌消耗!AT1143,AO1143)*INDEX(卡牌消耗!$B$7:$F$7,AR1143)/$Q$4,0),"")</f>
        <v>1</v>
      </c>
    </row>
    <row r="1144" spans="37:52" ht="16.5" x14ac:dyDescent="0.2">
      <c r="AK1144" s="104">
        <v>1140</v>
      </c>
      <c r="AL1144" s="14">
        <f t="shared" si="430"/>
        <v>22</v>
      </c>
      <c r="AM1144" s="14">
        <f>INDEX(挂机升级突破!DQ$6:DQ$57,卡牌消耗!$AT1144)</f>
        <v>11</v>
      </c>
      <c r="AN1144" s="14">
        <f>INDEX(挂机升级突破!DR$6:DR$57,卡牌消耗!$AT1144)</f>
        <v>5</v>
      </c>
      <c r="AO1144" s="14">
        <f>INDEX(挂机升级突破!DS$6:DS$57,卡牌消耗!$AT1144)</f>
        <v>10</v>
      </c>
      <c r="AP1144" s="14">
        <f>INDEX(挂机升级突破!$DP$6:$DP$57,卡牌消耗!AT1144)</f>
        <v>138</v>
      </c>
      <c r="AQ1144" s="14" t="str">
        <f t="shared" si="431"/>
        <v>柠檬精</v>
      </c>
      <c r="AR1144" s="14">
        <f t="shared" si="432"/>
        <v>2</v>
      </c>
      <c r="AS1144" s="14" t="str">
        <f t="shared" si="433"/>
        <v>柠檬精魂火-48</v>
      </c>
      <c r="AT1144" s="14">
        <f t="shared" si="434"/>
        <v>48</v>
      </c>
      <c r="AU1144" s="14" t="str">
        <f>IF(AM1144&gt;0,INDEX(挂机升级突破!$DT$4:$ED$4,AM1144),"")</f>
        <v>金币</v>
      </c>
      <c r="AV1144" s="14">
        <f>ROUND(INDEX(挂机升级突破!$DJ$6:$DJ$57,卡牌消耗!AT1144)*INDEX(卡牌消耗!$B$8:$F$8,AR1144)/$Q$4/50,0)*50</f>
        <v>57450</v>
      </c>
      <c r="AW1144" s="14" t="str">
        <f>IF(AN1144&gt;0,INDEX(挂机升级突破!$DT$4:$ED$4,AN1144),"")</f>
        <v>红色基础材料</v>
      </c>
      <c r="AX1144" s="14">
        <f>ROUND(INDEX(挂机升级突破!$DT$6:$ED$57,卡牌消耗!AT1144,AN1144)*INDEX(卡牌消耗!$B$5:$F$5,AR1144)/$Q$4/5,0)*5</f>
        <v>10</v>
      </c>
      <c r="AY1144" s="14" t="str">
        <f>IF(AO1144&gt;0,INDEX(挂机升级突破!$DT$4:$ED$4,AO1144),"")</f>
        <v>灵玉</v>
      </c>
      <c r="AZ1144" s="14">
        <f>IF(AO1144&gt;0,ROUND(INDEX(挂机升级突破!$DT$6:$ED$57,卡牌消耗!AT1144,AO1144)*INDEX(卡牌消耗!$B$7:$F$7,AR1144)/$Q$4,0),"")</f>
        <v>1</v>
      </c>
    </row>
    <row r="1145" spans="37:52" ht="16.5" x14ac:dyDescent="0.2">
      <c r="AK1145" s="104">
        <v>1141</v>
      </c>
      <c r="AL1145" s="14">
        <f t="shared" si="430"/>
        <v>22</v>
      </c>
      <c r="AM1145" s="14">
        <f>INDEX(挂机升级突破!DQ$6:DQ$57,卡牌消耗!$AT1145)</f>
        <v>11</v>
      </c>
      <c r="AN1145" s="14">
        <f>INDEX(挂机升级突破!DR$6:DR$57,卡牌消耗!$AT1145)</f>
        <v>5</v>
      </c>
      <c r="AO1145" s="14">
        <f>INDEX(挂机升级突破!DS$6:DS$57,卡牌消耗!$AT1145)</f>
        <v>10</v>
      </c>
      <c r="AP1145" s="14">
        <f>INDEX(挂机升级突破!$DP$6:$DP$57,卡牌消耗!AT1145)</f>
        <v>140</v>
      </c>
      <c r="AQ1145" s="14" t="str">
        <f t="shared" si="431"/>
        <v>柠檬精</v>
      </c>
      <c r="AR1145" s="14">
        <f t="shared" si="432"/>
        <v>2</v>
      </c>
      <c r="AS1145" s="14" t="str">
        <f t="shared" si="433"/>
        <v>柠檬精魂火-49</v>
      </c>
      <c r="AT1145" s="14">
        <f t="shared" si="434"/>
        <v>49</v>
      </c>
      <c r="AU1145" s="14" t="str">
        <f>IF(AM1145&gt;0,INDEX(挂机升级突破!$DT$4:$ED$4,AM1145),"")</f>
        <v>金币</v>
      </c>
      <c r="AV1145" s="14">
        <f>ROUND(INDEX(挂机升级突破!$DJ$6:$DJ$57,卡牌消耗!AT1145)*INDEX(卡牌消耗!$B$8:$F$8,AR1145)/$Q$4/50,0)*50</f>
        <v>57450</v>
      </c>
      <c r="AW1145" s="14" t="str">
        <f>IF(AN1145&gt;0,INDEX(挂机升级突破!$DT$4:$ED$4,AN1145),"")</f>
        <v>红色基础材料</v>
      </c>
      <c r="AX1145" s="14">
        <f>ROUND(INDEX(挂机升级突破!$DT$6:$ED$57,卡牌消耗!AT1145,AN1145)*INDEX(卡牌消耗!$B$5:$F$5,AR1145)/$Q$4/5,0)*5</f>
        <v>10</v>
      </c>
      <c r="AY1145" s="14" t="str">
        <f>IF(AO1145&gt;0,INDEX(挂机升级突破!$DT$4:$ED$4,AO1145),"")</f>
        <v>灵玉</v>
      </c>
      <c r="AZ1145" s="14">
        <f>IF(AO1145&gt;0,ROUND(INDEX(挂机升级突破!$DT$6:$ED$57,卡牌消耗!AT1145,AO1145)*INDEX(卡牌消耗!$B$7:$F$7,AR1145)/$Q$4,0),"")</f>
        <v>1</v>
      </c>
    </row>
    <row r="1146" spans="37:52" ht="16.5" x14ac:dyDescent="0.2">
      <c r="AK1146" s="104">
        <v>1142</v>
      </c>
      <c r="AL1146" s="14">
        <f t="shared" si="430"/>
        <v>22</v>
      </c>
      <c r="AM1146" s="14">
        <f>INDEX(挂机升级突破!DQ$6:DQ$57,卡牌消耗!$AT1146)</f>
        <v>11</v>
      </c>
      <c r="AN1146" s="14">
        <f>INDEX(挂机升级突破!DR$6:DR$57,卡牌消耗!$AT1146)</f>
        <v>5</v>
      </c>
      <c r="AO1146" s="14">
        <f>INDEX(挂机升级突破!DS$6:DS$57,卡牌消耗!$AT1146)</f>
        <v>10</v>
      </c>
      <c r="AP1146" s="14">
        <f>INDEX(挂机升级突破!$DP$6:$DP$57,卡牌消耗!AT1146)</f>
        <v>143</v>
      </c>
      <c r="AQ1146" s="14" t="str">
        <f t="shared" si="431"/>
        <v>柠檬精</v>
      </c>
      <c r="AR1146" s="14">
        <f t="shared" si="432"/>
        <v>2</v>
      </c>
      <c r="AS1146" s="14" t="str">
        <f t="shared" si="433"/>
        <v>柠檬精魂火-50</v>
      </c>
      <c r="AT1146" s="14">
        <f t="shared" si="434"/>
        <v>50</v>
      </c>
      <c r="AU1146" s="14" t="str">
        <f>IF(AM1146&gt;0,INDEX(挂机升级突破!$DT$4:$ED$4,AM1146),"")</f>
        <v>金币</v>
      </c>
      <c r="AV1146" s="14">
        <f>ROUND(INDEX(挂机升级突破!$DJ$6:$DJ$57,卡牌消耗!AT1146)*INDEX(卡牌消耗!$B$8:$F$8,AR1146)/$Q$4/50,0)*50</f>
        <v>95750</v>
      </c>
      <c r="AW1146" s="14" t="str">
        <f>IF(AN1146&gt;0,INDEX(挂机升级突破!$DT$4:$ED$4,AN1146),"")</f>
        <v>红色基础材料</v>
      </c>
      <c r="AX1146" s="14">
        <f>ROUND(INDEX(挂机升级突破!$DT$6:$ED$57,卡牌消耗!AT1146,AN1146)*INDEX(卡牌消耗!$B$5:$F$5,AR1146)/$Q$4/5,0)*5</f>
        <v>10</v>
      </c>
      <c r="AY1146" s="14" t="str">
        <f>IF(AO1146&gt;0,INDEX(挂机升级突破!$DT$4:$ED$4,AO1146),"")</f>
        <v>灵玉</v>
      </c>
      <c r="AZ1146" s="14">
        <f>IF(AO1146&gt;0,ROUND(INDEX(挂机升级突破!$DT$6:$ED$57,卡牌消耗!AT1146,AO1146)*INDEX(卡牌消耗!$B$7:$F$7,AR1146)/$Q$4,0),"")</f>
        <v>1</v>
      </c>
    </row>
    <row r="1147" spans="37:52" ht="16.5" x14ac:dyDescent="0.2">
      <c r="AK1147" s="104">
        <v>1143</v>
      </c>
      <c r="AL1147" s="14">
        <f t="shared" si="430"/>
        <v>22</v>
      </c>
      <c r="AM1147" s="14">
        <f>INDEX(挂机升级突破!DQ$6:DQ$57,卡牌消耗!$AT1147)</f>
        <v>11</v>
      </c>
      <c r="AN1147" s="14">
        <f>INDEX(挂机升级突破!DR$6:DR$57,卡牌消耗!$AT1147)</f>
        <v>5</v>
      </c>
      <c r="AO1147" s="14">
        <f>INDEX(挂机升级突破!DS$6:DS$57,卡牌消耗!$AT1147)</f>
        <v>10</v>
      </c>
      <c r="AP1147" s="14">
        <f>INDEX(挂机升级突破!$DP$6:$DP$57,卡牌消耗!AT1147)</f>
        <v>145</v>
      </c>
      <c r="AQ1147" s="14" t="str">
        <f t="shared" si="431"/>
        <v>柠檬精</v>
      </c>
      <c r="AR1147" s="14">
        <f t="shared" si="432"/>
        <v>2</v>
      </c>
      <c r="AS1147" s="14" t="str">
        <f t="shared" si="433"/>
        <v>柠檬精魂火-51</v>
      </c>
      <c r="AT1147" s="14">
        <f t="shared" si="434"/>
        <v>51</v>
      </c>
      <c r="AU1147" s="14" t="str">
        <f>IF(AM1147&gt;0,INDEX(挂机升级突破!$DT$4:$ED$4,AM1147),"")</f>
        <v>金币</v>
      </c>
      <c r="AV1147" s="14">
        <f>ROUND(INDEX(挂机升级突破!$DJ$6:$DJ$57,卡牌消耗!AT1147)*INDEX(卡牌消耗!$B$8:$F$8,AR1147)/$Q$4/50,0)*50</f>
        <v>105300</v>
      </c>
      <c r="AW1147" s="14" t="str">
        <f>IF(AN1147&gt;0,INDEX(挂机升级突破!$DT$4:$ED$4,AN1147),"")</f>
        <v>红色基础材料</v>
      </c>
      <c r="AX1147" s="14">
        <f>ROUND(INDEX(挂机升级突破!$DT$6:$ED$57,卡牌消耗!AT1147,AN1147)*INDEX(卡牌消耗!$B$5:$F$5,AR1147)/$Q$4/5,0)*5</f>
        <v>10</v>
      </c>
      <c r="AY1147" s="14" t="str">
        <f>IF(AO1147&gt;0,INDEX(挂机升级突破!$DT$4:$ED$4,AO1147),"")</f>
        <v>灵玉</v>
      </c>
      <c r="AZ1147" s="14">
        <f>IF(AO1147&gt;0,ROUND(INDEX(挂机升级突破!$DT$6:$ED$57,卡牌消耗!AT1147,AO1147)*INDEX(卡牌消耗!$B$7:$F$7,AR1147)/$Q$4,0),"")</f>
        <v>1</v>
      </c>
    </row>
    <row r="1148" spans="37:52" ht="16.5" x14ac:dyDescent="0.2">
      <c r="AK1148" s="104">
        <v>1144</v>
      </c>
      <c r="AL1148" s="14">
        <f t="shared" si="430"/>
        <v>22</v>
      </c>
      <c r="AM1148" s="14">
        <f>INDEX(挂机升级突破!DQ$6:DQ$57,卡牌消耗!$AT1148)</f>
        <v>11</v>
      </c>
      <c r="AN1148" s="14">
        <f>INDEX(挂机升级突破!DR$6:DR$57,卡牌消耗!$AT1148)</f>
        <v>5</v>
      </c>
      <c r="AO1148" s="14">
        <f>INDEX(挂机升级突破!DS$6:DS$57,卡牌消耗!$AT1148)</f>
        <v>10</v>
      </c>
      <c r="AP1148" s="14">
        <f>INDEX(挂机升级突破!$DP$6:$DP$57,卡牌消耗!AT1148)</f>
        <v>148</v>
      </c>
      <c r="AQ1148" s="14" t="str">
        <f t="shared" si="431"/>
        <v>柠檬精</v>
      </c>
      <c r="AR1148" s="14">
        <f t="shared" si="432"/>
        <v>2</v>
      </c>
      <c r="AS1148" s="14" t="str">
        <f t="shared" si="433"/>
        <v>柠檬精魂火-52</v>
      </c>
      <c r="AT1148" s="14">
        <f t="shared" si="434"/>
        <v>52</v>
      </c>
      <c r="AU1148" s="14" t="str">
        <f>IF(AM1148&gt;0,INDEX(挂机升级突破!$DT$4:$ED$4,AM1148),"")</f>
        <v>金币</v>
      </c>
      <c r="AV1148" s="14">
        <f>ROUND(INDEX(挂机升级突破!$DJ$6:$DJ$57,卡牌消耗!AT1148)*INDEX(卡牌消耗!$B$8:$F$8,AR1148)/$Q$4/50,0)*50</f>
        <v>105300</v>
      </c>
      <c r="AW1148" s="14" t="str">
        <f>IF(AN1148&gt;0,INDEX(挂机升级突破!$DT$4:$ED$4,AN1148),"")</f>
        <v>红色基础材料</v>
      </c>
      <c r="AX1148" s="14">
        <f>ROUND(INDEX(挂机升级突破!$DT$6:$ED$57,卡牌消耗!AT1148,AN1148)*INDEX(卡牌消耗!$B$5:$F$5,AR1148)/$Q$4/5,0)*5</f>
        <v>10</v>
      </c>
      <c r="AY1148" s="14" t="str">
        <f>IF(AO1148&gt;0,INDEX(挂机升级突破!$DT$4:$ED$4,AO1148),"")</f>
        <v>灵玉</v>
      </c>
      <c r="AZ1148" s="14">
        <f>IF(AO1148&gt;0,ROUND(INDEX(挂机升级突破!$DT$6:$ED$57,卡牌消耗!AT1148,AO1148)*INDEX(卡牌消耗!$B$7:$F$7,AR1148)/$Q$4,0),"")</f>
        <v>1</v>
      </c>
    </row>
    <row r="1149" spans="37:52" ht="16.5" x14ac:dyDescent="0.2">
      <c r="AK1149" s="104">
        <v>1145</v>
      </c>
      <c r="AL1149" s="14">
        <f t="shared" si="430"/>
        <v>23</v>
      </c>
      <c r="AM1149" s="14">
        <f>INDEX(挂机升级突破!DQ$6:DQ$57,卡牌消耗!$AT1149)</f>
        <v>11</v>
      </c>
      <c r="AN1149" s="14">
        <f>INDEX(挂机升级突破!DR$6:DR$57,卡牌消耗!$AT1149)</f>
        <v>1</v>
      </c>
      <c r="AO1149" s="14">
        <f>INDEX(挂机升级突破!DS$6:DS$57,卡牌消耗!$AT1149)</f>
        <v>0</v>
      </c>
      <c r="AP1149" s="14">
        <f>INDEX(挂机升级突破!$DP$6:$DP$57,卡牌消耗!AT1149)</f>
        <v>3</v>
      </c>
      <c r="AQ1149" s="14" t="str">
        <f t="shared" si="431"/>
        <v>异邦刀客</v>
      </c>
      <c r="AR1149" s="14">
        <f t="shared" si="432"/>
        <v>2</v>
      </c>
      <c r="AS1149" s="14" t="str">
        <f t="shared" si="433"/>
        <v>异邦刀客魂火-1</v>
      </c>
      <c r="AT1149" s="14">
        <f t="shared" si="434"/>
        <v>1</v>
      </c>
      <c r="AU1149" s="14" t="str">
        <f>IF(AM1149&gt;0,INDEX(挂机升级突破!$DT$4:$ED$4,AM1149),"")</f>
        <v>金币</v>
      </c>
      <c r="AV1149" s="14">
        <f>ROUND(INDEX(挂机升级突破!$DJ$6:$DJ$57,卡牌消耗!AT1149)*INDEX(卡牌消耗!$B$8:$F$8,AR1149)/$Q$4/50,0)*50</f>
        <v>600</v>
      </c>
      <c r="AW1149" s="14" t="str">
        <f>IF(AN1149&gt;0,INDEX(挂机升级突破!$DT$4:$ED$4,AN1149),"")</f>
        <v>绿色基础材料</v>
      </c>
      <c r="AX1149" s="14">
        <f>ROUND(INDEX(挂机升级突破!$DT$6:$ED$57,卡牌消耗!AT1149,AN1149)*INDEX(卡牌消耗!$B$5:$F$5,AR1149)/$Q$4/5,0)*5</f>
        <v>20</v>
      </c>
      <c r="AY1149" s="14" t="str">
        <f>IF(AO1149&gt;0,INDEX(挂机升级突破!$DT$4:$ED$4,AO1149),"")</f>
        <v/>
      </c>
      <c r="AZ1149" s="14" t="str">
        <f>IF(AO1149&gt;0,ROUND(INDEX(挂机升级突破!$DT$6:$ED$57,卡牌消耗!AT1149,AO1149)*INDEX(卡牌消耗!$B$7:$F$7,AR1149)/$Q$4,0),"")</f>
        <v/>
      </c>
    </row>
    <row r="1150" spans="37:52" ht="16.5" x14ac:dyDescent="0.2">
      <c r="AK1150" s="104">
        <v>1146</v>
      </c>
      <c r="AL1150" s="14">
        <f t="shared" si="430"/>
        <v>23</v>
      </c>
      <c r="AM1150" s="14">
        <f>INDEX(挂机升级突破!DQ$6:DQ$57,卡牌消耗!$AT1150)</f>
        <v>11</v>
      </c>
      <c r="AN1150" s="14">
        <f>INDEX(挂机升级突破!DR$6:DR$57,卡牌消耗!$AT1150)</f>
        <v>1</v>
      </c>
      <c r="AO1150" s="14">
        <f>INDEX(挂机升级突破!DS$6:DS$57,卡牌消耗!$AT1150)</f>
        <v>0</v>
      </c>
      <c r="AP1150" s="14">
        <f>INDEX(挂机升级突破!$DP$6:$DP$57,卡牌消耗!AT1150)</f>
        <v>8</v>
      </c>
      <c r="AQ1150" s="14" t="str">
        <f t="shared" si="431"/>
        <v>异邦刀客</v>
      </c>
      <c r="AR1150" s="14">
        <f t="shared" si="432"/>
        <v>2</v>
      </c>
      <c r="AS1150" s="14" t="str">
        <f t="shared" si="433"/>
        <v>异邦刀客魂火-2</v>
      </c>
      <c r="AT1150" s="14">
        <f t="shared" si="434"/>
        <v>2</v>
      </c>
      <c r="AU1150" s="14" t="str">
        <f>IF(AM1150&gt;0,INDEX(挂机升级突破!$DT$4:$ED$4,AM1150),"")</f>
        <v>金币</v>
      </c>
      <c r="AV1150" s="14">
        <f>ROUND(INDEX(挂机升级突破!$DJ$6:$DJ$57,卡牌消耗!AT1150)*INDEX(卡牌消耗!$B$8:$F$8,AR1150)/$Q$4/50,0)*50</f>
        <v>750</v>
      </c>
      <c r="AW1150" s="14" t="str">
        <f>IF(AN1150&gt;0,INDEX(挂机升级突破!$DT$4:$ED$4,AN1150),"")</f>
        <v>绿色基础材料</v>
      </c>
      <c r="AX1150" s="14">
        <f>ROUND(INDEX(挂机升级突破!$DT$6:$ED$57,卡牌消耗!AT1150,AN1150)*INDEX(卡牌消耗!$B$5:$F$5,AR1150)/$Q$4/5,0)*5</f>
        <v>70</v>
      </c>
      <c r="AY1150" s="14" t="str">
        <f>IF(AO1150&gt;0,INDEX(挂机升级突破!$DT$4:$ED$4,AO1150),"")</f>
        <v/>
      </c>
      <c r="AZ1150" s="14" t="str">
        <f>IF(AO1150&gt;0,ROUND(INDEX(挂机升级突破!$DT$6:$ED$57,卡牌消耗!AT1150,AO1150)*INDEX(卡牌消耗!$B$7:$F$7,AR1150)/$Q$4,0),"")</f>
        <v/>
      </c>
    </row>
    <row r="1151" spans="37:52" ht="16.5" x14ac:dyDescent="0.2">
      <c r="AK1151" s="104">
        <v>1147</v>
      </c>
      <c r="AL1151" s="14">
        <f t="shared" si="430"/>
        <v>23</v>
      </c>
      <c r="AM1151" s="14">
        <f>INDEX(挂机升级突破!DQ$6:DQ$57,卡牌消耗!$AT1151)</f>
        <v>11</v>
      </c>
      <c r="AN1151" s="14">
        <f>INDEX(挂机升级突破!DR$6:DR$57,卡牌消耗!$AT1151)</f>
        <v>1</v>
      </c>
      <c r="AO1151" s="14">
        <f>INDEX(挂机升级突破!DS$6:DS$57,卡牌消耗!$AT1151)</f>
        <v>0</v>
      </c>
      <c r="AP1151" s="14">
        <f>INDEX(挂机升级突破!$DP$6:$DP$57,卡牌消耗!AT1151)</f>
        <v>13</v>
      </c>
      <c r="AQ1151" s="14" t="str">
        <f t="shared" si="431"/>
        <v>异邦刀客</v>
      </c>
      <c r="AR1151" s="14">
        <f t="shared" si="432"/>
        <v>2</v>
      </c>
      <c r="AS1151" s="14" t="str">
        <f t="shared" si="433"/>
        <v>异邦刀客魂火-3</v>
      </c>
      <c r="AT1151" s="14">
        <f t="shared" si="434"/>
        <v>3</v>
      </c>
      <c r="AU1151" s="14" t="str">
        <f>IF(AM1151&gt;0,INDEX(挂机升级突破!$DT$4:$ED$4,AM1151),"")</f>
        <v>金币</v>
      </c>
      <c r="AV1151" s="14">
        <f>ROUND(INDEX(挂机升级突破!$DJ$6:$DJ$57,卡牌消耗!AT1151)*INDEX(卡牌消耗!$B$8:$F$8,AR1151)/$Q$4/50,0)*50</f>
        <v>750</v>
      </c>
      <c r="AW1151" s="14" t="str">
        <f>IF(AN1151&gt;0,INDEX(挂机升级突破!$DT$4:$ED$4,AN1151),"")</f>
        <v>绿色基础材料</v>
      </c>
      <c r="AX1151" s="14">
        <f>ROUND(INDEX(挂机升级突破!$DT$6:$ED$57,卡牌消耗!AT1151,AN1151)*INDEX(卡牌消耗!$B$5:$F$5,AR1151)/$Q$4/5,0)*5</f>
        <v>80</v>
      </c>
      <c r="AY1151" s="14" t="str">
        <f>IF(AO1151&gt;0,INDEX(挂机升级突破!$DT$4:$ED$4,AO1151),"")</f>
        <v/>
      </c>
      <c r="AZ1151" s="14" t="str">
        <f>IF(AO1151&gt;0,ROUND(INDEX(挂机升级突破!$DT$6:$ED$57,卡牌消耗!AT1151,AO1151)*INDEX(卡牌消耗!$B$7:$F$7,AR1151)/$Q$4,0),"")</f>
        <v/>
      </c>
    </row>
    <row r="1152" spans="37:52" ht="16.5" x14ac:dyDescent="0.2">
      <c r="AK1152" s="104">
        <v>1148</v>
      </c>
      <c r="AL1152" s="14">
        <f t="shared" si="430"/>
        <v>23</v>
      </c>
      <c r="AM1152" s="14">
        <f>INDEX(挂机升级突破!DQ$6:DQ$57,卡牌消耗!$AT1152)</f>
        <v>11</v>
      </c>
      <c r="AN1152" s="14">
        <f>INDEX(挂机升级突破!DR$6:DR$57,卡牌消耗!$AT1152)</f>
        <v>1</v>
      </c>
      <c r="AO1152" s="14">
        <f>INDEX(挂机升级突破!DS$6:DS$57,卡牌消耗!$AT1152)</f>
        <v>0</v>
      </c>
      <c r="AP1152" s="14">
        <f>INDEX(挂机升级突破!$DP$6:$DP$57,卡牌消耗!AT1152)</f>
        <v>18</v>
      </c>
      <c r="AQ1152" s="14" t="str">
        <f t="shared" si="431"/>
        <v>异邦刀客</v>
      </c>
      <c r="AR1152" s="14">
        <f t="shared" si="432"/>
        <v>2</v>
      </c>
      <c r="AS1152" s="14" t="str">
        <f t="shared" si="433"/>
        <v>异邦刀客魂火-4</v>
      </c>
      <c r="AT1152" s="14">
        <f t="shared" si="434"/>
        <v>4</v>
      </c>
      <c r="AU1152" s="14" t="str">
        <f>IF(AM1152&gt;0,INDEX(挂机升级突破!$DT$4:$ED$4,AM1152),"")</f>
        <v>金币</v>
      </c>
      <c r="AV1152" s="14">
        <f>ROUND(INDEX(挂机升级突破!$DJ$6:$DJ$57,卡牌消耗!AT1152)*INDEX(卡牌消耗!$B$8:$F$8,AR1152)/$Q$4/50,0)*50</f>
        <v>750</v>
      </c>
      <c r="AW1152" s="14" t="str">
        <f>IF(AN1152&gt;0,INDEX(挂机升级突破!$DT$4:$ED$4,AN1152),"")</f>
        <v>绿色基础材料</v>
      </c>
      <c r="AX1152" s="14">
        <f>ROUND(INDEX(挂机升级突破!$DT$6:$ED$57,卡牌消耗!AT1152,AN1152)*INDEX(卡牌消耗!$B$5:$F$5,AR1152)/$Q$4/5,0)*5</f>
        <v>115</v>
      </c>
      <c r="AY1152" s="14" t="str">
        <f>IF(AO1152&gt;0,INDEX(挂机升级突破!$DT$4:$ED$4,AO1152),"")</f>
        <v/>
      </c>
      <c r="AZ1152" s="14" t="str">
        <f>IF(AO1152&gt;0,ROUND(INDEX(挂机升级突破!$DT$6:$ED$57,卡牌消耗!AT1152,AO1152)*INDEX(卡牌消耗!$B$7:$F$7,AR1152)/$Q$4,0),"")</f>
        <v/>
      </c>
    </row>
    <row r="1153" spans="37:52" ht="16.5" x14ac:dyDescent="0.2">
      <c r="AK1153" s="104">
        <v>1149</v>
      </c>
      <c r="AL1153" s="14">
        <f t="shared" si="430"/>
        <v>23</v>
      </c>
      <c r="AM1153" s="14">
        <f>INDEX(挂机升级突破!DQ$6:DQ$57,卡牌消耗!$AT1153)</f>
        <v>11</v>
      </c>
      <c r="AN1153" s="14">
        <f>INDEX(挂机升级突破!DR$6:DR$57,卡牌消耗!$AT1153)</f>
        <v>1</v>
      </c>
      <c r="AO1153" s="14">
        <f>INDEX(挂机升级突破!DS$6:DS$57,卡牌消耗!$AT1153)</f>
        <v>0</v>
      </c>
      <c r="AP1153" s="14">
        <f>INDEX(挂机升级突破!$DP$6:$DP$57,卡牌消耗!AT1153)</f>
        <v>23</v>
      </c>
      <c r="AQ1153" s="14" t="str">
        <f t="shared" si="431"/>
        <v>异邦刀客</v>
      </c>
      <c r="AR1153" s="14">
        <f t="shared" si="432"/>
        <v>2</v>
      </c>
      <c r="AS1153" s="14" t="str">
        <f t="shared" si="433"/>
        <v>异邦刀客魂火-5</v>
      </c>
      <c r="AT1153" s="14">
        <f t="shared" si="434"/>
        <v>5</v>
      </c>
      <c r="AU1153" s="14" t="str">
        <f>IF(AM1153&gt;0,INDEX(挂机升级突破!$DT$4:$ED$4,AM1153),"")</f>
        <v>金币</v>
      </c>
      <c r="AV1153" s="14">
        <f>ROUND(INDEX(挂机升级突破!$DJ$6:$DJ$57,卡牌消耗!AT1153)*INDEX(卡牌消耗!$B$8:$F$8,AR1153)/$Q$4/50,0)*50</f>
        <v>750</v>
      </c>
      <c r="AW1153" s="14" t="str">
        <f>IF(AN1153&gt;0,INDEX(挂机升级突破!$DT$4:$ED$4,AN1153),"")</f>
        <v>绿色基础材料</v>
      </c>
      <c r="AX1153" s="14">
        <f>ROUND(INDEX(挂机升级突破!$DT$6:$ED$57,卡牌消耗!AT1153,AN1153)*INDEX(卡牌消耗!$B$5:$F$5,AR1153)/$Q$4/5,0)*5</f>
        <v>125</v>
      </c>
      <c r="AY1153" s="14" t="str">
        <f>IF(AO1153&gt;0,INDEX(挂机升级突破!$DT$4:$ED$4,AO1153),"")</f>
        <v/>
      </c>
      <c r="AZ1153" s="14" t="str">
        <f>IF(AO1153&gt;0,ROUND(INDEX(挂机升级突破!$DT$6:$ED$57,卡牌消耗!AT1153,AO1153)*INDEX(卡牌消耗!$B$7:$F$7,AR1153)/$Q$4,0),"")</f>
        <v/>
      </c>
    </row>
    <row r="1154" spans="37:52" ht="16.5" x14ac:dyDescent="0.2">
      <c r="AK1154" s="104">
        <v>1150</v>
      </c>
      <c r="AL1154" s="14">
        <f t="shared" si="430"/>
        <v>23</v>
      </c>
      <c r="AM1154" s="14">
        <f>INDEX(挂机升级突破!DQ$6:DQ$57,卡牌消耗!$AT1154)</f>
        <v>11</v>
      </c>
      <c r="AN1154" s="14">
        <f>INDEX(挂机升级突破!DR$6:DR$57,卡牌消耗!$AT1154)</f>
        <v>2</v>
      </c>
      <c r="AO1154" s="14">
        <f>INDEX(挂机升级突破!DS$6:DS$57,卡牌消耗!$AT1154)</f>
        <v>0</v>
      </c>
      <c r="AP1154" s="14">
        <f>INDEX(挂机升级突破!$DP$6:$DP$57,卡牌消耗!AT1154)</f>
        <v>28</v>
      </c>
      <c r="AQ1154" s="14" t="str">
        <f t="shared" si="431"/>
        <v>异邦刀客</v>
      </c>
      <c r="AR1154" s="14">
        <f t="shared" si="432"/>
        <v>2</v>
      </c>
      <c r="AS1154" s="14" t="str">
        <f t="shared" si="433"/>
        <v>异邦刀客魂火-6</v>
      </c>
      <c r="AT1154" s="14">
        <f t="shared" si="434"/>
        <v>6</v>
      </c>
      <c r="AU1154" s="14" t="str">
        <f>IF(AM1154&gt;0,INDEX(挂机升级突破!$DT$4:$ED$4,AM1154),"")</f>
        <v>金币</v>
      </c>
      <c r="AV1154" s="14">
        <f>ROUND(INDEX(挂机升级突破!$DJ$6:$DJ$57,卡牌消耗!AT1154)*INDEX(卡牌消耗!$B$8:$F$8,AR1154)/$Q$4/50,0)*50</f>
        <v>900</v>
      </c>
      <c r="AW1154" s="14" t="str">
        <f>IF(AN1154&gt;0,INDEX(挂机升级突破!$DT$4:$ED$4,AN1154),"")</f>
        <v>蓝色基础材料</v>
      </c>
      <c r="AX1154" s="14">
        <f>ROUND(INDEX(挂机升级突破!$DT$6:$ED$57,卡牌消耗!AT1154,AN1154)*INDEX(卡牌消耗!$B$5:$F$5,AR1154)/$Q$4/5,0)*5</f>
        <v>25</v>
      </c>
      <c r="AY1154" s="14" t="str">
        <f>IF(AO1154&gt;0,INDEX(挂机升级突破!$DT$4:$ED$4,AO1154),"")</f>
        <v/>
      </c>
      <c r="AZ1154" s="14" t="str">
        <f>IF(AO1154&gt;0,ROUND(INDEX(挂机升级突破!$DT$6:$ED$57,卡牌消耗!AT1154,AO1154)*INDEX(卡牌消耗!$B$7:$F$7,AR1154)/$Q$4,0),"")</f>
        <v/>
      </c>
    </row>
    <row r="1155" spans="37:52" ht="16.5" x14ac:dyDescent="0.2">
      <c r="AK1155" s="104">
        <v>1151</v>
      </c>
      <c r="AL1155" s="14">
        <f t="shared" si="430"/>
        <v>23</v>
      </c>
      <c r="AM1155" s="14">
        <f>INDEX(挂机升级突破!DQ$6:DQ$57,卡牌消耗!$AT1155)</f>
        <v>11</v>
      </c>
      <c r="AN1155" s="14">
        <f>INDEX(挂机升级突破!DR$6:DR$57,卡牌消耗!$AT1155)</f>
        <v>2</v>
      </c>
      <c r="AO1155" s="14">
        <f>INDEX(挂机升级突破!DS$6:DS$57,卡牌消耗!$AT1155)</f>
        <v>0</v>
      </c>
      <c r="AP1155" s="14">
        <f>INDEX(挂机升级突破!$DP$6:$DP$57,卡牌消耗!AT1155)</f>
        <v>33</v>
      </c>
      <c r="AQ1155" s="14" t="str">
        <f t="shared" si="431"/>
        <v>异邦刀客</v>
      </c>
      <c r="AR1155" s="14">
        <f t="shared" si="432"/>
        <v>2</v>
      </c>
      <c r="AS1155" s="14" t="str">
        <f t="shared" si="433"/>
        <v>异邦刀客魂火-7</v>
      </c>
      <c r="AT1155" s="14">
        <f t="shared" si="434"/>
        <v>7</v>
      </c>
      <c r="AU1155" s="14" t="str">
        <f>IF(AM1155&gt;0,INDEX(挂机升级突破!$DT$4:$ED$4,AM1155),"")</f>
        <v>金币</v>
      </c>
      <c r="AV1155" s="14">
        <f>ROUND(INDEX(挂机升级突破!$DJ$6:$DJ$57,卡牌消耗!AT1155)*INDEX(卡牌消耗!$B$8:$F$8,AR1155)/$Q$4/50,0)*50</f>
        <v>900</v>
      </c>
      <c r="AW1155" s="14" t="str">
        <f>IF(AN1155&gt;0,INDEX(挂机升级突破!$DT$4:$ED$4,AN1155),"")</f>
        <v>蓝色基础材料</v>
      </c>
      <c r="AX1155" s="14">
        <f>ROUND(INDEX(挂机升级突破!$DT$6:$ED$57,卡牌消耗!AT1155,AN1155)*INDEX(卡牌消耗!$B$5:$F$5,AR1155)/$Q$4/5,0)*5</f>
        <v>25</v>
      </c>
      <c r="AY1155" s="14" t="str">
        <f>IF(AO1155&gt;0,INDEX(挂机升级突破!$DT$4:$ED$4,AO1155),"")</f>
        <v/>
      </c>
      <c r="AZ1155" s="14" t="str">
        <f>IF(AO1155&gt;0,ROUND(INDEX(挂机升级突破!$DT$6:$ED$57,卡牌消耗!AT1155,AO1155)*INDEX(卡牌消耗!$B$7:$F$7,AR1155)/$Q$4,0),"")</f>
        <v/>
      </c>
    </row>
    <row r="1156" spans="37:52" ht="16.5" x14ac:dyDescent="0.2">
      <c r="AK1156" s="104">
        <v>1152</v>
      </c>
      <c r="AL1156" s="14">
        <f t="shared" si="430"/>
        <v>23</v>
      </c>
      <c r="AM1156" s="14">
        <f>INDEX(挂机升级突破!DQ$6:DQ$57,卡牌消耗!$AT1156)</f>
        <v>11</v>
      </c>
      <c r="AN1156" s="14">
        <f>INDEX(挂机升级突破!DR$6:DR$57,卡牌消耗!$AT1156)</f>
        <v>2</v>
      </c>
      <c r="AO1156" s="14">
        <f>INDEX(挂机升级突破!DS$6:DS$57,卡牌消耗!$AT1156)</f>
        <v>0</v>
      </c>
      <c r="AP1156" s="14">
        <f>INDEX(挂机升级突破!$DP$6:$DP$57,卡牌消耗!AT1156)</f>
        <v>38</v>
      </c>
      <c r="AQ1156" s="14" t="str">
        <f t="shared" si="431"/>
        <v>异邦刀客</v>
      </c>
      <c r="AR1156" s="14">
        <f t="shared" si="432"/>
        <v>2</v>
      </c>
      <c r="AS1156" s="14" t="str">
        <f t="shared" si="433"/>
        <v>异邦刀客魂火-8</v>
      </c>
      <c r="AT1156" s="14">
        <f t="shared" si="434"/>
        <v>8</v>
      </c>
      <c r="AU1156" s="14" t="str">
        <f>IF(AM1156&gt;0,INDEX(挂机升级突破!$DT$4:$ED$4,AM1156),"")</f>
        <v>金币</v>
      </c>
      <c r="AV1156" s="14">
        <f>ROUND(INDEX(挂机升级突破!$DJ$6:$DJ$57,卡牌消耗!AT1156)*INDEX(卡牌消耗!$B$8:$F$8,AR1156)/$Q$4/50,0)*50</f>
        <v>1350</v>
      </c>
      <c r="AW1156" s="14" t="str">
        <f>IF(AN1156&gt;0,INDEX(挂机升级突破!$DT$4:$ED$4,AN1156),"")</f>
        <v>蓝色基础材料</v>
      </c>
      <c r="AX1156" s="14">
        <f>ROUND(INDEX(挂机升级突破!$DT$6:$ED$57,卡牌消耗!AT1156,AN1156)*INDEX(卡牌消耗!$B$5:$F$5,AR1156)/$Q$4/5,0)*5</f>
        <v>45</v>
      </c>
      <c r="AY1156" s="14" t="str">
        <f>IF(AO1156&gt;0,INDEX(挂机升级突破!$DT$4:$ED$4,AO1156),"")</f>
        <v/>
      </c>
      <c r="AZ1156" s="14" t="str">
        <f>IF(AO1156&gt;0,ROUND(INDEX(挂机升级突破!$DT$6:$ED$57,卡牌消耗!AT1156,AO1156)*INDEX(卡牌消耗!$B$7:$F$7,AR1156)/$Q$4,0),"")</f>
        <v/>
      </c>
    </row>
    <row r="1157" spans="37:52" ht="16.5" x14ac:dyDescent="0.2">
      <c r="AK1157" s="104">
        <v>1153</v>
      </c>
      <c r="AL1157" s="14">
        <f t="shared" si="430"/>
        <v>23</v>
      </c>
      <c r="AM1157" s="14">
        <f>INDEX(挂机升级突破!DQ$6:DQ$57,卡牌消耗!$AT1157)</f>
        <v>11</v>
      </c>
      <c r="AN1157" s="14">
        <f>INDEX(挂机升级突破!DR$6:DR$57,卡牌消耗!$AT1157)</f>
        <v>2</v>
      </c>
      <c r="AO1157" s="14">
        <f>INDEX(挂机升级突破!DS$6:DS$57,卡牌消耗!$AT1157)</f>
        <v>0</v>
      </c>
      <c r="AP1157" s="14">
        <f>INDEX(挂机升级突破!$DP$6:$DP$57,卡牌消耗!AT1157)</f>
        <v>40</v>
      </c>
      <c r="AQ1157" s="14" t="str">
        <f t="shared" si="431"/>
        <v>异邦刀客</v>
      </c>
      <c r="AR1157" s="14">
        <f t="shared" si="432"/>
        <v>2</v>
      </c>
      <c r="AS1157" s="14" t="str">
        <f t="shared" si="433"/>
        <v>异邦刀客魂火-9</v>
      </c>
      <c r="AT1157" s="14">
        <f t="shared" si="434"/>
        <v>9</v>
      </c>
      <c r="AU1157" s="14" t="str">
        <f>IF(AM1157&gt;0,INDEX(挂机升级突破!$DT$4:$ED$4,AM1157),"")</f>
        <v>金币</v>
      </c>
      <c r="AV1157" s="14">
        <f>ROUND(INDEX(挂机升级突破!$DJ$6:$DJ$57,卡牌消耗!AT1157)*INDEX(卡牌消耗!$B$8:$F$8,AR1157)/$Q$4/50,0)*50</f>
        <v>1350</v>
      </c>
      <c r="AW1157" s="14" t="str">
        <f>IF(AN1157&gt;0,INDEX(挂机升级突破!$DT$4:$ED$4,AN1157),"")</f>
        <v>蓝色基础材料</v>
      </c>
      <c r="AX1157" s="14">
        <f>ROUND(INDEX(挂机升级突破!$DT$6:$ED$57,卡牌消耗!AT1157,AN1157)*INDEX(卡牌消耗!$B$5:$F$5,AR1157)/$Q$4/5,0)*5</f>
        <v>45</v>
      </c>
      <c r="AY1157" s="14" t="str">
        <f>IF(AO1157&gt;0,INDEX(挂机升级突破!$DT$4:$ED$4,AO1157),"")</f>
        <v/>
      </c>
      <c r="AZ1157" s="14" t="str">
        <f>IF(AO1157&gt;0,ROUND(INDEX(挂机升级突破!$DT$6:$ED$57,卡牌消耗!AT1157,AO1157)*INDEX(卡牌消耗!$B$7:$F$7,AR1157)/$Q$4,0),"")</f>
        <v/>
      </c>
    </row>
    <row r="1158" spans="37:52" ht="16.5" x14ac:dyDescent="0.2">
      <c r="AK1158" s="104">
        <v>1154</v>
      </c>
      <c r="AL1158" s="14">
        <f t="shared" ref="AL1158:AL1221" si="435">INT((AK1158-1)/52)+1</f>
        <v>23</v>
      </c>
      <c r="AM1158" s="14">
        <f>INDEX(挂机升级突破!DQ$6:DQ$57,卡牌消耗!$AT1158)</f>
        <v>11</v>
      </c>
      <c r="AN1158" s="14">
        <f>INDEX(挂机升级突破!DR$6:DR$57,卡牌消耗!$AT1158)</f>
        <v>2</v>
      </c>
      <c r="AO1158" s="14">
        <f>INDEX(挂机升级突破!DS$6:DS$57,卡牌消耗!$AT1158)</f>
        <v>0</v>
      </c>
      <c r="AP1158" s="14">
        <f>INDEX(挂机升级突破!$DP$6:$DP$57,卡牌消耗!AT1158)</f>
        <v>43</v>
      </c>
      <c r="AQ1158" s="14" t="str">
        <f t="shared" ref="AQ1158:AQ1221" si="436">INDEX($B$13:$B$45,AL1158)</f>
        <v>异邦刀客</v>
      </c>
      <c r="AR1158" s="14">
        <f t="shared" ref="AR1158:AR1221" si="437">INDEX($C$13:$C$45,AL1158)</f>
        <v>2</v>
      </c>
      <c r="AS1158" s="14" t="str">
        <f t="shared" ref="AS1158:AS1221" si="438">AQ1158&amp;"魂火-"&amp;AT1158</f>
        <v>异邦刀客魂火-10</v>
      </c>
      <c r="AT1158" s="14">
        <f t="shared" ref="AT1158:AT1221" si="439">AK1158-(AL1158-1)*52</f>
        <v>10</v>
      </c>
      <c r="AU1158" s="14" t="str">
        <f>IF(AM1158&gt;0,INDEX(挂机升级突破!$DT$4:$ED$4,AM1158),"")</f>
        <v>金币</v>
      </c>
      <c r="AV1158" s="14">
        <f>ROUND(INDEX(挂机升级突破!$DJ$6:$DJ$57,卡牌消耗!AT1158)*INDEX(卡牌消耗!$B$8:$F$8,AR1158)/$Q$4/50,0)*50</f>
        <v>2250</v>
      </c>
      <c r="AW1158" s="14" t="str">
        <f>IF(AN1158&gt;0,INDEX(挂机升级突破!$DT$4:$ED$4,AN1158),"")</f>
        <v>蓝色基础材料</v>
      </c>
      <c r="AX1158" s="14">
        <f>ROUND(INDEX(挂机升级突破!$DT$6:$ED$57,卡牌消耗!AT1158,AN1158)*INDEX(卡牌消耗!$B$5:$F$5,AR1158)/$Q$4/5,0)*5</f>
        <v>70</v>
      </c>
      <c r="AY1158" s="14" t="str">
        <f>IF(AO1158&gt;0,INDEX(挂机升级突破!$DT$4:$ED$4,AO1158),"")</f>
        <v/>
      </c>
      <c r="AZ1158" s="14" t="str">
        <f>IF(AO1158&gt;0,ROUND(INDEX(挂机升级突破!$DT$6:$ED$57,卡牌消耗!AT1158,AO1158)*INDEX(卡牌消耗!$B$7:$F$7,AR1158)/$Q$4,0),"")</f>
        <v/>
      </c>
    </row>
    <row r="1159" spans="37:52" ht="16.5" x14ac:dyDescent="0.2">
      <c r="AK1159" s="104">
        <v>1155</v>
      </c>
      <c r="AL1159" s="14">
        <f t="shared" si="435"/>
        <v>23</v>
      </c>
      <c r="AM1159" s="14">
        <f>INDEX(挂机升级突破!DQ$6:DQ$57,卡牌消耗!$AT1159)</f>
        <v>11</v>
      </c>
      <c r="AN1159" s="14">
        <f>INDEX(挂机升级突破!DR$6:DR$57,卡牌消耗!$AT1159)</f>
        <v>2</v>
      </c>
      <c r="AO1159" s="14">
        <f>INDEX(挂机升级突破!DS$6:DS$57,卡牌消耗!$AT1159)</f>
        <v>0</v>
      </c>
      <c r="AP1159" s="14">
        <f>INDEX(挂机升级突破!$DP$6:$DP$57,卡牌消耗!AT1159)</f>
        <v>45</v>
      </c>
      <c r="AQ1159" s="14" t="str">
        <f t="shared" si="436"/>
        <v>异邦刀客</v>
      </c>
      <c r="AR1159" s="14">
        <f t="shared" si="437"/>
        <v>2</v>
      </c>
      <c r="AS1159" s="14" t="str">
        <f t="shared" si="438"/>
        <v>异邦刀客魂火-11</v>
      </c>
      <c r="AT1159" s="14">
        <f t="shared" si="439"/>
        <v>11</v>
      </c>
      <c r="AU1159" s="14" t="str">
        <f>IF(AM1159&gt;0,INDEX(挂机升级突破!$DT$4:$ED$4,AM1159),"")</f>
        <v>金币</v>
      </c>
      <c r="AV1159" s="14">
        <f>ROUND(INDEX(挂机升级突破!$DJ$6:$DJ$57,卡牌消耗!AT1159)*INDEX(卡牌消耗!$B$8:$F$8,AR1159)/$Q$4/50,0)*50</f>
        <v>2250</v>
      </c>
      <c r="AW1159" s="14" t="str">
        <f>IF(AN1159&gt;0,INDEX(挂机升级突破!$DT$4:$ED$4,AN1159),"")</f>
        <v>蓝色基础材料</v>
      </c>
      <c r="AX1159" s="14">
        <f>ROUND(INDEX(挂机升级突破!$DT$6:$ED$57,卡牌消耗!AT1159,AN1159)*INDEX(卡牌消耗!$B$5:$F$5,AR1159)/$Q$4/5,0)*5</f>
        <v>70</v>
      </c>
      <c r="AY1159" s="14" t="str">
        <f>IF(AO1159&gt;0,INDEX(挂机升级突破!$DT$4:$ED$4,AO1159),"")</f>
        <v/>
      </c>
      <c r="AZ1159" s="14" t="str">
        <f>IF(AO1159&gt;0,ROUND(INDEX(挂机升级突破!$DT$6:$ED$57,卡牌消耗!AT1159,AO1159)*INDEX(卡牌消耗!$B$7:$F$7,AR1159)/$Q$4,0),"")</f>
        <v/>
      </c>
    </row>
    <row r="1160" spans="37:52" ht="16.5" x14ac:dyDescent="0.2">
      <c r="AK1160" s="104">
        <v>1156</v>
      </c>
      <c r="AL1160" s="14">
        <f t="shared" si="435"/>
        <v>23</v>
      </c>
      <c r="AM1160" s="14">
        <f>INDEX(挂机升级突破!DQ$6:DQ$57,卡牌消耗!$AT1160)</f>
        <v>11</v>
      </c>
      <c r="AN1160" s="14">
        <f>INDEX(挂机升级突破!DR$6:DR$57,卡牌消耗!$AT1160)</f>
        <v>2</v>
      </c>
      <c r="AO1160" s="14">
        <f>INDEX(挂机升级突破!DS$6:DS$57,卡牌消耗!$AT1160)</f>
        <v>0</v>
      </c>
      <c r="AP1160" s="14">
        <f>INDEX(挂机升级突破!$DP$6:$DP$57,卡牌消耗!AT1160)</f>
        <v>48</v>
      </c>
      <c r="AQ1160" s="14" t="str">
        <f t="shared" si="436"/>
        <v>异邦刀客</v>
      </c>
      <c r="AR1160" s="14">
        <f t="shared" si="437"/>
        <v>2</v>
      </c>
      <c r="AS1160" s="14" t="str">
        <f t="shared" si="438"/>
        <v>异邦刀客魂火-12</v>
      </c>
      <c r="AT1160" s="14">
        <f t="shared" si="439"/>
        <v>12</v>
      </c>
      <c r="AU1160" s="14" t="str">
        <f>IF(AM1160&gt;0,INDEX(挂机升级突破!$DT$4:$ED$4,AM1160),"")</f>
        <v>金币</v>
      </c>
      <c r="AV1160" s="14">
        <f>ROUND(INDEX(挂机升级突破!$DJ$6:$DJ$57,卡牌消耗!AT1160)*INDEX(卡牌消耗!$B$8:$F$8,AR1160)/$Q$4/50,0)*50</f>
        <v>1900</v>
      </c>
      <c r="AW1160" s="14" t="str">
        <f>IF(AN1160&gt;0,INDEX(挂机升级突破!$DT$4:$ED$4,AN1160),"")</f>
        <v>蓝色基础材料</v>
      </c>
      <c r="AX1160" s="14">
        <f>ROUND(INDEX(挂机升级突破!$DT$6:$ED$57,卡牌消耗!AT1160,AN1160)*INDEX(卡牌消耗!$B$5:$F$5,AR1160)/$Q$4/5,0)*5</f>
        <v>90</v>
      </c>
      <c r="AY1160" s="14" t="str">
        <f>IF(AO1160&gt;0,INDEX(挂机升级突破!$DT$4:$ED$4,AO1160),"")</f>
        <v/>
      </c>
      <c r="AZ1160" s="14" t="str">
        <f>IF(AO1160&gt;0,ROUND(INDEX(挂机升级突破!$DT$6:$ED$57,卡牌消耗!AT1160,AO1160)*INDEX(卡牌消耗!$B$7:$F$7,AR1160)/$Q$4,0),"")</f>
        <v/>
      </c>
    </row>
    <row r="1161" spans="37:52" ht="16.5" x14ac:dyDescent="0.2">
      <c r="AK1161" s="104">
        <v>1157</v>
      </c>
      <c r="AL1161" s="14">
        <f t="shared" si="435"/>
        <v>23</v>
      </c>
      <c r="AM1161" s="14">
        <f>INDEX(挂机升级突破!DQ$6:DQ$57,卡牌消耗!$AT1161)</f>
        <v>11</v>
      </c>
      <c r="AN1161" s="14">
        <f>INDEX(挂机升级突破!DR$6:DR$57,卡牌消耗!$AT1161)</f>
        <v>2</v>
      </c>
      <c r="AO1161" s="14">
        <f>INDEX(挂机升级突破!DS$6:DS$57,卡牌消耗!$AT1161)</f>
        <v>0</v>
      </c>
      <c r="AP1161" s="14">
        <f>INDEX(挂机升级突破!$DP$6:$DP$57,卡牌消耗!AT1161)</f>
        <v>50</v>
      </c>
      <c r="AQ1161" s="14" t="str">
        <f t="shared" si="436"/>
        <v>异邦刀客</v>
      </c>
      <c r="AR1161" s="14">
        <f t="shared" si="437"/>
        <v>2</v>
      </c>
      <c r="AS1161" s="14" t="str">
        <f t="shared" si="438"/>
        <v>异邦刀客魂火-13</v>
      </c>
      <c r="AT1161" s="14">
        <f t="shared" si="439"/>
        <v>13</v>
      </c>
      <c r="AU1161" s="14" t="str">
        <f>IF(AM1161&gt;0,INDEX(挂机升级突破!$DT$4:$ED$4,AM1161),"")</f>
        <v>金币</v>
      </c>
      <c r="AV1161" s="14">
        <f>ROUND(INDEX(挂机升级突破!$DJ$6:$DJ$57,卡牌消耗!AT1161)*INDEX(卡牌消耗!$B$8:$F$8,AR1161)/$Q$4/50,0)*50</f>
        <v>1900</v>
      </c>
      <c r="AW1161" s="14" t="str">
        <f>IF(AN1161&gt;0,INDEX(挂机升级突破!$DT$4:$ED$4,AN1161),"")</f>
        <v>蓝色基础材料</v>
      </c>
      <c r="AX1161" s="14">
        <f>ROUND(INDEX(挂机升级突破!$DT$6:$ED$57,卡牌消耗!AT1161,AN1161)*INDEX(卡牌消耗!$B$5:$F$5,AR1161)/$Q$4/5,0)*5</f>
        <v>90</v>
      </c>
      <c r="AY1161" s="14" t="str">
        <f>IF(AO1161&gt;0,INDEX(挂机升级突破!$DT$4:$ED$4,AO1161),"")</f>
        <v/>
      </c>
      <c r="AZ1161" s="14" t="str">
        <f>IF(AO1161&gt;0,ROUND(INDEX(挂机升级突破!$DT$6:$ED$57,卡牌消耗!AT1161,AO1161)*INDEX(卡牌消耗!$B$7:$F$7,AR1161)/$Q$4,0),"")</f>
        <v/>
      </c>
    </row>
    <row r="1162" spans="37:52" ht="16.5" x14ac:dyDescent="0.2">
      <c r="AK1162" s="104">
        <v>1158</v>
      </c>
      <c r="AL1162" s="14">
        <f t="shared" si="435"/>
        <v>23</v>
      </c>
      <c r="AM1162" s="14">
        <f>INDEX(挂机升级突破!DQ$6:DQ$57,卡牌消耗!$AT1162)</f>
        <v>11</v>
      </c>
      <c r="AN1162" s="14">
        <f>INDEX(挂机升级突破!DR$6:DR$57,卡牌消耗!$AT1162)</f>
        <v>3</v>
      </c>
      <c r="AO1162" s="14">
        <f>INDEX(挂机升级突破!DS$6:DS$57,卡牌消耗!$AT1162)</f>
        <v>0</v>
      </c>
      <c r="AP1162" s="14">
        <f>INDEX(挂机升级突破!$DP$6:$DP$57,卡牌消耗!AT1162)</f>
        <v>53</v>
      </c>
      <c r="AQ1162" s="14" t="str">
        <f t="shared" si="436"/>
        <v>异邦刀客</v>
      </c>
      <c r="AR1162" s="14">
        <f t="shared" si="437"/>
        <v>2</v>
      </c>
      <c r="AS1162" s="14" t="str">
        <f t="shared" si="438"/>
        <v>异邦刀客魂火-14</v>
      </c>
      <c r="AT1162" s="14">
        <f t="shared" si="439"/>
        <v>14</v>
      </c>
      <c r="AU1162" s="14" t="str">
        <f>IF(AM1162&gt;0,INDEX(挂机升级突破!$DT$4:$ED$4,AM1162),"")</f>
        <v>金币</v>
      </c>
      <c r="AV1162" s="14">
        <f>ROUND(INDEX(挂机升级突破!$DJ$6:$DJ$57,卡牌消耗!AT1162)*INDEX(卡牌消耗!$B$8:$F$8,AR1162)/$Q$4/50,0)*50</f>
        <v>2100</v>
      </c>
      <c r="AW1162" s="14" t="str">
        <f>IF(AN1162&gt;0,INDEX(挂机升级突破!$DT$4:$ED$4,AN1162),"")</f>
        <v>紫色基础材料</v>
      </c>
      <c r="AX1162" s="14">
        <f>ROUND(INDEX(挂机升级突破!$DT$6:$ED$57,卡牌消耗!AT1162,AN1162)*INDEX(卡牌消耗!$B$5:$F$5,AR1162)/$Q$4/5,0)*5</f>
        <v>20</v>
      </c>
      <c r="AY1162" s="14" t="str">
        <f>IF(AO1162&gt;0,INDEX(挂机升级突破!$DT$4:$ED$4,AO1162),"")</f>
        <v/>
      </c>
      <c r="AZ1162" s="14" t="str">
        <f>IF(AO1162&gt;0,ROUND(INDEX(挂机升级突破!$DT$6:$ED$57,卡牌消耗!AT1162,AO1162)*INDEX(卡牌消耗!$B$7:$F$7,AR1162)/$Q$4,0),"")</f>
        <v/>
      </c>
    </row>
    <row r="1163" spans="37:52" ht="16.5" x14ac:dyDescent="0.2">
      <c r="AK1163" s="104">
        <v>1159</v>
      </c>
      <c r="AL1163" s="14">
        <f t="shared" si="435"/>
        <v>23</v>
      </c>
      <c r="AM1163" s="14">
        <f>INDEX(挂机升级突破!DQ$6:DQ$57,卡牌消耗!$AT1163)</f>
        <v>11</v>
      </c>
      <c r="AN1163" s="14">
        <f>INDEX(挂机升级突破!DR$6:DR$57,卡牌消耗!$AT1163)</f>
        <v>3</v>
      </c>
      <c r="AO1163" s="14">
        <f>INDEX(挂机升级突破!DS$6:DS$57,卡牌消耗!$AT1163)</f>
        <v>0</v>
      </c>
      <c r="AP1163" s="14">
        <f>INDEX(挂机升级突破!$DP$6:$DP$57,卡牌消耗!AT1163)</f>
        <v>55</v>
      </c>
      <c r="AQ1163" s="14" t="str">
        <f t="shared" si="436"/>
        <v>异邦刀客</v>
      </c>
      <c r="AR1163" s="14">
        <f t="shared" si="437"/>
        <v>2</v>
      </c>
      <c r="AS1163" s="14" t="str">
        <f t="shared" si="438"/>
        <v>异邦刀客魂火-15</v>
      </c>
      <c r="AT1163" s="14">
        <f t="shared" si="439"/>
        <v>15</v>
      </c>
      <c r="AU1163" s="14" t="str">
        <f>IF(AM1163&gt;0,INDEX(挂机升级突破!$DT$4:$ED$4,AM1163),"")</f>
        <v>金币</v>
      </c>
      <c r="AV1163" s="14">
        <f>ROUND(INDEX(挂机升级突破!$DJ$6:$DJ$57,卡牌消耗!AT1163)*INDEX(卡牌消耗!$B$8:$F$8,AR1163)/$Q$4/50,0)*50</f>
        <v>2300</v>
      </c>
      <c r="AW1163" s="14" t="str">
        <f>IF(AN1163&gt;0,INDEX(挂机升级突破!$DT$4:$ED$4,AN1163),"")</f>
        <v>紫色基础材料</v>
      </c>
      <c r="AX1163" s="14">
        <f>ROUND(INDEX(挂机升级突破!$DT$6:$ED$57,卡牌消耗!AT1163,AN1163)*INDEX(卡牌消耗!$B$5:$F$5,AR1163)/$Q$4/5,0)*5</f>
        <v>20</v>
      </c>
      <c r="AY1163" s="14" t="str">
        <f>IF(AO1163&gt;0,INDEX(挂机升级突破!$DT$4:$ED$4,AO1163),"")</f>
        <v/>
      </c>
      <c r="AZ1163" s="14" t="str">
        <f>IF(AO1163&gt;0,ROUND(INDEX(挂机升级突破!$DT$6:$ED$57,卡牌消耗!AT1163,AO1163)*INDEX(卡牌消耗!$B$7:$F$7,AR1163)/$Q$4,0),"")</f>
        <v/>
      </c>
    </row>
    <row r="1164" spans="37:52" ht="16.5" x14ac:dyDescent="0.2">
      <c r="AK1164" s="104">
        <v>1160</v>
      </c>
      <c r="AL1164" s="14">
        <f t="shared" si="435"/>
        <v>23</v>
      </c>
      <c r="AM1164" s="14">
        <f>INDEX(挂机升级突破!DQ$6:DQ$57,卡牌消耗!$AT1164)</f>
        <v>11</v>
      </c>
      <c r="AN1164" s="14">
        <f>INDEX(挂机升级突破!DR$6:DR$57,卡牌消耗!$AT1164)</f>
        <v>3</v>
      </c>
      <c r="AO1164" s="14">
        <f>INDEX(挂机升级突破!DS$6:DS$57,卡牌消耗!$AT1164)</f>
        <v>0</v>
      </c>
      <c r="AP1164" s="14">
        <f>INDEX(挂机升级突破!$DP$6:$DP$57,卡牌消耗!AT1164)</f>
        <v>58</v>
      </c>
      <c r="AQ1164" s="14" t="str">
        <f t="shared" si="436"/>
        <v>异邦刀客</v>
      </c>
      <c r="AR1164" s="14">
        <f t="shared" si="437"/>
        <v>2</v>
      </c>
      <c r="AS1164" s="14" t="str">
        <f t="shared" si="438"/>
        <v>异邦刀客魂火-16</v>
      </c>
      <c r="AT1164" s="14">
        <f t="shared" si="439"/>
        <v>16</v>
      </c>
      <c r="AU1164" s="14" t="str">
        <f>IF(AM1164&gt;0,INDEX(挂机升级突破!$DT$4:$ED$4,AM1164),"")</f>
        <v>金币</v>
      </c>
      <c r="AV1164" s="14">
        <f>ROUND(INDEX(挂机升级突破!$DJ$6:$DJ$57,卡牌消耗!AT1164)*INDEX(卡牌消耗!$B$8:$F$8,AR1164)/$Q$4/50,0)*50</f>
        <v>2300</v>
      </c>
      <c r="AW1164" s="14" t="str">
        <f>IF(AN1164&gt;0,INDEX(挂机升级突破!$DT$4:$ED$4,AN1164),"")</f>
        <v>紫色基础材料</v>
      </c>
      <c r="AX1164" s="14">
        <f>ROUND(INDEX(挂机升级突破!$DT$6:$ED$57,卡牌消耗!AT1164,AN1164)*INDEX(卡牌消耗!$B$5:$F$5,AR1164)/$Q$4/5,0)*5</f>
        <v>20</v>
      </c>
      <c r="AY1164" s="14" t="str">
        <f>IF(AO1164&gt;0,INDEX(挂机升级突破!$DT$4:$ED$4,AO1164),"")</f>
        <v/>
      </c>
      <c r="AZ1164" s="14" t="str">
        <f>IF(AO1164&gt;0,ROUND(INDEX(挂机升级突破!$DT$6:$ED$57,卡牌消耗!AT1164,AO1164)*INDEX(卡牌消耗!$B$7:$F$7,AR1164)/$Q$4,0),"")</f>
        <v/>
      </c>
    </row>
    <row r="1165" spans="37:52" ht="16.5" x14ac:dyDescent="0.2">
      <c r="AK1165" s="104">
        <v>1161</v>
      </c>
      <c r="AL1165" s="14">
        <f t="shared" si="435"/>
        <v>23</v>
      </c>
      <c r="AM1165" s="14">
        <f>INDEX(挂机升级突破!DQ$6:DQ$57,卡牌消耗!$AT1165)</f>
        <v>11</v>
      </c>
      <c r="AN1165" s="14">
        <f>INDEX(挂机升级突破!DR$6:DR$57,卡牌消耗!$AT1165)</f>
        <v>3</v>
      </c>
      <c r="AO1165" s="14">
        <f>INDEX(挂机升级突破!DS$6:DS$57,卡牌消耗!$AT1165)</f>
        <v>0</v>
      </c>
      <c r="AP1165" s="14">
        <f>INDEX(挂机升级突破!$DP$6:$DP$57,卡牌消耗!AT1165)</f>
        <v>60</v>
      </c>
      <c r="AQ1165" s="14" t="str">
        <f t="shared" si="436"/>
        <v>异邦刀客</v>
      </c>
      <c r="AR1165" s="14">
        <f t="shared" si="437"/>
        <v>2</v>
      </c>
      <c r="AS1165" s="14" t="str">
        <f t="shared" si="438"/>
        <v>异邦刀客魂火-17</v>
      </c>
      <c r="AT1165" s="14">
        <f t="shared" si="439"/>
        <v>17</v>
      </c>
      <c r="AU1165" s="14" t="str">
        <f>IF(AM1165&gt;0,INDEX(挂机升级突破!$DT$4:$ED$4,AM1165),"")</f>
        <v>金币</v>
      </c>
      <c r="AV1165" s="14">
        <f>ROUND(INDEX(挂机升级突破!$DJ$6:$DJ$57,卡牌消耗!AT1165)*INDEX(卡牌消耗!$B$8:$F$8,AR1165)/$Q$4/50,0)*50</f>
        <v>2850</v>
      </c>
      <c r="AW1165" s="14" t="str">
        <f>IF(AN1165&gt;0,INDEX(挂机升级突破!$DT$4:$ED$4,AN1165),"")</f>
        <v>紫色基础材料</v>
      </c>
      <c r="AX1165" s="14">
        <f>ROUND(INDEX(挂机升级突破!$DT$6:$ED$57,卡牌消耗!AT1165,AN1165)*INDEX(卡牌消耗!$B$5:$F$5,AR1165)/$Q$4/5,0)*5</f>
        <v>35</v>
      </c>
      <c r="AY1165" s="14" t="str">
        <f>IF(AO1165&gt;0,INDEX(挂机升级突破!$DT$4:$ED$4,AO1165),"")</f>
        <v/>
      </c>
      <c r="AZ1165" s="14" t="str">
        <f>IF(AO1165&gt;0,ROUND(INDEX(挂机升级突破!$DT$6:$ED$57,卡牌消耗!AT1165,AO1165)*INDEX(卡牌消耗!$B$7:$F$7,AR1165)/$Q$4,0),"")</f>
        <v/>
      </c>
    </row>
    <row r="1166" spans="37:52" ht="16.5" x14ac:dyDescent="0.2">
      <c r="AK1166" s="104">
        <v>1162</v>
      </c>
      <c r="AL1166" s="14">
        <f t="shared" si="435"/>
        <v>23</v>
      </c>
      <c r="AM1166" s="14">
        <f>INDEX(挂机升级突破!DQ$6:DQ$57,卡牌消耗!$AT1166)</f>
        <v>11</v>
      </c>
      <c r="AN1166" s="14">
        <f>INDEX(挂机升级突破!DR$6:DR$57,卡牌消耗!$AT1166)</f>
        <v>3</v>
      </c>
      <c r="AO1166" s="14">
        <f>INDEX(挂机升级突破!DS$6:DS$57,卡牌消耗!$AT1166)</f>
        <v>0</v>
      </c>
      <c r="AP1166" s="14">
        <f>INDEX(挂机升级突破!$DP$6:$DP$57,卡牌消耗!AT1166)</f>
        <v>63</v>
      </c>
      <c r="AQ1166" s="14" t="str">
        <f t="shared" si="436"/>
        <v>异邦刀客</v>
      </c>
      <c r="AR1166" s="14">
        <f t="shared" si="437"/>
        <v>2</v>
      </c>
      <c r="AS1166" s="14" t="str">
        <f t="shared" si="438"/>
        <v>异邦刀客魂火-18</v>
      </c>
      <c r="AT1166" s="14">
        <f t="shared" si="439"/>
        <v>18</v>
      </c>
      <c r="AU1166" s="14" t="str">
        <f>IF(AM1166&gt;0,INDEX(挂机升级突破!$DT$4:$ED$4,AM1166),"")</f>
        <v>金币</v>
      </c>
      <c r="AV1166" s="14">
        <f>ROUND(INDEX(挂机升级突破!$DJ$6:$DJ$57,卡牌消耗!AT1166)*INDEX(卡牌消耗!$B$8:$F$8,AR1166)/$Q$4/50,0)*50</f>
        <v>2850</v>
      </c>
      <c r="AW1166" s="14" t="str">
        <f>IF(AN1166&gt;0,INDEX(挂机升级突破!$DT$4:$ED$4,AN1166),"")</f>
        <v>紫色基础材料</v>
      </c>
      <c r="AX1166" s="14">
        <f>ROUND(INDEX(挂机升级突破!$DT$6:$ED$57,卡牌消耗!AT1166,AN1166)*INDEX(卡牌消耗!$B$5:$F$5,AR1166)/$Q$4/5,0)*5</f>
        <v>35</v>
      </c>
      <c r="AY1166" s="14" t="str">
        <f>IF(AO1166&gt;0,INDEX(挂机升级突破!$DT$4:$ED$4,AO1166),"")</f>
        <v/>
      </c>
      <c r="AZ1166" s="14" t="str">
        <f>IF(AO1166&gt;0,ROUND(INDEX(挂机升级突破!$DT$6:$ED$57,卡牌消耗!AT1166,AO1166)*INDEX(卡牌消耗!$B$7:$F$7,AR1166)/$Q$4,0),"")</f>
        <v/>
      </c>
    </row>
    <row r="1167" spans="37:52" ht="16.5" x14ac:dyDescent="0.2">
      <c r="AK1167" s="104">
        <v>1163</v>
      </c>
      <c r="AL1167" s="14">
        <f t="shared" si="435"/>
        <v>23</v>
      </c>
      <c r="AM1167" s="14">
        <f>INDEX(挂机升级突破!DQ$6:DQ$57,卡牌消耗!$AT1167)</f>
        <v>11</v>
      </c>
      <c r="AN1167" s="14">
        <f>INDEX(挂机升级突破!DR$6:DR$57,卡牌消耗!$AT1167)</f>
        <v>3</v>
      </c>
      <c r="AO1167" s="14">
        <f>INDEX(挂机升级突破!DS$6:DS$57,卡牌消耗!$AT1167)</f>
        <v>0</v>
      </c>
      <c r="AP1167" s="14">
        <f>INDEX(挂机升级突破!$DP$6:$DP$57,卡牌消耗!AT1167)</f>
        <v>65</v>
      </c>
      <c r="AQ1167" s="14" t="str">
        <f t="shared" si="436"/>
        <v>异邦刀客</v>
      </c>
      <c r="AR1167" s="14">
        <f t="shared" si="437"/>
        <v>2</v>
      </c>
      <c r="AS1167" s="14" t="str">
        <f t="shared" si="438"/>
        <v>异邦刀客魂火-19</v>
      </c>
      <c r="AT1167" s="14">
        <f t="shared" si="439"/>
        <v>19</v>
      </c>
      <c r="AU1167" s="14" t="str">
        <f>IF(AM1167&gt;0,INDEX(挂机升级突破!$DT$4:$ED$4,AM1167),"")</f>
        <v>金币</v>
      </c>
      <c r="AV1167" s="14">
        <f>ROUND(INDEX(挂机升级突破!$DJ$6:$DJ$57,卡牌消耗!AT1167)*INDEX(卡牌消耗!$B$8:$F$8,AR1167)/$Q$4/50,0)*50</f>
        <v>2850</v>
      </c>
      <c r="AW1167" s="14" t="str">
        <f>IF(AN1167&gt;0,INDEX(挂机升级突破!$DT$4:$ED$4,AN1167),"")</f>
        <v>紫色基础材料</v>
      </c>
      <c r="AX1167" s="14">
        <f>ROUND(INDEX(挂机升级突破!$DT$6:$ED$57,卡牌消耗!AT1167,AN1167)*INDEX(卡牌消耗!$B$5:$F$5,AR1167)/$Q$4/5,0)*5</f>
        <v>35</v>
      </c>
      <c r="AY1167" s="14" t="str">
        <f>IF(AO1167&gt;0,INDEX(挂机升级突破!$DT$4:$ED$4,AO1167),"")</f>
        <v/>
      </c>
      <c r="AZ1167" s="14" t="str">
        <f>IF(AO1167&gt;0,ROUND(INDEX(挂机升级突破!$DT$6:$ED$57,卡牌消耗!AT1167,AO1167)*INDEX(卡牌消耗!$B$7:$F$7,AR1167)/$Q$4,0),"")</f>
        <v/>
      </c>
    </row>
    <row r="1168" spans="37:52" ht="16.5" x14ac:dyDescent="0.2">
      <c r="AK1168" s="104">
        <v>1164</v>
      </c>
      <c r="AL1168" s="14">
        <f t="shared" si="435"/>
        <v>23</v>
      </c>
      <c r="AM1168" s="14">
        <f>INDEX(挂机升级突破!DQ$6:DQ$57,卡牌消耗!$AT1168)</f>
        <v>11</v>
      </c>
      <c r="AN1168" s="14">
        <f>INDEX(挂机升级突破!DR$6:DR$57,卡牌消耗!$AT1168)</f>
        <v>3</v>
      </c>
      <c r="AO1168" s="14">
        <f>INDEX(挂机升级突破!DS$6:DS$57,卡牌消耗!$AT1168)</f>
        <v>0</v>
      </c>
      <c r="AP1168" s="14">
        <f>INDEX(挂机升级突破!$DP$6:$DP$57,卡牌消耗!AT1168)</f>
        <v>68</v>
      </c>
      <c r="AQ1168" s="14" t="str">
        <f t="shared" si="436"/>
        <v>异邦刀客</v>
      </c>
      <c r="AR1168" s="14">
        <f t="shared" si="437"/>
        <v>2</v>
      </c>
      <c r="AS1168" s="14" t="str">
        <f t="shared" si="438"/>
        <v>异邦刀客魂火-20</v>
      </c>
      <c r="AT1168" s="14">
        <f t="shared" si="439"/>
        <v>20</v>
      </c>
      <c r="AU1168" s="14" t="str">
        <f>IF(AM1168&gt;0,INDEX(挂机升级突破!$DT$4:$ED$4,AM1168),"")</f>
        <v>金币</v>
      </c>
      <c r="AV1168" s="14">
        <f>ROUND(INDEX(挂机升级突破!$DJ$6:$DJ$57,卡牌消耗!AT1168)*INDEX(卡牌消耗!$B$8:$F$8,AR1168)/$Q$4/50,0)*50</f>
        <v>3500</v>
      </c>
      <c r="AW1168" s="14" t="str">
        <f>IF(AN1168&gt;0,INDEX(挂机升级突破!$DT$4:$ED$4,AN1168),"")</f>
        <v>紫色基础材料</v>
      </c>
      <c r="AX1168" s="14">
        <f>ROUND(INDEX(挂机升级突破!$DT$6:$ED$57,卡牌消耗!AT1168,AN1168)*INDEX(卡牌消耗!$B$5:$F$5,AR1168)/$Q$4/5,0)*5</f>
        <v>55</v>
      </c>
      <c r="AY1168" s="14" t="str">
        <f>IF(AO1168&gt;0,INDEX(挂机升级突破!$DT$4:$ED$4,AO1168),"")</f>
        <v/>
      </c>
      <c r="AZ1168" s="14" t="str">
        <f>IF(AO1168&gt;0,ROUND(INDEX(挂机升级突破!$DT$6:$ED$57,卡牌消耗!AT1168,AO1168)*INDEX(卡牌消耗!$B$7:$F$7,AR1168)/$Q$4,0),"")</f>
        <v/>
      </c>
    </row>
    <row r="1169" spans="37:52" ht="16.5" x14ac:dyDescent="0.2">
      <c r="AK1169" s="104">
        <v>1165</v>
      </c>
      <c r="AL1169" s="14">
        <f t="shared" si="435"/>
        <v>23</v>
      </c>
      <c r="AM1169" s="14">
        <f>INDEX(挂机升级突破!DQ$6:DQ$57,卡牌消耗!$AT1169)</f>
        <v>11</v>
      </c>
      <c r="AN1169" s="14">
        <f>INDEX(挂机升级突破!DR$6:DR$57,卡牌消耗!$AT1169)</f>
        <v>3</v>
      </c>
      <c r="AO1169" s="14">
        <f>INDEX(挂机升级突破!DS$6:DS$57,卡牌消耗!$AT1169)</f>
        <v>0</v>
      </c>
      <c r="AP1169" s="14">
        <f>INDEX(挂机升级突破!$DP$6:$DP$57,卡牌消耗!AT1169)</f>
        <v>70</v>
      </c>
      <c r="AQ1169" s="14" t="str">
        <f t="shared" si="436"/>
        <v>异邦刀客</v>
      </c>
      <c r="AR1169" s="14">
        <f t="shared" si="437"/>
        <v>2</v>
      </c>
      <c r="AS1169" s="14" t="str">
        <f t="shared" si="438"/>
        <v>异邦刀客魂火-21</v>
      </c>
      <c r="AT1169" s="14">
        <f t="shared" si="439"/>
        <v>21</v>
      </c>
      <c r="AU1169" s="14" t="str">
        <f>IF(AM1169&gt;0,INDEX(挂机升级突破!$DT$4:$ED$4,AM1169),"")</f>
        <v>金币</v>
      </c>
      <c r="AV1169" s="14">
        <f>ROUND(INDEX(挂机升级突破!$DJ$6:$DJ$57,卡牌消耗!AT1169)*INDEX(卡牌消耗!$B$8:$F$8,AR1169)/$Q$4/50,0)*50</f>
        <v>3500</v>
      </c>
      <c r="AW1169" s="14" t="str">
        <f>IF(AN1169&gt;0,INDEX(挂机升级突破!$DT$4:$ED$4,AN1169),"")</f>
        <v>紫色基础材料</v>
      </c>
      <c r="AX1169" s="14">
        <f>ROUND(INDEX(挂机升级突破!$DT$6:$ED$57,卡牌消耗!AT1169,AN1169)*INDEX(卡牌消耗!$B$5:$F$5,AR1169)/$Q$4/5,0)*5</f>
        <v>55</v>
      </c>
      <c r="AY1169" s="14" t="str">
        <f>IF(AO1169&gt;0,INDEX(挂机升级突破!$DT$4:$ED$4,AO1169),"")</f>
        <v/>
      </c>
      <c r="AZ1169" s="14" t="str">
        <f>IF(AO1169&gt;0,ROUND(INDEX(挂机升级突破!$DT$6:$ED$57,卡牌消耗!AT1169,AO1169)*INDEX(卡牌消耗!$B$7:$F$7,AR1169)/$Q$4,0),"")</f>
        <v/>
      </c>
    </row>
    <row r="1170" spans="37:52" ht="16.5" x14ac:dyDescent="0.2">
      <c r="AK1170" s="104">
        <v>1166</v>
      </c>
      <c r="AL1170" s="14">
        <f t="shared" si="435"/>
        <v>23</v>
      </c>
      <c r="AM1170" s="14">
        <f>INDEX(挂机升级突破!DQ$6:DQ$57,卡牌消耗!$AT1170)</f>
        <v>11</v>
      </c>
      <c r="AN1170" s="14">
        <f>INDEX(挂机升级突破!DR$6:DR$57,卡牌消耗!$AT1170)</f>
        <v>3</v>
      </c>
      <c r="AO1170" s="14">
        <f>INDEX(挂机升级突破!DS$6:DS$57,卡牌消耗!$AT1170)</f>
        <v>0</v>
      </c>
      <c r="AP1170" s="14">
        <f>INDEX(挂机升级突破!$DP$6:$DP$57,卡牌消耗!AT1170)</f>
        <v>73</v>
      </c>
      <c r="AQ1170" s="14" t="str">
        <f t="shared" si="436"/>
        <v>异邦刀客</v>
      </c>
      <c r="AR1170" s="14">
        <f t="shared" si="437"/>
        <v>2</v>
      </c>
      <c r="AS1170" s="14" t="str">
        <f t="shared" si="438"/>
        <v>异邦刀客魂火-22</v>
      </c>
      <c r="AT1170" s="14">
        <f t="shared" si="439"/>
        <v>22</v>
      </c>
      <c r="AU1170" s="14" t="str">
        <f>IF(AM1170&gt;0,INDEX(挂机升级突破!$DT$4:$ED$4,AM1170),"")</f>
        <v>金币</v>
      </c>
      <c r="AV1170" s="14">
        <f>ROUND(INDEX(挂机升级突破!$DJ$6:$DJ$57,卡牌消耗!AT1170)*INDEX(卡牌消耗!$B$8:$F$8,AR1170)/$Q$4/50,0)*50</f>
        <v>3500</v>
      </c>
      <c r="AW1170" s="14" t="str">
        <f>IF(AN1170&gt;0,INDEX(挂机升级突破!$DT$4:$ED$4,AN1170),"")</f>
        <v>紫色基础材料</v>
      </c>
      <c r="AX1170" s="14">
        <f>ROUND(INDEX(挂机升级突破!$DT$6:$ED$57,卡牌消耗!AT1170,AN1170)*INDEX(卡牌消耗!$B$5:$F$5,AR1170)/$Q$4/5,0)*5</f>
        <v>55</v>
      </c>
      <c r="AY1170" s="14" t="str">
        <f>IF(AO1170&gt;0,INDEX(挂机升级突破!$DT$4:$ED$4,AO1170),"")</f>
        <v/>
      </c>
      <c r="AZ1170" s="14" t="str">
        <f>IF(AO1170&gt;0,ROUND(INDEX(挂机升级突破!$DT$6:$ED$57,卡牌消耗!AT1170,AO1170)*INDEX(卡牌消耗!$B$7:$F$7,AR1170)/$Q$4,0),"")</f>
        <v/>
      </c>
    </row>
    <row r="1171" spans="37:52" ht="16.5" x14ac:dyDescent="0.2">
      <c r="AK1171" s="104">
        <v>1167</v>
      </c>
      <c r="AL1171" s="14">
        <f t="shared" si="435"/>
        <v>23</v>
      </c>
      <c r="AM1171" s="14">
        <f>INDEX(挂机升级突破!DQ$6:DQ$57,卡牌消耗!$AT1171)</f>
        <v>11</v>
      </c>
      <c r="AN1171" s="14">
        <f>INDEX(挂机升级突破!DR$6:DR$57,卡牌消耗!$AT1171)</f>
        <v>4</v>
      </c>
      <c r="AO1171" s="14">
        <f>INDEX(挂机升级突破!DS$6:DS$57,卡牌消耗!$AT1171)</f>
        <v>0</v>
      </c>
      <c r="AP1171" s="14">
        <f>INDEX(挂机升级突破!$DP$6:$DP$57,卡牌消耗!AT1171)</f>
        <v>75</v>
      </c>
      <c r="AQ1171" s="14" t="str">
        <f t="shared" si="436"/>
        <v>异邦刀客</v>
      </c>
      <c r="AR1171" s="14">
        <f t="shared" si="437"/>
        <v>2</v>
      </c>
      <c r="AS1171" s="14" t="str">
        <f t="shared" si="438"/>
        <v>异邦刀客魂火-23</v>
      </c>
      <c r="AT1171" s="14">
        <f t="shared" si="439"/>
        <v>23</v>
      </c>
      <c r="AU1171" s="14" t="str">
        <f>IF(AM1171&gt;0,INDEX(挂机升级突破!$DT$4:$ED$4,AM1171),"")</f>
        <v>金币</v>
      </c>
      <c r="AV1171" s="14">
        <f>ROUND(INDEX(挂机升级突破!$DJ$6:$DJ$57,卡牌消耗!AT1171)*INDEX(卡牌消耗!$B$8:$F$8,AR1171)/$Q$4/50,0)*50</f>
        <v>4850</v>
      </c>
      <c r="AW1171" s="14" t="str">
        <f>IF(AN1171&gt;0,INDEX(挂机升级突破!$DT$4:$ED$4,AN1171),"")</f>
        <v>橙色基础材料</v>
      </c>
      <c r="AX1171" s="14">
        <f>ROUND(INDEX(挂机升级突破!$DT$6:$ED$57,卡牌消耗!AT1171,AN1171)*INDEX(卡牌消耗!$B$5:$F$5,AR1171)/$Q$4/5,0)*5</f>
        <v>15</v>
      </c>
      <c r="AY1171" s="14" t="str">
        <f>IF(AO1171&gt;0,INDEX(挂机升级突破!$DT$4:$ED$4,AO1171),"")</f>
        <v/>
      </c>
      <c r="AZ1171" s="14" t="str">
        <f>IF(AO1171&gt;0,ROUND(INDEX(挂机升级突破!$DT$6:$ED$57,卡牌消耗!AT1171,AO1171)*INDEX(卡牌消耗!$B$7:$F$7,AR1171)/$Q$4,0),"")</f>
        <v/>
      </c>
    </row>
    <row r="1172" spans="37:52" ht="16.5" x14ac:dyDescent="0.2">
      <c r="AK1172" s="104">
        <v>1168</v>
      </c>
      <c r="AL1172" s="14">
        <f t="shared" si="435"/>
        <v>23</v>
      </c>
      <c r="AM1172" s="14">
        <f>INDEX(挂机升级突破!DQ$6:DQ$57,卡牌消耗!$AT1172)</f>
        <v>11</v>
      </c>
      <c r="AN1172" s="14">
        <f>INDEX(挂机升级突破!DR$6:DR$57,卡牌消耗!$AT1172)</f>
        <v>4</v>
      </c>
      <c r="AO1172" s="14">
        <f>INDEX(挂机升级突破!DS$6:DS$57,卡牌消耗!$AT1172)</f>
        <v>0</v>
      </c>
      <c r="AP1172" s="14">
        <f>INDEX(挂机升级突破!$DP$6:$DP$57,卡牌消耗!AT1172)</f>
        <v>78</v>
      </c>
      <c r="AQ1172" s="14" t="str">
        <f t="shared" si="436"/>
        <v>异邦刀客</v>
      </c>
      <c r="AR1172" s="14">
        <f t="shared" si="437"/>
        <v>2</v>
      </c>
      <c r="AS1172" s="14" t="str">
        <f t="shared" si="438"/>
        <v>异邦刀客魂火-24</v>
      </c>
      <c r="AT1172" s="14">
        <f t="shared" si="439"/>
        <v>24</v>
      </c>
      <c r="AU1172" s="14" t="str">
        <f>IF(AM1172&gt;0,INDEX(挂机升级突破!$DT$4:$ED$4,AM1172),"")</f>
        <v>金币</v>
      </c>
      <c r="AV1172" s="14">
        <f>ROUND(INDEX(挂机升级突破!$DJ$6:$DJ$57,卡牌消耗!AT1172)*INDEX(卡牌消耗!$B$8:$F$8,AR1172)/$Q$4/50,0)*50</f>
        <v>4850</v>
      </c>
      <c r="AW1172" s="14" t="str">
        <f>IF(AN1172&gt;0,INDEX(挂机升级突破!$DT$4:$ED$4,AN1172),"")</f>
        <v>橙色基础材料</v>
      </c>
      <c r="AX1172" s="14">
        <f>ROUND(INDEX(挂机升级突破!$DT$6:$ED$57,卡牌消耗!AT1172,AN1172)*INDEX(卡牌消耗!$B$5:$F$5,AR1172)/$Q$4/5,0)*5</f>
        <v>15</v>
      </c>
      <c r="AY1172" s="14" t="str">
        <f>IF(AO1172&gt;0,INDEX(挂机升级突破!$DT$4:$ED$4,AO1172),"")</f>
        <v/>
      </c>
      <c r="AZ1172" s="14" t="str">
        <f>IF(AO1172&gt;0,ROUND(INDEX(挂机升级突破!$DT$6:$ED$57,卡牌消耗!AT1172,AO1172)*INDEX(卡牌消耗!$B$7:$F$7,AR1172)/$Q$4,0),"")</f>
        <v/>
      </c>
    </row>
    <row r="1173" spans="37:52" ht="16.5" x14ac:dyDescent="0.2">
      <c r="AK1173" s="104">
        <v>1169</v>
      </c>
      <c r="AL1173" s="14">
        <f t="shared" si="435"/>
        <v>23</v>
      </c>
      <c r="AM1173" s="14">
        <f>INDEX(挂机升级突破!DQ$6:DQ$57,卡牌消耗!$AT1173)</f>
        <v>11</v>
      </c>
      <c r="AN1173" s="14">
        <f>INDEX(挂机升级突破!DR$6:DR$57,卡牌消耗!$AT1173)</f>
        <v>4</v>
      </c>
      <c r="AO1173" s="14">
        <f>INDEX(挂机升级突破!DS$6:DS$57,卡牌消耗!$AT1173)</f>
        <v>0</v>
      </c>
      <c r="AP1173" s="14">
        <f>INDEX(挂机升级突破!$DP$6:$DP$57,卡牌消耗!AT1173)</f>
        <v>80</v>
      </c>
      <c r="AQ1173" s="14" t="str">
        <f t="shared" si="436"/>
        <v>异邦刀客</v>
      </c>
      <c r="AR1173" s="14">
        <f t="shared" si="437"/>
        <v>2</v>
      </c>
      <c r="AS1173" s="14" t="str">
        <f t="shared" si="438"/>
        <v>异邦刀客魂火-25</v>
      </c>
      <c r="AT1173" s="14">
        <f t="shared" si="439"/>
        <v>25</v>
      </c>
      <c r="AU1173" s="14" t="str">
        <f>IF(AM1173&gt;0,INDEX(挂机升级突破!$DT$4:$ED$4,AM1173),"")</f>
        <v>金币</v>
      </c>
      <c r="AV1173" s="14">
        <f>ROUND(INDEX(挂机升级突破!$DJ$6:$DJ$57,卡牌消耗!AT1173)*INDEX(卡牌消耗!$B$8:$F$8,AR1173)/$Q$4/50,0)*50</f>
        <v>5250</v>
      </c>
      <c r="AW1173" s="14" t="str">
        <f>IF(AN1173&gt;0,INDEX(挂机升级突破!$DT$4:$ED$4,AN1173),"")</f>
        <v>橙色基础材料</v>
      </c>
      <c r="AX1173" s="14">
        <f>ROUND(INDEX(挂机升级突破!$DT$6:$ED$57,卡牌消耗!AT1173,AN1173)*INDEX(卡牌消耗!$B$5:$F$5,AR1173)/$Q$4/5,0)*5</f>
        <v>15</v>
      </c>
      <c r="AY1173" s="14" t="str">
        <f>IF(AO1173&gt;0,INDEX(挂机升级突破!$DT$4:$ED$4,AO1173),"")</f>
        <v/>
      </c>
      <c r="AZ1173" s="14" t="str">
        <f>IF(AO1173&gt;0,ROUND(INDEX(挂机升级突破!$DT$6:$ED$57,卡牌消耗!AT1173,AO1173)*INDEX(卡牌消耗!$B$7:$F$7,AR1173)/$Q$4,0),"")</f>
        <v/>
      </c>
    </row>
    <row r="1174" spans="37:52" ht="16.5" x14ac:dyDescent="0.2">
      <c r="AK1174" s="104">
        <v>1170</v>
      </c>
      <c r="AL1174" s="14">
        <f t="shared" si="435"/>
        <v>23</v>
      </c>
      <c r="AM1174" s="14">
        <f>INDEX(挂机升级突破!DQ$6:DQ$57,卡牌消耗!$AT1174)</f>
        <v>11</v>
      </c>
      <c r="AN1174" s="14">
        <f>INDEX(挂机升级突破!DR$6:DR$57,卡牌消耗!$AT1174)</f>
        <v>4</v>
      </c>
      <c r="AO1174" s="14">
        <f>INDEX(挂机升级突破!DS$6:DS$57,卡牌消耗!$AT1174)</f>
        <v>0</v>
      </c>
      <c r="AP1174" s="14">
        <f>INDEX(挂机升级突破!$DP$6:$DP$57,卡牌消耗!AT1174)</f>
        <v>83</v>
      </c>
      <c r="AQ1174" s="14" t="str">
        <f t="shared" si="436"/>
        <v>异邦刀客</v>
      </c>
      <c r="AR1174" s="14">
        <f t="shared" si="437"/>
        <v>2</v>
      </c>
      <c r="AS1174" s="14" t="str">
        <f t="shared" si="438"/>
        <v>异邦刀客魂火-26</v>
      </c>
      <c r="AT1174" s="14">
        <f t="shared" si="439"/>
        <v>26</v>
      </c>
      <c r="AU1174" s="14" t="str">
        <f>IF(AM1174&gt;0,INDEX(挂机升级突破!$DT$4:$ED$4,AM1174),"")</f>
        <v>金币</v>
      </c>
      <c r="AV1174" s="14">
        <f>ROUND(INDEX(挂机升级突破!$DJ$6:$DJ$57,卡牌消耗!AT1174)*INDEX(卡牌消耗!$B$8:$F$8,AR1174)/$Q$4/50,0)*50</f>
        <v>6150</v>
      </c>
      <c r="AW1174" s="14" t="str">
        <f>IF(AN1174&gt;0,INDEX(挂机升级突破!$DT$4:$ED$4,AN1174),"")</f>
        <v>橙色基础材料</v>
      </c>
      <c r="AX1174" s="14">
        <f>ROUND(INDEX(挂机升级突破!$DT$6:$ED$57,卡牌消耗!AT1174,AN1174)*INDEX(卡牌消耗!$B$5:$F$5,AR1174)/$Q$4/5,0)*5</f>
        <v>20</v>
      </c>
      <c r="AY1174" s="14" t="str">
        <f>IF(AO1174&gt;0,INDEX(挂机升级突破!$DT$4:$ED$4,AO1174),"")</f>
        <v/>
      </c>
      <c r="AZ1174" s="14" t="str">
        <f>IF(AO1174&gt;0,ROUND(INDEX(挂机升级突破!$DT$6:$ED$57,卡牌消耗!AT1174,AO1174)*INDEX(卡牌消耗!$B$7:$F$7,AR1174)/$Q$4,0),"")</f>
        <v/>
      </c>
    </row>
    <row r="1175" spans="37:52" ht="16.5" x14ac:dyDescent="0.2">
      <c r="AK1175" s="104">
        <v>1171</v>
      </c>
      <c r="AL1175" s="14">
        <f t="shared" si="435"/>
        <v>23</v>
      </c>
      <c r="AM1175" s="14">
        <f>INDEX(挂机升级突破!DQ$6:DQ$57,卡牌消耗!$AT1175)</f>
        <v>11</v>
      </c>
      <c r="AN1175" s="14">
        <f>INDEX(挂机升级突破!DR$6:DR$57,卡牌消耗!$AT1175)</f>
        <v>4</v>
      </c>
      <c r="AO1175" s="14">
        <f>INDEX(挂机升级突破!DS$6:DS$57,卡牌消耗!$AT1175)</f>
        <v>0</v>
      </c>
      <c r="AP1175" s="14">
        <f>INDEX(挂机升级突破!$DP$6:$DP$57,卡牌消耗!AT1175)</f>
        <v>85</v>
      </c>
      <c r="AQ1175" s="14" t="str">
        <f t="shared" si="436"/>
        <v>异邦刀客</v>
      </c>
      <c r="AR1175" s="14">
        <f t="shared" si="437"/>
        <v>2</v>
      </c>
      <c r="AS1175" s="14" t="str">
        <f t="shared" si="438"/>
        <v>异邦刀客魂火-27</v>
      </c>
      <c r="AT1175" s="14">
        <f t="shared" si="439"/>
        <v>27</v>
      </c>
      <c r="AU1175" s="14" t="str">
        <f>IF(AM1175&gt;0,INDEX(挂机升级突破!$DT$4:$ED$4,AM1175),"")</f>
        <v>金币</v>
      </c>
      <c r="AV1175" s="14">
        <f>ROUND(INDEX(挂机升级突破!$DJ$6:$DJ$57,卡牌消耗!AT1175)*INDEX(卡牌消耗!$B$8:$F$8,AR1175)/$Q$4/50,0)*50</f>
        <v>6150</v>
      </c>
      <c r="AW1175" s="14" t="str">
        <f>IF(AN1175&gt;0,INDEX(挂机升级突破!$DT$4:$ED$4,AN1175),"")</f>
        <v>橙色基础材料</v>
      </c>
      <c r="AX1175" s="14">
        <f>ROUND(INDEX(挂机升级突破!$DT$6:$ED$57,卡牌消耗!AT1175,AN1175)*INDEX(卡牌消耗!$B$5:$F$5,AR1175)/$Q$4/5,0)*5</f>
        <v>20</v>
      </c>
      <c r="AY1175" s="14" t="str">
        <f>IF(AO1175&gt;0,INDEX(挂机升级突破!$DT$4:$ED$4,AO1175),"")</f>
        <v/>
      </c>
      <c r="AZ1175" s="14" t="str">
        <f>IF(AO1175&gt;0,ROUND(INDEX(挂机升级突破!$DT$6:$ED$57,卡牌消耗!AT1175,AO1175)*INDEX(卡牌消耗!$B$7:$F$7,AR1175)/$Q$4,0),"")</f>
        <v/>
      </c>
    </row>
    <row r="1176" spans="37:52" ht="16.5" x14ac:dyDescent="0.2">
      <c r="AK1176" s="104">
        <v>1172</v>
      </c>
      <c r="AL1176" s="14">
        <f t="shared" si="435"/>
        <v>23</v>
      </c>
      <c r="AM1176" s="14">
        <f>INDEX(挂机升级突破!DQ$6:DQ$57,卡牌消耗!$AT1176)</f>
        <v>11</v>
      </c>
      <c r="AN1176" s="14">
        <f>INDEX(挂机升级突破!DR$6:DR$57,卡牌消耗!$AT1176)</f>
        <v>4</v>
      </c>
      <c r="AO1176" s="14">
        <f>INDEX(挂机升级突破!DS$6:DS$57,卡牌消耗!$AT1176)</f>
        <v>0</v>
      </c>
      <c r="AP1176" s="14">
        <f>INDEX(挂机升级突破!$DP$6:$DP$57,卡牌消耗!AT1176)</f>
        <v>88</v>
      </c>
      <c r="AQ1176" s="14" t="str">
        <f t="shared" si="436"/>
        <v>异邦刀客</v>
      </c>
      <c r="AR1176" s="14">
        <f t="shared" si="437"/>
        <v>2</v>
      </c>
      <c r="AS1176" s="14" t="str">
        <f t="shared" si="438"/>
        <v>异邦刀客魂火-28</v>
      </c>
      <c r="AT1176" s="14">
        <f t="shared" si="439"/>
        <v>28</v>
      </c>
      <c r="AU1176" s="14" t="str">
        <f>IF(AM1176&gt;0,INDEX(挂机升级突破!$DT$4:$ED$4,AM1176),"")</f>
        <v>金币</v>
      </c>
      <c r="AV1176" s="14">
        <f>ROUND(INDEX(挂机升级突破!$DJ$6:$DJ$57,卡牌消耗!AT1176)*INDEX(卡牌消耗!$B$8:$F$8,AR1176)/$Q$4/50,0)*50</f>
        <v>6150</v>
      </c>
      <c r="AW1176" s="14" t="str">
        <f>IF(AN1176&gt;0,INDEX(挂机升级突破!$DT$4:$ED$4,AN1176),"")</f>
        <v>橙色基础材料</v>
      </c>
      <c r="AX1176" s="14">
        <f>ROUND(INDEX(挂机升级突破!$DT$6:$ED$57,卡牌消耗!AT1176,AN1176)*INDEX(卡牌消耗!$B$5:$F$5,AR1176)/$Q$4/5,0)*5</f>
        <v>20</v>
      </c>
      <c r="AY1176" s="14" t="str">
        <f>IF(AO1176&gt;0,INDEX(挂机升级突破!$DT$4:$ED$4,AO1176),"")</f>
        <v/>
      </c>
      <c r="AZ1176" s="14" t="str">
        <f>IF(AO1176&gt;0,ROUND(INDEX(挂机升级突破!$DT$6:$ED$57,卡牌消耗!AT1176,AO1176)*INDEX(卡牌消耗!$B$7:$F$7,AR1176)/$Q$4,0),"")</f>
        <v/>
      </c>
    </row>
    <row r="1177" spans="37:52" ht="16.5" x14ac:dyDescent="0.2">
      <c r="AK1177" s="104">
        <v>1173</v>
      </c>
      <c r="AL1177" s="14">
        <f t="shared" si="435"/>
        <v>23</v>
      </c>
      <c r="AM1177" s="14">
        <f>INDEX(挂机升级突破!DQ$6:DQ$57,卡牌消耗!$AT1177)</f>
        <v>11</v>
      </c>
      <c r="AN1177" s="14">
        <f>INDEX(挂机升级突破!DR$6:DR$57,卡牌消耗!$AT1177)</f>
        <v>4</v>
      </c>
      <c r="AO1177" s="14">
        <f>INDEX(挂机升级突破!DS$6:DS$57,卡牌消耗!$AT1177)</f>
        <v>0</v>
      </c>
      <c r="AP1177" s="14">
        <f>INDEX(挂机升级突破!$DP$6:$DP$57,卡牌消耗!AT1177)</f>
        <v>90</v>
      </c>
      <c r="AQ1177" s="14" t="str">
        <f t="shared" si="436"/>
        <v>异邦刀客</v>
      </c>
      <c r="AR1177" s="14">
        <f t="shared" si="437"/>
        <v>2</v>
      </c>
      <c r="AS1177" s="14" t="str">
        <f t="shared" si="438"/>
        <v>异邦刀客魂火-29</v>
      </c>
      <c r="AT1177" s="14">
        <f t="shared" si="439"/>
        <v>29</v>
      </c>
      <c r="AU1177" s="14" t="str">
        <f>IF(AM1177&gt;0,INDEX(挂机升级突破!$DT$4:$ED$4,AM1177),"")</f>
        <v>金币</v>
      </c>
      <c r="AV1177" s="14">
        <f>ROUND(INDEX(挂机升级突破!$DJ$6:$DJ$57,卡牌消耗!AT1177)*INDEX(卡牌消耗!$B$8:$F$8,AR1177)/$Q$4/50,0)*50</f>
        <v>6200</v>
      </c>
      <c r="AW1177" s="14" t="str">
        <f>IF(AN1177&gt;0,INDEX(挂机升级突破!$DT$4:$ED$4,AN1177),"")</f>
        <v>橙色基础材料</v>
      </c>
      <c r="AX1177" s="14">
        <f>ROUND(INDEX(挂机升级突破!$DT$6:$ED$57,卡牌消耗!AT1177,AN1177)*INDEX(卡牌消耗!$B$5:$F$5,AR1177)/$Q$4/5,0)*5</f>
        <v>20</v>
      </c>
      <c r="AY1177" s="14" t="str">
        <f>IF(AO1177&gt;0,INDEX(挂机升级突破!$DT$4:$ED$4,AO1177),"")</f>
        <v/>
      </c>
      <c r="AZ1177" s="14" t="str">
        <f>IF(AO1177&gt;0,ROUND(INDEX(挂机升级突破!$DT$6:$ED$57,卡牌消耗!AT1177,AO1177)*INDEX(卡牌消耗!$B$7:$F$7,AR1177)/$Q$4,0),"")</f>
        <v/>
      </c>
    </row>
    <row r="1178" spans="37:52" ht="16.5" x14ac:dyDescent="0.2">
      <c r="AK1178" s="104">
        <v>1174</v>
      </c>
      <c r="AL1178" s="14">
        <f t="shared" si="435"/>
        <v>23</v>
      </c>
      <c r="AM1178" s="14">
        <f>INDEX(挂机升级突破!DQ$6:DQ$57,卡牌消耗!$AT1178)</f>
        <v>11</v>
      </c>
      <c r="AN1178" s="14">
        <f>INDEX(挂机升级突破!DR$6:DR$57,卡牌消耗!$AT1178)</f>
        <v>4</v>
      </c>
      <c r="AO1178" s="14">
        <f>INDEX(挂机升级突破!DS$6:DS$57,卡牌消耗!$AT1178)</f>
        <v>0</v>
      </c>
      <c r="AP1178" s="14">
        <f>INDEX(挂机升级突破!$DP$6:$DP$57,卡牌消耗!AT1178)</f>
        <v>93</v>
      </c>
      <c r="AQ1178" s="14" t="str">
        <f t="shared" si="436"/>
        <v>异邦刀客</v>
      </c>
      <c r="AR1178" s="14">
        <f t="shared" si="437"/>
        <v>2</v>
      </c>
      <c r="AS1178" s="14" t="str">
        <f t="shared" si="438"/>
        <v>异邦刀客魂火-30</v>
      </c>
      <c r="AT1178" s="14">
        <f t="shared" si="439"/>
        <v>30</v>
      </c>
      <c r="AU1178" s="14" t="str">
        <f>IF(AM1178&gt;0,INDEX(挂机升级突破!$DT$4:$ED$4,AM1178),"")</f>
        <v>金币</v>
      </c>
      <c r="AV1178" s="14">
        <f>ROUND(INDEX(挂机升级突破!$DJ$6:$DJ$57,卡牌消耗!AT1178)*INDEX(卡牌消耗!$B$8:$F$8,AR1178)/$Q$4/50,0)*50</f>
        <v>6200</v>
      </c>
      <c r="AW1178" s="14" t="str">
        <f>IF(AN1178&gt;0,INDEX(挂机升级突破!$DT$4:$ED$4,AN1178),"")</f>
        <v>橙色基础材料</v>
      </c>
      <c r="AX1178" s="14">
        <f>ROUND(INDEX(挂机升级突破!$DT$6:$ED$57,卡牌消耗!AT1178,AN1178)*INDEX(卡牌消耗!$B$5:$F$5,AR1178)/$Q$4/5,0)*5</f>
        <v>20</v>
      </c>
      <c r="AY1178" s="14" t="str">
        <f>IF(AO1178&gt;0,INDEX(挂机升级突破!$DT$4:$ED$4,AO1178),"")</f>
        <v/>
      </c>
      <c r="AZ1178" s="14" t="str">
        <f>IF(AO1178&gt;0,ROUND(INDEX(挂机升级突破!$DT$6:$ED$57,卡牌消耗!AT1178,AO1178)*INDEX(卡牌消耗!$B$7:$F$7,AR1178)/$Q$4,0),"")</f>
        <v/>
      </c>
    </row>
    <row r="1179" spans="37:52" ht="16.5" x14ac:dyDescent="0.2">
      <c r="AK1179" s="104">
        <v>1175</v>
      </c>
      <c r="AL1179" s="14">
        <f t="shared" si="435"/>
        <v>23</v>
      </c>
      <c r="AM1179" s="14">
        <f>INDEX(挂机升级突破!DQ$6:DQ$57,卡牌消耗!$AT1179)</f>
        <v>11</v>
      </c>
      <c r="AN1179" s="14">
        <f>INDEX(挂机升级突破!DR$6:DR$57,卡牌消耗!$AT1179)</f>
        <v>4</v>
      </c>
      <c r="AO1179" s="14">
        <f>INDEX(挂机升级突破!DS$6:DS$57,卡牌消耗!$AT1179)</f>
        <v>0</v>
      </c>
      <c r="AP1179" s="14">
        <f>INDEX(挂机升级突破!$DP$6:$DP$57,卡牌消耗!AT1179)</f>
        <v>95</v>
      </c>
      <c r="AQ1179" s="14" t="str">
        <f t="shared" si="436"/>
        <v>异邦刀客</v>
      </c>
      <c r="AR1179" s="14">
        <f t="shared" si="437"/>
        <v>2</v>
      </c>
      <c r="AS1179" s="14" t="str">
        <f t="shared" si="438"/>
        <v>异邦刀客魂火-31</v>
      </c>
      <c r="AT1179" s="14">
        <f t="shared" si="439"/>
        <v>31</v>
      </c>
      <c r="AU1179" s="14" t="str">
        <f>IF(AM1179&gt;0,INDEX(挂机升级突破!$DT$4:$ED$4,AM1179),"")</f>
        <v>金币</v>
      </c>
      <c r="AV1179" s="14">
        <f>ROUND(INDEX(挂机升级突破!$DJ$6:$DJ$57,卡牌消耗!AT1179)*INDEX(卡牌消耗!$B$8:$F$8,AR1179)/$Q$4/50,0)*50</f>
        <v>6200</v>
      </c>
      <c r="AW1179" s="14" t="str">
        <f>IF(AN1179&gt;0,INDEX(挂机升级突破!$DT$4:$ED$4,AN1179),"")</f>
        <v>橙色基础材料</v>
      </c>
      <c r="AX1179" s="14">
        <f>ROUND(INDEX(挂机升级突破!$DT$6:$ED$57,卡牌消耗!AT1179,AN1179)*INDEX(卡牌消耗!$B$5:$F$5,AR1179)/$Q$4/5,0)*5</f>
        <v>20</v>
      </c>
      <c r="AY1179" s="14" t="str">
        <f>IF(AO1179&gt;0,INDEX(挂机升级突破!$DT$4:$ED$4,AO1179),"")</f>
        <v/>
      </c>
      <c r="AZ1179" s="14" t="str">
        <f>IF(AO1179&gt;0,ROUND(INDEX(挂机升级突破!$DT$6:$ED$57,卡牌消耗!AT1179,AO1179)*INDEX(卡牌消耗!$B$7:$F$7,AR1179)/$Q$4,0),"")</f>
        <v/>
      </c>
    </row>
    <row r="1180" spans="37:52" ht="16.5" x14ac:dyDescent="0.2">
      <c r="AK1180" s="104">
        <v>1176</v>
      </c>
      <c r="AL1180" s="14">
        <f t="shared" si="435"/>
        <v>23</v>
      </c>
      <c r="AM1180" s="14">
        <f>INDEX(挂机升级突破!DQ$6:DQ$57,卡牌消耗!$AT1180)</f>
        <v>11</v>
      </c>
      <c r="AN1180" s="14">
        <f>INDEX(挂机升级突破!DR$6:DR$57,卡牌消耗!$AT1180)</f>
        <v>4</v>
      </c>
      <c r="AO1180" s="14">
        <f>INDEX(挂机升级突破!DS$6:DS$57,卡牌消耗!$AT1180)</f>
        <v>0</v>
      </c>
      <c r="AP1180" s="14">
        <f>INDEX(挂机升级突破!$DP$6:$DP$57,卡牌消耗!AT1180)</f>
        <v>98</v>
      </c>
      <c r="AQ1180" s="14" t="str">
        <f t="shared" si="436"/>
        <v>异邦刀客</v>
      </c>
      <c r="AR1180" s="14">
        <f t="shared" si="437"/>
        <v>2</v>
      </c>
      <c r="AS1180" s="14" t="str">
        <f t="shared" si="438"/>
        <v>异邦刀客魂火-32</v>
      </c>
      <c r="AT1180" s="14">
        <f t="shared" si="439"/>
        <v>32</v>
      </c>
      <c r="AU1180" s="14" t="str">
        <f>IF(AM1180&gt;0,INDEX(挂机升级突破!$DT$4:$ED$4,AM1180),"")</f>
        <v>金币</v>
      </c>
      <c r="AV1180" s="14">
        <f>ROUND(INDEX(挂机升级突破!$DJ$6:$DJ$57,卡牌消耗!AT1180)*INDEX(卡牌消耗!$B$8:$F$8,AR1180)/$Q$4/50,0)*50</f>
        <v>8550</v>
      </c>
      <c r="AW1180" s="14" t="str">
        <f>IF(AN1180&gt;0,INDEX(挂机升级突破!$DT$4:$ED$4,AN1180),"")</f>
        <v>橙色基础材料</v>
      </c>
      <c r="AX1180" s="14">
        <f>ROUND(INDEX(挂机升级突破!$DT$6:$ED$57,卡牌消耗!AT1180,AN1180)*INDEX(卡牌消耗!$B$5:$F$5,AR1180)/$Q$4/5,0)*5</f>
        <v>20</v>
      </c>
      <c r="AY1180" s="14" t="str">
        <f>IF(AO1180&gt;0,INDEX(挂机升级突破!$DT$4:$ED$4,AO1180),"")</f>
        <v/>
      </c>
      <c r="AZ1180" s="14" t="str">
        <f>IF(AO1180&gt;0,ROUND(INDEX(挂机升级突破!$DT$6:$ED$57,卡牌消耗!AT1180,AO1180)*INDEX(卡牌消耗!$B$7:$F$7,AR1180)/$Q$4,0),"")</f>
        <v/>
      </c>
    </row>
    <row r="1181" spans="37:52" ht="16.5" x14ac:dyDescent="0.2">
      <c r="AK1181" s="104">
        <v>1177</v>
      </c>
      <c r="AL1181" s="14">
        <f t="shared" si="435"/>
        <v>23</v>
      </c>
      <c r="AM1181" s="14">
        <f>INDEX(挂机升级突破!DQ$6:DQ$57,卡牌消耗!$AT1181)</f>
        <v>11</v>
      </c>
      <c r="AN1181" s="14">
        <f>INDEX(挂机升级突破!DR$6:DR$57,卡牌消耗!$AT1181)</f>
        <v>4</v>
      </c>
      <c r="AO1181" s="14">
        <f>INDEX(挂机升级突破!DS$6:DS$57,卡牌消耗!$AT1181)</f>
        <v>0</v>
      </c>
      <c r="AP1181" s="14">
        <f>INDEX(挂机升级突破!$DP$6:$DP$57,卡牌消耗!AT1181)</f>
        <v>100</v>
      </c>
      <c r="AQ1181" s="14" t="str">
        <f t="shared" si="436"/>
        <v>异邦刀客</v>
      </c>
      <c r="AR1181" s="14">
        <f t="shared" si="437"/>
        <v>2</v>
      </c>
      <c r="AS1181" s="14" t="str">
        <f t="shared" si="438"/>
        <v>异邦刀客魂火-33</v>
      </c>
      <c r="AT1181" s="14">
        <f t="shared" si="439"/>
        <v>33</v>
      </c>
      <c r="AU1181" s="14" t="str">
        <f>IF(AM1181&gt;0,INDEX(挂机升级突破!$DT$4:$ED$4,AM1181),"")</f>
        <v>金币</v>
      </c>
      <c r="AV1181" s="14">
        <f>ROUND(INDEX(挂机升级突破!$DJ$6:$DJ$57,卡牌消耗!AT1181)*INDEX(卡牌消耗!$B$8:$F$8,AR1181)/$Q$4/50,0)*50</f>
        <v>8550</v>
      </c>
      <c r="AW1181" s="14" t="str">
        <f>IF(AN1181&gt;0,INDEX(挂机升级突破!$DT$4:$ED$4,AN1181),"")</f>
        <v>橙色基础材料</v>
      </c>
      <c r="AX1181" s="14">
        <f>ROUND(INDEX(挂机升级突破!$DT$6:$ED$57,卡牌消耗!AT1181,AN1181)*INDEX(卡牌消耗!$B$5:$F$5,AR1181)/$Q$4/5,0)*5</f>
        <v>20</v>
      </c>
      <c r="AY1181" s="14" t="str">
        <f>IF(AO1181&gt;0,INDEX(挂机升级突破!$DT$4:$ED$4,AO1181),"")</f>
        <v/>
      </c>
      <c r="AZ1181" s="14" t="str">
        <f>IF(AO1181&gt;0,ROUND(INDEX(挂机升级突破!$DT$6:$ED$57,卡牌消耗!AT1181,AO1181)*INDEX(卡牌消耗!$B$7:$F$7,AR1181)/$Q$4,0),"")</f>
        <v/>
      </c>
    </row>
    <row r="1182" spans="37:52" ht="16.5" x14ac:dyDescent="0.2">
      <c r="AK1182" s="104">
        <v>1178</v>
      </c>
      <c r="AL1182" s="14">
        <f t="shared" si="435"/>
        <v>23</v>
      </c>
      <c r="AM1182" s="14">
        <f>INDEX(挂机升级突破!DQ$6:DQ$57,卡牌消耗!$AT1182)</f>
        <v>11</v>
      </c>
      <c r="AN1182" s="14">
        <f>INDEX(挂机升级突破!DR$6:DR$57,卡牌消耗!$AT1182)</f>
        <v>4</v>
      </c>
      <c r="AO1182" s="14">
        <f>INDEX(挂机升级突破!DS$6:DS$57,卡牌消耗!$AT1182)</f>
        <v>0</v>
      </c>
      <c r="AP1182" s="14">
        <f>INDEX(挂机升级突破!$DP$6:$DP$57,卡牌消耗!AT1182)</f>
        <v>103</v>
      </c>
      <c r="AQ1182" s="14" t="str">
        <f t="shared" si="436"/>
        <v>异邦刀客</v>
      </c>
      <c r="AR1182" s="14">
        <f t="shared" si="437"/>
        <v>2</v>
      </c>
      <c r="AS1182" s="14" t="str">
        <f t="shared" si="438"/>
        <v>异邦刀客魂火-34</v>
      </c>
      <c r="AT1182" s="14">
        <f t="shared" si="439"/>
        <v>34</v>
      </c>
      <c r="AU1182" s="14" t="str">
        <f>IF(AM1182&gt;0,INDEX(挂机升级突破!$DT$4:$ED$4,AM1182),"")</f>
        <v>金币</v>
      </c>
      <c r="AV1182" s="14">
        <f>ROUND(INDEX(挂机升级突破!$DJ$6:$DJ$57,卡牌消耗!AT1182)*INDEX(卡牌消耗!$B$8:$F$8,AR1182)/$Q$4/50,0)*50</f>
        <v>8550</v>
      </c>
      <c r="AW1182" s="14" t="str">
        <f>IF(AN1182&gt;0,INDEX(挂机升级突破!$DT$4:$ED$4,AN1182),"")</f>
        <v>橙色基础材料</v>
      </c>
      <c r="AX1182" s="14">
        <f>ROUND(INDEX(挂机升级突破!$DT$6:$ED$57,卡牌消耗!AT1182,AN1182)*INDEX(卡牌消耗!$B$5:$F$5,AR1182)/$Q$4/5,0)*5</f>
        <v>25</v>
      </c>
      <c r="AY1182" s="14" t="str">
        <f>IF(AO1182&gt;0,INDEX(挂机升级突破!$DT$4:$ED$4,AO1182),"")</f>
        <v/>
      </c>
      <c r="AZ1182" s="14" t="str">
        <f>IF(AO1182&gt;0,ROUND(INDEX(挂机升级突破!$DT$6:$ED$57,卡牌消耗!AT1182,AO1182)*INDEX(卡牌消耗!$B$7:$F$7,AR1182)/$Q$4,0),"")</f>
        <v/>
      </c>
    </row>
    <row r="1183" spans="37:52" ht="16.5" x14ac:dyDescent="0.2">
      <c r="AK1183" s="104">
        <v>1179</v>
      </c>
      <c r="AL1183" s="14">
        <f t="shared" si="435"/>
        <v>23</v>
      </c>
      <c r="AM1183" s="14">
        <f>INDEX(挂机升级突破!DQ$6:DQ$57,卡牌消耗!$AT1183)</f>
        <v>11</v>
      </c>
      <c r="AN1183" s="14">
        <f>INDEX(挂机升级突破!DR$6:DR$57,卡牌消耗!$AT1183)</f>
        <v>4</v>
      </c>
      <c r="AO1183" s="14">
        <f>INDEX(挂机升级突破!DS$6:DS$57,卡牌消耗!$AT1183)</f>
        <v>0</v>
      </c>
      <c r="AP1183" s="14">
        <f>INDEX(挂机升级突破!$DP$6:$DP$57,卡牌消耗!AT1183)</f>
        <v>105</v>
      </c>
      <c r="AQ1183" s="14" t="str">
        <f t="shared" si="436"/>
        <v>异邦刀客</v>
      </c>
      <c r="AR1183" s="14">
        <f t="shared" si="437"/>
        <v>2</v>
      </c>
      <c r="AS1183" s="14" t="str">
        <f t="shared" si="438"/>
        <v>异邦刀客魂火-35</v>
      </c>
      <c r="AT1183" s="14">
        <f t="shared" si="439"/>
        <v>35</v>
      </c>
      <c r="AU1183" s="14" t="str">
        <f>IF(AM1183&gt;0,INDEX(挂机升级突破!$DT$4:$ED$4,AM1183),"")</f>
        <v>金币</v>
      </c>
      <c r="AV1183" s="14">
        <f>ROUND(INDEX(挂机升级突破!$DJ$6:$DJ$57,卡牌消耗!AT1183)*INDEX(卡牌消耗!$B$8:$F$8,AR1183)/$Q$4/50,0)*50</f>
        <v>10900</v>
      </c>
      <c r="AW1183" s="14" t="str">
        <f>IF(AN1183&gt;0,INDEX(挂机升级突破!$DT$4:$ED$4,AN1183),"")</f>
        <v>橙色基础材料</v>
      </c>
      <c r="AX1183" s="14">
        <f>ROUND(INDEX(挂机升级突破!$DT$6:$ED$57,卡牌消耗!AT1183,AN1183)*INDEX(卡牌消耗!$B$5:$F$5,AR1183)/$Q$4/5,0)*5</f>
        <v>25</v>
      </c>
      <c r="AY1183" s="14" t="str">
        <f>IF(AO1183&gt;0,INDEX(挂机升级突破!$DT$4:$ED$4,AO1183),"")</f>
        <v/>
      </c>
      <c r="AZ1183" s="14" t="str">
        <f>IF(AO1183&gt;0,ROUND(INDEX(挂机升级突破!$DT$6:$ED$57,卡牌消耗!AT1183,AO1183)*INDEX(卡牌消耗!$B$7:$F$7,AR1183)/$Q$4,0),"")</f>
        <v/>
      </c>
    </row>
    <row r="1184" spans="37:52" ht="16.5" x14ac:dyDescent="0.2">
      <c r="AK1184" s="104">
        <v>1180</v>
      </c>
      <c r="AL1184" s="14">
        <f t="shared" si="435"/>
        <v>23</v>
      </c>
      <c r="AM1184" s="14">
        <f>INDEX(挂机升级突破!DQ$6:DQ$57,卡牌消耗!$AT1184)</f>
        <v>11</v>
      </c>
      <c r="AN1184" s="14">
        <f>INDEX(挂机升级突破!DR$6:DR$57,卡牌消耗!$AT1184)</f>
        <v>4</v>
      </c>
      <c r="AO1184" s="14">
        <f>INDEX(挂机升级突破!DS$6:DS$57,卡牌消耗!$AT1184)</f>
        <v>0</v>
      </c>
      <c r="AP1184" s="14">
        <f>INDEX(挂机升级突破!$DP$6:$DP$57,卡牌消耗!AT1184)</f>
        <v>108</v>
      </c>
      <c r="AQ1184" s="14" t="str">
        <f t="shared" si="436"/>
        <v>异邦刀客</v>
      </c>
      <c r="AR1184" s="14">
        <f t="shared" si="437"/>
        <v>2</v>
      </c>
      <c r="AS1184" s="14" t="str">
        <f t="shared" si="438"/>
        <v>异邦刀客魂火-36</v>
      </c>
      <c r="AT1184" s="14">
        <f t="shared" si="439"/>
        <v>36</v>
      </c>
      <c r="AU1184" s="14" t="str">
        <f>IF(AM1184&gt;0,INDEX(挂机升级突破!$DT$4:$ED$4,AM1184),"")</f>
        <v>金币</v>
      </c>
      <c r="AV1184" s="14">
        <f>ROUND(INDEX(挂机升级突破!$DJ$6:$DJ$57,卡牌消耗!AT1184)*INDEX(卡牌消耗!$B$8:$F$8,AR1184)/$Q$4/50,0)*50</f>
        <v>10900</v>
      </c>
      <c r="AW1184" s="14" t="str">
        <f>IF(AN1184&gt;0,INDEX(挂机升级突破!$DT$4:$ED$4,AN1184),"")</f>
        <v>橙色基础材料</v>
      </c>
      <c r="AX1184" s="14">
        <f>ROUND(INDEX(挂机升级突破!$DT$6:$ED$57,卡牌消耗!AT1184,AN1184)*INDEX(卡牌消耗!$B$5:$F$5,AR1184)/$Q$4/5,0)*5</f>
        <v>25</v>
      </c>
      <c r="AY1184" s="14" t="str">
        <f>IF(AO1184&gt;0,INDEX(挂机升级突破!$DT$4:$ED$4,AO1184),"")</f>
        <v/>
      </c>
      <c r="AZ1184" s="14" t="str">
        <f>IF(AO1184&gt;0,ROUND(INDEX(挂机升级突破!$DT$6:$ED$57,卡牌消耗!AT1184,AO1184)*INDEX(卡牌消耗!$B$7:$F$7,AR1184)/$Q$4,0),"")</f>
        <v/>
      </c>
    </row>
    <row r="1185" spans="37:52" ht="16.5" x14ac:dyDescent="0.2">
      <c r="AK1185" s="104">
        <v>1181</v>
      </c>
      <c r="AL1185" s="14">
        <f t="shared" si="435"/>
        <v>23</v>
      </c>
      <c r="AM1185" s="14">
        <f>INDEX(挂机升级突破!DQ$6:DQ$57,卡牌消耗!$AT1185)</f>
        <v>11</v>
      </c>
      <c r="AN1185" s="14">
        <f>INDEX(挂机升级突破!DR$6:DR$57,卡牌消耗!$AT1185)</f>
        <v>4</v>
      </c>
      <c r="AO1185" s="14">
        <f>INDEX(挂机升级突破!DS$6:DS$57,卡牌消耗!$AT1185)</f>
        <v>0</v>
      </c>
      <c r="AP1185" s="14">
        <f>INDEX(挂机升级突破!$DP$6:$DP$57,卡牌消耗!AT1185)</f>
        <v>110</v>
      </c>
      <c r="AQ1185" s="14" t="str">
        <f t="shared" si="436"/>
        <v>异邦刀客</v>
      </c>
      <c r="AR1185" s="14">
        <f t="shared" si="437"/>
        <v>2</v>
      </c>
      <c r="AS1185" s="14" t="str">
        <f t="shared" si="438"/>
        <v>异邦刀客魂火-37</v>
      </c>
      <c r="AT1185" s="14">
        <f t="shared" si="439"/>
        <v>37</v>
      </c>
      <c r="AU1185" s="14" t="str">
        <f>IF(AM1185&gt;0,INDEX(挂机升级突破!$DT$4:$ED$4,AM1185),"")</f>
        <v>金币</v>
      </c>
      <c r="AV1185" s="14">
        <f>ROUND(INDEX(挂机升级突破!$DJ$6:$DJ$57,卡牌消耗!AT1185)*INDEX(卡牌消耗!$B$8:$F$8,AR1185)/$Q$4/50,0)*50</f>
        <v>11650</v>
      </c>
      <c r="AW1185" s="14" t="str">
        <f>IF(AN1185&gt;0,INDEX(挂机升级突破!$DT$4:$ED$4,AN1185),"")</f>
        <v>橙色基础材料</v>
      </c>
      <c r="AX1185" s="14">
        <f>ROUND(INDEX(挂机升级突破!$DT$6:$ED$57,卡牌消耗!AT1185,AN1185)*INDEX(卡牌消耗!$B$5:$F$5,AR1185)/$Q$4/5,0)*5</f>
        <v>25</v>
      </c>
      <c r="AY1185" s="14" t="str">
        <f>IF(AO1185&gt;0,INDEX(挂机升级突破!$DT$4:$ED$4,AO1185),"")</f>
        <v/>
      </c>
      <c r="AZ1185" s="14" t="str">
        <f>IF(AO1185&gt;0,ROUND(INDEX(挂机升级突破!$DT$6:$ED$57,卡牌消耗!AT1185,AO1185)*INDEX(卡牌消耗!$B$7:$F$7,AR1185)/$Q$4,0),"")</f>
        <v/>
      </c>
    </row>
    <row r="1186" spans="37:52" ht="16.5" x14ac:dyDescent="0.2">
      <c r="AK1186" s="104">
        <v>1182</v>
      </c>
      <c r="AL1186" s="14">
        <f t="shared" si="435"/>
        <v>23</v>
      </c>
      <c r="AM1186" s="14">
        <f>INDEX(挂机升级突破!DQ$6:DQ$57,卡牌消耗!$AT1186)</f>
        <v>11</v>
      </c>
      <c r="AN1186" s="14">
        <f>INDEX(挂机升级突破!DR$6:DR$57,卡牌消耗!$AT1186)</f>
        <v>5</v>
      </c>
      <c r="AO1186" s="14">
        <f>INDEX(挂机升级突破!DS$6:DS$57,卡牌消耗!$AT1186)</f>
        <v>0</v>
      </c>
      <c r="AP1186" s="14">
        <f>INDEX(挂机升级突破!$DP$6:$DP$57,卡牌消耗!AT1186)</f>
        <v>113</v>
      </c>
      <c r="AQ1186" s="14" t="str">
        <f t="shared" si="436"/>
        <v>异邦刀客</v>
      </c>
      <c r="AR1186" s="14">
        <f t="shared" si="437"/>
        <v>2</v>
      </c>
      <c r="AS1186" s="14" t="str">
        <f t="shared" si="438"/>
        <v>异邦刀客魂火-38</v>
      </c>
      <c r="AT1186" s="14">
        <f t="shared" si="439"/>
        <v>38</v>
      </c>
      <c r="AU1186" s="14" t="str">
        <f>IF(AM1186&gt;0,INDEX(挂机升级突破!$DT$4:$ED$4,AM1186),"")</f>
        <v>金币</v>
      </c>
      <c r="AV1186" s="14">
        <f>ROUND(INDEX(挂机升级突破!$DJ$6:$DJ$57,卡牌消耗!AT1186)*INDEX(卡牌消耗!$B$8:$F$8,AR1186)/$Q$4/50,0)*50</f>
        <v>15050</v>
      </c>
      <c r="AW1186" s="14" t="str">
        <f>IF(AN1186&gt;0,INDEX(挂机升级突破!$DT$4:$ED$4,AN1186),"")</f>
        <v>红色基础材料</v>
      </c>
      <c r="AX1186" s="14">
        <f>ROUND(INDEX(挂机升级突破!$DT$6:$ED$57,卡牌消耗!AT1186,AN1186)*INDEX(卡牌消耗!$B$5:$F$5,AR1186)/$Q$4/5,0)*5</f>
        <v>5</v>
      </c>
      <c r="AY1186" s="14" t="str">
        <f>IF(AO1186&gt;0,INDEX(挂机升级突破!$DT$4:$ED$4,AO1186),"")</f>
        <v/>
      </c>
      <c r="AZ1186" s="14" t="str">
        <f>IF(AO1186&gt;0,ROUND(INDEX(挂机升级突破!$DT$6:$ED$57,卡牌消耗!AT1186,AO1186)*INDEX(卡牌消耗!$B$7:$F$7,AR1186)/$Q$4,0),"")</f>
        <v/>
      </c>
    </row>
    <row r="1187" spans="37:52" ht="16.5" x14ac:dyDescent="0.2">
      <c r="AK1187" s="104">
        <v>1183</v>
      </c>
      <c r="AL1187" s="14">
        <f t="shared" si="435"/>
        <v>23</v>
      </c>
      <c r="AM1187" s="14">
        <f>INDEX(挂机升级突破!DQ$6:DQ$57,卡牌消耗!$AT1187)</f>
        <v>11</v>
      </c>
      <c r="AN1187" s="14">
        <f>INDEX(挂机升级突破!DR$6:DR$57,卡牌消耗!$AT1187)</f>
        <v>5</v>
      </c>
      <c r="AO1187" s="14">
        <f>INDEX(挂机升级突破!DS$6:DS$57,卡牌消耗!$AT1187)</f>
        <v>0</v>
      </c>
      <c r="AP1187" s="14">
        <f>INDEX(挂机升级突破!$DP$6:$DP$57,卡牌消耗!AT1187)</f>
        <v>115</v>
      </c>
      <c r="AQ1187" s="14" t="str">
        <f t="shared" si="436"/>
        <v>异邦刀客</v>
      </c>
      <c r="AR1187" s="14">
        <f t="shared" si="437"/>
        <v>2</v>
      </c>
      <c r="AS1187" s="14" t="str">
        <f t="shared" si="438"/>
        <v>异邦刀客魂火-39</v>
      </c>
      <c r="AT1187" s="14">
        <f t="shared" si="439"/>
        <v>39</v>
      </c>
      <c r="AU1187" s="14" t="str">
        <f>IF(AM1187&gt;0,INDEX(挂机升级突破!$DT$4:$ED$4,AM1187),"")</f>
        <v>金币</v>
      </c>
      <c r="AV1187" s="14">
        <f>ROUND(INDEX(挂机升级突破!$DJ$6:$DJ$57,卡牌消耗!AT1187)*INDEX(卡牌消耗!$B$8:$F$8,AR1187)/$Q$4/50,0)*50</f>
        <v>15050</v>
      </c>
      <c r="AW1187" s="14" t="str">
        <f>IF(AN1187&gt;0,INDEX(挂机升级突破!$DT$4:$ED$4,AN1187),"")</f>
        <v>红色基础材料</v>
      </c>
      <c r="AX1187" s="14">
        <f>ROUND(INDEX(挂机升级突破!$DT$6:$ED$57,卡牌消耗!AT1187,AN1187)*INDEX(卡牌消耗!$B$5:$F$5,AR1187)/$Q$4/5,0)*5</f>
        <v>5</v>
      </c>
      <c r="AY1187" s="14" t="str">
        <f>IF(AO1187&gt;0,INDEX(挂机升级突破!$DT$4:$ED$4,AO1187),"")</f>
        <v/>
      </c>
      <c r="AZ1187" s="14" t="str">
        <f>IF(AO1187&gt;0,ROUND(INDEX(挂机升级突破!$DT$6:$ED$57,卡牌消耗!AT1187,AO1187)*INDEX(卡牌消耗!$B$7:$F$7,AR1187)/$Q$4,0),"")</f>
        <v/>
      </c>
    </row>
    <row r="1188" spans="37:52" ht="16.5" x14ac:dyDescent="0.2">
      <c r="AK1188" s="104">
        <v>1184</v>
      </c>
      <c r="AL1188" s="14">
        <f t="shared" si="435"/>
        <v>23</v>
      </c>
      <c r="AM1188" s="14">
        <f>INDEX(挂机升级突破!DQ$6:DQ$57,卡牌消耗!$AT1188)</f>
        <v>11</v>
      </c>
      <c r="AN1188" s="14">
        <f>INDEX(挂机升级突破!DR$6:DR$57,卡牌消耗!$AT1188)</f>
        <v>5</v>
      </c>
      <c r="AO1188" s="14">
        <f>INDEX(挂机升级突破!DS$6:DS$57,卡牌消耗!$AT1188)</f>
        <v>0</v>
      </c>
      <c r="AP1188" s="14">
        <f>INDEX(挂机升级突破!$DP$6:$DP$57,卡牌消耗!AT1188)</f>
        <v>118</v>
      </c>
      <c r="AQ1188" s="14" t="str">
        <f t="shared" si="436"/>
        <v>异邦刀客</v>
      </c>
      <c r="AR1188" s="14">
        <f t="shared" si="437"/>
        <v>2</v>
      </c>
      <c r="AS1188" s="14" t="str">
        <f t="shared" si="438"/>
        <v>异邦刀客魂火-40</v>
      </c>
      <c r="AT1188" s="14">
        <f t="shared" si="439"/>
        <v>40</v>
      </c>
      <c r="AU1188" s="14" t="str">
        <f>IF(AM1188&gt;0,INDEX(挂机升级突破!$DT$4:$ED$4,AM1188),"")</f>
        <v>金币</v>
      </c>
      <c r="AV1188" s="14">
        <f>ROUND(INDEX(挂机升级突破!$DJ$6:$DJ$57,卡牌消耗!AT1188)*INDEX(卡牌消耗!$B$8:$F$8,AR1188)/$Q$4/50,0)*50</f>
        <v>15050</v>
      </c>
      <c r="AW1188" s="14" t="str">
        <f>IF(AN1188&gt;0,INDEX(挂机升级突破!$DT$4:$ED$4,AN1188),"")</f>
        <v>红色基础材料</v>
      </c>
      <c r="AX1188" s="14">
        <f>ROUND(INDEX(挂机升级突破!$DT$6:$ED$57,卡牌消耗!AT1188,AN1188)*INDEX(卡牌消耗!$B$5:$F$5,AR1188)/$Q$4/5,0)*5</f>
        <v>5</v>
      </c>
      <c r="AY1188" s="14" t="str">
        <f>IF(AO1188&gt;0,INDEX(挂机升级突破!$DT$4:$ED$4,AO1188),"")</f>
        <v/>
      </c>
      <c r="AZ1188" s="14" t="str">
        <f>IF(AO1188&gt;0,ROUND(INDEX(挂机升级突破!$DT$6:$ED$57,卡牌消耗!AT1188,AO1188)*INDEX(卡牌消耗!$B$7:$F$7,AR1188)/$Q$4,0),"")</f>
        <v/>
      </c>
    </row>
    <row r="1189" spans="37:52" ht="16.5" x14ac:dyDescent="0.2">
      <c r="AK1189" s="104">
        <v>1185</v>
      </c>
      <c r="AL1189" s="14">
        <f t="shared" si="435"/>
        <v>23</v>
      </c>
      <c r="AM1189" s="14">
        <f>INDEX(挂机升级突破!DQ$6:DQ$57,卡牌消耗!$AT1189)</f>
        <v>11</v>
      </c>
      <c r="AN1189" s="14">
        <f>INDEX(挂机升级突破!DR$6:DR$57,卡牌消耗!$AT1189)</f>
        <v>5</v>
      </c>
      <c r="AO1189" s="14">
        <f>INDEX(挂机升级突破!DS$6:DS$57,卡牌消耗!$AT1189)</f>
        <v>10</v>
      </c>
      <c r="AP1189" s="14">
        <f>INDEX(挂机升级突破!$DP$6:$DP$57,卡牌消耗!AT1189)</f>
        <v>120</v>
      </c>
      <c r="AQ1189" s="14" t="str">
        <f t="shared" si="436"/>
        <v>异邦刀客</v>
      </c>
      <c r="AR1189" s="14">
        <f t="shared" si="437"/>
        <v>2</v>
      </c>
      <c r="AS1189" s="14" t="str">
        <f t="shared" si="438"/>
        <v>异邦刀客魂火-41</v>
      </c>
      <c r="AT1189" s="14">
        <f t="shared" si="439"/>
        <v>41</v>
      </c>
      <c r="AU1189" s="14" t="str">
        <f>IF(AM1189&gt;0,INDEX(挂机升级突破!$DT$4:$ED$4,AM1189),"")</f>
        <v>金币</v>
      </c>
      <c r="AV1189" s="14">
        <f>ROUND(INDEX(挂机升级突破!$DJ$6:$DJ$57,卡牌消耗!AT1189)*INDEX(卡牌消耗!$B$8:$F$8,AR1189)/$Q$4/50,0)*50</f>
        <v>20700</v>
      </c>
      <c r="AW1189" s="14" t="str">
        <f>IF(AN1189&gt;0,INDEX(挂机升级突破!$DT$4:$ED$4,AN1189),"")</f>
        <v>红色基础材料</v>
      </c>
      <c r="AX1189" s="14">
        <f>ROUND(INDEX(挂机升级突破!$DT$6:$ED$57,卡牌消耗!AT1189,AN1189)*INDEX(卡牌消耗!$B$5:$F$5,AR1189)/$Q$4/5,0)*5</f>
        <v>10</v>
      </c>
      <c r="AY1189" s="14" t="str">
        <f>IF(AO1189&gt;0,INDEX(挂机升级突破!$DT$4:$ED$4,AO1189),"")</f>
        <v>灵玉</v>
      </c>
      <c r="AZ1189" s="14">
        <f>IF(AO1189&gt;0,ROUND(INDEX(挂机升级突破!$DT$6:$ED$57,卡牌消耗!AT1189,AO1189)*INDEX(卡牌消耗!$B$7:$F$7,AR1189)/$Q$4,0),"")</f>
        <v>1</v>
      </c>
    </row>
    <row r="1190" spans="37:52" ht="16.5" x14ac:dyDescent="0.2">
      <c r="AK1190" s="104">
        <v>1186</v>
      </c>
      <c r="AL1190" s="14">
        <f t="shared" si="435"/>
        <v>23</v>
      </c>
      <c r="AM1190" s="14">
        <f>INDEX(挂机升级突破!DQ$6:DQ$57,卡牌消耗!$AT1190)</f>
        <v>11</v>
      </c>
      <c r="AN1190" s="14">
        <f>INDEX(挂机升级突破!DR$6:DR$57,卡牌消耗!$AT1190)</f>
        <v>5</v>
      </c>
      <c r="AO1190" s="14">
        <f>INDEX(挂机升级突破!DS$6:DS$57,卡牌消耗!$AT1190)</f>
        <v>10</v>
      </c>
      <c r="AP1190" s="14">
        <f>INDEX(挂机升级突破!$DP$6:$DP$57,卡牌消耗!AT1190)</f>
        <v>123</v>
      </c>
      <c r="AQ1190" s="14" t="str">
        <f t="shared" si="436"/>
        <v>异邦刀客</v>
      </c>
      <c r="AR1190" s="14">
        <f t="shared" si="437"/>
        <v>2</v>
      </c>
      <c r="AS1190" s="14" t="str">
        <f t="shared" si="438"/>
        <v>异邦刀客魂火-42</v>
      </c>
      <c r="AT1190" s="14">
        <f t="shared" si="439"/>
        <v>42</v>
      </c>
      <c r="AU1190" s="14" t="str">
        <f>IF(AM1190&gt;0,INDEX(挂机升级突破!$DT$4:$ED$4,AM1190),"")</f>
        <v>金币</v>
      </c>
      <c r="AV1190" s="14">
        <f>ROUND(INDEX(挂机升级突破!$DJ$6:$DJ$57,卡牌消耗!AT1190)*INDEX(卡牌消耗!$B$8:$F$8,AR1190)/$Q$4/50,0)*50</f>
        <v>20700</v>
      </c>
      <c r="AW1190" s="14" t="str">
        <f>IF(AN1190&gt;0,INDEX(挂机升级突破!$DT$4:$ED$4,AN1190),"")</f>
        <v>红色基础材料</v>
      </c>
      <c r="AX1190" s="14">
        <f>ROUND(INDEX(挂机升级突破!$DT$6:$ED$57,卡牌消耗!AT1190,AN1190)*INDEX(卡牌消耗!$B$5:$F$5,AR1190)/$Q$4/5,0)*5</f>
        <v>10</v>
      </c>
      <c r="AY1190" s="14" t="str">
        <f>IF(AO1190&gt;0,INDEX(挂机升级突破!$DT$4:$ED$4,AO1190),"")</f>
        <v>灵玉</v>
      </c>
      <c r="AZ1190" s="14">
        <f>IF(AO1190&gt;0,ROUND(INDEX(挂机升级突破!$DT$6:$ED$57,卡牌消耗!AT1190,AO1190)*INDEX(卡牌消耗!$B$7:$F$7,AR1190)/$Q$4,0),"")</f>
        <v>1</v>
      </c>
    </row>
    <row r="1191" spans="37:52" ht="16.5" x14ac:dyDescent="0.2">
      <c r="AK1191" s="104">
        <v>1187</v>
      </c>
      <c r="AL1191" s="14">
        <f t="shared" si="435"/>
        <v>23</v>
      </c>
      <c r="AM1191" s="14">
        <f>INDEX(挂机升级突破!DQ$6:DQ$57,卡牌消耗!$AT1191)</f>
        <v>11</v>
      </c>
      <c r="AN1191" s="14">
        <f>INDEX(挂机升级突破!DR$6:DR$57,卡牌消耗!$AT1191)</f>
        <v>5</v>
      </c>
      <c r="AO1191" s="14">
        <f>INDEX(挂机升级突破!DS$6:DS$57,卡牌消耗!$AT1191)</f>
        <v>10</v>
      </c>
      <c r="AP1191" s="14">
        <f>INDEX(挂机升级突破!$DP$6:$DP$57,卡牌消耗!AT1191)</f>
        <v>125</v>
      </c>
      <c r="AQ1191" s="14" t="str">
        <f t="shared" si="436"/>
        <v>异邦刀客</v>
      </c>
      <c r="AR1191" s="14">
        <f t="shared" si="437"/>
        <v>2</v>
      </c>
      <c r="AS1191" s="14" t="str">
        <f t="shared" si="438"/>
        <v>异邦刀客魂火-43</v>
      </c>
      <c r="AT1191" s="14">
        <f t="shared" si="439"/>
        <v>43</v>
      </c>
      <c r="AU1191" s="14" t="str">
        <f>IF(AM1191&gt;0,INDEX(挂机升级突破!$DT$4:$ED$4,AM1191),"")</f>
        <v>金币</v>
      </c>
      <c r="AV1191" s="14">
        <f>ROUND(INDEX(挂机升级突破!$DJ$6:$DJ$57,卡牌消耗!AT1191)*INDEX(卡牌消耗!$B$8:$F$8,AR1191)/$Q$4/50,0)*50</f>
        <v>20700</v>
      </c>
      <c r="AW1191" s="14" t="str">
        <f>IF(AN1191&gt;0,INDEX(挂机升级突破!$DT$4:$ED$4,AN1191),"")</f>
        <v>红色基础材料</v>
      </c>
      <c r="AX1191" s="14">
        <f>ROUND(INDEX(挂机升级突破!$DT$6:$ED$57,卡牌消耗!AT1191,AN1191)*INDEX(卡牌消耗!$B$5:$F$5,AR1191)/$Q$4/5,0)*5</f>
        <v>10</v>
      </c>
      <c r="AY1191" s="14" t="str">
        <f>IF(AO1191&gt;0,INDEX(挂机升级突破!$DT$4:$ED$4,AO1191),"")</f>
        <v>灵玉</v>
      </c>
      <c r="AZ1191" s="14">
        <f>IF(AO1191&gt;0,ROUND(INDEX(挂机升级突破!$DT$6:$ED$57,卡牌消耗!AT1191,AO1191)*INDEX(卡牌消耗!$B$7:$F$7,AR1191)/$Q$4,0),"")</f>
        <v>1</v>
      </c>
    </row>
    <row r="1192" spans="37:52" ht="16.5" x14ac:dyDescent="0.2">
      <c r="AK1192" s="104">
        <v>1188</v>
      </c>
      <c r="AL1192" s="14">
        <f t="shared" si="435"/>
        <v>23</v>
      </c>
      <c r="AM1192" s="14">
        <f>INDEX(挂机升级突破!DQ$6:DQ$57,卡牌消耗!$AT1192)</f>
        <v>11</v>
      </c>
      <c r="AN1192" s="14">
        <f>INDEX(挂机升级突破!DR$6:DR$57,卡牌消耗!$AT1192)</f>
        <v>5</v>
      </c>
      <c r="AO1192" s="14">
        <f>INDEX(挂机升级突破!DS$6:DS$57,卡牌消耗!$AT1192)</f>
        <v>10</v>
      </c>
      <c r="AP1192" s="14">
        <f>INDEX(挂机升级突破!$DP$6:$DP$57,卡牌消耗!AT1192)</f>
        <v>128</v>
      </c>
      <c r="AQ1192" s="14" t="str">
        <f t="shared" si="436"/>
        <v>异邦刀客</v>
      </c>
      <c r="AR1192" s="14">
        <f t="shared" si="437"/>
        <v>2</v>
      </c>
      <c r="AS1192" s="14" t="str">
        <f t="shared" si="438"/>
        <v>异邦刀客魂火-44</v>
      </c>
      <c r="AT1192" s="14">
        <f t="shared" si="439"/>
        <v>44</v>
      </c>
      <c r="AU1192" s="14" t="str">
        <f>IF(AM1192&gt;0,INDEX(挂机升级突破!$DT$4:$ED$4,AM1192),"")</f>
        <v>金币</v>
      </c>
      <c r="AV1192" s="14">
        <f>ROUND(INDEX(挂机升级突破!$DJ$6:$DJ$57,卡牌消耗!AT1192)*INDEX(卡牌消耗!$B$8:$F$8,AR1192)/$Q$4/50,0)*50</f>
        <v>26300</v>
      </c>
      <c r="AW1192" s="14" t="str">
        <f>IF(AN1192&gt;0,INDEX(挂机升级突破!$DT$4:$ED$4,AN1192),"")</f>
        <v>红色基础材料</v>
      </c>
      <c r="AX1192" s="14">
        <f>ROUND(INDEX(挂机升级突破!$DT$6:$ED$57,卡牌消耗!AT1192,AN1192)*INDEX(卡牌消耗!$B$5:$F$5,AR1192)/$Q$4/5,0)*5</f>
        <v>10</v>
      </c>
      <c r="AY1192" s="14" t="str">
        <f>IF(AO1192&gt;0,INDEX(挂机升级突破!$DT$4:$ED$4,AO1192),"")</f>
        <v>灵玉</v>
      </c>
      <c r="AZ1192" s="14">
        <f>IF(AO1192&gt;0,ROUND(INDEX(挂机升级突破!$DT$6:$ED$57,卡牌消耗!AT1192,AO1192)*INDEX(卡牌消耗!$B$7:$F$7,AR1192)/$Q$4,0),"")</f>
        <v>1</v>
      </c>
    </row>
    <row r="1193" spans="37:52" ht="16.5" x14ac:dyDescent="0.2">
      <c r="AK1193" s="104">
        <v>1189</v>
      </c>
      <c r="AL1193" s="14">
        <f t="shared" si="435"/>
        <v>23</v>
      </c>
      <c r="AM1193" s="14">
        <f>INDEX(挂机升级突破!DQ$6:DQ$57,卡牌消耗!$AT1193)</f>
        <v>11</v>
      </c>
      <c r="AN1193" s="14">
        <f>INDEX(挂机升级突破!DR$6:DR$57,卡牌消耗!$AT1193)</f>
        <v>5</v>
      </c>
      <c r="AO1193" s="14">
        <f>INDEX(挂机升级突破!DS$6:DS$57,卡牌消耗!$AT1193)</f>
        <v>10</v>
      </c>
      <c r="AP1193" s="14">
        <f>INDEX(挂机升级突破!$DP$6:$DP$57,卡牌消耗!AT1193)</f>
        <v>130</v>
      </c>
      <c r="AQ1193" s="14" t="str">
        <f t="shared" si="436"/>
        <v>异邦刀客</v>
      </c>
      <c r="AR1193" s="14">
        <f t="shared" si="437"/>
        <v>2</v>
      </c>
      <c r="AS1193" s="14" t="str">
        <f t="shared" si="438"/>
        <v>异邦刀客魂火-45</v>
      </c>
      <c r="AT1193" s="14">
        <f t="shared" si="439"/>
        <v>45</v>
      </c>
      <c r="AU1193" s="14" t="str">
        <f>IF(AM1193&gt;0,INDEX(挂机升级突破!$DT$4:$ED$4,AM1193),"")</f>
        <v>金币</v>
      </c>
      <c r="AV1193" s="14">
        <f>ROUND(INDEX(挂机升级突破!$DJ$6:$DJ$57,卡牌消耗!AT1193)*INDEX(卡牌消耗!$B$8:$F$8,AR1193)/$Q$4/50,0)*50</f>
        <v>26300</v>
      </c>
      <c r="AW1193" s="14" t="str">
        <f>IF(AN1193&gt;0,INDEX(挂机升级突破!$DT$4:$ED$4,AN1193),"")</f>
        <v>红色基础材料</v>
      </c>
      <c r="AX1193" s="14">
        <f>ROUND(INDEX(挂机升级突破!$DT$6:$ED$57,卡牌消耗!AT1193,AN1193)*INDEX(卡牌消耗!$B$5:$F$5,AR1193)/$Q$4/5,0)*5</f>
        <v>10</v>
      </c>
      <c r="AY1193" s="14" t="str">
        <f>IF(AO1193&gt;0,INDEX(挂机升级突破!$DT$4:$ED$4,AO1193),"")</f>
        <v>灵玉</v>
      </c>
      <c r="AZ1193" s="14">
        <f>IF(AO1193&gt;0,ROUND(INDEX(挂机升级突破!$DT$6:$ED$57,卡牌消耗!AT1193,AO1193)*INDEX(卡牌消耗!$B$7:$F$7,AR1193)/$Q$4,0),"")</f>
        <v>1</v>
      </c>
    </row>
    <row r="1194" spans="37:52" ht="16.5" x14ac:dyDescent="0.2">
      <c r="AK1194" s="104">
        <v>1190</v>
      </c>
      <c r="AL1194" s="14">
        <f t="shared" si="435"/>
        <v>23</v>
      </c>
      <c r="AM1194" s="14">
        <f>INDEX(挂机升级突破!DQ$6:DQ$57,卡牌消耗!$AT1194)</f>
        <v>11</v>
      </c>
      <c r="AN1194" s="14">
        <f>INDEX(挂机升级突破!DR$6:DR$57,卡牌消耗!$AT1194)</f>
        <v>5</v>
      </c>
      <c r="AO1194" s="14">
        <f>INDEX(挂机升级突破!DS$6:DS$57,卡牌消耗!$AT1194)</f>
        <v>10</v>
      </c>
      <c r="AP1194" s="14">
        <f>INDEX(挂机升级突破!$DP$6:$DP$57,卡牌消耗!AT1194)</f>
        <v>133</v>
      </c>
      <c r="AQ1194" s="14" t="str">
        <f t="shared" si="436"/>
        <v>异邦刀客</v>
      </c>
      <c r="AR1194" s="14">
        <f t="shared" si="437"/>
        <v>2</v>
      </c>
      <c r="AS1194" s="14" t="str">
        <f t="shared" si="438"/>
        <v>异邦刀客魂火-46</v>
      </c>
      <c r="AT1194" s="14">
        <f t="shared" si="439"/>
        <v>46</v>
      </c>
      <c r="AU1194" s="14" t="str">
        <f>IF(AM1194&gt;0,INDEX(挂机升级突破!$DT$4:$ED$4,AM1194),"")</f>
        <v>金币</v>
      </c>
      <c r="AV1194" s="14">
        <f>ROUND(INDEX(挂机升级突破!$DJ$6:$DJ$57,卡牌消耗!AT1194)*INDEX(卡牌消耗!$B$8:$F$8,AR1194)/$Q$4/50,0)*50</f>
        <v>28200</v>
      </c>
      <c r="AW1194" s="14" t="str">
        <f>IF(AN1194&gt;0,INDEX(挂机升级突破!$DT$4:$ED$4,AN1194),"")</f>
        <v>红色基础材料</v>
      </c>
      <c r="AX1194" s="14">
        <f>ROUND(INDEX(挂机升级突破!$DT$6:$ED$57,卡牌消耗!AT1194,AN1194)*INDEX(卡牌消耗!$B$5:$F$5,AR1194)/$Q$4/5,0)*5</f>
        <v>10</v>
      </c>
      <c r="AY1194" s="14" t="str">
        <f>IF(AO1194&gt;0,INDEX(挂机升级突破!$DT$4:$ED$4,AO1194),"")</f>
        <v>灵玉</v>
      </c>
      <c r="AZ1194" s="14">
        <f>IF(AO1194&gt;0,ROUND(INDEX(挂机升级突破!$DT$6:$ED$57,卡牌消耗!AT1194,AO1194)*INDEX(卡牌消耗!$B$7:$F$7,AR1194)/$Q$4,0),"")</f>
        <v>1</v>
      </c>
    </row>
    <row r="1195" spans="37:52" ht="16.5" x14ac:dyDescent="0.2">
      <c r="AK1195" s="104">
        <v>1191</v>
      </c>
      <c r="AL1195" s="14">
        <f t="shared" si="435"/>
        <v>23</v>
      </c>
      <c r="AM1195" s="14">
        <f>INDEX(挂机升级突破!DQ$6:DQ$57,卡牌消耗!$AT1195)</f>
        <v>11</v>
      </c>
      <c r="AN1195" s="14">
        <f>INDEX(挂机升级突破!DR$6:DR$57,卡牌消耗!$AT1195)</f>
        <v>5</v>
      </c>
      <c r="AO1195" s="14">
        <f>INDEX(挂机升级突破!DS$6:DS$57,卡牌消耗!$AT1195)</f>
        <v>10</v>
      </c>
      <c r="AP1195" s="14">
        <f>INDEX(挂机升级突破!$DP$6:$DP$57,卡牌消耗!AT1195)</f>
        <v>135</v>
      </c>
      <c r="AQ1195" s="14" t="str">
        <f t="shared" si="436"/>
        <v>异邦刀客</v>
      </c>
      <c r="AR1195" s="14">
        <f t="shared" si="437"/>
        <v>2</v>
      </c>
      <c r="AS1195" s="14" t="str">
        <f t="shared" si="438"/>
        <v>异邦刀客魂火-47</v>
      </c>
      <c r="AT1195" s="14">
        <f t="shared" si="439"/>
        <v>47</v>
      </c>
      <c r="AU1195" s="14" t="str">
        <f>IF(AM1195&gt;0,INDEX(挂机升级突破!$DT$4:$ED$4,AM1195),"")</f>
        <v>金币</v>
      </c>
      <c r="AV1195" s="14">
        <f>ROUND(INDEX(挂机升级突破!$DJ$6:$DJ$57,卡牌消耗!AT1195)*INDEX(卡牌消耗!$B$8:$F$8,AR1195)/$Q$4/50,0)*50</f>
        <v>57450</v>
      </c>
      <c r="AW1195" s="14" t="str">
        <f>IF(AN1195&gt;0,INDEX(挂机升级突破!$DT$4:$ED$4,AN1195),"")</f>
        <v>红色基础材料</v>
      </c>
      <c r="AX1195" s="14">
        <f>ROUND(INDEX(挂机升级突破!$DT$6:$ED$57,卡牌消耗!AT1195,AN1195)*INDEX(卡牌消耗!$B$5:$F$5,AR1195)/$Q$4/5,0)*5</f>
        <v>10</v>
      </c>
      <c r="AY1195" s="14" t="str">
        <f>IF(AO1195&gt;0,INDEX(挂机升级突破!$DT$4:$ED$4,AO1195),"")</f>
        <v>灵玉</v>
      </c>
      <c r="AZ1195" s="14">
        <f>IF(AO1195&gt;0,ROUND(INDEX(挂机升级突破!$DT$6:$ED$57,卡牌消耗!AT1195,AO1195)*INDEX(卡牌消耗!$B$7:$F$7,AR1195)/$Q$4,0),"")</f>
        <v>1</v>
      </c>
    </row>
    <row r="1196" spans="37:52" ht="16.5" x14ac:dyDescent="0.2">
      <c r="AK1196" s="104">
        <v>1192</v>
      </c>
      <c r="AL1196" s="14">
        <f t="shared" si="435"/>
        <v>23</v>
      </c>
      <c r="AM1196" s="14">
        <f>INDEX(挂机升级突破!DQ$6:DQ$57,卡牌消耗!$AT1196)</f>
        <v>11</v>
      </c>
      <c r="AN1196" s="14">
        <f>INDEX(挂机升级突破!DR$6:DR$57,卡牌消耗!$AT1196)</f>
        <v>5</v>
      </c>
      <c r="AO1196" s="14">
        <f>INDEX(挂机升级突破!DS$6:DS$57,卡牌消耗!$AT1196)</f>
        <v>10</v>
      </c>
      <c r="AP1196" s="14">
        <f>INDEX(挂机升级突破!$DP$6:$DP$57,卡牌消耗!AT1196)</f>
        <v>138</v>
      </c>
      <c r="AQ1196" s="14" t="str">
        <f t="shared" si="436"/>
        <v>异邦刀客</v>
      </c>
      <c r="AR1196" s="14">
        <f t="shared" si="437"/>
        <v>2</v>
      </c>
      <c r="AS1196" s="14" t="str">
        <f t="shared" si="438"/>
        <v>异邦刀客魂火-48</v>
      </c>
      <c r="AT1196" s="14">
        <f t="shared" si="439"/>
        <v>48</v>
      </c>
      <c r="AU1196" s="14" t="str">
        <f>IF(AM1196&gt;0,INDEX(挂机升级突破!$DT$4:$ED$4,AM1196),"")</f>
        <v>金币</v>
      </c>
      <c r="AV1196" s="14">
        <f>ROUND(INDEX(挂机升级突破!$DJ$6:$DJ$57,卡牌消耗!AT1196)*INDEX(卡牌消耗!$B$8:$F$8,AR1196)/$Q$4/50,0)*50</f>
        <v>57450</v>
      </c>
      <c r="AW1196" s="14" t="str">
        <f>IF(AN1196&gt;0,INDEX(挂机升级突破!$DT$4:$ED$4,AN1196),"")</f>
        <v>红色基础材料</v>
      </c>
      <c r="AX1196" s="14">
        <f>ROUND(INDEX(挂机升级突破!$DT$6:$ED$57,卡牌消耗!AT1196,AN1196)*INDEX(卡牌消耗!$B$5:$F$5,AR1196)/$Q$4/5,0)*5</f>
        <v>10</v>
      </c>
      <c r="AY1196" s="14" t="str">
        <f>IF(AO1196&gt;0,INDEX(挂机升级突破!$DT$4:$ED$4,AO1196),"")</f>
        <v>灵玉</v>
      </c>
      <c r="AZ1196" s="14">
        <f>IF(AO1196&gt;0,ROUND(INDEX(挂机升级突破!$DT$6:$ED$57,卡牌消耗!AT1196,AO1196)*INDEX(卡牌消耗!$B$7:$F$7,AR1196)/$Q$4,0),"")</f>
        <v>1</v>
      </c>
    </row>
    <row r="1197" spans="37:52" ht="16.5" x14ac:dyDescent="0.2">
      <c r="AK1197" s="104">
        <v>1193</v>
      </c>
      <c r="AL1197" s="14">
        <f t="shared" si="435"/>
        <v>23</v>
      </c>
      <c r="AM1197" s="14">
        <f>INDEX(挂机升级突破!DQ$6:DQ$57,卡牌消耗!$AT1197)</f>
        <v>11</v>
      </c>
      <c r="AN1197" s="14">
        <f>INDEX(挂机升级突破!DR$6:DR$57,卡牌消耗!$AT1197)</f>
        <v>5</v>
      </c>
      <c r="AO1197" s="14">
        <f>INDEX(挂机升级突破!DS$6:DS$57,卡牌消耗!$AT1197)</f>
        <v>10</v>
      </c>
      <c r="AP1197" s="14">
        <f>INDEX(挂机升级突破!$DP$6:$DP$57,卡牌消耗!AT1197)</f>
        <v>140</v>
      </c>
      <c r="AQ1197" s="14" t="str">
        <f t="shared" si="436"/>
        <v>异邦刀客</v>
      </c>
      <c r="AR1197" s="14">
        <f t="shared" si="437"/>
        <v>2</v>
      </c>
      <c r="AS1197" s="14" t="str">
        <f t="shared" si="438"/>
        <v>异邦刀客魂火-49</v>
      </c>
      <c r="AT1197" s="14">
        <f t="shared" si="439"/>
        <v>49</v>
      </c>
      <c r="AU1197" s="14" t="str">
        <f>IF(AM1197&gt;0,INDEX(挂机升级突破!$DT$4:$ED$4,AM1197),"")</f>
        <v>金币</v>
      </c>
      <c r="AV1197" s="14">
        <f>ROUND(INDEX(挂机升级突破!$DJ$6:$DJ$57,卡牌消耗!AT1197)*INDEX(卡牌消耗!$B$8:$F$8,AR1197)/$Q$4/50,0)*50</f>
        <v>57450</v>
      </c>
      <c r="AW1197" s="14" t="str">
        <f>IF(AN1197&gt;0,INDEX(挂机升级突破!$DT$4:$ED$4,AN1197),"")</f>
        <v>红色基础材料</v>
      </c>
      <c r="AX1197" s="14">
        <f>ROUND(INDEX(挂机升级突破!$DT$6:$ED$57,卡牌消耗!AT1197,AN1197)*INDEX(卡牌消耗!$B$5:$F$5,AR1197)/$Q$4/5,0)*5</f>
        <v>10</v>
      </c>
      <c r="AY1197" s="14" t="str">
        <f>IF(AO1197&gt;0,INDEX(挂机升级突破!$DT$4:$ED$4,AO1197),"")</f>
        <v>灵玉</v>
      </c>
      <c r="AZ1197" s="14">
        <f>IF(AO1197&gt;0,ROUND(INDEX(挂机升级突破!$DT$6:$ED$57,卡牌消耗!AT1197,AO1197)*INDEX(卡牌消耗!$B$7:$F$7,AR1197)/$Q$4,0),"")</f>
        <v>1</v>
      </c>
    </row>
    <row r="1198" spans="37:52" ht="16.5" x14ac:dyDescent="0.2">
      <c r="AK1198" s="104">
        <v>1194</v>
      </c>
      <c r="AL1198" s="14">
        <f t="shared" si="435"/>
        <v>23</v>
      </c>
      <c r="AM1198" s="14">
        <f>INDEX(挂机升级突破!DQ$6:DQ$57,卡牌消耗!$AT1198)</f>
        <v>11</v>
      </c>
      <c r="AN1198" s="14">
        <f>INDEX(挂机升级突破!DR$6:DR$57,卡牌消耗!$AT1198)</f>
        <v>5</v>
      </c>
      <c r="AO1198" s="14">
        <f>INDEX(挂机升级突破!DS$6:DS$57,卡牌消耗!$AT1198)</f>
        <v>10</v>
      </c>
      <c r="AP1198" s="14">
        <f>INDEX(挂机升级突破!$DP$6:$DP$57,卡牌消耗!AT1198)</f>
        <v>143</v>
      </c>
      <c r="AQ1198" s="14" t="str">
        <f t="shared" si="436"/>
        <v>异邦刀客</v>
      </c>
      <c r="AR1198" s="14">
        <f t="shared" si="437"/>
        <v>2</v>
      </c>
      <c r="AS1198" s="14" t="str">
        <f t="shared" si="438"/>
        <v>异邦刀客魂火-50</v>
      </c>
      <c r="AT1198" s="14">
        <f t="shared" si="439"/>
        <v>50</v>
      </c>
      <c r="AU1198" s="14" t="str">
        <f>IF(AM1198&gt;0,INDEX(挂机升级突破!$DT$4:$ED$4,AM1198),"")</f>
        <v>金币</v>
      </c>
      <c r="AV1198" s="14">
        <f>ROUND(INDEX(挂机升级突破!$DJ$6:$DJ$57,卡牌消耗!AT1198)*INDEX(卡牌消耗!$B$8:$F$8,AR1198)/$Q$4/50,0)*50</f>
        <v>95750</v>
      </c>
      <c r="AW1198" s="14" t="str">
        <f>IF(AN1198&gt;0,INDEX(挂机升级突破!$DT$4:$ED$4,AN1198),"")</f>
        <v>红色基础材料</v>
      </c>
      <c r="AX1198" s="14">
        <f>ROUND(INDEX(挂机升级突破!$DT$6:$ED$57,卡牌消耗!AT1198,AN1198)*INDEX(卡牌消耗!$B$5:$F$5,AR1198)/$Q$4/5,0)*5</f>
        <v>10</v>
      </c>
      <c r="AY1198" s="14" t="str">
        <f>IF(AO1198&gt;0,INDEX(挂机升级突破!$DT$4:$ED$4,AO1198),"")</f>
        <v>灵玉</v>
      </c>
      <c r="AZ1198" s="14">
        <f>IF(AO1198&gt;0,ROUND(INDEX(挂机升级突破!$DT$6:$ED$57,卡牌消耗!AT1198,AO1198)*INDEX(卡牌消耗!$B$7:$F$7,AR1198)/$Q$4,0),"")</f>
        <v>1</v>
      </c>
    </row>
    <row r="1199" spans="37:52" ht="16.5" x14ac:dyDescent="0.2">
      <c r="AK1199" s="104">
        <v>1195</v>
      </c>
      <c r="AL1199" s="14">
        <f t="shared" si="435"/>
        <v>23</v>
      </c>
      <c r="AM1199" s="14">
        <f>INDEX(挂机升级突破!DQ$6:DQ$57,卡牌消耗!$AT1199)</f>
        <v>11</v>
      </c>
      <c r="AN1199" s="14">
        <f>INDEX(挂机升级突破!DR$6:DR$57,卡牌消耗!$AT1199)</f>
        <v>5</v>
      </c>
      <c r="AO1199" s="14">
        <f>INDEX(挂机升级突破!DS$6:DS$57,卡牌消耗!$AT1199)</f>
        <v>10</v>
      </c>
      <c r="AP1199" s="14">
        <f>INDEX(挂机升级突破!$DP$6:$DP$57,卡牌消耗!AT1199)</f>
        <v>145</v>
      </c>
      <c r="AQ1199" s="14" t="str">
        <f t="shared" si="436"/>
        <v>异邦刀客</v>
      </c>
      <c r="AR1199" s="14">
        <f t="shared" si="437"/>
        <v>2</v>
      </c>
      <c r="AS1199" s="14" t="str">
        <f t="shared" si="438"/>
        <v>异邦刀客魂火-51</v>
      </c>
      <c r="AT1199" s="14">
        <f t="shared" si="439"/>
        <v>51</v>
      </c>
      <c r="AU1199" s="14" t="str">
        <f>IF(AM1199&gt;0,INDEX(挂机升级突破!$DT$4:$ED$4,AM1199),"")</f>
        <v>金币</v>
      </c>
      <c r="AV1199" s="14">
        <f>ROUND(INDEX(挂机升级突破!$DJ$6:$DJ$57,卡牌消耗!AT1199)*INDEX(卡牌消耗!$B$8:$F$8,AR1199)/$Q$4/50,0)*50</f>
        <v>105300</v>
      </c>
      <c r="AW1199" s="14" t="str">
        <f>IF(AN1199&gt;0,INDEX(挂机升级突破!$DT$4:$ED$4,AN1199),"")</f>
        <v>红色基础材料</v>
      </c>
      <c r="AX1199" s="14">
        <f>ROUND(INDEX(挂机升级突破!$DT$6:$ED$57,卡牌消耗!AT1199,AN1199)*INDEX(卡牌消耗!$B$5:$F$5,AR1199)/$Q$4/5,0)*5</f>
        <v>10</v>
      </c>
      <c r="AY1199" s="14" t="str">
        <f>IF(AO1199&gt;0,INDEX(挂机升级突破!$DT$4:$ED$4,AO1199),"")</f>
        <v>灵玉</v>
      </c>
      <c r="AZ1199" s="14">
        <f>IF(AO1199&gt;0,ROUND(INDEX(挂机升级突破!$DT$6:$ED$57,卡牌消耗!AT1199,AO1199)*INDEX(卡牌消耗!$B$7:$F$7,AR1199)/$Q$4,0),"")</f>
        <v>1</v>
      </c>
    </row>
    <row r="1200" spans="37:52" ht="16.5" x14ac:dyDescent="0.2">
      <c r="AK1200" s="104">
        <v>1196</v>
      </c>
      <c r="AL1200" s="14">
        <f t="shared" si="435"/>
        <v>23</v>
      </c>
      <c r="AM1200" s="14">
        <f>INDEX(挂机升级突破!DQ$6:DQ$57,卡牌消耗!$AT1200)</f>
        <v>11</v>
      </c>
      <c r="AN1200" s="14">
        <f>INDEX(挂机升级突破!DR$6:DR$57,卡牌消耗!$AT1200)</f>
        <v>5</v>
      </c>
      <c r="AO1200" s="14">
        <f>INDEX(挂机升级突破!DS$6:DS$57,卡牌消耗!$AT1200)</f>
        <v>10</v>
      </c>
      <c r="AP1200" s="14">
        <f>INDEX(挂机升级突破!$DP$6:$DP$57,卡牌消耗!AT1200)</f>
        <v>148</v>
      </c>
      <c r="AQ1200" s="14" t="str">
        <f t="shared" si="436"/>
        <v>异邦刀客</v>
      </c>
      <c r="AR1200" s="14">
        <f t="shared" si="437"/>
        <v>2</v>
      </c>
      <c r="AS1200" s="14" t="str">
        <f t="shared" si="438"/>
        <v>异邦刀客魂火-52</v>
      </c>
      <c r="AT1200" s="14">
        <f t="shared" si="439"/>
        <v>52</v>
      </c>
      <c r="AU1200" s="14" t="str">
        <f>IF(AM1200&gt;0,INDEX(挂机升级突破!$DT$4:$ED$4,AM1200),"")</f>
        <v>金币</v>
      </c>
      <c r="AV1200" s="14">
        <f>ROUND(INDEX(挂机升级突破!$DJ$6:$DJ$57,卡牌消耗!AT1200)*INDEX(卡牌消耗!$B$8:$F$8,AR1200)/$Q$4/50,0)*50</f>
        <v>105300</v>
      </c>
      <c r="AW1200" s="14" t="str">
        <f>IF(AN1200&gt;0,INDEX(挂机升级突破!$DT$4:$ED$4,AN1200),"")</f>
        <v>红色基础材料</v>
      </c>
      <c r="AX1200" s="14">
        <f>ROUND(INDEX(挂机升级突破!$DT$6:$ED$57,卡牌消耗!AT1200,AN1200)*INDEX(卡牌消耗!$B$5:$F$5,AR1200)/$Q$4/5,0)*5</f>
        <v>10</v>
      </c>
      <c r="AY1200" s="14" t="str">
        <f>IF(AO1200&gt;0,INDEX(挂机升级突破!$DT$4:$ED$4,AO1200),"")</f>
        <v>灵玉</v>
      </c>
      <c r="AZ1200" s="14">
        <f>IF(AO1200&gt;0,ROUND(INDEX(挂机升级突破!$DT$6:$ED$57,卡牌消耗!AT1200,AO1200)*INDEX(卡牌消耗!$B$7:$F$7,AR1200)/$Q$4,0),"")</f>
        <v>1</v>
      </c>
    </row>
    <row r="1201" spans="37:52" ht="16.5" x14ac:dyDescent="0.2">
      <c r="AK1201" s="104">
        <v>1197</v>
      </c>
      <c r="AL1201" s="14">
        <f t="shared" si="435"/>
        <v>24</v>
      </c>
      <c r="AM1201" s="14">
        <f>INDEX(挂机升级突破!DQ$6:DQ$57,卡牌消耗!$AT1201)</f>
        <v>11</v>
      </c>
      <c r="AN1201" s="14">
        <f>INDEX(挂机升级突破!DR$6:DR$57,卡牌消耗!$AT1201)</f>
        <v>1</v>
      </c>
      <c r="AO1201" s="14">
        <f>INDEX(挂机升级突破!DS$6:DS$57,卡牌消耗!$AT1201)</f>
        <v>0</v>
      </c>
      <c r="AP1201" s="14">
        <f>INDEX(挂机升级突破!$DP$6:$DP$57,卡牌消耗!AT1201)</f>
        <v>3</v>
      </c>
      <c r="AQ1201" s="14" t="str">
        <f t="shared" si="436"/>
        <v>朱仙</v>
      </c>
      <c r="AR1201" s="14">
        <f t="shared" si="437"/>
        <v>3</v>
      </c>
      <c r="AS1201" s="14" t="str">
        <f t="shared" si="438"/>
        <v>朱仙魂火-1</v>
      </c>
      <c r="AT1201" s="14">
        <f t="shared" si="439"/>
        <v>1</v>
      </c>
      <c r="AU1201" s="14" t="str">
        <f>IF(AM1201&gt;0,INDEX(挂机升级突破!$DT$4:$ED$4,AM1201),"")</f>
        <v>金币</v>
      </c>
      <c r="AV1201" s="14">
        <f>ROUND(INDEX(挂机升级突破!$DJ$6:$DJ$57,卡牌消耗!AT1201)*INDEX(卡牌消耗!$B$8:$F$8,AR1201)/$Q$4/50,0)*50</f>
        <v>850</v>
      </c>
      <c r="AW1201" s="14" t="str">
        <f>IF(AN1201&gt;0,INDEX(挂机升级突破!$DT$4:$ED$4,AN1201),"")</f>
        <v>绿色基础材料</v>
      </c>
      <c r="AX1201" s="14">
        <f>ROUND(INDEX(挂机升级突破!$DT$6:$ED$57,卡牌消耗!AT1201,AN1201)*INDEX(卡牌消耗!$B$5:$F$5,AR1201)/$Q$4/5,0)*5</f>
        <v>25</v>
      </c>
      <c r="AY1201" s="14" t="str">
        <f>IF(AO1201&gt;0,INDEX(挂机升级突破!$DT$4:$ED$4,AO1201),"")</f>
        <v/>
      </c>
      <c r="AZ1201" s="14" t="str">
        <f>IF(AO1201&gt;0,ROUND(INDEX(挂机升级突破!$DT$6:$ED$57,卡牌消耗!AT1201,AO1201)*INDEX(卡牌消耗!$B$7:$F$7,AR1201)/$Q$4,0),"")</f>
        <v/>
      </c>
    </row>
    <row r="1202" spans="37:52" ht="16.5" x14ac:dyDescent="0.2">
      <c r="AK1202" s="104">
        <v>1198</v>
      </c>
      <c r="AL1202" s="14">
        <f t="shared" si="435"/>
        <v>24</v>
      </c>
      <c r="AM1202" s="14">
        <f>INDEX(挂机升级突破!DQ$6:DQ$57,卡牌消耗!$AT1202)</f>
        <v>11</v>
      </c>
      <c r="AN1202" s="14">
        <f>INDEX(挂机升级突破!DR$6:DR$57,卡牌消耗!$AT1202)</f>
        <v>1</v>
      </c>
      <c r="AO1202" s="14">
        <f>INDEX(挂机升级突破!DS$6:DS$57,卡牌消耗!$AT1202)</f>
        <v>0</v>
      </c>
      <c r="AP1202" s="14">
        <f>INDEX(挂机升级突破!$DP$6:$DP$57,卡牌消耗!AT1202)</f>
        <v>8</v>
      </c>
      <c r="AQ1202" s="14" t="str">
        <f t="shared" si="436"/>
        <v>朱仙</v>
      </c>
      <c r="AR1202" s="14">
        <f t="shared" si="437"/>
        <v>3</v>
      </c>
      <c r="AS1202" s="14" t="str">
        <f t="shared" si="438"/>
        <v>朱仙魂火-2</v>
      </c>
      <c r="AT1202" s="14">
        <f t="shared" si="439"/>
        <v>2</v>
      </c>
      <c r="AU1202" s="14" t="str">
        <f>IF(AM1202&gt;0,INDEX(挂机升级突破!$DT$4:$ED$4,AM1202),"")</f>
        <v>金币</v>
      </c>
      <c r="AV1202" s="14">
        <f>ROUND(INDEX(挂机升级突破!$DJ$6:$DJ$57,卡牌消耗!AT1202)*INDEX(卡牌消耗!$B$8:$F$8,AR1202)/$Q$4/50,0)*50</f>
        <v>1050</v>
      </c>
      <c r="AW1202" s="14" t="str">
        <f>IF(AN1202&gt;0,INDEX(挂机升级突破!$DT$4:$ED$4,AN1202),"")</f>
        <v>绿色基础材料</v>
      </c>
      <c r="AX1202" s="14">
        <f>ROUND(INDEX(挂机升级突破!$DT$6:$ED$57,卡牌消耗!AT1202,AN1202)*INDEX(卡牌消耗!$B$5:$F$5,AR1202)/$Q$4/5,0)*5</f>
        <v>85</v>
      </c>
      <c r="AY1202" s="14" t="str">
        <f>IF(AO1202&gt;0,INDEX(挂机升级突破!$DT$4:$ED$4,AO1202),"")</f>
        <v/>
      </c>
      <c r="AZ1202" s="14" t="str">
        <f>IF(AO1202&gt;0,ROUND(INDEX(挂机升级突破!$DT$6:$ED$57,卡牌消耗!AT1202,AO1202)*INDEX(卡牌消耗!$B$7:$F$7,AR1202)/$Q$4,0),"")</f>
        <v/>
      </c>
    </row>
    <row r="1203" spans="37:52" ht="16.5" x14ac:dyDescent="0.2">
      <c r="AK1203" s="104">
        <v>1199</v>
      </c>
      <c r="AL1203" s="14">
        <f t="shared" si="435"/>
        <v>24</v>
      </c>
      <c r="AM1203" s="14">
        <f>INDEX(挂机升级突破!DQ$6:DQ$57,卡牌消耗!$AT1203)</f>
        <v>11</v>
      </c>
      <c r="AN1203" s="14">
        <f>INDEX(挂机升级突破!DR$6:DR$57,卡牌消耗!$AT1203)</f>
        <v>1</v>
      </c>
      <c r="AO1203" s="14">
        <f>INDEX(挂机升级突破!DS$6:DS$57,卡牌消耗!$AT1203)</f>
        <v>0</v>
      </c>
      <c r="AP1203" s="14">
        <f>INDEX(挂机升级突破!$DP$6:$DP$57,卡牌消耗!AT1203)</f>
        <v>13</v>
      </c>
      <c r="AQ1203" s="14" t="str">
        <f t="shared" si="436"/>
        <v>朱仙</v>
      </c>
      <c r="AR1203" s="14">
        <f t="shared" si="437"/>
        <v>3</v>
      </c>
      <c r="AS1203" s="14" t="str">
        <f t="shared" si="438"/>
        <v>朱仙魂火-3</v>
      </c>
      <c r="AT1203" s="14">
        <f t="shared" si="439"/>
        <v>3</v>
      </c>
      <c r="AU1203" s="14" t="str">
        <f>IF(AM1203&gt;0,INDEX(挂机升级突破!$DT$4:$ED$4,AM1203),"")</f>
        <v>金币</v>
      </c>
      <c r="AV1203" s="14">
        <f>ROUND(INDEX(挂机升级突破!$DJ$6:$DJ$57,卡牌消耗!AT1203)*INDEX(卡牌消耗!$B$8:$F$8,AR1203)/$Q$4/50,0)*50</f>
        <v>1050</v>
      </c>
      <c r="AW1203" s="14" t="str">
        <f>IF(AN1203&gt;0,INDEX(挂机升级突破!$DT$4:$ED$4,AN1203),"")</f>
        <v>绿色基础材料</v>
      </c>
      <c r="AX1203" s="14">
        <f>ROUND(INDEX(挂机升级突破!$DT$6:$ED$57,卡牌消耗!AT1203,AN1203)*INDEX(卡牌消耗!$B$5:$F$5,AR1203)/$Q$4/5,0)*5</f>
        <v>100</v>
      </c>
      <c r="AY1203" s="14" t="str">
        <f>IF(AO1203&gt;0,INDEX(挂机升级突破!$DT$4:$ED$4,AO1203),"")</f>
        <v/>
      </c>
      <c r="AZ1203" s="14" t="str">
        <f>IF(AO1203&gt;0,ROUND(INDEX(挂机升级突破!$DT$6:$ED$57,卡牌消耗!AT1203,AO1203)*INDEX(卡牌消耗!$B$7:$F$7,AR1203)/$Q$4,0),"")</f>
        <v/>
      </c>
    </row>
    <row r="1204" spans="37:52" ht="16.5" x14ac:dyDescent="0.2">
      <c r="AK1204" s="104">
        <v>1200</v>
      </c>
      <c r="AL1204" s="14">
        <f t="shared" si="435"/>
        <v>24</v>
      </c>
      <c r="AM1204" s="14">
        <f>INDEX(挂机升级突破!DQ$6:DQ$57,卡牌消耗!$AT1204)</f>
        <v>11</v>
      </c>
      <c r="AN1204" s="14">
        <f>INDEX(挂机升级突破!DR$6:DR$57,卡牌消耗!$AT1204)</f>
        <v>1</v>
      </c>
      <c r="AO1204" s="14">
        <f>INDEX(挂机升级突破!DS$6:DS$57,卡牌消耗!$AT1204)</f>
        <v>0</v>
      </c>
      <c r="AP1204" s="14">
        <f>INDEX(挂机升级突破!$DP$6:$DP$57,卡牌消耗!AT1204)</f>
        <v>18</v>
      </c>
      <c r="AQ1204" s="14" t="str">
        <f t="shared" si="436"/>
        <v>朱仙</v>
      </c>
      <c r="AR1204" s="14">
        <f t="shared" si="437"/>
        <v>3</v>
      </c>
      <c r="AS1204" s="14" t="str">
        <f t="shared" si="438"/>
        <v>朱仙魂火-4</v>
      </c>
      <c r="AT1204" s="14">
        <f t="shared" si="439"/>
        <v>4</v>
      </c>
      <c r="AU1204" s="14" t="str">
        <f>IF(AM1204&gt;0,INDEX(挂机升级突破!$DT$4:$ED$4,AM1204),"")</f>
        <v>金币</v>
      </c>
      <c r="AV1204" s="14">
        <f>ROUND(INDEX(挂机升级突破!$DJ$6:$DJ$57,卡牌消耗!AT1204)*INDEX(卡牌消耗!$B$8:$F$8,AR1204)/$Q$4/50,0)*50</f>
        <v>1050</v>
      </c>
      <c r="AW1204" s="14" t="str">
        <f>IF(AN1204&gt;0,INDEX(挂机升级突破!$DT$4:$ED$4,AN1204),"")</f>
        <v>绿色基础材料</v>
      </c>
      <c r="AX1204" s="14">
        <f>ROUND(INDEX(挂机升级突破!$DT$6:$ED$57,卡牌消耗!AT1204,AN1204)*INDEX(卡牌消耗!$B$5:$F$5,AR1204)/$Q$4/5,0)*5</f>
        <v>145</v>
      </c>
      <c r="AY1204" s="14" t="str">
        <f>IF(AO1204&gt;0,INDEX(挂机升级突破!$DT$4:$ED$4,AO1204),"")</f>
        <v/>
      </c>
      <c r="AZ1204" s="14" t="str">
        <f>IF(AO1204&gt;0,ROUND(INDEX(挂机升级突破!$DT$6:$ED$57,卡牌消耗!AT1204,AO1204)*INDEX(卡牌消耗!$B$7:$F$7,AR1204)/$Q$4,0),"")</f>
        <v/>
      </c>
    </row>
    <row r="1205" spans="37:52" ht="16.5" x14ac:dyDescent="0.2">
      <c r="AK1205" s="104">
        <v>1201</v>
      </c>
      <c r="AL1205" s="14">
        <f t="shared" si="435"/>
        <v>24</v>
      </c>
      <c r="AM1205" s="14">
        <f>INDEX(挂机升级突破!DQ$6:DQ$57,卡牌消耗!$AT1205)</f>
        <v>11</v>
      </c>
      <c r="AN1205" s="14">
        <f>INDEX(挂机升级突破!DR$6:DR$57,卡牌消耗!$AT1205)</f>
        <v>1</v>
      </c>
      <c r="AO1205" s="14">
        <f>INDEX(挂机升级突破!DS$6:DS$57,卡牌消耗!$AT1205)</f>
        <v>0</v>
      </c>
      <c r="AP1205" s="14">
        <f>INDEX(挂机升级突破!$DP$6:$DP$57,卡牌消耗!AT1205)</f>
        <v>23</v>
      </c>
      <c r="AQ1205" s="14" t="str">
        <f t="shared" si="436"/>
        <v>朱仙</v>
      </c>
      <c r="AR1205" s="14">
        <f t="shared" si="437"/>
        <v>3</v>
      </c>
      <c r="AS1205" s="14" t="str">
        <f t="shared" si="438"/>
        <v>朱仙魂火-5</v>
      </c>
      <c r="AT1205" s="14">
        <f t="shared" si="439"/>
        <v>5</v>
      </c>
      <c r="AU1205" s="14" t="str">
        <f>IF(AM1205&gt;0,INDEX(挂机升级突破!$DT$4:$ED$4,AM1205),"")</f>
        <v>金币</v>
      </c>
      <c r="AV1205" s="14">
        <f>ROUND(INDEX(挂机升级突破!$DJ$6:$DJ$57,卡牌消耗!AT1205)*INDEX(卡牌消耗!$B$8:$F$8,AR1205)/$Q$4/50,0)*50</f>
        <v>1050</v>
      </c>
      <c r="AW1205" s="14" t="str">
        <f>IF(AN1205&gt;0,INDEX(挂机升级突破!$DT$4:$ED$4,AN1205),"")</f>
        <v>绿色基础材料</v>
      </c>
      <c r="AX1205" s="14">
        <f>ROUND(INDEX(挂机升级突破!$DT$6:$ED$57,卡牌消耗!AT1205,AN1205)*INDEX(卡牌消耗!$B$5:$F$5,AR1205)/$Q$4/5,0)*5</f>
        <v>155</v>
      </c>
      <c r="AY1205" s="14" t="str">
        <f>IF(AO1205&gt;0,INDEX(挂机升级突破!$DT$4:$ED$4,AO1205),"")</f>
        <v/>
      </c>
      <c r="AZ1205" s="14" t="str">
        <f>IF(AO1205&gt;0,ROUND(INDEX(挂机升级突破!$DT$6:$ED$57,卡牌消耗!AT1205,AO1205)*INDEX(卡牌消耗!$B$7:$F$7,AR1205)/$Q$4,0),"")</f>
        <v/>
      </c>
    </row>
    <row r="1206" spans="37:52" ht="16.5" x14ac:dyDescent="0.2">
      <c r="AK1206" s="104">
        <v>1202</v>
      </c>
      <c r="AL1206" s="14">
        <f t="shared" si="435"/>
        <v>24</v>
      </c>
      <c r="AM1206" s="14">
        <f>INDEX(挂机升级突破!DQ$6:DQ$57,卡牌消耗!$AT1206)</f>
        <v>11</v>
      </c>
      <c r="AN1206" s="14">
        <f>INDEX(挂机升级突破!DR$6:DR$57,卡牌消耗!$AT1206)</f>
        <v>2</v>
      </c>
      <c r="AO1206" s="14">
        <f>INDEX(挂机升级突破!DS$6:DS$57,卡牌消耗!$AT1206)</f>
        <v>0</v>
      </c>
      <c r="AP1206" s="14">
        <f>INDEX(挂机升级突破!$DP$6:$DP$57,卡牌消耗!AT1206)</f>
        <v>28</v>
      </c>
      <c r="AQ1206" s="14" t="str">
        <f t="shared" si="436"/>
        <v>朱仙</v>
      </c>
      <c r="AR1206" s="14">
        <f t="shared" si="437"/>
        <v>3</v>
      </c>
      <c r="AS1206" s="14" t="str">
        <f t="shared" si="438"/>
        <v>朱仙魂火-6</v>
      </c>
      <c r="AT1206" s="14">
        <f t="shared" si="439"/>
        <v>6</v>
      </c>
      <c r="AU1206" s="14" t="str">
        <f>IF(AM1206&gt;0,INDEX(挂机升级突破!$DT$4:$ED$4,AM1206),"")</f>
        <v>金币</v>
      </c>
      <c r="AV1206" s="14">
        <f>ROUND(INDEX(挂机升级突破!$DJ$6:$DJ$57,卡牌消耗!AT1206)*INDEX(卡牌消耗!$B$8:$F$8,AR1206)/$Q$4/50,0)*50</f>
        <v>1250</v>
      </c>
      <c r="AW1206" s="14" t="str">
        <f>IF(AN1206&gt;0,INDEX(挂机升级突破!$DT$4:$ED$4,AN1206),"")</f>
        <v>蓝色基础材料</v>
      </c>
      <c r="AX1206" s="14">
        <f>ROUND(INDEX(挂机升级突破!$DT$6:$ED$57,卡牌消耗!AT1206,AN1206)*INDEX(卡牌消耗!$B$5:$F$5,AR1206)/$Q$4/5,0)*5</f>
        <v>30</v>
      </c>
      <c r="AY1206" s="14" t="str">
        <f>IF(AO1206&gt;0,INDEX(挂机升级突破!$DT$4:$ED$4,AO1206),"")</f>
        <v/>
      </c>
      <c r="AZ1206" s="14" t="str">
        <f>IF(AO1206&gt;0,ROUND(INDEX(挂机升级突破!$DT$6:$ED$57,卡牌消耗!AT1206,AO1206)*INDEX(卡牌消耗!$B$7:$F$7,AR1206)/$Q$4,0),"")</f>
        <v/>
      </c>
    </row>
    <row r="1207" spans="37:52" ht="16.5" x14ac:dyDescent="0.2">
      <c r="AK1207" s="104">
        <v>1203</v>
      </c>
      <c r="AL1207" s="14">
        <f t="shared" si="435"/>
        <v>24</v>
      </c>
      <c r="AM1207" s="14">
        <f>INDEX(挂机升级突破!DQ$6:DQ$57,卡牌消耗!$AT1207)</f>
        <v>11</v>
      </c>
      <c r="AN1207" s="14">
        <f>INDEX(挂机升级突破!DR$6:DR$57,卡牌消耗!$AT1207)</f>
        <v>2</v>
      </c>
      <c r="AO1207" s="14">
        <f>INDEX(挂机升级突破!DS$6:DS$57,卡牌消耗!$AT1207)</f>
        <v>0</v>
      </c>
      <c r="AP1207" s="14">
        <f>INDEX(挂机升级突破!$DP$6:$DP$57,卡牌消耗!AT1207)</f>
        <v>33</v>
      </c>
      <c r="AQ1207" s="14" t="str">
        <f t="shared" si="436"/>
        <v>朱仙</v>
      </c>
      <c r="AR1207" s="14">
        <f t="shared" si="437"/>
        <v>3</v>
      </c>
      <c r="AS1207" s="14" t="str">
        <f t="shared" si="438"/>
        <v>朱仙魂火-7</v>
      </c>
      <c r="AT1207" s="14">
        <f t="shared" si="439"/>
        <v>7</v>
      </c>
      <c r="AU1207" s="14" t="str">
        <f>IF(AM1207&gt;0,INDEX(挂机升级突破!$DT$4:$ED$4,AM1207),"")</f>
        <v>金币</v>
      </c>
      <c r="AV1207" s="14">
        <f>ROUND(INDEX(挂机升级突破!$DJ$6:$DJ$57,卡牌消耗!AT1207)*INDEX(卡牌消耗!$B$8:$F$8,AR1207)/$Q$4/50,0)*50</f>
        <v>1250</v>
      </c>
      <c r="AW1207" s="14" t="str">
        <f>IF(AN1207&gt;0,INDEX(挂机升级突破!$DT$4:$ED$4,AN1207),"")</f>
        <v>蓝色基础材料</v>
      </c>
      <c r="AX1207" s="14">
        <f>ROUND(INDEX(挂机升级突破!$DT$6:$ED$57,卡牌消耗!AT1207,AN1207)*INDEX(卡牌消耗!$B$5:$F$5,AR1207)/$Q$4/5,0)*5</f>
        <v>30</v>
      </c>
      <c r="AY1207" s="14" t="str">
        <f>IF(AO1207&gt;0,INDEX(挂机升级突破!$DT$4:$ED$4,AO1207),"")</f>
        <v/>
      </c>
      <c r="AZ1207" s="14" t="str">
        <f>IF(AO1207&gt;0,ROUND(INDEX(挂机升级突破!$DT$6:$ED$57,卡牌消耗!AT1207,AO1207)*INDEX(卡牌消耗!$B$7:$F$7,AR1207)/$Q$4,0),"")</f>
        <v/>
      </c>
    </row>
    <row r="1208" spans="37:52" ht="16.5" x14ac:dyDescent="0.2">
      <c r="AK1208" s="104">
        <v>1204</v>
      </c>
      <c r="AL1208" s="14">
        <f t="shared" si="435"/>
        <v>24</v>
      </c>
      <c r="AM1208" s="14">
        <f>INDEX(挂机升级突破!DQ$6:DQ$57,卡牌消耗!$AT1208)</f>
        <v>11</v>
      </c>
      <c r="AN1208" s="14">
        <f>INDEX(挂机升级突破!DR$6:DR$57,卡牌消耗!$AT1208)</f>
        <v>2</v>
      </c>
      <c r="AO1208" s="14">
        <f>INDEX(挂机升级突破!DS$6:DS$57,卡牌消耗!$AT1208)</f>
        <v>0</v>
      </c>
      <c r="AP1208" s="14">
        <f>INDEX(挂机升级突破!$DP$6:$DP$57,卡牌消耗!AT1208)</f>
        <v>38</v>
      </c>
      <c r="AQ1208" s="14" t="str">
        <f t="shared" si="436"/>
        <v>朱仙</v>
      </c>
      <c r="AR1208" s="14">
        <f t="shared" si="437"/>
        <v>3</v>
      </c>
      <c r="AS1208" s="14" t="str">
        <f t="shared" si="438"/>
        <v>朱仙魂火-8</v>
      </c>
      <c r="AT1208" s="14">
        <f t="shared" si="439"/>
        <v>8</v>
      </c>
      <c r="AU1208" s="14" t="str">
        <f>IF(AM1208&gt;0,INDEX(挂机升级突破!$DT$4:$ED$4,AM1208),"")</f>
        <v>金币</v>
      </c>
      <c r="AV1208" s="14">
        <f>ROUND(INDEX(挂机升级突破!$DJ$6:$DJ$57,卡牌消耗!AT1208)*INDEX(卡牌消耗!$B$8:$F$8,AR1208)/$Q$4/50,0)*50</f>
        <v>1900</v>
      </c>
      <c r="AW1208" s="14" t="str">
        <f>IF(AN1208&gt;0,INDEX(挂机升级突破!$DT$4:$ED$4,AN1208),"")</f>
        <v>蓝色基础材料</v>
      </c>
      <c r="AX1208" s="14">
        <f>ROUND(INDEX(挂机升级突破!$DT$6:$ED$57,卡牌消耗!AT1208,AN1208)*INDEX(卡牌消耗!$B$5:$F$5,AR1208)/$Q$4/5,0)*5</f>
        <v>60</v>
      </c>
      <c r="AY1208" s="14" t="str">
        <f>IF(AO1208&gt;0,INDEX(挂机升级突破!$DT$4:$ED$4,AO1208),"")</f>
        <v/>
      </c>
      <c r="AZ1208" s="14" t="str">
        <f>IF(AO1208&gt;0,ROUND(INDEX(挂机升级突破!$DT$6:$ED$57,卡牌消耗!AT1208,AO1208)*INDEX(卡牌消耗!$B$7:$F$7,AR1208)/$Q$4,0),"")</f>
        <v/>
      </c>
    </row>
    <row r="1209" spans="37:52" ht="16.5" x14ac:dyDescent="0.2">
      <c r="AK1209" s="104">
        <v>1205</v>
      </c>
      <c r="AL1209" s="14">
        <f t="shared" si="435"/>
        <v>24</v>
      </c>
      <c r="AM1209" s="14">
        <f>INDEX(挂机升级突破!DQ$6:DQ$57,卡牌消耗!$AT1209)</f>
        <v>11</v>
      </c>
      <c r="AN1209" s="14">
        <f>INDEX(挂机升级突破!DR$6:DR$57,卡牌消耗!$AT1209)</f>
        <v>2</v>
      </c>
      <c r="AO1209" s="14">
        <f>INDEX(挂机升级突破!DS$6:DS$57,卡牌消耗!$AT1209)</f>
        <v>0</v>
      </c>
      <c r="AP1209" s="14">
        <f>INDEX(挂机升级突破!$DP$6:$DP$57,卡牌消耗!AT1209)</f>
        <v>40</v>
      </c>
      <c r="AQ1209" s="14" t="str">
        <f t="shared" si="436"/>
        <v>朱仙</v>
      </c>
      <c r="AR1209" s="14">
        <f t="shared" si="437"/>
        <v>3</v>
      </c>
      <c r="AS1209" s="14" t="str">
        <f t="shared" si="438"/>
        <v>朱仙魂火-9</v>
      </c>
      <c r="AT1209" s="14">
        <f t="shared" si="439"/>
        <v>9</v>
      </c>
      <c r="AU1209" s="14" t="str">
        <f>IF(AM1209&gt;0,INDEX(挂机升级突破!$DT$4:$ED$4,AM1209),"")</f>
        <v>金币</v>
      </c>
      <c r="AV1209" s="14">
        <f>ROUND(INDEX(挂机升级突破!$DJ$6:$DJ$57,卡牌消耗!AT1209)*INDEX(卡牌消耗!$B$8:$F$8,AR1209)/$Q$4/50,0)*50</f>
        <v>1900</v>
      </c>
      <c r="AW1209" s="14" t="str">
        <f>IF(AN1209&gt;0,INDEX(挂机升级突破!$DT$4:$ED$4,AN1209),"")</f>
        <v>蓝色基础材料</v>
      </c>
      <c r="AX1209" s="14">
        <f>ROUND(INDEX(挂机升级突破!$DT$6:$ED$57,卡牌消耗!AT1209,AN1209)*INDEX(卡牌消耗!$B$5:$F$5,AR1209)/$Q$4/5,0)*5</f>
        <v>60</v>
      </c>
      <c r="AY1209" s="14" t="str">
        <f>IF(AO1209&gt;0,INDEX(挂机升级突破!$DT$4:$ED$4,AO1209),"")</f>
        <v/>
      </c>
      <c r="AZ1209" s="14" t="str">
        <f>IF(AO1209&gt;0,ROUND(INDEX(挂机升级突破!$DT$6:$ED$57,卡牌消耗!AT1209,AO1209)*INDEX(卡牌消耗!$B$7:$F$7,AR1209)/$Q$4,0),"")</f>
        <v/>
      </c>
    </row>
    <row r="1210" spans="37:52" ht="16.5" x14ac:dyDescent="0.2">
      <c r="AK1210" s="104">
        <v>1206</v>
      </c>
      <c r="AL1210" s="14">
        <f t="shared" si="435"/>
        <v>24</v>
      </c>
      <c r="AM1210" s="14">
        <f>INDEX(挂机升级突破!DQ$6:DQ$57,卡牌消耗!$AT1210)</f>
        <v>11</v>
      </c>
      <c r="AN1210" s="14">
        <f>INDEX(挂机升级突破!DR$6:DR$57,卡牌消耗!$AT1210)</f>
        <v>2</v>
      </c>
      <c r="AO1210" s="14">
        <f>INDEX(挂机升级突破!DS$6:DS$57,卡牌消耗!$AT1210)</f>
        <v>0</v>
      </c>
      <c r="AP1210" s="14">
        <f>INDEX(挂机升级突破!$DP$6:$DP$57,卡牌消耗!AT1210)</f>
        <v>43</v>
      </c>
      <c r="AQ1210" s="14" t="str">
        <f t="shared" si="436"/>
        <v>朱仙</v>
      </c>
      <c r="AR1210" s="14">
        <f t="shared" si="437"/>
        <v>3</v>
      </c>
      <c r="AS1210" s="14" t="str">
        <f t="shared" si="438"/>
        <v>朱仙魂火-10</v>
      </c>
      <c r="AT1210" s="14">
        <f t="shared" si="439"/>
        <v>10</v>
      </c>
      <c r="AU1210" s="14" t="str">
        <f>IF(AM1210&gt;0,INDEX(挂机升级突破!$DT$4:$ED$4,AM1210),"")</f>
        <v>金币</v>
      </c>
      <c r="AV1210" s="14">
        <f>ROUND(INDEX(挂机升级突破!$DJ$6:$DJ$57,卡牌消耗!AT1210)*INDEX(卡牌消耗!$B$8:$F$8,AR1210)/$Q$4/50,0)*50</f>
        <v>3200</v>
      </c>
      <c r="AW1210" s="14" t="str">
        <f>IF(AN1210&gt;0,INDEX(挂机升级突破!$DT$4:$ED$4,AN1210),"")</f>
        <v>蓝色基础材料</v>
      </c>
      <c r="AX1210" s="14">
        <f>ROUND(INDEX(挂机升级突破!$DT$6:$ED$57,卡牌消耗!AT1210,AN1210)*INDEX(卡牌消耗!$B$5:$F$5,AR1210)/$Q$4/5,0)*5</f>
        <v>85</v>
      </c>
      <c r="AY1210" s="14" t="str">
        <f>IF(AO1210&gt;0,INDEX(挂机升级突破!$DT$4:$ED$4,AO1210),"")</f>
        <v/>
      </c>
      <c r="AZ1210" s="14" t="str">
        <f>IF(AO1210&gt;0,ROUND(INDEX(挂机升级突破!$DT$6:$ED$57,卡牌消耗!AT1210,AO1210)*INDEX(卡牌消耗!$B$7:$F$7,AR1210)/$Q$4,0),"")</f>
        <v/>
      </c>
    </row>
    <row r="1211" spans="37:52" ht="16.5" x14ac:dyDescent="0.2">
      <c r="AK1211" s="104">
        <v>1207</v>
      </c>
      <c r="AL1211" s="14">
        <f t="shared" si="435"/>
        <v>24</v>
      </c>
      <c r="AM1211" s="14">
        <f>INDEX(挂机升级突破!DQ$6:DQ$57,卡牌消耗!$AT1211)</f>
        <v>11</v>
      </c>
      <c r="AN1211" s="14">
        <f>INDEX(挂机升级突破!DR$6:DR$57,卡牌消耗!$AT1211)</f>
        <v>2</v>
      </c>
      <c r="AO1211" s="14">
        <f>INDEX(挂机升级突破!DS$6:DS$57,卡牌消耗!$AT1211)</f>
        <v>0</v>
      </c>
      <c r="AP1211" s="14">
        <f>INDEX(挂机升级突破!$DP$6:$DP$57,卡牌消耗!AT1211)</f>
        <v>45</v>
      </c>
      <c r="AQ1211" s="14" t="str">
        <f t="shared" si="436"/>
        <v>朱仙</v>
      </c>
      <c r="AR1211" s="14">
        <f t="shared" si="437"/>
        <v>3</v>
      </c>
      <c r="AS1211" s="14" t="str">
        <f t="shared" si="438"/>
        <v>朱仙魂火-11</v>
      </c>
      <c r="AT1211" s="14">
        <f t="shared" si="439"/>
        <v>11</v>
      </c>
      <c r="AU1211" s="14" t="str">
        <f>IF(AM1211&gt;0,INDEX(挂机升级突破!$DT$4:$ED$4,AM1211),"")</f>
        <v>金币</v>
      </c>
      <c r="AV1211" s="14">
        <f>ROUND(INDEX(挂机升级突破!$DJ$6:$DJ$57,卡牌消耗!AT1211)*INDEX(卡牌消耗!$B$8:$F$8,AR1211)/$Q$4/50,0)*50</f>
        <v>3200</v>
      </c>
      <c r="AW1211" s="14" t="str">
        <f>IF(AN1211&gt;0,INDEX(挂机升级突破!$DT$4:$ED$4,AN1211),"")</f>
        <v>蓝色基础材料</v>
      </c>
      <c r="AX1211" s="14">
        <f>ROUND(INDEX(挂机升级突破!$DT$6:$ED$57,卡牌消耗!AT1211,AN1211)*INDEX(卡牌消耗!$B$5:$F$5,AR1211)/$Q$4/5,0)*5</f>
        <v>85</v>
      </c>
      <c r="AY1211" s="14" t="str">
        <f>IF(AO1211&gt;0,INDEX(挂机升级突破!$DT$4:$ED$4,AO1211),"")</f>
        <v/>
      </c>
      <c r="AZ1211" s="14" t="str">
        <f>IF(AO1211&gt;0,ROUND(INDEX(挂机升级突破!$DT$6:$ED$57,卡牌消耗!AT1211,AO1211)*INDEX(卡牌消耗!$B$7:$F$7,AR1211)/$Q$4,0),"")</f>
        <v/>
      </c>
    </row>
    <row r="1212" spans="37:52" ht="16.5" x14ac:dyDescent="0.2">
      <c r="AK1212" s="104">
        <v>1208</v>
      </c>
      <c r="AL1212" s="14">
        <f t="shared" si="435"/>
        <v>24</v>
      </c>
      <c r="AM1212" s="14">
        <f>INDEX(挂机升级突破!DQ$6:DQ$57,卡牌消耗!$AT1212)</f>
        <v>11</v>
      </c>
      <c r="AN1212" s="14">
        <f>INDEX(挂机升级突破!DR$6:DR$57,卡牌消耗!$AT1212)</f>
        <v>2</v>
      </c>
      <c r="AO1212" s="14">
        <f>INDEX(挂机升级突破!DS$6:DS$57,卡牌消耗!$AT1212)</f>
        <v>0</v>
      </c>
      <c r="AP1212" s="14">
        <f>INDEX(挂机升级突破!$DP$6:$DP$57,卡牌消耗!AT1212)</f>
        <v>48</v>
      </c>
      <c r="AQ1212" s="14" t="str">
        <f t="shared" si="436"/>
        <v>朱仙</v>
      </c>
      <c r="AR1212" s="14">
        <f t="shared" si="437"/>
        <v>3</v>
      </c>
      <c r="AS1212" s="14" t="str">
        <f t="shared" si="438"/>
        <v>朱仙魂火-12</v>
      </c>
      <c r="AT1212" s="14">
        <f t="shared" si="439"/>
        <v>12</v>
      </c>
      <c r="AU1212" s="14" t="str">
        <f>IF(AM1212&gt;0,INDEX(挂机升级突破!$DT$4:$ED$4,AM1212),"")</f>
        <v>金币</v>
      </c>
      <c r="AV1212" s="14">
        <f>ROUND(INDEX(挂机升级突破!$DJ$6:$DJ$57,卡牌消耗!AT1212)*INDEX(卡牌消耗!$B$8:$F$8,AR1212)/$Q$4/50,0)*50</f>
        <v>2750</v>
      </c>
      <c r="AW1212" s="14" t="str">
        <f>IF(AN1212&gt;0,INDEX(挂机升级突破!$DT$4:$ED$4,AN1212),"")</f>
        <v>蓝色基础材料</v>
      </c>
      <c r="AX1212" s="14">
        <f>ROUND(INDEX(挂机升级突破!$DT$6:$ED$57,卡牌消耗!AT1212,AN1212)*INDEX(卡牌消耗!$B$5:$F$5,AR1212)/$Q$4/5,0)*5</f>
        <v>115</v>
      </c>
      <c r="AY1212" s="14" t="str">
        <f>IF(AO1212&gt;0,INDEX(挂机升级突破!$DT$4:$ED$4,AO1212),"")</f>
        <v/>
      </c>
      <c r="AZ1212" s="14" t="str">
        <f>IF(AO1212&gt;0,ROUND(INDEX(挂机升级突破!$DT$6:$ED$57,卡牌消耗!AT1212,AO1212)*INDEX(卡牌消耗!$B$7:$F$7,AR1212)/$Q$4,0),"")</f>
        <v/>
      </c>
    </row>
    <row r="1213" spans="37:52" ht="16.5" x14ac:dyDescent="0.2">
      <c r="AK1213" s="104">
        <v>1209</v>
      </c>
      <c r="AL1213" s="14">
        <f t="shared" si="435"/>
        <v>24</v>
      </c>
      <c r="AM1213" s="14">
        <f>INDEX(挂机升级突破!DQ$6:DQ$57,卡牌消耗!$AT1213)</f>
        <v>11</v>
      </c>
      <c r="AN1213" s="14">
        <f>INDEX(挂机升级突破!DR$6:DR$57,卡牌消耗!$AT1213)</f>
        <v>2</v>
      </c>
      <c r="AO1213" s="14">
        <f>INDEX(挂机升级突破!DS$6:DS$57,卡牌消耗!$AT1213)</f>
        <v>0</v>
      </c>
      <c r="AP1213" s="14">
        <f>INDEX(挂机升级突破!$DP$6:$DP$57,卡牌消耗!AT1213)</f>
        <v>50</v>
      </c>
      <c r="AQ1213" s="14" t="str">
        <f t="shared" si="436"/>
        <v>朱仙</v>
      </c>
      <c r="AR1213" s="14">
        <f t="shared" si="437"/>
        <v>3</v>
      </c>
      <c r="AS1213" s="14" t="str">
        <f t="shared" si="438"/>
        <v>朱仙魂火-13</v>
      </c>
      <c r="AT1213" s="14">
        <f t="shared" si="439"/>
        <v>13</v>
      </c>
      <c r="AU1213" s="14" t="str">
        <f>IF(AM1213&gt;0,INDEX(挂机升级突破!$DT$4:$ED$4,AM1213),"")</f>
        <v>金币</v>
      </c>
      <c r="AV1213" s="14">
        <f>ROUND(INDEX(挂机升级突破!$DJ$6:$DJ$57,卡牌消耗!AT1213)*INDEX(卡牌消耗!$B$8:$F$8,AR1213)/$Q$4/50,0)*50</f>
        <v>2750</v>
      </c>
      <c r="AW1213" s="14" t="str">
        <f>IF(AN1213&gt;0,INDEX(挂机升级突破!$DT$4:$ED$4,AN1213),"")</f>
        <v>蓝色基础材料</v>
      </c>
      <c r="AX1213" s="14">
        <f>ROUND(INDEX(挂机升级突破!$DT$6:$ED$57,卡牌消耗!AT1213,AN1213)*INDEX(卡牌消耗!$B$5:$F$5,AR1213)/$Q$4/5,0)*5</f>
        <v>115</v>
      </c>
      <c r="AY1213" s="14" t="str">
        <f>IF(AO1213&gt;0,INDEX(挂机升级突破!$DT$4:$ED$4,AO1213),"")</f>
        <v/>
      </c>
      <c r="AZ1213" s="14" t="str">
        <f>IF(AO1213&gt;0,ROUND(INDEX(挂机升级突破!$DT$6:$ED$57,卡牌消耗!AT1213,AO1213)*INDEX(卡牌消耗!$B$7:$F$7,AR1213)/$Q$4,0),"")</f>
        <v/>
      </c>
    </row>
    <row r="1214" spans="37:52" ht="16.5" x14ac:dyDescent="0.2">
      <c r="AK1214" s="104">
        <v>1210</v>
      </c>
      <c r="AL1214" s="14">
        <f t="shared" si="435"/>
        <v>24</v>
      </c>
      <c r="AM1214" s="14">
        <f>INDEX(挂机升级突破!DQ$6:DQ$57,卡牌消耗!$AT1214)</f>
        <v>11</v>
      </c>
      <c r="AN1214" s="14">
        <f>INDEX(挂机升级突破!DR$6:DR$57,卡牌消耗!$AT1214)</f>
        <v>3</v>
      </c>
      <c r="AO1214" s="14">
        <f>INDEX(挂机升级突破!DS$6:DS$57,卡牌消耗!$AT1214)</f>
        <v>0</v>
      </c>
      <c r="AP1214" s="14">
        <f>INDEX(挂机升级突破!$DP$6:$DP$57,卡牌消耗!AT1214)</f>
        <v>53</v>
      </c>
      <c r="AQ1214" s="14" t="str">
        <f t="shared" si="436"/>
        <v>朱仙</v>
      </c>
      <c r="AR1214" s="14">
        <f t="shared" si="437"/>
        <v>3</v>
      </c>
      <c r="AS1214" s="14" t="str">
        <f t="shared" si="438"/>
        <v>朱仙魂火-14</v>
      </c>
      <c r="AT1214" s="14">
        <f t="shared" si="439"/>
        <v>14</v>
      </c>
      <c r="AU1214" s="14" t="str">
        <f>IF(AM1214&gt;0,INDEX(挂机升级突破!$DT$4:$ED$4,AM1214),"")</f>
        <v>金币</v>
      </c>
      <c r="AV1214" s="14">
        <f>ROUND(INDEX(挂机升级突破!$DJ$6:$DJ$57,卡牌消耗!AT1214)*INDEX(卡牌消耗!$B$8:$F$8,AR1214)/$Q$4/50,0)*50</f>
        <v>3000</v>
      </c>
      <c r="AW1214" s="14" t="str">
        <f>IF(AN1214&gt;0,INDEX(挂机升级突破!$DT$4:$ED$4,AN1214),"")</f>
        <v>紫色基础材料</v>
      </c>
      <c r="AX1214" s="14">
        <f>ROUND(INDEX(挂机升级突破!$DT$6:$ED$57,卡牌消耗!AT1214,AN1214)*INDEX(卡牌消耗!$B$5:$F$5,AR1214)/$Q$4/5,0)*5</f>
        <v>25</v>
      </c>
      <c r="AY1214" s="14" t="str">
        <f>IF(AO1214&gt;0,INDEX(挂机升级突破!$DT$4:$ED$4,AO1214),"")</f>
        <v/>
      </c>
      <c r="AZ1214" s="14" t="str">
        <f>IF(AO1214&gt;0,ROUND(INDEX(挂机升级突破!$DT$6:$ED$57,卡牌消耗!AT1214,AO1214)*INDEX(卡牌消耗!$B$7:$F$7,AR1214)/$Q$4,0),"")</f>
        <v/>
      </c>
    </row>
    <row r="1215" spans="37:52" ht="16.5" x14ac:dyDescent="0.2">
      <c r="AK1215" s="104">
        <v>1211</v>
      </c>
      <c r="AL1215" s="14">
        <f t="shared" si="435"/>
        <v>24</v>
      </c>
      <c r="AM1215" s="14">
        <f>INDEX(挂机升级突破!DQ$6:DQ$57,卡牌消耗!$AT1215)</f>
        <v>11</v>
      </c>
      <c r="AN1215" s="14">
        <f>INDEX(挂机升级突破!DR$6:DR$57,卡牌消耗!$AT1215)</f>
        <v>3</v>
      </c>
      <c r="AO1215" s="14">
        <f>INDEX(挂机升级突破!DS$6:DS$57,卡牌消耗!$AT1215)</f>
        <v>0</v>
      </c>
      <c r="AP1215" s="14">
        <f>INDEX(挂机升级突破!$DP$6:$DP$57,卡牌消耗!AT1215)</f>
        <v>55</v>
      </c>
      <c r="AQ1215" s="14" t="str">
        <f t="shared" si="436"/>
        <v>朱仙</v>
      </c>
      <c r="AR1215" s="14">
        <f t="shared" si="437"/>
        <v>3</v>
      </c>
      <c r="AS1215" s="14" t="str">
        <f t="shared" si="438"/>
        <v>朱仙魂火-15</v>
      </c>
      <c r="AT1215" s="14">
        <f t="shared" si="439"/>
        <v>15</v>
      </c>
      <c r="AU1215" s="14" t="str">
        <f>IF(AM1215&gt;0,INDEX(挂机升级突破!$DT$4:$ED$4,AM1215),"")</f>
        <v>金币</v>
      </c>
      <c r="AV1215" s="14">
        <f>ROUND(INDEX(挂机升级突破!$DJ$6:$DJ$57,卡牌消耗!AT1215)*INDEX(卡牌消耗!$B$8:$F$8,AR1215)/$Q$4/50,0)*50</f>
        <v>3250</v>
      </c>
      <c r="AW1215" s="14" t="str">
        <f>IF(AN1215&gt;0,INDEX(挂机升级突破!$DT$4:$ED$4,AN1215),"")</f>
        <v>紫色基础材料</v>
      </c>
      <c r="AX1215" s="14">
        <f>ROUND(INDEX(挂机升级突破!$DT$6:$ED$57,卡牌消耗!AT1215,AN1215)*INDEX(卡牌消耗!$B$5:$F$5,AR1215)/$Q$4/5,0)*5</f>
        <v>25</v>
      </c>
      <c r="AY1215" s="14" t="str">
        <f>IF(AO1215&gt;0,INDEX(挂机升级突破!$DT$4:$ED$4,AO1215),"")</f>
        <v/>
      </c>
      <c r="AZ1215" s="14" t="str">
        <f>IF(AO1215&gt;0,ROUND(INDEX(挂机升级突破!$DT$6:$ED$57,卡牌消耗!AT1215,AO1215)*INDEX(卡牌消耗!$B$7:$F$7,AR1215)/$Q$4,0),"")</f>
        <v/>
      </c>
    </row>
    <row r="1216" spans="37:52" ht="16.5" x14ac:dyDescent="0.2">
      <c r="AK1216" s="104">
        <v>1212</v>
      </c>
      <c r="AL1216" s="14">
        <f t="shared" si="435"/>
        <v>24</v>
      </c>
      <c r="AM1216" s="14">
        <f>INDEX(挂机升级突破!DQ$6:DQ$57,卡牌消耗!$AT1216)</f>
        <v>11</v>
      </c>
      <c r="AN1216" s="14">
        <f>INDEX(挂机升级突破!DR$6:DR$57,卡牌消耗!$AT1216)</f>
        <v>3</v>
      </c>
      <c r="AO1216" s="14">
        <f>INDEX(挂机升级突破!DS$6:DS$57,卡牌消耗!$AT1216)</f>
        <v>0</v>
      </c>
      <c r="AP1216" s="14">
        <f>INDEX(挂机升级突破!$DP$6:$DP$57,卡牌消耗!AT1216)</f>
        <v>58</v>
      </c>
      <c r="AQ1216" s="14" t="str">
        <f t="shared" si="436"/>
        <v>朱仙</v>
      </c>
      <c r="AR1216" s="14">
        <f t="shared" si="437"/>
        <v>3</v>
      </c>
      <c r="AS1216" s="14" t="str">
        <f t="shared" si="438"/>
        <v>朱仙魂火-16</v>
      </c>
      <c r="AT1216" s="14">
        <f t="shared" si="439"/>
        <v>16</v>
      </c>
      <c r="AU1216" s="14" t="str">
        <f>IF(AM1216&gt;0,INDEX(挂机升级突破!$DT$4:$ED$4,AM1216),"")</f>
        <v>金币</v>
      </c>
      <c r="AV1216" s="14">
        <f>ROUND(INDEX(挂机升级突破!$DJ$6:$DJ$57,卡牌消耗!AT1216)*INDEX(卡牌消耗!$B$8:$F$8,AR1216)/$Q$4/50,0)*50</f>
        <v>3250</v>
      </c>
      <c r="AW1216" s="14" t="str">
        <f>IF(AN1216&gt;0,INDEX(挂机升级突破!$DT$4:$ED$4,AN1216),"")</f>
        <v>紫色基础材料</v>
      </c>
      <c r="AX1216" s="14">
        <f>ROUND(INDEX(挂机升级突破!$DT$6:$ED$57,卡牌消耗!AT1216,AN1216)*INDEX(卡牌消耗!$B$5:$F$5,AR1216)/$Q$4/5,0)*5</f>
        <v>25</v>
      </c>
      <c r="AY1216" s="14" t="str">
        <f>IF(AO1216&gt;0,INDEX(挂机升级突破!$DT$4:$ED$4,AO1216),"")</f>
        <v/>
      </c>
      <c r="AZ1216" s="14" t="str">
        <f>IF(AO1216&gt;0,ROUND(INDEX(挂机升级突破!$DT$6:$ED$57,卡牌消耗!AT1216,AO1216)*INDEX(卡牌消耗!$B$7:$F$7,AR1216)/$Q$4,0),"")</f>
        <v/>
      </c>
    </row>
    <row r="1217" spans="37:52" ht="16.5" x14ac:dyDescent="0.2">
      <c r="AK1217" s="104">
        <v>1213</v>
      </c>
      <c r="AL1217" s="14">
        <f t="shared" si="435"/>
        <v>24</v>
      </c>
      <c r="AM1217" s="14">
        <f>INDEX(挂机升级突破!DQ$6:DQ$57,卡牌消耗!$AT1217)</f>
        <v>11</v>
      </c>
      <c r="AN1217" s="14">
        <f>INDEX(挂机升级突破!DR$6:DR$57,卡牌消耗!$AT1217)</f>
        <v>3</v>
      </c>
      <c r="AO1217" s="14">
        <f>INDEX(挂机升级突破!DS$6:DS$57,卡牌消耗!$AT1217)</f>
        <v>0</v>
      </c>
      <c r="AP1217" s="14">
        <f>INDEX(挂机升级突破!$DP$6:$DP$57,卡牌消耗!AT1217)</f>
        <v>60</v>
      </c>
      <c r="AQ1217" s="14" t="str">
        <f t="shared" si="436"/>
        <v>朱仙</v>
      </c>
      <c r="AR1217" s="14">
        <f t="shared" si="437"/>
        <v>3</v>
      </c>
      <c r="AS1217" s="14" t="str">
        <f t="shared" si="438"/>
        <v>朱仙魂火-17</v>
      </c>
      <c r="AT1217" s="14">
        <f t="shared" si="439"/>
        <v>17</v>
      </c>
      <c r="AU1217" s="14" t="str">
        <f>IF(AM1217&gt;0,INDEX(挂机升级突破!$DT$4:$ED$4,AM1217),"")</f>
        <v>金币</v>
      </c>
      <c r="AV1217" s="14">
        <f>ROUND(INDEX(挂机升级突破!$DJ$6:$DJ$57,卡牌消耗!AT1217)*INDEX(卡牌消耗!$B$8:$F$8,AR1217)/$Q$4/50,0)*50</f>
        <v>4100</v>
      </c>
      <c r="AW1217" s="14" t="str">
        <f>IF(AN1217&gt;0,INDEX(挂机升级突破!$DT$4:$ED$4,AN1217),"")</f>
        <v>紫色基础材料</v>
      </c>
      <c r="AX1217" s="14">
        <f>ROUND(INDEX(挂机升级突破!$DT$6:$ED$57,卡牌消耗!AT1217,AN1217)*INDEX(卡牌消耗!$B$5:$F$5,AR1217)/$Q$4/5,0)*5</f>
        <v>45</v>
      </c>
      <c r="AY1217" s="14" t="str">
        <f>IF(AO1217&gt;0,INDEX(挂机升级突破!$DT$4:$ED$4,AO1217),"")</f>
        <v/>
      </c>
      <c r="AZ1217" s="14" t="str">
        <f>IF(AO1217&gt;0,ROUND(INDEX(挂机升级突破!$DT$6:$ED$57,卡牌消耗!AT1217,AO1217)*INDEX(卡牌消耗!$B$7:$F$7,AR1217)/$Q$4,0),"")</f>
        <v/>
      </c>
    </row>
    <row r="1218" spans="37:52" ht="16.5" x14ac:dyDescent="0.2">
      <c r="AK1218" s="104">
        <v>1214</v>
      </c>
      <c r="AL1218" s="14">
        <f t="shared" si="435"/>
        <v>24</v>
      </c>
      <c r="AM1218" s="14">
        <f>INDEX(挂机升级突破!DQ$6:DQ$57,卡牌消耗!$AT1218)</f>
        <v>11</v>
      </c>
      <c r="AN1218" s="14">
        <f>INDEX(挂机升级突破!DR$6:DR$57,卡牌消耗!$AT1218)</f>
        <v>3</v>
      </c>
      <c r="AO1218" s="14">
        <f>INDEX(挂机升级突破!DS$6:DS$57,卡牌消耗!$AT1218)</f>
        <v>0</v>
      </c>
      <c r="AP1218" s="14">
        <f>INDEX(挂机升级突破!$DP$6:$DP$57,卡牌消耗!AT1218)</f>
        <v>63</v>
      </c>
      <c r="AQ1218" s="14" t="str">
        <f t="shared" si="436"/>
        <v>朱仙</v>
      </c>
      <c r="AR1218" s="14">
        <f t="shared" si="437"/>
        <v>3</v>
      </c>
      <c r="AS1218" s="14" t="str">
        <f t="shared" si="438"/>
        <v>朱仙魂火-18</v>
      </c>
      <c r="AT1218" s="14">
        <f t="shared" si="439"/>
        <v>18</v>
      </c>
      <c r="AU1218" s="14" t="str">
        <f>IF(AM1218&gt;0,INDEX(挂机升级突破!$DT$4:$ED$4,AM1218),"")</f>
        <v>金币</v>
      </c>
      <c r="AV1218" s="14">
        <f>ROUND(INDEX(挂机升级突破!$DJ$6:$DJ$57,卡牌消耗!AT1218)*INDEX(卡牌消耗!$B$8:$F$8,AR1218)/$Q$4/50,0)*50</f>
        <v>4100</v>
      </c>
      <c r="AW1218" s="14" t="str">
        <f>IF(AN1218&gt;0,INDEX(挂机升级突破!$DT$4:$ED$4,AN1218),"")</f>
        <v>紫色基础材料</v>
      </c>
      <c r="AX1218" s="14">
        <f>ROUND(INDEX(挂机升级突破!$DT$6:$ED$57,卡牌消耗!AT1218,AN1218)*INDEX(卡牌消耗!$B$5:$F$5,AR1218)/$Q$4/5,0)*5</f>
        <v>45</v>
      </c>
      <c r="AY1218" s="14" t="str">
        <f>IF(AO1218&gt;0,INDEX(挂机升级突破!$DT$4:$ED$4,AO1218),"")</f>
        <v/>
      </c>
      <c r="AZ1218" s="14" t="str">
        <f>IF(AO1218&gt;0,ROUND(INDEX(挂机升级突破!$DT$6:$ED$57,卡牌消耗!AT1218,AO1218)*INDEX(卡牌消耗!$B$7:$F$7,AR1218)/$Q$4,0),"")</f>
        <v/>
      </c>
    </row>
    <row r="1219" spans="37:52" ht="16.5" x14ac:dyDescent="0.2">
      <c r="AK1219" s="104">
        <v>1215</v>
      </c>
      <c r="AL1219" s="14">
        <f t="shared" si="435"/>
        <v>24</v>
      </c>
      <c r="AM1219" s="14">
        <f>INDEX(挂机升级突破!DQ$6:DQ$57,卡牌消耗!$AT1219)</f>
        <v>11</v>
      </c>
      <c r="AN1219" s="14">
        <f>INDEX(挂机升级突破!DR$6:DR$57,卡牌消耗!$AT1219)</f>
        <v>3</v>
      </c>
      <c r="AO1219" s="14">
        <f>INDEX(挂机升级突破!DS$6:DS$57,卡牌消耗!$AT1219)</f>
        <v>0</v>
      </c>
      <c r="AP1219" s="14">
        <f>INDEX(挂机升级突破!$DP$6:$DP$57,卡牌消耗!AT1219)</f>
        <v>65</v>
      </c>
      <c r="AQ1219" s="14" t="str">
        <f t="shared" si="436"/>
        <v>朱仙</v>
      </c>
      <c r="AR1219" s="14">
        <f t="shared" si="437"/>
        <v>3</v>
      </c>
      <c r="AS1219" s="14" t="str">
        <f t="shared" si="438"/>
        <v>朱仙魂火-19</v>
      </c>
      <c r="AT1219" s="14">
        <f t="shared" si="439"/>
        <v>19</v>
      </c>
      <c r="AU1219" s="14" t="str">
        <f>IF(AM1219&gt;0,INDEX(挂机升级突破!$DT$4:$ED$4,AM1219),"")</f>
        <v>金币</v>
      </c>
      <c r="AV1219" s="14">
        <f>ROUND(INDEX(挂机升级突破!$DJ$6:$DJ$57,卡牌消耗!AT1219)*INDEX(卡牌消耗!$B$8:$F$8,AR1219)/$Q$4/50,0)*50</f>
        <v>4100</v>
      </c>
      <c r="AW1219" s="14" t="str">
        <f>IF(AN1219&gt;0,INDEX(挂机升级突破!$DT$4:$ED$4,AN1219),"")</f>
        <v>紫色基础材料</v>
      </c>
      <c r="AX1219" s="14">
        <f>ROUND(INDEX(挂机升级突破!$DT$6:$ED$57,卡牌消耗!AT1219,AN1219)*INDEX(卡牌消耗!$B$5:$F$5,AR1219)/$Q$4/5,0)*5</f>
        <v>45</v>
      </c>
      <c r="AY1219" s="14" t="str">
        <f>IF(AO1219&gt;0,INDEX(挂机升级突破!$DT$4:$ED$4,AO1219),"")</f>
        <v/>
      </c>
      <c r="AZ1219" s="14" t="str">
        <f>IF(AO1219&gt;0,ROUND(INDEX(挂机升级突破!$DT$6:$ED$57,卡牌消耗!AT1219,AO1219)*INDEX(卡牌消耗!$B$7:$F$7,AR1219)/$Q$4,0),"")</f>
        <v/>
      </c>
    </row>
    <row r="1220" spans="37:52" ht="16.5" x14ac:dyDescent="0.2">
      <c r="AK1220" s="104">
        <v>1216</v>
      </c>
      <c r="AL1220" s="14">
        <f t="shared" si="435"/>
        <v>24</v>
      </c>
      <c r="AM1220" s="14">
        <f>INDEX(挂机升级突破!DQ$6:DQ$57,卡牌消耗!$AT1220)</f>
        <v>11</v>
      </c>
      <c r="AN1220" s="14">
        <f>INDEX(挂机升级突破!DR$6:DR$57,卡牌消耗!$AT1220)</f>
        <v>3</v>
      </c>
      <c r="AO1220" s="14">
        <f>INDEX(挂机升级突破!DS$6:DS$57,卡牌消耗!$AT1220)</f>
        <v>0</v>
      </c>
      <c r="AP1220" s="14">
        <f>INDEX(挂机升级突破!$DP$6:$DP$57,卡牌消耗!AT1220)</f>
        <v>68</v>
      </c>
      <c r="AQ1220" s="14" t="str">
        <f t="shared" si="436"/>
        <v>朱仙</v>
      </c>
      <c r="AR1220" s="14">
        <f t="shared" si="437"/>
        <v>3</v>
      </c>
      <c r="AS1220" s="14" t="str">
        <f t="shared" si="438"/>
        <v>朱仙魂火-20</v>
      </c>
      <c r="AT1220" s="14">
        <f t="shared" si="439"/>
        <v>20</v>
      </c>
      <c r="AU1220" s="14" t="str">
        <f>IF(AM1220&gt;0,INDEX(挂机升级突破!$DT$4:$ED$4,AM1220),"")</f>
        <v>金币</v>
      </c>
      <c r="AV1220" s="14">
        <f>ROUND(INDEX(挂机升级突破!$DJ$6:$DJ$57,卡牌消耗!AT1220)*INDEX(卡牌消耗!$B$8:$F$8,AR1220)/$Q$4/50,0)*50</f>
        <v>5000</v>
      </c>
      <c r="AW1220" s="14" t="str">
        <f>IF(AN1220&gt;0,INDEX(挂机升级突破!$DT$4:$ED$4,AN1220),"")</f>
        <v>紫色基础材料</v>
      </c>
      <c r="AX1220" s="14">
        <f>ROUND(INDEX(挂机升级突破!$DT$6:$ED$57,卡牌消耗!AT1220,AN1220)*INDEX(卡牌消耗!$B$5:$F$5,AR1220)/$Q$4/5,0)*5</f>
        <v>70</v>
      </c>
      <c r="AY1220" s="14" t="str">
        <f>IF(AO1220&gt;0,INDEX(挂机升级突破!$DT$4:$ED$4,AO1220),"")</f>
        <v/>
      </c>
      <c r="AZ1220" s="14" t="str">
        <f>IF(AO1220&gt;0,ROUND(INDEX(挂机升级突破!$DT$6:$ED$57,卡牌消耗!AT1220,AO1220)*INDEX(卡牌消耗!$B$7:$F$7,AR1220)/$Q$4,0),"")</f>
        <v/>
      </c>
    </row>
    <row r="1221" spans="37:52" ht="16.5" x14ac:dyDescent="0.2">
      <c r="AK1221" s="104">
        <v>1217</v>
      </c>
      <c r="AL1221" s="14">
        <f t="shared" si="435"/>
        <v>24</v>
      </c>
      <c r="AM1221" s="14">
        <f>INDEX(挂机升级突破!DQ$6:DQ$57,卡牌消耗!$AT1221)</f>
        <v>11</v>
      </c>
      <c r="AN1221" s="14">
        <f>INDEX(挂机升级突破!DR$6:DR$57,卡牌消耗!$AT1221)</f>
        <v>3</v>
      </c>
      <c r="AO1221" s="14">
        <f>INDEX(挂机升级突破!DS$6:DS$57,卡牌消耗!$AT1221)</f>
        <v>0</v>
      </c>
      <c r="AP1221" s="14">
        <f>INDEX(挂机升级突破!$DP$6:$DP$57,卡牌消耗!AT1221)</f>
        <v>70</v>
      </c>
      <c r="AQ1221" s="14" t="str">
        <f t="shared" si="436"/>
        <v>朱仙</v>
      </c>
      <c r="AR1221" s="14">
        <f t="shared" si="437"/>
        <v>3</v>
      </c>
      <c r="AS1221" s="14" t="str">
        <f t="shared" si="438"/>
        <v>朱仙魂火-21</v>
      </c>
      <c r="AT1221" s="14">
        <f t="shared" si="439"/>
        <v>21</v>
      </c>
      <c r="AU1221" s="14" t="str">
        <f>IF(AM1221&gt;0,INDEX(挂机升级突破!$DT$4:$ED$4,AM1221),"")</f>
        <v>金币</v>
      </c>
      <c r="AV1221" s="14">
        <f>ROUND(INDEX(挂机升级突破!$DJ$6:$DJ$57,卡牌消耗!AT1221)*INDEX(卡牌消耗!$B$8:$F$8,AR1221)/$Q$4/50,0)*50</f>
        <v>5000</v>
      </c>
      <c r="AW1221" s="14" t="str">
        <f>IF(AN1221&gt;0,INDEX(挂机升级突破!$DT$4:$ED$4,AN1221),"")</f>
        <v>紫色基础材料</v>
      </c>
      <c r="AX1221" s="14">
        <f>ROUND(INDEX(挂机升级突破!$DT$6:$ED$57,卡牌消耗!AT1221,AN1221)*INDEX(卡牌消耗!$B$5:$F$5,AR1221)/$Q$4/5,0)*5</f>
        <v>70</v>
      </c>
      <c r="AY1221" s="14" t="str">
        <f>IF(AO1221&gt;0,INDEX(挂机升级突破!$DT$4:$ED$4,AO1221),"")</f>
        <v/>
      </c>
      <c r="AZ1221" s="14" t="str">
        <f>IF(AO1221&gt;0,ROUND(INDEX(挂机升级突破!$DT$6:$ED$57,卡牌消耗!AT1221,AO1221)*INDEX(卡牌消耗!$B$7:$F$7,AR1221)/$Q$4,0),"")</f>
        <v/>
      </c>
    </row>
    <row r="1222" spans="37:52" ht="16.5" x14ac:dyDescent="0.2">
      <c r="AK1222" s="104">
        <v>1218</v>
      </c>
      <c r="AL1222" s="14">
        <f t="shared" ref="AL1222:AL1285" si="440">INT((AK1222-1)/52)+1</f>
        <v>24</v>
      </c>
      <c r="AM1222" s="14">
        <f>INDEX(挂机升级突破!DQ$6:DQ$57,卡牌消耗!$AT1222)</f>
        <v>11</v>
      </c>
      <c r="AN1222" s="14">
        <f>INDEX(挂机升级突破!DR$6:DR$57,卡牌消耗!$AT1222)</f>
        <v>3</v>
      </c>
      <c r="AO1222" s="14">
        <f>INDEX(挂机升级突破!DS$6:DS$57,卡牌消耗!$AT1222)</f>
        <v>0</v>
      </c>
      <c r="AP1222" s="14">
        <f>INDEX(挂机升级突破!$DP$6:$DP$57,卡牌消耗!AT1222)</f>
        <v>73</v>
      </c>
      <c r="AQ1222" s="14" t="str">
        <f t="shared" ref="AQ1222:AQ1285" si="441">INDEX($B$13:$B$45,AL1222)</f>
        <v>朱仙</v>
      </c>
      <c r="AR1222" s="14">
        <f t="shared" ref="AR1222:AR1285" si="442">INDEX($C$13:$C$45,AL1222)</f>
        <v>3</v>
      </c>
      <c r="AS1222" s="14" t="str">
        <f t="shared" ref="AS1222:AS1285" si="443">AQ1222&amp;"魂火-"&amp;AT1222</f>
        <v>朱仙魂火-22</v>
      </c>
      <c r="AT1222" s="14">
        <f t="shared" ref="AT1222:AT1285" si="444">AK1222-(AL1222-1)*52</f>
        <v>22</v>
      </c>
      <c r="AU1222" s="14" t="str">
        <f>IF(AM1222&gt;0,INDEX(挂机升级突破!$DT$4:$ED$4,AM1222),"")</f>
        <v>金币</v>
      </c>
      <c r="AV1222" s="14">
        <f>ROUND(INDEX(挂机升级突破!$DJ$6:$DJ$57,卡牌消耗!AT1222)*INDEX(卡牌消耗!$B$8:$F$8,AR1222)/$Q$4/50,0)*50</f>
        <v>5000</v>
      </c>
      <c r="AW1222" s="14" t="str">
        <f>IF(AN1222&gt;0,INDEX(挂机升级突破!$DT$4:$ED$4,AN1222),"")</f>
        <v>紫色基础材料</v>
      </c>
      <c r="AX1222" s="14">
        <f>ROUND(INDEX(挂机升级突破!$DT$6:$ED$57,卡牌消耗!AT1222,AN1222)*INDEX(卡牌消耗!$B$5:$F$5,AR1222)/$Q$4/5,0)*5</f>
        <v>70</v>
      </c>
      <c r="AY1222" s="14" t="str">
        <f>IF(AO1222&gt;0,INDEX(挂机升级突破!$DT$4:$ED$4,AO1222),"")</f>
        <v/>
      </c>
      <c r="AZ1222" s="14" t="str">
        <f>IF(AO1222&gt;0,ROUND(INDEX(挂机升级突破!$DT$6:$ED$57,卡牌消耗!AT1222,AO1222)*INDEX(卡牌消耗!$B$7:$F$7,AR1222)/$Q$4,0),"")</f>
        <v/>
      </c>
    </row>
    <row r="1223" spans="37:52" ht="16.5" x14ac:dyDescent="0.2">
      <c r="AK1223" s="104">
        <v>1219</v>
      </c>
      <c r="AL1223" s="14">
        <f t="shared" si="440"/>
        <v>24</v>
      </c>
      <c r="AM1223" s="14">
        <f>INDEX(挂机升级突破!DQ$6:DQ$57,卡牌消耗!$AT1223)</f>
        <v>11</v>
      </c>
      <c r="AN1223" s="14">
        <f>INDEX(挂机升级突破!DR$6:DR$57,卡牌消耗!$AT1223)</f>
        <v>4</v>
      </c>
      <c r="AO1223" s="14">
        <f>INDEX(挂机升级突破!DS$6:DS$57,卡牌消耗!$AT1223)</f>
        <v>0</v>
      </c>
      <c r="AP1223" s="14">
        <f>INDEX(挂机升级突破!$DP$6:$DP$57,卡牌消耗!AT1223)</f>
        <v>75</v>
      </c>
      <c r="AQ1223" s="14" t="str">
        <f t="shared" si="441"/>
        <v>朱仙</v>
      </c>
      <c r="AR1223" s="14">
        <f t="shared" si="442"/>
        <v>3</v>
      </c>
      <c r="AS1223" s="14" t="str">
        <f t="shared" si="443"/>
        <v>朱仙魂火-23</v>
      </c>
      <c r="AT1223" s="14">
        <f t="shared" si="444"/>
        <v>23</v>
      </c>
      <c r="AU1223" s="14" t="str">
        <f>IF(AM1223&gt;0,INDEX(挂机升级突破!$DT$4:$ED$4,AM1223),"")</f>
        <v>金币</v>
      </c>
      <c r="AV1223" s="14">
        <f>ROUND(INDEX(挂机升级突破!$DJ$6:$DJ$57,卡牌消耗!AT1223)*INDEX(卡牌消耗!$B$8:$F$8,AR1223)/$Q$4/50,0)*50</f>
        <v>6900</v>
      </c>
      <c r="AW1223" s="14" t="str">
        <f>IF(AN1223&gt;0,INDEX(挂机升级突破!$DT$4:$ED$4,AN1223),"")</f>
        <v>橙色基础材料</v>
      </c>
      <c r="AX1223" s="14">
        <f>ROUND(INDEX(挂机升级突破!$DT$6:$ED$57,卡牌消耗!AT1223,AN1223)*INDEX(卡牌消耗!$B$5:$F$5,AR1223)/$Q$4/5,0)*5</f>
        <v>20</v>
      </c>
      <c r="AY1223" s="14" t="str">
        <f>IF(AO1223&gt;0,INDEX(挂机升级突破!$DT$4:$ED$4,AO1223),"")</f>
        <v/>
      </c>
      <c r="AZ1223" s="14" t="str">
        <f>IF(AO1223&gt;0,ROUND(INDEX(挂机升级突破!$DT$6:$ED$57,卡牌消耗!AT1223,AO1223)*INDEX(卡牌消耗!$B$7:$F$7,AR1223)/$Q$4,0),"")</f>
        <v/>
      </c>
    </row>
    <row r="1224" spans="37:52" ht="16.5" x14ac:dyDescent="0.2">
      <c r="AK1224" s="104">
        <v>1220</v>
      </c>
      <c r="AL1224" s="14">
        <f t="shared" si="440"/>
        <v>24</v>
      </c>
      <c r="AM1224" s="14">
        <f>INDEX(挂机升级突破!DQ$6:DQ$57,卡牌消耗!$AT1224)</f>
        <v>11</v>
      </c>
      <c r="AN1224" s="14">
        <f>INDEX(挂机升级突破!DR$6:DR$57,卡牌消耗!$AT1224)</f>
        <v>4</v>
      </c>
      <c r="AO1224" s="14">
        <f>INDEX(挂机升级突破!DS$6:DS$57,卡牌消耗!$AT1224)</f>
        <v>0</v>
      </c>
      <c r="AP1224" s="14">
        <f>INDEX(挂机升级突破!$DP$6:$DP$57,卡牌消耗!AT1224)</f>
        <v>78</v>
      </c>
      <c r="AQ1224" s="14" t="str">
        <f t="shared" si="441"/>
        <v>朱仙</v>
      </c>
      <c r="AR1224" s="14">
        <f t="shared" si="442"/>
        <v>3</v>
      </c>
      <c r="AS1224" s="14" t="str">
        <f t="shared" si="443"/>
        <v>朱仙魂火-24</v>
      </c>
      <c r="AT1224" s="14">
        <f t="shared" si="444"/>
        <v>24</v>
      </c>
      <c r="AU1224" s="14" t="str">
        <f>IF(AM1224&gt;0,INDEX(挂机升级突破!$DT$4:$ED$4,AM1224),"")</f>
        <v>金币</v>
      </c>
      <c r="AV1224" s="14">
        <f>ROUND(INDEX(挂机升级突破!$DJ$6:$DJ$57,卡牌消耗!AT1224)*INDEX(卡牌消耗!$B$8:$F$8,AR1224)/$Q$4/50,0)*50</f>
        <v>6900</v>
      </c>
      <c r="AW1224" s="14" t="str">
        <f>IF(AN1224&gt;0,INDEX(挂机升级突破!$DT$4:$ED$4,AN1224),"")</f>
        <v>橙色基础材料</v>
      </c>
      <c r="AX1224" s="14">
        <f>ROUND(INDEX(挂机升级突破!$DT$6:$ED$57,卡牌消耗!AT1224,AN1224)*INDEX(卡牌消耗!$B$5:$F$5,AR1224)/$Q$4/5,0)*5</f>
        <v>20</v>
      </c>
      <c r="AY1224" s="14" t="str">
        <f>IF(AO1224&gt;0,INDEX(挂机升级突破!$DT$4:$ED$4,AO1224),"")</f>
        <v/>
      </c>
      <c r="AZ1224" s="14" t="str">
        <f>IF(AO1224&gt;0,ROUND(INDEX(挂机升级突破!$DT$6:$ED$57,卡牌消耗!AT1224,AO1224)*INDEX(卡牌消耗!$B$7:$F$7,AR1224)/$Q$4,0),"")</f>
        <v/>
      </c>
    </row>
    <row r="1225" spans="37:52" ht="16.5" x14ac:dyDescent="0.2">
      <c r="AK1225" s="104">
        <v>1221</v>
      </c>
      <c r="AL1225" s="14">
        <f t="shared" si="440"/>
        <v>24</v>
      </c>
      <c r="AM1225" s="14">
        <f>INDEX(挂机升级突破!DQ$6:DQ$57,卡牌消耗!$AT1225)</f>
        <v>11</v>
      </c>
      <c r="AN1225" s="14">
        <f>INDEX(挂机升级突破!DR$6:DR$57,卡牌消耗!$AT1225)</f>
        <v>4</v>
      </c>
      <c r="AO1225" s="14">
        <f>INDEX(挂机升级突破!DS$6:DS$57,卡牌消耗!$AT1225)</f>
        <v>0</v>
      </c>
      <c r="AP1225" s="14">
        <f>INDEX(挂机升级突破!$DP$6:$DP$57,卡牌消耗!AT1225)</f>
        <v>80</v>
      </c>
      <c r="AQ1225" s="14" t="str">
        <f t="shared" si="441"/>
        <v>朱仙</v>
      </c>
      <c r="AR1225" s="14">
        <f t="shared" si="442"/>
        <v>3</v>
      </c>
      <c r="AS1225" s="14" t="str">
        <f t="shared" si="443"/>
        <v>朱仙魂火-25</v>
      </c>
      <c r="AT1225" s="14">
        <f t="shared" si="444"/>
        <v>25</v>
      </c>
      <c r="AU1225" s="14" t="str">
        <f>IF(AM1225&gt;0,INDEX(挂机升级突破!$DT$4:$ED$4,AM1225),"")</f>
        <v>金币</v>
      </c>
      <c r="AV1225" s="14">
        <f>ROUND(INDEX(挂机升级突破!$DJ$6:$DJ$57,卡牌消耗!AT1225)*INDEX(卡牌消耗!$B$8:$F$8,AR1225)/$Q$4/50,0)*50</f>
        <v>7550</v>
      </c>
      <c r="AW1225" s="14" t="str">
        <f>IF(AN1225&gt;0,INDEX(挂机升级突破!$DT$4:$ED$4,AN1225),"")</f>
        <v>橙色基础材料</v>
      </c>
      <c r="AX1225" s="14">
        <f>ROUND(INDEX(挂机升级突破!$DT$6:$ED$57,卡牌消耗!AT1225,AN1225)*INDEX(卡牌消耗!$B$5:$F$5,AR1225)/$Q$4/5,0)*5</f>
        <v>20</v>
      </c>
      <c r="AY1225" s="14" t="str">
        <f>IF(AO1225&gt;0,INDEX(挂机升级突破!$DT$4:$ED$4,AO1225),"")</f>
        <v/>
      </c>
      <c r="AZ1225" s="14" t="str">
        <f>IF(AO1225&gt;0,ROUND(INDEX(挂机升级突破!$DT$6:$ED$57,卡牌消耗!AT1225,AO1225)*INDEX(卡牌消耗!$B$7:$F$7,AR1225)/$Q$4,0),"")</f>
        <v/>
      </c>
    </row>
    <row r="1226" spans="37:52" ht="16.5" x14ac:dyDescent="0.2">
      <c r="AK1226" s="104">
        <v>1222</v>
      </c>
      <c r="AL1226" s="14">
        <f t="shared" si="440"/>
        <v>24</v>
      </c>
      <c r="AM1226" s="14">
        <f>INDEX(挂机升级突破!DQ$6:DQ$57,卡牌消耗!$AT1226)</f>
        <v>11</v>
      </c>
      <c r="AN1226" s="14">
        <f>INDEX(挂机升级突破!DR$6:DR$57,卡牌消耗!$AT1226)</f>
        <v>4</v>
      </c>
      <c r="AO1226" s="14">
        <f>INDEX(挂机升级突破!DS$6:DS$57,卡牌消耗!$AT1226)</f>
        <v>0</v>
      </c>
      <c r="AP1226" s="14">
        <f>INDEX(挂机升级突破!$DP$6:$DP$57,卡牌消耗!AT1226)</f>
        <v>83</v>
      </c>
      <c r="AQ1226" s="14" t="str">
        <f t="shared" si="441"/>
        <v>朱仙</v>
      </c>
      <c r="AR1226" s="14">
        <f t="shared" si="442"/>
        <v>3</v>
      </c>
      <c r="AS1226" s="14" t="str">
        <f t="shared" si="443"/>
        <v>朱仙魂火-26</v>
      </c>
      <c r="AT1226" s="14">
        <f t="shared" si="444"/>
        <v>26</v>
      </c>
      <c r="AU1226" s="14" t="str">
        <f>IF(AM1226&gt;0,INDEX(挂机升级突破!$DT$4:$ED$4,AM1226),"")</f>
        <v>金币</v>
      </c>
      <c r="AV1226" s="14">
        <f>ROUND(INDEX(挂机升级突破!$DJ$6:$DJ$57,卡牌消耗!AT1226)*INDEX(卡牌消耗!$B$8:$F$8,AR1226)/$Q$4/50,0)*50</f>
        <v>8800</v>
      </c>
      <c r="AW1226" s="14" t="str">
        <f>IF(AN1226&gt;0,INDEX(挂机升级突破!$DT$4:$ED$4,AN1226),"")</f>
        <v>橙色基础材料</v>
      </c>
      <c r="AX1226" s="14">
        <f>ROUND(INDEX(挂机升级突破!$DT$6:$ED$57,卡牌消耗!AT1226,AN1226)*INDEX(卡牌消耗!$B$5:$F$5,AR1226)/$Q$4/5,0)*5</f>
        <v>25</v>
      </c>
      <c r="AY1226" s="14" t="str">
        <f>IF(AO1226&gt;0,INDEX(挂机升级突破!$DT$4:$ED$4,AO1226),"")</f>
        <v/>
      </c>
      <c r="AZ1226" s="14" t="str">
        <f>IF(AO1226&gt;0,ROUND(INDEX(挂机升级突破!$DT$6:$ED$57,卡牌消耗!AT1226,AO1226)*INDEX(卡牌消耗!$B$7:$F$7,AR1226)/$Q$4,0),"")</f>
        <v/>
      </c>
    </row>
    <row r="1227" spans="37:52" ht="16.5" x14ac:dyDescent="0.2">
      <c r="AK1227" s="104">
        <v>1223</v>
      </c>
      <c r="AL1227" s="14">
        <f t="shared" si="440"/>
        <v>24</v>
      </c>
      <c r="AM1227" s="14">
        <f>INDEX(挂机升级突破!DQ$6:DQ$57,卡牌消耗!$AT1227)</f>
        <v>11</v>
      </c>
      <c r="AN1227" s="14">
        <f>INDEX(挂机升级突破!DR$6:DR$57,卡牌消耗!$AT1227)</f>
        <v>4</v>
      </c>
      <c r="AO1227" s="14">
        <f>INDEX(挂机升级突破!DS$6:DS$57,卡牌消耗!$AT1227)</f>
        <v>0</v>
      </c>
      <c r="AP1227" s="14">
        <f>INDEX(挂机升级突破!$DP$6:$DP$57,卡牌消耗!AT1227)</f>
        <v>85</v>
      </c>
      <c r="AQ1227" s="14" t="str">
        <f t="shared" si="441"/>
        <v>朱仙</v>
      </c>
      <c r="AR1227" s="14">
        <f t="shared" si="442"/>
        <v>3</v>
      </c>
      <c r="AS1227" s="14" t="str">
        <f t="shared" si="443"/>
        <v>朱仙魂火-27</v>
      </c>
      <c r="AT1227" s="14">
        <f t="shared" si="444"/>
        <v>27</v>
      </c>
      <c r="AU1227" s="14" t="str">
        <f>IF(AM1227&gt;0,INDEX(挂机升级突破!$DT$4:$ED$4,AM1227),"")</f>
        <v>金币</v>
      </c>
      <c r="AV1227" s="14">
        <f>ROUND(INDEX(挂机升级突破!$DJ$6:$DJ$57,卡牌消耗!AT1227)*INDEX(卡牌消耗!$B$8:$F$8,AR1227)/$Q$4/50,0)*50</f>
        <v>8800</v>
      </c>
      <c r="AW1227" s="14" t="str">
        <f>IF(AN1227&gt;0,INDEX(挂机升级突破!$DT$4:$ED$4,AN1227),"")</f>
        <v>橙色基础材料</v>
      </c>
      <c r="AX1227" s="14">
        <f>ROUND(INDEX(挂机升级突破!$DT$6:$ED$57,卡牌消耗!AT1227,AN1227)*INDEX(卡牌消耗!$B$5:$F$5,AR1227)/$Q$4/5,0)*5</f>
        <v>25</v>
      </c>
      <c r="AY1227" s="14" t="str">
        <f>IF(AO1227&gt;0,INDEX(挂机升级突破!$DT$4:$ED$4,AO1227),"")</f>
        <v/>
      </c>
      <c r="AZ1227" s="14" t="str">
        <f>IF(AO1227&gt;0,ROUND(INDEX(挂机升级突破!$DT$6:$ED$57,卡牌消耗!AT1227,AO1227)*INDEX(卡牌消耗!$B$7:$F$7,AR1227)/$Q$4,0),"")</f>
        <v/>
      </c>
    </row>
    <row r="1228" spans="37:52" ht="16.5" x14ac:dyDescent="0.2">
      <c r="AK1228" s="104">
        <v>1224</v>
      </c>
      <c r="AL1228" s="14">
        <f t="shared" si="440"/>
        <v>24</v>
      </c>
      <c r="AM1228" s="14">
        <f>INDEX(挂机升级突破!DQ$6:DQ$57,卡牌消耗!$AT1228)</f>
        <v>11</v>
      </c>
      <c r="AN1228" s="14">
        <f>INDEX(挂机升级突破!DR$6:DR$57,卡牌消耗!$AT1228)</f>
        <v>4</v>
      </c>
      <c r="AO1228" s="14">
        <f>INDEX(挂机升级突破!DS$6:DS$57,卡牌消耗!$AT1228)</f>
        <v>0</v>
      </c>
      <c r="AP1228" s="14">
        <f>INDEX(挂机升级突破!$DP$6:$DP$57,卡牌消耗!AT1228)</f>
        <v>88</v>
      </c>
      <c r="AQ1228" s="14" t="str">
        <f t="shared" si="441"/>
        <v>朱仙</v>
      </c>
      <c r="AR1228" s="14">
        <f t="shared" si="442"/>
        <v>3</v>
      </c>
      <c r="AS1228" s="14" t="str">
        <f t="shared" si="443"/>
        <v>朱仙魂火-28</v>
      </c>
      <c r="AT1228" s="14">
        <f t="shared" si="444"/>
        <v>28</v>
      </c>
      <c r="AU1228" s="14" t="str">
        <f>IF(AM1228&gt;0,INDEX(挂机升级突破!$DT$4:$ED$4,AM1228),"")</f>
        <v>金币</v>
      </c>
      <c r="AV1228" s="14">
        <f>ROUND(INDEX(挂机升级突破!$DJ$6:$DJ$57,卡牌消耗!AT1228)*INDEX(卡牌消耗!$B$8:$F$8,AR1228)/$Q$4/50,0)*50</f>
        <v>8800</v>
      </c>
      <c r="AW1228" s="14" t="str">
        <f>IF(AN1228&gt;0,INDEX(挂机升级突破!$DT$4:$ED$4,AN1228),"")</f>
        <v>橙色基础材料</v>
      </c>
      <c r="AX1228" s="14">
        <f>ROUND(INDEX(挂机升级突破!$DT$6:$ED$57,卡牌消耗!AT1228,AN1228)*INDEX(卡牌消耗!$B$5:$F$5,AR1228)/$Q$4/5,0)*5</f>
        <v>25</v>
      </c>
      <c r="AY1228" s="14" t="str">
        <f>IF(AO1228&gt;0,INDEX(挂机升级突破!$DT$4:$ED$4,AO1228),"")</f>
        <v/>
      </c>
      <c r="AZ1228" s="14" t="str">
        <f>IF(AO1228&gt;0,ROUND(INDEX(挂机升级突破!$DT$6:$ED$57,卡牌消耗!AT1228,AO1228)*INDEX(卡牌消耗!$B$7:$F$7,AR1228)/$Q$4,0),"")</f>
        <v/>
      </c>
    </row>
    <row r="1229" spans="37:52" ht="16.5" x14ac:dyDescent="0.2">
      <c r="AK1229" s="104">
        <v>1225</v>
      </c>
      <c r="AL1229" s="14">
        <f t="shared" si="440"/>
        <v>24</v>
      </c>
      <c r="AM1229" s="14">
        <f>INDEX(挂机升级突破!DQ$6:DQ$57,卡牌消耗!$AT1229)</f>
        <v>11</v>
      </c>
      <c r="AN1229" s="14">
        <f>INDEX(挂机升级突破!DR$6:DR$57,卡牌消耗!$AT1229)</f>
        <v>4</v>
      </c>
      <c r="AO1229" s="14">
        <f>INDEX(挂机升级突破!DS$6:DS$57,卡牌消耗!$AT1229)</f>
        <v>0</v>
      </c>
      <c r="AP1229" s="14">
        <f>INDEX(挂机升级突破!$DP$6:$DP$57,卡牌消耗!AT1229)</f>
        <v>90</v>
      </c>
      <c r="AQ1229" s="14" t="str">
        <f t="shared" si="441"/>
        <v>朱仙</v>
      </c>
      <c r="AR1229" s="14">
        <f t="shared" si="442"/>
        <v>3</v>
      </c>
      <c r="AS1229" s="14" t="str">
        <f t="shared" si="443"/>
        <v>朱仙魂火-29</v>
      </c>
      <c r="AT1229" s="14">
        <f t="shared" si="444"/>
        <v>29</v>
      </c>
      <c r="AU1229" s="14" t="str">
        <f>IF(AM1229&gt;0,INDEX(挂机升级突破!$DT$4:$ED$4,AM1229),"")</f>
        <v>金币</v>
      </c>
      <c r="AV1229" s="14">
        <f>ROUND(INDEX(挂机升级突破!$DJ$6:$DJ$57,卡牌消耗!AT1229)*INDEX(卡牌消耗!$B$8:$F$8,AR1229)/$Q$4/50,0)*50</f>
        <v>8900</v>
      </c>
      <c r="AW1229" s="14" t="str">
        <f>IF(AN1229&gt;0,INDEX(挂机升级突破!$DT$4:$ED$4,AN1229),"")</f>
        <v>橙色基础材料</v>
      </c>
      <c r="AX1229" s="14">
        <f>ROUND(INDEX(挂机升级突破!$DT$6:$ED$57,卡牌消耗!AT1229,AN1229)*INDEX(卡牌消耗!$B$5:$F$5,AR1229)/$Q$4/5,0)*5</f>
        <v>25</v>
      </c>
      <c r="AY1229" s="14" t="str">
        <f>IF(AO1229&gt;0,INDEX(挂机升级突破!$DT$4:$ED$4,AO1229),"")</f>
        <v/>
      </c>
      <c r="AZ1229" s="14" t="str">
        <f>IF(AO1229&gt;0,ROUND(INDEX(挂机升级突破!$DT$6:$ED$57,卡牌消耗!AT1229,AO1229)*INDEX(卡牌消耗!$B$7:$F$7,AR1229)/$Q$4,0),"")</f>
        <v/>
      </c>
    </row>
    <row r="1230" spans="37:52" ht="16.5" x14ac:dyDescent="0.2">
      <c r="AK1230" s="104">
        <v>1226</v>
      </c>
      <c r="AL1230" s="14">
        <f t="shared" si="440"/>
        <v>24</v>
      </c>
      <c r="AM1230" s="14">
        <f>INDEX(挂机升级突破!DQ$6:DQ$57,卡牌消耗!$AT1230)</f>
        <v>11</v>
      </c>
      <c r="AN1230" s="14">
        <f>INDEX(挂机升级突破!DR$6:DR$57,卡牌消耗!$AT1230)</f>
        <v>4</v>
      </c>
      <c r="AO1230" s="14">
        <f>INDEX(挂机升级突破!DS$6:DS$57,卡牌消耗!$AT1230)</f>
        <v>0</v>
      </c>
      <c r="AP1230" s="14">
        <f>INDEX(挂机升级突破!$DP$6:$DP$57,卡牌消耗!AT1230)</f>
        <v>93</v>
      </c>
      <c r="AQ1230" s="14" t="str">
        <f t="shared" si="441"/>
        <v>朱仙</v>
      </c>
      <c r="AR1230" s="14">
        <f t="shared" si="442"/>
        <v>3</v>
      </c>
      <c r="AS1230" s="14" t="str">
        <f t="shared" si="443"/>
        <v>朱仙魂火-30</v>
      </c>
      <c r="AT1230" s="14">
        <f t="shared" si="444"/>
        <v>30</v>
      </c>
      <c r="AU1230" s="14" t="str">
        <f>IF(AM1230&gt;0,INDEX(挂机升级突破!$DT$4:$ED$4,AM1230),"")</f>
        <v>金币</v>
      </c>
      <c r="AV1230" s="14">
        <f>ROUND(INDEX(挂机升级突破!$DJ$6:$DJ$57,卡牌消耗!AT1230)*INDEX(卡牌消耗!$B$8:$F$8,AR1230)/$Q$4/50,0)*50</f>
        <v>8900</v>
      </c>
      <c r="AW1230" s="14" t="str">
        <f>IF(AN1230&gt;0,INDEX(挂机升级突破!$DT$4:$ED$4,AN1230),"")</f>
        <v>橙色基础材料</v>
      </c>
      <c r="AX1230" s="14">
        <f>ROUND(INDEX(挂机升级突破!$DT$6:$ED$57,卡牌消耗!AT1230,AN1230)*INDEX(卡牌消耗!$B$5:$F$5,AR1230)/$Q$4/5,0)*5</f>
        <v>25</v>
      </c>
      <c r="AY1230" s="14" t="str">
        <f>IF(AO1230&gt;0,INDEX(挂机升级突破!$DT$4:$ED$4,AO1230),"")</f>
        <v/>
      </c>
      <c r="AZ1230" s="14" t="str">
        <f>IF(AO1230&gt;0,ROUND(INDEX(挂机升级突破!$DT$6:$ED$57,卡牌消耗!AT1230,AO1230)*INDEX(卡牌消耗!$B$7:$F$7,AR1230)/$Q$4,0),"")</f>
        <v/>
      </c>
    </row>
    <row r="1231" spans="37:52" ht="16.5" x14ac:dyDescent="0.2">
      <c r="AK1231" s="104">
        <v>1227</v>
      </c>
      <c r="AL1231" s="14">
        <f t="shared" si="440"/>
        <v>24</v>
      </c>
      <c r="AM1231" s="14">
        <f>INDEX(挂机升级突破!DQ$6:DQ$57,卡牌消耗!$AT1231)</f>
        <v>11</v>
      </c>
      <c r="AN1231" s="14">
        <f>INDEX(挂机升级突破!DR$6:DR$57,卡牌消耗!$AT1231)</f>
        <v>4</v>
      </c>
      <c r="AO1231" s="14">
        <f>INDEX(挂机升级突破!DS$6:DS$57,卡牌消耗!$AT1231)</f>
        <v>0</v>
      </c>
      <c r="AP1231" s="14">
        <f>INDEX(挂机升级突破!$DP$6:$DP$57,卡牌消耗!AT1231)</f>
        <v>95</v>
      </c>
      <c r="AQ1231" s="14" t="str">
        <f t="shared" si="441"/>
        <v>朱仙</v>
      </c>
      <c r="AR1231" s="14">
        <f t="shared" si="442"/>
        <v>3</v>
      </c>
      <c r="AS1231" s="14" t="str">
        <f t="shared" si="443"/>
        <v>朱仙魂火-31</v>
      </c>
      <c r="AT1231" s="14">
        <f t="shared" si="444"/>
        <v>31</v>
      </c>
      <c r="AU1231" s="14" t="str">
        <f>IF(AM1231&gt;0,INDEX(挂机升级突破!$DT$4:$ED$4,AM1231),"")</f>
        <v>金币</v>
      </c>
      <c r="AV1231" s="14">
        <f>ROUND(INDEX(挂机升级突破!$DJ$6:$DJ$57,卡牌消耗!AT1231)*INDEX(卡牌消耗!$B$8:$F$8,AR1231)/$Q$4/50,0)*50</f>
        <v>8900</v>
      </c>
      <c r="AW1231" s="14" t="str">
        <f>IF(AN1231&gt;0,INDEX(挂机升级突破!$DT$4:$ED$4,AN1231),"")</f>
        <v>橙色基础材料</v>
      </c>
      <c r="AX1231" s="14">
        <f>ROUND(INDEX(挂机升级突破!$DT$6:$ED$57,卡牌消耗!AT1231,AN1231)*INDEX(卡牌消耗!$B$5:$F$5,AR1231)/$Q$4/5,0)*5</f>
        <v>25</v>
      </c>
      <c r="AY1231" s="14" t="str">
        <f>IF(AO1231&gt;0,INDEX(挂机升级突破!$DT$4:$ED$4,AO1231),"")</f>
        <v/>
      </c>
      <c r="AZ1231" s="14" t="str">
        <f>IF(AO1231&gt;0,ROUND(INDEX(挂机升级突破!$DT$6:$ED$57,卡牌消耗!AT1231,AO1231)*INDEX(卡牌消耗!$B$7:$F$7,AR1231)/$Q$4,0),"")</f>
        <v/>
      </c>
    </row>
    <row r="1232" spans="37:52" ht="16.5" x14ac:dyDescent="0.2">
      <c r="AK1232" s="104">
        <v>1228</v>
      </c>
      <c r="AL1232" s="14">
        <f t="shared" si="440"/>
        <v>24</v>
      </c>
      <c r="AM1232" s="14">
        <f>INDEX(挂机升级突破!DQ$6:DQ$57,卡牌消耗!$AT1232)</f>
        <v>11</v>
      </c>
      <c r="AN1232" s="14">
        <f>INDEX(挂机升级突破!DR$6:DR$57,卡牌消耗!$AT1232)</f>
        <v>4</v>
      </c>
      <c r="AO1232" s="14">
        <f>INDEX(挂机升级突破!DS$6:DS$57,卡牌消耗!$AT1232)</f>
        <v>0</v>
      </c>
      <c r="AP1232" s="14">
        <f>INDEX(挂机升级突破!$DP$6:$DP$57,卡牌消耗!AT1232)</f>
        <v>98</v>
      </c>
      <c r="AQ1232" s="14" t="str">
        <f t="shared" si="441"/>
        <v>朱仙</v>
      </c>
      <c r="AR1232" s="14">
        <f t="shared" si="442"/>
        <v>3</v>
      </c>
      <c r="AS1232" s="14" t="str">
        <f t="shared" si="443"/>
        <v>朱仙魂火-32</v>
      </c>
      <c r="AT1232" s="14">
        <f t="shared" si="444"/>
        <v>32</v>
      </c>
      <c r="AU1232" s="14" t="str">
        <f>IF(AM1232&gt;0,INDEX(挂机升级突破!$DT$4:$ED$4,AM1232),"")</f>
        <v>金币</v>
      </c>
      <c r="AV1232" s="14">
        <f>ROUND(INDEX(挂机升级突破!$DJ$6:$DJ$57,卡牌消耗!AT1232)*INDEX(卡牌消耗!$B$8:$F$8,AR1232)/$Q$4/50,0)*50</f>
        <v>12200</v>
      </c>
      <c r="AW1232" s="14" t="str">
        <f>IF(AN1232&gt;0,INDEX(挂机升级突破!$DT$4:$ED$4,AN1232),"")</f>
        <v>橙色基础材料</v>
      </c>
      <c r="AX1232" s="14">
        <f>ROUND(INDEX(挂机升级突破!$DT$6:$ED$57,卡牌消耗!AT1232,AN1232)*INDEX(卡牌消耗!$B$5:$F$5,AR1232)/$Q$4/5,0)*5</f>
        <v>25</v>
      </c>
      <c r="AY1232" s="14" t="str">
        <f>IF(AO1232&gt;0,INDEX(挂机升级突破!$DT$4:$ED$4,AO1232),"")</f>
        <v/>
      </c>
      <c r="AZ1232" s="14" t="str">
        <f>IF(AO1232&gt;0,ROUND(INDEX(挂机升级突破!$DT$6:$ED$57,卡牌消耗!AT1232,AO1232)*INDEX(卡牌消耗!$B$7:$F$7,AR1232)/$Q$4,0),"")</f>
        <v/>
      </c>
    </row>
    <row r="1233" spans="37:52" ht="16.5" x14ac:dyDescent="0.2">
      <c r="AK1233" s="104">
        <v>1229</v>
      </c>
      <c r="AL1233" s="14">
        <f t="shared" si="440"/>
        <v>24</v>
      </c>
      <c r="AM1233" s="14">
        <f>INDEX(挂机升级突破!DQ$6:DQ$57,卡牌消耗!$AT1233)</f>
        <v>11</v>
      </c>
      <c r="AN1233" s="14">
        <f>INDEX(挂机升级突破!DR$6:DR$57,卡牌消耗!$AT1233)</f>
        <v>4</v>
      </c>
      <c r="AO1233" s="14">
        <f>INDEX(挂机升级突破!DS$6:DS$57,卡牌消耗!$AT1233)</f>
        <v>0</v>
      </c>
      <c r="AP1233" s="14">
        <f>INDEX(挂机升级突破!$DP$6:$DP$57,卡牌消耗!AT1233)</f>
        <v>100</v>
      </c>
      <c r="AQ1233" s="14" t="str">
        <f t="shared" si="441"/>
        <v>朱仙</v>
      </c>
      <c r="AR1233" s="14">
        <f t="shared" si="442"/>
        <v>3</v>
      </c>
      <c r="AS1233" s="14" t="str">
        <f t="shared" si="443"/>
        <v>朱仙魂火-33</v>
      </c>
      <c r="AT1233" s="14">
        <f t="shared" si="444"/>
        <v>33</v>
      </c>
      <c r="AU1233" s="14" t="str">
        <f>IF(AM1233&gt;0,INDEX(挂机升级突破!$DT$4:$ED$4,AM1233),"")</f>
        <v>金币</v>
      </c>
      <c r="AV1233" s="14">
        <f>ROUND(INDEX(挂机升级突破!$DJ$6:$DJ$57,卡牌消耗!AT1233)*INDEX(卡牌消耗!$B$8:$F$8,AR1233)/$Q$4/50,0)*50</f>
        <v>12200</v>
      </c>
      <c r="AW1233" s="14" t="str">
        <f>IF(AN1233&gt;0,INDEX(挂机升级突破!$DT$4:$ED$4,AN1233),"")</f>
        <v>橙色基础材料</v>
      </c>
      <c r="AX1233" s="14">
        <f>ROUND(INDEX(挂机升级突破!$DT$6:$ED$57,卡牌消耗!AT1233,AN1233)*INDEX(卡牌消耗!$B$5:$F$5,AR1233)/$Q$4/5,0)*5</f>
        <v>25</v>
      </c>
      <c r="AY1233" s="14" t="str">
        <f>IF(AO1233&gt;0,INDEX(挂机升级突破!$DT$4:$ED$4,AO1233),"")</f>
        <v/>
      </c>
      <c r="AZ1233" s="14" t="str">
        <f>IF(AO1233&gt;0,ROUND(INDEX(挂机升级突破!$DT$6:$ED$57,卡牌消耗!AT1233,AO1233)*INDEX(卡牌消耗!$B$7:$F$7,AR1233)/$Q$4,0),"")</f>
        <v/>
      </c>
    </row>
    <row r="1234" spans="37:52" ht="16.5" x14ac:dyDescent="0.2">
      <c r="AK1234" s="104">
        <v>1230</v>
      </c>
      <c r="AL1234" s="14">
        <f t="shared" si="440"/>
        <v>24</v>
      </c>
      <c r="AM1234" s="14">
        <f>INDEX(挂机升级突破!DQ$6:DQ$57,卡牌消耗!$AT1234)</f>
        <v>11</v>
      </c>
      <c r="AN1234" s="14">
        <f>INDEX(挂机升级突破!DR$6:DR$57,卡牌消耗!$AT1234)</f>
        <v>4</v>
      </c>
      <c r="AO1234" s="14">
        <f>INDEX(挂机升级突破!DS$6:DS$57,卡牌消耗!$AT1234)</f>
        <v>0</v>
      </c>
      <c r="AP1234" s="14">
        <f>INDEX(挂机升级突破!$DP$6:$DP$57,卡牌消耗!AT1234)</f>
        <v>103</v>
      </c>
      <c r="AQ1234" s="14" t="str">
        <f t="shared" si="441"/>
        <v>朱仙</v>
      </c>
      <c r="AR1234" s="14">
        <f t="shared" si="442"/>
        <v>3</v>
      </c>
      <c r="AS1234" s="14" t="str">
        <f t="shared" si="443"/>
        <v>朱仙魂火-34</v>
      </c>
      <c r="AT1234" s="14">
        <f t="shared" si="444"/>
        <v>34</v>
      </c>
      <c r="AU1234" s="14" t="str">
        <f>IF(AM1234&gt;0,INDEX(挂机升级突破!$DT$4:$ED$4,AM1234),"")</f>
        <v>金币</v>
      </c>
      <c r="AV1234" s="14">
        <f>ROUND(INDEX(挂机升级突破!$DJ$6:$DJ$57,卡牌消耗!AT1234)*INDEX(卡牌消耗!$B$8:$F$8,AR1234)/$Q$4/50,0)*50</f>
        <v>12200</v>
      </c>
      <c r="AW1234" s="14" t="str">
        <f>IF(AN1234&gt;0,INDEX(挂机升级突破!$DT$4:$ED$4,AN1234),"")</f>
        <v>橙色基础材料</v>
      </c>
      <c r="AX1234" s="14">
        <f>ROUND(INDEX(挂机升级突破!$DT$6:$ED$57,卡牌消耗!AT1234,AN1234)*INDEX(卡牌消耗!$B$5:$F$5,AR1234)/$Q$4/5,0)*5</f>
        <v>30</v>
      </c>
      <c r="AY1234" s="14" t="str">
        <f>IF(AO1234&gt;0,INDEX(挂机升级突破!$DT$4:$ED$4,AO1234),"")</f>
        <v/>
      </c>
      <c r="AZ1234" s="14" t="str">
        <f>IF(AO1234&gt;0,ROUND(INDEX(挂机升级突破!$DT$6:$ED$57,卡牌消耗!AT1234,AO1234)*INDEX(卡牌消耗!$B$7:$F$7,AR1234)/$Q$4,0),"")</f>
        <v/>
      </c>
    </row>
    <row r="1235" spans="37:52" ht="16.5" x14ac:dyDescent="0.2">
      <c r="AK1235" s="104">
        <v>1231</v>
      </c>
      <c r="AL1235" s="14">
        <f t="shared" si="440"/>
        <v>24</v>
      </c>
      <c r="AM1235" s="14">
        <f>INDEX(挂机升级突破!DQ$6:DQ$57,卡牌消耗!$AT1235)</f>
        <v>11</v>
      </c>
      <c r="AN1235" s="14">
        <f>INDEX(挂机升级突破!DR$6:DR$57,卡牌消耗!$AT1235)</f>
        <v>4</v>
      </c>
      <c r="AO1235" s="14">
        <f>INDEX(挂机升级突破!DS$6:DS$57,卡牌消耗!$AT1235)</f>
        <v>0</v>
      </c>
      <c r="AP1235" s="14">
        <f>INDEX(挂机升级突破!$DP$6:$DP$57,卡牌消耗!AT1235)</f>
        <v>105</v>
      </c>
      <c r="AQ1235" s="14" t="str">
        <f t="shared" si="441"/>
        <v>朱仙</v>
      </c>
      <c r="AR1235" s="14">
        <f t="shared" si="442"/>
        <v>3</v>
      </c>
      <c r="AS1235" s="14" t="str">
        <f t="shared" si="443"/>
        <v>朱仙魂火-35</v>
      </c>
      <c r="AT1235" s="14">
        <f t="shared" si="444"/>
        <v>35</v>
      </c>
      <c r="AU1235" s="14" t="str">
        <f>IF(AM1235&gt;0,INDEX(挂机升级突破!$DT$4:$ED$4,AM1235),"")</f>
        <v>金币</v>
      </c>
      <c r="AV1235" s="14">
        <f>ROUND(INDEX(挂机升级突破!$DJ$6:$DJ$57,卡牌消耗!AT1235)*INDEX(卡牌消耗!$B$8:$F$8,AR1235)/$Q$4/50,0)*50</f>
        <v>15550</v>
      </c>
      <c r="AW1235" s="14" t="str">
        <f>IF(AN1235&gt;0,INDEX(挂机升级突破!$DT$4:$ED$4,AN1235),"")</f>
        <v>橙色基础材料</v>
      </c>
      <c r="AX1235" s="14">
        <f>ROUND(INDEX(挂机升级突破!$DT$6:$ED$57,卡牌消耗!AT1235,AN1235)*INDEX(卡牌消耗!$B$5:$F$5,AR1235)/$Q$4/5,0)*5</f>
        <v>30</v>
      </c>
      <c r="AY1235" s="14" t="str">
        <f>IF(AO1235&gt;0,INDEX(挂机升级突破!$DT$4:$ED$4,AO1235),"")</f>
        <v/>
      </c>
      <c r="AZ1235" s="14" t="str">
        <f>IF(AO1235&gt;0,ROUND(INDEX(挂机升级突破!$DT$6:$ED$57,卡牌消耗!AT1235,AO1235)*INDEX(卡牌消耗!$B$7:$F$7,AR1235)/$Q$4,0),"")</f>
        <v/>
      </c>
    </row>
    <row r="1236" spans="37:52" ht="16.5" x14ac:dyDescent="0.2">
      <c r="AK1236" s="104">
        <v>1232</v>
      </c>
      <c r="AL1236" s="14">
        <f t="shared" si="440"/>
        <v>24</v>
      </c>
      <c r="AM1236" s="14">
        <f>INDEX(挂机升级突破!DQ$6:DQ$57,卡牌消耗!$AT1236)</f>
        <v>11</v>
      </c>
      <c r="AN1236" s="14">
        <f>INDEX(挂机升级突破!DR$6:DR$57,卡牌消耗!$AT1236)</f>
        <v>4</v>
      </c>
      <c r="AO1236" s="14">
        <f>INDEX(挂机升级突破!DS$6:DS$57,卡牌消耗!$AT1236)</f>
        <v>0</v>
      </c>
      <c r="AP1236" s="14">
        <f>INDEX(挂机升级突破!$DP$6:$DP$57,卡牌消耗!AT1236)</f>
        <v>108</v>
      </c>
      <c r="AQ1236" s="14" t="str">
        <f t="shared" si="441"/>
        <v>朱仙</v>
      </c>
      <c r="AR1236" s="14">
        <f t="shared" si="442"/>
        <v>3</v>
      </c>
      <c r="AS1236" s="14" t="str">
        <f t="shared" si="443"/>
        <v>朱仙魂火-36</v>
      </c>
      <c r="AT1236" s="14">
        <f t="shared" si="444"/>
        <v>36</v>
      </c>
      <c r="AU1236" s="14" t="str">
        <f>IF(AM1236&gt;0,INDEX(挂机升级突破!$DT$4:$ED$4,AM1236),"")</f>
        <v>金币</v>
      </c>
      <c r="AV1236" s="14">
        <f>ROUND(INDEX(挂机升级突破!$DJ$6:$DJ$57,卡牌消耗!AT1236)*INDEX(卡牌消耗!$B$8:$F$8,AR1236)/$Q$4/50,0)*50</f>
        <v>15550</v>
      </c>
      <c r="AW1236" s="14" t="str">
        <f>IF(AN1236&gt;0,INDEX(挂机升级突破!$DT$4:$ED$4,AN1236),"")</f>
        <v>橙色基础材料</v>
      </c>
      <c r="AX1236" s="14">
        <f>ROUND(INDEX(挂机升级突破!$DT$6:$ED$57,卡牌消耗!AT1236,AN1236)*INDEX(卡牌消耗!$B$5:$F$5,AR1236)/$Q$4/5,0)*5</f>
        <v>30</v>
      </c>
      <c r="AY1236" s="14" t="str">
        <f>IF(AO1236&gt;0,INDEX(挂机升级突破!$DT$4:$ED$4,AO1236),"")</f>
        <v/>
      </c>
      <c r="AZ1236" s="14" t="str">
        <f>IF(AO1236&gt;0,ROUND(INDEX(挂机升级突破!$DT$6:$ED$57,卡牌消耗!AT1236,AO1236)*INDEX(卡牌消耗!$B$7:$F$7,AR1236)/$Q$4,0),"")</f>
        <v/>
      </c>
    </row>
    <row r="1237" spans="37:52" ht="16.5" x14ac:dyDescent="0.2">
      <c r="AK1237" s="104">
        <v>1233</v>
      </c>
      <c r="AL1237" s="14">
        <f t="shared" si="440"/>
        <v>24</v>
      </c>
      <c r="AM1237" s="14">
        <f>INDEX(挂机升级突破!DQ$6:DQ$57,卡牌消耗!$AT1237)</f>
        <v>11</v>
      </c>
      <c r="AN1237" s="14">
        <f>INDEX(挂机升级突破!DR$6:DR$57,卡牌消耗!$AT1237)</f>
        <v>4</v>
      </c>
      <c r="AO1237" s="14">
        <f>INDEX(挂机升级突破!DS$6:DS$57,卡牌消耗!$AT1237)</f>
        <v>0</v>
      </c>
      <c r="AP1237" s="14">
        <f>INDEX(挂机升级突破!$DP$6:$DP$57,卡牌消耗!AT1237)</f>
        <v>110</v>
      </c>
      <c r="AQ1237" s="14" t="str">
        <f t="shared" si="441"/>
        <v>朱仙</v>
      </c>
      <c r="AR1237" s="14">
        <f t="shared" si="442"/>
        <v>3</v>
      </c>
      <c r="AS1237" s="14" t="str">
        <f t="shared" si="443"/>
        <v>朱仙魂火-37</v>
      </c>
      <c r="AT1237" s="14">
        <f t="shared" si="444"/>
        <v>37</v>
      </c>
      <c r="AU1237" s="14" t="str">
        <f>IF(AM1237&gt;0,INDEX(挂机升级突破!$DT$4:$ED$4,AM1237),"")</f>
        <v>金币</v>
      </c>
      <c r="AV1237" s="14">
        <f>ROUND(INDEX(挂机升级突破!$DJ$6:$DJ$57,卡牌消耗!AT1237)*INDEX(卡牌消耗!$B$8:$F$8,AR1237)/$Q$4/50,0)*50</f>
        <v>16650</v>
      </c>
      <c r="AW1237" s="14" t="str">
        <f>IF(AN1237&gt;0,INDEX(挂机升级突破!$DT$4:$ED$4,AN1237),"")</f>
        <v>橙色基础材料</v>
      </c>
      <c r="AX1237" s="14">
        <f>ROUND(INDEX(挂机升级突破!$DT$6:$ED$57,卡牌消耗!AT1237,AN1237)*INDEX(卡牌消耗!$B$5:$F$5,AR1237)/$Q$4/5,0)*5</f>
        <v>30</v>
      </c>
      <c r="AY1237" s="14" t="str">
        <f>IF(AO1237&gt;0,INDEX(挂机升级突破!$DT$4:$ED$4,AO1237),"")</f>
        <v/>
      </c>
      <c r="AZ1237" s="14" t="str">
        <f>IF(AO1237&gt;0,ROUND(INDEX(挂机升级突破!$DT$6:$ED$57,卡牌消耗!AT1237,AO1237)*INDEX(卡牌消耗!$B$7:$F$7,AR1237)/$Q$4,0),"")</f>
        <v/>
      </c>
    </row>
    <row r="1238" spans="37:52" ht="16.5" x14ac:dyDescent="0.2">
      <c r="AK1238" s="104">
        <v>1234</v>
      </c>
      <c r="AL1238" s="14">
        <f t="shared" si="440"/>
        <v>24</v>
      </c>
      <c r="AM1238" s="14">
        <f>INDEX(挂机升级突破!DQ$6:DQ$57,卡牌消耗!$AT1238)</f>
        <v>11</v>
      </c>
      <c r="AN1238" s="14">
        <f>INDEX(挂机升级突破!DR$6:DR$57,卡牌消耗!$AT1238)</f>
        <v>5</v>
      </c>
      <c r="AO1238" s="14">
        <f>INDEX(挂机升级突破!DS$6:DS$57,卡牌消耗!$AT1238)</f>
        <v>0</v>
      </c>
      <c r="AP1238" s="14">
        <f>INDEX(挂机升级突破!$DP$6:$DP$57,卡牌消耗!AT1238)</f>
        <v>113</v>
      </c>
      <c r="AQ1238" s="14" t="str">
        <f t="shared" si="441"/>
        <v>朱仙</v>
      </c>
      <c r="AR1238" s="14">
        <f t="shared" si="442"/>
        <v>3</v>
      </c>
      <c r="AS1238" s="14" t="str">
        <f t="shared" si="443"/>
        <v>朱仙魂火-38</v>
      </c>
      <c r="AT1238" s="14">
        <f t="shared" si="444"/>
        <v>38</v>
      </c>
      <c r="AU1238" s="14" t="str">
        <f>IF(AM1238&gt;0,INDEX(挂机升级突破!$DT$4:$ED$4,AM1238),"")</f>
        <v>金币</v>
      </c>
      <c r="AV1238" s="14">
        <f>ROUND(INDEX(挂机升级突破!$DJ$6:$DJ$57,卡牌消耗!AT1238)*INDEX(卡牌消耗!$B$8:$F$8,AR1238)/$Q$4/50,0)*50</f>
        <v>21500</v>
      </c>
      <c r="AW1238" s="14" t="str">
        <f>IF(AN1238&gt;0,INDEX(挂机升级突破!$DT$4:$ED$4,AN1238),"")</f>
        <v>红色基础材料</v>
      </c>
      <c r="AX1238" s="14">
        <f>ROUND(INDEX(挂机升级突破!$DT$6:$ED$57,卡牌消耗!AT1238,AN1238)*INDEX(卡牌消耗!$B$5:$F$5,AR1238)/$Q$4/5,0)*5</f>
        <v>10</v>
      </c>
      <c r="AY1238" s="14" t="str">
        <f>IF(AO1238&gt;0,INDEX(挂机升级突破!$DT$4:$ED$4,AO1238),"")</f>
        <v/>
      </c>
      <c r="AZ1238" s="14" t="str">
        <f>IF(AO1238&gt;0,ROUND(INDEX(挂机升级突破!$DT$6:$ED$57,卡牌消耗!AT1238,AO1238)*INDEX(卡牌消耗!$B$7:$F$7,AR1238)/$Q$4,0),"")</f>
        <v/>
      </c>
    </row>
    <row r="1239" spans="37:52" ht="16.5" x14ac:dyDescent="0.2">
      <c r="AK1239" s="104">
        <v>1235</v>
      </c>
      <c r="AL1239" s="14">
        <f t="shared" si="440"/>
        <v>24</v>
      </c>
      <c r="AM1239" s="14">
        <f>INDEX(挂机升级突破!DQ$6:DQ$57,卡牌消耗!$AT1239)</f>
        <v>11</v>
      </c>
      <c r="AN1239" s="14">
        <f>INDEX(挂机升级突破!DR$6:DR$57,卡牌消耗!$AT1239)</f>
        <v>5</v>
      </c>
      <c r="AO1239" s="14">
        <f>INDEX(挂机升级突破!DS$6:DS$57,卡牌消耗!$AT1239)</f>
        <v>0</v>
      </c>
      <c r="AP1239" s="14">
        <f>INDEX(挂机升级突破!$DP$6:$DP$57,卡牌消耗!AT1239)</f>
        <v>115</v>
      </c>
      <c r="AQ1239" s="14" t="str">
        <f t="shared" si="441"/>
        <v>朱仙</v>
      </c>
      <c r="AR1239" s="14">
        <f t="shared" si="442"/>
        <v>3</v>
      </c>
      <c r="AS1239" s="14" t="str">
        <f t="shared" si="443"/>
        <v>朱仙魂火-39</v>
      </c>
      <c r="AT1239" s="14">
        <f t="shared" si="444"/>
        <v>39</v>
      </c>
      <c r="AU1239" s="14" t="str">
        <f>IF(AM1239&gt;0,INDEX(挂机升级突破!$DT$4:$ED$4,AM1239),"")</f>
        <v>金币</v>
      </c>
      <c r="AV1239" s="14">
        <f>ROUND(INDEX(挂机升级突破!$DJ$6:$DJ$57,卡牌消耗!AT1239)*INDEX(卡牌消耗!$B$8:$F$8,AR1239)/$Q$4/50,0)*50</f>
        <v>21500</v>
      </c>
      <c r="AW1239" s="14" t="str">
        <f>IF(AN1239&gt;0,INDEX(挂机升级突破!$DT$4:$ED$4,AN1239),"")</f>
        <v>红色基础材料</v>
      </c>
      <c r="AX1239" s="14">
        <f>ROUND(INDEX(挂机升级突破!$DT$6:$ED$57,卡牌消耗!AT1239,AN1239)*INDEX(卡牌消耗!$B$5:$F$5,AR1239)/$Q$4/5,0)*5</f>
        <v>10</v>
      </c>
      <c r="AY1239" s="14" t="str">
        <f>IF(AO1239&gt;0,INDEX(挂机升级突破!$DT$4:$ED$4,AO1239),"")</f>
        <v/>
      </c>
      <c r="AZ1239" s="14" t="str">
        <f>IF(AO1239&gt;0,ROUND(INDEX(挂机升级突破!$DT$6:$ED$57,卡牌消耗!AT1239,AO1239)*INDEX(卡牌消耗!$B$7:$F$7,AR1239)/$Q$4,0),"")</f>
        <v/>
      </c>
    </row>
    <row r="1240" spans="37:52" ht="16.5" x14ac:dyDescent="0.2">
      <c r="AK1240" s="104">
        <v>1236</v>
      </c>
      <c r="AL1240" s="14">
        <f t="shared" si="440"/>
        <v>24</v>
      </c>
      <c r="AM1240" s="14">
        <f>INDEX(挂机升级突破!DQ$6:DQ$57,卡牌消耗!$AT1240)</f>
        <v>11</v>
      </c>
      <c r="AN1240" s="14">
        <f>INDEX(挂机升级突破!DR$6:DR$57,卡牌消耗!$AT1240)</f>
        <v>5</v>
      </c>
      <c r="AO1240" s="14">
        <f>INDEX(挂机升级突破!DS$6:DS$57,卡牌消耗!$AT1240)</f>
        <v>0</v>
      </c>
      <c r="AP1240" s="14">
        <f>INDEX(挂机升级突破!$DP$6:$DP$57,卡牌消耗!AT1240)</f>
        <v>118</v>
      </c>
      <c r="AQ1240" s="14" t="str">
        <f t="shared" si="441"/>
        <v>朱仙</v>
      </c>
      <c r="AR1240" s="14">
        <f t="shared" si="442"/>
        <v>3</v>
      </c>
      <c r="AS1240" s="14" t="str">
        <f t="shared" si="443"/>
        <v>朱仙魂火-40</v>
      </c>
      <c r="AT1240" s="14">
        <f t="shared" si="444"/>
        <v>40</v>
      </c>
      <c r="AU1240" s="14" t="str">
        <f>IF(AM1240&gt;0,INDEX(挂机升级突破!$DT$4:$ED$4,AM1240),"")</f>
        <v>金币</v>
      </c>
      <c r="AV1240" s="14">
        <f>ROUND(INDEX(挂机升级突破!$DJ$6:$DJ$57,卡牌消耗!AT1240)*INDEX(卡牌消耗!$B$8:$F$8,AR1240)/$Q$4/50,0)*50</f>
        <v>21500</v>
      </c>
      <c r="AW1240" s="14" t="str">
        <f>IF(AN1240&gt;0,INDEX(挂机升级突破!$DT$4:$ED$4,AN1240),"")</f>
        <v>红色基础材料</v>
      </c>
      <c r="AX1240" s="14">
        <f>ROUND(INDEX(挂机升级突破!$DT$6:$ED$57,卡牌消耗!AT1240,AN1240)*INDEX(卡牌消耗!$B$5:$F$5,AR1240)/$Q$4/5,0)*5</f>
        <v>10</v>
      </c>
      <c r="AY1240" s="14" t="str">
        <f>IF(AO1240&gt;0,INDEX(挂机升级突破!$DT$4:$ED$4,AO1240),"")</f>
        <v/>
      </c>
      <c r="AZ1240" s="14" t="str">
        <f>IF(AO1240&gt;0,ROUND(INDEX(挂机升级突破!$DT$6:$ED$57,卡牌消耗!AT1240,AO1240)*INDEX(卡牌消耗!$B$7:$F$7,AR1240)/$Q$4,0),"")</f>
        <v/>
      </c>
    </row>
    <row r="1241" spans="37:52" ht="16.5" x14ac:dyDescent="0.2">
      <c r="AK1241" s="104">
        <v>1237</v>
      </c>
      <c r="AL1241" s="14">
        <f t="shared" si="440"/>
        <v>24</v>
      </c>
      <c r="AM1241" s="14">
        <f>INDEX(挂机升级突破!DQ$6:DQ$57,卡牌消耗!$AT1241)</f>
        <v>11</v>
      </c>
      <c r="AN1241" s="14">
        <f>INDEX(挂机升级突破!DR$6:DR$57,卡牌消耗!$AT1241)</f>
        <v>5</v>
      </c>
      <c r="AO1241" s="14">
        <f>INDEX(挂机升级突破!DS$6:DS$57,卡牌消耗!$AT1241)</f>
        <v>10</v>
      </c>
      <c r="AP1241" s="14">
        <f>INDEX(挂机升级突破!$DP$6:$DP$57,卡牌消耗!AT1241)</f>
        <v>120</v>
      </c>
      <c r="AQ1241" s="14" t="str">
        <f t="shared" si="441"/>
        <v>朱仙</v>
      </c>
      <c r="AR1241" s="14">
        <f t="shared" si="442"/>
        <v>3</v>
      </c>
      <c r="AS1241" s="14" t="str">
        <f t="shared" si="443"/>
        <v>朱仙魂火-41</v>
      </c>
      <c r="AT1241" s="14">
        <f t="shared" si="444"/>
        <v>41</v>
      </c>
      <c r="AU1241" s="14" t="str">
        <f>IF(AM1241&gt;0,INDEX(挂机升级突破!$DT$4:$ED$4,AM1241),"")</f>
        <v>金币</v>
      </c>
      <c r="AV1241" s="14">
        <f>ROUND(INDEX(挂机升级突破!$DJ$6:$DJ$57,卡牌消耗!AT1241)*INDEX(卡牌消耗!$B$8:$F$8,AR1241)/$Q$4/50,0)*50</f>
        <v>29550</v>
      </c>
      <c r="AW1241" s="14" t="str">
        <f>IF(AN1241&gt;0,INDEX(挂机升级突破!$DT$4:$ED$4,AN1241),"")</f>
        <v>红色基础材料</v>
      </c>
      <c r="AX1241" s="14">
        <f>ROUND(INDEX(挂机升级突破!$DT$6:$ED$57,卡牌消耗!AT1241,AN1241)*INDEX(卡牌消耗!$B$5:$F$5,AR1241)/$Q$4/5,0)*5</f>
        <v>10</v>
      </c>
      <c r="AY1241" s="14" t="str">
        <f>IF(AO1241&gt;0,INDEX(挂机升级突破!$DT$4:$ED$4,AO1241),"")</f>
        <v>灵玉</v>
      </c>
      <c r="AZ1241" s="14">
        <f>IF(AO1241&gt;0,ROUND(INDEX(挂机升级突破!$DT$6:$ED$57,卡牌消耗!AT1241,AO1241)*INDEX(卡牌消耗!$B$7:$F$7,AR1241)/$Q$4,0),"")</f>
        <v>2</v>
      </c>
    </row>
    <row r="1242" spans="37:52" ht="16.5" x14ac:dyDescent="0.2">
      <c r="AK1242" s="104">
        <v>1238</v>
      </c>
      <c r="AL1242" s="14">
        <f t="shared" si="440"/>
        <v>24</v>
      </c>
      <c r="AM1242" s="14">
        <f>INDEX(挂机升级突破!DQ$6:DQ$57,卡牌消耗!$AT1242)</f>
        <v>11</v>
      </c>
      <c r="AN1242" s="14">
        <f>INDEX(挂机升级突破!DR$6:DR$57,卡牌消耗!$AT1242)</f>
        <v>5</v>
      </c>
      <c r="AO1242" s="14">
        <f>INDEX(挂机升级突破!DS$6:DS$57,卡牌消耗!$AT1242)</f>
        <v>10</v>
      </c>
      <c r="AP1242" s="14">
        <f>INDEX(挂机升级突破!$DP$6:$DP$57,卡牌消耗!AT1242)</f>
        <v>123</v>
      </c>
      <c r="AQ1242" s="14" t="str">
        <f t="shared" si="441"/>
        <v>朱仙</v>
      </c>
      <c r="AR1242" s="14">
        <f t="shared" si="442"/>
        <v>3</v>
      </c>
      <c r="AS1242" s="14" t="str">
        <f t="shared" si="443"/>
        <v>朱仙魂火-42</v>
      </c>
      <c r="AT1242" s="14">
        <f t="shared" si="444"/>
        <v>42</v>
      </c>
      <c r="AU1242" s="14" t="str">
        <f>IF(AM1242&gt;0,INDEX(挂机升级突破!$DT$4:$ED$4,AM1242),"")</f>
        <v>金币</v>
      </c>
      <c r="AV1242" s="14">
        <f>ROUND(INDEX(挂机升级突破!$DJ$6:$DJ$57,卡牌消耗!AT1242)*INDEX(卡牌消耗!$B$8:$F$8,AR1242)/$Q$4/50,0)*50</f>
        <v>29550</v>
      </c>
      <c r="AW1242" s="14" t="str">
        <f>IF(AN1242&gt;0,INDEX(挂机升级突破!$DT$4:$ED$4,AN1242),"")</f>
        <v>红色基础材料</v>
      </c>
      <c r="AX1242" s="14">
        <f>ROUND(INDEX(挂机升级突破!$DT$6:$ED$57,卡牌消耗!AT1242,AN1242)*INDEX(卡牌消耗!$B$5:$F$5,AR1242)/$Q$4/5,0)*5</f>
        <v>10</v>
      </c>
      <c r="AY1242" s="14" t="str">
        <f>IF(AO1242&gt;0,INDEX(挂机升级突破!$DT$4:$ED$4,AO1242),"")</f>
        <v>灵玉</v>
      </c>
      <c r="AZ1242" s="14">
        <f>IF(AO1242&gt;0,ROUND(INDEX(挂机升级突破!$DT$6:$ED$57,卡牌消耗!AT1242,AO1242)*INDEX(卡牌消耗!$B$7:$F$7,AR1242)/$Q$4,0),"")</f>
        <v>2</v>
      </c>
    </row>
    <row r="1243" spans="37:52" ht="16.5" x14ac:dyDescent="0.2">
      <c r="AK1243" s="104">
        <v>1239</v>
      </c>
      <c r="AL1243" s="14">
        <f t="shared" si="440"/>
        <v>24</v>
      </c>
      <c r="AM1243" s="14">
        <f>INDEX(挂机升级突破!DQ$6:DQ$57,卡牌消耗!$AT1243)</f>
        <v>11</v>
      </c>
      <c r="AN1243" s="14">
        <f>INDEX(挂机升级突破!DR$6:DR$57,卡牌消耗!$AT1243)</f>
        <v>5</v>
      </c>
      <c r="AO1243" s="14">
        <f>INDEX(挂机升级突破!DS$6:DS$57,卡牌消耗!$AT1243)</f>
        <v>10</v>
      </c>
      <c r="AP1243" s="14">
        <f>INDEX(挂机升级突破!$DP$6:$DP$57,卡牌消耗!AT1243)</f>
        <v>125</v>
      </c>
      <c r="AQ1243" s="14" t="str">
        <f t="shared" si="441"/>
        <v>朱仙</v>
      </c>
      <c r="AR1243" s="14">
        <f t="shared" si="442"/>
        <v>3</v>
      </c>
      <c r="AS1243" s="14" t="str">
        <f t="shared" si="443"/>
        <v>朱仙魂火-43</v>
      </c>
      <c r="AT1243" s="14">
        <f t="shared" si="444"/>
        <v>43</v>
      </c>
      <c r="AU1243" s="14" t="str">
        <f>IF(AM1243&gt;0,INDEX(挂机升级突破!$DT$4:$ED$4,AM1243),"")</f>
        <v>金币</v>
      </c>
      <c r="AV1243" s="14">
        <f>ROUND(INDEX(挂机升级突破!$DJ$6:$DJ$57,卡牌消耗!AT1243)*INDEX(卡牌消耗!$B$8:$F$8,AR1243)/$Q$4/50,0)*50</f>
        <v>29550</v>
      </c>
      <c r="AW1243" s="14" t="str">
        <f>IF(AN1243&gt;0,INDEX(挂机升级突破!$DT$4:$ED$4,AN1243),"")</f>
        <v>红色基础材料</v>
      </c>
      <c r="AX1243" s="14">
        <f>ROUND(INDEX(挂机升级突破!$DT$6:$ED$57,卡牌消耗!AT1243,AN1243)*INDEX(卡牌消耗!$B$5:$F$5,AR1243)/$Q$4/5,0)*5</f>
        <v>10</v>
      </c>
      <c r="AY1243" s="14" t="str">
        <f>IF(AO1243&gt;0,INDEX(挂机升级突破!$DT$4:$ED$4,AO1243),"")</f>
        <v>灵玉</v>
      </c>
      <c r="AZ1243" s="14">
        <f>IF(AO1243&gt;0,ROUND(INDEX(挂机升级突破!$DT$6:$ED$57,卡牌消耗!AT1243,AO1243)*INDEX(卡牌消耗!$B$7:$F$7,AR1243)/$Q$4,0),"")</f>
        <v>2</v>
      </c>
    </row>
    <row r="1244" spans="37:52" ht="16.5" x14ac:dyDescent="0.2">
      <c r="AK1244" s="104">
        <v>1240</v>
      </c>
      <c r="AL1244" s="14">
        <f t="shared" si="440"/>
        <v>24</v>
      </c>
      <c r="AM1244" s="14">
        <f>INDEX(挂机升级突破!DQ$6:DQ$57,卡牌消耗!$AT1244)</f>
        <v>11</v>
      </c>
      <c r="AN1244" s="14">
        <f>INDEX(挂机升级突破!DR$6:DR$57,卡牌消耗!$AT1244)</f>
        <v>5</v>
      </c>
      <c r="AO1244" s="14">
        <f>INDEX(挂机升级突破!DS$6:DS$57,卡牌消耗!$AT1244)</f>
        <v>10</v>
      </c>
      <c r="AP1244" s="14">
        <f>INDEX(挂机升级突破!$DP$6:$DP$57,卡牌消耗!AT1244)</f>
        <v>128</v>
      </c>
      <c r="AQ1244" s="14" t="str">
        <f t="shared" si="441"/>
        <v>朱仙</v>
      </c>
      <c r="AR1244" s="14">
        <f t="shared" si="442"/>
        <v>3</v>
      </c>
      <c r="AS1244" s="14" t="str">
        <f t="shared" si="443"/>
        <v>朱仙魂火-44</v>
      </c>
      <c r="AT1244" s="14">
        <f t="shared" si="444"/>
        <v>44</v>
      </c>
      <c r="AU1244" s="14" t="str">
        <f>IF(AM1244&gt;0,INDEX(挂机升级突破!$DT$4:$ED$4,AM1244),"")</f>
        <v>金币</v>
      </c>
      <c r="AV1244" s="14">
        <f>ROUND(INDEX(挂机升级突破!$DJ$6:$DJ$57,卡牌消耗!AT1244)*INDEX(卡牌消耗!$B$8:$F$8,AR1244)/$Q$4/50,0)*50</f>
        <v>37600</v>
      </c>
      <c r="AW1244" s="14" t="str">
        <f>IF(AN1244&gt;0,INDEX(挂机升级突破!$DT$4:$ED$4,AN1244),"")</f>
        <v>红色基础材料</v>
      </c>
      <c r="AX1244" s="14">
        <f>ROUND(INDEX(挂机升级突破!$DT$6:$ED$57,卡牌消耗!AT1244,AN1244)*INDEX(卡牌消耗!$B$5:$F$5,AR1244)/$Q$4/5,0)*5</f>
        <v>10</v>
      </c>
      <c r="AY1244" s="14" t="str">
        <f>IF(AO1244&gt;0,INDEX(挂机升级突破!$DT$4:$ED$4,AO1244),"")</f>
        <v>灵玉</v>
      </c>
      <c r="AZ1244" s="14">
        <f>IF(AO1244&gt;0,ROUND(INDEX(挂机升级突破!$DT$6:$ED$57,卡牌消耗!AT1244,AO1244)*INDEX(卡牌消耗!$B$7:$F$7,AR1244)/$Q$4,0),"")</f>
        <v>2</v>
      </c>
    </row>
    <row r="1245" spans="37:52" ht="16.5" x14ac:dyDescent="0.2">
      <c r="AK1245" s="104">
        <v>1241</v>
      </c>
      <c r="AL1245" s="14">
        <f t="shared" si="440"/>
        <v>24</v>
      </c>
      <c r="AM1245" s="14">
        <f>INDEX(挂机升级突破!DQ$6:DQ$57,卡牌消耗!$AT1245)</f>
        <v>11</v>
      </c>
      <c r="AN1245" s="14">
        <f>INDEX(挂机升级突破!DR$6:DR$57,卡牌消耗!$AT1245)</f>
        <v>5</v>
      </c>
      <c r="AO1245" s="14">
        <f>INDEX(挂机升级突破!DS$6:DS$57,卡牌消耗!$AT1245)</f>
        <v>10</v>
      </c>
      <c r="AP1245" s="14">
        <f>INDEX(挂机升级突破!$DP$6:$DP$57,卡牌消耗!AT1245)</f>
        <v>130</v>
      </c>
      <c r="AQ1245" s="14" t="str">
        <f t="shared" si="441"/>
        <v>朱仙</v>
      </c>
      <c r="AR1245" s="14">
        <f t="shared" si="442"/>
        <v>3</v>
      </c>
      <c r="AS1245" s="14" t="str">
        <f t="shared" si="443"/>
        <v>朱仙魂火-45</v>
      </c>
      <c r="AT1245" s="14">
        <f t="shared" si="444"/>
        <v>45</v>
      </c>
      <c r="AU1245" s="14" t="str">
        <f>IF(AM1245&gt;0,INDEX(挂机升级突破!$DT$4:$ED$4,AM1245),"")</f>
        <v>金币</v>
      </c>
      <c r="AV1245" s="14">
        <f>ROUND(INDEX(挂机升级突破!$DJ$6:$DJ$57,卡牌消耗!AT1245)*INDEX(卡牌消耗!$B$8:$F$8,AR1245)/$Q$4/50,0)*50</f>
        <v>37600</v>
      </c>
      <c r="AW1245" s="14" t="str">
        <f>IF(AN1245&gt;0,INDEX(挂机升级突破!$DT$4:$ED$4,AN1245),"")</f>
        <v>红色基础材料</v>
      </c>
      <c r="AX1245" s="14">
        <f>ROUND(INDEX(挂机升级突破!$DT$6:$ED$57,卡牌消耗!AT1245,AN1245)*INDEX(卡牌消耗!$B$5:$F$5,AR1245)/$Q$4/5,0)*5</f>
        <v>10</v>
      </c>
      <c r="AY1245" s="14" t="str">
        <f>IF(AO1245&gt;0,INDEX(挂机升级突破!$DT$4:$ED$4,AO1245),"")</f>
        <v>灵玉</v>
      </c>
      <c r="AZ1245" s="14">
        <f>IF(AO1245&gt;0,ROUND(INDEX(挂机升级突破!$DT$6:$ED$57,卡牌消耗!AT1245,AO1245)*INDEX(卡牌消耗!$B$7:$F$7,AR1245)/$Q$4,0),"")</f>
        <v>2</v>
      </c>
    </row>
    <row r="1246" spans="37:52" ht="16.5" x14ac:dyDescent="0.2">
      <c r="AK1246" s="104">
        <v>1242</v>
      </c>
      <c r="AL1246" s="14">
        <f t="shared" si="440"/>
        <v>24</v>
      </c>
      <c r="AM1246" s="14">
        <f>INDEX(挂机升级突破!DQ$6:DQ$57,卡牌消耗!$AT1246)</f>
        <v>11</v>
      </c>
      <c r="AN1246" s="14">
        <f>INDEX(挂机升级突破!DR$6:DR$57,卡牌消耗!$AT1246)</f>
        <v>5</v>
      </c>
      <c r="AO1246" s="14">
        <f>INDEX(挂机升级突破!DS$6:DS$57,卡牌消耗!$AT1246)</f>
        <v>10</v>
      </c>
      <c r="AP1246" s="14">
        <f>INDEX(挂机升级突破!$DP$6:$DP$57,卡牌消耗!AT1246)</f>
        <v>133</v>
      </c>
      <c r="AQ1246" s="14" t="str">
        <f t="shared" si="441"/>
        <v>朱仙</v>
      </c>
      <c r="AR1246" s="14">
        <f t="shared" si="442"/>
        <v>3</v>
      </c>
      <c r="AS1246" s="14" t="str">
        <f t="shared" si="443"/>
        <v>朱仙魂火-46</v>
      </c>
      <c r="AT1246" s="14">
        <f t="shared" si="444"/>
        <v>46</v>
      </c>
      <c r="AU1246" s="14" t="str">
        <f>IF(AM1246&gt;0,INDEX(挂机升级突破!$DT$4:$ED$4,AM1246),"")</f>
        <v>金币</v>
      </c>
      <c r="AV1246" s="14">
        <f>ROUND(INDEX(挂机升级突破!$DJ$6:$DJ$57,卡牌消耗!AT1246)*INDEX(卡牌消耗!$B$8:$F$8,AR1246)/$Q$4/50,0)*50</f>
        <v>40300</v>
      </c>
      <c r="AW1246" s="14" t="str">
        <f>IF(AN1246&gt;0,INDEX(挂机升级突破!$DT$4:$ED$4,AN1246),"")</f>
        <v>红色基础材料</v>
      </c>
      <c r="AX1246" s="14">
        <f>ROUND(INDEX(挂机升级突破!$DT$6:$ED$57,卡牌消耗!AT1246,AN1246)*INDEX(卡牌消耗!$B$5:$F$5,AR1246)/$Q$4/5,0)*5</f>
        <v>10</v>
      </c>
      <c r="AY1246" s="14" t="str">
        <f>IF(AO1246&gt;0,INDEX(挂机升级突破!$DT$4:$ED$4,AO1246),"")</f>
        <v>灵玉</v>
      </c>
      <c r="AZ1246" s="14">
        <f>IF(AO1246&gt;0,ROUND(INDEX(挂机升级突破!$DT$6:$ED$57,卡牌消耗!AT1246,AO1246)*INDEX(卡牌消耗!$B$7:$F$7,AR1246)/$Q$4,0),"")</f>
        <v>2</v>
      </c>
    </row>
    <row r="1247" spans="37:52" ht="16.5" x14ac:dyDescent="0.2">
      <c r="AK1247" s="104">
        <v>1243</v>
      </c>
      <c r="AL1247" s="14">
        <f t="shared" si="440"/>
        <v>24</v>
      </c>
      <c r="AM1247" s="14">
        <f>INDEX(挂机升级突破!DQ$6:DQ$57,卡牌消耗!$AT1247)</f>
        <v>11</v>
      </c>
      <c r="AN1247" s="14">
        <f>INDEX(挂机升级突破!DR$6:DR$57,卡牌消耗!$AT1247)</f>
        <v>5</v>
      </c>
      <c r="AO1247" s="14">
        <f>INDEX(挂机升级突破!DS$6:DS$57,卡牌消耗!$AT1247)</f>
        <v>10</v>
      </c>
      <c r="AP1247" s="14">
        <f>INDEX(挂机升级突破!$DP$6:$DP$57,卡牌消耗!AT1247)</f>
        <v>135</v>
      </c>
      <c r="AQ1247" s="14" t="str">
        <f t="shared" si="441"/>
        <v>朱仙</v>
      </c>
      <c r="AR1247" s="14">
        <f t="shared" si="442"/>
        <v>3</v>
      </c>
      <c r="AS1247" s="14" t="str">
        <f t="shared" si="443"/>
        <v>朱仙魂火-47</v>
      </c>
      <c r="AT1247" s="14">
        <f t="shared" si="444"/>
        <v>47</v>
      </c>
      <c r="AU1247" s="14" t="str">
        <f>IF(AM1247&gt;0,INDEX(挂机升级突破!$DT$4:$ED$4,AM1247),"")</f>
        <v>金币</v>
      </c>
      <c r="AV1247" s="14">
        <f>ROUND(INDEX(挂机升级突破!$DJ$6:$DJ$57,卡牌消耗!AT1247)*INDEX(卡牌消耗!$B$8:$F$8,AR1247)/$Q$4/50,0)*50</f>
        <v>82050</v>
      </c>
      <c r="AW1247" s="14" t="str">
        <f>IF(AN1247&gt;0,INDEX(挂机升级突破!$DT$4:$ED$4,AN1247),"")</f>
        <v>红色基础材料</v>
      </c>
      <c r="AX1247" s="14">
        <f>ROUND(INDEX(挂机升级突破!$DT$6:$ED$57,卡牌消耗!AT1247,AN1247)*INDEX(卡牌消耗!$B$5:$F$5,AR1247)/$Q$4/5,0)*5</f>
        <v>10</v>
      </c>
      <c r="AY1247" s="14" t="str">
        <f>IF(AO1247&gt;0,INDEX(挂机升级突破!$DT$4:$ED$4,AO1247),"")</f>
        <v>灵玉</v>
      </c>
      <c r="AZ1247" s="14">
        <f>IF(AO1247&gt;0,ROUND(INDEX(挂机升级突破!$DT$6:$ED$57,卡牌消耗!AT1247,AO1247)*INDEX(卡牌消耗!$B$7:$F$7,AR1247)/$Q$4,0),"")</f>
        <v>2</v>
      </c>
    </row>
    <row r="1248" spans="37:52" ht="16.5" x14ac:dyDescent="0.2">
      <c r="AK1248" s="104">
        <v>1244</v>
      </c>
      <c r="AL1248" s="14">
        <f t="shared" si="440"/>
        <v>24</v>
      </c>
      <c r="AM1248" s="14">
        <f>INDEX(挂机升级突破!DQ$6:DQ$57,卡牌消耗!$AT1248)</f>
        <v>11</v>
      </c>
      <c r="AN1248" s="14">
        <f>INDEX(挂机升级突破!DR$6:DR$57,卡牌消耗!$AT1248)</f>
        <v>5</v>
      </c>
      <c r="AO1248" s="14">
        <f>INDEX(挂机升级突破!DS$6:DS$57,卡牌消耗!$AT1248)</f>
        <v>10</v>
      </c>
      <c r="AP1248" s="14">
        <f>INDEX(挂机升级突破!$DP$6:$DP$57,卡牌消耗!AT1248)</f>
        <v>138</v>
      </c>
      <c r="AQ1248" s="14" t="str">
        <f t="shared" si="441"/>
        <v>朱仙</v>
      </c>
      <c r="AR1248" s="14">
        <f t="shared" si="442"/>
        <v>3</v>
      </c>
      <c r="AS1248" s="14" t="str">
        <f t="shared" si="443"/>
        <v>朱仙魂火-48</v>
      </c>
      <c r="AT1248" s="14">
        <f t="shared" si="444"/>
        <v>48</v>
      </c>
      <c r="AU1248" s="14" t="str">
        <f>IF(AM1248&gt;0,INDEX(挂机升级突破!$DT$4:$ED$4,AM1248),"")</f>
        <v>金币</v>
      </c>
      <c r="AV1248" s="14">
        <f>ROUND(INDEX(挂机升级突破!$DJ$6:$DJ$57,卡牌消耗!AT1248)*INDEX(卡牌消耗!$B$8:$F$8,AR1248)/$Q$4/50,0)*50</f>
        <v>82050</v>
      </c>
      <c r="AW1248" s="14" t="str">
        <f>IF(AN1248&gt;0,INDEX(挂机升级突破!$DT$4:$ED$4,AN1248),"")</f>
        <v>红色基础材料</v>
      </c>
      <c r="AX1248" s="14">
        <f>ROUND(INDEX(挂机升级突破!$DT$6:$ED$57,卡牌消耗!AT1248,AN1248)*INDEX(卡牌消耗!$B$5:$F$5,AR1248)/$Q$4/5,0)*5</f>
        <v>10</v>
      </c>
      <c r="AY1248" s="14" t="str">
        <f>IF(AO1248&gt;0,INDEX(挂机升级突破!$DT$4:$ED$4,AO1248),"")</f>
        <v>灵玉</v>
      </c>
      <c r="AZ1248" s="14">
        <f>IF(AO1248&gt;0,ROUND(INDEX(挂机升级突破!$DT$6:$ED$57,卡牌消耗!AT1248,AO1248)*INDEX(卡牌消耗!$B$7:$F$7,AR1248)/$Q$4,0),"")</f>
        <v>2</v>
      </c>
    </row>
    <row r="1249" spans="37:52" ht="16.5" x14ac:dyDescent="0.2">
      <c r="AK1249" s="104">
        <v>1245</v>
      </c>
      <c r="AL1249" s="14">
        <f t="shared" si="440"/>
        <v>24</v>
      </c>
      <c r="AM1249" s="14">
        <f>INDEX(挂机升级突破!DQ$6:DQ$57,卡牌消耗!$AT1249)</f>
        <v>11</v>
      </c>
      <c r="AN1249" s="14">
        <f>INDEX(挂机升级突破!DR$6:DR$57,卡牌消耗!$AT1249)</f>
        <v>5</v>
      </c>
      <c r="AO1249" s="14">
        <f>INDEX(挂机升级突破!DS$6:DS$57,卡牌消耗!$AT1249)</f>
        <v>10</v>
      </c>
      <c r="AP1249" s="14">
        <f>INDEX(挂机升级突破!$DP$6:$DP$57,卡牌消耗!AT1249)</f>
        <v>140</v>
      </c>
      <c r="AQ1249" s="14" t="str">
        <f t="shared" si="441"/>
        <v>朱仙</v>
      </c>
      <c r="AR1249" s="14">
        <f t="shared" si="442"/>
        <v>3</v>
      </c>
      <c r="AS1249" s="14" t="str">
        <f t="shared" si="443"/>
        <v>朱仙魂火-49</v>
      </c>
      <c r="AT1249" s="14">
        <f t="shared" si="444"/>
        <v>49</v>
      </c>
      <c r="AU1249" s="14" t="str">
        <f>IF(AM1249&gt;0,INDEX(挂机升级突破!$DT$4:$ED$4,AM1249),"")</f>
        <v>金币</v>
      </c>
      <c r="AV1249" s="14">
        <f>ROUND(INDEX(挂机升级突破!$DJ$6:$DJ$57,卡牌消耗!AT1249)*INDEX(卡牌消耗!$B$8:$F$8,AR1249)/$Q$4/50,0)*50</f>
        <v>82050</v>
      </c>
      <c r="AW1249" s="14" t="str">
        <f>IF(AN1249&gt;0,INDEX(挂机升级突破!$DT$4:$ED$4,AN1249),"")</f>
        <v>红色基础材料</v>
      </c>
      <c r="AX1249" s="14">
        <f>ROUND(INDEX(挂机升级突破!$DT$6:$ED$57,卡牌消耗!AT1249,AN1249)*INDEX(卡牌消耗!$B$5:$F$5,AR1249)/$Q$4/5,0)*5</f>
        <v>15</v>
      </c>
      <c r="AY1249" s="14" t="str">
        <f>IF(AO1249&gt;0,INDEX(挂机升级突破!$DT$4:$ED$4,AO1249),"")</f>
        <v>灵玉</v>
      </c>
      <c r="AZ1249" s="14">
        <f>IF(AO1249&gt;0,ROUND(INDEX(挂机升级突破!$DT$6:$ED$57,卡牌消耗!AT1249,AO1249)*INDEX(卡牌消耗!$B$7:$F$7,AR1249)/$Q$4,0),"")</f>
        <v>2</v>
      </c>
    </row>
    <row r="1250" spans="37:52" ht="16.5" x14ac:dyDescent="0.2">
      <c r="AK1250" s="104">
        <v>1246</v>
      </c>
      <c r="AL1250" s="14">
        <f t="shared" si="440"/>
        <v>24</v>
      </c>
      <c r="AM1250" s="14">
        <f>INDEX(挂机升级突破!DQ$6:DQ$57,卡牌消耗!$AT1250)</f>
        <v>11</v>
      </c>
      <c r="AN1250" s="14">
        <f>INDEX(挂机升级突破!DR$6:DR$57,卡牌消耗!$AT1250)</f>
        <v>5</v>
      </c>
      <c r="AO1250" s="14">
        <f>INDEX(挂机升级突破!DS$6:DS$57,卡牌消耗!$AT1250)</f>
        <v>10</v>
      </c>
      <c r="AP1250" s="14">
        <f>INDEX(挂机升级突破!$DP$6:$DP$57,卡牌消耗!AT1250)</f>
        <v>143</v>
      </c>
      <c r="AQ1250" s="14" t="str">
        <f t="shared" si="441"/>
        <v>朱仙</v>
      </c>
      <c r="AR1250" s="14">
        <f t="shared" si="442"/>
        <v>3</v>
      </c>
      <c r="AS1250" s="14" t="str">
        <f t="shared" si="443"/>
        <v>朱仙魂火-50</v>
      </c>
      <c r="AT1250" s="14">
        <f t="shared" si="444"/>
        <v>50</v>
      </c>
      <c r="AU1250" s="14" t="str">
        <f>IF(AM1250&gt;0,INDEX(挂机升级突破!$DT$4:$ED$4,AM1250),"")</f>
        <v>金币</v>
      </c>
      <c r="AV1250" s="14">
        <f>ROUND(INDEX(挂机升级突破!$DJ$6:$DJ$57,卡牌消耗!AT1250)*INDEX(卡牌消耗!$B$8:$F$8,AR1250)/$Q$4/50,0)*50</f>
        <v>136750</v>
      </c>
      <c r="AW1250" s="14" t="str">
        <f>IF(AN1250&gt;0,INDEX(挂机升级突破!$DT$4:$ED$4,AN1250),"")</f>
        <v>红色基础材料</v>
      </c>
      <c r="AX1250" s="14">
        <f>ROUND(INDEX(挂机升级突破!$DT$6:$ED$57,卡牌消耗!AT1250,AN1250)*INDEX(卡牌消耗!$B$5:$F$5,AR1250)/$Q$4/5,0)*5</f>
        <v>15</v>
      </c>
      <c r="AY1250" s="14" t="str">
        <f>IF(AO1250&gt;0,INDEX(挂机升级突破!$DT$4:$ED$4,AO1250),"")</f>
        <v>灵玉</v>
      </c>
      <c r="AZ1250" s="14">
        <f>IF(AO1250&gt;0,ROUND(INDEX(挂机升级突破!$DT$6:$ED$57,卡牌消耗!AT1250,AO1250)*INDEX(卡牌消耗!$B$7:$F$7,AR1250)/$Q$4,0),"")</f>
        <v>2</v>
      </c>
    </row>
    <row r="1251" spans="37:52" ht="16.5" x14ac:dyDescent="0.2">
      <c r="AK1251" s="104">
        <v>1247</v>
      </c>
      <c r="AL1251" s="14">
        <f t="shared" si="440"/>
        <v>24</v>
      </c>
      <c r="AM1251" s="14">
        <f>INDEX(挂机升级突破!DQ$6:DQ$57,卡牌消耗!$AT1251)</f>
        <v>11</v>
      </c>
      <c r="AN1251" s="14">
        <f>INDEX(挂机升级突破!DR$6:DR$57,卡牌消耗!$AT1251)</f>
        <v>5</v>
      </c>
      <c r="AO1251" s="14">
        <f>INDEX(挂机升级突破!DS$6:DS$57,卡牌消耗!$AT1251)</f>
        <v>10</v>
      </c>
      <c r="AP1251" s="14">
        <f>INDEX(挂机升级突破!$DP$6:$DP$57,卡牌消耗!AT1251)</f>
        <v>145</v>
      </c>
      <c r="AQ1251" s="14" t="str">
        <f t="shared" si="441"/>
        <v>朱仙</v>
      </c>
      <c r="AR1251" s="14">
        <f t="shared" si="442"/>
        <v>3</v>
      </c>
      <c r="AS1251" s="14" t="str">
        <f t="shared" si="443"/>
        <v>朱仙魂火-51</v>
      </c>
      <c r="AT1251" s="14">
        <f t="shared" si="444"/>
        <v>51</v>
      </c>
      <c r="AU1251" s="14" t="str">
        <f>IF(AM1251&gt;0,INDEX(挂机升级突破!$DT$4:$ED$4,AM1251),"")</f>
        <v>金币</v>
      </c>
      <c r="AV1251" s="14">
        <f>ROUND(INDEX(挂机升级突破!$DJ$6:$DJ$57,卡牌消耗!AT1251)*INDEX(卡牌消耗!$B$8:$F$8,AR1251)/$Q$4/50,0)*50</f>
        <v>150450</v>
      </c>
      <c r="AW1251" s="14" t="str">
        <f>IF(AN1251&gt;0,INDEX(挂机升级突破!$DT$4:$ED$4,AN1251),"")</f>
        <v>红色基础材料</v>
      </c>
      <c r="AX1251" s="14">
        <f>ROUND(INDEX(挂机升级突破!$DT$6:$ED$57,卡牌消耗!AT1251,AN1251)*INDEX(卡牌消耗!$B$5:$F$5,AR1251)/$Q$4/5,0)*5</f>
        <v>15</v>
      </c>
      <c r="AY1251" s="14" t="str">
        <f>IF(AO1251&gt;0,INDEX(挂机升级突破!$DT$4:$ED$4,AO1251),"")</f>
        <v>灵玉</v>
      </c>
      <c r="AZ1251" s="14">
        <f>IF(AO1251&gt;0,ROUND(INDEX(挂机升级突破!$DT$6:$ED$57,卡牌消耗!AT1251,AO1251)*INDEX(卡牌消耗!$B$7:$F$7,AR1251)/$Q$4,0),"")</f>
        <v>2</v>
      </c>
    </row>
    <row r="1252" spans="37:52" ht="16.5" x14ac:dyDescent="0.2">
      <c r="AK1252" s="104">
        <v>1248</v>
      </c>
      <c r="AL1252" s="14">
        <f t="shared" si="440"/>
        <v>24</v>
      </c>
      <c r="AM1252" s="14">
        <f>INDEX(挂机升级突破!DQ$6:DQ$57,卡牌消耗!$AT1252)</f>
        <v>11</v>
      </c>
      <c r="AN1252" s="14">
        <f>INDEX(挂机升级突破!DR$6:DR$57,卡牌消耗!$AT1252)</f>
        <v>5</v>
      </c>
      <c r="AO1252" s="14">
        <f>INDEX(挂机升级突破!DS$6:DS$57,卡牌消耗!$AT1252)</f>
        <v>10</v>
      </c>
      <c r="AP1252" s="14">
        <f>INDEX(挂机升级突破!$DP$6:$DP$57,卡牌消耗!AT1252)</f>
        <v>148</v>
      </c>
      <c r="AQ1252" s="14" t="str">
        <f t="shared" si="441"/>
        <v>朱仙</v>
      </c>
      <c r="AR1252" s="14">
        <f t="shared" si="442"/>
        <v>3</v>
      </c>
      <c r="AS1252" s="14" t="str">
        <f t="shared" si="443"/>
        <v>朱仙魂火-52</v>
      </c>
      <c r="AT1252" s="14">
        <f t="shared" si="444"/>
        <v>52</v>
      </c>
      <c r="AU1252" s="14" t="str">
        <f>IF(AM1252&gt;0,INDEX(挂机升级突破!$DT$4:$ED$4,AM1252),"")</f>
        <v>金币</v>
      </c>
      <c r="AV1252" s="14">
        <f>ROUND(INDEX(挂机升级突破!$DJ$6:$DJ$57,卡牌消耗!AT1252)*INDEX(卡牌消耗!$B$8:$F$8,AR1252)/$Q$4/50,0)*50</f>
        <v>150450</v>
      </c>
      <c r="AW1252" s="14" t="str">
        <f>IF(AN1252&gt;0,INDEX(挂机升级突破!$DT$4:$ED$4,AN1252),"")</f>
        <v>红色基础材料</v>
      </c>
      <c r="AX1252" s="14">
        <f>ROUND(INDEX(挂机升级突破!$DT$6:$ED$57,卡牌消耗!AT1252,AN1252)*INDEX(卡牌消耗!$B$5:$F$5,AR1252)/$Q$4/5,0)*5</f>
        <v>15</v>
      </c>
      <c r="AY1252" s="14" t="str">
        <f>IF(AO1252&gt;0,INDEX(挂机升级突破!$DT$4:$ED$4,AO1252),"")</f>
        <v>灵玉</v>
      </c>
      <c r="AZ1252" s="14">
        <f>IF(AO1252&gt;0,ROUND(INDEX(挂机升级突破!$DT$6:$ED$57,卡牌消耗!AT1252,AO1252)*INDEX(卡牌消耗!$B$7:$F$7,AR1252)/$Q$4,0),"")</f>
        <v>2</v>
      </c>
    </row>
    <row r="1253" spans="37:52" ht="16.5" x14ac:dyDescent="0.2">
      <c r="AK1253" s="104">
        <v>1249</v>
      </c>
      <c r="AL1253" s="14">
        <f t="shared" si="440"/>
        <v>25</v>
      </c>
      <c r="AM1253" s="14">
        <f>INDEX(挂机升级突破!DQ$6:DQ$57,卡牌消耗!$AT1253)</f>
        <v>11</v>
      </c>
      <c r="AN1253" s="14">
        <f>INDEX(挂机升级突破!DR$6:DR$57,卡牌消耗!$AT1253)</f>
        <v>1</v>
      </c>
      <c r="AO1253" s="14">
        <f>INDEX(挂机升级突破!DS$6:DS$57,卡牌消耗!$AT1253)</f>
        <v>0</v>
      </c>
      <c r="AP1253" s="14">
        <f>INDEX(挂机升级突破!$DP$6:$DP$57,卡牌消耗!AT1253)</f>
        <v>3</v>
      </c>
      <c r="AQ1253" s="14" t="str">
        <f t="shared" si="441"/>
        <v>雷震子</v>
      </c>
      <c r="AR1253" s="14">
        <f t="shared" si="442"/>
        <v>3</v>
      </c>
      <c r="AS1253" s="14" t="str">
        <f t="shared" si="443"/>
        <v>雷震子魂火-1</v>
      </c>
      <c r="AT1253" s="14">
        <f t="shared" si="444"/>
        <v>1</v>
      </c>
      <c r="AU1253" s="14" t="str">
        <f>IF(AM1253&gt;0,INDEX(挂机升级突破!$DT$4:$ED$4,AM1253),"")</f>
        <v>金币</v>
      </c>
      <c r="AV1253" s="14">
        <f>ROUND(INDEX(挂机升级突破!$DJ$6:$DJ$57,卡牌消耗!AT1253)*INDEX(卡牌消耗!$B$8:$F$8,AR1253)/$Q$4/50,0)*50</f>
        <v>850</v>
      </c>
      <c r="AW1253" s="14" t="str">
        <f>IF(AN1253&gt;0,INDEX(挂机升级突破!$DT$4:$ED$4,AN1253),"")</f>
        <v>绿色基础材料</v>
      </c>
      <c r="AX1253" s="14">
        <f>ROUND(INDEX(挂机升级突破!$DT$6:$ED$57,卡牌消耗!AT1253,AN1253)*INDEX(卡牌消耗!$B$5:$F$5,AR1253)/$Q$4/5,0)*5</f>
        <v>25</v>
      </c>
      <c r="AY1253" s="14" t="str">
        <f>IF(AO1253&gt;0,INDEX(挂机升级突破!$DT$4:$ED$4,AO1253),"")</f>
        <v/>
      </c>
      <c r="AZ1253" s="14" t="str">
        <f>IF(AO1253&gt;0,ROUND(INDEX(挂机升级突破!$DT$6:$ED$57,卡牌消耗!AT1253,AO1253)*INDEX(卡牌消耗!$B$7:$F$7,AR1253)/$Q$4,0),"")</f>
        <v/>
      </c>
    </row>
    <row r="1254" spans="37:52" ht="16.5" x14ac:dyDescent="0.2">
      <c r="AK1254" s="104">
        <v>1250</v>
      </c>
      <c r="AL1254" s="14">
        <f t="shared" si="440"/>
        <v>25</v>
      </c>
      <c r="AM1254" s="14">
        <f>INDEX(挂机升级突破!DQ$6:DQ$57,卡牌消耗!$AT1254)</f>
        <v>11</v>
      </c>
      <c r="AN1254" s="14">
        <f>INDEX(挂机升级突破!DR$6:DR$57,卡牌消耗!$AT1254)</f>
        <v>1</v>
      </c>
      <c r="AO1254" s="14">
        <f>INDEX(挂机升级突破!DS$6:DS$57,卡牌消耗!$AT1254)</f>
        <v>0</v>
      </c>
      <c r="AP1254" s="14">
        <f>INDEX(挂机升级突破!$DP$6:$DP$57,卡牌消耗!AT1254)</f>
        <v>8</v>
      </c>
      <c r="AQ1254" s="14" t="str">
        <f t="shared" si="441"/>
        <v>雷震子</v>
      </c>
      <c r="AR1254" s="14">
        <f t="shared" si="442"/>
        <v>3</v>
      </c>
      <c r="AS1254" s="14" t="str">
        <f t="shared" si="443"/>
        <v>雷震子魂火-2</v>
      </c>
      <c r="AT1254" s="14">
        <f t="shared" si="444"/>
        <v>2</v>
      </c>
      <c r="AU1254" s="14" t="str">
        <f>IF(AM1254&gt;0,INDEX(挂机升级突破!$DT$4:$ED$4,AM1254),"")</f>
        <v>金币</v>
      </c>
      <c r="AV1254" s="14">
        <f>ROUND(INDEX(挂机升级突破!$DJ$6:$DJ$57,卡牌消耗!AT1254)*INDEX(卡牌消耗!$B$8:$F$8,AR1254)/$Q$4/50,0)*50</f>
        <v>1050</v>
      </c>
      <c r="AW1254" s="14" t="str">
        <f>IF(AN1254&gt;0,INDEX(挂机升级突破!$DT$4:$ED$4,AN1254),"")</f>
        <v>绿色基础材料</v>
      </c>
      <c r="AX1254" s="14">
        <f>ROUND(INDEX(挂机升级突破!$DT$6:$ED$57,卡牌消耗!AT1254,AN1254)*INDEX(卡牌消耗!$B$5:$F$5,AR1254)/$Q$4/5,0)*5</f>
        <v>85</v>
      </c>
      <c r="AY1254" s="14" t="str">
        <f>IF(AO1254&gt;0,INDEX(挂机升级突破!$DT$4:$ED$4,AO1254),"")</f>
        <v/>
      </c>
      <c r="AZ1254" s="14" t="str">
        <f>IF(AO1254&gt;0,ROUND(INDEX(挂机升级突破!$DT$6:$ED$57,卡牌消耗!AT1254,AO1254)*INDEX(卡牌消耗!$B$7:$F$7,AR1254)/$Q$4,0),"")</f>
        <v/>
      </c>
    </row>
    <row r="1255" spans="37:52" ht="16.5" x14ac:dyDescent="0.2">
      <c r="AK1255" s="104">
        <v>1251</v>
      </c>
      <c r="AL1255" s="14">
        <f t="shared" si="440"/>
        <v>25</v>
      </c>
      <c r="AM1255" s="14">
        <f>INDEX(挂机升级突破!DQ$6:DQ$57,卡牌消耗!$AT1255)</f>
        <v>11</v>
      </c>
      <c r="AN1255" s="14">
        <f>INDEX(挂机升级突破!DR$6:DR$57,卡牌消耗!$AT1255)</f>
        <v>1</v>
      </c>
      <c r="AO1255" s="14">
        <f>INDEX(挂机升级突破!DS$6:DS$57,卡牌消耗!$AT1255)</f>
        <v>0</v>
      </c>
      <c r="AP1255" s="14">
        <f>INDEX(挂机升级突破!$DP$6:$DP$57,卡牌消耗!AT1255)</f>
        <v>13</v>
      </c>
      <c r="AQ1255" s="14" t="str">
        <f t="shared" si="441"/>
        <v>雷震子</v>
      </c>
      <c r="AR1255" s="14">
        <f t="shared" si="442"/>
        <v>3</v>
      </c>
      <c r="AS1255" s="14" t="str">
        <f t="shared" si="443"/>
        <v>雷震子魂火-3</v>
      </c>
      <c r="AT1255" s="14">
        <f t="shared" si="444"/>
        <v>3</v>
      </c>
      <c r="AU1255" s="14" t="str">
        <f>IF(AM1255&gt;0,INDEX(挂机升级突破!$DT$4:$ED$4,AM1255),"")</f>
        <v>金币</v>
      </c>
      <c r="AV1255" s="14">
        <f>ROUND(INDEX(挂机升级突破!$DJ$6:$DJ$57,卡牌消耗!AT1255)*INDEX(卡牌消耗!$B$8:$F$8,AR1255)/$Q$4/50,0)*50</f>
        <v>1050</v>
      </c>
      <c r="AW1255" s="14" t="str">
        <f>IF(AN1255&gt;0,INDEX(挂机升级突破!$DT$4:$ED$4,AN1255),"")</f>
        <v>绿色基础材料</v>
      </c>
      <c r="AX1255" s="14">
        <f>ROUND(INDEX(挂机升级突破!$DT$6:$ED$57,卡牌消耗!AT1255,AN1255)*INDEX(卡牌消耗!$B$5:$F$5,AR1255)/$Q$4/5,0)*5</f>
        <v>100</v>
      </c>
      <c r="AY1255" s="14" t="str">
        <f>IF(AO1255&gt;0,INDEX(挂机升级突破!$DT$4:$ED$4,AO1255),"")</f>
        <v/>
      </c>
      <c r="AZ1255" s="14" t="str">
        <f>IF(AO1255&gt;0,ROUND(INDEX(挂机升级突破!$DT$6:$ED$57,卡牌消耗!AT1255,AO1255)*INDEX(卡牌消耗!$B$7:$F$7,AR1255)/$Q$4,0),"")</f>
        <v/>
      </c>
    </row>
    <row r="1256" spans="37:52" ht="16.5" x14ac:dyDescent="0.2">
      <c r="AK1256" s="104">
        <v>1252</v>
      </c>
      <c r="AL1256" s="14">
        <f t="shared" si="440"/>
        <v>25</v>
      </c>
      <c r="AM1256" s="14">
        <f>INDEX(挂机升级突破!DQ$6:DQ$57,卡牌消耗!$AT1256)</f>
        <v>11</v>
      </c>
      <c r="AN1256" s="14">
        <f>INDEX(挂机升级突破!DR$6:DR$57,卡牌消耗!$AT1256)</f>
        <v>1</v>
      </c>
      <c r="AO1256" s="14">
        <f>INDEX(挂机升级突破!DS$6:DS$57,卡牌消耗!$AT1256)</f>
        <v>0</v>
      </c>
      <c r="AP1256" s="14">
        <f>INDEX(挂机升级突破!$DP$6:$DP$57,卡牌消耗!AT1256)</f>
        <v>18</v>
      </c>
      <c r="AQ1256" s="14" t="str">
        <f t="shared" si="441"/>
        <v>雷震子</v>
      </c>
      <c r="AR1256" s="14">
        <f t="shared" si="442"/>
        <v>3</v>
      </c>
      <c r="AS1256" s="14" t="str">
        <f t="shared" si="443"/>
        <v>雷震子魂火-4</v>
      </c>
      <c r="AT1256" s="14">
        <f t="shared" si="444"/>
        <v>4</v>
      </c>
      <c r="AU1256" s="14" t="str">
        <f>IF(AM1256&gt;0,INDEX(挂机升级突破!$DT$4:$ED$4,AM1256),"")</f>
        <v>金币</v>
      </c>
      <c r="AV1256" s="14">
        <f>ROUND(INDEX(挂机升级突破!$DJ$6:$DJ$57,卡牌消耗!AT1256)*INDEX(卡牌消耗!$B$8:$F$8,AR1256)/$Q$4/50,0)*50</f>
        <v>1050</v>
      </c>
      <c r="AW1256" s="14" t="str">
        <f>IF(AN1256&gt;0,INDEX(挂机升级突破!$DT$4:$ED$4,AN1256),"")</f>
        <v>绿色基础材料</v>
      </c>
      <c r="AX1256" s="14">
        <f>ROUND(INDEX(挂机升级突破!$DT$6:$ED$57,卡牌消耗!AT1256,AN1256)*INDEX(卡牌消耗!$B$5:$F$5,AR1256)/$Q$4/5,0)*5</f>
        <v>145</v>
      </c>
      <c r="AY1256" s="14" t="str">
        <f>IF(AO1256&gt;0,INDEX(挂机升级突破!$DT$4:$ED$4,AO1256),"")</f>
        <v/>
      </c>
      <c r="AZ1256" s="14" t="str">
        <f>IF(AO1256&gt;0,ROUND(INDEX(挂机升级突破!$DT$6:$ED$57,卡牌消耗!AT1256,AO1256)*INDEX(卡牌消耗!$B$7:$F$7,AR1256)/$Q$4,0),"")</f>
        <v/>
      </c>
    </row>
    <row r="1257" spans="37:52" ht="16.5" x14ac:dyDescent="0.2">
      <c r="AK1257" s="104">
        <v>1253</v>
      </c>
      <c r="AL1257" s="14">
        <f t="shared" si="440"/>
        <v>25</v>
      </c>
      <c r="AM1257" s="14">
        <f>INDEX(挂机升级突破!DQ$6:DQ$57,卡牌消耗!$AT1257)</f>
        <v>11</v>
      </c>
      <c r="AN1257" s="14">
        <f>INDEX(挂机升级突破!DR$6:DR$57,卡牌消耗!$AT1257)</f>
        <v>1</v>
      </c>
      <c r="AO1257" s="14">
        <f>INDEX(挂机升级突破!DS$6:DS$57,卡牌消耗!$AT1257)</f>
        <v>0</v>
      </c>
      <c r="AP1257" s="14">
        <f>INDEX(挂机升级突破!$DP$6:$DP$57,卡牌消耗!AT1257)</f>
        <v>23</v>
      </c>
      <c r="AQ1257" s="14" t="str">
        <f t="shared" si="441"/>
        <v>雷震子</v>
      </c>
      <c r="AR1257" s="14">
        <f t="shared" si="442"/>
        <v>3</v>
      </c>
      <c r="AS1257" s="14" t="str">
        <f t="shared" si="443"/>
        <v>雷震子魂火-5</v>
      </c>
      <c r="AT1257" s="14">
        <f t="shared" si="444"/>
        <v>5</v>
      </c>
      <c r="AU1257" s="14" t="str">
        <f>IF(AM1257&gt;0,INDEX(挂机升级突破!$DT$4:$ED$4,AM1257),"")</f>
        <v>金币</v>
      </c>
      <c r="AV1257" s="14">
        <f>ROUND(INDEX(挂机升级突破!$DJ$6:$DJ$57,卡牌消耗!AT1257)*INDEX(卡牌消耗!$B$8:$F$8,AR1257)/$Q$4/50,0)*50</f>
        <v>1050</v>
      </c>
      <c r="AW1257" s="14" t="str">
        <f>IF(AN1257&gt;0,INDEX(挂机升级突破!$DT$4:$ED$4,AN1257),"")</f>
        <v>绿色基础材料</v>
      </c>
      <c r="AX1257" s="14">
        <f>ROUND(INDEX(挂机升级突破!$DT$6:$ED$57,卡牌消耗!AT1257,AN1257)*INDEX(卡牌消耗!$B$5:$F$5,AR1257)/$Q$4/5,0)*5</f>
        <v>155</v>
      </c>
      <c r="AY1257" s="14" t="str">
        <f>IF(AO1257&gt;0,INDEX(挂机升级突破!$DT$4:$ED$4,AO1257),"")</f>
        <v/>
      </c>
      <c r="AZ1257" s="14" t="str">
        <f>IF(AO1257&gt;0,ROUND(INDEX(挂机升级突破!$DT$6:$ED$57,卡牌消耗!AT1257,AO1257)*INDEX(卡牌消耗!$B$7:$F$7,AR1257)/$Q$4,0),"")</f>
        <v/>
      </c>
    </row>
    <row r="1258" spans="37:52" ht="16.5" x14ac:dyDescent="0.2">
      <c r="AK1258" s="104">
        <v>1254</v>
      </c>
      <c r="AL1258" s="14">
        <f t="shared" si="440"/>
        <v>25</v>
      </c>
      <c r="AM1258" s="14">
        <f>INDEX(挂机升级突破!DQ$6:DQ$57,卡牌消耗!$AT1258)</f>
        <v>11</v>
      </c>
      <c r="AN1258" s="14">
        <f>INDEX(挂机升级突破!DR$6:DR$57,卡牌消耗!$AT1258)</f>
        <v>2</v>
      </c>
      <c r="AO1258" s="14">
        <f>INDEX(挂机升级突破!DS$6:DS$57,卡牌消耗!$AT1258)</f>
        <v>0</v>
      </c>
      <c r="AP1258" s="14">
        <f>INDEX(挂机升级突破!$DP$6:$DP$57,卡牌消耗!AT1258)</f>
        <v>28</v>
      </c>
      <c r="AQ1258" s="14" t="str">
        <f t="shared" si="441"/>
        <v>雷震子</v>
      </c>
      <c r="AR1258" s="14">
        <f t="shared" si="442"/>
        <v>3</v>
      </c>
      <c r="AS1258" s="14" t="str">
        <f t="shared" si="443"/>
        <v>雷震子魂火-6</v>
      </c>
      <c r="AT1258" s="14">
        <f t="shared" si="444"/>
        <v>6</v>
      </c>
      <c r="AU1258" s="14" t="str">
        <f>IF(AM1258&gt;0,INDEX(挂机升级突破!$DT$4:$ED$4,AM1258),"")</f>
        <v>金币</v>
      </c>
      <c r="AV1258" s="14">
        <f>ROUND(INDEX(挂机升级突破!$DJ$6:$DJ$57,卡牌消耗!AT1258)*INDEX(卡牌消耗!$B$8:$F$8,AR1258)/$Q$4/50,0)*50</f>
        <v>1250</v>
      </c>
      <c r="AW1258" s="14" t="str">
        <f>IF(AN1258&gt;0,INDEX(挂机升级突破!$DT$4:$ED$4,AN1258),"")</f>
        <v>蓝色基础材料</v>
      </c>
      <c r="AX1258" s="14">
        <f>ROUND(INDEX(挂机升级突破!$DT$6:$ED$57,卡牌消耗!AT1258,AN1258)*INDEX(卡牌消耗!$B$5:$F$5,AR1258)/$Q$4/5,0)*5</f>
        <v>30</v>
      </c>
      <c r="AY1258" s="14" t="str">
        <f>IF(AO1258&gt;0,INDEX(挂机升级突破!$DT$4:$ED$4,AO1258),"")</f>
        <v/>
      </c>
      <c r="AZ1258" s="14" t="str">
        <f>IF(AO1258&gt;0,ROUND(INDEX(挂机升级突破!$DT$6:$ED$57,卡牌消耗!AT1258,AO1258)*INDEX(卡牌消耗!$B$7:$F$7,AR1258)/$Q$4,0),"")</f>
        <v/>
      </c>
    </row>
    <row r="1259" spans="37:52" ht="16.5" x14ac:dyDescent="0.2">
      <c r="AK1259" s="104">
        <v>1255</v>
      </c>
      <c r="AL1259" s="14">
        <f t="shared" si="440"/>
        <v>25</v>
      </c>
      <c r="AM1259" s="14">
        <f>INDEX(挂机升级突破!DQ$6:DQ$57,卡牌消耗!$AT1259)</f>
        <v>11</v>
      </c>
      <c r="AN1259" s="14">
        <f>INDEX(挂机升级突破!DR$6:DR$57,卡牌消耗!$AT1259)</f>
        <v>2</v>
      </c>
      <c r="AO1259" s="14">
        <f>INDEX(挂机升级突破!DS$6:DS$57,卡牌消耗!$AT1259)</f>
        <v>0</v>
      </c>
      <c r="AP1259" s="14">
        <f>INDEX(挂机升级突破!$DP$6:$DP$57,卡牌消耗!AT1259)</f>
        <v>33</v>
      </c>
      <c r="AQ1259" s="14" t="str">
        <f t="shared" si="441"/>
        <v>雷震子</v>
      </c>
      <c r="AR1259" s="14">
        <f t="shared" si="442"/>
        <v>3</v>
      </c>
      <c r="AS1259" s="14" t="str">
        <f t="shared" si="443"/>
        <v>雷震子魂火-7</v>
      </c>
      <c r="AT1259" s="14">
        <f t="shared" si="444"/>
        <v>7</v>
      </c>
      <c r="AU1259" s="14" t="str">
        <f>IF(AM1259&gt;0,INDEX(挂机升级突破!$DT$4:$ED$4,AM1259),"")</f>
        <v>金币</v>
      </c>
      <c r="AV1259" s="14">
        <f>ROUND(INDEX(挂机升级突破!$DJ$6:$DJ$57,卡牌消耗!AT1259)*INDEX(卡牌消耗!$B$8:$F$8,AR1259)/$Q$4/50,0)*50</f>
        <v>1250</v>
      </c>
      <c r="AW1259" s="14" t="str">
        <f>IF(AN1259&gt;0,INDEX(挂机升级突破!$DT$4:$ED$4,AN1259),"")</f>
        <v>蓝色基础材料</v>
      </c>
      <c r="AX1259" s="14">
        <f>ROUND(INDEX(挂机升级突破!$DT$6:$ED$57,卡牌消耗!AT1259,AN1259)*INDEX(卡牌消耗!$B$5:$F$5,AR1259)/$Q$4/5,0)*5</f>
        <v>30</v>
      </c>
      <c r="AY1259" s="14" t="str">
        <f>IF(AO1259&gt;0,INDEX(挂机升级突破!$DT$4:$ED$4,AO1259),"")</f>
        <v/>
      </c>
      <c r="AZ1259" s="14" t="str">
        <f>IF(AO1259&gt;0,ROUND(INDEX(挂机升级突破!$DT$6:$ED$57,卡牌消耗!AT1259,AO1259)*INDEX(卡牌消耗!$B$7:$F$7,AR1259)/$Q$4,0),"")</f>
        <v/>
      </c>
    </row>
    <row r="1260" spans="37:52" ht="16.5" x14ac:dyDescent="0.2">
      <c r="AK1260" s="104">
        <v>1256</v>
      </c>
      <c r="AL1260" s="14">
        <f t="shared" si="440"/>
        <v>25</v>
      </c>
      <c r="AM1260" s="14">
        <f>INDEX(挂机升级突破!DQ$6:DQ$57,卡牌消耗!$AT1260)</f>
        <v>11</v>
      </c>
      <c r="AN1260" s="14">
        <f>INDEX(挂机升级突破!DR$6:DR$57,卡牌消耗!$AT1260)</f>
        <v>2</v>
      </c>
      <c r="AO1260" s="14">
        <f>INDEX(挂机升级突破!DS$6:DS$57,卡牌消耗!$AT1260)</f>
        <v>0</v>
      </c>
      <c r="AP1260" s="14">
        <f>INDEX(挂机升级突破!$DP$6:$DP$57,卡牌消耗!AT1260)</f>
        <v>38</v>
      </c>
      <c r="AQ1260" s="14" t="str">
        <f t="shared" si="441"/>
        <v>雷震子</v>
      </c>
      <c r="AR1260" s="14">
        <f t="shared" si="442"/>
        <v>3</v>
      </c>
      <c r="AS1260" s="14" t="str">
        <f t="shared" si="443"/>
        <v>雷震子魂火-8</v>
      </c>
      <c r="AT1260" s="14">
        <f t="shared" si="444"/>
        <v>8</v>
      </c>
      <c r="AU1260" s="14" t="str">
        <f>IF(AM1260&gt;0,INDEX(挂机升级突破!$DT$4:$ED$4,AM1260),"")</f>
        <v>金币</v>
      </c>
      <c r="AV1260" s="14">
        <f>ROUND(INDEX(挂机升级突破!$DJ$6:$DJ$57,卡牌消耗!AT1260)*INDEX(卡牌消耗!$B$8:$F$8,AR1260)/$Q$4/50,0)*50</f>
        <v>1900</v>
      </c>
      <c r="AW1260" s="14" t="str">
        <f>IF(AN1260&gt;0,INDEX(挂机升级突破!$DT$4:$ED$4,AN1260),"")</f>
        <v>蓝色基础材料</v>
      </c>
      <c r="AX1260" s="14">
        <f>ROUND(INDEX(挂机升级突破!$DT$6:$ED$57,卡牌消耗!AT1260,AN1260)*INDEX(卡牌消耗!$B$5:$F$5,AR1260)/$Q$4/5,0)*5</f>
        <v>60</v>
      </c>
      <c r="AY1260" s="14" t="str">
        <f>IF(AO1260&gt;0,INDEX(挂机升级突破!$DT$4:$ED$4,AO1260),"")</f>
        <v/>
      </c>
      <c r="AZ1260" s="14" t="str">
        <f>IF(AO1260&gt;0,ROUND(INDEX(挂机升级突破!$DT$6:$ED$57,卡牌消耗!AT1260,AO1260)*INDEX(卡牌消耗!$B$7:$F$7,AR1260)/$Q$4,0),"")</f>
        <v/>
      </c>
    </row>
    <row r="1261" spans="37:52" ht="16.5" x14ac:dyDescent="0.2">
      <c r="AK1261" s="104">
        <v>1257</v>
      </c>
      <c r="AL1261" s="14">
        <f t="shared" si="440"/>
        <v>25</v>
      </c>
      <c r="AM1261" s="14">
        <f>INDEX(挂机升级突破!DQ$6:DQ$57,卡牌消耗!$AT1261)</f>
        <v>11</v>
      </c>
      <c r="AN1261" s="14">
        <f>INDEX(挂机升级突破!DR$6:DR$57,卡牌消耗!$AT1261)</f>
        <v>2</v>
      </c>
      <c r="AO1261" s="14">
        <f>INDEX(挂机升级突破!DS$6:DS$57,卡牌消耗!$AT1261)</f>
        <v>0</v>
      </c>
      <c r="AP1261" s="14">
        <f>INDEX(挂机升级突破!$DP$6:$DP$57,卡牌消耗!AT1261)</f>
        <v>40</v>
      </c>
      <c r="AQ1261" s="14" t="str">
        <f t="shared" si="441"/>
        <v>雷震子</v>
      </c>
      <c r="AR1261" s="14">
        <f t="shared" si="442"/>
        <v>3</v>
      </c>
      <c r="AS1261" s="14" t="str">
        <f t="shared" si="443"/>
        <v>雷震子魂火-9</v>
      </c>
      <c r="AT1261" s="14">
        <f t="shared" si="444"/>
        <v>9</v>
      </c>
      <c r="AU1261" s="14" t="str">
        <f>IF(AM1261&gt;0,INDEX(挂机升级突破!$DT$4:$ED$4,AM1261),"")</f>
        <v>金币</v>
      </c>
      <c r="AV1261" s="14">
        <f>ROUND(INDEX(挂机升级突破!$DJ$6:$DJ$57,卡牌消耗!AT1261)*INDEX(卡牌消耗!$B$8:$F$8,AR1261)/$Q$4/50,0)*50</f>
        <v>1900</v>
      </c>
      <c r="AW1261" s="14" t="str">
        <f>IF(AN1261&gt;0,INDEX(挂机升级突破!$DT$4:$ED$4,AN1261),"")</f>
        <v>蓝色基础材料</v>
      </c>
      <c r="AX1261" s="14">
        <f>ROUND(INDEX(挂机升级突破!$DT$6:$ED$57,卡牌消耗!AT1261,AN1261)*INDEX(卡牌消耗!$B$5:$F$5,AR1261)/$Q$4/5,0)*5</f>
        <v>60</v>
      </c>
      <c r="AY1261" s="14" t="str">
        <f>IF(AO1261&gt;0,INDEX(挂机升级突破!$DT$4:$ED$4,AO1261),"")</f>
        <v/>
      </c>
      <c r="AZ1261" s="14" t="str">
        <f>IF(AO1261&gt;0,ROUND(INDEX(挂机升级突破!$DT$6:$ED$57,卡牌消耗!AT1261,AO1261)*INDEX(卡牌消耗!$B$7:$F$7,AR1261)/$Q$4,0),"")</f>
        <v/>
      </c>
    </row>
    <row r="1262" spans="37:52" ht="16.5" x14ac:dyDescent="0.2">
      <c r="AK1262" s="104">
        <v>1258</v>
      </c>
      <c r="AL1262" s="14">
        <f t="shared" si="440"/>
        <v>25</v>
      </c>
      <c r="AM1262" s="14">
        <f>INDEX(挂机升级突破!DQ$6:DQ$57,卡牌消耗!$AT1262)</f>
        <v>11</v>
      </c>
      <c r="AN1262" s="14">
        <f>INDEX(挂机升级突破!DR$6:DR$57,卡牌消耗!$AT1262)</f>
        <v>2</v>
      </c>
      <c r="AO1262" s="14">
        <f>INDEX(挂机升级突破!DS$6:DS$57,卡牌消耗!$AT1262)</f>
        <v>0</v>
      </c>
      <c r="AP1262" s="14">
        <f>INDEX(挂机升级突破!$DP$6:$DP$57,卡牌消耗!AT1262)</f>
        <v>43</v>
      </c>
      <c r="AQ1262" s="14" t="str">
        <f t="shared" si="441"/>
        <v>雷震子</v>
      </c>
      <c r="AR1262" s="14">
        <f t="shared" si="442"/>
        <v>3</v>
      </c>
      <c r="AS1262" s="14" t="str">
        <f t="shared" si="443"/>
        <v>雷震子魂火-10</v>
      </c>
      <c r="AT1262" s="14">
        <f t="shared" si="444"/>
        <v>10</v>
      </c>
      <c r="AU1262" s="14" t="str">
        <f>IF(AM1262&gt;0,INDEX(挂机升级突破!$DT$4:$ED$4,AM1262),"")</f>
        <v>金币</v>
      </c>
      <c r="AV1262" s="14">
        <f>ROUND(INDEX(挂机升级突破!$DJ$6:$DJ$57,卡牌消耗!AT1262)*INDEX(卡牌消耗!$B$8:$F$8,AR1262)/$Q$4/50,0)*50</f>
        <v>3200</v>
      </c>
      <c r="AW1262" s="14" t="str">
        <f>IF(AN1262&gt;0,INDEX(挂机升级突破!$DT$4:$ED$4,AN1262),"")</f>
        <v>蓝色基础材料</v>
      </c>
      <c r="AX1262" s="14">
        <f>ROUND(INDEX(挂机升级突破!$DT$6:$ED$57,卡牌消耗!AT1262,AN1262)*INDEX(卡牌消耗!$B$5:$F$5,AR1262)/$Q$4/5,0)*5</f>
        <v>85</v>
      </c>
      <c r="AY1262" s="14" t="str">
        <f>IF(AO1262&gt;0,INDEX(挂机升级突破!$DT$4:$ED$4,AO1262),"")</f>
        <v/>
      </c>
      <c r="AZ1262" s="14" t="str">
        <f>IF(AO1262&gt;0,ROUND(INDEX(挂机升级突破!$DT$6:$ED$57,卡牌消耗!AT1262,AO1262)*INDEX(卡牌消耗!$B$7:$F$7,AR1262)/$Q$4,0),"")</f>
        <v/>
      </c>
    </row>
    <row r="1263" spans="37:52" ht="16.5" x14ac:dyDescent="0.2">
      <c r="AK1263" s="104">
        <v>1259</v>
      </c>
      <c r="AL1263" s="14">
        <f t="shared" si="440"/>
        <v>25</v>
      </c>
      <c r="AM1263" s="14">
        <f>INDEX(挂机升级突破!DQ$6:DQ$57,卡牌消耗!$AT1263)</f>
        <v>11</v>
      </c>
      <c r="AN1263" s="14">
        <f>INDEX(挂机升级突破!DR$6:DR$57,卡牌消耗!$AT1263)</f>
        <v>2</v>
      </c>
      <c r="AO1263" s="14">
        <f>INDEX(挂机升级突破!DS$6:DS$57,卡牌消耗!$AT1263)</f>
        <v>0</v>
      </c>
      <c r="AP1263" s="14">
        <f>INDEX(挂机升级突破!$DP$6:$DP$57,卡牌消耗!AT1263)</f>
        <v>45</v>
      </c>
      <c r="AQ1263" s="14" t="str">
        <f t="shared" si="441"/>
        <v>雷震子</v>
      </c>
      <c r="AR1263" s="14">
        <f t="shared" si="442"/>
        <v>3</v>
      </c>
      <c r="AS1263" s="14" t="str">
        <f t="shared" si="443"/>
        <v>雷震子魂火-11</v>
      </c>
      <c r="AT1263" s="14">
        <f t="shared" si="444"/>
        <v>11</v>
      </c>
      <c r="AU1263" s="14" t="str">
        <f>IF(AM1263&gt;0,INDEX(挂机升级突破!$DT$4:$ED$4,AM1263),"")</f>
        <v>金币</v>
      </c>
      <c r="AV1263" s="14">
        <f>ROUND(INDEX(挂机升级突破!$DJ$6:$DJ$57,卡牌消耗!AT1263)*INDEX(卡牌消耗!$B$8:$F$8,AR1263)/$Q$4/50,0)*50</f>
        <v>3200</v>
      </c>
      <c r="AW1263" s="14" t="str">
        <f>IF(AN1263&gt;0,INDEX(挂机升级突破!$DT$4:$ED$4,AN1263),"")</f>
        <v>蓝色基础材料</v>
      </c>
      <c r="AX1263" s="14">
        <f>ROUND(INDEX(挂机升级突破!$DT$6:$ED$57,卡牌消耗!AT1263,AN1263)*INDEX(卡牌消耗!$B$5:$F$5,AR1263)/$Q$4/5,0)*5</f>
        <v>85</v>
      </c>
      <c r="AY1263" s="14" t="str">
        <f>IF(AO1263&gt;0,INDEX(挂机升级突破!$DT$4:$ED$4,AO1263),"")</f>
        <v/>
      </c>
      <c r="AZ1263" s="14" t="str">
        <f>IF(AO1263&gt;0,ROUND(INDEX(挂机升级突破!$DT$6:$ED$57,卡牌消耗!AT1263,AO1263)*INDEX(卡牌消耗!$B$7:$F$7,AR1263)/$Q$4,0),"")</f>
        <v/>
      </c>
    </row>
    <row r="1264" spans="37:52" ht="16.5" x14ac:dyDescent="0.2">
      <c r="AK1264" s="104">
        <v>1260</v>
      </c>
      <c r="AL1264" s="14">
        <f t="shared" si="440"/>
        <v>25</v>
      </c>
      <c r="AM1264" s="14">
        <f>INDEX(挂机升级突破!DQ$6:DQ$57,卡牌消耗!$AT1264)</f>
        <v>11</v>
      </c>
      <c r="AN1264" s="14">
        <f>INDEX(挂机升级突破!DR$6:DR$57,卡牌消耗!$AT1264)</f>
        <v>2</v>
      </c>
      <c r="AO1264" s="14">
        <f>INDEX(挂机升级突破!DS$6:DS$57,卡牌消耗!$AT1264)</f>
        <v>0</v>
      </c>
      <c r="AP1264" s="14">
        <f>INDEX(挂机升级突破!$DP$6:$DP$57,卡牌消耗!AT1264)</f>
        <v>48</v>
      </c>
      <c r="AQ1264" s="14" t="str">
        <f t="shared" si="441"/>
        <v>雷震子</v>
      </c>
      <c r="AR1264" s="14">
        <f t="shared" si="442"/>
        <v>3</v>
      </c>
      <c r="AS1264" s="14" t="str">
        <f t="shared" si="443"/>
        <v>雷震子魂火-12</v>
      </c>
      <c r="AT1264" s="14">
        <f t="shared" si="444"/>
        <v>12</v>
      </c>
      <c r="AU1264" s="14" t="str">
        <f>IF(AM1264&gt;0,INDEX(挂机升级突破!$DT$4:$ED$4,AM1264),"")</f>
        <v>金币</v>
      </c>
      <c r="AV1264" s="14">
        <f>ROUND(INDEX(挂机升级突破!$DJ$6:$DJ$57,卡牌消耗!AT1264)*INDEX(卡牌消耗!$B$8:$F$8,AR1264)/$Q$4/50,0)*50</f>
        <v>2750</v>
      </c>
      <c r="AW1264" s="14" t="str">
        <f>IF(AN1264&gt;0,INDEX(挂机升级突破!$DT$4:$ED$4,AN1264),"")</f>
        <v>蓝色基础材料</v>
      </c>
      <c r="AX1264" s="14">
        <f>ROUND(INDEX(挂机升级突破!$DT$6:$ED$57,卡牌消耗!AT1264,AN1264)*INDEX(卡牌消耗!$B$5:$F$5,AR1264)/$Q$4/5,0)*5</f>
        <v>115</v>
      </c>
      <c r="AY1264" s="14" t="str">
        <f>IF(AO1264&gt;0,INDEX(挂机升级突破!$DT$4:$ED$4,AO1264),"")</f>
        <v/>
      </c>
      <c r="AZ1264" s="14" t="str">
        <f>IF(AO1264&gt;0,ROUND(INDEX(挂机升级突破!$DT$6:$ED$57,卡牌消耗!AT1264,AO1264)*INDEX(卡牌消耗!$B$7:$F$7,AR1264)/$Q$4,0),"")</f>
        <v/>
      </c>
    </row>
    <row r="1265" spans="37:52" ht="16.5" x14ac:dyDescent="0.2">
      <c r="AK1265" s="104">
        <v>1261</v>
      </c>
      <c r="AL1265" s="14">
        <f t="shared" si="440"/>
        <v>25</v>
      </c>
      <c r="AM1265" s="14">
        <f>INDEX(挂机升级突破!DQ$6:DQ$57,卡牌消耗!$AT1265)</f>
        <v>11</v>
      </c>
      <c r="AN1265" s="14">
        <f>INDEX(挂机升级突破!DR$6:DR$57,卡牌消耗!$AT1265)</f>
        <v>2</v>
      </c>
      <c r="AO1265" s="14">
        <f>INDEX(挂机升级突破!DS$6:DS$57,卡牌消耗!$AT1265)</f>
        <v>0</v>
      </c>
      <c r="AP1265" s="14">
        <f>INDEX(挂机升级突破!$DP$6:$DP$57,卡牌消耗!AT1265)</f>
        <v>50</v>
      </c>
      <c r="AQ1265" s="14" t="str">
        <f t="shared" si="441"/>
        <v>雷震子</v>
      </c>
      <c r="AR1265" s="14">
        <f t="shared" si="442"/>
        <v>3</v>
      </c>
      <c r="AS1265" s="14" t="str">
        <f t="shared" si="443"/>
        <v>雷震子魂火-13</v>
      </c>
      <c r="AT1265" s="14">
        <f t="shared" si="444"/>
        <v>13</v>
      </c>
      <c r="AU1265" s="14" t="str">
        <f>IF(AM1265&gt;0,INDEX(挂机升级突破!$DT$4:$ED$4,AM1265),"")</f>
        <v>金币</v>
      </c>
      <c r="AV1265" s="14">
        <f>ROUND(INDEX(挂机升级突破!$DJ$6:$DJ$57,卡牌消耗!AT1265)*INDEX(卡牌消耗!$B$8:$F$8,AR1265)/$Q$4/50,0)*50</f>
        <v>2750</v>
      </c>
      <c r="AW1265" s="14" t="str">
        <f>IF(AN1265&gt;0,INDEX(挂机升级突破!$DT$4:$ED$4,AN1265),"")</f>
        <v>蓝色基础材料</v>
      </c>
      <c r="AX1265" s="14">
        <f>ROUND(INDEX(挂机升级突破!$DT$6:$ED$57,卡牌消耗!AT1265,AN1265)*INDEX(卡牌消耗!$B$5:$F$5,AR1265)/$Q$4/5,0)*5</f>
        <v>115</v>
      </c>
      <c r="AY1265" s="14" t="str">
        <f>IF(AO1265&gt;0,INDEX(挂机升级突破!$DT$4:$ED$4,AO1265),"")</f>
        <v/>
      </c>
      <c r="AZ1265" s="14" t="str">
        <f>IF(AO1265&gt;0,ROUND(INDEX(挂机升级突破!$DT$6:$ED$57,卡牌消耗!AT1265,AO1265)*INDEX(卡牌消耗!$B$7:$F$7,AR1265)/$Q$4,0),"")</f>
        <v/>
      </c>
    </row>
    <row r="1266" spans="37:52" ht="16.5" x14ac:dyDescent="0.2">
      <c r="AK1266" s="104">
        <v>1262</v>
      </c>
      <c r="AL1266" s="14">
        <f t="shared" si="440"/>
        <v>25</v>
      </c>
      <c r="AM1266" s="14">
        <f>INDEX(挂机升级突破!DQ$6:DQ$57,卡牌消耗!$AT1266)</f>
        <v>11</v>
      </c>
      <c r="AN1266" s="14">
        <f>INDEX(挂机升级突破!DR$6:DR$57,卡牌消耗!$AT1266)</f>
        <v>3</v>
      </c>
      <c r="AO1266" s="14">
        <f>INDEX(挂机升级突破!DS$6:DS$57,卡牌消耗!$AT1266)</f>
        <v>0</v>
      </c>
      <c r="AP1266" s="14">
        <f>INDEX(挂机升级突破!$DP$6:$DP$57,卡牌消耗!AT1266)</f>
        <v>53</v>
      </c>
      <c r="AQ1266" s="14" t="str">
        <f t="shared" si="441"/>
        <v>雷震子</v>
      </c>
      <c r="AR1266" s="14">
        <f t="shared" si="442"/>
        <v>3</v>
      </c>
      <c r="AS1266" s="14" t="str">
        <f t="shared" si="443"/>
        <v>雷震子魂火-14</v>
      </c>
      <c r="AT1266" s="14">
        <f t="shared" si="444"/>
        <v>14</v>
      </c>
      <c r="AU1266" s="14" t="str">
        <f>IF(AM1266&gt;0,INDEX(挂机升级突破!$DT$4:$ED$4,AM1266),"")</f>
        <v>金币</v>
      </c>
      <c r="AV1266" s="14">
        <f>ROUND(INDEX(挂机升级突破!$DJ$6:$DJ$57,卡牌消耗!AT1266)*INDEX(卡牌消耗!$B$8:$F$8,AR1266)/$Q$4/50,0)*50</f>
        <v>3000</v>
      </c>
      <c r="AW1266" s="14" t="str">
        <f>IF(AN1266&gt;0,INDEX(挂机升级突破!$DT$4:$ED$4,AN1266),"")</f>
        <v>紫色基础材料</v>
      </c>
      <c r="AX1266" s="14">
        <f>ROUND(INDEX(挂机升级突破!$DT$6:$ED$57,卡牌消耗!AT1266,AN1266)*INDEX(卡牌消耗!$B$5:$F$5,AR1266)/$Q$4/5,0)*5</f>
        <v>25</v>
      </c>
      <c r="AY1266" s="14" t="str">
        <f>IF(AO1266&gt;0,INDEX(挂机升级突破!$DT$4:$ED$4,AO1266),"")</f>
        <v/>
      </c>
      <c r="AZ1266" s="14" t="str">
        <f>IF(AO1266&gt;0,ROUND(INDEX(挂机升级突破!$DT$6:$ED$57,卡牌消耗!AT1266,AO1266)*INDEX(卡牌消耗!$B$7:$F$7,AR1266)/$Q$4,0),"")</f>
        <v/>
      </c>
    </row>
    <row r="1267" spans="37:52" ht="16.5" x14ac:dyDescent="0.2">
      <c r="AK1267" s="104">
        <v>1263</v>
      </c>
      <c r="AL1267" s="14">
        <f t="shared" si="440"/>
        <v>25</v>
      </c>
      <c r="AM1267" s="14">
        <f>INDEX(挂机升级突破!DQ$6:DQ$57,卡牌消耗!$AT1267)</f>
        <v>11</v>
      </c>
      <c r="AN1267" s="14">
        <f>INDEX(挂机升级突破!DR$6:DR$57,卡牌消耗!$AT1267)</f>
        <v>3</v>
      </c>
      <c r="AO1267" s="14">
        <f>INDEX(挂机升级突破!DS$6:DS$57,卡牌消耗!$AT1267)</f>
        <v>0</v>
      </c>
      <c r="AP1267" s="14">
        <f>INDEX(挂机升级突破!$DP$6:$DP$57,卡牌消耗!AT1267)</f>
        <v>55</v>
      </c>
      <c r="AQ1267" s="14" t="str">
        <f t="shared" si="441"/>
        <v>雷震子</v>
      </c>
      <c r="AR1267" s="14">
        <f t="shared" si="442"/>
        <v>3</v>
      </c>
      <c r="AS1267" s="14" t="str">
        <f t="shared" si="443"/>
        <v>雷震子魂火-15</v>
      </c>
      <c r="AT1267" s="14">
        <f t="shared" si="444"/>
        <v>15</v>
      </c>
      <c r="AU1267" s="14" t="str">
        <f>IF(AM1267&gt;0,INDEX(挂机升级突破!$DT$4:$ED$4,AM1267),"")</f>
        <v>金币</v>
      </c>
      <c r="AV1267" s="14">
        <f>ROUND(INDEX(挂机升级突破!$DJ$6:$DJ$57,卡牌消耗!AT1267)*INDEX(卡牌消耗!$B$8:$F$8,AR1267)/$Q$4/50,0)*50</f>
        <v>3250</v>
      </c>
      <c r="AW1267" s="14" t="str">
        <f>IF(AN1267&gt;0,INDEX(挂机升级突破!$DT$4:$ED$4,AN1267),"")</f>
        <v>紫色基础材料</v>
      </c>
      <c r="AX1267" s="14">
        <f>ROUND(INDEX(挂机升级突破!$DT$6:$ED$57,卡牌消耗!AT1267,AN1267)*INDEX(卡牌消耗!$B$5:$F$5,AR1267)/$Q$4/5,0)*5</f>
        <v>25</v>
      </c>
      <c r="AY1267" s="14" t="str">
        <f>IF(AO1267&gt;0,INDEX(挂机升级突破!$DT$4:$ED$4,AO1267),"")</f>
        <v/>
      </c>
      <c r="AZ1267" s="14" t="str">
        <f>IF(AO1267&gt;0,ROUND(INDEX(挂机升级突破!$DT$6:$ED$57,卡牌消耗!AT1267,AO1267)*INDEX(卡牌消耗!$B$7:$F$7,AR1267)/$Q$4,0),"")</f>
        <v/>
      </c>
    </row>
    <row r="1268" spans="37:52" ht="16.5" x14ac:dyDescent="0.2">
      <c r="AK1268" s="104">
        <v>1264</v>
      </c>
      <c r="AL1268" s="14">
        <f t="shared" si="440"/>
        <v>25</v>
      </c>
      <c r="AM1268" s="14">
        <f>INDEX(挂机升级突破!DQ$6:DQ$57,卡牌消耗!$AT1268)</f>
        <v>11</v>
      </c>
      <c r="AN1268" s="14">
        <f>INDEX(挂机升级突破!DR$6:DR$57,卡牌消耗!$AT1268)</f>
        <v>3</v>
      </c>
      <c r="AO1268" s="14">
        <f>INDEX(挂机升级突破!DS$6:DS$57,卡牌消耗!$AT1268)</f>
        <v>0</v>
      </c>
      <c r="AP1268" s="14">
        <f>INDEX(挂机升级突破!$DP$6:$DP$57,卡牌消耗!AT1268)</f>
        <v>58</v>
      </c>
      <c r="AQ1268" s="14" t="str">
        <f t="shared" si="441"/>
        <v>雷震子</v>
      </c>
      <c r="AR1268" s="14">
        <f t="shared" si="442"/>
        <v>3</v>
      </c>
      <c r="AS1268" s="14" t="str">
        <f t="shared" si="443"/>
        <v>雷震子魂火-16</v>
      </c>
      <c r="AT1268" s="14">
        <f t="shared" si="444"/>
        <v>16</v>
      </c>
      <c r="AU1268" s="14" t="str">
        <f>IF(AM1268&gt;0,INDEX(挂机升级突破!$DT$4:$ED$4,AM1268),"")</f>
        <v>金币</v>
      </c>
      <c r="AV1268" s="14">
        <f>ROUND(INDEX(挂机升级突破!$DJ$6:$DJ$57,卡牌消耗!AT1268)*INDEX(卡牌消耗!$B$8:$F$8,AR1268)/$Q$4/50,0)*50</f>
        <v>3250</v>
      </c>
      <c r="AW1268" s="14" t="str">
        <f>IF(AN1268&gt;0,INDEX(挂机升级突破!$DT$4:$ED$4,AN1268),"")</f>
        <v>紫色基础材料</v>
      </c>
      <c r="AX1268" s="14">
        <f>ROUND(INDEX(挂机升级突破!$DT$6:$ED$57,卡牌消耗!AT1268,AN1268)*INDEX(卡牌消耗!$B$5:$F$5,AR1268)/$Q$4/5,0)*5</f>
        <v>25</v>
      </c>
      <c r="AY1268" s="14" t="str">
        <f>IF(AO1268&gt;0,INDEX(挂机升级突破!$DT$4:$ED$4,AO1268),"")</f>
        <v/>
      </c>
      <c r="AZ1268" s="14" t="str">
        <f>IF(AO1268&gt;0,ROUND(INDEX(挂机升级突破!$DT$6:$ED$57,卡牌消耗!AT1268,AO1268)*INDEX(卡牌消耗!$B$7:$F$7,AR1268)/$Q$4,0),"")</f>
        <v/>
      </c>
    </row>
    <row r="1269" spans="37:52" ht="16.5" x14ac:dyDescent="0.2">
      <c r="AK1269" s="104">
        <v>1265</v>
      </c>
      <c r="AL1269" s="14">
        <f t="shared" si="440"/>
        <v>25</v>
      </c>
      <c r="AM1269" s="14">
        <f>INDEX(挂机升级突破!DQ$6:DQ$57,卡牌消耗!$AT1269)</f>
        <v>11</v>
      </c>
      <c r="AN1269" s="14">
        <f>INDEX(挂机升级突破!DR$6:DR$57,卡牌消耗!$AT1269)</f>
        <v>3</v>
      </c>
      <c r="AO1269" s="14">
        <f>INDEX(挂机升级突破!DS$6:DS$57,卡牌消耗!$AT1269)</f>
        <v>0</v>
      </c>
      <c r="AP1269" s="14">
        <f>INDEX(挂机升级突破!$DP$6:$DP$57,卡牌消耗!AT1269)</f>
        <v>60</v>
      </c>
      <c r="AQ1269" s="14" t="str">
        <f t="shared" si="441"/>
        <v>雷震子</v>
      </c>
      <c r="AR1269" s="14">
        <f t="shared" si="442"/>
        <v>3</v>
      </c>
      <c r="AS1269" s="14" t="str">
        <f t="shared" si="443"/>
        <v>雷震子魂火-17</v>
      </c>
      <c r="AT1269" s="14">
        <f t="shared" si="444"/>
        <v>17</v>
      </c>
      <c r="AU1269" s="14" t="str">
        <f>IF(AM1269&gt;0,INDEX(挂机升级突破!$DT$4:$ED$4,AM1269),"")</f>
        <v>金币</v>
      </c>
      <c r="AV1269" s="14">
        <f>ROUND(INDEX(挂机升级突破!$DJ$6:$DJ$57,卡牌消耗!AT1269)*INDEX(卡牌消耗!$B$8:$F$8,AR1269)/$Q$4/50,0)*50</f>
        <v>4100</v>
      </c>
      <c r="AW1269" s="14" t="str">
        <f>IF(AN1269&gt;0,INDEX(挂机升级突破!$DT$4:$ED$4,AN1269),"")</f>
        <v>紫色基础材料</v>
      </c>
      <c r="AX1269" s="14">
        <f>ROUND(INDEX(挂机升级突破!$DT$6:$ED$57,卡牌消耗!AT1269,AN1269)*INDEX(卡牌消耗!$B$5:$F$5,AR1269)/$Q$4/5,0)*5</f>
        <v>45</v>
      </c>
      <c r="AY1269" s="14" t="str">
        <f>IF(AO1269&gt;0,INDEX(挂机升级突破!$DT$4:$ED$4,AO1269),"")</f>
        <v/>
      </c>
      <c r="AZ1269" s="14" t="str">
        <f>IF(AO1269&gt;0,ROUND(INDEX(挂机升级突破!$DT$6:$ED$57,卡牌消耗!AT1269,AO1269)*INDEX(卡牌消耗!$B$7:$F$7,AR1269)/$Q$4,0),"")</f>
        <v/>
      </c>
    </row>
    <row r="1270" spans="37:52" ht="16.5" x14ac:dyDescent="0.2">
      <c r="AK1270" s="104">
        <v>1266</v>
      </c>
      <c r="AL1270" s="14">
        <f t="shared" si="440"/>
        <v>25</v>
      </c>
      <c r="AM1270" s="14">
        <f>INDEX(挂机升级突破!DQ$6:DQ$57,卡牌消耗!$AT1270)</f>
        <v>11</v>
      </c>
      <c r="AN1270" s="14">
        <f>INDEX(挂机升级突破!DR$6:DR$57,卡牌消耗!$AT1270)</f>
        <v>3</v>
      </c>
      <c r="AO1270" s="14">
        <f>INDEX(挂机升级突破!DS$6:DS$57,卡牌消耗!$AT1270)</f>
        <v>0</v>
      </c>
      <c r="AP1270" s="14">
        <f>INDEX(挂机升级突破!$DP$6:$DP$57,卡牌消耗!AT1270)</f>
        <v>63</v>
      </c>
      <c r="AQ1270" s="14" t="str">
        <f t="shared" si="441"/>
        <v>雷震子</v>
      </c>
      <c r="AR1270" s="14">
        <f t="shared" si="442"/>
        <v>3</v>
      </c>
      <c r="AS1270" s="14" t="str">
        <f t="shared" si="443"/>
        <v>雷震子魂火-18</v>
      </c>
      <c r="AT1270" s="14">
        <f t="shared" si="444"/>
        <v>18</v>
      </c>
      <c r="AU1270" s="14" t="str">
        <f>IF(AM1270&gt;0,INDEX(挂机升级突破!$DT$4:$ED$4,AM1270),"")</f>
        <v>金币</v>
      </c>
      <c r="AV1270" s="14">
        <f>ROUND(INDEX(挂机升级突破!$DJ$6:$DJ$57,卡牌消耗!AT1270)*INDEX(卡牌消耗!$B$8:$F$8,AR1270)/$Q$4/50,0)*50</f>
        <v>4100</v>
      </c>
      <c r="AW1270" s="14" t="str">
        <f>IF(AN1270&gt;0,INDEX(挂机升级突破!$DT$4:$ED$4,AN1270),"")</f>
        <v>紫色基础材料</v>
      </c>
      <c r="AX1270" s="14">
        <f>ROUND(INDEX(挂机升级突破!$DT$6:$ED$57,卡牌消耗!AT1270,AN1270)*INDEX(卡牌消耗!$B$5:$F$5,AR1270)/$Q$4/5,0)*5</f>
        <v>45</v>
      </c>
      <c r="AY1270" s="14" t="str">
        <f>IF(AO1270&gt;0,INDEX(挂机升级突破!$DT$4:$ED$4,AO1270),"")</f>
        <v/>
      </c>
      <c r="AZ1270" s="14" t="str">
        <f>IF(AO1270&gt;0,ROUND(INDEX(挂机升级突破!$DT$6:$ED$57,卡牌消耗!AT1270,AO1270)*INDEX(卡牌消耗!$B$7:$F$7,AR1270)/$Q$4,0),"")</f>
        <v/>
      </c>
    </row>
    <row r="1271" spans="37:52" ht="16.5" x14ac:dyDescent="0.2">
      <c r="AK1271" s="104">
        <v>1267</v>
      </c>
      <c r="AL1271" s="14">
        <f t="shared" si="440"/>
        <v>25</v>
      </c>
      <c r="AM1271" s="14">
        <f>INDEX(挂机升级突破!DQ$6:DQ$57,卡牌消耗!$AT1271)</f>
        <v>11</v>
      </c>
      <c r="AN1271" s="14">
        <f>INDEX(挂机升级突破!DR$6:DR$57,卡牌消耗!$AT1271)</f>
        <v>3</v>
      </c>
      <c r="AO1271" s="14">
        <f>INDEX(挂机升级突破!DS$6:DS$57,卡牌消耗!$AT1271)</f>
        <v>0</v>
      </c>
      <c r="AP1271" s="14">
        <f>INDEX(挂机升级突破!$DP$6:$DP$57,卡牌消耗!AT1271)</f>
        <v>65</v>
      </c>
      <c r="AQ1271" s="14" t="str">
        <f t="shared" si="441"/>
        <v>雷震子</v>
      </c>
      <c r="AR1271" s="14">
        <f t="shared" si="442"/>
        <v>3</v>
      </c>
      <c r="AS1271" s="14" t="str">
        <f t="shared" si="443"/>
        <v>雷震子魂火-19</v>
      </c>
      <c r="AT1271" s="14">
        <f t="shared" si="444"/>
        <v>19</v>
      </c>
      <c r="AU1271" s="14" t="str">
        <f>IF(AM1271&gt;0,INDEX(挂机升级突破!$DT$4:$ED$4,AM1271),"")</f>
        <v>金币</v>
      </c>
      <c r="AV1271" s="14">
        <f>ROUND(INDEX(挂机升级突破!$DJ$6:$DJ$57,卡牌消耗!AT1271)*INDEX(卡牌消耗!$B$8:$F$8,AR1271)/$Q$4/50,0)*50</f>
        <v>4100</v>
      </c>
      <c r="AW1271" s="14" t="str">
        <f>IF(AN1271&gt;0,INDEX(挂机升级突破!$DT$4:$ED$4,AN1271),"")</f>
        <v>紫色基础材料</v>
      </c>
      <c r="AX1271" s="14">
        <f>ROUND(INDEX(挂机升级突破!$DT$6:$ED$57,卡牌消耗!AT1271,AN1271)*INDEX(卡牌消耗!$B$5:$F$5,AR1271)/$Q$4/5,0)*5</f>
        <v>45</v>
      </c>
      <c r="AY1271" s="14" t="str">
        <f>IF(AO1271&gt;0,INDEX(挂机升级突破!$DT$4:$ED$4,AO1271),"")</f>
        <v/>
      </c>
      <c r="AZ1271" s="14" t="str">
        <f>IF(AO1271&gt;0,ROUND(INDEX(挂机升级突破!$DT$6:$ED$57,卡牌消耗!AT1271,AO1271)*INDEX(卡牌消耗!$B$7:$F$7,AR1271)/$Q$4,0),"")</f>
        <v/>
      </c>
    </row>
    <row r="1272" spans="37:52" ht="16.5" x14ac:dyDescent="0.2">
      <c r="AK1272" s="104">
        <v>1268</v>
      </c>
      <c r="AL1272" s="14">
        <f t="shared" si="440"/>
        <v>25</v>
      </c>
      <c r="AM1272" s="14">
        <f>INDEX(挂机升级突破!DQ$6:DQ$57,卡牌消耗!$AT1272)</f>
        <v>11</v>
      </c>
      <c r="AN1272" s="14">
        <f>INDEX(挂机升级突破!DR$6:DR$57,卡牌消耗!$AT1272)</f>
        <v>3</v>
      </c>
      <c r="AO1272" s="14">
        <f>INDEX(挂机升级突破!DS$6:DS$57,卡牌消耗!$AT1272)</f>
        <v>0</v>
      </c>
      <c r="AP1272" s="14">
        <f>INDEX(挂机升级突破!$DP$6:$DP$57,卡牌消耗!AT1272)</f>
        <v>68</v>
      </c>
      <c r="AQ1272" s="14" t="str">
        <f t="shared" si="441"/>
        <v>雷震子</v>
      </c>
      <c r="AR1272" s="14">
        <f t="shared" si="442"/>
        <v>3</v>
      </c>
      <c r="AS1272" s="14" t="str">
        <f t="shared" si="443"/>
        <v>雷震子魂火-20</v>
      </c>
      <c r="AT1272" s="14">
        <f t="shared" si="444"/>
        <v>20</v>
      </c>
      <c r="AU1272" s="14" t="str">
        <f>IF(AM1272&gt;0,INDEX(挂机升级突破!$DT$4:$ED$4,AM1272),"")</f>
        <v>金币</v>
      </c>
      <c r="AV1272" s="14">
        <f>ROUND(INDEX(挂机升级突破!$DJ$6:$DJ$57,卡牌消耗!AT1272)*INDEX(卡牌消耗!$B$8:$F$8,AR1272)/$Q$4/50,0)*50</f>
        <v>5000</v>
      </c>
      <c r="AW1272" s="14" t="str">
        <f>IF(AN1272&gt;0,INDEX(挂机升级突破!$DT$4:$ED$4,AN1272),"")</f>
        <v>紫色基础材料</v>
      </c>
      <c r="AX1272" s="14">
        <f>ROUND(INDEX(挂机升级突破!$DT$6:$ED$57,卡牌消耗!AT1272,AN1272)*INDEX(卡牌消耗!$B$5:$F$5,AR1272)/$Q$4/5,0)*5</f>
        <v>70</v>
      </c>
      <c r="AY1272" s="14" t="str">
        <f>IF(AO1272&gt;0,INDEX(挂机升级突破!$DT$4:$ED$4,AO1272),"")</f>
        <v/>
      </c>
      <c r="AZ1272" s="14" t="str">
        <f>IF(AO1272&gt;0,ROUND(INDEX(挂机升级突破!$DT$6:$ED$57,卡牌消耗!AT1272,AO1272)*INDEX(卡牌消耗!$B$7:$F$7,AR1272)/$Q$4,0),"")</f>
        <v/>
      </c>
    </row>
    <row r="1273" spans="37:52" ht="16.5" x14ac:dyDescent="0.2">
      <c r="AK1273" s="104">
        <v>1269</v>
      </c>
      <c r="AL1273" s="14">
        <f t="shared" si="440"/>
        <v>25</v>
      </c>
      <c r="AM1273" s="14">
        <f>INDEX(挂机升级突破!DQ$6:DQ$57,卡牌消耗!$AT1273)</f>
        <v>11</v>
      </c>
      <c r="AN1273" s="14">
        <f>INDEX(挂机升级突破!DR$6:DR$57,卡牌消耗!$AT1273)</f>
        <v>3</v>
      </c>
      <c r="AO1273" s="14">
        <f>INDEX(挂机升级突破!DS$6:DS$57,卡牌消耗!$AT1273)</f>
        <v>0</v>
      </c>
      <c r="AP1273" s="14">
        <f>INDEX(挂机升级突破!$DP$6:$DP$57,卡牌消耗!AT1273)</f>
        <v>70</v>
      </c>
      <c r="AQ1273" s="14" t="str">
        <f t="shared" si="441"/>
        <v>雷震子</v>
      </c>
      <c r="AR1273" s="14">
        <f t="shared" si="442"/>
        <v>3</v>
      </c>
      <c r="AS1273" s="14" t="str">
        <f t="shared" si="443"/>
        <v>雷震子魂火-21</v>
      </c>
      <c r="AT1273" s="14">
        <f t="shared" si="444"/>
        <v>21</v>
      </c>
      <c r="AU1273" s="14" t="str">
        <f>IF(AM1273&gt;0,INDEX(挂机升级突破!$DT$4:$ED$4,AM1273),"")</f>
        <v>金币</v>
      </c>
      <c r="AV1273" s="14">
        <f>ROUND(INDEX(挂机升级突破!$DJ$6:$DJ$57,卡牌消耗!AT1273)*INDEX(卡牌消耗!$B$8:$F$8,AR1273)/$Q$4/50,0)*50</f>
        <v>5000</v>
      </c>
      <c r="AW1273" s="14" t="str">
        <f>IF(AN1273&gt;0,INDEX(挂机升级突破!$DT$4:$ED$4,AN1273),"")</f>
        <v>紫色基础材料</v>
      </c>
      <c r="AX1273" s="14">
        <f>ROUND(INDEX(挂机升级突破!$DT$6:$ED$57,卡牌消耗!AT1273,AN1273)*INDEX(卡牌消耗!$B$5:$F$5,AR1273)/$Q$4/5,0)*5</f>
        <v>70</v>
      </c>
      <c r="AY1273" s="14" t="str">
        <f>IF(AO1273&gt;0,INDEX(挂机升级突破!$DT$4:$ED$4,AO1273),"")</f>
        <v/>
      </c>
      <c r="AZ1273" s="14" t="str">
        <f>IF(AO1273&gt;0,ROUND(INDEX(挂机升级突破!$DT$6:$ED$57,卡牌消耗!AT1273,AO1273)*INDEX(卡牌消耗!$B$7:$F$7,AR1273)/$Q$4,0),"")</f>
        <v/>
      </c>
    </row>
    <row r="1274" spans="37:52" ht="16.5" x14ac:dyDescent="0.2">
      <c r="AK1274" s="104">
        <v>1270</v>
      </c>
      <c r="AL1274" s="14">
        <f t="shared" si="440"/>
        <v>25</v>
      </c>
      <c r="AM1274" s="14">
        <f>INDEX(挂机升级突破!DQ$6:DQ$57,卡牌消耗!$AT1274)</f>
        <v>11</v>
      </c>
      <c r="AN1274" s="14">
        <f>INDEX(挂机升级突破!DR$6:DR$57,卡牌消耗!$AT1274)</f>
        <v>3</v>
      </c>
      <c r="AO1274" s="14">
        <f>INDEX(挂机升级突破!DS$6:DS$57,卡牌消耗!$AT1274)</f>
        <v>0</v>
      </c>
      <c r="AP1274" s="14">
        <f>INDEX(挂机升级突破!$DP$6:$DP$57,卡牌消耗!AT1274)</f>
        <v>73</v>
      </c>
      <c r="AQ1274" s="14" t="str">
        <f t="shared" si="441"/>
        <v>雷震子</v>
      </c>
      <c r="AR1274" s="14">
        <f t="shared" si="442"/>
        <v>3</v>
      </c>
      <c r="AS1274" s="14" t="str">
        <f t="shared" si="443"/>
        <v>雷震子魂火-22</v>
      </c>
      <c r="AT1274" s="14">
        <f t="shared" si="444"/>
        <v>22</v>
      </c>
      <c r="AU1274" s="14" t="str">
        <f>IF(AM1274&gt;0,INDEX(挂机升级突破!$DT$4:$ED$4,AM1274),"")</f>
        <v>金币</v>
      </c>
      <c r="AV1274" s="14">
        <f>ROUND(INDEX(挂机升级突破!$DJ$6:$DJ$57,卡牌消耗!AT1274)*INDEX(卡牌消耗!$B$8:$F$8,AR1274)/$Q$4/50,0)*50</f>
        <v>5000</v>
      </c>
      <c r="AW1274" s="14" t="str">
        <f>IF(AN1274&gt;0,INDEX(挂机升级突破!$DT$4:$ED$4,AN1274),"")</f>
        <v>紫色基础材料</v>
      </c>
      <c r="AX1274" s="14">
        <f>ROUND(INDEX(挂机升级突破!$DT$6:$ED$57,卡牌消耗!AT1274,AN1274)*INDEX(卡牌消耗!$B$5:$F$5,AR1274)/$Q$4/5,0)*5</f>
        <v>70</v>
      </c>
      <c r="AY1274" s="14" t="str">
        <f>IF(AO1274&gt;0,INDEX(挂机升级突破!$DT$4:$ED$4,AO1274),"")</f>
        <v/>
      </c>
      <c r="AZ1274" s="14" t="str">
        <f>IF(AO1274&gt;0,ROUND(INDEX(挂机升级突破!$DT$6:$ED$57,卡牌消耗!AT1274,AO1274)*INDEX(卡牌消耗!$B$7:$F$7,AR1274)/$Q$4,0),"")</f>
        <v/>
      </c>
    </row>
    <row r="1275" spans="37:52" ht="16.5" x14ac:dyDescent="0.2">
      <c r="AK1275" s="104">
        <v>1271</v>
      </c>
      <c r="AL1275" s="14">
        <f t="shared" si="440"/>
        <v>25</v>
      </c>
      <c r="AM1275" s="14">
        <f>INDEX(挂机升级突破!DQ$6:DQ$57,卡牌消耗!$AT1275)</f>
        <v>11</v>
      </c>
      <c r="AN1275" s="14">
        <f>INDEX(挂机升级突破!DR$6:DR$57,卡牌消耗!$AT1275)</f>
        <v>4</v>
      </c>
      <c r="AO1275" s="14">
        <f>INDEX(挂机升级突破!DS$6:DS$57,卡牌消耗!$AT1275)</f>
        <v>0</v>
      </c>
      <c r="AP1275" s="14">
        <f>INDEX(挂机升级突破!$DP$6:$DP$57,卡牌消耗!AT1275)</f>
        <v>75</v>
      </c>
      <c r="AQ1275" s="14" t="str">
        <f t="shared" si="441"/>
        <v>雷震子</v>
      </c>
      <c r="AR1275" s="14">
        <f t="shared" si="442"/>
        <v>3</v>
      </c>
      <c r="AS1275" s="14" t="str">
        <f t="shared" si="443"/>
        <v>雷震子魂火-23</v>
      </c>
      <c r="AT1275" s="14">
        <f t="shared" si="444"/>
        <v>23</v>
      </c>
      <c r="AU1275" s="14" t="str">
        <f>IF(AM1275&gt;0,INDEX(挂机升级突破!$DT$4:$ED$4,AM1275),"")</f>
        <v>金币</v>
      </c>
      <c r="AV1275" s="14">
        <f>ROUND(INDEX(挂机升级突破!$DJ$6:$DJ$57,卡牌消耗!AT1275)*INDEX(卡牌消耗!$B$8:$F$8,AR1275)/$Q$4/50,0)*50</f>
        <v>6900</v>
      </c>
      <c r="AW1275" s="14" t="str">
        <f>IF(AN1275&gt;0,INDEX(挂机升级突破!$DT$4:$ED$4,AN1275),"")</f>
        <v>橙色基础材料</v>
      </c>
      <c r="AX1275" s="14">
        <f>ROUND(INDEX(挂机升级突破!$DT$6:$ED$57,卡牌消耗!AT1275,AN1275)*INDEX(卡牌消耗!$B$5:$F$5,AR1275)/$Q$4/5,0)*5</f>
        <v>20</v>
      </c>
      <c r="AY1275" s="14" t="str">
        <f>IF(AO1275&gt;0,INDEX(挂机升级突破!$DT$4:$ED$4,AO1275),"")</f>
        <v/>
      </c>
      <c r="AZ1275" s="14" t="str">
        <f>IF(AO1275&gt;0,ROUND(INDEX(挂机升级突破!$DT$6:$ED$57,卡牌消耗!AT1275,AO1275)*INDEX(卡牌消耗!$B$7:$F$7,AR1275)/$Q$4,0),"")</f>
        <v/>
      </c>
    </row>
    <row r="1276" spans="37:52" ht="16.5" x14ac:dyDescent="0.2">
      <c r="AK1276" s="104">
        <v>1272</v>
      </c>
      <c r="AL1276" s="14">
        <f t="shared" si="440"/>
        <v>25</v>
      </c>
      <c r="AM1276" s="14">
        <f>INDEX(挂机升级突破!DQ$6:DQ$57,卡牌消耗!$AT1276)</f>
        <v>11</v>
      </c>
      <c r="AN1276" s="14">
        <f>INDEX(挂机升级突破!DR$6:DR$57,卡牌消耗!$AT1276)</f>
        <v>4</v>
      </c>
      <c r="AO1276" s="14">
        <f>INDEX(挂机升级突破!DS$6:DS$57,卡牌消耗!$AT1276)</f>
        <v>0</v>
      </c>
      <c r="AP1276" s="14">
        <f>INDEX(挂机升级突破!$DP$6:$DP$57,卡牌消耗!AT1276)</f>
        <v>78</v>
      </c>
      <c r="AQ1276" s="14" t="str">
        <f t="shared" si="441"/>
        <v>雷震子</v>
      </c>
      <c r="AR1276" s="14">
        <f t="shared" si="442"/>
        <v>3</v>
      </c>
      <c r="AS1276" s="14" t="str">
        <f t="shared" si="443"/>
        <v>雷震子魂火-24</v>
      </c>
      <c r="AT1276" s="14">
        <f t="shared" si="444"/>
        <v>24</v>
      </c>
      <c r="AU1276" s="14" t="str">
        <f>IF(AM1276&gt;0,INDEX(挂机升级突破!$DT$4:$ED$4,AM1276),"")</f>
        <v>金币</v>
      </c>
      <c r="AV1276" s="14">
        <f>ROUND(INDEX(挂机升级突破!$DJ$6:$DJ$57,卡牌消耗!AT1276)*INDEX(卡牌消耗!$B$8:$F$8,AR1276)/$Q$4/50,0)*50</f>
        <v>6900</v>
      </c>
      <c r="AW1276" s="14" t="str">
        <f>IF(AN1276&gt;0,INDEX(挂机升级突破!$DT$4:$ED$4,AN1276),"")</f>
        <v>橙色基础材料</v>
      </c>
      <c r="AX1276" s="14">
        <f>ROUND(INDEX(挂机升级突破!$DT$6:$ED$57,卡牌消耗!AT1276,AN1276)*INDEX(卡牌消耗!$B$5:$F$5,AR1276)/$Q$4/5,0)*5</f>
        <v>20</v>
      </c>
      <c r="AY1276" s="14" t="str">
        <f>IF(AO1276&gt;0,INDEX(挂机升级突破!$DT$4:$ED$4,AO1276),"")</f>
        <v/>
      </c>
      <c r="AZ1276" s="14" t="str">
        <f>IF(AO1276&gt;0,ROUND(INDEX(挂机升级突破!$DT$6:$ED$57,卡牌消耗!AT1276,AO1276)*INDEX(卡牌消耗!$B$7:$F$7,AR1276)/$Q$4,0),"")</f>
        <v/>
      </c>
    </row>
    <row r="1277" spans="37:52" ht="16.5" x14ac:dyDescent="0.2">
      <c r="AK1277" s="104">
        <v>1273</v>
      </c>
      <c r="AL1277" s="14">
        <f t="shared" si="440"/>
        <v>25</v>
      </c>
      <c r="AM1277" s="14">
        <f>INDEX(挂机升级突破!DQ$6:DQ$57,卡牌消耗!$AT1277)</f>
        <v>11</v>
      </c>
      <c r="AN1277" s="14">
        <f>INDEX(挂机升级突破!DR$6:DR$57,卡牌消耗!$AT1277)</f>
        <v>4</v>
      </c>
      <c r="AO1277" s="14">
        <f>INDEX(挂机升级突破!DS$6:DS$57,卡牌消耗!$AT1277)</f>
        <v>0</v>
      </c>
      <c r="AP1277" s="14">
        <f>INDEX(挂机升级突破!$DP$6:$DP$57,卡牌消耗!AT1277)</f>
        <v>80</v>
      </c>
      <c r="AQ1277" s="14" t="str">
        <f t="shared" si="441"/>
        <v>雷震子</v>
      </c>
      <c r="AR1277" s="14">
        <f t="shared" si="442"/>
        <v>3</v>
      </c>
      <c r="AS1277" s="14" t="str">
        <f t="shared" si="443"/>
        <v>雷震子魂火-25</v>
      </c>
      <c r="AT1277" s="14">
        <f t="shared" si="444"/>
        <v>25</v>
      </c>
      <c r="AU1277" s="14" t="str">
        <f>IF(AM1277&gt;0,INDEX(挂机升级突破!$DT$4:$ED$4,AM1277),"")</f>
        <v>金币</v>
      </c>
      <c r="AV1277" s="14">
        <f>ROUND(INDEX(挂机升级突破!$DJ$6:$DJ$57,卡牌消耗!AT1277)*INDEX(卡牌消耗!$B$8:$F$8,AR1277)/$Q$4/50,0)*50</f>
        <v>7550</v>
      </c>
      <c r="AW1277" s="14" t="str">
        <f>IF(AN1277&gt;0,INDEX(挂机升级突破!$DT$4:$ED$4,AN1277),"")</f>
        <v>橙色基础材料</v>
      </c>
      <c r="AX1277" s="14">
        <f>ROUND(INDEX(挂机升级突破!$DT$6:$ED$57,卡牌消耗!AT1277,AN1277)*INDEX(卡牌消耗!$B$5:$F$5,AR1277)/$Q$4/5,0)*5</f>
        <v>20</v>
      </c>
      <c r="AY1277" s="14" t="str">
        <f>IF(AO1277&gt;0,INDEX(挂机升级突破!$DT$4:$ED$4,AO1277),"")</f>
        <v/>
      </c>
      <c r="AZ1277" s="14" t="str">
        <f>IF(AO1277&gt;0,ROUND(INDEX(挂机升级突破!$DT$6:$ED$57,卡牌消耗!AT1277,AO1277)*INDEX(卡牌消耗!$B$7:$F$7,AR1277)/$Q$4,0),"")</f>
        <v/>
      </c>
    </row>
    <row r="1278" spans="37:52" ht="16.5" x14ac:dyDescent="0.2">
      <c r="AK1278" s="104">
        <v>1274</v>
      </c>
      <c r="AL1278" s="14">
        <f t="shared" si="440"/>
        <v>25</v>
      </c>
      <c r="AM1278" s="14">
        <f>INDEX(挂机升级突破!DQ$6:DQ$57,卡牌消耗!$AT1278)</f>
        <v>11</v>
      </c>
      <c r="AN1278" s="14">
        <f>INDEX(挂机升级突破!DR$6:DR$57,卡牌消耗!$AT1278)</f>
        <v>4</v>
      </c>
      <c r="AO1278" s="14">
        <f>INDEX(挂机升级突破!DS$6:DS$57,卡牌消耗!$AT1278)</f>
        <v>0</v>
      </c>
      <c r="AP1278" s="14">
        <f>INDEX(挂机升级突破!$DP$6:$DP$57,卡牌消耗!AT1278)</f>
        <v>83</v>
      </c>
      <c r="AQ1278" s="14" t="str">
        <f t="shared" si="441"/>
        <v>雷震子</v>
      </c>
      <c r="AR1278" s="14">
        <f t="shared" si="442"/>
        <v>3</v>
      </c>
      <c r="AS1278" s="14" t="str">
        <f t="shared" si="443"/>
        <v>雷震子魂火-26</v>
      </c>
      <c r="AT1278" s="14">
        <f t="shared" si="444"/>
        <v>26</v>
      </c>
      <c r="AU1278" s="14" t="str">
        <f>IF(AM1278&gt;0,INDEX(挂机升级突破!$DT$4:$ED$4,AM1278),"")</f>
        <v>金币</v>
      </c>
      <c r="AV1278" s="14">
        <f>ROUND(INDEX(挂机升级突破!$DJ$6:$DJ$57,卡牌消耗!AT1278)*INDEX(卡牌消耗!$B$8:$F$8,AR1278)/$Q$4/50,0)*50</f>
        <v>8800</v>
      </c>
      <c r="AW1278" s="14" t="str">
        <f>IF(AN1278&gt;0,INDEX(挂机升级突破!$DT$4:$ED$4,AN1278),"")</f>
        <v>橙色基础材料</v>
      </c>
      <c r="AX1278" s="14">
        <f>ROUND(INDEX(挂机升级突破!$DT$6:$ED$57,卡牌消耗!AT1278,AN1278)*INDEX(卡牌消耗!$B$5:$F$5,AR1278)/$Q$4/5,0)*5</f>
        <v>25</v>
      </c>
      <c r="AY1278" s="14" t="str">
        <f>IF(AO1278&gt;0,INDEX(挂机升级突破!$DT$4:$ED$4,AO1278),"")</f>
        <v/>
      </c>
      <c r="AZ1278" s="14" t="str">
        <f>IF(AO1278&gt;0,ROUND(INDEX(挂机升级突破!$DT$6:$ED$57,卡牌消耗!AT1278,AO1278)*INDEX(卡牌消耗!$B$7:$F$7,AR1278)/$Q$4,0),"")</f>
        <v/>
      </c>
    </row>
    <row r="1279" spans="37:52" ht="16.5" x14ac:dyDescent="0.2">
      <c r="AK1279" s="104">
        <v>1275</v>
      </c>
      <c r="AL1279" s="14">
        <f t="shared" si="440"/>
        <v>25</v>
      </c>
      <c r="AM1279" s="14">
        <f>INDEX(挂机升级突破!DQ$6:DQ$57,卡牌消耗!$AT1279)</f>
        <v>11</v>
      </c>
      <c r="AN1279" s="14">
        <f>INDEX(挂机升级突破!DR$6:DR$57,卡牌消耗!$AT1279)</f>
        <v>4</v>
      </c>
      <c r="AO1279" s="14">
        <f>INDEX(挂机升级突破!DS$6:DS$57,卡牌消耗!$AT1279)</f>
        <v>0</v>
      </c>
      <c r="AP1279" s="14">
        <f>INDEX(挂机升级突破!$DP$6:$DP$57,卡牌消耗!AT1279)</f>
        <v>85</v>
      </c>
      <c r="AQ1279" s="14" t="str">
        <f t="shared" si="441"/>
        <v>雷震子</v>
      </c>
      <c r="AR1279" s="14">
        <f t="shared" si="442"/>
        <v>3</v>
      </c>
      <c r="AS1279" s="14" t="str">
        <f t="shared" si="443"/>
        <v>雷震子魂火-27</v>
      </c>
      <c r="AT1279" s="14">
        <f t="shared" si="444"/>
        <v>27</v>
      </c>
      <c r="AU1279" s="14" t="str">
        <f>IF(AM1279&gt;0,INDEX(挂机升级突破!$DT$4:$ED$4,AM1279),"")</f>
        <v>金币</v>
      </c>
      <c r="AV1279" s="14">
        <f>ROUND(INDEX(挂机升级突破!$DJ$6:$DJ$57,卡牌消耗!AT1279)*INDEX(卡牌消耗!$B$8:$F$8,AR1279)/$Q$4/50,0)*50</f>
        <v>8800</v>
      </c>
      <c r="AW1279" s="14" t="str">
        <f>IF(AN1279&gt;0,INDEX(挂机升级突破!$DT$4:$ED$4,AN1279),"")</f>
        <v>橙色基础材料</v>
      </c>
      <c r="AX1279" s="14">
        <f>ROUND(INDEX(挂机升级突破!$DT$6:$ED$57,卡牌消耗!AT1279,AN1279)*INDEX(卡牌消耗!$B$5:$F$5,AR1279)/$Q$4/5,0)*5</f>
        <v>25</v>
      </c>
      <c r="AY1279" s="14" t="str">
        <f>IF(AO1279&gt;0,INDEX(挂机升级突破!$DT$4:$ED$4,AO1279),"")</f>
        <v/>
      </c>
      <c r="AZ1279" s="14" t="str">
        <f>IF(AO1279&gt;0,ROUND(INDEX(挂机升级突破!$DT$6:$ED$57,卡牌消耗!AT1279,AO1279)*INDEX(卡牌消耗!$B$7:$F$7,AR1279)/$Q$4,0),"")</f>
        <v/>
      </c>
    </row>
    <row r="1280" spans="37:52" ht="16.5" x14ac:dyDescent="0.2">
      <c r="AK1280" s="104">
        <v>1276</v>
      </c>
      <c r="AL1280" s="14">
        <f t="shared" si="440"/>
        <v>25</v>
      </c>
      <c r="AM1280" s="14">
        <f>INDEX(挂机升级突破!DQ$6:DQ$57,卡牌消耗!$AT1280)</f>
        <v>11</v>
      </c>
      <c r="AN1280" s="14">
        <f>INDEX(挂机升级突破!DR$6:DR$57,卡牌消耗!$AT1280)</f>
        <v>4</v>
      </c>
      <c r="AO1280" s="14">
        <f>INDEX(挂机升级突破!DS$6:DS$57,卡牌消耗!$AT1280)</f>
        <v>0</v>
      </c>
      <c r="AP1280" s="14">
        <f>INDEX(挂机升级突破!$DP$6:$DP$57,卡牌消耗!AT1280)</f>
        <v>88</v>
      </c>
      <c r="AQ1280" s="14" t="str">
        <f t="shared" si="441"/>
        <v>雷震子</v>
      </c>
      <c r="AR1280" s="14">
        <f t="shared" si="442"/>
        <v>3</v>
      </c>
      <c r="AS1280" s="14" t="str">
        <f t="shared" si="443"/>
        <v>雷震子魂火-28</v>
      </c>
      <c r="AT1280" s="14">
        <f t="shared" si="444"/>
        <v>28</v>
      </c>
      <c r="AU1280" s="14" t="str">
        <f>IF(AM1280&gt;0,INDEX(挂机升级突破!$DT$4:$ED$4,AM1280),"")</f>
        <v>金币</v>
      </c>
      <c r="AV1280" s="14">
        <f>ROUND(INDEX(挂机升级突破!$DJ$6:$DJ$57,卡牌消耗!AT1280)*INDEX(卡牌消耗!$B$8:$F$8,AR1280)/$Q$4/50,0)*50</f>
        <v>8800</v>
      </c>
      <c r="AW1280" s="14" t="str">
        <f>IF(AN1280&gt;0,INDEX(挂机升级突破!$DT$4:$ED$4,AN1280),"")</f>
        <v>橙色基础材料</v>
      </c>
      <c r="AX1280" s="14">
        <f>ROUND(INDEX(挂机升级突破!$DT$6:$ED$57,卡牌消耗!AT1280,AN1280)*INDEX(卡牌消耗!$B$5:$F$5,AR1280)/$Q$4/5,0)*5</f>
        <v>25</v>
      </c>
      <c r="AY1280" s="14" t="str">
        <f>IF(AO1280&gt;0,INDEX(挂机升级突破!$DT$4:$ED$4,AO1280),"")</f>
        <v/>
      </c>
      <c r="AZ1280" s="14" t="str">
        <f>IF(AO1280&gt;0,ROUND(INDEX(挂机升级突破!$DT$6:$ED$57,卡牌消耗!AT1280,AO1280)*INDEX(卡牌消耗!$B$7:$F$7,AR1280)/$Q$4,0),"")</f>
        <v/>
      </c>
    </row>
    <row r="1281" spans="37:52" ht="16.5" x14ac:dyDescent="0.2">
      <c r="AK1281" s="104">
        <v>1277</v>
      </c>
      <c r="AL1281" s="14">
        <f t="shared" si="440"/>
        <v>25</v>
      </c>
      <c r="AM1281" s="14">
        <f>INDEX(挂机升级突破!DQ$6:DQ$57,卡牌消耗!$AT1281)</f>
        <v>11</v>
      </c>
      <c r="AN1281" s="14">
        <f>INDEX(挂机升级突破!DR$6:DR$57,卡牌消耗!$AT1281)</f>
        <v>4</v>
      </c>
      <c r="AO1281" s="14">
        <f>INDEX(挂机升级突破!DS$6:DS$57,卡牌消耗!$AT1281)</f>
        <v>0</v>
      </c>
      <c r="AP1281" s="14">
        <f>INDEX(挂机升级突破!$DP$6:$DP$57,卡牌消耗!AT1281)</f>
        <v>90</v>
      </c>
      <c r="AQ1281" s="14" t="str">
        <f t="shared" si="441"/>
        <v>雷震子</v>
      </c>
      <c r="AR1281" s="14">
        <f t="shared" si="442"/>
        <v>3</v>
      </c>
      <c r="AS1281" s="14" t="str">
        <f t="shared" si="443"/>
        <v>雷震子魂火-29</v>
      </c>
      <c r="AT1281" s="14">
        <f t="shared" si="444"/>
        <v>29</v>
      </c>
      <c r="AU1281" s="14" t="str">
        <f>IF(AM1281&gt;0,INDEX(挂机升级突破!$DT$4:$ED$4,AM1281),"")</f>
        <v>金币</v>
      </c>
      <c r="AV1281" s="14">
        <f>ROUND(INDEX(挂机升级突破!$DJ$6:$DJ$57,卡牌消耗!AT1281)*INDEX(卡牌消耗!$B$8:$F$8,AR1281)/$Q$4/50,0)*50</f>
        <v>8900</v>
      </c>
      <c r="AW1281" s="14" t="str">
        <f>IF(AN1281&gt;0,INDEX(挂机升级突破!$DT$4:$ED$4,AN1281),"")</f>
        <v>橙色基础材料</v>
      </c>
      <c r="AX1281" s="14">
        <f>ROUND(INDEX(挂机升级突破!$DT$6:$ED$57,卡牌消耗!AT1281,AN1281)*INDEX(卡牌消耗!$B$5:$F$5,AR1281)/$Q$4/5,0)*5</f>
        <v>25</v>
      </c>
      <c r="AY1281" s="14" t="str">
        <f>IF(AO1281&gt;0,INDEX(挂机升级突破!$DT$4:$ED$4,AO1281),"")</f>
        <v/>
      </c>
      <c r="AZ1281" s="14" t="str">
        <f>IF(AO1281&gt;0,ROUND(INDEX(挂机升级突破!$DT$6:$ED$57,卡牌消耗!AT1281,AO1281)*INDEX(卡牌消耗!$B$7:$F$7,AR1281)/$Q$4,0),"")</f>
        <v/>
      </c>
    </row>
    <row r="1282" spans="37:52" ht="16.5" x14ac:dyDescent="0.2">
      <c r="AK1282" s="104">
        <v>1278</v>
      </c>
      <c r="AL1282" s="14">
        <f t="shared" si="440"/>
        <v>25</v>
      </c>
      <c r="AM1282" s="14">
        <f>INDEX(挂机升级突破!DQ$6:DQ$57,卡牌消耗!$AT1282)</f>
        <v>11</v>
      </c>
      <c r="AN1282" s="14">
        <f>INDEX(挂机升级突破!DR$6:DR$57,卡牌消耗!$AT1282)</f>
        <v>4</v>
      </c>
      <c r="AO1282" s="14">
        <f>INDEX(挂机升级突破!DS$6:DS$57,卡牌消耗!$AT1282)</f>
        <v>0</v>
      </c>
      <c r="AP1282" s="14">
        <f>INDEX(挂机升级突破!$DP$6:$DP$57,卡牌消耗!AT1282)</f>
        <v>93</v>
      </c>
      <c r="AQ1282" s="14" t="str">
        <f t="shared" si="441"/>
        <v>雷震子</v>
      </c>
      <c r="AR1282" s="14">
        <f t="shared" si="442"/>
        <v>3</v>
      </c>
      <c r="AS1282" s="14" t="str">
        <f t="shared" si="443"/>
        <v>雷震子魂火-30</v>
      </c>
      <c r="AT1282" s="14">
        <f t="shared" si="444"/>
        <v>30</v>
      </c>
      <c r="AU1282" s="14" t="str">
        <f>IF(AM1282&gt;0,INDEX(挂机升级突破!$DT$4:$ED$4,AM1282),"")</f>
        <v>金币</v>
      </c>
      <c r="AV1282" s="14">
        <f>ROUND(INDEX(挂机升级突破!$DJ$6:$DJ$57,卡牌消耗!AT1282)*INDEX(卡牌消耗!$B$8:$F$8,AR1282)/$Q$4/50,0)*50</f>
        <v>8900</v>
      </c>
      <c r="AW1282" s="14" t="str">
        <f>IF(AN1282&gt;0,INDEX(挂机升级突破!$DT$4:$ED$4,AN1282),"")</f>
        <v>橙色基础材料</v>
      </c>
      <c r="AX1282" s="14">
        <f>ROUND(INDEX(挂机升级突破!$DT$6:$ED$57,卡牌消耗!AT1282,AN1282)*INDEX(卡牌消耗!$B$5:$F$5,AR1282)/$Q$4/5,0)*5</f>
        <v>25</v>
      </c>
      <c r="AY1282" s="14" t="str">
        <f>IF(AO1282&gt;0,INDEX(挂机升级突破!$DT$4:$ED$4,AO1282),"")</f>
        <v/>
      </c>
      <c r="AZ1282" s="14" t="str">
        <f>IF(AO1282&gt;0,ROUND(INDEX(挂机升级突破!$DT$6:$ED$57,卡牌消耗!AT1282,AO1282)*INDEX(卡牌消耗!$B$7:$F$7,AR1282)/$Q$4,0),"")</f>
        <v/>
      </c>
    </row>
    <row r="1283" spans="37:52" ht="16.5" x14ac:dyDescent="0.2">
      <c r="AK1283" s="104">
        <v>1279</v>
      </c>
      <c r="AL1283" s="14">
        <f t="shared" si="440"/>
        <v>25</v>
      </c>
      <c r="AM1283" s="14">
        <f>INDEX(挂机升级突破!DQ$6:DQ$57,卡牌消耗!$AT1283)</f>
        <v>11</v>
      </c>
      <c r="AN1283" s="14">
        <f>INDEX(挂机升级突破!DR$6:DR$57,卡牌消耗!$AT1283)</f>
        <v>4</v>
      </c>
      <c r="AO1283" s="14">
        <f>INDEX(挂机升级突破!DS$6:DS$57,卡牌消耗!$AT1283)</f>
        <v>0</v>
      </c>
      <c r="AP1283" s="14">
        <f>INDEX(挂机升级突破!$DP$6:$DP$57,卡牌消耗!AT1283)</f>
        <v>95</v>
      </c>
      <c r="AQ1283" s="14" t="str">
        <f t="shared" si="441"/>
        <v>雷震子</v>
      </c>
      <c r="AR1283" s="14">
        <f t="shared" si="442"/>
        <v>3</v>
      </c>
      <c r="AS1283" s="14" t="str">
        <f t="shared" si="443"/>
        <v>雷震子魂火-31</v>
      </c>
      <c r="AT1283" s="14">
        <f t="shared" si="444"/>
        <v>31</v>
      </c>
      <c r="AU1283" s="14" t="str">
        <f>IF(AM1283&gt;0,INDEX(挂机升级突破!$DT$4:$ED$4,AM1283),"")</f>
        <v>金币</v>
      </c>
      <c r="AV1283" s="14">
        <f>ROUND(INDEX(挂机升级突破!$DJ$6:$DJ$57,卡牌消耗!AT1283)*INDEX(卡牌消耗!$B$8:$F$8,AR1283)/$Q$4/50,0)*50</f>
        <v>8900</v>
      </c>
      <c r="AW1283" s="14" t="str">
        <f>IF(AN1283&gt;0,INDEX(挂机升级突破!$DT$4:$ED$4,AN1283),"")</f>
        <v>橙色基础材料</v>
      </c>
      <c r="AX1283" s="14">
        <f>ROUND(INDEX(挂机升级突破!$DT$6:$ED$57,卡牌消耗!AT1283,AN1283)*INDEX(卡牌消耗!$B$5:$F$5,AR1283)/$Q$4/5,0)*5</f>
        <v>25</v>
      </c>
      <c r="AY1283" s="14" t="str">
        <f>IF(AO1283&gt;0,INDEX(挂机升级突破!$DT$4:$ED$4,AO1283),"")</f>
        <v/>
      </c>
      <c r="AZ1283" s="14" t="str">
        <f>IF(AO1283&gt;0,ROUND(INDEX(挂机升级突破!$DT$6:$ED$57,卡牌消耗!AT1283,AO1283)*INDEX(卡牌消耗!$B$7:$F$7,AR1283)/$Q$4,0),"")</f>
        <v/>
      </c>
    </row>
    <row r="1284" spans="37:52" ht="16.5" x14ac:dyDescent="0.2">
      <c r="AK1284" s="104">
        <v>1280</v>
      </c>
      <c r="AL1284" s="14">
        <f t="shared" si="440"/>
        <v>25</v>
      </c>
      <c r="AM1284" s="14">
        <f>INDEX(挂机升级突破!DQ$6:DQ$57,卡牌消耗!$AT1284)</f>
        <v>11</v>
      </c>
      <c r="AN1284" s="14">
        <f>INDEX(挂机升级突破!DR$6:DR$57,卡牌消耗!$AT1284)</f>
        <v>4</v>
      </c>
      <c r="AO1284" s="14">
        <f>INDEX(挂机升级突破!DS$6:DS$57,卡牌消耗!$AT1284)</f>
        <v>0</v>
      </c>
      <c r="AP1284" s="14">
        <f>INDEX(挂机升级突破!$DP$6:$DP$57,卡牌消耗!AT1284)</f>
        <v>98</v>
      </c>
      <c r="AQ1284" s="14" t="str">
        <f t="shared" si="441"/>
        <v>雷震子</v>
      </c>
      <c r="AR1284" s="14">
        <f t="shared" si="442"/>
        <v>3</v>
      </c>
      <c r="AS1284" s="14" t="str">
        <f t="shared" si="443"/>
        <v>雷震子魂火-32</v>
      </c>
      <c r="AT1284" s="14">
        <f t="shared" si="444"/>
        <v>32</v>
      </c>
      <c r="AU1284" s="14" t="str">
        <f>IF(AM1284&gt;0,INDEX(挂机升级突破!$DT$4:$ED$4,AM1284),"")</f>
        <v>金币</v>
      </c>
      <c r="AV1284" s="14">
        <f>ROUND(INDEX(挂机升级突破!$DJ$6:$DJ$57,卡牌消耗!AT1284)*INDEX(卡牌消耗!$B$8:$F$8,AR1284)/$Q$4/50,0)*50</f>
        <v>12200</v>
      </c>
      <c r="AW1284" s="14" t="str">
        <f>IF(AN1284&gt;0,INDEX(挂机升级突破!$DT$4:$ED$4,AN1284),"")</f>
        <v>橙色基础材料</v>
      </c>
      <c r="AX1284" s="14">
        <f>ROUND(INDEX(挂机升级突破!$DT$6:$ED$57,卡牌消耗!AT1284,AN1284)*INDEX(卡牌消耗!$B$5:$F$5,AR1284)/$Q$4/5,0)*5</f>
        <v>25</v>
      </c>
      <c r="AY1284" s="14" t="str">
        <f>IF(AO1284&gt;0,INDEX(挂机升级突破!$DT$4:$ED$4,AO1284),"")</f>
        <v/>
      </c>
      <c r="AZ1284" s="14" t="str">
        <f>IF(AO1284&gt;0,ROUND(INDEX(挂机升级突破!$DT$6:$ED$57,卡牌消耗!AT1284,AO1284)*INDEX(卡牌消耗!$B$7:$F$7,AR1284)/$Q$4,0),"")</f>
        <v/>
      </c>
    </row>
    <row r="1285" spans="37:52" ht="16.5" x14ac:dyDescent="0.2">
      <c r="AK1285" s="104">
        <v>1281</v>
      </c>
      <c r="AL1285" s="14">
        <f t="shared" si="440"/>
        <v>25</v>
      </c>
      <c r="AM1285" s="14">
        <f>INDEX(挂机升级突破!DQ$6:DQ$57,卡牌消耗!$AT1285)</f>
        <v>11</v>
      </c>
      <c r="AN1285" s="14">
        <f>INDEX(挂机升级突破!DR$6:DR$57,卡牌消耗!$AT1285)</f>
        <v>4</v>
      </c>
      <c r="AO1285" s="14">
        <f>INDEX(挂机升级突破!DS$6:DS$57,卡牌消耗!$AT1285)</f>
        <v>0</v>
      </c>
      <c r="AP1285" s="14">
        <f>INDEX(挂机升级突破!$DP$6:$DP$57,卡牌消耗!AT1285)</f>
        <v>100</v>
      </c>
      <c r="AQ1285" s="14" t="str">
        <f t="shared" si="441"/>
        <v>雷震子</v>
      </c>
      <c r="AR1285" s="14">
        <f t="shared" si="442"/>
        <v>3</v>
      </c>
      <c r="AS1285" s="14" t="str">
        <f t="shared" si="443"/>
        <v>雷震子魂火-33</v>
      </c>
      <c r="AT1285" s="14">
        <f t="shared" si="444"/>
        <v>33</v>
      </c>
      <c r="AU1285" s="14" t="str">
        <f>IF(AM1285&gt;0,INDEX(挂机升级突破!$DT$4:$ED$4,AM1285),"")</f>
        <v>金币</v>
      </c>
      <c r="AV1285" s="14">
        <f>ROUND(INDEX(挂机升级突破!$DJ$6:$DJ$57,卡牌消耗!AT1285)*INDEX(卡牌消耗!$B$8:$F$8,AR1285)/$Q$4/50,0)*50</f>
        <v>12200</v>
      </c>
      <c r="AW1285" s="14" t="str">
        <f>IF(AN1285&gt;0,INDEX(挂机升级突破!$DT$4:$ED$4,AN1285),"")</f>
        <v>橙色基础材料</v>
      </c>
      <c r="AX1285" s="14">
        <f>ROUND(INDEX(挂机升级突破!$DT$6:$ED$57,卡牌消耗!AT1285,AN1285)*INDEX(卡牌消耗!$B$5:$F$5,AR1285)/$Q$4/5,0)*5</f>
        <v>25</v>
      </c>
      <c r="AY1285" s="14" t="str">
        <f>IF(AO1285&gt;0,INDEX(挂机升级突破!$DT$4:$ED$4,AO1285),"")</f>
        <v/>
      </c>
      <c r="AZ1285" s="14" t="str">
        <f>IF(AO1285&gt;0,ROUND(INDEX(挂机升级突破!$DT$6:$ED$57,卡牌消耗!AT1285,AO1285)*INDEX(卡牌消耗!$B$7:$F$7,AR1285)/$Q$4,0),"")</f>
        <v/>
      </c>
    </row>
    <row r="1286" spans="37:52" ht="16.5" x14ac:dyDescent="0.2">
      <c r="AK1286" s="104">
        <v>1282</v>
      </c>
      <c r="AL1286" s="14">
        <f t="shared" ref="AL1286:AL1349" si="445">INT((AK1286-1)/52)+1</f>
        <v>25</v>
      </c>
      <c r="AM1286" s="14">
        <f>INDEX(挂机升级突破!DQ$6:DQ$57,卡牌消耗!$AT1286)</f>
        <v>11</v>
      </c>
      <c r="AN1286" s="14">
        <f>INDEX(挂机升级突破!DR$6:DR$57,卡牌消耗!$AT1286)</f>
        <v>4</v>
      </c>
      <c r="AO1286" s="14">
        <f>INDEX(挂机升级突破!DS$6:DS$57,卡牌消耗!$AT1286)</f>
        <v>0</v>
      </c>
      <c r="AP1286" s="14">
        <f>INDEX(挂机升级突破!$DP$6:$DP$57,卡牌消耗!AT1286)</f>
        <v>103</v>
      </c>
      <c r="AQ1286" s="14" t="str">
        <f t="shared" ref="AQ1286:AQ1349" si="446">INDEX($B$13:$B$45,AL1286)</f>
        <v>雷震子</v>
      </c>
      <c r="AR1286" s="14">
        <f t="shared" ref="AR1286:AR1349" si="447">INDEX($C$13:$C$45,AL1286)</f>
        <v>3</v>
      </c>
      <c r="AS1286" s="14" t="str">
        <f t="shared" ref="AS1286:AS1349" si="448">AQ1286&amp;"魂火-"&amp;AT1286</f>
        <v>雷震子魂火-34</v>
      </c>
      <c r="AT1286" s="14">
        <f t="shared" ref="AT1286:AT1349" si="449">AK1286-(AL1286-1)*52</f>
        <v>34</v>
      </c>
      <c r="AU1286" s="14" t="str">
        <f>IF(AM1286&gt;0,INDEX(挂机升级突破!$DT$4:$ED$4,AM1286),"")</f>
        <v>金币</v>
      </c>
      <c r="AV1286" s="14">
        <f>ROUND(INDEX(挂机升级突破!$DJ$6:$DJ$57,卡牌消耗!AT1286)*INDEX(卡牌消耗!$B$8:$F$8,AR1286)/$Q$4/50,0)*50</f>
        <v>12200</v>
      </c>
      <c r="AW1286" s="14" t="str">
        <f>IF(AN1286&gt;0,INDEX(挂机升级突破!$DT$4:$ED$4,AN1286),"")</f>
        <v>橙色基础材料</v>
      </c>
      <c r="AX1286" s="14">
        <f>ROUND(INDEX(挂机升级突破!$DT$6:$ED$57,卡牌消耗!AT1286,AN1286)*INDEX(卡牌消耗!$B$5:$F$5,AR1286)/$Q$4/5,0)*5</f>
        <v>30</v>
      </c>
      <c r="AY1286" s="14" t="str">
        <f>IF(AO1286&gt;0,INDEX(挂机升级突破!$DT$4:$ED$4,AO1286),"")</f>
        <v/>
      </c>
      <c r="AZ1286" s="14" t="str">
        <f>IF(AO1286&gt;0,ROUND(INDEX(挂机升级突破!$DT$6:$ED$57,卡牌消耗!AT1286,AO1286)*INDEX(卡牌消耗!$B$7:$F$7,AR1286)/$Q$4,0),"")</f>
        <v/>
      </c>
    </row>
    <row r="1287" spans="37:52" ht="16.5" x14ac:dyDescent="0.2">
      <c r="AK1287" s="104">
        <v>1283</v>
      </c>
      <c r="AL1287" s="14">
        <f t="shared" si="445"/>
        <v>25</v>
      </c>
      <c r="AM1287" s="14">
        <f>INDEX(挂机升级突破!DQ$6:DQ$57,卡牌消耗!$AT1287)</f>
        <v>11</v>
      </c>
      <c r="AN1287" s="14">
        <f>INDEX(挂机升级突破!DR$6:DR$57,卡牌消耗!$AT1287)</f>
        <v>4</v>
      </c>
      <c r="AO1287" s="14">
        <f>INDEX(挂机升级突破!DS$6:DS$57,卡牌消耗!$AT1287)</f>
        <v>0</v>
      </c>
      <c r="AP1287" s="14">
        <f>INDEX(挂机升级突破!$DP$6:$DP$57,卡牌消耗!AT1287)</f>
        <v>105</v>
      </c>
      <c r="AQ1287" s="14" t="str">
        <f t="shared" si="446"/>
        <v>雷震子</v>
      </c>
      <c r="AR1287" s="14">
        <f t="shared" si="447"/>
        <v>3</v>
      </c>
      <c r="AS1287" s="14" t="str">
        <f t="shared" si="448"/>
        <v>雷震子魂火-35</v>
      </c>
      <c r="AT1287" s="14">
        <f t="shared" si="449"/>
        <v>35</v>
      </c>
      <c r="AU1287" s="14" t="str">
        <f>IF(AM1287&gt;0,INDEX(挂机升级突破!$DT$4:$ED$4,AM1287),"")</f>
        <v>金币</v>
      </c>
      <c r="AV1287" s="14">
        <f>ROUND(INDEX(挂机升级突破!$DJ$6:$DJ$57,卡牌消耗!AT1287)*INDEX(卡牌消耗!$B$8:$F$8,AR1287)/$Q$4/50,0)*50</f>
        <v>15550</v>
      </c>
      <c r="AW1287" s="14" t="str">
        <f>IF(AN1287&gt;0,INDEX(挂机升级突破!$DT$4:$ED$4,AN1287),"")</f>
        <v>橙色基础材料</v>
      </c>
      <c r="AX1287" s="14">
        <f>ROUND(INDEX(挂机升级突破!$DT$6:$ED$57,卡牌消耗!AT1287,AN1287)*INDEX(卡牌消耗!$B$5:$F$5,AR1287)/$Q$4/5,0)*5</f>
        <v>30</v>
      </c>
      <c r="AY1287" s="14" t="str">
        <f>IF(AO1287&gt;0,INDEX(挂机升级突破!$DT$4:$ED$4,AO1287),"")</f>
        <v/>
      </c>
      <c r="AZ1287" s="14" t="str">
        <f>IF(AO1287&gt;0,ROUND(INDEX(挂机升级突破!$DT$6:$ED$57,卡牌消耗!AT1287,AO1287)*INDEX(卡牌消耗!$B$7:$F$7,AR1287)/$Q$4,0),"")</f>
        <v/>
      </c>
    </row>
    <row r="1288" spans="37:52" ht="16.5" x14ac:dyDescent="0.2">
      <c r="AK1288" s="104">
        <v>1284</v>
      </c>
      <c r="AL1288" s="14">
        <f t="shared" si="445"/>
        <v>25</v>
      </c>
      <c r="AM1288" s="14">
        <f>INDEX(挂机升级突破!DQ$6:DQ$57,卡牌消耗!$AT1288)</f>
        <v>11</v>
      </c>
      <c r="AN1288" s="14">
        <f>INDEX(挂机升级突破!DR$6:DR$57,卡牌消耗!$AT1288)</f>
        <v>4</v>
      </c>
      <c r="AO1288" s="14">
        <f>INDEX(挂机升级突破!DS$6:DS$57,卡牌消耗!$AT1288)</f>
        <v>0</v>
      </c>
      <c r="AP1288" s="14">
        <f>INDEX(挂机升级突破!$DP$6:$DP$57,卡牌消耗!AT1288)</f>
        <v>108</v>
      </c>
      <c r="AQ1288" s="14" t="str">
        <f t="shared" si="446"/>
        <v>雷震子</v>
      </c>
      <c r="AR1288" s="14">
        <f t="shared" si="447"/>
        <v>3</v>
      </c>
      <c r="AS1288" s="14" t="str">
        <f t="shared" si="448"/>
        <v>雷震子魂火-36</v>
      </c>
      <c r="AT1288" s="14">
        <f t="shared" si="449"/>
        <v>36</v>
      </c>
      <c r="AU1288" s="14" t="str">
        <f>IF(AM1288&gt;0,INDEX(挂机升级突破!$DT$4:$ED$4,AM1288),"")</f>
        <v>金币</v>
      </c>
      <c r="AV1288" s="14">
        <f>ROUND(INDEX(挂机升级突破!$DJ$6:$DJ$57,卡牌消耗!AT1288)*INDEX(卡牌消耗!$B$8:$F$8,AR1288)/$Q$4/50,0)*50</f>
        <v>15550</v>
      </c>
      <c r="AW1288" s="14" t="str">
        <f>IF(AN1288&gt;0,INDEX(挂机升级突破!$DT$4:$ED$4,AN1288),"")</f>
        <v>橙色基础材料</v>
      </c>
      <c r="AX1288" s="14">
        <f>ROUND(INDEX(挂机升级突破!$DT$6:$ED$57,卡牌消耗!AT1288,AN1288)*INDEX(卡牌消耗!$B$5:$F$5,AR1288)/$Q$4/5,0)*5</f>
        <v>30</v>
      </c>
      <c r="AY1288" s="14" t="str">
        <f>IF(AO1288&gt;0,INDEX(挂机升级突破!$DT$4:$ED$4,AO1288),"")</f>
        <v/>
      </c>
      <c r="AZ1288" s="14" t="str">
        <f>IF(AO1288&gt;0,ROUND(INDEX(挂机升级突破!$DT$6:$ED$57,卡牌消耗!AT1288,AO1288)*INDEX(卡牌消耗!$B$7:$F$7,AR1288)/$Q$4,0),"")</f>
        <v/>
      </c>
    </row>
    <row r="1289" spans="37:52" ht="16.5" x14ac:dyDescent="0.2">
      <c r="AK1289" s="104">
        <v>1285</v>
      </c>
      <c r="AL1289" s="14">
        <f t="shared" si="445"/>
        <v>25</v>
      </c>
      <c r="AM1289" s="14">
        <f>INDEX(挂机升级突破!DQ$6:DQ$57,卡牌消耗!$AT1289)</f>
        <v>11</v>
      </c>
      <c r="AN1289" s="14">
        <f>INDEX(挂机升级突破!DR$6:DR$57,卡牌消耗!$AT1289)</f>
        <v>4</v>
      </c>
      <c r="AO1289" s="14">
        <f>INDEX(挂机升级突破!DS$6:DS$57,卡牌消耗!$AT1289)</f>
        <v>0</v>
      </c>
      <c r="AP1289" s="14">
        <f>INDEX(挂机升级突破!$DP$6:$DP$57,卡牌消耗!AT1289)</f>
        <v>110</v>
      </c>
      <c r="AQ1289" s="14" t="str">
        <f t="shared" si="446"/>
        <v>雷震子</v>
      </c>
      <c r="AR1289" s="14">
        <f t="shared" si="447"/>
        <v>3</v>
      </c>
      <c r="AS1289" s="14" t="str">
        <f t="shared" si="448"/>
        <v>雷震子魂火-37</v>
      </c>
      <c r="AT1289" s="14">
        <f t="shared" si="449"/>
        <v>37</v>
      </c>
      <c r="AU1289" s="14" t="str">
        <f>IF(AM1289&gt;0,INDEX(挂机升级突破!$DT$4:$ED$4,AM1289),"")</f>
        <v>金币</v>
      </c>
      <c r="AV1289" s="14">
        <f>ROUND(INDEX(挂机升级突破!$DJ$6:$DJ$57,卡牌消耗!AT1289)*INDEX(卡牌消耗!$B$8:$F$8,AR1289)/$Q$4/50,0)*50</f>
        <v>16650</v>
      </c>
      <c r="AW1289" s="14" t="str">
        <f>IF(AN1289&gt;0,INDEX(挂机升级突破!$DT$4:$ED$4,AN1289),"")</f>
        <v>橙色基础材料</v>
      </c>
      <c r="AX1289" s="14">
        <f>ROUND(INDEX(挂机升级突破!$DT$6:$ED$57,卡牌消耗!AT1289,AN1289)*INDEX(卡牌消耗!$B$5:$F$5,AR1289)/$Q$4/5,0)*5</f>
        <v>30</v>
      </c>
      <c r="AY1289" s="14" t="str">
        <f>IF(AO1289&gt;0,INDEX(挂机升级突破!$DT$4:$ED$4,AO1289),"")</f>
        <v/>
      </c>
      <c r="AZ1289" s="14" t="str">
        <f>IF(AO1289&gt;0,ROUND(INDEX(挂机升级突破!$DT$6:$ED$57,卡牌消耗!AT1289,AO1289)*INDEX(卡牌消耗!$B$7:$F$7,AR1289)/$Q$4,0),"")</f>
        <v/>
      </c>
    </row>
    <row r="1290" spans="37:52" ht="16.5" x14ac:dyDescent="0.2">
      <c r="AK1290" s="104">
        <v>1286</v>
      </c>
      <c r="AL1290" s="14">
        <f t="shared" si="445"/>
        <v>25</v>
      </c>
      <c r="AM1290" s="14">
        <f>INDEX(挂机升级突破!DQ$6:DQ$57,卡牌消耗!$AT1290)</f>
        <v>11</v>
      </c>
      <c r="AN1290" s="14">
        <f>INDEX(挂机升级突破!DR$6:DR$57,卡牌消耗!$AT1290)</f>
        <v>5</v>
      </c>
      <c r="AO1290" s="14">
        <f>INDEX(挂机升级突破!DS$6:DS$57,卡牌消耗!$AT1290)</f>
        <v>0</v>
      </c>
      <c r="AP1290" s="14">
        <f>INDEX(挂机升级突破!$DP$6:$DP$57,卡牌消耗!AT1290)</f>
        <v>113</v>
      </c>
      <c r="AQ1290" s="14" t="str">
        <f t="shared" si="446"/>
        <v>雷震子</v>
      </c>
      <c r="AR1290" s="14">
        <f t="shared" si="447"/>
        <v>3</v>
      </c>
      <c r="AS1290" s="14" t="str">
        <f t="shared" si="448"/>
        <v>雷震子魂火-38</v>
      </c>
      <c r="AT1290" s="14">
        <f t="shared" si="449"/>
        <v>38</v>
      </c>
      <c r="AU1290" s="14" t="str">
        <f>IF(AM1290&gt;0,INDEX(挂机升级突破!$DT$4:$ED$4,AM1290),"")</f>
        <v>金币</v>
      </c>
      <c r="AV1290" s="14">
        <f>ROUND(INDEX(挂机升级突破!$DJ$6:$DJ$57,卡牌消耗!AT1290)*INDEX(卡牌消耗!$B$8:$F$8,AR1290)/$Q$4/50,0)*50</f>
        <v>21500</v>
      </c>
      <c r="AW1290" s="14" t="str">
        <f>IF(AN1290&gt;0,INDEX(挂机升级突破!$DT$4:$ED$4,AN1290),"")</f>
        <v>红色基础材料</v>
      </c>
      <c r="AX1290" s="14">
        <f>ROUND(INDEX(挂机升级突破!$DT$6:$ED$57,卡牌消耗!AT1290,AN1290)*INDEX(卡牌消耗!$B$5:$F$5,AR1290)/$Q$4/5,0)*5</f>
        <v>10</v>
      </c>
      <c r="AY1290" s="14" t="str">
        <f>IF(AO1290&gt;0,INDEX(挂机升级突破!$DT$4:$ED$4,AO1290),"")</f>
        <v/>
      </c>
      <c r="AZ1290" s="14" t="str">
        <f>IF(AO1290&gt;0,ROUND(INDEX(挂机升级突破!$DT$6:$ED$57,卡牌消耗!AT1290,AO1290)*INDEX(卡牌消耗!$B$7:$F$7,AR1290)/$Q$4,0),"")</f>
        <v/>
      </c>
    </row>
    <row r="1291" spans="37:52" ht="16.5" x14ac:dyDescent="0.2">
      <c r="AK1291" s="104">
        <v>1287</v>
      </c>
      <c r="AL1291" s="14">
        <f t="shared" si="445"/>
        <v>25</v>
      </c>
      <c r="AM1291" s="14">
        <f>INDEX(挂机升级突破!DQ$6:DQ$57,卡牌消耗!$AT1291)</f>
        <v>11</v>
      </c>
      <c r="AN1291" s="14">
        <f>INDEX(挂机升级突破!DR$6:DR$57,卡牌消耗!$AT1291)</f>
        <v>5</v>
      </c>
      <c r="AO1291" s="14">
        <f>INDEX(挂机升级突破!DS$6:DS$57,卡牌消耗!$AT1291)</f>
        <v>0</v>
      </c>
      <c r="AP1291" s="14">
        <f>INDEX(挂机升级突破!$DP$6:$DP$57,卡牌消耗!AT1291)</f>
        <v>115</v>
      </c>
      <c r="AQ1291" s="14" t="str">
        <f t="shared" si="446"/>
        <v>雷震子</v>
      </c>
      <c r="AR1291" s="14">
        <f t="shared" si="447"/>
        <v>3</v>
      </c>
      <c r="AS1291" s="14" t="str">
        <f t="shared" si="448"/>
        <v>雷震子魂火-39</v>
      </c>
      <c r="AT1291" s="14">
        <f t="shared" si="449"/>
        <v>39</v>
      </c>
      <c r="AU1291" s="14" t="str">
        <f>IF(AM1291&gt;0,INDEX(挂机升级突破!$DT$4:$ED$4,AM1291),"")</f>
        <v>金币</v>
      </c>
      <c r="AV1291" s="14">
        <f>ROUND(INDEX(挂机升级突破!$DJ$6:$DJ$57,卡牌消耗!AT1291)*INDEX(卡牌消耗!$B$8:$F$8,AR1291)/$Q$4/50,0)*50</f>
        <v>21500</v>
      </c>
      <c r="AW1291" s="14" t="str">
        <f>IF(AN1291&gt;0,INDEX(挂机升级突破!$DT$4:$ED$4,AN1291),"")</f>
        <v>红色基础材料</v>
      </c>
      <c r="AX1291" s="14">
        <f>ROUND(INDEX(挂机升级突破!$DT$6:$ED$57,卡牌消耗!AT1291,AN1291)*INDEX(卡牌消耗!$B$5:$F$5,AR1291)/$Q$4/5,0)*5</f>
        <v>10</v>
      </c>
      <c r="AY1291" s="14" t="str">
        <f>IF(AO1291&gt;0,INDEX(挂机升级突破!$DT$4:$ED$4,AO1291),"")</f>
        <v/>
      </c>
      <c r="AZ1291" s="14" t="str">
        <f>IF(AO1291&gt;0,ROUND(INDEX(挂机升级突破!$DT$6:$ED$57,卡牌消耗!AT1291,AO1291)*INDEX(卡牌消耗!$B$7:$F$7,AR1291)/$Q$4,0),"")</f>
        <v/>
      </c>
    </row>
    <row r="1292" spans="37:52" ht="16.5" x14ac:dyDescent="0.2">
      <c r="AK1292" s="104">
        <v>1288</v>
      </c>
      <c r="AL1292" s="14">
        <f t="shared" si="445"/>
        <v>25</v>
      </c>
      <c r="AM1292" s="14">
        <f>INDEX(挂机升级突破!DQ$6:DQ$57,卡牌消耗!$AT1292)</f>
        <v>11</v>
      </c>
      <c r="AN1292" s="14">
        <f>INDEX(挂机升级突破!DR$6:DR$57,卡牌消耗!$AT1292)</f>
        <v>5</v>
      </c>
      <c r="AO1292" s="14">
        <f>INDEX(挂机升级突破!DS$6:DS$57,卡牌消耗!$AT1292)</f>
        <v>0</v>
      </c>
      <c r="AP1292" s="14">
        <f>INDEX(挂机升级突破!$DP$6:$DP$57,卡牌消耗!AT1292)</f>
        <v>118</v>
      </c>
      <c r="AQ1292" s="14" t="str">
        <f t="shared" si="446"/>
        <v>雷震子</v>
      </c>
      <c r="AR1292" s="14">
        <f t="shared" si="447"/>
        <v>3</v>
      </c>
      <c r="AS1292" s="14" t="str">
        <f t="shared" si="448"/>
        <v>雷震子魂火-40</v>
      </c>
      <c r="AT1292" s="14">
        <f t="shared" si="449"/>
        <v>40</v>
      </c>
      <c r="AU1292" s="14" t="str">
        <f>IF(AM1292&gt;0,INDEX(挂机升级突破!$DT$4:$ED$4,AM1292),"")</f>
        <v>金币</v>
      </c>
      <c r="AV1292" s="14">
        <f>ROUND(INDEX(挂机升级突破!$DJ$6:$DJ$57,卡牌消耗!AT1292)*INDEX(卡牌消耗!$B$8:$F$8,AR1292)/$Q$4/50,0)*50</f>
        <v>21500</v>
      </c>
      <c r="AW1292" s="14" t="str">
        <f>IF(AN1292&gt;0,INDEX(挂机升级突破!$DT$4:$ED$4,AN1292),"")</f>
        <v>红色基础材料</v>
      </c>
      <c r="AX1292" s="14">
        <f>ROUND(INDEX(挂机升级突破!$DT$6:$ED$57,卡牌消耗!AT1292,AN1292)*INDEX(卡牌消耗!$B$5:$F$5,AR1292)/$Q$4/5,0)*5</f>
        <v>10</v>
      </c>
      <c r="AY1292" s="14" t="str">
        <f>IF(AO1292&gt;0,INDEX(挂机升级突破!$DT$4:$ED$4,AO1292),"")</f>
        <v/>
      </c>
      <c r="AZ1292" s="14" t="str">
        <f>IF(AO1292&gt;0,ROUND(INDEX(挂机升级突破!$DT$6:$ED$57,卡牌消耗!AT1292,AO1292)*INDEX(卡牌消耗!$B$7:$F$7,AR1292)/$Q$4,0),"")</f>
        <v/>
      </c>
    </row>
    <row r="1293" spans="37:52" ht="16.5" x14ac:dyDescent="0.2">
      <c r="AK1293" s="104">
        <v>1289</v>
      </c>
      <c r="AL1293" s="14">
        <f t="shared" si="445"/>
        <v>25</v>
      </c>
      <c r="AM1293" s="14">
        <f>INDEX(挂机升级突破!DQ$6:DQ$57,卡牌消耗!$AT1293)</f>
        <v>11</v>
      </c>
      <c r="AN1293" s="14">
        <f>INDEX(挂机升级突破!DR$6:DR$57,卡牌消耗!$AT1293)</f>
        <v>5</v>
      </c>
      <c r="AO1293" s="14">
        <f>INDEX(挂机升级突破!DS$6:DS$57,卡牌消耗!$AT1293)</f>
        <v>10</v>
      </c>
      <c r="AP1293" s="14">
        <f>INDEX(挂机升级突破!$DP$6:$DP$57,卡牌消耗!AT1293)</f>
        <v>120</v>
      </c>
      <c r="AQ1293" s="14" t="str">
        <f t="shared" si="446"/>
        <v>雷震子</v>
      </c>
      <c r="AR1293" s="14">
        <f t="shared" si="447"/>
        <v>3</v>
      </c>
      <c r="AS1293" s="14" t="str">
        <f t="shared" si="448"/>
        <v>雷震子魂火-41</v>
      </c>
      <c r="AT1293" s="14">
        <f t="shared" si="449"/>
        <v>41</v>
      </c>
      <c r="AU1293" s="14" t="str">
        <f>IF(AM1293&gt;0,INDEX(挂机升级突破!$DT$4:$ED$4,AM1293),"")</f>
        <v>金币</v>
      </c>
      <c r="AV1293" s="14">
        <f>ROUND(INDEX(挂机升级突破!$DJ$6:$DJ$57,卡牌消耗!AT1293)*INDEX(卡牌消耗!$B$8:$F$8,AR1293)/$Q$4/50,0)*50</f>
        <v>29550</v>
      </c>
      <c r="AW1293" s="14" t="str">
        <f>IF(AN1293&gt;0,INDEX(挂机升级突破!$DT$4:$ED$4,AN1293),"")</f>
        <v>红色基础材料</v>
      </c>
      <c r="AX1293" s="14">
        <f>ROUND(INDEX(挂机升级突破!$DT$6:$ED$57,卡牌消耗!AT1293,AN1293)*INDEX(卡牌消耗!$B$5:$F$5,AR1293)/$Q$4/5,0)*5</f>
        <v>10</v>
      </c>
      <c r="AY1293" s="14" t="str">
        <f>IF(AO1293&gt;0,INDEX(挂机升级突破!$DT$4:$ED$4,AO1293),"")</f>
        <v>灵玉</v>
      </c>
      <c r="AZ1293" s="14">
        <f>IF(AO1293&gt;0,ROUND(INDEX(挂机升级突破!$DT$6:$ED$57,卡牌消耗!AT1293,AO1293)*INDEX(卡牌消耗!$B$7:$F$7,AR1293)/$Q$4,0),"")</f>
        <v>2</v>
      </c>
    </row>
    <row r="1294" spans="37:52" ht="16.5" x14ac:dyDescent="0.2">
      <c r="AK1294" s="104">
        <v>1290</v>
      </c>
      <c r="AL1294" s="14">
        <f t="shared" si="445"/>
        <v>25</v>
      </c>
      <c r="AM1294" s="14">
        <f>INDEX(挂机升级突破!DQ$6:DQ$57,卡牌消耗!$AT1294)</f>
        <v>11</v>
      </c>
      <c r="AN1294" s="14">
        <f>INDEX(挂机升级突破!DR$6:DR$57,卡牌消耗!$AT1294)</f>
        <v>5</v>
      </c>
      <c r="AO1294" s="14">
        <f>INDEX(挂机升级突破!DS$6:DS$57,卡牌消耗!$AT1294)</f>
        <v>10</v>
      </c>
      <c r="AP1294" s="14">
        <f>INDEX(挂机升级突破!$DP$6:$DP$57,卡牌消耗!AT1294)</f>
        <v>123</v>
      </c>
      <c r="AQ1294" s="14" t="str">
        <f t="shared" si="446"/>
        <v>雷震子</v>
      </c>
      <c r="AR1294" s="14">
        <f t="shared" si="447"/>
        <v>3</v>
      </c>
      <c r="AS1294" s="14" t="str">
        <f t="shared" si="448"/>
        <v>雷震子魂火-42</v>
      </c>
      <c r="AT1294" s="14">
        <f t="shared" si="449"/>
        <v>42</v>
      </c>
      <c r="AU1294" s="14" t="str">
        <f>IF(AM1294&gt;0,INDEX(挂机升级突破!$DT$4:$ED$4,AM1294),"")</f>
        <v>金币</v>
      </c>
      <c r="AV1294" s="14">
        <f>ROUND(INDEX(挂机升级突破!$DJ$6:$DJ$57,卡牌消耗!AT1294)*INDEX(卡牌消耗!$B$8:$F$8,AR1294)/$Q$4/50,0)*50</f>
        <v>29550</v>
      </c>
      <c r="AW1294" s="14" t="str">
        <f>IF(AN1294&gt;0,INDEX(挂机升级突破!$DT$4:$ED$4,AN1294),"")</f>
        <v>红色基础材料</v>
      </c>
      <c r="AX1294" s="14">
        <f>ROUND(INDEX(挂机升级突破!$DT$6:$ED$57,卡牌消耗!AT1294,AN1294)*INDEX(卡牌消耗!$B$5:$F$5,AR1294)/$Q$4/5,0)*5</f>
        <v>10</v>
      </c>
      <c r="AY1294" s="14" t="str">
        <f>IF(AO1294&gt;0,INDEX(挂机升级突破!$DT$4:$ED$4,AO1294),"")</f>
        <v>灵玉</v>
      </c>
      <c r="AZ1294" s="14">
        <f>IF(AO1294&gt;0,ROUND(INDEX(挂机升级突破!$DT$6:$ED$57,卡牌消耗!AT1294,AO1294)*INDEX(卡牌消耗!$B$7:$F$7,AR1294)/$Q$4,0),"")</f>
        <v>2</v>
      </c>
    </row>
    <row r="1295" spans="37:52" ht="16.5" x14ac:dyDescent="0.2">
      <c r="AK1295" s="104">
        <v>1291</v>
      </c>
      <c r="AL1295" s="14">
        <f t="shared" si="445"/>
        <v>25</v>
      </c>
      <c r="AM1295" s="14">
        <f>INDEX(挂机升级突破!DQ$6:DQ$57,卡牌消耗!$AT1295)</f>
        <v>11</v>
      </c>
      <c r="AN1295" s="14">
        <f>INDEX(挂机升级突破!DR$6:DR$57,卡牌消耗!$AT1295)</f>
        <v>5</v>
      </c>
      <c r="AO1295" s="14">
        <f>INDEX(挂机升级突破!DS$6:DS$57,卡牌消耗!$AT1295)</f>
        <v>10</v>
      </c>
      <c r="AP1295" s="14">
        <f>INDEX(挂机升级突破!$DP$6:$DP$57,卡牌消耗!AT1295)</f>
        <v>125</v>
      </c>
      <c r="AQ1295" s="14" t="str">
        <f t="shared" si="446"/>
        <v>雷震子</v>
      </c>
      <c r="AR1295" s="14">
        <f t="shared" si="447"/>
        <v>3</v>
      </c>
      <c r="AS1295" s="14" t="str">
        <f t="shared" si="448"/>
        <v>雷震子魂火-43</v>
      </c>
      <c r="AT1295" s="14">
        <f t="shared" si="449"/>
        <v>43</v>
      </c>
      <c r="AU1295" s="14" t="str">
        <f>IF(AM1295&gt;0,INDEX(挂机升级突破!$DT$4:$ED$4,AM1295),"")</f>
        <v>金币</v>
      </c>
      <c r="AV1295" s="14">
        <f>ROUND(INDEX(挂机升级突破!$DJ$6:$DJ$57,卡牌消耗!AT1295)*INDEX(卡牌消耗!$B$8:$F$8,AR1295)/$Q$4/50,0)*50</f>
        <v>29550</v>
      </c>
      <c r="AW1295" s="14" t="str">
        <f>IF(AN1295&gt;0,INDEX(挂机升级突破!$DT$4:$ED$4,AN1295),"")</f>
        <v>红色基础材料</v>
      </c>
      <c r="AX1295" s="14">
        <f>ROUND(INDEX(挂机升级突破!$DT$6:$ED$57,卡牌消耗!AT1295,AN1295)*INDEX(卡牌消耗!$B$5:$F$5,AR1295)/$Q$4/5,0)*5</f>
        <v>10</v>
      </c>
      <c r="AY1295" s="14" t="str">
        <f>IF(AO1295&gt;0,INDEX(挂机升级突破!$DT$4:$ED$4,AO1295),"")</f>
        <v>灵玉</v>
      </c>
      <c r="AZ1295" s="14">
        <f>IF(AO1295&gt;0,ROUND(INDEX(挂机升级突破!$DT$6:$ED$57,卡牌消耗!AT1295,AO1295)*INDEX(卡牌消耗!$B$7:$F$7,AR1295)/$Q$4,0),"")</f>
        <v>2</v>
      </c>
    </row>
    <row r="1296" spans="37:52" ht="16.5" x14ac:dyDescent="0.2">
      <c r="AK1296" s="104">
        <v>1292</v>
      </c>
      <c r="AL1296" s="14">
        <f t="shared" si="445"/>
        <v>25</v>
      </c>
      <c r="AM1296" s="14">
        <f>INDEX(挂机升级突破!DQ$6:DQ$57,卡牌消耗!$AT1296)</f>
        <v>11</v>
      </c>
      <c r="AN1296" s="14">
        <f>INDEX(挂机升级突破!DR$6:DR$57,卡牌消耗!$AT1296)</f>
        <v>5</v>
      </c>
      <c r="AO1296" s="14">
        <f>INDEX(挂机升级突破!DS$6:DS$57,卡牌消耗!$AT1296)</f>
        <v>10</v>
      </c>
      <c r="AP1296" s="14">
        <f>INDEX(挂机升级突破!$DP$6:$DP$57,卡牌消耗!AT1296)</f>
        <v>128</v>
      </c>
      <c r="AQ1296" s="14" t="str">
        <f t="shared" si="446"/>
        <v>雷震子</v>
      </c>
      <c r="AR1296" s="14">
        <f t="shared" si="447"/>
        <v>3</v>
      </c>
      <c r="AS1296" s="14" t="str">
        <f t="shared" si="448"/>
        <v>雷震子魂火-44</v>
      </c>
      <c r="AT1296" s="14">
        <f t="shared" si="449"/>
        <v>44</v>
      </c>
      <c r="AU1296" s="14" t="str">
        <f>IF(AM1296&gt;0,INDEX(挂机升级突破!$DT$4:$ED$4,AM1296),"")</f>
        <v>金币</v>
      </c>
      <c r="AV1296" s="14">
        <f>ROUND(INDEX(挂机升级突破!$DJ$6:$DJ$57,卡牌消耗!AT1296)*INDEX(卡牌消耗!$B$8:$F$8,AR1296)/$Q$4/50,0)*50</f>
        <v>37600</v>
      </c>
      <c r="AW1296" s="14" t="str">
        <f>IF(AN1296&gt;0,INDEX(挂机升级突破!$DT$4:$ED$4,AN1296),"")</f>
        <v>红色基础材料</v>
      </c>
      <c r="AX1296" s="14">
        <f>ROUND(INDEX(挂机升级突破!$DT$6:$ED$57,卡牌消耗!AT1296,AN1296)*INDEX(卡牌消耗!$B$5:$F$5,AR1296)/$Q$4/5,0)*5</f>
        <v>10</v>
      </c>
      <c r="AY1296" s="14" t="str">
        <f>IF(AO1296&gt;0,INDEX(挂机升级突破!$DT$4:$ED$4,AO1296),"")</f>
        <v>灵玉</v>
      </c>
      <c r="AZ1296" s="14">
        <f>IF(AO1296&gt;0,ROUND(INDEX(挂机升级突破!$DT$6:$ED$57,卡牌消耗!AT1296,AO1296)*INDEX(卡牌消耗!$B$7:$F$7,AR1296)/$Q$4,0),"")</f>
        <v>2</v>
      </c>
    </row>
    <row r="1297" spans="37:52" ht="16.5" x14ac:dyDescent="0.2">
      <c r="AK1297" s="104">
        <v>1293</v>
      </c>
      <c r="AL1297" s="14">
        <f t="shared" si="445"/>
        <v>25</v>
      </c>
      <c r="AM1297" s="14">
        <f>INDEX(挂机升级突破!DQ$6:DQ$57,卡牌消耗!$AT1297)</f>
        <v>11</v>
      </c>
      <c r="AN1297" s="14">
        <f>INDEX(挂机升级突破!DR$6:DR$57,卡牌消耗!$AT1297)</f>
        <v>5</v>
      </c>
      <c r="AO1297" s="14">
        <f>INDEX(挂机升级突破!DS$6:DS$57,卡牌消耗!$AT1297)</f>
        <v>10</v>
      </c>
      <c r="AP1297" s="14">
        <f>INDEX(挂机升级突破!$DP$6:$DP$57,卡牌消耗!AT1297)</f>
        <v>130</v>
      </c>
      <c r="AQ1297" s="14" t="str">
        <f t="shared" si="446"/>
        <v>雷震子</v>
      </c>
      <c r="AR1297" s="14">
        <f t="shared" si="447"/>
        <v>3</v>
      </c>
      <c r="AS1297" s="14" t="str">
        <f t="shared" si="448"/>
        <v>雷震子魂火-45</v>
      </c>
      <c r="AT1297" s="14">
        <f t="shared" si="449"/>
        <v>45</v>
      </c>
      <c r="AU1297" s="14" t="str">
        <f>IF(AM1297&gt;0,INDEX(挂机升级突破!$DT$4:$ED$4,AM1297),"")</f>
        <v>金币</v>
      </c>
      <c r="AV1297" s="14">
        <f>ROUND(INDEX(挂机升级突破!$DJ$6:$DJ$57,卡牌消耗!AT1297)*INDEX(卡牌消耗!$B$8:$F$8,AR1297)/$Q$4/50,0)*50</f>
        <v>37600</v>
      </c>
      <c r="AW1297" s="14" t="str">
        <f>IF(AN1297&gt;0,INDEX(挂机升级突破!$DT$4:$ED$4,AN1297),"")</f>
        <v>红色基础材料</v>
      </c>
      <c r="AX1297" s="14">
        <f>ROUND(INDEX(挂机升级突破!$DT$6:$ED$57,卡牌消耗!AT1297,AN1297)*INDEX(卡牌消耗!$B$5:$F$5,AR1297)/$Q$4/5,0)*5</f>
        <v>10</v>
      </c>
      <c r="AY1297" s="14" t="str">
        <f>IF(AO1297&gt;0,INDEX(挂机升级突破!$DT$4:$ED$4,AO1297),"")</f>
        <v>灵玉</v>
      </c>
      <c r="AZ1297" s="14">
        <f>IF(AO1297&gt;0,ROUND(INDEX(挂机升级突破!$DT$6:$ED$57,卡牌消耗!AT1297,AO1297)*INDEX(卡牌消耗!$B$7:$F$7,AR1297)/$Q$4,0),"")</f>
        <v>2</v>
      </c>
    </row>
    <row r="1298" spans="37:52" ht="16.5" x14ac:dyDescent="0.2">
      <c r="AK1298" s="104">
        <v>1294</v>
      </c>
      <c r="AL1298" s="14">
        <f t="shared" si="445"/>
        <v>25</v>
      </c>
      <c r="AM1298" s="14">
        <f>INDEX(挂机升级突破!DQ$6:DQ$57,卡牌消耗!$AT1298)</f>
        <v>11</v>
      </c>
      <c r="AN1298" s="14">
        <f>INDEX(挂机升级突破!DR$6:DR$57,卡牌消耗!$AT1298)</f>
        <v>5</v>
      </c>
      <c r="AO1298" s="14">
        <f>INDEX(挂机升级突破!DS$6:DS$57,卡牌消耗!$AT1298)</f>
        <v>10</v>
      </c>
      <c r="AP1298" s="14">
        <f>INDEX(挂机升级突破!$DP$6:$DP$57,卡牌消耗!AT1298)</f>
        <v>133</v>
      </c>
      <c r="AQ1298" s="14" t="str">
        <f t="shared" si="446"/>
        <v>雷震子</v>
      </c>
      <c r="AR1298" s="14">
        <f t="shared" si="447"/>
        <v>3</v>
      </c>
      <c r="AS1298" s="14" t="str">
        <f t="shared" si="448"/>
        <v>雷震子魂火-46</v>
      </c>
      <c r="AT1298" s="14">
        <f t="shared" si="449"/>
        <v>46</v>
      </c>
      <c r="AU1298" s="14" t="str">
        <f>IF(AM1298&gt;0,INDEX(挂机升级突破!$DT$4:$ED$4,AM1298),"")</f>
        <v>金币</v>
      </c>
      <c r="AV1298" s="14">
        <f>ROUND(INDEX(挂机升级突破!$DJ$6:$DJ$57,卡牌消耗!AT1298)*INDEX(卡牌消耗!$B$8:$F$8,AR1298)/$Q$4/50,0)*50</f>
        <v>40300</v>
      </c>
      <c r="AW1298" s="14" t="str">
        <f>IF(AN1298&gt;0,INDEX(挂机升级突破!$DT$4:$ED$4,AN1298),"")</f>
        <v>红色基础材料</v>
      </c>
      <c r="AX1298" s="14">
        <f>ROUND(INDEX(挂机升级突破!$DT$6:$ED$57,卡牌消耗!AT1298,AN1298)*INDEX(卡牌消耗!$B$5:$F$5,AR1298)/$Q$4/5,0)*5</f>
        <v>10</v>
      </c>
      <c r="AY1298" s="14" t="str">
        <f>IF(AO1298&gt;0,INDEX(挂机升级突破!$DT$4:$ED$4,AO1298),"")</f>
        <v>灵玉</v>
      </c>
      <c r="AZ1298" s="14">
        <f>IF(AO1298&gt;0,ROUND(INDEX(挂机升级突破!$DT$6:$ED$57,卡牌消耗!AT1298,AO1298)*INDEX(卡牌消耗!$B$7:$F$7,AR1298)/$Q$4,0),"")</f>
        <v>2</v>
      </c>
    </row>
    <row r="1299" spans="37:52" ht="16.5" x14ac:dyDescent="0.2">
      <c r="AK1299" s="104">
        <v>1295</v>
      </c>
      <c r="AL1299" s="14">
        <f t="shared" si="445"/>
        <v>25</v>
      </c>
      <c r="AM1299" s="14">
        <f>INDEX(挂机升级突破!DQ$6:DQ$57,卡牌消耗!$AT1299)</f>
        <v>11</v>
      </c>
      <c r="AN1299" s="14">
        <f>INDEX(挂机升级突破!DR$6:DR$57,卡牌消耗!$AT1299)</f>
        <v>5</v>
      </c>
      <c r="AO1299" s="14">
        <f>INDEX(挂机升级突破!DS$6:DS$57,卡牌消耗!$AT1299)</f>
        <v>10</v>
      </c>
      <c r="AP1299" s="14">
        <f>INDEX(挂机升级突破!$DP$6:$DP$57,卡牌消耗!AT1299)</f>
        <v>135</v>
      </c>
      <c r="AQ1299" s="14" t="str">
        <f t="shared" si="446"/>
        <v>雷震子</v>
      </c>
      <c r="AR1299" s="14">
        <f t="shared" si="447"/>
        <v>3</v>
      </c>
      <c r="AS1299" s="14" t="str">
        <f t="shared" si="448"/>
        <v>雷震子魂火-47</v>
      </c>
      <c r="AT1299" s="14">
        <f t="shared" si="449"/>
        <v>47</v>
      </c>
      <c r="AU1299" s="14" t="str">
        <f>IF(AM1299&gt;0,INDEX(挂机升级突破!$DT$4:$ED$4,AM1299),"")</f>
        <v>金币</v>
      </c>
      <c r="AV1299" s="14">
        <f>ROUND(INDEX(挂机升级突破!$DJ$6:$DJ$57,卡牌消耗!AT1299)*INDEX(卡牌消耗!$B$8:$F$8,AR1299)/$Q$4/50,0)*50</f>
        <v>82050</v>
      </c>
      <c r="AW1299" s="14" t="str">
        <f>IF(AN1299&gt;0,INDEX(挂机升级突破!$DT$4:$ED$4,AN1299),"")</f>
        <v>红色基础材料</v>
      </c>
      <c r="AX1299" s="14">
        <f>ROUND(INDEX(挂机升级突破!$DT$6:$ED$57,卡牌消耗!AT1299,AN1299)*INDEX(卡牌消耗!$B$5:$F$5,AR1299)/$Q$4/5,0)*5</f>
        <v>10</v>
      </c>
      <c r="AY1299" s="14" t="str">
        <f>IF(AO1299&gt;0,INDEX(挂机升级突破!$DT$4:$ED$4,AO1299),"")</f>
        <v>灵玉</v>
      </c>
      <c r="AZ1299" s="14">
        <f>IF(AO1299&gt;0,ROUND(INDEX(挂机升级突破!$DT$6:$ED$57,卡牌消耗!AT1299,AO1299)*INDEX(卡牌消耗!$B$7:$F$7,AR1299)/$Q$4,0),"")</f>
        <v>2</v>
      </c>
    </row>
    <row r="1300" spans="37:52" ht="16.5" x14ac:dyDescent="0.2">
      <c r="AK1300" s="104">
        <v>1296</v>
      </c>
      <c r="AL1300" s="14">
        <f t="shared" si="445"/>
        <v>25</v>
      </c>
      <c r="AM1300" s="14">
        <f>INDEX(挂机升级突破!DQ$6:DQ$57,卡牌消耗!$AT1300)</f>
        <v>11</v>
      </c>
      <c r="AN1300" s="14">
        <f>INDEX(挂机升级突破!DR$6:DR$57,卡牌消耗!$AT1300)</f>
        <v>5</v>
      </c>
      <c r="AO1300" s="14">
        <f>INDEX(挂机升级突破!DS$6:DS$57,卡牌消耗!$AT1300)</f>
        <v>10</v>
      </c>
      <c r="AP1300" s="14">
        <f>INDEX(挂机升级突破!$DP$6:$DP$57,卡牌消耗!AT1300)</f>
        <v>138</v>
      </c>
      <c r="AQ1300" s="14" t="str">
        <f t="shared" si="446"/>
        <v>雷震子</v>
      </c>
      <c r="AR1300" s="14">
        <f t="shared" si="447"/>
        <v>3</v>
      </c>
      <c r="AS1300" s="14" t="str">
        <f t="shared" si="448"/>
        <v>雷震子魂火-48</v>
      </c>
      <c r="AT1300" s="14">
        <f t="shared" si="449"/>
        <v>48</v>
      </c>
      <c r="AU1300" s="14" t="str">
        <f>IF(AM1300&gt;0,INDEX(挂机升级突破!$DT$4:$ED$4,AM1300),"")</f>
        <v>金币</v>
      </c>
      <c r="AV1300" s="14">
        <f>ROUND(INDEX(挂机升级突破!$DJ$6:$DJ$57,卡牌消耗!AT1300)*INDEX(卡牌消耗!$B$8:$F$8,AR1300)/$Q$4/50,0)*50</f>
        <v>82050</v>
      </c>
      <c r="AW1300" s="14" t="str">
        <f>IF(AN1300&gt;0,INDEX(挂机升级突破!$DT$4:$ED$4,AN1300),"")</f>
        <v>红色基础材料</v>
      </c>
      <c r="AX1300" s="14">
        <f>ROUND(INDEX(挂机升级突破!$DT$6:$ED$57,卡牌消耗!AT1300,AN1300)*INDEX(卡牌消耗!$B$5:$F$5,AR1300)/$Q$4/5,0)*5</f>
        <v>10</v>
      </c>
      <c r="AY1300" s="14" t="str">
        <f>IF(AO1300&gt;0,INDEX(挂机升级突破!$DT$4:$ED$4,AO1300),"")</f>
        <v>灵玉</v>
      </c>
      <c r="AZ1300" s="14">
        <f>IF(AO1300&gt;0,ROUND(INDEX(挂机升级突破!$DT$6:$ED$57,卡牌消耗!AT1300,AO1300)*INDEX(卡牌消耗!$B$7:$F$7,AR1300)/$Q$4,0),"")</f>
        <v>2</v>
      </c>
    </row>
    <row r="1301" spans="37:52" ht="16.5" x14ac:dyDescent="0.2">
      <c r="AK1301" s="104">
        <v>1297</v>
      </c>
      <c r="AL1301" s="14">
        <f t="shared" si="445"/>
        <v>25</v>
      </c>
      <c r="AM1301" s="14">
        <f>INDEX(挂机升级突破!DQ$6:DQ$57,卡牌消耗!$AT1301)</f>
        <v>11</v>
      </c>
      <c r="AN1301" s="14">
        <f>INDEX(挂机升级突破!DR$6:DR$57,卡牌消耗!$AT1301)</f>
        <v>5</v>
      </c>
      <c r="AO1301" s="14">
        <f>INDEX(挂机升级突破!DS$6:DS$57,卡牌消耗!$AT1301)</f>
        <v>10</v>
      </c>
      <c r="AP1301" s="14">
        <f>INDEX(挂机升级突破!$DP$6:$DP$57,卡牌消耗!AT1301)</f>
        <v>140</v>
      </c>
      <c r="AQ1301" s="14" t="str">
        <f t="shared" si="446"/>
        <v>雷震子</v>
      </c>
      <c r="AR1301" s="14">
        <f t="shared" si="447"/>
        <v>3</v>
      </c>
      <c r="AS1301" s="14" t="str">
        <f t="shared" si="448"/>
        <v>雷震子魂火-49</v>
      </c>
      <c r="AT1301" s="14">
        <f t="shared" si="449"/>
        <v>49</v>
      </c>
      <c r="AU1301" s="14" t="str">
        <f>IF(AM1301&gt;0,INDEX(挂机升级突破!$DT$4:$ED$4,AM1301),"")</f>
        <v>金币</v>
      </c>
      <c r="AV1301" s="14">
        <f>ROUND(INDEX(挂机升级突破!$DJ$6:$DJ$57,卡牌消耗!AT1301)*INDEX(卡牌消耗!$B$8:$F$8,AR1301)/$Q$4/50,0)*50</f>
        <v>82050</v>
      </c>
      <c r="AW1301" s="14" t="str">
        <f>IF(AN1301&gt;0,INDEX(挂机升级突破!$DT$4:$ED$4,AN1301),"")</f>
        <v>红色基础材料</v>
      </c>
      <c r="AX1301" s="14">
        <f>ROUND(INDEX(挂机升级突破!$DT$6:$ED$57,卡牌消耗!AT1301,AN1301)*INDEX(卡牌消耗!$B$5:$F$5,AR1301)/$Q$4/5,0)*5</f>
        <v>15</v>
      </c>
      <c r="AY1301" s="14" t="str">
        <f>IF(AO1301&gt;0,INDEX(挂机升级突破!$DT$4:$ED$4,AO1301),"")</f>
        <v>灵玉</v>
      </c>
      <c r="AZ1301" s="14">
        <f>IF(AO1301&gt;0,ROUND(INDEX(挂机升级突破!$DT$6:$ED$57,卡牌消耗!AT1301,AO1301)*INDEX(卡牌消耗!$B$7:$F$7,AR1301)/$Q$4,0),"")</f>
        <v>2</v>
      </c>
    </row>
    <row r="1302" spans="37:52" ht="16.5" x14ac:dyDescent="0.2">
      <c r="AK1302" s="104">
        <v>1298</v>
      </c>
      <c r="AL1302" s="14">
        <f t="shared" si="445"/>
        <v>25</v>
      </c>
      <c r="AM1302" s="14">
        <f>INDEX(挂机升级突破!DQ$6:DQ$57,卡牌消耗!$AT1302)</f>
        <v>11</v>
      </c>
      <c r="AN1302" s="14">
        <f>INDEX(挂机升级突破!DR$6:DR$57,卡牌消耗!$AT1302)</f>
        <v>5</v>
      </c>
      <c r="AO1302" s="14">
        <f>INDEX(挂机升级突破!DS$6:DS$57,卡牌消耗!$AT1302)</f>
        <v>10</v>
      </c>
      <c r="AP1302" s="14">
        <f>INDEX(挂机升级突破!$DP$6:$DP$57,卡牌消耗!AT1302)</f>
        <v>143</v>
      </c>
      <c r="AQ1302" s="14" t="str">
        <f t="shared" si="446"/>
        <v>雷震子</v>
      </c>
      <c r="AR1302" s="14">
        <f t="shared" si="447"/>
        <v>3</v>
      </c>
      <c r="AS1302" s="14" t="str">
        <f t="shared" si="448"/>
        <v>雷震子魂火-50</v>
      </c>
      <c r="AT1302" s="14">
        <f t="shared" si="449"/>
        <v>50</v>
      </c>
      <c r="AU1302" s="14" t="str">
        <f>IF(AM1302&gt;0,INDEX(挂机升级突破!$DT$4:$ED$4,AM1302),"")</f>
        <v>金币</v>
      </c>
      <c r="AV1302" s="14">
        <f>ROUND(INDEX(挂机升级突破!$DJ$6:$DJ$57,卡牌消耗!AT1302)*INDEX(卡牌消耗!$B$8:$F$8,AR1302)/$Q$4/50,0)*50</f>
        <v>136750</v>
      </c>
      <c r="AW1302" s="14" t="str">
        <f>IF(AN1302&gt;0,INDEX(挂机升级突破!$DT$4:$ED$4,AN1302),"")</f>
        <v>红色基础材料</v>
      </c>
      <c r="AX1302" s="14">
        <f>ROUND(INDEX(挂机升级突破!$DT$6:$ED$57,卡牌消耗!AT1302,AN1302)*INDEX(卡牌消耗!$B$5:$F$5,AR1302)/$Q$4/5,0)*5</f>
        <v>15</v>
      </c>
      <c r="AY1302" s="14" t="str">
        <f>IF(AO1302&gt;0,INDEX(挂机升级突破!$DT$4:$ED$4,AO1302),"")</f>
        <v>灵玉</v>
      </c>
      <c r="AZ1302" s="14">
        <f>IF(AO1302&gt;0,ROUND(INDEX(挂机升级突破!$DT$6:$ED$57,卡牌消耗!AT1302,AO1302)*INDEX(卡牌消耗!$B$7:$F$7,AR1302)/$Q$4,0),"")</f>
        <v>2</v>
      </c>
    </row>
    <row r="1303" spans="37:52" ht="16.5" x14ac:dyDescent="0.2">
      <c r="AK1303" s="104">
        <v>1299</v>
      </c>
      <c r="AL1303" s="14">
        <f t="shared" si="445"/>
        <v>25</v>
      </c>
      <c r="AM1303" s="14">
        <f>INDEX(挂机升级突破!DQ$6:DQ$57,卡牌消耗!$AT1303)</f>
        <v>11</v>
      </c>
      <c r="AN1303" s="14">
        <f>INDEX(挂机升级突破!DR$6:DR$57,卡牌消耗!$AT1303)</f>
        <v>5</v>
      </c>
      <c r="AO1303" s="14">
        <f>INDEX(挂机升级突破!DS$6:DS$57,卡牌消耗!$AT1303)</f>
        <v>10</v>
      </c>
      <c r="AP1303" s="14">
        <f>INDEX(挂机升级突破!$DP$6:$DP$57,卡牌消耗!AT1303)</f>
        <v>145</v>
      </c>
      <c r="AQ1303" s="14" t="str">
        <f t="shared" si="446"/>
        <v>雷震子</v>
      </c>
      <c r="AR1303" s="14">
        <f t="shared" si="447"/>
        <v>3</v>
      </c>
      <c r="AS1303" s="14" t="str">
        <f t="shared" si="448"/>
        <v>雷震子魂火-51</v>
      </c>
      <c r="AT1303" s="14">
        <f t="shared" si="449"/>
        <v>51</v>
      </c>
      <c r="AU1303" s="14" t="str">
        <f>IF(AM1303&gt;0,INDEX(挂机升级突破!$DT$4:$ED$4,AM1303),"")</f>
        <v>金币</v>
      </c>
      <c r="AV1303" s="14">
        <f>ROUND(INDEX(挂机升级突破!$DJ$6:$DJ$57,卡牌消耗!AT1303)*INDEX(卡牌消耗!$B$8:$F$8,AR1303)/$Q$4/50,0)*50</f>
        <v>150450</v>
      </c>
      <c r="AW1303" s="14" t="str">
        <f>IF(AN1303&gt;0,INDEX(挂机升级突破!$DT$4:$ED$4,AN1303),"")</f>
        <v>红色基础材料</v>
      </c>
      <c r="AX1303" s="14">
        <f>ROUND(INDEX(挂机升级突破!$DT$6:$ED$57,卡牌消耗!AT1303,AN1303)*INDEX(卡牌消耗!$B$5:$F$5,AR1303)/$Q$4/5,0)*5</f>
        <v>15</v>
      </c>
      <c r="AY1303" s="14" t="str">
        <f>IF(AO1303&gt;0,INDEX(挂机升级突破!$DT$4:$ED$4,AO1303),"")</f>
        <v>灵玉</v>
      </c>
      <c r="AZ1303" s="14">
        <f>IF(AO1303&gt;0,ROUND(INDEX(挂机升级突破!$DT$6:$ED$57,卡牌消耗!AT1303,AO1303)*INDEX(卡牌消耗!$B$7:$F$7,AR1303)/$Q$4,0),"")</f>
        <v>2</v>
      </c>
    </row>
    <row r="1304" spans="37:52" ht="16.5" x14ac:dyDescent="0.2">
      <c r="AK1304" s="104">
        <v>1300</v>
      </c>
      <c r="AL1304" s="14">
        <f t="shared" si="445"/>
        <v>25</v>
      </c>
      <c r="AM1304" s="14">
        <f>INDEX(挂机升级突破!DQ$6:DQ$57,卡牌消耗!$AT1304)</f>
        <v>11</v>
      </c>
      <c r="AN1304" s="14">
        <f>INDEX(挂机升级突破!DR$6:DR$57,卡牌消耗!$AT1304)</f>
        <v>5</v>
      </c>
      <c r="AO1304" s="14">
        <f>INDEX(挂机升级突破!DS$6:DS$57,卡牌消耗!$AT1304)</f>
        <v>10</v>
      </c>
      <c r="AP1304" s="14">
        <f>INDEX(挂机升级突破!$DP$6:$DP$57,卡牌消耗!AT1304)</f>
        <v>148</v>
      </c>
      <c r="AQ1304" s="14" t="str">
        <f t="shared" si="446"/>
        <v>雷震子</v>
      </c>
      <c r="AR1304" s="14">
        <f t="shared" si="447"/>
        <v>3</v>
      </c>
      <c r="AS1304" s="14" t="str">
        <f t="shared" si="448"/>
        <v>雷震子魂火-52</v>
      </c>
      <c r="AT1304" s="14">
        <f t="shared" si="449"/>
        <v>52</v>
      </c>
      <c r="AU1304" s="14" t="str">
        <f>IF(AM1304&gt;0,INDEX(挂机升级突破!$DT$4:$ED$4,AM1304),"")</f>
        <v>金币</v>
      </c>
      <c r="AV1304" s="14">
        <f>ROUND(INDEX(挂机升级突破!$DJ$6:$DJ$57,卡牌消耗!AT1304)*INDEX(卡牌消耗!$B$8:$F$8,AR1304)/$Q$4/50,0)*50</f>
        <v>150450</v>
      </c>
      <c r="AW1304" s="14" t="str">
        <f>IF(AN1304&gt;0,INDEX(挂机升级突破!$DT$4:$ED$4,AN1304),"")</f>
        <v>红色基础材料</v>
      </c>
      <c r="AX1304" s="14">
        <f>ROUND(INDEX(挂机升级突破!$DT$6:$ED$57,卡牌消耗!AT1304,AN1304)*INDEX(卡牌消耗!$B$5:$F$5,AR1304)/$Q$4/5,0)*5</f>
        <v>15</v>
      </c>
      <c r="AY1304" s="14" t="str">
        <f>IF(AO1304&gt;0,INDEX(挂机升级突破!$DT$4:$ED$4,AO1304),"")</f>
        <v>灵玉</v>
      </c>
      <c r="AZ1304" s="14">
        <f>IF(AO1304&gt;0,ROUND(INDEX(挂机升级突破!$DT$6:$ED$57,卡牌消耗!AT1304,AO1304)*INDEX(卡牌消耗!$B$7:$F$7,AR1304)/$Q$4,0),"")</f>
        <v>2</v>
      </c>
    </row>
    <row r="1305" spans="37:52" ht="16.5" x14ac:dyDescent="0.2">
      <c r="AK1305" s="104">
        <v>1301</v>
      </c>
      <c r="AL1305" s="14">
        <f t="shared" si="445"/>
        <v>26</v>
      </c>
      <c r="AM1305" s="14">
        <f>INDEX(挂机升级突破!DQ$6:DQ$57,卡牌消耗!$AT1305)</f>
        <v>11</v>
      </c>
      <c r="AN1305" s="14">
        <f>INDEX(挂机升级突破!DR$6:DR$57,卡牌消耗!$AT1305)</f>
        <v>1</v>
      </c>
      <c r="AO1305" s="14">
        <f>INDEX(挂机升级突破!DS$6:DS$57,卡牌消耗!$AT1305)</f>
        <v>0</v>
      </c>
      <c r="AP1305" s="14">
        <f>INDEX(挂机升级突破!$DP$6:$DP$57,卡牌消耗!AT1305)</f>
        <v>3</v>
      </c>
      <c r="AQ1305" s="14" t="str">
        <f t="shared" si="446"/>
        <v>吕布</v>
      </c>
      <c r="AR1305" s="14">
        <f t="shared" si="447"/>
        <v>5</v>
      </c>
      <c r="AS1305" s="14" t="str">
        <f t="shared" si="448"/>
        <v>吕布魂火-1</v>
      </c>
      <c r="AT1305" s="14">
        <f t="shared" si="449"/>
        <v>1</v>
      </c>
      <c r="AU1305" s="14" t="str">
        <f>IF(AM1305&gt;0,INDEX(挂机升级突破!$DT$4:$ED$4,AM1305),"")</f>
        <v>金币</v>
      </c>
      <c r="AV1305" s="14">
        <f>ROUND(INDEX(挂机升级突破!$DJ$6:$DJ$57,卡牌消耗!AT1305)*INDEX(卡牌消耗!$B$8:$F$8,AR1305)/$Q$4/50,0)*50</f>
        <v>1750</v>
      </c>
      <c r="AW1305" s="14" t="str">
        <f>IF(AN1305&gt;0,INDEX(挂机升级突破!$DT$4:$ED$4,AN1305),"")</f>
        <v>绿色基础材料</v>
      </c>
      <c r="AX1305" s="14">
        <f>ROUND(INDEX(挂机升级突破!$DT$6:$ED$57,卡牌消耗!AT1305,AN1305)*INDEX(卡牌消耗!$B$5:$F$5,AR1305)/$Q$4/5,0)*5</f>
        <v>40</v>
      </c>
      <c r="AY1305" s="14" t="str">
        <f>IF(AO1305&gt;0,INDEX(挂机升级突破!$DT$4:$ED$4,AO1305),"")</f>
        <v/>
      </c>
      <c r="AZ1305" s="14" t="str">
        <f>IF(AO1305&gt;0,ROUND(INDEX(挂机升级突破!$DT$6:$ED$57,卡牌消耗!AT1305,AO1305)*INDEX(卡牌消耗!$B$7:$F$7,AR1305)/$Q$4,0),"")</f>
        <v/>
      </c>
    </row>
    <row r="1306" spans="37:52" ht="16.5" x14ac:dyDescent="0.2">
      <c r="AK1306" s="104">
        <v>1302</v>
      </c>
      <c r="AL1306" s="14">
        <f t="shared" si="445"/>
        <v>26</v>
      </c>
      <c r="AM1306" s="14">
        <f>INDEX(挂机升级突破!DQ$6:DQ$57,卡牌消耗!$AT1306)</f>
        <v>11</v>
      </c>
      <c r="AN1306" s="14">
        <f>INDEX(挂机升级突破!DR$6:DR$57,卡牌消耗!$AT1306)</f>
        <v>1</v>
      </c>
      <c r="AO1306" s="14">
        <f>INDEX(挂机升级突破!DS$6:DS$57,卡牌消耗!$AT1306)</f>
        <v>0</v>
      </c>
      <c r="AP1306" s="14">
        <f>INDEX(挂机升级突破!$DP$6:$DP$57,卡牌消耗!AT1306)</f>
        <v>8</v>
      </c>
      <c r="AQ1306" s="14" t="str">
        <f t="shared" si="446"/>
        <v>吕布</v>
      </c>
      <c r="AR1306" s="14">
        <f t="shared" si="447"/>
        <v>5</v>
      </c>
      <c r="AS1306" s="14" t="str">
        <f t="shared" si="448"/>
        <v>吕布魂火-2</v>
      </c>
      <c r="AT1306" s="14">
        <f t="shared" si="449"/>
        <v>2</v>
      </c>
      <c r="AU1306" s="14" t="str">
        <f>IF(AM1306&gt;0,INDEX(挂机升级突破!$DT$4:$ED$4,AM1306),"")</f>
        <v>金币</v>
      </c>
      <c r="AV1306" s="14">
        <f>ROUND(INDEX(挂机升级突破!$DJ$6:$DJ$57,卡牌消耗!AT1306)*INDEX(卡牌消耗!$B$8:$F$8,AR1306)/$Q$4/50,0)*50</f>
        <v>2100</v>
      </c>
      <c r="AW1306" s="14" t="str">
        <f>IF(AN1306&gt;0,INDEX(挂机升级突破!$DT$4:$ED$4,AN1306),"")</f>
        <v>绿色基础材料</v>
      </c>
      <c r="AX1306" s="14">
        <f>ROUND(INDEX(挂机升级突破!$DT$6:$ED$57,卡牌消耗!AT1306,AN1306)*INDEX(卡牌消耗!$B$5:$F$5,AR1306)/$Q$4/5,0)*5</f>
        <v>130</v>
      </c>
      <c r="AY1306" s="14" t="str">
        <f>IF(AO1306&gt;0,INDEX(挂机升级突破!$DT$4:$ED$4,AO1306),"")</f>
        <v/>
      </c>
      <c r="AZ1306" s="14" t="str">
        <f>IF(AO1306&gt;0,ROUND(INDEX(挂机升级突破!$DT$6:$ED$57,卡牌消耗!AT1306,AO1306)*INDEX(卡牌消耗!$B$7:$F$7,AR1306)/$Q$4,0),"")</f>
        <v/>
      </c>
    </row>
    <row r="1307" spans="37:52" ht="16.5" x14ac:dyDescent="0.2">
      <c r="AK1307" s="104">
        <v>1303</v>
      </c>
      <c r="AL1307" s="14">
        <f t="shared" si="445"/>
        <v>26</v>
      </c>
      <c r="AM1307" s="14">
        <f>INDEX(挂机升级突破!DQ$6:DQ$57,卡牌消耗!$AT1307)</f>
        <v>11</v>
      </c>
      <c r="AN1307" s="14">
        <f>INDEX(挂机升级突破!DR$6:DR$57,卡牌消耗!$AT1307)</f>
        <v>1</v>
      </c>
      <c r="AO1307" s="14">
        <f>INDEX(挂机升级突破!DS$6:DS$57,卡牌消耗!$AT1307)</f>
        <v>0</v>
      </c>
      <c r="AP1307" s="14">
        <f>INDEX(挂机升级突破!$DP$6:$DP$57,卡牌消耗!AT1307)</f>
        <v>13</v>
      </c>
      <c r="AQ1307" s="14" t="str">
        <f t="shared" si="446"/>
        <v>吕布</v>
      </c>
      <c r="AR1307" s="14">
        <f t="shared" si="447"/>
        <v>5</v>
      </c>
      <c r="AS1307" s="14" t="str">
        <f t="shared" si="448"/>
        <v>吕布魂火-3</v>
      </c>
      <c r="AT1307" s="14">
        <f t="shared" si="449"/>
        <v>3</v>
      </c>
      <c r="AU1307" s="14" t="str">
        <f>IF(AM1307&gt;0,INDEX(挂机升级突破!$DT$4:$ED$4,AM1307),"")</f>
        <v>金币</v>
      </c>
      <c r="AV1307" s="14">
        <f>ROUND(INDEX(挂机升级突破!$DJ$6:$DJ$57,卡牌消耗!AT1307)*INDEX(卡牌消耗!$B$8:$F$8,AR1307)/$Q$4/50,0)*50</f>
        <v>2100</v>
      </c>
      <c r="AW1307" s="14" t="str">
        <f>IF(AN1307&gt;0,INDEX(挂机升级突破!$DT$4:$ED$4,AN1307),"")</f>
        <v>绿色基础材料</v>
      </c>
      <c r="AX1307" s="14">
        <f>ROUND(INDEX(挂机升级突破!$DT$6:$ED$57,卡牌消耗!AT1307,AN1307)*INDEX(卡牌消耗!$B$5:$F$5,AR1307)/$Q$4/5,0)*5</f>
        <v>155</v>
      </c>
      <c r="AY1307" s="14" t="str">
        <f>IF(AO1307&gt;0,INDEX(挂机升级突破!$DT$4:$ED$4,AO1307),"")</f>
        <v/>
      </c>
      <c r="AZ1307" s="14" t="str">
        <f>IF(AO1307&gt;0,ROUND(INDEX(挂机升级突破!$DT$6:$ED$57,卡牌消耗!AT1307,AO1307)*INDEX(卡牌消耗!$B$7:$F$7,AR1307)/$Q$4,0),"")</f>
        <v/>
      </c>
    </row>
    <row r="1308" spans="37:52" ht="16.5" x14ac:dyDescent="0.2">
      <c r="AK1308" s="104">
        <v>1304</v>
      </c>
      <c r="AL1308" s="14">
        <f t="shared" si="445"/>
        <v>26</v>
      </c>
      <c r="AM1308" s="14">
        <f>INDEX(挂机升级突破!DQ$6:DQ$57,卡牌消耗!$AT1308)</f>
        <v>11</v>
      </c>
      <c r="AN1308" s="14">
        <f>INDEX(挂机升级突破!DR$6:DR$57,卡牌消耗!$AT1308)</f>
        <v>1</v>
      </c>
      <c r="AO1308" s="14">
        <f>INDEX(挂机升级突破!DS$6:DS$57,卡牌消耗!$AT1308)</f>
        <v>0</v>
      </c>
      <c r="AP1308" s="14">
        <f>INDEX(挂机升级突破!$DP$6:$DP$57,卡牌消耗!AT1308)</f>
        <v>18</v>
      </c>
      <c r="AQ1308" s="14" t="str">
        <f t="shared" si="446"/>
        <v>吕布</v>
      </c>
      <c r="AR1308" s="14">
        <f t="shared" si="447"/>
        <v>5</v>
      </c>
      <c r="AS1308" s="14" t="str">
        <f t="shared" si="448"/>
        <v>吕布魂火-4</v>
      </c>
      <c r="AT1308" s="14">
        <f t="shared" si="449"/>
        <v>4</v>
      </c>
      <c r="AU1308" s="14" t="str">
        <f>IF(AM1308&gt;0,INDEX(挂机升级突破!$DT$4:$ED$4,AM1308),"")</f>
        <v>金币</v>
      </c>
      <c r="AV1308" s="14">
        <f>ROUND(INDEX(挂机升级突破!$DJ$6:$DJ$57,卡牌消耗!AT1308)*INDEX(卡牌消耗!$B$8:$F$8,AR1308)/$Q$4/50,0)*50</f>
        <v>2100</v>
      </c>
      <c r="AW1308" s="14" t="str">
        <f>IF(AN1308&gt;0,INDEX(挂机升级突破!$DT$4:$ED$4,AN1308),"")</f>
        <v>绿色基础材料</v>
      </c>
      <c r="AX1308" s="14">
        <f>ROUND(INDEX(挂机升级突破!$DT$6:$ED$57,卡牌消耗!AT1308,AN1308)*INDEX(卡牌消耗!$B$5:$F$5,AR1308)/$Q$4/5,0)*5</f>
        <v>215</v>
      </c>
      <c r="AY1308" s="14" t="str">
        <f>IF(AO1308&gt;0,INDEX(挂机升级突破!$DT$4:$ED$4,AO1308),"")</f>
        <v/>
      </c>
      <c r="AZ1308" s="14" t="str">
        <f>IF(AO1308&gt;0,ROUND(INDEX(挂机升级突破!$DT$6:$ED$57,卡牌消耗!AT1308,AO1308)*INDEX(卡牌消耗!$B$7:$F$7,AR1308)/$Q$4,0),"")</f>
        <v/>
      </c>
    </row>
    <row r="1309" spans="37:52" ht="16.5" x14ac:dyDescent="0.2">
      <c r="AK1309" s="104">
        <v>1305</v>
      </c>
      <c r="AL1309" s="14">
        <f t="shared" si="445"/>
        <v>26</v>
      </c>
      <c r="AM1309" s="14">
        <f>INDEX(挂机升级突破!DQ$6:DQ$57,卡牌消耗!$AT1309)</f>
        <v>11</v>
      </c>
      <c r="AN1309" s="14">
        <f>INDEX(挂机升级突破!DR$6:DR$57,卡牌消耗!$AT1309)</f>
        <v>1</v>
      </c>
      <c r="AO1309" s="14">
        <f>INDEX(挂机升级突破!DS$6:DS$57,卡牌消耗!$AT1309)</f>
        <v>0</v>
      </c>
      <c r="AP1309" s="14">
        <f>INDEX(挂机升级突破!$DP$6:$DP$57,卡牌消耗!AT1309)</f>
        <v>23</v>
      </c>
      <c r="AQ1309" s="14" t="str">
        <f t="shared" si="446"/>
        <v>吕布</v>
      </c>
      <c r="AR1309" s="14">
        <f t="shared" si="447"/>
        <v>5</v>
      </c>
      <c r="AS1309" s="14" t="str">
        <f t="shared" si="448"/>
        <v>吕布魂火-5</v>
      </c>
      <c r="AT1309" s="14">
        <f t="shared" si="449"/>
        <v>5</v>
      </c>
      <c r="AU1309" s="14" t="str">
        <f>IF(AM1309&gt;0,INDEX(挂机升级突破!$DT$4:$ED$4,AM1309),"")</f>
        <v>金币</v>
      </c>
      <c r="AV1309" s="14">
        <f>ROUND(INDEX(挂机升级突破!$DJ$6:$DJ$57,卡牌消耗!AT1309)*INDEX(卡牌消耗!$B$8:$F$8,AR1309)/$Q$4/50,0)*50</f>
        <v>2100</v>
      </c>
      <c r="AW1309" s="14" t="str">
        <f>IF(AN1309&gt;0,INDEX(挂机升级突破!$DT$4:$ED$4,AN1309),"")</f>
        <v>绿色基础材料</v>
      </c>
      <c r="AX1309" s="14">
        <f>ROUND(INDEX(挂机升级突破!$DT$6:$ED$57,卡牌消耗!AT1309,AN1309)*INDEX(卡牌消耗!$B$5:$F$5,AR1309)/$Q$4/5,0)*5</f>
        <v>230</v>
      </c>
      <c r="AY1309" s="14" t="str">
        <f>IF(AO1309&gt;0,INDEX(挂机升级突破!$DT$4:$ED$4,AO1309),"")</f>
        <v/>
      </c>
      <c r="AZ1309" s="14" t="str">
        <f>IF(AO1309&gt;0,ROUND(INDEX(挂机升级突破!$DT$6:$ED$57,卡牌消耗!AT1309,AO1309)*INDEX(卡牌消耗!$B$7:$F$7,AR1309)/$Q$4,0),"")</f>
        <v/>
      </c>
    </row>
    <row r="1310" spans="37:52" ht="16.5" x14ac:dyDescent="0.2">
      <c r="AK1310" s="104">
        <v>1306</v>
      </c>
      <c r="AL1310" s="14">
        <f t="shared" si="445"/>
        <v>26</v>
      </c>
      <c r="AM1310" s="14">
        <f>INDEX(挂机升级突破!DQ$6:DQ$57,卡牌消耗!$AT1310)</f>
        <v>11</v>
      </c>
      <c r="AN1310" s="14">
        <f>INDEX(挂机升级突破!DR$6:DR$57,卡牌消耗!$AT1310)</f>
        <v>2</v>
      </c>
      <c r="AO1310" s="14">
        <f>INDEX(挂机升级突破!DS$6:DS$57,卡牌消耗!$AT1310)</f>
        <v>0</v>
      </c>
      <c r="AP1310" s="14">
        <f>INDEX(挂机升级突破!$DP$6:$DP$57,卡牌消耗!AT1310)</f>
        <v>28</v>
      </c>
      <c r="AQ1310" s="14" t="str">
        <f t="shared" si="446"/>
        <v>吕布</v>
      </c>
      <c r="AR1310" s="14">
        <f t="shared" si="447"/>
        <v>5</v>
      </c>
      <c r="AS1310" s="14" t="str">
        <f t="shared" si="448"/>
        <v>吕布魂火-6</v>
      </c>
      <c r="AT1310" s="14">
        <f t="shared" si="449"/>
        <v>6</v>
      </c>
      <c r="AU1310" s="14" t="str">
        <f>IF(AM1310&gt;0,INDEX(挂机升级突破!$DT$4:$ED$4,AM1310),"")</f>
        <v>金币</v>
      </c>
      <c r="AV1310" s="14">
        <f>ROUND(INDEX(挂机升级突破!$DJ$6:$DJ$57,卡牌消耗!AT1310)*INDEX(卡牌消耗!$B$8:$F$8,AR1310)/$Q$4/50,0)*50</f>
        <v>2550</v>
      </c>
      <c r="AW1310" s="14" t="str">
        <f>IF(AN1310&gt;0,INDEX(挂机升级突破!$DT$4:$ED$4,AN1310),"")</f>
        <v>蓝色基础材料</v>
      </c>
      <c r="AX1310" s="14">
        <f>ROUND(INDEX(挂机升级突破!$DT$6:$ED$57,卡牌消耗!AT1310,AN1310)*INDEX(卡牌消耗!$B$5:$F$5,AR1310)/$Q$4/5,0)*5</f>
        <v>45</v>
      </c>
      <c r="AY1310" s="14" t="str">
        <f>IF(AO1310&gt;0,INDEX(挂机升级突破!$DT$4:$ED$4,AO1310),"")</f>
        <v/>
      </c>
      <c r="AZ1310" s="14" t="str">
        <f>IF(AO1310&gt;0,ROUND(INDEX(挂机升级突破!$DT$6:$ED$57,卡牌消耗!AT1310,AO1310)*INDEX(卡牌消耗!$B$7:$F$7,AR1310)/$Q$4,0),"")</f>
        <v/>
      </c>
    </row>
    <row r="1311" spans="37:52" ht="16.5" x14ac:dyDescent="0.2">
      <c r="AK1311" s="104">
        <v>1307</v>
      </c>
      <c r="AL1311" s="14">
        <f t="shared" si="445"/>
        <v>26</v>
      </c>
      <c r="AM1311" s="14">
        <f>INDEX(挂机升级突破!DQ$6:DQ$57,卡牌消耗!$AT1311)</f>
        <v>11</v>
      </c>
      <c r="AN1311" s="14">
        <f>INDEX(挂机升级突破!DR$6:DR$57,卡牌消耗!$AT1311)</f>
        <v>2</v>
      </c>
      <c r="AO1311" s="14">
        <f>INDEX(挂机升级突破!DS$6:DS$57,卡牌消耗!$AT1311)</f>
        <v>0</v>
      </c>
      <c r="AP1311" s="14">
        <f>INDEX(挂机升级突破!$DP$6:$DP$57,卡牌消耗!AT1311)</f>
        <v>33</v>
      </c>
      <c r="AQ1311" s="14" t="str">
        <f t="shared" si="446"/>
        <v>吕布</v>
      </c>
      <c r="AR1311" s="14">
        <f t="shared" si="447"/>
        <v>5</v>
      </c>
      <c r="AS1311" s="14" t="str">
        <f t="shared" si="448"/>
        <v>吕布魂火-7</v>
      </c>
      <c r="AT1311" s="14">
        <f t="shared" si="449"/>
        <v>7</v>
      </c>
      <c r="AU1311" s="14" t="str">
        <f>IF(AM1311&gt;0,INDEX(挂机升级突破!$DT$4:$ED$4,AM1311),"")</f>
        <v>金币</v>
      </c>
      <c r="AV1311" s="14">
        <f>ROUND(INDEX(挂机升级突破!$DJ$6:$DJ$57,卡牌消耗!AT1311)*INDEX(卡牌消耗!$B$8:$F$8,AR1311)/$Q$4/50,0)*50</f>
        <v>2550</v>
      </c>
      <c r="AW1311" s="14" t="str">
        <f>IF(AN1311&gt;0,INDEX(挂机升级突破!$DT$4:$ED$4,AN1311),"")</f>
        <v>蓝色基础材料</v>
      </c>
      <c r="AX1311" s="14">
        <f>ROUND(INDEX(挂机升级突破!$DT$6:$ED$57,卡牌消耗!AT1311,AN1311)*INDEX(卡牌消耗!$B$5:$F$5,AR1311)/$Q$4/5,0)*5</f>
        <v>45</v>
      </c>
      <c r="AY1311" s="14" t="str">
        <f>IF(AO1311&gt;0,INDEX(挂机升级突破!$DT$4:$ED$4,AO1311),"")</f>
        <v/>
      </c>
      <c r="AZ1311" s="14" t="str">
        <f>IF(AO1311&gt;0,ROUND(INDEX(挂机升级突破!$DT$6:$ED$57,卡牌消耗!AT1311,AO1311)*INDEX(卡牌消耗!$B$7:$F$7,AR1311)/$Q$4,0),"")</f>
        <v/>
      </c>
    </row>
    <row r="1312" spans="37:52" ht="16.5" x14ac:dyDescent="0.2">
      <c r="AK1312" s="104">
        <v>1308</v>
      </c>
      <c r="AL1312" s="14">
        <f t="shared" si="445"/>
        <v>26</v>
      </c>
      <c r="AM1312" s="14">
        <f>INDEX(挂机升级突破!DQ$6:DQ$57,卡牌消耗!$AT1312)</f>
        <v>11</v>
      </c>
      <c r="AN1312" s="14">
        <f>INDEX(挂机升级突破!DR$6:DR$57,卡牌消耗!$AT1312)</f>
        <v>2</v>
      </c>
      <c r="AO1312" s="14">
        <f>INDEX(挂机升级突破!DS$6:DS$57,卡牌消耗!$AT1312)</f>
        <v>0</v>
      </c>
      <c r="AP1312" s="14">
        <f>INDEX(挂机升级突破!$DP$6:$DP$57,卡牌消耗!AT1312)</f>
        <v>38</v>
      </c>
      <c r="AQ1312" s="14" t="str">
        <f t="shared" si="446"/>
        <v>吕布</v>
      </c>
      <c r="AR1312" s="14">
        <f t="shared" si="447"/>
        <v>5</v>
      </c>
      <c r="AS1312" s="14" t="str">
        <f t="shared" si="448"/>
        <v>吕布魂火-8</v>
      </c>
      <c r="AT1312" s="14">
        <f t="shared" si="449"/>
        <v>8</v>
      </c>
      <c r="AU1312" s="14" t="str">
        <f>IF(AM1312&gt;0,INDEX(挂机升级突破!$DT$4:$ED$4,AM1312),"")</f>
        <v>金币</v>
      </c>
      <c r="AV1312" s="14">
        <f>ROUND(INDEX(挂机升级突破!$DJ$6:$DJ$57,卡牌消耗!AT1312)*INDEX(卡牌消耗!$B$8:$F$8,AR1312)/$Q$4/50,0)*50</f>
        <v>3800</v>
      </c>
      <c r="AW1312" s="14" t="str">
        <f>IF(AN1312&gt;0,INDEX(挂机升级突破!$DT$4:$ED$4,AN1312),"")</f>
        <v>蓝色基础材料</v>
      </c>
      <c r="AX1312" s="14">
        <f>ROUND(INDEX(挂机升级突破!$DT$6:$ED$57,卡牌消耗!AT1312,AN1312)*INDEX(卡牌消耗!$B$5:$F$5,AR1312)/$Q$4/5,0)*5</f>
        <v>85</v>
      </c>
      <c r="AY1312" s="14" t="str">
        <f>IF(AO1312&gt;0,INDEX(挂机升级突破!$DT$4:$ED$4,AO1312),"")</f>
        <v/>
      </c>
      <c r="AZ1312" s="14" t="str">
        <f>IF(AO1312&gt;0,ROUND(INDEX(挂机升级突破!$DT$6:$ED$57,卡牌消耗!AT1312,AO1312)*INDEX(卡牌消耗!$B$7:$F$7,AR1312)/$Q$4,0),"")</f>
        <v/>
      </c>
    </row>
    <row r="1313" spans="37:52" ht="16.5" x14ac:dyDescent="0.2">
      <c r="AK1313" s="104">
        <v>1309</v>
      </c>
      <c r="AL1313" s="14">
        <f t="shared" si="445"/>
        <v>26</v>
      </c>
      <c r="AM1313" s="14">
        <f>INDEX(挂机升级突破!DQ$6:DQ$57,卡牌消耗!$AT1313)</f>
        <v>11</v>
      </c>
      <c r="AN1313" s="14">
        <f>INDEX(挂机升级突破!DR$6:DR$57,卡牌消耗!$AT1313)</f>
        <v>2</v>
      </c>
      <c r="AO1313" s="14">
        <f>INDEX(挂机升级突破!DS$6:DS$57,卡牌消耗!$AT1313)</f>
        <v>0</v>
      </c>
      <c r="AP1313" s="14">
        <f>INDEX(挂机升级突破!$DP$6:$DP$57,卡牌消耗!AT1313)</f>
        <v>40</v>
      </c>
      <c r="AQ1313" s="14" t="str">
        <f t="shared" si="446"/>
        <v>吕布</v>
      </c>
      <c r="AR1313" s="14">
        <f t="shared" si="447"/>
        <v>5</v>
      </c>
      <c r="AS1313" s="14" t="str">
        <f t="shared" si="448"/>
        <v>吕布魂火-9</v>
      </c>
      <c r="AT1313" s="14">
        <f t="shared" si="449"/>
        <v>9</v>
      </c>
      <c r="AU1313" s="14" t="str">
        <f>IF(AM1313&gt;0,INDEX(挂机升级突破!$DT$4:$ED$4,AM1313),"")</f>
        <v>金币</v>
      </c>
      <c r="AV1313" s="14">
        <f>ROUND(INDEX(挂机升级突破!$DJ$6:$DJ$57,卡牌消耗!AT1313)*INDEX(卡牌消耗!$B$8:$F$8,AR1313)/$Q$4/50,0)*50</f>
        <v>3800</v>
      </c>
      <c r="AW1313" s="14" t="str">
        <f>IF(AN1313&gt;0,INDEX(挂机升级突破!$DT$4:$ED$4,AN1313),"")</f>
        <v>蓝色基础材料</v>
      </c>
      <c r="AX1313" s="14">
        <f>ROUND(INDEX(挂机升级突破!$DT$6:$ED$57,卡牌消耗!AT1313,AN1313)*INDEX(卡牌消耗!$B$5:$F$5,AR1313)/$Q$4/5,0)*5</f>
        <v>85</v>
      </c>
      <c r="AY1313" s="14" t="str">
        <f>IF(AO1313&gt;0,INDEX(挂机升级突破!$DT$4:$ED$4,AO1313),"")</f>
        <v/>
      </c>
      <c r="AZ1313" s="14" t="str">
        <f>IF(AO1313&gt;0,ROUND(INDEX(挂机升级突破!$DT$6:$ED$57,卡牌消耗!AT1313,AO1313)*INDEX(卡牌消耗!$B$7:$F$7,AR1313)/$Q$4,0),"")</f>
        <v/>
      </c>
    </row>
    <row r="1314" spans="37:52" ht="16.5" x14ac:dyDescent="0.2">
      <c r="AK1314" s="104">
        <v>1310</v>
      </c>
      <c r="AL1314" s="14">
        <f t="shared" si="445"/>
        <v>26</v>
      </c>
      <c r="AM1314" s="14">
        <f>INDEX(挂机升级突破!DQ$6:DQ$57,卡牌消耗!$AT1314)</f>
        <v>11</v>
      </c>
      <c r="AN1314" s="14">
        <f>INDEX(挂机升级突破!DR$6:DR$57,卡牌消耗!$AT1314)</f>
        <v>2</v>
      </c>
      <c r="AO1314" s="14">
        <f>INDEX(挂机升级突破!DS$6:DS$57,卡牌消耗!$AT1314)</f>
        <v>0</v>
      </c>
      <c r="AP1314" s="14">
        <f>INDEX(挂机升级突破!$DP$6:$DP$57,卡牌消耗!AT1314)</f>
        <v>43</v>
      </c>
      <c r="AQ1314" s="14" t="str">
        <f t="shared" si="446"/>
        <v>吕布</v>
      </c>
      <c r="AR1314" s="14">
        <f t="shared" si="447"/>
        <v>5</v>
      </c>
      <c r="AS1314" s="14" t="str">
        <f t="shared" si="448"/>
        <v>吕布魂火-10</v>
      </c>
      <c r="AT1314" s="14">
        <f t="shared" si="449"/>
        <v>10</v>
      </c>
      <c r="AU1314" s="14" t="str">
        <f>IF(AM1314&gt;0,INDEX(挂机升级突破!$DT$4:$ED$4,AM1314),"")</f>
        <v>金币</v>
      </c>
      <c r="AV1314" s="14">
        <f>ROUND(INDEX(挂机升级突破!$DJ$6:$DJ$57,卡牌消耗!AT1314)*INDEX(卡牌消耗!$B$8:$F$8,AR1314)/$Q$4/50,0)*50</f>
        <v>6350</v>
      </c>
      <c r="AW1314" s="14" t="str">
        <f>IF(AN1314&gt;0,INDEX(挂机升级突破!$DT$4:$ED$4,AN1314),"")</f>
        <v>蓝色基础材料</v>
      </c>
      <c r="AX1314" s="14">
        <f>ROUND(INDEX(挂机升级突破!$DT$6:$ED$57,卡牌消耗!AT1314,AN1314)*INDEX(卡牌消耗!$B$5:$F$5,AR1314)/$Q$4/5,0)*5</f>
        <v>130</v>
      </c>
      <c r="AY1314" s="14" t="str">
        <f>IF(AO1314&gt;0,INDEX(挂机升级突破!$DT$4:$ED$4,AO1314),"")</f>
        <v/>
      </c>
      <c r="AZ1314" s="14" t="str">
        <f>IF(AO1314&gt;0,ROUND(INDEX(挂机升级突破!$DT$6:$ED$57,卡牌消耗!AT1314,AO1314)*INDEX(卡牌消耗!$B$7:$F$7,AR1314)/$Q$4,0),"")</f>
        <v/>
      </c>
    </row>
    <row r="1315" spans="37:52" ht="16.5" x14ac:dyDescent="0.2">
      <c r="AK1315" s="104">
        <v>1311</v>
      </c>
      <c r="AL1315" s="14">
        <f t="shared" si="445"/>
        <v>26</v>
      </c>
      <c r="AM1315" s="14">
        <f>INDEX(挂机升级突破!DQ$6:DQ$57,卡牌消耗!$AT1315)</f>
        <v>11</v>
      </c>
      <c r="AN1315" s="14">
        <f>INDEX(挂机升级突破!DR$6:DR$57,卡牌消耗!$AT1315)</f>
        <v>2</v>
      </c>
      <c r="AO1315" s="14">
        <f>INDEX(挂机升级突破!DS$6:DS$57,卡牌消耗!$AT1315)</f>
        <v>0</v>
      </c>
      <c r="AP1315" s="14">
        <f>INDEX(挂机升级突破!$DP$6:$DP$57,卡牌消耗!AT1315)</f>
        <v>45</v>
      </c>
      <c r="AQ1315" s="14" t="str">
        <f t="shared" si="446"/>
        <v>吕布</v>
      </c>
      <c r="AR1315" s="14">
        <f t="shared" si="447"/>
        <v>5</v>
      </c>
      <c r="AS1315" s="14" t="str">
        <f t="shared" si="448"/>
        <v>吕布魂火-11</v>
      </c>
      <c r="AT1315" s="14">
        <f t="shared" si="449"/>
        <v>11</v>
      </c>
      <c r="AU1315" s="14" t="str">
        <f>IF(AM1315&gt;0,INDEX(挂机升级突破!$DT$4:$ED$4,AM1315),"")</f>
        <v>金币</v>
      </c>
      <c r="AV1315" s="14">
        <f>ROUND(INDEX(挂机升级突破!$DJ$6:$DJ$57,卡牌消耗!AT1315)*INDEX(卡牌消耗!$B$8:$F$8,AR1315)/$Q$4/50,0)*50</f>
        <v>6350</v>
      </c>
      <c r="AW1315" s="14" t="str">
        <f>IF(AN1315&gt;0,INDEX(挂机升级突破!$DT$4:$ED$4,AN1315),"")</f>
        <v>蓝色基础材料</v>
      </c>
      <c r="AX1315" s="14">
        <f>ROUND(INDEX(挂机升级突破!$DT$6:$ED$57,卡牌消耗!AT1315,AN1315)*INDEX(卡牌消耗!$B$5:$F$5,AR1315)/$Q$4/5,0)*5</f>
        <v>130</v>
      </c>
      <c r="AY1315" s="14" t="str">
        <f>IF(AO1315&gt;0,INDEX(挂机升级突破!$DT$4:$ED$4,AO1315),"")</f>
        <v/>
      </c>
      <c r="AZ1315" s="14" t="str">
        <f>IF(AO1315&gt;0,ROUND(INDEX(挂机升级突破!$DT$6:$ED$57,卡牌消耗!AT1315,AO1315)*INDEX(卡牌消耗!$B$7:$F$7,AR1315)/$Q$4,0),"")</f>
        <v/>
      </c>
    </row>
    <row r="1316" spans="37:52" ht="16.5" x14ac:dyDescent="0.2">
      <c r="AK1316" s="104">
        <v>1312</v>
      </c>
      <c r="AL1316" s="14">
        <f t="shared" si="445"/>
        <v>26</v>
      </c>
      <c r="AM1316" s="14">
        <f>INDEX(挂机升级突破!DQ$6:DQ$57,卡牌消耗!$AT1316)</f>
        <v>11</v>
      </c>
      <c r="AN1316" s="14">
        <f>INDEX(挂机升级突破!DR$6:DR$57,卡牌消耗!$AT1316)</f>
        <v>2</v>
      </c>
      <c r="AO1316" s="14">
        <f>INDEX(挂机升级突破!DS$6:DS$57,卡牌消耗!$AT1316)</f>
        <v>0</v>
      </c>
      <c r="AP1316" s="14">
        <f>INDEX(挂机升级突破!$DP$6:$DP$57,卡牌消耗!AT1316)</f>
        <v>48</v>
      </c>
      <c r="AQ1316" s="14" t="str">
        <f t="shared" si="446"/>
        <v>吕布</v>
      </c>
      <c r="AR1316" s="14">
        <f t="shared" si="447"/>
        <v>5</v>
      </c>
      <c r="AS1316" s="14" t="str">
        <f t="shared" si="448"/>
        <v>吕布魂火-12</v>
      </c>
      <c r="AT1316" s="14">
        <f t="shared" si="449"/>
        <v>12</v>
      </c>
      <c r="AU1316" s="14" t="str">
        <f>IF(AM1316&gt;0,INDEX(挂机升级突破!$DT$4:$ED$4,AM1316),"")</f>
        <v>金币</v>
      </c>
      <c r="AV1316" s="14">
        <f>ROUND(INDEX(挂机升级突破!$DJ$6:$DJ$57,卡牌消耗!AT1316)*INDEX(卡牌消耗!$B$8:$F$8,AR1316)/$Q$4/50,0)*50</f>
        <v>5450</v>
      </c>
      <c r="AW1316" s="14" t="str">
        <f>IF(AN1316&gt;0,INDEX(挂机升级突破!$DT$4:$ED$4,AN1316),"")</f>
        <v>蓝色基础材料</v>
      </c>
      <c r="AX1316" s="14">
        <f>ROUND(INDEX(挂机升级突破!$DT$6:$ED$57,卡牌消耗!AT1316,AN1316)*INDEX(卡牌消耗!$B$5:$F$5,AR1316)/$Q$4/5,0)*5</f>
        <v>175</v>
      </c>
      <c r="AY1316" s="14" t="str">
        <f>IF(AO1316&gt;0,INDEX(挂机升级突破!$DT$4:$ED$4,AO1316),"")</f>
        <v/>
      </c>
      <c r="AZ1316" s="14" t="str">
        <f>IF(AO1316&gt;0,ROUND(INDEX(挂机升级突破!$DT$6:$ED$57,卡牌消耗!AT1316,AO1316)*INDEX(卡牌消耗!$B$7:$F$7,AR1316)/$Q$4,0),"")</f>
        <v/>
      </c>
    </row>
    <row r="1317" spans="37:52" ht="16.5" x14ac:dyDescent="0.2">
      <c r="AK1317" s="104">
        <v>1313</v>
      </c>
      <c r="AL1317" s="14">
        <f t="shared" si="445"/>
        <v>26</v>
      </c>
      <c r="AM1317" s="14">
        <f>INDEX(挂机升级突破!DQ$6:DQ$57,卡牌消耗!$AT1317)</f>
        <v>11</v>
      </c>
      <c r="AN1317" s="14">
        <f>INDEX(挂机升级突破!DR$6:DR$57,卡牌消耗!$AT1317)</f>
        <v>2</v>
      </c>
      <c r="AO1317" s="14">
        <f>INDEX(挂机升级突破!DS$6:DS$57,卡牌消耗!$AT1317)</f>
        <v>0</v>
      </c>
      <c r="AP1317" s="14">
        <f>INDEX(挂机升级突破!$DP$6:$DP$57,卡牌消耗!AT1317)</f>
        <v>50</v>
      </c>
      <c r="AQ1317" s="14" t="str">
        <f t="shared" si="446"/>
        <v>吕布</v>
      </c>
      <c r="AR1317" s="14">
        <f t="shared" si="447"/>
        <v>5</v>
      </c>
      <c r="AS1317" s="14" t="str">
        <f t="shared" si="448"/>
        <v>吕布魂火-13</v>
      </c>
      <c r="AT1317" s="14">
        <f t="shared" si="449"/>
        <v>13</v>
      </c>
      <c r="AU1317" s="14" t="str">
        <f>IF(AM1317&gt;0,INDEX(挂机升级突破!$DT$4:$ED$4,AM1317),"")</f>
        <v>金币</v>
      </c>
      <c r="AV1317" s="14">
        <f>ROUND(INDEX(挂机升级突破!$DJ$6:$DJ$57,卡牌消耗!AT1317)*INDEX(卡牌消耗!$B$8:$F$8,AR1317)/$Q$4/50,0)*50</f>
        <v>5450</v>
      </c>
      <c r="AW1317" s="14" t="str">
        <f>IF(AN1317&gt;0,INDEX(挂机升级突破!$DT$4:$ED$4,AN1317),"")</f>
        <v>蓝色基础材料</v>
      </c>
      <c r="AX1317" s="14">
        <f>ROUND(INDEX(挂机升级突破!$DT$6:$ED$57,卡牌消耗!AT1317,AN1317)*INDEX(卡牌消耗!$B$5:$F$5,AR1317)/$Q$4/5,0)*5</f>
        <v>175</v>
      </c>
      <c r="AY1317" s="14" t="str">
        <f>IF(AO1317&gt;0,INDEX(挂机升级突破!$DT$4:$ED$4,AO1317),"")</f>
        <v/>
      </c>
      <c r="AZ1317" s="14" t="str">
        <f>IF(AO1317&gt;0,ROUND(INDEX(挂机升级突破!$DT$6:$ED$57,卡牌消耗!AT1317,AO1317)*INDEX(卡牌消耗!$B$7:$F$7,AR1317)/$Q$4,0),"")</f>
        <v/>
      </c>
    </row>
    <row r="1318" spans="37:52" ht="16.5" x14ac:dyDescent="0.2">
      <c r="AK1318" s="104">
        <v>1314</v>
      </c>
      <c r="AL1318" s="14">
        <f t="shared" si="445"/>
        <v>26</v>
      </c>
      <c r="AM1318" s="14">
        <f>INDEX(挂机升级突破!DQ$6:DQ$57,卡牌消耗!$AT1318)</f>
        <v>11</v>
      </c>
      <c r="AN1318" s="14">
        <f>INDEX(挂机升级突破!DR$6:DR$57,卡牌消耗!$AT1318)</f>
        <v>3</v>
      </c>
      <c r="AO1318" s="14">
        <f>INDEX(挂机升级突破!DS$6:DS$57,卡牌消耗!$AT1318)</f>
        <v>0</v>
      </c>
      <c r="AP1318" s="14">
        <f>INDEX(挂机升级突破!$DP$6:$DP$57,卡牌消耗!AT1318)</f>
        <v>53</v>
      </c>
      <c r="AQ1318" s="14" t="str">
        <f t="shared" si="446"/>
        <v>吕布</v>
      </c>
      <c r="AR1318" s="14">
        <f t="shared" si="447"/>
        <v>5</v>
      </c>
      <c r="AS1318" s="14" t="str">
        <f t="shared" si="448"/>
        <v>吕布魂火-14</v>
      </c>
      <c r="AT1318" s="14">
        <f t="shared" si="449"/>
        <v>14</v>
      </c>
      <c r="AU1318" s="14" t="str">
        <f>IF(AM1318&gt;0,INDEX(挂机升级突破!$DT$4:$ED$4,AM1318),"")</f>
        <v>金币</v>
      </c>
      <c r="AV1318" s="14">
        <f>ROUND(INDEX(挂机升级突破!$DJ$6:$DJ$57,卡牌消耗!AT1318)*INDEX(卡牌消耗!$B$8:$F$8,AR1318)/$Q$4/50,0)*50</f>
        <v>6000</v>
      </c>
      <c r="AW1318" s="14" t="str">
        <f>IF(AN1318&gt;0,INDEX(挂机升级突破!$DT$4:$ED$4,AN1318),"")</f>
        <v>紫色基础材料</v>
      </c>
      <c r="AX1318" s="14">
        <f>ROUND(INDEX(挂机升级突破!$DT$6:$ED$57,卡牌消耗!AT1318,AN1318)*INDEX(卡牌消耗!$B$5:$F$5,AR1318)/$Q$4/5,0)*5</f>
        <v>35</v>
      </c>
      <c r="AY1318" s="14" t="str">
        <f>IF(AO1318&gt;0,INDEX(挂机升级突破!$DT$4:$ED$4,AO1318),"")</f>
        <v/>
      </c>
      <c r="AZ1318" s="14" t="str">
        <f>IF(AO1318&gt;0,ROUND(INDEX(挂机升级突破!$DT$6:$ED$57,卡牌消耗!AT1318,AO1318)*INDEX(卡牌消耗!$B$7:$F$7,AR1318)/$Q$4,0),"")</f>
        <v/>
      </c>
    </row>
    <row r="1319" spans="37:52" ht="16.5" x14ac:dyDescent="0.2">
      <c r="AK1319" s="104">
        <v>1315</v>
      </c>
      <c r="AL1319" s="14">
        <f t="shared" si="445"/>
        <v>26</v>
      </c>
      <c r="AM1319" s="14">
        <f>INDEX(挂机升级突破!DQ$6:DQ$57,卡牌消耗!$AT1319)</f>
        <v>11</v>
      </c>
      <c r="AN1319" s="14">
        <f>INDEX(挂机升级突破!DR$6:DR$57,卡牌消耗!$AT1319)</f>
        <v>3</v>
      </c>
      <c r="AO1319" s="14">
        <f>INDEX(挂机升级突破!DS$6:DS$57,卡牌消耗!$AT1319)</f>
        <v>0</v>
      </c>
      <c r="AP1319" s="14">
        <f>INDEX(挂机升级突破!$DP$6:$DP$57,卡牌消耗!AT1319)</f>
        <v>55</v>
      </c>
      <c r="AQ1319" s="14" t="str">
        <f t="shared" si="446"/>
        <v>吕布</v>
      </c>
      <c r="AR1319" s="14">
        <f t="shared" si="447"/>
        <v>5</v>
      </c>
      <c r="AS1319" s="14" t="str">
        <f t="shared" si="448"/>
        <v>吕布魂火-15</v>
      </c>
      <c r="AT1319" s="14">
        <f t="shared" si="449"/>
        <v>15</v>
      </c>
      <c r="AU1319" s="14" t="str">
        <f>IF(AM1319&gt;0,INDEX(挂机升级突破!$DT$4:$ED$4,AM1319),"")</f>
        <v>金币</v>
      </c>
      <c r="AV1319" s="14">
        <f>ROUND(INDEX(挂机升级突破!$DJ$6:$DJ$57,卡牌消耗!AT1319)*INDEX(卡牌消耗!$B$8:$F$8,AR1319)/$Q$4/50,0)*50</f>
        <v>6550</v>
      </c>
      <c r="AW1319" s="14" t="str">
        <f>IF(AN1319&gt;0,INDEX(挂机升级突破!$DT$4:$ED$4,AN1319),"")</f>
        <v>紫色基础材料</v>
      </c>
      <c r="AX1319" s="14">
        <f>ROUND(INDEX(挂机升级突破!$DT$6:$ED$57,卡牌消耗!AT1319,AN1319)*INDEX(卡牌消耗!$B$5:$F$5,AR1319)/$Q$4/5,0)*5</f>
        <v>35</v>
      </c>
      <c r="AY1319" s="14" t="str">
        <f>IF(AO1319&gt;0,INDEX(挂机升级突破!$DT$4:$ED$4,AO1319),"")</f>
        <v/>
      </c>
      <c r="AZ1319" s="14" t="str">
        <f>IF(AO1319&gt;0,ROUND(INDEX(挂机升级突破!$DT$6:$ED$57,卡牌消耗!AT1319,AO1319)*INDEX(卡牌消耗!$B$7:$F$7,AR1319)/$Q$4,0),"")</f>
        <v/>
      </c>
    </row>
    <row r="1320" spans="37:52" ht="16.5" x14ac:dyDescent="0.2">
      <c r="AK1320" s="104">
        <v>1316</v>
      </c>
      <c r="AL1320" s="14">
        <f t="shared" si="445"/>
        <v>26</v>
      </c>
      <c r="AM1320" s="14">
        <f>INDEX(挂机升级突破!DQ$6:DQ$57,卡牌消耗!$AT1320)</f>
        <v>11</v>
      </c>
      <c r="AN1320" s="14">
        <f>INDEX(挂机升级突破!DR$6:DR$57,卡牌消耗!$AT1320)</f>
        <v>3</v>
      </c>
      <c r="AO1320" s="14">
        <f>INDEX(挂机升级突破!DS$6:DS$57,卡牌消耗!$AT1320)</f>
        <v>0</v>
      </c>
      <c r="AP1320" s="14">
        <f>INDEX(挂机升级突破!$DP$6:$DP$57,卡牌消耗!AT1320)</f>
        <v>58</v>
      </c>
      <c r="AQ1320" s="14" t="str">
        <f t="shared" si="446"/>
        <v>吕布</v>
      </c>
      <c r="AR1320" s="14">
        <f t="shared" si="447"/>
        <v>5</v>
      </c>
      <c r="AS1320" s="14" t="str">
        <f t="shared" si="448"/>
        <v>吕布魂火-16</v>
      </c>
      <c r="AT1320" s="14">
        <f t="shared" si="449"/>
        <v>16</v>
      </c>
      <c r="AU1320" s="14" t="str">
        <f>IF(AM1320&gt;0,INDEX(挂机升级突破!$DT$4:$ED$4,AM1320),"")</f>
        <v>金币</v>
      </c>
      <c r="AV1320" s="14">
        <f>ROUND(INDEX(挂机升级突破!$DJ$6:$DJ$57,卡牌消耗!AT1320)*INDEX(卡牌消耗!$B$8:$F$8,AR1320)/$Q$4/50,0)*50</f>
        <v>6550</v>
      </c>
      <c r="AW1320" s="14" t="str">
        <f>IF(AN1320&gt;0,INDEX(挂机升级突破!$DT$4:$ED$4,AN1320),"")</f>
        <v>紫色基础材料</v>
      </c>
      <c r="AX1320" s="14">
        <f>ROUND(INDEX(挂机升级突破!$DT$6:$ED$57,卡牌消耗!AT1320,AN1320)*INDEX(卡牌消耗!$B$5:$F$5,AR1320)/$Q$4/5,0)*5</f>
        <v>35</v>
      </c>
      <c r="AY1320" s="14" t="str">
        <f>IF(AO1320&gt;0,INDEX(挂机升级突破!$DT$4:$ED$4,AO1320),"")</f>
        <v/>
      </c>
      <c r="AZ1320" s="14" t="str">
        <f>IF(AO1320&gt;0,ROUND(INDEX(挂机升级突破!$DT$6:$ED$57,卡牌消耗!AT1320,AO1320)*INDEX(卡牌消耗!$B$7:$F$7,AR1320)/$Q$4,0),"")</f>
        <v/>
      </c>
    </row>
    <row r="1321" spans="37:52" ht="16.5" x14ac:dyDescent="0.2">
      <c r="AK1321" s="104">
        <v>1317</v>
      </c>
      <c r="AL1321" s="14">
        <f t="shared" si="445"/>
        <v>26</v>
      </c>
      <c r="AM1321" s="14">
        <f>INDEX(挂机升级突破!DQ$6:DQ$57,卡牌消耗!$AT1321)</f>
        <v>11</v>
      </c>
      <c r="AN1321" s="14">
        <f>INDEX(挂机升级突破!DR$6:DR$57,卡牌消耗!$AT1321)</f>
        <v>3</v>
      </c>
      <c r="AO1321" s="14">
        <f>INDEX(挂机升级突破!DS$6:DS$57,卡牌消耗!$AT1321)</f>
        <v>0</v>
      </c>
      <c r="AP1321" s="14">
        <f>INDEX(挂机升级突破!$DP$6:$DP$57,卡牌消耗!AT1321)</f>
        <v>60</v>
      </c>
      <c r="AQ1321" s="14" t="str">
        <f t="shared" si="446"/>
        <v>吕布</v>
      </c>
      <c r="AR1321" s="14">
        <f t="shared" si="447"/>
        <v>5</v>
      </c>
      <c r="AS1321" s="14" t="str">
        <f t="shared" si="448"/>
        <v>吕布魂火-17</v>
      </c>
      <c r="AT1321" s="14">
        <f t="shared" si="449"/>
        <v>17</v>
      </c>
      <c r="AU1321" s="14" t="str">
        <f>IF(AM1321&gt;0,INDEX(挂机升级突破!$DT$4:$ED$4,AM1321),"")</f>
        <v>金币</v>
      </c>
      <c r="AV1321" s="14">
        <f>ROUND(INDEX(挂机升级突破!$DJ$6:$DJ$57,卡牌消耗!AT1321)*INDEX(卡牌消耗!$B$8:$F$8,AR1321)/$Q$4/50,0)*50</f>
        <v>8200</v>
      </c>
      <c r="AW1321" s="14" t="str">
        <f>IF(AN1321&gt;0,INDEX(挂机升级突破!$DT$4:$ED$4,AN1321),"")</f>
        <v>紫色基础材料</v>
      </c>
      <c r="AX1321" s="14">
        <f>ROUND(INDEX(挂机升级突破!$DT$6:$ED$57,卡牌消耗!AT1321,AN1321)*INDEX(卡牌消耗!$B$5:$F$5,AR1321)/$Q$4/5,0)*5</f>
        <v>70</v>
      </c>
      <c r="AY1321" s="14" t="str">
        <f>IF(AO1321&gt;0,INDEX(挂机升级突破!$DT$4:$ED$4,AO1321),"")</f>
        <v/>
      </c>
      <c r="AZ1321" s="14" t="str">
        <f>IF(AO1321&gt;0,ROUND(INDEX(挂机升级突破!$DT$6:$ED$57,卡牌消耗!AT1321,AO1321)*INDEX(卡牌消耗!$B$7:$F$7,AR1321)/$Q$4,0),"")</f>
        <v/>
      </c>
    </row>
    <row r="1322" spans="37:52" ht="16.5" x14ac:dyDescent="0.2">
      <c r="AK1322" s="104">
        <v>1318</v>
      </c>
      <c r="AL1322" s="14">
        <f t="shared" si="445"/>
        <v>26</v>
      </c>
      <c r="AM1322" s="14">
        <f>INDEX(挂机升级突破!DQ$6:DQ$57,卡牌消耗!$AT1322)</f>
        <v>11</v>
      </c>
      <c r="AN1322" s="14">
        <f>INDEX(挂机升级突破!DR$6:DR$57,卡牌消耗!$AT1322)</f>
        <v>3</v>
      </c>
      <c r="AO1322" s="14">
        <f>INDEX(挂机升级突破!DS$6:DS$57,卡牌消耗!$AT1322)</f>
        <v>0</v>
      </c>
      <c r="AP1322" s="14">
        <f>INDEX(挂机升级突破!$DP$6:$DP$57,卡牌消耗!AT1322)</f>
        <v>63</v>
      </c>
      <c r="AQ1322" s="14" t="str">
        <f t="shared" si="446"/>
        <v>吕布</v>
      </c>
      <c r="AR1322" s="14">
        <f t="shared" si="447"/>
        <v>5</v>
      </c>
      <c r="AS1322" s="14" t="str">
        <f t="shared" si="448"/>
        <v>吕布魂火-18</v>
      </c>
      <c r="AT1322" s="14">
        <f t="shared" si="449"/>
        <v>18</v>
      </c>
      <c r="AU1322" s="14" t="str">
        <f>IF(AM1322&gt;0,INDEX(挂机升级突破!$DT$4:$ED$4,AM1322),"")</f>
        <v>金币</v>
      </c>
      <c r="AV1322" s="14">
        <f>ROUND(INDEX(挂机升级突破!$DJ$6:$DJ$57,卡牌消耗!AT1322)*INDEX(卡牌消耗!$B$8:$F$8,AR1322)/$Q$4/50,0)*50</f>
        <v>8200</v>
      </c>
      <c r="AW1322" s="14" t="str">
        <f>IF(AN1322&gt;0,INDEX(挂机升级突破!$DT$4:$ED$4,AN1322),"")</f>
        <v>紫色基础材料</v>
      </c>
      <c r="AX1322" s="14">
        <f>ROUND(INDEX(挂机升级突破!$DT$6:$ED$57,卡牌消耗!AT1322,AN1322)*INDEX(卡牌消耗!$B$5:$F$5,AR1322)/$Q$4/5,0)*5</f>
        <v>70</v>
      </c>
      <c r="AY1322" s="14" t="str">
        <f>IF(AO1322&gt;0,INDEX(挂机升级突破!$DT$4:$ED$4,AO1322),"")</f>
        <v/>
      </c>
      <c r="AZ1322" s="14" t="str">
        <f>IF(AO1322&gt;0,ROUND(INDEX(挂机升级突破!$DT$6:$ED$57,卡牌消耗!AT1322,AO1322)*INDEX(卡牌消耗!$B$7:$F$7,AR1322)/$Q$4,0),"")</f>
        <v/>
      </c>
    </row>
    <row r="1323" spans="37:52" ht="16.5" x14ac:dyDescent="0.2">
      <c r="AK1323" s="104">
        <v>1319</v>
      </c>
      <c r="AL1323" s="14">
        <f t="shared" si="445"/>
        <v>26</v>
      </c>
      <c r="AM1323" s="14">
        <f>INDEX(挂机升级突破!DQ$6:DQ$57,卡牌消耗!$AT1323)</f>
        <v>11</v>
      </c>
      <c r="AN1323" s="14">
        <f>INDEX(挂机升级突破!DR$6:DR$57,卡牌消耗!$AT1323)</f>
        <v>3</v>
      </c>
      <c r="AO1323" s="14">
        <f>INDEX(挂机升级突破!DS$6:DS$57,卡牌消耗!$AT1323)</f>
        <v>0</v>
      </c>
      <c r="AP1323" s="14">
        <f>INDEX(挂机升级突破!$DP$6:$DP$57,卡牌消耗!AT1323)</f>
        <v>65</v>
      </c>
      <c r="AQ1323" s="14" t="str">
        <f t="shared" si="446"/>
        <v>吕布</v>
      </c>
      <c r="AR1323" s="14">
        <f t="shared" si="447"/>
        <v>5</v>
      </c>
      <c r="AS1323" s="14" t="str">
        <f t="shared" si="448"/>
        <v>吕布魂火-19</v>
      </c>
      <c r="AT1323" s="14">
        <f t="shared" si="449"/>
        <v>19</v>
      </c>
      <c r="AU1323" s="14" t="str">
        <f>IF(AM1323&gt;0,INDEX(挂机升级突破!$DT$4:$ED$4,AM1323),"")</f>
        <v>金币</v>
      </c>
      <c r="AV1323" s="14">
        <f>ROUND(INDEX(挂机升级突破!$DJ$6:$DJ$57,卡牌消耗!AT1323)*INDEX(卡牌消耗!$B$8:$F$8,AR1323)/$Q$4/50,0)*50</f>
        <v>8200</v>
      </c>
      <c r="AW1323" s="14" t="str">
        <f>IF(AN1323&gt;0,INDEX(挂机升级突破!$DT$4:$ED$4,AN1323),"")</f>
        <v>紫色基础材料</v>
      </c>
      <c r="AX1323" s="14">
        <f>ROUND(INDEX(挂机升级突破!$DT$6:$ED$57,卡牌消耗!AT1323,AN1323)*INDEX(卡牌消耗!$B$5:$F$5,AR1323)/$Q$4/5,0)*5</f>
        <v>70</v>
      </c>
      <c r="AY1323" s="14" t="str">
        <f>IF(AO1323&gt;0,INDEX(挂机升级突破!$DT$4:$ED$4,AO1323),"")</f>
        <v/>
      </c>
      <c r="AZ1323" s="14" t="str">
        <f>IF(AO1323&gt;0,ROUND(INDEX(挂机升级突破!$DT$6:$ED$57,卡牌消耗!AT1323,AO1323)*INDEX(卡牌消耗!$B$7:$F$7,AR1323)/$Q$4,0),"")</f>
        <v/>
      </c>
    </row>
    <row r="1324" spans="37:52" ht="16.5" x14ac:dyDescent="0.2">
      <c r="AK1324" s="104">
        <v>1320</v>
      </c>
      <c r="AL1324" s="14">
        <f t="shared" si="445"/>
        <v>26</v>
      </c>
      <c r="AM1324" s="14">
        <f>INDEX(挂机升级突破!DQ$6:DQ$57,卡牌消耗!$AT1324)</f>
        <v>11</v>
      </c>
      <c r="AN1324" s="14">
        <f>INDEX(挂机升级突破!DR$6:DR$57,卡牌消耗!$AT1324)</f>
        <v>3</v>
      </c>
      <c r="AO1324" s="14">
        <f>INDEX(挂机升级突破!DS$6:DS$57,卡牌消耗!$AT1324)</f>
        <v>0</v>
      </c>
      <c r="AP1324" s="14">
        <f>INDEX(挂机升级突破!$DP$6:$DP$57,卡牌消耗!AT1324)</f>
        <v>68</v>
      </c>
      <c r="AQ1324" s="14" t="str">
        <f t="shared" si="446"/>
        <v>吕布</v>
      </c>
      <c r="AR1324" s="14">
        <f t="shared" si="447"/>
        <v>5</v>
      </c>
      <c r="AS1324" s="14" t="str">
        <f t="shared" si="448"/>
        <v>吕布魂火-20</v>
      </c>
      <c r="AT1324" s="14">
        <f t="shared" si="449"/>
        <v>20</v>
      </c>
      <c r="AU1324" s="14" t="str">
        <f>IF(AM1324&gt;0,INDEX(挂机升级突破!$DT$4:$ED$4,AM1324),"")</f>
        <v>金币</v>
      </c>
      <c r="AV1324" s="14">
        <f>ROUND(INDEX(挂机升级突破!$DJ$6:$DJ$57,卡牌消耗!AT1324)*INDEX(卡牌消耗!$B$8:$F$8,AR1324)/$Q$4/50,0)*50</f>
        <v>10050</v>
      </c>
      <c r="AW1324" s="14" t="str">
        <f>IF(AN1324&gt;0,INDEX(挂机升级突破!$DT$4:$ED$4,AN1324),"")</f>
        <v>紫色基础材料</v>
      </c>
      <c r="AX1324" s="14">
        <f>ROUND(INDEX(挂机升级突破!$DT$6:$ED$57,卡牌消耗!AT1324,AN1324)*INDEX(卡牌消耗!$B$5:$F$5,AR1324)/$Q$4/5,0)*5</f>
        <v>105</v>
      </c>
      <c r="AY1324" s="14" t="str">
        <f>IF(AO1324&gt;0,INDEX(挂机升级突破!$DT$4:$ED$4,AO1324),"")</f>
        <v/>
      </c>
      <c r="AZ1324" s="14" t="str">
        <f>IF(AO1324&gt;0,ROUND(INDEX(挂机升级突破!$DT$6:$ED$57,卡牌消耗!AT1324,AO1324)*INDEX(卡牌消耗!$B$7:$F$7,AR1324)/$Q$4,0),"")</f>
        <v/>
      </c>
    </row>
    <row r="1325" spans="37:52" ht="16.5" x14ac:dyDescent="0.2">
      <c r="AK1325" s="104">
        <v>1321</v>
      </c>
      <c r="AL1325" s="14">
        <f t="shared" si="445"/>
        <v>26</v>
      </c>
      <c r="AM1325" s="14">
        <f>INDEX(挂机升级突破!DQ$6:DQ$57,卡牌消耗!$AT1325)</f>
        <v>11</v>
      </c>
      <c r="AN1325" s="14">
        <f>INDEX(挂机升级突破!DR$6:DR$57,卡牌消耗!$AT1325)</f>
        <v>3</v>
      </c>
      <c r="AO1325" s="14">
        <f>INDEX(挂机升级突破!DS$6:DS$57,卡牌消耗!$AT1325)</f>
        <v>0</v>
      </c>
      <c r="AP1325" s="14">
        <f>INDEX(挂机升级突破!$DP$6:$DP$57,卡牌消耗!AT1325)</f>
        <v>70</v>
      </c>
      <c r="AQ1325" s="14" t="str">
        <f t="shared" si="446"/>
        <v>吕布</v>
      </c>
      <c r="AR1325" s="14">
        <f t="shared" si="447"/>
        <v>5</v>
      </c>
      <c r="AS1325" s="14" t="str">
        <f t="shared" si="448"/>
        <v>吕布魂火-21</v>
      </c>
      <c r="AT1325" s="14">
        <f t="shared" si="449"/>
        <v>21</v>
      </c>
      <c r="AU1325" s="14" t="str">
        <f>IF(AM1325&gt;0,INDEX(挂机升级突破!$DT$4:$ED$4,AM1325),"")</f>
        <v>金币</v>
      </c>
      <c r="AV1325" s="14">
        <f>ROUND(INDEX(挂机升级突破!$DJ$6:$DJ$57,卡牌消耗!AT1325)*INDEX(卡牌消耗!$B$8:$F$8,AR1325)/$Q$4/50,0)*50</f>
        <v>10050</v>
      </c>
      <c r="AW1325" s="14" t="str">
        <f>IF(AN1325&gt;0,INDEX(挂机升级突破!$DT$4:$ED$4,AN1325),"")</f>
        <v>紫色基础材料</v>
      </c>
      <c r="AX1325" s="14">
        <f>ROUND(INDEX(挂机升级突破!$DT$6:$ED$57,卡牌消耗!AT1325,AN1325)*INDEX(卡牌消耗!$B$5:$F$5,AR1325)/$Q$4/5,0)*5</f>
        <v>105</v>
      </c>
      <c r="AY1325" s="14" t="str">
        <f>IF(AO1325&gt;0,INDEX(挂机升级突破!$DT$4:$ED$4,AO1325),"")</f>
        <v/>
      </c>
      <c r="AZ1325" s="14" t="str">
        <f>IF(AO1325&gt;0,ROUND(INDEX(挂机升级突破!$DT$6:$ED$57,卡牌消耗!AT1325,AO1325)*INDEX(卡牌消耗!$B$7:$F$7,AR1325)/$Q$4,0),"")</f>
        <v/>
      </c>
    </row>
    <row r="1326" spans="37:52" ht="16.5" x14ac:dyDescent="0.2">
      <c r="AK1326" s="104">
        <v>1322</v>
      </c>
      <c r="AL1326" s="14">
        <f t="shared" si="445"/>
        <v>26</v>
      </c>
      <c r="AM1326" s="14">
        <f>INDEX(挂机升级突破!DQ$6:DQ$57,卡牌消耗!$AT1326)</f>
        <v>11</v>
      </c>
      <c r="AN1326" s="14">
        <f>INDEX(挂机升级突破!DR$6:DR$57,卡牌消耗!$AT1326)</f>
        <v>3</v>
      </c>
      <c r="AO1326" s="14">
        <f>INDEX(挂机升级突破!DS$6:DS$57,卡牌消耗!$AT1326)</f>
        <v>0</v>
      </c>
      <c r="AP1326" s="14">
        <f>INDEX(挂机升级突破!$DP$6:$DP$57,卡牌消耗!AT1326)</f>
        <v>73</v>
      </c>
      <c r="AQ1326" s="14" t="str">
        <f t="shared" si="446"/>
        <v>吕布</v>
      </c>
      <c r="AR1326" s="14">
        <f t="shared" si="447"/>
        <v>5</v>
      </c>
      <c r="AS1326" s="14" t="str">
        <f t="shared" si="448"/>
        <v>吕布魂火-22</v>
      </c>
      <c r="AT1326" s="14">
        <f t="shared" si="449"/>
        <v>22</v>
      </c>
      <c r="AU1326" s="14" t="str">
        <f>IF(AM1326&gt;0,INDEX(挂机升级突破!$DT$4:$ED$4,AM1326),"")</f>
        <v>金币</v>
      </c>
      <c r="AV1326" s="14">
        <f>ROUND(INDEX(挂机升级突破!$DJ$6:$DJ$57,卡牌消耗!AT1326)*INDEX(卡牌消耗!$B$8:$F$8,AR1326)/$Q$4/50,0)*50</f>
        <v>10050</v>
      </c>
      <c r="AW1326" s="14" t="str">
        <f>IF(AN1326&gt;0,INDEX(挂机升级突破!$DT$4:$ED$4,AN1326),"")</f>
        <v>紫色基础材料</v>
      </c>
      <c r="AX1326" s="14">
        <f>ROUND(INDEX(挂机升级突破!$DT$6:$ED$57,卡牌消耗!AT1326,AN1326)*INDEX(卡牌消耗!$B$5:$F$5,AR1326)/$Q$4/5,0)*5</f>
        <v>105</v>
      </c>
      <c r="AY1326" s="14" t="str">
        <f>IF(AO1326&gt;0,INDEX(挂机升级突破!$DT$4:$ED$4,AO1326),"")</f>
        <v/>
      </c>
      <c r="AZ1326" s="14" t="str">
        <f>IF(AO1326&gt;0,ROUND(INDEX(挂机升级突破!$DT$6:$ED$57,卡牌消耗!AT1326,AO1326)*INDEX(卡牌消耗!$B$7:$F$7,AR1326)/$Q$4,0),"")</f>
        <v/>
      </c>
    </row>
    <row r="1327" spans="37:52" ht="16.5" x14ac:dyDescent="0.2">
      <c r="AK1327" s="104">
        <v>1323</v>
      </c>
      <c r="AL1327" s="14">
        <f t="shared" si="445"/>
        <v>26</v>
      </c>
      <c r="AM1327" s="14">
        <f>INDEX(挂机升级突破!DQ$6:DQ$57,卡牌消耗!$AT1327)</f>
        <v>11</v>
      </c>
      <c r="AN1327" s="14">
        <f>INDEX(挂机升级突破!DR$6:DR$57,卡牌消耗!$AT1327)</f>
        <v>4</v>
      </c>
      <c r="AO1327" s="14">
        <f>INDEX(挂机升级突破!DS$6:DS$57,卡牌消耗!$AT1327)</f>
        <v>0</v>
      </c>
      <c r="AP1327" s="14">
        <f>INDEX(挂机升级突破!$DP$6:$DP$57,卡牌消耗!AT1327)</f>
        <v>75</v>
      </c>
      <c r="AQ1327" s="14" t="str">
        <f t="shared" si="446"/>
        <v>吕布</v>
      </c>
      <c r="AR1327" s="14">
        <f t="shared" si="447"/>
        <v>5</v>
      </c>
      <c r="AS1327" s="14" t="str">
        <f t="shared" si="448"/>
        <v>吕布魂火-23</v>
      </c>
      <c r="AT1327" s="14">
        <f t="shared" si="449"/>
        <v>23</v>
      </c>
      <c r="AU1327" s="14" t="str">
        <f>IF(AM1327&gt;0,INDEX(挂机升级突破!$DT$4:$ED$4,AM1327),"")</f>
        <v>金币</v>
      </c>
      <c r="AV1327" s="14">
        <f>ROUND(INDEX(挂机升级突破!$DJ$6:$DJ$57,卡牌消耗!AT1327)*INDEX(卡牌消耗!$B$8:$F$8,AR1327)/$Q$4/50,0)*50</f>
        <v>13800</v>
      </c>
      <c r="AW1327" s="14" t="str">
        <f>IF(AN1327&gt;0,INDEX(挂机升级突破!$DT$4:$ED$4,AN1327),"")</f>
        <v>橙色基础材料</v>
      </c>
      <c r="AX1327" s="14">
        <f>ROUND(INDEX(挂机升级突破!$DT$6:$ED$57,卡牌消耗!AT1327,AN1327)*INDEX(卡牌消耗!$B$5:$F$5,AR1327)/$Q$4/5,0)*5</f>
        <v>30</v>
      </c>
      <c r="AY1327" s="14" t="str">
        <f>IF(AO1327&gt;0,INDEX(挂机升级突破!$DT$4:$ED$4,AO1327),"")</f>
        <v/>
      </c>
      <c r="AZ1327" s="14" t="str">
        <f>IF(AO1327&gt;0,ROUND(INDEX(挂机升级突破!$DT$6:$ED$57,卡牌消耗!AT1327,AO1327)*INDEX(卡牌消耗!$B$7:$F$7,AR1327)/$Q$4,0),"")</f>
        <v/>
      </c>
    </row>
    <row r="1328" spans="37:52" ht="16.5" x14ac:dyDescent="0.2">
      <c r="AK1328" s="104">
        <v>1324</v>
      </c>
      <c r="AL1328" s="14">
        <f t="shared" si="445"/>
        <v>26</v>
      </c>
      <c r="AM1328" s="14">
        <f>INDEX(挂机升级突破!DQ$6:DQ$57,卡牌消耗!$AT1328)</f>
        <v>11</v>
      </c>
      <c r="AN1328" s="14">
        <f>INDEX(挂机升级突破!DR$6:DR$57,卡牌消耗!$AT1328)</f>
        <v>4</v>
      </c>
      <c r="AO1328" s="14">
        <f>INDEX(挂机升级突破!DS$6:DS$57,卡牌消耗!$AT1328)</f>
        <v>0</v>
      </c>
      <c r="AP1328" s="14">
        <f>INDEX(挂机升级突破!$DP$6:$DP$57,卡牌消耗!AT1328)</f>
        <v>78</v>
      </c>
      <c r="AQ1328" s="14" t="str">
        <f t="shared" si="446"/>
        <v>吕布</v>
      </c>
      <c r="AR1328" s="14">
        <f t="shared" si="447"/>
        <v>5</v>
      </c>
      <c r="AS1328" s="14" t="str">
        <f t="shared" si="448"/>
        <v>吕布魂火-24</v>
      </c>
      <c r="AT1328" s="14">
        <f t="shared" si="449"/>
        <v>24</v>
      </c>
      <c r="AU1328" s="14" t="str">
        <f>IF(AM1328&gt;0,INDEX(挂机升级突破!$DT$4:$ED$4,AM1328),"")</f>
        <v>金币</v>
      </c>
      <c r="AV1328" s="14">
        <f>ROUND(INDEX(挂机升级突破!$DJ$6:$DJ$57,卡牌消耗!AT1328)*INDEX(卡牌消耗!$B$8:$F$8,AR1328)/$Q$4/50,0)*50</f>
        <v>13800</v>
      </c>
      <c r="AW1328" s="14" t="str">
        <f>IF(AN1328&gt;0,INDEX(挂机升级突破!$DT$4:$ED$4,AN1328),"")</f>
        <v>橙色基础材料</v>
      </c>
      <c r="AX1328" s="14">
        <f>ROUND(INDEX(挂机升级突破!$DT$6:$ED$57,卡牌消耗!AT1328,AN1328)*INDEX(卡牌消耗!$B$5:$F$5,AR1328)/$Q$4/5,0)*5</f>
        <v>30</v>
      </c>
      <c r="AY1328" s="14" t="str">
        <f>IF(AO1328&gt;0,INDEX(挂机升级突破!$DT$4:$ED$4,AO1328),"")</f>
        <v/>
      </c>
      <c r="AZ1328" s="14" t="str">
        <f>IF(AO1328&gt;0,ROUND(INDEX(挂机升级突破!$DT$6:$ED$57,卡牌消耗!AT1328,AO1328)*INDEX(卡牌消耗!$B$7:$F$7,AR1328)/$Q$4,0),"")</f>
        <v/>
      </c>
    </row>
    <row r="1329" spans="37:52" ht="16.5" x14ac:dyDescent="0.2">
      <c r="AK1329" s="104">
        <v>1325</v>
      </c>
      <c r="AL1329" s="14">
        <f t="shared" si="445"/>
        <v>26</v>
      </c>
      <c r="AM1329" s="14">
        <f>INDEX(挂机升级突破!DQ$6:DQ$57,卡牌消耗!$AT1329)</f>
        <v>11</v>
      </c>
      <c r="AN1329" s="14">
        <f>INDEX(挂机升级突破!DR$6:DR$57,卡牌消耗!$AT1329)</f>
        <v>4</v>
      </c>
      <c r="AO1329" s="14">
        <f>INDEX(挂机升级突破!DS$6:DS$57,卡牌消耗!$AT1329)</f>
        <v>0</v>
      </c>
      <c r="AP1329" s="14">
        <f>INDEX(挂机升级突破!$DP$6:$DP$57,卡牌消耗!AT1329)</f>
        <v>80</v>
      </c>
      <c r="AQ1329" s="14" t="str">
        <f t="shared" si="446"/>
        <v>吕布</v>
      </c>
      <c r="AR1329" s="14">
        <f t="shared" si="447"/>
        <v>5</v>
      </c>
      <c r="AS1329" s="14" t="str">
        <f t="shared" si="448"/>
        <v>吕布魂火-25</v>
      </c>
      <c r="AT1329" s="14">
        <f t="shared" si="449"/>
        <v>25</v>
      </c>
      <c r="AU1329" s="14" t="str">
        <f>IF(AM1329&gt;0,INDEX(挂机升级突破!$DT$4:$ED$4,AM1329),"")</f>
        <v>金币</v>
      </c>
      <c r="AV1329" s="14">
        <f>ROUND(INDEX(挂机升级突破!$DJ$6:$DJ$57,卡牌消耗!AT1329)*INDEX(卡牌消耗!$B$8:$F$8,AR1329)/$Q$4/50,0)*50</f>
        <v>15050</v>
      </c>
      <c r="AW1329" s="14" t="str">
        <f>IF(AN1329&gt;0,INDEX(挂机升级突破!$DT$4:$ED$4,AN1329),"")</f>
        <v>橙色基础材料</v>
      </c>
      <c r="AX1329" s="14">
        <f>ROUND(INDEX(挂机升级突破!$DT$6:$ED$57,卡牌消耗!AT1329,AN1329)*INDEX(卡牌消耗!$B$5:$F$5,AR1329)/$Q$4/5,0)*5</f>
        <v>30</v>
      </c>
      <c r="AY1329" s="14" t="str">
        <f>IF(AO1329&gt;0,INDEX(挂机升级突破!$DT$4:$ED$4,AO1329),"")</f>
        <v/>
      </c>
      <c r="AZ1329" s="14" t="str">
        <f>IF(AO1329&gt;0,ROUND(INDEX(挂机升级突破!$DT$6:$ED$57,卡牌消耗!AT1329,AO1329)*INDEX(卡牌消耗!$B$7:$F$7,AR1329)/$Q$4,0),"")</f>
        <v/>
      </c>
    </row>
    <row r="1330" spans="37:52" ht="16.5" x14ac:dyDescent="0.2">
      <c r="AK1330" s="104">
        <v>1326</v>
      </c>
      <c r="AL1330" s="14">
        <f t="shared" si="445"/>
        <v>26</v>
      </c>
      <c r="AM1330" s="14">
        <f>INDEX(挂机升级突破!DQ$6:DQ$57,卡牌消耗!$AT1330)</f>
        <v>11</v>
      </c>
      <c r="AN1330" s="14">
        <f>INDEX(挂机升级突破!DR$6:DR$57,卡牌消耗!$AT1330)</f>
        <v>4</v>
      </c>
      <c r="AO1330" s="14">
        <f>INDEX(挂机升级突破!DS$6:DS$57,卡牌消耗!$AT1330)</f>
        <v>0</v>
      </c>
      <c r="AP1330" s="14">
        <f>INDEX(挂机升级突破!$DP$6:$DP$57,卡牌消耗!AT1330)</f>
        <v>83</v>
      </c>
      <c r="AQ1330" s="14" t="str">
        <f t="shared" si="446"/>
        <v>吕布</v>
      </c>
      <c r="AR1330" s="14">
        <f t="shared" si="447"/>
        <v>5</v>
      </c>
      <c r="AS1330" s="14" t="str">
        <f t="shared" si="448"/>
        <v>吕布魂火-26</v>
      </c>
      <c r="AT1330" s="14">
        <f t="shared" si="449"/>
        <v>26</v>
      </c>
      <c r="AU1330" s="14" t="str">
        <f>IF(AM1330&gt;0,INDEX(挂机升级突破!$DT$4:$ED$4,AM1330),"")</f>
        <v>金币</v>
      </c>
      <c r="AV1330" s="14">
        <f>ROUND(INDEX(挂机升级突破!$DJ$6:$DJ$57,卡牌消耗!AT1330)*INDEX(卡牌消耗!$B$8:$F$8,AR1330)/$Q$4/50,0)*50</f>
        <v>17550</v>
      </c>
      <c r="AW1330" s="14" t="str">
        <f>IF(AN1330&gt;0,INDEX(挂机升级突破!$DT$4:$ED$4,AN1330),"")</f>
        <v>橙色基础材料</v>
      </c>
      <c r="AX1330" s="14">
        <f>ROUND(INDEX(挂机升级突破!$DT$6:$ED$57,卡牌消耗!AT1330,AN1330)*INDEX(卡牌消耗!$B$5:$F$5,AR1330)/$Q$4/5,0)*5</f>
        <v>35</v>
      </c>
      <c r="AY1330" s="14" t="str">
        <f>IF(AO1330&gt;0,INDEX(挂机升级突破!$DT$4:$ED$4,AO1330),"")</f>
        <v/>
      </c>
      <c r="AZ1330" s="14" t="str">
        <f>IF(AO1330&gt;0,ROUND(INDEX(挂机升级突破!$DT$6:$ED$57,卡牌消耗!AT1330,AO1330)*INDEX(卡牌消耗!$B$7:$F$7,AR1330)/$Q$4,0),"")</f>
        <v/>
      </c>
    </row>
    <row r="1331" spans="37:52" ht="16.5" x14ac:dyDescent="0.2">
      <c r="AK1331" s="104">
        <v>1327</v>
      </c>
      <c r="AL1331" s="14">
        <f t="shared" si="445"/>
        <v>26</v>
      </c>
      <c r="AM1331" s="14">
        <f>INDEX(挂机升级突破!DQ$6:DQ$57,卡牌消耗!$AT1331)</f>
        <v>11</v>
      </c>
      <c r="AN1331" s="14">
        <f>INDEX(挂机升级突破!DR$6:DR$57,卡牌消耗!$AT1331)</f>
        <v>4</v>
      </c>
      <c r="AO1331" s="14">
        <f>INDEX(挂机升级突破!DS$6:DS$57,卡牌消耗!$AT1331)</f>
        <v>0</v>
      </c>
      <c r="AP1331" s="14">
        <f>INDEX(挂机升级突破!$DP$6:$DP$57,卡牌消耗!AT1331)</f>
        <v>85</v>
      </c>
      <c r="AQ1331" s="14" t="str">
        <f t="shared" si="446"/>
        <v>吕布</v>
      </c>
      <c r="AR1331" s="14">
        <f t="shared" si="447"/>
        <v>5</v>
      </c>
      <c r="AS1331" s="14" t="str">
        <f t="shared" si="448"/>
        <v>吕布魂火-27</v>
      </c>
      <c r="AT1331" s="14">
        <f t="shared" si="449"/>
        <v>27</v>
      </c>
      <c r="AU1331" s="14" t="str">
        <f>IF(AM1331&gt;0,INDEX(挂机升级突破!$DT$4:$ED$4,AM1331),"")</f>
        <v>金币</v>
      </c>
      <c r="AV1331" s="14">
        <f>ROUND(INDEX(挂机升级突破!$DJ$6:$DJ$57,卡牌消耗!AT1331)*INDEX(卡牌消耗!$B$8:$F$8,AR1331)/$Q$4/50,0)*50</f>
        <v>17550</v>
      </c>
      <c r="AW1331" s="14" t="str">
        <f>IF(AN1331&gt;0,INDEX(挂机升级突破!$DT$4:$ED$4,AN1331),"")</f>
        <v>橙色基础材料</v>
      </c>
      <c r="AX1331" s="14">
        <f>ROUND(INDEX(挂机升级突破!$DT$6:$ED$57,卡牌消耗!AT1331,AN1331)*INDEX(卡牌消耗!$B$5:$F$5,AR1331)/$Q$4/5,0)*5</f>
        <v>35</v>
      </c>
      <c r="AY1331" s="14" t="str">
        <f>IF(AO1331&gt;0,INDEX(挂机升级突破!$DT$4:$ED$4,AO1331),"")</f>
        <v/>
      </c>
      <c r="AZ1331" s="14" t="str">
        <f>IF(AO1331&gt;0,ROUND(INDEX(挂机升级突破!$DT$6:$ED$57,卡牌消耗!AT1331,AO1331)*INDEX(卡牌消耗!$B$7:$F$7,AR1331)/$Q$4,0),"")</f>
        <v/>
      </c>
    </row>
    <row r="1332" spans="37:52" ht="16.5" x14ac:dyDescent="0.2">
      <c r="AK1332" s="104">
        <v>1328</v>
      </c>
      <c r="AL1332" s="14">
        <f t="shared" si="445"/>
        <v>26</v>
      </c>
      <c r="AM1332" s="14">
        <f>INDEX(挂机升级突破!DQ$6:DQ$57,卡牌消耗!$AT1332)</f>
        <v>11</v>
      </c>
      <c r="AN1332" s="14">
        <f>INDEX(挂机升级突破!DR$6:DR$57,卡牌消耗!$AT1332)</f>
        <v>4</v>
      </c>
      <c r="AO1332" s="14">
        <f>INDEX(挂机升级突破!DS$6:DS$57,卡牌消耗!$AT1332)</f>
        <v>0</v>
      </c>
      <c r="AP1332" s="14">
        <f>INDEX(挂机升级突破!$DP$6:$DP$57,卡牌消耗!AT1332)</f>
        <v>88</v>
      </c>
      <c r="AQ1332" s="14" t="str">
        <f t="shared" si="446"/>
        <v>吕布</v>
      </c>
      <c r="AR1332" s="14">
        <f t="shared" si="447"/>
        <v>5</v>
      </c>
      <c r="AS1332" s="14" t="str">
        <f t="shared" si="448"/>
        <v>吕布魂火-28</v>
      </c>
      <c r="AT1332" s="14">
        <f t="shared" si="449"/>
        <v>28</v>
      </c>
      <c r="AU1332" s="14" t="str">
        <f>IF(AM1332&gt;0,INDEX(挂机升级突破!$DT$4:$ED$4,AM1332),"")</f>
        <v>金币</v>
      </c>
      <c r="AV1332" s="14">
        <f>ROUND(INDEX(挂机升级突破!$DJ$6:$DJ$57,卡牌消耗!AT1332)*INDEX(卡牌消耗!$B$8:$F$8,AR1332)/$Q$4/50,0)*50</f>
        <v>17550</v>
      </c>
      <c r="AW1332" s="14" t="str">
        <f>IF(AN1332&gt;0,INDEX(挂机升级突破!$DT$4:$ED$4,AN1332),"")</f>
        <v>橙色基础材料</v>
      </c>
      <c r="AX1332" s="14">
        <f>ROUND(INDEX(挂机升级突破!$DT$6:$ED$57,卡牌消耗!AT1332,AN1332)*INDEX(卡牌消耗!$B$5:$F$5,AR1332)/$Q$4/5,0)*5</f>
        <v>35</v>
      </c>
      <c r="AY1332" s="14" t="str">
        <f>IF(AO1332&gt;0,INDEX(挂机升级突破!$DT$4:$ED$4,AO1332),"")</f>
        <v/>
      </c>
      <c r="AZ1332" s="14" t="str">
        <f>IF(AO1332&gt;0,ROUND(INDEX(挂机升级突破!$DT$6:$ED$57,卡牌消耗!AT1332,AO1332)*INDEX(卡牌消耗!$B$7:$F$7,AR1332)/$Q$4,0),"")</f>
        <v/>
      </c>
    </row>
    <row r="1333" spans="37:52" ht="16.5" x14ac:dyDescent="0.2">
      <c r="AK1333" s="104">
        <v>1329</v>
      </c>
      <c r="AL1333" s="14">
        <f t="shared" si="445"/>
        <v>26</v>
      </c>
      <c r="AM1333" s="14">
        <f>INDEX(挂机升级突破!DQ$6:DQ$57,卡牌消耗!$AT1333)</f>
        <v>11</v>
      </c>
      <c r="AN1333" s="14">
        <f>INDEX(挂机升级突破!DR$6:DR$57,卡牌消耗!$AT1333)</f>
        <v>4</v>
      </c>
      <c r="AO1333" s="14">
        <f>INDEX(挂机升级突破!DS$6:DS$57,卡牌消耗!$AT1333)</f>
        <v>0</v>
      </c>
      <c r="AP1333" s="14">
        <f>INDEX(挂机升级突破!$DP$6:$DP$57,卡牌消耗!AT1333)</f>
        <v>90</v>
      </c>
      <c r="AQ1333" s="14" t="str">
        <f t="shared" si="446"/>
        <v>吕布</v>
      </c>
      <c r="AR1333" s="14">
        <f t="shared" si="447"/>
        <v>5</v>
      </c>
      <c r="AS1333" s="14" t="str">
        <f t="shared" si="448"/>
        <v>吕布魂火-29</v>
      </c>
      <c r="AT1333" s="14">
        <f t="shared" si="449"/>
        <v>29</v>
      </c>
      <c r="AU1333" s="14" t="str">
        <f>IF(AM1333&gt;0,INDEX(挂机升级突破!$DT$4:$ED$4,AM1333),"")</f>
        <v>金币</v>
      </c>
      <c r="AV1333" s="14">
        <f>ROUND(INDEX(挂机升级突破!$DJ$6:$DJ$57,卡牌消耗!AT1333)*INDEX(卡牌消耗!$B$8:$F$8,AR1333)/$Q$4/50,0)*50</f>
        <v>17800</v>
      </c>
      <c r="AW1333" s="14" t="str">
        <f>IF(AN1333&gt;0,INDEX(挂机升级突破!$DT$4:$ED$4,AN1333),"")</f>
        <v>橙色基础材料</v>
      </c>
      <c r="AX1333" s="14">
        <f>ROUND(INDEX(挂机升级突破!$DT$6:$ED$57,卡牌消耗!AT1333,AN1333)*INDEX(卡牌消耗!$B$5:$F$5,AR1333)/$Q$4/5,0)*5</f>
        <v>40</v>
      </c>
      <c r="AY1333" s="14" t="str">
        <f>IF(AO1333&gt;0,INDEX(挂机升级突破!$DT$4:$ED$4,AO1333),"")</f>
        <v/>
      </c>
      <c r="AZ1333" s="14" t="str">
        <f>IF(AO1333&gt;0,ROUND(INDEX(挂机升级突破!$DT$6:$ED$57,卡牌消耗!AT1333,AO1333)*INDEX(卡牌消耗!$B$7:$F$7,AR1333)/$Q$4,0),"")</f>
        <v/>
      </c>
    </row>
    <row r="1334" spans="37:52" ht="16.5" x14ac:dyDescent="0.2">
      <c r="AK1334" s="104">
        <v>1330</v>
      </c>
      <c r="AL1334" s="14">
        <f t="shared" si="445"/>
        <v>26</v>
      </c>
      <c r="AM1334" s="14">
        <f>INDEX(挂机升级突破!DQ$6:DQ$57,卡牌消耗!$AT1334)</f>
        <v>11</v>
      </c>
      <c r="AN1334" s="14">
        <f>INDEX(挂机升级突破!DR$6:DR$57,卡牌消耗!$AT1334)</f>
        <v>4</v>
      </c>
      <c r="AO1334" s="14">
        <f>INDEX(挂机升级突破!DS$6:DS$57,卡牌消耗!$AT1334)</f>
        <v>0</v>
      </c>
      <c r="AP1334" s="14">
        <f>INDEX(挂机升级突破!$DP$6:$DP$57,卡牌消耗!AT1334)</f>
        <v>93</v>
      </c>
      <c r="AQ1334" s="14" t="str">
        <f t="shared" si="446"/>
        <v>吕布</v>
      </c>
      <c r="AR1334" s="14">
        <f t="shared" si="447"/>
        <v>5</v>
      </c>
      <c r="AS1334" s="14" t="str">
        <f t="shared" si="448"/>
        <v>吕布魂火-30</v>
      </c>
      <c r="AT1334" s="14">
        <f t="shared" si="449"/>
        <v>30</v>
      </c>
      <c r="AU1334" s="14" t="str">
        <f>IF(AM1334&gt;0,INDEX(挂机升级突破!$DT$4:$ED$4,AM1334),"")</f>
        <v>金币</v>
      </c>
      <c r="AV1334" s="14">
        <f>ROUND(INDEX(挂机升级突破!$DJ$6:$DJ$57,卡牌消耗!AT1334)*INDEX(卡牌消耗!$B$8:$F$8,AR1334)/$Q$4/50,0)*50</f>
        <v>17800</v>
      </c>
      <c r="AW1334" s="14" t="str">
        <f>IF(AN1334&gt;0,INDEX(挂机升级突破!$DT$4:$ED$4,AN1334),"")</f>
        <v>橙色基础材料</v>
      </c>
      <c r="AX1334" s="14">
        <f>ROUND(INDEX(挂机升级突破!$DT$6:$ED$57,卡牌消耗!AT1334,AN1334)*INDEX(卡牌消耗!$B$5:$F$5,AR1334)/$Q$4/5,0)*5</f>
        <v>40</v>
      </c>
      <c r="AY1334" s="14" t="str">
        <f>IF(AO1334&gt;0,INDEX(挂机升级突破!$DT$4:$ED$4,AO1334),"")</f>
        <v/>
      </c>
      <c r="AZ1334" s="14" t="str">
        <f>IF(AO1334&gt;0,ROUND(INDEX(挂机升级突破!$DT$6:$ED$57,卡牌消耗!AT1334,AO1334)*INDEX(卡牌消耗!$B$7:$F$7,AR1334)/$Q$4,0),"")</f>
        <v/>
      </c>
    </row>
    <row r="1335" spans="37:52" ht="16.5" x14ac:dyDescent="0.2">
      <c r="AK1335" s="104">
        <v>1331</v>
      </c>
      <c r="AL1335" s="14">
        <f t="shared" si="445"/>
        <v>26</v>
      </c>
      <c r="AM1335" s="14">
        <f>INDEX(挂机升级突破!DQ$6:DQ$57,卡牌消耗!$AT1335)</f>
        <v>11</v>
      </c>
      <c r="AN1335" s="14">
        <f>INDEX(挂机升级突破!DR$6:DR$57,卡牌消耗!$AT1335)</f>
        <v>4</v>
      </c>
      <c r="AO1335" s="14">
        <f>INDEX(挂机升级突破!DS$6:DS$57,卡牌消耗!$AT1335)</f>
        <v>0</v>
      </c>
      <c r="AP1335" s="14">
        <f>INDEX(挂机升级突破!$DP$6:$DP$57,卡牌消耗!AT1335)</f>
        <v>95</v>
      </c>
      <c r="AQ1335" s="14" t="str">
        <f t="shared" si="446"/>
        <v>吕布</v>
      </c>
      <c r="AR1335" s="14">
        <f t="shared" si="447"/>
        <v>5</v>
      </c>
      <c r="AS1335" s="14" t="str">
        <f t="shared" si="448"/>
        <v>吕布魂火-31</v>
      </c>
      <c r="AT1335" s="14">
        <f t="shared" si="449"/>
        <v>31</v>
      </c>
      <c r="AU1335" s="14" t="str">
        <f>IF(AM1335&gt;0,INDEX(挂机升级突破!$DT$4:$ED$4,AM1335),"")</f>
        <v>金币</v>
      </c>
      <c r="AV1335" s="14">
        <f>ROUND(INDEX(挂机升级突破!$DJ$6:$DJ$57,卡牌消耗!AT1335)*INDEX(卡牌消耗!$B$8:$F$8,AR1335)/$Q$4/50,0)*50</f>
        <v>17800</v>
      </c>
      <c r="AW1335" s="14" t="str">
        <f>IF(AN1335&gt;0,INDEX(挂机升级突破!$DT$4:$ED$4,AN1335),"")</f>
        <v>橙色基础材料</v>
      </c>
      <c r="AX1335" s="14">
        <f>ROUND(INDEX(挂机升级突破!$DT$6:$ED$57,卡牌消耗!AT1335,AN1335)*INDEX(卡牌消耗!$B$5:$F$5,AR1335)/$Q$4/5,0)*5</f>
        <v>40</v>
      </c>
      <c r="AY1335" s="14" t="str">
        <f>IF(AO1335&gt;0,INDEX(挂机升级突破!$DT$4:$ED$4,AO1335),"")</f>
        <v/>
      </c>
      <c r="AZ1335" s="14" t="str">
        <f>IF(AO1335&gt;0,ROUND(INDEX(挂机升级突破!$DT$6:$ED$57,卡牌消耗!AT1335,AO1335)*INDEX(卡牌消耗!$B$7:$F$7,AR1335)/$Q$4,0),"")</f>
        <v/>
      </c>
    </row>
    <row r="1336" spans="37:52" ht="16.5" x14ac:dyDescent="0.2">
      <c r="AK1336" s="104">
        <v>1332</v>
      </c>
      <c r="AL1336" s="14">
        <f t="shared" si="445"/>
        <v>26</v>
      </c>
      <c r="AM1336" s="14">
        <f>INDEX(挂机升级突破!DQ$6:DQ$57,卡牌消耗!$AT1336)</f>
        <v>11</v>
      </c>
      <c r="AN1336" s="14">
        <f>INDEX(挂机升级突破!DR$6:DR$57,卡牌消耗!$AT1336)</f>
        <v>4</v>
      </c>
      <c r="AO1336" s="14">
        <f>INDEX(挂机升级突破!DS$6:DS$57,卡牌消耗!$AT1336)</f>
        <v>0</v>
      </c>
      <c r="AP1336" s="14">
        <f>INDEX(挂机升级突破!$DP$6:$DP$57,卡牌消耗!AT1336)</f>
        <v>98</v>
      </c>
      <c r="AQ1336" s="14" t="str">
        <f t="shared" si="446"/>
        <v>吕布</v>
      </c>
      <c r="AR1336" s="14">
        <f t="shared" si="447"/>
        <v>5</v>
      </c>
      <c r="AS1336" s="14" t="str">
        <f t="shared" si="448"/>
        <v>吕布魂火-32</v>
      </c>
      <c r="AT1336" s="14">
        <f t="shared" si="449"/>
        <v>32</v>
      </c>
      <c r="AU1336" s="14" t="str">
        <f>IF(AM1336&gt;0,INDEX(挂机升级突破!$DT$4:$ED$4,AM1336),"")</f>
        <v>金币</v>
      </c>
      <c r="AV1336" s="14">
        <f>ROUND(INDEX(挂机升级突破!$DJ$6:$DJ$57,卡牌消耗!AT1336)*INDEX(卡牌消耗!$B$8:$F$8,AR1336)/$Q$4/50,0)*50</f>
        <v>24450</v>
      </c>
      <c r="AW1336" s="14" t="str">
        <f>IF(AN1336&gt;0,INDEX(挂机升级突破!$DT$4:$ED$4,AN1336),"")</f>
        <v>橙色基础材料</v>
      </c>
      <c r="AX1336" s="14">
        <f>ROUND(INDEX(挂机升级突破!$DT$6:$ED$57,卡牌消耗!AT1336,AN1336)*INDEX(卡牌消耗!$B$5:$F$5,AR1336)/$Q$4/5,0)*5</f>
        <v>40</v>
      </c>
      <c r="AY1336" s="14" t="str">
        <f>IF(AO1336&gt;0,INDEX(挂机升级突破!$DT$4:$ED$4,AO1336),"")</f>
        <v/>
      </c>
      <c r="AZ1336" s="14" t="str">
        <f>IF(AO1336&gt;0,ROUND(INDEX(挂机升级突破!$DT$6:$ED$57,卡牌消耗!AT1336,AO1336)*INDEX(卡牌消耗!$B$7:$F$7,AR1336)/$Q$4,0),"")</f>
        <v/>
      </c>
    </row>
    <row r="1337" spans="37:52" ht="16.5" x14ac:dyDescent="0.2">
      <c r="AK1337" s="104">
        <v>1333</v>
      </c>
      <c r="AL1337" s="14">
        <f t="shared" si="445"/>
        <v>26</v>
      </c>
      <c r="AM1337" s="14">
        <f>INDEX(挂机升级突破!DQ$6:DQ$57,卡牌消耗!$AT1337)</f>
        <v>11</v>
      </c>
      <c r="AN1337" s="14">
        <f>INDEX(挂机升级突破!DR$6:DR$57,卡牌消耗!$AT1337)</f>
        <v>4</v>
      </c>
      <c r="AO1337" s="14">
        <f>INDEX(挂机升级突破!DS$6:DS$57,卡牌消耗!$AT1337)</f>
        <v>0</v>
      </c>
      <c r="AP1337" s="14">
        <f>INDEX(挂机升级突破!$DP$6:$DP$57,卡牌消耗!AT1337)</f>
        <v>100</v>
      </c>
      <c r="AQ1337" s="14" t="str">
        <f t="shared" si="446"/>
        <v>吕布</v>
      </c>
      <c r="AR1337" s="14">
        <f t="shared" si="447"/>
        <v>5</v>
      </c>
      <c r="AS1337" s="14" t="str">
        <f t="shared" si="448"/>
        <v>吕布魂火-33</v>
      </c>
      <c r="AT1337" s="14">
        <f t="shared" si="449"/>
        <v>33</v>
      </c>
      <c r="AU1337" s="14" t="str">
        <f>IF(AM1337&gt;0,INDEX(挂机升级突破!$DT$4:$ED$4,AM1337),"")</f>
        <v>金币</v>
      </c>
      <c r="AV1337" s="14">
        <f>ROUND(INDEX(挂机升级突破!$DJ$6:$DJ$57,卡牌消耗!AT1337)*INDEX(卡牌消耗!$B$8:$F$8,AR1337)/$Q$4/50,0)*50</f>
        <v>24450</v>
      </c>
      <c r="AW1337" s="14" t="str">
        <f>IF(AN1337&gt;0,INDEX(挂机升级突破!$DT$4:$ED$4,AN1337),"")</f>
        <v>橙色基础材料</v>
      </c>
      <c r="AX1337" s="14">
        <f>ROUND(INDEX(挂机升级突破!$DT$6:$ED$57,卡牌消耗!AT1337,AN1337)*INDEX(卡牌消耗!$B$5:$F$5,AR1337)/$Q$4/5,0)*5</f>
        <v>40</v>
      </c>
      <c r="AY1337" s="14" t="str">
        <f>IF(AO1337&gt;0,INDEX(挂机升级突破!$DT$4:$ED$4,AO1337),"")</f>
        <v/>
      </c>
      <c r="AZ1337" s="14" t="str">
        <f>IF(AO1337&gt;0,ROUND(INDEX(挂机升级突破!$DT$6:$ED$57,卡牌消耗!AT1337,AO1337)*INDEX(卡牌消耗!$B$7:$F$7,AR1337)/$Q$4,0),"")</f>
        <v/>
      </c>
    </row>
    <row r="1338" spans="37:52" ht="16.5" x14ac:dyDescent="0.2">
      <c r="AK1338" s="104">
        <v>1334</v>
      </c>
      <c r="AL1338" s="14">
        <f t="shared" si="445"/>
        <v>26</v>
      </c>
      <c r="AM1338" s="14">
        <f>INDEX(挂机升级突破!DQ$6:DQ$57,卡牌消耗!$AT1338)</f>
        <v>11</v>
      </c>
      <c r="AN1338" s="14">
        <f>INDEX(挂机升级突破!DR$6:DR$57,卡牌消耗!$AT1338)</f>
        <v>4</v>
      </c>
      <c r="AO1338" s="14">
        <f>INDEX(挂机升级突破!DS$6:DS$57,卡牌消耗!$AT1338)</f>
        <v>0</v>
      </c>
      <c r="AP1338" s="14">
        <f>INDEX(挂机升级突破!$DP$6:$DP$57,卡牌消耗!AT1338)</f>
        <v>103</v>
      </c>
      <c r="AQ1338" s="14" t="str">
        <f t="shared" si="446"/>
        <v>吕布</v>
      </c>
      <c r="AR1338" s="14">
        <f t="shared" si="447"/>
        <v>5</v>
      </c>
      <c r="AS1338" s="14" t="str">
        <f t="shared" si="448"/>
        <v>吕布魂火-34</v>
      </c>
      <c r="AT1338" s="14">
        <f t="shared" si="449"/>
        <v>34</v>
      </c>
      <c r="AU1338" s="14" t="str">
        <f>IF(AM1338&gt;0,INDEX(挂机升级突破!$DT$4:$ED$4,AM1338),"")</f>
        <v>金币</v>
      </c>
      <c r="AV1338" s="14">
        <f>ROUND(INDEX(挂机升级突破!$DJ$6:$DJ$57,卡牌消耗!AT1338)*INDEX(卡牌消耗!$B$8:$F$8,AR1338)/$Q$4/50,0)*50</f>
        <v>24450</v>
      </c>
      <c r="AW1338" s="14" t="str">
        <f>IF(AN1338&gt;0,INDEX(挂机升级突破!$DT$4:$ED$4,AN1338),"")</f>
        <v>橙色基础材料</v>
      </c>
      <c r="AX1338" s="14">
        <f>ROUND(INDEX(挂机升级突破!$DT$6:$ED$57,卡牌消耗!AT1338,AN1338)*INDEX(卡牌消耗!$B$5:$F$5,AR1338)/$Q$4/5,0)*5</f>
        <v>45</v>
      </c>
      <c r="AY1338" s="14" t="str">
        <f>IF(AO1338&gt;0,INDEX(挂机升级突破!$DT$4:$ED$4,AO1338),"")</f>
        <v/>
      </c>
      <c r="AZ1338" s="14" t="str">
        <f>IF(AO1338&gt;0,ROUND(INDEX(挂机升级突破!$DT$6:$ED$57,卡牌消耗!AT1338,AO1338)*INDEX(卡牌消耗!$B$7:$F$7,AR1338)/$Q$4,0),"")</f>
        <v/>
      </c>
    </row>
    <row r="1339" spans="37:52" ht="16.5" x14ac:dyDescent="0.2">
      <c r="AK1339" s="104">
        <v>1335</v>
      </c>
      <c r="AL1339" s="14">
        <f t="shared" si="445"/>
        <v>26</v>
      </c>
      <c r="AM1339" s="14">
        <f>INDEX(挂机升级突破!DQ$6:DQ$57,卡牌消耗!$AT1339)</f>
        <v>11</v>
      </c>
      <c r="AN1339" s="14">
        <f>INDEX(挂机升级突破!DR$6:DR$57,卡牌消耗!$AT1339)</f>
        <v>4</v>
      </c>
      <c r="AO1339" s="14">
        <f>INDEX(挂机升级突破!DS$6:DS$57,卡牌消耗!$AT1339)</f>
        <v>0</v>
      </c>
      <c r="AP1339" s="14">
        <f>INDEX(挂机升级突破!$DP$6:$DP$57,卡牌消耗!AT1339)</f>
        <v>105</v>
      </c>
      <c r="AQ1339" s="14" t="str">
        <f t="shared" si="446"/>
        <v>吕布</v>
      </c>
      <c r="AR1339" s="14">
        <f t="shared" si="447"/>
        <v>5</v>
      </c>
      <c r="AS1339" s="14" t="str">
        <f t="shared" si="448"/>
        <v>吕布魂火-35</v>
      </c>
      <c r="AT1339" s="14">
        <f t="shared" si="449"/>
        <v>35</v>
      </c>
      <c r="AU1339" s="14" t="str">
        <f>IF(AM1339&gt;0,INDEX(挂机升级突破!$DT$4:$ED$4,AM1339),"")</f>
        <v>金币</v>
      </c>
      <c r="AV1339" s="14">
        <f>ROUND(INDEX(挂机升级突破!$DJ$6:$DJ$57,卡牌消耗!AT1339)*INDEX(卡牌消耗!$B$8:$F$8,AR1339)/$Q$4/50,0)*50</f>
        <v>31100</v>
      </c>
      <c r="AW1339" s="14" t="str">
        <f>IF(AN1339&gt;0,INDEX(挂机升级突破!$DT$4:$ED$4,AN1339),"")</f>
        <v>橙色基础材料</v>
      </c>
      <c r="AX1339" s="14">
        <f>ROUND(INDEX(挂机升级突破!$DT$6:$ED$57,卡牌消耗!AT1339,AN1339)*INDEX(卡牌消耗!$B$5:$F$5,AR1339)/$Q$4/5,0)*5</f>
        <v>45</v>
      </c>
      <c r="AY1339" s="14" t="str">
        <f>IF(AO1339&gt;0,INDEX(挂机升级突破!$DT$4:$ED$4,AO1339),"")</f>
        <v/>
      </c>
      <c r="AZ1339" s="14" t="str">
        <f>IF(AO1339&gt;0,ROUND(INDEX(挂机升级突破!$DT$6:$ED$57,卡牌消耗!AT1339,AO1339)*INDEX(卡牌消耗!$B$7:$F$7,AR1339)/$Q$4,0),"")</f>
        <v/>
      </c>
    </row>
    <row r="1340" spans="37:52" ht="16.5" x14ac:dyDescent="0.2">
      <c r="AK1340" s="104">
        <v>1336</v>
      </c>
      <c r="AL1340" s="14">
        <f t="shared" si="445"/>
        <v>26</v>
      </c>
      <c r="AM1340" s="14">
        <f>INDEX(挂机升级突破!DQ$6:DQ$57,卡牌消耗!$AT1340)</f>
        <v>11</v>
      </c>
      <c r="AN1340" s="14">
        <f>INDEX(挂机升级突破!DR$6:DR$57,卡牌消耗!$AT1340)</f>
        <v>4</v>
      </c>
      <c r="AO1340" s="14">
        <f>INDEX(挂机升级突破!DS$6:DS$57,卡牌消耗!$AT1340)</f>
        <v>0</v>
      </c>
      <c r="AP1340" s="14">
        <f>INDEX(挂机升级突破!$DP$6:$DP$57,卡牌消耗!AT1340)</f>
        <v>108</v>
      </c>
      <c r="AQ1340" s="14" t="str">
        <f t="shared" si="446"/>
        <v>吕布</v>
      </c>
      <c r="AR1340" s="14">
        <f t="shared" si="447"/>
        <v>5</v>
      </c>
      <c r="AS1340" s="14" t="str">
        <f t="shared" si="448"/>
        <v>吕布魂火-36</v>
      </c>
      <c r="AT1340" s="14">
        <f t="shared" si="449"/>
        <v>36</v>
      </c>
      <c r="AU1340" s="14" t="str">
        <f>IF(AM1340&gt;0,INDEX(挂机升级突破!$DT$4:$ED$4,AM1340),"")</f>
        <v>金币</v>
      </c>
      <c r="AV1340" s="14">
        <f>ROUND(INDEX(挂机升级突破!$DJ$6:$DJ$57,卡牌消耗!AT1340)*INDEX(卡牌消耗!$B$8:$F$8,AR1340)/$Q$4/50,0)*50</f>
        <v>31100</v>
      </c>
      <c r="AW1340" s="14" t="str">
        <f>IF(AN1340&gt;0,INDEX(挂机升级突破!$DT$4:$ED$4,AN1340),"")</f>
        <v>橙色基础材料</v>
      </c>
      <c r="AX1340" s="14">
        <f>ROUND(INDEX(挂机升级突破!$DT$6:$ED$57,卡牌消耗!AT1340,AN1340)*INDEX(卡牌消耗!$B$5:$F$5,AR1340)/$Q$4/5,0)*5</f>
        <v>45</v>
      </c>
      <c r="AY1340" s="14" t="str">
        <f>IF(AO1340&gt;0,INDEX(挂机升级突破!$DT$4:$ED$4,AO1340),"")</f>
        <v/>
      </c>
      <c r="AZ1340" s="14" t="str">
        <f>IF(AO1340&gt;0,ROUND(INDEX(挂机升级突破!$DT$6:$ED$57,卡牌消耗!AT1340,AO1340)*INDEX(卡牌消耗!$B$7:$F$7,AR1340)/$Q$4,0),"")</f>
        <v/>
      </c>
    </row>
    <row r="1341" spans="37:52" ht="16.5" x14ac:dyDescent="0.2">
      <c r="AK1341" s="104">
        <v>1337</v>
      </c>
      <c r="AL1341" s="14">
        <f t="shared" si="445"/>
        <v>26</v>
      </c>
      <c r="AM1341" s="14">
        <f>INDEX(挂机升级突破!DQ$6:DQ$57,卡牌消耗!$AT1341)</f>
        <v>11</v>
      </c>
      <c r="AN1341" s="14">
        <f>INDEX(挂机升级突破!DR$6:DR$57,卡牌消耗!$AT1341)</f>
        <v>4</v>
      </c>
      <c r="AO1341" s="14">
        <f>INDEX(挂机升级突破!DS$6:DS$57,卡牌消耗!$AT1341)</f>
        <v>0</v>
      </c>
      <c r="AP1341" s="14">
        <f>INDEX(挂机升级突破!$DP$6:$DP$57,卡牌消耗!AT1341)</f>
        <v>110</v>
      </c>
      <c r="AQ1341" s="14" t="str">
        <f t="shared" si="446"/>
        <v>吕布</v>
      </c>
      <c r="AR1341" s="14">
        <f t="shared" si="447"/>
        <v>5</v>
      </c>
      <c r="AS1341" s="14" t="str">
        <f t="shared" si="448"/>
        <v>吕布魂火-37</v>
      </c>
      <c r="AT1341" s="14">
        <f t="shared" si="449"/>
        <v>37</v>
      </c>
      <c r="AU1341" s="14" t="str">
        <f>IF(AM1341&gt;0,INDEX(挂机升级突破!$DT$4:$ED$4,AM1341),"")</f>
        <v>金币</v>
      </c>
      <c r="AV1341" s="14">
        <f>ROUND(INDEX(挂机升级突破!$DJ$6:$DJ$57,卡牌消耗!AT1341)*INDEX(卡牌消耗!$B$8:$F$8,AR1341)/$Q$4/50,0)*50</f>
        <v>33350</v>
      </c>
      <c r="AW1341" s="14" t="str">
        <f>IF(AN1341&gt;0,INDEX(挂机升级突破!$DT$4:$ED$4,AN1341),"")</f>
        <v>橙色基础材料</v>
      </c>
      <c r="AX1341" s="14">
        <f>ROUND(INDEX(挂机升级突破!$DT$6:$ED$57,卡牌消耗!AT1341,AN1341)*INDEX(卡牌消耗!$B$5:$F$5,AR1341)/$Q$4/5,0)*5</f>
        <v>45</v>
      </c>
      <c r="AY1341" s="14" t="str">
        <f>IF(AO1341&gt;0,INDEX(挂机升级突破!$DT$4:$ED$4,AO1341),"")</f>
        <v/>
      </c>
      <c r="AZ1341" s="14" t="str">
        <f>IF(AO1341&gt;0,ROUND(INDEX(挂机升级突破!$DT$6:$ED$57,卡牌消耗!AT1341,AO1341)*INDEX(卡牌消耗!$B$7:$F$7,AR1341)/$Q$4,0),"")</f>
        <v/>
      </c>
    </row>
    <row r="1342" spans="37:52" ht="16.5" x14ac:dyDescent="0.2">
      <c r="AK1342" s="104">
        <v>1338</v>
      </c>
      <c r="AL1342" s="14">
        <f t="shared" si="445"/>
        <v>26</v>
      </c>
      <c r="AM1342" s="14">
        <f>INDEX(挂机升级突破!DQ$6:DQ$57,卡牌消耗!$AT1342)</f>
        <v>11</v>
      </c>
      <c r="AN1342" s="14">
        <f>INDEX(挂机升级突破!DR$6:DR$57,卡牌消耗!$AT1342)</f>
        <v>5</v>
      </c>
      <c r="AO1342" s="14">
        <f>INDEX(挂机升级突破!DS$6:DS$57,卡牌消耗!$AT1342)</f>
        <v>0</v>
      </c>
      <c r="AP1342" s="14">
        <f>INDEX(挂机升级突破!$DP$6:$DP$57,卡牌消耗!AT1342)</f>
        <v>113</v>
      </c>
      <c r="AQ1342" s="14" t="str">
        <f t="shared" si="446"/>
        <v>吕布</v>
      </c>
      <c r="AR1342" s="14">
        <f t="shared" si="447"/>
        <v>5</v>
      </c>
      <c r="AS1342" s="14" t="str">
        <f t="shared" si="448"/>
        <v>吕布魂火-38</v>
      </c>
      <c r="AT1342" s="14">
        <f t="shared" si="449"/>
        <v>38</v>
      </c>
      <c r="AU1342" s="14" t="str">
        <f>IF(AM1342&gt;0,INDEX(挂机升级突破!$DT$4:$ED$4,AM1342),"")</f>
        <v>金币</v>
      </c>
      <c r="AV1342" s="14">
        <f>ROUND(INDEX(挂机升级突破!$DJ$6:$DJ$57,卡牌消耗!AT1342)*INDEX(卡牌消耗!$B$8:$F$8,AR1342)/$Q$4/50,0)*50</f>
        <v>43000</v>
      </c>
      <c r="AW1342" s="14" t="str">
        <f>IF(AN1342&gt;0,INDEX(挂机升级突破!$DT$4:$ED$4,AN1342),"")</f>
        <v>红色基础材料</v>
      </c>
      <c r="AX1342" s="14">
        <f>ROUND(INDEX(挂机升级突破!$DT$6:$ED$57,卡牌消耗!AT1342,AN1342)*INDEX(卡牌消耗!$B$5:$F$5,AR1342)/$Q$4/5,0)*5</f>
        <v>10</v>
      </c>
      <c r="AY1342" s="14" t="str">
        <f>IF(AO1342&gt;0,INDEX(挂机升级突破!$DT$4:$ED$4,AO1342),"")</f>
        <v/>
      </c>
      <c r="AZ1342" s="14" t="str">
        <f>IF(AO1342&gt;0,ROUND(INDEX(挂机升级突破!$DT$6:$ED$57,卡牌消耗!AT1342,AO1342)*INDEX(卡牌消耗!$B$7:$F$7,AR1342)/$Q$4,0),"")</f>
        <v/>
      </c>
    </row>
    <row r="1343" spans="37:52" ht="16.5" x14ac:dyDescent="0.2">
      <c r="AK1343" s="104">
        <v>1339</v>
      </c>
      <c r="AL1343" s="14">
        <f t="shared" si="445"/>
        <v>26</v>
      </c>
      <c r="AM1343" s="14">
        <f>INDEX(挂机升级突破!DQ$6:DQ$57,卡牌消耗!$AT1343)</f>
        <v>11</v>
      </c>
      <c r="AN1343" s="14">
        <f>INDEX(挂机升级突破!DR$6:DR$57,卡牌消耗!$AT1343)</f>
        <v>5</v>
      </c>
      <c r="AO1343" s="14">
        <f>INDEX(挂机升级突破!DS$6:DS$57,卡牌消耗!$AT1343)</f>
        <v>0</v>
      </c>
      <c r="AP1343" s="14">
        <f>INDEX(挂机升级突破!$DP$6:$DP$57,卡牌消耗!AT1343)</f>
        <v>115</v>
      </c>
      <c r="AQ1343" s="14" t="str">
        <f t="shared" si="446"/>
        <v>吕布</v>
      </c>
      <c r="AR1343" s="14">
        <f t="shared" si="447"/>
        <v>5</v>
      </c>
      <c r="AS1343" s="14" t="str">
        <f t="shared" si="448"/>
        <v>吕布魂火-39</v>
      </c>
      <c r="AT1343" s="14">
        <f t="shared" si="449"/>
        <v>39</v>
      </c>
      <c r="AU1343" s="14" t="str">
        <f>IF(AM1343&gt;0,INDEX(挂机升级突破!$DT$4:$ED$4,AM1343),"")</f>
        <v>金币</v>
      </c>
      <c r="AV1343" s="14">
        <f>ROUND(INDEX(挂机升级突破!$DJ$6:$DJ$57,卡牌消耗!AT1343)*INDEX(卡牌消耗!$B$8:$F$8,AR1343)/$Q$4/50,0)*50</f>
        <v>43000</v>
      </c>
      <c r="AW1343" s="14" t="str">
        <f>IF(AN1343&gt;0,INDEX(挂机升级突破!$DT$4:$ED$4,AN1343),"")</f>
        <v>红色基础材料</v>
      </c>
      <c r="AX1343" s="14">
        <f>ROUND(INDEX(挂机升级突破!$DT$6:$ED$57,卡牌消耗!AT1343,AN1343)*INDEX(卡牌消耗!$B$5:$F$5,AR1343)/$Q$4/5,0)*5</f>
        <v>10</v>
      </c>
      <c r="AY1343" s="14" t="str">
        <f>IF(AO1343&gt;0,INDEX(挂机升级突破!$DT$4:$ED$4,AO1343),"")</f>
        <v/>
      </c>
      <c r="AZ1343" s="14" t="str">
        <f>IF(AO1343&gt;0,ROUND(INDEX(挂机升级突破!$DT$6:$ED$57,卡牌消耗!AT1343,AO1343)*INDEX(卡牌消耗!$B$7:$F$7,AR1343)/$Q$4,0),"")</f>
        <v/>
      </c>
    </row>
    <row r="1344" spans="37:52" ht="16.5" x14ac:dyDescent="0.2">
      <c r="AK1344" s="104">
        <v>1340</v>
      </c>
      <c r="AL1344" s="14">
        <f t="shared" si="445"/>
        <v>26</v>
      </c>
      <c r="AM1344" s="14">
        <f>INDEX(挂机升级突破!DQ$6:DQ$57,卡牌消耗!$AT1344)</f>
        <v>11</v>
      </c>
      <c r="AN1344" s="14">
        <f>INDEX(挂机升级突破!DR$6:DR$57,卡牌消耗!$AT1344)</f>
        <v>5</v>
      </c>
      <c r="AO1344" s="14">
        <f>INDEX(挂机升级突破!DS$6:DS$57,卡牌消耗!$AT1344)</f>
        <v>0</v>
      </c>
      <c r="AP1344" s="14">
        <f>INDEX(挂机升级突破!$DP$6:$DP$57,卡牌消耗!AT1344)</f>
        <v>118</v>
      </c>
      <c r="AQ1344" s="14" t="str">
        <f t="shared" si="446"/>
        <v>吕布</v>
      </c>
      <c r="AR1344" s="14">
        <f t="shared" si="447"/>
        <v>5</v>
      </c>
      <c r="AS1344" s="14" t="str">
        <f t="shared" si="448"/>
        <v>吕布魂火-40</v>
      </c>
      <c r="AT1344" s="14">
        <f t="shared" si="449"/>
        <v>40</v>
      </c>
      <c r="AU1344" s="14" t="str">
        <f>IF(AM1344&gt;0,INDEX(挂机升级突破!$DT$4:$ED$4,AM1344),"")</f>
        <v>金币</v>
      </c>
      <c r="AV1344" s="14">
        <f>ROUND(INDEX(挂机升级突破!$DJ$6:$DJ$57,卡牌消耗!AT1344)*INDEX(卡牌消耗!$B$8:$F$8,AR1344)/$Q$4/50,0)*50</f>
        <v>43000</v>
      </c>
      <c r="AW1344" s="14" t="str">
        <f>IF(AN1344&gt;0,INDEX(挂机升级突破!$DT$4:$ED$4,AN1344),"")</f>
        <v>红色基础材料</v>
      </c>
      <c r="AX1344" s="14">
        <f>ROUND(INDEX(挂机升级突破!$DT$6:$ED$57,卡牌消耗!AT1344,AN1344)*INDEX(卡牌消耗!$B$5:$F$5,AR1344)/$Q$4/5,0)*5</f>
        <v>10</v>
      </c>
      <c r="AY1344" s="14" t="str">
        <f>IF(AO1344&gt;0,INDEX(挂机升级突破!$DT$4:$ED$4,AO1344),"")</f>
        <v/>
      </c>
      <c r="AZ1344" s="14" t="str">
        <f>IF(AO1344&gt;0,ROUND(INDEX(挂机升级突破!$DT$6:$ED$57,卡牌消耗!AT1344,AO1344)*INDEX(卡牌消耗!$B$7:$F$7,AR1344)/$Q$4,0),"")</f>
        <v/>
      </c>
    </row>
    <row r="1345" spans="37:52" ht="16.5" x14ac:dyDescent="0.2">
      <c r="AK1345" s="104">
        <v>1341</v>
      </c>
      <c r="AL1345" s="14">
        <f t="shared" si="445"/>
        <v>26</v>
      </c>
      <c r="AM1345" s="14">
        <f>INDEX(挂机升级突破!DQ$6:DQ$57,卡牌消耗!$AT1345)</f>
        <v>11</v>
      </c>
      <c r="AN1345" s="14">
        <f>INDEX(挂机升级突破!DR$6:DR$57,卡牌消耗!$AT1345)</f>
        <v>5</v>
      </c>
      <c r="AO1345" s="14">
        <f>INDEX(挂机升级突破!DS$6:DS$57,卡牌消耗!$AT1345)</f>
        <v>10</v>
      </c>
      <c r="AP1345" s="14">
        <f>INDEX(挂机升级突破!$DP$6:$DP$57,卡牌消耗!AT1345)</f>
        <v>120</v>
      </c>
      <c r="AQ1345" s="14" t="str">
        <f t="shared" si="446"/>
        <v>吕布</v>
      </c>
      <c r="AR1345" s="14">
        <f t="shared" si="447"/>
        <v>5</v>
      </c>
      <c r="AS1345" s="14" t="str">
        <f t="shared" si="448"/>
        <v>吕布魂火-41</v>
      </c>
      <c r="AT1345" s="14">
        <f t="shared" si="449"/>
        <v>41</v>
      </c>
      <c r="AU1345" s="14" t="str">
        <f>IF(AM1345&gt;0,INDEX(挂机升级突破!$DT$4:$ED$4,AM1345),"")</f>
        <v>金币</v>
      </c>
      <c r="AV1345" s="14">
        <f>ROUND(INDEX(挂机升级突破!$DJ$6:$DJ$57,卡牌消耗!AT1345)*INDEX(卡牌消耗!$B$8:$F$8,AR1345)/$Q$4/50,0)*50</f>
        <v>59100</v>
      </c>
      <c r="AW1345" s="14" t="str">
        <f>IF(AN1345&gt;0,INDEX(挂机升级突破!$DT$4:$ED$4,AN1345),"")</f>
        <v>红色基础材料</v>
      </c>
      <c r="AX1345" s="14">
        <f>ROUND(INDEX(挂机升级突破!$DT$6:$ED$57,卡牌消耗!AT1345,AN1345)*INDEX(卡牌消耗!$B$5:$F$5,AR1345)/$Q$4/5,0)*5</f>
        <v>15</v>
      </c>
      <c r="AY1345" s="14" t="str">
        <f>IF(AO1345&gt;0,INDEX(挂机升级突破!$DT$4:$ED$4,AO1345),"")</f>
        <v>灵玉</v>
      </c>
      <c r="AZ1345" s="14">
        <f>IF(AO1345&gt;0,ROUND(INDEX(挂机升级突破!$DT$6:$ED$57,卡牌消耗!AT1345,AO1345)*INDEX(卡牌消耗!$B$7:$F$7,AR1345)/$Q$4,0),"")</f>
        <v>4</v>
      </c>
    </row>
    <row r="1346" spans="37:52" ht="16.5" x14ac:dyDescent="0.2">
      <c r="AK1346" s="104">
        <v>1342</v>
      </c>
      <c r="AL1346" s="14">
        <f t="shared" si="445"/>
        <v>26</v>
      </c>
      <c r="AM1346" s="14">
        <f>INDEX(挂机升级突破!DQ$6:DQ$57,卡牌消耗!$AT1346)</f>
        <v>11</v>
      </c>
      <c r="AN1346" s="14">
        <f>INDEX(挂机升级突破!DR$6:DR$57,卡牌消耗!$AT1346)</f>
        <v>5</v>
      </c>
      <c r="AO1346" s="14">
        <f>INDEX(挂机升级突破!DS$6:DS$57,卡牌消耗!$AT1346)</f>
        <v>10</v>
      </c>
      <c r="AP1346" s="14">
        <f>INDEX(挂机升级突破!$DP$6:$DP$57,卡牌消耗!AT1346)</f>
        <v>123</v>
      </c>
      <c r="AQ1346" s="14" t="str">
        <f t="shared" si="446"/>
        <v>吕布</v>
      </c>
      <c r="AR1346" s="14">
        <f t="shared" si="447"/>
        <v>5</v>
      </c>
      <c r="AS1346" s="14" t="str">
        <f t="shared" si="448"/>
        <v>吕布魂火-42</v>
      </c>
      <c r="AT1346" s="14">
        <f t="shared" si="449"/>
        <v>42</v>
      </c>
      <c r="AU1346" s="14" t="str">
        <f>IF(AM1346&gt;0,INDEX(挂机升级突破!$DT$4:$ED$4,AM1346),"")</f>
        <v>金币</v>
      </c>
      <c r="AV1346" s="14">
        <f>ROUND(INDEX(挂机升级突破!$DJ$6:$DJ$57,卡牌消耗!AT1346)*INDEX(卡牌消耗!$B$8:$F$8,AR1346)/$Q$4/50,0)*50</f>
        <v>59100</v>
      </c>
      <c r="AW1346" s="14" t="str">
        <f>IF(AN1346&gt;0,INDEX(挂机升级突破!$DT$4:$ED$4,AN1346),"")</f>
        <v>红色基础材料</v>
      </c>
      <c r="AX1346" s="14">
        <f>ROUND(INDEX(挂机升级突破!$DT$6:$ED$57,卡牌消耗!AT1346,AN1346)*INDEX(卡牌消耗!$B$5:$F$5,AR1346)/$Q$4/5,0)*5</f>
        <v>15</v>
      </c>
      <c r="AY1346" s="14" t="str">
        <f>IF(AO1346&gt;0,INDEX(挂机升级突破!$DT$4:$ED$4,AO1346),"")</f>
        <v>灵玉</v>
      </c>
      <c r="AZ1346" s="14">
        <f>IF(AO1346&gt;0,ROUND(INDEX(挂机升级突破!$DT$6:$ED$57,卡牌消耗!AT1346,AO1346)*INDEX(卡牌消耗!$B$7:$F$7,AR1346)/$Q$4,0),"")</f>
        <v>4</v>
      </c>
    </row>
    <row r="1347" spans="37:52" ht="16.5" x14ac:dyDescent="0.2">
      <c r="AK1347" s="104">
        <v>1343</v>
      </c>
      <c r="AL1347" s="14">
        <f t="shared" si="445"/>
        <v>26</v>
      </c>
      <c r="AM1347" s="14">
        <f>INDEX(挂机升级突破!DQ$6:DQ$57,卡牌消耗!$AT1347)</f>
        <v>11</v>
      </c>
      <c r="AN1347" s="14">
        <f>INDEX(挂机升级突破!DR$6:DR$57,卡牌消耗!$AT1347)</f>
        <v>5</v>
      </c>
      <c r="AO1347" s="14">
        <f>INDEX(挂机升级突破!DS$6:DS$57,卡牌消耗!$AT1347)</f>
        <v>10</v>
      </c>
      <c r="AP1347" s="14">
        <f>INDEX(挂机升级突破!$DP$6:$DP$57,卡牌消耗!AT1347)</f>
        <v>125</v>
      </c>
      <c r="AQ1347" s="14" t="str">
        <f t="shared" si="446"/>
        <v>吕布</v>
      </c>
      <c r="AR1347" s="14">
        <f t="shared" si="447"/>
        <v>5</v>
      </c>
      <c r="AS1347" s="14" t="str">
        <f t="shared" si="448"/>
        <v>吕布魂火-43</v>
      </c>
      <c r="AT1347" s="14">
        <f t="shared" si="449"/>
        <v>43</v>
      </c>
      <c r="AU1347" s="14" t="str">
        <f>IF(AM1347&gt;0,INDEX(挂机升级突破!$DT$4:$ED$4,AM1347),"")</f>
        <v>金币</v>
      </c>
      <c r="AV1347" s="14">
        <f>ROUND(INDEX(挂机升级突破!$DJ$6:$DJ$57,卡牌消耗!AT1347)*INDEX(卡牌消耗!$B$8:$F$8,AR1347)/$Q$4/50,0)*50</f>
        <v>59100</v>
      </c>
      <c r="AW1347" s="14" t="str">
        <f>IF(AN1347&gt;0,INDEX(挂机升级突破!$DT$4:$ED$4,AN1347),"")</f>
        <v>红色基础材料</v>
      </c>
      <c r="AX1347" s="14">
        <f>ROUND(INDEX(挂机升级突破!$DT$6:$ED$57,卡牌消耗!AT1347,AN1347)*INDEX(卡牌消耗!$B$5:$F$5,AR1347)/$Q$4/5,0)*5</f>
        <v>15</v>
      </c>
      <c r="AY1347" s="14" t="str">
        <f>IF(AO1347&gt;0,INDEX(挂机升级突破!$DT$4:$ED$4,AO1347),"")</f>
        <v>灵玉</v>
      </c>
      <c r="AZ1347" s="14">
        <f>IF(AO1347&gt;0,ROUND(INDEX(挂机升级突破!$DT$6:$ED$57,卡牌消耗!AT1347,AO1347)*INDEX(卡牌消耗!$B$7:$F$7,AR1347)/$Q$4,0),"")</f>
        <v>4</v>
      </c>
    </row>
    <row r="1348" spans="37:52" ht="16.5" x14ac:dyDescent="0.2">
      <c r="AK1348" s="104">
        <v>1344</v>
      </c>
      <c r="AL1348" s="14">
        <f t="shared" si="445"/>
        <v>26</v>
      </c>
      <c r="AM1348" s="14">
        <f>INDEX(挂机升级突破!DQ$6:DQ$57,卡牌消耗!$AT1348)</f>
        <v>11</v>
      </c>
      <c r="AN1348" s="14">
        <f>INDEX(挂机升级突破!DR$6:DR$57,卡牌消耗!$AT1348)</f>
        <v>5</v>
      </c>
      <c r="AO1348" s="14">
        <f>INDEX(挂机升级突破!DS$6:DS$57,卡牌消耗!$AT1348)</f>
        <v>10</v>
      </c>
      <c r="AP1348" s="14">
        <f>INDEX(挂机升级突破!$DP$6:$DP$57,卡牌消耗!AT1348)</f>
        <v>128</v>
      </c>
      <c r="AQ1348" s="14" t="str">
        <f t="shared" si="446"/>
        <v>吕布</v>
      </c>
      <c r="AR1348" s="14">
        <f t="shared" si="447"/>
        <v>5</v>
      </c>
      <c r="AS1348" s="14" t="str">
        <f t="shared" si="448"/>
        <v>吕布魂火-44</v>
      </c>
      <c r="AT1348" s="14">
        <f t="shared" si="449"/>
        <v>44</v>
      </c>
      <c r="AU1348" s="14" t="str">
        <f>IF(AM1348&gt;0,INDEX(挂机升级突破!$DT$4:$ED$4,AM1348),"")</f>
        <v>金币</v>
      </c>
      <c r="AV1348" s="14">
        <f>ROUND(INDEX(挂机升级突破!$DJ$6:$DJ$57,卡牌消耗!AT1348)*INDEX(卡牌消耗!$B$8:$F$8,AR1348)/$Q$4/50,0)*50</f>
        <v>75200</v>
      </c>
      <c r="AW1348" s="14" t="str">
        <f>IF(AN1348&gt;0,INDEX(挂机升级突破!$DT$4:$ED$4,AN1348),"")</f>
        <v>红色基础材料</v>
      </c>
      <c r="AX1348" s="14">
        <f>ROUND(INDEX(挂机升级突破!$DT$6:$ED$57,卡牌消耗!AT1348,AN1348)*INDEX(卡牌消耗!$B$5:$F$5,AR1348)/$Q$4/5,0)*5</f>
        <v>15</v>
      </c>
      <c r="AY1348" s="14" t="str">
        <f>IF(AO1348&gt;0,INDEX(挂机升级突破!$DT$4:$ED$4,AO1348),"")</f>
        <v>灵玉</v>
      </c>
      <c r="AZ1348" s="14">
        <f>IF(AO1348&gt;0,ROUND(INDEX(挂机升级突破!$DT$6:$ED$57,卡牌消耗!AT1348,AO1348)*INDEX(卡牌消耗!$B$7:$F$7,AR1348)/$Q$4,0),"")</f>
        <v>4</v>
      </c>
    </row>
    <row r="1349" spans="37:52" ht="16.5" x14ac:dyDescent="0.2">
      <c r="AK1349" s="104">
        <v>1345</v>
      </c>
      <c r="AL1349" s="14">
        <f t="shared" si="445"/>
        <v>26</v>
      </c>
      <c r="AM1349" s="14">
        <f>INDEX(挂机升级突破!DQ$6:DQ$57,卡牌消耗!$AT1349)</f>
        <v>11</v>
      </c>
      <c r="AN1349" s="14">
        <f>INDEX(挂机升级突破!DR$6:DR$57,卡牌消耗!$AT1349)</f>
        <v>5</v>
      </c>
      <c r="AO1349" s="14">
        <f>INDEX(挂机升级突破!DS$6:DS$57,卡牌消耗!$AT1349)</f>
        <v>10</v>
      </c>
      <c r="AP1349" s="14">
        <f>INDEX(挂机升级突破!$DP$6:$DP$57,卡牌消耗!AT1349)</f>
        <v>130</v>
      </c>
      <c r="AQ1349" s="14" t="str">
        <f t="shared" si="446"/>
        <v>吕布</v>
      </c>
      <c r="AR1349" s="14">
        <f t="shared" si="447"/>
        <v>5</v>
      </c>
      <c r="AS1349" s="14" t="str">
        <f t="shared" si="448"/>
        <v>吕布魂火-45</v>
      </c>
      <c r="AT1349" s="14">
        <f t="shared" si="449"/>
        <v>45</v>
      </c>
      <c r="AU1349" s="14" t="str">
        <f>IF(AM1349&gt;0,INDEX(挂机升级突破!$DT$4:$ED$4,AM1349),"")</f>
        <v>金币</v>
      </c>
      <c r="AV1349" s="14">
        <f>ROUND(INDEX(挂机升级突破!$DJ$6:$DJ$57,卡牌消耗!AT1349)*INDEX(卡牌消耗!$B$8:$F$8,AR1349)/$Q$4/50,0)*50</f>
        <v>75200</v>
      </c>
      <c r="AW1349" s="14" t="str">
        <f>IF(AN1349&gt;0,INDEX(挂机升级突破!$DT$4:$ED$4,AN1349),"")</f>
        <v>红色基础材料</v>
      </c>
      <c r="AX1349" s="14">
        <f>ROUND(INDEX(挂机升级突破!$DT$6:$ED$57,卡牌消耗!AT1349,AN1349)*INDEX(卡牌消耗!$B$5:$F$5,AR1349)/$Q$4/5,0)*5</f>
        <v>15</v>
      </c>
      <c r="AY1349" s="14" t="str">
        <f>IF(AO1349&gt;0,INDEX(挂机升级突破!$DT$4:$ED$4,AO1349),"")</f>
        <v>灵玉</v>
      </c>
      <c r="AZ1349" s="14">
        <f>IF(AO1349&gt;0,ROUND(INDEX(挂机升级突破!$DT$6:$ED$57,卡牌消耗!AT1349,AO1349)*INDEX(卡牌消耗!$B$7:$F$7,AR1349)/$Q$4,0),"")</f>
        <v>4</v>
      </c>
    </row>
    <row r="1350" spans="37:52" ht="16.5" x14ac:dyDescent="0.2">
      <c r="AK1350" s="104">
        <v>1346</v>
      </c>
      <c r="AL1350" s="14">
        <f t="shared" ref="AL1350:AL1413" si="450">INT((AK1350-1)/52)+1</f>
        <v>26</v>
      </c>
      <c r="AM1350" s="14">
        <f>INDEX(挂机升级突破!DQ$6:DQ$57,卡牌消耗!$AT1350)</f>
        <v>11</v>
      </c>
      <c r="AN1350" s="14">
        <f>INDEX(挂机升级突破!DR$6:DR$57,卡牌消耗!$AT1350)</f>
        <v>5</v>
      </c>
      <c r="AO1350" s="14">
        <f>INDEX(挂机升级突破!DS$6:DS$57,卡牌消耗!$AT1350)</f>
        <v>10</v>
      </c>
      <c r="AP1350" s="14">
        <f>INDEX(挂机升级突破!$DP$6:$DP$57,卡牌消耗!AT1350)</f>
        <v>133</v>
      </c>
      <c r="AQ1350" s="14" t="str">
        <f t="shared" ref="AQ1350:AQ1413" si="451">INDEX($B$13:$B$45,AL1350)</f>
        <v>吕布</v>
      </c>
      <c r="AR1350" s="14">
        <f t="shared" ref="AR1350:AR1413" si="452">INDEX($C$13:$C$45,AL1350)</f>
        <v>5</v>
      </c>
      <c r="AS1350" s="14" t="str">
        <f t="shared" ref="AS1350:AS1413" si="453">AQ1350&amp;"魂火-"&amp;AT1350</f>
        <v>吕布魂火-46</v>
      </c>
      <c r="AT1350" s="14">
        <f t="shared" ref="AT1350:AT1413" si="454">AK1350-(AL1350-1)*52</f>
        <v>46</v>
      </c>
      <c r="AU1350" s="14" t="str">
        <f>IF(AM1350&gt;0,INDEX(挂机升级突破!$DT$4:$ED$4,AM1350),"")</f>
        <v>金币</v>
      </c>
      <c r="AV1350" s="14">
        <f>ROUND(INDEX(挂机升级突破!$DJ$6:$DJ$57,卡牌消耗!AT1350)*INDEX(卡牌消耗!$B$8:$F$8,AR1350)/$Q$4/50,0)*50</f>
        <v>80600</v>
      </c>
      <c r="AW1350" s="14" t="str">
        <f>IF(AN1350&gt;0,INDEX(挂机升级突破!$DT$4:$ED$4,AN1350),"")</f>
        <v>红色基础材料</v>
      </c>
      <c r="AX1350" s="14">
        <f>ROUND(INDEX(挂机升级突破!$DT$6:$ED$57,卡牌消耗!AT1350,AN1350)*INDEX(卡牌消耗!$B$5:$F$5,AR1350)/$Q$4/5,0)*5</f>
        <v>15</v>
      </c>
      <c r="AY1350" s="14" t="str">
        <f>IF(AO1350&gt;0,INDEX(挂机升级突破!$DT$4:$ED$4,AO1350),"")</f>
        <v>灵玉</v>
      </c>
      <c r="AZ1350" s="14">
        <f>IF(AO1350&gt;0,ROUND(INDEX(挂机升级突破!$DT$6:$ED$57,卡牌消耗!AT1350,AO1350)*INDEX(卡牌消耗!$B$7:$F$7,AR1350)/$Q$4,0),"")</f>
        <v>4</v>
      </c>
    </row>
    <row r="1351" spans="37:52" ht="16.5" x14ac:dyDescent="0.2">
      <c r="AK1351" s="104">
        <v>1347</v>
      </c>
      <c r="AL1351" s="14">
        <f t="shared" si="450"/>
        <v>26</v>
      </c>
      <c r="AM1351" s="14">
        <f>INDEX(挂机升级突破!DQ$6:DQ$57,卡牌消耗!$AT1351)</f>
        <v>11</v>
      </c>
      <c r="AN1351" s="14">
        <f>INDEX(挂机升级突破!DR$6:DR$57,卡牌消耗!$AT1351)</f>
        <v>5</v>
      </c>
      <c r="AO1351" s="14">
        <f>INDEX(挂机升级突破!DS$6:DS$57,卡牌消耗!$AT1351)</f>
        <v>10</v>
      </c>
      <c r="AP1351" s="14">
        <f>INDEX(挂机升级突破!$DP$6:$DP$57,卡牌消耗!AT1351)</f>
        <v>135</v>
      </c>
      <c r="AQ1351" s="14" t="str">
        <f t="shared" si="451"/>
        <v>吕布</v>
      </c>
      <c r="AR1351" s="14">
        <f t="shared" si="452"/>
        <v>5</v>
      </c>
      <c r="AS1351" s="14" t="str">
        <f t="shared" si="453"/>
        <v>吕布魂火-47</v>
      </c>
      <c r="AT1351" s="14">
        <f t="shared" si="454"/>
        <v>47</v>
      </c>
      <c r="AU1351" s="14" t="str">
        <f>IF(AM1351&gt;0,INDEX(挂机升级突破!$DT$4:$ED$4,AM1351),"")</f>
        <v>金币</v>
      </c>
      <c r="AV1351" s="14">
        <f>ROUND(INDEX(挂机升级突破!$DJ$6:$DJ$57,卡牌消耗!AT1351)*INDEX(卡牌消耗!$B$8:$F$8,AR1351)/$Q$4/50,0)*50</f>
        <v>164100</v>
      </c>
      <c r="AW1351" s="14" t="str">
        <f>IF(AN1351&gt;0,INDEX(挂机升级突破!$DT$4:$ED$4,AN1351),"")</f>
        <v>红色基础材料</v>
      </c>
      <c r="AX1351" s="14">
        <f>ROUND(INDEX(挂机升级突破!$DT$6:$ED$57,卡牌消耗!AT1351,AN1351)*INDEX(卡牌消耗!$B$5:$F$5,AR1351)/$Q$4/5,0)*5</f>
        <v>15</v>
      </c>
      <c r="AY1351" s="14" t="str">
        <f>IF(AO1351&gt;0,INDEX(挂机升级突破!$DT$4:$ED$4,AO1351),"")</f>
        <v>灵玉</v>
      </c>
      <c r="AZ1351" s="14">
        <f>IF(AO1351&gt;0,ROUND(INDEX(挂机升级突破!$DT$6:$ED$57,卡牌消耗!AT1351,AO1351)*INDEX(卡牌消耗!$B$7:$F$7,AR1351)/$Q$4,0),"")</f>
        <v>4</v>
      </c>
    </row>
    <row r="1352" spans="37:52" ht="16.5" x14ac:dyDescent="0.2">
      <c r="AK1352" s="104">
        <v>1348</v>
      </c>
      <c r="AL1352" s="14">
        <f t="shared" si="450"/>
        <v>26</v>
      </c>
      <c r="AM1352" s="14">
        <f>INDEX(挂机升级突破!DQ$6:DQ$57,卡牌消耗!$AT1352)</f>
        <v>11</v>
      </c>
      <c r="AN1352" s="14">
        <f>INDEX(挂机升级突破!DR$6:DR$57,卡牌消耗!$AT1352)</f>
        <v>5</v>
      </c>
      <c r="AO1352" s="14">
        <f>INDEX(挂机升级突破!DS$6:DS$57,卡牌消耗!$AT1352)</f>
        <v>10</v>
      </c>
      <c r="AP1352" s="14">
        <f>INDEX(挂机升级突破!$DP$6:$DP$57,卡牌消耗!AT1352)</f>
        <v>138</v>
      </c>
      <c r="AQ1352" s="14" t="str">
        <f t="shared" si="451"/>
        <v>吕布</v>
      </c>
      <c r="AR1352" s="14">
        <f t="shared" si="452"/>
        <v>5</v>
      </c>
      <c r="AS1352" s="14" t="str">
        <f t="shared" si="453"/>
        <v>吕布魂火-48</v>
      </c>
      <c r="AT1352" s="14">
        <f t="shared" si="454"/>
        <v>48</v>
      </c>
      <c r="AU1352" s="14" t="str">
        <f>IF(AM1352&gt;0,INDEX(挂机升级突破!$DT$4:$ED$4,AM1352),"")</f>
        <v>金币</v>
      </c>
      <c r="AV1352" s="14">
        <f>ROUND(INDEX(挂机升级突破!$DJ$6:$DJ$57,卡牌消耗!AT1352)*INDEX(卡牌消耗!$B$8:$F$8,AR1352)/$Q$4/50,0)*50</f>
        <v>164100</v>
      </c>
      <c r="AW1352" s="14" t="str">
        <f>IF(AN1352&gt;0,INDEX(挂机升级突破!$DT$4:$ED$4,AN1352),"")</f>
        <v>红色基础材料</v>
      </c>
      <c r="AX1352" s="14">
        <f>ROUND(INDEX(挂机升级突破!$DT$6:$ED$57,卡牌消耗!AT1352,AN1352)*INDEX(卡牌消耗!$B$5:$F$5,AR1352)/$Q$4/5,0)*5</f>
        <v>15</v>
      </c>
      <c r="AY1352" s="14" t="str">
        <f>IF(AO1352&gt;0,INDEX(挂机升级突破!$DT$4:$ED$4,AO1352),"")</f>
        <v>灵玉</v>
      </c>
      <c r="AZ1352" s="14">
        <f>IF(AO1352&gt;0,ROUND(INDEX(挂机升级突破!$DT$6:$ED$57,卡牌消耗!AT1352,AO1352)*INDEX(卡牌消耗!$B$7:$F$7,AR1352)/$Q$4,0),"")</f>
        <v>4</v>
      </c>
    </row>
    <row r="1353" spans="37:52" ht="16.5" x14ac:dyDescent="0.2">
      <c r="AK1353" s="104">
        <v>1349</v>
      </c>
      <c r="AL1353" s="14">
        <f t="shared" si="450"/>
        <v>26</v>
      </c>
      <c r="AM1353" s="14">
        <f>INDEX(挂机升级突破!DQ$6:DQ$57,卡牌消耗!$AT1353)</f>
        <v>11</v>
      </c>
      <c r="AN1353" s="14">
        <f>INDEX(挂机升级突破!DR$6:DR$57,卡牌消耗!$AT1353)</f>
        <v>5</v>
      </c>
      <c r="AO1353" s="14">
        <f>INDEX(挂机升级突破!DS$6:DS$57,卡牌消耗!$AT1353)</f>
        <v>10</v>
      </c>
      <c r="AP1353" s="14">
        <f>INDEX(挂机升级突破!$DP$6:$DP$57,卡牌消耗!AT1353)</f>
        <v>140</v>
      </c>
      <c r="AQ1353" s="14" t="str">
        <f t="shared" si="451"/>
        <v>吕布</v>
      </c>
      <c r="AR1353" s="14">
        <f t="shared" si="452"/>
        <v>5</v>
      </c>
      <c r="AS1353" s="14" t="str">
        <f t="shared" si="453"/>
        <v>吕布魂火-49</v>
      </c>
      <c r="AT1353" s="14">
        <f t="shared" si="454"/>
        <v>49</v>
      </c>
      <c r="AU1353" s="14" t="str">
        <f>IF(AM1353&gt;0,INDEX(挂机升级突破!$DT$4:$ED$4,AM1353),"")</f>
        <v>金币</v>
      </c>
      <c r="AV1353" s="14">
        <f>ROUND(INDEX(挂机升级突破!$DJ$6:$DJ$57,卡牌消耗!AT1353)*INDEX(卡牌消耗!$B$8:$F$8,AR1353)/$Q$4/50,0)*50</f>
        <v>164100</v>
      </c>
      <c r="AW1353" s="14" t="str">
        <f>IF(AN1353&gt;0,INDEX(挂机升级突破!$DT$4:$ED$4,AN1353),"")</f>
        <v>红色基础材料</v>
      </c>
      <c r="AX1353" s="14">
        <f>ROUND(INDEX(挂机升级突破!$DT$6:$ED$57,卡牌消耗!AT1353,AN1353)*INDEX(卡牌消耗!$B$5:$F$5,AR1353)/$Q$4/5,0)*5</f>
        <v>20</v>
      </c>
      <c r="AY1353" s="14" t="str">
        <f>IF(AO1353&gt;0,INDEX(挂机升级突破!$DT$4:$ED$4,AO1353),"")</f>
        <v>灵玉</v>
      </c>
      <c r="AZ1353" s="14">
        <f>IF(AO1353&gt;0,ROUND(INDEX(挂机升级突破!$DT$6:$ED$57,卡牌消耗!AT1353,AO1353)*INDEX(卡牌消耗!$B$7:$F$7,AR1353)/$Q$4,0),"")</f>
        <v>4</v>
      </c>
    </row>
    <row r="1354" spans="37:52" ht="16.5" x14ac:dyDescent="0.2">
      <c r="AK1354" s="104">
        <v>1350</v>
      </c>
      <c r="AL1354" s="14">
        <f t="shared" si="450"/>
        <v>26</v>
      </c>
      <c r="AM1354" s="14">
        <f>INDEX(挂机升级突破!DQ$6:DQ$57,卡牌消耗!$AT1354)</f>
        <v>11</v>
      </c>
      <c r="AN1354" s="14">
        <f>INDEX(挂机升级突破!DR$6:DR$57,卡牌消耗!$AT1354)</f>
        <v>5</v>
      </c>
      <c r="AO1354" s="14">
        <f>INDEX(挂机升级突破!DS$6:DS$57,卡牌消耗!$AT1354)</f>
        <v>10</v>
      </c>
      <c r="AP1354" s="14">
        <f>INDEX(挂机升级突破!$DP$6:$DP$57,卡牌消耗!AT1354)</f>
        <v>143</v>
      </c>
      <c r="AQ1354" s="14" t="str">
        <f t="shared" si="451"/>
        <v>吕布</v>
      </c>
      <c r="AR1354" s="14">
        <f t="shared" si="452"/>
        <v>5</v>
      </c>
      <c r="AS1354" s="14" t="str">
        <f t="shared" si="453"/>
        <v>吕布魂火-50</v>
      </c>
      <c r="AT1354" s="14">
        <f t="shared" si="454"/>
        <v>50</v>
      </c>
      <c r="AU1354" s="14" t="str">
        <f>IF(AM1354&gt;0,INDEX(挂机升级突破!$DT$4:$ED$4,AM1354),"")</f>
        <v>金币</v>
      </c>
      <c r="AV1354" s="14">
        <f>ROUND(INDEX(挂机升级突破!$DJ$6:$DJ$57,卡牌消耗!AT1354)*INDEX(卡牌消耗!$B$8:$F$8,AR1354)/$Q$4/50,0)*50</f>
        <v>273550</v>
      </c>
      <c r="AW1354" s="14" t="str">
        <f>IF(AN1354&gt;0,INDEX(挂机升级突破!$DT$4:$ED$4,AN1354),"")</f>
        <v>红色基础材料</v>
      </c>
      <c r="AX1354" s="14">
        <f>ROUND(INDEX(挂机升级突破!$DT$6:$ED$57,卡牌消耗!AT1354,AN1354)*INDEX(卡牌消耗!$B$5:$F$5,AR1354)/$Q$4/5,0)*5</f>
        <v>20</v>
      </c>
      <c r="AY1354" s="14" t="str">
        <f>IF(AO1354&gt;0,INDEX(挂机升级突破!$DT$4:$ED$4,AO1354),"")</f>
        <v>灵玉</v>
      </c>
      <c r="AZ1354" s="14">
        <f>IF(AO1354&gt;0,ROUND(INDEX(挂机升级突破!$DT$6:$ED$57,卡牌消耗!AT1354,AO1354)*INDEX(卡牌消耗!$B$7:$F$7,AR1354)/$Q$4,0),"")</f>
        <v>4</v>
      </c>
    </row>
    <row r="1355" spans="37:52" ht="16.5" x14ac:dyDescent="0.2">
      <c r="AK1355" s="104">
        <v>1351</v>
      </c>
      <c r="AL1355" s="14">
        <f t="shared" si="450"/>
        <v>26</v>
      </c>
      <c r="AM1355" s="14">
        <f>INDEX(挂机升级突破!DQ$6:DQ$57,卡牌消耗!$AT1355)</f>
        <v>11</v>
      </c>
      <c r="AN1355" s="14">
        <f>INDEX(挂机升级突破!DR$6:DR$57,卡牌消耗!$AT1355)</f>
        <v>5</v>
      </c>
      <c r="AO1355" s="14">
        <f>INDEX(挂机升级突破!DS$6:DS$57,卡牌消耗!$AT1355)</f>
        <v>10</v>
      </c>
      <c r="AP1355" s="14">
        <f>INDEX(挂机升级突破!$DP$6:$DP$57,卡牌消耗!AT1355)</f>
        <v>145</v>
      </c>
      <c r="AQ1355" s="14" t="str">
        <f t="shared" si="451"/>
        <v>吕布</v>
      </c>
      <c r="AR1355" s="14">
        <f t="shared" si="452"/>
        <v>5</v>
      </c>
      <c r="AS1355" s="14" t="str">
        <f t="shared" si="453"/>
        <v>吕布魂火-51</v>
      </c>
      <c r="AT1355" s="14">
        <f t="shared" si="454"/>
        <v>51</v>
      </c>
      <c r="AU1355" s="14" t="str">
        <f>IF(AM1355&gt;0,INDEX(挂机升级突破!$DT$4:$ED$4,AM1355),"")</f>
        <v>金币</v>
      </c>
      <c r="AV1355" s="14">
        <f>ROUND(INDEX(挂机升级突破!$DJ$6:$DJ$57,卡牌消耗!AT1355)*INDEX(卡牌消耗!$B$8:$F$8,AR1355)/$Q$4/50,0)*50</f>
        <v>300900</v>
      </c>
      <c r="AW1355" s="14" t="str">
        <f>IF(AN1355&gt;0,INDEX(挂机升级突破!$DT$4:$ED$4,AN1355),"")</f>
        <v>红色基础材料</v>
      </c>
      <c r="AX1355" s="14">
        <f>ROUND(INDEX(挂机升级突破!$DT$6:$ED$57,卡牌消耗!AT1355,AN1355)*INDEX(卡牌消耗!$B$5:$F$5,AR1355)/$Q$4/5,0)*5</f>
        <v>20</v>
      </c>
      <c r="AY1355" s="14" t="str">
        <f>IF(AO1355&gt;0,INDEX(挂机升级突破!$DT$4:$ED$4,AO1355),"")</f>
        <v>灵玉</v>
      </c>
      <c r="AZ1355" s="14">
        <f>IF(AO1355&gt;0,ROUND(INDEX(挂机升级突破!$DT$6:$ED$57,卡牌消耗!AT1355,AO1355)*INDEX(卡牌消耗!$B$7:$F$7,AR1355)/$Q$4,0),"")</f>
        <v>4</v>
      </c>
    </row>
    <row r="1356" spans="37:52" ht="16.5" x14ac:dyDescent="0.2">
      <c r="AK1356" s="104">
        <v>1352</v>
      </c>
      <c r="AL1356" s="14">
        <f t="shared" si="450"/>
        <v>26</v>
      </c>
      <c r="AM1356" s="14">
        <f>INDEX(挂机升级突破!DQ$6:DQ$57,卡牌消耗!$AT1356)</f>
        <v>11</v>
      </c>
      <c r="AN1356" s="14">
        <f>INDEX(挂机升级突破!DR$6:DR$57,卡牌消耗!$AT1356)</f>
        <v>5</v>
      </c>
      <c r="AO1356" s="14">
        <f>INDEX(挂机升级突破!DS$6:DS$57,卡牌消耗!$AT1356)</f>
        <v>10</v>
      </c>
      <c r="AP1356" s="14">
        <f>INDEX(挂机升级突破!$DP$6:$DP$57,卡牌消耗!AT1356)</f>
        <v>148</v>
      </c>
      <c r="AQ1356" s="14" t="str">
        <f t="shared" si="451"/>
        <v>吕布</v>
      </c>
      <c r="AR1356" s="14">
        <f t="shared" si="452"/>
        <v>5</v>
      </c>
      <c r="AS1356" s="14" t="str">
        <f t="shared" si="453"/>
        <v>吕布魂火-52</v>
      </c>
      <c r="AT1356" s="14">
        <f t="shared" si="454"/>
        <v>52</v>
      </c>
      <c r="AU1356" s="14" t="str">
        <f>IF(AM1356&gt;0,INDEX(挂机升级突破!$DT$4:$ED$4,AM1356),"")</f>
        <v>金币</v>
      </c>
      <c r="AV1356" s="14">
        <f>ROUND(INDEX(挂机升级突破!$DJ$6:$DJ$57,卡牌消耗!AT1356)*INDEX(卡牌消耗!$B$8:$F$8,AR1356)/$Q$4/50,0)*50</f>
        <v>300900</v>
      </c>
      <c r="AW1356" s="14" t="str">
        <f>IF(AN1356&gt;0,INDEX(挂机升级突破!$DT$4:$ED$4,AN1356),"")</f>
        <v>红色基础材料</v>
      </c>
      <c r="AX1356" s="14">
        <f>ROUND(INDEX(挂机升级突破!$DT$6:$ED$57,卡牌消耗!AT1356,AN1356)*INDEX(卡牌消耗!$B$5:$F$5,AR1356)/$Q$4/5,0)*5</f>
        <v>20</v>
      </c>
      <c r="AY1356" s="14" t="str">
        <f>IF(AO1356&gt;0,INDEX(挂机升级突破!$DT$4:$ED$4,AO1356),"")</f>
        <v>灵玉</v>
      </c>
      <c r="AZ1356" s="14">
        <f>IF(AO1356&gt;0,ROUND(INDEX(挂机升级突破!$DT$6:$ED$57,卡牌消耗!AT1356,AO1356)*INDEX(卡牌消耗!$B$7:$F$7,AR1356)/$Q$4,0),"")</f>
        <v>4</v>
      </c>
    </row>
    <row r="1357" spans="37:52" ht="16.5" x14ac:dyDescent="0.2">
      <c r="AK1357" s="104">
        <v>1353</v>
      </c>
      <c r="AL1357" s="14">
        <f t="shared" si="450"/>
        <v>27</v>
      </c>
      <c r="AM1357" s="14">
        <f>INDEX(挂机升级突破!DQ$6:DQ$57,卡牌消耗!$AT1357)</f>
        <v>11</v>
      </c>
      <c r="AN1357" s="14">
        <f>INDEX(挂机升级突破!DR$6:DR$57,卡牌消耗!$AT1357)</f>
        <v>1</v>
      </c>
      <c r="AO1357" s="14">
        <f>INDEX(挂机升级突破!DS$6:DS$57,卡牌消耗!$AT1357)</f>
        <v>0</v>
      </c>
      <c r="AP1357" s="14">
        <f>INDEX(挂机升级突破!$DP$6:$DP$57,卡牌消耗!AT1357)</f>
        <v>3</v>
      </c>
      <c r="AQ1357" s="14" t="str">
        <f t="shared" si="451"/>
        <v>燕青</v>
      </c>
      <c r="AR1357" s="14">
        <f t="shared" si="452"/>
        <v>3</v>
      </c>
      <c r="AS1357" s="14" t="str">
        <f t="shared" si="453"/>
        <v>燕青魂火-1</v>
      </c>
      <c r="AT1357" s="14">
        <f t="shared" si="454"/>
        <v>1</v>
      </c>
      <c r="AU1357" s="14" t="str">
        <f>IF(AM1357&gt;0,INDEX(挂机升级突破!$DT$4:$ED$4,AM1357),"")</f>
        <v>金币</v>
      </c>
      <c r="AV1357" s="14">
        <f>ROUND(INDEX(挂机升级突破!$DJ$6:$DJ$57,卡牌消耗!AT1357)*INDEX(卡牌消耗!$B$8:$F$8,AR1357)/$Q$4/50,0)*50</f>
        <v>850</v>
      </c>
      <c r="AW1357" s="14" t="str">
        <f>IF(AN1357&gt;0,INDEX(挂机升级突破!$DT$4:$ED$4,AN1357),"")</f>
        <v>绿色基础材料</v>
      </c>
      <c r="AX1357" s="14">
        <f>ROUND(INDEX(挂机升级突破!$DT$6:$ED$57,卡牌消耗!AT1357,AN1357)*INDEX(卡牌消耗!$B$5:$F$5,AR1357)/$Q$4/5,0)*5</f>
        <v>25</v>
      </c>
      <c r="AY1357" s="14" t="str">
        <f>IF(AO1357&gt;0,INDEX(挂机升级突破!$DT$4:$ED$4,AO1357),"")</f>
        <v/>
      </c>
      <c r="AZ1357" s="14" t="str">
        <f>IF(AO1357&gt;0,ROUND(INDEX(挂机升级突破!$DT$6:$ED$57,卡牌消耗!AT1357,AO1357)*INDEX(卡牌消耗!$B$7:$F$7,AR1357)/$Q$4,0),"")</f>
        <v/>
      </c>
    </row>
    <row r="1358" spans="37:52" ht="16.5" x14ac:dyDescent="0.2">
      <c r="AK1358" s="104">
        <v>1354</v>
      </c>
      <c r="AL1358" s="14">
        <f t="shared" si="450"/>
        <v>27</v>
      </c>
      <c r="AM1358" s="14">
        <f>INDEX(挂机升级突破!DQ$6:DQ$57,卡牌消耗!$AT1358)</f>
        <v>11</v>
      </c>
      <c r="AN1358" s="14">
        <f>INDEX(挂机升级突破!DR$6:DR$57,卡牌消耗!$AT1358)</f>
        <v>1</v>
      </c>
      <c r="AO1358" s="14">
        <f>INDEX(挂机升级突破!DS$6:DS$57,卡牌消耗!$AT1358)</f>
        <v>0</v>
      </c>
      <c r="AP1358" s="14">
        <f>INDEX(挂机升级突破!$DP$6:$DP$57,卡牌消耗!AT1358)</f>
        <v>8</v>
      </c>
      <c r="AQ1358" s="14" t="str">
        <f t="shared" si="451"/>
        <v>燕青</v>
      </c>
      <c r="AR1358" s="14">
        <f t="shared" si="452"/>
        <v>3</v>
      </c>
      <c r="AS1358" s="14" t="str">
        <f t="shared" si="453"/>
        <v>燕青魂火-2</v>
      </c>
      <c r="AT1358" s="14">
        <f t="shared" si="454"/>
        <v>2</v>
      </c>
      <c r="AU1358" s="14" t="str">
        <f>IF(AM1358&gt;0,INDEX(挂机升级突破!$DT$4:$ED$4,AM1358),"")</f>
        <v>金币</v>
      </c>
      <c r="AV1358" s="14">
        <f>ROUND(INDEX(挂机升级突破!$DJ$6:$DJ$57,卡牌消耗!AT1358)*INDEX(卡牌消耗!$B$8:$F$8,AR1358)/$Q$4/50,0)*50</f>
        <v>1050</v>
      </c>
      <c r="AW1358" s="14" t="str">
        <f>IF(AN1358&gt;0,INDEX(挂机升级突破!$DT$4:$ED$4,AN1358),"")</f>
        <v>绿色基础材料</v>
      </c>
      <c r="AX1358" s="14">
        <f>ROUND(INDEX(挂机升级突破!$DT$6:$ED$57,卡牌消耗!AT1358,AN1358)*INDEX(卡牌消耗!$B$5:$F$5,AR1358)/$Q$4/5,0)*5</f>
        <v>85</v>
      </c>
      <c r="AY1358" s="14" t="str">
        <f>IF(AO1358&gt;0,INDEX(挂机升级突破!$DT$4:$ED$4,AO1358),"")</f>
        <v/>
      </c>
      <c r="AZ1358" s="14" t="str">
        <f>IF(AO1358&gt;0,ROUND(INDEX(挂机升级突破!$DT$6:$ED$57,卡牌消耗!AT1358,AO1358)*INDEX(卡牌消耗!$B$7:$F$7,AR1358)/$Q$4,0),"")</f>
        <v/>
      </c>
    </row>
    <row r="1359" spans="37:52" ht="16.5" x14ac:dyDescent="0.2">
      <c r="AK1359" s="104">
        <v>1355</v>
      </c>
      <c r="AL1359" s="14">
        <f t="shared" si="450"/>
        <v>27</v>
      </c>
      <c r="AM1359" s="14">
        <f>INDEX(挂机升级突破!DQ$6:DQ$57,卡牌消耗!$AT1359)</f>
        <v>11</v>
      </c>
      <c r="AN1359" s="14">
        <f>INDEX(挂机升级突破!DR$6:DR$57,卡牌消耗!$AT1359)</f>
        <v>1</v>
      </c>
      <c r="AO1359" s="14">
        <f>INDEX(挂机升级突破!DS$6:DS$57,卡牌消耗!$AT1359)</f>
        <v>0</v>
      </c>
      <c r="AP1359" s="14">
        <f>INDEX(挂机升级突破!$DP$6:$DP$57,卡牌消耗!AT1359)</f>
        <v>13</v>
      </c>
      <c r="AQ1359" s="14" t="str">
        <f t="shared" si="451"/>
        <v>燕青</v>
      </c>
      <c r="AR1359" s="14">
        <f t="shared" si="452"/>
        <v>3</v>
      </c>
      <c r="AS1359" s="14" t="str">
        <f t="shared" si="453"/>
        <v>燕青魂火-3</v>
      </c>
      <c r="AT1359" s="14">
        <f t="shared" si="454"/>
        <v>3</v>
      </c>
      <c r="AU1359" s="14" t="str">
        <f>IF(AM1359&gt;0,INDEX(挂机升级突破!$DT$4:$ED$4,AM1359),"")</f>
        <v>金币</v>
      </c>
      <c r="AV1359" s="14">
        <f>ROUND(INDEX(挂机升级突破!$DJ$6:$DJ$57,卡牌消耗!AT1359)*INDEX(卡牌消耗!$B$8:$F$8,AR1359)/$Q$4/50,0)*50</f>
        <v>1050</v>
      </c>
      <c r="AW1359" s="14" t="str">
        <f>IF(AN1359&gt;0,INDEX(挂机升级突破!$DT$4:$ED$4,AN1359),"")</f>
        <v>绿色基础材料</v>
      </c>
      <c r="AX1359" s="14">
        <f>ROUND(INDEX(挂机升级突破!$DT$6:$ED$57,卡牌消耗!AT1359,AN1359)*INDEX(卡牌消耗!$B$5:$F$5,AR1359)/$Q$4/5,0)*5</f>
        <v>100</v>
      </c>
      <c r="AY1359" s="14" t="str">
        <f>IF(AO1359&gt;0,INDEX(挂机升级突破!$DT$4:$ED$4,AO1359),"")</f>
        <v/>
      </c>
      <c r="AZ1359" s="14" t="str">
        <f>IF(AO1359&gt;0,ROUND(INDEX(挂机升级突破!$DT$6:$ED$57,卡牌消耗!AT1359,AO1359)*INDEX(卡牌消耗!$B$7:$F$7,AR1359)/$Q$4,0),"")</f>
        <v/>
      </c>
    </row>
    <row r="1360" spans="37:52" ht="16.5" x14ac:dyDescent="0.2">
      <c r="AK1360" s="104">
        <v>1356</v>
      </c>
      <c r="AL1360" s="14">
        <f t="shared" si="450"/>
        <v>27</v>
      </c>
      <c r="AM1360" s="14">
        <f>INDEX(挂机升级突破!DQ$6:DQ$57,卡牌消耗!$AT1360)</f>
        <v>11</v>
      </c>
      <c r="AN1360" s="14">
        <f>INDEX(挂机升级突破!DR$6:DR$57,卡牌消耗!$AT1360)</f>
        <v>1</v>
      </c>
      <c r="AO1360" s="14">
        <f>INDEX(挂机升级突破!DS$6:DS$57,卡牌消耗!$AT1360)</f>
        <v>0</v>
      </c>
      <c r="AP1360" s="14">
        <f>INDEX(挂机升级突破!$DP$6:$DP$57,卡牌消耗!AT1360)</f>
        <v>18</v>
      </c>
      <c r="AQ1360" s="14" t="str">
        <f t="shared" si="451"/>
        <v>燕青</v>
      </c>
      <c r="AR1360" s="14">
        <f t="shared" si="452"/>
        <v>3</v>
      </c>
      <c r="AS1360" s="14" t="str">
        <f t="shared" si="453"/>
        <v>燕青魂火-4</v>
      </c>
      <c r="AT1360" s="14">
        <f t="shared" si="454"/>
        <v>4</v>
      </c>
      <c r="AU1360" s="14" t="str">
        <f>IF(AM1360&gt;0,INDEX(挂机升级突破!$DT$4:$ED$4,AM1360),"")</f>
        <v>金币</v>
      </c>
      <c r="AV1360" s="14">
        <f>ROUND(INDEX(挂机升级突破!$DJ$6:$DJ$57,卡牌消耗!AT1360)*INDEX(卡牌消耗!$B$8:$F$8,AR1360)/$Q$4/50,0)*50</f>
        <v>1050</v>
      </c>
      <c r="AW1360" s="14" t="str">
        <f>IF(AN1360&gt;0,INDEX(挂机升级突破!$DT$4:$ED$4,AN1360),"")</f>
        <v>绿色基础材料</v>
      </c>
      <c r="AX1360" s="14">
        <f>ROUND(INDEX(挂机升级突破!$DT$6:$ED$57,卡牌消耗!AT1360,AN1360)*INDEX(卡牌消耗!$B$5:$F$5,AR1360)/$Q$4/5,0)*5</f>
        <v>145</v>
      </c>
      <c r="AY1360" s="14" t="str">
        <f>IF(AO1360&gt;0,INDEX(挂机升级突破!$DT$4:$ED$4,AO1360),"")</f>
        <v/>
      </c>
      <c r="AZ1360" s="14" t="str">
        <f>IF(AO1360&gt;0,ROUND(INDEX(挂机升级突破!$DT$6:$ED$57,卡牌消耗!AT1360,AO1360)*INDEX(卡牌消耗!$B$7:$F$7,AR1360)/$Q$4,0),"")</f>
        <v/>
      </c>
    </row>
    <row r="1361" spans="37:52" ht="16.5" x14ac:dyDescent="0.2">
      <c r="AK1361" s="104">
        <v>1357</v>
      </c>
      <c r="AL1361" s="14">
        <f t="shared" si="450"/>
        <v>27</v>
      </c>
      <c r="AM1361" s="14">
        <f>INDEX(挂机升级突破!DQ$6:DQ$57,卡牌消耗!$AT1361)</f>
        <v>11</v>
      </c>
      <c r="AN1361" s="14">
        <f>INDEX(挂机升级突破!DR$6:DR$57,卡牌消耗!$AT1361)</f>
        <v>1</v>
      </c>
      <c r="AO1361" s="14">
        <f>INDEX(挂机升级突破!DS$6:DS$57,卡牌消耗!$AT1361)</f>
        <v>0</v>
      </c>
      <c r="AP1361" s="14">
        <f>INDEX(挂机升级突破!$DP$6:$DP$57,卡牌消耗!AT1361)</f>
        <v>23</v>
      </c>
      <c r="AQ1361" s="14" t="str">
        <f t="shared" si="451"/>
        <v>燕青</v>
      </c>
      <c r="AR1361" s="14">
        <f t="shared" si="452"/>
        <v>3</v>
      </c>
      <c r="AS1361" s="14" t="str">
        <f t="shared" si="453"/>
        <v>燕青魂火-5</v>
      </c>
      <c r="AT1361" s="14">
        <f t="shared" si="454"/>
        <v>5</v>
      </c>
      <c r="AU1361" s="14" t="str">
        <f>IF(AM1361&gt;0,INDEX(挂机升级突破!$DT$4:$ED$4,AM1361),"")</f>
        <v>金币</v>
      </c>
      <c r="AV1361" s="14">
        <f>ROUND(INDEX(挂机升级突破!$DJ$6:$DJ$57,卡牌消耗!AT1361)*INDEX(卡牌消耗!$B$8:$F$8,AR1361)/$Q$4/50,0)*50</f>
        <v>1050</v>
      </c>
      <c r="AW1361" s="14" t="str">
        <f>IF(AN1361&gt;0,INDEX(挂机升级突破!$DT$4:$ED$4,AN1361),"")</f>
        <v>绿色基础材料</v>
      </c>
      <c r="AX1361" s="14">
        <f>ROUND(INDEX(挂机升级突破!$DT$6:$ED$57,卡牌消耗!AT1361,AN1361)*INDEX(卡牌消耗!$B$5:$F$5,AR1361)/$Q$4/5,0)*5</f>
        <v>155</v>
      </c>
      <c r="AY1361" s="14" t="str">
        <f>IF(AO1361&gt;0,INDEX(挂机升级突破!$DT$4:$ED$4,AO1361),"")</f>
        <v/>
      </c>
      <c r="AZ1361" s="14" t="str">
        <f>IF(AO1361&gt;0,ROUND(INDEX(挂机升级突破!$DT$6:$ED$57,卡牌消耗!AT1361,AO1361)*INDEX(卡牌消耗!$B$7:$F$7,AR1361)/$Q$4,0),"")</f>
        <v/>
      </c>
    </row>
    <row r="1362" spans="37:52" ht="16.5" x14ac:dyDescent="0.2">
      <c r="AK1362" s="104">
        <v>1358</v>
      </c>
      <c r="AL1362" s="14">
        <f t="shared" si="450"/>
        <v>27</v>
      </c>
      <c r="AM1362" s="14">
        <f>INDEX(挂机升级突破!DQ$6:DQ$57,卡牌消耗!$AT1362)</f>
        <v>11</v>
      </c>
      <c r="AN1362" s="14">
        <f>INDEX(挂机升级突破!DR$6:DR$57,卡牌消耗!$AT1362)</f>
        <v>2</v>
      </c>
      <c r="AO1362" s="14">
        <f>INDEX(挂机升级突破!DS$6:DS$57,卡牌消耗!$AT1362)</f>
        <v>0</v>
      </c>
      <c r="AP1362" s="14">
        <f>INDEX(挂机升级突破!$DP$6:$DP$57,卡牌消耗!AT1362)</f>
        <v>28</v>
      </c>
      <c r="AQ1362" s="14" t="str">
        <f t="shared" si="451"/>
        <v>燕青</v>
      </c>
      <c r="AR1362" s="14">
        <f t="shared" si="452"/>
        <v>3</v>
      </c>
      <c r="AS1362" s="14" t="str">
        <f t="shared" si="453"/>
        <v>燕青魂火-6</v>
      </c>
      <c r="AT1362" s="14">
        <f t="shared" si="454"/>
        <v>6</v>
      </c>
      <c r="AU1362" s="14" t="str">
        <f>IF(AM1362&gt;0,INDEX(挂机升级突破!$DT$4:$ED$4,AM1362),"")</f>
        <v>金币</v>
      </c>
      <c r="AV1362" s="14">
        <f>ROUND(INDEX(挂机升级突破!$DJ$6:$DJ$57,卡牌消耗!AT1362)*INDEX(卡牌消耗!$B$8:$F$8,AR1362)/$Q$4/50,0)*50</f>
        <v>1250</v>
      </c>
      <c r="AW1362" s="14" t="str">
        <f>IF(AN1362&gt;0,INDEX(挂机升级突破!$DT$4:$ED$4,AN1362),"")</f>
        <v>蓝色基础材料</v>
      </c>
      <c r="AX1362" s="14">
        <f>ROUND(INDEX(挂机升级突破!$DT$6:$ED$57,卡牌消耗!AT1362,AN1362)*INDEX(卡牌消耗!$B$5:$F$5,AR1362)/$Q$4/5,0)*5</f>
        <v>30</v>
      </c>
      <c r="AY1362" s="14" t="str">
        <f>IF(AO1362&gt;0,INDEX(挂机升级突破!$DT$4:$ED$4,AO1362),"")</f>
        <v/>
      </c>
      <c r="AZ1362" s="14" t="str">
        <f>IF(AO1362&gt;0,ROUND(INDEX(挂机升级突破!$DT$6:$ED$57,卡牌消耗!AT1362,AO1362)*INDEX(卡牌消耗!$B$7:$F$7,AR1362)/$Q$4,0),"")</f>
        <v/>
      </c>
    </row>
    <row r="1363" spans="37:52" ht="16.5" x14ac:dyDescent="0.2">
      <c r="AK1363" s="104">
        <v>1359</v>
      </c>
      <c r="AL1363" s="14">
        <f t="shared" si="450"/>
        <v>27</v>
      </c>
      <c r="AM1363" s="14">
        <f>INDEX(挂机升级突破!DQ$6:DQ$57,卡牌消耗!$AT1363)</f>
        <v>11</v>
      </c>
      <c r="AN1363" s="14">
        <f>INDEX(挂机升级突破!DR$6:DR$57,卡牌消耗!$AT1363)</f>
        <v>2</v>
      </c>
      <c r="AO1363" s="14">
        <f>INDEX(挂机升级突破!DS$6:DS$57,卡牌消耗!$AT1363)</f>
        <v>0</v>
      </c>
      <c r="AP1363" s="14">
        <f>INDEX(挂机升级突破!$DP$6:$DP$57,卡牌消耗!AT1363)</f>
        <v>33</v>
      </c>
      <c r="AQ1363" s="14" t="str">
        <f t="shared" si="451"/>
        <v>燕青</v>
      </c>
      <c r="AR1363" s="14">
        <f t="shared" si="452"/>
        <v>3</v>
      </c>
      <c r="AS1363" s="14" t="str">
        <f t="shared" si="453"/>
        <v>燕青魂火-7</v>
      </c>
      <c r="AT1363" s="14">
        <f t="shared" si="454"/>
        <v>7</v>
      </c>
      <c r="AU1363" s="14" t="str">
        <f>IF(AM1363&gt;0,INDEX(挂机升级突破!$DT$4:$ED$4,AM1363),"")</f>
        <v>金币</v>
      </c>
      <c r="AV1363" s="14">
        <f>ROUND(INDEX(挂机升级突破!$DJ$6:$DJ$57,卡牌消耗!AT1363)*INDEX(卡牌消耗!$B$8:$F$8,AR1363)/$Q$4/50,0)*50</f>
        <v>1250</v>
      </c>
      <c r="AW1363" s="14" t="str">
        <f>IF(AN1363&gt;0,INDEX(挂机升级突破!$DT$4:$ED$4,AN1363),"")</f>
        <v>蓝色基础材料</v>
      </c>
      <c r="AX1363" s="14">
        <f>ROUND(INDEX(挂机升级突破!$DT$6:$ED$57,卡牌消耗!AT1363,AN1363)*INDEX(卡牌消耗!$B$5:$F$5,AR1363)/$Q$4/5,0)*5</f>
        <v>30</v>
      </c>
      <c r="AY1363" s="14" t="str">
        <f>IF(AO1363&gt;0,INDEX(挂机升级突破!$DT$4:$ED$4,AO1363),"")</f>
        <v/>
      </c>
      <c r="AZ1363" s="14" t="str">
        <f>IF(AO1363&gt;0,ROUND(INDEX(挂机升级突破!$DT$6:$ED$57,卡牌消耗!AT1363,AO1363)*INDEX(卡牌消耗!$B$7:$F$7,AR1363)/$Q$4,0),"")</f>
        <v/>
      </c>
    </row>
    <row r="1364" spans="37:52" ht="16.5" x14ac:dyDescent="0.2">
      <c r="AK1364" s="104">
        <v>1360</v>
      </c>
      <c r="AL1364" s="14">
        <f t="shared" si="450"/>
        <v>27</v>
      </c>
      <c r="AM1364" s="14">
        <f>INDEX(挂机升级突破!DQ$6:DQ$57,卡牌消耗!$AT1364)</f>
        <v>11</v>
      </c>
      <c r="AN1364" s="14">
        <f>INDEX(挂机升级突破!DR$6:DR$57,卡牌消耗!$AT1364)</f>
        <v>2</v>
      </c>
      <c r="AO1364" s="14">
        <f>INDEX(挂机升级突破!DS$6:DS$57,卡牌消耗!$AT1364)</f>
        <v>0</v>
      </c>
      <c r="AP1364" s="14">
        <f>INDEX(挂机升级突破!$DP$6:$DP$57,卡牌消耗!AT1364)</f>
        <v>38</v>
      </c>
      <c r="AQ1364" s="14" t="str">
        <f t="shared" si="451"/>
        <v>燕青</v>
      </c>
      <c r="AR1364" s="14">
        <f t="shared" si="452"/>
        <v>3</v>
      </c>
      <c r="AS1364" s="14" t="str">
        <f t="shared" si="453"/>
        <v>燕青魂火-8</v>
      </c>
      <c r="AT1364" s="14">
        <f t="shared" si="454"/>
        <v>8</v>
      </c>
      <c r="AU1364" s="14" t="str">
        <f>IF(AM1364&gt;0,INDEX(挂机升级突破!$DT$4:$ED$4,AM1364),"")</f>
        <v>金币</v>
      </c>
      <c r="AV1364" s="14">
        <f>ROUND(INDEX(挂机升级突破!$DJ$6:$DJ$57,卡牌消耗!AT1364)*INDEX(卡牌消耗!$B$8:$F$8,AR1364)/$Q$4/50,0)*50</f>
        <v>1900</v>
      </c>
      <c r="AW1364" s="14" t="str">
        <f>IF(AN1364&gt;0,INDEX(挂机升级突破!$DT$4:$ED$4,AN1364),"")</f>
        <v>蓝色基础材料</v>
      </c>
      <c r="AX1364" s="14">
        <f>ROUND(INDEX(挂机升级突破!$DT$6:$ED$57,卡牌消耗!AT1364,AN1364)*INDEX(卡牌消耗!$B$5:$F$5,AR1364)/$Q$4/5,0)*5</f>
        <v>60</v>
      </c>
      <c r="AY1364" s="14" t="str">
        <f>IF(AO1364&gt;0,INDEX(挂机升级突破!$DT$4:$ED$4,AO1364),"")</f>
        <v/>
      </c>
      <c r="AZ1364" s="14" t="str">
        <f>IF(AO1364&gt;0,ROUND(INDEX(挂机升级突破!$DT$6:$ED$57,卡牌消耗!AT1364,AO1364)*INDEX(卡牌消耗!$B$7:$F$7,AR1364)/$Q$4,0),"")</f>
        <v/>
      </c>
    </row>
    <row r="1365" spans="37:52" ht="16.5" x14ac:dyDescent="0.2">
      <c r="AK1365" s="104">
        <v>1361</v>
      </c>
      <c r="AL1365" s="14">
        <f t="shared" si="450"/>
        <v>27</v>
      </c>
      <c r="AM1365" s="14">
        <f>INDEX(挂机升级突破!DQ$6:DQ$57,卡牌消耗!$AT1365)</f>
        <v>11</v>
      </c>
      <c r="AN1365" s="14">
        <f>INDEX(挂机升级突破!DR$6:DR$57,卡牌消耗!$AT1365)</f>
        <v>2</v>
      </c>
      <c r="AO1365" s="14">
        <f>INDEX(挂机升级突破!DS$6:DS$57,卡牌消耗!$AT1365)</f>
        <v>0</v>
      </c>
      <c r="AP1365" s="14">
        <f>INDEX(挂机升级突破!$DP$6:$DP$57,卡牌消耗!AT1365)</f>
        <v>40</v>
      </c>
      <c r="AQ1365" s="14" t="str">
        <f t="shared" si="451"/>
        <v>燕青</v>
      </c>
      <c r="AR1365" s="14">
        <f t="shared" si="452"/>
        <v>3</v>
      </c>
      <c r="AS1365" s="14" t="str">
        <f t="shared" si="453"/>
        <v>燕青魂火-9</v>
      </c>
      <c r="AT1365" s="14">
        <f t="shared" si="454"/>
        <v>9</v>
      </c>
      <c r="AU1365" s="14" t="str">
        <f>IF(AM1365&gt;0,INDEX(挂机升级突破!$DT$4:$ED$4,AM1365),"")</f>
        <v>金币</v>
      </c>
      <c r="AV1365" s="14">
        <f>ROUND(INDEX(挂机升级突破!$DJ$6:$DJ$57,卡牌消耗!AT1365)*INDEX(卡牌消耗!$B$8:$F$8,AR1365)/$Q$4/50,0)*50</f>
        <v>1900</v>
      </c>
      <c r="AW1365" s="14" t="str">
        <f>IF(AN1365&gt;0,INDEX(挂机升级突破!$DT$4:$ED$4,AN1365),"")</f>
        <v>蓝色基础材料</v>
      </c>
      <c r="AX1365" s="14">
        <f>ROUND(INDEX(挂机升级突破!$DT$6:$ED$57,卡牌消耗!AT1365,AN1365)*INDEX(卡牌消耗!$B$5:$F$5,AR1365)/$Q$4/5,0)*5</f>
        <v>60</v>
      </c>
      <c r="AY1365" s="14" t="str">
        <f>IF(AO1365&gt;0,INDEX(挂机升级突破!$DT$4:$ED$4,AO1365),"")</f>
        <v/>
      </c>
      <c r="AZ1365" s="14" t="str">
        <f>IF(AO1365&gt;0,ROUND(INDEX(挂机升级突破!$DT$6:$ED$57,卡牌消耗!AT1365,AO1365)*INDEX(卡牌消耗!$B$7:$F$7,AR1365)/$Q$4,0),"")</f>
        <v/>
      </c>
    </row>
    <row r="1366" spans="37:52" ht="16.5" x14ac:dyDescent="0.2">
      <c r="AK1366" s="104">
        <v>1362</v>
      </c>
      <c r="AL1366" s="14">
        <f t="shared" si="450"/>
        <v>27</v>
      </c>
      <c r="AM1366" s="14">
        <f>INDEX(挂机升级突破!DQ$6:DQ$57,卡牌消耗!$AT1366)</f>
        <v>11</v>
      </c>
      <c r="AN1366" s="14">
        <f>INDEX(挂机升级突破!DR$6:DR$57,卡牌消耗!$AT1366)</f>
        <v>2</v>
      </c>
      <c r="AO1366" s="14">
        <f>INDEX(挂机升级突破!DS$6:DS$57,卡牌消耗!$AT1366)</f>
        <v>0</v>
      </c>
      <c r="AP1366" s="14">
        <f>INDEX(挂机升级突破!$DP$6:$DP$57,卡牌消耗!AT1366)</f>
        <v>43</v>
      </c>
      <c r="AQ1366" s="14" t="str">
        <f t="shared" si="451"/>
        <v>燕青</v>
      </c>
      <c r="AR1366" s="14">
        <f t="shared" si="452"/>
        <v>3</v>
      </c>
      <c r="AS1366" s="14" t="str">
        <f t="shared" si="453"/>
        <v>燕青魂火-10</v>
      </c>
      <c r="AT1366" s="14">
        <f t="shared" si="454"/>
        <v>10</v>
      </c>
      <c r="AU1366" s="14" t="str">
        <f>IF(AM1366&gt;0,INDEX(挂机升级突破!$DT$4:$ED$4,AM1366),"")</f>
        <v>金币</v>
      </c>
      <c r="AV1366" s="14">
        <f>ROUND(INDEX(挂机升级突破!$DJ$6:$DJ$57,卡牌消耗!AT1366)*INDEX(卡牌消耗!$B$8:$F$8,AR1366)/$Q$4/50,0)*50</f>
        <v>3200</v>
      </c>
      <c r="AW1366" s="14" t="str">
        <f>IF(AN1366&gt;0,INDEX(挂机升级突破!$DT$4:$ED$4,AN1366),"")</f>
        <v>蓝色基础材料</v>
      </c>
      <c r="AX1366" s="14">
        <f>ROUND(INDEX(挂机升级突破!$DT$6:$ED$57,卡牌消耗!AT1366,AN1366)*INDEX(卡牌消耗!$B$5:$F$5,AR1366)/$Q$4/5,0)*5</f>
        <v>85</v>
      </c>
      <c r="AY1366" s="14" t="str">
        <f>IF(AO1366&gt;0,INDEX(挂机升级突破!$DT$4:$ED$4,AO1366),"")</f>
        <v/>
      </c>
      <c r="AZ1366" s="14" t="str">
        <f>IF(AO1366&gt;0,ROUND(INDEX(挂机升级突破!$DT$6:$ED$57,卡牌消耗!AT1366,AO1366)*INDEX(卡牌消耗!$B$7:$F$7,AR1366)/$Q$4,0),"")</f>
        <v/>
      </c>
    </row>
    <row r="1367" spans="37:52" ht="16.5" x14ac:dyDescent="0.2">
      <c r="AK1367" s="104">
        <v>1363</v>
      </c>
      <c r="AL1367" s="14">
        <f t="shared" si="450"/>
        <v>27</v>
      </c>
      <c r="AM1367" s="14">
        <f>INDEX(挂机升级突破!DQ$6:DQ$57,卡牌消耗!$AT1367)</f>
        <v>11</v>
      </c>
      <c r="AN1367" s="14">
        <f>INDEX(挂机升级突破!DR$6:DR$57,卡牌消耗!$AT1367)</f>
        <v>2</v>
      </c>
      <c r="AO1367" s="14">
        <f>INDEX(挂机升级突破!DS$6:DS$57,卡牌消耗!$AT1367)</f>
        <v>0</v>
      </c>
      <c r="AP1367" s="14">
        <f>INDEX(挂机升级突破!$DP$6:$DP$57,卡牌消耗!AT1367)</f>
        <v>45</v>
      </c>
      <c r="AQ1367" s="14" t="str">
        <f t="shared" si="451"/>
        <v>燕青</v>
      </c>
      <c r="AR1367" s="14">
        <f t="shared" si="452"/>
        <v>3</v>
      </c>
      <c r="AS1367" s="14" t="str">
        <f t="shared" si="453"/>
        <v>燕青魂火-11</v>
      </c>
      <c r="AT1367" s="14">
        <f t="shared" si="454"/>
        <v>11</v>
      </c>
      <c r="AU1367" s="14" t="str">
        <f>IF(AM1367&gt;0,INDEX(挂机升级突破!$DT$4:$ED$4,AM1367),"")</f>
        <v>金币</v>
      </c>
      <c r="AV1367" s="14">
        <f>ROUND(INDEX(挂机升级突破!$DJ$6:$DJ$57,卡牌消耗!AT1367)*INDEX(卡牌消耗!$B$8:$F$8,AR1367)/$Q$4/50,0)*50</f>
        <v>3200</v>
      </c>
      <c r="AW1367" s="14" t="str">
        <f>IF(AN1367&gt;0,INDEX(挂机升级突破!$DT$4:$ED$4,AN1367),"")</f>
        <v>蓝色基础材料</v>
      </c>
      <c r="AX1367" s="14">
        <f>ROUND(INDEX(挂机升级突破!$DT$6:$ED$57,卡牌消耗!AT1367,AN1367)*INDEX(卡牌消耗!$B$5:$F$5,AR1367)/$Q$4/5,0)*5</f>
        <v>85</v>
      </c>
      <c r="AY1367" s="14" t="str">
        <f>IF(AO1367&gt;0,INDEX(挂机升级突破!$DT$4:$ED$4,AO1367),"")</f>
        <v/>
      </c>
      <c r="AZ1367" s="14" t="str">
        <f>IF(AO1367&gt;0,ROUND(INDEX(挂机升级突破!$DT$6:$ED$57,卡牌消耗!AT1367,AO1367)*INDEX(卡牌消耗!$B$7:$F$7,AR1367)/$Q$4,0),"")</f>
        <v/>
      </c>
    </row>
    <row r="1368" spans="37:52" ht="16.5" x14ac:dyDescent="0.2">
      <c r="AK1368" s="104">
        <v>1364</v>
      </c>
      <c r="AL1368" s="14">
        <f t="shared" si="450"/>
        <v>27</v>
      </c>
      <c r="AM1368" s="14">
        <f>INDEX(挂机升级突破!DQ$6:DQ$57,卡牌消耗!$AT1368)</f>
        <v>11</v>
      </c>
      <c r="AN1368" s="14">
        <f>INDEX(挂机升级突破!DR$6:DR$57,卡牌消耗!$AT1368)</f>
        <v>2</v>
      </c>
      <c r="AO1368" s="14">
        <f>INDEX(挂机升级突破!DS$6:DS$57,卡牌消耗!$AT1368)</f>
        <v>0</v>
      </c>
      <c r="AP1368" s="14">
        <f>INDEX(挂机升级突破!$DP$6:$DP$57,卡牌消耗!AT1368)</f>
        <v>48</v>
      </c>
      <c r="AQ1368" s="14" t="str">
        <f t="shared" si="451"/>
        <v>燕青</v>
      </c>
      <c r="AR1368" s="14">
        <f t="shared" si="452"/>
        <v>3</v>
      </c>
      <c r="AS1368" s="14" t="str">
        <f t="shared" si="453"/>
        <v>燕青魂火-12</v>
      </c>
      <c r="AT1368" s="14">
        <f t="shared" si="454"/>
        <v>12</v>
      </c>
      <c r="AU1368" s="14" t="str">
        <f>IF(AM1368&gt;0,INDEX(挂机升级突破!$DT$4:$ED$4,AM1368),"")</f>
        <v>金币</v>
      </c>
      <c r="AV1368" s="14">
        <f>ROUND(INDEX(挂机升级突破!$DJ$6:$DJ$57,卡牌消耗!AT1368)*INDEX(卡牌消耗!$B$8:$F$8,AR1368)/$Q$4/50,0)*50</f>
        <v>2750</v>
      </c>
      <c r="AW1368" s="14" t="str">
        <f>IF(AN1368&gt;0,INDEX(挂机升级突破!$DT$4:$ED$4,AN1368),"")</f>
        <v>蓝色基础材料</v>
      </c>
      <c r="AX1368" s="14">
        <f>ROUND(INDEX(挂机升级突破!$DT$6:$ED$57,卡牌消耗!AT1368,AN1368)*INDEX(卡牌消耗!$B$5:$F$5,AR1368)/$Q$4/5,0)*5</f>
        <v>115</v>
      </c>
      <c r="AY1368" s="14" t="str">
        <f>IF(AO1368&gt;0,INDEX(挂机升级突破!$DT$4:$ED$4,AO1368),"")</f>
        <v/>
      </c>
      <c r="AZ1368" s="14" t="str">
        <f>IF(AO1368&gt;0,ROUND(INDEX(挂机升级突破!$DT$6:$ED$57,卡牌消耗!AT1368,AO1368)*INDEX(卡牌消耗!$B$7:$F$7,AR1368)/$Q$4,0),"")</f>
        <v/>
      </c>
    </row>
    <row r="1369" spans="37:52" ht="16.5" x14ac:dyDescent="0.2">
      <c r="AK1369" s="104">
        <v>1365</v>
      </c>
      <c r="AL1369" s="14">
        <f t="shared" si="450"/>
        <v>27</v>
      </c>
      <c r="AM1369" s="14">
        <f>INDEX(挂机升级突破!DQ$6:DQ$57,卡牌消耗!$AT1369)</f>
        <v>11</v>
      </c>
      <c r="AN1369" s="14">
        <f>INDEX(挂机升级突破!DR$6:DR$57,卡牌消耗!$AT1369)</f>
        <v>2</v>
      </c>
      <c r="AO1369" s="14">
        <f>INDEX(挂机升级突破!DS$6:DS$57,卡牌消耗!$AT1369)</f>
        <v>0</v>
      </c>
      <c r="AP1369" s="14">
        <f>INDEX(挂机升级突破!$DP$6:$DP$57,卡牌消耗!AT1369)</f>
        <v>50</v>
      </c>
      <c r="AQ1369" s="14" t="str">
        <f t="shared" si="451"/>
        <v>燕青</v>
      </c>
      <c r="AR1369" s="14">
        <f t="shared" si="452"/>
        <v>3</v>
      </c>
      <c r="AS1369" s="14" t="str">
        <f t="shared" si="453"/>
        <v>燕青魂火-13</v>
      </c>
      <c r="AT1369" s="14">
        <f t="shared" si="454"/>
        <v>13</v>
      </c>
      <c r="AU1369" s="14" t="str">
        <f>IF(AM1369&gt;0,INDEX(挂机升级突破!$DT$4:$ED$4,AM1369),"")</f>
        <v>金币</v>
      </c>
      <c r="AV1369" s="14">
        <f>ROUND(INDEX(挂机升级突破!$DJ$6:$DJ$57,卡牌消耗!AT1369)*INDEX(卡牌消耗!$B$8:$F$8,AR1369)/$Q$4/50,0)*50</f>
        <v>2750</v>
      </c>
      <c r="AW1369" s="14" t="str">
        <f>IF(AN1369&gt;0,INDEX(挂机升级突破!$DT$4:$ED$4,AN1369),"")</f>
        <v>蓝色基础材料</v>
      </c>
      <c r="AX1369" s="14">
        <f>ROUND(INDEX(挂机升级突破!$DT$6:$ED$57,卡牌消耗!AT1369,AN1369)*INDEX(卡牌消耗!$B$5:$F$5,AR1369)/$Q$4/5,0)*5</f>
        <v>115</v>
      </c>
      <c r="AY1369" s="14" t="str">
        <f>IF(AO1369&gt;0,INDEX(挂机升级突破!$DT$4:$ED$4,AO1369),"")</f>
        <v/>
      </c>
      <c r="AZ1369" s="14" t="str">
        <f>IF(AO1369&gt;0,ROUND(INDEX(挂机升级突破!$DT$6:$ED$57,卡牌消耗!AT1369,AO1369)*INDEX(卡牌消耗!$B$7:$F$7,AR1369)/$Q$4,0),"")</f>
        <v/>
      </c>
    </row>
    <row r="1370" spans="37:52" ht="16.5" x14ac:dyDescent="0.2">
      <c r="AK1370" s="104">
        <v>1366</v>
      </c>
      <c r="AL1370" s="14">
        <f t="shared" si="450"/>
        <v>27</v>
      </c>
      <c r="AM1370" s="14">
        <f>INDEX(挂机升级突破!DQ$6:DQ$57,卡牌消耗!$AT1370)</f>
        <v>11</v>
      </c>
      <c r="AN1370" s="14">
        <f>INDEX(挂机升级突破!DR$6:DR$57,卡牌消耗!$AT1370)</f>
        <v>3</v>
      </c>
      <c r="AO1370" s="14">
        <f>INDEX(挂机升级突破!DS$6:DS$57,卡牌消耗!$AT1370)</f>
        <v>0</v>
      </c>
      <c r="AP1370" s="14">
        <f>INDEX(挂机升级突破!$DP$6:$DP$57,卡牌消耗!AT1370)</f>
        <v>53</v>
      </c>
      <c r="AQ1370" s="14" t="str">
        <f t="shared" si="451"/>
        <v>燕青</v>
      </c>
      <c r="AR1370" s="14">
        <f t="shared" si="452"/>
        <v>3</v>
      </c>
      <c r="AS1370" s="14" t="str">
        <f t="shared" si="453"/>
        <v>燕青魂火-14</v>
      </c>
      <c r="AT1370" s="14">
        <f t="shared" si="454"/>
        <v>14</v>
      </c>
      <c r="AU1370" s="14" t="str">
        <f>IF(AM1370&gt;0,INDEX(挂机升级突破!$DT$4:$ED$4,AM1370),"")</f>
        <v>金币</v>
      </c>
      <c r="AV1370" s="14">
        <f>ROUND(INDEX(挂机升级突破!$DJ$6:$DJ$57,卡牌消耗!AT1370)*INDEX(卡牌消耗!$B$8:$F$8,AR1370)/$Q$4/50,0)*50</f>
        <v>3000</v>
      </c>
      <c r="AW1370" s="14" t="str">
        <f>IF(AN1370&gt;0,INDEX(挂机升级突破!$DT$4:$ED$4,AN1370),"")</f>
        <v>紫色基础材料</v>
      </c>
      <c r="AX1370" s="14">
        <f>ROUND(INDEX(挂机升级突破!$DT$6:$ED$57,卡牌消耗!AT1370,AN1370)*INDEX(卡牌消耗!$B$5:$F$5,AR1370)/$Q$4/5,0)*5</f>
        <v>25</v>
      </c>
      <c r="AY1370" s="14" t="str">
        <f>IF(AO1370&gt;0,INDEX(挂机升级突破!$DT$4:$ED$4,AO1370),"")</f>
        <v/>
      </c>
      <c r="AZ1370" s="14" t="str">
        <f>IF(AO1370&gt;0,ROUND(INDEX(挂机升级突破!$DT$6:$ED$57,卡牌消耗!AT1370,AO1370)*INDEX(卡牌消耗!$B$7:$F$7,AR1370)/$Q$4,0),"")</f>
        <v/>
      </c>
    </row>
    <row r="1371" spans="37:52" ht="16.5" x14ac:dyDescent="0.2">
      <c r="AK1371" s="104">
        <v>1367</v>
      </c>
      <c r="AL1371" s="14">
        <f t="shared" si="450"/>
        <v>27</v>
      </c>
      <c r="AM1371" s="14">
        <f>INDEX(挂机升级突破!DQ$6:DQ$57,卡牌消耗!$AT1371)</f>
        <v>11</v>
      </c>
      <c r="AN1371" s="14">
        <f>INDEX(挂机升级突破!DR$6:DR$57,卡牌消耗!$AT1371)</f>
        <v>3</v>
      </c>
      <c r="AO1371" s="14">
        <f>INDEX(挂机升级突破!DS$6:DS$57,卡牌消耗!$AT1371)</f>
        <v>0</v>
      </c>
      <c r="AP1371" s="14">
        <f>INDEX(挂机升级突破!$DP$6:$DP$57,卡牌消耗!AT1371)</f>
        <v>55</v>
      </c>
      <c r="AQ1371" s="14" t="str">
        <f t="shared" si="451"/>
        <v>燕青</v>
      </c>
      <c r="AR1371" s="14">
        <f t="shared" si="452"/>
        <v>3</v>
      </c>
      <c r="AS1371" s="14" t="str">
        <f t="shared" si="453"/>
        <v>燕青魂火-15</v>
      </c>
      <c r="AT1371" s="14">
        <f t="shared" si="454"/>
        <v>15</v>
      </c>
      <c r="AU1371" s="14" t="str">
        <f>IF(AM1371&gt;0,INDEX(挂机升级突破!$DT$4:$ED$4,AM1371),"")</f>
        <v>金币</v>
      </c>
      <c r="AV1371" s="14">
        <f>ROUND(INDEX(挂机升级突破!$DJ$6:$DJ$57,卡牌消耗!AT1371)*INDEX(卡牌消耗!$B$8:$F$8,AR1371)/$Q$4/50,0)*50</f>
        <v>3250</v>
      </c>
      <c r="AW1371" s="14" t="str">
        <f>IF(AN1371&gt;0,INDEX(挂机升级突破!$DT$4:$ED$4,AN1371),"")</f>
        <v>紫色基础材料</v>
      </c>
      <c r="AX1371" s="14">
        <f>ROUND(INDEX(挂机升级突破!$DT$6:$ED$57,卡牌消耗!AT1371,AN1371)*INDEX(卡牌消耗!$B$5:$F$5,AR1371)/$Q$4/5,0)*5</f>
        <v>25</v>
      </c>
      <c r="AY1371" s="14" t="str">
        <f>IF(AO1371&gt;0,INDEX(挂机升级突破!$DT$4:$ED$4,AO1371),"")</f>
        <v/>
      </c>
      <c r="AZ1371" s="14" t="str">
        <f>IF(AO1371&gt;0,ROUND(INDEX(挂机升级突破!$DT$6:$ED$57,卡牌消耗!AT1371,AO1371)*INDEX(卡牌消耗!$B$7:$F$7,AR1371)/$Q$4,0),"")</f>
        <v/>
      </c>
    </row>
    <row r="1372" spans="37:52" ht="16.5" x14ac:dyDescent="0.2">
      <c r="AK1372" s="104">
        <v>1368</v>
      </c>
      <c r="AL1372" s="14">
        <f t="shared" si="450"/>
        <v>27</v>
      </c>
      <c r="AM1372" s="14">
        <f>INDEX(挂机升级突破!DQ$6:DQ$57,卡牌消耗!$AT1372)</f>
        <v>11</v>
      </c>
      <c r="AN1372" s="14">
        <f>INDEX(挂机升级突破!DR$6:DR$57,卡牌消耗!$AT1372)</f>
        <v>3</v>
      </c>
      <c r="AO1372" s="14">
        <f>INDEX(挂机升级突破!DS$6:DS$57,卡牌消耗!$AT1372)</f>
        <v>0</v>
      </c>
      <c r="AP1372" s="14">
        <f>INDEX(挂机升级突破!$DP$6:$DP$57,卡牌消耗!AT1372)</f>
        <v>58</v>
      </c>
      <c r="AQ1372" s="14" t="str">
        <f t="shared" si="451"/>
        <v>燕青</v>
      </c>
      <c r="AR1372" s="14">
        <f t="shared" si="452"/>
        <v>3</v>
      </c>
      <c r="AS1372" s="14" t="str">
        <f t="shared" si="453"/>
        <v>燕青魂火-16</v>
      </c>
      <c r="AT1372" s="14">
        <f t="shared" si="454"/>
        <v>16</v>
      </c>
      <c r="AU1372" s="14" t="str">
        <f>IF(AM1372&gt;0,INDEX(挂机升级突破!$DT$4:$ED$4,AM1372),"")</f>
        <v>金币</v>
      </c>
      <c r="AV1372" s="14">
        <f>ROUND(INDEX(挂机升级突破!$DJ$6:$DJ$57,卡牌消耗!AT1372)*INDEX(卡牌消耗!$B$8:$F$8,AR1372)/$Q$4/50,0)*50</f>
        <v>3250</v>
      </c>
      <c r="AW1372" s="14" t="str">
        <f>IF(AN1372&gt;0,INDEX(挂机升级突破!$DT$4:$ED$4,AN1372),"")</f>
        <v>紫色基础材料</v>
      </c>
      <c r="AX1372" s="14">
        <f>ROUND(INDEX(挂机升级突破!$DT$6:$ED$57,卡牌消耗!AT1372,AN1372)*INDEX(卡牌消耗!$B$5:$F$5,AR1372)/$Q$4/5,0)*5</f>
        <v>25</v>
      </c>
      <c r="AY1372" s="14" t="str">
        <f>IF(AO1372&gt;0,INDEX(挂机升级突破!$DT$4:$ED$4,AO1372),"")</f>
        <v/>
      </c>
      <c r="AZ1372" s="14" t="str">
        <f>IF(AO1372&gt;0,ROUND(INDEX(挂机升级突破!$DT$6:$ED$57,卡牌消耗!AT1372,AO1372)*INDEX(卡牌消耗!$B$7:$F$7,AR1372)/$Q$4,0),"")</f>
        <v/>
      </c>
    </row>
    <row r="1373" spans="37:52" ht="16.5" x14ac:dyDescent="0.2">
      <c r="AK1373" s="104">
        <v>1369</v>
      </c>
      <c r="AL1373" s="14">
        <f t="shared" si="450"/>
        <v>27</v>
      </c>
      <c r="AM1373" s="14">
        <f>INDEX(挂机升级突破!DQ$6:DQ$57,卡牌消耗!$AT1373)</f>
        <v>11</v>
      </c>
      <c r="AN1373" s="14">
        <f>INDEX(挂机升级突破!DR$6:DR$57,卡牌消耗!$AT1373)</f>
        <v>3</v>
      </c>
      <c r="AO1373" s="14">
        <f>INDEX(挂机升级突破!DS$6:DS$57,卡牌消耗!$AT1373)</f>
        <v>0</v>
      </c>
      <c r="AP1373" s="14">
        <f>INDEX(挂机升级突破!$DP$6:$DP$57,卡牌消耗!AT1373)</f>
        <v>60</v>
      </c>
      <c r="AQ1373" s="14" t="str">
        <f t="shared" si="451"/>
        <v>燕青</v>
      </c>
      <c r="AR1373" s="14">
        <f t="shared" si="452"/>
        <v>3</v>
      </c>
      <c r="AS1373" s="14" t="str">
        <f t="shared" si="453"/>
        <v>燕青魂火-17</v>
      </c>
      <c r="AT1373" s="14">
        <f t="shared" si="454"/>
        <v>17</v>
      </c>
      <c r="AU1373" s="14" t="str">
        <f>IF(AM1373&gt;0,INDEX(挂机升级突破!$DT$4:$ED$4,AM1373),"")</f>
        <v>金币</v>
      </c>
      <c r="AV1373" s="14">
        <f>ROUND(INDEX(挂机升级突破!$DJ$6:$DJ$57,卡牌消耗!AT1373)*INDEX(卡牌消耗!$B$8:$F$8,AR1373)/$Q$4/50,0)*50</f>
        <v>4100</v>
      </c>
      <c r="AW1373" s="14" t="str">
        <f>IF(AN1373&gt;0,INDEX(挂机升级突破!$DT$4:$ED$4,AN1373),"")</f>
        <v>紫色基础材料</v>
      </c>
      <c r="AX1373" s="14">
        <f>ROUND(INDEX(挂机升级突破!$DT$6:$ED$57,卡牌消耗!AT1373,AN1373)*INDEX(卡牌消耗!$B$5:$F$5,AR1373)/$Q$4/5,0)*5</f>
        <v>45</v>
      </c>
      <c r="AY1373" s="14" t="str">
        <f>IF(AO1373&gt;0,INDEX(挂机升级突破!$DT$4:$ED$4,AO1373),"")</f>
        <v/>
      </c>
      <c r="AZ1373" s="14" t="str">
        <f>IF(AO1373&gt;0,ROUND(INDEX(挂机升级突破!$DT$6:$ED$57,卡牌消耗!AT1373,AO1373)*INDEX(卡牌消耗!$B$7:$F$7,AR1373)/$Q$4,0),"")</f>
        <v/>
      </c>
    </row>
    <row r="1374" spans="37:52" ht="16.5" x14ac:dyDescent="0.2">
      <c r="AK1374" s="104">
        <v>1370</v>
      </c>
      <c r="AL1374" s="14">
        <f t="shared" si="450"/>
        <v>27</v>
      </c>
      <c r="AM1374" s="14">
        <f>INDEX(挂机升级突破!DQ$6:DQ$57,卡牌消耗!$AT1374)</f>
        <v>11</v>
      </c>
      <c r="AN1374" s="14">
        <f>INDEX(挂机升级突破!DR$6:DR$57,卡牌消耗!$AT1374)</f>
        <v>3</v>
      </c>
      <c r="AO1374" s="14">
        <f>INDEX(挂机升级突破!DS$6:DS$57,卡牌消耗!$AT1374)</f>
        <v>0</v>
      </c>
      <c r="AP1374" s="14">
        <f>INDEX(挂机升级突破!$DP$6:$DP$57,卡牌消耗!AT1374)</f>
        <v>63</v>
      </c>
      <c r="AQ1374" s="14" t="str">
        <f t="shared" si="451"/>
        <v>燕青</v>
      </c>
      <c r="AR1374" s="14">
        <f t="shared" si="452"/>
        <v>3</v>
      </c>
      <c r="AS1374" s="14" t="str">
        <f t="shared" si="453"/>
        <v>燕青魂火-18</v>
      </c>
      <c r="AT1374" s="14">
        <f t="shared" si="454"/>
        <v>18</v>
      </c>
      <c r="AU1374" s="14" t="str">
        <f>IF(AM1374&gt;0,INDEX(挂机升级突破!$DT$4:$ED$4,AM1374),"")</f>
        <v>金币</v>
      </c>
      <c r="AV1374" s="14">
        <f>ROUND(INDEX(挂机升级突破!$DJ$6:$DJ$57,卡牌消耗!AT1374)*INDEX(卡牌消耗!$B$8:$F$8,AR1374)/$Q$4/50,0)*50</f>
        <v>4100</v>
      </c>
      <c r="AW1374" s="14" t="str">
        <f>IF(AN1374&gt;0,INDEX(挂机升级突破!$DT$4:$ED$4,AN1374),"")</f>
        <v>紫色基础材料</v>
      </c>
      <c r="AX1374" s="14">
        <f>ROUND(INDEX(挂机升级突破!$DT$6:$ED$57,卡牌消耗!AT1374,AN1374)*INDEX(卡牌消耗!$B$5:$F$5,AR1374)/$Q$4/5,0)*5</f>
        <v>45</v>
      </c>
      <c r="AY1374" s="14" t="str">
        <f>IF(AO1374&gt;0,INDEX(挂机升级突破!$DT$4:$ED$4,AO1374),"")</f>
        <v/>
      </c>
      <c r="AZ1374" s="14" t="str">
        <f>IF(AO1374&gt;0,ROUND(INDEX(挂机升级突破!$DT$6:$ED$57,卡牌消耗!AT1374,AO1374)*INDEX(卡牌消耗!$B$7:$F$7,AR1374)/$Q$4,0),"")</f>
        <v/>
      </c>
    </row>
    <row r="1375" spans="37:52" ht="16.5" x14ac:dyDescent="0.2">
      <c r="AK1375" s="104">
        <v>1371</v>
      </c>
      <c r="AL1375" s="14">
        <f t="shared" si="450"/>
        <v>27</v>
      </c>
      <c r="AM1375" s="14">
        <f>INDEX(挂机升级突破!DQ$6:DQ$57,卡牌消耗!$AT1375)</f>
        <v>11</v>
      </c>
      <c r="AN1375" s="14">
        <f>INDEX(挂机升级突破!DR$6:DR$57,卡牌消耗!$AT1375)</f>
        <v>3</v>
      </c>
      <c r="AO1375" s="14">
        <f>INDEX(挂机升级突破!DS$6:DS$57,卡牌消耗!$AT1375)</f>
        <v>0</v>
      </c>
      <c r="AP1375" s="14">
        <f>INDEX(挂机升级突破!$DP$6:$DP$57,卡牌消耗!AT1375)</f>
        <v>65</v>
      </c>
      <c r="AQ1375" s="14" t="str">
        <f t="shared" si="451"/>
        <v>燕青</v>
      </c>
      <c r="AR1375" s="14">
        <f t="shared" si="452"/>
        <v>3</v>
      </c>
      <c r="AS1375" s="14" t="str">
        <f t="shared" si="453"/>
        <v>燕青魂火-19</v>
      </c>
      <c r="AT1375" s="14">
        <f t="shared" si="454"/>
        <v>19</v>
      </c>
      <c r="AU1375" s="14" t="str">
        <f>IF(AM1375&gt;0,INDEX(挂机升级突破!$DT$4:$ED$4,AM1375),"")</f>
        <v>金币</v>
      </c>
      <c r="AV1375" s="14">
        <f>ROUND(INDEX(挂机升级突破!$DJ$6:$DJ$57,卡牌消耗!AT1375)*INDEX(卡牌消耗!$B$8:$F$8,AR1375)/$Q$4/50,0)*50</f>
        <v>4100</v>
      </c>
      <c r="AW1375" s="14" t="str">
        <f>IF(AN1375&gt;0,INDEX(挂机升级突破!$DT$4:$ED$4,AN1375),"")</f>
        <v>紫色基础材料</v>
      </c>
      <c r="AX1375" s="14">
        <f>ROUND(INDEX(挂机升级突破!$DT$6:$ED$57,卡牌消耗!AT1375,AN1375)*INDEX(卡牌消耗!$B$5:$F$5,AR1375)/$Q$4/5,0)*5</f>
        <v>45</v>
      </c>
      <c r="AY1375" s="14" t="str">
        <f>IF(AO1375&gt;0,INDEX(挂机升级突破!$DT$4:$ED$4,AO1375),"")</f>
        <v/>
      </c>
      <c r="AZ1375" s="14" t="str">
        <f>IF(AO1375&gt;0,ROUND(INDEX(挂机升级突破!$DT$6:$ED$57,卡牌消耗!AT1375,AO1375)*INDEX(卡牌消耗!$B$7:$F$7,AR1375)/$Q$4,0),"")</f>
        <v/>
      </c>
    </row>
    <row r="1376" spans="37:52" ht="16.5" x14ac:dyDescent="0.2">
      <c r="AK1376" s="104">
        <v>1372</v>
      </c>
      <c r="AL1376" s="14">
        <f t="shared" si="450"/>
        <v>27</v>
      </c>
      <c r="AM1376" s="14">
        <f>INDEX(挂机升级突破!DQ$6:DQ$57,卡牌消耗!$AT1376)</f>
        <v>11</v>
      </c>
      <c r="AN1376" s="14">
        <f>INDEX(挂机升级突破!DR$6:DR$57,卡牌消耗!$AT1376)</f>
        <v>3</v>
      </c>
      <c r="AO1376" s="14">
        <f>INDEX(挂机升级突破!DS$6:DS$57,卡牌消耗!$AT1376)</f>
        <v>0</v>
      </c>
      <c r="AP1376" s="14">
        <f>INDEX(挂机升级突破!$DP$6:$DP$57,卡牌消耗!AT1376)</f>
        <v>68</v>
      </c>
      <c r="AQ1376" s="14" t="str">
        <f t="shared" si="451"/>
        <v>燕青</v>
      </c>
      <c r="AR1376" s="14">
        <f t="shared" si="452"/>
        <v>3</v>
      </c>
      <c r="AS1376" s="14" t="str">
        <f t="shared" si="453"/>
        <v>燕青魂火-20</v>
      </c>
      <c r="AT1376" s="14">
        <f t="shared" si="454"/>
        <v>20</v>
      </c>
      <c r="AU1376" s="14" t="str">
        <f>IF(AM1376&gt;0,INDEX(挂机升级突破!$DT$4:$ED$4,AM1376),"")</f>
        <v>金币</v>
      </c>
      <c r="AV1376" s="14">
        <f>ROUND(INDEX(挂机升级突破!$DJ$6:$DJ$57,卡牌消耗!AT1376)*INDEX(卡牌消耗!$B$8:$F$8,AR1376)/$Q$4/50,0)*50</f>
        <v>5000</v>
      </c>
      <c r="AW1376" s="14" t="str">
        <f>IF(AN1376&gt;0,INDEX(挂机升级突破!$DT$4:$ED$4,AN1376),"")</f>
        <v>紫色基础材料</v>
      </c>
      <c r="AX1376" s="14">
        <f>ROUND(INDEX(挂机升级突破!$DT$6:$ED$57,卡牌消耗!AT1376,AN1376)*INDEX(卡牌消耗!$B$5:$F$5,AR1376)/$Q$4/5,0)*5</f>
        <v>70</v>
      </c>
      <c r="AY1376" s="14" t="str">
        <f>IF(AO1376&gt;0,INDEX(挂机升级突破!$DT$4:$ED$4,AO1376),"")</f>
        <v/>
      </c>
      <c r="AZ1376" s="14" t="str">
        <f>IF(AO1376&gt;0,ROUND(INDEX(挂机升级突破!$DT$6:$ED$57,卡牌消耗!AT1376,AO1376)*INDEX(卡牌消耗!$B$7:$F$7,AR1376)/$Q$4,0),"")</f>
        <v/>
      </c>
    </row>
    <row r="1377" spans="37:52" ht="16.5" x14ac:dyDescent="0.2">
      <c r="AK1377" s="104">
        <v>1373</v>
      </c>
      <c r="AL1377" s="14">
        <f t="shared" si="450"/>
        <v>27</v>
      </c>
      <c r="AM1377" s="14">
        <f>INDEX(挂机升级突破!DQ$6:DQ$57,卡牌消耗!$AT1377)</f>
        <v>11</v>
      </c>
      <c r="AN1377" s="14">
        <f>INDEX(挂机升级突破!DR$6:DR$57,卡牌消耗!$AT1377)</f>
        <v>3</v>
      </c>
      <c r="AO1377" s="14">
        <f>INDEX(挂机升级突破!DS$6:DS$57,卡牌消耗!$AT1377)</f>
        <v>0</v>
      </c>
      <c r="AP1377" s="14">
        <f>INDEX(挂机升级突破!$DP$6:$DP$57,卡牌消耗!AT1377)</f>
        <v>70</v>
      </c>
      <c r="AQ1377" s="14" t="str">
        <f t="shared" si="451"/>
        <v>燕青</v>
      </c>
      <c r="AR1377" s="14">
        <f t="shared" si="452"/>
        <v>3</v>
      </c>
      <c r="AS1377" s="14" t="str">
        <f t="shared" si="453"/>
        <v>燕青魂火-21</v>
      </c>
      <c r="AT1377" s="14">
        <f t="shared" si="454"/>
        <v>21</v>
      </c>
      <c r="AU1377" s="14" t="str">
        <f>IF(AM1377&gt;0,INDEX(挂机升级突破!$DT$4:$ED$4,AM1377),"")</f>
        <v>金币</v>
      </c>
      <c r="AV1377" s="14">
        <f>ROUND(INDEX(挂机升级突破!$DJ$6:$DJ$57,卡牌消耗!AT1377)*INDEX(卡牌消耗!$B$8:$F$8,AR1377)/$Q$4/50,0)*50</f>
        <v>5000</v>
      </c>
      <c r="AW1377" s="14" t="str">
        <f>IF(AN1377&gt;0,INDEX(挂机升级突破!$DT$4:$ED$4,AN1377),"")</f>
        <v>紫色基础材料</v>
      </c>
      <c r="AX1377" s="14">
        <f>ROUND(INDEX(挂机升级突破!$DT$6:$ED$57,卡牌消耗!AT1377,AN1377)*INDEX(卡牌消耗!$B$5:$F$5,AR1377)/$Q$4/5,0)*5</f>
        <v>70</v>
      </c>
      <c r="AY1377" s="14" t="str">
        <f>IF(AO1377&gt;0,INDEX(挂机升级突破!$DT$4:$ED$4,AO1377),"")</f>
        <v/>
      </c>
      <c r="AZ1377" s="14" t="str">
        <f>IF(AO1377&gt;0,ROUND(INDEX(挂机升级突破!$DT$6:$ED$57,卡牌消耗!AT1377,AO1377)*INDEX(卡牌消耗!$B$7:$F$7,AR1377)/$Q$4,0),"")</f>
        <v/>
      </c>
    </row>
    <row r="1378" spans="37:52" ht="16.5" x14ac:dyDescent="0.2">
      <c r="AK1378" s="104">
        <v>1374</v>
      </c>
      <c r="AL1378" s="14">
        <f t="shared" si="450"/>
        <v>27</v>
      </c>
      <c r="AM1378" s="14">
        <f>INDEX(挂机升级突破!DQ$6:DQ$57,卡牌消耗!$AT1378)</f>
        <v>11</v>
      </c>
      <c r="AN1378" s="14">
        <f>INDEX(挂机升级突破!DR$6:DR$57,卡牌消耗!$AT1378)</f>
        <v>3</v>
      </c>
      <c r="AO1378" s="14">
        <f>INDEX(挂机升级突破!DS$6:DS$57,卡牌消耗!$AT1378)</f>
        <v>0</v>
      </c>
      <c r="AP1378" s="14">
        <f>INDEX(挂机升级突破!$DP$6:$DP$57,卡牌消耗!AT1378)</f>
        <v>73</v>
      </c>
      <c r="AQ1378" s="14" t="str">
        <f t="shared" si="451"/>
        <v>燕青</v>
      </c>
      <c r="AR1378" s="14">
        <f t="shared" si="452"/>
        <v>3</v>
      </c>
      <c r="AS1378" s="14" t="str">
        <f t="shared" si="453"/>
        <v>燕青魂火-22</v>
      </c>
      <c r="AT1378" s="14">
        <f t="shared" si="454"/>
        <v>22</v>
      </c>
      <c r="AU1378" s="14" t="str">
        <f>IF(AM1378&gt;0,INDEX(挂机升级突破!$DT$4:$ED$4,AM1378),"")</f>
        <v>金币</v>
      </c>
      <c r="AV1378" s="14">
        <f>ROUND(INDEX(挂机升级突破!$DJ$6:$DJ$57,卡牌消耗!AT1378)*INDEX(卡牌消耗!$B$8:$F$8,AR1378)/$Q$4/50,0)*50</f>
        <v>5000</v>
      </c>
      <c r="AW1378" s="14" t="str">
        <f>IF(AN1378&gt;0,INDEX(挂机升级突破!$DT$4:$ED$4,AN1378),"")</f>
        <v>紫色基础材料</v>
      </c>
      <c r="AX1378" s="14">
        <f>ROUND(INDEX(挂机升级突破!$DT$6:$ED$57,卡牌消耗!AT1378,AN1378)*INDEX(卡牌消耗!$B$5:$F$5,AR1378)/$Q$4/5,0)*5</f>
        <v>70</v>
      </c>
      <c r="AY1378" s="14" t="str">
        <f>IF(AO1378&gt;0,INDEX(挂机升级突破!$DT$4:$ED$4,AO1378),"")</f>
        <v/>
      </c>
      <c r="AZ1378" s="14" t="str">
        <f>IF(AO1378&gt;0,ROUND(INDEX(挂机升级突破!$DT$6:$ED$57,卡牌消耗!AT1378,AO1378)*INDEX(卡牌消耗!$B$7:$F$7,AR1378)/$Q$4,0),"")</f>
        <v/>
      </c>
    </row>
    <row r="1379" spans="37:52" ht="16.5" x14ac:dyDescent="0.2">
      <c r="AK1379" s="104">
        <v>1375</v>
      </c>
      <c r="AL1379" s="14">
        <f t="shared" si="450"/>
        <v>27</v>
      </c>
      <c r="AM1379" s="14">
        <f>INDEX(挂机升级突破!DQ$6:DQ$57,卡牌消耗!$AT1379)</f>
        <v>11</v>
      </c>
      <c r="AN1379" s="14">
        <f>INDEX(挂机升级突破!DR$6:DR$57,卡牌消耗!$AT1379)</f>
        <v>4</v>
      </c>
      <c r="AO1379" s="14">
        <f>INDEX(挂机升级突破!DS$6:DS$57,卡牌消耗!$AT1379)</f>
        <v>0</v>
      </c>
      <c r="AP1379" s="14">
        <f>INDEX(挂机升级突破!$DP$6:$DP$57,卡牌消耗!AT1379)</f>
        <v>75</v>
      </c>
      <c r="AQ1379" s="14" t="str">
        <f t="shared" si="451"/>
        <v>燕青</v>
      </c>
      <c r="AR1379" s="14">
        <f t="shared" si="452"/>
        <v>3</v>
      </c>
      <c r="AS1379" s="14" t="str">
        <f t="shared" si="453"/>
        <v>燕青魂火-23</v>
      </c>
      <c r="AT1379" s="14">
        <f t="shared" si="454"/>
        <v>23</v>
      </c>
      <c r="AU1379" s="14" t="str">
        <f>IF(AM1379&gt;0,INDEX(挂机升级突破!$DT$4:$ED$4,AM1379),"")</f>
        <v>金币</v>
      </c>
      <c r="AV1379" s="14">
        <f>ROUND(INDEX(挂机升级突破!$DJ$6:$DJ$57,卡牌消耗!AT1379)*INDEX(卡牌消耗!$B$8:$F$8,AR1379)/$Q$4/50,0)*50</f>
        <v>6900</v>
      </c>
      <c r="AW1379" s="14" t="str">
        <f>IF(AN1379&gt;0,INDEX(挂机升级突破!$DT$4:$ED$4,AN1379),"")</f>
        <v>橙色基础材料</v>
      </c>
      <c r="AX1379" s="14">
        <f>ROUND(INDEX(挂机升级突破!$DT$6:$ED$57,卡牌消耗!AT1379,AN1379)*INDEX(卡牌消耗!$B$5:$F$5,AR1379)/$Q$4/5,0)*5</f>
        <v>20</v>
      </c>
      <c r="AY1379" s="14" t="str">
        <f>IF(AO1379&gt;0,INDEX(挂机升级突破!$DT$4:$ED$4,AO1379),"")</f>
        <v/>
      </c>
      <c r="AZ1379" s="14" t="str">
        <f>IF(AO1379&gt;0,ROUND(INDEX(挂机升级突破!$DT$6:$ED$57,卡牌消耗!AT1379,AO1379)*INDEX(卡牌消耗!$B$7:$F$7,AR1379)/$Q$4,0),"")</f>
        <v/>
      </c>
    </row>
    <row r="1380" spans="37:52" ht="16.5" x14ac:dyDescent="0.2">
      <c r="AK1380" s="104">
        <v>1376</v>
      </c>
      <c r="AL1380" s="14">
        <f t="shared" si="450"/>
        <v>27</v>
      </c>
      <c r="AM1380" s="14">
        <f>INDEX(挂机升级突破!DQ$6:DQ$57,卡牌消耗!$AT1380)</f>
        <v>11</v>
      </c>
      <c r="AN1380" s="14">
        <f>INDEX(挂机升级突破!DR$6:DR$57,卡牌消耗!$AT1380)</f>
        <v>4</v>
      </c>
      <c r="AO1380" s="14">
        <f>INDEX(挂机升级突破!DS$6:DS$57,卡牌消耗!$AT1380)</f>
        <v>0</v>
      </c>
      <c r="AP1380" s="14">
        <f>INDEX(挂机升级突破!$DP$6:$DP$57,卡牌消耗!AT1380)</f>
        <v>78</v>
      </c>
      <c r="AQ1380" s="14" t="str">
        <f t="shared" si="451"/>
        <v>燕青</v>
      </c>
      <c r="AR1380" s="14">
        <f t="shared" si="452"/>
        <v>3</v>
      </c>
      <c r="AS1380" s="14" t="str">
        <f t="shared" si="453"/>
        <v>燕青魂火-24</v>
      </c>
      <c r="AT1380" s="14">
        <f t="shared" si="454"/>
        <v>24</v>
      </c>
      <c r="AU1380" s="14" t="str">
        <f>IF(AM1380&gt;0,INDEX(挂机升级突破!$DT$4:$ED$4,AM1380),"")</f>
        <v>金币</v>
      </c>
      <c r="AV1380" s="14">
        <f>ROUND(INDEX(挂机升级突破!$DJ$6:$DJ$57,卡牌消耗!AT1380)*INDEX(卡牌消耗!$B$8:$F$8,AR1380)/$Q$4/50,0)*50</f>
        <v>6900</v>
      </c>
      <c r="AW1380" s="14" t="str">
        <f>IF(AN1380&gt;0,INDEX(挂机升级突破!$DT$4:$ED$4,AN1380),"")</f>
        <v>橙色基础材料</v>
      </c>
      <c r="AX1380" s="14">
        <f>ROUND(INDEX(挂机升级突破!$DT$6:$ED$57,卡牌消耗!AT1380,AN1380)*INDEX(卡牌消耗!$B$5:$F$5,AR1380)/$Q$4/5,0)*5</f>
        <v>20</v>
      </c>
      <c r="AY1380" s="14" t="str">
        <f>IF(AO1380&gt;0,INDEX(挂机升级突破!$DT$4:$ED$4,AO1380),"")</f>
        <v/>
      </c>
      <c r="AZ1380" s="14" t="str">
        <f>IF(AO1380&gt;0,ROUND(INDEX(挂机升级突破!$DT$6:$ED$57,卡牌消耗!AT1380,AO1380)*INDEX(卡牌消耗!$B$7:$F$7,AR1380)/$Q$4,0),"")</f>
        <v/>
      </c>
    </row>
    <row r="1381" spans="37:52" ht="16.5" x14ac:dyDescent="0.2">
      <c r="AK1381" s="104">
        <v>1377</v>
      </c>
      <c r="AL1381" s="14">
        <f t="shared" si="450"/>
        <v>27</v>
      </c>
      <c r="AM1381" s="14">
        <f>INDEX(挂机升级突破!DQ$6:DQ$57,卡牌消耗!$AT1381)</f>
        <v>11</v>
      </c>
      <c r="AN1381" s="14">
        <f>INDEX(挂机升级突破!DR$6:DR$57,卡牌消耗!$AT1381)</f>
        <v>4</v>
      </c>
      <c r="AO1381" s="14">
        <f>INDEX(挂机升级突破!DS$6:DS$57,卡牌消耗!$AT1381)</f>
        <v>0</v>
      </c>
      <c r="AP1381" s="14">
        <f>INDEX(挂机升级突破!$DP$6:$DP$57,卡牌消耗!AT1381)</f>
        <v>80</v>
      </c>
      <c r="AQ1381" s="14" t="str">
        <f t="shared" si="451"/>
        <v>燕青</v>
      </c>
      <c r="AR1381" s="14">
        <f t="shared" si="452"/>
        <v>3</v>
      </c>
      <c r="AS1381" s="14" t="str">
        <f t="shared" si="453"/>
        <v>燕青魂火-25</v>
      </c>
      <c r="AT1381" s="14">
        <f t="shared" si="454"/>
        <v>25</v>
      </c>
      <c r="AU1381" s="14" t="str">
        <f>IF(AM1381&gt;0,INDEX(挂机升级突破!$DT$4:$ED$4,AM1381),"")</f>
        <v>金币</v>
      </c>
      <c r="AV1381" s="14">
        <f>ROUND(INDEX(挂机升级突破!$DJ$6:$DJ$57,卡牌消耗!AT1381)*INDEX(卡牌消耗!$B$8:$F$8,AR1381)/$Q$4/50,0)*50</f>
        <v>7550</v>
      </c>
      <c r="AW1381" s="14" t="str">
        <f>IF(AN1381&gt;0,INDEX(挂机升级突破!$DT$4:$ED$4,AN1381),"")</f>
        <v>橙色基础材料</v>
      </c>
      <c r="AX1381" s="14">
        <f>ROUND(INDEX(挂机升级突破!$DT$6:$ED$57,卡牌消耗!AT1381,AN1381)*INDEX(卡牌消耗!$B$5:$F$5,AR1381)/$Q$4/5,0)*5</f>
        <v>20</v>
      </c>
      <c r="AY1381" s="14" t="str">
        <f>IF(AO1381&gt;0,INDEX(挂机升级突破!$DT$4:$ED$4,AO1381),"")</f>
        <v/>
      </c>
      <c r="AZ1381" s="14" t="str">
        <f>IF(AO1381&gt;0,ROUND(INDEX(挂机升级突破!$DT$6:$ED$57,卡牌消耗!AT1381,AO1381)*INDEX(卡牌消耗!$B$7:$F$7,AR1381)/$Q$4,0),"")</f>
        <v/>
      </c>
    </row>
    <row r="1382" spans="37:52" ht="16.5" x14ac:dyDescent="0.2">
      <c r="AK1382" s="104">
        <v>1378</v>
      </c>
      <c r="AL1382" s="14">
        <f t="shared" si="450"/>
        <v>27</v>
      </c>
      <c r="AM1382" s="14">
        <f>INDEX(挂机升级突破!DQ$6:DQ$57,卡牌消耗!$AT1382)</f>
        <v>11</v>
      </c>
      <c r="AN1382" s="14">
        <f>INDEX(挂机升级突破!DR$6:DR$57,卡牌消耗!$AT1382)</f>
        <v>4</v>
      </c>
      <c r="AO1382" s="14">
        <f>INDEX(挂机升级突破!DS$6:DS$57,卡牌消耗!$AT1382)</f>
        <v>0</v>
      </c>
      <c r="AP1382" s="14">
        <f>INDEX(挂机升级突破!$DP$6:$DP$57,卡牌消耗!AT1382)</f>
        <v>83</v>
      </c>
      <c r="AQ1382" s="14" t="str">
        <f t="shared" si="451"/>
        <v>燕青</v>
      </c>
      <c r="AR1382" s="14">
        <f t="shared" si="452"/>
        <v>3</v>
      </c>
      <c r="AS1382" s="14" t="str">
        <f t="shared" si="453"/>
        <v>燕青魂火-26</v>
      </c>
      <c r="AT1382" s="14">
        <f t="shared" si="454"/>
        <v>26</v>
      </c>
      <c r="AU1382" s="14" t="str">
        <f>IF(AM1382&gt;0,INDEX(挂机升级突破!$DT$4:$ED$4,AM1382),"")</f>
        <v>金币</v>
      </c>
      <c r="AV1382" s="14">
        <f>ROUND(INDEX(挂机升级突破!$DJ$6:$DJ$57,卡牌消耗!AT1382)*INDEX(卡牌消耗!$B$8:$F$8,AR1382)/$Q$4/50,0)*50</f>
        <v>8800</v>
      </c>
      <c r="AW1382" s="14" t="str">
        <f>IF(AN1382&gt;0,INDEX(挂机升级突破!$DT$4:$ED$4,AN1382),"")</f>
        <v>橙色基础材料</v>
      </c>
      <c r="AX1382" s="14">
        <f>ROUND(INDEX(挂机升级突破!$DT$6:$ED$57,卡牌消耗!AT1382,AN1382)*INDEX(卡牌消耗!$B$5:$F$5,AR1382)/$Q$4/5,0)*5</f>
        <v>25</v>
      </c>
      <c r="AY1382" s="14" t="str">
        <f>IF(AO1382&gt;0,INDEX(挂机升级突破!$DT$4:$ED$4,AO1382),"")</f>
        <v/>
      </c>
      <c r="AZ1382" s="14" t="str">
        <f>IF(AO1382&gt;0,ROUND(INDEX(挂机升级突破!$DT$6:$ED$57,卡牌消耗!AT1382,AO1382)*INDEX(卡牌消耗!$B$7:$F$7,AR1382)/$Q$4,0),"")</f>
        <v/>
      </c>
    </row>
    <row r="1383" spans="37:52" ht="16.5" x14ac:dyDescent="0.2">
      <c r="AK1383" s="104">
        <v>1379</v>
      </c>
      <c r="AL1383" s="14">
        <f t="shared" si="450"/>
        <v>27</v>
      </c>
      <c r="AM1383" s="14">
        <f>INDEX(挂机升级突破!DQ$6:DQ$57,卡牌消耗!$AT1383)</f>
        <v>11</v>
      </c>
      <c r="AN1383" s="14">
        <f>INDEX(挂机升级突破!DR$6:DR$57,卡牌消耗!$AT1383)</f>
        <v>4</v>
      </c>
      <c r="AO1383" s="14">
        <f>INDEX(挂机升级突破!DS$6:DS$57,卡牌消耗!$AT1383)</f>
        <v>0</v>
      </c>
      <c r="AP1383" s="14">
        <f>INDEX(挂机升级突破!$DP$6:$DP$57,卡牌消耗!AT1383)</f>
        <v>85</v>
      </c>
      <c r="AQ1383" s="14" t="str">
        <f t="shared" si="451"/>
        <v>燕青</v>
      </c>
      <c r="AR1383" s="14">
        <f t="shared" si="452"/>
        <v>3</v>
      </c>
      <c r="AS1383" s="14" t="str">
        <f t="shared" si="453"/>
        <v>燕青魂火-27</v>
      </c>
      <c r="AT1383" s="14">
        <f t="shared" si="454"/>
        <v>27</v>
      </c>
      <c r="AU1383" s="14" t="str">
        <f>IF(AM1383&gt;0,INDEX(挂机升级突破!$DT$4:$ED$4,AM1383),"")</f>
        <v>金币</v>
      </c>
      <c r="AV1383" s="14">
        <f>ROUND(INDEX(挂机升级突破!$DJ$6:$DJ$57,卡牌消耗!AT1383)*INDEX(卡牌消耗!$B$8:$F$8,AR1383)/$Q$4/50,0)*50</f>
        <v>8800</v>
      </c>
      <c r="AW1383" s="14" t="str">
        <f>IF(AN1383&gt;0,INDEX(挂机升级突破!$DT$4:$ED$4,AN1383),"")</f>
        <v>橙色基础材料</v>
      </c>
      <c r="AX1383" s="14">
        <f>ROUND(INDEX(挂机升级突破!$DT$6:$ED$57,卡牌消耗!AT1383,AN1383)*INDEX(卡牌消耗!$B$5:$F$5,AR1383)/$Q$4/5,0)*5</f>
        <v>25</v>
      </c>
      <c r="AY1383" s="14" t="str">
        <f>IF(AO1383&gt;0,INDEX(挂机升级突破!$DT$4:$ED$4,AO1383),"")</f>
        <v/>
      </c>
      <c r="AZ1383" s="14" t="str">
        <f>IF(AO1383&gt;0,ROUND(INDEX(挂机升级突破!$DT$6:$ED$57,卡牌消耗!AT1383,AO1383)*INDEX(卡牌消耗!$B$7:$F$7,AR1383)/$Q$4,0),"")</f>
        <v/>
      </c>
    </row>
    <row r="1384" spans="37:52" ht="16.5" x14ac:dyDescent="0.2">
      <c r="AK1384" s="104">
        <v>1380</v>
      </c>
      <c r="AL1384" s="14">
        <f t="shared" si="450"/>
        <v>27</v>
      </c>
      <c r="AM1384" s="14">
        <f>INDEX(挂机升级突破!DQ$6:DQ$57,卡牌消耗!$AT1384)</f>
        <v>11</v>
      </c>
      <c r="AN1384" s="14">
        <f>INDEX(挂机升级突破!DR$6:DR$57,卡牌消耗!$AT1384)</f>
        <v>4</v>
      </c>
      <c r="AO1384" s="14">
        <f>INDEX(挂机升级突破!DS$6:DS$57,卡牌消耗!$AT1384)</f>
        <v>0</v>
      </c>
      <c r="AP1384" s="14">
        <f>INDEX(挂机升级突破!$DP$6:$DP$57,卡牌消耗!AT1384)</f>
        <v>88</v>
      </c>
      <c r="AQ1384" s="14" t="str">
        <f t="shared" si="451"/>
        <v>燕青</v>
      </c>
      <c r="AR1384" s="14">
        <f t="shared" si="452"/>
        <v>3</v>
      </c>
      <c r="AS1384" s="14" t="str">
        <f t="shared" si="453"/>
        <v>燕青魂火-28</v>
      </c>
      <c r="AT1384" s="14">
        <f t="shared" si="454"/>
        <v>28</v>
      </c>
      <c r="AU1384" s="14" t="str">
        <f>IF(AM1384&gt;0,INDEX(挂机升级突破!$DT$4:$ED$4,AM1384),"")</f>
        <v>金币</v>
      </c>
      <c r="AV1384" s="14">
        <f>ROUND(INDEX(挂机升级突破!$DJ$6:$DJ$57,卡牌消耗!AT1384)*INDEX(卡牌消耗!$B$8:$F$8,AR1384)/$Q$4/50,0)*50</f>
        <v>8800</v>
      </c>
      <c r="AW1384" s="14" t="str">
        <f>IF(AN1384&gt;0,INDEX(挂机升级突破!$DT$4:$ED$4,AN1384),"")</f>
        <v>橙色基础材料</v>
      </c>
      <c r="AX1384" s="14">
        <f>ROUND(INDEX(挂机升级突破!$DT$6:$ED$57,卡牌消耗!AT1384,AN1384)*INDEX(卡牌消耗!$B$5:$F$5,AR1384)/$Q$4/5,0)*5</f>
        <v>25</v>
      </c>
      <c r="AY1384" s="14" t="str">
        <f>IF(AO1384&gt;0,INDEX(挂机升级突破!$DT$4:$ED$4,AO1384),"")</f>
        <v/>
      </c>
      <c r="AZ1384" s="14" t="str">
        <f>IF(AO1384&gt;0,ROUND(INDEX(挂机升级突破!$DT$6:$ED$57,卡牌消耗!AT1384,AO1384)*INDEX(卡牌消耗!$B$7:$F$7,AR1384)/$Q$4,0),"")</f>
        <v/>
      </c>
    </row>
    <row r="1385" spans="37:52" ht="16.5" x14ac:dyDescent="0.2">
      <c r="AK1385" s="104">
        <v>1381</v>
      </c>
      <c r="AL1385" s="14">
        <f t="shared" si="450"/>
        <v>27</v>
      </c>
      <c r="AM1385" s="14">
        <f>INDEX(挂机升级突破!DQ$6:DQ$57,卡牌消耗!$AT1385)</f>
        <v>11</v>
      </c>
      <c r="AN1385" s="14">
        <f>INDEX(挂机升级突破!DR$6:DR$57,卡牌消耗!$AT1385)</f>
        <v>4</v>
      </c>
      <c r="AO1385" s="14">
        <f>INDEX(挂机升级突破!DS$6:DS$57,卡牌消耗!$AT1385)</f>
        <v>0</v>
      </c>
      <c r="AP1385" s="14">
        <f>INDEX(挂机升级突破!$DP$6:$DP$57,卡牌消耗!AT1385)</f>
        <v>90</v>
      </c>
      <c r="AQ1385" s="14" t="str">
        <f t="shared" si="451"/>
        <v>燕青</v>
      </c>
      <c r="AR1385" s="14">
        <f t="shared" si="452"/>
        <v>3</v>
      </c>
      <c r="AS1385" s="14" t="str">
        <f t="shared" si="453"/>
        <v>燕青魂火-29</v>
      </c>
      <c r="AT1385" s="14">
        <f t="shared" si="454"/>
        <v>29</v>
      </c>
      <c r="AU1385" s="14" t="str">
        <f>IF(AM1385&gt;0,INDEX(挂机升级突破!$DT$4:$ED$4,AM1385),"")</f>
        <v>金币</v>
      </c>
      <c r="AV1385" s="14">
        <f>ROUND(INDEX(挂机升级突破!$DJ$6:$DJ$57,卡牌消耗!AT1385)*INDEX(卡牌消耗!$B$8:$F$8,AR1385)/$Q$4/50,0)*50</f>
        <v>8900</v>
      </c>
      <c r="AW1385" s="14" t="str">
        <f>IF(AN1385&gt;0,INDEX(挂机升级突破!$DT$4:$ED$4,AN1385),"")</f>
        <v>橙色基础材料</v>
      </c>
      <c r="AX1385" s="14">
        <f>ROUND(INDEX(挂机升级突破!$DT$6:$ED$57,卡牌消耗!AT1385,AN1385)*INDEX(卡牌消耗!$B$5:$F$5,AR1385)/$Q$4/5,0)*5</f>
        <v>25</v>
      </c>
      <c r="AY1385" s="14" t="str">
        <f>IF(AO1385&gt;0,INDEX(挂机升级突破!$DT$4:$ED$4,AO1385),"")</f>
        <v/>
      </c>
      <c r="AZ1385" s="14" t="str">
        <f>IF(AO1385&gt;0,ROUND(INDEX(挂机升级突破!$DT$6:$ED$57,卡牌消耗!AT1385,AO1385)*INDEX(卡牌消耗!$B$7:$F$7,AR1385)/$Q$4,0),"")</f>
        <v/>
      </c>
    </row>
    <row r="1386" spans="37:52" ht="16.5" x14ac:dyDescent="0.2">
      <c r="AK1386" s="104">
        <v>1382</v>
      </c>
      <c r="AL1386" s="14">
        <f t="shared" si="450"/>
        <v>27</v>
      </c>
      <c r="AM1386" s="14">
        <f>INDEX(挂机升级突破!DQ$6:DQ$57,卡牌消耗!$AT1386)</f>
        <v>11</v>
      </c>
      <c r="AN1386" s="14">
        <f>INDEX(挂机升级突破!DR$6:DR$57,卡牌消耗!$AT1386)</f>
        <v>4</v>
      </c>
      <c r="AO1386" s="14">
        <f>INDEX(挂机升级突破!DS$6:DS$57,卡牌消耗!$AT1386)</f>
        <v>0</v>
      </c>
      <c r="AP1386" s="14">
        <f>INDEX(挂机升级突破!$DP$6:$DP$57,卡牌消耗!AT1386)</f>
        <v>93</v>
      </c>
      <c r="AQ1386" s="14" t="str">
        <f t="shared" si="451"/>
        <v>燕青</v>
      </c>
      <c r="AR1386" s="14">
        <f t="shared" si="452"/>
        <v>3</v>
      </c>
      <c r="AS1386" s="14" t="str">
        <f t="shared" si="453"/>
        <v>燕青魂火-30</v>
      </c>
      <c r="AT1386" s="14">
        <f t="shared" si="454"/>
        <v>30</v>
      </c>
      <c r="AU1386" s="14" t="str">
        <f>IF(AM1386&gt;0,INDEX(挂机升级突破!$DT$4:$ED$4,AM1386),"")</f>
        <v>金币</v>
      </c>
      <c r="AV1386" s="14">
        <f>ROUND(INDEX(挂机升级突破!$DJ$6:$DJ$57,卡牌消耗!AT1386)*INDEX(卡牌消耗!$B$8:$F$8,AR1386)/$Q$4/50,0)*50</f>
        <v>8900</v>
      </c>
      <c r="AW1386" s="14" t="str">
        <f>IF(AN1386&gt;0,INDEX(挂机升级突破!$DT$4:$ED$4,AN1386),"")</f>
        <v>橙色基础材料</v>
      </c>
      <c r="AX1386" s="14">
        <f>ROUND(INDEX(挂机升级突破!$DT$6:$ED$57,卡牌消耗!AT1386,AN1386)*INDEX(卡牌消耗!$B$5:$F$5,AR1386)/$Q$4/5,0)*5</f>
        <v>25</v>
      </c>
      <c r="AY1386" s="14" t="str">
        <f>IF(AO1386&gt;0,INDEX(挂机升级突破!$DT$4:$ED$4,AO1386),"")</f>
        <v/>
      </c>
      <c r="AZ1386" s="14" t="str">
        <f>IF(AO1386&gt;0,ROUND(INDEX(挂机升级突破!$DT$6:$ED$57,卡牌消耗!AT1386,AO1386)*INDEX(卡牌消耗!$B$7:$F$7,AR1386)/$Q$4,0),"")</f>
        <v/>
      </c>
    </row>
    <row r="1387" spans="37:52" ht="16.5" x14ac:dyDescent="0.2">
      <c r="AK1387" s="104">
        <v>1383</v>
      </c>
      <c r="AL1387" s="14">
        <f t="shared" si="450"/>
        <v>27</v>
      </c>
      <c r="AM1387" s="14">
        <f>INDEX(挂机升级突破!DQ$6:DQ$57,卡牌消耗!$AT1387)</f>
        <v>11</v>
      </c>
      <c r="AN1387" s="14">
        <f>INDEX(挂机升级突破!DR$6:DR$57,卡牌消耗!$AT1387)</f>
        <v>4</v>
      </c>
      <c r="AO1387" s="14">
        <f>INDEX(挂机升级突破!DS$6:DS$57,卡牌消耗!$AT1387)</f>
        <v>0</v>
      </c>
      <c r="AP1387" s="14">
        <f>INDEX(挂机升级突破!$DP$6:$DP$57,卡牌消耗!AT1387)</f>
        <v>95</v>
      </c>
      <c r="AQ1387" s="14" t="str">
        <f t="shared" si="451"/>
        <v>燕青</v>
      </c>
      <c r="AR1387" s="14">
        <f t="shared" si="452"/>
        <v>3</v>
      </c>
      <c r="AS1387" s="14" t="str">
        <f t="shared" si="453"/>
        <v>燕青魂火-31</v>
      </c>
      <c r="AT1387" s="14">
        <f t="shared" si="454"/>
        <v>31</v>
      </c>
      <c r="AU1387" s="14" t="str">
        <f>IF(AM1387&gt;0,INDEX(挂机升级突破!$DT$4:$ED$4,AM1387),"")</f>
        <v>金币</v>
      </c>
      <c r="AV1387" s="14">
        <f>ROUND(INDEX(挂机升级突破!$DJ$6:$DJ$57,卡牌消耗!AT1387)*INDEX(卡牌消耗!$B$8:$F$8,AR1387)/$Q$4/50,0)*50</f>
        <v>8900</v>
      </c>
      <c r="AW1387" s="14" t="str">
        <f>IF(AN1387&gt;0,INDEX(挂机升级突破!$DT$4:$ED$4,AN1387),"")</f>
        <v>橙色基础材料</v>
      </c>
      <c r="AX1387" s="14">
        <f>ROUND(INDEX(挂机升级突破!$DT$6:$ED$57,卡牌消耗!AT1387,AN1387)*INDEX(卡牌消耗!$B$5:$F$5,AR1387)/$Q$4/5,0)*5</f>
        <v>25</v>
      </c>
      <c r="AY1387" s="14" t="str">
        <f>IF(AO1387&gt;0,INDEX(挂机升级突破!$DT$4:$ED$4,AO1387),"")</f>
        <v/>
      </c>
      <c r="AZ1387" s="14" t="str">
        <f>IF(AO1387&gt;0,ROUND(INDEX(挂机升级突破!$DT$6:$ED$57,卡牌消耗!AT1387,AO1387)*INDEX(卡牌消耗!$B$7:$F$7,AR1387)/$Q$4,0),"")</f>
        <v/>
      </c>
    </row>
    <row r="1388" spans="37:52" ht="16.5" x14ac:dyDescent="0.2">
      <c r="AK1388" s="104">
        <v>1384</v>
      </c>
      <c r="AL1388" s="14">
        <f t="shared" si="450"/>
        <v>27</v>
      </c>
      <c r="AM1388" s="14">
        <f>INDEX(挂机升级突破!DQ$6:DQ$57,卡牌消耗!$AT1388)</f>
        <v>11</v>
      </c>
      <c r="AN1388" s="14">
        <f>INDEX(挂机升级突破!DR$6:DR$57,卡牌消耗!$AT1388)</f>
        <v>4</v>
      </c>
      <c r="AO1388" s="14">
        <f>INDEX(挂机升级突破!DS$6:DS$57,卡牌消耗!$AT1388)</f>
        <v>0</v>
      </c>
      <c r="AP1388" s="14">
        <f>INDEX(挂机升级突破!$DP$6:$DP$57,卡牌消耗!AT1388)</f>
        <v>98</v>
      </c>
      <c r="AQ1388" s="14" t="str">
        <f t="shared" si="451"/>
        <v>燕青</v>
      </c>
      <c r="AR1388" s="14">
        <f t="shared" si="452"/>
        <v>3</v>
      </c>
      <c r="AS1388" s="14" t="str">
        <f t="shared" si="453"/>
        <v>燕青魂火-32</v>
      </c>
      <c r="AT1388" s="14">
        <f t="shared" si="454"/>
        <v>32</v>
      </c>
      <c r="AU1388" s="14" t="str">
        <f>IF(AM1388&gt;0,INDEX(挂机升级突破!$DT$4:$ED$4,AM1388),"")</f>
        <v>金币</v>
      </c>
      <c r="AV1388" s="14">
        <f>ROUND(INDEX(挂机升级突破!$DJ$6:$DJ$57,卡牌消耗!AT1388)*INDEX(卡牌消耗!$B$8:$F$8,AR1388)/$Q$4/50,0)*50</f>
        <v>12200</v>
      </c>
      <c r="AW1388" s="14" t="str">
        <f>IF(AN1388&gt;0,INDEX(挂机升级突破!$DT$4:$ED$4,AN1388),"")</f>
        <v>橙色基础材料</v>
      </c>
      <c r="AX1388" s="14">
        <f>ROUND(INDEX(挂机升级突破!$DT$6:$ED$57,卡牌消耗!AT1388,AN1388)*INDEX(卡牌消耗!$B$5:$F$5,AR1388)/$Q$4/5,0)*5</f>
        <v>25</v>
      </c>
      <c r="AY1388" s="14" t="str">
        <f>IF(AO1388&gt;0,INDEX(挂机升级突破!$DT$4:$ED$4,AO1388),"")</f>
        <v/>
      </c>
      <c r="AZ1388" s="14" t="str">
        <f>IF(AO1388&gt;0,ROUND(INDEX(挂机升级突破!$DT$6:$ED$57,卡牌消耗!AT1388,AO1388)*INDEX(卡牌消耗!$B$7:$F$7,AR1388)/$Q$4,0),"")</f>
        <v/>
      </c>
    </row>
    <row r="1389" spans="37:52" ht="16.5" x14ac:dyDescent="0.2">
      <c r="AK1389" s="104">
        <v>1385</v>
      </c>
      <c r="AL1389" s="14">
        <f t="shared" si="450"/>
        <v>27</v>
      </c>
      <c r="AM1389" s="14">
        <f>INDEX(挂机升级突破!DQ$6:DQ$57,卡牌消耗!$AT1389)</f>
        <v>11</v>
      </c>
      <c r="AN1389" s="14">
        <f>INDEX(挂机升级突破!DR$6:DR$57,卡牌消耗!$AT1389)</f>
        <v>4</v>
      </c>
      <c r="AO1389" s="14">
        <f>INDEX(挂机升级突破!DS$6:DS$57,卡牌消耗!$AT1389)</f>
        <v>0</v>
      </c>
      <c r="AP1389" s="14">
        <f>INDEX(挂机升级突破!$DP$6:$DP$57,卡牌消耗!AT1389)</f>
        <v>100</v>
      </c>
      <c r="AQ1389" s="14" t="str">
        <f t="shared" si="451"/>
        <v>燕青</v>
      </c>
      <c r="AR1389" s="14">
        <f t="shared" si="452"/>
        <v>3</v>
      </c>
      <c r="AS1389" s="14" t="str">
        <f t="shared" si="453"/>
        <v>燕青魂火-33</v>
      </c>
      <c r="AT1389" s="14">
        <f t="shared" si="454"/>
        <v>33</v>
      </c>
      <c r="AU1389" s="14" t="str">
        <f>IF(AM1389&gt;0,INDEX(挂机升级突破!$DT$4:$ED$4,AM1389),"")</f>
        <v>金币</v>
      </c>
      <c r="AV1389" s="14">
        <f>ROUND(INDEX(挂机升级突破!$DJ$6:$DJ$57,卡牌消耗!AT1389)*INDEX(卡牌消耗!$B$8:$F$8,AR1389)/$Q$4/50,0)*50</f>
        <v>12200</v>
      </c>
      <c r="AW1389" s="14" t="str">
        <f>IF(AN1389&gt;0,INDEX(挂机升级突破!$DT$4:$ED$4,AN1389),"")</f>
        <v>橙色基础材料</v>
      </c>
      <c r="AX1389" s="14">
        <f>ROUND(INDEX(挂机升级突破!$DT$6:$ED$57,卡牌消耗!AT1389,AN1389)*INDEX(卡牌消耗!$B$5:$F$5,AR1389)/$Q$4/5,0)*5</f>
        <v>25</v>
      </c>
      <c r="AY1389" s="14" t="str">
        <f>IF(AO1389&gt;0,INDEX(挂机升级突破!$DT$4:$ED$4,AO1389),"")</f>
        <v/>
      </c>
      <c r="AZ1389" s="14" t="str">
        <f>IF(AO1389&gt;0,ROUND(INDEX(挂机升级突破!$DT$6:$ED$57,卡牌消耗!AT1389,AO1389)*INDEX(卡牌消耗!$B$7:$F$7,AR1389)/$Q$4,0),"")</f>
        <v/>
      </c>
    </row>
    <row r="1390" spans="37:52" ht="16.5" x14ac:dyDescent="0.2">
      <c r="AK1390" s="104">
        <v>1386</v>
      </c>
      <c r="AL1390" s="14">
        <f t="shared" si="450"/>
        <v>27</v>
      </c>
      <c r="AM1390" s="14">
        <f>INDEX(挂机升级突破!DQ$6:DQ$57,卡牌消耗!$AT1390)</f>
        <v>11</v>
      </c>
      <c r="AN1390" s="14">
        <f>INDEX(挂机升级突破!DR$6:DR$57,卡牌消耗!$AT1390)</f>
        <v>4</v>
      </c>
      <c r="AO1390" s="14">
        <f>INDEX(挂机升级突破!DS$6:DS$57,卡牌消耗!$AT1390)</f>
        <v>0</v>
      </c>
      <c r="AP1390" s="14">
        <f>INDEX(挂机升级突破!$DP$6:$DP$57,卡牌消耗!AT1390)</f>
        <v>103</v>
      </c>
      <c r="AQ1390" s="14" t="str">
        <f t="shared" si="451"/>
        <v>燕青</v>
      </c>
      <c r="AR1390" s="14">
        <f t="shared" si="452"/>
        <v>3</v>
      </c>
      <c r="AS1390" s="14" t="str">
        <f t="shared" si="453"/>
        <v>燕青魂火-34</v>
      </c>
      <c r="AT1390" s="14">
        <f t="shared" si="454"/>
        <v>34</v>
      </c>
      <c r="AU1390" s="14" t="str">
        <f>IF(AM1390&gt;0,INDEX(挂机升级突破!$DT$4:$ED$4,AM1390),"")</f>
        <v>金币</v>
      </c>
      <c r="AV1390" s="14">
        <f>ROUND(INDEX(挂机升级突破!$DJ$6:$DJ$57,卡牌消耗!AT1390)*INDEX(卡牌消耗!$B$8:$F$8,AR1390)/$Q$4/50,0)*50</f>
        <v>12200</v>
      </c>
      <c r="AW1390" s="14" t="str">
        <f>IF(AN1390&gt;0,INDEX(挂机升级突破!$DT$4:$ED$4,AN1390),"")</f>
        <v>橙色基础材料</v>
      </c>
      <c r="AX1390" s="14">
        <f>ROUND(INDEX(挂机升级突破!$DT$6:$ED$57,卡牌消耗!AT1390,AN1390)*INDEX(卡牌消耗!$B$5:$F$5,AR1390)/$Q$4/5,0)*5</f>
        <v>30</v>
      </c>
      <c r="AY1390" s="14" t="str">
        <f>IF(AO1390&gt;0,INDEX(挂机升级突破!$DT$4:$ED$4,AO1390),"")</f>
        <v/>
      </c>
      <c r="AZ1390" s="14" t="str">
        <f>IF(AO1390&gt;0,ROUND(INDEX(挂机升级突破!$DT$6:$ED$57,卡牌消耗!AT1390,AO1390)*INDEX(卡牌消耗!$B$7:$F$7,AR1390)/$Q$4,0),"")</f>
        <v/>
      </c>
    </row>
    <row r="1391" spans="37:52" ht="16.5" x14ac:dyDescent="0.2">
      <c r="AK1391" s="104">
        <v>1387</v>
      </c>
      <c r="AL1391" s="14">
        <f t="shared" si="450"/>
        <v>27</v>
      </c>
      <c r="AM1391" s="14">
        <f>INDEX(挂机升级突破!DQ$6:DQ$57,卡牌消耗!$AT1391)</f>
        <v>11</v>
      </c>
      <c r="AN1391" s="14">
        <f>INDEX(挂机升级突破!DR$6:DR$57,卡牌消耗!$AT1391)</f>
        <v>4</v>
      </c>
      <c r="AO1391" s="14">
        <f>INDEX(挂机升级突破!DS$6:DS$57,卡牌消耗!$AT1391)</f>
        <v>0</v>
      </c>
      <c r="AP1391" s="14">
        <f>INDEX(挂机升级突破!$DP$6:$DP$57,卡牌消耗!AT1391)</f>
        <v>105</v>
      </c>
      <c r="AQ1391" s="14" t="str">
        <f t="shared" si="451"/>
        <v>燕青</v>
      </c>
      <c r="AR1391" s="14">
        <f t="shared" si="452"/>
        <v>3</v>
      </c>
      <c r="AS1391" s="14" t="str">
        <f t="shared" si="453"/>
        <v>燕青魂火-35</v>
      </c>
      <c r="AT1391" s="14">
        <f t="shared" si="454"/>
        <v>35</v>
      </c>
      <c r="AU1391" s="14" t="str">
        <f>IF(AM1391&gt;0,INDEX(挂机升级突破!$DT$4:$ED$4,AM1391),"")</f>
        <v>金币</v>
      </c>
      <c r="AV1391" s="14">
        <f>ROUND(INDEX(挂机升级突破!$DJ$6:$DJ$57,卡牌消耗!AT1391)*INDEX(卡牌消耗!$B$8:$F$8,AR1391)/$Q$4/50,0)*50</f>
        <v>15550</v>
      </c>
      <c r="AW1391" s="14" t="str">
        <f>IF(AN1391&gt;0,INDEX(挂机升级突破!$DT$4:$ED$4,AN1391),"")</f>
        <v>橙色基础材料</v>
      </c>
      <c r="AX1391" s="14">
        <f>ROUND(INDEX(挂机升级突破!$DT$6:$ED$57,卡牌消耗!AT1391,AN1391)*INDEX(卡牌消耗!$B$5:$F$5,AR1391)/$Q$4/5,0)*5</f>
        <v>30</v>
      </c>
      <c r="AY1391" s="14" t="str">
        <f>IF(AO1391&gt;0,INDEX(挂机升级突破!$DT$4:$ED$4,AO1391),"")</f>
        <v/>
      </c>
      <c r="AZ1391" s="14" t="str">
        <f>IF(AO1391&gt;0,ROUND(INDEX(挂机升级突破!$DT$6:$ED$57,卡牌消耗!AT1391,AO1391)*INDEX(卡牌消耗!$B$7:$F$7,AR1391)/$Q$4,0),"")</f>
        <v/>
      </c>
    </row>
    <row r="1392" spans="37:52" ht="16.5" x14ac:dyDescent="0.2">
      <c r="AK1392" s="104">
        <v>1388</v>
      </c>
      <c r="AL1392" s="14">
        <f t="shared" si="450"/>
        <v>27</v>
      </c>
      <c r="AM1392" s="14">
        <f>INDEX(挂机升级突破!DQ$6:DQ$57,卡牌消耗!$AT1392)</f>
        <v>11</v>
      </c>
      <c r="AN1392" s="14">
        <f>INDEX(挂机升级突破!DR$6:DR$57,卡牌消耗!$AT1392)</f>
        <v>4</v>
      </c>
      <c r="AO1392" s="14">
        <f>INDEX(挂机升级突破!DS$6:DS$57,卡牌消耗!$AT1392)</f>
        <v>0</v>
      </c>
      <c r="AP1392" s="14">
        <f>INDEX(挂机升级突破!$DP$6:$DP$57,卡牌消耗!AT1392)</f>
        <v>108</v>
      </c>
      <c r="AQ1392" s="14" t="str">
        <f t="shared" si="451"/>
        <v>燕青</v>
      </c>
      <c r="AR1392" s="14">
        <f t="shared" si="452"/>
        <v>3</v>
      </c>
      <c r="AS1392" s="14" t="str">
        <f t="shared" si="453"/>
        <v>燕青魂火-36</v>
      </c>
      <c r="AT1392" s="14">
        <f t="shared" si="454"/>
        <v>36</v>
      </c>
      <c r="AU1392" s="14" t="str">
        <f>IF(AM1392&gt;0,INDEX(挂机升级突破!$DT$4:$ED$4,AM1392),"")</f>
        <v>金币</v>
      </c>
      <c r="AV1392" s="14">
        <f>ROUND(INDEX(挂机升级突破!$DJ$6:$DJ$57,卡牌消耗!AT1392)*INDEX(卡牌消耗!$B$8:$F$8,AR1392)/$Q$4/50,0)*50</f>
        <v>15550</v>
      </c>
      <c r="AW1392" s="14" t="str">
        <f>IF(AN1392&gt;0,INDEX(挂机升级突破!$DT$4:$ED$4,AN1392),"")</f>
        <v>橙色基础材料</v>
      </c>
      <c r="AX1392" s="14">
        <f>ROUND(INDEX(挂机升级突破!$DT$6:$ED$57,卡牌消耗!AT1392,AN1392)*INDEX(卡牌消耗!$B$5:$F$5,AR1392)/$Q$4/5,0)*5</f>
        <v>30</v>
      </c>
      <c r="AY1392" s="14" t="str">
        <f>IF(AO1392&gt;0,INDEX(挂机升级突破!$DT$4:$ED$4,AO1392),"")</f>
        <v/>
      </c>
      <c r="AZ1392" s="14" t="str">
        <f>IF(AO1392&gt;0,ROUND(INDEX(挂机升级突破!$DT$6:$ED$57,卡牌消耗!AT1392,AO1392)*INDEX(卡牌消耗!$B$7:$F$7,AR1392)/$Q$4,0),"")</f>
        <v/>
      </c>
    </row>
    <row r="1393" spans="37:52" ht="16.5" x14ac:dyDescent="0.2">
      <c r="AK1393" s="104">
        <v>1389</v>
      </c>
      <c r="AL1393" s="14">
        <f t="shared" si="450"/>
        <v>27</v>
      </c>
      <c r="AM1393" s="14">
        <f>INDEX(挂机升级突破!DQ$6:DQ$57,卡牌消耗!$AT1393)</f>
        <v>11</v>
      </c>
      <c r="AN1393" s="14">
        <f>INDEX(挂机升级突破!DR$6:DR$57,卡牌消耗!$AT1393)</f>
        <v>4</v>
      </c>
      <c r="AO1393" s="14">
        <f>INDEX(挂机升级突破!DS$6:DS$57,卡牌消耗!$AT1393)</f>
        <v>0</v>
      </c>
      <c r="AP1393" s="14">
        <f>INDEX(挂机升级突破!$DP$6:$DP$57,卡牌消耗!AT1393)</f>
        <v>110</v>
      </c>
      <c r="AQ1393" s="14" t="str">
        <f t="shared" si="451"/>
        <v>燕青</v>
      </c>
      <c r="AR1393" s="14">
        <f t="shared" si="452"/>
        <v>3</v>
      </c>
      <c r="AS1393" s="14" t="str">
        <f t="shared" si="453"/>
        <v>燕青魂火-37</v>
      </c>
      <c r="AT1393" s="14">
        <f t="shared" si="454"/>
        <v>37</v>
      </c>
      <c r="AU1393" s="14" t="str">
        <f>IF(AM1393&gt;0,INDEX(挂机升级突破!$DT$4:$ED$4,AM1393),"")</f>
        <v>金币</v>
      </c>
      <c r="AV1393" s="14">
        <f>ROUND(INDEX(挂机升级突破!$DJ$6:$DJ$57,卡牌消耗!AT1393)*INDEX(卡牌消耗!$B$8:$F$8,AR1393)/$Q$4/50,0)*50</f>
        <v>16650</v>
      </c>
      <c r="AW1393" s="14" t="str">
        <f>IF(AN1393&gt;0,INDEX(挂机升级突破!$DT$4:$ED$4,AN1393),"")</f>
        <v>橙色基础材料</v>
      </c>
      <c r="AX1393" s="14">
        <f>ROUND(INDEX(挂机升级突破!$DT$6:$ED$57,卡牌消耗!AT1393,AN1393)*INDEX(卡牌消耗!$B$5:$F$5,AR1393)/$Q$4/5,0)*5</f>
        <v>30</v>
      </c>
      <c r="AY1393" s="14" t="str">
        <f>IF(AO1393&gt;0,INDEX(挂机升级突破!$DT$4:$ED$4,AO1393),"")</f>
        <v/>
      </c>
      <c r="AZ1393" s="14" t="str">
        <f>IF(AO1393&gt;0,ROUND(INDEX(挂机升级突破!$DT$6:$ED$57,卡牌消耗!AT1393,AO1393)*INDEX(卡牌消耗!$B$7:$F$7,AR1393)/$Q$4,0),"")</f>
        <v/>
      </c>
    </row>
    <row r="1394" spans="37:52" ht="16.5" x14ac:dyDescent="0.2">
      <c r="AK1394" s="104">
        <v>1390</v>
      </c>
      <c r="AL1394" s="14">
        <f t="shared" si="450"/>
        <v>27</v>
      </c>
      <c r="AM1394" s="14">
        <f>INDEX(挂机升级突破!DQ$6:DQ$57,卡牌消耗!$AT1394)</f>
        <v>11</v>
      </c>
      <c r="AN1394" s="14">
        <f>INDEX(挂机升级突破!DR$6:DR$57,卡牌消耗!$AT1394)</f>
        <v>5</v>
      </c>
      <c r="AO1394" s="14">
        <f>INDEX(挂机升级突破!DS$6:DS$57,卡牌消耗!$AT1394)</f>
        <v>0</v>
      </c>
      <c r="AP1394" s="14">
        <f>INDEX(挂机升级突破!$DP$6:$DP$57,卡牌消耗!AT1394)</f>
        <v>113</v>
      </c>
      <c r="AQ1394" s="14" t="str">
        <f t="shared" si="451"/>
        <v>燕青</v>
      </c>
      <c r="AR1394" s="14">
        <f t="shared" si="452"/>
        <v>3</v>
      </c>
      <c r="AS1394" s="14" t="str">
        <f t="shared" si="453"/>
        <v>燕青魂火-38</v>
      </c>
      <c r="AT1394" s="14">
        <f t="shared" si="454"/>
        <v>38</v>
      </c>
      <c r="AU1394" s="14" t="str">
        <f>IF(AM1394&gt;0,INDEX(挂机升级突破!$DT$4:$ED$4,AM1394),"")</f>
        <v>金币</v>
      </c>
      <c r="AV1394" s="14">
        <f>ROUND(INDEX(挂机升级突破!$DJ$6:$DJ$57,卡牌消耗!AT1394)*INDEX(卡牌消耗!$B$8:$F$8,AR1394)/$Q$4/50,0)*50</f>
        <v>21500</v>
      </c>
      <c r="AW1394" s="14" t="str">
        <f>IF(AN1394&gt;0,INDEX(挂机升级突破!$DT$4:$ED$4,AN1394),"")</f>
        <v>红色基础材料</v>
      </c>
      <c r="AX1394" s="14">
        <f>ROUND(INDEX(挂机升级突破!$DT$6:$ED$57,卡牌消耗!AT1394,AN1394)*INDEX(卡牌消耗!$B$5:$F$5,AR1394)/$Q$4/5,0)*5</f>
        <v>10</v>
      </c>
      <c r="AY1394" s="14" t="str">
        <f>IF(AO1394&gt;0,INDEX(挂机升级突破!$DT$4:$ED$4,AO1394),"")</f>
        <v/>
      </c>
      <c r="AZ1394" s="14" t="str">
        <f>IF(AO1394&gt;0,ROUND(INDEX(挂机升级突破!$DT$6:$ED$57,卡牌消耗!AT1394,AO1394)*INDEX(卡牌消耗!$B$7:$F$7,AR1394)/$Q$4,0),"")</f>
        <v/>
      </c>
    </row>
    <row r="1395" spans="37:52" ht="16.5" x14ac:dyDescent="0.2">
      <c r="AK1395" s="104">
        <v>1391</v>
      </c>
      <c r="AL1395" s="14">
        <f t="shared" si="450"/>
        <v>27</v>
      </c>
      <c r="AM1395" s="14">
        <f>INDEX(挂机升级突破!DQ$6:DQ$57,卡牌消耗!$AT1395)</f>
        <v>11</v>
      </c>
      <c r="AN1395" s="14">
        <f>INDEX(挂机升级突破!DR$6:DR$57,卡牌消耗!$AT1395)</f>
        <v>5</v>
      </c>
      <c r="AO1395" s="14">
        <f>INDEX(挂机升级突破!DS$6:DS$57,卡牌消耗!$AT1395)</f>
        <v>0</v>
      </c>
      <c r="AP1395" s="14">
        <f>INDEX(挂机升级突破!$DP$6:$DP$57,卡牌消耗!AT1395)</f>
        <v>115</v>
      </c>
      <c r="AQ1395" s="14" t="str">
        <f t="shared" si="451"/>
        <v>燕青</v>
      </c>
      <c r="AR1395" s="14">
        <f t="shared" si="452"/>
        <v>3</v>
      </c>
      <c r="AS1395" s="14" t="str">
        <f t="shared" si="453"/>
        <v>燕青魂火-39</v>
      </c>
      <c r="AT1395" s="14">
        <f t="shared" si="454"/>
        <v>39</v>
      </c>
      <c r="AU1395" s="14" t="str">
        <f>IF(AM1395&gt;0,INDEX(挂机升级突破!$DT$4:$ED$4,AM1395),"")</f>
        <v>金币</v>
      </c>
      <c r="AV1395" s="14">
        <f>ROUND(INDEX(挂机升级突破!$DJ$6:$DJ$57,卡牌消耗!AT1395)*INDEX(卡牌消耗!$B$8:$F$8,AR1395)/$Q$4/50,0)*50</f>
        <v>21500</v>
      </c>
      <c r="AW1395" s="14" t="str">
        <f>IF(AN1395&gt;0,INDEX(挂机升级突破!$DT$4:$ED$4,AN1395),"")</f>
        <v>红色基础材料</v>
      </c>
      <c r="AX1395" s="14">
        <f>ROUND(INDEX(挂机升级突破!$DT$6:$ED$57,卡牌消耗!AT1395,AN1395)*INDEX(卡牌消耗!$B$5:$F$5,AR1395)/$Q$4/5,0)*5</f>
        <v>10</v>
      </c>
      <c r="AY1395" s="14" t="str">
        <f>IF(AO1395&gt;0,INDEX(挂机升级突破!$DT$4:$ED$4,AO1395),"")</f>
        <v/>
      </c>
      <c r="AZ1395" s="14" t="str">
        <f>IF(AO1395&gt;0,ROUND(INDEX(挂机升级突破!$DT$6:$ED$57,卡牌消耗!AT1395,AO1395)*INDEX(卡牌消耗!$B$7:$F$7,AR1395)/$Q$4,0),"")</f>
        <v/>
      </c>
    </row>
    <row r="1396" spans="37:52" ht="16.5" x14ac:dyDescent="0.2">
      <c r="AK1396" s="104">
        <v>1392</v>
      </c>
      <c r="AL1396" s="14">
        <f t="shared" si="450"/>
        <v>27</v>
      </c>
      <c r="AM1396" s="14">
        <f>INDEX(挂机升级突破!DQ$6:DQ$57,卡牌消耗!$AT1396)</f>
        <v>11</v>
      </c>
      <c r="AN1396" s="14">
        <f>INDEX(挂机升级突破!DR$6:DR$57,卡牌消耗!$AT1396)</f>
        <v>5</v>
      </c>
      <c r="AO1396" s="14">
        <f>INDEX(挂机升级突破!DS$6:DS$57,卡牌消耗!$AT1396)</f>
        <v>0</v>
      </c>
      <c r="AP1396" s="14">
        <f>INDEX(挂机升级突破!$DP$6:$DP$57,卡牌消耗!AT1396)</f>
        <v>118</v>
      </c>
      <c r="AQ1396" s="14" t="str">
        <f t="shared" si="451"/>
        <v>燕青</v>
      </c>
      <c r="AR1396" s="14">
        <f t="shared" si="452"/>
        <v>3</v>
      </c>
      <c r="AS1396" s="14" t="str">
        <f t="shared" si="453"/>
        <v>燕青魂火-40</v>
      </c>
      <c r="AT1396" s="14">
        <f t="shared" si="454"/>
        <v>40</v>
      </c>
      <c r="AU1396" s="14" t="str">
        <f>IF(AM1396&gt;0,INDEX(挂机升级突破!$DT$4:$ED$4,AM1396),"")</f>
        <v>金币</v>
      </c>
      <c r="AV1396" s="14">
        <f>ROUND(INDEX(挂机升级突破!$DJ$6:$DJ$57,卡牌消耗!AT1396)*INDEX(卡牌消耗!$B$8:$F$8,AR1396)/$Q$4/50,0)*50</f>
        <v>21500</v>
      </c>
      <c r="AW1396" s="14" t="str">
        <f>IF(AN1396&gt;0,INDEX(挂机升级突破!$DT$4:$ED$4,AN1396),"")</f>
        <v>红色基础材料</v>
      </c>
      <c r="AX1396" s="14">
        <f>ROUND(INDEX(挂机升级突破!$DT$6:$ED$57,卡牌消耗!AT1396,AN1396)*INDEX(卡牌消耗!$B$5:$F$5,AR1396)/$Q$4/5,0)*5</f>
        <v>10</v>
      </c>
      <c r="AY1396" s="14" t="str">
        <f>IF(AO1396&gt;0,INDEX(挂机升级突破!$DT$4:$ED$4,AO1396),"")</f>
        <v/>
      </c>
      <c r="AZ1396" s="14" t="str">
        <f>IF(AO1396&gt;0,ROUND(INDEX(挂机升级突破!$DT$6:$ED$57,卡牌消耗!AT1396,AO1396)*INDEX(卡牌消耗!$B$7:$F$7,AR1396)/$Q$4,0),"")</f>
        <v/>
      </c>
    </row>
    <row r="1397" spans="37:52" ht="16.5" x14ac:dyDescent="0.2">
      <c r="AK1397" s="104">
        <v>1393</v>
      </c>
      <c r="AL1397" s="14">
        <f t="shared" si="450"/>
        <v>27</v>
      </c>
      <c r="AM1397" s="14">
        <f>INDEX(挂机升级突破!DQ$6:DQ$57,卡牌消耗!$AT1397)</f>
        <v>11</v>
      </c>
      <c r="AN1397" s="14">
        <f>INDEX(挂机升级突破!DR$6:DR$57,卡牌消耗!$AT1397)</f>
        <v>5</v>
      </c>
      <c r="AO1397" s="14">
        <f>INDEX(挂机升级突破!DS$6:DS$57,卡牌消耗!$AT1397)</f>
        <v>10</v>
      </c>
      <c r="AP1397" s="14">
        <f>INDEX(挂机升级突破!$DP$6:$DP$57,卡牌消耗!AT1397)</f>
        <v>120</v>
      </c>
      <c r="AQ1397" s="14" t="str">
        <f t="shared" si="451"/>
        <v>燕青</v>
      </c>
      <c r="AR1397" s="14">
        <f t="shared" si="452"/>
        <v>3</v>
      </c>
      <c r="AS1397" s="14" t="str">
        <f t="shared" si="453"/>
        <v>燕青魂火-41</v>
      </c>
      <c r="AT1397" s="14">
        <f t="shared" si="454"/>
        <v>41</v>
      </c>
      <c r="AU1397" s="14" t="str">
        <f>IF(AM1397&gt;0,INDEX(挂机升级突破!$DT$4:$ED$4,AM1397),"")</f>
        <v>金币</v>
      </c>
      <c r="AV1397" s="14">
        <f>ROUND(INDEX(挂机升级突破!$DJ$6:$DJ$57,卡牌消耗!AT1397)*INDEX(卡牌消耗!$B$8:$F$8,AR1397)/$Q$4/50,0)*50</f>
        <v>29550</v>
      </c>
      <c r="AW1397" s="14" t="str">
        <f>IF(AN1397&gt;0,INDEX(挂机升级突破!$DT$4:$ED$4,AN1397),"")</f>
        <v>红色基础材料</v>
      </c>
      <c r="AX1397" s="14">
        <f>ROUND(INDEX(挂机升级突破!$DT$6:$ED$57,卡牌消耗!AT1397,AN1397)*INDEX(卡牌消耗!$B$5:$F$5,AR1397)/$Q$4/5,0)*5</f>
        <v>10</v>
      </c>
      <c r="AY1397" s="14" t="str">
        <f>IF(AO1397&gt;0,INDEX(挂机升级突破!$DT$4:$ED$4,AO1397),"")</f>
        <v>灵玉</v>
      </c>
      <c r="AZ1397" s="14">
        <f>IF(AO1397&gt;0,ROUND(INDEX(挂机升级突破!$DT$6:$ED$57,卡牌消耗!AT1397,AO1397)*INDEX(卡牌消耗!$B$7:$F$7,AR1397)/$Q$4,0),"")</f>
        <v>2</v>
      </c>
    </row>
    <row r="1398" spans="37:52" ht="16.5" x14ac:dyDescent="0.2">
      <c r="AK1398" s="104">
        <v>1394</v>
      </c>
      <c r="AL1398" s="14">
        <f t="shared" si="450"/>
        <v>27</v>
      </c>
      <c r="AM1398" s="14">
        <f>INDEX(挂机升级突破!DQ$6:DQ$57,卡牌消耗!$AT1398)</f>
        <v>11</v>
      </c>
      <c r="AN1398" s="14">
        <f>INDEX(挂机升级突破!DR$6:DR$57,卡牌消耗!$AT1398)</f>
        <v>5</v>
      </c>
      <c r="AO1398" s="14">
        <f>INDEX(挂机升级突破!DS$6:DS$57,卡牌消耗!$AT1398)</f>
        <v>10</v>
      </c>
      <c r="AP1398" s="14">
        <f>INDEX(挂机升级突破!$DP$6:$DP$57,卡牌消耗!AT1398)</f>
        <v>123</v>
      </c>
      <c r="AQ1398" s="14" t="str">
        <f t="shared" si="451"/>
        <v>燕青</v>
      </c>
      <c r="AR1398" s="14">
        <f t="shared" si="452"/>
        <v>3</v>
      </c>
      <c r="AS1398" s="14" t="str">
        <f t="shared" si="453"/>
        <v>燕青魂火-42</v>
      </c>
      <c r="AT1398" s="14">
        <f t="shared" si="454"/>
        <v>42</v>
      </c>
      <c r="AU1398" s="14" t="str">
        <f>IF(AM1398&gt;0,INDEX(挂机升级突破!$DT$4:$ED$4,AM1398),"")</f>
        <v>金币</v>
      </c>
      <c r="AV1398" s="14">
        <f>ROUND(INDEX(挂机升级突破!$DJ$6:$DJ$57,卡牌消耗!AT1398)*INDEX(卡牌消耗!$B$8:$F$8,AR1398)/$Q$4/50,0)*50</f>
        <v>29550</v>
      </c>
      <c r="AW1398" s="14" t="str">
        <f>IF(AN1398&gt;0,INDEX(挂机升级突破!$DT$4:$ED$4,AN1398),"")</f>
        <v>红色基础材料</v>
      </c>
      <c r="AX1398" s="14">
        <f>ROUND(INDEX(挂机升级突破!$DT$6:$ED$57,卡牌消耗!AT1398,AN1398)*INDEX(卡牌消耗!$B$5:$F$5,AR1398)/$Q$4/5,0)*5</f>
        <v>10</v>
      </c>
      <c r="AY1398" s="14" t="str">
        <f>IF(AO1398&gt;0,INDEX(挂机升级突破!$DT$4:$ED$4,AO1398),"")</f>
        <v>灵玉</v>
      </c>
      <c r="AZ1398" s="14">
        <f>IF(AO1398&gt;0,ROUND(INDEX(挂机升级突破!$DT$6:$ED$57,卡牌消耗!AT1398,AO1398)*INDEX(卡牌消耗!$B$7:$F$7,AR1398)/$Q$4,0),"")</f>
        <v>2</v>
      </c>
    </row>
    <row r="1399" spans="37:52" ht="16.5" x14ac:dyDescent="0.2">
      <c r="AK1399" s="104">
        <v>1395</v>
      </c>
      <c r="AL1399" s="14">
        <f t="shared" si="450"/>
        <v>27</v>
      </c>
      <c r="AM1399" s="14">
        <f>INDEX(挂机升级突破!DQ$6:DQ$57,卡牌消耗!$AT1399)</f>
        <v>11</v>
      </c>
      <c r="AN1399" s="14">
        <f>INDEX(挂机升级突破!DR$6:DR$57,卡牌消耗!$AT1399)</f>
        <v>5</v>
      </c>
      <c r="AO1399" s="14">
        <f>INDEX(挂机升级突破!DS$6:DS$57,卡牌消耗!$AT1399)</f>
        <v>10</v>
      </c>
      <c r="AP1399" s="14">
        <f>INDEX(挂机升级突破!$DP$6:$DP$57,卡牌消耗!AT1399)</f>
        <v>125</v>
      </c>
      <c r="AQ1399" s="14" t="str">
        <f t="shared" si="451"/>
        <v>燕青</v>
      </c>
      <c r="AR1399" s="14">
        <f t="shared" si="452"/>
        <v>3</v>
      </c>
      <c r="AS1399" s="14" t="str">
        <f t="shared" si="453"/>
        <v>燕青魂火-43</v>
      </c>
      <c r="AT1399" s="14">
        <f t="shared" si="454"/>
        <v>43</v>
      </c>
      <c r="AU1399" s="14" t="str">
        <f>IF(AM1399&gt;0,INDEX(挂机升级突破!$DT$4:$ED$4,AM1399),"")</f>
        <v>金币</v>
      </c>
      <c r="AV1399" s="14">
        <f>ROUND(INDEX(挂机升级突破!$DJ$6:$DJ$57,卡牌消耗!AT1399)*INDEX(卡牌消耗!$B$8:$F$8,AR1399)/$Q$4/50,0)*50</f>
        <v>29550</v>
      </c>
      <c r="AW1399" s="14" t="str">
        <f>IF(AN1399&gt;0,INDEX(挂机升级突破!$DT$4:$ED$4,AN1399),"")</f>
        <v>红色基础材料</v>
      </c>
      <c r="AX1399" s="14">
        <f>ROUND(INDEX(挂机升级突破!$DT$6:$ED$57,卡牌消耗!AT1399,AN1399)*INDEX(卡牌消耗!$B$5:$F$5,AR1399)/$Q$4/5,0)*5</f>
        <v>10</v>
      </c>
      <c r="AY1399" s="14" t="str">
        <f>IF(AO1399&gt;0,INDEX(挂机升级突破!$DT$4:$ED$4,AO1399),"")</f>
        <v>灵玉</v>
      </c>
      <c r="AZ1399" s="14">
        <f>IF(AO1399&gt;0,ROUND(INDEX(挂机升级突破!$DT$6:$ED$57,卡牌消耗!AT1399,AO1399)*INDEX(卡牌消耗!$B$7:$F$7,AR1399)/$Q$4,0),"")</f>
        <v>2</v>
      </c>
    </row>
    <row r="1400" spans="37:52" ht="16.5" x14ac:dyDescent="0.2">
      <c r="AK1400" s="104">
        <v>1396</v>
      </c>
      <c r="AL1400" s="14">
        <f t="shared" si="450"/>
        <v>27</v>
      </c>
      <c r="AM1400" s="14">
        <f>INDEX(挂机升级突破!DQ$6:DQ$57,卡牌消耗!$AT1400)</f>
        <v>11</v>
      </c>
      <c r="AN1400" s="14">
        <f>INDEX(挂机升级突破!DR$6:DR$57,卡牌消耗!$AT1400)</f>
        <v>5</v>
      </c>
      <c r="AO1400" s="14">
        <f>INDEX(挂机升级突破!DS$6:DS$57,卡牌消耗!$AT1400)</f>
        <v>10</v>
      </c>
      <c r="AP1400" s="14">
        <f>INDEX(挂机升级突破!$DP$6:$DP$57,卡牌消耗!AT1400)</f>
        <v>128</v>
      </c>
      <c r="AQ1400" s="14" t="str">
        <f t="shared" si="451"/>
        <v>燕青</v>
      </c>
      <c r="AR1400" s="14">
        <f t="shared" si="452"/>
        <v>3</v>
      </c>
      <c r="AS1400" s="14" t="str">
        <f t="shared" si="453"/>
        <v>燕青魂火-44</v>
      </c>
      <c r="AT1400" s="14">
        <f t="shared" si="454"/>
        <v>44</v>
      </c>
      <c r="AU1400" s="14" t="str">
        <f>IF(AM1400&gt;0,INDEX(挂机升级突破!$DT$4:$ED$4,AM1400),"")</f>
        <v>金币</v>
      </c>
      <c r="AV1400" s="14">
        <f>ROUND(INDEX(挂机升级突破!$DJ$6:$DJ$57,卡牌消耗!AT1400)*INDEX(卡牌消耗!$B$8:$F$8,AR1400)/$Q$4/50,0)*50</f>
        <v>37600</v>
      </c>
      <c r="AW1400" s="14" t="str">
        <f>IF(AN1400&gt;0,INDEX(挂机升级突破!$DT$4:$ED$4,AN1400),"")</f>
        <v>红色基础材料</v>
      </c>
      <c r="AX1400" s="14">
        <f>ROUND(INDEX(挂机升级突破!$DT$6:$ED$57,卡牌消耗!AT1400,AN1400)*INDEX(卡牌消耗!$B$5:$F$5,AR1400)/$Q$4/5,0)*5</f>
        <v>10</v>
      </c>
      <c r="AY1400" s="14" t="str">
        <f>IF(AO1400&gt;0,INDEX(挂机升级突破!$DT$4:$ED$4,AO1400),"")</f>
        <v>灵玉</v>
      </c>
      <c r="AZ1400" s="14">
        <f>IF(AO1400&gt;0,ROUND(INDEX(挂机升级突破!$DT$6:$ED$57,卡牌消耗!AT1400,AO1400)*INDEX(卡牌消耗!$B$7:$F$7,AR1400)/$Q$4,0),"")</f>
        <v>2</v>
      </c>
    </row>
    <row r="1401" spans="37:52" ht="16.5" x14ac:dyDescent="0.2">
      <c r="AK1401" s="104">
        <v>1397</v>
      </c>
      <c r="AL1401" s="14">
        <f t="shared" si="450"/>
        <v>27</v>
      </c>
      <c r="AM1401" s="14">
        <f>INDEX(挂机升级突破!DQ$6:DQ$57,卡牌消耗!$AT1401)</f>
        <v>11</v>
      </c>
      <c r="AN1401" s="14">
        <f>INDEX(挂机升级突破!DR$6:DR$57,卡牌消耗!$AT1401)</f>
        <v>5</v>
      </c>
      <c r="AO1401" s="14">
        <f>INDEX(挂机升级突破!DS$6:DS$57,卡牌消耗!$AT1401)</f>
        <v>10</v>
      </c>
      <c r="AP1401" s="14">
        <f>INDEX(挂机升级突破!$DP$6:$DP$57,卡牌消耗!AT1401)</f>
        <v>130</v>
      </c>
      <c r="AQ1401" s="14" t="str">
        <f t="shared" si="451"/>
        <v>燕青</v>
      </c>
      <c r="AR1401" s="14">
        <f t="shared" si="452"/>
        <v>3</v>
      </c>
      <c r="AS1401" s="14" t="str">
        <f t="shared" si="453"/>
        <v>燕青魂火-45</v>
      </c>
      <c r="AT1401" s="14">
        <f t="shared" si="454"/>
        <v>45</v>
      </c>
      <c r="AU1401" s="14" t="str">
        <f>IF(AM1401&gt;0,INDEX(挂机升级突破!$DT$4:$ED$4,AM1401),"")</f>
        <v>金币</v>
      </c>
      <c r="AV1401" s="14">
        <f>ROUND(INDEX(挂机升级突破!$DJ$6:$DJ$57,卡牌消耗!AT1401)*INDEX(卡牌消耗!$B$8:$F$8,AR1401)/$Q$4/50,0)*50</f>
        <v>37600</v>
      </c>
      <c r="AW1401" s="14" t="str">
        <f>IF(AN1401&gt;0,INDEX(挂机升级突破!$DT$4:$ED$4,AN1401),"")</f>
        <v>红色基础材料</v>
      </c>
      <c r="AX1401" s="14">
        <f>ROUND(INDEX(挂机升级突破!$DT$6:$ED$57,卡牌消耗!AT1401,AN1401)*INDEX(卡牌消耗!$B$5:$F$5,AR1401)/$Q$4/5,0)*5</f>
        <v>10</v>
      </c>
      <c r="AY1401" s="14" t="str">
        <f>IF(AO1401&gt;0,INDEX(挂机升级突破!$DT$4:$ED$4,AO1401),"")</f>
        <v>灵玉</v>
      </c>
      <c r="AZ1401" s="14">
        <f>IF(AO1401&gt;0,ROUND(INDEX(挂机升级突破!$DT$6:$ED$57,卡牌消耗!AT1401,AO1401)*INDEX(卡牌消耗!$B$7:$F$7,AR1401)/$Q$4,0),"")</f>
        <v>2</v>
      </c>
    </row>
    <row r="1402" spans="37:52" ht="16.5" x14ac:dyDescent="0.2">
      <c r="AK1402" s="104">
        <v>1398</v>
      </c>
      <c r="AL1402" s="14">
        <f t="shared" si="450"/>
        <v>27</v>
      </c>
      <c r="AM1402" s="14">
        <f>INDEX(挂机升级突破!DQ$6:DQ$57,卡牌消耗!$AT1402)</f>
        <v>11</v>
      </c>
      <c r="AN1402" s="14">
        <f>INDEX(挂机升级突破!DR$6:DR$57,卡牌消耗!$AT1402)</f>
        <v>5</v>
      </c>
      <c r="AO1402" s="14">
        <f>INDEX(挂机升级突破!DS$6:DS$57,卡牌消耗!$AT1402)</f>
        <v>10</v>
      </c>
      <c r="AP1402" s="14">
        <f>INDEX(挂机升级突破!$DP$6:$DP$57,卡牌消耗!AT1402)</f>
        <v>133</v>
      </c>
      <c r="AQ1402" s="14" t="str">
        <f t="shared" si="451"/>
        <v>燕青</v>
      </c>
      <c r="AR1402" s="14">
        <f t="shared" si="452"/>
        <v>3</v>
      </c>
      <c r="AS1402" s="14" t="str">
        <f t="shared" si="453"/>
        <v>燕青魂火-46</v>
      </c>
      <c r="AT1402" s="14">
        <f t="shared" si="454"/>
        <v>46</v>
      </c>
      <c r="AU1402" s="14" t="str">
        <f>IF(AM1402&gt;0,INDEX(挂机升级突破!$DT$4:$ED$4,AM1402),"")</f>
        <v>金币</v>
      </c>
      <c r="AV1402" s="14">
        <f>ROUND(INDEX(挂机升级突破!$DJ$6:$DJ$57,卡牌消耗!AT1402)*INDEX(卡牌消耗!$B$8:$F$8,AR1402)/$Q$4/50,0)*50</f>
        <v>40300</v>
      </c>
      <c r="AW1402" s="14" t="str">
        <f>IF(AN1402&gt;0,INDEX(挂机升级突破!$DT$4:$ED$4,AN1402),"")</f>
        <v>红色基础材料</v>
      </c>
      <c r="AX1402" s="14">
        <f>ROUND(INDEX(挂机升级突破!$DT$6:$ED$57,卡牌消耗!AT1402,AN1402)*INDEX(卡牌消耗!$B$5:$F$5,AR1402)/$Q$4/5,0)*5</f>
        <v>10</v>
      </c>
      <c r="AY1402" s="14" t="str">
        <f>IF(AO1402&gt;0,INDEX(挂机升级突破!$DT$4:$ED$4,AO1402),"")</f>
        <v>灵玉</v>
      </c>
      <c r="AZ1402" s="14">
        <f>IF(AO1402&gt;0,ROUND(INDEX(挂机升级突破!$DT$6:$ED$57,卡牌消耗!AT1402,AO1402)*INDEX(卡牌消耗!$B$7:$F$7,AR1402)/$Q$4,0),"")</f>
        <v>2</v>
      </c>
    </row>
    <row r="1403" spans="37:52" ht="16.5" x14ac:dyDescent="0.2">
      <c r="AK1403" s="104">
        <v>1399</v>
      </c>
      <c r="AL1403" s="14">
        <f t="shared" si="450"/>
        <v>27</v>
      </c>
      <c r="AM1403" s="14">
        <f>INDEX(挂机升级突破!DQ$6:DQ$57,卡牌消耗!$AT1403)</f>
        <v>11</v>
      </c>
      <c r="AN1403" s="14">
        <f>INDEX(挂机升级突破!DR$6:DR$57,卡牌消耗!$AT1403)</f>
        <v>5</v>
      </c>
      <c r="AO1403" s="14">
        <f>INDEX(挂机升级突破!DS$6:DS$57,卡牌消耗!$AT1403)</f>
        <v>10</v>
      </c>
      <c r="AP1403" s="14">
        <f>INDEX(挂机升级突破!$DP$6:$DP$57,卡牌消耗!AT1403)</f>
        <v>135</v>
      </c>
      <c r="AQ1403" s="14" t="str">
        <f t="shared" si="451"/>
        <v>燕青</v>
      </c>
      <c r="AR1403" s="14">
        <f t="shared" si="452"/>
        <v>3</v>
      </c>
      <c r="AS1403" s="14" t="str">
        <f t="shared" si="453"/>
        <v>燕青魂火-47</v>
      </c>
      <c r="AT1403" s="14">
        <f t="shared" si="454"/>
        <v>47</v>
      </c>
      <c r="AU1403" s="14" t="str">
        <f>IF(AM1403&gt;0,INDEX(挂机升级突破!$DT$4:$ED$4,AM1403),"")</f>
        <v>金币</v>
      </c>
      <c r="AV1403" s="14">
        <f>ROUND(INDEX(挂机升级突破!$DJ$6:$DJ$57,卡牌消耗!AT1403)*INDEX(卡牌消耗!$B$8:$F$8,AR1403)/$Q$4/50,0)*50</f>
        <v>82050</v>
      </c>
      <c r="AW1403" s="14" t="str">
        <f>IF(AN1403&gt;0,INDEX(挂机升级突破!$DT$4:$ED$4,AN1403),"")</f>
        <v>红色基础材料</v>
      </c>
      <c r="AX1403" s="14">
        <f>ROUND(INDEX(挂机升级突破!$DT$6:$ED$57,卡牌消耗!AT1403,AN1403)*INDEX(卡牌消耗!$B$5:$F$5,AR1403)/$Q$4/5,0)*5</f>
        <v>10</v>
      </c>
      <c r="AY1403" s="14" t="str">
        <f>IF(AO1403&gt;0,INDEX(挂机升级突破!$DT$4:$ED$4,AO1403),"")</f>
        <v>灵玉</v>
      </c>
      <c r="AZ1403" s="14">
        <f>IF(AO1403&gt;0,ROUND(INDEX(挂机升级突破!$DT$6:$ED$57,卡牌消耗!AT1403,AO1403)*INDEX(卡牌消耗!$B$7:$F$7,AR1403)/$Q$4,0),"")</f>
        <v>2</v>
      </c>
    </row>
    <row r="1404" spans="37:52" ht="16.5" x14ac:dyDescent="0.2">
      <c r="AK1404" s="104">
        <v>1400</v>
      </c>
      <c r="AL1404" s="14">
        <f t="shared" si="450"/>
        <v>27</v>
      </c>
      <c r="AM1404" s="14">
        <f>INDEX(挂机升级突破!DQ$6:DQ$57,卡牌消耗!$AT1404)</f>
        <v>11</v>
      </c>
      <c r="AN1404" s="14">
        <f>INDEX(挂机升级突破!DR$6:DR$57,卡牌消耗!$AT1404)</f>
        <v>5</v>
      </c>
      <c r="AO1404" s="14">
        <f>INDEX(挂机升级突破!DS$6:DS$57,卡牌消耗!$AT1404)</f>
        <v>10</v>
      </c>
      <c r="AP1404" s="14">
        <f>INDEX(挂机升级突破!$DP$6:$DP$57,卡牌消耗!AT1404)</f>
        <v>138</v>
      </c>
      <c r="AQ1404" s="14" t="str">
        <f t="shared" si="451"/>
        <v>燕青</v>
      </c>
      <c r="AR1404" s="14">
        <f t="shared" si="452"/>
        <v>3</v>
      </c>
      <c r="AS1404" s="14" t="str">
        <f t="shared" si="453"/>
        <v>燕青魂火-48</v>
      </c>
      <c r="AT1404" s="14">
        <f t="shared" si="454"/>
        <v>48</v>
      </c>
      <c r="AU1404" s="14" t="str">
        <f>IF(AM1404&gt;0,INDEX(挂机升级突破!$DT$4:$ED$4,AM1404),"")</f>
        <v>金币</v>
      </c>
      <c r="AV1404" s="14">
        <f>ROUND(INDEX(挂机升级突破!$DJ$6:$DJ$57,卡牌消耗!AT1404)*INDEX(卡牌消耗!$B$8:$F$8,AR1404)/$Q$4/50,0)*50</f>
        <v>82050</v>
      </c>
      <c r="AW1404" s="14" t="str">
        <f>IF(AN1404&gt;0,INDEX(挂机升级突破!$DT$4:$ED$4,AN1404),"")</f>
        <v>红色基础材料</v>
      </c>
      <c r="AX1404" s="14">
        <f>ROUND(INDEX(挂机升级突破!$DT$6:$ED$57,卡牌消耗!AT1404,AN1404)*INDEX(卡牌消耗!$B$5:$F$5,AR1404)/$Q$4/5,0)*5</f>
        <v>10</v>
      </c>
      <c r="AY1404" s="14" t="str">
        <f>IF(AO1404&gt;0,INDEX(挂机升级突破!$DT$4:$ED$4,AO1404),"")</f>
        <v>灵玉</v>
      </c>
      <c r="AZ1404" s="14">
        <f>IF(AO1404&gt;0,ROUND(INDEX(挂机升级突破!$DT$6:$ED$57,卡牌消耗!AT1404,AO1404)*INDEX(卡牌消耗!$B$7:$F$7,AR1404)/$Q$4,0),"")</f>
        <v>2</v>
      </c>
    </row>
    <row r="1405" spans="37:52" ht="16.5" x14ac:dyDescent="0.2">
      <c r="AK1405" s="104">
        <v>1401</v>
      </c>
      <c r="AL1405" s="14">
        <f t="shared" si="450"/>
        <v>27</v>
      </c>
      <c r="AM1405" s="14">
        <f>INDEX(挂机升级突破!DQ$6:DQ$57,卡牌消耗!$AT1405)</f>
        <v>11</v>
      </c>
      <c r="AN1405" s="14">
        <f>INDEX(挂机升级突破!DR$6:DR$57,卡牌消耗!$AT1405)</f>
        <v>5</v>
      </c>
      <c r="AO1405" s="14">
        <f>INDEX(挂机升级突破!DS$6:DS$57,卡牌消耗!$AT1405)</f>
        <v>10</v>
      </c>
      <c r="AP1405" s="14">
        <f>INDEX(挂机升级突破!$DP$6:$DP$57,卡牌消耗!AT1405)</f>
        <v>140</v>
      </c>
      <c r="AQ1405" s="14" t="str">
        <f t="shared" si="451"/>
        <v>燕青</v>
      </c>
      <c r="AR1405" s="14">
        <f t="shared" si="452"/>
        <v>3</v>
      </c>
      <c r="AS1405" s="14" t="str">
        <f t="shared" si="453"/>
        <v>燕青魂火-49</v>
      </c>
      <c r="AT1405" s="14">
        <f t="shared" si="454"/>
        <v>49</v>
      </c>
      <c r="AU1405" s="14" t="str">
        <f>IF(AM1405&gt;0,INDEX(挂机升级突破!$DT$4:$ED$4,AM1405),"")</f>
        <v>金币</v>
      </c>
      <c r="AV1405" s="14">
        <f>ROUND(INDEX(挂机升级突破!$DJ$6:$DJ$57,卡牌消耗!AT1405)*INDEX(卡牌消耗!$B$8:$F$8,AR1405)/$Q$4/50,0)*50</f>
        <v>82050</v>
      </c>
      <c r="AW1405" s="14" t="str">
        <f>IF(AN1405&gt;0,INDEX(挂机升级突破!$DT$4:$ED$4,AN1405),"")</f>
        <v>红色基础材料</v>
      </c>
      <c r="AX1405" s="14">
        <f>ROUND(INDEX(挂机升级突破!$DT$6:$ED$57,卡牌消耗!AT1405,AN1405)*INDEX(卡牌消耗!$B$5:$F$5,AR1405)/$Q$4/5,0)*5</f>
        <v>15</v>
      </c>
      <c r="AY1405" s="14" t="str">
        <f>IF(AO1405&gt;0,INDEX(挂机升级突破!$DT$4:$ED$4,AO1405),"")</f>
        <v>灵玉</v>
      </c>
      <c r="AZ1405" s="14">
        <f>IF(AO1405&gt;0,ROUND(INDEX(挂机升级突破!$DT$6:$ED$57,卡牌消耗!AT1405,AO1405)*INDEX(卡牌消耗!$B$7:$F$7,AR1405)/$Q$4,0),"")</f>
        <v>2</v>
      </c>
    </row>
    <row r="1406" spans="37:52" ht="16.5" x14ac:dyDescent="0.2">
      <c r="AK1406" s="104">
        <v>1402</v>
      </c>
      <c r="AL1406" s="14">
        <f t="shared" si="450"/>
        <v>27</v>
      </c>
      <c r="AM1406" s="14">
        <f>INDEX(挂机升级突破!DQ$6:DQ$57,卡牌消耗!$AT1406)</f>
        <v>11</v>
      </c>
      <c r="AN1406" s="14">
        <f>INDEX(挂机升级突破!DR$6:DR$57,卡牌消耗!$AT1406)</f>
        <v>5</v>
      </c>
      <c r="AO1406" s="14">
        <f>INDEX(挂机升级突破!DS$6:DS$57,卡牌消耗!$AT1406)</f>
        <v>10</v>
      </c>
      <c r="AP1406" s="14">
        <f>INDEX(挂机升级突破!$DP$6:$DP$57,卡牌消耗!AT1406)</f>
        <v>143</v>
      </c>
      <c r="AQ1406" s="14" t="str">
        <f t="shared" si="451"/>
        <v>燕青</v>
      </c>
      <c r="AR1406" s="14">
        <f t="shared" si="452"/>
        <v>3</v>
      </c>
      <c r="AS1406" s="14" t="str">
        <f t="shared" si="453"/>
        <v>燕青魂火-50</v>
      </c>
      <c r="AT1406" s="14">
        <f t="shared" si="454"/>
        <v>50</v>
      </c>
      <c r="AU1406" s="14" t="str">
        <f>IF(AM1406&gt;0,INDEX(挂机升级突破!$DT$4:$ED$4,AM1406),"")</f>
        <v>金币</v>
      </c>
      <c r="AV1406" s="14">
        <f>ROUND(INDEX(挂机升级突破!$DJ$6:$DJ$57,卡牌消耗!AT1406)*INDEX(卡牌消耗!$B$8:$F$8,AR1406)/$Q$4/50,0)*50</f>
        <v>136750</v>
      </c>
      <c r="AW1406" s="14" t="str">
        <f>IF(AN1406&gt;0,INDEX(挂机升级突破!$DT$4:$ED$4,AN1406),"")</f>
        <v>红色基础材料</v>
      </c>
      <c r="AX1406" s="14">
        <f>ROUND(INDEX(挂机升级突破!$DT$6:$ED$57,卡牌消耗!AT1406,AN1406)*INDEX(卡牌消耗!$B$5:$F$5,AR1406)/$Q$4/5,0)*5</f>
        <v>15</v>
      </c>
      <c r="AY1406" s="14" t="str">
        <f>IF(AO1406&gt;0,INDEX(挂机升级突破!$DT$4:$ED$4,AO1406),"")</f>
        <v>灵玉</v>
      </c>
      <c r="AZ1406" s="14">
        <f>IF(AO1406&gt;0,ROUND(INDEX(挂机升级突破!$DT$6:$ED$57,卡牌消耗!AT1406,AO1406)*INDEX(卡牌消耗!$B$7:$F$7,AR1406)/$Q$4,0),"")</f>
        <v>2</v>
      </c>
    </row>
    <row r="1407" spans="37:52" ht="16.5" x14ac:dyDescent="0.2">
      <c r="AK1407" s="104">
        <v>1403</v>
      </c>
      <c r="AL1407" s="14">
        <f t="shared" si="450"/>
        <v>27</v>
      </c>
      <c r="AM1407" s="14">
        <f>INDEX(挂机升级突破!DQ$6:DQ$57,卡牌消耗!$AT1407)</f>
        <v>11</v>
      </c>
      <c r="AN1407" s="14">
        <f>INDEX(挂机升级突破!DR$6:DR$57,卡牌消耗!$AT1407)</f>
        <v>5</v>
      </c>
      <c r="AO1407" s="14">
        <f>INDEX(挂机升级突破!DS$6:DS$57,卡牌消耗!$AT1407)</f>
        <v>10</v>
      </c>
      <c r="AP1407" s="14">
        <f>INDEX(挂机升级突破!$DP$6:$DP$57,卡牌消耗!AT1407)</f>
        <v>145</v>
      </c>
      <c r="AQ1407" s="14" t="str">
        <f t="shared" si="451"/>
        <v>燕青</v>
      </c>
      <c r="AR1407" s="14">
        <f t="shared" si="452"/>
        <v>3</v>
      </c>
      <c r="AS1407" s="14" t="str">
        <f t="shared" si="453"/>
        <v>燕青魂火-51</v>
      </c>
      <c r="AT1407" s="14">
        <f t="shared" si="454"/>
        <v>51</v>
      </c>
      <c r="AU1407" s="14" t="str">
        <f>IF(AM1407&gt;0,INDEX(挂机升级突破!$DT$4:$ED$4,AM1407),"")</f>
        <v>金币</v>
      </c>
      <c r="AV1407" s="14">
        <f>ROUND(INDEX(挂机升级突破!$DJ$6:$DJ$57,卡牌消耗!AT1407)*INDEX(卡牌消耗!$B$8:$F$8,AR1407)/$Q$4/50,0)*50</f>
        <v>150450</v>
      </c>
      <c r="AW1407" s="14" t="str">
        <f>IF(AN1407&gt;0,INDEX(挂机升级突破!$DT$4:$ED$4,AN1407),"")</f>
        <v>红色基础材料</v>
      </c>
      <c r="AX1407" s="14">
        <f>ROUND(INDEX(挂机升级突破!$DT$6:$ED$57,卡牌消耗!AT1407,AN1407)*INDEX(卡牌消耗!$B$5:$F$5,AR1407)/$Q$4/5,0)*5</f>
        <v>15</v>
      </c>
      <c r="AY1407" s="14" t="str">
        <f>IF(AO1407&gt;0,INDEX(挂机升级突破!$DT$4:$ED$4,AO1407),"")</f>
        <v>灵玉</v>
      </c>
      <c r="AZ1407" s="14">
        <f>IF(AO1407&gt;0,ROUND(INDEX(挂机升级突破!$DT$6:$ED$57,卡牌消耗!AT1407,AO1407)*INDEX(卡牌消耗!$B$7:$F$7,AR1407)/$Q$4,0),"")</f>
        <v>2</v>
      </c>
    </row>
    <row r="1408" spans="37:52" ht="16.5" x14ac:dyDescent="0.2">
      <c r="AK1408" s="104">
        <v>1404</v>
      </c>
      <c r="AL1408" s="14">
        <f t="shared" si="450"/>
        <v>27</v>
      </c>
      <c r="AM1408" s="14">
        <f>INDEX(挂机升级突破!DQ$6:DQ$57,卡牌消耗!$AT1408)</f>
        <v>11</v>
      </c>
      <c r="AN1408" s="14">
        <f>INDEX(挂机升级突破!DR$6:DR$57,卡牌消耗!$AT1408)</f>
        <v>5</v>
      </c>
      <c r="AO1408" s="14">
        <f>INDEX(挂机升级突破!DS$6:DS$57,卡牌消耗!$AT1408)</f>
        <v>10</v>
      </c>
      <c r="AP1408" s="14">
        <f>INDEX(挂机升级突破!$DP$6:$DP$57,卡牌消耗!AT1408)</f>
        <v>148</v>
      </c>
      <c r="AQ1408" s="14" t="str">
        <f t="shared" si="451"/>
        <v>燕青</v>
      </c>
      <c r="AR1408" s="14">
        <f t="shared" si="452"/>
        <v>3</v>
      </c>
      <c r="AS1408" s="14" t="str">
        <f t="shared" si="453"/>
        <v>燕青魂火-52</v>
      </c>
      <c r="AT1408" s="14">
        <f t="shared" si="454"/>
        <v>52</v>
      </c>
      <c r="AU1408" s="14" t="str">
        <f>IF(AM1408&gt;0,INDEX(挂机升级突破!$DT$4:$ED$4,AM1408),"")</f>
        <v>金币</v>
      </c>
      <c r="AV1408" s="14">
        <f>ROUND(INDEX(挂机升级突破!$DJ$6:$DJ$57,卡牌消耗!AT1408)*INDEX(卡牌消耗!$B$8:$F$8,AR1408)/$Q$4/50,0)*50</f>
        <v>150450</v>
      </c>
      <c r="AW1408" s="14" t="str">
        <f>IF(AN1408&gt;0,INDEX(挂机升级突破!$DT$4:$ED$4,AN1408),"")</f>
        <v>红色基础材料</v>
      </c>
      <c r="AX1408" s="14">
        <f>ROUND(INDEX(挂机升级突破!$DT$6:$ED$57,卡牌消耗!AT1408,AN1408)*INDEX(卡牌消耗!$B$5:$F$5,AR1408)/$Q$4/5,0)*5</f>
        <v>15</v>
      </c>
      <c r="AY1408" s="14" t="str">
        <f>IF(AO1408&gt;0,INDEX(挂机升级突破!$DT$4:$ED$4,AO1408),"")</f>
        <v>灵玉</v>
      </c>
      <c r="AZ1408" s="14">
        <f>IF(AO1408&gt;0,ROUND(INDEX(挂机升级突破!$DT$6:$ED$57,卡牌消耗!AT1408,AO1408)*INDEX(卡牌消耗!$B$7:$F$7,AR1408)/$Q$4,0),"")</f>
        <v>2</v>
      </c>
    </row>
    <row r="1409" spans="37:52" ht="16.5" x14ac:dyDescent="0.2">
      <c r="AK1409" s="104">
        <v>1405</v>
      </c>
      <c r="AL1409" s="14">
        <f t="shared" si="450"/>
        <v>28</v>
      </c>
      <c r="AM1409" s="14">
        <f>INDEX(挂机升级突破!DQ$6:DQ$57,卡牌消耗!$AT1409)</f>
        <v>11</v>
      </c>
      <c r="AN1409" s="14">
        <f>INDEX(挂机升级突破!DR$6:DR$57,卡牌消耗!$AT1409)</f>
        <v>1</v>
      </c>
      <c r="AO1409" s="14">
        <f>INDEX(挂机升级突破!DS$6:DS$57,卡牌消耗!$AT1409)</f>
        <v>0</v>
      </c>
      <c r="AP1409" s="14">
        <f>INDEX(挂机升级突破!$DP$6:$DP$57,卡牌消耗!AT1409)</f>
        <v>3</v>
      </c>
      <c r="AQ1409" s="14" t="str">
        <f t="shared" si="451"/>
        <v>秦琼</v>
      </c>
      <c r="AR1409" s="14">
        <f t="shared" si="452"/>
        <v>4</v>
      </c>
      <c r="AS1409" s="14" t="str">
        <f t="shared" si="453"/>
        <v>秦琼魂火-1</v>
      </c>
      <c r="AT1409" s="14">
        <f t="shared" si="454"/>
        <v>1</v>
      </c>
      <c r="AU1409" s="14" t="str">
        <f>IF(AM1409&gt;0,INDEX(挂机升级突破!$DT$4:$ED$4,AM1409),"")</f>
        <v>金币</v>
      </c>
      <c r="AV1409" s="14">
        <f>ROUND(INDEX(挂机升级突破!$DJ$6:$DJ$57,卡牌消耗!AT1409)*INDEX(卡牌消耗!$B$8:$F$8,AR1409)/$Q$4/50,0)*50</f>
        <v>1300</v>
      </c>
      <c r="AW1409" s="14" t="str">
        <f>IF(AN1409&gt;0,INDEX(挂机升级突破!$DT$4:$ED$4,AN1409),"")</f>
        <v>绿色基础材料</v>
      </c>
      <c r="AX1409" s="14">
        <f>ROUND(INDEX(挂机升级突破!$DT$6:$ED$57,卡牌消耗!AT1409,AN1409)*INDEX(卡牌消耗!$B$5:$F$5,AR1409)/$Q$4/5,0)*5</f>
        <v>30</v>
      </c>
      <c r="AY1409" s="14" t="str">
        <f>IF(AO1409&gt;0,INDEX(挂机升级突破!$DT$4:$ED$4,AO1409),"")</f>
        <v/>
      </c>
      <c r="AZ1409" s="14" t="str">
        <f>IF(AO1409&gt;0,ROUND(INDEX(挂机升级突破!$DT$6:$ED$57,卡牌消耗!AT1409,AO1409)*INDEX(卡牌消耗!$B$7:$F$7,AR1409)/$Q$4,0),"")</f>
        <v/>
      </c>
    </row>
    <row r="1410" spans="37:52" ht="16.5" x14ac:dyDescent="0.2">
      <c r="AK1410" s="104">
        <v>1406</v>
      </c>
      <c r="AL1410" s="14">
        <f t="shared" si="450"/>
        <v>28</v>
      </c>
      <c r="AM1410" s="14">
        <f>INDEX(挂机升级突破!DQ$6:DQ$57,卡牌消耗!$AT1410)</f>
        <v>11</v>
      </c>
      <c r="AN1410" s="14">
        <f>INDEX(挂机升级突破!DR$6:DR$57,卡牌消耗!$AT1410)</f>
        <v>1</v>
      </c>
      <c r="AO1410" s="14">
        <f>INDEX(挂机升级突破!DS$6:DS$57,卡牌消耗!$AT1410)</f>
        <v>0</v>
      </c>
      <c r="AP1410" s="14">
        <f>INDEX(挂机升级突破!$DP$6:$DP$57,卡牌消耗!AT1410)</f>
        <v>8</v>
      </c>
      <c r="AQ1410" s="14" t="str">
        <f t="shared" si="451"/>
        <v>秦琼</v>
      </c>
      <c r="AR1410" s="14">
        <f t="shared" si="452"/>
        <v>4</v>
      </c>
      <c r="AS1410" s="14" t="str">
        <f t="shared" si="453"/>
        <v>秦琼魂火-2</v>
      </c>
      <c r="AT1410" s="14">
        <f t="shared" si="454"/>
        <v>2</v>
      </c>
      <c r="AU1410" s="14" t="str">
        <f>IF(AM1410&gt;0,INDEX(挂机升级突破!$DT$4:$ED$4,AM1410),"")</f>
        <v>金币</v>
      </c>
      <c r="AV1410" s="14">
        <f>ROUND(INDEX(挂机升级突破!$DJ$6:$DJ$57,卡牌消耗!AT1410)*INDEX(卡牌消耗!$B$8:$F$8,AR1410)/$Q$4/50,0)*50</f>
        <v>1550</v>
      </c>
      <c r="AW1410" s="14" t="str">
        <f>IF(AN1410&gt;0,INDEX(挂机升级突破!$DT$4:$ED$4,AN1410),"")</f>
        <v>绿色基础材料</v>
      </c>
      <c r="AX1410" s="14">
        <f>ROUND(INDEX(挂机升级突破!$DT$6:$ED$57,卡牌消耗!AT1410,AN1410)*INDEX(卡牌消耗!$B$5:$F$5,AR1410)/$Q$4/5,0)*5</f>
        <v>105</v>
      </c>
      <c r="AY1410" s="14" t="str">
        <f>IF(AO1410&gt;0,INDEX(挂机升级突破!$DT$4:$ED$4,AO1410),"")</f>
        <v/>
      </c>
      <c r="AZ1410" s="14" t="str">
        <f>IF(AO1410&gt;0,ROUND(INDEX(挂机升级突破!$DT$6:$ED$57,卡牌消耗!AT1410,AO1410)*INDEX(卡牌消耗!$B$7:$F$7,AR1410)/$Q$4,0),"")</f>
        <v/>
      </c>
    </row>
    <row r="1411" spans="37:52" ht="16.5" x14ac:dyDescent="0.2">
      <c r="AK1411" s="104">
        <v>1407</v>
      </c>
      <c r="AL1411" s="14">
        <f t="shared" si="450"/>
        <v>28</v>
      </c>
      <c r="AM1411" s="14">
        <f>INDEX(挂机升级突破!DQ$6:DQ$57,卡牌消耗!$AT1411)</f>
        <v>11</v>
      </c>
      <c r="AN1411" s="14">
        <f>INDEX(挂机升级突破!DR$6:DR$57,卡牌消耗!$AT1411)</f>
        <v>1</v>
      </c>
      <c r="AO1411" s="14">
        <f>INDEX(挂机升级突破!DS$6:DS$57,卡牌消耗!$AT1411)</f>
        <v>0</v>
      </c>
      <c r="AP1411" s="14">
        <f>INDEX(挂机升级突破!$DP$6:$DP$57,卡牌消耗!AT1411)</f>
        <v>13</v>
      </c>
      <c r="AQ1411" s="14" t="str">
        <f t="shared" si="451"/>
        <v>秦琼</v>
      </c>
      <c r="AR1411" s="14">
        <f t="shared" si="452"/>
        <v>4</v>
      </c>
      <c r="AS1411" s="14" t="str">
        <f t="shared" si="453"/>
        <v>秦琼魂火-3</v>
      </c>
      <c r="AT1411" s="14">
        <f t="shared" si="454"/>
        <v>3</v>
      </c>
      <c r="AU1411" s="14" t="str">
        <f>IF(AM1411&gt;0,INDEX(挂机升级突破!$DT$4:$ED$4,AM1411),"")</f>
        <v>金币</v>
      </c>
      <c r="AV1411" s="14">
        <f>ROUND(INDEX(挂机升级突破!$DJ$6:$DJ$57,卡牌消耗!AT1411)*INDEX(卡牌消耗!$B$8:$F$8,AR1411)/$Q$4/50,0)*50</f>
        <v>1550</v>
      </c>
      <c r="AW1411" s="14" t="str">
        <f>IF(AN1411&gt;0,INDEX(挂机升级突破!$DT$4:$ED$4,AN1411),"")</f>
        <v>绿色基础材料</v>
      </c>
      <c r="AX1411" s="14">
        <f>ROUND(INDEX(挂机升级突破!$DT$6:$ED$57,卡牌消耗!AT1411,AN1411)*INDEX(卡牌消耗!$B$5:$F$5,AR1411)/$Q$4/5,0)*5</f>
        <v>125</v>
      </c>
      <c r="AY1411" s="14" t="str">
        <f>IF(AO1411&gt;0,INDEX(挂机升级突破!$DT$4:$ED$4,AO1411),"")</f>
        <v/>
      </c>
      <c r="AZ1411" s="14" t="str">
        <f>IF(AO1411&gt;0,ROUND(INDEX(挂机升级突破!$DT$6:$ED$57,卡牌消耗!AT1411,AO1411)*INDEX(卡牌消耗!$B$7:$F$7,AR1411)/$Q$4,0),"")</f>
        <v/>
      </c>
    </row>
    <row r="1412" spans="37:52" ht="16.5" x14ac:dyDescent="0.2">
      <c r="AK1412" s="104">
        <v>1408</v>
      </c>
      <c r="AL1412" s="14">
        <f t="shared" si="450"/>
        <v>28</v>
      </c>
      <c r="AM1412" s="14">
        <f>INDEX(挂机升级突破!DQ$6:DQ$57,卡牌消耗!$AT1412)</f>
        <v>11</v>
      </c>
      <c r="AN1412" s="14">
        <f>INDEX(挂机升级突破!DR$6:DR$57,卡牌消耗!$AT1412)</f>
        <v>1</v>
      </c>
      <c r="AO1412" s="14">
        <f>INDEX(挂机升级突破!DS$6:DS$57,卡牌消耗!$AT1412)</f>
        <v>0</v>
      </c>
      <c r="AP1412" s="14">
        <f>INDEX(挂机升级突破!$DP$6:$DP$57,卡牌消耗!AT1412)</f>
        <v>18</v>
      </c>
      <c r="AQ1412" s="14" t="str">
        <f t="shared" si="451"/>
        <v>秦琼</v>
      </c>
      <c r="AR1412" s="14">
        <f t="shared" si="452"/>
        <v>4</v>
      </c>
      <c r="AS1412" s="14" t="str">
        <f t="shared" si="453"/>
        <v>秦琼魂火-4</v>
      </c>
      <c r="AT1412" s="14">
        <f t="shared" si="454"/>
        <v>4</v>
      </c>
      <c r="AU1412" s="14" t="str">
        <f>IF(AM1412&gt;0,INDEX(挂机升级突破!$DT$4:$ED$4,AM1412),"")</f>
        <v>金币</v>
      </c>
      <c r="AV1412" s="14">
        <f>ROUND(INDEX(挂机升级突破!$DJ$6:$DJ$57,卡牌消耗!AT1412)*INDEX(卡牌消耗!$B$8:$F$8,AR1412)/$Q$4/50,0)*50</f>
        <v>1550</v>
      </c>
      <c r="AW1412" s="14" t="str">
        <f>IF(AN1412&gt;0,INDEX(挂机升级突破!$DT$4:$ED$4,AN1412),"")</f>
        <v>绿色基础材料</v>
      </c>
      <c r="AX1412" s="14">
        <f>ROUND(INDEX(挂机升级突破!$DT$6:$ED$57,卡牌消耗!AT1412,AN1412)*INDEX(卡牌消耗!$B$5:$F$5,AR1412)/$Q$4/5,0)*5</f>
        <v>170</v>
      </c>
      <c r="AY1412" s="14" t="str">
        <f>IF(AO1412&gt;0,INDEX(挂机升级突破!$DT$4:$ED$4,AO1412),"")</f>
        <v/>
      </c>
      <c r="AZ1412" s="14" t="str">
        <f>IF(AO1412&gt;0,ROUND(INDEX(挂机升级突破!$DT$6:$ED$57,卡牌消耗!AT1412,AO1412)*INDEX(卡牌消耗!$B$7:$F$7,AR1412)/$Q$4,0),"")</f>
        <v/>
      </c>
    </row>
    <row r="1413" spans="37:52" ht="16.5" x14ac:dyDescent="0.2">
      <c r="AK1413" s="104">
        <v>1409</v>
      </c>
      <c r="AL1413" s="14">
        <f t="shared" si="450"/>
        <v>28</v>
      </c>
      <c r="AM1413" s="14">
        <f>INDEX(挂机升级突破!DQ$6:DQ$57,卡牌消耗!$AT1413)</f>
        <v>11</v>
      </c>
      <c r="AN1413" s="14">
        <f>INDEX(挂机升级突破!DR$6:DR$57,卡牌消耗!$AT1413)</f>
        <v>1</v>
      </c>
      <c r="AO1413" s="14">
        <f>INDEX(挂机升级突破!DS$6:DS$57,卡牌消耗!$AT1413)</f>
        <v>0</v>
      </c>
      <c r="AP1413" s="14">
        <f>INDEX(挂机升级突破!$DP$6:$DP$57,卡牌消耗!AT1413)</f>
        <v>23</v>
      </c>
      <c r="AQ1413" s="14" t="str">
        <f t="shared" si="451"/>
        <v>秦琼</v>
      </c>
      <c r="AR1413" s="14">
        <f t="shared" si="452"/>
        <v>4</v>
      </c>
      <c r="AS1413" s="14" t="str">
        <f t="shared" si="453"/>
        <v>秦琼魂火-5</v>
      </c>
      <c r="AT1413" s="14">
        <f t="shared" si="454"/>
        <v>5</v>
      </c>
      <c r="AU1413" s="14" t="str">
        <f>IF(AM1413&gt;0,INDEX(挂机升级突破!$DT$4:$ED$4,AM1413),"")</f>
        <v>金币</v>
      </c>
      <c r="AV1413" s="14">
        <f>ROUND(INDEX(挂机升级突破!$DJ$6:$DJ$57,卡牌消耗!AT1413)*INDEX(卡牌消耗!$B$8:$F$8,AR1413)/$Q$4/50,0)*50</f>
        <v>1550</v>
      </c>
      <c r="AW1413" s="14" t="str">
        <f>IF(AN1413&gt;0,INDEX(挂机升级突破!$DT$4:$ED$4,AN1413),"")</f>
        <v>绿色基础材料</v>
      </c>
      <c r="AX1413" s="14">
        <f>ROUND(INDEX(挂机升级突破!$DT$6:$ED$57,卡牌消耗!AT1413,AN1413)*INDEX(卡牌消耗!$B$5:$F$5,AR1413)/$Q$4/5,0)*5</f>
        <v>185</v>
      </c>
      <c r="AY1413" s="14" t="str">
        <f>IF(AO1413&gt;0,INDEX(挂机升级突破!$DT$4:$ED$4,AO1413),"")</f>
        <v/>
      </c>
      <c r="AZ1413" s="14" t="str">
        <f>IF(AO1413&gt;0,ROUND(INDEX(挂机升级突破!$DT$6:$ED$57,卡牌消耗!AT1413,AO1413)*INDEX(卡牌消耗!$B$7:$F$7,AR1413)/$Q$4,0),"")</f>
        <v/>
      </c>
    </row>
    <row r="1414" spans="37:52" ht="16.5" x14ac:dyDescent="0.2">
      <c r="AK1414" s="104">
        <v>1410</v>
      </c>
      <c r="AL1414" s="14">
        <f t="shared" ref="AL1414:AL1477" si="455">INT((AK1414-1)/52)+1</f>
        <v>28</v>
      </c>
      <c r="AM1414" s="14">
        <f>INDEX(挂机升级突破!DQ$6:DQ$57,卡牌消耗!$AT1414)</f>
        <v>11</v>
      </c>
      <c r="AN1414" s="14">
        <f>INDEX(挂机升级突破!DR$6:DR$57,卡牌消耗!$AT1414)</f>
        <v>2</v>
      </c>
      <c r="AO1414" s="14">
        <f>INDEX(挂机升级突破!DS$6:DS$57,卡牌消耗!$AT1414)</f>
        <v>0</v>
      </c>
      <c r="AP1414" s="14">
        <f>INDEX(挂机升级突破!$DP$6:$DP$57,卡牌消耗!AT1414)</f>
        <v>28</v>
      </c>
      <c r="AQ1414" s="14" t="str">
        <f t="shared" ref="AQ1414:AQ1460" si="456">INDEX($B$13:$B$45,AL1414)</f>
        <v>秦琼</v>
      </c>
      <c r="AR1414" s="14">
        <f t="shared" ref="AR1414:AR1460" si="457">INDEX($C$13:$C$45,AL1414)</f>
        <v>4</v>
      </c>
      <c r="AS1414" s="14" t="str">
        <f t="shared" ref="AS1414:AS1460" si="458">AQ1414&amp;"魂火-"&amp;AT1414</f>
        <v>秦琼魂火-6</v>
      </c>
      <c r="AT1414" s="14">
        <f t="shared" ref="AT1414:AT1460" si="459">AK1414-(AL1414-1)*52</f>
        <v>6</v>
      </c>
      <c r="AU1414" s="14" t="str">
        <f>IF(AM1414&gt;0,INDEX(挂机升级突破!$DT$4:$ED$4,AM1414),"")</f>
        <v>金币</v>
      </c>
      <c r="AV1414" s="14">
        <f>ROUND(INDEX(挂机升级突破!$DJ$6:$DJ$57,卡牌消耗!AT1414)*INDEX(卡牌消耗!$B$8:$F$8,AR1414)/$Q$4/50,0)*50</f>
        <v>1900</v>
      </c>
      <c r="AW1414" s="14" t="str">
        <f>IF(AN1414&gt;0,INDEX(挂机升级突破!$DT$4:$ED$4,AN1414),"")</f>
        <v>蓝色基础材料</v>
      </c>
      <c r="AX1414" s="14">
        <f>ROUND(INDEX(挂机升级突破!$DT$6:$ED$57,卡牌消耗!AT1414,AN1414)*INDEX(卡牌消耗!$B$5:$F$5,AR1414)/$Q$4/5,0)*5</f>
        <v>35</v>
      </c>
      <c r="AY1414" s="14" t="str">
        <f>IF(AO1414&gt;0,INDEX(挂机升级突破!$DT$4:$ED$4,AO1414),"")</f>
        <v/>
      </c>
      <c r="AZ1414" s="14" t="str">
        <f>IF(AO1414&gt;0,ROUND(INDEX(挂机升级突破!$DT$6:$ED$57,卡牌消耗!AT1414,AO1414)*INDEX(卡牌消耗!$B$7:$F$7,AR1414)/$Q$4,0),"")</f>
        <v/>
      </c>
    </row>
    <row r="1415" spans="37:52" ht="16.5" x14ac:dyDescent="0.2">
      <c r="AK1415" s="104">
        <v>1411</v>
      </c>
      <c r="AL1415" s="14">
        <f t="shared" si="455"/>
        <v>28</v>
      </c>
      <c r="AM1415" s="14">
        <f>INDEX(挂机升级突破!DQ$6:DQ$57,卡牌消耗!$AT1415)</f>
        <v>11</v>
      </c>
      <c r="AN1415" s="14">
        <f>INDEX(挂机升级突破!DR$6:DR$57,卡牌消耗!$AT1415)</f>
        <v>2</v>
      </c>
      <c r="AO1415" s="14">
        <f>INDEX(挂机升级突破!DS$6:DS$57,卡牌消耗!$AT1415)</f>
        <v>0</v>
      </c>
      <c r="AP1415" s="14">
        <f>INDEX(挂机升级突破!$DP$6:$DP$57,卡牌消耗!AT1415)</f>
        <v>33</v>
      </c>
      <c r="AQ1415" s="14" t="str">
        <f t="shared" si="456"/>
        <v>秦琼</v>
      </c>
      <c r="AR1415" s="14">
        <f t="shared" si="457"/>
        <v>4</v>
      </c>
      <c r="AS1415" s="14" t="str">
        <f t="shared" si="458"/>
        <v>秦琼魂火-7</v>
      </c>
      <c r="AT1415" s="14">
        <f t="shared" si="459"/>
        <v>7</v>
      </c>
      <c r="AU1415" s="14" t="str">
        <f>IF(AM1415&gt;0,INDEX(挂机升级突破!$DT$4:$ED$4,AM1415),"")</f>
        <v>金币</v>
      </c>
      <c r="AV1415" s="14">
        <f>ROUND(INDEX(挂机升级突破!$DJ$6:$DJ$57,卡牌消耗!AT1415)*INDEX(卡牌消耗!$B$8:$F$8,AR1415)/$Q$4/50,0)*50</f>
        <v>1900</v>
      </c>
      <c r="AW1415" s="14" t="str">
        <f>IF(AN1415&gt;0,INDEX(挂机升级突破!$DT$4:$ED$4,AN1415),"")</f>
        <v>蓝色基础材料</v>
      </c>
      <c r="AX1415" s="14">
        <f>ROUND(INDEX(挂机升级突破!$DT$6:$ED$57,卡牌消耗!AT1415,AN1415)*INDEX(卡牌消耗!$B$5:$F$5,AR1415)/$Q$4/5,0)*5</f>
        <v>35</v>
      </c>
      <c r="AY1415" s="14" t="str">
        <f>IF(AO1415&gt;0,INDEX(挂机升级突破!$DT$4:$ED$4,AO1415),"")</f>
        <v/>
      </c>
      <c r="AZ1415" s="14" t="str">
        <f>IF(AO1415&gt;0,ROUND(INDEX(挂机升级突破!$DT$6:$ED$57,卡牌消耗!AT1415,AO1415)*INDEX(卡牌消耗!$B$7:$F$7,AR1415)/$Q$4,0),"")</f>
        <v/>
      </c>
    </row>
    <row r="1416" spans="37:52" ht="16.5" x14ac:dyDescent="0.2">
      <c r="AK1416" s="104">
        <v>1412</v>
      </c>
      <c r="AL1416" s="14">
        <f t="shared" si="455"/>
        <v>28</v>
      </c>
      <c r="AM1416" s="14">
        <f>INDEX(挂机升级突破!DQ$6:DQ$57,卡牌消耗!$AT1416)</f>
        <v>11</v>
      </c>
      <c r="AN1416" s="14">
        <f>INDEX(挂机升级突破!DR$6:DR$57,卡牌消耗!$AT1416)</f>
        <v>2</v>
      </c>
      <c r="AO1416" s="14">
        <f>INDEX(挂机升级突破!DS$6:DS$57,卡牌消耗!$AT1416)</f>
        <v>0</v>
      </c>
      <c r="AP1416" s="14">
        <f>INDEX(挂机升级突破!$DP$6:$DP$57,卡牌消耗!AT1416)</f>
        <v>38</v>
      </c>
      <c r="AQ1416" s="14" t="str">
        <f t="shared" si="456"/>
        <v>秦琼</v>
      </c>
      <c r="AR1416" s="14">
        <f t="shared" si="457"/>
        <v>4</v>
      </c>
      <c r="AS1416" s="14" t="str">
        <f t="shared" si="458"/>
        <v>秦琼魂火-8</v>
      </c>
      <c r="AT1416" s="14">
        <f t="shared" si="459"/>
        <v>8</v>
      </c>
      <c r="AU1416" s="14" t="str">
        <f>IF(AM1416&gt;0,INDEX(挂机升级突破!$DT$4:$ED$4,AM1416),"")</f>
        <v>金币</v>
      </c>
      <c r="AV1416" s="14">
        <f>ROUND(INDEX(挂机升级突破!$DJ$6:$DJ$57,卡牌消耗!AT1416)*INDEX(卡牌消耗!$B$8:$F$8,AR1416)/$Q$4/50,0)*50</f>
        <v>2850</v>
      </c>
      <c r="AW1416" s="14" t="str">
        <f>IF(AN1416&gt;0,INDEX(挂机升级突破!$DT$4:$ED$4,AN1416),"")</f>
        <v>蓝色基础材料</v>
      </c>
      <c r="AX1416" s="14">
        <f>ROUND(INDEX(挂机升级突破!$DT$6:$ED$57,卡牌消耗!AT1416,AN1416)*INDEX(卡牌消耗!$B$5:$F$5,AR1416)/$Q$4/5,0)*5</f>
        <v>70</v>
      </c>
      <c r="AY1416" s="14" t="str">
        <f>IF(AO1416&gt;0,INDEX(挂机升级突破!$DT$4:$ED$4,AO1416),"")</f>
        <v/>
      </c>
      <c r="AZ1416" s="14" t="str">
        <f>IF(AO1416&gt;0,ROUND(INDEX(挂机升级突破!$DT$6:$ED$57,卡牌消耗!AT1416,AO1416)*INDEX(卡牌消耗!$B$7:$F$7,AR1416)/$Q$4,0),"")</f>
        <v/>
      </c>
    </row>
    <row r="1417" spans="37:52" ht="16.5" x14ac:dyDescent="0.2">
      <c r="AK1417" s="104">
        <v>1413</v>
      </c>
      <c r="AL1417" s="14">
        <f t="shared" si="455"/>
        <v>28</v>
      </c>
      <c r="AM1417" s="14">
        <f>INDEX(挂机升级突破!DQ$6:DQ$57,卡牌消耗!$AT1417)</f>
        <v>11</v>
      </c>
      <c r="AN1417" s="14">
        <f>INDEX(挂机升级突破!DR$6:DR$57,卡牌消耗!$AT1417)</f>
        <v>2</v>
      </c>
      <c r="AO1417" s="14">
        <f>INDEX(挂机升级突破!DS$6:DS$57,卡牌消耗!$AT1417)</f>
        <v>0</v>
      </c>
      <c r="AP1417" s="14">
        <f>INDEX(挂机升级突破!$DP$6:$DP$57,卡牌消耗!AT1417)</f>
        <v>40</v>
      </c>
      <c r="AQ1417" s="14" t="str">
        <f t="shared" si="456"/>
        <v>秦琼</v>
      </c>
      <c r="AR1417" s="14">
        <f t="shared" si="457"/>
        <v>4</v>
      </c>
      <c r="AS1417" s="14" t="str">
        <f t="shared" si="458"/>
        <v>秦琼魂火-9</v>
      </c>
      <c r="AT1417" s="14">
        <f t="shared" si="459"/>
        <v>9</v>
      </c>
      <c r="AU1417" s="14" t="str">
        <f>IF(AM1417&gt;0,INDEX(挂机升级突破!$DT$4:$ED$4,AM1417),"")</f>
        <v>金币</v>
      </c>
      <c r="AV1417" s="14">
        <f>ROUND(INDEX(挂机升级突破!$DJ$6:$DJ$57,卡牌消耗!AT1417)*INDEX(卡牌消耗!$B$8:$F$8,AR1417)/$Q$4/50,0)*50</f>
        <v>2850</v>
      </c>
      <c r="AW1417" s="14" t="str">
        <f>IF(AN1417&gt;0,INDEX(挂机升级突破!$DT$4:$ED$4,AN1417),"")</f>
        <v>蓝色基础材料</v>
      </c>
      <c r="AX1417" s="14">
        <f>ROUND(INDEX(挂机升级突破!$DT$6:$ED$57,卡牌消耗!AT1417,AN1417)*INDEX(卡牌消耗!$B$5:$F$5,AR1417)/$Q$4/5,0)*5</f>
        <v>70</v>
      </c>
      <c r="AY1417" s="14" t="str">
        <f>IF(AO1417&gt;0,INDEX(挂机升级突破!$DT$4:$ED$4,AO1417),"")</f>
        <v/>
      </c>
      <c r="AZ1417" s="14" t="str">
        <f>IF(AO1417&gt;0,ROUND(INDEX(挂机升级突破!$DT$6:$ED$57,卡牌消耗!AT1417,AO1417)*INDEX(卡牌消耗!$B$7:$F$7,AR1417)/$Q$4,0),"")</f>
        <v/>
      </c>
    </row>
    <row r="1418" spans="37:52" ht="16.5" x14ac:dyDescent="0.2">
      <c r="AK1418" s="104">
        <v>1414</v>
      </c>
      <c r="AL1418" s="14">
        <f t="shared" si="455"/>
        <v>28</v>
      </c>
      <c r="AM1418" s="14">
        <f>INDEX(挂机升级突破!DQ$6:DQ$57,卡牌消耗!$AT1418)</f>
        <v>11</v>
      </c>
      <c r="AN1418" s="14">
        <f>INDEX(挂机升级突破!DR$6:DR$57,卡牌消耗!$AT1418)</f>
        <v>2</v>
      </c>
      <c r="AO1418" s="14">
        <f>INDEX(挂机升级突破!DS$6:DS$57,卡牌消耗!$AT1418)</f>
        <v>0</v>
      </c>
      <c r="AP1418" s="14">
        <f>INDEX(挂机升级突破!$DP$6:$DP$57,卡牌消耗!AT1418)</f>
        <v>43</v>
      </c>
      <c r="AQ1418" s="14" t="str">
        <f t="shared" si="456"/>
        <v>秦琼</v>
      </c>
      <c r="AR1418" s="14">
        <f t="shared" si="457"/>
        <v>4</v>
      </c>
      <c r="AS1418" s="14" t="str">
        <f t="shared" si="458"/>
        <v>秦琼魂火-10</v>
      </c>
      <c r="AT1418" s="14">
        <f t="shared" si="459"/>
        <v>10</v>
      </c>
      <c r="AU1418" s="14" t="str">
        <f>IF(AM1418&gt;0,INDEX(挂机升级突破!$DT$4:$ED$4,AM1418),"")</f>
        <v>金币</v>
      </c>
      <c r="AV1418" s="14">
        <f>ROUND(INDEX(挂机升级突破!$DJ$6:$DJ$57,卡牌消耗!AT1418)*INDEX(卡牌消耗!$B$8:$F$8,AR1418)/$Q$4/50,0)*50</f>
        <v>4750</v>
      </c>
      <c r="AW1418" s="14" t="str">
        <f>IF(AN1418&gt;0,INDEX(挂机升级突破!$DT$4:$ED$4,AN1418),"")</f>
        <v>蓝色基础材料</v>
      </c>
      <c r="AX1418" s="14">
        <f>ROUND(INDEX(挂机升级突破!$DT$6:$ED$57,卡牌消耗!AT1418,AN1418)*INDEX(卡牌消耗!$B$5:$F$5,AR1418)/$Q$4/5,0)*5</f>
        <v>105</v>
      </c>
      <c r="AY1418" s="14" t="str">
        <f>IF(AO1418&gt;0,INDEX(挂机升级突破!$DT$4:$ED$4,AO1418),"")</f>
        <v/>
      </c>
      <c r="AZ1418" s="14" t="str">
        <f>IF(AO1418&gt;0,ROUND(INDEX(挂机升级突破!$DT$6:$ED$57,卡牌消耗!AT1418,AO1418)*INDEX(卡牌消耗!$B$7:$F$7,AR1418)/$Q$4,0),"")</f>
        <v/>
      </c>
    </row>
    <row r="1419" spans="37:52" ht="16.5" x14ac:dyDescent="0.2">
      <c r="AK1419" s="104">
        <v>1415</v>
      </c>
      <c r="AL1419" s="14">
        <f t="shared" si="455"/>
        <v>28</v>
      </c>
      <c r="AM1419" s="14">
        <f>INDEX(挂机升级突破!DQ$6:DQ$57,卡牌消耗!$AT1419)</f>
        <v>11</v>
      </c>
      <c r="AN1419" s="14">
        <f>INDEX(挂机升级突破!DR$6:DR$57,卡牌消耗!$AT1419)</f>
        <v>2</v>
      </c>
      <c r="AO1419" s="14">
        <f>INDEX(挂机升级突破!DS$6:DS$57,卡牌消耗!$AT1419)</f>
        <v>0</v>
      </c>
      <c r="AP1419" s="14">
        <f>INDEX(挂机升级突破!$DP$6:$DP$57,卡牌消耗!AT1419)</f>
        <v>45</v>
      </c>
      <c r="AQ1419" s="14" t="str">
        <f t="shared" si="456"/>
        <v>秦琼</v>
      </c>
      <c r="AR1419" s="14">
        <f t="shared" si="457"/>
        <v>4</v>
      </c>
      <c r="AS1419" s="14" t="str">
        <f t="shared" si="458"/>
        <v>秦琼魂火-11</v>
      </c>
      <c r="AT1419" s="14">
        <f t="shared" si="459"/>
        <v>11</v>
      </c>
      <c r="AU1419" s="14" t="str">
        <f>IF(AM1419&gt;0,INDEX(挂机升级突破!$DT$4:$ED$4,AM1419),"")</f>
        <v>金币</v>
      </c>
      <c r="AV1419" s="14">
        <f>ROUND(INDEX(挂机升级突破!$DJ$6:$DJ$57,卡牌消耗!AT1419)*INDEX(卡牌消耗!$B$8:$F$8,AR1419)/$Q$4/50,0)*50</f>
        <v>4750</v>
      </c>
      <c r="AW1419" s="14" t="str">
        <f>IF(AN1419&gt;0,INDEX(挂机升级突破!$DT$4:$ED$4,AN1419),"")</f>
        <v>蓝色基础材料</v>
      </c>
      <c r="AX1419" s="14">
        <f>ROUND(INDEX(挂机升级突破!$DT$6:$ED$57,卡牌消耗!AT1419,AN1419)*INDEX(卡牌消耗!$B$5:$F$5,AR1419)/$Q$4/5,0)*5</f>
        <v>105</v>
      </c>
      <c r="AY1419" s="14" t="str">
        <f>IF(AO1419&gt;0,INDEX(挂机升级突破!$DT$4:$ED$4,AO1419),"")</f>
        <v/>
      </c>
      <c r="AZ1419" s="14" t="str">
        <f>IF(AO1419&gt;0,ROUND(INDEX(挂机升级突破!$DT$6:$ED$57,卡牌消耗!AT1419,AO1419)*INDEX(卡牌消耗!$B$7:$F$7,AR1419)/$Q$4,0),"")</f>
        <v/>
      </c>
    </row>
    <row r="1420" spans="37:52" ht="16.5" x14ac:dyDescent="0.2">
      <c r="AK1420" s="104">
        <v>1416</v>
      </c>
      <c r="AL1420" s="14">
        <f t="shared" si="455"/>
        <v>28</v>
      </c>
      <c r="AM1420" s="14">
        <f>INDEX(挂机升级突破!DQ$6:DQ$57,卡牌消耗!$AT1420)</f>
        <v>11</v>
      </c>
      <c r="AN1420" s="14">
        <f>INDEX(挂机升级突破!DR$6:DR$57,卡牌消耗!$AT1420)</f>
        <v>2</v>
      </c>
      <c r="AO1420" s="14">
        <f>INDEX(挂机升级突破!DS$6:DS$57,卡牌消耗!$AT1420)</f>
        <v>0</v>
      </c>
      <c r="AP1420" s="14">
        <f>INDEX(挂机升级突破!$DP$6:$DP$57,卡牌消耗!AT1420)</f>
        <v>48</v>
      </c>
      <c r="AQ1420" s="14" t="str">
        <f t="shared" si="456"/>
        <v>秦琼</v>
      </c>
      <c r="AR1420" s="14">
        <f t="shared" si="457"/>
        <v>4</v>
      </c>
      <c r="AS1420" s="14" t="str">
        <f t="shared" si="458"/>
        <v>秦琼魂火-12</v>
      </c>
      <c r="AT1420" s="14">
        <f t="shared" si="459"/>
        <v>12</v>
      </c>
      <c r="AU1420" s="14" t="str">
        <f>IF(AM1420&gt;0,INDEX(挂机升级突破!$DT$4:$ED$4,AM1420),"")</f>
        <v>金币</v>
      </c>
      <c r="AV1420" s="14">
        <f>ROUND(INDEX(挂机升级突破!$DJ$6:$DJ$57,卡牌消耗!AT1420)*INDEX(卡牌消耗!$B$8:$F$8,AR1420)/$Q$4/50,0)*50</f>
        <v>4100</v>
      </c>
      <c r="AW1420" s="14" t="str">
        <f>IF(AN1420&gt;0,INDEX(挂机升级突破!$DT$4:$ED$4,AN1420),"")</f>
        <v>蓝色基础材料</v>
      </c>
      <c r="AX1420" s="14">
        <f>ROUND(INDEX(挂机升级突破!$DT$6:$ED$57,卡牌消耗!AT1420,AN1420)*INDEX(卡牌消耗!$B$5:$F$5,AR1420)/$Q$4/5,0)*5</f>
        <v>140</v>
      </c>
      <c r="AY1420" s="14" t="str">
        <f>IF(AO1420&gt;0,INDEX(挂机升级突破!$DT$4:$ED$4,AO1420),"")</f>
        <v/>
      </c>
      <c r="AZ1420" s="14" t="str">
        <f>IF(AO1420&gt;0,ROUND(INDEX(挂机升级突破!$DT$6:$ED$57,卡牌消耗!AT1420,AO1420)*INDEX(卡牌消耗!$B$7:$F$7,AR1420)/$Q$4,0),"")</f>
        <v/>
      </c>
    </row>
    <row r="1421" spans="37:52" ht="16.5" x14ac:dyDescent="0.2">
      <c r="AK1421" s="104">
        <v>1417</v>
      </c>
      <c r="AL1421" s="14">
        <f t="shared" si="455"/>
        <v>28</v>
      </c>
      <c r="AM1421" s="14">
        <f>INDEX(挂机升级突破!DQ$6:DQ$57,卡牌消耗!$AT1421)</f>
        <v>11</v>
      </c>
      <c r="AN1421" s="14">
        <f>INDEX(挂机升级突破!DR$6:DR$57,卡牌消耗!$AT1421)</f>
        <v>2</v>
      </c>
      <c r="AO1421" s="14">
        <f>INDEX(挂机升级突破!DS$6:DS$57,卡牌消耗!$AT1421)</f>
        <v>0</v>
      </c>
      <c r="AP1421" s="14">
        <f>INDEX(挂机升级突破!$DP$6:$DP$57,卡牌消耗!AT1421)</f>
        <v>50</v>
      </c>
      <c r="AQ1421" s="14" t="str">
        <f t="shared" si="456"/>
        <v>秦琼</v>
      </c>
      <c r="AR1421" s="14">
        <f t="shared" si="457"/>
        <v>4</v>
      </c>
      <c r="AS1421" s="14" t="str">
        <f t="shared" si="458"/>
        <v>秦琼魂火-13</v>
      </c>
      <c r="AT1421" s="14">
        <f t="shared" si="459"/>
        <v>13</v>
      </c>
      <c r="AU1421" s="14" t="str">
        <f>IF(AM1421&gt;0,INDEX(挂机升级突破!$DT$4:$ED$4,AM1421),"")</f>
        <v>金币</v>
      </c>
      <c r="AV1421" s="14">
        <f>ROUND(INDEX(挂机升级突破!$DJ$6:$DJ$57,卡牌消耗!AT1421)*INDEX(卡牌消耗!$B$8:$F$8,AR1421)/$Q$4/50,0)*50</f>
        <v>4100</v>
      </c>
      <c r="AW1421" s="14" t="str">
        <f>IF(AN1421&gt;0,INDEX(挂机升级突破!$DT$4:$ED$4,AN1421),"")</f>
        <v>蓝色基础材料</v>
      </c>
      <c r="AX1421" s="14">
        <f>ROUND(INDEX(挂机升级突破!$DT$6:$ED$57,卡牌消耗!AT1421,AN1421)*INDEX(卡牌消耗!$B$5:$F$5,AR1421)/$Q$4/5,0)*5</f>
        <v>140</v>
      </c>
      <c r="AY1421" s="14" t="str">
        <f>IF(AO1421&gt;0,INDEX(挂机升级突破!$DT$4:$ED$4,AO1421),"")</f>
        <v/>
      </c>
      <c r="AZ1421" s="14" t="str">
        <f>IF(AO1421&gt;0,ROUND(INDEX(挂机升级突破!$DT$6:$ED$57,卡牌消耗!AT1421,AO1421)*INDEX(卡牌消耗!$B$7:$F$7,AR1421)/$Q$4,0),"")</f>
        <v/>
      </c>
    </row>
    <row r="1422" spans="37:52" ht="16.5" x14ac:dyDescent="0.2">
      <c r="AK1422" s="104">
        <v>1418</v>
      </c>
      <c r="AL1422" s="14">
        <f t="shared" si="455"/>
        <v>28</v>
      </c>
      <c r="AM1422" s="14">
        <f>INDEX(挂机升级突破!DQ$6:DQ$57,卡牌消耗!$AT1422)</f>
        <v>11</v>
      </c>
      <c r="AN1422" s="14">
        <f>INDEX(挂机升级突破!DR$6:DR$57,卡牌消耗!$AT1422)</f>
        <v>3</v>
      </c>
      <c r="AO1422" s="14">
        <f>INDEX(挂机升级突破!DS$6:DS$57,卡牌消耗!$AT1422)</f>
        <v>0</v>
      </c>
      <c r="AP1422" s="14">
        <f>INDEX(挂机升级突破!$DP$6:$DP$57,卡牌消耗!AT1422)</f>
        <v>53</v>
      </c>
      <c r="AQ1422" s="14" t="str">
        <f t="shared" si="456"/>
        <v>秦琼</v>
      </c>
      <c r="AR1422" s="14">
        <f t="shared" si="457"/>
        <v>4</v>
      </c>
      <c r="AS1422" s="14" t="str">
        <f t="shared" si="458"/>
        <v>秦琼魂火-14</v>
      </c>
      <c r="AT1422" s="14">
        <f t="shared" si="459"/>
        <v>14</v>
      </c>
      <c r="AU1422" s="14" t="str">
        <f>IF(AM1422&gt;0,INDEX(挂机升级突破!$DT$4:$ED$4,AM1422),"")</f>
        <v>金币</v>
      </c>
      <c r="AV1422" s="14">
        <f>ROUND(INDEX(挂机升级突破!$DJ$6:$DJ$57,卡牌消耗!AT1422)*INDEX(卡牌消耗!$B$8:$F$8,AR1422)/$Q$4/50,0)*50</f>
        <v>4500</v>
      </c>
      <c r="AW1422" s="14" t="str">
        <f>IF(AN1422&gt;0,INDEX(挂机升级突破!$DT$4:$ED$4,AN1422),"")</f>
        <v>紫色基础材料</v>
      </c>
      <c r="AX1422" s="14">
        <f>ROUND(INDEX(挂机升级突破!$DT$6:$ED$57,卡牌消耗!AT1422,AN1422)*INDEX(卡牌消耗!$B$5:$F$5,AR1422)/$Q$4/5,0)*5</f>
        <v>30</v>
      </c>
      <c r="AY1422" s="14" t="str">
        <f>IF(AO1422&gt;0,INDEX(挂机升级突破!$DT$4:$ED$4,AO1422),"")</f>
        <v/>
      </c>
      <c r="AZ1422" s="14" t="str">
        <f>IF(AO1422&gt;0,ROUND(INDEX(挂机升级突破!$DT$6:$ED$57,卡牌消耗!AT1422,AO1422)*INDEX(卡牌消耗!$B$7:$F$7,AR1422)/$Q$4,0),"")</f>
        <v/>
      </c>
    </row>
    <row r="1423" spans="37:52" ht="16.5" x14ac:dyDescent="0.2">
      <c r="AK1423" s="104">
        <v>1419</v>
      </c>
      <c r="AL1423" s="14">
        <f t="shared" si="455"/>
        <v>28</v>
      </c>
      <c r="AM1423" s="14">
        <f>INDEX(挂机升级突破!DQ$6:DQ$57,卡牌消耗!$AT1423)</f>
        <v>11</v>
      </c>
      <c r="AN1423" s="14">
        <f>INDEX(挂机升级突破!DR$6:DR$57,卡牌消耗!$AT1423)</f>
        <v>3</v>
      </c>
      <c r="AO1423" s="14">
        <f>INDEX(挂机升级突破!DS$6:DS$57,卡牌消耗!$AT1423)</f>
        <v>0</v>
      </c>
      <c r="AP1423" s="14">
        <f>INDEX(挂机升级突破!$DP$6:$DP$57,卡牌消耗!AT1423)</f>
        <v>55</v>
      </c>
      <c r="AQ1423" s="14" t="str">
        <f t="shared" si="456"/>
        <v>秦琼</v>
      </c>
      <c r="AR1423" s="14">
        <f t="shared" si="457"/>
        <v>4</v>
      </c>
      <c r="AS1423" s="14" t="str">
        <f t="shared" si="458"/>
        <v>秦琼魂火-15</v>
      </c>
      <c r="AT1423" s="14">
        <f t="shared" si="459"/>
        <v>15</v>
      </c>
      <c r="AU1423" s="14" t="str">
        <f>IF(AM1423&gt;0,INDEX(挂机升级突破!$DT$4:$ED$4,AM1423),"")</f>
        <v>金币</v>
      </c>
      <c r="AV1423" s="14">
        <f>ROUND(INDEX(挂机升级突破!$DJ$6:$DJ$57,卡牌消耗!AT1423)*INDEX(卡牌消耗!$B$8:$F$8,AR1423)/$Q$4/50,0)*50</f>
        <v>4900</v>
      </c>
      <c r="AW1423" s="14" t="str">
        <f>IF(AN1423&gt;0,INDEX(挂机升级突破!$DT$4:$ED$4,AN1423),"")</f>
        <v>紫色基础材料</v>
      </c>
      <c r="AX1423" s="14">
        <f>ROUND(INDEX(挂机升级突破!$DT$6:$ED$57,卡牌消耗!AT1423,AN1423)*INDEX(卡牌消耗!$B$5:$F$5,AR1423)/$Q$4/5,0)*5</f>
        <v>30</v>
      </c>
      <c r="AY1423" s="14" t="str">
        <f>IF(AO1423&gt;0,INDEX(挂机升级突破!$DT$4:$ED$4,AO1423),"")</f>
        <v/>
      </c>
      <c r="AZ1423" s="14" t="str">
        <f>IF(AO1423&gt;0,ROUND(INDEX(挂机升级突破!$DT$6:$ED$57,卡牌消耗!AT1423,AO1423)*INDEX(卡牌消耗!$B$7:$F$7,AR1423)/$Q$4,0),"")</f>
        <v/>
      </c>
    </row>
    <row r="1424" spans="37:52" ht="16.5" x14ac:dyDescent="0.2">
      <c r="AK1424" s="104">
        <v>1420</v>
      </c>
      <c r="AL1424" s="14">
        <f t="shared" si="455"/>
        <v>28</v>
      </c>
      <c r="AM1424" s="14">
        <f>INDEX(挂机升级突破!DQ$6:DQ$57,卡牌消耗!$AT1424)</f>
        <v>11</v>
      </c>
      <c r="AN1424" s="14">
        <f>INDEX(挂机升级突破!DR$6:DR$57,卡牌消耗!$AT1424)</f>
        <v>3</v>
      </c>
      <c r="AO1424" s="14">
        <f>INDEX(挂机升级突破!DS$6:DS$57,卡牌消耗!$AT1424)</f>
        <v>0</v>
      </c>
      <c r="AP1424" s="14">
        <f>INDEX(挂机升级突破!$DP$6:$DP$57,卡牌消耗!AT1424)</f>
        <v>58</v>
      </c>
      <c r="AQ1424" s="14" t="str">
        <f t="shared" si="456"/>
        <v>秦琼</v>
      </c>
      <c r="AR1424" s="14">
        <f t="shared" si="457"/>
        <v>4</v>
      </c>
      <c r="AS1424" s="14" t="str">
        <f t="shared" si="458"/>
        <v>秦琼魂火-16</v>
      </c>
      <c r="AT1424" s="14">
        <f t="shared" si="459"/>
        <v>16</v>
      </c>
      <c r="AU1424" s="14" t="str">
        <f>IF(AM1424&gt;0,INDEX(挂机升级突破!$DT$4:$ED$4,AM1424),"")</f>
        <v>金币</v>
      </c>
      <c r="AV1424" s="14">
        <f>ROUND(INDEX(挂机升级突破!$DJ$6:$DJ$57,卡牌消耗!AT1424)*INDEX(卡牌消耗!$B$8:$F$8,AR1424)/$Q$4/50,0)*50</f>
        <v>4900</v>
      </c>
      <c r="AW1424" s="14" t="str">
        <f>IF(AN1424&gt;0,INDEX(挂机升级突破!$DT$4:$ED$4,AN1424),"")</f>
        <v>紫色基础材料</v>
      </c>
      <c r="AX1424" s="14">
        <f>ROUND(INDEX(挂机升级突破!$DT$6:$ED$57,卡牌消耗!AT1424,AN1424)*INDEX(卡牌消耗!$B$5:$F$5,AR1424)/$Q$4/5,0)*5</f>
        <v>30</v>
      </c>
      <c r="AY1424" s="14" t="str">
        <f>IF(AO1424&gt;0,INDEX(挂机升级突破!$DT$4:$ED$4,AO1424),"")</f>
        <v/>
      </c>
      <c r="AZ1424" s="14" t="str">
        <f>IF(AO1424&gt;0,ROUND(INDEX(挂机升级突破!$DT$6:$ED$57,卡牌消耗!AT1424,AO1424)*INDEX(卡牌消耗!$B$7:$F$7,AR1424)/$Q$4,0),"")</f>
        <v/>
      </c>
    </row>
    <row r="1425" spans="37:52" ht="16.5" x14ac:dyDescent="0.2">
      <c r="AK1425" s="104">
        <v>1421</v>
      </c>
      <c r="AL1425" s="14">
        <f t="shared" si="455"/>
        <v>28</v>
      </c>
      <c r="AM1425" s="14">
        <f>INDEX(挂机升级突破!DQ$6:DQ$57,卡牌消耗!$AT1425)</f>
        <v>11</v>
      </c>
      <c r="AN1425" s="14">
        <f>INDEX(挂机升级突破!DR$6:DR$57,卡牌消耗!$AT1425)</f>
        <v>3</v>
      </c>
      <c r="AO1425" s="14">
        <f>INDEX(挂机升级突破!DS$6:DS$57,卡牌消耗!$AT1425)</f>
        <v>0</v>
      </c>
      <c r="AP1425" s="14">
        <f>INDEX(挂机升级突破!$DP$6:$DP$57,卡牌消耗!AT1425)</f>
        <v>60</v>
      </c>
      <c r="AQ1425" s="14" t="str">
        <f t="shared" si="456"/>
        <v>秦琼</v>
      </c>
      <c r="AR1425" s="14">
        <f t="shared" si="457"/>
        <v>4</v>
      </c>
      <c r="AS1425" s="14" t="str">
        <f t="shared" si="458"/>
        <v>秦琼魂火-17</v>
      </c>
      <c r="AT1425" s="14">
        <f t="shared" si="459"/>
        <v>17</v>
      </c>
      <c r="AU1425" s="14" t="str">
        <f>IF(AM1425&gt;0,INDEX(挂机升级突破!$DT$4:$ED$4,AM1425),"")</f>
        <v>金币</v>
      </c>
      <c r="AV1425" s="14">
        <f>ROUND(INDEX(挂机升级突破!$DJ$6:$DJ$57,卡牌消耗!AT1425)*INDEX(卡牌消耗!$B$8:$F$8,AR1425)/$Q$4/50,0)*50</f>
        <v>6150</v>
      </c>
      <c r="AW1425" s="14" t="str">
        <f>IF(AN1425&gt;0,INDEX(挂机升级突破!$DT$4:$ED$4,AN1425),"")</f>
        <v>紫色基础材料</v>
      </c>
      <c r="AX1425" s="14">
        <f>ROUND(INDEX(挂机升级突破!$DT$6:$ED$57,卡牌消耗!AT1425,AN1425)*INDEX(卡牌消耗!$B$5:$F$5,AR1425)/$Q$4/5,0)*5</f>
        <v>55</v>
      </c>
      <c r="AY1425" s="14" t="str">
        <f>IF(AO1425&gt;0,INDEX(挂机升级突破!$DT$4:$ED$4,AO1425),"")</f>
        <v/>
      </c>
      <c r="AZ1425" s="14" t="str">
        <f>IF(AO1425&gt;0,ROUND(INDEX(挂机升级突破!$DT$6:$ED$57,卡牌消耗!AT1425,AO1425)*INDEX(卡牌消耗!$B$7:$F$7,AR1425)/$Q$4,0),"")</f>
        <v/>
      </c>
    </row>
    <row r="1426" spans="37:52" ht="16.5" x14ac:dyDescent="0.2">
      <c r="AK1426" s="104">
        <v>1422</v>
      </c>
      <c r="AL1426" s="14">
        <f t="shared" si="455"/>
        <v>28</v>
      </c>
      <c r="AM1426" s="14">
        <f>INDEX(挂机升级突破!DQ$6:DQ$57,卡牌消耗!$AT1426)</f>
        <v>11</v>
      </c>
      <c r="AN1426" s="14">
        <f>INDEX(挂机升级突破!DR$6:DR$57,卡牌消耗!$AT1426)</f>
        <v>3</v>
      </c>
      <c r="AO1426" s="14">
        <f>INDEX(挂机升级突破!DS$6:DS$57,卡牌消耗!$AT1426)</f>
        <v>0</v>
      </c>
      <c r="AP1426" s="14">
        <f>INDEX(挂机升级突破!$DP$6:$DP$57,卡牌消耗!AT1426)</f>
        <v>63</v>
      </c>
      <c r="AQ1426" s="14" t="str">
        <f t="shared" si="456"/>
        <v>秦琼</v>
      </c>
      <c r="AR1426" s="14">
        <f t="shared" si="457"/>
        <v>4</v>
      </c>
      <c r="AS1426" s="14" t="str">
        <f t="shared" si="458"/>
        <v>秦琼魂火-18</v>
      </c>
      <c r="AT1426" s="14">
        <f t="shared" si="459"/>
        <v>18</v>
      </c>
      <c r="AU1426" s="14" t="str">
        <f>IF(AM1426&gt;0,INDEX(挂机升级突破!$DT$4:$ED$4,AM1426),"")</f>
        <v>金币</v>
      </c>
      <c r="AV1426" s="14">
        <f>ROUND(INDEX(挂机升级突破!$DJ$6:$DJ$57,卡牌消耗!AT1426)*INDEX(卡牌消耗!$B$8:$F$8,AR1426)/$Q$4/50,0)*50</f>
        <v>6150</v>
      </c>
      <c r="AW1426" s="14" t="str">
        <f>IF(AN1426&gt;0,INDEX(挂机升级突破!$DT$4:$ED$4,AN1426),"")</f>
        <v>紫色基础材料</v>
      </c>
      <c r="AX1426" s="14">
        <f>ROUND(INDEX(挂机升级突破!$DT$6:$ED$57,卡牌消耗!AT1426,AN1426)*INDEX(卡牌消耗!$B$5:$F$5,AR1426)/$Q$4/5,0)*5</f>
        <v>55</v>
      </c>
      <c r="AY1426" s="14" t="str">
        <f>IF(AO1426&gt;0,INDEX(挂机升级突破!$DT$4:$ED$4,AO1426),"")</f>
        <v/>
      </c>
      <c r="AZ1426" s="14" t="str">
        <f>IF(AO1426&gt;0,ROUND(INDEX(挂机升级突破!$DT$6:$ED$57,卡牌消耗!AT1426,AO1426)*INDEX(卡牌消耗!$B$7:$F$7,AR1426)/$Q$4,0),"")</f>
        <v/>
      </c>
    </row>
    <row r="1427" spans="37:52" ht="16.5" x14ac:dyDescent="0.2">
      <c r="AK1427" s="104">
        <v>1423</v>
      </c>
      <c r="AL1427" s="14">
        <f t="shared" si="455"/>
        <v>28</v>
      </c>
      <c r="AM1427" s="14">
        <f>INDEX(挂机升级突破!DQ$6:DQ$57,卡牌消耗!$AT1427)</f>
        <v>11</v>
      </c>
      <c r="AN1427" s="14">
        <f>INDEX(挂机升级突破!DR$6:DR$57,卡牌消耗!$AT1427)</f>
        <v>3</v>
      </c>
      <c r="AO1427" s="14">
        <f>INDEX(挂机升级突破!DS$6:DS$57,卡牌消耗!$AT1427)</f>
        <v>0</v>
      </c>
      <c r="AP1427" s="14">
        <f>INDEX(挂机升级突破!$DP$6:$DP$57,卡牌消耗!AT1427)</f>
        <v>65</v>
      </c>
      <c r="AQ1427" s="14" t="str">
        <f t="shared" si="456"/>
        <v>秦琼</v>
      </c>
      <c r="AR1427" s="14">
        <f t="shared" si="457"/>
        <v>4</v>
      </c>
      <c r="AS1427" s="14" t="str">
        <f t="shared" si="458"/>
        <v>秦琼魂火-19</v>
      </c>
      <c r="AT1427" s="14">
        <f t="shared" si="459"/>
        <v>19</v>
      </c>
      <c r="AU1427" s="14" t="str">
        <f>IF(AM1427&gt;0,INDEX(挂机升级突破!$DT$4:$ED$4,AM1427),"")</f>
        <v>金币</v>
      </c>
      <c r="AV1427" s="14">
        <f>ROUND(INDEX(挂机升级突破!$DJ$6:$DJ$57,卡牌消耗!AT1427)*INDEX(卡牌消耗!$B$8:$F$8,AR1427)/$Q$4/50,0)*50</f>
        <v>6150</v>
      </c>
      <c r="AW1427" s="14" t="str">
        <f>IF(AN1427&gt;0,INDEX(挂机升级突破!$DT$4:$ED$4,AN1427),"")</f>
        <v>紫色基础材料</v>
      </c>
      <c r="AX1427" s="14">
        <f>ROUND(INDEX(挂机升级突破!$DT$6:$ED$57,卡牌消耗!AT1427,AN1427)*INDEX(卡牌消耗!$B$5:$F$5,AR1427)/$Q$4/5,0)*5</f>
        <v>55</v>
      </c>
      <c r="AY1427" s="14" t="str">
        <f>IF(AO1427&gt;0,INDEX(挂机升级突破!$DT$4:$ED$4,AO1427),"")</f>
        <v/>
      </c>
      <c r="AZ1427" s="14" t="str">
        <f>IF(AO1427&gt;0,ROUND(INDEX(挂机升级突破!$DT$6:$ED$57,卡牌消耗!AT1427,AO1427)*INDEX(卡牌消耗!$B$7:$F$7,AR1427)/$Q$4,0),"")</f>
        <v/>
      </c>
    </row>
    <row r="1428" spans="37:52" ht="16.5" x14ac:dyDescent="0.2">
      <c r="AK1428" s="104">
        <v>1424</v>
      </c>
      <c r="AL1428" s="14">
        <f t="shared" si="455"/>
        <v>28</v>
      </c>
      <c r="AM1428" s="14">
        <f>INDEX(挂机升级突破!DQ$6:DQ$57,卡牌消耗!$AT1428)</f>
        <v>11</v>
      </c>
      <c r="AN1428" s="14">
        <f>INDEX(挂机升级突破!DR$6:DR$57,卡牌消耗!$AT1428)</f>
        <v>3</v>
      </c>
      <c r="AO1428" s="14">
        <f>INDEX(挂机升级突破!DS$6:DS$57,卡牌消耗!$AT1428)</f>
        <v>0</v>
      </c>
      <c r="AP1428" s="14">
        <f>INDEX(挂机升级突破!$DP$6:$DP$57,卡牌消耗!AT1428)</f>
        <v>68</v>
      </c>
      <c r="AQ1428" s="14" t="str">
        <f t="shared" si="456"/>
        <v>秦琼</v>
      </c>
      <c r="AR1428" s="14">
        <f t="shared" si="457"/>
        <v>4</v>
      </c>
      <c r="AS1428" s="14" t="str">
        <f t="shared" si="458"/>
        <v>秦琼魂火-20</v>
      </c>
      <c r="AT1428" s="14">
        <f t="shared" si="459"/>
        <v>20</v>
      </c>
      <c r="AU1428" s="14" t="str">
        <f>IF(AM1428&gt;0,INDEX(挂机升级突破!$DT$4:$ED$4,AM1428),"")</f>
        <v>金币</v>
      </c>
      <c r="AV1428" s="14">
        <f>ROUND(INDEX(挂机升级突破!$DJ$6:$DJ$57,卡牌消耗!AT1428)*INDEX(卡牌消耗!$B$8:$F$8,AR1428)/$Q$4/50,0)*50</f>
        <v>7550</v>
      </c>
      <c r="AW1428" s="14" t="str">
        <f>IF(AN1428&gt;0,INDEX(挂机升级突破!$DT$4:$ED$4,AN1428),"")</f>
        <v>紫色基础材料</v>
      </c>
      <c r="AX1428" s="14">
        <f>ROUND(INDEX(挂机升级突破!$DT$6:$ED$57,卡牌消耗!AT1428,AN1428)*INDEX(卡牌消耗!$B$5:$F$5,AR1428)/$Q$4/5,0)*5</f>
        <v>85</v>
      </c>
      <c r="AY1428" s="14" t="str">
        <f>IF(AO1428&gt;0,INDEX(挂机升级突破!$DT$4:$ED$4,AO1428),"")</f>
        <v/>
      </c>
      <c r="AZ1428" s="14" t="str">
        <f>IF(AO1428&gt;0,ROUND(INDEX(挂机升级突破!$DT$6:$ED$57,卡牌消耗!AT1428,AO1428)*INDEX(卡牌消耗!$B$7:$F$7,AR1428)/$Q$4,0),"")</f>
        <v/>
      </c>
    </row>
    <row r="1429" spans="37:52" ht="16.5" x14ac:dyDescent="0.2">
      <c r="AK1429" s="104">
        <v>1425</v>
      </c>
      <c r="AL1429" s="14">
        <f t="shared" si="455"/>
        <v>28</v>
      </c>
      <c r="AM1429" s="14">
        <f>INDEX(挂机升级突破!DQ$6:DQ$57,卡牌消耗!$AT1429)</f>
        <v>11</v>
      </c>
      <c r="AN1429" s="14">
        <f>INDEX(挂机升级突破!DR$6:DR$57,卡牌消耗!$AT1429)</f>
        <v>3</v>
      </c>
      <c r="AO1429" s="14">
        <f>INDEX(挂机升级突破!DS$6:DS$57,卡牌消耗!$AT1429)</f>
        <v>0</v>
      </c>
      <c r="AP1429" s="14">
        <f>INDEX(挂机升级突破!$DP$6:$DP$57,卡牌消耗!AT1429)</f>
        <v>70</v>
      </c>
      <c r="AQ1429" s="14" t="str">
        <f t="shared" si="456"/>
        <v>秦琼</v>
      </c>
      <c r="AR1429" s="14">
        <f t="shared" si="457"/>
        <v>4</v>
      </c>
      <c r="AS1429" s="14" t="str">
        <f t="shared" si="458"/>
        <v>秦琼魂火-21</v>
      </c>
      <c r="AT1429" s="14">
        <f t="shared" si="459"/>
        <v>21</v>
      </c>
      <c r="AU1429" s="14" t="str">
        <f>IF(AM1429&gt;0,INDEX(挂机升级突破!$DT$4:$ED$4,AM1429),"")</f>
        <v>金币</v>
      </c>
      <c r="AV1429" s="14">
        <f>ROUND(INDEX(挂机升级突破!$DJ$6:$DJ$57,卡牌消耗!AT1429)*INDEX(卡牌消耗!$B$8:$F$8,AR1429)/$Q$4/50,0)*50</f>
        <v>7550</v>
      </c>
      <c r="AW1429" s="14" t="str">
        <f>IF(AN1429&gt;0,INDEX(挂机升级突破!$DT$4:$ED$4,AN1429),"")</f>
        <v>紫色基础材料</v>
      </c>
      <c r="AX1429" s="14">
        <f>ROUND(INDEX(挂机升级突破!$DT$6:$ED$57,卡牌消耗!AT1429,AN1429)*INDEX(卡牌消耗!$B$5:$F$5,AR1429)/$Q$4/5,0)*5</f>
        <v>85</v>
      </c>
      <c r="AY1429" s="14" t="str">
        <f>IF(AO1429&gt;0,INDEX(挂机升级突破!$DT$4:$ED$4,AO1429),"")</f>
        <v/>
      </c>
      <c r="AZ1429" s="14" t="str">
        <f>IF(AO1429&gt;0,ROUND(INDEX(挂机升级突破!$DT$6:$ED$57,卡牌消耗!AT1429,AO1429)*INDEX(卡牌消耗!$B$7:$F$7,AR1429)/$Q$4,0),"")</f>
        <v/>
      </c>
    </row>
    <row r="1430" spans="37:52" ht="16.5" x14ac:dyDescent="0.2">
      <c r="AK1430" s="104">
        <v>1426</v>
      </c>
      <c r="AL1430" s="14">
        <f t="shared" si="455"/>
        <v>28</v>
      </c>
      <c r="AM1430" s="14">
        <f>INDEX(挂机升级突破!DQ$6:DQ$57,卡牌消耗!$AT1430)</f>
        <v>11</v>
      </c>
      <c r="AN1430" s="14">
        <f>INDEX(挂机升级突破!DR$6:DR$57,卡牌消耗!$AT1430)</f>
        <v>3</v>
      </c>
      <c r="AO1430" s="14">
        <f>INDEX(挂机升级突破!DS$6:DS$57,卡牌消耗!$AT1430)</f>
        <v>0</v>
      </c>
      <c r="AP1430" s="14">
        <f>INDEX(挂机升级突破!$DP$6:$DP$57,卡牌消耗!AT1430)</f>
        <v>73</v>
      </c>
      <c r="AQ1430" s="14" t="str">
        <f t="shared" si="456"/>
        <v>秦琼</v>
      </c>
      <c r="AR1430" s="14">
        <f t="shared" si="457"/>
        <v>4</v>
      </c>
      <c r="AS1430" s="14" t="str">
        <f t="shared" si="458"/>
        <v>秦琼魂火-22</v>
      </c>
      <c r="AT1430" s="14">
        <f t="shared" si="459"/>
        <v>22</v>
      </c>
      <c r="AU1430" s="14" t="str">
        <f>IF(AM1430&gt;0,INDEX(挂机升级突破!$DT$4:$ED$4,AM1430),"")</f>
        <v>金币</v>
      </c>
      <c r="AV1430" s="14">
        <f>ROUND(INDEX(挂机升级突破!$DJ$6:$DJ$57,卡牌消耗!AT1430)*INDEX(卡牌消耗!$B$8:$F$8,AR1430)/$Q$4/50,0)*50</f>
        <v>7550</v>
      </c>
      <c r="AW1430" s="14" t="str">
        <f>IF(AN1430&gt;0,INDEX(挂机升级突破!$DT$4:$ED$4,AN1430),"")</f>
        <v>紫色基础材料</v>
      </c>
      <c r="AX1430" s="14">
        <f>ROUND(INDEX(挂机升级突破!$DT$6:$ED$57,卡牌消耗!AT1430,AN1430)*INDEX(卡牌消耗!$B$5:$F$5,AR1430)/$Q$4/5,0)*5</f>
        <v>85</v>
      </c>
      <c r="AY1430" s="14" t="str">
        <f>IF(AO1430&gt;0,INDEX(挂机升级突破!$DT$4:$ED$4,AO1430),"")</f>
        <v/>
      </c>
      <c r="AZ1430" s="14" t="str">
        <f>IF(AO1430&gt;0,ROUND(INDEX(挂机升级突破!$DT$6:$ED$57,卡牌消耗!AT1430,AO1430)*INDEX(卡牌消耗!$B$7:$F$7,AR1430)/$Q$4,0),"")</f>
        <v/>
      </c>
    </row>
    <row r="1431" spans="37:52" ht="16.5" x14ac:dyDescent="0.2">
      <c r="AK1431" s="104">
        <v>1427</v>
      </c>
      <c r="AL1431" s="14">
        <f t="shared" si="455"/>
        <v>28</v>
      </c>
      <c r="AM1431" s="14">
        <f>INDEX(挂机升级突破!DQ$6:DQ$57,卡牌消耗!$AT1431)</f>
        <v>11</v>
      </c>
      <c r="AN1431" s="14">
        <f>INDEX(挂机升级突破!DR$6:DR$57,卡牌消耗!$AT1431)</f>
        <v>4</v>
      </c>
      <c r="AO1431" s="14">
        <f>INDEX(挂机升级突破!DS$6:DS$57,卡牌消耗!$AT1431)</f>
        <v>0</v>
      </c>
      <c r="AP1431" s="14">
        <f>INDEX(挂机升级突破!$DP$6:$DP$57,卡牌消耗!AT1431)</f>
        <v>75</v>
      </c>
      <c r="AQ1431" s="14" t="str">
        <f t="shared" si="456"/>
        <v>秦琼</v>
      </c>
      <c r="AR1431" s="14">
        <f t="shared" si="457"/>
        <v>4</v>
      </c>
      <c r="AS1431" s="14" t="str">
        <f t="shared" si="458"/>
        <v>秦琼魂火-23</v>
      </c>
      <c r="AT1431" s="14">
        <f t="shared" si="459"/>
        <v>23</v>
      </c>
      <c r="AU1431" s="14" t="str">
        <f>IF(AM1431&gt;0,INDEX(挂机升级突破!$DT$4:$ED$4,AM1431),"")</f>
        <v>金币</v>
      </c>
      <c r="AV1431" s="14">
        <f>ROUND(INDEX(挂机升级突破!$DJ$6:$DJ$57,卡牌消耗!AT1431)*INDEX(卡牌消耗!$B$8:$F$8,AR1431)/$Q$4/50,0)*50</f>
        <v>10350</v>
      </c>
      <c r="AW1431" s="14" t="str">
        <f>IF(AN1431&gt;0,INDEX(挂机升级突破!$DT$4:$ED$4,AN1431),"")</f>
        <v>橙色基础材料</v>
      </c>
      <c r="AX1431" s="14">
        <f>ROUND(INDEX(挂机升级突破!$DT$6:$ED$57,卡牌消耗!AT1431,AN1431)*INDEX(卡牌消耗!$B$5:$F$5,AR1431)/$Q$4/5,0)*5</f>
        <v>25</v>
      </c>
      <c r="AY1431" s="14" t="str">
        <f>IF(AO1431&gt;0,INDEX(挂机升级突破!$DT$4:$ED$4,AO1431),"")</f>
        <v/>
      </c>
      <c r="AZ1431" s="14" t="str">
        <f>IF(AO1431&gt;0,ROUND(INDEX(挂机升级突破!$DT$6:$ED$57,卡牌消耗!AT1431,AO1431)*INDEX(卡牌消耗!$B$7:$F$7,AR1431)/$Q$4,0),"")</f>
        <v/>
      </c>
    </row>
    <row r="1432" spans="37:52" ht="16.5" x14ac:dyDescent="0.2">
      <c r="AK1432" s="104">
        <v>1428</v>
      </c>
      <c r="AL1432" s="14">
        <f t="shared" si="455"/>
        <v>28</v>
      </c>
      <c r="AM1432" s="14">
        <f>INDEX(挂机升级突破!DQ$6:DQ$57,卡牌消耗!$AT1432)</f>
        <v>11</v>
      </c>
      <c r="AN1432" s="14">
        <f>INDEX(挂机升级突破!DR$6:DR$57,卡牌消耗!$AT1432)</f>
        <v>4</v>
      </c>
      <c r="AO1432" s="14">
        <f>INDEX(挂机升级突破!DS$6:DS$57,卡牌消耗!$AT1432)</f>
        <v>0</v>
      </c>
      <c r="AP1432" s="14">
        <f>INDEX(挂机升级突破!$DP$6:$DP$57,卡牌消耗!AT1432)</f>
        <v>78</v>
      </c>
      <c r="AQ1432" s="14" t="str">
        <f t="shared" si="456"/>
        <v>秦琼</v>
      </c>
      <c r="AR1432" s="14">
        <f t="shared" si="457"/>
        <v>4</v>
      </c>
      <c r="AS1432" s="14" t="str">
        <f t="shared" si="458"/>
        <v>秦琼魂火-24</v>
      </c>
      <c r="AT1432" s="14">
        <f t="shared" si="459"/>
        <v>24</v>
      </c>
      <c r="AU1432" s="14" t="str">
        <f>IF(AM1432&gt;0,INDEX(挂机升级突破!$DT$4:$ED$4,AM1432),"")</f>
        <v>金币</v>
      </c>
      <c r="AV1432" s="14">
        <f>ROUND(INDEX(挂机升级突破!$DJ$6:$DJ$57,卡牌消耗!AT1432)*INDEX(卡牌消耗!$B$8:$F$8,AR1432)/$Q$4/50,0)*50</f>
        <v>10350</v>
      </c>
      <c r="AW1432" s="14" t="str">
        <f>IF(AN1432&gt;0,INDEX(挂机升级突破!$DT$4:$ED$4,AN1432),"")</f>
        <v>橙色基础材料</v>
      </c>
      <c r="AX1432" s="14">
        <f>ROUND(INDEX(挂机升级突破!$DT$6:$ED$57,卡牌消耗!AT1432,AN1432)*INDEX(卡牌消耗!$B$5:$F$5,AR1432)/$Q$4/5,0)*5</f>
        <v>25</v>
      </c>
      <c r="AY1432" s="14" t="str">
        <f>IF(AO1432&gt;0,INDEX(挂机升级突破!$DT$4:$ED$4,AO1432),"")</f>
        <v/>
      </c>
      <c r="AZ1432" s="14" t="str">
        <f>IF(AO1432&gt;0,ROUND(INDEX(挂机升级突破!$DT$6:$ED$57,卡牌消耗!AT1432,AO1432)*INDEX(卡牌消耗!$B$7:$F$7,AR1432)/$Q$4,0),"")</f>
        <v/>
      </c>
    </row>
    <row r="1433" spans="37:52" ht="16.5" x14ac:dyDescent="0.2">
      <c r="AK1433" s="104">
        <v>1429</v>
      </c>
      <c r="AL1433" s="14">
        <f t="shared" si="455"/>
        <v>28</v>
      </c>
      <c r="AM1433" s="14">
        <f>INDEX(挂机升级突破!DQ$6:DQ$57,卡牌消耗!$AT1433)</f>
        <v>11</v>
      </c>
      <c r="AN1433" s="14">
        <f>INDEX(挂机升级突破!DR$6:DR$57,卡牌消耗!$AT1433)</f>
        <v>4</v>
      </c>
      <c r="AO1433" s="14">
        <f>INDEX(挂机升级突破!DS$6:DS$57,卡牌消耗!$AT1433)</f>
        <v>0</v>
      </c>
      <c r="AP1433" s="14">
        <f>INDEX(挂机升级突破!$DP$6:$DP$57,卡牌消耗!AT1433)</f>
        <v>80</v>
      </c>
      <c r="AQ1433" s="14" t="str">
        <f t="shared" si="456"/>
        <v>秦琼</v>
      </c>
      <c r="AR1433" s="14">
        <f t="shared" si="457"/>
        <v>4</v>
      </c>
      <c r="AS1433" s="14" t="str">
        <f t="shared" si="458"/>
        <v>秦琼魂火-25</v>
      </c>
      <c r="AT1433" s="14">
        <f t="shared" si="459"/>
        <v>25</v>
      </c>
      <c r="AU1433" s="14" t="str">
        <f>IF(AM1433&gt;0,INDEX(挂机升级突破!$DT$4:$ED$4,AM1433),"")</f>
        <v>金币</v>
      </c>
      <c r="AV1433" s="14">
        <f>ROUND(INDEX(挂机升级突破!$DJ$6:$DJ$57,卡牌消耗!AT1433)*INDEX(卡牌消耗!$B$8:$F$8,AR1433)/$Q$4/50,0)*50</f>
        <v>11300</v>
      </c>
      <c r="AW1433" s="14" t="str">
        <f>IF(AN1433&gt;0,INDEX(挂机升级突破!$DT$4:$ED$4,AN1433),"")</f>
        <v>橙色基础材料</v>
      </c>
      <c r="AX1433" s="14">
        <f>ROUND(INDEX(挂机升级突破!$DT$6:$ED$57,卡牌消耗!AT1433,AN1433)*INDEX(卡牌消耗!$B$5:$F$5,AR1433)/$Q$4/5,0)*5</f>
        <v>25</v>
      </c>
      <c r="AY1433" s="14" t="str">
        <f>IF(AO1433&gt;0,INDEX(挂机升级突破!$DT$4:$ED$4,AO1433),"")</f>
        <v/>
      </c>
      <c r="AZ1433" s="14" t="str">
        <f>IF(AO1433&gt;0,ROUND(INDEX(挂机升级突破!$DT$6:$ED$57,卡牌消耗!AT1433,AO1433)*INDEX(卡牌消耗!$B$7:$F$7,AR1433)/$Q$4,0),"")</f>
        <v/>
      </c>
    </row>
    <row r="1434" spans="37:52" ht="16.5" x14ac:dyDescent="0.2">
      <c r="AK1434" s="104">
        <v>1430</v>
      </c>
      <c r="AL1434" s="14">
        <f t="shared" si="455"/>
        <v>28</v>
      </c>
      <c r="AM1434" s="14">
        <f>INDEX(挂机升级突破!DQ$6:DQ$57,卡牌消耗!$AT1434)</f>
        <v>11</v>
      </c>
      <c r="AN1434" s="14">
        <f>INDEX(挂机升级突破!DR$6:DR$57,卡牌消耗!$AT1434)</f>
        <v>4</v>
      </c>
      <c r="AO1434" s="14">
        <f>INDEX(挂机升级突破!DS$6:DS$57,卡牌消耗!$AT1434)</f>
        <v>0</v>
      </c>
      <c r="AP1434" s="14">
        <f>INDEX(挂机升级突破!$DP$6:$DP$57,卡牌消耗!AT1434)</f>
        <v>83</v>
      </c>
      <c r="AQ1434" s="14" t="str">
        <f t="shared" si="456"/>
        <v>秦琼</v>
      </c>
      <c r="AR1434" s="14">
        <f t="shared" si="457"/>
        <v>4</v>
      </c>
      <c r="AS1434" s="14" t="str">
        <f t="shared" si="458"/>
        <v>秦琼魂火-26</v>
      </c>
      <c r="AT1434" s="14">
        <f t="shared" si="459"/>
        <v>26</v>
      </c>
      <c r="AU1434" s="14" t="str">
        <f>IF(AM1434&gt;0,INDEX(挂机升级突破!$DT$4:$ED$4,AM1434),"")</f>
        <v>金币</v>
      </c>
      <c r="AV1434" s="14">
        <f>ROUND(INDEX(挂机升级突破!$DJ$6:$DJ$57,卡牌消耗!AT1434)*INDEX(卡牌消耗!$B$8:$F$8,AR1434)/$Q$4/50,0)*50</f>
        <v>13150</v>
      </c>
      <c r="AW1434" s="14" t="str">
        <f>IF(AN1434&gt;0,INDEX(挂机升级突破!$DT$4:$ED$4,AN1434),"")</f>
        <v>橙色基础材料</v>
      </c>
      <c r="AX1434" s="14">
        <f>ROUND(INDEX(挂机升级突破!$DT$6:$ED$57,卡牌消耗!AT1434,AN1434)*INDEX(卡牌消耗!$B$5:$F$5,AR1434)/$Q$4/5,0)*5</f>
        <v>30</v>
      </c>
      <c r="AY1434" s="14" t="str">
        <f>IF(AO1434&gt;0,INDEX(挂机升级突破!$DT$4:$ED$4,AO1434),"")</f>
        <v/>
      </c>
      <c r="AZ1434" s="14" t="str">
        <f>IF(AO1434&gt;0,ROUND(INDEX(挂机升级突破!$DT$6:$ED$57,卡牌消耗!AT1434,AO1434)*INDEX(卡牌消耗!$B$7:$F$7,AR1434)/$Q$4,0),"")</f>
        <v/>
      </c>
    </row>
    <row r="1435" spans="37:52" ht="16.5" x14ac:dyDescent="0.2">
      <c r="AK1435" s="104">
        <v>1431</v>
      </c>
      <c r="AL1435" s="14">
        <f t="shared" si="455"/>
        <v>28</v>
      </c>
      <c r="AM1435" s="14">
        <f>INDEX(挂机升级突破!DQ$6:DQ$57,卡牌消耗!$AT1435)</f>
        <v>11</v>
      </c>
      <c r="AN1435" s="14">
        <f>INDEX(挂机升级突破!DR$6:DR$57,卡牌消耗!$AT1435)</f>
        <v>4</v>
      </c>
      <c r="AO1435" s="14">
        <f>INDEX(挂机升级突破!DS$6:DS$57,卡牌消耗!$AT1435)</f>
        <v>0</v>
      </c>
      <c r="AP1435" s="14">
        <f>INDEX(挂机升级突破!$DP$6:$DP$57,卡牌消耗!AT1435)</f>
        <v>85</v>
      </c>
      <c r="AQ1435" s="14" t="str">
        <f t="shared" si="456"/>
        <v>秦琼</v>
      </c>
      <c r="AR1435" s="14">
        <f t="shared" si="457"/>
        <v>4</v>
      </c>
      <c r="AS1435" s="14" t="str">
        <f t="shared" si="458"/>
        <v>秦琼魂火-27</v>
      </c>
      <c r="AT1435" s="14">
        <f t="shared" si="459"/>
        <v>27</v>
      </c>
      <c r="AU1435" s="14" t="str">
        <f>IF(AM1435&gt;0,INDEX(挂机升级突破!$DT$4:$ED$4,AM1435),"")</f>
        <v>金币</v>
      </c>
      <c r="AV1435" s="14">
        <f>ROUND(INDEX(挂机升级突破!$DJ$6:$DJ$57,卡牌消耗!AT1435)*INDEX(卡牌消耗!$B$8:$F$8,AR1435)/$Q$4/50,0)*50</f>
        <v>13150</v>
      </c>
      <c r="AW1435" s="14" t="str">
        <f>IF(AN1435&gt;0,INDEX(挂机升级突破!$DT$4:$ED$4,AN1435),"")</f>
        <v>橙色基础材料</v>
      </c>
      <c r="AX1435" s="14">
        <f>ROUND(INDEX(挂机升级突破!$DT$6:$ED$57,卡牌消耗!AT1435,AN1435)*INDEX(卡牌消耗!$B$5:$F$5,AR1435)/$Q$4/5,0)*5</f>
        <v>30</v>
      </c>
      <c r="AY1435" s="14" t="str">
        <f>IF(AO1435&gt;0,INDEX(挂机升级突破!$DT$4:$ED$4,AO1435),"")</f>
        <v/>
      </c>
      <c r="AZ1435" s="14" t="str">
        <f>IF(AO1435&gt;0,ROUND(INDEX(挂机升级突破!$DT$6:$ED$57,卡牌消耗!AT1435,AO1435)*INDEX(卡牌消耗!$B$7:$F$7,AR1435)/$Q$4,0),"")</f>
        <v/>
      </c>
    </row>
    <row r="1436" spans="37:52" ht="16.5" x14ac:dyDescent="0.2">
      <c r="AK1436" s="104">
        <v>1432</v>
      </c>
      <c r="AL1436" s="14">
        <f t="shared" si="455"/>
        <v>28</v>
      </c>
      <c r="AM1436" s="14">
        <f>INDEX(挂机升级突破!DQ$6:DQ$57,卡牌消耗!$AT1436)</f>
        <v>11</v>
      </c>
      <c r="AN1436" s="14">
        <f>INDEX(挂机升级突破!DR$6:DR$57,卡牌消耗!$AT1436)</f>
        <v>4</v>
      </c>
      <c r="AO1436" s="14">
        <f>INDEX(挂机升级突破!DS$6:DS$57,卡牌消耗!$AT1436)</f>
        <v>0</v>
      </c>
      <c r="AP1436" s="14">
        <f>INDEX(挂机升级突破!$DP$6:$DP$57,卡牌消耗!AT1436)</f>
        <v>88</v>
      </c>
      <c r="AQ1436" s="14" t="str">
        <f t="shared" si="456"/>
        <v>秦琼</v>
      </c>
      <c r="AR1436" s="14">
        <f t="shared" si="457"/>
        <v>4</v>
      </c>
      <c r="AS1436" s="14" t="str">
        <f t="shared" si="458"/>
        <v>秦琼魂火-28</v>
      </c>
      <c r="AT1436" s="14">
        <f t="shared" si="459"/>
        <v>28</v>
      </c>
      <c r="AU1436" s="14" t="str">
        <f>IF(AM1436&gt;0,INDEX(挂机升级突破!$DT$4:$ED$4,AM1436),"")</f>
        <v>金币</v>
      </c>
      <c r="AV1436" s="14">
        <f>ROUND(INDEX(挂机升级突破!$DJ$6:$DJ$57,卡牌消耗!AT1436)*INDEX(卡牌消耗!$B$8:$F$8,AR1436)/$Q$4/50,0)*50</f>
        <v>13150</v>
      </c>
      <c r="AW1436" s="14" t="str">
        <f>IF(AN1436&gt;0,INDEX(挂机升级突破!$DT$4:$ED$4,AN1436),"")</f>
        <v>橙色基础材料</v>
      </c>
      <c r="AX1436" s="14">
        <f>ROUND(INDEX(挂机升级突破!$DT$6:$ED$57,卡牌消耗!AT1436,AN1436)*INDEX(卡牌消耗!$B$5:$F$5,AR1436)/$Q$4/5,0)*5</f>
        <v>30</v>
      </c>
      <c r="AY1436" s="14" t="str">
        <f>IF(AO1436&gt;0,INDEX(挂机升级突破!$DT$4:$ED$4,AO1436),"")</f>
        <v/>
      </c>
      <c r="AZ1436" s="14" t="str">
        <f>IF(AO1436&gt;0,ROUND(INDEX(挂机升级突破!$DT$6:$ED$57,卡牌消耗!AT1436,AO1436)*INDEX(卡牌消耗!$B$7:$F$7,AR1436)/$Q$4,0),"")</f>
        <v/>
      </c>
    </row>
    <row r="1437" spans="37:52" ht="16.5" x14ac:dyDescent="0.2">
      <c r="AK1437" s="104">
        <v>1433</v>
      </c>
      <c r="AL1437" s="14">
        <f t="shared" si="455"/>
        <v>28</v>
      </c>
      <c r="AM1437" s="14">
        <f>INDEX(挂机升级突破!DQ$6:DQ$57,卡牌消耗!$AT1437)</f>
        <v>11</v>
      </c>
      <c r="AN1437" s="14">
        <f>INDEX(挂机升级突破!DR$6:DR$57,卡牌消耗!$AT1437)</f>
        <v>4</v>
      </c>
      <c r="AO1437" s="14">
        <f>INDEX(挂机升级突破!DS$6:DS$57,卡牌消耗!$AT1437)</f>
        <v>0</v>
      </c>
      <c r="AP1437" s="14">
        <f>INDEX(挂机升级突破!$DP$6:$DP$57,卡牌消耗!AT1437)</f>
        <v>90</v>
      </c>
      <c r="AQ1437" s="14" t="str">
        <f t="shared" si="456"/>
        <v>秦琼</v>
      </c>
      <c r="AR1437" s="14">
        <f t="shared" si="457"/>
        <v>4</v>
      </c>
      <c r="AS1437" s="14" t="str">
        <f t="shared" si="458"/>
        <v>秦琼魂火-29</v>
      </c>
      <c r="AT1437" s="14">
        <f t="shared" si="459"/>
        <v>29</v>
      </c>
      <c r="AU1437" s="14" t="str">
        <f>IF(AM1437&gt;0,INDEX(挂机升级突破!$DT$4:$ED$4,AM1437),"")</f>
        <v>金币</v>
      </c>
      <c r="AV1437" s="14">
        <f>ROUND(INDEX(挂机升级突破!$DJ$6:$DJ$57,卡牌消耗!AT1437)*INDEX(卡牌消耗!$B$8:$F$8,AR1437)/$Q$4/50,0)*50</f>
        <v>13350</v>
      </c>
      <c r="AW1437" s="14" t="str">
        <f>IF(AN1437&gt;0,INDEX(挂机升级突破!$DT$4:$ED$4,AN1437),"")</f>
        <v>橙色基础材料</v>
      </c>
      <c r="AX1437" s="14">
        <f>ROUND(INDEX(挂机升级突破!$DT$6:$ED$57,卡牌消耗!AT1437,AN1437)*INDEX(卡牌消耗!$B$5:$F$5,AR1437)/$Q$4/5,0)*5</f>
        <v>30</v>
      </c>
      <c r="AY1437" s="14" t="str">
        <f>IF(AO1437&gt;0,INDEX(挂机升级突破!$DT$4:$ED$4,AO1437),"")</f>
        <v/>
      </c>
      <c r="AZ1437" s="14" t="str">
        <f>IF(AO1437&gt;0,ROUND(INDEX(挂机升级突破!$DT$6:$ED$57,卡牌消耗!AT1437,AO1437)*INDEX(卡牌消耗!$B$7:$F$7,AR1437)/$Q$4,0),"")</f>
        <v/>
      </c>
    </row>
    <row r="1438" spans="37:52" ht="16.5" x14ac:dyDescent="0.2">
      <c r="AK1438" s="104">
        <v>1434</v>
      </c>
      <c r="AL1438" s="14">
        <f t="shared" si="455"/>
        <v>28</v>
      </c>
      <c r="AM1438" s="14">
        <f>INDEX(挂机升级突破!DQ$6:DQ$57,卡牌消耗!$AT1438)</f>
        <v>11</v>
      </c>
      <c r="AN1438" s="14">
        <f>INDEX(挂机升级突破!DR$6:DR$57,卡牌消耗!$AT1438)</f>
        <v>4</v>
      </c>
      <c r="AO1438" s="14">
        <f>INDEX(挂机升级突破!DS$6:DS$57,卡牌消耗!$AT1438)</f>
        <v>0</v>
      </c>
      <c r="AP1438" s="14">
        <f>INDEX(挂机升级突破!$DP$6:$DP$57,卡牌消耗!AT1438)</f>
        <v>93</v>
      </c>
      <c r="AQ1438" s="14" t="str">
        <f t="shared" si="456"/>
        <v>秦琼</v>
      </c>
      <c r="AR1438" s="14">
        <f t="shared" si="457"/>
        <v>4</v>
      </c>
      <c r="AS1438" s="14" t="str">
        <f t="shared" si="458"/>
        <v>秦琼魂火-30</v>
      </c>
      <c r="AT1438" s="14">
        <f t="shared" si="459"/>
        <v>30</v>
      </c>
      <c r="AU1438" s="14" t="str">
        <f>IF(AM1438&gt;0,INDEX(挂机升级突破!$DT$4:$ED$4,AM1438),"")</f>
        <v>金币</v>
      </c>
      <c r="AV1438" s="14">
        <f>ROUND(INDEX(挂机升级突破!$DJ$6:$DJ$57,卡牌消耗!AT1438)*INDEX(卡牌消耗!$B$8:$F$8,AR1438)/$Q$4/50,0)*50</f>
        <v>13350</v>
      </c>
      <c r="AW1438" s="14" t="str">
        <f>IF(AN1438&gt;0,INDEX(挂机升级突破!$DT$4:$ED$4,AN1438),"")</f>
        <v>橙色基础材料</v>
      </c>
      <c r="AX1438" s="14">
        <f>ROUND(INDEX(挂机升级突破!$DT$6:$ED$57,卡牌消耗!AT1438,AN1438)*INDEX(卡牌消耗!$B$5:$F$5,AR1438)/$Q$4/5,0)*5</f>
        <v>30</v>
      </c>
      <c r="AY1438" s="14" t="str">
        <f>IF(AO1438&gt;0,INDEX(挂机升级突破!$DT$4:$ED$4,AO1438),"")</f>
        <v/>
      </c>
      <c r="AZ1438" s="14" t="str">
        <f>IF(AO1438&gt;0,ROUND(INDEX(挂机升级突破!$DT$6:$ED$57,卡牌消耗!AT1438,AO1438)*INDEX(卡牌消耗!$B$7:$F$7,AR1438)/$Q$4,0),"")</f>
        <v/>
      </c>
    </row>
    <row r="1439" spans="37:52" ht="16.5" x14ac:dyDescent="0.2">
      <c r="AK1439" s="104">
        <v>1435</v>
      </c>
      <c r="AL1439" s="14">
        <f t="shared" si="455"/>
        <v>28</v>
      </c>
      <c r="AM1439" s="14">
        <f>INDEX(挂机升级突破!DQ$6:DQ$57,卡牌消耗!$AT1439)</f>
        <v>11</v>
      </c>
      <c r="AN1439" s="14">
        <f>INDEX(挂机升级突破!DR$6:DR$57,卡牌消耗!$AT1439)</f>
        <v>4</v>
      </c>
      <c r="AO1439" s="14">
        <f>INDEX(挂机升级突破!DS$6:DS$57,卡牌消耗!$AT1439)</f>
        <v>0</v>
      </c>
      <c r="AP1439" s="14">
        <f>INDEX(挂机升级突破!$DP$6:$DP$57,卡牌消耗!AT1439)</f>
        <v>95</v>
      </c>
      <c r="AQ1439" s="14" t="str">
        <f t="shared" si="456"/>
        <v>秦琼</v>
      </c>
      <c r="AR1439" s="14">
        <f t="shared" si="457"/>
        <v>4</v>
      </c>
      <c r="AS1439" s="14" t="str">
        <f t="shared" si="458"/>
        <v>秦琼魂火-31</v>
      </c>
      <c r="AT1439" s="14">
        <f t="shared" si="459"/>
        <v>31</v>
      </c>
      <c r="AU1439" s="14" t="str">
        <f>IF(AM1439&gt;0,INDEX(挂机升级突破!$DT$4:$ED$4,AM1439),"")</f>
        <v>金币</v>
      </c>
      <c r="AV1439" s="14">
        <f>ROUND(INDEX(挂机升级突破!$DJ$6:$DJ$57,卡牌消耗!AT1439)*INDEX(卡牌消耗!$B$8:$F$8,AR1439)/$Q$4/50,0)*50</f>
        <v>13350</v>
      </c>
      <c r="AW1439" s="14" t="str">
        <f>IF(AN1439&gt;0,INDEX(挂机升级突破!$DT$4:$ED$4,AN1439),"")</f>
        <v>橙色基础材料</v>
      </c>
      <c r="AX1439" s="14">
        <f>ROUND(INDEX(挂机升级突破!$DT$6:$ED$57,卡牌消耗!AT1439,AN1439)*INDEX(卡牌消耗!$B$5:$F$5,AR1439)/$Q$4/5,0)*5</f>
        <v>30</v>
      </c>
      <c r="AY1439" s="14" t="str">
        <f>IF(AO1439&gt;0,INDEX(挂机升级突破!$DT$4:$ED$4,AO1439),"")</f>
        <v/>
      </c>
      <c r="AZ1439" s="14" t="str">
        <f>IF(AO1439&gt;0,ROUND(INDEX(挂机升级突破!$DT$6:$ED$57,卡牌消耗!AT1439,AO1439)*INDEX(卡牌消耗!$B$7:$F$7,AR1439)/$Q$4,0),"")</f>
        <v/>
      </c>
    </row>
    <row r="1440" spans="37:52" ht="16.5" x14ac:dyDescent="0.2">
      <c r="AK1440" s="104">
        <v>1436</v>
      </c>
      <c r="AL1440" s="14">
        <f t="shared" si="455"/>
        <v>28</v>
      </c>
      <c r="AM1440" s="14">
        <f>INDEX(挂机升级突破!DQ$6:DQ$57,卡牌消耗!$AT1440)</f>
        <v>11</v>
      </c>
      <c r="AN1440" s="14">
        <f>INDEX(挂机升级突破!DR$6:DR$57,卡牌消耗!$AT1440)</f>
        <v>4</v>
      </c>
      <c r="AO1440" s="14">
        <f>INDEX(挂机升级突破!DS$6:DS$57,卡牌消耗!$AT1440)</f>
        <v>0</v>
      </c>
      <c r="AP1440" s="14">
        <f>INDEX(挂机升级突破!$DP$6:$DP$57,卡牌消耗!AT1440)</f>
        <v>98</v>
      </c>
      <c r="AQ1440" s="14" t="str">
        <f t="shared" si="456"/>
        <v>秦琼</v>
      </c>
      <c r="AR1440" s="14">
        <f t="shared" si="457"/>
        <v>4</v>
      </c>
      <c r="AS1440" s="14" t="str">
        <f t="shared" si="458"/>
        <v>秦琼魂火-32</v>
      </c>
      <c r="AT1440" s="14">
        <f t="shared" si="459"/>
        <v>32</v>
      </c>
      <c r="AU1440" s="14" t="str">
        <f>IF(AM1440&gt;0,INDEX(挂机升级突破!$DT$4:$ED$4,AM1440),"")</f>
        <v>金币</v>
      </c>
      <c r="AV1440" s="14">
        <f>ROUND(INDEX(挂机升级突破!$DJ$6:$DJ$57,卡牌消耗!AT1440)*INDEX(卡牌消耗!$B$8:$F$8,AR1440)/$Q$4/50,0)*50</f>
        <v>18350</v>
      </c>
      <c r="AW1440" s="14" t="str">
        <f>IF(AN1440&gt;0,INDEX(挂机升级突破!$DT$4:$ED$4,AN1440),"")</f>
        <v>橙色基础材料</v>
      </c>
      <c r="AX1440" s="14">
        <f>ROUND(INDEX(挂机升级突破!$DT$6:$ED$57,卡牌消耗!AT1440,AN1440)*INDEX(卡牌消耗!$B$5:$F$5,AR1440)/$Q$4/5,0)*5</f>
        <v>30</v>
      </c>
      <c r="AY1440" s="14" t="str">
        <f>IF(AO1440&gt;0,INDEX(挂机升级突破!$DT$4:$ED$4,AO1440),"")</f>
        <v/>
      </c>
      <c r="AZ1440" s="14" t="str">
        <f>IF(AO1440&gt;0,ROUND(INDEX(挂机升级突破!$DT$6:$ED$57,卡牌消耗!AT1440,AO1440)*INDEX(卡牌消耗!$B$7:$F$7,AR1440)/$Q$4,0),"")</f>
        <v/>
      </c>
    </row>
    <row r="1441" spans="37:52" ht="16.5" x14ac:dyDescent="0.2">
      <c r="AK1441" s="104">
        <v>1437</v>
      </c>
      <c r="AL1441" s="14">
        <f t="shared" si="455"/>
        <v>28</v>
      </c>
      <c r="AM1441" s="14">
        <f>INDEX(挂机升级突破!DQ$6:DQ$57,卡牌消耗!$AT1441)</f>
        <v>11</v>
      </c>
      <c r="AN1441" s="14">
        <f>INDEX(挂机升级突破!DR$6:DR$57,卡牌消耗!$AT1441)</f>
        <v>4</v>
      </c>
      <c r="AO1441" s="14">
        <f>INDEX(挂机升级突破!DS$6:DS$57,卡牌消耗!$AT1441)</f>
        <v>0</v>
      </c>
      <c r="AP1441" s="14">
        <f>INDEX(挂机升级突破!$DP$6:$DP$57,卡牌消耗!AT1441)</f>
        <v>100</v>
      </c>
      <c r="AQ1441" s="14" t="str">
        <f t="shared" si="456"/>
        <v>秦琼</v>
      </c>
      <c r="AR1441" s="14">
        <f t="shared" si="457"/>
        <v>4</v>
      </c>
      <c r="AS1441" s="14" t="str">
        <f t="shared" si="458"/>
        <v>秦琼魂火-33</v>
      </c>
      <c r="AT1441" s="14">
        <f t="shared" si="459"/>
        <v>33</v>
      </c>
      <c r="AU1441" s="14" t="str">
        <f>IF(AM1441&gt;0,INDEX(挂机升级突破!$DT$4:$ED$4,AM1441),"")</f>
        <v>金币</v>
      </c>
      <c r="AV1441" s="14">
        <f>ROUND(INDEX(挂机升级突破!$DJ$6:$DJ$57,卡牌消耗!AT1441)*INDEX(卡牌消耗!$B$8:$F$8,AR1441)/$Q$4/50,0)*50</f>
        <v>18350</v>
      </c>
      <c r="AW1441" s="14" t="str">
        <f>IF(AN1441&gt;0,INDEX(挂机升级突破!$DT$4:$ED$4,AN1441),"")</f>
        <v>橙色基础材料</v>
      </c>
      <c r="AX1441" s="14">
        <f>ROUND(INDEX(挂机升级突破!$DT$6:$ED$57,卡牌消耗!AT1441,AN1441)*INDEX(卡牌消耗!$B$5:$F$5,AR1441)/$Q$4/5,0)*5</f>
        <v>30</v>
      </c>
      <c r="AY1441" s="14" t="str">
        <f>IF(AO1441&gt;0,INDEX(挂机升级突破!$DT$4:$ED$4,AO1441),"")</f>
        <v/>
      </c>
      <c r="AZ1441" s="14" t="str">
        <f>IF(AO1441&gt;0,ROUND(INDEX(挂机升级突破!$DT$6:$ED$57,卡牌消耗!AT1441,AO1441)*INDEX(卡牌消耗!$B$7:$F$7,AR1441)/$Q$4,0),"")</f>
        <v/>
      </c>
    </row>
    <row r="1442" spans="37:52" ht="16.5" x14ac:dyDescent="0.2">
      <c r="AK1442" s="104">
        <v>1438</v>
      </c>
      <c r="AL1442" s="14">
        <f t="shared" si="455"/>
        <v>28</v>
      </c>
      <c r="AM1442" s="14">
        <f>INDEX(挂机升级突破!DQ$6:DQ$57,卡牌消耗!$AT1442)</f>
        <v>11</v>
      </c>
      <c r="AN1442" s="14">
        <f>INDEX(挂机升级突破!DR$6:DR$57,卡牌消耗!$AT1442)</f>
        <v>4</v>
      </c>
      <c r="AO1442" s="14">
        <f>INDEX(挂机升级突破!DS$6:DS$57,卡牌消耗!$AT1442)</f>
        <v>0</v>
      </c>
      <c r="AP1442" s="14">
        <f>INDEX(挂机升级突破!$DP$6:$DP$57,卡牌消耗!AT1442)</f>
        <v>103</v>
      </c>
      <c r="AQ1442" s="14" t="str">
        <f t="shared" si="456"/>
        <v>秦琼</v>
      </c>
      <c r="AR1442" s="14">
        <f t="shared" si="457"/>
        <v>4</v>
      </c>
      <c r="AS1442" s="14" t="str">
        <f t="shared" si="458"/>
        <v>秦琼魂火-34</v>
      </c>
      <c r="AT1442" s="14">
        <f t="shared" si="459"/>
        <v>34</v>
      </c>
      <c r="AU1442" s="14" t="str">
        <f>IF(AM1442&gt;0,INDEX(挂机升级突破!$DT$4:$ED$4,AM1442),"")</f>
        <v>金币</v>
      </c>
      <c r="AV1442" s="14">
        <f>ROUND(INDEX(挂机升级突破!$DJ$6:$DJ$57,卡牌消耗!AT1442)*INDEX(卡牌消耗!$B$8:$F$8,AR1442)/$Q$4/50,0)*50</f>
        <v>18350</v>
      </c>
      <c r="AW1442" s="14" t="str">
        <f>IF(AN1442&gt;0,INDEX(挂机升级突破!$DT$4:$ED$4,AN1442),"")</f>
        <v>橙色基础材料</v>
      </c>
      <c r="AX1442" s="14">
        <f>ROUND(INDEX(挂机升级突破!$DT$6:$ED$57,卡牌消耗!AT1442,AN1442)*INDEX(卡牌消耗!$B$5:$F$5,AR1442)/$Q$4/5,0)*5</f>
        <v>35</v>
      </c>
      <c r="AY1442" s="14" t="str">
        <f>IF(AO1442&gt;0,INDEX(挂机升级突破!$DT$4:$ED$4,AO1442),"")</f>
        <v/>
      </c>
      <c r="AZ1442" s="14" t="str">
        <f>IF(AO1442&gt;0,ROUND(INDEX(挂机升级突破!$DT$6:$ED$57,卡牌消耗!AT1442,AO1442)*INDEX(卡牌消耗!$B$7:$F$7,AR1442)/$Q$4,0),"")</f>
        <v/>
      </c>
    </row>
    <row r="1443" spans="37:52" ht="16.5" x14ac:dyDescent="0.2">
      <c r="AK1443" s="104">
        <v>1439</v>
      </c>
      <c r="AL1443" s="14">
        <f t="shared" si="455"/>
        <v>28</v>
      </c>
      <c r="AM1443" s="14">
        <f>INDEX(挂机升级突破!DQ$6:DQ$57,卡牌消耗!$AT1443)</f>
        <v>11</v>
      </c>
      <c r="AN1443" s="14">
        <f>INDEX(挂机升级突破!DR$6:DR$57,卡牌消耗!$AT1443)</f>
        <v>4</v>
      </c>
      <c r="AO1443" s="14">
        <f>INDEX(挂机升级突破!DS$6:DS$57,卡牌消耗!$AT1443)</f>
        <v>0</v>
      </c>
      <c r="AP1443" s="14">
        <f>INDEX(挂机升级突破!$DP$6:$DP$57,卡牌消耗!AT1443)</f>
        <v>105</v>
      </c>
      <c r="AQ1443" s="14" t="str">
        <f t="shared" si="456"/>
        <v>秦琼</v>
      </c>
      <c r="AR1443" s="14">
        <f t="shared" si="457"/>
        <v>4</v>
      </c>
      <c r="AS1443" s="14" t="str">
        <f t="shared" si="458"/>
        <v>秦琼魂火-35</v>
      </c>
      <c r="AT1443" s="14">
        <f t="shared" si="459"/>
        <v>35</v>
      </c>
      <c r="AU1443" s="14" t="str">
        <f>IF(AM1443&gt;0,INDEX(挂机升级突破!$DT$4:$ED$4,AM1443),"")</f>
        <v>金币</v>
      </c>
      <c r="AV1443" s="14">
        <f>ROUND(INDEX(挂机升级突破!$DJ$6:$DJ$57,卡牌消耗!AT1443)*INDEX(卡牌消耗!$B$8:$F$8,AR1443)/$Q$4/50,0)*50</f>
        <v>23350</v>
      </c>
      <c r="AW1443" s="14" t="str">
        <f>IF(AN1443&gt;0,INDEX(挂机升级突破!$DT$4:$ED$4,AN1443),"")</f>
        <v>橙色基础材料</v>
      </c>
      <c r="AX1443" s="14">
        <f>ROUND(INDEX(挂机升级突破!$DT$6:$ED$57,卡牌消耗!AT1443,AN1443)*INDEX(卡牌消耗!$B$5:$F$5,AR1443)/$Q$4/5,0)*5</f>
        <v>35</v>
      </c>
      <c r="AY1443" s="14" t="str">
        <f>IF(AO1443&gt;0,INDEX(挂机升级突破!$DT$4:$ED$4,AO1443),"")</f>
        <v/>
      </c>
      <c r="AZ1443" s="14" t="str">
        <f>IF(AO1443&gt;0,ROUND(INDEX(挂机升级突破!$DT$6:$ED$57,卡牌消耗!AT1443,AO1443)*INDEX(卡牌消耗!$B$7:$F$7,AR1443)/$Q$4,0),"")</f>
        <v/>
      </c>
    </row>
    <row r="1444" spans="37:52" ht="16.5" x14ac:dyDescent="0.2">
      <c r="AK1444" s="104">
        <v>1440</v>
      </c>
      <c r="AL1444" s="14">
        <f t="shared" si="455"/>
        <v>28</v>
      </c>
      <c r="AM1444" s="14">
        <f>INDEX(挂机升级突破!DQ$6:DQ$57,卡牌消耗!$AT1444)</f>
        <v>11</v>
      </c>
      <c r="AN1444" s="14">
        <f>INDEX(挂机升级突破!DR$6:DR$57,卡牌消耗!$AT1444)</f>
        <v>4</v>
      </c>
      <c r="AO1444" s="14">
        <f>INDEX(挂机升级突破!DS$6:DS$57,卡牌消耗!$AT1444)</f>
        <v>0</v>
      </c>
      <c r="AP1444" s="14">
        <f>INDEX(挂机升级突破!$DP$6:$DP$57,卡牌消耗!AT1444)</f>
        <v>108</v>
      </c>
      <c r="AQ1444" s="14" t="str">
        <f t="shared" si="456"/>
        <v>秦琼</v>
      </c>
      <c r="AR1444" s="14">
        <f t="shared" si="457"/>
        <v>4</v>
      </c>
      <c r="AS1444" s="14" t="str">
        <f t="shared" si="458"/>
        <v>秦琼魂火-36</v>
      </c>
      <c r="AT1444" s="14">
        <f t="shared" si="459"/>
        <v>36</v>
      </c>
      <c r="AU1444" s="14" t="str">
        <f>IF(AM1444&gt;0,INDEX(挂机升级突破!$DT$4:$ED$4,AM1444),"")</f>
        <v>金币</v>
      </c>
      <c r="AV1444" s="14">
        <f>ROUND(INDEX(挂机升级突破!$DJ$6:$DJ$57,卡牌消耗!AT1444)*INDEX(卡牌消耗!$B$8:$F$8,AR1444)/$Q$4/50,0)*50</f>
        <v>23350</v>
      </c>
      <c r="AW1444" s="14" t="str">
        <f>IF(AN1444&gt;0,INDEX(挂机升级突破!$DT$4:$ED$4,AN1444),"")</f>
        <v>橙色基础材料</v>
      </c>
      <c r="AX1444" s="14">
        <f>ROUND(INDEX(挂机升级突破!$DT$6:$ED$57,卡牌消耗!AT1444,AN1444)*INDEX(卡牌消耗!$B$5:$F$5,AR1444)/$Q$4/5,0)*5</f>
        <v>35</v>
      </c>
      <c r="AY1444" s="14" t="str">
        <f>IF(AO1444&gt;0,INDEX(挂机升级突破!$DT$4:$ED$4,AO1444),"")</f>
        <v/>
      </c>
      <c r="AZ1444" s="14" t="str">
        <f>IF(AO1444&gt;0,ROUND(INDEX(挂机升级突破!$DT$6:$ED$57,卡牌消耗!AT1444,AO1444)*INDEX(卡牌消耗!$B$7:$F$7,AR1444)/$Q$4,0),"")</f>
        <v/>
      </c>
    </row>
    <row r="1445" spans="37:52" ht="16.5" x14ac:dyDescent="0.2">
      <c r="AK1445" s="104">
        <v>1441</v>
      </c>
      <c r="AL1445" s="14">
        <f t="shared" si="455"/>
        <v>28</v>
      </c>
      <c r="AM1445" s="14">
        <f>INDEX(挂机升级突破!DQ$6:DQ$57,卡牌消耗!$AT1445)</f>
        <v>11</v>
      </c>
      <c r="AN1445" s="14">
        <f>INDEX(挂机升级突破!DR$6:DR$57,卡牌消耗!$AT1445)</f>
        <v>4</v>
      </c>
      <c r="AO1445" s="14">
        <f>INDEX(挂机升级突破!DS$6:DS$57,卡牌消耗!$AT1445)</f>
        <v>0</v>
      </c>
      <c r="AP1445" s="14">
        <f>INDEX(挂机升级突破!$DP$6:$DP$57,卡牌消耗!AT1445)</f>
        <v>110</v>
      </c>
      <c r="AQ1445" s="14" t="str">
        <f t="shared" si="456"/>
        <v>秦琼</v>
      </c>
      <c r="AR1445" s="14">
        <f t="shared" si="457"/>
        <v>4</v>
      </c>
      <c r="AS1445" s="14" t="str">
        <f t="shared" si="458"/>
        <v>秦琼魂火-37</v>
      </c>
      <c r="AT1445" s="14">
        <f t="shared" si="459"/>
        <v>37</v>
      </c>
      <c r="AU1445" s="14" t="str">
        <f>IF(AM1445&gt;0,INDEX(挂机升级突破!$DT$4:$ED$4,AM1445),"")</f>
        <v>金币</v>
      </c>
      <c r="AV1445" s="14">
        <f>ROUND(INDEX(挂机升级突破!$DJ$6:$DJ$57,卡牌消耗!AT1445)*INDEX(卡牌消耗!$B$8:$F$8,AR1445)/$Q$4/50,0)*50</f>
        <v>25000</v>
      </c>
      <c r="AW1445" s="14" t="str">
        <f>IF(AN1445&gt;0,INDEX(挂机升级突破!$DT$4:$ED$4,AN1445),"")</f>
        <v>橙色基础材料</v>
      </c>
      <c r="AX1445" s="14">
        <f>ROUND(INDEX(挂机升级突破!$DT$6:$ED$57,卡牌消耗!AT1445,AN1445)*INDEX(卡牌消耗!$B$5:$F$5,AR1445)/$Q$4/5,0)*5</f>
        <v>35</v>
      </c>
      <c r="AY1445" s="14" t="str">
        <f>IF(AO1445&gt;0,INDEX(挂机升级突破!$DT$4:$ED$4,AO1445),"")</f>
        <v/>
      </c>
      <c r="AZ1445" s="14" t="str">
        <f>IF(AO1445&gt;0,ROUND(INDEX(挂机升级突破!$DT$6:$ED$57,卡牌消耗!AT1445,AO1445)*INDEX(卡牌消耗!$B$7:$F$7,AR1445)/$Q$4,0),"")</f>
        <v/>
      </c>
    </row>
    <row r="1446" spans="37:52" ht="16.5" x14ac:dyDescent="0.2">
      <c r="AK1446" s="104">
        <v>1442</v>
      </c>
      <c r="AL1446" s="14">
        <f t="shared" si="455"/>
        <v>28</v>
      </c>
      <c r="AM1446" s="14">
        <f>INDEX(挂机升级突破!DQ$6:DQ$57,卡牌消耗!$AT1446)</f>
        <v>11</v>
      </c>
      <c r="AN1446" s="14">
        <f>INDEX(挂机升级突破!DR$6:DR$57,卡牌消耗!$AT1446)</f>
        <v>5</v>
      </c>
      <c r="AO1446" s="14">
        <f>INDEX(挂机升级突破!DS$6:DS$57,卡牌消耗!$AT1446)</f>
        <v>0</v>
      </c>
      <c r="AP1446" s="14">
        <f>INDEX(挂机升级突破!$DP$6:$DP$57,卡牌消耗!AT1446)</f>
        <v>113</v>
      </c>
      <c r="AQ1446" s="14" t="str">
        <f t="shared" si="456"/>
        <v>秦琼</v>
      </c>
      <c r="AR1446" s="14">
        <f t="shared" si="457"/>
        <v>4</v>
      </c>
      <c r="AS1446" s="14" t="str">
        <f t="shared" si="458"/>
        <v>秦琼魂火-38</v>
      </c>
      <c r="AT1446" s="14">
        <f t="shared" si="459"/>
        <v>38</v>
      </c>
      <c r="AU1446" s="14" t="str">
        <f>IF(AM1446&gt;0,INDEX(挂机升级突破!$DT$4:$ED$4,AM1446),"")</f>
        <v>金币</v>
      </c>
      <c r="AV1446" s="14">
        <f>ROUND(INDEX(挂机升级突破!$DJ$6:$DJ$57,卡牌消耗!AT1446)*INDEX(卡牌消耗!$B$8:$F$8,AR1446)/$Q$4/50,0)*50</f>
        <v>32250</v>
      </c>
      <c r="AW1446" s="14" t="str">
        <f>IF(AN1446&gt;0,INDEX(挂机升级突破!$DT$4:$ED$4,AN1446),"")</f>
        <v>红色基础材料</v>
      </c>
      <c r="AX1446" s="14">
        <f>ROUND(INDEX(挂机升级突破!$DT$6:$ED$57,卡牌消耗!AT1446,AN1446)*INDEX(卡牌消耗!$B$5:$F$5,AR1446)/$Q$4/5,0)*5</f>
        <v>10</v>
      </c>
      <c r="AY1446" s="14" t="str">
        <f>IF(AO1446&gt;0,INDEX(挂机升级突破!$DT$4:$ED$4,AO1446),"")</f>
        <v/>
      </c>
      <c r="AZ1446" s="14" t="str">
        <f>IF(AO1446&gt;0,ROUND(INDEX(挂机升级突破!$DT$6:$ED$57,卡牌消耗!AT1446,AO1446)*INDEX(卡牌消耗!$B$7:$F$7,AR1446)/$Q$4,0),"")</f>
        <v/>
      </c>
    </row>
    <row r="1447" spans="37:52" ht="16.5" x14ac:dyDescent="0.2">
      <c r="AK1447" s="104">
        <v>1443</v>
      </c>
      <c r="AL1447" s="14">
        <f t="shared" si="455"/>
        <v>28</v>
      </c>
      <c r="AM1447" s="14">
        <f>INDEX(挂机升级突破!DQ$6:DQ$57,卡牌消耗!$AT1447)</f>
        <v>11</v>
      </c>
      <c r="AN1447" s="14">
        <f>INDEX(挂机升级突破!DR$6:DR$57,卡牌消耗!$AT1447)</f>
        <v>5</v>
      </c>
      <c r="AO1447" s="14">
        <f>INDEX(挂机升级突破!DS$6:DS$57,卡牌消耗!$AT1447)</f>
        <v>0</v>
      </c>
      <c r="AP1447" s="14">
        <f>INDEX(挂机升级突破!$DP$6:$DP$57,卡牌消耗!AT1447)</f>
        <v>115</v>
      </c>
      <c r="AQ1447" s="14" t="str">
        <f t="shared" si="456"/>
        <v>秦琼</v>
      </c>
      <c r="AR1447" s="14">
        <f t="shared" si="457"/>
        <v>4</v>
      </c>
      <c r="AS1447" s="14" t="str">
        <f t="shared" si="458"/>
        <v>秦琼魂火-39</v>
      </c>
      <c r="AT1447" s="14">
        <f t="shared" si="459"/>
        <v>39</v>
      </c>
      <c r="AU1447" s="14" t="str">
        <f>IF(AM1447&gt;0,INDEX(挂机升级突破!$DT$4:$ED$4,AM1447),"")</f>
        <v>金币</v>
      </c>
      <c r="AV1447" s="14">
        <f>ROUND(INDEX(挂机升级突破!$DJ$6:$DJ$57,卡牌消耗!AT1447)*INDEX(卡牌消耗!$B$8:$F$8,AR1447)/$Q$4/50,0)*50</f>
        <v>32250</v>
      </c>
      <c r="AW1447" s="14" t="str">
        <f>IF(AN1447&gt;0,INDEX(挂机升级突破!$DT$4:$ED$4,AN1447),"")</f>
        <v>红色基础材料</v>
      </c>
      <c r="AX1447" s="14">
        <f>ROUND(INDEX(挂机升级突破!$DT$6:$ED$57,卡牌消耗!AT1447,AN1447)*INDEX(卡牌消耗!$B$5:$F$5,AR1447)/$Q$4/5,0)*5</f>
        <v>10</v>
      </c>
      <c r="AY1447" s="14" t="str">
        <f>IF(AO1447&gt;0,INDEX(挂机升级突破!$DT$4:$ED$4,AO1447),"")</f>
        <v/>
      </c>
      <c r="AZ1447" s="14" t="str">
        <f>IF(AO1447&gt;0,ROUND(INDEX(挂机升级突破!$DT$6:$ED$57,卡牌消耗!AT1447,AO1447)*INDEX(卡牌消耗!$B$7:$F$7,AR1447)/$Q$4,0),"")</f>
        <v/>
      </c>
    </row>
    <row r="1448" spans="37:52" ht="16.5" x14ac:dyDescent="0.2">
      <c r="AK1448" s="104">
        <v>1444</v>
      </c>
      <c r="AL1448" s="14">
        <f t="shared" si="455"/>
        <v>28</v>
      </c>
      <c r="AM1448" s="14">
        <f>INDEX(挂机升级突破!DQ$6:DQ$57,卡牌消耗!$AT1448)</f>
        <v>11</v>
      </c>
      <c r="AN1448" s="14">
        <f>INDEX(挂机升级突破!DR$6:DR$57,卡牌消耗!$AT1448)</f>
        <v>5</v>
      </c>
      <c r="AO1448" s="14">
        <f>INDEX(挂机升级突破!DS$6:DS$57,卡牌消耗!$AT1448)</f>
        <v>0</v>
      </c>
      <c r="AP1448" s="14">
        <f>INDEX(挂机升级突破!$DP$6:$DP$57,卡牌消耗!AT1448)</f>
        <v>118</v>
      </c>
      <c r="AQ1448" s="14" t="str">
        <f t="shared" si="456"/>
        <v>秦琼</v>
      </c>
      <c r="AR1448" s="14">
        <f t="shared" si="457"/>
        <v>4</v>
      </c>
      <c r="AS1448" s="14" t="str">
        <f t="shared" si="458"/>
        <v>秦琼魂火-40</v>
      </c>
      <c r="AT1448" s="14">
        <f t="shared" si="459"/>
        <v>40</v>
      </c>
      <c r="AU1448" s="14" t="str">
        <f>IF(AM1448&gt;0,INDEX(挂机升级突破!$DT$4:$ED$4,AM1448),"")</f>
        <v>金币</v>
      </c>
      <c r="AV1448" s="14">
        <f>ROUND(INDEX(挂机升级突破!$DJ$6:$DJ$57,卡牌消耗!AT1448)*INDEX(卡牌消耗!$B$8:$F$8,AR1448)/$Q$4/50,0)*50</f>
        <v>32250</v>
      </c>
      <c r="AW1448" s="14" t="str">
        <f>IF(AN1448&gt;0,INDEX(挂机升级突破!$DT$4:$ED$4,AN1448),"")</f>
        <v>红色基础材料</v>
      </c>
      <c r="AX1448" s="14">
        <f>ROUND(INDEX(挂机升级突破!$DT$6:$ED$57,卡牌消耗!AT1448,AN1448)*INDEX(卡牌消耗!$B$5:$F$5,AR1448)/$Q$4/5,0)*5</f>
        <v>10</v>
      </c>
      <c r="AY1448" s="14" t="str">
        <f>IF(AO1448&gt;0,INDEX(挂机升级突破!$DT$4:$ED$4,AO1448),"")</f>
        <v/>
      </c>
      <c r="AZ1448" s="14" t="str">
        <f>IF(AO1448&gt;0,ROUND(INDEX(挂机升级突破!$DT$6:$ED$57,卡牌消耗!AT1448,AO1448)*INDEX(卡牌消耗!$B$7:$F$7,AR1448)/$Q$4,0),"")</f>
        <v/>
      </c>
    </row>
    <row r="1449" spans="37:52" ht="16.5" x14ac:dyDescent="0.2">
      <c r="AK1449" s="104">
        <v>1445</v>
      </c>
      <c r="AL1449" s="14">
        <f t="shared" si="455"/>
        <v>28</v>
      </c>
      <c r="AM1449" s="14">
        <f>INDEX(挂机升级突破!DQ$6:DQ$57,卡牌消耗!$AT1449)</f>
        <v>11</v>
      </c>
      <c r="AN1449" s="14">
        <f>INDEX(挂机升级突破!DR$6:DR$57,卡牌消耗!$AT1449)</f>
        <v>5</v>
      </c>
      <c r="AO1449" s="14">
        <f>INDEX(挂机升级突破!DS$6:DS$57,卡牌消耗!$AT1449)</f>
        <v>10</v>
      </c>
      <c r="AP1449" s="14">
        <f>INDEX(挂机升级突破!$DP$6:$DP$57,卡牌消耗!AT1449)</f>
        <v>120</v>
      </c>
      <c r="AQ1449" s="14" t="str">
        <f t="shared" si="456"/>
        <v>秦琼</v>
      </c>
      <c r="AR1449" s="14">
        <f t="shared" si="457"/>
        <v>4</v>
      </c>
      <c r="AS1449" s="14" t="str">
        <f t="shared" si="458"/>
        <v>秦琼魂火-41</v>
      </c>
      <c r="AT1449" s="14">
        <f t="shared" si="459"/>
        <v>41</v>
      </c>
      <c r="AU1449" s="14" t="str">
        <f>IF(AM1449&gt;0,INDEX(挂机升级突破!$DT$4:$ED$4,AM1449),"")</f>
        <v>金币</v>
      </c>
      <c r="AV1449" s="14">
        <f>ROUND(INDEX(挂机升级突破!$DJ$6:$DJ$57,卡牌消耗!AT1449)*INDEX(卡牌消耗!$B$8:$F$8,AR1449)/$Q$4/50,0)*50</f>
        <v>44300</v>
      </c>
      <c r="AW1449" s="14" t="str">
        <f>IF(AN1449&gt;0,INDEX(挂机升级突破!$DT$4:$ED$4,AN1449),"")</f>
        <v>红色基础材料</v>
      </c>
      <c r="AX1449" s="14">
        <f>ROUND(INDEX(挂机升级突破!$DT$6:$ED$57,卡牌消耗!AT1449,AN1449)*INDEX(卡牌消耗!$B$5:$F$5,AR1449)/$Q$4/5,0)*5</f>
        <v>10</v>
      </c>
      <c r="AY1449" s="14" t="str">
        <f>IF(AO1449&gt;0,INDEX(挂机升级突破!$DT$4:$ED$4,AO1449),"")</f>
        <v>灵玉</v>
      </c>
      <c r="AZ1449" s="14">
        <f>IF(AO1449&gt;0,ROUND(INDEX(挂机升级突破!$DT$6:$ED$57,卡牌消耗!AT1449,AO1449)*INDEX(卡牌消耗!$B$7:$F$7,AR1449)/$Q$4,0),"")</f>
        <v>3</v>
      </c>
    </row>
    <row r="1450" spans="37:52" ht="16.5" x14ac:dyDescent="0.2">
      <c r="AK1450" s="104">
        <v>1446</v>
      </c>
      <c r="AL1450" s="14">
        <f t="shared" si="455"/>
        <v>28</v>
      </c>
      <c r="AM1450" s="14">
        <f>INDEX(挂机升级突破!DQ$6:DQ$57,卡牌消耗!$AT1450)</f>
        <v>11</v>
      </c>
      <c r="AN1450" s="14">
        <f>INDEX(挂机升级突破!DR$6:DR$57,卡牌消耗!$AT1450)</f>
        <v>5</v>
      </c>
      <c r="AO1450" s="14">
        <f>INDEX(挂机升级突破!DS$6:DS$57,卡牌消耗!$AT1450)</f>
        <v>10</v>
      </c>
      <c r="AP1450" s="14">
        <f>INDEX(挂机升级突破!$DP$6:$DP$57,卡牌消耗!AT1450)</f>
        <v>123</v>
      </c>
      <c r="AQ1450" s="14" t="str">
        <f t="shared" si="456"/>
        <v>秦琼</v>
      </c>
      <c r="AR1450" s="14">
        <f t="shared" si="457"/>
        <v>4</v>
      </c>
      <c r="AS1450" s="14" t="str">
        <f t="shared" si="458"/>
        <v>秦琼魂火-42</v>
      </c>
      <c r="AT1450" s="14">
        <f t="shared" si="459"/>
        <v>42</v>
      </c>
      <c r="AU1450" s="14" t="str">
        <f>IF(AM1450&gt;0,INDEX(挂机升级突破!$DT$4:$ED$4,AM1450),"")</f>
        <v>金币</v>
      </c>
      <c r="AV1450" s="14">
        <f>ROUND(INDEX(挂机升级突破!$DJ$6:$DJ$57,卡牌消耗!AT1450)*INDEX(卡牌消耗!$B$8:$F$8,AR1450)/$Q$4/50,0)*50</f>
        <v>44300</v>
      </c>
      <c r="AW1450" s="14" t="str">
        <f>IF(AN1450&gt;0,INDEX(挂机升级突破!$DT$4:$ED$4,AN1450),"")</f>
        <v>红色基础材料</v>
      </c>
      <c r="AX1450" s="14">
        <f>ROUND(INDEX(挂机升级突破!$DT$6:$ED$57,卡牌消耗!AT1450,AN1450)*INDEX(卡牌消耗!$B$5:$F$5,AR1450)/$Q$4/5,0)*5</f>
        <v>10</v>
      </c>
      <c r="AY1450" s="14" t="str">
        <f>IF(AO1450&gt;0,INDEX(挂机升级突破!$DT$4:$ED$4,AO1450),"")</f>
        <v>灵玉</v>
      </c>
      <c r="AZ1450" s="14">
        <f>IF(AO1450&gt;0,ROUND(INDEX(挂机升级突破!$DT$6:$ED$57,卡牌消耗!AT1450,AO1450)*INDEX(卡牌消耗!$B$7:$F$7,AR1450)/$Q$4,0),"")</f>
        <v>3</v>
      </c>
    </row>
    <row r="1451" spans="37:52" ht="16.5" x14ac:dyDescent="0.2">
      <c r="AK1451" s="104">
        <v>1447</v>
      </c>
      <c r="AL1451" s="14">
        <f t="shared" si="455"/>
        <v>28</v>
      </c>
      <c r="AM1451" s="14">
        <f>INDEX(挂机升级突破!DQ$6:DQ$57,卡牌消耗!$AT1451)</f>
        <v>11</v>
      </c>
      <c r="AN1451" s="14">
        <f>INDEX(挂机升级突破!DR$6:DR$57,卡牌消耗!$AT1451)</f>
        <v>5</v>
      </c>
      <c r="AO1451" s="14">
        <f>INDEX(挂机升级突破!DS$6:DS$57,卡牌消耗!$AT1451)</f>
        <v>10</v>
      </c>
      <c r="AP1451" s="14">
        <f>INDEX(挂机升级突破!$DP$6:$DP$57,卡牌消耗!AT1451)</f>
        <v>125</v>
      </c>
      <c r="AQ1451" s="14" t="str">
        <f t="shared" si="456"/>
        <v>秦琼</v>
      </c>
      <c r="AR1451" s="14">
        <f t="shared" si="457"/>
        <v>4</v>
      </c>
      <c r="AS1451" s="14" t="str">
        <f t="shared" si="458"/>
        <v>秦琼魂火-43</v>
      </c>
      <c r="AT1451" s="14">
        <f t="shared" si="459"/>
        <v>43</v>
      </c>
      <c r="AU1451" s="14" t="str">
        <f>IF(AM1451&gt;0,INDEX(挂机升级突破!$DT$4:$ED$4,AM1451),"")</f>
        <v>金币</v>
      </c>
      <c r="AV1451" s="14">
        <f>ROUND(INDEX(挂机升级突破!$DJ$6:$DJ$57,卡牌消耗!AT1451)*INDEX(卡牌消耗!$B$8:$F$8,AR1451)/$Q$4/50,0)*50</f>
        <v>44300</v>
      </c>
      <c r="AW1451" s="14" t="str">
        <f>IF(AN1451&gt;0,INDEX(挂机升级突破!$DT$4:$ED$4,AN1451),"")</f>
        <v>红色基础材料</v>
      </c>
      <c r="AX1451" s="14">
        <f>ROUND(INDEX(挂机升级突破!$DT$6:$ED$57,卡牌消耗!AT1451,AN1451)*INDEX(卡牌消耗!$B$5:$F$5,AR1451)/$Q$4/5,0)*5</f>
        <v>10</v>
      </c>
      <c r="AY1451" s="14" t="str">
        <f>IF(AO1451&gt;0,INDEX(挂机升级突破!$DT$4:$ED$4,AO1451),"")</f>
        <v>灵玉</v>
      </c>
      <c r="AZ1451" s="14">
        <f>IF(AO1451&gt;0,ROUND(INDEX(挂机升级突破!$DT$6:$ED$57,卡牌消耗!AT1451,AO1451)*INDEX(卡牌消耗!$B$7:$F$7,AR1451)/$Q$4,0),"")</f>
        <v>3</v>
      </c>
    </row>
    <row r="1452" spans="37:52" ht="16.5" x14ac:dyDescent="0.2">
      <c r="AK1452" s="104">
        <v>1448</v>
      </c>
      <c r="AL1452" s="14">
        <f t="shared" si="455"/>
        <v>28</v>
      </c>
      <c r="AM1452" s="14">
        <f>INDEX(挂机升级突破!DQ$6:DQ$57,卡牌消耗!$AT1452)</f>
        <v>11</v>
      </c>
      <c r="AN1452" s="14">
        <f>INDEX(挂机升级突破!DR$6:DR$57,卡牌消耗!$AT1452)</f>
        <v>5</v>
      </c>
      <c r="AO1452" s="14">
        <f>INDEX(挂机升级突破!DS$6:DS$57,卡牌消耗!$AT1452)</f>
        <v>10</v>
      </c>
      <c r="AP1452" s="14">
        <f>INDEX(挂机升级突破!$DP$6:$DP$57,卡牌消耗!AT1452)</f>
        <v>128</v>
      </c>
      <c r="AQ1452" s="14" t="str">
        <f t="shared" si="456"/>
        <v>秦琼</v>
      </c>
      <c r="AR1452" s="14">
        <f t="shared" si="457"/>
        <v>4</v>
      </c>
      <c r="AS1452" s="14" t="str">
        <f t="shared" si="458"/>
        <v>秦琼魂火-44</v>
      </c>
      <c r="AT1452" s="14">
        <f t="shared" si="459"/>
        <v>44</v>
      </c>
      <c r="AU1452" s="14" t="str">
        <f>IF(AM1452&gt;0,INDEX(挂机升级突破!$DT$4:$ED$4,AM1452),"")</f>
        <v>金币</v>
      </c>
      <c r="AV1452" s="14">
        <f>ROUND(INDEX(挂机升级突破!$DJ$6:$DJ$57,卡牌消耗!AT1452)*INDEX(卡牌消耗!$B$8:$F$8,AR1452)/$Q$4/50,0)*50</f>
        <v>56400</v>
      </c>
      <c r="AW1452" s="14" t="str">
        <f>IF(AN1452&gt;0,INDEX(挂机升级突破!$DT$4:$ED$4,AN1452),"")</f>
        <v>红色基础材料</v>
      </c>
      <c r="AX1452" s="14">
        <f>ROUND(INDEX(挂机升级突破!$DT$6:$ED$57,卡牌消耗!AT1452,AN1452)*INDEX(卡牌消耗!$B$5:$F$5,AR1452)/$Q$4/5,0)*5</f>
        <v>15</v>
      </c>
      <c r="AY1452" s="14" t="str">
        <f>IF(AO1452&gt;0,INDEX(挂机升级突破!$DT$4:$ED$4,AO1452),"")</f>
        <v>灵玉</v>
      </c>
      <c r="AZ1452" s="14">
        <f>IF(AO1452&gt;0,ROUND(INDEX(挂机升级突破!$DT$6:$ED$57,卡牌消耗!AT1452,AO1452)*INDEX(卡牌消耗!$B$7:$F$7,AR1452)/$Q$4,0),"")</f>
        <v>3</v>
      </c>
    </row>
    <row r="1453" spans="37:52" ht="16.5" x14ac:dyDescent="0.2">
      <c r="AK1453" s="104">
        <v>1449</v>
      </c>
      <c r="AL1453" s="14">
        <f t="shared" si="455"/>
        <v>28</v>
      </c>
      <c r="AM1453" s="14">
        <f>INDEX(挂机升级突破!DQ$6:DQ$57,卡牌消耗!$AT1453)</f>
        <v>11</v>
      </c>
      <c r="AN1453" s="14">
        <f>INDEX(挂机升级突破!DR$6:DR$57,卡牌消耗!$AT1453)</f>
        <v>5</v>
      </c>
      <c r="AO1453" s="14">
        <f>INDEX(挂机升级突破!DS$6:DS$57,卡牌消耗!$AT1453)</f>
        <v>10</v>
      </c>
      <c r="AP1453" s="14">
        <f>INDEX(挂机升级突破!$DP$6:$DP$57,卡牌消耗!AT1453)</f>
        <v>130</v>
      </c>
      <c r="AQ1453" s="14" t="str">
        <f t="shared" si="456"/>
        <v>秦琼</v>
      </c>
      <c r="AR1453" s="14">
        <f t="shared" si="457"/>
        <v>4</v>
      </c>
      <c r="AS1453" s="14" t="str">
        <f t="shared" si="458"/>
        <v>秦琼魂火-45</v>
      </c>
      <c r="AT1453" s="14">
        <f t="shared" si="459"/>
        <v>45</v>
      </c>
      <c r="AU1453" s="14" t="str">
        <f>IF(AM1453&gt;0,INDEX(挂机升级突破!$DT$4:$ED$4,AM1453),"")</f>
        <v>金币</v>
      </c>
      <c r="AV1453" s="14">
        <f>ROUND(INDEX(挂机升级突破!$DJ$6:$DJ$57,卡牌消耗!AT1453)*INDEX(卡牌消耗!$B$8:$F$8,AR1453)/$Q$4/50,0)*50</f>
        <v>56400</v>
      </c>
      <c r="AW1453" s="14" t="str">
        <f>IF(AN1453&gt;0,INDEX(挂机升级突破!$DT$4:$ED$4,AN1453),"")</f>
        <v>红色基础材料</v>
      </c>
      <c r="AX1453" s="14">
        <f>ROUND(INDEX(挂机升级突破!$DT$6:$ED$57,卡牌消耗!AT1453,AN1453)*INDEX(卡牌消耗!$B$5:$F$5,AR1453)/$Q$4/5,0)*5</f>
        <v>15</v>
      </c>
      <c r="AY1453" s="14" t="str">
        <f>IF(AO1453&gt;0,INDEX(挂机升级突破!$DT$4:$ED$4,AO1453),"")</f>
        <v>灵玉</v>
      </c>
      <c r="AZ1453" s="14">
        <f>IF(AO1453&gt;0,ROUND(INDEX(挂机升级突破!$DT$6:$ED$57,卡牌消耗!AT1453,AO1453)*INDEX(卡牌消耗!$B$7:$F$7,AR1453)/$Q$4,0),"")</f>
        <v>3</v>
      </c>
    </row>
    <row r="1454" spans="37:52" ht="16.5" x14ac:dyDescent="0.2">
      <c r="AK1454" s="104">
        <v>1450</v>
      </c>
      <c r="AL1454" s="14">
        <f t="shared" si="455"/>
        <v>28</v>
      </c>
      <c r="AM1454" s="14">
        <f>INDEX(挂机升级突破!DQ$6:DQ$57,卡牌消耗!$AT1454)</f>
        <v>11</v>
      </c>
      <c r="AN1454" s="14">
        <f>INDEX(挂机升级突破!DR$6:DR$57,卡牌消耗!$AT1454)</f>
        <v>5</v>
      </c>
      <c r="AO1454" s="14">
        <f>INDEX(挂机升级突破!DS$6:DS$57,卡牌消耗!$AT1454)</f>
        <v>10</v>
      </c>
      <c r="AP1454" s="14">
        <f>INDEX(挂机升级突破!$DP$6:$DP$57,卡牌消耗!AT1454)</f>
        <v>133</v>
      </c>
      <c r="AQ1454" s="14" t="str">
        <f t="shared" si="456"/>
        <v>秦琼</v>
      </c>
      <c r="AR1454" s="14">
        <f t="shared" si="457"/>
        <v>4</v>
      </c>
      <c r="AS1454" s="14" t="str">
        <f t="shared" si="458"/>
        <v>秦琼魂火-46</v>
      </c>
      <c r="AT1454" s="14">
        <f t="shared" si="459"/>
        <v>46</v>
      </c>
      <c r="AU1454" s="14" t="str">
        <f>IF(AM1454&gt;0,INDEX(挂机升级突破!$DT$4:$ED$4,AM1454),"")</f>
        <v>金币</v>
      </c>
      <c r="AV1454" s="14">
        <f>ROUND(INDEX(挂机升级突破!$DJ$6:$DJ$57,卡牌消耗!AT1454)*INDEX(卡牌消耗!$B$8:$F$8,AR1454)/$Q$4/50,0)*50</f>
        <v>60450</v>
      </c>
      <c r="AW1454" s="14" t="str">
        <f>IF(AN1454&gt;0,INDEX(挂机升级突破!$DT$4:$ED$4,AN1454),"")</f>
        <v>红色基础材料</v>
      </c>
      <c r="AX1454" s="14">
        <f>ROUND(INDEX(挂机升级突破!$DT$6:$ED$57,卡牌消耗!AT1454,AN1454)*INDEX(卡牌消耗!$B$5:$F$5,AR1454)/$Q$4/5,0)*5</f>
        <v>15</v>
      </c>
      <c r="AY1454" s="14" t="str">
        <f>IF(AO1454&gt;0,INDEX(挂机升级突破!$DT$4:$ED$4,AO1454),"")</f>
        <v>灵玉</v>
      </c>
      <c r="AZ1454" s="14">
        <f>IF(AO1454&gt;0,ROUND(INDEX(挂机升级突破!$DT$6:$ED$57,卡牌消耗!AT1454,AO1454)*INDEX(卡牌消耗!$B$7:$F$7,AR1454)/$Q$4,0),"")</f>
        <v>3</v>
      </c>
    </row>
    <row r="1455" spans="37:52" ht="16.5" x14ac:dyDescent="0.2">
      <c r="AK1455" s="104">
        <v>1451</v>
      </c>
      <c r="AL1455" s="14">
        <f t="shared" si="455"/>
        <v>28</v>
      </c>
      <c r="AM1455" s="14">
        <f>INDEX(挂机升级突破!DQ$6:DQ$57,卡牌消耗!$AT1455)</f>
        <v>11</v>
      </c>
      <c r="AN1455" s="14">
        <f>INDEX(挂机升级突破!DR$6:DR$57,卡牌消耗!$AT1455)</f>
        <v>5</v>
      </c>
      <c r="AO1455" s="14">
        <f>INDEX(挂机升级突破!DS$6:DS$57,卡牌消耗!$AT1455)</f>
        <v>10</v>
      </c>
      <c r="AP1455" s="14">
        <f>INDEX(挂机升级突破!$DP$6:$DP$57,卡牌消耗!AT1455)</f>
        <v>135</v>
      </c>
      <c r="AQ1455" s="14" t="str">
        <f t="shared" si="456"/>
        <v>秦琼</v>
      </c>
      <c r="AR1455" s="14">
        <f t="shared" si="457"/>
        <v>4</v>
      </c>
      <c r="AS1455" s="14" t="str">
        <f t="shared" si="458"/>
        <v>秦琼魂火-47</v>
      </c>
      <c r="AT1455" s="14">
        <f t="shared" si="459"/>
        <v>47</v>
      </c>
      <c r="AU1455" s="14" t="str">
        <f>IF(AM1455&gt;0,INDEX(挂机升级突破!$DT$4:$ED$4,AM1455),"")</f>
        <v>金币</v>
      </c>
      <c r="AV1455" s="14">
        <f>ROUND(INDEX(挂机升级突破!$DJ$6:$DJ$57,卡牌消耗!AT1455)*INDEX(卡牌消耗!$B$8:$F$8,AR1455)/$Q$4/50,0)*50</f>
        <v>123100</v>
      </c>
      <c r="AW1455" s="14" t="str">
        <f>IF(AN1455&gt;0,INDEX(挂机升级突破!$DT$4:$ED$4,AN1455),"")</f>
        <v>红色基础材料</v>
      </c>
      <c r="AX1455" s="14">
        <f>ROUND(INDEX(挂机升级突破!$DT$6:$ED$57,卡牌消耗!AT1455,AN1455)*INDEX(卡牌消耗!$B$5:$F$5,AR1455)/$Q$4/5,0)*5</f>
        <v>15</v>
      </c>
      <c r="AY1455" s="14" t="str">
        <f>IF(AO1455&gt;0,INDEX(挂机升级突破!$DT$4:$ED$4,AO1455),"")</f>
        <v>灵玉</v>
      </c>
      <c r="AZ1455" s="14">
        <f>IF(AO1455&gt;0,ROUND(INDEX(挂机升级突破!$DT$6:$ED$57,卡牌消耗!AT1455,AO1455)*INDEX(卡牌消耗!$B$7:$F$7,AR1455)/$Q$4,0),"")</f>
        <v>3</v>
      </c>
    </row>
    <row r="1456" spans="37:52" ht="16.5" x14ac:dyDescent="0.2">
      <c r="AK1456" s="104">
        <v>1452</v>
      </c>
      <c r="AL1456" s="14">
        <f t="shared" si="455"/>
        <v>28</v>
      </c>
      <c r="AM1456" s="14">
        <f>INDEX(挂机升级突破!DQ$6:DQ$57,卡牌消耗!$AT1456)</f>
        <v>11</v>
      </c>
      <c r="AN1456" s="14">
        <f>INDEX(挂机升级突破!DR$6:DR$57,卡牌消耗!$AT1456)</f>
        <v>5</v>
      </c>
      <c r="AO1456" s="14">
        <f>INDEX(挂机升级突破!DS$6:DS$57,卡牌消耗!$AT1456)</f>
        <v>10</v>
      </c>
      <c r="AP1456" s="14">
        <f>INDEX(挂机升级突破!$DP$6:$DP$57,卡牌消耗!AT1456)</f>
        <v>138</v>
      </c>
      <c r="AQ1456" s="14" t="str">
        <f t="shared" si="456"/>
        <v>秦琼</v>
      </c>
      <c r="AR1456" s="14">
        <f t="shared" si="457"/>
        <v>4</v>
      </c>
      <c r="AS1456" s="14" t="str">
        <f t="shared" si="458"/>
        <v>秦琼魂火-48</v>
      </c>
      <c r="AT1456" s="14">
        <f t="shared" si="459"/>
        <v>48</v>
      </c>
      <c r="AU1456" s="14" t="str">
        <f>IF(AM1456&gt;0,INDEX(挂机升级突破!$DT$4:$ED$4,AM1456),"")</f>
        <v>金币</v>
      </c>
      <c r="AV1456" s="14">
        <f>ROUND(INDEX(挂机升级突破!$DJ$6:$DJ$57,卡牌消耗!AT1456)*INDEX(卡牌消耗!$B$8:$F$8,AR1456)/$Q$4/50,0)*50</f>
        <v>123100</v>
      </c>
      <c r="AW1456" s="14" t="str">
        <f>IF(AN1456&gt;0,INDEX(挂机升级突破!$DT$4:$ED$4,AN1456),"")</f>
        <v>红色基础材料</v>
      </c>
      <c r="AX1456" s="14">
        <f>ROUND(INDEX(挂机升级突破!$DT$6:$ED$57,卡牌消耗!AT1456,AN1456)*INDEX(卡牌消耗!$B$5:$F$5,AR1456)/$Q$4/5,0)*5</f>
        <v>15</v>
      </c>
      <c r="AY1456" s="14" t="str">
        <f>IF(AO1456&gt;0,INDEX(挂机升级突破!$DT$4:$ED$4,AO1456),"")</f>
        <v>灵玉</v>
      </c>
      <c r="AZ1456" s="14">
        <f>IF(AO1456&gt;0,ROUND(INDEX(挂机升级突破!$DT$6:$ED$57,卡牌消耗!AT1456,AO1456)*INDEX(卡牌消耗!$B$7:$F$7,AR1456)/$Q$4,0),"")</f>
        <v>3</v>
      </c>
    </row>
    <row r="1457" spans="37:52" ht="16.5" x14ac:dyDescent="0.2">
      <c r="AK1457" s="104">
        <v>1453</v>
      </c>
      <c r="AL1457" s="14">
        <f t="shared" si="455"/>
        <v>28</v>
      </c>
      <c r="AM1457" s="14">
        <f>INDEX(挂机升级突破!DQ$6:DQ$57,卡牌消耗!$AT1457)</f>
        <v>11</v>
      </c>
      <c r="AN1457" s="14">
        <f>INDEX(挂机升级突破!DR$6:DR$57,卡牌消耗!$AT1457)</f>
        <v>5</v>
      </c>
      <c r="AO1457" s="14">
        <f>INDEX(挂机升级突破!DS$6:DS$57,卡牌消耗!$AT1457)</f>
        <v>10</v>
      </c>
      <c r="AP1457" s="14">
        <f>INDEX(挂机升级突破!$DP$6:$DP$57,卡牌消耗!AT1457)</f>
        <v>140</v>
      </c>
      <c r="AQ1457" s="14" t="str">
        <f t="shared" si="456"/>
        <v>秦琼</v>
      </c>
      <c r="AR1457" s="14">
        <f t="shared" si="457"/>
        <v>4</v>
      </c>
      <c r="AS1457" s="14" t="str">
        <f t="shared" si="458"/>
        <v>秦琼魂火-49</v>
      </c>
      <c r="AT1457" s="14">
        <f t="shared" si="459"/>
        <v>49</v>
      </c>
      <c r="AU1457" s="14" t="str">
        <f>IF(AM1457&gt;0,INDEX(挂机升级突破!$DT$4:$ED$4,AM1457),"")</f>
        <v>金币</v>
      </c>
      <c r="AV1457" s="14">
        <f>ROUND(INDEX(挂机升级突破!$DJ$6:$DJ$57,卡牌消耗!AT1457)*INDEX(卡牌消耗!$B$8:$F$8,AR1457)/$Q$4/50,0)*50</f>
        <v>123100</v>
      </c>
      <c r="AW1457" s="14" t="str">
        <f>IF(AN1457&gt;0,INDEX(挂机升级突破!$DT$4:$ED$4,AN1457),"")</f>
        <v>红色基础材料</v>
      </c>
      <c r="AX1457" s="14">
        <f>ROUND(INDEX(挂机升级突破!$DT$6:$ED$57,卡牌消耗!AT1457,AN1457)*INDEX(卡牌消耗!$B$5:$F$5,AR1457)/$Q$4/5,0)*5</f>
        <v>15</v>
      </c>
      <c r="AY1457" s="14" t="str">
        <f>IF(AO1457&gt;0,INDEX(挂机升级突破!$DT$4:$ED$4,AO1457),"")</f>
        <v>灵玉</v>
      </c>
      <c r="AZ1457" s="14">
        <f>IF(AO1457&gt;0,ROUND(INDEX(挂机升级突破!$DT$6:$ED$57,卡牌消耗!AT1457,AO1457)*INDEX(卡牌消耗!$B$7:$F$7,AR1457)/$Q$4,0),"")</f>
        <v>3</v>
      </c>
    </row>
    <row r="1458" spans="37:52" ht="16.5" x14ac:dyDescent="0.2">
      <c r="AK1458" s="104">
        <v>1454</v>
      </c>
      <c r="AL1458" s="14">
        <f t="shared" si="455"/>
        <v>28</v>
      </c>
      <c r="AM1458" s="14">
        <f>INDEX(挂机升级突破!DQ$6:DQ$57,卡牌消耗!$AT1458)</f>
        <v>11</v>
      </c>
      <c r="AN1458" s="14">
        <f>INDEX(挂机升级突破!DR$6:DR$57,卡牌消耗!$AT1458)</f>
        <v>5</v>
      </c>
      <c r="AO1458" s="14">
        <f>INDEX(挂机升级突破!DS$6:DS$57,卡牌消耗!$AT1458)</f>
        <v>10</v>
      </c>
      <c r="AP1458" s="14">
        <f>INDEX(挂机升级突破!$DP$6:$DP$57,卡牌消耗!AT1458)</f>
        <v>143</v>
      </c>
      <c r="AQ1458" s="14" t="str">
        <f t="shared" si="456"/>
        <v>秦琼</v>
      </c>
      <c r="AR1458" s="14">
        <f t="shared" si="457"/>
        <v>4</v>
      </c>
      <c r="AS1458" s="14" t="str">
        <f t="shared" si="458"/>
        <v>秦琼魂火-50</v>
      </c>
      <c r="AT1458" s="14">
        <f t="shared" si="459"/>
        <v>50</v>
      </c>
      <c r="AU1458" s="14" t="str">
        <f>IF(AM1458&gt;0,INDEX(挂机升级突破!$DT$4:$ED$4,AM1458),"")</f>
        <v>金币</v>
      </c>
      <c r="AV1458" s="14">
        <f>ROUND(INDEX(挂机升级突破!$DJ$6:$DJ$57,卡牌消耗!AT1458)*INDEX(卡牌消耗!$B$8:$F$8,AR1458)/$Q$4/50,0)*50</f>
        <v>205150</v>
      </c>
      <c r="AW1458" s="14" t="str">
        <f>IF(AN1458&gt;0,INDEX(挂机升级突破!$DT$4:$ED$4,AN1458),"")</f>
        <v>红色基础材料</v>
      </c>
      <c r="AX1458" s="14">
        <f>ROUND(INDEX(挂机升级突破!$DT$6:$ED$57,卡牌消耗!AT1458,AN1458)*INDEX(卡牌消耗!$B$5:$F$5,AR1458)/$Q$4/5,0)*5</f>
        <v>15</v>
      </c>
      <c r="AY1458" s="14" t="str">
        <f>IF(AO1458&gt;0,INDEX(挂机升级突破!$DT$4:$ED$4,AO1458),"")</f>
        <v>灵玉</v>
      </c>
      <c r="AZ1458" s="14">
        <f>IF(AO1458&gt;0,ROUND(INDEX(挂机升级突破!$DT$6:$ED$57,卡牌消耗!AT1458,AO1458)*INDEX(卡牌消耗!$B$7:$F$7,AR1458)/$Q$4,0),"")</f>
        <v>3</v>
      </c>
    </row>
    <row r="1459" spans="37:52" ht="16.5" x14ac:dyDescent="0.2">
      <c r="AK1459" s="104">
        <v>1455</v>
      </c>
      <c r="AL1459" s="14">
        <f t="shared" si="455"/>
        <v>28</v>
      </c>
      <c r="AM1459" s="14">
        <f>INDEX(挂机升级突破!DQ$6:DQ$57,卡牌消耗!$AT1459)</f>
        <v>11</v>
      </c>
      <c r="AN1459" s="14">
        <f>INDEX(挂机升级突破!DR$6:DR$57,卡牌消耗!$AT1459)</f>
        <v>5</v>
      </c>
      <c r="AO1459" s="14">
        <f>INDEX(挂机升级突破!DS$6:DS$57,卡牌消耗!$AT1459)</f>
        <v>10</v>
      </c>
      <c r="AP1459" s="14">
        <f>INDEX(挂机升级突破!$DP$6:$DP$57,卡牌消耗!AT1459)</f>
        <v>145</v>
      </c>
      <c r="AQ1459" s="14" t="str">
        <f t="shared" si="456"/>
        <v>秦琼</v>
      </c>
      <c r="AR1459" s="14">
        <f t="shared" si="457"/>
        <v>4</v>
      </c>
      <c r="AS1459" s="14" t="str">
        <f t="shared" si="458"/>
        <v>秦琼魂火-51</v>
      </c>
      <c r="AT1459" s="14">
        <f t="shared" si="459"/>
        <v>51</v>
      </c>
      <c r="AU1459" s="14" t="str">
        <f>IF(AM1459&gt;0,INDEX(挂机升级突破!$DT$4:$ED$4,AM1459),"")</f>
        <v>金币</v>
      </c>
      <c r="AV1459" s="14">
        <f>ROUND(INDEX(挂机升级突破!$DJ$6:$DJ$57,卡牌消耗!AT1459)*INDEX(卡牌消耗!$B$8:$F$8,AR1459)/$Q$4/50,0)*50</f>
        <v>225650</v>
      </c>
      <c r="AW1459" s="14" t="str">
        <f>IF(AN1459&gt;0,INDEX(挂机升级突破!$DT$4:$ED$4,AN1459),"")</f>
        <v>红色基础材料</v>
      </c>
      <c r="AX1459" s="14">
        <f>ROUND(INDEX(挂机升级突破!$DT$6:$ED$57,卡牌消耗!AT1459,AN1459)*INDEX(卡牌消耗!$B$5:$F$5,AR1459)/$Q$4/5,0)*5</f>
        <v>15</v>
      </c>
      <c r="AY1459" s="14" t="str">
        <f>IF(AO1459&gt;0,INDEX(挂机升级突破!$DT$4:$ED$4,AO1459),"")</f>
        <v>灵玉</v>
      </c>
      <c r="AZ1459" s="14">
        <f>IF(AO1459&gt;0,ROUND(INDEX(挂机升级突破!$DT$6:$ED$57,卡牌消耗!AT1459,AO1459)*INDEX(卡牌消耗!$B$7:$F$7,AR1459)/$Q$4,0),"")</f>
        <v>3</v>
      </c>
    </row>
    <row r="1460" spans="37:52" ht="16.5" x14ac:dyDescent="0.2">
      <c r="AK1460" s="104">
        <v>1456</v>
      </c>
      <c r="AL1460" s="14">
        <f t="shared" si="455"/>
        <v>28</v>
      </c>
      <c r="AM1460" s="14">
        <f>INDEX(挂机升级突破!DQ$6:DQ$57,卡牌消耗!$AT1460)</f>
        <v>11</v>
      </c>
      <c r="AN1460" s="14">
        <f>INDEX(挂机升级突破!DR$6:DR$57,卡牌消耗!$AT1460)</f>
        <v>5</v>
      </c>
      <c r="AO1460" s="14">
        <f>INDEX(挂机升级突破!DS$6:DS$57,卡牌消耗!$AT1460)</f>
        <v>10</v>
      </c>
      <c r="AP1460" s="14">
        <f>INDEX(挂机升级突破!$DP$6:$DP$57,卡牌消耗!AT1460)</f>
        <v>148</v>
      </c>
      <c r="AQ1460" s="14" t="str">
        <f t="shared" si="456"/>
        <v>秦琼</v>
      </c>
      <c r="AR1460" s="14">
        <f t="shared" si="457"/>
        <v>4</v>
      </c>
      <c r="AS1460" s="14" t="str">
        <f t="shared" si="458"/>
        <v>秦琼魂火-52</v>
      </c>
      <c r="AT1460" s="14">
        <f t="shared" si="459"/>
        <v>52</v>
      </c>
      <c r="AU1460" s="14" t="str">
        <f>IF(AM1460&gt;0,INDEX(挂机升级突破!$DT$4:$ED$4,AM1460),"")</f>
        <v>金币</v>
      </c>
      <c r="AV1460" s="14">
        <f>ROUND(INDEX(挂机升级突破!$DJ$6:$DJ$57,卡牌消耗!AT1460)*INDEX(卡牌消耗!$B$8:$F$8,AR1460)/$Q$4/50,0)*50</f>
        <v>225650</v>
      </c>
      <c r="AW1460" s="14" t="str">
        <f>IF(AN1460&gt;0,INDEX(挂机升级突破!$DT$4:$ED$4,AN1460),"")</f>
        <v>红色基础材料</v>
      </c>
      <c r="AX1460" s="14">
        <f>ROUND(INDEX(挂机升级突破!$DT$6:$ED$57,卡牌消耗!AT1460,AN1460)*INDEX(卡牌消耗!$B$5:$F$5,AR1460)/$Q$4/5,0)*5</f>
        <v>15</v>
      </c>
      <c r="AY1460" s="14" t="str">
        <f>IF(AO1460&gt;0,INDEX(挂机升级突破!$DT$4:$ED$4,AO1460),"")</f>
        <v>灵玉</v>
      </c>
      <c r="AZ1460" s="14">
        <f>IF(AO1460&gt;0,ROUND(INDEX(挂机升级突破!$DT$6:$ED$57,卡牌消耗!AT1460,AO1460)*INDEX(卡牌消耗!$B$7:$F$7,AR1460)/$Q$4,0),"")</f>
        <v>3</v>
      </c>
    </row>
    <row r="1461" spans="37:52" ht="16.5" x14ac:dyDescent="0.2">
      <c r="AK1461" s="193">
        <v>1457</v>
      </c>
      <c r="AL1461" s="14">
        <f t="shared" si="455"/>
        <v>29</v>
      </c>
      <c r="AM1461" s="14">
        <f>INDEX(挂机升级突破!DQ$6:DQ$57,卡牌消耗!$AT1461)</f>
        <v>11</v>
      </c>
      <c r="AN1461" s="14">
        <f>INDEX(挂机升级突破!DR$6:DR$57,卡牌消耗!$AT1461)</f>
        <v>1</v>
      </c>
      <c r="AO1461" s="14">
        <f>INDEX(挂机升级突破!DS$6:DS$57,卡牌消耗!$AT1461)</f>
        <v>0</v>
      </c>
      <c r="AP1461" s="14">
        <f>INDEX(挂机升级突破!$DP$6:$DP$57,卡牌消耗!AT1461)</f>
        <v>3</v>
      </c>
      <c r="AQ1461" s="14" t="str">
        <f t="shared" ref="AQ1461:AQ1495" si="460">INDEX($B$13:$B$45,AL1461)</f>
        <v>R守护灵</v>
      </c>
      <c r="AR1461" s="14">
        <f t="shared" ref="AR1461:AR1495" si="461">INDEX($C$13:$C$45,AL1461)</f>
        <v>2</v>
      </c>
      <c r="AS1461" s="14" t="str">
        <f t="shared" ref="AS1461:AS1495" si="462">AQ1461&amp;"魂火-"&amp;AT1461</f>
        <v>R守护灵魂火-1</v>
      </c>
      <c r="AT1461" s="14">
        <f t="shared" ref="AT1461:AT1495" si="463">AK1461-(AL1461-1)*52</f>
        <v>1</v>
      </c>
      <c r="AU1461" s="14" t="str">
        <f>IF(AM1461&gt;0,INDEX(挂机升级突破!$DT$4:$ED$4,AM1461),"")</f>
        <v>金币</v>
      </c>
      <c r="AV1461" s="14">
        <f>ROUND(INDEX(挂机升级突破!$DJ$6:$DJ$57,卡牌消耗!AT1461)*INDEX(卡牌消耗!$B$8:$F$8,AR1461)/$Q$4/50,0)*50</f>
        <v>600</v>
      </c>
      <c r="AW1461" s="14" t="str">
        <f>IF(AN1461&gt;0,INDEX(挂机升级突破!$DT$4:$ED$4,AN1461),"")</f>
        <v>绿色基础材料</v>
      </c>
      <c r="AX1461" s="14">
        <f>ROUND(INDEX(挂机升级突破!$DT$6:$ED$57,卡牌消耗!AT1461,AN1461)*INDEX(卡牌消耗!$B$5:$F$5,AR1461)/$Q$4/5,0)*5</f>
        <v>20</v>
      </c>
      <c r="AY1461" s="14" t="str">
        <f>IF(AO1461&gt;0,INDEX(挂机升级突破!$DT$4:$ED$4,AO1461),"")</f>
        <v/>
      </c>
      <c r="AZ1461" s="14" t="str">
        <f>IF(AO1461&gt;0,ROUND(INDEX(挂机升级突破!$DT$6:$ED$57,卡牌消耗!AT1461,AO1461)*INDEX(卡牌消耗!$B$7:$F$7,AR1461)/$Q$4,0),"")</f>
        <v/>
      </c>
    </row>
    <row r="1462" spans="37:52" ht="16.5" x14ac:dyDescent="0.2">
      <c r="AK1462" s="193">
        <v>1458</v>
      </c>
      <c r="AL1462" s="14">
        <f t="shared" si="455"/>
        <v>29</v>
      </c>
      <c r="AM1462" s="14">
        <f>INDEX(挂机升级突破!DQ$6:DQ$57,卡牌消耗!$AT1462)</f>
        <v>11</v>
      </c>
      <c r="AN1462" s="14">
        <f>INDEX(挂机升级突破!DR$6:DR$57,卡牌消耗!$AT1462)</f>
        <v>1</v>
      </c>
      <c r="AO1462" s="14">
        <f>INDEX(挂机升级突破!DS$6:DS$57,卡牌消耗!$AT1462)</f>
        <v>0</v>
      </c>
      <c r="AP1462" s="14">
        <f>INDEX(挂机升级突破!$DP$6:$DP$57,卡牌消耗!AT1462)</f>
        <v>8</v>
      </c>
      <c r="AQ1462" s="14" t="str">
        <f t="shared" si="460"/>
        <v>R守护灵</v>
      </c>
      <c r="AR1462" s="14">
        <f t="shared" si="461"/>
        <v>2</v>
      </c>
      <c r="AS1462" s="14" t="str">
        <f t="shared" si="462"/>
        <v>R守护灵魂火-2</v>
      </c>
      <c r="AT1462" s="14">
        <f t="shared" si="463"/>
        <v>2</v>
      </c>
      <c r="AU1462" s="14" t="str">
        <f>IF(AM1462&gt;0,INDEX(挂机升级突破!$DT$4:$ED$4,AM1462),"")</f>
        <v>金币</v>
      </c>
      <c r="AV1462" s="14">
        <f>ROUND(INDEX(挂机升级突破!$DJ$6:$DJ$57,卡牌消耗!AT1462)*INDEX(卡牌消耗!$B$8:$F$8,AR1462)/$Q$4/50,0)*50</f>
        <v>750</v>
      </c>
      <c r="AW1462" s="14" t="str">
        <f>IF(AN1462&gt;0,INDEX(挂机升级突破!$DT$4:$ED$4,AN1462),"")</f>
        <v>绿色基础材料</v>
      </c>
      <c r="AX1462" s="14">
        <f>ROUND(INDEX(挂机升级突破!$DT$6:$ED$57,卡牌消耗!AT1462,AN1462)*INDEX(卡牌消耗!$B$5:$F$5,AR1462)/$Q$4/5,0)*5</f>
        <v>70</v>
      </c>
      <c r="AY1462" s="14" t="str">
        <f>IF(AO1462&gt;0,INDEX(挂机升级突破!$DT$4:$ED$4,AO1462),"")</f>
        <v/>
      </c>
      <c r="AZ1462" s="14" t="str">
        <f>IF(AO1462&gt;0,ROUND(INDEX(挂机升级突破!$DT$6:$ED$57,卡牌消耗!AT1462,AO1462)*INDEX(卡牌消耗!$B$7:$F$7,AR1462)/$Q$4,0),"")</f>
        <v/>
      </c>
    </row>
    <row r="1463" spans="37:52" ht="16.5" x14ac:dyDescent="0.2">
      <c r="AK1463" s="193">
        <v>1459</v>
      </c>
      <c r="AL1463" s="14">
        <f t="shared" si="455"/>
        <v>29</v>
      </c>
      <c r="AM1463" s="14">
        <f>INDEX(挂机升级突破!DQ$6:DQ$57,卡牌消耗!$AT1463)</f>
        <v>11</v>
      </c>
      <c r="AN1463" s="14">
        <f>INDEX(挂机升级突破!DR$6:DR$57,卡牌消耗!$AT1463)</f>
        <v>1</v>
      </c>
      <c r="AO1463" s="14">
        <f>INDEX(挂机升级突破!DS$6:DS$57,卡牌消耗!$AT1463)</f>
        <v>0</v>
      </c>
      <c r="AP1463" s="14">
        <f>INDEX(挂机升级突破!$DP$6:$DP$57,卡牌消耗!AT1463)</f>
        <v>13</v>
      </c>
      <c r="AQ1463" s="14" t="str">
        <f t="shared" si="460"/>
        <v>R守护灵</v>
      </c>
      <c r="AR1463" s="14">
        <f t="shared" si="461"/>
        <v>2</v>
      </c>
      <c r="AS1463" s="14" t="str">
        <f t="shared" si="462"/>
        <v>R守护灵魂火-3</v>
      </c>
      <c r="AT1463" s="14">
        <f t="shared" si="463"/>
        <v>3</v>
      </c>
      <c r="AU1463" s="14" t="str">
        <f>IF(AM1463&gt;0,INDEX(挂机升级突破!$DT$4:$ED$4,AM1463),"")</f>
        <v>金币</v>
      </c>
      <c r="AV1463" s="14">
        <f>ROUND(INDEX(挂机升级突破!$DJ$6:$DJ$57,卡牌消耗!AT1463)*INDEX(卡牌消耗!$B$8:$F$8,AR1463)/$Q$4/50,0)*50</f>
        <v>750</v>
      </c>
      <c r="AW1463" s="14" t="str">
        <f>IF(AN1463&gt;0,INDEX(挂机升级突破!$DT$4:$ED$4,AN1463),"")</f>
        <v>绿色基础材料</v>
      </c>
      <c r="AX1463" s="14">
        <f>ROUND(INDEX(挂机升级突破!$DT$6:$ED$57,卡牌消耗!AT1463,AN1463)*INDEX(卡牌消耗!$B$5:$F$5,AR1463)/$Q$4/5,0)*5</f>
        <v>80</v>
      </c>
      <c r="AY1463" s="14" t="str">
        <f>IF(AO1463&gt;0,INDEX(挂机升级突破!$DT$4:$ED$4,AO1463),"")</f>
        <v/>
      </c>
      <c r="AZ1463" s="14" t="str">
        <f>IF(AO1463&gt;0,ROUND(INDEX(挂机升级突破!$DT$6:$ED$57,卡牌消耗!AT1463,AO1463)*INDEX(卡牌消耗!$B$7:$F$7,AR1463)/$Q$4,0),"")</f>
        <v/>
      </c>
    </row>
    <row r="1464" spans="37:52" ht="16.5" x14ac:dyDescent="0.2">
      <c r="AK1464" s="193">
        <v>1460</v>
      </c>
      <c r="AL1464" s="14">
        <f t="shared" si="455"/>
        <v>29</v>
      </c>
      <c r="AM1464" s="14">
        <f>INDEX(挂机升级突破!DQ$6:DQ$57,卡牌消耗!$AT1464)</f>
        <v>11</v>
      </c>
      <c r="AN1464" s="14">
        <f>INDEX(挂机升级突破!DR$6:DR$57,卡牌消耗!$AT1464)</f>
        <v>1</v>
      </c>
      <c r="AO1464" s="14">
        <f>INDEX(挂机升级突破!DS$6:DS$57,卡牌消耗!$AT1464)</f>
        <v>0</v>
      </c>
      <c r="AP1464" s="14">
        <f>INDEX(挂机升级突破!$DP$6:$DP$57,卡牌消耗!AT1464)</f>
        <v>18</v>
      </c>
      <c r="AQ1464" s="14" t="str">
        <f t="shared" si="460"/>
        <v>R守护灵</v>
      </c>
      <c r="AR1464" s="14">
        <f t="shared" si="461"/>
        <v>2</v>
      </c>
      <c r="AS1464" s="14" t="str">
        <f t="shared" si="462"/>
        <v>R守护灵魂火-4</v>
      </c>
      <c r="AT1464" s="14">
        <f t="shared" si="463"/>
        <v>4</v>
      </c>
      <c r="AU1464" s="14" t="str">
        <f>IF(AM1464&gt;0,INDEX(挂机升级突破!$DT$4:$ED$4,AM1464),"")</f>
        <v>金币</v>
      </c>
      <c r="AV1464" s="14">
        <f>ROUND(INDEX(挂机升级突破!$DJ$6:$DJ$57,卡牌消耗!AT1464)*INDEX(卡牌消耗!$B$8:$F$8,AR1464)/$Q$4/50,0)*50</f>
        <v>750</v>
      </c>
      <c r="AW1464" s="14" t="str">
        <f>IF(AN1464&gt;0,INDEX(挂机升级突破!$DT$4:$ED$4,AN1464),"")</f>
        <v>绿色基础材料</v>
      </c>
      <c r="AX1464" s="14">
        <f>ROUND(INDEX(挂机升级突破!$DT$6:$ED$57,卡牌消耗!AT1464,AN1464)*INDEX(卡牌消耗!$B$5:$F$5,AR1464)/$Q$4/5,0)*5</f>
        <v>115</v>
      </c>
      <c r="AY1464" s="14" t="str">
        <f>IF(AO1464&gt;0,INDEX(挂机升级突破!$DT$4:$ED$4,AO1464),"")</f>
        <v/>
      </c>
      <c r="AZ1464" s="14" t="str">
        <f>IF(AO1464&gt;0,ROUND(INDEX(挂机升级突破!$DT$6:$ED$57,卡牌消耗!AT1464,AO1464)*INDEX(卡牌消耗!$B$7:$F$7,AR1464)/$Q$4,0),"")</f>
        <v/>
      </c>
    </row>
    <row r="1465" spans="37:52" ht="16.5" x14ac:dyDescent="0.2">
      <c r="AK1465" s="193">
        <v>1461</v>
      </c>
      <c r="AL1465" s="14">
        <f t="shared" si="455"/>
        <v>29</v>
      </c>
      <c r="AM1465" s="14">
        <f>INDEX(挂机升级突破!DQ$6:DQ$57,卡牌消耗!$AT1465)</f>
        <v>11</v>
      </c>
      <c r="AN1465" s="14">
        <f>INDEX(挂机升级突破!DR$6:DR$57,卡牌消耗!$AT1465)</f>
        <v>1</v>
      </c>
      <c r="AO1465" s="14">
        <f>INDEX(挂机升级突破!DS$6:DS$57,卡牌消耗!$AT1465)</f>
        <v>0</v>
      </c>
      <c r="AP1465" s="14">
        <f>INDEX(挂机升级突破!$DP$6:$DP$57,卡牌消耗!AT1465)</f>
        <v>23</v>
      </c>
      <c r="AQ1465" s="14" t="str">
        <f t="shared" si="460"/>
        <v>R守护灵</v>
      </c>
      <c r="AR1465" s="14">
        <f t="shared" si="461"/>
        <v>2</v>
      </c>
      <c r="AS1465" s="14" t="str">
        <f t="shared" si="462"/>
        <v>R守护灵魂火-5</v>
      </c>
      <c r="AT1465" s="14">
        <f t="shared" si="463"/>
        <v>5</v>
      </c>
      <c r="AU1465" s="14" t="str">
        <f>IF(AM1465&gt;0,INDEX(挂机升级突破!$DT$4:$ED$4,AM1465),"")</f>
        <v>金币</v>
      </c>
      <c r="AV1465" s="14">
        <f>ROUND(INDEX(挂机升级突破!$DJ$6:$DJ$57,卡牌消耗!AT1465)*INDEX(卡牌消耗!$B$8:$F$8,AR1465)/$Q$4/50,0)*50</f>
        <v>750</v>
      </c>
      <c r="AW1465" s="14" t="str">
        <f>IF(AN1465&gt;0,INDEX(挂机升级突破!$DT$4:$ED$4,AN1465),"")</f>
        <v>绿色基础材料</v>
      </c>
      <c r="AX1465" s="14">
        <f>ROUND(INDEX(挂机升级突破!$DT$6:$ED$57,卡牌消耗!AT1465,AN1465)*INDEX(卡牌消耗!$B$5:$F$5,AR1465)/$Q$4/5,0)*5</f>
        <v>125</v>
      </c>
      <c r="AY1465" s="14" t="str">
        <f>IF(AO1465&gt;0,INDEX(挂机升级突破!$DT$4:$ED$4,AO1465),"")</f>
        <v/>
      </c>
      <c r="AZ1465" s="14" t="str">
        <f>IF(AO1465&gt;0,ROUND(INDEX(挂机升级突破!$DT$6:$ED$57,卡牌消耗!AT1465,AO1465)*INDEX(卡牌消耗!$B$7:$F$7,AR1465)/$Q$4,0),"")</f>
        <v/>
      </c>
    </row>
    <row r="1466" spans="37:52" ht="16.5" x14ac:dyDescent="0.2">
      <c r="AK1466" s="193">
        <v>1462</v>
      </c>
      <c r="AL1466" s="14">
        <f t="shared" si="455"/>
        <v>29</v>
      </c>
      <c r="AM1466" s="14">
        <f>INDEX(挂机升级突破!DQ$6:DQ$57,卡牌消耗!$AT1466)</f>
        <v>11</v>
      </c>
      <c r="AN1466" s="14">
        <f>INDEX(挂机升级突破!DR$6:DR$57,卡牌消耗!$AT1466)</f>
        <v>2</v>
      </c>
      <c r="AO1466" s="14">
        <f>INDEX(挂机升级突破!DS$6:DS$57,卡牌消耗!$AT1466)</f>
        <v>0</v>
      </c>
      <c r="AP1466" s="14">
        <f>INDEX(挂机升级突破!$DP$6:$DP$57,卡牌消耗!AT1466)</f>
        <v>28</v>
      </c>
      <c r="AQ1466" s="14" t="str">
        <f t="shared" si="460"/>
        <v>R守护灵</v>
      </c>
      <c r="AR1466" s="14">
        <f t="shared" si="461"/>
        <v>2</v>
      </c>
      <c r="AS1466" s="14" t="str">
        <f t="shared" si="462"/>
        <v>R守护灵魂火-6</v>
      </c>
      <c r="AT1466" s="14">
        <f t="shared" si="463"/>
        <v>6</v>
      </c>
      <c r="AU1466" s="14" t="str">
        <f>IF(AM1466&gt;0,INDEX(挂机升级突破!$DT$4:$ED$4,AM1466),"")</f>
        <v>金币</v>
      </c>
      <c r="AV1466" s="14">
        <f>ROUND(INDEX(挂机升级突破!$DJ$6:$DJ$57,卡牌消耗!AT1466)*INDEX(卡牌消耗!$B$8:$F$8,AR1466)/$Q$4/50,0)*50</f>
        <v>900</v>
      </c>
      <c r="AW1466" s="14" t="str">
        <f>IF(AN1466&gt;0,INDEX(挂机升级突破!$DT$4:$ED$4,AN1466),"")</f>
        <v>蓝色基础材料</v>
      </c>
      <c r="AX1466" s="14">
        <f>ROUND(INDEX(挂机升级突破!$DT$6:$ED$57,卡牌消耗!AT1466,AN1466)*INDEX(卡牌消耗!$B$5:$F$5,AR1466)/$Q$4/5,0)*5</f>
        <v>25</v>
      </c>
      <c r="AY1466" s="14" t="str">
        <f>IF(AO1466&gt;0,INDEX(挂机升级突破!$DT$4:$ED$4,AO1466),"")</f>
        <v/>
      </c>
      <c r="AZ1466" s="14" t="str">
        <f>IF(AO1466&gt;0,ROUND(INDEX(挂机升级突破!$DT$6:$ED$57,卡牌消耗!AT1466,AO1466)*INDEX(卡牌消耗!$B$7:$F$7,AR1466)/$Q$4,0),"")</f>
        <v/>
      </c>
    </row>
    <row r="1467" spans="37:52" ht="16.5" x14ac:dyDescent="0.2">
      <c r="AK1467" s="193">
        <v>1463</v>
      </c>
      <c r="AL1467" s="14">
        <f t="shared" si="455"/>
        <v>29</v>
      </c>
      <c r="AM1467" s="14">
        <f>INDEX(挂机升级突破!DQ$6:DQ$57,卡牌消耗!$AT1467)</f>
        <v>11</v>
      </c>
      <c r="AN1467" s="14">
        <f>INDEX(挂机升级突破!DR$6:DR$57,卡牌消耗!$AT1467)</f>
        <v>2</v>
      </c>
      <c r="AO1467" s="14">
        <f>INDEX(挂机升级突破!DS$6:DS$57,卡牌消耗!$AT1467)</f>
        <v>0</v>
      </c>
      <c r="AP1467" s="14">
        <f>INDEX(挂机升级突破!$DP$6:$DP$57,卡牌消耗!AT1467)</f>
        <v>33</v>
      </c>
      <c r="AQ1467" s="14" t="str">
        <f t="shared" si="460"/>
        <v>R守护灵</v>
      </c>
      <c r="AR1467" s="14">
        <f t="shared" si="461"/>
        <v>2</v>
      </c>
      <c r="AS1467" s="14" t="str">
        <f t="shared" si="462"/>
        <v>R守护灵魂火-7</v>
      </c>
      <c r="AT1467" s="14">
        <f t="shared" si="463"/>
        <v>7</v>
      </c>
      <c r="AU1467" s="14" t="str">
        <f>IF(AM1467&gt;0,INDEX(挂机升级突破!$DT$4:$ED$4,AM1467),"")</f>
        <v>金币</v>
      </c>
      <c r="AV1467" s="14">
        <f>ROUND(INDEX(挂机升级突破!$DJ$6:$DJ$57,卡牌消耗!AT1467)*INDEX(卡牌消耗!$B$8:$F$8,AR1467)/$Q$4/50,0)*50</f>
        <v>900</v>
      </c>
      <c r="AW1467" s="14" t="str">
        <f>IF(AN1467&gt;0,INDEX(挂机升级突破!$DT$4:$ED$4,AN1467),"")</f>
        <v>蓝色基础材料</v>
      </c>
      <c r="AX1467" s="14">
        <f>ROUND(INDEX(挂机升级突破!$DT$6:$ED$57,卡牌消耗!AT1467,AN1467)*INDEX(卡牌消耗!$B$5:$F$5,AR1467)/$Q$4/5,0)*5</f>
        <v>25</v>
      </c>
      <c r="AY1467" s="14" t="str">
        <f>IF(AO1467&gt;0,INDEX(挂机升级突破!$DT$4:$ED$4,AO1467),"")</f>
        <v/>
      </c>
      <c r="AZ1467" s="14" t="str">
        <f>IF(AO1467&gt;0,ROUND(INDEX(挂机升级突破!$DT$6:$ED$57,卡牌消耗!AT1467,AO1467)*INDEX(卡牌消耗!$B$7:$F$7,AR1467)/$Q$4,0),"")</f>
        <v/>
      </c>
    </row>
    <row r="1468" spans="37:52" ht="16.5" x14ac:dyDescent="0.2">
      <c r="AK1468" s="193">
        <v>1464</v>
      </c>
      <c r="AL1468" s="14">
        <f t="shared" si="455"/>
        <v>29</v>
      </c>
      <c r="AM1468" s="14">
        <f>INDEX(挂机升级突破!DQ$6:DQ$57,卡牌消耗!$AT1468)</f>
        <v>11</v>
      </c>
      <c r="AN1468" s="14">
        <f>INDEX(挂机升级突破!DR$6:DR$57,卡牌消耗!$AT1468)</f>
        <v>2</v>
      </c>
      <c r="AO1468" s="14">
        <f>INDEX(挂机升级突破!DS$6:DS$57,卡牌消耗!$AT1468)</f>
        <v>0</v>
      </c>
      <c r="AP1468" s="14">
        <f>INDEX(挂机升级突破!$DP$6:$DP$57,卡牌消耗!AT1468)</f>
        <v>38</v>
      </c>
      <c r="AQ1468" s="14" t="str">
        <f t="shared" si="460"/>
        <v>R守护灵</v>
      </c>
      <c r="AR1468" s="14">
        <f t="shared" si="461"/>
        <v>2</v>
      </c>
      <c r="AS1468" s="14" t="str">
        <f t="shared" si="462"/>
        <v>R守护灵魂火-8</v>
      </c>
      <c r="AT1468" s="14">
        <f t="shared" si="463"/>
        <v>8</v>
      </c>
      <c r="AU1468" s="14" t="str">
        <f>IF(AM1468&gt;0,INDEX(挂机升级突破!$DT$4:$ED$4,AM1468),"")</f>
        <v>金币</v>
      </c>
      <c r="AV1468" s="14">
        <f>ROUND(INDEX(挂机升级突破!$DJ$6:$DJ$57,卡牌消耗!AT1468)*INDEX(卡牌消耗!$B$8:$F$8,AR1468)/$Q$4/50,0)*50</f>
        <v>1350</v>
      </c>
      <c r="AW1468" s="14" t="str">
        <f>IF(AN1468&gt;0,INDEX(挂机升级突破!$DT$4:$ED$4,AN1468),"")</f>
        <v>蓝色基础材料</v>
      </c>
      <c r="AX1468" s="14">
        <f>ROUND(INDEX(挂机升级突破!$DT$6:$ED$57,卡牌消耗!AT1468,AN1468)*INDEX(卡牌消耗!$B$5:$F$5,AR1468)/$Q$4/5,0)*5</f>
        <v>45</v>
      </c>
      <c r="AY1468" s="14" t="str">
        <f>IF(AO1468&gt;0,INDEX(挂机升级突破!$DT$4:$ED$4,AO1468),"")</f>
        <v/>
      </c>
      <c r="AZ1468" s="14" t="str">
        <f>IF(AO1468&gt;0,ROUND(INDEX(挂机升级突破!$DT$6:$ED$57,卡牌消耗!AT1468,AO1468)*INDEX(卡牌消耗!$B$7:$F$7,AR1468)/$Q$4,0),"")</f>
        <v/>
      </c>
    </row>
    <row r="1469" spans="37:52" ht="16.5" x14ac:dyDescent="0.2">
      <c r="AK1469" s="193">
        <v>1465</v>
      </c>
      <c r="AL1469" s="14">
        <f t="shared" si="455"/>
        <v>29</v>
      </c>
      <c r="AM1469" s="14">
        <f>INDEX(挂机升级突破!DQ$6:DQ$57,卡牌消耗!$AT1469)</f>
        <v>11</v>
      </c>
      <c r="AN1469" s="14">
        <f>INDEX(挂机升级突破!DR$6:DR$57,卡牌消耗!$AT1469)</f>
        <v>2</v>
      </c>
      <c r="AO1469" s="14">
        <f>INDEX(挂机升级突破!DS$6:DS$57,卡牌消耗!$AT1469)</f>
        <v>0</v>
      </c>
      <c r="AP1469" s="14">
        <f>INDEX(挂机升级突破!$DP$6:$DP$57,卡牌消耗!AT1469)</f>
        <v>40</v>
      </c>
      <c r="AQ1469" s="14" t="str">
        <f t="shared" si="460"/>
        <v>R守护灵</v>
      </c>
      <c r="AR1469" s="14">
        <f t="shared" si="461"/>
        <v>2</v>
      </c>
      <c r="AS1469" s="14" t="str">
        <f t="shared" si="462"/>
        <v>R守护灵魂火-9</v>
      </c>
      <c r="AT1469" s="14">
        <f t="shared" si="463"/>
        <v>9</v>
      </c>
      <c r="AU1469" s="14" t="str">
        <f>IF(AM1469&gt;0,INDEX(挂机升级突破!$DT$4:$ED$4,AM1469),"")</f>
        <v>金币</v>
      </c>
      <c r="AV1469" s="14">
        <f>ROUND(INDEX(挂机升级突破!$DJ$6:$DJ$57,卡牌消耗!AT1469)*INDEX(卡牌消耗!$B$8:$F$8,AR1469)/$Q$4/50,0)*50</f>
        <v>1350</v>
      </c>
      <c r="AW1469" s="14" t="str">
        <f>IF(AN1469&gt;0,INDEX(挂机升级突破!$DT$4:$ED$4,AN1469),"")</f>
        <v>蓝色基础材料</v>
      </c>
      <c r="AX1469" s="14">
        <f>ROUND(INDEX(挂机升级突破!$DT$6:$ED$57,卡牌消耗!AT1469,AN1469)*INDEX(卡牌消耗!$B$5:$F$5,AR1469)/$Q$4/5,0)*5</f>
        <v>45</v>
      </c>
      <c r="AY1469" s="14" t="str">
        <f>IF(AO1469&gt;0,INDEX(挂机升级突破!$DT$4:$ED$4,AO1469),"")</f>
        <v/>
      </c>
      <c r="AZ1469" s="14" t="str">
        <f>IF(AO1469&gt;0,ROUND(INDEX(挂机升级突破!$DT$6:$ED$57,卡牌消耗!AT1469,AO1469)*INDEX(卡牌消耗!$B$7:$F$7,AR1469)/$Q$4,0),"")</f>
        <v/>
      </c>
    </row>
    <row r="1470" spans="37:52" ht="16.5" x14ac:dyDescent="0.2">
      <c r="AK1470" s="193">
        <v>1466</v>
      </c>
      <c r="AL1470" s="14">
        <f t="shared" si="455"/>
        <v>29</v>
      </c>
      <c r="AM1470" s="14">
        <f>INDEX(挂机升级突破!DQ$6:DQ$57,卡牌消耗!$AT1470)</f>
        <v>11</v>
      </c>
      <c r="AN1470" s="14">
        <f>INDEX(挂机升级突破!DR$6:DR$57,卡牌消耗!$AT1470)</f>
        <v>2</v>
      </c>
      <c r="AO1470" s="14">
        <f>INDEX(挂机升级突破!DS$6:DS$57,卡牌消耗!$AT1470)</f>
        <v>0</v>
      </c>
      <c r="AP1470" s="14">
        <f>INDEX(挂机升级突破!$DP$6:$DP$57,卡牌消耗!AT1470)</f>
        <v>43</v>
      </c>
      <c r="AQ1470" s="14" t="str">
        <f t="shared" si="460"/>
        <v>R守护灵</v>
      </c>
      <c r="AR1470" s="14">
        <f t="shared" si="461"/>
        <v>2</v>
      </c>
      <c r="AS1470" s="14" t="str">
        <f t="shared" si="462"/>
        <v>R守护灵魂火-10</v>
      </c>
      <c r="AT1470" s="14">
        <f t="shared" si="463"/>
        <v>10</v>
      </c>
      <c r="AU1470" s="14" t="str">
        <f>IF(AM1470&gt;0,INDEX(挂机升级突破!$DT$4:$ED$4,AM1470),"")</f>
        <v>金币</v>
      </c>
      <c r="AV1470" s="14">
        <f>ROUND(INDEX(挂机升级突破!$DJ$6:$DJ$57,卡牌消耗!AT1470)*INDEX(卡牌消耗!$B$8:$F$8,AR1470)/$Q$4/50,0)*50</f>
        <v>2250</v>
      </c>
      <c r="AW1470" s="14" t="str">
        <f>IF(AN1470&gt;0,INDEX(挂机升级突破!$DT$4:$ED$4,AN1470),"")</f>
        <v>蓝色基础材料</v>
      </c>
      <c r="AX1470" s="14">
        <f>ROUND(INDEX(挂机升级突破!$DT$6:$ED$57,卡牌消耗!AT1470,AN1470)*INDEX(卡牌消耗!$B$5:$F$5,AR1470)/$Q$4/5,0)*5</f>
        <v>70</v>
      </c>
      <c r="AY1470" s="14" t="str">
        <f>IF(AO1470&gt;0,INDEX(挂机升级突破!$DT$4:$ED$4,AO1470),"")</f>
        <v/>
      </c>
      <c r="AZ1470" s="14" t="str">
        <f>IF(AO1470&gt;0,ROUND(INDEX(挂机升级突破!$DT$6:$ED$57,卡牌消耗!AT1470,AO1470)*INDEX(卡牌消耗!$B$7:$F$7,AR1470)/$Q$4,0),"")</f>
        <v/>
      </c>
    </row>
    <row r="1471" spans="37:52" ht="16.5" x14ac:dyDescent="0.2">
      <c r="AK1471" s="193">
        <v>1467</v>
      </c>
      <c r="AL1471" s="14">
        <f t="shared" si="455"/>
        <v>29</v>
      </c>
      <c r="AM1471" s="14">
        <f>INDEX(挂机升级突破!DQ$6:DQ$57,卡牌消耗!$AT1471)</f>
        <v>11</v>
      </c>
      <c r="AN1471" s="14">
        <f>INDEX(挂机升级突破!DR$6:DR$57,卡牌消耗!$AT1471)</f>
        <v>2</v>
      </c>
      <c r="AO1471" s="14">
        <f>INDEX(挂机升级突破!DS$6:DS$57,卡牌消耗!$AT1471)</f>
        <v>0</v>
      </c>
      <c r="AP1471" s="14">
        <f>INDEX(挂机升级突破!$DP$6:$DP$57,卡牌消耗!AT1471)</f>
        <v>45</v>
      </c>
      <c r="AQ1471" s="14" t="str">
        <f t="shared" si="460"/>
        <v>R守护灵</v>
      </c>
      <c r="AR1471" s="14">
        <f t="shared" si="461"/>
        <v>2</v>
      </c>
      <c r="AS1471" s="14" t="str">
        <f t="shared" si="462"/>
        <v>R守护灵魂火-11</v>
      </c>
      <c r="AT1471" s="14">
        <f t="shared" si="463"/>
        <v>11</v>
      </c>
      <c r="AU1471" s="14" t="str">
        <f>IF(AM1471&gt;0,INDEX(挂机升级突破!$DT$4:$ED$4,AM1471),"")</f>
        <v>金币</v>
      </c>
      <c r="AV1471" s="14">
        <f>ROUND(INDEX(挂机升级突破!$DJ$6:$DJ$57,卡牌消耗!AT1471)*INDEX(卡牌消耗!$B$8:$F$8,AR1471)/$Q$4/50,0)*50</f>
        <v>2250</v>
      </c>
      <c r="AW1471" s="14" t="str">
        <f>IF(AN1471&gt;0,INDEX(挂机升级突破!$DT$4:$ED$4,AN1471),"")</f>
        <v>蓝色基础材料</v>
      </c>
      <c r="AX1471" s="14">
        <f>ROUND(INDEX(挂机升级突破!$DT$6:$ED$57,卡牌消耗!AT1471,AN1471)*INDEX(卡牌消耗!$B$5:$F$5,AR1471)/$Q$4/5,0)*5</f>
        <v>70</v>
      </c>
      <c r="AY1471" s="14" t="str">
        <f>IF(AO1471&gt;0,INDEX(挂机升级突破!$DT$4:$ED$4,AO1471),"")</f>
        <v/>
      </c>
      <c r="AZ1471" s="14" t="str">
        <f>IF(AO1471&gt;0,ROUND(INDEX(挂机升级突破!$DT$6:$ED$57,卡牌消耗!AT1471,AO1471)*INDEX(卡牌消耗!$B$7:$F$7,AR1471)/$Q$4,0),"")</f>
        <v/>
      </c>
    </row>
    <row r="1472" spans="37:52" ht="16.5" x14ac:dyDescent="0.2">
      <c r="AK1472" s="193">
        <v>1468</v>
      </c>
      <c r="AL1472" s="14">
        <f t="shared" si="455"/>
        <v>29</v>
      </c>
      <c r="AM1472" s="14">
        <f>INDEX(挂机升级突破!DQ$6:DQ$57,卡牌消耗!$AT1472)</f>
        <v>11</v>
      </c>
      <c r="AN1472" s="14">
        <f>INDEX(挂机升级突破!DR$6:DR$57,卡牌消耗!$AT1472)</f>
        <v>2</v>
      </c>
      <c r="AO1472" s="14">
        <f>INDEX(挂机升级突破!DS$6:DS$57,卡牌消耗!$AT1472)</f>
        <v>0</v>
      </c>
      <c r="AP1472" s="14">
        <f>INDEX(挂机升级突破!$DP$6:$DP$57,卡牌消耗!AT1472)</f>
        <v>48</v>
      </c>
      <c r="AQ1472" s="14" t="str">
        <f t="shared" si="460"/>
        <v>R守护灵</v>
      </c>
      <c r="AR1472" s="14">
        <f t="shared" si="461"/>
        <v>2</v>
      </c>
      <c r="AS1472" s="14" t="str">
        <f t="shared" si="462"/>
        <v>R守护灵魂火-12</v>
      </c>
      <c r="AT1472" s="14">
        <f t="shared" si="463"/>
        <v>12</v>
      </c>
      <c r="AU1472" s="14" t="str">
        <f>IF(AM1472&gt;0,INDEX(挂机升级突破!$DT$4:$ED$4,AM1472),"")</f>
        <v>金币</v>
      </c>
      <c r="AV1472" s="14">
        <f>ROUND(INDEX(挂机升级突破!$DJ$6:$DJ$57,卡牌消耗!AT1472)*INDEX(卡牌消耗!$B$8:$F$8,AR1472)/$Q$4/50,0)*50</f>
        <v>1900</v>
      </c>
      <c r="AW1472" s="14" t="str">
        <f>IF(AN1472&gt;0,INDEX(挂机升级突破!$DT$4:$ED$4,AN1472),"")</f>
        <v>蓝色基础材料</v>
      </c>
      <c r="AX1472" s="14">
        <f>ROUND(INDEX(挂机升级突破!$DT$6:$ED$57,卡牌消耗!AT1472,AN1472)*INDEX(卡牌消耗!$B$5:$F$5,AR1472)/$Q$4/5,0)*5</f>
        <v>90</v>
      </c>
      <c r="AY1472" s="14" t="str">
        <f>IF(AO1472&gt;0,INDEX(挂机升级突破!$DT$4:$ED$4,AO1472),"")</f>
        <v/>
      </c>
      <c r="AZ1472" s="14" t="str">
        <f>IF(AO1472&gt;0,ROUND(INDEX(挂机升级突破!$DT$6:$ED$57,卡牌消耗!AT1472,AO1472)*INDEX(卡牌消耗!$B$7:$F$7,AR1472)/$Q$4,0),"")</f>
        <v/>
      </c>
    </row>
    <row r="1473" spans="37:52" ht="16.5" x14ac:dyDescent="0.2">
      <c r="AK1473" s="193">
        <v>1469</v>
      </c>
      <c r="AL1473" s="14">
        <f t="shared" si="455"/>
        <v>29</v>
      </c>
      <c r="AM1473" s="14">
        <f>INDEX(挂机升级突破!DQ$6:DQ$57,卡牌消耗!$AT1473)</f>
        <v>11</v>
      </c>
      <c r="AN1473" s="14">
        <f>INDEX(挂机升级突破!DR$6:DR$57,卡牌消耗!$AT1473)</f>
        <v>2</v>
      </c>
      <c r="AO1473" s="14">
        <f>INDEX(挂机升级突破!DS$6:DS$57,卡牌消耗!$AT1473)</f>
        <v>0</v>
      </c>
      <c r="AP1473" s="14">
        <f>INDEX(挂机升级突破!$DP$6:$DP$57,卡牌消耗!AT1473)</f>
        <v>50</v>
      </c>
      <c r="AQ1473" s="14" t="str">
        <f t="shared" si="460"/>
        <v>R守护灵</v>
      </c>
      <c r="AR1473" s="14">
        <f t="shared" si="461"/>
        <v>2</v>
      </c>
      <c r="AS1473" s="14" t="str">
        <f t="shared" si="462"/>
        <v>R守护灵魂火-13</v>
      </c>
      <c r="AT1473" s="14">
        <f t="shared" si="463"/>
        <v>13</v>
      </c>
      <c r="AU1473" s="14" t="str">
        <f>IF(AM1473&gt;0,INDEX(挂机升级突破!$DT$4:$ED$4,AM1473),"")</f>
        <v>金币</v>
      </c>
      <c r="AV1473" s="14">
        <f>ROUND(INDEX(挂机升级突破!$DJ$6:$DJ$57,卡牌消耗!AT1473)*INDEX(卡牌消耗!$B$8:$F$8,AR1473)/$Q$4/50,0)*50</f>
        <v>1900</v>
      </c>
      <c r="AW1473" s="14" t="str">
        <f>IF(AN1473&gt;0,INDEX(挂机升级突破!$DT$4:$ED$4,AN1473),"")</f>
        <v>蓝色基础材料</v>
      </c>
      <c r="AX1473" s="14">
        <f>ROUND(INDEX(挂机升级突破!$DT$6:$ED$57,卡牌消耗!AT1473,AN1473)*INDEX(卡牌消耗!$B$5:$F$5,AR1473)/$Q$4/5,0)*5</f>
        <v>90</v>
      </c>
      <c r="AY1473" s="14" t="str">
        <f>IF(AO1473&gt;0,INDEX(挂机升级突破!$DT$4:$ED$4,AO1473),"")</f>
        <v/>
      </c>
      <c r="AZ1473" s="14" t="str">
        <f>IF(AO1473&gt;0,ROUND(INDEX(挂机升级突破!$DT$6:$ED$57,卡牌消耗!AT1473,AO1473)*INDEX(卡牌消耗!$B$7:$F$7,AR1473)/$Q$4,0),"")</f>
        <v/>
      </c>
    </row>
    <row r="1474" spans="37:52" ht="16.5" x14ac:dyDescent="0.2">
      <c r="AK1474" s="193">
        <v>1470</v>
      </c>
      <c r="AL1474" s="14">
        <f t="shared" si="455"/>
        <v>29</v>
      </c>
      <c r="AM1474" s="14">
        <f>INDEX(挂机升级突破!DQ$6:DQ$57,卡牌消耗!$AT1474)</f>
        <v>11</v>
      </c>
      <c r="AN1474" s="14">
        <f>INDEX(挂机升级突破!DR$6:DR$57,卡牌消耗!$AT1474)</f>
        <v>3</v>
      </c>
      <c r="AO1474" s="14">
        <f>INDEX(挂机升级突破!DS$6:DS$57,卡牌消耗!$AT1474)</f>
        <v>0</v>
      </c>
      <c r="AP1474" s="14">
        <f>INDEX(挂机升级突破!$DP$6:$DP$57,卡牌消耗!AT1474)</f>
        <v>53</v>
      </c>
      <c r="AQ1474" s="14" t="str">
        <f t="shared" si="460"/>
        <v>R守护灵</v>
      </c>
      <c r="AR1474" s="14">
        <f t="shared" si="461"/>
        <v>2</v>
      </c>
      <c r="AS1474" s="14" t="str">
        <f t="shared" si="462"/>
        <v>R守护灵魂火-14</v>
      </c>
      <c r="AT1474" s="14">
        <f t="shared" si="463"/>
        <v>14</v>
      </c>
      <c r="AU1474" s="14" t="str">
        <f>IF(AM1474&gt;0,INDEX(挂机升级突破!$DT$4:$ED$4,AM1474),"")</f>
        <v>金币</v>
      </c>
      <c r="AV1474" s="14">
        <f>ROUND(INDEX(挂机升级突破!$DJ$6:$DJ$57,卡牌消耗!AT1474)*INDEX(卡牌消耗!$B$8:$F$8,AR1474)/$Q$4/50,0)*50</f>
        <v>2100</v>
      </c>
      <c r="AW1474" s="14" t="str">
        <f>IF(AN1474&gt;0,INDEX(挂机升级突破!$DT$4:$ED$4,AN1474),"")</f>
        <v>紫色基础材料</v>
      </c>
      <c r="AX1474" s="14">
        <f>ROUND(INDEX(挂机升级突破!$DT$6:$ED$57,卡牌消耗!AT1474,AN1474)*INDEX(卡牌消耗!$B$5:$F$5,AR1474)/$Q$4/5,0)*5</f>
        <v>20</v>
      </c>
      <c r="AY1474" s="14" t="str">
        <f>IF(AO1474&gt;0,INDEX(挂机升级突破!$DT$4:$ED$4,AO1474),"")</f>
        <v/>
      </c>
      <c r="AZ1474" s="14" t="str">
        <f>IF(AO1474&gt;0,ROUND(INDEX(挂机升级突破!$DT$6:$ED$57,卡牌消耗!AT1474,AO1474)*INDEX(卡牌消耗!$B$7:$F$7,AR1474)/$Q$4,0),"")</f>
        <v/>
      </c>
    </row>
    <row r="1475" spans="37:52" ht="16.5" x14ac:dyDescent="0.2">
      <c r="AK1475" s="193">
        <v>1471</v>
      </c>
      <c r="AL1475" s="14">
        <f t="shared" si="455"/>
        <v>29</v>
      </c>
      <c r="AM1475" s="14">
        <f>INDEX(挂机升级突破!DQ$6:DQ$57,卡牌消耗!$AT1475)</f>
        <v>11</v>
      </c>
      <c r="AN1475" s="14">
        <f>INDEX(挂机升级突破!DR$6:DR$57,卡牌消耗!$AT1475)</f>
        <v>3</v>
      </c>
      <c r="AO1475" s="14">
        <f>INDEX(挂机升级突破!DS$6:DS$57,卡牌消耗!$AT1475)</f>
        <v>0</v>
      </c>
      <c r="AP1475" s="14">
        <f>INDEX(挂机升级突破!$DP$6:$DP$57,卡牌消耗!AT1475)</f>
        <v>55</v>
      </c>
      <c r="AQ1475" s="14" t="str">
        <f t="shared" si="460"/>
        <v>R守护灵</v>
      </c>
      <c r="AR1475" s="14">
        <f t="shared" si="461"/>
        <v>2</v>
      </c>
      <c r="AS1475" s="14" t="str">
        <f t="shared" si="462"/>
        <v>R守护灵魂火-15</v>
      </c>
      <c r="AT1475" s="14">
        <f t="shared" si="463"/>
        <v>15</v>
      </c>
      <c r="AU1475" s="14" t="str">
        <f>IF(AM1475&gt;0,INDEX(挂机升级突破!$DT$4:$ED$4,AM1475),"")</f>
        <v>金币</v>
      </c>
      <c r="AV1475" s="14">
        <f>ROUND(INDEX(挂机升级突破!$DJ$6:$DJ$57,卡牌消耗!AT1475)*INDEX(卡牌消耗!$B$8:$F$8,AR1475)/$Q$4/50,0)*50</f>
        <v>2300</v>
      </c>
      <c r="AW1475" s="14" t="str">
        <f>IF(AN1475&gt;0,INDEX(挂机升级突破!$DT$4:$ED$4,AN1475),"")</f>
        <v>紫色基础材料</v>
      </c>
      <c r="AX1475" s="14">
        <f>ROUND(INDEX(挂机升级突破!$DT$6:$ED$57,卡牌消耗!AT1475,AN1475)*INDEX(卡牌消耗!$B$5:$F$5,AR1475)/$Q$4/5,0)*5</f>
        <v>20</v>
      </c>
      <c r="AY1475" s="14" t="str">
        <f>IF(AO1475&gt;0,INDEX(挂机升级突破!$DT$4:$ED$4,AO1475),"")</f>
        <v/>
      </c>
      <c r="AZ1475" s="14" t="str">
        <f>IF(AO1475&gt;0,ROUND(INDEX(挂机升级突破!$DT$6:$ED$57,卡牌消耗!AT1475,AO1475)*INDEX(卡牌消耗!$B$7:$F$7,AR1475)/$Q$4,0),"")</f>
        <v/>
      </c>
    </row>
    <row r="1476" spans="37:52" ht="16.5" x14ac:dyDescent="0.2">
      <c r="AK1476" s="193">
        <v>1472</v>
      </c>
      <c r="AL1476" s="14">
        <f t="shared" si="455"/>
        <v>29</v>
      </c>
      <c r="AM1476" s="14">
        <f>INDEX(挂机升级突破!DQ$6:DQ$57,卡牌消耗!$AT1476)</f>
        <v>11</v>
      </c>
      <c r="AN1476" s="14">
        <f>INDEX(挂机升级突破!DR$6:DR$57,卡牌消耗!$AT1476)</f>
        <v>3</v>
      </c>
      <c r="AO1476" s="14">
        <f>INDEX(挂机升级突破!DS$6:DS$57,卡牌消耗!$AT1476)</f>
        <v>0</v>
      </c>
      <c r="AP1476" s="14">
        <f>INDEX(挂机升级突破!$DP$6:$DP$57,卡牌消耗!AT1476)</f>
        <v>58</v>
      </c>
      <c r="AQ1476" s="14" t="str">
        <f t="shared" si="460"/>
        <v>R守护灵</v>
      </c>
      <c r="AR1476" s="14">
        <f t="shared" si="461"/>
        <v>2</v>
      </c>
      <c r="AS1476" s="14" t="str">
        <f t="shared" si="462"/>
        <v>R守护灵魂火-16</v>
      </c>
      <c r="AT1476" s="14">
        <f t="shared" si="463"/>
        <v>16</v>
      </c>
      <c r="AU1476" s="14" t="str">
        <f>IF(AM1476&gt;0,INDEX(挂机升级突破!$DT$4:$ED$4,AM1476),"")</f>
        <v>金币</v>
      </c>
      <c r="AV1476" s="14">
        <f>ROUND(INDEX(挂机升级突破!$DJ$6:$DJ$57,卡牌消耗!AT1476)*INDEX(卡牌消耗!$B$8:$F$8,AR1476)/$Q$4/50,0)*50</f>
        <v>2300</v>
      </c>
      <c r="AW1476" s="14" t="str">
        <f>IF(AN1476&gt;0,INDEX(挂机升级突破!$DT$4:$ED$4,AN1476),"")</f>
        <v>紫色基础材料</v>
      </c>
      <c r="AX1476" s="14">
        <f>ROUND(INDEX(挂机升级突破!$DT$6:$ED$57,卡牌消耗!AT1476,AN1476)*INDEX(卡牌消耗!$B$5:$F$5,AR1476)/$Q$4/5,0)*5</f>
        <v>20</v>
      </c>
      <c r="AY1476" s="14" t="str">
        <f>IF(AO1476&gt;0,INDEX(挂机升级突破!$DT$4:$ED$4,AO1476),"")</f>
        <v/>
      </c>
      <c r="AZ1476" s="14" t="str">
        <f>IF(AO1476&gt;0,ROUND(INDEX(挂机升级突破!$DT$6:$ED$57,卡牌消耗!AT1476,AO1476)*INDEX(卡牌消耗!$B$7:$F$7,AR1476)/$Q$4,0),"")</f>
        <v/>
      </c>
    </row>
    <row r="1477" spans="37:52" ht="16.5" x14ac:dyDescent="0.2">
      <c r="AK1477" s="193">
        <v>1473</v>
      </c>
      <c r="AL1477" s="14">
        <f t="shared" si="455"/>
        <v>29</v>
      </c>
      <c r="AM1477" s="14">
        <f>INDEX(挂机升级突破!DQ$6:DQ$57,卡牌消耗!$AT1477)</f>
        <v>11</v>
      </c>
      <c r="AN1477" s="14">
        <f>INDEX(挂机升级突破!DR$6:DR$57,卡牌消耗!$AT1477)</f>
        <v>3</v>
      </c>
      <c r="AO1477" s="14">
        <f>INDEX(挂机升级突破!DS$6:DS$57,卡牌消耗!$AT1477)</f>
        <v>0</v>
      </c>
      <c r="AP1477" s="14">
        <f>INDEX(挂机升级突破!$DP$6:$DP$57,卡牌消耗!AT1477)</f>
        <v>60</v>
      </c>
      <c r="AQ1477" s="14" t="str">
        <f t="shared" si="460"/>
        <v>R守护灵</v>
      </c>
      <c r="AR1477" s="14">
        <f t="shared" si="461"/>
        <v>2</v>
      </c>
      <c r="AS1477" s="14" t="str">
        <f t="shared" si="462"/>
        <v>R守护灵魂火-17</v>
      </c>
      <c r="AT1477" s="14">
        <f t="shared" si="463"/>
        <v>17</v>
      </c>
      <c r="AU1477" s="14" t="str">
        <f>IF(AM1477&gt;0,INDEX(挂机升级突破!$DT$4:$ED$4,AM1477),"")</f>
        <v>金币</v>
      </c>
      <c r="AV1477" s="14">
        <f>ROUND(INDEX(挂机升级突破!$DJ$6:$DJ$57,卡牌消耗!AT1477)*INDEX(卡牌消耗!$B$8:$F$8,AR1477)/$Q$4/50,0)*50</f>
        <v>2850</v>
      </c>
      <c r="AW1477" s="14" t="str">
        <f>IF(AN1477&gt;0,INDEX(挂机升级突破!$DT$4:$ED$4,AN1477),"")</f>
        <v>紫色基础材料</v>
      </c>
      <c r="AX1477" s="14">
        <f>ROUND(INDEX(挂机升级突破!$DT$6:$ED$57,卡牌消耗!AT1477,AN1477)*INDEX(卡牌消耗!$B$5:$F$5,AR1477)/$Q$4/5,0)*5</f>
        <v>35</v>
      </c>
      <c r="AY1477" s="14" t="str">
        <f>IF(AO1477&gt;0,INDEX(挂机升级突破!$DT$4:$ED$4,AO1477),"")</f>
        <v/>
      </c>
      <c r="AZ1477" s="14" t="str">
        <f>IF(AO1477&gt;0,ROUND(INDEX(挂机升级突破!$DT$6:$ED$57,卡牌消耗!AT1477,AO1477)*INDEX(卡牌消耗!$B$7:$F$7,AR1477)/$Q$4,0),"")</f>
        <v/>
      </c>
    </row>
    <row r="1478" spans="37:52" ht="16.5" x14ac:dyDescent="0.2">
      <c r="AK1478" s="193">
        <v>1474</v>
      </c>
      <c r="AL1478" s="14">
        <f t="shared" ref="AL1478:AL1541" si="464">INT((AK1478-1)/52)+1</f>
        <v>29</v>
      </c>
      <c r="AM1478" s="14">
        <f>INDEX(挂机升级突破!DQ$6:DQ$57,卡牌消耗!$AT1478)</f>
        <v>11</v>
      </c>
      <c r="AN1478" s="14">
        <f>INDEX(挂机升级突破!DR$6:DR$57,卡牌消耗!$AT1478)</f>
        <v>3</v>
      </c>
      <c r="AO1478" s="14">
        <f>INDEX(挂机升级突破!DS$6:DS$57,卡牌消耗!$AT1478)</f>
        <v>0</v>
      </c>
      <c r="AP1478" s="14">
        <f>INDEX(挂机升级突破!$DP$6:$DP$57,卡牌消耗!AT1478)</f>
        <v>63</v>
      </c>
      <c r="AQ1478" s="14" t="str">
        <f t="shared" si="460"/>
        <v>R守护灵</v>
      </c>
      <c r="AR1478" s="14">
        <f t="shared" si="461"/>
        <v>2</v>
      </c>
      <c r="AS1478" s="14" t="str">
        <f t="shared" si="462"/>
        <v>R守护灵魂火-18</v>
      </c>
      <c r="AT1478" s="14">
        <f t="shared" si="463"/>
        <v>18</v>
      </c>
      <c r="AU1478" s="14" t="str">
        <f>IF(AM1478&gt;0,INDEX(挂机升级突破!$DT$4:$ED$4,AM1478),"")</f>
        <v>金币</v>
      </c>
      <c r="AV1478" s="14">
        <f>ROUND(INDEX(挂机升级突破!$DJ$6:$DJ$57,卡牌消耗!AT1478)*INDEX(卡牌消耗!$B$8:$F$8,AR1478)/$Q$4/50,0)*50</f>
        <v>2850</v>
      </c>
      <c r="AW1478" s="14" t="str">
        <f>IF(AN1478&gt;0,INDEX(挂机升级突破!$DT$4:$ED$4,AN1478),"")</f>
        <v>紫色基础材料</v>
      </c>
      <c r="AX1478" s="14">
        <f>ROUND(INDEX(挂机升级突破!$DT$6:$ED$57,卡牌消耗!AT1478,AN1478)*INDEX(卡牌消耗!$B$5:$F$5,AR1478)/$Q$4/5,0)*5</f>
        <v>35</v>
      </c>
      <c r="AY1478" s="14" t="str">
        <f>IF(AO1478&gt;0,INDEX(挂机升级突破!$DT$4:$ED$4,AO1478),"")</f>
        <v/>
      </c>
      <c r="AZ1478" s="14" t="str">
        <f>IF(AO1478&gt;0,ROUND(INDEX(挂机升级突破!$DT$6:$ED$57,卡牌消耗!AT1478,AO1478)*INDEX(卡牌消耗!$B$7:$F$7,AR1478)/$Q$4,0),"")</f>
        <v/>
      </c>
    </row>
    <row r="1479" spans="37:52" ht="16.5" x14ac:dyDescent="0.2">
      <c r="AK1479" s="193">
        <v>1475</v>
      </c>
      <c r="AL1479" s="14">
        <f t="shared" si="464"/>
        <v>29</v>
      </c>
      <c r="AM1479" s="14">
        <f>INDEX(挂机升级突破!DQ$6:DQ$57,卡牌消耗!$AT1479)</f>
        <v>11</v>
      </c>
      <c r="AN1479" s="14">
        <f>INDEX(挂机升级突破!DR$6:DR$57,卡牌消耗!$AT1479)</f>
        <v>3</v>
      </c>
      <c r="AO1479" s="14">
        <f>INDEX(挂机升级突破!DS$6:DS$57,卡牌消耗!$AT1479)</f>
        <v>0</v>
      </c>
      <c r="AP1479" s="14">
        <f>INDEX(挂机升级突破!$DP$6:$DP$57,卡牌消耗!AT1479)</f>
        <v>65</v>
      </c>
      <c r="AQ1479" s="14" t="str">
        <f t="shared" si="460"/>
        <v>R守护灵</v>
      </c>
      <c r="AR1479" s="14">
        <f t="shared" si="461"/>
        <v>2</v>
      </c>
      <c r="AS1479" s="14" t="str">
        <f t="shared" si="462"/>
        <v>R守护灵魂火-19</v>
      </c>
      <c r="AT1479" s="14">
        <f t="shared" si="463"/>
        <v>19</v>
      </c>
      <c r="AU1479" s="14" t="str">
        <f>IF(AM1479&gt;0,INDEX(挂机升级突破!$DT$4:$ED$4,AM1479),"")</f>
        <v>金币</v>
      </c>
      <c r="AV1479" s="14">
        <f>ROUND(INDEX(挂机升级突破!$DJ$6:$DJ$57,卡牌消耗!AT1479)*INDEX(卡牌消耗!$B$8:$F$8,AR1479)/$Q$4/50,0)*50</f>
        <v>2850</v>
      </c>
      <c r="AW1479" s="14" t="str">
        <f>IF(AN1479&gt;0,INDEX(挂机升级突破!$DT$4:$ED$4,AN1479),"")</f>
        <v>紫色基础材料</v>
      </c>
      <c r="AX1479" s="14">
        <f>ROUND(INDEX(挂机升级突破!$DT$6:$ED$57,卡牌消耗!AT1479,AN1479)*INDEX(卡牌消耗!$B$5:$F$5,AR1479)/$Q$4/5,0)*5</f>
        <v>35</v>
      </c>
      <c r="AY1479" s="14" t="str">
        <f>IF(AO1479&gt;0,INDEX(挂机升级突破!$DT$4:$ED$4,AO1479),"")</f>
        <v/>
      </c>
      <c r="AZ1479" s="14" t="str">
        <f>IF(AO1479&gt;0,ROUND(INDEX(挂机升级突破!$DT$6:$ED$57,卡牌消耗!AT1479,AO1479)*INDEX(卡牌消耗!$B$7:$F$7,AR1479)/$Q$4,0),"")</f>
        <v/>
      </c>
    </row>
    <row r="1480" spans="37:52" ht="16.5" x14ac:dyDescent="0.2">
      <c r="AK1480" s="193">
        <v>1476</v>
      </c>
      <c r="AL1480" s="14">
        <f t="shared" si="464"/>
        <v>29</v>
      </c>
      <c r="AM1480" s="14">
        <f>INDEX(挂机升级突破!DQ$6:DQ$57,卡牌消耗!$AT1480)</f>
        <v>11</v>
      </c>
      <c r="AN1480" s="14">
        <f>INDEX(挂机升级突破!DR$6:DR$57,卡牌消耗!$AT1480)</f>
        <v>3</v>
      </c>
      <c r="AO1480" s="14">
        <f>INDEX(挂机升级突破!DS$6:DS$57,卡牌消耗!$AT1480)</f>
        <v>0</v>
      </c>
      <c r="AP1480" s="14">
        <f>INDEX(挂机升级突破!$DP$6:$DP$57,卡牌消耗!AT1480)</f>
        <v>68</v>
      </c>
      <c r="AQ1480" s="14" t="str">
        <f t="shared" si="460"/>
        <v>R守护灵</v>
      </c>
      <c r="AR1480" s="14">
        <f t="shared" si="461"/>
        <v>2</v>
      </c>
      <c r="AS1480" s="14" t="str">
        <f t="shared" si="462"/>
        <v>R守护灵魂火-20</v>
      </c>
      <c r="AT1480" s="14">
        <f t="shared" si="463"/>
        <v>20</v>
      </c>
      <c r="AU1480" s="14" t="str">
        <f>IF(AM1480&gt;0,INDEX(挂机升级突破!$DT$4:$ED$4,AM1480),"")</f>
        <v>金币</v>
      </c>
      <c r="AV1480" s="14">
        <f>ROUND(INDEX(挂机升级突破!$DJ$6:$DJ$57,卡牌消耗!AT1480)*INDEX(卡牌消耗!$B$8:$F$8,AR1480)/$Q$4/50,0)*50</f>
        <v>3500</v>
      </c>
      <c r="AW1480" s="14" t="str">
        <f>IF(AN1480&gt;0,INDEX(挂机升级突破!$DT$4:$ED$4,AN1480),"")</f>
        <v>紫色基础材料</v>
      </c>
      <c r="AX1480" s="14">
        <f>ROUND(INDEX(挂机升级突破!$DT$6:$ED$57,卡牌消耗!AT1480,AN1480)*INDEX(卡牌消耗!$B$5:$F$5,AR1480)/$Q$4/5,0)*5</f>
        <v>55</v>
      </c>
      <c r="AY1480" s="14" t="str">
        <f>IF(AO1480&gt;0,INDEX(挂机升级突破!$DT$4:$ED$4,AO1480),"")</f>
        <v/>
      </c>
      <c r="AZ1480" s="14" t="str">
        <f>IF(AO1480&gt;0,ROUND(INDEX(挂机升级突破!$DT$6:$ED$57,卡牌消耗!AT1480,AO1480)*INDEX(卡牌消耗!$B$7:$F$7,AR1480)/$Q$4,0),"")</f>
        <v/>
      </c>
    </row>
    <row r="1481" spans="37:52" ht="16.5" x14ac:dyDescent="0.2">
      <c r="AK1481" s="193">
        <v>1477</v>
      </c>
      <c r="AL1481" s="14">
        <f t="shared" si="464"/>
        <v>29</v>
      </c>
      <c r="AM1481" s="14">
        <f>INDEX(挂机升级突破!DQ$6:DQ$57,卡牌消耗!$AT1481)</f>
        <v>11</v>
      </c>
      <c r="AN1481" s="14">
        <f>INDEX(挂机升级突破!DR$6:DR$57,卡牌消耗!$AT1481)</f>
        <v>3</v>
      </c>
      <c r="AO1481" s="14">
        <f>INDEX(挂机升级突破!DS$6:DS$57,卡牌消耗!$AT1481)</f>
        <v>0</v>
      </c>
      <c r="AP1481" s="14">
        <f>INDEX(挂机升级突破!$DP$6:$DP$57,卡牌消耗!AT1481)</f>
        <v>70</v>
      </c>
      <c r="AQ1481" s="14" t="str">
        <f t="shared" si="460"/>
        <v>R守护灵</v>
      </c>
      <c r="AR1481" s="14">
        <f t="shared" si="461"/>
        <v>2</v>
      </c>
      <c r="AS1481" s="14" t="str">
        <f t="shared" si="462"/>
        <v>R守护灵魂火-21</v>
      </c>
      <c r="AT1481" s="14">
        <f t="shared" si="463"/>
        <v>21</v>
      </c>
      <c r="AU1481" s="14" t="str">
        <f>IF(AM1481&gt;0,INDEX(挂机升级突破!$DT$4:$ED$4,AM1481),"")</f>
        <v>金币</v>
      </c>
      <c r="AV1481" s="14">
        <f>ROUND(INDEX(挂机升级突破!$DJ$6:$DJ$57,卡牌消耗!AT1481)*INDEX(卡牌消耗!$B$8:$F$8,AR1481)/$Q$4/50,0)*50</f>
        <v>3500</v>
      </c>
      <c r="AW1481" s="14" t="str">
        <f>IF(AN1481&gt;0,INDEX(挂机升级突破!$DT$4:$ED$4,AN1481),"")</f>
        <v>紫色基础材料</v>
      </c>
      <c r="AX1481" s="14">
        <f>ROUND(INDEX(挂机升级突破!$DT$6:$ED$57,卡牌消耗!AT1481,AN1481)*INDEX(卡牌消耗!$B$5:$F$5,AR1481)/$Q$4/5,0)*5</f>
        <v>55</v>
      </c>
      <c r="AY1481" s="14" t="str">
        <f>IF(AO1481&gt;0,INDEX(挂机升级突破!$DT$4:$ED$4,AO1481),"")</f>
        <v/>
      </c>
      <c r="AZ1481" s="14" t="str">
        <f>IF(AO1481&gt;0,ROUND(INDEX(挂机升级突破!$DT$6:$ED$57,卡牌消耗!AT1481,AO1481)*INDEX(卡牌消耗!$B$7:$F$7,AR1481)/$Q$4,0),"")</f>
        <v/>
      </c>
    </row>
    <row r="1482" spans="37:52" ht="16.5" x14ac:dyDescent="0.2">
      <c r="AK1482" s="193">
        <v>1478</v>
      </c>
      <c r="AL1482" s="14">
        <f t="shared" si="464"/>
        <v>29</v>
      </c>
      <c r="AM1482" s="14">
        <f>INDEX(挂机升级突破!DQ$6:DQ$57,卡牌消耗!$AT1482)</f>
        <v>11</v>
      </c>
      <c r="AN1482" s="14">
        <f>INDEX(挂机升级突破!DR$6:DR$57,卡牌消耗!$AT1482)</f>
        <v>3</v>
      </c>
      <c r="AO1482" s="14">
        <f>INDEX(挂机升级突破!DS$6:DS$57,卡牌消耗!$AT1482)</f>
        <v>0</v>
      </c>
      <c r="AP1482" s="14">
        <f>INDEX(挂机升级突破!$DP$6:$DP$57,卡牌消耗!AT1482)</f>
        <v>73</v>
      </c>
      <c r="AQ1482" s="14" t="str">
        <f t="shared" si="460"/>
        <v>R守护灵</v>
      </c>
      <c r="AR1482" s="14">
        <f t="shared" si="461"/>
        <v>2</v>
      </c>
      <c r="AS1482" s="14" t="str">
        <f t="shared" si="462"/>
        <v>R守护灵魂火-22</v>
      </c>
      <c r="AT1482" s="14">
        <f t="shared" si="463"/>
        <v>22</v>
      </c>
      <c r="AU1482" s="14" t="str">
        <f>IF(AM1482&gt;0,INDEX(挂机升级突破!$DT$4:$ED$4,AM1482),"")</f>
        <v>金币</v>
      </c>
      <c r="AV1482" s="14">
        <f>ROUND(INDEX(挂机升级突破!$DJ$6:$DJ$57,卡牌消耗!AT1482)*INDEX(卡牌消耗!$B$8:$F$8,AR1482)/$Q$4/50,0)*50</f>
        <v>3500</v>
      </c>
      <c r="AW1482" s="14" t="str">
        <f>IF(AN1482&gt;0,INDEX(挂机升级突破!$DT$4:$ED$4,AN1482),"")</f>
        <v>紫色基础材料</v>
      </c>
      <c r="AX1482" s="14">
        <f>ROUND(INDEX(挂机升级突破!$DT$6:$ED$57,卡牌消耗!AT1482,AN1482)*INDEX(卡牌消耗!$B$5:$F$5,AR1482)/$Q$4/5,0)*5</f>
        <v>55</v>
      </c>
      <c r="AY1482" s="14" t="str">
        <f>IF(AO1482&gt;0,INDEX(挂机升级突破!$DT$4:$ED$4,AO1482),"")</f>
        <v/>
      </c>
      <c r="AZ1482" s="14" t="str">
        <f>IF(AO1482&gt;0,ROUND(INDEX(挂机升级突破!$DT$6:$ED$57,卡牌消耗!AT1482,AO1482)*INDEX(卡牌消耗!$B$7:$F$7,AR1482)/$Q$4,0),"")</f>
        <v/>
      </c>
    </row>
    <row r="1483" spans="37:52" ht="16.5" x14ac:dyDescent="0.2">
      <c r="AK1483" s="193">
        <v>1479</v>
      </c>
      <c r="AL1483" s="14">
        <f t="shared" si="464"/>
        <v>29</v>
      </c>
      <c r="AM1483" s="14">
        <f>INDEX(挂机升级突破!DQ$6:DQ$57,卡牌消耗!$AT1483)</f>
        <v>11</v>
      </c>
      <c r="AN1483" s="14">
        <f>INDEX(挂机升级突破!DR$6:DR$57,卡牌消耗!$AT1483)</f>
        <v>4</v>
      </c>
      <c r="AO1483" s="14">
        <f>INDEX(挂机升级突破!DS$6:DS$57,卡牌消耗!$AT1483)</f>
        <v>0</v>
      </c>
      <c r="AP1483" s="14">
        <f>INDEX(挂机升级突破!$DP$6:$DP$57,卡牌消耗!AT1483)</f>
        <v>75</v>
      </c>
      <c r="AQ1483" s="14" t="str">
        <f t="shared" si="460"/>
        <v>R守护灵</v>
      </c>
      <c r="AR1483" s="14">
        <f t="shared" si="461"/>
        <v>2</v>
      </c>
      <c r="AS1483" s="14" t="str">
        <f t="shared" si="462"/>
        <v>R守护灵魂火-23</v>
      </c>
      <c r="AT1483" s="14">
        <f t="shared" si="463"/>
        <v>23</v>
      </c>
      <c r="AU1483" s="14" t="str">
        <f>IF(AM1483&gt;0,INDEX(挂机升级突破!$DT$4:$ED$4,AM1483),"")</f>
        <v>金币</v>
      </c>
      <c r="AV1483" s="14">
        <f>ROUND(INDEX(挂机升级突破!$DJ$6:$DJ$57,卡牌消耗!AT1483)*INDEX(卡牌消耗!$B$8:$F$8,AR1483)/$Q$4/50,0)*50</f>
        <v>4850</v>
      </c>
      <c r="AW1483" s="14" t="str">
        <f>IF(AN1483&gt;0,INDEX(挂机升级突破!$DT$4:$ED$4,AN1483),"")</f>
        <v>橙色基础材料</v>
      </c>
      <c r="AX1483" s="14">
        <f>ROUND(INDEX(挂机升级突破!$DT$6:$ED$57,卡牌消耗!AT1483,AN1483)*INDEX(卡牌消耗!$B$5:$F$5,AR1483)/$Q$4/5,0)*5</f>
        <v>15</v>
      </c>
      <c r="AY1483" s="14" t="str">
        <f>IF(AO1483&gt;0,INDEX(挂机升级突破!$DT$4:$ED$4,AO1483),"")</f>
        <v/>
      </c>
      <c r="AZ1483" s="14" t="str">
        <f>IF(AO1483&gt;0,ROUND(INDEX(挂机升级突破!$DT$6:$ED$57,卡牌消耗!AT1483,AO1483)*INDEX(卡牌消耗!$B$7:$F$7,AR1483)/$Q$4,0),"")</f>
        <v/>
      </c>
    </row>
    <row r="1484" spans="37:52" ht="16.5" x14ac:dyDescent="0.2">
      <c r="AK1484" s="193">
        <v>1480</v>
      </c>
      <c r="AL1484" s="14">
        <f t="shared" si="464"/>
        <v>29</v>
      </c>
      <c r="AM1484" s="14">
        <f>INDEX(挂机升级突破!DQ$6:DQ$57,卡牌消耗!$AT1484)</f>
        <v>11</v>
      </c>
      <c r="AN1484" s="14">
        <f>INDEX(挂机升级突破!DR$6:DR$57,卡牌消耗!$AT1484)</f>
        <v>4</v>
      </c>
      <c r="AO1484" s="14">
        <f>INDEX(挂机升级突破!DS$6:DS$57,卡牌消耗!$AT1484)</f>
        <v>0</v>
      </c>
      <c r="AP1484" s="14">
        <f>INDEX(挂机升级突破!$DP$6:$DP$57,卡牌消耗!AT1484)</f>
        <v>78</v>
      </c>
      <c r="AQ1484" s="14" t="str">
        <f t="shared" si="460"/>
        <v>R守护灵</v>
      </c>
      <c r="AR1484" s="14">
        <f t="shared" si="461"/>
        <v>2</v>
      </c>
      <c r="AS1484" s="14" t="str">
        <f t="shared" si="462"/>
        <v>R守护灵魂火-24</v>
      </c>
      <c r="AT1484" s="14">
        <f t="shared" si="463"/>
        <v>24</v>
      </c>
      <c r="AU1484" s="14" t="str">
        <f>IF(AM1484&gt;0,INDEX(挂机升级突破!$DT$4:$ED$4,AM1484),"")</f>
        <v>金币</v>
      </c>
      <c r="AV1484" s="14">
        <f>ROUND(INDEX(挂机升级突破!$DJ$6:$DJ$57,卡牌消耗!AT1484)*INDEX(卡牌消耗!$B$8:$F$8,AR1484)/$Q$4/50,0)*50</f>
        <v>4850</v>
      </c>
      <c r="AW1484" s="14" t="str">
        <f>IF(AN1484&gt;0,INDEX(挂机升级突破!$DT$4:$ED$4,AN1484),"")</f>
        <v>橙色基础材料</v>
      </c>
      <c r="AX1484" s="14">
        <f>ROUND(INDEX(挂机升级突破!$DT$6:$ED$57,卡牌消耗!AT1484,AN1484)*INDEX(卡牌消耗!$B$5:$F$5,AR1484)/$Q$4/5,0)*5</f>
        <v>15</v>
      </c>
      <c r="AY1484" s="14" t="str">
        <f>IF(AO1484&gt;0,INDEX(挂机升级突破!$DT$4:$ED$4,AO1484),"")</f>
        <v/>
      </c>
      <c r="AZ1484" s="14" t="str">
        <f>IF(AO1484&gt;0,ROUND(INDEX(挂机升级突破!$DT$6:$ED$57,卡牌消耗!AT1484,AO1484)*INDEX(卡牌消耗!$B$7:$F$7,AR1484)/$Q$4,0),"")</f>
        <v/>
      </c>
    </row>
    <row r="1485" spans="37:52" ht="16.5" x14ac:dyDescent="0.2">
      <c r="AK1485" s="193">
        <v>1481</v>
      </c>
      <c r="AL1485" s="14">
        <f t="shared" si="464"/>
        <v>29</v>
      </c>
      <c r="AM1485" s="14">
        <f>INDEX(挂机升级突破!DQ$6:DQ$57,卡牌消耗!$AT1485)</f>
        <v>11</v>
      </c>
      <c r="AN1485" s="14">
        <f>INDEX(挂机升级突破!DR$6:DR$57,卡牌消耗!$AT1485)</f>
        <v>4</v>
      </c>
      <c r="AO1485" s="14">
        <f>INDEX(挂机升级突破!DS$6:DS$57,卡牌消耗!$AT1485)</f>
        <v>0</v>
      </c>
      <c r="AP1485" s="14">
        <f>INDEX(挂机升级突破!$DP$6:$DP$57,卡牌消耗!AT1485)</f>
        <v>80</v>
      </c>
      <c r="AQ1485" s="14" t="str">
        <f t="shared" si="460"/>
        <v>R守护灵</v>
      </c>
      <c r="AR1485" s="14">
        <f t="shared" si="461"/>
        <v>2</v>
      </c>
      <c r="AS1485" s="14" t="str">
        <f t="shared" si="462"/>
        <v>R守护灵魂火-25</v>
      </c>
      <c r="AT1485" s="14">
        <f t="shared" si="463"/>
        <v>25</v>
      </c>
      <c r="AU1485" s="14" t="str">
        <f>IF(AM1485&gt;0,INDEX(挂机升级突破!$DT$4:$ED$4,AM1485),"")</f>
        <v>金币</v>
      </c>
      <c r="AV1485" s="14">
        <f>ROUND(INDEX(挂机升级突破!$DJ$6:$DJ$57,卡牌消耗!AT1485)*INDEX(卡牌消耗!$B$8:$F$8,AR1485)/$Q$4/50,0)*50</f>
        <v>5250</v>
      </c>
      <c r="AW1485" s="14" t="str">
        <f>IF(AN1485&gt;0,INDEX(挂机升级突破!$DT$4:$ED$4,AN1485),"")</f>
        <v>橙色基础材料</v>
      </c>
      <c r="AX1485" s="14">
        <f>ROUND(INDEX(挂机升级突破!$DT$6:$ED$57,卡牌消耗!AT1485,AN1485)*INDEX(卡牌消耗!$B$5:$F$5,AR1485)/$Q$4/5,0)*5</f>
        <v>15</v>
      </c>
      <c r="AY1485" s="14" t="str">
        <f>IF(AO1485&gt;0,INDEX(挂机升级突破!$DT$4:$ED$4,AO1485),"")</f>
        <v/>
      </c>
      <c r="AZ1485" s="14" t="str">
        <f>IF(AO1485&gt;0,ROUND(INDEX(挂机升级突破!$DT$6:$ED$57,卡牌消耗!AT1485,AO1485)*INDEX(卡牌消耗!$B$7:$F$7,AR1485)/$Q$4,0),"")</f>
        <v/>
      </c>
    </row>
    <row r="1486" spans="37:52" ht="16.5" x14ac:dyDescent="0.2">
      <c r="AK1486" s="193">
        <v>1482</v>
      </c>
      <c r="AL1486" s="14">
        <f t="shared" si="464"/>
        <v>29</v>
      </c>
      <c r="AM1486" s="14">
        <f>INDEX(挂机升级突破!DQ$6:DQ$57,卡牌消耗!$AT1486)</f>
        <v>11</v>
      </c>
      <c r="AN1486" s="14">
        <f>INDEX(挂机升级突破!DR$6:DR$57,卡牌消耗!$AT1486)</f>
        <v>4</v>
      </c>
      <c r="AO1486" s="14">
        <f>INDEX(挂机升级突破!DS$6:DS$57,卡牌消耗!$AT1486)</f>
        <v>0</v>
      </c>
      <c r="AP1486" s="14">
        <f>INDEX(挂机升级突破!$DP$6:$DP$57,卡牌消耗!AT1486)</f>
        <v>83</v>
      </c>
      <c r="AQ1486" s="14" t="str">
        <f t="shared" si="460"/>
        <v>R守护灵</v>
      </c>
      <c r="AR1486" s="14">
        <f t="shared" si="461"/>
        <v>2</v>
      </c>
      <c r="AS1486" s="14" t="str">
        <f t="shared" si="462"/>
        <v>R守护灵魂火-26</v>
      </c>
      <c r="AT1486" s="14">
        <f t="shared" si="463"/>
        <v>26</v>
      </c>
      <c r="AU1486" s="14" t="str">
        <f>IF(AM1486&gt;0,INDEX(挂机升级突破!$DT$4:$ED$4,AM1486),"")</f>
        <v>金币</v>
      </c>
      <c r="AV1486" s="14">
        <f>ROUND(INDEX(挂机升级突破!$DJ$6:$DJ$57,卡牌消耗!AT1486)*INDEX(卡牌消耗!$B$8:$F$8,AR1486)/$Q$4/50,0)*50</f>
        <v>6150</v>
      </c>
      <c r="AW1486" s="14" t="str">
        <f>IF(AN1486&gt;0,INDEX(挂机升级突破!$DT$4:$ED$4,AN1486),"")</f>
        <v>橙色基础材料</v>
      </c>
      <c r="AX1486" s="14">
        <f>ROUND(INDEX(挂机升级突破!$DT$6:$ED$57,卡牌消耗!AT1486,AN1486)*INDEX(卡牌消耗!$B$5:$F$5,AR1486)/$Q$4/5,0)*5</f>
        <v>20</v>
      </c>
      <c r="AY1486" s="14" t="str">
        <f>IF(AO1486&gt;0,INDEX(挂机升级突破!$DT$4:$ED$4,AO1486),"")</f>
        <v/>
      </c>
      <c r="AZ1486" s="14" t="str">
        <f>IF(AO1486&gt;0,ROUND(INDEX(挂机升级突破!$DT$6:$ED$57,卡牌消耗!AT1486,AO1486)*INDEX(卡牌消耗!$B$7:$F$7,AR1486)/$Q$4,0),"")</f>
        <v/>
      </c>
    </row>
    <row r="1487" spans="37:52" ht="16.5" x14ac:dyDescent="0.2">
      <c r="AK1487" s="193">
        <v>1483</v>
      </c>
      <c r="AL1487" s="14">
        <f t="shared" si="464"/>
        <v>29</v>
      </c>
      <c r="AM1487" s="14">
        <f>INDEX(挂机升级突破!DQ$6:DQ$57,卡牌消耗!$AT1487)</f>
        <v>11</v>
      </c>
      <c r="AN1487" s="14">
        <f>INDEX(挂机升级突破!DR$6:DR$57,卡牌消耗!$AT1487)</f>
        <v>4</v>
      </c>
      <c r="AO1487" s="14">
        <f>INDEX(挂机升级突破!DS$6:DS$57,卡牌消耗!$AT1487)</f>
        <v>0</v>
      </c>
      <c r="AP1487" s="14">
        <f>INDEX(挂机升级突破!$DP$6:$DP$57,卡牌消耗!AT1487)</f>
        <v>85</v>
      </c>
      <c r="AQ1487" s="14" t="str">
        <f t="shared" si="460"/>
        <v>R守护灵</v>
      </c>
      <c r="AR1487" s="14">
        <f t="shared" si="461"/>
        <v>2</v>
      </c>
      <c r="AS1487" s="14" t="str">
        <f t="shared" si="462"/>
        <v>R守护灵魂火-27</v>
      </c>
      <c r="AT1487" s="14">
        <f t="shared" si="463"/>
        <v>27</v>
      </c>
      <c r="AU1487" s="14" t="str">
        <f>IF(AM1487&gt;0,INDEX(挂机升级突破!$DT$4:$ED$4,AM1487),"")</f>
        <v>金币</v>
      </c>
      <c r="AV1487" s="14">
        <f>ROUND(INDEX(挂机升级突破!$DJ$6:$DJ$57,卡牌消耗!AT1487)*INDEX(卡牌消耗!$B$8:$F$8,AR1487)/$Q$4/50,0)*50</f>
        <v>6150</v>
      </c>
      <c r="AW1487" s="14" t="str">
        <f>IF(AN1487&gt;0,INDEX(挂机升级突破!$DT$4:$ED$4,AN1487),"")</f>
        <v>橙色基础材料</v>
      </c>
      <c r="AX1487" s="14">
        <f>ROUND(INDEX(挂机升级突破!$DT$6:$ED$57,卡牌消耗!AT1487,AN1487)*INDEX(卡牌消耗!$B$5:$F$5,AR1487)/$Q$4/5,0)*5</f>
        <v>20</v>
      </c>
      <c r="AY1487" s="14" t="str">
        <f>IF(AO1487&gt;0,INDEX(挂机升级突破!$DT$4:$ED$4,AO1487),"")</f>
        <v/>
      </c>
      <c r="AZ1487" s="14" t="str">
        <f>IF(AO1487&gt;0,ROUND(INDEX(挂机升级突破!$DT$6:$ED$57,卡牌消耗!AT1487,AO1487)*INDEX(卡牌消耗!$B$7:$F$7,AR1487)/$Q$4,0),"")</f>
        <v/>
      </c>
    </row>
    <row r="1488" spans="37:52" ht="16.5" x14ac:dyDescent="0.2">
      <c r="AK1488" s="193">
        <v>1484</v>
      </c>
      <c r="AL1488" s="14">
        <f t="shared" si="464"/>
        <v>29</v>
      </c>
      <c r="AM1488" s="14">
        <f>INDEX(挂机升级突破!DQ$6:DQ$57,卡牌消耗!$AT1488)</f>
        <v>11</v>
      </c>
      <c r="AN1488" s="14">
        <f>INDEX(挂机升级突破!DR$6:DR$57,卡牌消耗!$AT1488)</f>
        <v>4</v>
      </c>
      <c r="AO1488" s="14">
        <f>INDEX(挂机升级突破!DS$6:DS$57,卡牌消耗!$AT1488)</f>
        <v>0</v>
      </c>
      <c r="AP1488" s="14">
        <f>INDEX(挂机升级突破!$DP$6:$DP$57,卡牌消耗!AT1488)</f>
        <v>88</v>
      </c>
      <c r="AQ1488" s="14" t="str">
        <f t="shared" si="460"/>
        <v>R守护灵</v>
      </c>
      <c r="AR1488" s="14">
        <f t="shared" si="461"/>
        <v>2</v>
      </c>
      <c r="AS1488" s="14" t="str">
        <f t="shared" si="462"/>
        <v>R守护灵魂火-28</v>
      </c>
      <c r="AT1488" s="14">
        <f t="shared" si="463"/>
        <v>28</v>
      </c>
      <c r="AU1488" s="14" t="str">
        <f>IF(AM1488&gt;0,INDEX(挂机升级突破!$DT$4:$ED$4,AM1488),"")</f>
        <v>金币</v>
      </c>
      <c r="AV1488" s="14">
        <f>ROUND(INDEX(挂机升级突破!$DJ$6:$DJ$57,卡牌消耗!AT1488)*INDEX(卡牌消耗!$B$8:$F$8,AR1488)/$Q$4/50,0)*50</f>
        <v>6150</v>
      </c>
      <c r="AW1488" s="14" t="str">
        <f>IF(AN1488&gt;0,INDEX(挂机升级突破!$DT$4:$ED$4,AN1488),"")</f>
        <v>橙色基础材料</v>
      </c>
      <c r="AX1488" s="14">
        <f>ROUND(INDEX(挂机升级突破!$DT$6:$ED$57,卡牌消耗!AT1488,AN1488)*INDEX(卡牌消耗!$B$5:$F$5,AR1488)/$Q$4/5,0)*5</f>
        <v>20</v>
      </c>
      <c r="AY1488" s="14" t="str">
        <f>IF(AO1488&gt;0,INDEX(挂机升级突破!$DT$4:$ED$4,AO1488),"")</f>
        <v/>
      </c>
      <c r="AZ1488" s="14" t="str">
        <f>IF(AO1488&gt;0,ROUND(INDEX(挂机升级突破!$DT$6:$ED$57,卡牌消耗!AT1488,AO1488)*INDEX(卡牌消耗!$B$7:$F$7,AR1488)/$Q$4,0),"")</f>
        <v/>
      </c>
    </row>
    <row r="1489" spans="37:52" ht="16.5" x14ac:dyDescent="0.2">
      <c r="AK1489" s="193">
        <v>1485</v>
      </c>
      <c r="AL1489" s="14">
        <f t="shared" si="464"/>
        <v>29</v>
      </c>
      <c r="AM1489" s="14">
        <f>INDEX(挂机升级突破!DQ$6:DQ$57,卡牌消耗!$AT1489)</f>
        <v>11</v>
      </c>
      <c r="AN1489" s="14">
        <f>INDEX(挂机升级突破!DR$6:DR$57,卡牌消耗!$AT1489)</f>
        <v>4</v>
      </c>
      <c r="AO1489" s="14">
        <f>INDEX(挂机升级突破!DS$6:DS$57,卡牌消耗!$AT1489)</f>
        <v>0</v>
      </c>
      <c r="AP1489" s="14">
        <f>INDEX(挂机升级突破!$DP$6:$DP$57,卡牌消耗!AT1489)</f>
        <v>90</v>
      </c>
      <c r="AQ1489" s="14" t="str">
        <f t="shared" si="460"/>
        <v>R守护灵</v>
      </c>
      <c r="AR1489" s="14">
        <f t="shared" si="461"/>
        <v>2</v>
      </c>
      <c r="AS1489" s="14" t="str">
        <f t="shared" si="462"/>
        <v>R守护灵魂火-29</v>
      </c>
      <c r="AT1489" s="14">
        <f t="shared" si="463"/>
        <v>29</v>
      </c>
      <c r="AU1489" s="14" t="str">
        <f>IF(AM1489&gt;0,INDEX(挂机升级突破!$DT$4:$ED$4,AM1489),"")</f>
        <v>金币</v>
      </c>
      <c r="AV1489" s="14">
        <f>ROUND(INDEX(挂机升级突破!$DJ$6:$DJ$57,卡牌消耗!AT1489)*INDEX(卡牌消耗!$B$8:$F$8,AR1489)/$Q$4/50,0)*50</f>
        <v>6200</v>
      </c>
      <c r="AW1489" s="14" t="str">
        <f>IF(AN1489&gt;0,INDEX(挂机升级突破!$DT$4:$ED$4,AN1489),"")</f>
        <v>橙色基础材料</v>
      </c>
      <c r="AX1489" s="14">
        <f>ROUND(INDEX(挂机升级突破!$DT$6:$ED$57,卡牌消耗!AT1489,AN1489)*INDEX(卡牌消耗!$B$5:$F$5,AR1489)/$Q$4/5,0)*5</f>
        <v>20</v>
      </c>
      <c r="AY1489" s="14" t="str">
        <f>IF(AO1489&gt;0,INDEX(挂机升级突破!$DT$4:$ED$4,AO1489),"")</f>
        <v/>
      </c>
      <c r="AZ1489" s="14" t="str">
        <f>IF(AO1489&gt;0,ROUND(INDEX(挂机升级突破!$DT$6:$ED$57,卡牌消耗!AT1489,AO1489)*INDEX(卡牌消耗!$B$7:$F$7,AR1489)/$Q$4,0),"")</f>
        <v/>
      </c>
    </row>
    <row r="1490" spans="37:52" ht="16.5" x14ac:dyDescent="0.2">
      <c r="AK1490" s="193">
        <v>1486</v>
      </c>
      <c r="AL1490" s="14">
        <f t="shared" si="464"/>
        <v>29</v>
      </c>
      <c r="AM1490" s="14">
        <f>INDEX(挂机升级突破!DQ$6:DQ$57,卡牌消耗!$AT1490)</f>
        <v>11</v>
      </c>
      <c r="AN1490" s="14">
        <f>INDEX(挂机升级突破!DR$6:DR$57,卡牌消耗!$AT1490)</f>
        <v>4</v>
      </c>
      <c r="AO1490" s="14">
        <f>INDEX(挂机升级突破!DS$6:DS$57,卡牌消耗!$AT1490)</f>
        <v>0</v>
      </c>
      <c r="AP1490" s="14">
        <f>INDEX(挂机升级突破!$DP$6:$DP$57,卡牌消耗!AT1490)</f>
        <v>93</v>
      </c>
      <c r="AQ1490" s="14" t="str">
        <f t="shared" si="460"/>
        <v>R守护灵</v>
      </c>
      <c r="AR1490" s="14">
        <f t="shared" si="461"/>
        <v>2</v>
      </c>
      <c r="AS1490" s="14" t="str">
        <f t="shared" si="462"/>
        <v>R守护灵魂火-30</v>
      </c>
      <c r="AT1490" s="14">
        <f t="shared" si="463"/>
        <v>30</v>
      </c>
      <c r="AU1490" s="14" t="str">
        <f>IF(AM1490&gt;0,INDEX(挂机升级突破!$DT$4:$ED$4,AM1490),"")</f>
        <v>金币</v>
      </c>
      <c r="AV1490" s="14">
        <f>ROUND(INDEX(挂机升级突破!$DJ$6:$DJ$57,卡牌消耗!AT1490)*INDEX(卡牌消耗!$B$8:$F$8,AR1490)/$Q$4/50,0)*50</f>
        <v>6200</v>
      </c>
      <c r="AW1490" s="14" t="str">
        <f>IF(AN1490&gt;0,INDEX(挂机升级突破!$DT$4:$ED$4,AN1490),"")</f>
        <v>橙色基础材料</v>
      </c>
      <c r="AX1490" s="14">
        <f>ROUND(INDEX(挂机升级突破!$DT$6:$ED$57,卡牌消耗!AT1490,AN1490)*INDEX(卡牌消耗!$B$5:$F$5,AR1490)/$Q$4/5,0)*5</f>
        <v>20</v>
      </c>
      <c r="AY1490" s="14" t="str">
        <f>IF(AO1490&gt;0,INDEX(挂机升级突破!$DT$4:$ED$4,AO1490),"")</f>
        <v/>
      </c>
      <c r="AZ1490" s="14" t="str">
        <f>IF(AO1490&gt;0,ROUND(INDEX(挂机升级突破!$DT$6:$ED$57,卡牌消耗!AT1490,AO1490)*INDEX(卡牌消耗!$B$7:$F$7,AR1490)/$Q$4,0),"")</f>
        <v/>
      </c>
    </row>
    <row r="1491" spans="37:52" ht="16.5" x14ac:dyDescent="0.2">
      <c r="AK1491" s="193">
        <v>1487</v>
      </c>
      <c r="AL1491" s="14">
        <f t="shared" si="464"/>
        <v>29</v>
      </c>
      <c r="AM1491" s="14">
        <f>INDEX(挂机升级突破!DQ$6:DQ$57,卡牌消耗!$AT1491)</f>
        <v>11</v>
      </c>
      <c r="AN1491" s="14">
        <f>INDEX(挂机升级突破!DR$6:DR$57,卡牌消耗!$AT1491)</f>
        <v>4</v>
      </c>
      <c r="AO1491" s="14">
        <f>INDEX(挂机升级突破!DS$6:DS$57,卡牌消耗!$AT1491)</f>
        <v>0</v>
      </c>
      <c r="AP1491" s="14">
        <f>INDEX(挂机升级突破!$DP$6:$DP$57,卡牌消耗!AT1491)</f>
        <v>95</v>
      </c>
      <c r="AQ1491" s="14" t="str">
        <f t="shared" si="460"/>
        <v>R守护灵</v>
      </c>
      <c r="AR1491" s="14">
        <f t="shared" si="461"/>
        <v>2</v>
      </c>
      <c r="AS1491" s="14" t="str">
        <f t="shared" si="462"/>
        <v>R守护灵魂火-31</v>
      </c>
      <c r="AT1491" s="14">
        <f t="shared" si="463"/>
        <v>31</v>
      </c>
      <c r="AU1491" s="14" t="str">
        <f>IF(AM1491&gt;0,INDEX(挂机升级突破!$DT$4:$ED$4,AM1491),"")</f>
        <v>金币</v>
      </c>
      <c r="AV1491" s="14">
        <f>ROUND(INDEX(挂机升级突破!$DJ$6:$DJ$57,卡牌消耗!AT1491)*INDEX(卡牌消耗!$B$8:$F$8,AR1491)/$Q$4/50,0)*50</f>
        <v>6200</v>
      </c>
      <c r="AW1491" s="14" t="str">
        <f>IF(AN1491&gt;0,INDEX(挂机升级突破!$DT$4:$ED$4,AN1491),"")</f>
        <v>橙色基础材料</v>
      </c>
      <c r="AX1491" s="14">
        <f>ROUND(INDEX(挂机升级突破!$DT$6:$ED$57,卡牌消耗!AT1491,AN1491)*INDEX(卡牌消耗!$B$5:$F$5,AR1491)/$Q$4/5,0)*5</f>
        <v>20</v>
      </c>
      <c r="AY1491" s="14" t="str">
        <f>IF(AO1491&gt;0,INDEX(挂机升级突破!$DT$4:$ED$4,AO1491),"")</f>
        <v/>
      </c>
      <c r="AZ1491" s="14" t="str">
        <f>IF(AO1491&gt;0,ROUND(INDEX(挂机升级突破!$DT$6:$ED$57,卡牌消耗!AT1491,AO1491)*INDEX(卡牌消耗!$B$7:$F$7,AR1491)/$Q$4,0),"")</f>
        <v/>
      </c>
    </row>
    <row r="1492" spans="37:52" ht="16.5" x14ac:dyDescent="0.2">
      <c r="AK1492" s="193">
        <v>1488</v>
      </c>
      <c r="AL1492" s="14">
        <f t="shared" si="464"/>
        <v>29</v>
      </c>
      <c r="AM1492" s="14">
        <f>INDEX(挂机升级突破!DQ$6:DQ$57,卡牌消耗!$AT1492)</f>
        <v>11</v>
      </c>
      <c r="AN1492" s="14">
        <f>INDEX(挂机升级突破!DR$6:DR$57,卡牌消耗!$AT1492)</f>
        <v>4</v>
      </c>
      <c r="AO1492" s="14">
        <f>INDEX(挂机升级突破!DS$6:DS$57,卡牌消耗!$AT1492)</f>
        <v>0</v>
      </c>
      <c r="AP1492" s="14">
        <f>INDEX(挂机升级突破!$DP$6:$DP$57,卡牌消耗!AT1492)</f>
        <v>98</v>
      </c>
      <c r="AQ1492" s="14" t="str">
        <f t="shared" si="460"/>
        <v>R守护灵</v>
      </c>
      <c r="AR1492" s="14">
        <f t="shared" si="461"/>
        <v>2</v>
      </c>
      <c r="AS1492" s="14" t="str">
        <f t="shared" si="462"/>
        <v>R守护灵魂火-32</v>
      </c>
      <c r="AT1492" s="14">
        <f t="shared" si="463"/>
        <v>32</v>
      </c>
      <c r="AU1492" s="14" t="str">
        <f>IF(AM1492&gt;0,INDEX(挂机升级突破!$DT$4:$ED$4,AM1492),"")</f>
        <v>金币</v>
      </c>
      <c r="AV1492" s="14">
        <f>ROUND(INDEX(挂机升级突破!$DJ$6:$DJ$57,卡牌消耗!AT1492)*INDEX(卡牌消耗!$B$8:$F$8,AR1492)/$Q$4/50,0)*50</f>
        <v>8550</v>
      </c>
      <c r="AW1492" s="14" t="str">
        <f>IF(AN1492&gt;0,INDEX(挂机升级突破!$DT$4:$ED$4,AN1492),"")</f>
        <v>橙色基础材料</v>
      </c>
      <c r="AX1492" s="14">
        <f>ROUND(INDEX(挂机升级突破!$DT$6:$ED$57,卡牌消耗!AT1492,AN1492)*INDEX(卡牌消耗!$B$5:$F$5,AR1492)/$Q$4/5,0)*5</f>
        <v>20</v>
      </c>
      <c r="AY1492" s="14" t="str">
        <f>IF(AO1492&gt;0,INDEX(挂机升级突破!$DT$4:$ED$4,AO1492),"")</f>
        <v/>
      </c>
      <c r="AZ1492" s="14" t="str">
        <f>IF(AO1492&gt;0,ROUND(INDEX(挂机升级突破!$DT$6:$ED$57,卡牌消耗!AT1492,AO1492)*INDEX(卡牌消耗!$B$7:$F$7,AR1492)/$Q$4,0),"")</f>
        <v/>
      </c>
    </row>
    <row r="1493" spans="37:52" ht="16.5" x14ac:dyDescent="0.2">
      <c r="AK1493" s="193">
        <v>1489</v>
      </c>
      <c r="AL1493" s="14">
        <f t="shared" si="464"/>
        <v>29</v>
      </c>
      <c r="AM1493" s="14">
        <f>INDEX(挂机升级突破!DQ$6:DQ$57,卡牌消耗!$AT1493)</f>
        <v>11</v>
      </c>
      <c r="AN1493" s="14">
        <f>INDEX(挂机升级突破!DR$6:DR$57,卡牌消耗!$AT1493)</f>
        <v>4</v>
      </c>
      <c r="AO1493" s="14">
        <f>INDEX(挂机升级突破!DS$6:DS$57,卡牌消耗!$AT1493)</f>
        <v>0</v>
      </c>
      <c r="AP1493" s="14">
        <f>INDEX(挂机升级突破!$DP$6:$DP$57,卡牌消耗!AT1493)</f>
        <v>100</v>
      </c>
      <c r="AQ1493" s="14" t="str">
        <f t="shared" si="460"/>
        <v>R守护灵</v>
      </c>
      <c r="AR1493" s="14">
        <f t="shared" si="461"/>
        <v>2</v>
      </c>
      <c r="AS1493" s="14" t="str">
        <f t="shared" si="462"/>
        <v>R守护灵魂火-33</v>
      </c>
      <c r="AT1493" s="14">
        <f t="shared" si="463"/>
        <v>33</v>
      </c>
      <c r="AU1493" s="14" t="str">
        <f>IF(AM1493&gt;0,INDEX(挂机升级突破!$DT$4:$ED$4,AM1493),"")</f>
        <v>金币</v>
      </c>
      <c r="AV1493" s="14">
        <f>ROUND(INDEX(挂机升级突破!$DJ$6:$DJ$57,卡牌消耗!AT1493)*INDEX(卡牌消耗!$B$8:$F$8,AR1493)/$Q$4/50,0)*50</f>
        <v>8550</v>
      </c>
      <c r="AW1493" s="14" t="str">
        <f>IF(AN1493&gt;0,INDEX(挂机升级突破!$DT$4:$ED$4,AN1493),"")</f>
        <v>橙色基础材料</v>
      </c>
      <c r="AX1493" s="14">
        <f>ROUND(INDEX(挂机升级突破!$DT$6:$ED$57,卡牌消耗!AT1493,AN1493)*INDEX(卡牌消耗!$B$5:$F$5,AR1493)/$Q$4/5,0)*5</f>
        <v>20</v>
      </c>
      <c r="AY1493" s="14" t="str">
        <f>IF(AO1493&gt;0,INDEX(挂机升级突破!$DT$4:$ED$4,AO1493),"")</f>
        <v/>
      </c>
      <c r="AZ1493" s="14" t="str">
        <f>IF(AO1493&gt;0,ROUND(INDEX(挂机升级突破!$DT$6:$ED$57,卡牌消耗!AT1493,AO1493)*INDEX(卡牌消耗!$B$7:$F$7,AR1493)/$Q$4,0),"")</f>
        <v/>
      </c>
    </row>
    <row r="1494" spans="37:52" ht="16.5" x14ac:dyDescent="0.2">
      <c r="AK1494" s="193">
        <v>1490</v>
      </c>
      <c r="AL1494" s="14">
        <f t="shared" si="464"/>
        <v>29</v>
      </c>
      <c r="AM1494" s="14">
        <f>INDEX(挂机升级突破!DQ$6:DQ$57,卡牌消耗!$AT1494)</f>
        <v>11</v>
      </c>
      <c r="AN1494" s="14">
        <f>INDEX(挂机升级突破!DR$6:DR$57,卡牌消耗!$AT1494)</f>
        <v>4</v>
      </c>
      <c r="AO1494" s="14">
        <f>INDEX(挂机升级突破!DS$6:DS$57,卡牌消耗!$AT1494)</f>
        <v>0</v>
      </c>
      <c r="AP1494" s="14">
        <f>INDEX(挂机升级突破!$DP$6:$DP$57,卡牌消耗!AT1494)</f>
        <v>103</v>
      </c>
      <c r="AQ1494" s="14" t="str">
        <f t="shared" si="460"/>
        <v>R守护灵</v>
      </c>
      <c r="AR1494" s="14">
        <f t="shared" si="461"/>
        <v>2</v>
      </c>
      <c r="AS1494" s="14" t="str">
        <f t="shared" si="462"/>
        <v>R守护灵魂火-34</v>
      </c>
      <c r="AT1494" s="14">
        <f t="shared" si="463"/>
        <v>34</v>
      </c>
      <c r="AU1494" s="14" t="str">
        <f>IF(AM1494&gt;0,INDEX(挂机升级突破!$DT$4:$ED$4,AM1494),"")</f>
        <v>金币</v>
      </c>
      <c r="AV1494" s="14">
        <f>ROUND(INDEX(挂机升级突破!$DJ$6:$DJ$57,卡牌消耗!AT1494)*INDEX(卡牌消耗!$B$8:$F$8,AR1494)/$Q$4/50,0)*50</f>
        <v>8550</v>
      </c>
      <c r="AW1494" s="14" t="str">
        <f>IF(AN1494&gt;0,INDEX(挂机升级突破!$DT$4:$ED$4,AN1494),"")</f>
        <v>橙色基础材料</v>
      </c>
      <c r="AX1494" s="14">
        <f>ROUND(INDEX(挂机升级突破!$DT$6:$ED$57,卡牌消耗!AT1494,AN1494)*INDEX(卡牌消耗!$B$5:$F$5,AR1494)/$Q$4/5,0)*5</f>
        <v>25</v>
      </c>
      <c r="AY1494" s="14" t="str">
        <f>IF(AO1494&gt;0,INDEX(挂机升级突破!$DT$4:$ED$4,AO1494),"")</f>
        <v/>
      </c>
      <c r="AZ1494" s="14" t="str">
        <f>IF(AO1494&gt;0,ROUND(INDEX(挂机升级突破!$DT$6:$ED$57,卡牌消耗!AT1494,AO1494)*INDEX(卡牌消耗!$B$7:$F$7,AR1494)/$Q$4,0),"")</f>
        <v/>
      </c>
    </row>
    <row r="1495" spans="37:52" ht="16.5" x14ac:dyDescent="0.2">
      <c r="AK1495" s="193">
        <v>1491</v>
      </c>
      <c r="AL1495" s="14">
        <f t="shared" si="464"/>
        <v>29</v>
      </c>
      <c r="AM1495" s="14">
        <f>INDEX(挂机升级突破!DQ$6:DQ$57,卡牌消耗!$AT1495)</f>
        <v>11</v>
      </c>
      <c r="AN1495" s="14">
        <f>INDEX(挂机升级突破!DR$6:DR$57,卡牌消耗!$AT1495)</f>
        <v>4</v>
      </c>
      <c r="AO1495" s="14">
        <f>INDEX(挂机升级突破!DS$6:DS$57,卡牌消耗!$AT1495)</f>
        <v>0</v>
      </c>
      <c r="AP1495" s="14">
        <f>INDEX(挂机升级突破!$DP$6:$DP$57,卡牌消耗!AT1495)</f>
        <v>105</v>
      </c>
      <c r="AQ1495" s="14" t="str">
        <f t="shared" si="460"/>
        <v>R守护灵</v>
      </c>
      <c r="AR1495" s="14">
        <f t="shared" si="461"/>
        <v>2</v>
      </c>
      <c r="AS1495" s="14" t="str">
        <f t="shared" si="462"/>
        <v>R守护灵魂火-35</v>
      </c>
      <c r="AT1495" s="14">
        <f t="shared" si="463"/>
        <v>35</v>
      </c>
      <c r="AU1495" s="14" t="str">
        <f>IF(AM1495&gt;0,INDEX(挂机升级突破!$DT$4:$ED$4,AM1495),"")</f>
        <v>金币</v>
      </c>
      <c r="AV1495" s="14">
        <f>ROUND(INDEX(挂机升级突破!$DJ$6:$DJ$57,卡牌消耗!AT1495)*INDEX(卡牌消耗!$B$8:$F$8,AR1495)/$Q$4/50,0)*50</f>
        <v>10900</v>
      </c>
      <c r="AW1495" s="14" t="str">
        <f>IF(AN1495&gt;0,INDEX(挂机升级突破!$DT$4:$ED$4,AN1495),"")</f>
        <v>橙色基础材料</v>
      </c>
      <c r="AX1495" s="14">
        <f>ROUND(INDEX(挂机升级突破!$DT$6:$ED$57,卡牌消耗!AT1495,AN1495)*INDEX(卡牌消耗!$B$5:$F$5,AR1495)/$Q$4/5,0)*5</f>
        <v>25</v>
      </c>
      <c r="AY1495" s="14" t="str">
        <f>IF(AO1495&gt;0,INDEX(挂机升级突破!$DT$4:$ED$4,AO1495),"")</f>
        <v/>
      </c>
      <c r="AZ1495" s="14" t="str">
        <f>IF(AO1495&gt;0,ROUND(INDEX(挂机升级突破!$DT$6:$ED$57,卡牌消耗!AT1495,AO1495)*INDEX(卡牌消耗!$B$7:$F$7,AR1495)/$Q$4,0),"")</f>
        <v/>
      </c>
    </row>
    <row r="1496" spans="37:52" ht="16.5" x14ac:dyDescent="0.2">
      <c r="AK1496" s="193">
        <v>1492</v>
      </c>
      <c r="AL1496" s="14">
        <f t="shared" si="464"/>
        <v>29</v>
      </c>
      <c r="AM1496" s="14">
        <f>INDEX(挂机升级突破!DQ$6:DQ$57,卡牌消耗!$AT1496)</f>
        <v>11</v>
      </c>
      <c r="AN1496" s="14">
        <f>INDEX(挂机升级突破!DR$6:DR$57,卡牌消耗!$AT1496)</f>
        <v>4</v>
      </c>
      <c r="AO1496" s="14">
        <f>INDEX(挂机升级突破!DS$6:DS$57,卡牌消耗!$AT1496)</f>
        <v>0</v>
      </c>
      <c r="AP1496" s="14">
        <f>INDEX(挂机升级突破!$DP$6:$DP$57,卡牌消耗!AT1496)</f>
        <v>108</v>
      </c>
      <c r="AQ1496" s="14" t="str">
        <f t="shared" ref="AQ1496:AQ1559" si="465">INDEX($B$13:$B$45,AL1496)</f>
        <v>R守护灵</v>
      </c>
      <c r="AR1496" s="14">
        <f t="shared" ref="AR1496:AR1559" si="466">INDEX($C$13:$C$45,AL1496)</f>
        <v>2</v>
      </c>
      <c r="AS1496" s="14" t="str">
        <f t="shared" ref="AS1496:AS1559" si="467">AQ1496&amp;"魂火-"&amp;AT1496</f>
        <v>R守护灵魂火-36</v>
      </c>
      <c r="AT1496" s="14">
        <f t="shared" ref="AT1496:AT1559" si="468">AK1496-(AL1496-1)*52</f>
        <v>36</v>
      </c>
      <c r="AU1496" s="14" t="str">
        <f>IF(AM1496&gt;0,INDEX(挂机升级突破!$DT$4:$ED$4,AM1496),"")</f>
        <v>金币</v>
      </c>
      <c r="AV1496" s="14">
        <f>ROUND(INDEX(挂机升级突破!$DJ$6:$DJ$57,卡牌消耗!AT1496)*INDEX(卡牌消耗!$B$8:$F$8,AR1496)/$Q$4/50,0)*50</f>
        <v>10900</v>
      </c>
      <c r="AW1496" s="14" t="str">
        <f>IF(AN1496&gt;0,INDEX(挂机升级突破!$DT$4:$ED$4,AN1496),"")</f>
        <v>橙色基础材料</v>
      </c>
      <c r="AX1496" s="14">
        <f>ROUND(INDEX(挂机升级突破!$DT$6:$ED$57,卡牌消耗!AT1496,AN1496)*INDEX(卡牌消耗!$B$5:$F$5,AR1496)/$Q$4/5,0)*5</f>
        <v>25</v>
      </c>
      <c r="AY1496" s="14" t="str">
        <f>IF(AO1496&gt;0,INDEX(挂机升级突破!$DT$4:$ED$4,AO1496),"")</f>
        <v/>
      </c>
      <c r="AZ1496" s="14" t="str">
        <f>IF(AO1496&gt;0,ROUND(INDEX(挂机升级突破!$DT$6:$ED$57,卡牌消耗!AT1496,AO1496)*INDEX(卡牌消耗!$B$7:$F$7,AR1496)/$Q$4,0),"")</f>
        <v/>
      </c>
    </row>
    <row r="1497" spans="37:52" ht="16.5" x14ac:dyDescent="0.2">
      <c r="AK1497" s="193">
        <v>1493</v>
      </c>
      <c r="AL1497" s="14">
        <f t="shared" si="464"/>
        <v>29</v>
      </c>
      <c r="AM1497" s="14">
        <f>INDEX(挂机升级突破!DQ$6:DQ$57,卡牌消耗!$AT1497)</f>
        <v>11</v>
      </c>
      <c r="AN1497" s="14">
        <f>INDEX(挂机升级突破!DR$6:DR$57,卡牌消耗!$AT1497)</f>
        <v>4</v>
      </c>
      <c r="AO1497" s="14">
        <f>INDEX(挂机升级突破!DS$6:DS$57,卡牌消耗!$AT1497)</f>
        <v>0</v>
      </c>
      <c r="AP1497" s="14">
        <f>INDEX(挂机升级突破!$DP$6:$DP$57,卡牌消耗!AT1497)</f>
        <v>110</v>
      </c>
      <c r="AQ1497" s="14" t="str">
        <f t="shared" si="465"/>
        <v>R守护灵</v>
      </c>
      <c r="AR1497" s="14">
        <f t="shared" si="466"/>
        <v>2</v>
      </c>
      <c r="AS1497" s="14" t="str">
        <f t="shared" si="467"/>
        <v>R守护灵魂火-37</v>
      </c>
      <c r="AT1497" s="14">
        <f t="shared" si="468"/>
        <v>37</v>
      </c>
      <c r="AU1497" s="14" t="str">
        <f>IF(AM1497&gt;0,INDEX(挂机升级突破!$DT$4:$ED$4,AM1497),"")</f>
        <v>金币</v>
      </c>
      <c r="AV1497" s="14">
        <f>ROUND(INDEX(挂机升级突破!$DJ$6:$DJ$57,卡牌消耗!AT1497)*INDEX(卡牌消耗!$B$8:$F$8,AR1497)/$Q$4/50,0)*50</f>
        <v>11650</v>
      </c>
      <c r="AW1497" s="14" t="str">
        <f>IF(AN1497&gt;0,INDEX(挂机升级突破!$DT$4:$ED$4,AN1497),"")</f>
        <v>橙色基础材料</v>
      </c>
      <c r="AX1497" s="14">
        <f>ROUND(INDEX(挂机升级突破!$DT$6:$ED$57,卡牌消耗!AT1497,AN1497)*INDEX(卡牌消耗!$B$5:$F$5,AR1497)/$Q$4/5,0)*5</f>
        <v>25</v>
      </c>
      <c r="AY1497" s="14" t="str">
        <f>IF(AO1497&gt;0,INDEX(挂机升级突破!$DT$4:$ED$4,AO1497),"")</f>
        <v/>
      </c>
      <c r="AZ1497" s="14" t="str">
        <f>IF(AO1497&gt;0,ROUND(INDEX(挂机升级突破!$DT$6:$ED$57,卡牌消耗!AT1497,AO1497)*INDEX(卡牌消耗!$B$7:$F$7,AR1497)/$Q$4,0),"")</f>
        <v/>
      </c>
    </row>
    <row r="1498" spans="37:52" ht="16.5" x14ac:dyDescent="0.2">
      <c r="AK1498" s="193">
        <v>1494</v>
      </c>
      <c r="AL1498" s="14">
        <f t="shared" si="464"/>
        <v>29</v>
      </c>
      <c r="AM1498" s="14">
        <f>INDEX(挂机升级突破!DQ$6:DQ$57,卡牌消耗!$AT1498)</f>
        <v>11</v>
      </c>
      <c r="AN1498" s="14">
        <f>INDEX(挂机升级突破!DR$6:DR$57,卡牌消耗!$AT1498)</f>
        <v>5</v>
      </c>
      <c r="AO1498" s="14">
        <f>INDEX(挂机升级突破!DS$6:DS$57,卡牌消耗!$AT1498)</f>
        <v>0</v>
      </c>
      <c r="AP1498" s="14">
        <f>INDEX(挂机升级突破!$DP$6:$DP$57,卡牌消耗!AT1498)</f>
        <v>113</v>
      </c>
      <c r="AQ1498" s="14" t="str">
        <f t="shared" si="465"/>
        <v>R守护灵</v>
      </c>
      <c r="AR1498" s="14">
        <f t="shared" si="466"/>
        <v>2</v>
      </c>
      <c r="AS1498" s="14" t="str">
        <f t="shared" si="467"/>
        <v>R守护灵魂火-38</v>
      </c>
      <c r="AT1498" s="14">
        <f t="shared" si="468"/>
        <v>38</v>
      </c>
      <c r="AU1498" s="14" t="str">
        <f>IF(AM1498&gt;0,INDEX(挂机升级突破!$DT$4:$ED$4,AM1498),"")</f>
        <v>金币</v>
      </c>
      <c r="AV1498" s="14">
        <f>ROUND(INDEX(挂机升级突破!$DJ$6:$DJ$57,卡牌消耗!AT1498)*INDEX(卡牌消耗!$B$8:$F$8,AR1498)/$Q$4/50,0)*50</f>
        <v>15050</v>
      </c>
      <c r="AW1498" s="14" t="str">
        <f>IF(AN1498&gt;0,INDEX(挂机升级突破!$DT$4:$ED$4,AN1498),"")</f>
        <v>红色基础材料</v>
      </c>
      <c r="AX1498" s="14">
        <f>ROUND(INDEX(挂机升级突破!$DT$6:$ED$57,卡牌消耗!AT1498,AN1498)*INDEX(卡牌消耗!$B$5:$F$5,AR1498)/$Q$4/5,0)*5</f>
        <v>5</v>
      </c>
      <c r="AY1498" s="14" t="str">
        <f>IF(AO1498&gt;0,INDEX(挂机升级突破!$DT$4:$ED$4,AO1498),"")</f>
        <v/>
      </c>
      <c r="AZ1498" s="14" t="str">
        <f>IF(AO1498&gt;0,ROUND(INDEX(挂机升级突破!$DT$6:$ED$57,卡牌消耗!AT1498,AO1498)*INDEX(卡牌消耗!$B$7:$F$7,AR1498)/$Q$4,0),"")</f>
        <v/>
      </c>
    </row>
    <row r="1499" spans="37:52" ht="16.5" x14ac:dyDescent="0.2">
      <c r="AK1499" s="193">
        <v>1495</v>
      </c>
      <c r="AL1499" s="14">
        <f t="shared" si="464"/>
        <v>29</v>
      </c>
      <c r="AM1499" s="14">
        <f>INDEX(挂机升级突破!DQ$6:DQ$57,卡牌消耗!$AT1499)</f>
        <v>11</v>
      </c>
      <c r="AN1499" s="14">
        <f>INDEX(挂机升级突破!DR$6:DR$57,卡牌消耗!$AT1499)</f>
        <v>5</v>
      </c>
      <c r="AO1499" s="14">
        <f>INDEX(挂机升级突破!DS$6:DS$57,卡牌消耗!$AT1499)</f>
        <v>0</v>
      </c>
      <c r="AP1499" s="14">
        <f>INDEX(挂机升级突破!$DP$6:$DP$57,卡牌消耗!AT1499)</f>
        <v>115</v>
      </c>
      <c r="AQ1499" s="14" t="str">
        <f t="shared" si="465"/>
        <v>R守护灵</v>
      </c>
      <c r="AR1499" s="14">
        <f t="shared" si="466"/>
        <v>2</v>
      </c>
      <c r="AS1499" s="14" t="str">
        <f t="shared" si="467"/>
        <v>R守护灵魂火-39</v>
      </c>
      <c r="AT1499" s="14">
        <f t="shared" si="468"/>
        <v>39</v>
      </c>
      <c r="AU1499" s="14" t="str">
        <f>IF(AM1499&gt;0,INDEX(挂机升级突破!$DT$4:$ED$4,AM1499),"")</f>
        <v>金币</v>
      </c>
      <c r="AV1499" s="14">
        <f>ROUND(INDEX(挂机升级突破!$DJ$6:$DJ$57,卡牌消耗!AT1499)*INDEX(卡牌消耗!$B$8:$F$8,AR1499)/$Q$4/50,0)*50</f>
        <v>15050</v>
      </c>
      <c r="AW1499" s="14" t="str">
        <f>IF(AN1499&gt;0,INDEX(挂机升级突破!$DT$4:$ED$4,AN1499),"")</f>
        <v>红色基础材料</v>
      </c>
      <c r="AX1499" s="14">
        <f>ROUND(INDEX(挂机升级突破!$DT$6:$ED$57,卡牌消耗!AT1499,AN1499)*INDEX(卡牌消耗!$B$5:$F$5,AR1499)/$Q$4/5,0)*5</f>
        <v>5</v>
      </c>
      <c r="AY1499" s="14" t="str">
        <f>IF(AO1499&gt;0,INDEX(挂机升级突破!$DT$4:$ED$4,AO1499),"")</f>
        <v/>
      </c>
      <c r="AZ1499" s="14" t="str">
        <f>IF(AO1499&gt;0,ROUND(INDEX(挂机升级突破!$DT$6:$ED$57,卡牌消耗!AT1499,AO1499)*INDEX(卡牌消耗!$B$7:$F$7,AR1499)/$Q$4,0),"")</f>
        <v/>
      </c>
    </row>
    <row r="1500" spans="37:52" ht="16.5" x14ac:dyDescent="0.2">
      <c r="AK1500" s="193">
        <v>1496</v>
      </c>
      <c r="AL1500" s="14">
        <f t="shared" si="464"/>
        <v>29</v>
      </c>
      <c r="AM1500" s="14">
        <f>INDEX(挂机升级突破!DQ$6:DQ$57,卡牌消耗!$AT1500)</f>
        <v>11</v>
      </c>
      <c r="AN1500" s="14">
        <f>INDEX(挂机升级突破!DR$6:DR$57,卡牌消耗!$AT1500)</f>
        <v>5</v>
      </c>
      <c r="AO1500" s="14">
        <f>INDEX(挂机升级突破!DS$6:DS$57,卡牌消耗!$AT1500)</f>
        <v>0</v>
      </c>
      <c r="AP1500" s="14">
        <f>INDEX(挂机升级突破!$DP$6:$DP$57,卡牌消耗!AT1500)</f>
        <v>118</v>
      </c>
      <c r="AQ1500" s="14" t="str">
        <f t="shared" si="465"/>
        <v>R守护灵</v>
      </c>
      <c r="AR1500" s="14">
        <f t="shared" si="466"/>
        <v>2</v>
      </c>
      <c r="AS1500" s="14" t="str">
        <f t="shared" si="467"/>
        <v>R守护灵魂火-40</v>
      </c>
      <c r="AT1500" s="14">
        <f t="shared" si="468"/>
        <v>40</v>
      </c>
      <c r="AU1500" s="14" t="str">
        <f>IF(AM1500&gt;0,INDEX(挂机升级突破!$DT$4:$ED$4,AM1500),"")</f>
        <v>金币</v>
      </c>
      <c r="AV1500" s="14">
        <f>ROUND(INDEX(挂机升级突破!$DJ$6:$DJ$57,卡牌消耗!AT1500)*INDEX(卡牌消耗!$B$8:$F$8,AR1500)/$Q$4/50,0)*50</f>
        <v>15050</v>
      </c>
      <c r="AW1500" s="14" t="str">
        <f>IF(AN1500&gt;0,INDEX(挂机升级突破!$DT$4:$ED$4,AN1500),"")</f>
        <v>红色基础材料</v>
      </c>
      <c r="AX1500" s="14">
        <f>ROUND(INDEX(挂机升级突破!$DT$6:$ED$57,卡牌消耗!AT1500,AN1500)*INDEX(卡牌消耗!$B$5:$F$5,AR1500)/$Q$4/5,0)*5</f>
        <v>5</v>
      </c>
      <c r="AY1500" s="14" t="str">
        <f>IF(AO1500&gt;0,INDEX(挂机升级突破!$DT$4:$ED$4,AO1500),"")</f>
        <v/>
      </c>
      <c r="AZ1500" s="14" t="str">
        <f>IF(AO1500&gt;0,ROUND(INDEX(挂机升级突破!$DT$6:$ED$57,卡牌消耗!AT1500,AO1500)*INDEX(卡牌消耗!$B$7:$F$7,AR1500)/$Q$4,0),"")</f>
        <v/>
      </c>
    </row>
    <row r="1501" spans="37:52" ht="16.5" x14ac:dyDescent="0.2">
      <c r="AK1501" s="193">
        <v>1497</v>
      </c>
      <c r="AL1501" s="14">
        <f t="shared" si="464"/>
        <v>29</v>
      </c>
      <c r="AM1501" s="14">
        <f>INDEX(挂机升级突破!DQ$6:DQ$57,卡牌消耗!$AT1501)</f>
        <v>11</v>
      </c>
      <c r="AN1501" s="14">
        <f>INDEX(挂机升级突破!DR$6:DR$57,卡牌消耗!$AT1501)</f>
        <v>5</v>
      </c>
      <c r="AO1501" s="14">
        <f>INDEX(挂机升级突破!DS$6:DS$57,卡牌消耗!$AT1501)</f>
        <v>10</v>
      </c>
      <c r="AP1501" s="14">
        <f>INDEX(挂机升级突破!$DP$6:$DP$57,卡牌消耗!AT1501)</f>
        <v>120</v>
      </c>
      <c r="AQ1501" s="14" t="str">
        <f t="shared" si="465"/>
        <v>R守护灵</v>
      </c>
      <c r="AR1501" s="14">
        <f t="shared" si="466"/>
        <v>2</v>
      </c>
      <c r="AS1501" s="14" t="str">
        <f t="shared" si="467"/>
        <v>R守护灵魂火-41</v>
      </c>
      <c r="AT1501" s="14">
        <f t="shared" si="468"/>
        <v>41</v>
      </c>
      <c r="AU1501" s="14" t="str">
        <f>IF(AM1501&gt;0,INDEX(挂机升级突破!$DT$4:$ED$4,AM1501),"")</f>
        <v>金币</v>
      </c>
      <c r="AV1501" s="14">
        <f>ROUND(INDEX(挂机升级突破!$DJ$6:$DJ$57,卡牌消耗!AT1501)*INDEX(卡牌消耗!$B$8:$F$8,AR1501)/$Q$4/50,0)*50</f>
        <v>20700</v>
      </c>
      <c r="AW1501" s="14" t="str">
        <f>IF(AN1501&gt;0,INDEX(挂机升级突破!$DT$4:$ED$4,AN1501),"")</f>
        <v>红色基础材料</v>
      </c>
      <c r="AX1501" s="14">
        <f>ROUND(INDEX(挂机升级突破!$DT$6:$ED$57,卡牌消耗!AT1501,AN1501)*INDEX(卡牌消耗!$B$5:$F$5,AR1501)/$Q$4/5,0)*5</f>
        <v>10</v>
      </c>
      <c r="AY1501" s="14" t="str">
        <f>IF(AO1501&gt;0,INDEX(挂机升级突破!$DT$4:$ED$4,AO1501),"")</f>
        <v>灵玉</v>
      </c>
      <c r="AZ1501" s="14">
        <f>IF(AO1501&gt;0,ROUND(INDEX(挂机升级突破!$DT$6:$ED$57,卡牌消耗!AT1501,AO1501)*INDEX(卡牌消耗!$B$7:$F$7,AR1501)/$Q$4,0),"")</f>
        <v>1</v>
      </c>
    </row>
    <row r="1502" spans="37:52" ht="16.5" x14ac:dyDescent="0.2">
      <c r="AK1502" s="193">
        <v>1498</v>
      </c>
      <c r="AL1502" s="14">
        <f t="shared" si="464"/>
        <v>29</v>
      </c>
      <c r="AM1502" s="14">
        <f>INDEX(挂机升级突破!DQ$6:DQ$57,卡牌消耗!$AT1502)</f>
        <v>11</v>
      </c>
      <c r="AN1502" s="14">
        <f>INDEX(挂机升级突破!DR$6:DR$57,卡牌消耗!$AT1502)</f>
        <v>5</v>
      </c>
      <c r="AO1502" s="14">
        <f>INDEX(挂机升级突破!DS$6:DS$57,卡牌消耗!$AT1502)</f>
        <v>10</v>
      </c>
      <c r="AP1502" s="14">
        <f>INDEX(挂机升级突破!$DP$6:$DP$57,卡牌消耗!AT1502)</f>
        <v>123</v>
      </c>
      <c r="AQ1502" s="14" t="str">
        <f t="shared" si="465"/>
        <v>R守护灵</v>
      </c>
      <c r="AR1502" s="14">
        <f t="shared" si="466"/>
        <v>2</v>
      </c>
      <c r="AS1502" s="14" t="str">
        <f t="shared" si="467"/>
        <v>R守护灵魂火-42</v>
      </c>
      <c r="AT1502" s="14">
        <f t="shared" si="468"/>
        <v>42</v>
      </c>
      <c r="AU1502" s="14" t="str">
        <f>IF(AM1502&gt;0,INDEX(挂机升级突破!$DT$4:$ED$4,AM1502),"")</f>
        <v>金币</v>
      </c>
      <c r="AV1502" s="14">
        <f>ROUND(INDEX(挂机升级突破!$DJ$6:$DJ$57,卡牌消耗!AT1502)*INDEX(卡牌消耗!$B$8:$F$8,AR1502)/$Q$4/50,0)*50</f>
        <v>20700</v>
      </c>
      <c r="AW1502" s="14" t="str">
        <f>IF(AN1502&gt;0,INDEX(挂机升级突破!$DT$4:$ED$4,AN1502),"")</f>
        <v>红色基础材料</v>
      </c>
      <c r="AX1502" s="14">
        <f>ROUND(INDEX(挂机升级突破!$DT$6:$ED$57,卡牌消耗!AT1502,AN1502)*INDEX(卡牌消耗!$B$5:$F$5,AR1502)/$Q$4/5,0)*5</f>
        <v>10</v>
      </c>
      <c r="AY1502" s="14" t="str">
        <f>IF(AO1502&gt;0,INDEX(挂机升级突破!$DT$4:$ED$4,AO1502),"")</f>
        <v>灵玉</v>
      </c>
      <c r="AZ1502" s="14">
        <f>IF(AO1502&gt;0,ROUND(INDEX(挂机升级突破!$DT$6:$ED$57,卡牌消耗!AT1502,AO1502)*INDEX(卡牌消耗!$B$7:$F$7,AR1502)/$Q$4,0),"")</f>
        <v>1</v>
      </c>
    </row>
    <row r="1503" spans="37:52" ht="16.5" x14ac:dyDescent="0.2">
      <c r="AK1503" s="193">
        <v>1499</v>
      </c>
      <c r="AL1503" s="14">
        <f t="shared" si="464"/>
        <v>29</v>
      </c>
      <c r="AM1503" s="14">
        <f>INDEX(挂机升级突破!DQ$6:DQ$57,卡牌消耗!$AT1503)</f>
        <v>11</v>
      </c>
      <c r="AN1503" s="14">
        <f>INDEX(挂机升级突破!DR$6:DR$57,卡牌消耗!$AT1503)</f>
        <v>5</v>
      </c>
      <c r="AO1503" s="14">
        <f>INDEX(挂机升级突破!DS$6:DS$57,卡牌消耗!$AT1503)</f>
        <v>10</v>
      </c>
      <c r="AP1503" s="14">
        <f>INDEX(挂机升级突破!$DP$6:$DP$57,卡牌消耗!AT1503)</f>
        <v>125</v>
      </c>
      <c r="AQ1503" s="14" t="str">
        <f t="shared" si="465"/>
        <v>R守护灵</v>
      </c>
      <c r="AR1503" s="14">
        <f t="shared" si="466"/>
        <v>2</v>
      </c>
      <c r="AS1503" s="14" t="str">
        <f t="shared" si="467"/>
        <v>R守护灵魂火-43</v>
      </c>
      <c r="AT1503" s="14">
        <f t="shared" si="468"/>
        <v>43</v>
      </c>
      <c r="AU1503" s="14" t="str">
        <f>IF(AM1503&gt;0,INDEX(挂机升级突破!$DT$4:$ED$4,AM1503),"")</f>
        <v>金币</v>
      </c>
      <c r="AV1503" s="14">
        <f>ROUND(INDEX(挂机升级突破!$DJ$6:$DJ$57,卡牌消耗!AT1503)*INDEX(卡牌消耗!$B$8:$F$8,AR1503)/$Q$4/50,0)*50</f>
        <v>20700</v>
      </c>
      <c r="AW1503" s="14" t="str">
        <f>IF(AN1503&gt;0,INDEX(挂机升级突破!$DT$4:$ED$4,AN1503),"")</f>
        <v>红色基础材料</v>
      </c>
      <c r="AX1503" s="14">
        <f>ROUND(INDEX(挂机升级突破!$DT$6:$ED$57,卡牌消耗!AT1503,AN1503)*INDEX(卡牌消耗!$B$5:$F$5,AR1503)/$Q$4/5,0)*5</f>
        <v>10</v>
      </c>
      <c r="AY1503" s="14" t="str">
        <f>IF(AO1503&gt;0,INDEX(挂机升级突破!$DT$4:$ED$4,AO1503),"")</f>
        <v>灵玉</v>
      </c>
      <c r="AZ1503" s="14">
        <f>IF(AO1503&gt;0,ROUND(INDEX(挂机升级突破!$DT$6:$ED$57,卡牌消耗!AT1503,AO1503)*INDEX(卡牌消耗!$B$7:$F$7,AR1503)/$Q$4,0),"")</f>
        <v>1</v>
      </c>
    </row>
    <row r="1504" spans="37:52" ht="16.5" x14ac:dyDescent="0.2">
      <c r="AK1504" s="193">
        <v>1500</v>
      </c>
      <c r="AL1504" s="14">
        <f t="shared" si="464"/>
        <v>29</v>
      </c>
      <c r="AM1504" s="14">
        <f>INDEX(挂机升级突破!DQ$6:DQ$57,卡牌消耗!$AT1504)</f>
        <v>11</v>
      </c>
      <c r="AN1504" s="14">
        <f>INDEX(挂机升级突破!DR$6:DR$57,卡牌消耗!$AT1504)</f>
        <v>5</v>
      </c>
      <c r="AO1504" s="14">
        <f>INDEX(挂机升级突破!DS$6:DS$57,卡牌消耗!$AT1504)</f>
        <v>10</v>
      </c>
      <c r="AP1504" s="14">
        <f>INDEX(挂机升级突破!$DP$6:$DP$57,卡牌消耗!AT1504)</f>
        <v>128</v>
      </c>
      <c r="AQ1504" s="14" t="str">
        <f t="shared" si="465"/>
        <v>R守护灵</v>
      </c>
      <c r="AR1504" s="14">
        <f t="shared" si="466"/>
        <v>2</v>
      </c>
      <c r="AS1504" s="14" t="str">
        <f t="shared" si="467"/>
        <v>R守护灵魂火-44</v>
      </c>
      <c r="AT1504" s="14">
        <f t="shared" si="468"/>
        <v>44</v>
      </c>
      <c r="AU1504" s="14" t="str">
        <f>IF(AM1504&gt;0,INDEX(挂机升级突破!$DT$4:$ED$4,AM1504),"")</f>
        <v>金币</v>
      </c>
      <c r="AV1504" s="14">
        <f>ROUND(INDEX(挂机升级突破!$DJ$6:$DJ$57,卡牌消耗!AT1504)*INDEX(卡牌消耗!$B$8:$F$8,AR1504)/$Q$4/50,0)*50</f>
        <v>26300</v>
      </c>
      <c r="AW1504" s="14" t="str">
        <f>IF(AN1504&gt;0,INDEX(挂机升级突破!$DT$4:$ED$4,AN1504),"")</f>
        <v>红色基础材料</v>
      </c>
      <c r="AX1504" s="14">
        <f>ROUND(INDEX(挂机升级突破!$DT$6:$ED$57,卡牌消耗!AT1504,AN1504)*INDEX(卡牌消耗!$B$5:$F$5,AR1504)/$Q$4/5,0)*5</f>
        <v>10</v>
      </c>
      <c r="AY1504" s="14" t="str">
        <f>IF(AO1504&gt;0,INDEX(挂机升级突破!$DT$4:$ED$4,AO1504),"")</f>
        <v>灵玉</v>
      </c>
      <c r="AZ1504" s="14">
        <f>IF(AO1504&gt;0,ROUND(INDEX(挂机升级突破!$DT$6:$ED$57,卡牌消耗!AT1504,AO1504)*INDEX(卡牌消耗!$B$7:$F$7,AR1504)/$Q$4,0),"")</f>
        <v>1</v>
      </c>
    </row>
    <row r="1505" spans="37:52" ht="16.5" x14ac:dyDescent="0.2">
      <c r="AK1505" s="193">
        <v>1501</v>
      </c>
      <c r="AL1505" s="14">
        <f t="shared" si="464"/>
        <v>29</v>
      </c>
      <c r="AM1505" s="14">
        <f>INDEX(挂机升级突破!DQ$6:DQ$57,卡牌消耗!$AT1505)</f>
        <v>11</v>
      </c>
      <c r="AN1505" s="14">
        <f>INDEX(挂机升级突破!DR$6:DR$57,卡牌消耗!$AT1505)</f>
        <v>5</v>
      </c>
      <c r="AO1505" s="14">
        <f>INDEX(挂机升级突破!DS$6:DS$57,卡牌消耗!$AT1505)</f>
        <v>10</v>
      </c>
      <c r="AP1505" s="14">
        <f>INDEX(挂机升级突破!$DP$6:$DP$57,卡牌消耗!AT1505)</f>
        <v>130</v>
      </c>
      <c r="AQ1505" s="14" t="str">
        <f t="shared" si="465"/>
        <v>R守护灵</v>
      </c>
      <c r="AR1505" s="14">
        <f t="shared" si="466"/>
        <v>2</v>
      </c>
      <c r="AS1505" s="14" t="str">
        <f t="shared" si="467"/>
        <v>R守护灵魂火-45</v>
      </c>
      <c r="AT1505" s="14">
        <f t="shared" si="468"/>
        <v>45</v>
      </c>
      <c r="AU1505" s="14" t="str">
        <f>IF(AM1505&gt;0,INDEX(挂机升级突破!$DT$4:$ED$4,AM1505),"")</f>
        <v>金币</v>
      </c>
      <c r="AV1505" s="14">
        <f>ROUND(INDEX(挂机升级突破!$DJ$6:$DJ$57,卡牌消耗!AT1505)*INDEX(卡牌消耗!$B$8:$F$8,AR1505)/$Q$4/50,0)*50</f>
        <v>26300</v>
      </c>
      <c r="AW1505" s="14" t="str">
        <f>IF(AN1505&gt;0,INDEX(挂机升级突破!$DT$4:$ED$4,AN1505),"")</f>
        <v>红色基础材料</v>
      </c>
      <c r="AX1505" s="14">
        <f>ROUND(INDEX(挂机升级突破!$DT$6:$ED$57,卡牌消耗!AT1505,AN1505)*INDEX(卡牌消耗!$B$5:$F$5,AR1505)/$Q$4/5,0)*5</f>
        <v>10</v>
      </c>
      <c r="AY1505" s="14" t="str">
        <f>IF(AO1505&gt;0,INDEX(挂机升级突破!$DT$4:$ED$4,AO1505),"")</f>
        <v>灵玉</v>
      </c>
      <c r="AZ1505" s="14">
        <f>IF(AO1505&gt;0,ROUND(INDEX(挂机升级突破!$DT$6:$ED$57,卡牌消耗!AT1505,AO1505)*INDEX(卡牌消耗!$B$7:$F$7,AR1505)/$Q$4,0),"")</f>
        <v>1</v>
      </c>
    </row>
    <row r="1506" spans="37:52" ht="16.5" x14ac:dyDescent="0.2">
      <c r="AK1506" s="193">
        <v>1502</v>
      </c>
      <c r="AL1506" s="14">
        <f t="shared" si="464"/>
        <v>29</v>
      </c>
      <c r="AM1506" s="14">
        <f>INDEX(挂机升级突破!DQ$6:DQ$57,卡牌消耗!$AT1506)</f>
        <v>11</v>
      </c>
      <c r="AN1506" s="14">
        <f>INDEX(挂机升级突破!DR$6:DR$57,卡牌消耗!$AT1506)</f>
        <v>5</v>
      </c>
      <c r="AO1506" s="14">
        <f>INDEX(挂机升级突破!DS$6:DS$57,卡牌消耗!$AT1506)</f>
        <v>10</v>
      </c>
      <c r="AP1506" s="14">
        <f>INDEX(挂机升级突破!$DP$6:$DP$57,卡牌消耗!AT1506)</f>
        <v>133</v>
      </c>
      <c r="AQ1506" s="14" t="str">
        <f t="shared" si="465"/>
        <v>R守护灵</v>
      </c>
      <c r="AR1506" s="14">
        <f t="shared" si="466"/>
        <v>2</v>
      </c>
      <c r="AS1506" s="14" t="str">
        <f t="shared" si="467"/>
        <v>R守护灵魂火-46</v>
      </c>
      <c r="AT1506" s="14">
        <f t="shared" si="468"/>
        <v>46</v>
      </c>
      <c r="AU1506" s="14" t="str">
        <f>IF(AM1506&gt;0,INDEX(挂机升级突破!$DT$4:$ED$4,AM1506),"")</f>
        <v>金币</v>
      </c>
      <c r="AV1506" s="14">
        <f>ROUND(INDEX(挂机升级突破!$DJ$6:$DJ$57,卡牌消耗!AT1506)*INDEX(卡牌消耗!$B$8:$F$8,AR1506)/$Q$4/50,0)*50</f>
        <v>28200</v>
      </c>
      <c r="AW1506" s="14" t="str">
        <f>IF(AN1506&gt;0,INDEX(挂机升级突破!$DT$4:$ED$4,AN1506),"")</f>
        <v>红色基础材料</v>
      </c>
      <c r="AX1506" s="14">
        <f>ROUND(INDEX(挂机升级突破!$DT$6:$ED$57,卡牌消耗!AT1506,AN1506)*INDEX(卡牌消耗!$B$5:$F$5,AR1506)/$Q$4/5,0)*5</f>
        <v>10</v>
      </c>
      <c r="AY1506" s="14" t="str">
        <f>IF(AO1506&gt;0,INDEX(挂机升级突破!$DT$4:$ED$4,AO1506),"")</f>
        <v>灵玉</v>
      </c>
      <c r="AZ1506" s="14">
        <f>IF(AO1506&gt;0,ROUND(INDEX(挂机升级突破!$DT$6:$ED$57,卡牌消耗!AT1506,AO1506)*INDEX(卡牌消耗!$B$7:$F$7,AR1506)/$Q$4,0),"")</f>
        <v>1</v>
      </c>
    </row>
    <row r="1507" spans="37:52" ht="16.5" x14ac:dyDescent="0.2">
      <c r="AK1507" s="193">
        <v>1503</v>
      </c>
      <c r="AL1507" s="14">
        <f t="shared" si="464"/>
        <v>29</v>
      </c>
      <c r="AM1507" s="14">
        <f>INDEX(挂机升级突破!DQ$6:DQ$57,卡牌消耗!$AT1507)</f>
        <v>11</v>
      </c>
      <c r="AN1507" s="14">
        <f>INDEX(挂机升级突破!DR$6:DR$57,卡牌消耗!$AT1507)</f>
        <v>5</v>
      </c>
      <c r="AO1507" s="14">
        <f>INDEX(挂机升级突破!DS$6:DS$57,卡牌消耗!$AT1507)</f>
        <v>10</v>
      </c>
      <c r="AP1507" s="14">
        <f>INDEX(挂机升级突破!$DP$6:$DP$57,卡牌消耗!AT1507)</f>
        <v>135</v>
      </c>
      <c r="AQ1507" s="14" t="str">
        <f t="shared" si="465"/>
        <v>R守护灵</v>
      </c>
      <c r="AR1507" s="14">
        <f t="shared" si="466"/>
        <v>2</v>
      </c>
      <c r="AS1507" s="14" t="str">
        <f t="shared" si="467"/>
        <v>R守护灵魂火-47</v>
      </c>
      <c r="AT1507" s="14">
        <f t="shared" si="468"/>
        <v>47</v>
      </c>
      <c r="AU1507" s="14" t="str">
        <f>IF(AM1507&gt;0,INDEX(挂机升级突破!$DT$4:$ED$4,AM1507),"")</f>
        <v>金币</v>
      </c>
      <c r="AV1507" s="14">
        <f>ROUND(INDEX(挂机升级突破!$DJ$6:$DJ$57,卡牌消耗!AT1507)*INDEX(卡牌消耗!$B$8:$F$8,AR1507)/$Q$4/50,0)*50</f>
        <v>57450</v>
      </c>
      <c r="AW1507" s="14" t="str">
        <f>IF(AN1507&gt;0,INDEX(挂机升级突破!$DT$4:$ED$4,AN1507),"")</f>
        <v>红色基础材料</v>
      </c>
      <c r="AX1507" s="14">
        <f>ROUND(INDEX(挂机升级突破!$DT$6:$ED$57,卡牌消耗!AT1507,AN1507)*INDEX(卡牌消耗!$B$5:$F$5,AR1507)/$Q$4/5,0)*5</f>
        <v>10</v>
      </c>
      <c r="AY1507" s="14" t="str">
        <f>IF(AO1507&gt;0,INDEX(挂机升级突破!$DT$4:$ED$4,AO1507),"")</f>
        <v>灵玉</v>
      </c>
      <c r="AZ1507" s="14">
        <f>IF(AO1507&gt;0,ROUND(INDEX(挂机升级突破!$DT$6:$ED$57,卡牌消耗!AT1507,AO1507)*INDEX(卡牌消耗!$B$7:$F$7,AR1507)/$Q$4,0),"")</f>
        <v>1</v>
      </c>
    </row>
    <row r="1508" spans="37:52" ht="16.5" x14ac:dyDescent="0.2">
      <c r="AK1508" s="193">
        <v>1504</v>
      </c>
      <c r="AL1508" s="14">
        <f t="shared" si="464"/>
        <v>29</v>
      </c>
      <c r="AM1508" s="14">
        <f>INDEX(挂机升级突破!DQ$6:DQ$57,卡牌消耗!$AT1508)</f>
        <v>11</v>
      </c>
      <c r="AN1508" s="14">
        <f>INDEX(挂机升级突破!DR$6:DR$57,卡牌消耗!$AT1508)</f>
        <v>5</v>
      </c>
      <c r="AO1508" s="14">
        <f>INDEX(挂机升级突破!DS$6:DS$57,卡牌消耗!$AT1508)</f>
        <v>10</v>
      </c>
      <c r="AP1508" s="14">
        <f>INDEX(挂机升级突破!$DP$6:$DP$57,卡牌消耗!AT1508)</f>
        <v>138</v>
      </c>
      <c r="AQ1508" s="14" t="str">
        <f t="shared" si="465"/>
        <v>R守护灵</v>
      </c>
      <c r="AR1508" s="14">
        <f t="shared" si="466"/>
        <v>2</v>
      </c>
      <c r="AS1508" s="14" t="str">
        <f t="shared" si="467"/>
        <v>R守护灵魂火-48</v>
      </c>
      <c r="AT1508" s="14">
        <f t="shared" si="468"/>
        <v>48</v>
      </c>
      <c r="AU1508" s="14" t="str">
        <f>IF(AM1508&gt;0,INDEX(挂机升级突破!$DT$4:$ED$4,AM1508),"")</f>
        <v>金币</v>
      </c>
      <c r="AV1508" s="14">
        <f>ROUND(INDEX(挂机升级突破!$DJ$6:$DJ$57,卡牌消耗!AT1508)*INDEX(卡牌消耗!$B$8:$F$8,AR1508)/$Q$4/50,0)*50</f>
        <v>57450</v>
      </c>
      <c r="AW1508" s="14" t="str">
        <f>IF(AN1508&gt;0,INDEX(挂机升级突破!$DT$4:$ED$4,AN1508),"")</f>
        <v>红色基础材料</v>
      </c>
      <c r="AX1508" s="14">
        <f>ROUND(INDEX(挂机升级突破!$DT$6:$ED$57,卡牌消耗!AT1508,AN1508)*INDEX(卡牌消耗!$B$5:$F$5,AR1508)/$Q$4/5,0)*5</f>
        <v>10</v>
      </c>
      <c r="AY1508" s="14" t="str">
        <f>IF(AO1508&gt;0,INDEX(挂机升级突破!$DT$4:$ED$4,AO1508),"")</f>
        <v>灵玉</v>
      </c>
      <c r="AZ1508" s="14">
        <f>IF(AO1508&gt;0,ROUND(INDEX(挂机升级突破!$DT$6:$ED$57,卡牌消耗!AT1508,AO1508)*INDEX(卡牌消耗!$B$7:$F$7,AR1508)/$Q$4,0),"")</f>
        <v>1</v>
      </c>
    </row>
    <row r="1509" spans="37:52" ht="16.5" x14ac:dyDescent="0.2">
      <c r="AK1509" s="193">
        <v>1505</v>
      </c>
      <c r="AL1509" s="14">
        <f t="shared" si="464"/>
        <v>29</v>
      </c>
      <c r="AM1509" s="14">
        <f>INDEX(挂机升级突破!DQ$6:DQ$57,卡牌消耗!$AT1509)</f>
        <v>11</v>
      </c>
      <c r="AN1509" s="14">
        <f>INDEX(挂机升级突破!DR$6:DR$57,卡牌消耗!$AT1509)</f>
        <v>5</v>
      </c>
      <c r="AO1509" s="14">
        <f>INDEX(挂机升级突破!DS$6:DS$57,卡牌消耗!$AT1509)</f>
        <v>10</v>
      </c>
      <c r="AP1509" s="14">
        <f>INDEX(挂机升级突破!$DP$6:$DP$57,卡牌消耗!AT1509)</f>
        <v>140</v>
      </c>
      <c r="AQ1509" s="14" t="str">
        <f t="shared" si="465"/>
        <v>R守护灵</v>
      </c>
      <c r="AR1509" s="14">
        <f t="shared" si="466"/>
        <v>2</v>
      </c>
      <c r="AS1509" s="14" t="str">
        <f t="shared" si="467"/>
        <v>R守护灵魂火-49</v>
      </c>
      <c r="AT1509" s="14">
        <f t="shared" si="468"/>
        <v>49</v>
      </c>
      <c r="AU1509" s="14" t="str">
        <f>IF(AM1509&gt;0,INDEX(挂机升级突破!$DT$4:$ED$4,AM1509),"")</f>
        <v>金币</v>
      </c>
      <c r="AV1509" s="14">
        <f>ROUND(INDEX(挂机升级突破!$DJ$6:$DJ$57,卡牌消耗!AT1509)*INDEX(卡牌消耗!$B$8:$F$8,AR1509)/$Q$4/50,0)*50</f>
        <v>57450</v>
      </c>
      <c r="AW1509" s="14" t="str">
        <f>IF(AN1509&gt;0,INDEX(挂机升级突破!$DT$4:$ED$4,AN1509),"")</f>
        <v>红色基础材料</v>
      </c>
      <c r="AX1509" s="14">
        <f>ROUND(INDEX(挂机升级突破!$DT$6:$ED$57,卡牌消耗!AT1509,AN1509)*INDEX(卡牌消耗!$B$5:$F$5,AR1509)/$Q$4/5,0)*5</f>
        <v>10</v>
      </c>
      <c r="AY1509" s="14" t="str">
        <f>IF(AO1509&gt;0,INDEX(挂机升级突破!$DT$4:$ED$4,AO1509),"")</f>
        <v>灵玉</v>
      </c>
      <c r="AZ1509" s="14">
        <f>IF(AO1509&gt;0,ROUND(INDEX(挂机升级突破!$DT$6:$ED$57,卡牌消耗!AT1509,AO1509)*INDEX(卡牌消耗!$B$7:$F$7,AR1509)/$Q$4,0),"")</f>
        <v>1</v>
      </c>
    </row>
    <row r="1510" spans="37:52" ht="16.5" x14ac:dyDescent="0.2">
      <c r="AK1510" s="193">
        <v>1506</v>
      </c>
      <c r="AL1510" s="14">
        <f t="shared" si="464"/>
        <v>29</v>
      </c>
      <c r="AM1510" s="14">
        <f>INDEX(挂机升级突破!DQ$6:DQ$57,卡牌消耗!$AT1510)</f>
        <v>11</v>
      </c>
      <c r="AN1510" s="14">
        <f>INDEX(挂机升级突破!DR$6:DR$57,卡牌消耗!$AT1510)</f>
        <v>5</v>
      </c>
      <c r="AO1510" s="14">
        <f>INDEX(挂机升级突破!DS$6:DS$57,卡牌消耗!$AT1510)</f>
        <v>10</v>
      </c>
      <c r="AP1510" s="14">
        <f>INDEX(挂机升级突破!$DP$6:$DP$57,卡牌消耗!AT1510)</f>
        <v>143</v>
      </c>
      <c r="AQ1510" s="14" t="str">
        <f t="shared" si="465"/>
        <v>R守护灵</v>
      </c>
      <c r="AR1510" s="14">
        <f t="shared" si="466"/>
        <v>2</v>
      </c>
      <c r="AS1510" s="14" t="str">
        <f t="shared" si="467"/>
        <v>R守护灵魂火-50</v>
      </c>
      <c r="AT1510" s="14">
        <f t="shared" si="468"/>
        <v>50</v>
      </c>
      <c r="AU1510" s="14" t="str">
        <f>IF(AM1510&gt;0,INDEX(挂机升级突破!$DT$4:$ED$4,AM1510),"")</f>
        <v>金币</v>
      </c>
      <c r="AV1510" s="14">
        <f>ROUND(INDEX(挂机升级突破!$DJ$6:$DJ$57,卡牌消耗!AT1510)*INDEX(卡牌消耗!$B$8:$F$8,AR1510)/$Q$4/50,0)*50</f>
        <v>95750</v>
      </c>
      <c r="AW1510" s="14" t="str">
        <f>IF(AN1510&gt;0,INDEX(挂机升级突破!$DT$4:$ED$4,AN1510),"")</f>
        <v>红色基础材料</v>
      </c>
      <c r="AX1510" s="14">
        <f>ROUND(INDEX(挂机升级突破!$DT$6:$ED$57,卡牌消耗!AT1510,AN1510)*INDEX(卡牌消耗!$B$5:$F$5,AR1510)/$Q$4/5,0)*5</f>
        <v>10</v>
      </c>
      <c r="AY1510" s="14" t="str">
        <f>IF(AO1510&gt;0,INDEX(挂机升级突破!$DT$4:$ED$4,AO1510),"")</f>
        <v>灵玉</v>
      </c>
      <c r="AZ1510" s="14">
        <f>IF(AO1510&gt;0,ROUND(INDEX(挂机升级突破!$DT$6:$ED$57,卡牌消耗!AT1510,AO1510)*INDEX(卡牌消耗!$B$7:$F$7,AR1510)/$Q$4,0),"")</f>
        <v>1</v>
      </c>
    </row>
    <row r="1511" spans="37:52" ht="16.5" x14ac:dyDescent="0.2">
      <c r="AK1511" s="193">
        <v>1507</v>
      </c>
      <c r="AL1511" s="14">
        <f t="shared" si="464"/>
        <v>29</v>
      </c>
      <c r="AM1511" s="14">
        <f>INDEX(挂机升级突破!DQ$6:DQ$57,卡牌消耗!$AT1511)</f>
        <v>11</v>
      </c>
      <c r="AN1511" s="14">
        <f>INDEX(挂机升级突破!DR$6:DR$57,卡牌消耗!$AT1511)</f>
        <v>5</v>
      </c>
      <c r="AO1511" s="14">
        <f>INDEX(挂机升级突破!DS$6:DS$57,卡牌消耗!$AT1511)</f>
        <v>10</v>
      </c>
      <c r="AP1511" s="14">
        <f>INDEX(挂机升级突破!$DP$6:$DP$57,卡牌消耗!AT1511)</f>
        <v>145</v>
      </c>
      <c r="AQ1511" s="14" t="str">
        <f t="shared" si="465"/>
        <v>R守护灵</v>
      </c>
      <c r="AR1511" s="14">
        <f t="shared" si="466"/>
        <v>2</v>
      </c>
      <c r="AS1511" s="14" t="str">
        <f t="shared" si="467"/>
        <v>R守护灵魂火-51</v>
      </c>
      <c r="AT1511" s="14">
        <f t="shared" si="468"/>
        <v>51</v>
      </c>
      <c r="AU1511" s="14" t="str">
        <f>IF(AM1511&gt;0,INDEX(挂机升级突破!$DT$4:$ED$4,AM1511),"")</f>
        <v>金币</v>
      </c>
      <c r="AV1511" s="14">
        <f>ROUND(INDEX(挂机升级突破!$DJ$6:$DJ$57,卡牌消耗!AT1511)*INDEX(卡牌消耗!$B$8:$F$8,AR1511)/$Q$4/50,0)*50</f>
        <v>105300</v>
      </c>
      <c r="AW1511" s="14" t="str">
        <f>IF(AN1511&gt;0,INDEX(挂机升级突破!$DT$4:$ED$4,AN1511),"")</f>
        <v>红色基础材料</v>
      </c>
      <c r="AX1511" s="14">
        <f>ROUND(INDEX(挂机升级突破!$DT$6:$ED$57,卡牌消耗!AT1511,AN1511)*INDEX(卡牌消耗!$B$5:$F$5,AR1511)/$Q$4/5,0)*5</f>
        <v>10</v>
      </c>
      <c r="AY1511" s="14" t="str">
        <f>IF(AO1511&gt;0,INDEX(挂机升级突破!$DT$4:$ED$4,AO1511),"")</f>
        <v>灵玉</v>
      </c>
      <c r="AZ1511" s="14">
        <f>IF(AO1511&gt;0,ROUND(INDEX(挂机升级突破!$DT$6:$ED$57,卡牌消耗!AT1511,AO1511)*INDEX(卡牌消耗!$B$7:$F$7,AR1511)/$Q$4,0),"")</f>
        <v>1</v>
      </c>
    </row>
    <row r="1512" spans="37:52" ht="16.5" x14ac:dyDescent="0.2">
      <c r="AK1512" s="193">
        <v>1508</v>
      </c>
      <c r="AL1512" s="14">
        <f t="shared" si="464"/>
        <v>29</v>
      </c>
      <c r="AM1512" s="14">
        <f>INDEX(挂机升级突破!DQ$6:DQ$57,卡牌消耗!$AT1512)</f>
        <v>11</v>
      </c>
      <c r="AN1512" s="14">
        <f>INDEX(挂机升级突破!DR$6:DR$57,卡牌消耗!$AT1512)</f>
        <v>5</v>
      </c>
      <c r="AO1512" s="14">
        <f>INDEX(挂机升级突破!DS$6:DS$57,卡牌消耗!$AT1512)</f>
        <v>10</v>
      </c>
      <c r="AP1512" s="14">
        <f>INDEX(挂机升级突破!$DP$6:$DP$57,卡牌消耗!AT1512)</f>
        <v>148</v>
      </c>
      <c r="AQ1512" s="14" t="str">
        <f t="shared" si="465"/>
        <v>R守护灵</v>
      </c>
      <c r="AR1512" s="14">
        <f t="shared" si="466"/>
        <v>2</v>
      </c>
      <c r="AS1512" s="14" t="str">
        <f t="shared" si="467"/>
        <v>R守护灵魂火-52</v>
      </c>
      <c r="AT1512" s="14">
        <f t="shared" si="468"/>
        <v>52</v>
      </c>
      <c r="AU1512" s="14" t="str">
        <f>IF(AM1512&gt;0,INDEX(挂机升级突破!$DT$4:$ED$4,AM1512),"")</f>
        <v>金币</v>
      </c>
      <c r="AV1512" s="14">
        <f>ROUND(INDEX(挂机升级突破!$DJ$6:$DJ$57,卡牌消耗!AT1512)*INDEX(卡牌消耗!$B$8:$F$8,AR1512)/$Q$4/50,0)*50</f>
        <v>105300</v>
      </c>
      <c r="AW1512" s="14" t="str">
        <f>IF(AN1512&gt;0,INDEX(挂机升级突破!$DT$4:$ED$4,AN1512),"")</f>
        <v>红色基础材料</v>
      </c>
      <c r="AX1512" s="14">
        <f>ROUND(INDEX(挂机升级突破!$DT$6:$ED$57,卡牌消耗!AT1512,AN1512)*INDEX(卡牌消耗!$B$5:$F$5,AR1512)/$Q$4/5,0)*5</f>
        <v>10</v>
      </c>
      <c r="AY1512" s="14" t="str">
        <f>IF(AO1512&gt;0,INDEX(挂机升级突破!$DT$4:$ED$4,AO1512),"")</f>
        <v>灵玉</v>
      </c>
      <c r="AZ1512" s="14">
        <f>IF(AO1512&gt;0,ROUND(INDEX(挂机升级突破!$DT$6:$ED$57,卡牌消耗!AT1512,AO1512)*INDEX(卡牌消耗!$B$7:$F$7,AR1512)/$Q$4,0),"")</f>
        <v>1</v>
      </c>
    </row>
    <row r="1513" spans="37:52" ht="16.5" x14ac:dyDescent="0.2">
      <c r="AK1513" s="193">
        <v>1509</v>
      </c>
      <c r="AL1513" s="14">
        <f t="shared" si="464"/>
        <v>30</v>
      </c>
      <c r="AM1513" s="14">
        <f>INDEX(挂机升级突破!DQ$6:DQ$57,卡牌消耗!$AT1513)</f>
        <v>11</v>
      </c>
      <c r="AN1513" s="14">
        <f>INDEX(挂机升级突破!DR$6:DR$57,卡牌消耗!$AT1513)</f>
        <v>1</v>
      </c>
      <c r="AO1513" s="14">
        <f>INDEX(挂机升级突破!DS$6:DS$57,卡牌消耗!$AT1513)</f>
        <v>0</v>
      </c>
      <c r="AP1513" s="14">
        <f>INDEX(挂机升级突破!$DP$6:$DP$57,卡牌消耗!AT1513)</f>
        <v>3</v>
      </c>
      <c r="AQ1513" s="14" t="str">
        <f t="shared" si="465"/>
        <v>SR守护灵</v>
      </c>
      <c r="AR1513" s="14">
        <f t="shared" si="466"/>
        <v>3</v>
      </c>
      <c r="AS1513" s="14" t="str">
        <f t="shared" si="467"/>
        <v>SR守护灵魂火-1</v>
      </c>
      <c r="AT1513" s="14">
        <f t="shared" si="468"/>
        <v>1</v>
      </c>
      <c r="AU1513" s="14" t="str">
        <f>IF(AM1513&gt;0,INDEX(挂机升级突破!$DT$4:$ED$4,AM1513),"")</f>
        <v>金币</v>
      </c>
      <c r="AV1513" s="14">
        <f>ROUND(INDEX(挂机升级突破!$DJ$6:$DJ$57,卡牌消耗!AT1513)*INDEX(卡牌消耗!$B$8:$F$8,AR1513)/$Q$4/50,0)*50</f>
        <v>850</v>
      </c>
      <c r="AW1513" s="14" t="str">
        <f>IF(AN1513&gt;0,INDEX(挂机升级突破!$DT$4:$ED$4,AN1513),"")</f>
        <v>绿色基础材料</v>
      </c>
      <c r="AX1513" s="14">
        <f>ROUND(INDEX(挂机升级突破!$DT$6:$ED$57,卡牌消耗!AT1513,AN1513)*INDEX(卡牌消耗!$B$5:$F$5,AR1513)/$Q$4/5,0)*5</f>
        <v>25</v>
      </c>
      <c r="AY1513" s="14" t="str">
        <f>IF(AO1513&gt;0,INDEX(挂机升级突破!$DT$4:$ED$4,AO1513),"")</f>
        <v/>
      </c>
      <c r="AZ1513" s="14" t="str">
        <f>IF(AO1513&gt;0,ROUND(INDEX(挂机升级突破!$DT$6:$ED$57,卡牌消耗!AT1513,AO1513)*INDEX(卡牌消耗!$B$7:$F$7,AR1513)/$Q$4,0),"")</f>
        <v/>
      </c>
    </row>
    <row r="1514" spans="37:52" ht="16.5" x14ac:dyDescent="0.2">
      <c r="AK1514" s="193">
        <v>1510</v>
      </c>
      <c r="AL1514" s="14">
        <f t="shared" si="464"/>
        <v>30</v>
      </c>
      <c r="AM1514" s="14">
        <f>INDEX(挂机升级突破!DQ$6:DQ$57,卡牌消耗!$AT1514)</f>
        <v>11</v>
      </c>
      <c r="AN1514" s="14">
        <f>INDEX(挂机升级突破!DR$6:DR$57,卡牌消耗!$AT1514)</f>
        <v>1</v>
      </c>
      <c r="AO1514" s="14">
        <f>INDEX(挂机升级突破!DS$6:DS$57,卡牌消耗!$AT1514)</f>
        <v>0</v>
      </c>
      <c r="AP1514" s="14">
        <f>INDEX(挂机升级突破!$DP$6:$DP$57,卡牌消耗!AT1514)</f>
        <v>8</v>
      </c>
      <c r="AQ1514" s="14" t="str">
        <f t="shared" si="465"/>
        <v>SR守护灵</v>
      </c>
      <c r="AR1514" s="14">
        <f t="shared" si="466"/>
        <v>3</v>
      </c>
      <c r="AS1514" s="14" t="str">
        <f t="shared" si="467"/>
        <v>SR守护灵魂火-2</v>
      </c>
      <c r="AT1514" s="14">
        <f t="shared" si="468"/>
        <v>2</v>
      </c>
      <c r="AU1514" s="14" t="str">
        <f>IF(AM1514&gt;0,INDEX(挂机升级突破!$DT$4:$ED$4,AM1514),"")</f>
        <v>金币</v>
      </c>
      <c r="AV1514" s="14">
        <f>ROUND(INDEX(挂机升级突破!$DJ$6:$DJ$57,卡牌消耗!AT1514)*INDEX(卡牌消耗!$B$8:$F$8,AR1514)/$Q$4/50,0)*50</f>
        <v>1050</v>
      </c>
      <c r="AW1514" s="14" t="str">
        <f>IF(AN1514&gt;0,INDEX(挂机升级突破!$DT$4:$ED$4,AN1514),"")</f>
        <v>绿色基础材料</v>
      </c>
      <c r="AX1514" s="14">
        <f>ROUND(INDEX(挂机升级突破!$DT$6:$ED$57,卡牌消耗!AT1514,AN1514)*INDEX(卡牌消耗!$B$5:$F$5,AR1514)/$Q$4/5,0)*5</f>
        <v>85</v>
      </c>
      <c r="AY1514" s="14" t="str">
        <f>IF(AO1514&gt;0,INDEX(挂机升级突破!$DT$4:$ED$4,AO1514),"")</f>
        <v/>
      </c>
      <c r="AZ1514" s="14" t="str">
        <f>IF(AO1514&gt;0,ROUND(INDEX(挂机升级突破!$DT$6:$ED$57,卡牌消耗!AT1514,AO1514)*INDEX(卡牌消耗!$B$7:$F$7,AR1514)/$Q$4,0),"")</f>
        <v/>
      </c>
    </row>
    <row r="1515" spans="37:52" ht="16.5" x14ac:dyDescent="0.2">
      <c r="AK1515" s="193">
        <v>1511</v>
      </c>
      <c r="AL1515" s="14">
        <f t="shared" si="464"/>
        <v>30</v>
      </c>
      <c r="AM1515" s="14">
        <f>INDEX(挂机升级突破!DQ$6:DQ$57,卡牌消耗!$AT1515)</f>
        <v>11</v>
      </c>
      <c r="AN1515" s="14">
        <f>INDEX(挂机升级突破!DR$6:DR$57,卡牌消耗!$AT1515)</f>
        <v>1</v>
      </c>
      <c r="AO1515" s="14">
        <f>INDEX(挂机升级突破!DS$6:DS$57,卡牌消耗!$AT1515)</f>
        <v>0</v>
      </c>
      <c r="AP1515" s="14">
        <f>INDEX(挂机升级突破!$DP$6:$DP$57,卡牌消耗!AT1515)</f>
        <v>13</v>
      </c>
      <c r="AQ1515" s="14" t="str">
        <f t="shared" si="465"/>
        <v>SR守护灵</v>
      </c>
      <c r="AR1515" s="14">
        <f t="shared" si="466"/>
        <v>3</v>
      </c>
      <c r="AS1515" s="14" t="str">
        <f t="shared" si="467"/>
        <v>SR守护灵魂火-3</v>
      </c>
      <c r="AT1515" s="14">
        <f t="shared" si="468"/>
        <v>3</v>
      </c>
      <c r="AU1515" s="14" t="str">
        <f>IF(AM1515&gt;0,INDEX(挂机升级突破!$DT$4:$ED$4,AM1515),"")</f>
        <v>金币</v>
      </c>
      <c r="AV1515" s="14">
        <f>ROUND(INDEX(挂机升级突破!$DJ$6:$DJ$57,卡牌消耗!AT1515)*INDEX(卡牌消耗!$B$8:$F$8,AR1515)/$Q$4/50,0)*50</f>
        <v>1050</v>
      </c>
      <c r="AW1515" s="14" t="str">
        <f>IF(AN1515&gt;0,INDEX(挂机升级突破!$DT$4:$ED$4,AN1515),"")</f>
        <v>绿色基础材料</v>
      </c>
      <c r="AX1515" s="14">
        <f>ROUND(INDEX(挂机升级突破!$DT$6:$ED$57,卡牌消耗!AT1515,AN1515)*INDEX(卡牌消耗!$B$5:$F$5,AR1515)/$Q$4/5,0)*5</f>
        <v>100</v>
      </c>
      <c r="AY1515" s="14" t="str">
        <f>IF(AO1515&gt;0,INDEX(挂机升级突破!$DT$4:$ED$4,AO1515),"")</f>
        <v/>
      </c>
      <c r="AZ1515" s="14" t="str">
        <f>IF(AO1515&gt;0,ROUND(INDEX(挂机升级突破!$DT$6:$ED$57,卡牌消耗!AT1515,AO1515)*INDEX(卡牌消耗!$B$7:$F$7,AR1515)/$Q$4,0),"")</f>
        <v/>
      </c>
    </row>
    <row r="1516" spans="37:52" ht="16.5" x14ac:dyDescent="0.2">
      <c r="AK1516" s="193">
        <v>1512</v>
      </c>
      <c r="AL1516" s="14">
        <f t="shared" si="464"/>
        <v>30</v>
      </c>
      <c r="AM1516" s="14">
        <f>INDEX(挂机升级突破!DQ$6:DQ$57,卡牌消耗!$AT1516)</f>
        <v>11</v>
      </c>
      <c r="AN1516" s="14">
        <f>INDEX(挂机升级突破!DR$6:DR$57,卡牌消耗!$AT1516)</f>
        <v>1</v>
      </c>
      <c r="AO1516" s="14">
        <f>INDEX(挂机升级突破!DS$6:DS$57,卡牌消耗!$AT1516)</f>
        <v>0</v>
      </c>
      <c r="AP1516" s="14">
        <f>INDEX(挂机升级突破!$DP$6:$DP$57,卡牌消耗!AT1516)</f>
        <v>18</v>
      </c>
      <c r="AQ1516" s="14" t="str">
        <f t="shared" si="465"/>
        <v>SR守护灵</v>
      </c>
      <c r="AR1516" s="14">
        <f t="shared" si="466"/>
        <v>3</v>
      </c>
      <c r="AS1516" s="14" t="str">
        <f t="shared" si="467"/>
        <v>SR守护灵魂火-4</v>
      </c>
      <c r="AT1516" s="14">
        <f t="shared" si="468"/>
        <v>4</v>
      </c>
      <c r="AU1516" s="14" t="str">
        <f>IF(AM1516&gt;0,INDEX(挂机升级突破!$DT$4:$ED$4,AM1516),"")</f>
        <v>金币</v>
      </c>
      <c r="AV1516" s="14">
        <f>ROUND(INDEX(挂机升级突破!$DJ$6:$DJ$57,卡牌消耗!AT1516)*INDEX(卡牌消耗!$B$8:$F$8,AR1516)/$Q$4/50,0)*50</f>
        <v>1050</v>
      </c>
      <c r="AW1516" s="14" t="str">
        <f>IF(AN1516&gt;0,INDEX(挂机升级突破!$DT$4:$ED$4,AN1516),"")</f>
        <v>绿色基础材料</v>
      </c>
      <c r="AX1516" s="14">
        <f>ROUND(INDEX(挂机升级突破!$DT$6:$ED$57,卡牌消耗!AT1516,AN1516)*INDEX(卡牌消耗!$B$5:$F$5,AR1516)/$Q$4/5,0)*5</f>
        <v>145</v>
      </c>
      <c r="AY1516" s="14" t="str">
        <f>IF(AO1516&gt;0,INDEX(挂机升级突破!$DT$4:$ED$4,AO1516),"")</f>
        <v/>
      </c>
      <c r="AZ1516" s="14" t="str">
        <f>IF(AO1516&gt;0,ROUND(INDEX(挂机升级突破!$DT$6:$ED$57,卡牌消耗!AT1516,AO1516)*INDEX(卡牌消耗!$B$7:$F$7,AR1516)/$Q$4,0),"")</f>
        <v/>
      </c>
    </row>
    <row r="1517" spans="37:52" ht="16.5" x14ac:dyDescent="0.2">
      <c r="AK1517" s="193">
        <v>1513</v>
      </c>
      <c r="AL1517" s="14">
        <f t="shared" si="464"/>
        <v>30</v>
      </c>
      <c r="AM1517" s="14">
        <f>INDEX(挂机升级突破!DQ$6:DQ$57,卡牌消耗!$AT1517)</f>
        <v>11</v>
      </c>
      <c r="AN1517" s="14">
        <f>INDEX(挂机升级突破!DR$6:DR$57,卡牌消耗!$AT1517)</f>
        <v>1</v>
      </c>
      <c r="AO1517" s="14">
        <f>INDEX(挂机升级突破!DS$6:DS$57,卡牌消耗!$AT1517)</f>
        <v>0</v>
      </c>
      <c r="AP1517" s="14">
        <f>INDEX(挂机升级突破!$DP$6:$DP$57,卡牌消耗!AT1517)</f>
        <v>23</v>
      </c>
      <c r="AQ1517" s="14" t="str">
        <f t="shared" si="465"/>
        <v>SR守护灵</v>
      </c>
      <c r="AR1517" s="14">
        <f t="shared" si="466"/>
        <v>3</v>
      </c>
      <c r="AS1517" s="14" t="str">
        <f t="shared" si="467"/>
        <v>SR守护灵魂火-5</v>
      </c>
      <c r="AT1517" s="14">
        <f t="shared" si="468"/>
        <v>5</v>
      </c>
      <c r="AU1517" s="14" t="str">
        <f>IF(AM1517&gt;0,INDEX(挂机升级突破!$DT$4:$ED$4,AM1517),"")</f>
        <v>金币</v>
      </c>
      <c r="AV1517" s="14">
        <f>ROUND(INDEX(挂机升级突破!$DJ$6:$DJ$57,卡牌消耗!AT1517)*INDEX(卡牌消耗!$B$8:$F$8,AR1517)/$Q$4/50,0)*50</f>
        <v>1050</v>
      </c>
      <c r="AW1517" s="14" t="str">
        <f>IF(AN1517&gt;0,INDEX(挂机升级突破!$DT$4:$ED$4,AN1517),"")</f>
        <v>绿色基础材料</v>
      </c>
      <c r="AX1517" s="14">
        <f>ROUND(INDEX(挂机升级突破!$DT$6:$ED$57,卡牌消耗!AT1517,AN1517)*INDEX(卡牌消耗!$B$5:$F$5,AR1517)/$Q$4/5,0)*5</f>
        <v>155</v>
      </c>
      <c r="AY1517" s="14" t="str">
        <f>IF(AO1517&gt;0,INDEX(挂机升级突破!$DT$4:$ED$4,AO1517),"")</f>
        <v/>
      </c>
      <c r="AZ1517" s="14" t="str">
        <f>IF(AO1517&gt;0,ROUND(INDEX(挂机升级突破!$DT$6:$ED$57,卡牌消耗!AT1517,AO1517)*INDEX(卡牌消耗!$B$7:$F$7,AR1517)/$Q$4,0),"")</f>
        <v/>
      </c>
    </row>
    <row r="1518" spans="37:52" ht="16.5" x14ac:dyDescent="0.2">
      <c r="AK1518" s="193">
        <v>1514</v>
      </c>
      <c r="AL1518" s="14">
        <f t="shared" si="464"/>
        <v>30</v>
      </c>
      <c r="AM1518" s="14">
        <f>INDEX(挂机升级突破!DQ$6:DQ$57,卡牌消耗!$AT1518)</f>
        <v>11</v>
      </c>
      <c r="AN1518" s="14">
        <f>INDEX(挂机升级突破!DR$6:DR$57,卡牌消耗!$AT1518)</f>
        <v>2</v>
      </c>
      <c r="AO1518" s="14">
        <f>INDEX(挂机升级突破!DS$6:DS$57,卡牌消耗!$AT1518)</f>
        <v>0</v>
      </c>
      <c r="AP1518" s="14">
        <f>INDEX(挂机升级突破!$DP$6:$DP$57,卡牌消耗!AT1518)</f>
        <v>28</v>
      </c>
      <c r="AQ1518" s="14" t="str">
        <f t="shared" si="465"/>
        <v>SR守护灵</v>
      </c>
      <c r="AR1518" s="14">
        <f t="shared" si="466"/>
        <v>3</v>
      </c>
      <c r="AS1518" s="14" t="str">
        <f t="shared" si="467"/>
        <v>SR守护灵魂火-6</v>
      </c>
      <c r="AT1518" s="14">
        <f t="shared" si="468"/>
        <v>6</v>
      </c>
      <c r="AU1518" s="14" t="str">
        <f>IF(AM1518&gt;0,INDEX(挂机升级突破!$DT$4:$ED$4,AM1518),"")</f>
        <v>金币</v>
      </c>
      <c r="AV1518" s="14">
        <f>ROUND(INDEX(挂机升级突破!$DJ$6:$DJ$57,卡牌消耗!AT1518)*INDEX(卡牌消耗!$B$8:$F$8,AR1518)/$Q$4/50,0)*50</f>
        <v>1250</v>
      </c>
      <c r="AW1518" s="14" t="str">
        <f>IF(AN1518&gt;0,INDEX(挂机升级突破!$DT$4:$ED$4,AN1518),"")</f>
        <v>蓝色基础材料</v>
      </c>
      <c r="AX1518" s="14">
        <f>ROUND(INDEX(挂机升级突破!$DT$6:$ED$57,卡牌消耗!AT1518,AN1518)*INDEX(卡牌消耗!$B$5:$F$5,AR1518)/$Q$4/5,0)*5</f>
        <v>30</v>
      </c>
      <c r="AY1518" s="14" t="str">
        <f>IF(AO1518&gt;0,INDEX(挂机升级突破!$DT$4:$ED$4,AO1518),"")</f>
        <v/>
      </c>
      <c r="AZ1518" s="14" t="str">
        <f>IF(AO1518&gt;0,ROUND(INDEX(挂机升级突破!$DT$6:$ED$57,卡牌消耗!AT1518,AO1518)*INDEX(卡牌消耗!$B$7:$F$7,AR1518)/$Q$4,0),"")</f>
        <v/>
      </c>
    </row>
    <row r="1519" spans="37:52" ht="16.5" x14ac:dyDescent="0.2">
      <c r="AK1519" s="193">
        <v>1515</v>
      </c>
      <c r="AL1519" s="14">
        <f t="shared" si="464"/>
        <v>30</v>
      </c>
      <c r="AM1519" s="14">
        <f>INDEX(挂机升级突破!DQ$6:DQ$57,卡牌消耗!$AT1519)</f>
        <v>11</v>
      </c>
      <c r="AN1519" s="14">
        <f>INDEX(挂机升级突破!DR$6:DR$57,卡牌消耗!$AT1519)</f>
        <v>2</v>
      </c>
      <c r="AO1519" s="14">
        <f>INDEX(挂机升级突破!DS$6:DS$57,卡牌消耗!$AT1519)</f>
        <v>0</v>
      </c>
      <c r="AP1519" s="14">
        <f>INDEX(挂机升级突破!$DP$6:$DP$57,卡牌消耗!AT1519)</f>
        <v>33</v>
      </c>
      <c r="AQ1519" s="14" t="str">
        <f t="shared" si="465"/>
        <v>SR守护灵</v>
      </c>
      <c r="AR1519" s="14">
        <f t="shared" si="466"/>
        <v>3</v>
      </c>
      <c r="AS1519" s="14" t="str">
        <f t="shared" si="467"/>
        <v>SR守护灵魂火-7</v>
      </c>
      <c r="AT1519" s="14">
        <f t="shared" si="468"/>
        <v>7</v>
      </c>
      <c r="AU1519" s="14" t="str">
        <f>IF(AM1519&gt;0,INDEX(挂机升级突破!$DT$4:$ED$4,AM1519),"")</f>
        <v>金币</v>
      </c>
      <c r="AV1519" s="14">
        <f>ROUND(INDEX(挂机升级突破!$DJ$6:$DJ$57,卡牌消耗!AT1519)*INDEX(卡牌消耗!$B$8:$F$8,AR1519)/$Q$4/50,0)*50</f>
        <v>1250</v>
      </c>
      <c r="AW1519" s="14" t="str">
        <f>IF(AN1519&gt;0,INDEX(挂机升级突破!$DT$4:$ED$4,AN1519),"")</f>
        <v>蓝色基础材料</v>
      </c>
      <c r="AX1519" s="14">
        <f>ROUND(INDEX(挂机升级突破!$DT$6:$ED$57,卡牌消耗!AT1519,AN1519)*INDEX(卡牌消耗!$B$5:$F$5,AR1519)/$Q$4/5,0)*5</f>
        <v>30</v>
      </c>
      <c r="AY1519" s="14" t="str">
        <f>IF(AO1519&gt;0,INDEX(挂机升级突破!$DT$4:$ED$4,AO1519),"")</f>
        <v/>
      </c>
      <c r="AZ1519" s="14" t="str">
        <f>IF(AO1519&gt;0,ROUND(INDEX(挂机升级突破!$DT$6:$ED$57,卡牌消耗!AT1519,AO1519)*INDEX(卡牌消耗!$B$7:$F$7,AR1519)/$Q$4,0),"")</f>
        <v/>
      </c>
    </row>
    <row r="1520" spans="37:52" ht="16.5" x14ac:dyDescent="0.2">
      <c r="AK1520" s="193">
        <v>1516</v>
      </c>
      <c r="AL1520" s="14">
        <f t="shared" si="464"/>
        <v>30</v>
      </c>
      <c r="AM1520" s="14">
        <f>INDEX(挂机升级突破!DQ$6:DQ$57,卡牌消耗!$AT1520)</f>
        <v>11</v>
      </c>
      <c r="AN1520" s="14">
        <f>INDEX(挂机升级突破!DR$6:DR$57,卡牌消耗!$AT1520)</f>
        <v>2</v>
      </c>
      <c r="AO1520" s="14">
        <f>INDEX(挂机升级突破!DS$6:DS$57,卡牌消耗!$AT1520)</f>
        <v>0</v>
      </c>
      <c r="AP1520" s="14">
        <f>INDEX(挂机升级突破!$DP$6:$DP$57,卡牌消耗!AT1520)</f>
        <v>38</v>
      </c>
      <c r="AQ1520" s="14" t="str">
        <f t="shared" si="465"/>
        <v>SR守护灵</v>
      </c>
      <c r="AR1520" s="14">
        <f t="shared" si="466"/>
        <v>3</v>
      </c>
      <c r="AS1520" s="14" t="str">
        <f t="shared" si="467"/>
        <v>SR守护灵魂火-8</v>
      </c>
      <c r="AT1520" s="14">
        <f t="shared" si="468"/>
        <v>8</v>
      </c>
      <c r="AU1520" s="14" t="str">
        <f>IF(AM1520&gt;0,INDEX(挂机升级突破!$DT$4:$ED$4,AM1520),"")</f>
        <v>金币</v>
      </c>
      <c r="AV1520" s="14">
        <f>ROUND(INDEX(挂机升级突破!$DJ$6:$DJ$57,卡牌消耗!AT1520)*INDEX(卡牌消耗!$B$8:$F$8,AR1520)/$Q$4/50,0)*50</f>
        <v>1900</v>
      </c>
      <c r="AW1520" s="14" t="str">
        <f>IF(AN1520&gt;0,INDEX(挂机升级突破!$DT$4:$ED$4,AN1520),"")</f>
        <v>蓝色基础材料</v>
      </c>
      <c r="AX1520" s="14">
        <f>ROUND(INDEX(挂机升级突破!$DT$6:$ED$57,卡牌消耗!AT1520,AN1520)*INDEX(卡牌消耗!$B$5:$F$5,AR1520)/$Q$4/5,0)*5</f>
        <v>60</v>
      </c>
      <c r="AY1520" s="14" t="str">
        <f>IF(AO1520&gt;0,INDEX(挂机升级突破!$DT$4:$ED$4,AO1520),"")</f>
        <v/>
      </c>
      <c r="AZ1520" s="14" t="str">
        <f>IF(AO1520&gt;0,ROUND(INDEX(挂机升级突破!$DT$6:$ED$57,卡牌消耗!AT1520,AO1520)*INDEX(卡牌消耗!$B$7:$F$7,AR1520)/$Q$4,0),"")</f>
        <v/>
      </c>
    </row>
    <row r="1521" spans="37:52" ht="16.5" x14ac:dyDescent="0.2">
      <c r="AK1521" s="193">
        <v>1517</v>
      </c>
      <c r="AL1521" s="14">
        <f t="shared" si="464"/>
        <v>30</v>
      </c>
      <c r="AM1521" s="14">
        <f>INDEX(挂机升级突破!DQ$6:DQ$57,卡牌消耗!$AT1521)</f>
        <v>11</v>
      </c>
      <c r="AN1521" s="14">
        <f>INDEX(挂机升级突破!DR$6:DR$57,卡牌消耗!$AT1521)</f>
        <v>2</v>
      </c>
      <c r="AO1521" s="14">
        <f>INDEX(挂机升级突破!DS$6:DS$57,卡牌消耗!$AT1521)</f>
        <v>0</v>
      </c>
      <c r="AP1521" s="14">
        <f>INDEX(挂机升级突破!$DP$6:$DP$57,卡牌消耗!AT1521)</f>
        <v>40</v>
      </c>
      <c r="AQ1521" s="14" t="str">
        <f t="shared" si="465"/>
        <v>SR守护灵</v>
      </c>
      <c r="AR1521" s="14">
        <f t="shared" si="466"/>
        <v>3</v>
      </c>
      <c r="AS1521" s="14" t="str">
        <f t="shared" si="467"/>
        <v>SR守护灵魂火-9</v>
      </c>
      <c r="AT1521" s="14">
        <f t="shared" si="468"/>
        <v>9</v>
      </c>
      <c r="AU1521" s="14" t="str">
        <f>IF(AM1521&gt;0,INDEX(挂机升级突破!$DT$4:$ED$4,AM1521),"")</f>
        <v>金币</v>
      </c>
      <c r="AV1521" s="14">
        <f>ROUND(INDEX(挂机升级突破!$DJ$6:$DJ$57,卡牌消耗!AT1521)*INDEX(卡牌消耗!$B$8:$F$8,AR1521)/$Q$4/50,0)*50</f>
        <v>1900</v>
      </c>
      <c r="AW1521" s="14" t="str">
        <f>IF(AN1521&gt;0,INDEX(挂机升级突破!$DT$4:$ED$4,AN1521),"")</f>
        <v>蓝色基础材料</v>
      </c>
      <c r="AX1521" s="14">
        <f>ROUND(INDEX(挂机升级突破!$DT$6:$ED$57,卡牌消耗!AT1521,AN1521)*INDEX(卡牌消耗!$B$5:$F$5,AR1521)/$Q$4/5,0)*5</f>
        <v>60</v>
      </c>
      <c r="AY1521" s="14" t="str">
        <f>IF(AO1521&gt;0,INDEX(挂机升级突破!$DT$4:$ED$4,AO1521),"")</f>
        <v/>
      </c>
      <c r="AZ1521" s="14" t="str">
        <f>IF(AO1521&gt;0,ROUND(INDEX(挂机升级突破!$DT$6:$ED$57,卡牌消耗!AT1521,AO1521)*INDEX(卡牌消耗!$B$7:$F$7,AR1521)/$Q$4,0),"")</f>
        <v/>
      </c>
    </row>
    <row r="1522" spans="37:52" ht="16.5" x14ac:dyDescent="0.2">
      <c r="AK1522" s="193">
        <v>1518</v>
      </c>
      <c r="AL1522" s="14">
        <f t="shared" si="464"/>
        <v>30</v>
      </c>
      <c r="AM1522" s="14">
        <f>INDEX(挂机升级突破!DQ$6:DQ$57,卡牌消耗!$AT1522)</f>
        <v>11</v>
      </c>
      <c r="AN1522" s="14">
        <f>INDEX(挂机升级突破!DR$6:DR$57,卡牌消耗!$AT1522)</f>
        <v>2</v>
      </c>
      <c r="AO1522" s="14">
        <f>INDEX(挂机升级突破!DS$6:DS$57,卡牌消耗!$AT1522)</f>
        <v>0</v>
      </c>
      <c r="AP1522" s="14">
        <f>INDEX(挂机升级突破!$DP$6:$DP$57,卡牌消耗!AT1522)</f>
        <v>43</v>
      </c>
      <c r="AQ1522" s="14" t="str">
        <f t="shared" si="465"/>
        <v>SR守护灵</v>
      </c>
      <c r="AR1522" s="14">
        <f t="shared" si="466"/>
        <v>3</v>
      </c>
      <c r="AS1522" s="14" t="str">
        <f t="shared" si="467"/>
        <v>SR守护灵魂火-10</v>
      </c>
      <c r="AT1522" s="14">
        <f t="shared" si="468"/>
        <v>10</v>
      </c>
      <c r="AU1522" s="14" t="str">
        <f>IF(AM1522&gt;0,INDEX(挂机升级突破!$DT$4:$ED$4,AM1522),"")</f>
        <v>金币</v>
      </c>
      <c r="AV1522" s="14">
        <f>ROUND(INDEX(挂机升级突破!$DJ$6:$DJ$57,卡牌消耗!AT1522)*INDEX(卡牌消耗!$B$8:$F$8,AR1522)/$Q$4/50,0)*50</f>
        <v>3200</v>
      </c>
      <c r="AW1522" s="14" t="str">
        <f>IF(AN1522&gt;0,INDEX(挂机升级突破!$DT$4:$ED$4,AN1522),"")</f>
        <v>蓝色基础材料</v>
      </c>
      <c r="AX1522" s="14">
        <f>ROUND(INDEX(挂机升级突破!$DT$6:$ED$57,卡牌消耗!AT1522,AN1522)*INDEX(卡牌消耗!$B$5:$F$5,AR1522)/$Q$4/5,0)*5</f>
        <v>85</v>
      </c>
      <c r="AY1522" s="14" t="str">
        <f>IF(AO1522&gt;0,INDEX(挂机升级突破!$DT$4:$ED$4,AO1522),"")</f>
        <v/>
      </c>
      <c r="AZ1522" s="14" t="str">
        <f>IF(AO1522&gt;0,ROUND(INDEX(挂机升级突破!$DT$6:$ED$57,卡牌消耗!AT1522,AO1522)*INDEX(卡牌消耗!$B$7:$F$7,AR1522)/$Q$4,0),"")</f>
        <v/>
      </c>
    </row>
    <row r="1523" spans="37:52" ht="16.5" x14ac:dyDescent="0.2">
      <c r="AK1523" s="193">
        <v>1519</v>
      </c>
      <c r="AL1523" s="14">
        <f t="shared" si="464"/>
        <v>30</v>
      </c>
      <c r="AM1523" s="14">
        <f>INDEX(挂机升级突破!DQ$6:DQ$57,卡牌消耗!$AT1523)</f>
        <v>11</v>
      </c>
      <c r="AN1523" s="14">
        <f>INDEX(挂机升级突破!DR$6:DR$57,卡牌消耗!$AT1523)</f>
        <v>2</v>
      </c>
      <c r="AO1523" s="14">
        <f>INDEX(挂机升级突破!DS$6:DS$57,卡牌消耗!$AT1523)</f>
        <v>0</v>
      </c>
      <c r="AP1523" s="14">
        <f>INDEX(挂机升级突破!$DP$6:$DP$57,卡牌消耗!AT1523)</f>
        <v>45</v>
      </c>
      <c r="AQ1523" s="14" t="str">
        <f t="shared" si="465"/>
        <v>SR守护灵</v>
      </c>
      <c r="AR1523" s="14">
        <f t="shared" si="466"/>
        <v>3</v>
      </c>
      <c r="AS1523" s="14" t="str">
        <f t="shared" si="467"/>
        <v>SR守护灵魂火-11</v>
      </c>
      <c r="AT1523" s="14">
        <f t="shared" si="468"/>
        <v>11</v>
      </c>
      <c r="AU1523" s="14" t="str">
        <f>IF(AM1523&gt;0,INDEX(挂机升级突破!$DT$4:$ED$4,AM1523),"")</f>
        <v>金币</v>
      </c>
      <c r="AV1523" s="14">
        <f>ROUND(INDEX(挂机升级突破!$DJ$6:$DJ$57,卡牌消耗!AT1523)*INDEX(卡牌消耗!$B$8:$F$8,AR1523)/$Q$4/50,0)*50</f>
        <v>3200</v>
      </c>
      <c r="AW1523" s="14" t="str">
        <f>IF(AN1523&gt;0,INDEX(挂机升级突破!$DT$4:$ED$4,AN1523),"")</f>
        <v>蓝色基础材料</v>
      </c>
      <c r="AX1523" s="14">
        <f>ROUND(INDEX(挂机升级突破!$DT$6:$ED$57,卡牌消耗!AT1523,AN1523)*INDEX(卡牌消耗!$B$5:$F$5,AR1523)/$Q$4/5,0)*5</f>
        <v>85</v>
      </c>
      <c r="AY1523" s="14" t="str">
        <f>IF(AO1523&gt;0,INDEX(挂机升级突破!$DT$4:$ED$4,AO1523),"")</f>
        <v/>
      </c>
      <c r="AZ1523" s="14" t="str">
        <f>IF(AO1523&gt;0,ROUND(INDEX(挂机升级突破!$DT$6:$ED$57,卡牌消耗!AT1523,AO1523)*INDEX(卡牌消耗!$B$7:$F$7,AR1523)/$Q$4,0),"")</f>
        <v/>
      </c>
    </row>
    <row r="1524" spans="37:52" ht="16.5" x14ac:dyDescent="0.2">
      <c r="AK1524" s="193">
        <v>1520</v>
      </c>
      <c r="AL1524" s="14">
        <f t="shared" si="464"/>
        <v>30</v>
      </c>
      <c r="AM1524" s="14">
        <f>INDEX(挂机升级突破!DQ$6:DQ$57,卡牌消耗!$AT1524)</f>
        <v>11</v>
      </c>
      <c r="AN1524" s="14">
        <f>INDEX(挂机升级突破!DR$6:DR$57,卡牌消耗!$AT1524)</f>
        <v>2</v>
      </c>
      <c r="AO1524" s="14">
        <f>INDEX(挂机升级突破!DS$6:DS$57,卡牌消耗!$AT1524)</f>
        <v>0</v>
      </c>
      <c r="AP1524" s="14">
        <f>INDEX(挂机升级突破!$DP$6:$DP$57,卡牌消耗!AT1524)</f>
        <v>48</v>
      </c>
      <c r="AQ1524" s="14" t="str">
        <f t="shared" si="465"/>
        <v>SR守护灵</v>
      </c>
      <c r="AR1524" s="14">
        <f t="shared" si="466"/>
        <v>3</v>
      </c>
      <c r="AS1524" s="14" t="str">
        <f t="shared" si="467"/>
        <v>SR守护灵魂火-12</v>
      </c>
      <c r="AT1524" s="14">
        <f t="shared" si="468"/>
        <v>12</v>
      </c>
      <c r="AU1524" s="14" t="str">
        <f>IF(AM1524&gt;0,INDEX(挂机升级突破!$DT$4:$ED$4,AM1524),"")</f>
        <v>金币</v>
      </c>
      <c r="AV1524" s="14">
        <f>ROUND(INDEX(挂机升级突破!$DJ$6:$DJ$57,卡牌消耗!AT1524)*INDEX(卡牌消耗!$B$8:$F$8,AR1524)/$Q$4/50,0)*50</f>
        <v>2750</v>
      </c>
      <c r="AW1524" s="14" t="str">
        <f>IF(AN1524&gt;0,INDEX(挂机升级突破!$DT$4:$ED$4,AN1524),"")</f>
        <v>蓝色基础材料</v>
      </c>
      <c r="AX1524" s="14">
        <f>ROUND(INDEX(挂机升级突破!$DT$6:$ED$57,卡牌消耗!AT1524,AN1524)*INDEX(卡牌消耗!$B$5:$F$5,AR1524)/$Q$4/5,0)*5</f>
        <v>115</v>
      </c>
      <c r="AY1524" s="14" t="str">
        <f>IF(AO1524&gt;0,INDEX(挂机升级突破!$DT$4:$ED$4,AO1524),"")</f>
        <v/>
      </c>
      <c r="AZ1524" s="14" t="str">
        <f>IF(AO1524&gt;0,ROUND(INDEX(挂机升级突破!$DT$6:$ED$57,卡牌消耗!AT1524,AO1524)*INDEX(卡牌消耗!$B$7:$F$7,AR1524)/$Q$4,0),"")</f>
        <v/>
      </c>
    </row>
    <row r="1525" spans="37:52" ht="16.5" x14ac:dyDescent="0.2">
      <c r="AK1525" s="193">
        <v>1521</v>
      </c>
      <c r="AL1525" s="14">
        <f t="shared" si="464"/>
        <v>30</v>
      </c>
      <c r="AM1525" s="14">
        <f>INDEX(挂机升级突破!DQ$6:DQ$57,卡牌消耗!$AT1525)</f>
        <v>11</v>
      </c>
      <c r="AN1525" s="14">
        <f>INDEX(挂机升级突破!DR$6:DR$57,卡牌消耗!$AT1525)</f>
        <v>2</v>
      </c>
      <c r="AO1525" s="14">
        <f>INDEX(挂机升级突破!DS$6:DS$57,卡牌消耗!$AT1525)</f>
        <v>0</v>
      </c>
      <c r="AP1525" s="14">
        <f>INDEX(挂机升级突破!$DP$6:$DP$57,卡牌消耗!AT1525)</f>
        <v>50</v>
      </c>
      <c r="AQ1525" s="14" t="str">
        <f t="shared" si="465"/>
        <v>SR守护灵</v>
      </c>
      <c r="AR1525" s="14">
        <f t="shared" si="466"/>
        <v>3</v>
      </c>
      <c r="AS1525" s="14" t="str">
        <f t="shared" si="467"/>
        <v>SR守护灵魂火-13</v>
      </c>
      <c r="AT1525" s="14">
        <f t="shared" si="468"/>
        <v>13</v>
      </c>
      <c r="AU1525" s="14" t="str">
        <f>IF(AM1525&gt;0,INDEX(挂机升级突破!$DT$4:$ED$4,AM1525),"")</f>
        <v>金币</v>
      </c>
      <c r="AV1525" s="14">
        <f>ROUND(INDEX(挂机升级突破!$DJ$6:$DJ$57,卡牌消耗!AT1525)*INDEX(卡牌消耗!$B$8:$F$8,AR1525)/$Q$4/50,0)*50</f>
        <v>2750</v>
      </c>
      <c r="AW1525" s="14" t="str">
        <f>IF(AN1525&gt;0,INDEX(挂机升级突破!$DT$4:$ED$4,AN1525),"")</f>
        <v>蓝色基础材料</v>
      </c>
      <c r="AX1525" s="14">
        <f>ROUND(INDEX(挂机升级突破!$DT$6:$ED$57,卡牌消耗!AT1525,AN1525)*INDEX(卡牌消耗!$B$5:$F$5,AR1525)/$Q$4/5,0)*5</f>
        <v>115</v>
      </c>
      <c r="AY1525" s="14" t="str">
        <f>IF(AO1525&gt;0,INDEX(挂机升级突破!$DT$4:$ED$4,AO1525),"")</f>
        <v/>
      </c>
      <c r="AZ1525" s="14" t="str">
        <f>IF(AO1525&gt;0,ROUND(INDEX(挂机升级突破!$DT$6:$ED$57,卡牌消耗!AT1525,AO1525)*INDEX(卡牌消耗!$B$7:$F$7,AR1525)/$Q$4,0),"")</f>
        <v/>
      </c>
    </row>
    <row r="1526" spans="37:52" ht="16.5" x14ac:dyDescent="0.2">
      <c r="AK1526" s="193">
        <v>1522</v>
      </c>
      <c r="AL1526" s="14">
        <f t="shared" si="464"/>
        <v>30</v>
      </c>
      <c r="AM1526" s="14">
        <f>INDEX(挂机升级突破!DQ$6:DQ$57,卡牌消耗!$AT1526)</f>
        <v>11</v>
      </c>
      <c r="AN1526" s="14">
        <f>INDEX(挂机升级突破!DR$6:DR$57,卡牌消耗!$AT1526)</f>
        <v>3</v>
      </c>
      <c r="AO1526" s="14">
        <f>INDEX(挂机升级突破!DS$6:DS$57,卡牌消耗!$AT1526)</f>
        <v>0</v>
      </c>
      <c r="AP1526" s="14">
        <f>INDEX(挂机升级突破!$DP$6:$DP$57,卡牌消耗!AT1526)</f>
        <v>53</v>
      </c>
      <c r="AQ1526" s="14" t="str">
        <f t="shared" si="465"/>
        <v>SR守护灵</v>
      </c>
      <c r="AR1526" s="14">
        <f t="shared" si="466"/>
        <v>3</v>
      </c>
      <c r="AS1526" s="14" t="str">
        <f t="shared" si="467"/>
        <v>SR守护灵魂火-14</v>
      </c>
      <c r="AT1526" s="14">
        <f t="shared" si="468"/>
        <v>14</v>
      </c>
      <c r="AU1526" s="14" t="str">
        <f>IF(AM1526&gt;0,INDEX(挂机升级突破!$DT$4:$ED$4,AM1526),"")</f>
        <v>金币</v>
      </c>
      <c r="AV1526" s="14">
        <f>ROUND(INDEX(挂机升级突破!$DJ$6:$DJ$57,卡牌消耗!AT1526)*INDEX(卡牌消耗!$B$8:$F$8,AR1526)/$Q$4/50,0)*50</f>
        <v>3000</v>
      </c>
      <c r="AW1526" s="14" t="str">
        <f>IF(AN1526&gt;0,INDEX(挂机升级突破!$DT$4:$ED$4,AN1526),"")</f>
        <v>紫色基础材料</v>
      </c>
      <c r="AX1526" s="14">
        <f>ROUND(INDEX(挂机升级突破!$DT$6:$ED$57,卡牌消耗!AT1526,AN1526)*INDEX(卡牌消耗!$B$5:$F$5,AR1526)/$Q$4/5,0)*5</f>
        <v>25</v>
      </c>
      <c r="AY1526" s="14" t="str">
        <f>IF(AO1526&gt;0,INDEX(挂机升级突破!$DT$4:$ED$4,AO1526),"")</f>
        <v/>
      </c>
      <c r="AZ1526" s="14" t="str">
        <f>IF(AO1526&gt;0,ROUND(INDEX(挂机升级突破!$DT$6:$ED$57,卡牌消耗!AT1526,AO1526)*INDEX(卡牌消耗!$B$7:$F$7,AR1526)/$Q$4,0),"")</f>
        <v/>
      </c>
    </row>
    <row r="1527" spans="37:52" ht="16.5" x14ac:dyDescent="0.2">
      <c r="AK1527" s="193">
        <v>1523</v>
      </c>
      <c r="AL1527" s="14">
        <f t="shared" si="464"/>
        <v>30</v>
      </c>
      <c r="AM1527" s="14">
        <f>INDEX(挂机升级突破!DQ$6:DQ$57,卡牌消耗!$AT1527)</f>
        <v>11</v>
      </c>
      <c r="AN1527" s="14">
        <f>INDEX(挂机升级突破!DR$6:DR$57,卡牌消耗!$AT1527)</f>
        <v>3</v>
      </c>
      <c r="AO1527" s="14">
        <f>INDEX(挂机升级突破!DS$6:DS$57,卡牌消耗!$AT1527)</f>
        <v>0</v>
      </c>
      <c r="AP1527" s="14">
        <f>INDEX(挂机升级突破!$DP$6:$DP$57,卡牌消耗!AT1527)</f>
        <v>55</v>
      </c>
      <c r="AQ1527" s="14" t="str">
        <f t="shared" si="465"/>
        <v>SR守护灵</v>
      </c>
      <c r="AR1527" s="14">
        <f t="shared" si="466"/>
        <v>3</v>
      </c>
      <c r="AS1527" s="14" t="str">
        <f t="shared" si="467"/>
        <v>SR守护灵魂火-15</v>
      </c>
      <c r="AT1527" s="14">
        <f t="shared" si="468"/>
        <v>15</v>
      </c>
      <c r="AU1527" s="14" t="str">
        <f>IF(AM1527&gt;0,INDEX(挂机升级突破!$DT$4:$ED$4,AM1527),"")</f>
        <v>金币</v>
      </c>
      <c r="AV1527" s="14">
        <f>ROUND(INDEX(挂机升级突破!$DJ$6:$DJ$57,卡牌消耗!AT1527)*INDEX(卡牌消耗!$B$8:$F$8,AR1527)/$Q$4/50,0)*50</f>
        <v>3250</v>
      </c>
      <c r="AW1527" s="14" t="str">
        <f>IF(AN1527&gt;0,INDEX(挂机升级突破!$DT$4:$ED$4,AN1527),"")</f>
        <v>紫色基础材料</v>
      </c>
      <c r="AX1527" s="14">
        <f>ROUND(INDEX(挂机升级突破!$DT$6:$ED$57,卡牌消耗!AT1527,AN1527)*INDEX(卡牌消耗!$B$5:$F$5,AR1527)/$Q$4/5,0)*5</f>
        <v>25</v>
      </c>
      <c r="AY1527" s="14" t="str">
        <f>IF(AO1527&gt;0,INDEX(挂机升级突破!$DT$4:$ED$4,AO1527),"")</f>
        <v/>
      </c>
      <c r="AZ1527" s="14" t="str">
        <f>IF(AO1527&gt;0,ROUND(INDEX(挂机升级突破!$DT$6:$ED$57,卡牌消耗!AT1527,AO1527)*INDEX(卡牌消耗!$B$7:$F$7,AR1527)/$Q$4,0),"")</f>
        <v/>
      </c>
    </row>
    <row r="1528" spans="37:52" ht="16.5" x14ac:dyDescent="0.2">
      <c r="AK1528" s="193">
        <v>1524</v>
      </c>
      <c r="AL1528" s="14">
        <f t="shared" si="464"/>
        <v>30</v>
      </c>
      <c r="AM1528" s="14">
        <f>INDEX(挂机升级突破!DQ$6:DQ$57,卡牌消耗!$AT1528)</f>
        <v>11</v>
      </c>
      <c r="AN1528" s="14">
        <f>INDEX(挂机升级突破!DR$6:DR$57,卡牌消耗!$AT1528)</f>
        <v>3</v>
      </c>
      <c r="AO1528" s="14">
        <f>INDEX(挂机升级突破!DS$6:DS$57,卡牌消耗!$AT1528)</f>
        <v>0</v>
      </c>
      <c r="AP1528" s="14">
        <f>INDEX(挂机升级突破!$DP$6:$DP$57,卡牌消耗!AT1528)</f>
        <v>58</v>
      </c>
      <c r="AQ1528" s="14" t="str">
        <f t="shared" si="465"/>
        <v>SR守护灵</v>
      </c>
      <c r="AR1528" s="14">
        <f t="shared" si="466"/>
        <v>3</v>
      </c>
      <c r="AS1528" s="14" t="str">
        <f t="shared" si="467"/>
        <v>SR守护灵魂火-16</v>
      </c>
      <c r="AT1528" s="14">
        <f t="shared" si="468"/>
        <v>16</v>
      </c>
      <c r="AU1528" s="14" t="str">
        <f>IF(AM1528&gt;0,INDEX(挂机升级突破!$DT$4:$ED$4,AM1528),"")</f>
        <v>金币</v>
      </c>
      <c r="AV1528" s="14">
        <f>ROUND(INDEX(挂机升级突破!$DJ$6:$DJ$57,卡牌消耗!AT1528)*INDEX(卡牌消耗!$B$8:$F$8,AR1528)/$Q$4/50,0)*50</f>
        <v>3250</v>
      </c>
      <c r="AW1528" s="14" t="str">
        <f>IF(AN1528&gt;0,INDEX(挂机升级突破!$DT$4:$ED$4,AN1528),"")</f>
        <v>紫色基础材料</v>
      </c>
      <c r="AX1528" s="14">
        <f>ROUND(INDEX(挂机升级突破!$DT$6:$ED$57,卡牌消耗!AT1528,AN1528)*INDEX(卡牌消耗!$B$5:$F$5,AR1528)/$Q$4/5,0)*5</f>
        <v>25</v>
      </c>
      <c r="AY1528" s="14" t="str">
        <f>IF(AO1528&gt;0,INDEX(挂机升级突破!$DT$4:$ED$4,AO1528),"")</f>
        <v/>
      </c>
      <c r="AZ1528" s="14" t="str">
        <f>IF(AO1528&gt;0,ROUND(INDEX(挂机升级突破!$DT$6:$ED$57,卡牌消耗!AT1528,AO1528)*INDEX(卡牌消耗!$B$7:$F$7,AR1528)/$Q$4,0),"")</f>
        <v/>
      </c>
    </row>
    <row r="1529" spans="37:52" ht="16.5" x14ac:dyDescent="0.2">
      <c r="AK1529" s="193">
        <v>1525</v>
      </c>
      <c r="AL1529" s="14">
        <f t="shared" si="464"/>
        <v>30</v>
      </c>
      <c r="AM1529" s="14">
        <f>INDEX(挂机升级突破!DQ$6:DQ$57,卡牌消耗!$AT1529)</f>
        <v>11</v>
      </c>
      <c r="AN1529" s="14">
        <f>INDEX(挂机升级突破!DR$6:DR$57,卡牌消耗!$AT1529)</f>
        <v>3</v>
      </c>
      <c r="AO1529" s="14">
        <f>INDEX(挂机升级突破!DS$6:DS$57,卡牌消耗!$AT1529)</f>
        <v>0</v>
      </c>
      <c r="AP1529" s="14">
        <f>INDEX(挂机升级突破!$DP$6:$DP$57,卡牌消耗!AT1529)</f>
        <v>60</v>
      </c>
      <c r="AQ1529" s="14" t="str">
        <f t="shared" si="465"/>
        <v>SR守护灵</v>
      </c>
      <c r="AR1529" s="14">
        <f t="shared" si="466"/>
        <v>3</v>
      </c>
      <c r="AS1529" s="14" t="str">
        <f t="shared" si="467"/>
        <v>SR守护灵魂火-17</v>
      </c>
      <c r="AT1529" s="14">
        <f t="shared" si="468"/>
        <v>17</v>
      </c>
      <c r="AU1529" s="14" t="str">
        <f>IF(AM1529&gt;0,INDEX(挂机升级突破!$DT$4:$ED$4,AM1529),"")</f>
        <v>金币</v>
      </c>
      <c r="AV1529" s="14">
        <f>ROUND(INDEX(挂机升级突破!$DJ$6:$DJ$57,卡牌消耗!AT1529)*INDEX(卡牌消耗!$B$8:$F$8,AR1529)/$Q$4/50,0)*50</f>
        <v>4100</v>
      </c>
      <c r="AW1529" s="14" t="str">
        <f>IF(AN1529&gt;0,INDEX(挂机升级突破!$DT$4:$ED$4,AN1529),"")</f>
        <v>紫色基础材料</v>
      </c>
      <c r="AX1529" s="14">
        <f>ROUND(INDEX(挂机升级突破!$DT$6:$ED$57,卡牌消耗!AT1529,AN1529)*INDEX(卡牌消耗!$B$5:$F$5,AR1529)/$Q$4/5,0)*5</f>
        <v>45</v>
      </c>
      <c r="AY1529" s="14" t="str">
        <f>IF(AO1529&gt;0,INDEX(挂机升级突破!$DT$4:$ED$4,AO1529),"")</f>
        <v/>
      </c>
      <c r="AZ1529" s="14" t="str">
        <f>IF(AO1529&gt;0,ROUND(INDEX(挂机升级突破!$DT$6:$ED$57,卡牌消耗!AT1529,AO1529)*INDEX(卡牌消耗!$B$7:$F$7,AR1529)/$Q$4,0),"")</f>
        <v/>
      </c>
    </row>
    <row r="1530" spans="37:52" ht="16.5" x14ac:dyDescent="0.2">
      <c r="AK1530" s="193">
        <v>1526</v>
      </c>
      <c r="AL1530" s="14">
        <f t="shared" si="464"/>
        <v>30</v>
      </c>
      <c r="AM1530" s="14">
        <f>INDEX(挂机升级突破!DQ$6:DQ$57,卡牌消耗!$AT1530)</f>
        <v>11</v>
      </c>
      <c r="AN1530" s="14">
        <f>INDEX(挂机升级突破!DR$6:DR$57,卡牌消耗!$AT1530)</f>
        <v>3</v>
      </c>
      <c r="AO1530" s="14">
        <f>INDEX(挂机升级突破!DS$6:DS$57,卡牌消耗!$AT1530)</f>
        <v>0</v>
      </c>
      <c r="AP1530" s="14">
        <f>INDEX(挂机升级突破!$DP$6:$DP$57,卡牌消耗!AT1530)</f>
        <v>63</v>
      </c>
      <c r="AQ1530" s="14" t="str">
        <f t="shared" si="465"/>
        <v>SR守护灵</v>
      </c>
      <c r="AR1530" s="14">
        <f t="shared" si="466"/>
        <v>3</v>
      </c>
      <c r="AS1530" s="14" t="str">
        <f t="shared" si="467"/>
        <v>SR守护灵魂火-18</v>
      </c>
      <c r="AT1530" s="14">
        <f t="shared" si="468"/>
        <v>18</v>
      </c>
      <c r="AU1530" s="14" t="str">
        <f>IF(AM1530&gt;0,INDEX(挂机升级突破!$DT$4:$ED$4,AM1530),"")</f>
        <v>金币</v>
      </c>
      <c r="AV1530" s="14">
        <f>ROUND(INDEX(挂机升级突破!$DJ$6:$DJ$57,卡牌消耗!AT1530)*INDEX(卡牌消耗!$B$8:$F$8,AR1530)/$Q$4/50,0)*50</f>
        <v>4100</v>
      </c>
      <c r="AW1530" s="14" t="str">
        <f>IF(AN1530&gt;0,INDEX(挂机升级突破!$DT$4:$ED$4,AN1530),"")</f>
        <v>紫色基础材料</v>
      </c>
      <c r="AX1530" s="14">
        <f>ROUND(INDEX(挂机升级突破!$DT$6:$ED$57,卡牌消耗!AT1530,AN1530)*INDEX(卡牌消耗!$B$5:$F$5,AR1530)/$Q$4/5,0)*5</f>
        <v>45</v>
      </c>
      <c r="AY1530" s="14" t="str">
        <f>IF(AO1530&gt;0,INDEX(挂机升级突破!$DT$4:$ED$4,AO1530),"")</f>
        <v/>
      </c>
      <c r="AZ1530" s="14" t="str">
        <f>IF(AO1530&gt;0,ROUND(INDEX(挂机升级突破!$DT$6:$ED$57,卡牌消耗!AT1530,AO1530)*INDEX(卡牌消耗!$B$7:$F$7,AR1530)/$Q$4,0),"")</f>
        <v/>
      </c>
    </row>
    <row r="1531" spans="37:52" ht="16.5" x14ac:dyDescent="0.2">
      <c r="AK1531" s="193">
        <v>1527</v>
      </c>
      <c r="AL1531" s="14">
        <f t="shared" si="464"/>
        <v>30</v>
      </c>
      <c r="AM1531" s="14">
        <f>INDEX(挂机升级突破!DQ$6:DQ$57,卡牌消耗!$AT1531)</f>
        <v>11</v>
      </c>
      <c r="AN1531" s="14">
        <f>INDEX(挂机升级突破!DR$6:DR$57,卡牌消耗!$AT1531)</f>
        <v>3</v>
      </c>
      <c r="AO1531" s="14">
        <f>INDEX(挂机升级突破!DS$6:DS$57,卡牌消耗!$AT1531)</f>
        <v>0</v>
      </c>
      <c r="AP1531" s="14">
        <f>INDEX(挂机升级突破!$DP$6:$DP$57,卡牌消耗!AT1531)</f>
        <v>65</v>
      </c>
      <c r="AQ1531" s="14" t="str">
        <f t="shared" si="465"/>
        <v>SR守护灵</v>
      </c>
      <c r="AR1531" s="14">
        <f t="shared" si="466"/>
        <v>3</v>
      </c>
      <c r="AS1531" s="14" t="str">
        <f t="shared" si="467"/>
        <v>SR守护灵魂火-19</v>
      </c>
      <c r="AT1531" s="14">
        <f t="shared" si="468"/>
        <v>19</v>
      </c>
      <c r="AU1531" s="14" t="str">
        <f>IF(AM1531&gt;0,INDEX(挂机升级突破!$DT$4:$ED$4,AM1531),"")</f>
        <v>金币</v>
      </c>
      <c r="AV1531" s="14">
        <f>ROUND(INDEX(挂机升级突破!$DJ$6:$DJ$57,卡牌消耗!AT1531)*INDEX(卡牌消耗!$B$8:$F$8,AR1531)/$Q$4/50,0)*50</f>
        <v>4100</v>
      </c>
      <c r="AW1531" s="14" t="str">
        <f>IF(AN1531&gt;0,INDEX(挂机升级突破!$DT$4:$ED$4,AN1531),"")</f>
        <v>紫色基础材料</v>
      </c>
      <c r="AX1531" s="14">
        <f>ROUND(INDEX(挂机升级突破!$DT$6:$ED$57,卡牌消耗!AT1531,AN1531)*INDEX(卡牌消耗!$B$5:$F$5,AR1531)/$Q$4/5,0)*5</f>
        <v>45</v>
      </c>
      <c r="AY1531" s="14" t="str">
        <f>IF(AO1531&gt;0,INDEX(挂机升级突破!$DT$4:$ED$4,AO1531),"")</f>
        <v/>
      </c>
      <c r="AZ1531" s="14" t="str">
        <f>IF(AO1531&gt;0,ROUND(INDEX(挂机升级突破!$DT$6:$ED$57,卡牌消耗!AT1531,AO1531)*INDEX(卡牌消耗!$B$7:$F$7,AR1531)/$Q$4,0),"")</f>
        <v/>
      </c>
    </row>
    <row r="1532" spans="37:52" ht="16.5" x14ac:dyDescent="0.2">
      <c r="AK1532" s="193">
        <v>1528</v>
      </c>
      <c r="AL1532" s="14">
        <f t="shared" si="464"/>
        <v>30</v>
      </c>
      <c r="AM1532" s="14">
        <f>INDEX(挂机升级突破!DQ$6:DQ$57,卡牌消耗!$AT1532)</f>
        <v>11</v>
      </c>
      <c r="AN1532" s="14">
        <f>INDEX(挂机升级突破!DR$6:DR$57,卡牌消耗!$AT1532)</f>
        <v>3</v>
      </c>
      <c r="AO1532" s="14">
        <f>INDEX(挂机升级突破!DS$6:DS$57,卡牌消耗!$AT1532)</f>
        <v>0</v>
      </c>
      <c r="AP1532" s="14">
        <f>INDEX(挂机升级突破!$DP$6:$DP$57,卡牌消耗!AT1532)</f>
        <v>68</v>
      </c>
      <c r="AQ1532" s="14" t="str">
        <f t="shared" si="465"/>
        <v>SR守护灵</v>
      </c>
      <c r="AR1532" s="14">
        <f t="shared" si="466"/>
        <v>3</v>
      </c>
      <c r="AS1532" s="14" t="str">
        <f t="shared" si="467"/>
        <v>SR守护灵魂火-20</v>
      </c>
      <c r="AT1532" s="14">
        <f t="shared" si="468"/>
        <v>20</v>
      </c>
      <c r="AU1532" s="14" t="str">
        <f>IF(AM1532&gt;0,INDEX(挂机升级突破!$DT$4:$ED$4,AM1532),"")</f>
        <v>金币</v>
      </c>
      <c r="AV1532" s="14">
        <f>ROUND(INDEX(挂机升级突破!$DJ$6:$DJ$57,卡牌消耗!AT1532)*INDEX(卡牌消耗!$B$8:$F$8,AR1532)/$Q$4/50,0)*50</f>
        <v>5000</v>
      </c>
      <c r="AW1532" s="14" t="str">
        <f>IF(AN1532&gt;0,INDEX(挂机升级突破!$DT$4:$ED$4,AN1532),"")</f>
        <v>紫色基础材料</v>
      </c>
      <c r="AX1532" s="14">
        <f>ROUND(INDEX(挂机升级突破!$DT$6:$ED$57,卡牌消耗!AT1532,AN1532)*INDEX(卡牌消耗!$B$5:$F$5,AR1532)/$Q$4/5,0)*5</f>
        <v>70</v>
      </c>
      <c r="AY1532" s="14" t="str">
        <f>IF(AO1532&gt;0,INDEX(挂机升级突破!$DT$4:$ED$4,AO1532),"")</f>
        <v/>
      </c>
      <c r="AZ1532" s="14" t="str">
        <f>IF(AO1532&gt;0,ROUND(INDEX(挂机升级突破!$DT$6:$ED$57,卡牌消耗!AT1532,AO1532)*INDEX(卡牌消耗!$B$7:$F$7,AR1532)/$Q$4,0),"")</f>
        <v/>
      </c>
    </row>
    <row r="1533" spans="37:52" ht="16.5" x14ac:dyDescent="0.2">
      <c r="AK1533" s="193">
        <v>1529</v>
      </c>
      <c r="AL1533" s="14">
        <f t="shared" si="464"/>
        <v>30</v>
      </c>
      <c r="AM1533" s="14">
        <f>INDEX(挂机升级突破!DQ$6:DQ$57,卡牌消耗!$AT1533)</f>
        <v>11</v>
      </c>
      <c r="AN1533" s="14">
        <f>INDEX(挂机升级突破!DR$6:DR$57,卡牌消耗!$AT1533)</f>
        <v>3</v>
      </c>
      <c r="AO1533" s="14">
        <f>INDEX(挂机升级突破!DS$6:DS$57,卡牌消耗!$AT1533)</f>
        <v>0</v>
      </c>
      <c r="AP1533" s="14">
        <f>INDEX(挂机升级突破!$DP$6:$DP$57,卡牌消耗!AT1533)</f>
        <v>70</v>
      </c>
      <c r="AQ1533" s="14" t="str">
        <f t="shared" si="465"/>
        <v>SR守护灵</v>
      </c>
      <c r="AR1533" s="14">
        <f t="shared" si="466"/>
        <v>3</v>
      </c>
      <c r="AS1533" s="14" t="str">
        <f t="shared" si="467"/>
        <v>SR守护灵魂火-21</v>
      </c>
      <c r="AT1533" s="14">
        <f t="shared" si="468"/>
        <v>21</v>
      </c>
      <c r="AU1533" s="14" t="str">
        <f>IF(AM1533&gt;0,INDEX(挂机升级突破!$DT$4:$ED$4,AM1533),"")</f>
        <v>金币</v>
      </c>
      <c r="AV1533" s="14">
        <f>ROUND(INDEX(挂机升级突破!$DJ$6:$DJ$57,卡牌消耗!AT1533)*INDEX(卡牌消耗!$B$8:$F$8,AR1533)/$Q$4/50,0)*50</f>
        <v>5000</v>
      </c>
      <c r="AW1533" s="14" t="str">
        <f>IF(AN1533&gt;0,INDEX(挂机升级突破!$DT$4:$ED$4,AN1533),"")</f>
        <v>紫色基础材料</v>
      </c>
      <c r="AX1533" s="14">
        <f>ROUND(INDEX(挂机升级突破!$DT$6:$ED$57,卡牌消耗!AT1533,AN1533)*INDEX(卡牌消耗!$B$5:$F$5,AR1533)/$Q$4/5,0)*5</f>
        <v>70</v>
      </c>
      <c r="AY1533" s="14" t="str">
        <f>IF(AO1533&gt;0,INDEX(挂机升级突破!$DT$4:$ED$4,AO1533),"")</f>
        <v/>
      </c>
      <c r="AZ1533" s="14" t="str">
        <f>IF(AO1533&gt;0,ROUND(INDEX(挂机升级突破!$DT$6:$ED$57,卡牌消耗!AT1533,AO1533)*INDEX(卡牌消耗!$B$7:$F$7,AR1533)/$Q$4,0),"")</f>
        <v/>
      </c>
    </row>
    <row r="1534" spans="37:52" ht="16.5" x14ac:dyDescent="0.2">
      <c r="AK1534" s="193">
        <v>1530</v>
      </c>
      <c r="AL1534" s="14">
        <f t="shared" si="464"/>
        <v>30</v>
      </c>
      <c r="AM1534" s="14">
        <f>INDEX(挂机升级突破!DQ$6:DQ$57,卡牌消耗!$AT1534)</f>
        <v>11</v>
      </c>
      <c r="AN1534" s="14">
        <f>INDEX(挂机升级突破!DR$6:DR$57,卡牌消耗!$AT1534)</f>
        <v>3</v>
      </c>
      <c r="AO1534" s="14">
        <f>INDEX(挂机升级突破!DS$6:DS$57,卡牌消耗!$AT1534)</f>
        <v>0</v>
      </c>
      <c r="AP1534" s="14">
        <f>INDEX(挂机升级突破!$DP$6:$DP$57,卡牌消耗!AT1534)</f>
        <v>73</v>
      </c>
      <c r="AQ1534" s="14" t="str">
        <f t="shared" si="465"/>
        <v>SR守护灵</v>
      </c>
      <c r="AR1534" s="14">
        <f t="shared" si="466"/>
        <v>3</v>
      </c>
      <c r="AS1534" s="14" t="str">
        <f t="shared" si="467"/>
        <v>SR守护灵魂火-22</v>
      </c>
      <c r="AT1534" s="14">
        <f t="shared" si="468"/>
        <v>22</v>
      </c>
      <c r="AU1534" s="14" t="str">
        <f>IF(AM1534&gt;0,INDEX(挂机升级突破!$DT$4:$ED$4,AM1534),"")</f>
        <v>金币</v>
      </c>
      <c r="AV1534" s="14">
        <f>ROUND(INDEX(挂机升级突破!$DJ$6:$DJ$57,卡牌消耗!AT1534)*INDEX(卡牌消耗!$B$8:$F$8,AR1534)/$Q$4/50,0)*50</f>
        <v>5000</v>
      </c>
      <c r="AW1534" s="14" t="str">
        <f>IF(AN1534&gt;0,INDEX(挂机升级突破!$DT$4:$ED$4,AN1534),"")</f>
        <v>紫色基础材料</v>
      </c>
      <c r="AX1534" s="14">
        <f>ROUND(INDEX(挂机升级突破!$DT$6:$ED$57,卡牌消耗!AT1534,AN1534)*INDEX(卡牌消耗!$B$5:$F$5,AR1534)/$Q$4/5,0)*5</f>
        <v>70</v>
      </c>
      <c r="AY1534" s="14" t="str">
        <f>IF(AO1534&gt;0,INDEX(挂机升级突破!$DT$4:$ED$4,AO1534),"")</f>
        <v/>
      </c>
      <c r="AZ1534" s="14" t="str">
        <f>IF(AO1534&gt;0,ROUND(INDEX(挂机升级突破!$DT$6:$ED$57,卡牌消耗!AT1534,AO1534)*INDEX(卡牌消耗!$B$7:$F$7,AR1534)/$Q$4,0),"")</f>
        <v/>
      </c>
    </row>
    <row r="1535" spans="37:52" ht="16.5" x14ac:dyDescent="0.2">
      <c r="AK1535" s="193">
        <v>1531</v>
      </c>
      <c r="AL1535" s="14">
        <f t="shared" si="464"/>
        <v>30</v>
      </c>
      <c r="AM1535" s="14">
        <f>INDEX(挂机升级突破!DQ$6:DQ$57,卡牌消耗!$AT1535)</f>
        <v>11</v>
      </c>
      <c r="AN1535" s="14">
        <f>INDEX(挂机升级突破!DR$6:DR$57,卡牌消耗!$AT1535)</f>
        <v>4</v>
      </c>
      <c r="AO1535" s="14">
        <f>INDEX(挂机升级突破!DS$6:DS$57,卡牌消耗!$AT1535)</f>
        <v>0</v>
      </c>
      <c r="AP1535" s="14">
        <f>INDEX(挂机升级突破!$DP$6:$DP$57,卡牌消耗!AT1535)</f>
        <v>75</v>
      </c>
      <c r="AQ1535" s="14" t="str">
        <f t="shared" si="465"/>
        <v>SR守护灵</v>
      </c>
      <c r="AR1535" s="14">
        <f t="shared" si="466"/>
        <v>3</v>
      </c>
      <c r="AS1535" s="14" t="str">
        <f t="shared" si="467"/>
        <v>SR守护灵魂火-23</v>
      </c>
      <c r="AT1535" s="14">
        <f t="shared" si="468"/>
        <v>23</v>
      </c>
      <c r="AU1535" s="14" t="str">
        <f>IF(AM1535&gt;0,INDEX(挂机升级突破!$DT$4:$ED$4,AM1535),"")</f>
        <v>金币</v>
      </c>
      <c r="AV1535" s="14">
        <f>ROUND(INDEX(挂机升级突破!$DJ$6:$DJ$57,卡牌消耗!AT1535)*INDEX(卡牌消耗!$B$8:$F$8,AR1535)/$Q$4/50,0)*50</f>
        <v>6900</v>
      </c>
      <c r="AW1535" s="14" t="str">
        <f>IF(AN1535&gt;0,INDEX(挂机升级突破!$DT$4:$ED$4,AN1535),"")</f>
        <v>橙色基础材料</v>
      </c>
      <c r="AX1535" s="14">
        <f>ROUND(INDEX(挂机升级突破!$DT$6:$ED$57,卡牌消耗!AT1535,AN1535)*INDEX(卡牌消耗!$B$5:$F$5,AR1535)/$Q$4/5,0)*5</f>
        <v>20</v>
      </c>
      <c r="AY1535" s="14" t="str">
        <f>IF(AO1535&gt;0,INDEX(挂机升级突破!$DT$4:$ED$4,AO1535),"")</f>
        <v/>
      </c>
      <c r="AZ1535" s="14" t="str">
        <f>IF(AO1535&gt;0,ROUND(INDEX(挂机升级突破!$DT$6:$ED$57,卡牌消耗!AT1535,AO1535)*INDEX(卡牌消耗!$B$7:$F$7,AR1535)/$Q$4,0),"")</f>
        <v/>
      </c>
    </row>
    <row r="1536" spans="37:52" ht="16.5" x14ac:dyDescent="0.2">
      <c r="AK1536" s="193">
        <v>1532</v>
      </c>
      <c r="AL1536" s="14">
        <f t="shared" si="464"/>
        <v>30</v>
      </c>
      <c r="AM1536" s="14">
        <f>INDEX(挂机升级突破!DQ$6:DQ$57,卡牌消耗!$AT1536)</f>
        <v>11</v>
      </c>
      <c r="AN1536" s="14">
        <f>INDEX(挂机升级突破!DR$6:DR$57,卡牌消耗!$AT1536)</f>
        <v>4</v>
      </c>
      <c r="AO1536" s="14">
        <f>INDEX(挂机升级突破!DS$6:DS$57,卡牌消耗!$AT1536)</f>
        <v>0</v>
      </c>
      <c r="AP1536" s="14">
        <f>INDEX(挂机升级突破!$DP$6:$DP$57,卡牌消耗!AT1536)</f>
        <v>78</v>
      </c>
      <c r="AQ1536" s="14" t="str">
        <f t="shared" si="465"/>
        <v>SR守护灵</v>
      </c>
      <c r="AR1536" s="14">
        <f t="shared" si="466"/>
        <v>3</v>
      </c>
      <c r="AS1536" s="14" t="str">
        <f t="shared" si="467"/>
        <v>SR守护灵魂火-24</v>
      </c>
      <c r="AT1536" s="14">
        <f t="shared" si="468"/>
        <v>24</v>
      </c>
      <c r="AU1536" s="14" t="str">
        <f>IF(AM1536&gt;0,INDEX(挂机升级突破!$DT$4:$ED$4,AM1536),"")</f>
        <v>金币</v>
      </c>
      <c r="AV1536" s="14">
        <f>ROUND(INDEX(挂机升级突破!$DJ$6:$DJ$57,卡牌消耗!AT1536)*INDEX(卡牌消耗!$B$8:$F$8,AR1536)/$Q$4/50,0)*50</f>
        <v>6900</v>
      </c>
      <c r="AW1536" s="14" t="str">
        <f>IF(AN1536&gt;0,INDEX(挂机升级突破!$DT$4:$ED$4,AN1536),"")</f>
        <v>橙色基础材料</v>
      </c>
      <c r="AX1536" s="14">
        <f>ROUND(INDEX(挂机升级突破!$DT$6:$ED$57,卡牌消耗!AT1536,AN1536)*INDEX(卡牌消耗!$B$5:$F$5,AR1536)/$Q$4/5,0)*5</f>
        <v>20</v>
      </c>
      <c r="AY1536" s="14" t="str">
        <f>IF(AO1536&gt;0,INDEX(挂机升级突破!$DT$4:$ED$4,AO1536),"")</f>
        <v/>
      </c>
      <c r="AZ1536" s="14" t="str">
        <f>IF(AO1536&gt;0,ROUND(INDEX(挂机升级突破!$DT$6:$ED$57,卡牌消耗!AT1536,AO1536)*INDEX(卡牌消耗!$B$7:$F$7,AR1536)/$Q$4,0),"")</f>
        <v/>
      </c>
    </row>
    <row r="1537" spans="37:52" ht="16.5" x14ac:dyDescent="0.2">
      <c r="AK1537" s="193">
        <v>1533</v>
      </c>
      <c r="AL1537" s="14">
        <f t="shared" si="464"/>
        <v>30</v>
      </c>
      <c r="AM1537" s="14">
        <f>INDEX(挂机升级突破!DQ$6:DQ$57,卡牌消耗!$AT1537)</f>
        <v>11</v>
      </c>
      <c r="AN1537" s="14">
        <f>INDEX(挂机升级突破!DR$6:DR$57,卡牌消耗!$AT1537)</f>
        <v>4</v>
      </c>
      <c r="AO1537" s="14">
        <f>INDEX(挂机升级突破!DS$6:DS$57,卡牌消耗!$AT1537)</f>
        <v>0</v>
      </c>
      <c r="AP1537" s="14">
        <f>INDEX(挂机升级突破!$DP$6:$DP$57,卡牌消耗!AT1537)</f>
        <v>80</v>
      </c>
      <c r="AQ1537" s="14" t="str">
        <f t="shared" si="465"/>
        <v>SR守护灵</v>
      </c>
      <c r="AR1537" s="14">
        <f t="shared" si="466"/>
        <v>3</v>
      </c>
      <c r="AS1537" s="14" t="str">
        <f t="shared" si="467"/>
        <v>SR守护灵魂火-25</v>
      </c>
      <c r="AT1537" s="14">
        <f t="shared" si="468"/>
        <v>25</v>
      </c>
      <c r="AU1537" s="14" t="str">
        <f>IF(AM1537&gt;0,INDEX(挂机升级突破!$DT$4:$ED$4,AM1537),"")</f>
        <v>金币</v>
      </c>
      <c r="AV1537" s="14">
        <f>ROUND(INDEX(挂机升级突破!$DJ$6:$DJ$57,卡牌消耗!AT1537)*INDEX(卡牌消耗!$B$8:$F$8,AR1537)/$Q$4/50,0)*50</f>
        <v>7550</v>
      </c>
      <c r="AW1537" s="14" t="str">
        <f>IF(AN1537&gt;0,INDEX(挂机升级突破!$DT$4:$ED$4,AN1537),"")</f>
        <v>橙色基础材料</v>
      </c>
      <c r="AX1537" s="14">
        <f>ROUND(INDEX(挂机升级突破!$DT$6:$ED$57,卡牌消耗!AT1537,AN1537)*INDEX(卡牌消耗!$B$5:$F$5,AR1537)/$Q$4/5,0)*5</f>
        <v>20</v>
      </c>
      <c r="AY1537" s="14" t="str">
        <f>IF(AO1537&gt;0,INDEX(挂机升级突破!$DT$4:$ED$4,AO1537),"")</f>
        <v/>
      </c>
      <c r="AZ1537" s="14" t="str">
        <f>IF(AO1537&gt;0,ROUND(INDEX(挂机升级突破!$DT$6:$ED$57,卡牌消耗!AT1537,AO1537)*INDEX(卡牌消耗!$B$7:$F$7,AR1537)/$Q$4,0),"")</f>
        <v/>
      </c>
    </row>
    <row r="1538" spans="37:52" ht="16.5" x14ac:dyDescent="0.2">
      <c r="AK1538" s="193">
        <v>1534</v>
      </c>
      <c r="AL1538" s="14">
        <f t="shared" si="464"/>
        <v>30</v>
      </c>
      <c r="AM1538" s="14">
        <f>INDEX(挂机升级突破!DQ$6:DQ$57,卡牌消耗!$AT1538)</f>
        <v>11</v>
      </c>
      <c r="AN1538" s="14">
        <f>INDEX(挂机升级突破!DR$6:DR$57,卡牌消耗!$AT1538)</f>
        <v>4</v>
      </c>
      <c r="AO1538" s="14">
        <f>INDEX(挂机升级突破!DS$6:DS$57,卡牌消耗!$AT1538)</f>
        <v>0</v>
      </c>
      <c r="AP1538" s="14">
        <f>INDEX(挂机升级突破!$DP$6:$DP$57,卡牌消耗!AT1538)</f>
        <v>83</v>
      </c>
      <c r="AQ1538" s="14" t="str">
        <f t="shared" si="465"/>
        <v>SR守护灵</v>
      </c>
      <c r="AR1538" s="14">
        <f t="shared" si="466"/>
        <v>3</v>
      </c>
      <c r="AS1538" s="14" t="str">
        <f t="shared" si="467"/>
        <v>SR守护灵魂火-26</v>
      </c>
      <c r="AT1538" s="14">
        <f t="shared" si="468"/>
        <v>26</v>
      </c>
      <c r="AU1538" s="14" t="str">
        <f>IF(AM1538&gt;0,INDEX(挂机升级突破!$DT$4:$ED$4,AM1538),"")</f>
        <v>金币</v>
      </c>
      <c r="AV1538" s="14">
        <f>ROUND(INDEX(挂机升级突破!$DJ$6:$DJ$57,卡牌消耗!AT1538)*INDEX(卡牌消耗!$B$8:$F$8,AR1538)/$Q$4/50,0)*50</f>
        <v>8800</v>
      </c>
      <c r="AW1538" s="14" t="str">
        <f>IF(AN1538&gt;0,INDEX(挂机升级突破!$DT$4:$ED$4,AN1538),"")</f>
        <v>橙色基础材料</v>
      </c>
      <c r="AX1538" s="14">
        <f>ROUND(INDEX(挂机升级突破!$DT$6:$ED$57,卡牌消耗!AT1538,AN1538)*INDEX(卡牌消耗!$B$5:$F$5,AR1538)/$Q$4/5,0)*5</f>
        <v>25</v>
      </c>
      <c r="AY1538" s="14" t="str">
        <f>IF(AO1538&gt;0,INDEX(挂机升级突破!$DT$4:$ED$4,AO1538),"")</f>
        <v/>
      </c>
      <c r="AZ1538" s="14" t="str">
        <f>IF(AO1538&gt;0,ROUND(INDEX(挂机升级突破!$DT$6:$ED$57,卡牌消耗!AT1538,AO1538)*INDEX(卡牌消耗!$B$7:$F$7,AR1538)/$Q$4,0),"")</f>
        <v/>
      </c>
    </row>
    <row r="1539" spans="37:52" ht="16.5" x14ac:dyDescent="0.2">
      <c r="AK1539" s="193">
        <v>1535</v>
      </c>
      <c r="AL1539" s="14">
        <f t="shared" si="464"/>
        <v>30</v>
      </c>
      <c r="AM1539" s="14">
        <f>INDEX(挂机升级突破!DQ$6:DQ$57,卡牌消耗!$AT1539)</f>
        <v>11</v>
      </c>
      <c r="AN1539" s="14">
        <f>INDEX(挂机升级突破!DR$6:DR$57,卡牌消耗!$AT1539)</f>
        <v>4</v>
      </c>
      <c r="AO1539" s="14">
        <f>INDEX(挂机升级突破!DS$6:DS$57,卡牌消耗!$AT1539)</f>
        <v>0</v>
      </c>
      <c r="AP1539" s="14">
        <f>INDEX(挂机升级突破!$DP$6:$DP$57,卡牌消耗!AT1539)</f>
        <v>85</v>
      </c>
      <c r="AQ1539" s="14" t="str">
        <f t="shared" si="465"/>
        <v>SR守护灵</v>
      </c>
      <c r="AR1539" s="14">
        <f t="shared" si="466"/>
        <v>3</v>
      </c>
      <c r="AS1539" s="14" t="str">
        <f t="shared" si="467"/>
        <v>SR守护灵魂火-27</v>
      </c>
      <c r="AT1539" s="14">
        <f t="shared" si="468"/>
        <v>27</v>
      </c>
      <c r="AU1539" s="14" t="str">
        <f>IF(AM1539&gt;0,INDEX(挂机升级突破!$DT$4:$ED$4,AM1539),"")</f>
        <v>金币</v>
      </c>
      <c r="AV1539" s="14">
        <f>ROUND(INDEX(挂机升级突破!$DJ$6:$DJ$57,卡牌消耗!AT1539)*INDEX(卡牌消耗!$B$8:$F$8,AR1539)/$Q$4/50,0)*50</f>
        <v>8800</v>
      </c>
      <c r="AW1539" s="14" t="str">
        <f>IF(AN1539&gt;0,INDEX(挂机升级突破!$DT$4:$ED$4,AN1539),"")</f>
        <v>橙色基础材料</v>
      </c>
      <c r="AX1539" s="14">
        <f>ROUND(INDEX(挂机升级突破!$DT$6:$ED$57,卡牌消耗!AT1539,AN1539)*INDEX(卡牌消耗!$B$5:$F$5,AR1539)/$Q$4/5,0)*5</f>
        <v>25</v>
      </c>
      <c r="AY1539" s="14" t="str">
        <f>IF(AO1539&gt;0,INDEX(挂机升级突破!$DT$4:$ED$4,AO1539),"")</f>
        <v/>
      </c>
      <c r="AZ1539" s="14" t="str">
        <f>IF(AO1539&gt;0,ROUND(INDEX(挂机升级突破!$DT$6:$ED$57,卡牌消耗!AT1539,AO1539)*INDEX(卡牌消耗!$B$7:$F$7,AR1539)/$Q$4,0),"")</f>
        <v/>
      </c>
    </row>
    <row r="1540" spans="37:52" ht="16.5" x14ac:dyDescent="0.2">
      <c r="AK1540" s="193">
        <v>1536</v>
      </c>
      <c r="AL1540" s="14">
        <f t="shared" si="464"/>
        <v>30</v>
      </c>
      <c r="AM1540" s="14">
        <f>INDEX(挂机升级突破!DQ$6:DQ$57,卡牌消耗!$AT1540)</f>
        <v>11</v>
      </c>
      <c r="AN1540" s="14">
        <f>INDEX(挂机升级突破!DR$6:DR$57,卡牌消耗!$AT1540)</f>
        <v>4</v>
      </c>
      <c r="AO1540" s="14">
        <f>INDEX(挂机升级突破!DS$6:DS$57,卡牌消耗!$AT1540)</f>
        <v>0</v>
      </c>
      <c r="AP1540" s="14">
        <f>INDEX(挂机升级突破!$DP$6:$DP$57,卡牌消耗!AT1540)</f>
        <v>88</v>
      </c>
      <c r="AQ1540" s="14" t="str">
        <f t="shared" si="465"/>
        <v>SR守护灵</v>
      </c>
      <c r="AR1540" s="14">
        <f t="shared" si="466"/>
        <v>3</v>
      </c>
      <c r="AS1540" s="14" t="str">
        <f t="shared" si="467"/>
        <v>SR守护灵魂火-28</v>
      </c>
      <c r="AT1540" s="14">
        <f t="shared" si="468"/>
        <v>28</v>
      </c>
      <c r="AU1540" s="14" t="str">
        <f>IF(AM1540&gt;0,INDEX(挂机升级突破!$DT$4:$ED$4,AM1540),"")</f>
        <v>金币</v>
      </c>
      <c r="AV1540" s="14">
        <f>ROUND(INDEX(挂机升级突破!$DJ$6:$DJ$57,卡牌消耗!AT1540)*INDEX(卡牌消耗!$B$8:$F$8,AR1540)/$Q$4/50,0)*50</f>
        <v>8800</v>
      </c>
      <c r="AW1540" s="14" t="str">
        <f>IF(AN1540&gt;0,INDEX(挂机升级突破!$DT$4:$ED$4,AN1540),"")</f>
        <v>橙色基础材料</v>
      </c>
      <c r="AX1540" s="14">
        <f>ROUND(INDEX(挂机升级突破!$DT$6:$ED$57,卡牌消耗!AT1540,AN1540)*INDEX(卡牌消耗!$B$5:$F$5,AR1540)/$Q$4/5,0)*5</f>
        <v>25</v>
      </c>
      <c r="AY1540" s="14" t="str">
        <f>IF(AO1540&gt;0,INDEX(挂机升级突破!$DT$4:$ED$4,AO1540),"")</f>
        <v/>
      </c>
      <c r="AZ1540" s="14" t="str">
        <f>IF(AO1540&gt;0,ROUND(INDEX(挂机升级突破!$DT$6:$ED$57,卡牌消耗!AT1540,AO1540)*INDEX(卡牌消耗!$B$7:$F$7,AR1540)/$Q$4,0),"")</f>
        <v/>
      </c>
    </row>
    <row r="1541" spans="37:52" ht="16.5" x14ac:dyDescent="0.2">
      <c r="AK1541" s="193">
        <v>1537</v>
      </c>
      <c r="AL1541" s="14">
        <f t="shared" si="464"/>
        <v>30</v>
      </c>
      <c r="AM1541" s="14">
        <f>INDEX(挂机升级突破!DQ$6:DQ$57,卡牌消耗!$AT1541)</f>
        <v>11</v>
      </c>
      <c r="AN1541" s="14">
        <f>INDEX(挂机升级突破!DR$6:DR$57,卡牌消耗!$AT1541)</f>
        <v>4</v>
      </c>
      <c r="AO1541" s="14">
        <f>INDEX(挂机升级突破!DS$6:DS$57,卡牌消耗!$AT1541)</f>
        <v>0</v>
      </c>
      <c r="AP1541" s="14">
        <f>INDEX(挂机升级突破!$DP$6:$DP$57,卡牌消耗!AT1541)</f>
        <v>90</v>
      </c>
      <c r="AQ1541" s="14" t="str">
        <f t="shared" si="465"/>
        <v>SR守护灵</v>
      </c>
      <c r="AR1541" s="14">
        <f t="shared" si="466"/>
        <v>3</v>
      </c>
      <c r="AS1541" s="14" t="str">
        <f t="shared" si="467"/>
        <v>SR守护灵魂火-29</v>
      </c>
      <c r="AT1541" s="14">
        <f t="shared" si="468"/>
        <v>29</v>
      </c>
      <c r="AU1541" s="14" t="str">
        <f>IF(AM1541&gt;0,INDEX(挂机升级突破!$DT$4:$ED$4,AM1541),"")</f>
        <v>金币</v>
      </c>
      <c r="AV1541" s="14">
        <f>ROUND(INDEX(挂机升级突破!$DJ$6:$DJ$57,卡牌消耗!AT1541)*INDEX(卡牌消耗!$B$8:$F$8,AR1541)/$Q$4/50,0)*50</f>
        <v>8900</v>
      </c>
      <c r="AW1541" s="14" t="str">
        <f>IF(AN1541&gt;0,INDEX(挂机升级突破!$DT$4:$ED$4,AN1541),"")</f>
        <v>橙色基础材料</v>
      </c>
      <c r="AX1541" s="14">
        <f>ROUND(INDEX(挂机升级突破!$DT$6:$ED$57,卡牌消耗!AT1541,AN1541)*INDEX(卡牌消耗!$B$5:$F$5,AR1541)/$Q$4/5,0)*5</f>
        <v>25</v>
      </c>
      <c r="AY1541" s="14" t="str">
        <f>IF(AO1541&gt;0,INDEX(挂机升级突破!$DT$4:$ED$4,AO1541),"")</f>
        <v/>
      </c>
      <c r="AZ1541" s="14" t="str">
        <f>IF(AO1541&gt;0,ROUND(INDEX(挂机升级突破!$DT$6:$ED$57,卡牌消耗!AT1541,AO1541)*INDEX(卡牌消耗!$B$7:$F$7,AR1541)/$Q$4,0),"")</f>
        <v/>
      </c>
    </row>
    <row r="1542" spans="37:52" ht="16.5" x14ac:dyDescent="0.2">
      <c r="AK1542" s="193">
        <v>1538</v>
      </c>
      <c r="AL1542" s="14">
        <f t="shared" ref="AL1542:AL1605" si="469">INT((AK1542-1)/52)+1</f>
        <v>30</v>
      </c>
      <c r="AM1542" s="14">
        <f>INDEX(挂机升级突破!DQ$6:DQ$57,卡牌消耗!$AT1542)</f>
        <v>11</v>
      </c>
      <c r="AN1542" s="14">
        <f>INDEX(挂机升级突破!DR$6:DR$57,卡牌消耗!$AT1542)</f>
        <v>4</v>
      </c>
      <c r="AO1542" s="14">
        <f>INDEX(挂机升级突破!DS$6:DS$57,卡牌消耗!$AT1542)</f>
        <v>0</v>
      </c>
      <c r="AP1542" s="14">
        <f>INDEX(挂机升级突破!$DP$6:$DP$57,卡牌消耗!AT1542)</f>
        <v>93</v>
      </c>
      <c r="AQ1542" s="14" t="str">
        <f t="shared" si="465"/>
        <v>SR守护灵</v>
      </c>
      <c r="AR1542" s="14">
        <f t="shared" si="466"/>
        <v>3</v>
      </c>
      <c r="AS1542" s="14" t="str">
        <f t="shared" si="467"/>
        <v>SR守护灵魂火-30</v>
      </c>
      <c r="AT1542" s="14">
        <f t="shared" si="468"/>
        <v>30</v>
      </c>
      <c r="AU1542" s="14" t="str">
        <f>IF(AM1542&gt;0,INDEX(挂机升级突破!$DT$4:$ED$4,AM1542),"")</f>
        <v>金币</v>
      </c>
      <c r="AV1542" s="14">
        <f>ROUND(INDEX(挂机升级突破!$DJ$6:$DJ$57,卡牌消耗!AT1542)*INDEX(卡牌消耗!$B$8:$F$8,AR1542)/$Q$4/50,0)*50</f>
        <v>8900</v>
      </c>
      <c r="AW1542" s="14" t="str">
        <f>IF(AN1542&gt;0,INDEX(挂机升级突破!$DT$4:$ED$4,AN1542),"")</f>
        <v>橙色基础材料</v>
      </c>
      <c r="AX1542" s="14">
        <f>ROUND(INDEX(挂机升级突破!$DT$6:$ED$57,卡牌消耗!AT1542,AN1542)*INDEX(卡牌消耗!$B$5:$F$5,AR1542)/$Q$4/5,0)*5</f>
        <v>25</v>
      </c>
      <c r="AY1542" s="14" t="str">
        <f>IF(AO1542&gt;0,INDEX(挂机升级突破!$DT$4:$ED$4,AO1542),"")</f>
        <v/>
      </c>
      <c r="AZ1542" s="14" t="str">
        <f>IF(AO1542&gt;0,ROUND(INDEX(挂机升级突破!$DT$6:$ED$57,卡牌消耗!AT1542,AO1542)*INDEX(卡牌消耗!$B$7:$F$7,AR1542)/$Q$4,0),"")</f>
        <v/>
      </c>
    </row>
    <row r="1543" spans="37:52" ht="16.5" x14ac:dyDescent="0.2">
      <c r="AK1543" s="193">
        <v>1539</v>
      </c>
      <c r="AL1543" s="14">
        <f t="shared" si="469"/>
        <v>30</v>
      </c>
      <c r="AM1543" s="14">
        <f>INDEX(挂机升级突破!DQ$6:DQ$57,卡牌消耗!$AT1543)</f>
        <v>11</v>
      </c>
      <c r="AN1543" s="14">
        <f>INDEX(挂机升级突破!DR$6:DR$57,卡牌消耗!$AT1543)</f>
        <v>4</v>
      </c>
      <c r="AO1543" s="14">
        <f>INDEX(挂机升级突破!DS$6:DS$57,卡牌消耗!$AT1543)</f>
        <v>0</v>
      </c>
      <c r="AP1543" s="14">
        <f>INDEX(挂机升级突破!$DP$6:$DP$57,卡牌消耗!AT1543)</f>
        <v>95</v>
      </c>
      <c r="AQ1543" s="14" t="str">
        <f t="shared" si="465"/>
        <v>SR守护灵</v>
      </c>
      <c r="AR1543" s="14">
        <f t="shared" si="466"/>
        <v>3</v>
      </c>
      <c r="AS1543" s="14" t="str">
        <f t="shared" si="467"/>
        <v>SR守护灵魂火-31</v>
      </c>
      <c r="AT1543" s="14">
        <f t="shared" si="468"/>
        <v>31</v>
      </c>
      <c r="AU1543" s="14" t="str">
        <f>IF(AM1543&gt;0,INDEX(挂机升级突破!$DT$4:$ED$4,AM1543),"")</f>
        <v>金币</v>
      </c>
      <c r="AV1543" s="14">
        <f>ROUND(INDEX(挂机升级突破!$DJ$6:$DJ$57,卡牌消耗!AT1543)*INDEX(卡牌消耗!$B$8:$F$8,AR1543)/$Q$4/50,0)*50</f>
        <v>8900</v>
      </c>
      <c r="AW1543" s="14" t="str">
        <f>IF(AN1543&gt;0,INDEX(挂机升级突破!$DT$4:$ED$4,AN1543),"")</f>
        <v>橙色基础材料</v>
      </c>
      <c r="AX1543" s="14">
        <f>ROUND(INDEX(挂机升级突破!$DT$6:$ED$57,卡牌消耗!AT1543,AN1543)*INDEX(卡牌消耗!$B$5:$F$5,AR1543)/$Q$4/5,0)*5</f>
        <v>25</v>
      </c>
      <c r="AY1543" s="14" t="str">
        <f>IF(AO1543&gt;0,INDEX(挂机升级突破!$DT$4:$ED$4,AO1543),"")</f>
        <v/>
      </c>
      <c r="AZ1543" s="14" t="str">
        <f>IF(AO1543&gt;0,ROUND(INDEX(挂机升级突破!$DT$6:$ED$57,卡牌消耗!AT1543,AO1543)*INDEX(卡牌消耗!$B$7:$F$7,AR1543)/$Q$4,0),"")</f>
        <v/>
      </c>
    </row>
    <row r="1544" spans="37:52" ht="16.5" x14ac:dyDescent="0.2">
      <c r="AK1544" s="193">
        <v>1540</v>
      </c>
      <c r="AL1544" s="14">
        <f t="shared" si="469"/>
        <v>30</v>
      </c>
      <c r="AM1544" s="14">
        <f>INDEX(挂机升级突破!DQ$6:DQ$57,卡牌消耗!$AT1544)</f>
        <v>11</v>
      </c>
      <c r="AN1544" s="14">
        <f>INDEX(挂机升级突破!DR$6:DR$57,卡牌消耗!$AT1544)</f>
        <v>4</v>
      </c>
      <c r="AO1544" s="14">
        <f>INDEX(挂机升级突破!DS$6:DS$57,卡牌消耗!$AT1544)</f>
        <v>0</v>
      </c>
      <c r="AP1544" s="14">
        <f>INDEX(挂机升级突破!$DP$6:$DP$57,卡牌消耗!AT1544)</f>
        <v>98</v>
      </c>
      <c r="AQ1544" s="14" t="str">
        <f t="shared" si="465"/>
        <v>SR守护灵</v>
      </c>
      <c r="AR1544" s="14">
        <f t="shared" si="466"/>
        <v>3</v>
      </c>
      <c r="AS1544" s="14" t="str">
        <f t="shared" si="467"/>
        <v>SR守护灵魂火-32</v>
      </c>
      <c r="AT1544" s="14">
        <f t="shared" si="468"/>
        <v>32</v>
      </c>
      <c r="AU1544" s="14" t="str">
        <f>IF(AM1544&gt;0,INDEX(挂机升级突破!$DT$4:$ED$4,AM1544),"")</f>
        <v>金币</v>
      </c>
      <c r="AV1544" s="14">
        <f>ROUND(INDEX(挂机升级突破!$DJ$6:$DJ$57,卡牌消耗!AT1544)*INDEX(卡牌消耗!$B$8:$F$8,AR1544)/$Q$4/50,0)*50</f>
        <v>12200</v>
      </c>
      <c r="AW1544" s="14" t="str">
        <f>IF(AN1544&gt;0,INDEX(挂机升级突破!$DT$4:$ED$4,AN1544),"")</f>
        <v>橙色基础材料</v>
      </c>
      <c r="AX1544" s="14">
        <f>ROUND(INDEX(挂机升级突破!$DT$6:$ED$57,卡牌消耗!AT1544,AN1544)*INDEX(卡牌消耗!$B$5:$F$5,AR1544)/$Q$4/5,0)*5</f>
        <v>25</v>
      </c>
      <c r="AY1544" s="14" t="str">
        <f>IF(AO1544&gt;0,INDEX(挂机升级突破!$DT$4:$ED$4,AO1544),"")</f>
        <v/>
      </c>
      <c r="AZ1544" s="14" t="str">
        <f>IF(AO1544&gt;0,ROUND(INDEX(挂机升级突破!$DT$6:$ED$57,卡牌消耗!AT1544,AO1544)*INDEX(卡牌消耗!$B$7:$F$7,AR1544)/$Q$4,0),"")</f>
        <v/>
      </c>
    </row>
    <row r="1545" spans="37:52" ht="16.5" x14ac:dyDescent="0.2">
      <c r="AK1545" s="193">
        <v>1541</v>
      </c>
      <c r="AL1545" s="14">
        <f t="shared" si="469"/>
        <v>30</v>
      </c>
      <c r="AM1545" s="14">
        <f>INDEX(挂机升级突破!DQ$6:DQ$57,卡牌消耗!$AT1545)</f>
        <v>11</v>
      </c>
      <c r="AN1545" s="14">
        <f>INDEX(挂机升级突破!DR$6:DR$57,卡牌消耗!$AT1545)</f>
        <v>4</v>
      </c>
      <c r="AO1545" s="14">
        <f>INDEX(挂机升级突破!DS$6:DS$57,卡牌消耗!$AT1545)</f>
        <v>0</v>
      </c>
      <c r="AP1545" s="14">
        <f>INDEX(挂机升级突破!$DP$6:$DP$57,卡牌消耗!AT1545)</f>
        <v>100</v>
      </c>
      <c r="AQ1545" s="14" t="str">
        <f t="shared" si="465"/>
        <v>SR守护灵</v>
      </c>
      <c r="AR1545" s="14">
        <f t="shared" si="466"/>
        <v>3</v>
      </c>
      <c r="AS1545" s="14" t="str">
        <f t="shared" si="467"/>
        <v>SR守护灵魂火-33</v>
      </c>
      <c r="AT1545" s="14">
        <f t="shared" si="468"/>
        <v>33</v>
      </c>
      <c r="AU1545" s="14" t="str">
        <f>IF(AM1545&gt;0,INDEX(挂机升级突破!$DT$4:$ED$4,AM1545),"")</f>
        <v>金币</v>
      </c>
      <c r="AV1545" s="14">
        <f>ROUND(INDEX(挂机升级突破!$DJ$6:$DJ$57,卡牌消耗!AT1545)*INDEX(卡牌消耗!$B$8:$F$8,AR1545)/$Q$4/50,0)*50</f>
        <v>12200</v>
      </c>
      <c r="AW1545" s="14" t="str">
        <f>IF(AN1545&gt;0,INDEX(挂机升级突破!$DT$4:$ED$4,AN1545),"")</f>
        <v>橙色基础材料</v>
      </c>
      <c r="AX1545" s="14">
        <f>ROUND(INDEX(挂机升级突破!$DT$6:$ED$57,卡牌消耗!AT1545,AN1545)*INDEX(卡牌消耗!$B$5:$F$5,AR1545)/$Q$4/5,0)*5</f>
        <v>25</v>
      </c>
      <c r="AY1545" s="14" t="str">
        <f>IF(AO1545&gt;0,INDEX(挂机升级突破!$DT$4:$ED$4,AO1545),"")</f>
        <v/>
      </c>
      <c r="AZ1545" s="14" t="str">
        <f>IF(AO1545&gt;0,ROUND(INDEX(挂机升级突破!$DT$6:$ED$57,卡牌消耗!AT1545,AO1545)*INDEX(卡牌消耗!$B$7:$F$7,AR1545)/$Q$4,0),"")</f>
        <v/>
      </c>
    </row>
    <row r="1546" spans="37:52" ht="16.5" x14ac:dyDescent="0.2">
      <c r="AK1546" s="193">
        <v>1542</v>
      </c>
      <c r="AL1546" s="14">
        <f t="shared" si="469"/>
        <v>30</v>
      </c>
      <c r="AM1546" s="14">
        <f>INDEX(挂机升级突破!DQ$6:DQ$57,卡牌消耗!$AT1546)</f>
        <v>11</v>
      </c>
      <c r="AN1546" s="14">
        <f>INDEX(挂机升级突破!DR$6:DR$57,卡牌消耗!$AT1546)</f>
        <v>4</v>
      </c>
      <c r="AO1546" s="14">
        <f>INDEX(挂机升级突破!DS$6:DS$57,卡牌消耗!$AT1546)</f>
        <v>0</v>
      </c>
      <c r="AP1546" s="14">
        <f>INDEX(挂机升级突破!$DP$6:$DP$57,卡牌消耗!AT1546)</f>
        <v>103</v>
      </c>
      <c r="AQ1546" s="14" t="str">
        <f t="shared" si="465"/>
        <v>SR守护灵</v>
      </c>
      <c r="AR1546" s="14">
        <f t="shared" si="466"/>
        <v>3</v>
      </c>
      <c r="AS1546" s="14" t="str">
        <f t="shared" si="467"/>
        <v>SR守护灵魂火-34</v>
      </c>
      <c r="AT1546" s="14">
        <f t="shared" si="468"/>
        <v>34</v>
      </c>
      <c r="AU1546" s="14" t="str">
        <f>IF(AM1546&gt;0,INDEX(挂机升级突破!$DT$4:$ED$4,AM1546),"")</f>
        <v>金币</v>
      </c>
      <c r="AV1546" s="14">
        <f>ROUND(INDEX(挂机升级突破!$DJ$6:$DJ$57,卡牌消耗!AT1546)*INDEX(卡牌消耗!$B$8:$F$8,AR1546)/$Q$4/50,0)*50</f>
        <v>12200</v>
      </c>
      <c r="AW1546" s="14" t="str">
        <f>IF(AN1546&gt;0,INDEX(挂机升级突破!$DT$4:$ED$4,AN1546),"")</f>
        <v>橙色基础材料</v>
      </c>
      <c r="AX1546" s="14">
        <f>ROUND(INDEX(挂机升级突破!$DT$6:$ED$57,卡牌消耗!AT1546,AN1546)*INDEX(卡牌消耗!$B$5:$F$5,AR1546)/$Q$4/5,0)*5</f>
        <v>30</v>
      </c>
      <c r="AY1546" s="14" t="str">
        <f>IF(AO1546&gt;0,INDEX(挂机升级突破!$DT$4:$ED$4,AO1546),"")</f>
        <v/>
      </c>
      <c r="AZ1546" s="14" t="str">
        <f>IF(AO1546&gt;0,ROUND(INDEX(挂机升级突破!$DT$6:$ED$57,卡牌消耗!AT1546,AO1546)*INDEX(卡牌消耗!$B$7:$F$7,AR1546)/$Q$4,0),"")</f>
        <v/>
      </c>
    </row>
    <row r="1547" spans="37:52" ht="16.5" x14ac:dyDescent="0.2">
      <c r="AK1547" s="193">
        <v>1543</v>
      </c>
      <c r="AL1547" s="14">
        <f t="shared" si="469"/>
        <v>30</v>
      </c>
      <c r="AM1547" s="14">
        <f>INDEX(挂机升级突破!DQ$6:DQ$57,卡牌消耗!$AT1547)</f>
        <v>11</v>
      </c>
      <c r="AN1547" s="14">
        <f>INDEX(挂机升级突破!DR$6:DR$57,卡牌消耗!$AT1547)</f>
        <v>4</v>
      </c>
      <c r="AO1547" s="14">
        <f>INDEX(挂机升级突破!DS$6:DS$57,卡牌消耗!$AT1547)</f>
        <v>0</v>
      </c>
      <c r="AP1547" s="14">
        <f>INDEX(挂机升级突破!$DP$6:$DP$57,卡牌消耗!AT1547)</f>
        <v>105</v>
      </c>
      <c r="AQ1547" s="14" t="str">
        <f t="shared" si="465"/>
        <v>SR守护灵</v>
      </c>
      <c r="AR1547" s="14">
        <f t="shared" si="466"/>
        <v>3</v>
      </c>
      <c r="AS1547" s="14" t="str">
        <f t="shared" si="467"/>
        <v>SR守护灵魂火-35</v>
      </c>
      <c r="AT1547" s="14">
        <f t="shared" si="468"/>
        <v>35</v>
      </c>
      <c r="AU1547" s="14" t="str">
        <f>IF(AM1547&gt;0,INDEX(挂机升级突破!$DT$4:$ED$4,AM1547),"")</f>
        <v>金币</v>
      </c>
      <c r="AV1547" s="14">
        <f>ROUND(INDEX(挂机升级突破!$DJ$6:$DJ$57,卡牌消耗!AT1547)*INDEX(卡牌消耗!$B$8:$F$8,AR1547)/$Q$4/50,0)*50</f>
        <v>15550</v>
      </c>
      <c r="AW1547" s="14" t="str">
        <f>IF(AN1547&gt;0,INDEX(挂机升级突破!$DT$4:$ED$4,AN1547),"")</f>
        <v>橙色基础材料</v>
      </c>
      <c r="AX1547" s="14">
        <f>ROUND(INDEX(挂机升级突破!$DT$6:$ED$57,卡牌消耗!AT1547,AN1547)*INDEX(卡牌消耗!$B$5:$F$5,AR1547)/$Q$4/5,0)*5</f>
        <v>30</v>
      </c>
      <c r="AY1547" s="14" t="str">
        <f>IF(AO1547&gt;0,INDEX(挂机升级突破!$DT$4:$ED$4,AO1547),"")</f>
        <v/>
      </c>
      <c r="AZ1547" s="14" t="str">
        <f>IF(AO1547&gt;0,ROUND(INDEX(挂机升级突破!$DT$6:$ED$57,卡牌消耗!AT1547,AO1547)*INDEX(卡牌消耗!$B$7:$F$7,AR1547)/$Q$4,0),"")</f>
        <v/>
      </c>
    </row>
    <row r="1548" spans="37:52" ht="16.5" x14ac:dyDescent="0.2">
      <c r="AK1548" s="193">
        <v>1544</v>
      </c>
      <c r="AL1548" s="14">
        <f t="shared" si="469"/>
        <v>30</v>
      </c>
      <c r="AM1548" s="14">
        <f>INDEX(挂机升级突破!DQ$6:DQ$57,卡牌消耗!$AT1548)</f>
        <v>11</v>
      </c>
      <c r="AN1548" s="14">
        <f>INDEX(挂机升级突破!DR$6:DR$57,卡牌消耗!$AT1548)</f>
        <v>4</v>
      </c>
      <c r="AO1548" s="14">
        <f>INDEX(挂机升级突破!DS$6:DS$57,卡牌消耗!$AT1548)</f>
        <v>0</v>
      </c>
      <c r="AP1548" s="14">
        <f>INDEX(挂机升级突破!$DP$6:$DP$57,卡牌消耗!AT1548)</f>
        <v>108</v>
      </c>
      <c r="AQ1548" s="14" t="str">
        <f t="shared" si="465"/>
        <v>SR守护灵</v>
      </c>
      <c r="AR1548" s="14">
        <f t="shared" si="466"/>
        <v>3</v>
      </c>
      <c r="AS1548" s="14" t="str">
        <f t="shared" si="467"/>
        <v>SR守护灵魂火-36</v>
      </c>
      <c r="AT1548" s="14">
        <f t="shared" si="468"/>
        <v>36</v>
      </c>
      <c r="AU1548" s="14" t="str">
        <f>IF(AM1548&gt;0,INDEX(挂机升级突破!$DT$4:$ED$4,AM1548),"")</f>
        <v>金币</v>
      </c>
      <c r="AV1548" s="14">
        <f>ROUND(INDEX(挂机升级突破!$DJ$6:$DJ$57,卡牌消耗!AT1548)*INDEX(卡牌消耗!$B$8:$F$8,AR1548)/$Q$4/50,0)*50</f>
        <v>15550</v>
      </c>
      <c r="AW1548" s="14" t="str">
        <f>IF(AN1548&gt;0,INDEX(挂机升级突破!$DT$4:$ED$4,AN1548),"")</f>
        <v>橙色基础材料</v>
      </c>
      <c r="AX1548" s="14">
        <f>ROUND(INDEX(挂机升级突破!$DT$6:$ED$57,卡牌消耗!AT1548,AN1548)*INDEX(卡牌消耗!$B$5:$F$5,AR1548)/$Q$4/5,0)*5</f>
        <v>30</v>
      </c>
      <c r="AY1548" s="14" t="str">
        <f>IF(AO1548&gt;0,INDEX(挂机升级突破!$DT$4:$ED$4,AO1548),"")</f>
        <v/>
      </c>
      <c r="AZ1548" s="14" t="str">
        <f>IF(AO1548&gt;0,ROUND(INDEX(挂机升级突破!$DT$6:$ED$57,卡牌消耗!AT1548,AO1548)*INDEX(卡牌消耗!$B$7:$F$7,AR1548)/$Q$4,0),"")</f>
        <v/>
      </c>
    </row>
    <row r="1549" spans="37:52" ht="16.5" x14ac:dyDescent="0.2">
      <c r="AK1549" s="193">
        <v>1545</v>
      </c>
      <c r="AL1549" s="14">
        <f t="shared" si="469"/>
        <v>30</v>
      </c>
      <c r="AM1549" s="14">
        <f>INDEX(挂机升级突破!DQ$6:DQ$57,卡牌消耗!$AT1549)</f>
        <v>11</v>
      </c>
      <c r="AN1549" s="14">
        <f>INDEX(挂机升级突破!DR$6:DR$57,卡牌消耗!$AT1549)</f>
        <v>4</v>
      </c>
      <c r="AO1549" s="14">
        <f>INDEX(挂机升级突破!DS$6:DS$57,卡牌消耗!$AT1549)</f>
        <v>0</v>
      </c>
      <c r="AP1549" s="14">
        <f>INDEX(挂机升级突破!$DP$6:$DP$57,卡牌消耗!AT1549)</f>
        <v>110</v>
      </c>
      <c r="AQ1549" s="14" t="str">
        <f t="shared" si="465"/>
        <v>SR守护灵</v>
      </c>
      <c r="AR1549" s="14">
        <f t="shared" si="466"/>
        <v>3</v>
      </c>
      <c r="AS1549" s="14" t="str">
        <f t="shared" si="467"/>
        <v>SR守护灵魂火-37</v>
      </c>
      <c r="AT1549" s="14">
        <f t="shared" si="468"/>
        <v>37</v>
      </c>
      <c r="AU1549" s="14" t="str">
        <f>IF(AM1549&gt;0,INDEX(挂机升级突破!$DT$4:$ED$4,AM1549),"")</f>
        <v>金币</v>
      </c>
      <c r="AV1549" s="14">
        <f>ROUND(INDEX(挂机升级突破!$DJ$6:$DJ$57,卡牌消耗!AT1549)*INDEX(卡牌消耗!$B$8:$F$8,AR1549)/$Q$4/50,0)*50</f>
        <v>16650</v>
      </c>
      <c r="AW1549" s="14" t="str">
        <f>IF(AN1549&gt;0,INDEX(挂机升级突破!$DT$4:$ED$4,AN1549),"")</f>
        <v>橙色基础材料</v>
      </c>
      <c r="AX1549" s="14">
        <f>ROUND(INDEX(挂机升级突破!$DT$6:$ED$57,卡牌消耗!AT1549,AN1549)*INDEX(卡牌消耗!$B$5:$F$5,AR1549)/$Q$4/5,0)*5</f>
        <v>30</v>
      </c>
      <c r="AY1549" s="14" t="str">
        <f>IF(AO1549&gt;0,INDEX(挂机升级突破!$DT$4:$ED$4,AO1549),"")</f>
        <v/>
      </c>
      <c r="AZ1549" s="14" t="str">
        <f>IF(AO1549&gt;0,ROUND(INDEX(挂机升级突破!$DT$6:$ED$57,卡牌消耗!AT1549,AO1549)*INDEX(卡牌消耗!$B$7:$F$7,AR1549)/$Q$4,0),"")</f>
        <v/>
      </c>
    </row>
    <row r="1550" spans="37:52" ht="16.5" x14ac:dyDescent="0.2">
      <c r="AK1550" s="193">
        <v>1546</v>
      </c>
      <c r="AL1550" s="14">
        <f t="shared" si="469"/>
        <v>30</v>
      </c>
      <c r="AM1550" s="14">
        <f>INDEX(挂机升级突破!DQ$6:DQ$57,卡牌消耗!$AT1550)</f>
        <v>11</v>
      </c>
      <c r="AN1550" s="14">
        <f>INDEX(挂机升级突破!DR$6:DR$57,卡牌消耗!$AT1550)</f>
        <v>5</v>
      </c>
      <c r="AO1550" s="14">
        <f>INDEX(挂机升级突破!DS$6:DS$57,卡牌消耗!$AT1550)</f>
        <v>0</v>
      </c>
      <c r="AP1550" s="14">
        <f>INDEX(挂机升级突破!$DP$6:$DP$57,卡牌消耗!AT1550)</f>
        <v>113</v>
      </c>
      <c r="AQ1550" s="14" t="str">
        <f t="shared" si="465"/>
        <v>SR守护灵</v>
      </c>
      <c r="AR1550" s="14">
        <f t="shared" si="466"/>
        <v>3</v>
      </c>
      <c r="AS1550" s="14" t="str">
        <f t="shared" si="467"/>
        <v>SR守护灵魂火-38</v>
      </c>
      <c r="AT1550" s="14">
        <f t="shared" si="468"/>
        <v>38</v>
      </c>
      <c r="AU1550" s="14" t="str">
        <f>IF(AM1550&gt;0,INDEX(挂机升级突破!$DT$4:$ED$4,AM1550),"")</f>
        <v>金币</v>
      </c>
      <c r="AV1550" s="14">
        <f>ROUND(INDEX(挂机升级突破!$DJ$6:$DJ$57,卡牌消耗!AT1550)*INDEX(卡牌消耗!$B$8:$F$8,AR1550)/$Q$4/50,0)*50</f>
        <v>21500</v>
      </c>
      <c r="AW1550" s="14" t="str">
        <f>IF(AN1550&gt;0,INDEX(挂机升级突破!$DT$4:$ED$4,AN1550),"")</f>
        <v>红色基础材料</v>
      </c>
      <c r="AX1550" s="14">
        <f>ROUND(INDEX(挂机升级突破!$DT$6:$ED$57,卡牌消耗!AT1550,AN1550)*INDEX(卡牌消耗!$B$5:$F$5,AR1550)/$Q$4/5,0)*5</f>
        <v>10</v>
      </c>
      <c r="AY1550" s="14" t="str">
        <f>IF(AO1550&gt;0,INDEX(挂机升级突破!$DT$4:$ED$4,AO1550),"")</f>
        <v/>
      </c>
      <c r="AZ1550" s="14" t="str">
        <f>IF(AO1550&gt;0,ROUND(INDEX(挂机升级突破!$DT$6:$ED$57,卡牌消耗!AT1550,AO1550)*INDEX(卡牌消耗!$B$7:$F$7,AR1550)/$Q$4,0),"")</f>
        <v/>
      </c>
    </row>
    <row r="1551" spans="37:52" ht="16.5" x14ac:dyDescent="0.2">
      <c r="AK1551" s="193">
        <v>1547</v>
      </c>
      <c r="AL1551" s="14">
        <f t="shared" si="469"/>
        <v>30</v>
      </c>
      <c r="AM1551" s="14">
        <f>INDEX(挂机升级突破!DQ$6:DQ$57,卡牌消耗!$AT1551)</f>
        <v>11</v>
      </c>
      <c r="AN1551" s="14">
        <f>INDEX(挂机升级突破!DR$6:DR$57,卡牌消耗!$AT1551)</f>
        <v>5</v>
      </c>
      <c r="AO1551" s="14">
        <f>INDEX(挂机升级突破!DS$6:DS$57,卡牌消耗!$AT1551)</f>
        <v>0</v>
      </c>
      <c r="AP1551" s="14">
        <f>INDEX(挂机升级突破!$DP$6:$DP$57,卡牌消耗!AT1551)</f>
        <v>115</v>
      </c>
      <c r="AQ1551" s="14" t="str">
        <f t="shared" si="465"/>
        <v>SR守护灵</v>
      </c>
      <c r="AR1551" s="14">
        <f t="shared" si="466"/>
        <v>3</v>
      </c>
      <c r="AS1551" s="14" t="str">
        <f t="shared" si="467"/>
        <v>SR守护灵魂火-39</v>
      </c>
      <c r="AT1551" s="14">
        <f t="shared" si="468"/>
        <v>39</v>
      </c>
      <c r="AU1551" s="14" t="str">
        <f>IF(AM1551&gt;0,INDEX(挂机升级突破!$DT$4:$ED$4,AM1551),"")</f>
        <v>金币</v>
      </c>
      <c r="AV1551" s="14">
        <f>ROUND(INDEX(挂机升级突破!$DJ$6:$DJ$57,卡牌消耗!AT1551)*INDEX(卡牌消耗!$B$8:$F$8,AR1551)/$Q$4/50,0)*50</f>
        <v>21500</v>
      </c>
      <c r="AW1551" s="14" t="str">
        <f>IF(AN1551&gt;0,INDEX(挂机升级突破!$DT$4:$ED$4,AN1551),"")</f>
        <v>红色基础材料</v>
      </c>
      <c r="AX1551" s="14">
        <f>ROUND(INDEX(挂机升级突破!$DT$6:$ED$57,卡牌消耗!AT1551,AN1551)*INDEX(卡牌消耗!$B$5:$F$5,AR1551)/$Q$4/5,0)*5</f>
        <v>10</v>
      </c>
      <c r="AY1551" s="14" t="str">
        <f>IF(AO1551&gt;0,INDEX(挂机升级突破!$DT$4:$ED$4,AO1551),"")</f>
        <v/>
      </c>
      <c r="AZ1551" s="14" t="str">
        <f>IF(AO1551&gt;0,ROUND(INDEX(挂机升级突破!$DT$6:$ED$57,卡牌消耗!AT1551,AO1551)*INDEX(卡牌消耗!$B$7:$F$7,AR1551)/$Q$4,0),"")</f>
        <v/>
      </c>
    </row>
    <row r="1552" spans="37:52" ht="16.5" x14ac:dyDescent="0.2">
      <c r="AK1552" s="193">
        <v>1548</v>
      </c>
      <c r="AL1552" s="14">
        <f t="shared" si="469"/>
        <v>30</v>
      </c>
      <c r="AM1552" s="14">
        <f>INDEX(挂机升级突破!DQ$6:DQ$57,卡牌消耗!$AT1552)</f>
        <v>11</v>
      </c>
      <c r="AN1552" s="14">
        <f>INDEX(挂机升级突破!DR$6:DR$57,卡牌消耗!$AT1552)</f>
        <v>5</v>
      </c>
      <c r="AO1552" s="14">
        <f>INDEX(挂机升级突破!DS$6:DS$57,卡牌消耗!$AT1552)</f>
        <v>0</v>
      </c>
      <c r="AP1552" s="14">
        <f>INDEX(挂机升级突破!$DP$6:$DP$57,卡牌消耗!AT1552)</f>
        <v>118</v>
      </c>
      <c r="AQ1552" s="14" t="str">
        <f t="shared" si="465"/>
        <v>SR守护灵</v>
      </c>
      <c r="AR1552" s="14">
        <f t="shared" si="466"/>
        <v>3</v>
      </c>
      <c r="AS1552" s="14" t="str">
        <f t="shared" si="467"/>
        <v>SR守护灵魂火-40</v>
      </c>
      <c r="AT1552" s="14">
        <f t="shared" si="468"/>
        <v>40</v>
      </c>
      <c r="AU1552" s="14" t="str">
        <f>IF(AM1552&gt;0,INDEX(挂机升级突破!$DT$4:$ED$4,AM1552),"")</f>
        <v>金币</v>
      </c>
      <c r="AV1552" s="14">
        <f>ROUND(INDEX(挂机升级突破!$DJ$6:$DJ$57,卡牌消耗!AT1552)*INDEX(卡牌消耗!$B$8:$F$8,AR1552)/$Q$4/50,0)*50</f>
        <v>21500</v>
      </c>
      <c r="AW1552" s="14" t="str">
        <f>IF(AN1552&gt;0,INDEX(挂机升级突破!$DT$4:$ED$4,AN1552),"")</f>
        <v>红色基础材料</v>
      </c>
      <c r="AX1552" s="14">
        <f>ROUND(INDEX(挂机升级突破!$DT$6:$ED$57,卡牌消耗!AT1552,AN1552)*INDEX(卡牌消耗!$B$5:$F$5,AR1552)/$Q$4/5,0)*5</f>
        <v>10</v>
      </c>
      <c r="AY1552" s="14" t="str">
        <f>IF(AO1552&gt;0,INDEX(挂机升级突破!$DT$4:$ED$4,AO1552),"")</f>
        <v/>
      </c>
      <c r="AZ1552" s="14" t="str">
        <f>IF(AO1552&gt;0,ROUND(INDEX(挂机升级突破!$DT$6:$ED$57,卡牌消耗!AT1552,AO1552)*INDEX(卡牌消耗!$B$7:$F$7,AR1552)/$Q$4,0),"")</f>
        <v/>
      </c>
    </row>
    <row r="1553" spans="37:52" ht="16.5" x14ac:dyDescent="0.2">
      <c r="AK1553" s="193">
        <v>1549</v>
      </c>
      <c r="AL1553" s="14">
        <f t="shared" si="469"/>
        <v>30</v>
      </c>
      <c r="AM1553" s="14">
        <f>INDEX(挂机升级突破!DQ$6:DQ$57,卡牌消耗!$AT1553)</f>
        <v>11</v>
      </c>
      <c r="AN1553" s="14">
        <f>INDEX(挂机升级突破!DR$6:DR$57,卡牌消耗!$AT1553)</f>
        <v>5</v>
      </c>
      <c r="AO1553" s="14">
        <f>INDEX(挂机升级突破!DS$6:DS$57,卡牌消耗!$AT1553)</f>
        <v>10</v>
      </c>
      <c r="AP1553" s="14">
        <f>INDEX(挂机升级突破!$DP$6:$DP$57,卡牌消耗!AT1553)</f>
        <v>120</v>
      </c>
      <c r="AQ1553" s="14" t="str">
        <f t="shared" si="465"/>
        <v>SR守护灵</v>
      </c>
      <c r="AR1553" s="14">
        <f t="shared" si="466"/>
        <v>3</v>
      </c>
      <c r="AS1553" s="14" t="str">
        <f t="shared" si="467"/>
        <v>SR守护灵魂火-41</v>
      </c>
      <c r="AT1553" s="14">
        <f t="shared" si="468"/>
        <v>41</v>
      </c>
      <c r="AU1553" s="14" t="str">
        <f>IF(AM1553&gt;0,INDEX(挂机升级突破!$DT$4:$ED$4,AM1553),"")</f>
        <v>金币</v>
      </c>
      <c r="AV1553" s="14">
        <f>ROUND(INDEX(挂机升级突破!$DJ$6:$DJ$57,卡牌消耗!AT1553)*INDEX(卡牌消耗!$B$8:$F$8,AR1553)/$Q$4/50,0)*50</f>
        <v>29550</v>
      </c>
      <c r="AW1553" s="14" t="str">
        <f>IF(AN1553&gt;0,INDEX(挂机升级突破!$DT$4:$ED$4,AN1553),"")</f>
        <v>红色基础材料</v>
      </c>
      <c r="AX1553" s="14">
        <f>ROUND(INDEX(挂机升级突破!$DT$6:$ED$57,卡牌消耗!AT1553,AN1553)*INDEX(卡牌消耗!$B$5:$F$5,AR1553)/$Q$4/5,0)*5</f>
        <v>10</v>
      </c>
      <c r="AY1553" s="14" t="str">
        <f>IF(AO1553&gt;0,INDEX(挂机升级突破!$DT$4:$ED$4,AO1553),"")</f>
        <v>灵玉</v>
      </c>
      <c r="AZ1553" s="14">
        <f>IF(AO1553&gt;0,ROUND(INDEX(挂机升级突破!$DT$6:$ED$57,卡牌消耗!AT1553,AO1553)*INDEX(卡牌消耗!$B$7:$F$7,AR1553)/$Q$4,0),"")</f>
        <v>2</v>
      </c>
    </row>
    <row r="1554" spans="37:52" ht="16.5" x14ac:dyDescent="0.2">
      <c r="AK1554" s="193">
        <v>1550</v>
      </c>
      <c r="AL1554" s="14">
        <f t="shared" si="469"/>
        <v>30</v>
      </c>
      <c r="AM1554" s="14">
        <f>INDEX(挂机升级突破!DQ$6:DQ$57,卡牌消耗!$AT1554)</f>
        <v>11</v>
      </c>
      <c r="AN1554" s="14">
        <f>INDEX(挂机升级突破!DR$6:DR$57,卡牌消耗!$AT1554)</f>
        <v>5</v>
      </c>
      <c r="AO1554" s="14">
        <f>INDEX(挂机升级突破!DS$6:DS$57,卡牌消耗!$AT1554)</f>
        <v>10</v>
      </c>
      <c r="AP1554" s="14">
        <f>INDEX(挂机升级突破!$DP$6:$DP$57,卡牌消耗!AT1554)</f>
        <v>123</v>
      </c>
      <c r="AQ1554" s="14" t="str">
        <f t="shared" si="465"/>
        <v>SR守护灵</v>
      </c>
      <c r="AR1554" s="14">
        <f t="shared" si="466"/>
        <v>3</v>
      </c>
      <c r="AS1554" s="14" t="str">
        <f t="shared" si="467"/>
        <v>SR守护灵魂火-42</v>
      </c>
      <c r="AT1554" s="14">
        <f t="shared" si="468"/>
        <v>42</v>
      </c>
      <c r="AU1554" s="14" t="str">
        <f>IF(AM1554&gt;0,INDEX(挂机升级突破!$DT$4:$ED$4,AM1554),"")</f>
        <v>金币</v>
      </c>
      <c r="AV1554" s="14">
        <f>ROUND(INDEX(挂机升级突破!$DJ$6:$DJ$57,卡牌消耗!AT1554)*INDEX(卡牌消耗!$B$8:$F$8,AR1554)/$Q$4/50,0)*50</f>
        <v>29550</v>
      </c>
      <c r="AW1554" s="14" t="str">
        <f>IF(AN1554&gt;0,INDEX(挂机升级突破!$DT$4:$ED$4,AN1554),"")</f>
        <v>红色基础材料</v>
      </c>
      <c r="AX1554" s="14">
        <f>ROUND(INDEX(挂机升级突破!$DT$6:$ED$57,卡牌消耗!AT1554,AN1554)*INDEX(卡牌消耗!$B$5:$F$5,AR1554)/$Q$4/5,0)*5</f>
        <v>10</v>
      </c>
      <c r="AY1554" s="14" t="str">
        <f>IF(AO1554&gt;0,INDEX(挂机升级突破!$DT$4:$ED$4,AO1554),"")</f>
        <v>灵玉</v>
      </c>
      <c r="AZ1554" s="14">
        <f>IF(AO1554&gt;0,ROUND(INDEX(挂机升级突破!$DT$6:$ED$57,卡牌消耗!AT1554,AO1554)*INDEX(卡牌消耗!$B$7:$F$7,AR1554)/$Q$4,0),"")</f>
        <v>2</v>
      </c>
    </row>
    <row r="1555" spans="37:52" ht="16.5" x14ac:dyDescent="0.2">
      <c r="AK1555" s="193">
        <v>1551</v>
      </c>
      <c r="AL1555" s="14">
        <f t="shared" si="469"/>
        <v>30</v>
      </c>
      <c r="AM1555" s="14">
        <f>INDEX(挂机升级突破!DQ$6:DQ$57,卡牌消耗!$AT1555)</f>
        <v>11</v>
      </c>
      <c r="AN1555" s="14">
        <f>INDEX(挂机升级突破!DR$6:DR$57,卡牌消耗!$AT1555)</f>
        <v>5</v>
      </c>
      <c r="AO1555" s="14">
        <f>INDEX(挂机升级突破!DS$6:DS$57,卡牌消耗!$AT1555)</f>
        <v>10</v>
      </c>
      <c r="AP1555" s="14">
        <f>INDEX(挂机升级突破!$DP$6:$DP$57,卡牌消耗!AT1555)</f>
        <v>125</v>
      </c>
      <c r="AQ1555" s="14" t="str">
        <f t="shared" si="465"/>
        <v>SR守护灵</v>
      </c>
      <c r="AR1555" s="14">
        <f t="shared" si="466"/>
        <v>3</v>
      </c>
      <c r="AS1555" s="14" t="str">
        <f t="shared" si="467"/>
        <v>SR守护灵魂火-43</v>
      </c>
      <c r="AT1555" s="14">
        <f t="shared" si="468"/>
        <v>43</v>
      </c>
      <c r="AU1555" s="14" t="str">
        <f>IF(AM1555&gt;0,INDEX(挂机升级突破!$DT$4:$ED$4,AM1555),"")</f>
        <v>金币</v>
      </c>
      <c r="AV1555" s="14">
        <f>ROUND(INDEX(挂机升级突破!$DJ$6:$DJ$57,卡牌消耗!AT1555)*INDEX(卡牌消耗!$B$8:$F$8,AR1555)/$Q$4/50,0)*50</f>
        <v>29550</v>
      </c>
      <c r="AW1555" s="14" t="str">
        <f>IF(AN1555&gt;0,INDEX(挂机升级突破!$DT$4:$ED$4,AN1555),"")</f>
        <v>红色基础材料</v>
      </c>
      <c r="AX1555" s="14">
        <f>ROUND(INDEX(挂机升级突破!$DT$6:$ED$57,卡牌消耗!AT1555,AN1555)*INDEX(卡牌消耗!$B$5:$F$5,AR1555)/$Q$4/5,0)*5</f>
        <v>10</v>
      </c>
      <c r="AY1555" s="14" t="str">
        <f>IF(AO1555&gt;0,INDEX(挂机升级突破!$DT$4:$ED$4,AO1555),"")</f>
        <v>灵玉</v>
      </c>
      <c r="AZ1555" s="14">
        <f>IF(AO1555&gt;0,ROUND(INDEX(挂机升级突破!$DT$6:$ED$57,卡牌消耗!AT1555,AO1555)*INDEX(卡牌消耗!$B$7:$F$7,AR1555)/$Q$4,0),"")</f>
        <v>2</v>
      </c>
    </row>
    <row r="1556" spans="37:52" ht="16.5" x14ac:dyDescent="0.2">
      <c r="AK1556" s="193">
        <v>1552</v>
      </c>
      <c r="AL1556" s="14">
        <f t="shared" si="469"/>
        <v>30</v>
      </c>
      <c r="AM1556" s="14">
        <f>INDEX(挂机升级突破!DQ$6:DQ$57,卡牌消耗!$AT1556)</f>
        <v>11</v>
      </c>
      <c r="AN1556" s="14">
        <f>INDEX(挂机升级突破!DR$6:DR$57,卡牌消耗!$AT1556)</f>
        <v>5</v>
      </c>
      <c r="AO1556" s="14">
        <f>INDEX(挂机升级突破!DS$6:DS$57,卡牌消耗!$AT1556)</f>
        <v>10</v>
      </c>
      <c r="AP1556" s="14">
        <f>INDEX(挂机升级突破!$DP$6:$DP$57,卡牌消耗!AT1556)</f>
        <v>128</v>
      </c>
      <c r="AQ1556" s="14" t="str">
        <f t="shared" si="465"/>
        <v>SR守护灵</v>
      </c>
      <c r="AR1556" s="14">
        <f t="shared" si="466"/>
        <v>3</v>
      </c>
      <c r="AS1556" s="14" t="str">
        <f t="shared" si="467"/>
        <v>SR守护灵魂火-44</v>
      </c>
      <c r="AT1556" s="14">
        <f t="shared" si="468"/>
        <v>44</v>
      </c>
      <c r="AU1556" s="14" t="str">
        <f>IF(AM1556&gt;0,INDEX(挂机升级突破!$DT$4:$ED$4,AM1556),"")</f>
        <v>金币</v>
      </c>
      <c r="AV1556" s="14">
        <f>ROUND(INDEX(挂机升级突破!$DJ$6:$DJ$57,卡牌消耗!AT1556)*INDEX(卡牌消耗!$B$8:$F$8,AR1556)/$Q$4/50,0)*50</f>
        <v>37600</v>
      </c>
      <c r="AW1556" s="14" t="str">
        <f>IF(AN1556&gt;0,INDEX(挂机升级突破!$DT$4:$ED$4,AN1556),"")</f>
        <v>红色基础材料</v>
      </c>
      <c r="AX1556" s="14">
        <f>ROUND(INDEX(挂机升级突破!$DT$6:$ED$57,卡牌消耗!AT1556,AN1556)*INDEX(卡牌消耗!$B$5:$F$5,AR1556)/$Q$4/5,0)*5</f>
        <v>10</v>
      </c>
      <c r="AY1556" s="14" t="str">
        <f>IF(AO1556&gt;0,INDEX(挂机升级突破!$DT$4:$ED$4,AO1556),"")</f>
        <v>灵玉</v>
      </c>
      <c r="AZ1556" s="14">
        <f>IF(AO1556&gt;0,ROUND(INDEX(挂机升级突破!$DT$6:$ED$57,卡牌消耗!AT1556,AO1556)*INDEX(卡牌消耗!$B$7:$F$7,AR1556)/$Q$4,0),"")</f>
        <v>2</v>
      </c>
    </row>
    <row r="1557" spans="37:52" ht="16.5" x14ac:dyDescent="0.2">
      <c r="AK1557" s="193">
        <v>1553</v>
      </c>
      <c r="AL1557" s="14">
        <f t="shared" si="469"/>
        <v>30</v>
      </c>
      <c r="AM1557" s="14">
        <f>INDEX(挂机升级突破!DQ$6:DQ$57,卡牌消耗!$AT1557)</f>
        <v>11</v>
      </c>
      <c r="AN1557" s="14">
        <f>INDEX(挂机升级突破!DR$6:DR$57,卡牌消耗!$AT1557)</f>
        <v>5</v>
      </c>
      <c r="AO1557" s="14">
        <f>INDEX(挂机升级突破!DS$6:DS$57,卡牌消耗!$AT1557)</f>
        <v>10</v>
      </c>
      <c r="AP1557" s="14">
        <f>INDEX(挂机升级突破!$DP$6:$DP$57,卡牌消耗!AT1557)</f>
        <v>130</v>
      </c>
      <c r="AQ1557" s="14" t="str">
        <f t="shared" si="465"/>
        <v>SR守护灵</v>
      </c>
      <c r="AR1557" s="14">
        <f t="shared" si="466"/>
        <v>3</v>
      </c>
      <c r="AS1557" s="14" t="str">
        <f t="shared" si="467"/>
        <v>SR守护灵魂火-45</v>
      </c>
      <c r="AT1557" s="14">
        <f t="shared" si="468"/>
        <v>45</v>
      </c>
      <c r="AU1557" s="14" t="str">
        <f>IF(AM1557&gt;0,INDEX(挂机升级突破!$DT$4:$ED$4,AM1557),"")</f>
        <v>金币</v>
      </c>
      <c r="AV1557" s="14">
        <f>ROUND(INDEX(挂机升级突破!$DJ$6:$DJ$57,卡牌消耗!AT1557)*INDEX(卡牌消耗!$B$8:$F$8,AR1557)/$Q$4/50,0)*50</f>
        <v>37600</v>
      </c>
      <c r="AW1557" s="14" t="str">
        <f>IF(AN1557&gt;0,INDEX(挂机升级突破!$DT$4:$ED$4,AN1557),"")</f>
        <v>红色基础材料</v>
      </c>
      <c r="AX1557" s="14">
        <f>ROUND(INDEX(挂机升级突破!$DT$6:$ED$57,卡牌消耗!AT1557,AN1557)*INDEX(卡牌消耗!$B$5:$F$5,AR1557)/$Q$4/5,0)*5</f>
        <v>10</v>
      </c>
      <c r="AY1557" s="14" t="str">
        <f>IF(AO1557&gt;0,INDEX(挂机升级突破!$DT$4:$ED$4,AO1557),"")</f>
        <v>灵玉</v>
      </c>
      <c r="AZ1557" s="14">
        <f>IF(AO1557&gt;0,ROUND(INDEX(挂机升级突破!$DT$6:$ED$57,卡牌消耗!AT1557,AO1557)*INDEX(卡牌消耗!$B$7:$F$7,AR1557)/$Q$4,0),"")</f>
        <v>2</v>
      </c>
    </row>
    <row r="1558" spans="37:52" ht="16.5" x14ac:dyDescent="0.2">
      <c r="AK1558" s="193">
        <v>1554</v>
      </c>
      <c r="AL1558" s="14">
        <f t="shared" si="469"/>
        <v>30</v>
      </c>
      <c r="AM1558" s="14">
        <f>INDEX(挂机升级突破!DQ$6:DQ$57,卡牌消耗!$AT1558)</f>
        <v>11</v>
      </c>
      <c r="AN1558" s="14">
        <f>INDEX(挂机升级突破!DR$6:DR$57,卡牌消耗!$AT1558)</f>
        <v>5</v>
      </c>
      <c r="AO1558" s="14">
        <f>INDEX(挂机升级突破!DS$6:DS$57,卡牌消耗!$AT1558)</f>
        <v>10</v>
      </c>
      <c r="AP1558" s="14">
        <f>INDEX(挂机升级突破!$DP$6:$DP$57,卡牌消耗!AT1558)</f>
        <v>133</v>
      </c>
      <c r="AQ1558" s="14" t="str">
        <f t="shared" si="465"/>
        <v>SR守护灵</v>
      </c>
      <c r="AR1558" s="14">
        <f t="shared" si="466"/>
        <v>3</v>
      </c>
      <c r="AS1558" s="14" t="str">
        <f t="shared" si="467"/>
        <v>SR守护灵魂火-46</v>
      </c>
      <c r="AT1558" s="14">
        <f t="shared" si="468"/>
        <v>46</v>
      </c>
      <c r="AU1558" s="14" t="str">
        <f>IF(AM1558&gt;0,INDEX(挂机升级突破!$DT$4:$ED$4,AM1558),"")</f>
        <v>金币</v>
      </c>
      <c r="AV1558" s="14">
        <f>ROUND(INDEX(挂机升级突破!$DJ$6:$DJ$57,卡牌消耗!AT1558)*INDEX(卡牌消耗!$B$8:$F$8,AR1558)/$Q$4/50,0)*50</f>
        <v>40300</v>
      </c>
      <c r="AW1558" s="14" t="str">
        <f>IF(AN1558&gt;0,INDEX(挂机升级突破!$DT$4:$ED$4,AN1558),"")</f>
        <v>红色基础材料</v>
      </c>
      <c r="AX1558" s="14">
        <f>ROUND(INDEX(挂机升级突破!$DT$6:$ED$57,卡牌消耗!AT1558,AN1558)*INDEX(卡牌消耗!$B$5:$F$5,AR1558)/$Q$4/5,0)*5</f>
        <v>10</v>
      </c>
      <c r="AY1558" s="14" t="str">
        <f>IF(AO1558&gt;0,INDEX(挂机升级突破!$DT$4:$ED$4,AO1558),"")</f>
        <v>灵玉</v>
      </c>
      <c r="AZ1558" s="14">
        <f>IF(AO1558&gt;0,ROUND(INDEX(挂机升级突破!$DT$6:$ED$57,卡牌消耗!AT1558,AO1558)*INDEX(卡牌消耗!$B$7:$F$7,AR1558)/$Q$4,0),"")</f>
        <v>2</v>
      </c>
    </row>
    <row r="1559" spans="37:52" ht="16.5" x14ac:dyDescent="0.2">
      <c r="AK1559" s="193">
        <v>1555</v>
      </c>
      <c r="AL1559" s="14">
        <f t="shared" si="469"/>
        <v>30</v>
      </c>
      <c r="AM1559" s="14">
        <f>INDEX(挂机升级突破!DQ$6:DQ$57,卡牌消耗!$AT1559)</f>
        <v>11</v>
      </c>
      <c r="AN1559" s="14">
        <f>INDEX(挂机升级突破!DR$6:DR$57,卡牌消耗!$AT1559)</f>
        <v>5</v>
      </c>
      <c r="AO1559" s="14">
        <f>INDEX(挂机升级突破!DS$6:DS$57,卡牌消耗!$AT1559)</f>
        <v>10</v>
      </c>
      <c r="AP1559" s="14">
        <f>INDEX(挂机升级突破!$DP$6:$DP$57,卡牌消耗!AT1559)</f>
        <v>135</v>
      </c>
      <c r="AQ1559" s="14" t="str">
        <f t="shared" si="465"/>
        <v>SR守护灵</v>
      </c>
      <c r="AR1559" s="14">
        <f t="shared" si="466"/>
        <v>3</v>
      </c>
      <c r="AS1559" s="14" t="str">
        <f t="shared" si="467"/>
        <v>SR守护灵魂火-47</v>
      </c>
      <c r="AT1559" s="14">
        <f t="shared" si="468"/>
        <v>47</v>
      </c>
      <c r="AU1559" s="14" t="str">
        <f>IF(AM1559&gt;0,INDEX(挂机升级突破!$DT$4:$ED$4,AM1559),"")</f>
        <v>金币</v>
      </c>
      <c r="AV1559" s="14">
        <f>ROUND(INDEX(挂机升级突破!$DJ$6:$DJ$57,卡牌消耗!AT1559)*INDEX(卡牌消耗!$B$8:$F$8,AR1559)/$Q$4/50,0)*50</f>
        <v>82050</v>
      </c>
      <c r="AW1559" s="14" t="str">
        <f>IF(AN1559&gt;0,INDEX(挂机升级突破!$DT$4:$ED$4,AN1559),"")</f>
        <v>红色基础材料</v>
      </c>
      <c r="AX1559" s="14">
        <f>ROUND(INDEX(挂机升级突破!$DT$6:$ED$57,卡牌消耗!AT1559,AN1559)*INDEX(卡牌消耗!$B$5:$F$5,AR1559)/$Q$4/5,0)*5</f>
        <v>10</v>
      </c>
      <c r="AY1559" s="14" t="str">
        <f>IF(AO1559&gt;0,INDEX(挂机升级突破!$DT$4:$ED$4,AO1559),"")</f>
        <v>灵玉</v>
      </c>
      <c r="AZ1559" s="14">
        <f>IF(AO1559&gt;0,ROUND(INDEX(挂机升级突破!$DT$6:$ED$57,卡牌消耗!AT1559,AO1559)*INDEX(卡牌消耗!$B$7:$F$7,AR1559)/$Q$4,0),"")</f>
        <v>2</v>
      </c>
    </row>
    <row r="1560" spans="37:52" ht="16.5" x14ac:dyDescent="0.2">
      <c r="AK1560" s="193">
        <v>1556</v>
      </c>
      <c r="AL1560" s="14">
        <f t="shared" si="469"/>
        <v>30</v>
      </c>
      <c r="AM1560" s="14">
        <f>INDEX(挂机升级突破!DQ$6:DQ$57,卡牌消耗!$AT1560)</f>
        <v>11</v>
      </c>
      <c r="AN1560" s="14">
        <f>INDEX(挂机升级突破!DR$6:DR$57,卡牌消耗!$AT1560)</f>
        <v>5</v>
      </c>
      <c r="AO1560" s="14">
        <f>INDEX(挂机升级突破!DS$6:DS$57,卡牌消耗!$AT1560)</f>
        <v>10</v>
      </c>
      <c r="AP1560" s="14">
        <f>INDEX(挂机升级突破!$DP$6:$DP$57,卡牌消耗!AT1560)</f>
        <v>138</v>
      </c>
      <c r="AQ1560" s="14" t="str">
        <f t="shared" ref="AQ1560:AQ1623" si="470">INDEX($B$13:$B$45,AL1560)</f>
        <v>SR守护灵</v>
      </c>
      <c r="AR1560" s="14">
        <f t="shared" ref="AR1560:AR1623" si="471">INDEX($C$13:$C$45,AL1560)</f>
        <v>3</v>
      </c>
      <c r="AS1560" s="14" t="str">
        <f t="shared" ref="AS1560:AS1623" si="472">AQ1560&amp;"魂火-"&amp;AT1560</f>
        <v>SR守护灵魂火-48</v>
      </c>
      <c r="AT1560" s="14">
        <f t="shared" ref="AT1560:AT1623" si="473">AK1560-(AL1560-1)*52</f>
        <v>48</v>
      </c>
      <c r="AU1560" s="14" t="str">
        <f>IF(AM1560&gt;0,INDEX(挂机升级突破!$DT$4:$ED$4,AM1560),"")</f>
        <v>金币</v>
      </c>
      <c r="AV1560" s="14">
        <f>ROUND(INDEX(挂机升级突破!$DJ$6:$DJ$57,卡牌消耗!AT1560)*INDEX(卡牌消耗!$B$8:$F$8,AR1560)/$Q$4/50,0)*50</f>
        <v>82050</v>
      </c>
      <c r="AW1560" s="14" t="str">
        <f>IF(AN1560&gt;0,INDEX(挂机升级突破!$DT$4:$ED$4,AN1560),"")</f>
        <v>红色基础材料</v>
      </c>
      <c r="AX1560" s="14">
        <f>ROUND(INDEX(挂机升级突破!$DT$6:$ED$57,卡牌消耗!AT1560,AN1560)*INDEX(卡牌消耗!$B$5:$F$5,AR1560)/$Q$4/5,0)*5</f>
        <v>10</v>
      </c>
      <c r="AY1560" s="14" t="str">
        <f>IF(AO1560&gt;0,INDEX(挂机升级突破!$DT$4:$ED$4,AO1560),"")</f>
        <v>灵玉</v>
      </c>
      <c r="AZ1560" s="14">
        <f>IF(AO1560&gt;0,ROUND(INDEX(挂机升级突破!$DT$6:$ED$57,卡牌消耗!AT1560,AO1560)*INDEX(卡牌消耗!$B$7:$F$7,AR1560)/$Q$4,0),"")</f>
        <v>2</v>
      </c>
    </row>
    <row r="1561" spans="37:52" ht="16.5" x14ac:dyDescent="0.2">
      <c r="AK1561" s="193">
        <v>1557</v>
      </c>
      <c r="AL1561" s="14">
        <f t="shared" si="469"/>
        <v>30</v>
      </c>
      <c r="AM1561" s="14">
        <f>INDEX(挂机升级突破!DQ$6:DQ$57,卡牌消耗!$AT1561)</f>
        <v>11</v>
      </c>
      <c r="AN1561" s="14">
        <f>INDEX(挂机升级突破!DR$6:DR$57,卡牌消耗!$AT1561)</f>
        <v>5</v>
      </c>
      <c r="AO1561" s="14">
        <f>INDEX(挂机升级突破!DS$6:DS$57,卡牌消耗!$AT1561)</f>
        <v>10</v>
      </c>
      <c r="AP1561" s="14">
        <f>INDEX(挂机升级突破!$DP$6:$DP$57,卡牌消耗!AT1561)</f>
        <v>140</v>
      </c>
      <c r="AQ1561" s="14" t="str">
        <f t="shared" si="470"/>
        <v>SR守护灵</v>
      </c>
      <c r="AR1561" s="14">
        <f t="shared" si="471"/>
        <v>3</v>
      </c>
      <c r="AS1561" s="14" t="str">
        <f t="shared" si="472"/>
        <v>SR守护灵魂火-49</v>
      </c>
      <c r="AT1561" s="14">
        <f t="shared" si="473"/>
        <v>49</v>
      </c>
      <c r="AU1561" s="14" t="str">
        <f>IF(AM1561&gt;0,INDEX(挂机升级突破!$DT$4:$ED$4,AM1561),"")</f>
        <v>金币</v>
      </c>
      <c r="AV1561" s="14">
        <f>ROUND(INDEX(挂机升级突破!$DJ$6:$DJ$57,卡牌消耗!AT1561)*INDEX(卡牌消耗!$B$8:$F$8,AR1561)/$Q$4/50,0)*50</f>
        <v>82050</v>
      </c>
      <c r="AW1561" s="14" t="str">
        <f>IF(AN1561&gt;0,INDEX(挂机升级突破!$DT$4:$ED$4,AN1561),"")</f>
        <v>红色基础材料</v>
      </c>
      <c r="AX1561" s="14">
        <f>ROUND(INDEX(挂机升级突破!$DT$6:$ED$57,卡牌消耗!AT1561,AN1561)*INDEX(卡牌消耗!$B$5:$F$5,AR1561)/$Q$4/5,0)*5</f>
        <v>15</v>
      </c>
      <c r="AY1561" s="14" t="str">
        <f>IF(AO1561&gt;0,INDEX(挂机升级突破!$DT$4:$ED$4,AO1561),"")</f>
        <v>灵玉</v>
      </c>
      <c r="AZ1561" s="14">
        <f>IF(AO1561&gt;0,ROUND(INDEX(挂机升级突破!$DT$6:$ED$57,卡牌消耗!AT1561,AO1561)*INDEX(卡牌消耗!$B$7:$F$7,AR1561)/$Q$4,0),"")</f>
        <v>2</v>
      </c>
    </row>
    <row r="1562" spans="37:52" ht="16.5" x14ac:dyDescent="0.2">
      <c r="AK1562" s="193">
        <v>1558</v>
      </c>
      <c r="AL1562" s="14">
        <f t="shared" si="469"/>
        <v>30</v>
      </c>
      <c r="AM1562" s="14">
        <f>INDEX(挂机升级突破!DQ$6:DQ$57,卡牌消耗!$AT1562)</f>
        <v>11</v>
      </c>
      <c r="AN1562" s="14">
        <f>INDEX(挂机升级突破!DR$6:DR$57,卡牌消耗!$AT1562)</f>
        <v>5</v>
      </c>
      <c r="AO1562" s="14">
        <f>INDEX(挂机升级突破!DS$6:DS$57,卡牌消耗!$AT1562)</f>
        <v>10</v>
      </c>
      <c r="AP1562" s="14">
        <f>INDEX(挂机升级突破!$DP$6:$DP$57,卡牌消耗!AT1562)</f>
        <v>143</v>
      </c>
      <c r="AQ1562" s="14" t="str">
        <f t="shared" si="470"/>
        <v>SR守护灵</v>
      </c>
      <c r="AR1562" s="14">
        <f t="shared" si="471"/>
        <v>3</v>
      </c>
      <c r="AS1562" s="14" t="str">
        <f t="shared" si="472"/>
        <v>SR守护灵魂火-50</v>
      </c>
      <c r="AT1562" s="14">
        <f t="shared" si="473"/>
        <v>50</v>
      </c>
      <c r="AU1562" s="14" t="str">
        <f>IF(AM1562&gt;0,INDEX(挂机升级突破!$DT$4:$ED$4,AM1562),"")</f>
        <v>金币</v>
      </c>
      <c r="AV1562" s="14">
        <f>ROUND(INDEX(挂机升级突破!$DJ$6:$DJ$57,卡牌消耗!AT1562)*INDEX(卡牌消耗!$B$8:$F$8,AR1562)/$Q$4/50,0)*50</f>
        <v>136750</v>
      </c>
      <c r="AW1562" s="14" t="str">
        <f>IF(AN1562&gt;0,INDEX(挂机升级突破!$DT$4:$ED$4,AN1562),"")</f>
        <v>红色基础材料</v>
      </c>
      <c r="AX1562" s="14">
        <f>ROUND(INDEX(挂机升级突破!$DT$6:$ED$57,卡牌消耗!AT1562,AN1562)*INDEX(卡牌消耗!$B$5:$F$5,AR1562)/$Q$4/5,0)*5</f>
        <v>15</v>
      </c>
      <c r="AY1562" s="14" t="str">
        <f>IF(AO1562&gt;0,INDEX(挂机升级突破!$DT$4:$ED$4,AO1562),"")</f>
        <v>灵玉</v>
      </c>
      <c r="AZ1562" s="14">
        <f>IF(AO1562&gt;0,ROUND(INDEX(挂机升级突破!$DT$6:$ED$57,卡牌消耗!AT1562,AO1562)*INDEX(卡牌消耗!$B$7:$F$7,AR1562)/$Q$4,0),"")</f>
        <v>2</v>
      </c>
    </row>
    <row r="1563" spans="37:52" ht="16.5" x14ac:dyDescent="0.2">
      <c r="AK1563" s="193">
        <v>1559</v>
      </c>
      <c r="AL1563" s="14">
        <f t="shared" si="469"/>
        <v>30</v>
      </c>
      <c r="AM1563" s="14">
        <f>INDEX(挂机升级突破!DQ$6:DQ$57,卡牌消耗!$AT1563)</f>
        <v>11</v>
      </c>
      <c r="AN1563" s="14">
        <f>INDEX(挂机升级突破!DR$6:DR$57,卡牌消耗!$AT1563)</f>
        <v>5</v>
      </c>
      <c r="AO1563" s="14">
        <f>INDEX(挂机升级突破!DS$6:DS$57,卡牌消耗!$AT1563)</f>
        <v>10</v>
      </c>
      <c r="AP1563" s="14">
        <f>INDEX(挂机升级突破!$DP$6:$DP$57,卡牌消耗!AT1563)</f>
        <v>145</v>
      </c>
      <c r="AQ1563" s="14" t="str">
        <f t="shared" si="470"/>
        <v>SR守护灵</v>
      </c>
      <c r="AR1563" s="14">
        <f t="shared" si="471"/>
        <v>3</v>
      </c>
      <c r="AS1563" s="14" t="str">
        <f t="shared" si="472"/>
        <v>SR守护灵魂火-51</v>
      </c>
      <c r="AT1563" s="14">
        <f t="shared" si="473"/>
        <v>51</v>
      </c>
      <c r="AU1563" s="14" t="str">
        <f>IF(AM1563&gt;0,INDEX(挂机升级突破!$DT$4:$ED$4,AM1563),"")</f>
        <v>金币</v>
      </c>
      <c r="AV1563" s="14">
        <f>ROUND(INDEX(挂机升级突破!$DJ$6:$DJ$57,卡牌消耗!AT1563)*INDEX(卡牌消耗!$B$8:$F$8,AR1563)/$Q$4/50,0)*50</f>
        <v>150450</v>
      </c>
      <c r="AW1563" s="14" t="str">
        <f>IF(AN1563&gt;0,INDEX(挂机升级突破!$DT$4:$ED$4,AN1563),"")</f>
        <v>红色基础材料</v>
      </c>
      <c r="AX1563" s="14">
        <f>ROUND(INDEX(挂机升级突破!$DT$6:$ED$57,卡牌消耗!AT1563,AN1563)*INDEX(卡牌消耗!$B$5:$F$5,AR1563)/$Q$4/5,0)*5</f>
        <v>15</v>
      </c>
      <c r="AY1563" s="14" t="str">
        <f>IF(AO1563&gt;0,INDEX(挂机升级突破!$DT$4:$ED$4,AO1563),"")</f>
        <v>灵玉</v>
      </c>
      <c r="AZ1563" s="14">
        <f>IF(AO1563&gt;0,ROUND(INDEX(挂机升级突破!$DT$6:$ED$57,卡牌消耗!AT1563,AO1563)*INDEX(卡牌消耗!$B$7:$F$7,AR1563)/$Q$4,0),"")</f>
        <v>2</v>
      </c>
    </row>
    <row r="1564" spans="37:52" ht="16.5" x14ac:dyDescent="0.2">
      <c r="AK1564" s="193">
        <v>1560</v>
      </c>
      <c r="AL1564" s="14">
        <f t="shared" si="469"/>
        <v>30</v>
      </c>
      <c r="AM1564" s="14">
        <f>INDEX(挂机升级突破!DQ$6:DQ$57,卡牌消耗!$AT1564)</f>
        <v>11</v>
      </c>
      <c r="AN1564" s="14">
        <f>INDEX(挂机升级突破!DR$6:DR$57,卡牌消耗!$AT1564)</f>
        <v>5</v>
      </c>
      <c r="AO1564" s="14">
        <f>INDEX(挂机升级突破!DS$6:DS$57,卡牌消耗!$AT1564)</f>
        <v>10</v>
      </c>
      <c r="AP1564" s="14">
        <f>INDEX(挂机升级突破!$DP$6:$DP$57,卡牌消耗!AT1564)</f>
        <v>148</v>
      </c>
      <c r="AQ1564" s="14" t="str">
        <f t="shared" si="470"/>
        <v>SR守护灵</v>
      </c>
      <c r="AR1564" s="14">
        <f t="shared" si="471"/>
        <v>3</v>
      </c>
      <c r="AS1564" s="14" t="str">
        <f t="shared" si="472"/>
        <v>SR守护灵魂火-52</v>
      </c>
      <c r="AT1564" s="14">
        <f t="shared" si="473"/>
        <v>52</v>
      </c>
      <c r="AU1564" s="14" t="str">
        <f>IF(AM1564&gt;0,INDEX(挂机升级突破!$DT$4:$ED$4,AM1564),"")</f>
        <v>金币</v>
      </c>
      <c r="AV1564" s="14">
        <f>ROUND(INDEX(挂机升级突破!$DJ$6:$DJ$57,卡牌消耗!AT1564)*INDEX(卡牌消耗!$B$8:$F$8,AR1564)/$Q$4/50,0)*50</f>
        <v>150450</v>
      </c>
      <c r="AW1564" s="14" t="str">
        <f>IF(AN1564&gt;0,INDEX(挂机升级突破!$DT$4:$ED$4,AN1564),"")</f>
        <v>红色基础材料</v>
      </c>
      <c r="AX1564" s="14">
        <f>ROUND(INDEX(挂机升级突破!$DT$6:$ED$57,卡牌消耗!AT1564,AN1564)*INDEX(卡牌消耗!$B$5:$F$5,AR1564)/$Q$4/5,0)*5</f>
        <v>15</v>
      </c>
      <c r="AY1564" s="14" t="str">
        <f>IF(AO1564&gt;0,INDEX(挂机升级突破!$DT$4:$ED$4,AO1564),"")</f>
        <v>灵玉</v>
      </c>
      <c r="AZ1564" s="14">
        <f>IF(AO1564&gt;0,ROUND(INDEX(挂机升级突破!$DT$6:$ED$57,卡牌消耗!AT1564,AO1564)*INDEX(卡牌消耗!$B$7:$F$7,AR1564)/$Q$4,0),"")</f>
        <v>2</v>
      </c>
    </row>
    <row r="1565" spans="37:52" ht="16.5" x14ac:dyDescent="0.2">
      <c r="AK1565" s="193">
        <v>1561</v>
      </c>
      <c r="AL1565" s="14">
        <f t="shared" si="469"/>
        <v>31</v>
      </c>
      <c r="AM1565" s="14">
        <f>INDEX(挂机升级突破!DQ$6:DQ$57,卡牌消耗!$AT1565)</f>
        <v>11</v>
      </c>
      <c r="AN1565" s="14">
        <f>INDEX(挂机升级突破!DR$6:DR$57,卡牌消耗!$AT1565)</f>
        <v>1</v>
      </c>
      <c r="AO1565" s="14">
        <f>INDEX(挂机升级突破!DS$6:DS$57,卡牌消耗!$AT1565)</f>
        <v>0</v>
      </c>
      <c r="AP1565" s="14">
        <f>INDEX(挂机升级突破!$DP$6:$DP$57,卡牌消耗!AT1565)</f>
        <v>3</v>
      </c>
      <c r="AQ1565" s="14" t="str">
        <f t="shared" si="470"/>
        <v>SSR守护灵</v>
      </c>
      <c r="AR1565" s="14">
        <f t="shared" si="471"/>
        <v>4</v>
      </c>
      <c r="AS1565" s="14" t="str">
        <f t="shared" si="472"/>
        <v>SSR守护灵魂火-1</v>
      </c>
      <c r="AT1565" s="14">
        <f t="shared" si="473"/>
        <v>1</v>
      </c>
      <c r="AU1565" s="14" t="str">
        <f>IF(AM1565&gt;0,INDEX(挂机升级突破!$DT$4:$ED$4,AM1565),"")</f>
        <v>金币</v>
      </c>
      <c r="AV1565" s="14">
        <f>ROUND(INDEX(挂机升级突破!$DJ$6:$DJ$57,卡牌消耗!AT1565)*INDEX(卡牌消耗!$B$8:$F$8,AR1565)/$Q$4/50,0)*50</f>
        <v>1300</v>
      </c>
      <c r="AW1565" s="14" t="str">
        <f>IF(AN1565&gt;0,INDEX(挂机升级突破!$DT$4:$ED$4,AN1565),"")</f>
        <v>绿色基础材料</v>
      </c>
      <c r="AX1565" s="14">
        <f>ROUND(INDEX(挂机升级突破!$DT$6:$ED$57,卡牌消耗!AT1565,AN1565)*INDEX(卡牌消耗!$B$5:$F$5,AR1565)/$Q$4/5,0)*5</f>
        <v>30</v>
      </c>
      <c r="AY1565" s="14" t="str">
        <f>IF(AO1565&gt;0,INDEX(挂机升级突破!$DT$4:$ED$4,AO1565),"")</f>
        <v/>
      </c>
      <c r="AZ1565" s="14" t="str">
        <f>IF(AO1565&gt;0,ROUND(INDEX(挂机升级突破!$DT$6:$ED$57,卡牌消耗!AT1565,AO1565)*INDEX(卡牌消耗!$B$7:$F$7,AR1565)/$Q$4,0),"")</f>
        <v/>
      </c>
    </row>
    <row r="1566" spans="37:52" ht="16.5" x14ac:dyDescent="0.2">
      <c r="AK1566" s="193">
        <v>1562</v>
      </c>
      <c r="AL1566" s="14">
        <f t="shared" si="469"/>
        <v>31</v>
      </c>
      <c r="AM1566" s="14">
        <f>INDEX(挂机升级突破!DQ$6:DQ$57,卡牌消耗!$AT1566)</f>
        <v>11</v>
      </c>
      <c r="AN1566" s="14">
        <f>INDEX(挂机升级突破!DR$6:DR$57,卡牌消耗!$AT1566)</f>
        <v>1</v>
      </c>
      <c r="AO1566" s="14">
        <f>INDEX(挂机升级突破!DS$6:DS$57,卡牌消耗!$AT1566)</f>
        <v>0</v>
      </c>
      <c r="AP1566" s="14">
        <f>INDEX(挂机升级突破!$DP$6:$DP$57,卡牌消耗!AT1566)</f>
        <v>8</v>
      </c>
      <c r="AQ1566" s="14" t="str">
        <f t="shared" si="470"/>
        <v>SSR守护灵</v>
      </c>
      <c r="AR1566" s="14">
        <f t="shared" si="471"/>
        <v>4</v>
      </c>
      <c r="AS1566" s="14" t="str">
        <f t="shared" si="472"/>
        <v>SSR守护灵魂火-2</v>
      </c>
      <c r="AT1566" s="14">
        <f t="shared" si="473"/>
        <v>2</v>
      </c>
      <c r="AU1566" s="14" t="str">
        <f>IF(AM1566&gt;0,INDEX(挂机升级突破!$DT$4:$ED$4,AM1566),"")</f>
        <v>金币</v>
      </c>
      <c r="AV1566" s="14">
        <f>ROUND(INDEX(挂机升级突破!$DJ$6:$DJ$57,卡牌消耗!AT1566)*INDEX(卡牌消耗!$B$8:$F$8,AR1566)/$Q$4/50,0)*50</f>
        <v>1550</v>
      </c>
      <c r="AW1566" s="14" t="str">
        <f>IF(AN1566&gt;0,INDEX(挂机升级突破!$DT$4:$ED$4,AN1566),"")</f>
        <v>绿色基础材料</v>
      </c>
      <c r="AX1566" s="14">
        <f>ROUND(INDEX(挂机升级突破!$DT$6:$ED$57,卡牌消耗!AT1566,AN1566)*INDEX(卡牌消耗!$B$5:$F$5,AR1566)/$Q$4/5,0)*5</f>
        <v>105</v>
      </c>
      <c r="AY1566" s="14" t="str">
        <f>IF(AO1566&gt;0,INDEX(挂机升级突破!$DT$4:$ED$4,AO1566),"")</f>
        <v/>
      </c>
      <c r="AZ1566" s="14" t="str">
        <f>IF(AO1566&gt;0,ROUND(INDEX(挂机升级突破!$DT$6:$ED$57,卡牌消耗!AT1566,AO1566)*INDEX(卡牌消耗!$B$7:$F$7,AR1566)/$Q$4,0),"")</f>
        <v/>
      </c>
    </row>
    <row r="1567" spans="37:52" ht="16.5" x14ac:dyDescent="0.2">
      <c r="AK1567" s="193">
        <v>1563</v>
      </c>
      <c r="AL1567" s="14">
        <f t="shared" si="469"/>
        <v>31</v>
      </c>
      <c r="AM1567" s="14">
        <f>INDEX(挂机升级突破!DQ$6:DQ$57,卡牌消耗!$AT1567)</f>
        <v>11</v>
      </c>
      <c r="AN1567" s="14">
        <f>INDEX(挂机升级突破!DR$6:DR$57,卡牌消耗!$AT1567)</f>
        <v>1</v>
      </c>
      <c r="AO1567" s="14">
        <f>INDEX(挂机升级突破!DS$6:DS$57,卡牌消耗!$AT1567)</f>
        <v>0</v>
      </c>
      <c r="AP1567" s="14">
        <f>INDEX(挂机升级突破!$DP$6:$DP$57,卡牌消耗!AT1567)</f>
        <v>13</v>
      </c>
      <c r="AQ1567" s="14" t="str">
        <f t="shared" si="470"/>
        <v>SSR守护灵</v>
      </c>
      <c r="AR1567" s="14">
        <f t="shared" si="471"/>
        <v>4</v>
      </c>
      <c r="AS1567" s="14" t="str">
        <f t="shared" si="472"/>
        <v>SSR守护灵魂火-3</v>
      </c>
      <c r="AT1567" s="14">
        <f t="shared" si="473"/>
        <v>3</v>
      </c>
      <c r="AU1567" s="14" t="str">
        <f>IF(AM1567&gt;0,INDEX(挂机升级突破!$DT$4:$ED$4,AM1567),"")</f>
        <v>金币</v>
      </c>
      <c r="AV1567" s="14">
        <f>ROUND(INDEX(挂机升级突破!$DJ$6:$DJ$57,卡牌消耗!AT1567)*INDEX(卡牌消耗!$B$8:$F$8,AR1567)/$Q$4/50,0)*50</f>
        <v>1550</v>
      </c>
      <c r="AW1567" s="14" t="str">
        <f>IF(AN1567&gt;0,INDEX(挂机升级突破!$DT$4:$ED$4,AN1567),"")</f>
        <v>绿色基础材料</v>
      </c>
      <c r="AX1567" s="14">
        <f>ROUND(INDEX(挂机升级突破!$DT$6:$ED$57,卡牌消耗!AT1567,AN1567)*INDEX(卡牌消耗!$B$5:$F$5,AR1567)/$Q$4/5,0)*5</f>
        <v>125</v>
      </c>
      <c r="AY1567" s="14" t="str">
        <f>IF(AO1567&gt;0,INDEX(挂机升级突破!$DT$4:$ED$4,AO1567),"")</f>
        <v/>
      </c>
      <c r="AZ1567" s="14" t="str">
        <f>IF(AO1567&gt;0,ROUND(INDEX(挂机升级突破!$DT$6:$ED$57,卡牌消耗!AT1567,AO1567)*INDEX(卡牌消耗!$B$7:$F$7,AR1567)/$Q$4,0),"")</f>
        <v/>
      </c>
    </row>
    <row r="1568" spans="37:52" ht="16.5" x14ac:dyDescent="0.2">
      <c r="AK1568" s="193">
        <v>1564</v>
      </c>
      <c r="AL1568" s="14">
        <f t="shared" si="469"/>
        <v>31</v>
      </c>
      <c r="AM1568" s="14">
        <f>INDEX(挂机升级突破!DQ$6:DQ$57,卡牌消耗!$AT1568)</f>
        <v>11</v>
      </c>
      <c r="AN1568" s="14">
        <f>INDEX(挂机升级突破!DR$6:DR$57,卡牌消耗!$AT1568)</f>
        <v>1</v>
      </c>
      <c r="AO1568" s="14">
        <f>INDEX(挂机升级突破!DS$6:DS$57,卡牌消耗!$AT1568)</f>
        <v>0</v>
      </c>
      <c r="AP1568" s="14">
        <f>INDEX(挂机升级突破!$DP$6:$DP$57,卡牌消耗!AT1568)</f>
        <v>18</v>
      </c>
      <c r="AQ1568" s="14" t="str">
        <f t="shared" si="470"/>
        <v>SSR守护灵</v>
      </c>
      <c r="AR1568" s="14">
        <f t="shared" si="471"/>
        <v>4</v>
      </c>
      <c r="AS1568" s="14" t="str">
        <f t="shared" si="472"/>
        <v>SSR守护灵魂火-4</v>
      </c>
      <c r="AT1568" s="14">
        <f t="shared" si="473"/>
        <v>4</v>
      </c>
      <c r="AU1568" s="14" t="str">
        <f>IF(AM1568&gt;0,INDEX(挂机升级突破!$DT$4:$ED$4,AM1568),"")</f>
        <v>金币</v>
      </c>
      <c r="AV1568" s="14">
        <f>ROUND(INDEX(挂机升级突破!$DJ$6:$DJ$57,卡牌消耗!AT1568)*INDEX(卡牌消耗!$B$8:$F$8,AR1568)/$Q$4/50,0)*50</f>
        <v>1550</v>
      </c>
      <c r="AW1568" s="14" t="str">
        <f>IF(AN1568&gt;0,INDEX(挂机升级突破!$DT$4:$ED$4,AN1568),"")</f>
        <v>绿色基础材料</v>
      </c>
      <c r="AX1568" s="14">
        <f>ROUND(INDEX(挂机升级突破!$DT$6:$ED$57,卡牌消耗!AT1568,AN1568)*INDEX(卡牌消耗!$B$5:$F$5,AR1568)/$Q$4/5,0)*5</f>
        <v>170</v>
      </c>
      <c r="AY1568" s="14" t="str">
        <f>IF(AO1568&gt;0,INDEX(挂机升级突破!$DT$4:$ED$4,AO1568),"")</f>
        <v/>
      </c>
      <c r="AZ1568" s="14" t="str">
        <f>IF(AO1568&gt;0,ROUND(INDEX(挂机升级突破!$DT$6:$ED$57,卡牌消耗!AT1568,AO1568)*INDEX(卡牌消耗!$B$7:$F$7,AR1568)/$Q$4,0),"")</f>
        <v/>
      </c>
    </row>
    <row r="1569" spans="37:52" ht="16.5" x14ac:dyDescent="0.2">
      <c r="AK1569" s="193">
        <v>1565</v>
      </c>
      <c r="AL1569" s="14">
        <f t="shared" si="469"/>
        <v>31</v>
      </c>
      <c r="AM1569" s="14">
        <f>INDEX(挂机升级突破!DQ$6:DQ$57,卡牌消耗!$AT1569)</f>
        <v>11</v>
      </c>
      <c r="AN1569" s="14">
        <f>INDEX(挂机升级突破!DR$6:DR$57,卡牌消耗!$AT1569)</f>
        <v>1</v>
      </c>
      <c r="AO1569" s="14">
        <f>INDEX(挂机升级突破!DS$6:DS$57,卡牌消耗!$AT1569)</f>
        <v>0</v>
      </c>
      <c r="AP1569" s="14">
        <f>INDEX(挂机升级突破!$DP$6:$DP$57,卡牌消耗!AT1569)</f>
        <v>23</v>
      </c>
      <c r="AQ1569" s="14" t="str">
        <f t="shared" si="470"/>
        <v>SSR守护灵</v>
      </c>
      <c r="AR1569" s="14">
        <f t="shared" si="471"/>
        <v>4</v>
      </c>
      <c r="AS1569" s="14" t="str">
        <f t="shared" si="472"/>
        <v>SSR守护灵魂火-5</v>
      </c>
      <c r="AT1569" s="14">
        <f t="shared" si="473"/>
        <v>5</v>
      </c>
      <c r="AU1569" s="14" t="str">
        <f>IF(AM1569&gt;0,INDEX(挂机升级突破!$DT$4:$ED$4,AM1569),"")</f>
        <v>金币</v>
      </c>
      <c r="AV1569" s="14">
        <f>ROUND(INDEX(挂机升级突破!$DJ$6:$DJ$57,卡牌消耗!AT1569)*INDEX(卡牌消耗!$B$8:$F$8,AR1569)/$Q$4/50,0)*50</f>
        <v>1550</v>
      </c>
      <c r="AW1569" s="14" t="str">
        <f>IF(AN1569&gt;0,INDEX(挂机升级突破!$DT$4:$ED$4,AN1569),"")</f>
        <v>绿色基础材料</v>
      </c>
      <c r="AX1569" s="14">
        <f>ROUND(INDEX(挂机升级突破!$DT$6:$ED$57,卡牌消耗!AT1569,AN1569)*INDEX(卡牌消耗!$B$5:$F$5,AR1569)/$Q$4/5,0)*5</f>
        <v>185</v>
      </c>
      <c r="AY1569" s="14" t="str">
        <f>IF(AO1569&gt;0,INDEX(挂机升级突破!$DT$4:$ED$4,AO1569),"")</f>
        <v/>
      </c>
      <c r="AZ1569" s="14" t="str">
        <f>IF(AO1569&gt;0,ROUND(INDEX(挂机升级突破!$DT$6:$ED$57,卡牌消耗!AT1569,AO1569)*INDEX(卡牌消耗!$B$7:$F$7,AR1569)/$Q$4,0),"")</f>
        <v/>
      </c>
    </row>
    <row r="1570" spans="37:52" ht="16.5" x14ac:dyDescent="0.2">
      <c r="AK1570" s="193">
        <v>1566</v>
      </c>
      <c r="AL1570" s="14">
        <f t="shared" si="469"/>
        <v>31</v>
      </c>
      <c r="AM1570" s="14">
        <f>INDEX(挂机升级突破!DQ$6:DQ$57,卡牌消耗!$AT1570)</f>
        <v>11</v>
      </c>
      <c r="AN1570" s="14">
        <f>INDEX(挂机升级突破!DR$6:DR$57,卡牌消耗!$AT1570)</f>
        <v>2</v>
      </c>
      <c r="AO1570" s="14">
        <f>INDEX(挂机升级突破!DS$6:DS$57,卡牌消耗!$AT1570)</f>
        <v>0</v>
      </c>
      <c r="AP1570" s="14">
        <f>INDEX(挂机升级突破!$DP$6:$DP$57,卡牌消耗!AT1570)</f>
        <v>28</v>
      </c>
      <c r="AQ1570" s="14" t="str">
        <f t="shared" si="470"/>
        <v>SSR守护灵</v>
      </c>
      <c r="AR1570" s="14">
        <f t="shared" si="471"/>
        <v>4</v>
      </c>
      <c r="AS1570" s="14" t="str">
        <f t="shared" si="472"/>
        <v>SSR守护灵魂火-6</v>
      </c>
      <c r="AT1570" s="14">
        <f t="shared" si="473"/>
        <v>6</v>
      </c>
      <c r="AU1570" s="14" t="str">
        <f>IF(AM1570&gt;0,INDEX(挂机升级突破!$DT$4:$ED$4,AM1570),"")</f>
        <v>金币</v>
      </c>
      <c r="AV1570" s="14">
        <f>ROUND(INDEX(挂机升级突破!$DJ$6:$DJ$57,卡牌消耗!AT1570)*INDEX(卡牌消耗!$B$8:$F$8,AR1570)/$Q$4/50,0)*50</f>
        <v>1900</v>
      </c>
      <c r="AW1570" s="14" t="str">
        <f>IF(AN1570&gt;0,INDEX(挂机升级突破!$DT$4:$ED$4,AN1570),"")</f>
        <v>蓝色基础材料</v>
      </c>
      <c r="AX1570" s="14">
        <f>ROUND(INDEX(挂机升级突破!$DT$6:$ED$57,卡牌消耗!AT1570,AN1570)*INDEX(卡牌消耗!$B$5:$F$5,AR1570)/$Q$4/5,0)*5</f>
        <v>35</v>
      </c>
      <c r="AY1570" s="14" t="str">
        <f>IF(AO1570&gt;0,INDEX(挂机升级突破!$DT$4:$ED$4,AO1570),"")</f>
        <v/>
      </c>
      <c r="AZ1570" s="14" t="str">
        <f>IF(AO1570&gt;0,ROUND(INDEX(挂机升级突破!$DT$6:$ED$57,卡牌消耗!AT1570,AO1570)*INDEX(卡牌消耗!$B$7:$F$7,AR1570)/$Q$4,0),"")</f>
        <v/>
      </c>
    </row>
    <row r="1571" spans="37:52" ht="16.5" x14ac:dyDescent="0.2">
      <c r="AK1571" s="193">
        <v>1567</v>
      </c>
      <c r="AL1571" s="14">
        <f t="shared" si="469"/>
        <v>31</v>
      </c>
      <c r="AM1571" s="14">
        <f>INDEX(挂机升级突破!DQ$6:DQ$57,卡牌消耗!$AT1571)</f>
        <v>11</v>
      </c>
      <c r="AN1571" s="14">
        <f>INDEX(挂机升级突破!DR$6:DR$57,卡牌消耗!$AT1571)</f>
        <v>2</v>
      </c>
      <c r="AO1571" s="14">
        <f>INDEX(挂机升级突破!DS$6:DS$57,卡牌消耗!$AT1571)</f>
        <v>0</v>
      </c>
      <c r="AP1571" s="14">
        <f>INDEX(挂机升级突破!$DP$6:$DP$57,卡牌消耗!AT1571)</f>
        <v>33</v>
      </c>
      <c r="AQ1571" s="14" t="str">
        <f t="shared" si="470"/>
        <v>SSR守护灵</v>
      </c>
      <c r="AR1571" s="14">
        <f t="shared" si="471"/>
        <v>4</v>
      </c>
      <c r="AS1571" s="14" t="str">
        <f t="shared" si="472"/>
        <v>SSR守护灵魂火-7</v>
      </c>
      <c r="AT1571" s="14">
        <f t="shared" si="473"/>
        <v>7</v>
      </c>
      <c r="AU1571" s="14" t="str">
        <f>IF(AM1571&gt;0,INDEX(挂机升级突破!$DT$4:$ED$4,AM1571),"")</f>
        <v>金币</v>
      </c>
      <c r="AV1571" s="14">
        <f>ROUND(INDEX(挂机升级突破!$DJ$6:$DJ$57,卡牌消耗!AT1571)*INDEX(卡牌消耗!$B$8:$F$8,AR1571)/$Q$4/50,0)*50</f>
        <v>1900</v>
      </c>
      <c r="AW1571" s="14" t="str">
        <f>IF(AN1571&gt;0,INDEX(挂机升级突破!$DT$4:$ED$4,AN1571),"")</f>
        <v>蓝色基础材料</v>
      </c>
      <c r="AX1571" s="14">
        <f>ROUND(INDEX(挂机升级突破!$DT$6:$ED$57,卡牌消耗!AT1571,AN1571)*INDEX(卡牌消耗!$B$5:$F$5,AR1571)/$Q$4/5,0)*5</f>
        <v>35</v>
      </c>
      <c r="AY1571" s="14" t="str">
        <f>IF(AO1571&gt;0,INDEX(挂机升级突破!$DT$4:$ED$4,AO1571),"")</f>
        <v/>
      </c>
      <c r="AZ1571" s="14" t="str">
        <f>IF(AO1571&gt;0,ROUND(INDEX(挂机升级突破!$DT$6:$ED$57,卡牌消耗!AT1571,AO1571)*INDEX(卡牌消耗!$B$7:$F$7,AR1571)/$Q$4,0),"")</f>
        <v/>
      </c>
    </row>
    <row r="1572" spans="37:52" ht="16.5" x14ac:dyDescent="0.2">
      <c r="AK1572" s="193">
        <v>1568</v>
      </c>
      <c r="AL1572" s="14">
        <f t="shared" si="469"/>
        <v>31</v>
      </c>
      <c r="AM1572" s="14">
        <f>INDEX(挂机升级突破!DQ$6:DQ$57,卡牌消耗!$AT1572)</f>
        <v>11</v>
      </c>
      <c r="AN1572" s="14">
        <f>INDEX(挂机升级突破!DR$6:DR$57,卡牌消耗!$AT1572)</f>
        <v>2</v>
      </c>
      <c r="AO1572" s="14">
        <f>INDEX(挂机升级突破!DS$6:DS$57,卡牌消耗!$AT1572)</f>
        <v>0</v>
      </c>
      <c r="AP1572" s="14">
        <f>INDEX(挂机升级突破!$DP$6:$DP$57,卡牌消耗!AT1572)</f>
        <v>38</v>
      </c>
      <c r="AQ1572" s="14" t="str">
        <f t="shared" si="470"/>
        <v>SSR守护灵</v>
      </c>
      <c r="AR1572" s="14">
        <f t="shared" si="471"/>
        <v>4</v>
      </c>
      <c r="AS1572" s="14" t="str">
        <f t="shared" si="472"/>
        <v>SSR守护灵魂火-8</v>
      </c>
      <c r="AT1572" s="14">
        <f t="shared" si="473"/>
        <v>8</v>
      </c>
      <c r="AU1572" s="14" t="str">
        <f>IF(AM1572&gt;0,INDEX(挂机升级突破!$DT$4:$ED$4,AM1572),"")</f>
        <v>金币</v>
      </c>
      <c r="AV1572" s="14">
        <f>ROUND(INDEX(挂机升级突破!$DJ$6:$DJ$57,卡牌消耗!AT1572)*INDEX(卡牌消耗!$B$8:$F$8,AR1572)/$Q$4/50,0)*50</f>
        <v>2850</v>
      </c>
      <c r="AW1572" s="14" t="str">
        <f>IF(AN1572&gt;0,INDEX(挂机升级突破!$DT$4:$ED$4,AN1572),"")</f>
        <v>蓝色基础材料</v>
      </c>
      <c r="AX1572" s="14">
        <f>ROUND(INDEX(挂机升级突破!$DT$6:$ED$57,卡牌消耗!AT1572,AN1572)*INDEX(卡牌消耗!$B$5:$F$5,AR1572)/$Q$4/5,0)*5</f>
        <v>70</v>
      </c>
      <c r="AY1572" s="14" t="str">
        <f>IF(AO1572&gt;0,INDEX(挂机升级突破!$DT$4:$ED$4,AO1572),"")</f>
        <v/>
      </c>
      <c r="AZ1572" s="14" t="str">
        <f>IF(AO1572&gt;0,ROUND(INDEX(挂机升级突破!$DT$6:$ED$57,卡牌消耗!AT1572,AO1572)*INDEX(卡牌消耗!$B$7:$F$7,AR1572)/$Q$4,0),"")</f>
        <v/>
      </c>
    </row>
    <row r="1573" spans="37:52" ht="16.5" x14ac:dyDescent="0.2">
      <c r="AK1573" s="193">
        <v>1569</v>
      </c>
      <c r="AL1573" s="14">
        <f t="shared" si="469"/>
        <v>31</v>
      </c>
      <c r="AM1573" s="14">
        <f>INDEX(挂机升级突破!DQ$6:DQ$57,卡牌消耗!$AT1573)</f>
        <v>11</v>
      </c>
      <c r="AN1573" s="14">
        <f>INDEX(挂机升级突破!DR$6:DR$57,卡牌消耗!$AT1573)</f>
        <v>2</v>
      </c>
      <c r="AO1573" s="14">
        <f>INDEX(挂机升级突破!DS$6:DS$57,卡牌消耗!$AT1573)</f>
        <v>0</v>
      </c>
      <c r="AP1573" s="14">
        <f>INDEX(挂机升级突破!$DP$6:$DP$57,卡牌消耗!AT1573)</f>
        <v>40</v>
      </c>
      <c r="AQ1573" s="14" t="str">
        <f t="shared" si="470"/>
        <v>SSR守护灵</v>
      </c>
      <c r="AR1573" s="14">
        <f t="shared" si="471"/>
        <v>4</v>
      </c>
      <c r="AS1573" s="14" t="str">
        <f t="shared" si="472"/>
        <v>SSR守护灵魂火-9</v>
      </c>
      <c r="AT1573" s="14">
        <f t="shared" si="473"/>
        <v>9</v>
      </c>
      <c r="AU1573" s="14" t="str">
        <f>IF(AM1573&gt;0,INDEX(挂机升级突破!$DT$4:$ED$4,AM1573),"")</f>
        <v>金币</v>
      </c>
      <c r="AV1573" s="14">
        <f>ROUND(INDEX(挂机升级突破!$DJ$6:$DJ$57,卡牌消耗!AT1573)*INDEX(卡牌消耗!$B$8:$F$8,AR1573)/$Q$4/50,0)*50</f>
        <v>2850</v>
      </c>
      <c r="AW1573" s="14" t="str">
        <f>IF(AN1573&gt;0,INDEX(挂机升级突破!$DT$4:$ED$4,AN1573),"")</f>
        <v>蓝色基础材料</v>
      </c>
      <c r="AX1573" s="14">
        <f>ROUND(INDEX(挂机升级突破!$DT$6:$ED$57,卡牌消耗!AT1573,AN1573)*INDEX(卡牌消耗!$B$5:$F$5,AR1573)/$Q$4/5,0)*5</f>
        <v>70</v>
      </c>
      <c r="AY1573" s="14" t="str">
        <f>IF(AO1573&gt;0,INDEX(挂机升级突破!$DT$4:$ED$4,AO1573),"")</f>
        <v/>
      </c>
      <c r="AZ1573" s="14" t="str">
        <f>IF(AO1573&gt;0,ROUND(INDEX(挂机升级突破!$DT$6:$ED$57,卡牌消耗!AT1573,AO1573)*INDEX(卡牌消耗!$B$7:$F$7,AR1573)/$Q$4,0),"")</f>
        <v/>
      </c>
    </row>
    <row r="1574" spans="37:52" ht="16.5" x14ac:dyDescent="0.2">
      <c r="AK1574" s="193">
        <v>1570</v>
      </c>
      <c r="AL1574" s="14">
        <f t="shared" si="469"/>
        <v>31</v>
      </c>
      <c r="AM1574" s="14">
        <f>INDEX(挂机升级突破!DQ$6:DQ$57,卡牌消耗!$AT1574)</f>
        <v>11</v>
      </c>
      <c r="AN1574" s="14">
        <f>INDEX(挂机升级突破!DR$6:DR$57,卡牌消耗!$AT1574)</f>
        <v>2</v>
      </c>
      <c r="AO1574" s="14">
        <f>INDEX(挂机升级突破!DS$6:DS$57,卡牌消耗!$AT1574)</f>
        <v>0</v>
      </c>
      <c r="AP1574" s="14">
        <f>INDEX(挂机升级突破!$DP$6:$DP$57,卡牌消耗!AT1574)</f>
        <v>43</v>
      </c>
      <c r="AQ1574" s="14" t="str">
        <f t="shared" si="470"/>
        <v>SSR守护灵</v>
      </c>
      <c r="AR1574" s="14">
        <f t="shared" si="471"/>
        <v>4</v>
      </c>
      <c r="AS1574" s="14" t="str">
        <f t="shared" si="472"/>
        <v>SSR守护灵魂火-10</v>
      </c>
      <c r="AT1574" s="14">
        <f t="shared" si="473"/>
        <v>10</v>
      </c>
      <c r="AU1574" s="14" t="str">
        <f>IF(AM1574&gt;0,INDEX(挂机升级突破!$DT$4:$ED$4,AM1574),"")</f>
        <v>金币</v>
      </c>
      <c r="AV1574" s="14">
        <f>ROUND(INDEX(挂机升级突破!$DJ$6:$DJ$57,卡牌消耗!AT1574)*INDEX(卡牌消耗!$B$8:$F$8,AR1574)/$Q$4/50,0)*50</f>
        <v>4750</v>
      </c>
      <c r="AW1574" s="14" t="str">
        <f>IF(AN1574&gt;0,INDEX(挂机升级突破!$DT$4:$ED$4,AN1574),"")</f>
        <v>蓝色基础材料</v>
      </c>
      <c r="AX1574" s="14">
        <f>ROUND(INDEX(挂机升级突破!$DT$6:$ED$57,卡牌消耗!AT1574,AN1574)*INDEX(卡牌消耗!$B$5:$F$5,AR1574)/$Q$4/5,0)*5</f>
        <v>105</v>
      </c>
      <c r="AY1574" s="14" t="str">
        <f>IF(AO1574&gt;0,INDEX(挂机升级突破!$DT$4:$ED$4,AO1574),"")</f>
        <v/>
      </c>
      <c r="AZ1574" s="14" t="str">
        <f>IF(AO1574&gt;0,ROUND(INDEX(挂机升级突破!$DT$6:$ED$57,卡牌消耗!AT1574,AO1574)*INDEX(卡牌消耗!$B$7:$F$7,AR1574)/$Q$4,0),"")</f>
        <v/>
      </c>
    </row>
    <row r="1575" spans="37:52" ht="16.5" x14ac:dyDescent="0.2">
      <c r="AK1575" s="193">
        <v>1571</v>
      </c>
      <c r="AL1575" s="14">
        <f t="shared" si="469"/>
        <v>31</v>
      </c>
      <c r="AM1575" s="14">
        <f>INDEX(挂机升级突破!DQ$6:DQ$57,卡牌消耗!$AT1575)</f>
        <v>11</v>
      </c>
      <c r="AN1575" s="14">
        <f>INDEX(挂机升级突破!DR$6:DR$57,卡牌消耗!$AT1575)</f>
        <v>2</v>
      </c>
      <c r="AO1575" s="14">
        <f>INDEX(挂机升级突破!DS$6:DS$57,卡牌消耗!$AT1575)</f>
        <v>0</v>
      </c>
      <c r="AP1575" s="14">
        <f>INDEX(挂机升级突破!$DP$6:$DP$57,卡牌消耗!AT1575)</f>
        <v>45</v>
      </c>
      <c r="AQ1575" s="14" t="str">
        <f t="shared" si="470"/>
        <v>SSR守护灵</v>
      </c>
      <c r="AR1575" s="14">
        <f t="shared" si="471"/>
        <v>4</v>
      </c>
      <c r="AS1575" s="14" t="str">
        <f t="shared" si="472"/>
        <v>SSR守护灵魂火-11</v>
      </c>
      <c r="AT1575" s="14">
        <f t="shared" si="473"/>
        <v>11</v>
      </c>
      <c r="AU1575" s="14" t="str">
        <f>IF(AM1575&gt;0,INDEX(挂机升级突破!$DT$4:$ED$4,AM1575),"")</f>
        <v>金币</v>
      </c>
      <c r="AV1575" s="14">
        <f>ROUND(INDEX(挂机升级突破!$DJ$6:$DJ$57,卡牌消耗!AT1575)*INDEX(卡牌消耗!$B$8:$F$8,AR1575)/$Q$4/50,0)*50</f>
        <v>4750</v>
      </c>
      <c r="AW1575" s="14" t="str">
        <f>IF(AN1575&gt;0,INDEX(挂机升级突破!$DT$4:$ED$4,AN1575),"")</f>
        <v>蓝色基础材料</v>
      </c>
      <c r="AX1575" s="14">
        <f>ROUND(INDEX(挂机升级突破!$DT$6:$ED$57,卡牌消耗!AT1575,AN1575)*INDEX(卡牌消耗!$B$5:$F$5,AR1575)/$Q$4/5,0)*5</f>
        <v>105</v>
      </c>
      <c r="AY1575" s="14" t="str">
        <f>IF(AO1575&gt;0,INDEX(挂机升级突破!$DT$4:$ED$4,AO1575),"")</f>
        <v/>
      </c>
      <c r="AZ1575" s="14" t="str">
        <f>IF(AO1575&gt;0,ROUND(INDEX(挂机升级突破!$DT$6:$ED$57,卡牌消耗!AT1575,AO1575)*INDEX(卡牌消耗!$B$7:$F$7,AR1575)/$Q$4,0),"")</f>
        <v/>
      </c>
    </row>
    <row r="1576" spans="37:52" ht="16.5" x14ac:dyDescent="0.2">
      <c r="AK1576" s="193">
        <v>1572</v>
      </c>
      <c r="AL1576" s="14">
        <f t="shared" si="469"/>
        <v>31</v>
      </c>
      <c r="AM1576" s="14">
        <f>INDEX(挂机升级突破!DQ$6:DQ$57,卡牌消耗!$AT1576)</f>
        <v>11</v>
      </c>
      <c r="AN1576" s="14">
        <f>INDEX(挂机升级突破!DR$6:DR$57,卡牌消耗!$AT1576)</f>
        <v>2</v>
      </c>
      <c r="AO1576" s="14">
        <f>INDEX(挂机升级突破!DS$6:DS$57,卡牌消耗!$AT1576)</f>
        <v>0</v>
      </c>
      <c r="AP1576" s="14">
        <f>INDEX(挂机升级突破!$DP$6:$DP$57,卡牌消耗!AT1576)</f>
        <v>48</v>
      </c>
      <c r="AQ1576" s="14" t="str">
        <f t="shared" si="470"/>
        <v>SSR守护灵</v>
      </c>
      <c r="AR1576" s="14">
        <f t="shared" si="471"/>
        <v>4</v>
      </c>
      <c r="AS1576" s="14" t="str">
        <f t="shared" si="472"/>
        <v>SSR守护灵魂火-12</v>
      </c>
      <c r="AT1576" s="14">
        <f t="shared" si="473"/>
        <v>12</v>
      </c>
      <c r="AU1576" s="14" t="str">
        <f>IF(AM1576&gt;0,INDEX(挂机升级突破!$DT$4:$ED$4,AM1576),"")</f>
        <v>金币</v>
      </c>
      <c r="AV1576" s="14">
        <f>ROUND(INDEX(挂机升级突破!$DJ$6:$DJ$57,卡牌消耗!AT1576)*INDEX(卡牌消耗!$B$8:$F$8,AR1576)/$Q$4/50,0)*50</f>
        <v>4100</v>
      </c>
      <c r="AW1576" s="14" t="str">
        <f>IF(AN1576&gt;0,INDEX(挂机升级突破!$DT$4:$ED$4,AN1576),"")</f>
        <v>蓝色基础材料</v>
      </c>
      <c r="AX1576" s="14">
        <f>ROUND(INDEX(挂机升级突破!$DT$6:$ED$57,卡牌消耗!AT1576,AN1576)*INDEX(卡牌消耗!$B$5:$F$5,AR1576)/$Q$4/5,0)*5</f>
        <v>140</v>
      </c>
      <c r="AY1576" s="14" t="str">
        <f>IF(AO1576&gt;0,INDEX(挂机升级突破!$DT$4:$ED$4,AO1576),"")</f>
        <v/>
      </c>
      <c r="AZ1576" s="14" t="str">
        <f>IF(AO1576&gt;0,ROUND(INDEX(挂机升级突破!$DT$6:$ED$57,卡牌消耗!AT1576,AO1576)*INDEX(卡牌消耗!$B$7:$F$7,AR1576)/$Q$4,0),"")</f>
        <v/>
      </c>
    </row>
    <row r="1577" spans="37:52" ht="16.5" x14ac:dyDescent="0.2">
      <c r="AK1577" s="193">
        <v>1573</v>
      </c>
      <c r="AL1577" s="14">
        <f t="shared" si="469"/>
        <v>31</v>
      </c>
      <c r="AM1577" s="14">
        <f>INDEX(挂机升级突破!DQ$6:DQ$57,卡牌消耗!$AT1577)</f>
        <v>11</v>
      </c>
      <c r="AN1577" s="14">
        <f>INDEX(挂机升级突破!DR$6:DR$57,卡牌消耗!$AT1577)</f>
        <v>2</v>
      </c>
      <c r="AO1577" s="14">
        <f>INDEX(挂机升级突破!DS$6:DS$57,卡牌消耗!$AT1577)</f>
        <v>0</v>
      </c>
      <c r="AP1577" s="14">
        <f>INDEX(挂机升级突破!$DP$6:$DP$57,卡牌消耗!AT1577)</f>
        <v>50</v>
      </c>
      <c r="AQ1577" s="14" t="str">
        <f t="shared" si="470"/>
        <v>SSR守护灵</v>
      </c>
      <c r="AR1577" s="14">
        <f t="shared" si="471"/>
        <v>4</v>
      </c>
      <c r="AS1577" s="14" t="str">
        <f t="shared" si="472"/>
        <v>SSR守护灵魂火-13</v>
      </c>
      <c r="AT1577" s="14">
        <f t="shared" si="473"/>
        <v>13</v>
      </c>
      <c r="AU1577" s="14" t="str">
        <f>IF(AM1577&gt;0,INDEX(挂机升级突破!$DT$4:$ED$4,AM1577),"")</f>
        <v>金币</v>
      </c>
      <c r="AV1577" s="14">
        <f>ROUND(INDEX(挂机升级突破!$DJ$6:$DJ$57,卡牌消耗!AT1577)*INDEX(卡牌消耗!$B$8:$F$8,AR1577)/$Q$4/50,0)*50</f>
        <v>4100</v>
      </c>
      <c r="AW1577" s="14" t="str">
        <f>IF(AN1577&gt;0,INDEX(挂机升级突破!$DT$4:$ED$4,AN1577),"")</f>
        <v>蓝色基础材料</v>
      </c>
      <c r="AX1577" s="14">
        <f>ROUND(INDEX(挂机升级突破!$DT$6:$ED$57,卡牌消耗!AT1577,AN1577)*INDEX(卡牌消耗!$B$5:$F$5,AR1577)/$Q$4/5,0)*5</f>
        <v>140</v>
      </c>
      <c r="AY1577" s="14" t="str">
        <f>IF(AO1577&gt;0,INDEX(挂机升级突破!$DT$4:$ED$4,AO1577),"")</f>
        <v/>
      </c>
      <c r="AZ1577" s="14" t="str">
        <f>IF(AO1577&gt;0,ROUND(INDEX(挂机升级突破!$DT$6:$ED$57,卡牌消耗!AT1577,AO1577)*INDEX(卡牌消耗!$B$7:$F$7,AR1577)/$Q$4,0),"")</f>
        <v/>
      </c>
    </row>
    <row r="1578" spans="37:52" ht="16.5" x14ac:dyDescent="0.2">
      <c r="AK1578" s="193">
        <v>1574</v>
      </c>
      <c r="AL1578" s="14">
        <f t="shared" si="469"/>
        <v>31</v>
      </c>
      <c r="AM1578" s="14">
        <f>INDEX(挂机升级突破!DQ$6:DQ$57,卡牌消耗!$AT1578)</f>
        <v>11</v>
      </c>
      <c r="AN1578" s="14">
        <f>INDEX(挂机升级突破!DR$6:DR$57,卡牌消耗!$AT1578)</f>
        <v>3</v>
      </c>
      <c r="AO1578" s="14">
        <f>INDEX(挂机升级突破!DS$6:DS$57,卡牌消耗!$AT1578)</f>
        <v>0</v>
      </c>
      <c r="AP1578" s="14">
        <f>INDEX(挂机升级突破!$DP$6:$DP$57,卡牌消耗!AT1578)</f>
        <v>53</v>
      </c>
      <c r="AQ1578" s="14" t="str">
        <f t="shared" si="470"/>
        <v>SSR守护灵</v>
      </c>
      <c r="AR1578" s="14">
        <f t="shared" si="471"/>
        <v>4</v>
      </c>
      <c r="AS1578" s="14" t="str">
        <f t="shared" si="472"/>
        <v>SSR守护灵魂火-14</v>
      </c>
      <c r="AT1578" s="14">
        <f t="shared" si="473"/>
        <v>14</v>
      </c>
      <c r="AU1578" s="14" t="str">
        <f>IF(AM1578&gt;0,INDEX(挂机升级突破!$DT$4:$ED$4,AM1578),"")</f>
        <v>金币</v>
      </c>
      <c r="AV1578" s="14">
        <f>ROUND(INDEX(挂机升级突破!$DJ$6:$DJ$57,卡牌消耗!AT1578)*INDEX(卡牌消耗!$B$8:$F$8,AR1578)/$Q$4/50,0)*50</f>
        <v>4500</v>
      </c>
      <c r="AW1578" s="14" t="str">
        <f>IF(AN1578&gt;0,INDEX(挂机升级突破!$DT$4:$ED$4,AN1578),"")</f>
        <v>紫色基础材料</v>
      </c>
      <c r="AX1578" s="14">
        <f>ROUND(INDEX(挂机升级突破!$DT$6:$ED$57,卡牌消耗!AT1578,AN1578)*INDEX(卡牌消耗!$B$5:$F$5,AR1578)/$Q$4/5,0)*5</f>
        <v>30</v>
      </c>
      <c r="AY1578" s="14" t="str">
        <f>IF(AO1578&gt;0,INDEX(挂机升级突破!$DT$4:$ED$4,AO1578),"")</f>
        <v/>
      </c>
      <c r="AZ1578" s="14" t="str">
        <f>IF(AO1578&gt;0,ROUND(INDEX(挂机升级突破!$DT$6:$ED$57,卡牌消耗!AT1578,AO1578)*INDEX(卡牌消耗!$B$7:$F$7,AR1578)/$Q$4,0),"")</f>
        <v/>
      </c>
    </row>
    <row r="1579" spans="37:52" ht="16.5" x14ac:dyDescent="0.2">
      <c r="AK1579" s="193">
        <v>1575</v>
      </c>
      <c r="AL1579" s="14">
        <f t="shared" si="469"/>
        <v>31</v>
      </c>
      <c r="AM1579" s="14">
        <f>INDEX(挂机升级突破!DQ$6:DQ$57,卡牌消耗!$AT1579)</f>
        <v>11</v>
      </c>
      <c r="AN1579" s="14">
        <f>INDEX(挂机升级突破!DR$6:DR$57,卡牌消耗!$AT1579)</f>
        <v>3</v>
      </c>
      <c r="AO1579" s="14">
        <f>INDEX(挂机升级突破!DS$6:DS$57,卡牌消耗!$AT1579)</f>
        <v>0</v>
      </c>
      <c r="AP1579" s="14">
        <f>INDEX(挂机升级突破!$DP$6:$DP$57,卡牌消耗!AT1579)</f>
        <v>55</v>
      </c>
      <c r="AQ1579" s="14" t="str">
        <f t="shared" si="470"/>
        <v>SSR守护灵</v>
      </c>
      <c r="AR1579" s="14">
        <f t="shared" si="471"/>
        <v>4</v>
      </c>
      <c r="AS1579" s="14" t="str">
        <f t="shared" si="472"/>
        <v>SSR守护灵魂火-15</v>
      </c>
      <c r="AT1579" s="14">
        <f t="shared" si="473"/>
        <v>15</v>
      </c>
      <c r="AU1579" s="14" t="str">
        <f>IF(AM1579&gt;0,INDEX(挂机升级突破!$DT$4:$ED$4,AM1579),"")</f>
        <v>金币</v>
      </c>
      <c r="AV1579" s="14">
        <f>ROUND(INDEX(挂机升级突破!$DJ$6:$DJ$57,卡牌消耗!AT1579)*INDEX(卡牌消耗!$B$8:$F$8,AR1579)/$Q$4/50,0)*50</f>
        <v>4900</v>
      </c>
      <c r="AW1579" s="14" t="str">
        <f>IF(AN1579&gt;0,INDEX(挂机升级突破!$DT$4:$ED$4,AN1579),"")</f>
        <v>紫色基础材料</v>
      </c>
      <c r="AX1579" s="14">
        <f>ROUND(INDEX(挂机升级突破!$DT$6:$ED$57,卡牌消耗!AT1579,AN1579)*INDEX(卡牌消耗!$B$5:$F$5,AR1579)/$Q$4/5,0)*5</f>
        <v>30</v>
      </c>
      <c r="AY1579" s="14" t="str">
        <f>IF(AO1579&gt;0,INDEX(挂机升级突破!$DT$4:$ED$4,AO1579),"")</f>
        <v/>
      </c>
      <c r="AZ1579" s="14" t="str">
        <f>IF(AO1579&gt;0,ROUND(INDEX(挂机升级突破!$DT$6:$ED$57,卡牌消耗!AT1579,AO1579)*INDEX(卡牌消耗!$B$7:$F$7,AR1579)/$Q$4,0),"")</f>
        <v/>
      </c>
    </row>
    <row r="1580" spans="37:52" ht="16.5" x14ac:dyDescent="0.2">
      <c r="AK1580" s="193">
        <v>1576</v>
      </c>
      <c r="AL1580" s="14">
        <f t="shared" si="469"/>
        <v>31</v>
      </c>
      <c r="AM1580" s="14">
        <f>INDEX(挂机升级突破!DQ$6:DQ$57,卡牌消耗!$AT1580)</f>
        <v>11</v>
      </c>
      <c r="AN1580" s="14">
        <f>INDEX(挂机升级突破!DR$6:DR$57,卡牌消耗!$AT1580)</f>
        <v>3</v>
      </c>
      <c r="AO1580" s="14">
        <f>INDEX(挂机升级突破!DS$6:DS$57,卡牌消耗!$AT1580)</f>
        <v>0</v>
      </c>
      <c r="AP1580" s="14">
        <f>INDEX(挂机升级突破!$DP$6:$DP$57,卡牌消耗!AT1580)</f>
        <v>58</v>
      </c>
      <c r="AQ1580" s="14" t="str">
        <f t="shared" si="470"/>
        <v>SSR守护灵</v>
      </c>
      <c r="AR1580" s="14">
        <f t="shared" si="471"/>
        <v>4</v>
      </c>
      <c r="AS1580" s="14" t="str">
        <f t="shared" si="472"/>
        <v>SSR守护灵魂火-16</v>
      </c>
      <c r="AT1580" s="14">
        <f t="shared" si="473"/>
        <v>16</v>
      </c>
      <c r="AU1580" s="14" t="str">
        <f>IF(AM1580&gt;0,INDEX(挂机升级突破!$DT$4:$ED$4,AM1580),"")</f>
        <v>金币</v>
      </c>
      <c r="AV1580" s="14">
        <f>ROUND(INDEX(挂机升级突破!$DJ$6:$DJ$57,卡牌消耗!AT1580)*INDEX(卡牌消耗!$B$8:$F$8,AR1580)/$Q$4/50,0)*50</f>
        <v>4900</v>
      </c>
      <c r="AW1580" s="14" t="str">
        <f>IF(AN1580&gt;0,INDEX(挂机升级突破!$DT$4:$ED$4,AN1580),"")</f>
        <v>紫色基础材料</v>
      </c>
      <c r="AX1580" s="14">
        <f>ROUND(INDEX(挂机升级突破!$DT$6:$ED$57,卡牌消耗!AT1580,AN1580)*INDEX(卡牌消耗!$B$5:$F$5,AR1580)/$Q$4/5,0)*5</f>
        <v>30</v>
      </c>
      <c r="AY1580" s="14" t="str">
        <f>IF(AO1580&gt;0,INDEX(挂机升级突破!$DT$4:$ED$4,AO1580),"")</f>
        <v/>
      </c>
      <c r="AZ1580" s="14" t="str">
        <f>IF(AO1580&gt;0,ROUND(INDEX(挂机升级突破!$DT$6:$ED$57,卡牌消耗!AT1580,AO1580)*INDEX(卡牌消耗!$B$7:$F$7,AR1580)/$Q$4,0),"")</f>
        <v/>
      </c>
    </row>
    <row r="1581" spans="37:52" ht="16.5" x14ac:dyDescent="0.2">
      <c r="AK1581" s="193">
        <v>1577</v>
      </c>
      <c r="AL1581" s="14">
        <f t="shared" si="469"/>
        <v>31</v>
      </c>
      <c r="AM1581" s="14">
        <f>INDEX(挂机升级突破!DQ$6:DQ$57,卡牌消耗!$AT1581)</f>
        <v>11</v>
      </c>
      <c r="AN1581" s="14">
        <f>INDEX(挂机升级突破!DR$6:DR$57,卡牌消耗!$AT1581)</f>
        <v>3</v>
      </c>
      <c r="AO1581" s="14">
        <f>INDEX(挂机升级突破!DS$6:DS$57,卡牌消耗!$AT1581)</f>
        <v>0</v>
      </c>
      <c r="AP1581" s="14">
        <f>INDEX(挂机升级突破!$DP$6:$DP$57,卡牌消耗!AT1581)</f>
        <v>60</v>
      </c>
      <c r="AQ1581" s="14" t="str">
        <f t="shared" si="470"/>
        <v>SSR守护灵</v>
      </c>
      <c r="AR1581" s="14">
        <f t="shared" si="471"/>
        <v>4</v>
      </c>
      <c r="AS1581" s="14" t="str">
        <f t="shared" si="472"/>
        <v>SSR守护灵魂火-17</v>
      </c>
      <c r="AT1581" s="14">
        <f t="shared" si="473"/>
        <v>17</v>
      </c>
      <c r="AU1581" s="14" t="str">
        <f>IF(AM1581&gt;0,INDEX(挂机升级突破!$DT$4:$ED$4,AM1581),"")</f>
        <v>金币</v>
      </c>
      <c r="AV1581" s="14">
        <f>ROUND(INDEX(挂机升级突破!$DJ$6:$DJ$57,卡牌消耗!AT1581)*INDEX(卡牌消耗!$B$8:$F$8,AR1581)/$Q$4/50,0)*50</f>
        <v>6150</v>
      </c>
      <c r="AW1581" s="14" t="str">
        <f>IF(AN1581&gt;0,INDEX(挂机升级突破!$DT$4:$ED$4,AN1581),"")</f>
        <v>紫色基础材料</v>
      </c>
      <c r="AX1581" s="14">
        <f>ROUND(INDEX(挂机升级突破!$DT$6:$ED$57,卡牌消耗!AT1581,AN1581)*INDEX(卡牌消耗!$B$5:$F$5,AR1581)/$Q$4/5,0)*5</f>
        <v>55</v>
      </c>
      <c r="AY1581" s="14" t="str">
        <f>IF(AO1581&gt;0,INDEX(挂机升级突破!$DT$4:$ED$4,AO1581),"")</f>
        <v/>
      </c>
      <c r="AZ1581" s="14" t="str">
        <f>IF(AO1581&gt;0,ROUND(INDEX(挂机升级突破!$DT$6:$ED$57,卡牌消耗!AT1581,AO1581)*INDEX(卡牌消耗!$B$7:$F$7,AR1581)/$Q$4,0),"")</f>
        <v/>
      </c>
    </row>
    <row r="1582" spans="37:52" ht="16.5" x14ac:dyDescent="0.2">
      <c r="AK1582" s="193">
        <v>1578</v>
      </c>
      <c r="AL1582" s="14">
        <f t="shared" si="469"/>
        <v>31</v>
      </c>
      <c r="AM1582" s="14">
        <f>INDEX(挂机升级突破!DQ$6:DQ$57,卡牌消耗!$AT1582)</f>
        <v>11</v>
      </c>
      <c r="AN1582" s="14">
        <f>INDEX(挂机升级突破!DR$6:DR$57,卡牌消耗!$AT1582)</f>
        <v>3</v>
      </c>
      <c r="AO1582" s="14">
        <f>INDEX(挂机升级突破!DS$6:DS$57,卡牌消耗!$AT1582)</f>
        <v>0</v>
      </c>
      <c r="AP1582" s="14">
        <f>INDEX(挂机升级突破!$DP$6:$DP$57,卡牌消耗!AT1582)</f>
        <v>63</v>
      </c>
      <c r="AQ1582" s="14" t="str">
        <f t="shared" si="470"/>
        <v>SSR守护灵</v>
      </c>
      <c r="AR1582" s="14">
        <f t="shared" si="471"/>
        <v>4</v>
      </c>
      <c r="AS1582" s="14" t="str">
        <f t="shared" si="472"/>
        <v>SSR守护灵魂火-18</v>
      </c>
      <c r="AT1582" s="14">
        <f t="shared" si="473"/>
        <v>18</v>
      </c>
      <c r="AU1582" s="14" t="str">
        <f>IF(AM1582&gt;0,INDEX(挂机升级突破!$DT$4:$ED$4,AM1582),"")</f>
        <v>金币</v>
      </c>
      <c r="AV1582" s="14">
        <f>ROUND(INDEX(挂机升级突破!$DJ$6:$DJ$57,卡牌消耗!AT1582)*INDEX(卡牌消耗!$B$8:$F$8,AR1582)/$Q$4/50,0)*50</f>
        <v>6150</v>
      </c>
      <c r="AW1582" s="14" t="str">
        <f>IF(AN1582&gt;0,INDEX(挂机升级突破!$DT$4:$ED$4,AN1582),"")</f>
        <v>紫色基础材料</v>
      </c>
      <c r="AX1582" s="14">
        <f>ROUND(INDEX(挂机升级突破!$DT$6:$ED$57,卡牌消耗!AT1582,AN1582)*INDEX(卡牌消耗!$B$5:$F$5,AR1582)/$Q$4/5,0)*5</f>
        <v>55</v>
      </c>
      <c r="AY1582" s="14" t="str">
        <f>IF(AO1582&gt;0,INDEX(挂机升级突破!$DT$4:$ED$4,AO1582),"")</f>
        <v/>
      </c>
      <c r="AZ1582" s="14" t="str">
        <f>IF(AO1582&gt;0,ROUND(INDEX(挂机升级突破!$DT$6:$ED$57,卡牌消耗!AT1582,AO1582)*INDEX(卡牌消耗!$B$7:$F$7,AR1582)/$Q$4,0),"")</f>
        <v/>
      </c>
    </row>
    <row r="1583" spans="37:52" ht="16.5" x14ac:dyDescent="0.2">
      <c r="AK1583" s="193">
        <v>1579</v>
      </c>
      <c r="AL1583" s="14">
        <f t="shared" si="469"/>
        <v>31</v>
      </c>
      <c r="AM1583" s="14">
        <f>INDEX(挂机升级突破!DQ$6:DQ$57,卡牌消耗!$AT1583)</f>
        <v>11</v>
      </c>
      <c r="AN1583" s="14">
        <f>INDEX(挂机升级突破!DR$6:DR$57,卡牌消耗!$AT1583)</f>
        <v>3</v>
      </c>
      <c r="AO1583" s="14">
        <f>INDEX(挂机升级突破!DS$6:DS$57,卡牌消耗!$AT1583)</f>
        <v>0</v>
      </c>
      <c r="AP1583" s="14">
        <f>INDEX(挂机升级突破!$DP$6:$DP$57,卡牌消耗!AT1583)</f>
        <v>65</v>
      </c>
      <c r="AQ1583" s="14" t="str">
        <f t="shared" si="470"/>
        <v>SSR守护灵</v>
      </c>
      <c r="AR1583" s="14">
        <f t="shared" si="471"/>
        <v>4</v>
      </c>
      <c r="AS1583" s="14" t="str">
        <f t="shared" si="472"/>
        <v>SSR守护灵魂火-19</v>
      </c>
      <c r="AT1583" s="14">
        <f t="shared" si="473"/>
        <v>19</v>
      </c>
      <c r="AU1583" s="14" t="str">
        <f>IF(AM1583&gt;0,INDEX(挂机升级突破!$DT$4:$ED$4,AM1583),"")</f>
        <v>金币</v>
      </c>
      <c r="AV1583" s="14">
        <f>ROUND(INDEX(挂机升级突破!$DJ$6:$DJ$57,卡牌消耗!AT1583)*INDEX(卡牌消耗!$B$8:$F$8,AR1583)/$Q$4/50,0)*50</f>
        <v>6150</v>
      </c>
      <c r="AW1583" s="14" t="str">
        <f>IF(AN1583&gt;0,INDEX(挂机升级突破!$DT$4:$ED$4,AN1583),"")</f>
        <v>紫色基础材料</v>
      </c>
      <c r="AX1583" s="14">
        <f>ROUND(INDEX(挂机升级突破!$DT$6:$ED$57,卡牌消耗!AT1583,AN1583)*INDEX(卡牌消耗!$B$5:$F$5,AR1583)/$Q$4/5,0)*5</f>
        <v>55</v>
      </c>
      <c r="AY1583" s="14" t="str">
        <f>IF(AO1583&gt;0,INDEX(挂机升级突破!$DT$4:$ED$4,AO1583),"")</f>
        <v/>
      </c>
      <c r="AZ1583" s="14" t="str">
        <f>IF(AO1583&gt;0,ROUND(INDEX(挂机升级突破!$DT$6:$ED$57,卡牌消耗!AT1583,AO1583)*INDEX(卡牌消耗!$B$7:$F$7,AR1583)/$Q$4,0),"")</f>
        <v/>
      </c>
    </row>
    <row r="1584" spans="37:52" ht="16.5" x14ac:dyDescent="0.2">
      <c r="AK1584" s="193">
        <v>1580</v>
      </c>
      <c r="AL1584" s="14">
        <f t="shared" si="469"/>
        <v>31</v>
      </c>
      <c r="AM1584" s="14">
        <f>INDEX(挂机升级突破!DQ$6:DQ$57,卡牌消耗!$AT1584)</f>
        <v>11</v>
      </c>
      <c r="AN1584" s="14">
        <f>INDEX(挂机升级突破!DR$6:DR$57,卡牌消耗!$AT1584)</f>
        <v>3</v>
      </c>
      <c r="AO1584" s="14">
        <f>INDEX(挂机升级突破!DS$6:DS$57,卡牌消耗!$AT1584)</f>
        <v>0</v>
      </c>
      <c r="AP1584" s="14">
        <f>INDEX(挂机升级突破!$DP$6:$DP$57,卡牌消耗!AT1584)</f>
        <v>68</v>
      </c>
      <c r="AQ1584" s="14" t="str">
        <f t="shared" si="470"/>
        <v>SSR守护灵</v>
      </c>
      <c r="AR1584" s="14">
        <f t="shared" si="471"/>
        <v>4</v>
      </c>
      <c r="AS1584" s="14" t="str">
        <f t="shared" si="472"/>
        <v>SSR守护灵魂火-20</v>
      </c>
      <c r="AT1584" s="14">
        <f t="shared" si="473"/>
        <v>20</v>
      </c>
      <c r="AU1584" s="14" t="str">
        <f>IF(AM1584&gt;0,INDEX(挂机升级突破!$DT$4:$ED$4,AM1584),"")</f>
        <v>金币</v>
      </c>
      <c r="AV1584" s="14">
        <f>ROUND(INDEX(挂机升级突破!$DJ$6:$DJ$57,卡牌消耗!AT1584)*INDEX(卡牌消耗!$B$8:$F$8,AR1584)/$Q$4/50,0)*50</f>
        <v>7550</v>
      </c>
      <c r="AW1584" s="14" t="str">
        <f>IF(AN1584&gt;0,INDEX(挂机升级突破!$DT$4:$ED$4,AN1584),"")</f>
        <v>紫色基础材料</v>
      </c>
      <c r="AX1584" s="14">
        <f>ROUND(INDEX(挂机升级突破!$DT$6:$ED$57,卡牌消耗!AT1584,AN1584)*INDEX(卡牌消耗!$B$5:$F$5,AR1584)/$Q$4/5,0)*5</f>
        <v>85</v>
      </c>
      <c r="AY1584" s="14" t="str">
        <f>IF(AO1584&gt;0,INDEX(挂机升级突破!$DT$4:$ED$4,AO1584),"")</f>
        <v/>
      </c>
      <c r="AZ1584" s="14" t="str">
        <f>IF(AO1584&gt;0,ROUND(INDEX(挂机升级突破!$DT$6:$ED$57,卡牌消耗!AT1584,AO1584)*INDEX(卡牌消耗!$B$7:$F$7,AR1584)/$Q$4,0),"")</f>
        <v/>
      </c>
    </row>
    <row r="1585" spans="37:52" ht="16.5" x14ac:dyDescent="0.2">
      <c r="AK1585" s="193">
        <v>1581</v>
      </c>
      <c r="AL1585" s="14">
        <f t="shared" si="469"/>
        <v>31</v>
      </c>
      <c r="AM1585" s="14">
        <f>INDEX(挂机升级突破!DQ$6:DQ$57,卡牌消耗!$AT1585)</f>
        <v>11</v>
      </c>
      <c r="AN1585" s="14">
        <f>INDEX(挂机升级突破!DR$6:DR$57,卡牌消耗!$AT1585)</f>
        <v>3</v>
      </c>
      <c r="AO1585" s="14">
        <f>INDEX(挂机升级突破!DS$6:DS$57,卡牌消耗!$AT1585)</f>
        <v>0</v>
      </c>
      <c r="AP1585" s="14">
        <f>INDEX(挂机升级突破!$DP$6:$DP$57,卡牌消耗!AT1585)</f>
        <v>70</v>
      </c>
      <c r="AQ1585" s="14" t="str">
        <f t="shared" si="470"/>
        <v>SSR守护灵</v>
      </c>
      <c r="AR1585" s="14">
        <f t="shared" si="471"/>
        <v>4</v>
      </c>
      <c r="AS1585" s="14" t="str">
        <f t="shared" si="472"/>
        <v>SSR守护灵魂火-21</v>
      </c>
      <c r="AT1585" s="14">
        <f t="shared" si="473"/>
        <v>21</v>
      </c>
      <c r="AU1585" s="14" t="str">
        <f>IF(AM1585&gt;0,INDEX(挂机升级突破!$DT$4:$ED$4,AM1585),"")</f>
        <v>金币</v>
      </c>
      <c r="AV1585" s="14">
        <f>ROUND(INDEX(挂机升级突破!$DJ$6:$DJ$57,卡牌消耗!AT1585)*INDEX(卡牌消耗!$B$8:$F$8,AR1585)/$Q$4/50,0)*50</f>
        <v>7550</v>
      </c>
      <c r="AW1585" s="14" t="str">
        <f>IF(AN1585&gt;0,INDEX(挂机升级突破!$DT$4:$ED$4,AN1585),"")</f>
        <v>紫色基础材料</v>
      </c>
      <c r="AX1585" s="14">
        <f>ROUND(INDEX(挂机升级突破!$DT$6:$ED$57,卡牌消耗!AT1585,AN1585)*INDEX(卡牌消耗!$B$5:$F$5,AR1585)/$Q$4/5,0)*5</f>
        <v>85</v>
      </c>
      <c r="AY1585" s="14" t="str">
        <f>IF(AO1585&gt;0,INDEX(挂机升级突破!$DT$4:$ED$4,AO1585),"")</f>
        <v/>
      </c>
      <c r="AZ1585" s="14" t="str">
        <f>IF(AO1585&gt;0,ROUND(INDEX(挂机升级突破!$DT$6:$ED$57,卡牌消耗!AT1585,AO1585)*INDEX(卡牌消耗!$B$7:$F$7,AR1585)/$Q$4,0),"")</f>
        <v/>
      </c>
    </row>
    <row r="1586" spans="37:52" ht="16.5" x14ac:dyDescent="0.2">
      <c r="AK1586" s="193">
        <v>1582</v>
      </c>
      <c r="AL1586" s="14">
        <f t="shared" si="469"/>
        <v>31</v>
      </c>
      <c r="AM1586" s="14">
        <f>INDEX(挂机升级突破!DQ$6:DQ$57,卡牌消耗!$AT1586)</f>
        <v>11</v>
      </c>
      <c r="AN1586" s="14">
        <f>INDEX(挂机升级突破!DR$6:DR$57,卡牌消耗!$AT1586)</f>
        <v>3</v>
      </c>
      <c r="AO1586" s="14">
        <f>INDEX(挂机升级突破!DS$6:DS$57,卡牌消耗!$AT1586)</f>
        <v>0</v>
      </c>
      <c r="AP1586" s="14">
        <f>INDEX(挂机升级突破!$DP$6:$DP$57,卡牌消耗!AT1586)</f>
        <v>73</v>
      </c>
      <c r="AQ1586" s="14" t="str">
        <f t="shared" si="470"/>
        <v>SSR守护灵</v>
      </c>
      <c r="AR1586" s="14">
        <f t="shared" si="471"/>
        <v>4</v>
      </c>
      <c r="AS1586" s="14" t="str">
        <f t="shared" si="472"/>
        <v>SSR守护灵魂火-22</v>
      </c>
      <c r="AT1586" s="14">
        <f t="shared" si="473"/>
        <v>22</v>
      </c>
      <c r="AU1586" s="14" t="str">
        <f>IF(AM1586&gt;0,INDEX(挂机升级突破!$DT$4:$ED$4,AM1586),"")</f>
        <v>金币</v>
      </c>
      <c r="AV1586" s="14">
        <f>ROUND(INDEX(挂机升级突破!$DJ$6:$DJ$57,卡牌消耗!AT1586)*INDEX(卡牌消耗!$B$8:$F$8,AR1586)/$Q$4/50,0)*50</f>
        <v>7550</v>
      </c>
      <c r="AW1586" s="14" t="str">
        <f>IF(AN1586&gt;0,INDEX(挂机升级突破!$DT$4:$ED$4,AN1586),"")</f>
        <v>紫色基础材料</v>
      </c>
      <c r="AX1586" s="14">
        <f>ROUND(INDEX(挂机升级突破!$DT$6:$ED$57,卡牌消耗!AT1586,AN1586)*INDEX(卡牌消耗!$B$5:$F$5,AR1586)/$Q$4/5,0)*5</f>
        <v>85</v>
      </c>
      <c r="AY1586" s="14" t="str">
        <f>IF(AO1586&gt;0,INDEX(挂机升级突破!$DT$4:$ED$4,AO1586),"")</f>
        <v/>
      </c>
      <c r="AZ1586" s="14" t="str">
        <f>IF(AO1586&gt;0,ROUND(INDEX(挂机升级突破!$DT$6:$ED$57,卡牌消耗!AT1586,AO1586)*INDEX(卡牌消耗!$B$7:$F$7,AR1586)/$Q$4,0),"")</f>
        <v/>
      </c>
    </row>
    <row r="1587" spans="37:52" ht="16.5" x14ac:dyDescent="0.2">
      <c r="AK1587" s="193">
        <v>1583</v>
      </c>
      <c r="AL1587" s="14">
        <f t="shared" si="469"/>
        <v>31</v>
      </c>
      <c r="AM1587" s="14">
        <f>INDEX(挂机升级突破!DQ$6:DQ$57,卡牌消耗!$AT1587)</f>
        <v>11</v>
      </c>
      <c r="AN1587" s="14">
        <f>INDEX(挂机升级突破!DR$6:DR$57,卡牌消耗!$AT1587)</f>
        <v>4</v>
      </c>
      <c r="AO1587" s="14">
        <f>INDEX(挂机升级突破!DS$6:DS$57,卡牌消耗!$AT1587)</f>
        <v>0</v>
      </c>
      <c r="AP1587" s="14">
        <f>INDEX(挂机升级突破!$DP$6:$DP$57,卡牌消耗!AT1587)</f>
        <v>75</v>
      </c>
      <c r="AQ1587" s="14" t="str">
        <f t="shared" si="470"/>
        <v>SSR守护灵</v>
      </c>
      <c r="AR1587" s="14">
        <f t="shared" si="471"/>
        <v>4</v>
      </c>
      <c r="AS1587" s="14" t="str">
        <f t="shared" si="472"/>
        <v>SSR守护灵魂火-23</v>
      </c>
      <c r="AT1587" s="14">
        <f t="shared" si="473"/>
        <v>23</v>
      </c>
      <c r="AU1587" s="14" t="str">
        <f>IF(AM1587&gt;0,INDEX(挂机升级突破!$DT$4:$ED$4,AM1587),"")</f>
        <v>金币</v>
      </c>
      <c r="AV1587" s="14">
        <f>ROUND(INDEX(挂机升级突破!$DJ$6:$DJ$57,卡牌消耗!AT1587)*INDEX(卡牌消耗!$B$8:$F$8,AR1587)/$Q$4/50,0)*50</f>
        <v>10350</v>
      </c>
      <c r="AW1587" s="14" t="str">
        <f>IF(AN1587&gt;0,INDEX(挂机升级突破!$DT$4:$ED$4,AN1587),"")</f>
        <v>橙色基础材料</v>
      </c>
      <c r="AX1587" s="14">
        <f>ROUND(INDEX(挂机升级突破!$DT$6:$ED$57,卡牌消耗!AT1587,AN1587)*INDEX(卡牌消耗!$B$5:$F$5,AR1587)/$Q$4/5,0)*5</f>
        <v>25</v>
      </c>
      <c r="AY1587" s="14" t="str">
        <f>IF(AO1587&gt;0,INDEX(挂机升级突破!$DT$4:$ED$4,AO1587),"")</f>
        <v/>
      </c>
      <c r="AZ1587" s="14" t="str">
        <f>IF(AO1587&gt;0,ROUND(INDEX(挂机升级突破!$DT$6:$ED$57,卡牌消耗!AT1587,AO1587)*INDEX(卡牌消耗!$B$7:$F$7,AR1587)/$Q$4,0),"")</f>
        <v/>
      </c>
    </row>
    <row r="1588" spans="37:52" ht="16.5" x14ac:dyDescent="0.2">
      <c r="AK1588" s="193">
        <v>1584</v>
      </c>
      <c r="AL1588" s="14">
        <f t="shared" si="469"/>
        <v>31</v>
      </c>
      <c r="AM1588" s="14">
        <f>INDEX(挂机升级突破!DQ$6:DQ$57,卡牌消耗!$AT1588)</f>
        <v>11</v>
      </c>
      <c r="AN1588" s="14">
        <f>INDEX(挂机升级突破!DR$6:DR$57,卡牌消耗!$AT1588)</f>
        <v>4</v>
      </c>
      <c r="AO1588" s="14">
        <f>INDEX(挂机升级突破!DS$6:DS$57,卡牌消耗!$AT1588)</f>
        <v>0</v>
      </c>
      <c r="AP1588" s="14">
        <f>INDEX(挂机升级突破!$DP$6:$DP$57,卡牌消耗!AT1588)</f>
        <v>78</v>
      </c>
      <c r="AQ1588" s="14" t="str">
        <f t="shared" si="470"/>
        <v>SSR守护灵</v>
      </c>
      <c r="AR1588" s="14">
        <f t="shared" si="471"/>
        <v>4</v>
      </c>
      <c r="AS1588" s="14" t="str">
        <f t="shared" si="472"/>
        <v>SSR守护灵魂火-24</v>
      </c>
      <c r="AT1588" s="14">
        <f t="shared" si="473"/>
        <v>24</v>
      </c>
      <c r="AU1588" s="14" t="str">
        <f>IF(AM1588&gt;0,INDEX(挂机升级突破!$DT$4:$ED$4,AM1588),"")</f>
        <v>金币</v>
      </c>
      <c r="AV1588" s="14">
        <f>ROUND(INDEX(挂机升级突破!$DJ$6:$DJ$57,卡牌消耗!AT1588)*INDEX(卡牌消耗!$B$8:$F$8,AR1588)/$Q$4/50,0)*50</f>
        <v>10350</v>
      </c>
      <c r="AW1588" s="14" t="str">
        <f>IF(AN1588&gt;0,INDEX(挂机升级突破!$DT$4:$ED$4,AN1588),"")</f>
        <v>橙色基础材料</v>
      </c>
      <c r="AX1588" s="14">
        <f>ROUND(INDEX(挂机升级突破!$DT$6:$ED$57,卡牌消耗!AT1588,AN1588)*INDEX(卡牌消耗!$B$5:$F$5,AR1588)/$Q$4/5,0)*5</f>
        <v>25</v>
      </c>
      <c r="AY1588" s="14" t="str">
        <f>IF(AO1588&gt;0,INDEX(挂机升级突破!$DT$4:$ED$4,AO1588),"")</f>
        <v/>
      </c>
      <c r="AZ1588" s="14" t="str">
        <f>IF(AO1588&gt;0,ROUND(INDEX(挂机升级突破!$DT$6:$ED$57,卡牌消耗!AT1588,AO1588)*INDEX(卡牌消耗!$B$7:$F$7,AR1588)/$Q$4,0),"")</f>
        <v/>
      </c>
    </row>
    <row r="1589" spans="37:52" ht="16.5" x14ac:dyDescent="0.2">
      <c r="AK1589" s="193">
        <v>1585</v>
      </c>
      <c r="AL1589" s="14">
        <f t="shared" si="469"/>
        <v>31</v>
      </c>
      <c r="AM1589" s="14">
        <f>INDEX(挂机升级突破!DQ$6:DQ$57,卡牌消耗!$AT1589)</f>
        <v>11</v>
      </c>
      <c r="AN1589" s="14">
        <f>INDEX(挂机升级突破!DR$6:DR$57,卡牌消耗!$AT1589)</f>
        <v>4</v>
      </c>
      <c r="AO1589" s="14">
        <f>INDEX(挂机升级突破!DS$6:DS$57,卡牌消耗!$AT1589)</f>
        <v>0</v>
      </c>
      <c r="AP1589" s="14">
        <f>INDEX(挂机升级突破!$DP$6:$DP$57,卡牌消耗!AT1589)</f>
        <v>80</v>
      </c>
      <c r="AQ1589" s="14" t="str">
        <f t="shared" si="470"/>
        <v>SSR守护灵</v>
      </c>
      <c r="AR1589" s="14">
        <f t="shared" si="471"/>
        <v>4</v>
      </c>
      <c r="AS1589" s="14" t="str">
        <f t="shared" si="472"/>
        <v>SSR守护灵魂火-25</v>
      </c>
      <c r="AT1589" s="14">
        <f t="shared" si="473"/>
        <v>25</v>
      </c>
      <c r="AU1589" s="14" t="str">
        <f>IF(AM1589&gt;0,INDEX(挂机升级突破!$DT$4:$ED$4,AM1589),"")</f>
        <v>金币</v>
      </c>
      <c r="AV1589" s="14">
        <f>ROUND(INDEX(挂机升级突破!$DJ$6:$DJ$57,卡牌消耗!AT1589)*INDEX(卡牌消耗!$B$8:$F$8,AR1589)/$Q$4/50,0)*50</f>
        <v>11300</v>
      </c>
      <c r="AW1589" s="14" t="str">
        <f>IF(AN1589&gt;0,INDEX(挂机升级突破!$DT$4:$ED$4,AN1589),"")</f>
        <v>橙色基础材料</v>
      </c>
      <c r="AX1589" s="14">
        <f>ROUND(INDEX(挂机升级突破!$DT$6:$ED$57,卡牌消耗!AT1589,AN1589)*INDEX(卡牌消耗!$B$5:$F$5,AR1589)/$Q$4/5,0)*5</f>
        <v>25</v>
      </c>
      <c r="AY1589" s="14" t="str">
        <f>IF(AO1589&gt;0,INDEX(挂机升级突破!$DT$4:$ED$4,AO1589),"")</f>
        <v/>
      </c>
      <c r="AZ1589" s="14" t="str">
        <f>IF(AO1589&gt;0,ROUND(INDEX(挂机升级突破!$DT$6:$ED$57,卡牌消耗!AT1589,AO1589)*INDEX(卡牌消耗!$B$7:$F$7,AR1589)/$Q$4,0),"")</f>
        <v/>
      </c>
    </row>
    <row r="1590" spans="37:52" ht="16.5" x14ac:dyDescent="0.2">
      <c r="AK1590" s="193">
        <v>1586</v>
      </c>
      <c r="AL1590" s="14">
        <f t="shared" si="469"/>
        <v>31</v>
      </c>
      <c r="AM1590" s="14">
        <f>INDEX(挂机升级突破!DQ$6:DQ$57,卡牌消耗!$AT1590)</f>
        <v>11</v>
      </c>
      <c r="AN1590" s="14">
        <f>INDEX(挂机升级突破!DR$6:DR$57,卡牌消耗!$AT1590)</f>
        <v>4</v>
      </c>
      <c r="AO1590" s="14">
        <f>INDEX(挂机升级突破!DS$6:DS$57,卡牌消耗!$AT1590)</f>
        <v>0</v>
      </c>
      <c r="AP1590" s="14">
        <f>INDEX(挂机升级突破!$DP$6:$DP$57,卡牌消耗!AT1590)</f>
        <v>83</v>
      </c>
      <c r="AQ1590" s="14" t="str">
        <f t="shared" si="470"/>
        <v>SSR守护灵</v>
      </c>
      <c r="AR1590" s="14">
        <f t="shared" si="471"/>
        <v>4</v>
      </c>
      <c r="AS1590" s="14" t="str">
        <f t="shared" si="472"/>
        <v>SSR守护灵魂火-26</v>
      </c>
      <c r="AT1590" s="14">
        <f t="shared" si="473"/>
        <v>26</v>
      </c>
      <c r="AU1590" s="14" t="str">
        <f>IF(AM1590&gt;0,INDEX(挂机升级突破!$DT$4:$ED$4,AM1590),"")</f>
        <v>金币</v>
      </c>
      <c r="AV1590" s="14">
        <f>ROUND(INDEX(挂机升级突破!$DJ$6:$DJ$57,卡牌消耗!AT1590)*INDEX(卡牌消耗!$B$8:$F$8,AR1590)/$Q$4/50,0)*50</f>
        <v>13150</v>
      </c>
      <c r="AW1590" s="14" t="str">
        <f>IF(AN1590&gt;0,INDEX(挂机升级突破!$DT$4:$ED$4,AN1590),"")</f>
        <v>橙色基础材料</v>
      </c>
      <c r="AX1590" s="14">
        <f>ROUND(INDEX(挂机升级突破!$DT$6:$ED$57,卡牌消耗!AT1590,AN1590)*INDEX(卡牌消耗!$B$5:$F$5,AR1590)/$Q$4/5,0)*5</f>
        <v>30</v>
      </c>
      <c r="AY1590" s="14" t="str">
        <f>IF(AO1590&gt;0,INDEX(挂机升级突破!$DT$4:$ED$4,AO1590),"")</f>
        <v/>
      </c>
      <c r="AZ1590" s="14" t="str">
        <f>IF(AO1590&gt;0,ROUND(INDEX(挂机升级突破!$DT$6:$ED$57,卡牌消耗!AT1590,AO1590)*INDEX(卡牌消耗!$B$7:$F$7,AR1590)/$Q$4,0),"")</f>
        <v/>
      </c>
    </row>
    <row r="1591" spans="37:52" ht="16.5" x14ac:dyDescent="0.2">
      <c r="AK1591" s="193">
        <v>1587</v>
      </c>
      <c r="AL1591" s="14">
        <f t="shared" si="469"/>
        <v>31</v>
      </c>
      <c r="AM1591" s="14">
        <f>INDEX(挂机升级突破!DQ$6:DQ$57,卡牌消耗!$AT1591)</f>
        <v>11</v>
      </c>
      <c r="AN1591" s="14">
        <f>INDEX(挂机升级突破!DR$6:DR$57,卡牌消耗!$AT1591)</f>
        <v>4</v>
      </c>
      <c r="AO1591" s="14">
        <f>INDEX(挂机升级突破!DS$6:DS$57,卡牌消耗!$AT1591)</f>
        <v>0</v>
      </c>
      <c r="AP1591" s="14">
        <f>INDEX(挂机升级突破!$DP$6:$DP$57,卡牌消耗!AT1591)</f>
        <v>85</v>
      </c>
      <c r="AQ1591" s="14" t="str">
        <f t="shared" si="470"/>
        <v>SSR守护灵</v>
      </c>
      <c r="AR1591" s="14">
        <f t="shared" si="471"/>
        <v>4</v>
      </c>
      <c r="AS1591" s="14" t="str">
        <f t="shared" si="472"/>
        <v>SSR守护灵魂火-27</v>
      </c>
      <c r="AT1591" s="14">
        <f t="shared" si="473"/>
        <v>27</v>
      </c>
      <c r="AU1591" s="14" t="str">
        <f>IF(AM1591&gt;0,INDEX(挂机升级突破!$DT$4:$ED$4,AM1591),"")</f>
        <v>金币</v>
      </c>
      <c r="AV1591" s="14">
        <f>ROUND(INDEX(挂机升级突破!$DJ$6:$DJ$57,卡牌消耗!AT1591)*INDEX(卡牌消耗!$B$8:$F$8,AR1591)/$Q$4/50,0)*50</f>
        <v>13150</v>
      </c>
      <c r="AW1591" s="14" t="str">
        <f>IF(AN1591&gt;0,INDEX(挂机升级突破!$DT$4:$ED$4,AN1591),"")</f>
        <v>橙色基础材料</v>
      </c>
      <c r="AX1591" s="14">
        <f>ROUND(INDEX(挂机升级突破!$DT$6:$ED$57,卡牌消耗!AT1591,AN1591)*INDEX(卡牌消耗!$B$5:$F$5,AR1591)/$Q$4/5,0)*5</f>
        <v>30</v>
      </c>
      <c r="AY1591" s="14" t="str">
        <f>IF(AO1591&gt;0,INDEX(挂机升级突破!$DT$4:$ED$4,AO1591),"")</f>
        <v/>
      </c>
      <c r="AZ1591" s="14" t="str">
        <f>IF(AO1591&gt;0,ROUND(INDEX(挂机升级突破!$DT$6:$ED$57,卡牌消耗!AT1591,AO1591)*INDEX(卡牌消耗!$B$7:$F$7,AR1591)/$Q$4,0),"")</f>
        <v/>
      </c>
    </row>
    <row r="1592" spans="37:52" ht="16.5" x14ac:dyDescent="0.2">
      <c r="AK1592" s="193">
        <v>1588</v>
      </c>
      <c r="AL1592" s="14">
        <f t="shared" si="469"/>
        <v>31</v>
      </c>
      <c r="AM1592" s="14">
        <f>INDEX(挂机升级突破!DQ$6:DQ$57,卡牌消耗!$AT1592)</f>
        <v>11</v>
      </c>
      <c r="AN1592" s="14">
        <f>INDEX(挂机升级突破!DR$6:DR$57,卡牌消耗!$AT1592)</f>
        <v>4</v>
      </c>
      <c r="AO1592" s="14">
        <f>INDEX(挂机升级突破!DS$6:DS$57,卡牌消耗!$AT1592)</f>
        <v>0</v>
      </c>
      <c r="AP1592" s="14">
        <f>INDEX(挂机升级突破!$DP$6:$DP$57,卡牌消耗!AT1592)</f>
        <v>88</v>
      </c>
      <c r="AQ1592" s="14" t="str">
        <f t="shared" si="470"/>
        <v>SSR守护灵</v>
      </c>
      <c r="AR1592" s="14">
        <f t="shared" si="471"/>
        <v>4</v>
      </c>
      <c r="AS1592" s="14" t="str">
        <f t="shared" si="472"/>
        <v>SSR守护灵魂火-28</v>
      </c>
      <c r="AT1592" s="14">
        <f t="shared" si="473"/>
        <v>28</v>
      </c>
      <c r="AU1592" s="14" t="str">
        <f>IF(AM1592&gt;0,INDEX(挂机升级突破!$DT$4:$ED$4,AM1592),"")</f>
        <v>金币</v>
      </c>
      <c r="AV1592" s="14">
        <f>ROUND(INDEX(挂机升级突破!$DJ$6:$DJ$57,卡牌消耗!AT1592)*INDEX(卡牌消耗!$B$8:$F$8,AR1592)/$Q$4/50,0)*50</f>
        <v>13150</v>
      </c>
      <c r="AW1592" s="14" t="str">
        <f>IF(AN1592&gt;0,INDEX(挂机升级突破!$DT$4:$ED$4,AN1592),"")</f>
        <v>橙色基础材料</v>
      </c>
      <c r="AX1592" s="14">
        <f>ROUND(INDEX(挂机升级突破!$DT$6:$ED$57,卡牌消耗!AT1592,AN1592)*INDEX(卡牌消耗!$B$5:$F$5,AR1592)/$Q$4/5,0)*5</f>
        <v>30</v>
      </c>
      <c r="AY1592" s="14" t="str">
        <f>IF(AO1592&gt;0,INDEX(挂机升级突破!$DT$4:$ED$4,AO1592),"")</f>
        <v/>
      </c>
      <c r="AZ1592" s="14" t="str">
        <f>IF(AO1592&gt;0,ROUND(INDEX(挂机升级突破!$DT$6:$ED$57,卡牌消耗!AT1592,AO1592)*INDEX(卡牌消耗!$B$7:$F$7,AR1592)/$Q$4,0),"")</f>
        <v/>
      </c>
    </row>
    <row r="1593" spans="37:52" ht="16.5" x14ac:dyDescent="0.2">
      <c r="AK1593" s="193">
        <v>1589</v>
      </c>
      <c r="AL1593" s="14">
        <f t="shared" si="469"/>
        <v>31</v>
      </c>
      <c r="AM1593" s="14">
        <f>INDEX(挂机升级突破!DQ$6:DQ$57,卡牌消耗!$AT1593)</f>
        <v>11</v>
      </c>
      <c r="AN1593" s="14">
        <f>INDEX(挂机升级突破!DR$6:DR$57,卡牌消耗!$AT1593)</f>
        <v>4</v>
      </c>
      <c r="AO1593" s="14">
        <f>INDEX(挂机升级突破!DS$6:DS$57,卡牌消耗!$AT1593)</f>
        <v>0</v>
      </c>
      <c r="AP1593" s="14">
        <f>INDEX(挂机升级突破!$DP$6:$DP$57,卡牌消耗!AT1593)</f>
        <v>90</v>
      </c>
      <c r="AQ1593" s="14" t="str">
        <f t="shared" si="470"/>
        <v>SSR守护灵</v>
      </c>
      <c r="AR1593" s="14">
        <f t="shared" si="471"/>
        <v>4</v>
      </c>
      <c r="AS1593" s="14" t="str">
        <f t="shared" si="472"/>
        <v>SSR守护灵魂火-29</v>
      </c>
      <c r="AT1593" s="14">
        <f t="shared" si="473"/>
        <v>29</v>
      </c>
      <c r="AU1593" s="14" t="str">
        <f>IF(AM1593&gt;0,INDEX(挂机升级突破!$DT$4:$ED$4,AM1593),"")</f>
        <v>金币</v>
      </c>
      <c r="AV1593" s="14">
        <f>ROUND(INDEX(挂机升级突破!$DJ$6:$DJ$57,卡牌消耗!AT1593)*INDEX(卡牌消耗!$B$8:$F$8,AR1593)/$Q$4/50,0)*50</f>
        <v>13350</v>
      </c>
      <c r="AW1593" s="14" t="str">
        <f>IF(AN1593&gt;0,INDEX(挂机升级突破!$DT$4:$ED$4,AN1593),"")</f>
        <v>橙色基础材料</v>
      </c>
      <c r="AX1593" s="14">
        <f>ROUND(INDEX(挂机升级突破!$DT$6:$ED$57,卡牌消耗!AT1593,AN1593)*INDEX(卡牌消耗!$B$5:$F$5,AR1593)/$Q$4/5,0)*5</f>
        <v>30</v>
      </c>
      <c r="AY1593" s="14" t="str">
        <f>IF(AO1593&gt;0,INDEX(挂机升级突破!$DT$4:$ED$4,AO1593),"")</f>
        <v/>
      </c>
      <c r="AZ1593" s="14" t="str">
        <f>IF(AO1593&gt;0,ROUND(INDEX(挂机升级突破!$DT$6:$ED$57,卡牌消耗!AT1593,AO1593)*INDEX(卡牌消耗!$B$7:$F$7,AR1593)/$Q$4,0),"")</f>
        <v/>
      </c>
    </row>
    <row r="1594" spans="37:52" ht="16.5" x14ac:dyDescent="0.2">
      <c r="AK1594" s="193">
        <v>1590</v>
      </c>
      <c r="AL1594" s="14">
        <f t="shared" si="469"/>
        <v>31</v>
      </c>
      <c r="AM1594" s="14">
        <f>INDEX(挂机升级突破!DQ$6:DQ$57,卡牌消耗!$AT1594)</f>
        <v>11</v>
      </c>
      <c r="AN1594" s="14">
        <f>INDEX(挂机升级突破!DR$6:DR$57,卡牌消耗!$AT1594)</f>
        <v>4</v>
      </c>
      <c r="AO1594" s="14">
        <f>INDEX(挂机升级突破!DS$6:DS$57,卡牌消耗!$AT1594)</f>
        <v>0</v>
      </c>
      <c r="AP1594" s="14">
        <f>INDEX(挂机升级突破!$DP$6:$DP$57,卡牌消耗!AT1594)</f>
        <v>93</v>
      </c>
      <c r="AQ1594" s="14" t="str">
        <f t="shared" si="470"/>
        <v>SSR守护灵</v>
      </c>
      <c r="AR1594" s="14">
        <f t="shared" si="471"/>
        <v>4</v>
      </c>
      <c r="AS1594" s="14" t="str">
        <f t="shared" si="472"/>
        <v>SSR守护灵魂火-30</v>
      </c>
      <c r="AT1594" s="14">
        <f t="shared" si="473"/>
        <v>30</v>
      </c>
      <c r="AU1594" s="14" t="str">
        <f>IF(AM1594&gt;0,INDEX(挂机升级突破!$DT$4:$ED$4,AM1594),"")</f>
        <v>金币</v>
      </c>
      <c r="AV1594" s="14">
        <f>ROUND(INDEX(挂机升级突破!$DJ$6:$DJ$57,卡牌消耗!AT1594)*INDEX(卡牌消耗!$B$8:$F$8,AR1594)/$Q$4/50,0)*50</f>
        <v>13350</v>
      </c>
      <c r="AW1594" s="14" t="str">
        <f>IF(AN1594&gt;0,INDEX(挂机升级突破!$DT$4:$ED$4,AN1594),"")</f>
        <v>橙色基础材料</v>
      </c>
      <c r="AX1594" s="14">
        <f>ROUND(INDEX(挂机升级突破!$DT$6:$ED$57,卡牌消耗!AT1594,AN1594)*INDEX(卡牌消耗!$B$5:$F$5,AR1594)/$Q$4/5,0)*5</f>
        <v>30</v>
      </c>
      <c r="AY1594" s="14" t="str">
        <f>IF(AO1594&gt;0,INDEX(挂机升级突破!$DT$4:$ED$4,AO1594),"")</f>
        <v/>
      </c>
      <c r="AZ1594" s="14" t="str">
        <f>IF(AO1594&gt;0,ROUND(INDEX(挂机升级突破!$DT$6:$ED$57,卡牌消耗!AT1594,AO1594)*INDEX(卡牌消耗!$B$7:$F$7,AR1594)/$Q$4,0),"")</f>
        <v/>
      </c>
    </row>
    <row r="1595" spans="37:52" ht="16.5" x14ac:dyDescent="0.2">
      <c r="AK1595" s="193">
        <v>1591</v>
      </c>
      <c r="AL1595" s="14">
        <f t="shared" si="469"/>
        <v>31</v>
      </c>
      <c r="AM1595" s="14">
        <f>INDEX(挂机升级突破!DQ$6:DQ$57,卡牌消耗!$AT1595)</f>
        <v>11</v>
      </c>
      <c r="AN1595" s="14">
        <f>INDEX(挂机升级突破!DR$6:DR$57,卡牌消耗!$AT1595)</f>
        <v>4</v>
      </c>
      <c r="AO1595" s="14">
        <f>INDEX(挂机升级突破!DS$6:DS$57,卡牌消耗!$AT1595)</f>
        <v>0</v>
      </c>
      <c r="AP1595" s="14">
        <f>INDEX(挂机升级突破!$DP$6:$DP$57,卡牌消耗!AT1595)</f>
        <v>95</v>
      </c>
      <c r="AQ1595" s="14" t="str">
        <f t="shared" si="470"/>
        <v>SSR守护灵</v>
      </c>
      <c r="AR1595" s="14">
        <f t="shared" si="471"/>
        <v>4</v>
      </c>
      <c r="AS1595" s="14" t="str">
        <f t="shared" si="472"/>
        <v>SSR守护灵魂火-31</v>
      </c>
      <c r="AT1595" s="14">
        <f t="shared" si="473"/>
        <v>31</v>
      </c>
      <c r="AU1595" s="14" t="str">
        <f>IF(AM1595&gt;0,INDEX(挂机升级突破!$DT$4:$ED$4,AM1595),"")</f>
        <v>金币</v>
      </c>
      <c r="AV1595" s="14">
        <f>ROUND(INDEX(挂机升级突破!$DJ$6:$DJ$57,卡牌消耗!AT1595)*INDEX(卡牌消耗!$B$8:$F$8,AR1595)/$Q$4/50,0)*50</f>
        <v>13350</v>
      </c>
      <c r="AW1595" s="14" t="str">
        <f>IF(AN1595&gt;0,INDEX(挂机升级突破!$DT$4:$ED$4,AN1595),"")</f>
        <v>橙色基础材料</v>
      </c>
      <c r="AX1595" s="14">
        <f>ROUND(INDEX(挂机升级突破!$DT$6:$ED$57,卡牌消耗!AT1595,AN1595)*INDEX(卡牌消耗!$B$5:$F$5,AR1595)/$Q$4/5,0)*5</f>
        <v>30</v>
      </c>
      <c r="AY1595" s="14" t="str">
        <f>IF(AO1595&gt;0,INDEX(挂机升级突破!$DT$4:$ED$4,AO1595),"")</f>
        <v/>
      </c>
      <c r="AZ1595" s="14" t="str">
        <f>IF(AO1595&gt;0,ROUND(INDEX(挂机升级突破!$DT$6:$ED$57,卡牌消耗!AT1595,AO1595)*INDEX(卡牌消耗!$B$7:$F$7,AR1595)/$Q$4,0),"")</f>
        <v/>
      </c>
    </row>
    <row r="1596" spans="37:52" ht="16.5" x14ac:dyDescent="0.2">
      <c r="AK1596" s="193">
        <v>1592</v>
      </c>
      <c r="AL1596" s="14">
        <f t="shared" si="469"/>
        <v>31</v>
      </c>
      <c r="AM1596" s="14">
        <f>INDEX(挂机升级突破!DQ$6:DQ$57,卡牌消耗!$AT1596)</f>
        <v>11</v>
      </c>
      <c r="AN1596" s="14">
        <f>INDEX(挂机升级突破!DR$6:DR$57,卡牌消耗!$AT1596)</f>
        <v>4</v>
      </c>
      <c r="AO1596" s="14">
        <f>INDEX(挂机升级突破!DS$6:DS$57,卡牌消耗!$AT1596)</f>
        <v>0</v>
      </c>
      <c r="AP1596" s="14">
        <f>INDEX(挂机升级突破!$DP$6:$DP$57,卡牌消耗!AT1596)</f>
        <v>98</v>
      </c>
      <c r="AQ1596" s="14" t="str">
        <f t="shared" si="470"/>
        <v>SSR守护灵</v>
      </c>
      <c r="AR1596" s="14">
        <f t="shared" si="471"/>
        <v>4</v>
      </c>
      <c r="AS1596" s="14" t="str">
        <f t="shared" si="472"/>
        <v>SSR守护灵魂火-32</v>
      </c>
      <c r="AT1596" s="14">
        <f t="shared" si="473"/>
        <v>32</v>
      </c>
      <c r="AU1596" s="14" t="str">
        <f>IF(AM1596&gt;0,INDEX(挂机升级突破!$DT$4:$ED$4,AM1596),"")</f>
        <v>金币</v>
      </c>
      <c r="AV1596" s="14">
        <f>ROUND(INDEX(挂机升级突破!$DJ$6:$DJ$57,卡牌消耗!AT1596)*INDEX(卡牌消耗!$B$8:$F$8,AR1596)/$Q$4/50,0)*50</f>
        <v>18350</v>
      </c>
      <c r="AW1596" s="14" t="str">
        <f>IF(AN1596&gt;0,INDEX(挂机升级突破!$DT$4:$ED$4,AN1596),"")</f>
        <v>橙色基础材料</v>
      </c>
      <c r="AX1596" s="14">
        <f>ROUND(INDEX(挂机升级突破!$DT$6:$ED$57,卡牌消耗!AT1596,AN1596)*INDEX(卡牌消耗!$B$5:$F$5,AR1596)/$Q$4/5,0)*5</f>
        <v>30</v>
      </c>
      <c r="AY1596" s="14" t="str">
        <f>IF(AO1596&gt;0,INDEX(挂机升级突破!$DT$4:$ED$4,AO1596),"")</f>
        <v/>
      </c>
      <c r="AZ1596" s="14" t="str">
        <f>IF(AO1596&gt;0,ROUND(INDEX(挂机升级突破!$DT$6:$ED$57,卡牌消耗!AT1596,AO1596)*INDEX(卡牌消耗!$B$7:$F$7,AR1596)/$Q$4,0),"")</f>
        <v/>
      </c>
    </row>
    <row r="1597" spans="37:52" ht="16.5" x14ac:dyDescent="0.2">
      <c r="AK1597" s="193">
        <v>1593</v>
      </c>
      <c r="AL1597" s="14">
        <f t="shared" si="469"/>
        <v>31</v>
      </c>
      <c r="AM1597" s="14">
        <f>INDEX(挂机升级突破!DQ$6:DQ$57,卡牌消耗!$AT1597)</f>
        <v>11</v>
      </c>
      <c r="AN1597" s="14">
        <f>INDEX(挂机升级突破!DR$6:DR$57,卡牌消耗!$AT1597)</f>
        <v>4</v>
      </c>
      <c r="AO1597" s="14">
        <f>INDEX(挂机升级突破!DS$6:DS$57,卡牌消耗!$AT1597)</f>
        <v>0</v>
      </c>
      <c r="AP1597" s="14">
        <f>INDEX(挂机升级突破!$DP$6:$DP$57,卡牌消耗!AT1597)</f>
        <v>100</v>
      </c>
      <c r="AQ1597" s="14" t="str">
        <f t="shared" si="470"/>
        <v>SSR守护灵</v>
      </c>
      <c r="AR1597" s="14">
        <f t="shared" si="471"/>
        <v>4</v>
      </c>
      <c r="AS1597" s="14" t="str">
        <f t="shared" si="472"/>
        <v>SSR守护灵魂火-33</v>
      </c>
      <c r="AT1597" s="14">
        <f t="shared" si="473"/>
        <v>33</v>
      </c>
      <c r="AU1597" s="14" t="str">
        <f>IF(AM1597&gt;0,INDEX(挂机升级突破!$DT$4:$ED$4,AM1597),"")</f>
        <v>金币</v>
      </c>
      <c r="AV1597" s="14">
        <f>ROUND(INDEX(挂机升级突破!$DJ$6:$DJ$57,卡牌消耗!AT1597)*INDEX(卡牌消耗!$B$8:$F$8,AR1597)/$Q$4/50,0)*50</f>
        <v>18350</v>
      </c>
      <c r="AW1597" s="14" t="str">
        <f>IF(AN1597&gt;0,INDEX(挂机升级突破!$DT$4:$ED$4,AN1597),"")</f>
        <v>橙色基础材料</v>
      </c>
      <c r="AX1597" s="14">
        <f>ROUND(INDEX(挂机升级突破!$DT$6:$ED$57,卡牌消耗!AT1597,AN1597)*INDEX(卡牌消耗!$B$5:$F$5,AR1597)/$Q$4/5,0)*5</f>
        <v>30</v>
      </c>
      <c r="AY1597" s="14" t="str">
        <f>IF(AO1597&gt;0,INDEX(挂机升级突破!$DT$4:$ED$4,AO1597),"")</f>
        <v/>
      </c>
      <c r="AZ1597" s="14" t="str">
        <f>IF(AO1597&gt;0,ROUND(INDEX(挂机升级突破!$DT$6:$ED$57,卡牌消耗!AT1597,AO1597)*INDEX(卡牌消耗!$B$7:$F$7,AR1597)/$Q$4,0),"")</f>
        <v/>
      </c>
    </row>
    <row r="1598" spans="37:52" ht="16.5" x14ac:dyDescent="0.2">
      <c r="AK1598" s="193">
        <v>1594</v>
      </c>
      <c r="AL1598" s="14">
        <f t="shared" si="469"/>
        <v>31</v>
      </c>
      <c r="AM1598" s="14">
        <f>INDEX(挂机升级突破!DQ$6:DQ$57,卡牌消耗!$AT1598)</f>
        <v>11</v>
      </c>
      <c r="AN1598" s="14">
        <f>INDEX(挂机升级突破!DR$6:DR$57,卡牌消耗!$AT1598)</f>
        <v>4</v>
      </c>
      <c r="AO1598" s="14">
        <f>INDEX(挂机升级突破!DS$6:DS$57,卡牌消耗!$AT1598)</f>
        <v>0</v>
      </c>
      <c r="AP1598" s="14">
        <f>INDEX(挂机升级突破!$DP$6:$DP$57,卡牌消耗!AT1598)</f>
        <v>103</v>
      </c>
      <c r="AQ1598" s="14" t="str">
        <f t="shared" si="470"/>
        <v>SSR守护灵</v>
      </c>
      <c r="AR1598" s="14">
        <f t="shared" si="471"/>
        <v>4</v>
      </c>
      <c r="AS1598" s="14" t="str">
        <f t="shared" si="472"/>
        <v>SSR守护灵魂火-34</v>
      </c>
      <c r="AT1598" s="14">
        <f t="shared" si="473"/>
        <v>34</v>
      </c>
      <c r="AU1598" s="14" t="str">
        <f>IF(AM1598&gt;0,INDEX(挂机升级突破!$DT$4:$ED$4,AM1598),"")</f>
        <v>金币</v>
      </c>
      <c r="AV1598" s="14">
        <f>ROUND(INDEX(挂机升级突破!$DJ$6:$DJ$57,卡牌消耗!AT1598)*INDEX(卡牌消耗!$B$8:$F$8,AR1598)/$Q$4/50,0)*50</f>
        <v>18350</v>
      </c>
      <c r="AW1598" s="14" t="str">
        <f>IF(AN1598&gt;0,INDEX(挂机升级突破!$DT$4:$ED$4,AN1598),"")</f>
        <v>橙色基础材料</v>
      </c>
      <c r="AX1598" s="14">
        <f>ROUND(INDEX(挂机升级突破!$DT$6:$ED$57,卡牌消耗!AT1598,AN1598)*INDEX(卡牌消耗!$B$5:$F$5,AR1598)/$Q$4/5,0)*5</f>
        <v>35</v>
      </c>
      <c r="AY1598" s="14" t="str">
        <f>IF(AO1598&gt;0,INDEX(挂机升级突破!$DT$4:$ED$4,AO1598),"")</f>
        <v/>
      </c>
      <c r="AZ1598" s="14" t="str">
        <f>IF(AO1598&gt;0,ROUND(INDEX(挂机升级突破!$DT$6:$ED$57,卡牌消耗!AT1598,AO1598)*INDEX(卡牌消耗!$B$7:$F$7,AR1598)/$Q$4,0),"")</f>
        <v/>
      </c>
    </row>
    <row r="1599" spans="37:52" ht="16.5" x14ac:dyDescent="0.2">
      <c r="AK1599" s="193">
        <v>1595</v>
      </c>
      <c r="AL1599" s="14">
        <f t="shared" si="469"/>
        <v>31</v>
      </c>
      <c r="AM1599" s="14">
        <f>INDEX(挂机升级突破!DQ$6:DQ$57,卡牌消耗!$AT1599)</f>
        <v>11</v>
      </c>
      <c r="AN1599" s="14">
        <f>INDEX(挂机升级突破!DR$6:DR$57,卡牌消耗!$AT1599)</f>
        <v>4</v>
      </c>
      <c r="AO1599" s="14">
        <f>INDEX(挂机升级突破!DS$6:DS$57,卡牌消耗!$AT1599)</f>
        <v>0</v>
      </c>
      <c r="AP1599" s="14">
        <f>INDEX(挂机升级突破!$DP$6:$DP$57,卡牌消耗!AT1599)</f>
        <v>105</v>
      </c>
      <c r="AQ1599" s="14" t="str">
        <f t="shared" si="470"/>
        <v>SSR守护灵</v>
      </c>
      <c r="AR1599" s="14">
        <f t="shared" si="471"/>
        <v>4</v>
      </c>
      <c r="AS1599" s="14" t="str">
        <f t="shared" si="472"/>
        <v>SSR守护灵魂火-35</v>
      </c>
      <c r="AT1599" s="14">
        <f t="shared" si="473"/>
        <v>35</v>
      </c>
      <c r="AU1599" s="14" t="str">
        <f>IF(AM1599&gt;0,INDEX(挂机升级突破!$DT$4:$ED$4,AM1599),"")</f>
        <v>金币</v>
      </c>
      <c r="AV1599" s="14">
        <f>ROUND(INDEX(挂机升级突破!$DJ$6:$DJ$57,卡牌消耗!AT1599)*INDEX(卡牌消耗!$B$8:$F$8,AR1599)/$Q$4/50,0)*50</f>
        <v>23350</v>
      </c>
      <c r="AW1599" s="14" t="str">
        <f>IF(AN1599&gt;0,INDEX(挂机升级突破!$DT$4:$ED$4,AN1599),"")</f>
        <v>橙色基础材料</v>
      </c>
      <c r="AX1599" s="14">
        <f>ROUND(INDEX(挂机升级突破!$DT$6:$ED$57,卡牌消耗!AT1599,AN1599)*INDEX(卡牌消耗!$B$5:$F$5,AR1599)/$Q$4/5,0)*5</f>
        <v>35</v>
      </c>
      <c r="AY1599" s="14" t="str">
        <f>IF(AO1599&gt;0,INDEX(挂机升级突破!$DT$4:$ED$4,AO1599),"")</f>
        <v/>
      </c>
      <c r="AZ1599" s="14" t="str">
        <f>IF(AO1599&gt;0,ROUND(INDEX(挂机升级突破!$DT$6:$ED$57,卡牌消耗!AT1599,AO1599)*INDEX(卡牌消耗!$B$7:$F$7,AR1599)/$Q$4,0),"")</f>
        <v/>
      </c>
    </row>
    <row r="1600" spans="37:52" ht="16.5" x14ac:dyDescent="0.2">
      <c r="AK1600" s="193">
        <v>1596</v>
      </c>
      <c r="AL1600" s="14">
        <f t="shared" si="469"/>
        <v>31</v>
      </c>
      <c r="AM1600" s="14">
        <f>INDEX(挂机升级突破!DQ$6:DQ$57,卡牌消耗!$AT1600)</f>
        <v>11</v>
      </c>
      <c r="AN1600" s="14">
        <f>INDEX(挂机升级突破!DR$6:DR$57,卡牌消耗!$AT1600)</f>
        <v>4</v>
      </c>
      <c r="AO1600" s="14">
        <f>INDEX(挂机升级突破!DS$6:DS$57,卡牌消耗!$AT1600)</f>
        <v>0</v>
      </c>
      <c r="AP1600" s="14">
        <f>INDEX(挂机升级突破!$DP$6:$DP$57,卡牌消耗!AT1600)</f>
        <v>108</v>
      </c>
      <c r="AQ1600" s="14" t="str">
        <f t="shared" si="470"/>
        <v>SSR守护灵</v>
      </c>
      <c r="AR1600" s="14">
        <f t="shared" si="471"/>
        <v>4</v>
      </c>
      <c r="AS1600" s="14" t="str">
        <f t="shared" si="472"/>
        <v>SSR守护灵魂火-36</v>
      </c>
      <c r="AT1600" s="14">
        <f t="shared" si="473"/>
        <v>36</v>
      </c>
      <c r="AU1600" s="14" t="str">
        <f>IF(AM1600&gt;0,INDEX(挂机升级突破!$DT$4:$ED$4,AM1600),"")</f>
        <v>金币</v>
      </c>
      <c r="AV1600" s="14">
        <f>ROUND(INDEX(挂机升级突破!$DJ$6:$DJ$57,卡牌消耗!AT1600)*INDEX(卡牌消耗!$B$8:$F$8,AR1600)/$Q$4/50,0)*50</f>
        <v>23350</v>
      </c>
      <c r="AW1600" s="14" t="str">
        <f>IF(AN1600&gt;0,INDEX(挂机升级突破!$DT$4:$ED$4,AN1600),"")</f>
        <v>橙色基础材料</v>
      </c>
      <c r="AX1600" s="14">
        <f>ROUND(INDEX(挂机升级突破!$DT$6:$ED$57,卡牌消耗!AT1600,AN1600)*INDEX(卡牌消耗!$B$5:$F$5,AR1600)/$Q$4/5,0)*5</f>
        <v>35</v>
      </c>
      <c r="AY1600" s="14" t="str">
        <f>IF(AO1600&gt;0,INDEX(挂机升级突破!$DT$4:$ED$4,AO1600),"")</f>
        <v/>
      </c>
      <c r="AZ1600" s="14" t="str">
        <f>IF(AO1600&gt;0,ROUND(INDEX(挂机升级突破!$DT$6:$ED$57,卡牌消耗!AT1600,AO1600)*INDEX(卡牌消耗!$B$7:$F$7,AR1600)/$Q$4,0),"")</f>
        <v/>
      </c>
    </row>
    <row r="1601" spans="37:52" ht="16.5" x14ac:dyDescent="0.2">
      <c r="AK1601" s="193">
        <v>1597</v>
      </c>
      <c r="AL1601" s="14">
        <f t="shared" si="469"/>
        <v>31</v>
      </c>
      <c r="AM1601" s="14">
        <f>INDEX(挂机升级突破!DQ$6:DQ$57,卡牌消耗!$AT1601)</f>
        <v>11</v>
      </c>
      <c r="AN1601" s="14">
        <f>INDEX(挂机升级突破!DR$6:DR$57,卡牌消耗!$AT1601)</f>
        <v>4</v>
      </c>
      <c r="AO1601" s="14">
        <f>INDEX(挂机升级突破!DS$6:DS$57,卡牌消耗!$AT1601)</f>
        <v>0</v>
      </c>
      <c r="AP1601" s="14">
        <f>INDEX(挂机升级突破!$DP$6:$DP$57,卡牌消耗!AT1601)</f>
        <v>110</v>
      </c>
      <c r="AQ1601" s="14" t="str">
        <f t="shared" si="470"/>
        <v>SSR守护灵</v>
      </c>
      <c r="AR1601" s="14">
        <f t="shared" si="471"/>
        <v>4</v>
      </c>
      <c r="AS1601" s="14" t="str">
        <f t="shared" si="472"/>
        <v>SSR守护灵魂火-37</v>
      </c>
      <c r="AT1601" s="14">
        <f t="shared" si="473"/>
        <v>37</v>
      </c>
      <c r="AU1601" s="14" t="str">
        <f>IF(AM1601&gt;0,INDEX(挂机升级突破!$DT$4:$ED$4,AM1601),"")</f>
        <v>金币</v>
      </c>
      <c r="AV1601" s="14">
        <f>ROUND(INDEX(挂机升级突破!$DJ$6:$DJ$57,卡牌消耗!AT1601)*INDEX(卡牌消耗!$B$8:$F$8,AR1601)/$Q$4/50,0)*50</f>
        <v>25000</v>
      </c>
      <c r="AW1601" s="14" t="str">
        <f>IF(AN1601&gt;0,INDEX(挂机升级突破!$DT$4:$ED$4,AN1601),"")</f>
        <v>橙色基础材料</v>
      </c>
      <c r="AX1601" s="14">
        <f>ROUND(INDEX(挂机升级突破!$DT$6:$ED$57,卡牌消耗!AT1601,AN1601)*INDEX(卡牌消耗!$B$5:$F$5,AR1601)/$Q$4/5,0)*5</f>
        <v>35</v>
      </c>
      <c r="AY1601" s="14" t="str">
        <f>IF(AO1601&gt;0,INDEX(挂机升级突破!$DT$4:$ED$4,AO1601),"")</f>
        <v/>
      </c>
      <c r="AZ1601" s="14" t="str">
        <f>IF(AO1601&gt;0,ROUND(INDEX(挂机升级突破!$DT$6:$ED$57,卡牌消耗!AT1601,AO1601)*INDEX(卡牌消耗!$B$7:$F$7,AR1601)/$Q$4,0),"")</f>
        <v/>
      </c>
    </row>
    <row r="1602" spans="37:52" ht="16.5" x14ac:dyDescent="0.2">
      <c r="AK1602" s="193">
        <v>1598</v>
      </c>
      <c r="AL1602" s="14">
        <f t="shared" si="469"/>
        <v>31</v>
      </c>
      <c r="AM1602" s="14">
        <f>INDEX(挂机升级突破!DQ$6:DQ$57,卡牌消耗!$AT1602)</f>
        <v>11</v>
      </c>
      <c r="AN1602" s="14">
        <f>INDEX(挂机升级突破!DR$6:DR$57,卡牌消耗!$AT1602)</f>
        <v>5</v>
      </c>
      <c r="AO1602" s="14">
        <f>INDEX(挂机升级突破!DS$6:DS$57,卡牌消耗!$AT1602)</f>
        <v>0</v>
      </c>
      <c r="AP1602" s="14">
        <f>INDEX(挂机升级突破!$DP$6:$DP$57,卡牌消耗!AT1602)</f>
        <v>113</v>
      </c>
      <c r="AQ1602" s="14" t="str">
        <f t="shared" si="470"/>
        <v>SSR守护灵</v>
      </c>
      <c r="AR1602" s="14">
        <f t="shared" si="471"/>
        <v>4</v>
      </c>
      <c r="AS1602" s="14" t="str">
        <f t="shared" si="472"/>
        <v>SSR守护灵魂火-38</v>
      </c>
      <c r="AT1602" s="14">
        <f t="shared" si="473"/>
        <v>38</v>
      </c>
      <c r="AU1602" s="14" t="str">
        <f>IF(AM1602&gt;0,INDEX(挂机升级突破!$DT$4:$ED$4,AM1602),"")</f>
        <v>金币</v>
      </c>
      <c r="AV1602" s="14">
        <f>ROUND(INDEX(挂机升级突破!$DJ$6:$DJ$57,卡牌消耗!AT1602)*INDEX(卡牌消耗!$B$8:$F$8,AR1602)/$Q$4/50,0)*50</f>
        <v>32250</v>
      </c>
      <c r="AW1602" s="14" t="str">
        <f>IF(AN1602&gt;0,INDEX(挂机升级突破!$DT$4:$ED$4,AN1602),"")</f>
        <v>红色基础材料</v>
      </c>
      <c r="AX1602" s="14">
        <f>ROUND(INDEX(挂机升级突破!$DT$6:$ED$57,卡牌消耗!AT1602,AN1602)*INDEX(卡牌消耗!$B$5:$F$5,AR1602)/$Q$4/5,0)*5</f>
        <v>10</v>
      </c>
      <c r="AY1602" s="14" t="str">
        <f>IF(AO1602&gt;0,INDEX(挂机升级突破!$DT$4:$ED$4,AO1602),"")</f>
        <v/>
      </c>
      <c r="AZ1602" s="14" t="str">
        <f>IF(AO1602&gt;0,ROUND(INDEX(挂机升级突破!$DT$6:$ED$57,卡牌消耗!AT1602,AO1602)*INDEX(卡牌消耗!$B$7:$F$7,AR1602)/$Q$4,0),"")</f>
        <v/>
      </c>
    </row>
    <row r="1603" spans="37:52" ht="16.5" x14ac:dyDescent="0.2">
      <c r="AK1603" s="193">
        <v>1599</v>
      </c>
      <c r="AL1603" s="14">
        <f t="shared" si="469"/>
        <v>31</v>
      </c>
      <c r="AM1603" s="14">
        <f>INDEX(挂机升级突破!DQ$6:DQ$57,卡牌消耗!$AT1603)</f>
        <v>11</v>
      </c>
      <c r="AN1603" s="14">
        <f>INDEX(挂机升级突破!DR$6:DR$57,卡牌消耗!$AT1603)</f>
        <v>5</v>
      </c>
      <c r="AO1603" s="14">
        <f>INDEX(挂机升级突破!DS$6:DS$57,卡牌消耗!$AT1603)</f>
        <v>0</v>
      </c>
      <c r="AP1603" s="14">
        <f>INDEX(挂机升级突破!$DP$6:$DP$57,卡牌消耗!AT1603)</f>
        <v>115</v>
      </c>
      <c r="AQ1603" s="14" t="str">
        <f t="shared" si="470"/>
        <v>SSR守护灵</v>
      </c>
      <c r="AR1603" s="14">
        <f t="shared" si="471"/>
        <v>4</v>
      </c>
      <c r="AS1603" s="14" t="str">
        <f t="shared" si="472"/>
        <v>SSR守护灵魂火-39</v>
      </c>
      <c r="AT1603" s="14">
        <f t="shared" si="473"/>
        <v>39</v>
      </c>
      <c r="AU1603" s="14" t="str">
        <f>IF(AM1603&gt;0,INDEX(挂机升级突破!$DT$4:$ED$4,AM1603),"")</f>
        <v>金币</v>
      </c>
      <c r="AV1603" s="14">
        <f>ROUND(INDEX(挂机升级突破!$DJ$6:$DJ$57,卡牌消耗!AT1603)*INDEX(卡牌消耗!$B$8:$F$8,AR1603)/$Q$4/50,0)*50</f>
        <v>32250</v>
      </c>
      <c r="AW1603" s="14" t="str">
        <f>IF(AN1603&gt;0,INDEX(挂机升级突破!$DT$4:$ED$4,AN1603),"")</f>
        <v>红色基础材料</v>
      </c>
      <c r="AX1603" s="14">
        <f>ROUND(INDEX(挂机升级突破!$DT$6:$ED$57,卡牌消耗!AT1603,AN1603)*INDEX(卡牌消耗!$B$5:$F$5,AR1603)/$Q$4/5,0)*5</f>
        <v>10</v>
      </c>
      <c r="AY1603" s="14" t="str">
        <f>IF(AO1603&gt;0,INDEX(挂机升级突破!$DT$4:$ED$4,AO1603),"")</f>
        <v/>
      </c>
      <c r="AZ1603" s="14" t="str">
        <f>IF(AO1603&gt;0,ROUND(INDEX(挂机升级突破!$DT$6:$ED$57,卡牌消耗!AT1603,AO1603)*INDEX(卡牌消耗!$B$7:$F$7,AR1603)/$Q$4,0),"")</f>
        <v/>
      </c>
    </row>
    <row r="1604" spans="37:52" ht="16.5" x14ac:dyDescent="0.2">
      <c r="AK1604" s="193">
        <v>1600</v>
      </c>
      <c r="AL1604" s="14">
        <f t="shared" si="469"/>
        <v>31</v>
      </c>
      <c r="AM1604" s="14">
        <f>INDEX(挂机升级突破!DQ$6:DQ$57,卡牌消耗!$AT1604)</f>
        <v>11</v>
      </c>
      <c r="AN1604" s="14">
        <f>INDEX(挂机升级突破!DR$6:DR$57,卡牌消耗!$AT1604)</f>
        <v>5</v>
      </c>
      <c r="AO1604" s="14">
        <f>INDEX(挂机升级突破!DS$6:DS$57,卡牌消耗!$AT1604)</f>
        <v>0</v>
      </c>
      <c r="AP1604" s="14">
        <f>INDEX(挂机升级突破!$DP$6:$DP$57,卡牌消耗!AT1604)</f>
        <v>118</v>
      </c>
      <c r="AQ1604" s="14" t="str">
        <f t="shared" si="470"/>
        <v>SSR守护灵</v>
      </c>
      <c r="AR1604" s="14">
        <f t="shared" si="471"/>
        <v>4</v>
      </c>
      <c r="AS1604" s="14" t="str">
        <f t="shared" si="472"/>
        <v>SSR守护灵魂火-40</v>
      </c>
      <c r="AT1604" s="14">
        <f t="shared" si="473"/>
        <v>40</v>
      </c>
      <c r="AU1604" s="14" t="str">
        <f>IF(AM1604&gt;0,INDEX(挂机升级突破!$DT$4:$ED$4,AM1604),"")</f>
        <v>金币</v>
      </c>
      <c r="AV1604" s="14">
        <f>ROUND(INDEX(挂机升级突破!$DJ$6:$DJ$57,卡牌消耗!AT1604)*INDEX(卡牌消耗!$B$8:$F$8,AR1604)/$Q$4/50,0)*50</f>
        <v>32250</v>
      </c>
      <c r="AW1604" s="14" t="str">
        <f>IF(AN1604&gt;0,INDEX(挂机升级突破!$DT$4:$ED$4,AN1604),"")</f>
        <v>红色基础材料</v>
      </c>
      <c r="AX1604" s="14">
        <f>ROUND(INDEX(挂机升级突破!$DT$6:$ED$57,卡牌消耗!AT1604,AN1604)*INDEX(卡牌消耗!$B$5:$F$5,AR1604)/$Q$4/5,0)*5</f>
        <v>10</v>
      </c>
      <c r="AY1604" s="14" t="str">
        <f>IF(AO1604&gt;0,INDEX(挂机升级突破!$DT$4:$ED$4,AO1604),"")</f>
        <v/>
      </c>
      <c r="AZ1604" s="14" t="str">
        <f>IF(AO1604&gt;0,ROUND(INDEX(挂机升级突破!$DT$6:$ED$57,卡牌消耗!AT1604,AO1604)*INDEX(卡牌消耗!$B$7:$F$7,AR1604)/$Q$4,0),"")</f>
        <v/>
      </c>
    </row>
    <row r="1605" spans="37:52" ht="16.5" x14ac:dyDescent="0.2">
      <c r="AK1605" s="193">
        <v>1601</v>
      </c>
      <c r="AL1605" s="14">
        <f t="shared" si="469"/>
        <v>31</v>
      </c>
      <c r="AM1605" s="14">
        <f>INDEX(挂机升级突破!DQ$6:DQ$57,卡牌消耗!$AT1605)</f>
        <v>11</v>
      </c>
      <c r="AN1605" s="14">
        <f>INDEX(挂机升级突破!DR$6:DR$57,卡牌消耗!$AT1605)</f>
        <v>5</v>
      </c>
      <c r="AO1605" s="14">
        <f>INDEX(挂机升级突破!DS$6:DS$57,卡牌消耗!$AT1605)</f>
        <v>10</v>
      </c>
      <c r="AP1605" s="14">
        <f>INDEX(挂机升级突破!$DP$6:$DP$57,卡牌消耗!AT1605)</f>
        <v>120</v>
      </c>
      <c r="AQ1605" s="14" t="str">
        <f t="shared" si="470"/>
        <v>SSR守护灵</v>
      </c>
      <c r="AR1605" s="14">
        <f t="shared" si="471"/>
        <v>4</v>
      </c>
      <c r="AS1605" s="14" t="str">
        <f t="shared" si="472"/>
        <v>SSR守护灵魂火-41</v>
      </c>
      <c r="AT1605" s="14">
        <f t="shared" si="473"/>
        <v>41</v>
      </c>
      <c r="AU1605" s="14" t="str">
        <f>IF(AM1605&gt;0,INDEX(挂机升级突破!$DT$4:$ED$4,AM1605),"")</f>
        <v>金币</v>
      </c>
      <c r="AV1605" s="14">
        <f>ROUND(INDEX(挂机升级突破!$DJ$6:$DJ$57,卡牌消耗!AT1605)*INDEX(卡牌消耗!$B$8:$F$8,AR1605)/$Q$4/50,0)*50</f>
        <v>44300</v>
      </c>
      <c r="AW1605" s="14" t="str">
        <f>IF(AN1605&gt;0,INDEX(挂机升级突破!$DT$4:$ED$4,AN1605),"")</f>
        <v>红色基础材料</v>
      </c>
      <c r="AX1605" s="14">
        <f>ROUND(INDEX(挂机升级突破!$DT$6:$ED$57,卡牌消耗!AT1605,AN1605)*INDEX(卡牌消耗!$B$5:$F$5,AR1605)/$Q$4/5,0)*5</f>
        <v>10</v>
      </c>
      <c r="AY1605" s="14" t="str">
        <f>IF(AO1605&gt;0,INDEX(挂机升级突破!$DT$4:$ED$4,AO1605),"")</f>
        <v>灵玉</v>
      </c>
      <c r="AZ1605" s="14">
        <f>IF(AO1605&gt;0,ROUND(INDEX(挂机升级突破!$DT$6:$ED$57,卡牌消耗!AT1605,AO1605)*INDEX(卡牌消耗!$B$7:$F$7,AR1605)/$Q$4,0),"")</f>
        <v>3</v>
      </c>
    </row>
    <row r="1606" spans="37:52" ht="16.5" x14ac:dyDescent="0.2">
      <c r="AK1606" s="193">
        <v>1602</v>
      </c>
      <c r="AL1606" s="14">
        <f t="shared" ref="AL1606:AL1668" si="474">INT((AK1606-1)/52)+1</f>
        <v>31</v>
      </c>
      <c r="AM1606" s="14">
        <f>INDEX(挂机升级突破!DQ$6:DQ$57,卡牌消耗!$AT1606)</f>
        <v>11</v>
      </c>
      <c r="AN1606" s="14">
        <f>INDEX(挂机升级突破!DR$6:DR$57,卡牌消耗!$AT1606)</f>
        <v>5</v>
      </c>
      <c r="AO1606" s="14">
        <f>INDEX(挂机升级突破!DS$6:DS$57,卡牌消耗!$AT1606)</f>
        <v>10</v>
      </c>
      <c r="AP1606" s="14">
        <f>INDEX(挂机升级突破!$DP$6:$DP$57,卡牌消耗!AT1606)</f>
        <v>123</v>
      </c>
      <c r="AQ1606" s="14" t="str">
        <f t="shared" si="470"/>
        <v>SSR守护灵</v>
      </c>
      <c r="AR1606" s="14">
        <f t="shared" si="471"/>
        <v>4</v>
      </c>
      <c r="AS1606" s="14" t="str">
        <f t="shared" si="472"/>
        <v>SSR守护灵魂火-42</v>
      </c>
      <c r="AT1606" s="14">
        <f t="shared" si="473"/>
        <v>42</v>
      </c>
      <c r="AU1606" s="14" t="str">
        <f>IF(AM1606&gt;0,INDEX(挂机升级突破!$DT$4:$ED$4,AM1606),"")</f>
        <v>金币</v>
      </c>
      <c r="AV1606" s="14">
        <f>ROUND(INDEX(挂机升级突破!$DJ$6:$DJ$57,卡牌消耗!AT1606)*INDEX(卡牌消耗!$B$8:$F$8,AR1606)/$Q$4/50,0)*50</f>
        <v>44300</v>
      </c>
      <c r="AW1606" s="14" t="str">
        <f>IF(AN1606&gt;0,INDEX(挂机升级突破!$DT$4:$ED$4,AN1606),"")</f>
        <v>红色基础材料</v>
      </c>
      <c r="AX1606" s="14">
        <f>ROUND(INDEX(挂机升级突破!$DT$6:$ED$57,卡牌消耗!AT1606,AN1606)*INDEX(卡牌消耗!$B$5:$F$5,AR1606)/$Q$4/5,0)*5</f>
        <v>10</v>
      </c>
      <c r="AY1606" s="14" t="str">
        <f>IF(AO1606&gt;0,INDEX(挂机升级突破!$DT$4:$ED$4,AO1606),"")</f>
        <v>灵玉</v>
      </c>
      <c r="AZ1606" s="14">
        <f>IF(AO1606&gt;0,ROUND(INDEX(挂机升级突破!$DT$6:$ED$57,卡牌消耗!AT1606,AO1606)*INDEX(卡牌消耗!$B$7:$F$7,AR1606)/$Q$4,0),"")</f>
        <v>3</v>
      </c>
    </row>
    <row r="1607" spans="37:52" ht="16.5" x14ac:dyDescent="0.2">
      <c r="AK1607" s="193">
        <v>1603</v>
      </c>
      <c r="AL1607" s="14">
        <f t="shared" si="474"/>
        <v>31</v>
      </c>
      <c r="AM1607" s="14">
        <f>INDEX(挂机升级突破!DQ$6:DQ$57,卡牌消耗!$AT1607)</f>
        <v>11</v>
      </c>
      <c r="AN1607" s="14">
        <f>INDEX(挂机升级突破!DR$6:DR$57,卡牌消耗!$AT1607)</f>
        <v>5</v>
      </c>
      <c r="AO1607" s="14">
        <f>INDEX(挂机升级突破!DS$6:DS$57,卡牌消耗!$AT1607)</f>
        <v>10</v>
      </c>
      <c r="AP1607" s="14">
        <f>INDEX(挂机升级突破!$DP$6:$DP$57,卡牌消耗!AT1607)</f>
        <v>125</v>
      </c>
      <c r="AQ1607" s="14" t="str">
        <f t="shared" si="470"/>
        <v>SSR守护灵</v>
      </c>
      <c r="AR1607" s="14">
        <f t="shared" si="471"/>
        <v>4</v>
      </c>
      <c r="AS1607" s="14" t="str">
        <f t="shared" si="472"/>
        <v>SSR守护灵魂火-43</v>
      </c>
      <c r="AT1607" s="14">
        <f t="shared" si="473"/>
        <v>43</v>
      </c>
      <c r="AU1607" s="14" t="str">
        <f>IF(AM1607&gt;0,INDEX(挂机升级突破!$DT$4:$ED$4,AM1607),"")</f>
        <v>金币</v>
      </c>
      <c r="AV1607" s="14">
        <f>ROUND(INDEX(挂机升级突破!$DJ$6:$DJ$57,卡牌消耗!AT1607)*INDEX(卡牌消耗!$B$8:$F$8,AR1607)/$Q$4/50,0)*50</f>
        <v>44300</v>
      </c>
      <c r="AW1607" s="14" t="str">
        <f>IF(AN1607&gt;0,INDEX(挂机升级突破!$DT$4:$ED$4,AN1607),"")</f>
        <v>红色基础材料</v>
      </c>
      <c r="AX1607" s="14">
        <f>ROUND(INDEX(挂机升级突破!$DT$6:$ED$57,卡牌消耗!AT1607,AN1607)*INDEX(卡牌消耗!$B$5:$F$5,AR1607)/$Q$4/5,0)*5</f>
        <v>10</v>
      </c>
      <c r="AY1607" s="14" t="str">
        <f>IF(AO1607&gt;0,INDEX(挂机升级突破!$DT$4:$ED$4,AO1607),"")</f>
        <v>灵玉</v>
      </c>
      <c r="AZ1607" s="14">
        <f>IF(AO1607&gt;0,ROUND(INDEX(挂机升级突破!$DT$6:$ED$57,卡牌消耗!AT1607,AO1607)*INDEX(卡牌消耗!$B$7:$F$7,AR1607)/$Q$4,0),"")</f>
        <v>3</v>
      </c>
    </row>
    <row r="1608" spans="37:52" ht="16.5" x14ac:dyDescent="0.2">
      <c r="AK1608" s="193">
        <v>1604</v>
      </c>
      <c r="AL1608" s="14">
        <f t="shared" si="474"/>
        <v>31</v>
      </c>
      <c r="AM1608" s="14">
        <f>INDEX(挂机升级突破!DQ$6:DQ$57,卡牌消耗!$AT1608)</f>
        <v>11</v>
      </c>
      <c r="AN1608" s="14">
        <f>INDEX(挂机升级突破!DR$6:DR$57,卡牌消耗!$AT1608)</f>
        <v>5</v>
      </c>
      <c r="AO1608" s="14">
        <f>INDEX(挂机升级突破!DS$6:DS$57,卡牌消耗!$AT1608)</f>
        <v>10</v>
      </c>
      <c r="AP1608" s="14">
        <f>INDEX(挂机升级突破!$DP$6:$DP$57,卡牌消耗!AT1608)</f>
        <v>128</v>
      </c>
      <c r="AQ1608" s="14" t="str">
        <f t="shared" si="470"/>
        <v>SSR守护灵</v>
      </c>
      <c r="AR1608" s="14">
        <f t="shared" si="471"/>
        <v>4</v>
      </c>
      <c r="AS1608" s="14" t="str">
        <f t="shared" si="472"/>
        <v>SSR守护灵魂火-44</v>
      </c>
      <c r="AT1608" s="14">
        <f t="shared" si="473"/>
        <v>44</v>
      </c>
      <c r="AU1608" s="14" t="str">
        <f>IF(AM1608&gt;0,INDEX(挂机升级突破!$DT$4:$ED$4,AM1608),"")</f>
        <v>金币</v>
      </c>
      <c r="AV1608" s="14">
        <f>ROUND(INDEX(挂机升级突破!$DJ$6:$DJ$57,卡牌消耗!AT1608)*INDEX(卡牌消耗!$B$8:$F$8,AR1608)/$Q$4/50,0)*50</f>
        <v>56400</v>
      </c>
      <c r="AW1608" s="14" t="str">
        <f>IF(AN1608&gt;0,INDEX(挂机升级突破!$DT$4:$ED$4,AN1608),"")</f>
        <v>红色基础材料</v>
      </c>
      <c r="AX1608" s="14">
        <f>ROUND(INDEX(挂机升级突破!$DT$6:$ED$57,卡牌消耗!AT1608,AN1608)*INDEX(卡牌消耗!$B$5:$F$5,AR1608)/$Q$4/5,0)*5</f>
        <v>15</v>
      </c>
      <c r="AY1608" s="14" t="str">
        <f>IF(AO1608&gt;0,INDEX(挂机升级突破!$DT$4:$ED$4,AO1608),"")</f>
        <v>灵玉</v>
      </c>
      <c r="AZ1608" s="14">
        <f>IF(AO1608&gt;0,ROUND(INDEX(挂机升级突破!$DT$6:$ED$57,卡牌消耗!AT1608,AO1608)*INDEX(卡牌消耗!$B$7:$F$7,AR1608)/$Q$4,0),"")</f>
        <v>3</v>
      </c>
    </row>
    <row r="1609" spans="37:52" ht="16.5" x14ac:dyDescent="0.2">
      <c r="AK1609" s="193">
        <v>1605</v>
      </c>
      <c r="AL1609" s="14">
        <f t="shared" si="474"/>
        <v>31</v>
      </c>
      <c r="AM1609" s="14">
        <f>INDEX(挂机升级突破!DQ$6:DQ$57,卡牌消耗!$AT1609)</f>
        <v>11</v>
      </c>
      <c r="AN1609" s="14">
        <f>INDEX(挂机升级突破!DR$6:DR$57,卡牌消耗!$AT1609)</f>
        <v>5</v>
      </c>
      <c r="AO1609" s="14">
        <f>INDEX(挂机升级突破!DS$6:DS$57,卡牌消耗!$AT1609)</f>
        <v>10</v>
      </c>
      <c r="AP1609" s="14">
        <f>INDEX(挂机升级突破!$DP$6:$DP$57,卡牌消耗!AT1609)</f>
        <v>130</v>
      </c>
      <c r="AQ1609" s="14" t="str">
        <f t="shared" si="470"/>
        <v>SSR守护灵</v>
      </c>
      <c r="AR1609" s="14">
        <f t="shared" si="471"/>
        <v>4</v>
      </c>
      <c r="AS1609" s="14" t="str">
        <f t="shared" si="472"/>
        <v>SSR守护灵魂火-45</v>
      </c>
      <c r="AT1609" s="14">
        <f t="shared" si="473"/>
        <v>45</v>
      </c>
      <c r="AU1609" s="14" t="str">
        <f>IF(AM1609&gt;0,INDEX(挂机升级突破!$DT$4:$ED$4,AM1609),"")</f>
        <v>金币</v>
      </c>
      <c r="AV1609" s="14">
        <f>ROUND(INDEX(挂机升级突破!$DJ$6:$DJ$57,卡牌消耗!AT1609)*INDEX(卡牌消耗!$B$8:$F$8,AR1609)/$Q$4/50,0)*50</f>
        <v>56400</v>
      </c>
      <c r="AW1609" s="14" t="str">
        <f>IF(AN1609&gt;0,INDEX(挂机升级突破!$DT$4:$ED$4,AN1609),"")</f>
        <v>红色基础材料</v>
      </c>
      <c r="AX1609" s="14">
        <f>ROUND(INDEX(挂机升级突破!$DT$6:$ED$57,卡牌消耗!AT1609,AN1609)*INDEX(卡牌消耗!$B$5:$F$5,AR1609)/$Q$4/5,0)*5</f>
        <v>15</v>
      </c>
      <c r="AY1609" s="14" t="str">
        <f>IF(AO1609&gt;0,INDEX(挂机升级突破!$DT$4:$ED$4,AO1609),"")</f>
        <v>灵玉</v>
      </c>
      <c r="AZ1609" s="14">
        <f>IF(AO1609&gt;0,ROUND(INDEX(挂机升级突破!$DT$6:$ED$57,卡牌消耗!AT1609,AO1609)*INDEX(卡牌消耗!$B$7:$F$7,AR1609)/$Q$4,0),"")</f>
        <v>3</v>
      </c>
    </row>
    <row r="1610" spans="37:52" ht="16.5" x14ac:dyDescent="0.2">
      <c r="AK1610" s="193">
        <v>1606</v>
      </c>
      <c r="AL1610" s="14">
        <f t="shared" si="474"/>
        <v>31</v>
      </c>
      <c r="AM1610" s="14">
        <f>INDEX(挂机升级突破!DQ$6:DQ$57,卡牌消耗!$AT1610)</f>
        <v>11</v>
      </c>
      <c r="AN1610" s="14">
        <f>INDEX(挂机升级突破!DR$6:DR$57,卡牌消耗!$AT1610)</f>
        <v>5</v>
      </c>
      <c r="AO1610" s="14">
        <f>INDEX(挂机升级突破!DS$6:DS$57,卡牌消耗!$AT1610)</f>
        <v>10</v>
      </c>
      <c r="AP1610" s="14">
        <f>INDEX(挂机升级突破!$DP$6:$DP$57,卡牌消耗!AT1610)</f>
        <v>133</v>
      </c>
      <c r="AQ1610" s="14" t="str">
        <f t="shared" si="470"/>
        <v>SSR守护灵</v>
      </c>
      <c r="AR1610" s="14">
        <f t="shared" si="471"/>
        <v>4</v>
      </c>
      <c r="AS1610" s="14" t="str">
        <f t="shared" si="472"/>
        <v>SSR守护灵魂火-46</v>
      </c>
      <c r="AT1610" s="14">
        <f t="shared" si="473"/>
        <v>46</v>
      </c>
      <c r="AU1610" s="14" t="str">
        <f>IF(AM1610&gt;0,INDEX(挂机升级突破!$DT$4:$ED$4,AM1610),"")</f>
        <v>金币</v>
      </c>
      <c r="AV1610" s="14">
        <f>ROUND(INDEX(挂机升级突破!$DJ$6:$DJ$57,卡牌消耗!AT1610)*INDEX(卡牌消耗!$B$8:$F$8,AR1610)/$Q$4/50,0)*50</f>
        <v>60450</v>
      </c>
      <c r="AW1610" s="14" t="str">
        <f>IF(AN1610&gt;0,INDEX(挂机升级突破!$DT$4:$ED$4,AN1610),"")</f>
        <v>红色基础材料</v>
      </c>
      <c r="AX1610" s="14">
        <f>ROUND(INDEX(挂机升级突破!$DT$6:$ED$57,卡牌消耗!AT1610,AN1610)*INDEX(卡牌消耗!$B$5:$F$5,AR1610)/$Q$4/5,0)*5</f>
        <v>15</v>
      </c>
      <c r="AY1610" s="14" t="str">
        <f>IF(AO1610&gt;0,INDEX(挂机升级突破!$DT$4:$ED$4,AO1610),"")</f>
        <v>灵玉</v>
      </c>
      <c r="AZ1610" s="14">
        <f>IF(AO1610&gt;0,ROUND(INDEX(挂机升级突破!$DT$6:$ED$57,卡牌消耗!AT1610,AO1610)*INDEX(卡牌消耗!$B$7:$F$7,AR1610)/$Q$4,0),"")</f>
        <v>3</v>
      </c>
    </row>
    <row r="1611" spans="37:52" ht="16.5" x14ac:dyDescent="0.2">
      <c r="AK1611" s="193">
        <v>1607</v>
      </c>
      <c r="AL1611" s="14">
        <f t="shared" si="474"/>
        <v>31</v>
      </c>
      <c r="AM1611" s="14">
        <f>INDEX(挂机升级突破!DQ$6:DQ$57,卡牌消耗!$AT1611)</f>
        <v>11</v>
      </c>
      <c r="AN1611" s="14">
        <f>INDEX(挂机升级突破!DR$6:DR$57,卡牌消耗!$AT1611)</f>
        <v>5</v>
      </c>
      <c r="AO1611" s="14">
        <f>INDEX(挂机升级突破!DS$6:DS$57,卡牌消耗!$AT1611)</f>
        <v>10</v>
      </c>
      <c r="AP1611" s="14">
        <f>INDEX(挂机升级突破!$DP$6:$DP$57,卡牌消耗!AT1611)</f>
        <v>135</v>
      </c>
      <c r="AQ1611" s="14" t="str">
        <f t="shared" si="470"/>
        <v>SSR守护灵</v>
      </c>
      <c r="AR1611" s="14">
        <f t="shared" si="471"/>
        <v>4</v>
      </c>
      <c r="AS1611" s="14" t="str">
        <f t="shared" si="472"/>
        <v>SSR守护灵魂火-47</v>
      </c>
      <c r="AT1611" s="14">
        <f t="shared" si="473"/>
        <v>47</v>
      </c>
      <c r="AU1611" s="14" t="str">
        <f>IF(AM1611&gt;0,INDEX(挂机升级突破!$DT$4:$ED$4,AM1611),"")</f>
        <v>金币</v>
      </c>
      <c r="AV1611" s="14">
        <f>ROUND(INDEX(挂机升级突破!$DJ$6:$DJ$57,卡牌消耗!AT1611)*INDEX(卡牌消耗!$B$8:$F$8,AR1611)/$Q$4/50,0)*50</f>
        <v>123100</v>
      </c>
      <c r="AW1611" s="14" t="str">
        <f>IF(AN1611&gt;0,INDEX(挂机升级突破!$DT$4:$ED$4,AN1611),"")</f>
        <v>红色基础材料</v>
      </c>
      <c r="AX1611" s="14">
        <f>ROUND(INDEX(挂机升级突破!$DT$6:$ED$57,卡牌消耗!AT1611,AN1611)*INDEX(卡牌消耗!$B$5:$F$5,AR1611)/$Q$4/5,0)*5</f>
        <v>15</v>
      </c>
      <c r="AY1611" s="14" t="str">
        <f>IF(AO1611&gt;0,INDEX(挂机升级突破!$DT$4:$ED$4,AO1611),"")</f>
        <v>灵玉</v>
      </c>
      <c r="AZ1611" s="14">
        <f>IF(AO1611&gt;0,ROUND(INDEX(挂机升级突破!$DT$6:$ED$57,卡牌消耗!AT1611,AO1611)*INDEX(卡牌消耗!$B$7:$F$7,AR1611)/$Q$4,0),"")</f>
        <v>3</v>
      </c>
    </row>
    <row r="1612" spans="37:52" ht="16.5" x14ac:dyDescent="0.2">
      <c r="AK1612" s="193">
        <v>1608</v>
      </c>
      <c r="AL1612" s="14">
        <f t="shared" si="474"/>
        <v>31</v>
      </c>
      <c r="AM1612" s="14">
        <f>INDEX(挂机升级突破!DQ$6:DQ$57,卡牌消耗!$AT1612)</f>
        <v>11</v>
      </c>
      <c r="AN1612" s="14">
        <f>INDEX(挂机升级突破!DR$6:DR$57,卡牌消耗!$AT1612)</f>
        <v>5</v>
      </c>
      <c r="AO1612" s="14">
        <f>INDEX(挂机升级突破!DS$6:DS$57,卡牌消耗!$AT1612)</f>
        <v>10</v>
      </c>
      <c r="AP1612" s="14">
        <f>INDEX(挂机升级突破!$DP$6:$DP$57,卡牌消耗!AT1612)</f>
        <v>138</v>
      </c>
      <c r="AQ1612" s="14" t="str">
        <f t="shared" si="470"/>
        <v>SSR守护灵</v>
      </c>
      <c r="AR1612" s="14">
        <f t="shared" si="471"/>
        <v>4</v>
      </c>
      <c r="AS1612" s="14" t="str">
        <f t="shared" si="472"/>
        <v>SSR守护灵魂火-48</v>
      </c>
      <c r="AT1612" s="14">
        <f t="shared" si="473"/>
        <v>48</v>
      </c>
      <c r="AU1612" s="14" t="str">
        <f>IF(AM1612&gt;0,INDEX(挂机升级突破!$DT$4:$ED$4,AM1612),"")</f>
        <v>金币</v>
      </c>
      <c r="AV1612" s="14">
        <f>ROUND(INDEX(挂机升级突破!$DJ$6:$DJ$57,卡牌消耗!AT1612)*INDEX(卡牌消耗!$B$8:$F$8,AR1612)/$Q$4/50,0)*50</f>
        <v>123100</v>
      </c>
      <c r="AW1612" s="14" t="str">
        <f>IF(AN1612&gt;0,INDEX(挂机升级突破!$DT$4:$ED$4,AN1612),"")</f>
        <v>红色基础材料</v>
      </c>
      <c r="AX1612" s="14">
        <f>ROUND(INDEX(挂机升级突破!$DT$6:$ED$57,卡牌消耗!AT1612,AN1612)*INDEX(卡牌消耗!$B$5:$F$5,AR1612)/$Q$4/5,0)*5</f>
        <v>15</v>
      </c>
      <c r="AY1612" s="14" t="str">
        <f>IF(AO1612&gt;0,INDEX(挂机升级突破!$DT$4:$ED$4,AO1612),"")</f>
        <v>灵玉</v>
      </c>
      <c r="AZ1612" s="14">
        <f>IF(AO1612&gt;0,ROUND(INDEX(挂机升级突破!$DT$6:$ED$57,卡牌消耗!AT1612,AO1612)*INDEX(卡牌消耗!$B$7:$F$7,AR1612)/$Q$4,0),"")</f>
        <v>3</v>
      </c>
    </row>
    <row r="1613" spans="37:52" ht="16.5" x14ac:dyDescent="0.2">
      <c r="AK1613" s="193">
        <v>1609</v>
      </c>
      <c r="AL1613" s="14">
        <f t="shared" si="474"/>
        <v>31</v>
      </c>
      <c r="AM1613" s="14">
        <f>INDEX(挂机升级突破!DQ$6:DQ$57,卡牌消耗!$AT1613)</f>
        <v>11</v>
      </c>
      <c r="AN1613" s="14">
        <f>INDEX(挂机升级突破!DR$6:DR$57,卡牌消耗!$AT1613)</f>
        <v>5</v>
      </c>
      <c r="AO1613" s="14">
        <f>INDEX(挂机升级突破!DS$6:DS$57,卡牌消耗!$AT1613)</f>
        <v>10</v>
      </c>
      <c r="AP1613" s="14">
        <f>INDEX(挂机升级突破!$DP$6:$DP$57,卡牌消耗!AT1613)</f>
        <v>140</v>
      </c>
      <c r="AQ1613" s="14" t="str">
        <f t="shared" si="470"/>
        <v>SSR守护灵</v>
      </c>
      <c r="AR1613" s="14">
        <f t="shared" si="471"/>
        <v>4</v>
      </c>
      <c r="AS1613" s="14" t="str">
        <f t="shared" si="472"/>
        <v>SSR守护灵魂火-49</v>
      </c>
      <c r="AT1613" s="14">
        <f t="shared" si="473"/>
        <v>49</v>
      </c>
      <c r="AU1613" s="14" t="str">
        <f>IF(AM1613&gt;0,INDEX(挂机升级突破!$DT$4:$ED$4,AM1613),"")</f>
        <v>金币</v>
      </c>
      <c r="AV1613" s="14">
        <f>ROUND(INDEX(挂机升级突破!$DJ$6:$DJ$57,卡牌消耗!AT1613)*INDEX(卡牌消耗!$B$8:$F$8,AR1613)/$Q$4/50,0)*50</f>
        <v>123100</v>
      </c>
      <c r="AW1613" s="14" t="str">
        <f>IF(AN1613&gt;0,INDEX(挂机升级突破!$DT$4:$ED$4,AN1613),"")</f>
        <v>红色基础材料</v>
      </c>
      <c r="AX1613" s="14">
        <f>ROUND(INDEX(挂机升级突破!$DT$6:$ED$57,卡牌消耗!AT1613,AN1613)*INDEX(卡牌消耗!$B$5:$F$5,AR1613)/$Q$4/5,0)*5</f>
        <v>15</v>
      </c>
      <c r="AY1613" s="14" t="str">
        <f>IF(AO1613&gt;0,INDEX(挂机升级突破!$DT$4:$ED$4,AO1613),"")</f>
        <v>灵玉</v>
      </c>
      <c r="AZ1613" s="14">
        <f>IF(AO1613&gt;0,ROUND(INDEX(挂机升级突破!$DT$6:$ED$57,卡牌消耗!AT1613,AO1613)*INDEX(卡牌消耗!$B$7:$F$7,AR1613)/$Q$4,0),"")</f>
        <v>3</v>
      </c>
    </row>
    <row r="1614" spans="37:52" ht="16.5" x14ac:dyDescent="0.2">
      <c r="AK1614" s="193">
        <v>1610</v>
      </c>
      <c r="AL1614" s="14">
        <f t="shared" si="474"/>
        <v>31</v>
      </c>
      <c r="AM1614" s="14">
        <f>INDEX(挂机升级突破!DQ$6:DQ$57,卡牌消耗!$AT1614)</f>
        <v>11</v>
      </c>
      <c r="AN1614" s="14">
        <f>INDEX(挂机升级突破!DR$6:DR$57,卡牌消耗!$AT1614)</f>
        <v>5</v>
      </c>
      <c r="AO1614" s="14">
        <f>INDEX(挂机升级突破!DS$6:DS$57,卡牌消耗!$AT1614)</f>
        <v>10</v>
      </c>
      <c r="AP1614" s="14">
        <f>INDEX(挂机升级突破!$DP$6:$DP$57,卡牌消耗!AT1614)</f>
        <v>143</v>
      </c>
      <c r="AQ1614" s="14" t="str">
        <f t="shared" si="470"/>
        <v>SSR守护灵</v>
      </c>
      <c r="AR1614" s="14">
        <f t="shared" si="471"/>
        <v>4</v>
      </c>
      <c r="AS1614" s="14" t="str">
        <f t="shared" si="472"/>
        <v>SSR守护灵魂火-50</v>
      </c>
      <c r="AT1614" s="14">
        <f t="shared" si="473"/>
        <v>50</v>
      </c>
      <c r="AU1614" s="14" t="str">
        <f>IF(AM1614&gt;0,INDEX(挂机升级突破!$DT$4:$ED$4,AM1614),"")</f>
        <v>金币</v>
      </c>
      <c r="AV1614" s="14">
        <f>ROUND(INDEX(挂机升级突破!$DJ$6:$DJ$57,卡牌消耗!AT1614)*INDEX(卡牌消耗!$B$8:$F$8,AR1614)/$Q$4/50,0)*50</f>
        <v>205150</v>
      </c>
      <c r="AW1614" s="14" t="str">
        <f>IF(AN1614&gt;0,INDEX(挂机升级突破!$DT$4:$ED$4,AN1614),"")</f>
        <v>红色基础材料</v>
      </c>
      <c r="AX1614" s="14">
        <f>ROUND(INDEX(挂机升级突破!$DT$6:$ED$57,卡牌消耗!AT1614,AN1614)*INDEX(卡牌消耗!$B$5:$F$5,AR1614)/$Q$4/5,0)*5</f>
        <v>15</v>
      </c>
      <c r="AY1614" s="14" t="str">
        <f>IF(AO1614&gt;0,INDEX(挂机升级突破!$DT$4:$ED$4,AO1614),"")</f>
        <v>灵玉</v>
      </c>
      <c r="AZ1614" s="14">
        <f>IF(AO1614&gt;0,ROUND(INDEX(挂机升级突破!$DT$6:$ED$57,卡牌消耗!AT1614,AO1614)*INDEX(卡牌消耗!$B$7:$F$7,AR1614)/$Q$4,0),"")</f>
        <v>3</v>
      </c>
    </row>
    <row r="1615" spans="37:52" ht="16.5" x14ac:dyDescent="0.2">
      <c r="AK1615" s="193">
        <v>1611</v>
      </c>
      <c r="AL1615" s="14">
        <f t="shared" si="474"/>
        <v>31</v>
      </c>
      <c r="AM1615" s="14">
        <f>INDEX(挂机升级突破!DQ$6:DQ$57,卡牌消耗!$AT1615)</f>
        <v>11</v>
      </c>
      <c r="AN1615" s="14">
        <f>INDEX(挂机升级突破!DR$6:DR$57,卡牌消耗!$AT1615)</f>
        <v>5</v>
      </c>
      <c r="AO1615" s="14">
        <f>INDEX(挂机升级突破!DS$6:DS$57,卡牌消耗!$AT1615)</f>
        <v>10</v>
      </c>
      <c r="AP1615" s="14">
        <f>INDEX(挂机升级突破!$DP$6:$DP$57,卡牌消耗!AT1615)</f>
        <v>145</v>
      </c>
      <c r="AQ1615" s="14" t="str">
        <f t="shared" si="470"/>
        <v>SSR守护灵</v>
      </c>
      <c r="AR1615" s="14">
        <f t="shared" si="471"/>
        <v>4</v>
      </c>
      <c r="AS1615" s="14" t="str">
        <f t="shared" si="472"/>
        <v>SSR守护灵魂火-51</v>
      </c>
      <c r="AT1615" s="14">
        <f t="shared" si="473"/>
        <v>51</v>
      </c>
      <c r="AU1615" s="14" t="str">
        <f>IF(AM1615&gt;0,INDEX(挂机升级突破!$DT$4:$ED$4,AM1615),"")</f>
        <v>金币</v>
      </c>
      <c r="AV1615" s="14">
        <f>ROUND(INDEX(挂机升级突破!$DJ$6:$DJ$57,卡牌消耗!AT1615)*INDEX(卡牌消耗!$B$8:$F$8,AR1615)/$Q$4/50,0)*50</f>
        <v>225650</v>
      </c>
      <c r="AW1615" s="14" t="str">
        <f>IF(AN1615&gt;0,INDEX(挂机升级突破!$DT$4:$ED$4,AN1615),"")</f>
        <v>红色基础材料</v>
      </c>
      <c r="AX1615" s="14">
        <f>ROUND(INDEX(挂机升级突破!$DT$6:$ED$57,卡牌消耗!AT1615,AN1615)*INDEX(卡牌消耗!$B$5:$F$5,AR1615)/$Q$4/5,0)*5</f>
        <v>15</v>
      </c>
      <c r="AY1615" s="14" t="str">
        <f>IF(AO1615&gt;0,INDEX(挂机升级突破!$DT$4:$ED$4,AO1615),"")</f>
        <v>灵玉</v>
      </c>
      <c r="AZ1615" s="14">
        <f>IF(AO1615&gt;0,ROUND(INDEX(挂机升级突破!$DT$6:$ED$57,卡牌消耗!AT1615,AO1615)*INDEX(卡牌消耗!$B$7:$F$7,AR1615)/$Q$4,0),"")</f>
        <v>3</v>
      </c>
    </row>
    <row r="1616" spans="37:52" ht="16.5" x14ac:dyDescent="0.2">
      <c r="AK1616" s="193">
        <v>1612</v>
      </c>
      <c r="AL1616" s="14">
        <f t="shared" si="474"/>
        <v>31</v>
      </c>
      <c r="AM1616" s="14">
        <f>INDEX(挂机升级突破!DQ$6:DQ$57,卡牌消耗!$AT1616)</f>
        <v>11</v>
      </c>
      <c r="AN1616" s="14">
        <f>INDEX(挂机升级突破!DR$6:DR$57,卡牌消耗!$AT1616)</f>
        <v>5</v>
      </c>
      <c r="AO1616" s="14">
        <f>INDEX(挂机升级突破!DS$6:DS$57,卡牌消耗!$AT1616)</f>
        <v>10</v>
      </c>
      <c r="AP1616" s="14">
        <f>INDEX(挂机升级突破!$DP$6:$DP$57,卡牌消耗!AT1616)</f>
        <v>148</v>
      </c>
      <c r="AQ1616" s="14" t="str">
        <f t="shared" si="470"/>
        <v>SSR守护灵</v>
      </c>
      <c r="AR1616" s="14">
        <f t="shared" si="471"/>
        <v>4</v>
      </c>
      <c r="AS1616" s="14" t="str">
        <f t="shared" si="472"/>
        <v>SSR守护灵魂火-52</v>
      </c>
      <c r="AT1616" s="14">
        <f t="shared" si="473"/>
        <v>52</v>
      </c>
      <c r="AU1616" s="14" t="str">
        <f>IF(AM1616&gt;0,INDEX(挂机升级突破!$DT$4:$ED$4,AM1616),"")</f>
        <v>金币</v>
      </c>
      <c r="AV1616" s="14">
        <f>ROUND(INDEX(挂机升级突破!$DJ$6:$DJ$57,卡牌消耗!AT1616)*INDEX(卡牌消耗!$B$8:$F$8,AR1616)/$Q$4/50,0)*50</f>
        <v>225650</v>
      </c>
      <c r="AW1616" s="14" t="str">
        <f>IF(AN1616&gt;0,INDEX(挂机升级突破!$DT$4:$ED$4,AN1616),"")</f>
        <v>红色基础材料</v>
      </c>
      <c r="AX1616" s="14">
        <f>ROUND(INDEX(挂机升级突破!$DT$6:$ED$57,卡牌消耗!AT1616,AN1616)*INDEX(卡牌消耗!$B$5:$F$5,AR1616)/$Q$4/5,0)*5</f>
        <v>15</v>
      </c>
      <c r="AY1616" s="14" t="str">
        <f>IF(AO1616&gt;0,INDEX(挂机升级突破!$DT$4:$ED$4,AO1616),"")</f>
        <v>灵玉</v>
      </c>
      <c r="AZ1616" s="14">
        <f>IF(AO1616&gt;0,ROUND(INDEX(挂机升级突破!$DT$6:$ED$57,卡牌消耗!AT1616,AO1616)*INDEX(卡牌消耗!$B$7:$F$7,AR1616)/$Q$4,0),"")</f>
        <v>3</v>
      </c>
    </row>
    <row r="1617" spans="37:52" ht="16.5" x14ac:dyDescent="0.2">
      <c r="AK1617" s="193">
        <v>1613</v>
      </c>
      <c r="AL1617" s="14">
        <f t="shared" si="474"/>
        <v>32</v>
      </c>
      <c r="AM1617" s="14">
        <f>INDEX(挂机升级突破!DQ$6:DQ$57,卡牌消耗!$AT1617)</f>
        <v>11</v>
      </c>
      <c r="AN1617" s="14">
        <f>INDEX(挂机升级突破!DR$6:DR$57,卡牌消耗!$AT1617)</f>
        <v>1</v>
      </c>
      <c r="AO1617" s="14">
        <f>INDEX(挂机升级突破!DS$6:DS$57,卡牌消耗!$AT1617)</f>
        <v>0</v>
      </c>
      <c r="AP1617" s="14">
        <f>INDEX(挂机升级突破!$DP$6:$DP$57,卡牌消耗!AT1617)</f>
        <v>3</v>
      </c>
      <c r="AQ1617" s="14" t="str">
        <f t="shared" si="470"/>
        <v>UR守护灵</v>
      </c>
      <c r="AR1617" s="14">
        <f t="shared" si="471"/>
        <v>5</v>
      </c>
      <c r="AS1617" s="14" t="str">
        <f t="shared" si="472"/>
        <v>UR守护灵魂火-1</v>
      </c>
      <c r="AT1617" s="14">
        <f t="shared" si="473"/>
        <v>1</v>
      </c>
      <c r="AU1617" s="14" t="str">
        <f>IF(AM1617&gt;0,INDEX(挂机升级突破!$DT$4:$ED$4,AM1617),"")</f>
        <v>金币</v>
      </c>
      <c r="AV1617" s="14">
        <f>ROUND(INDEX(挂机升级突破!$DJ$6:$DJ$57,卡牌消耗!AT1617)*INDEX(卡牌消耗!$B$8:$F$8,AR1617)/$Q$4/50,0)*50</f>
        <v>1750</v>
      </c>
      <c r="AW1617" s="14" t="str">
        <f>IF(AN1617&gt;0,INDEX(挂机升级突破!$DT$4:$ED$4,AN1617),"")</f>
        <v>绿色基础材料</v>
      </c>
      <c r="AX1617" s="14">
        <f>ROUND(INDEX(挂机升级突破!$DT$6:$ED$57,卡牌消耗!AT1617,AN1617)*INDEX(卡牌消耗!$B$5:$F$5,AR1617)/$Q$4/5,0)*5</f>
        <v>40</v>
      </c>
      <c r="AY1617" s="14" t="str">
        <f>IF(AO1617&gt;0,INDEX(挂机升级突破!$DT$4:$ED$4,AO1617),"")</f>
        <v/>
      </c>
      <c r="AZ1617" s="14" t="str">
        <f>IF(AO1617&gt;0,ROUND(INDEX(挂机升级突破!$DT$6:$ED$57,卡牌消耗!AT1617,AO1617)*INDEX(卡牌消耗!$B$7:$F$7,AR1617)/$Q$4,0),"")</f>
        <v/>
      </c>
    </row>
    <row r="1618" spans="37:52" ht="16.5" x14ac:dyDescent="0.2">
      <c r="AK1618" s="193">
        <v>1614</v>
      </c>
      <c r="AL1618" s="14">
        <f t="shared" si="474"/>
        <v>32</v>
      </c>
      <c r="AM1618" s="14">
        <f>INDEX(挂机升级突破!DQ$6:DQ$57,卡牌消耗!$AT1618)</f>
        <v>11</v>
      </c>
      <c r="AN1618" s="14">
        <f>INDEX(挂机升级突破!DR$6:DR$57,卡牌消耗!$AT1618)</f>
        <v>1</v>
      </c>
      <c r="AO1618" s="14">
        <f>INDEX(挂机升级突破!DS$6:DS$57,卡牌消耗!$AT1618)</f>
        <v>0</v>
      </c>
      <c r="AP1618" s="14">
        <f>INDEX(挂机升级突破!$DP$6:$DP$57,卡牌消耗!AT1618)</f>
        <v>8</v>
      </c>
      <c r="AQ1618" s="14" t="str">
        <f t="shared" si="470"/>
        <v>UR守护灵</v>
      </c>
      <c r="AR1618" s="14">
        <f t="shared" si="471"/>
        <v>5</v>
      </c>
      <c r="AS1618" s="14" t="str">
        <f t="shared" si="472"/>
        <v>UR守护灵魂火-2</v>
      </c>
      <c r="AT1618" s="14">
        <f t="shared" si="473"/>
        <v>2</v>
      </c>
      <c r="AU1618" s="14" t="str">
        <f>IF(AM1618&gt;0,INDEX(挂机升级突破!$DT$4:$ED$4,AM1618),"")</f>
        <v>金币</v>
      </c>
      <c r="AV1618" s="14">
        <f>ROUND(INDEX(挂机升级突破!$DJ$6:$DJ$57,卡牌消耗!AT1618)*INDEX(卡牌消耗!$B$8:$F$8,AR1618)/$Q$4/50,0)*50</f>
        <v>2100</v>
      </c>
      <c r="AW1618" s="14" t="str">
        <f>IF(AN1618&gt;0,INDEX(挂机升级突破!$DT$4:$ED$4,AN1618),"")</f>
        <v>绿色基础材料</v>
      </c>
      <c r="AX1618" s="14">
        <f>ROUND(INDEX(挂机升级突破!$DT$6:$ED$57,卡牌消耗!AT1618,AN1618)*INDEX(卡牌消耗!$B$5:$F$5,AR1618)/$Q$4/5,0)*5</f>
        <v>130</v>
      </c>
      <c r="AY1618" s="14" t="str">
        <f>IF(AO1618&gt;0,INDEX(挂机升级突破!$DT$4:$ED$4,AO1618),"")</f>
        <v/>
      </c>
      <c r="AZ1618" s="14" t="str">
        <f>IF(AO1618&gt;0,ROUND(INDEX(挂机升级突破!$DT$6:$ED$57,卡牌消耗!AT1618,AO1618)*INDEX(卡牌消耗!$B$7:$F$7,AR1618)/$Q$4,0),"")</f>
        <v/>
      </c>
    </row>
    <row r="1619" spans="37:52" ht="16.5" x14ac:dyDescent="0.2">
      <c r="AK1619" s="193">
        <v>1615</v>
      </c>
      <c r="AL1619" s="14">
        <f t="shared" si="474"/>
        <v>32</v>
      </c>
      <c r="AM1619" s="14">
        <f>INDEX(挂机升级突破!DQ$6:DQ$57,卡牌消耗!$AT1619)</f>
        <v>11</v>
      </c>
      <c r="AN1619" s="14">
        <f>INDEX(挂机升级突破!DR$6:DR$57,卡牌消耗!$AT1619)</f>
        <v>1</v>
      </c>
      <c r="AO1619" s="14">
        <f>INDEX(挂机升级突破!DS$6:DS$57,卡牌消耗!$AT1619)</f>
        <v>0</v>
      </c>
      <c r="AP1619" s="14">
        <f>INDEX(挂机升级突破!$DP$6:$DP$57,卡牌消耗!AT1619)</f>
        <v>13</v>
      </c>
      <c r="AQ1619" s="14" t="str">
        <f t="shared" si="470"/>
        <v>UR守护灵</v>
      </c>
      <c r="AR1619" s="14">
        <f t="shared" si="471"/>
        <v>5</v>
      </c>
      <c r="AS1619" s="14" t="str">
        <f t="shared" si="472"/>
        <v>UR守护灵魂火-3</v>
      </c>
      <c r="AT1619" s="14">
        <f t="shared" si="473"/>
        <v>3</v>
      </c>
      <c r="AU1619" s="14" t="str">
        <f>IF(AM1619&gt;0,INDEX(挂机升级突破!$DT$4:$ED$4,AM1619),"")</f>
        <v>金币</v>
      </c>
      <c r="AV1619" s="14">
        <f>ROUND(INDEX(挂机升级突破!$DJ$6:$DJ$57,卡牌消耗!AT1619)*INDEX(卡牌消耗!$B$8:$F$8,AR1619)/$Q$4/50,0)*50</f>
        <v>2100</v>
      </c>
      <c r="AW1619" s="14" t="str">
        <f>IF(AN1619&gt;0,INDEX(挂机升级突破!$DT$4:$ED$4,AN1619),"")</f>
        <v>绿色基础材料</v>
      </c>
      <c r="AX1619" s="14">
        <f>ROUND(INDEX(挂机升级突破!$DT$6:$ED$57,卡牌消耗!AT1619,AN1619)*INDEX(卡牌消耗!$B$5:$F$5,AR1619)/$Q$4/5,0)*5</f>
        <v>155</v>
      </c>
      <c r="AY1619" s="14" t="str">
        <f>IF(AO1619&gt;0,INDEX(挂机升级突破!$DT$4:$ED$4,AO1619),"")</f>
        <v/>
      </c>
      <c r="AZ1619" s="14" t="str">
        <f>IF(AO1619&gt;0,ROUND(INDEX(挂机升级突破!$DT$6:$ED$57,卡牌消耗!AT1619,AO1619)*INDEX(卡牌消耗!$B$7:$F$7,AR1619)/$Q$4,0),"")</f>
        <v/>
      </c>
    </row>
    <row r="1620" spans="37:52" ht="16.5" x14ac:dyDescent="0.2">
      <c r="AK1620" s="193">
        <v>1616</v>
      </c>
      <c r="AL1620" s="14">
        <f t="shared" si="474"/>
        <v>32</v>
      </c>
      <c r="AM1620" s="14">
        <f>INDEX(挂机升级突破!DQ$6:DQ$57,卡牌消耗!$AT1620)</f>
        <v>11</v>
      </c>
      <c r="AN1620" s="14">
        <f>INDEX(挂机升级突破!DR$6:DR$57,卡牌消耗!$AT1620)</f>
        <v>1</v>
      </c>
      <c r="AO1620" s="14">
        <f>INDEX(挂机升级突破!DS$6:DS$57,卡牌消耗!$AT1620)</f>
        <v>0</v>
      </c>
      <c r="AP1620" s="14">
        <f>INDEX(挂机升级突破!$DP$6:$DP$57,卡牌消耗!AT1620)</f>
        <v>18</v>
      </c>
      <c r="AQ1620" s="14" t="str">
        <f t="shared" si="470"/>
        <v>UR守护灵</v>
      </c>
      <c r="AR1620" s="14">
        <f t="shared" si="471"/>
        <v>5</v>
      </c>
      <c r="AS1620" s="14" t="str">
        <f t="shared" si="472"/>
        <v>UR守护灵魂火-4</v>
      </c>
      <c r="AT1620" s="14">
        <f t="shared" si="473"/>
        <v>4</v>
      </c>
      <c r="AU1620" s="14" t="str">
        <f>IF(AM1620&gt;0,INDEX(挂机升级突破!$DT$4:$ED$4,AM1620),"")</f>
        <v>金币</v>
      </c>
      <c r="AV1620" s="14">
        <f>ROUND(INDEX(挂机升级突破!$DJ$6:$DJ$57,卡牌消耗!AT1620)*INDEX(卡牌消耗!$B$8:$F$8,AR1620)/$Q$4/50,0)*50</f>
        <v>2100</v>
      </c>
      <c r="AW1620" s="14" t="str">
        <f>IF(AN1620&gt;0,INDEX(挂机升级突破!$DT$4:$ED$4,AN1620),"")</f>
        <v>绿色基础材料</v>
      </c>
      <c r="AX1620" s="14">
        <f>ROUND(INDEX(挂机升级突破!$DT$6:$ED$57,卡牌消耗!AT1620,AN1620)*INDEX(卡牌消耗!$B$5:$F$5,AR1620)/$Q$4/5,0)*5</f>
        <v>215</v>
      </c>
      <c r="AY1620" s="14" t="str">
        <f>IF(AO1620&gt;0,INDEX(挂机升级突破!$DT$4:$ED$4,AO1620),"")</f>
        <v/>
      </c>
      <c r="AZ1620" s="14" t="str">
        <f>IF(AO1620&gt;0,ROUND(INDEX(挂机升级突破!$DT$6:$ED$57,卡牌消耗!AT1620,AO1620)*INDEX(卡牌消耗!$B$7:$F$7,AR1620)/$Q$4,0),"")</f>
        <v/>
      </c>
    </row>
    <row r="1621" spans="37:52" ht="16.5" x14ac:dyDescent="0.2">
      <c r="AK1621" s="193">
        <v>1617</v>
      </c>
      <c r="AL1621" s="14">
        <f t="shared" si="474"/>
        <v>32</v>
      </c>
      <c r="AM1621" s="14">
        <f>INDEX(挂机升级突破!DQ$6:DQ$57,卡牌消耗!$AT1621)</f>
        <v>11</v>
      </c>
      <c r="AN1621" s="14">
        <f>INDEX(挂机升级突破!DR$6:DR$57,卡牌消耗!$AT1621)</f>
        <v>1</v>
      </c>
      <c r="AO1621" s="14">
        <f>INDEX(挂机升级突破!DS$6:DS$57,卡牌消耗!$AT1621)</f>
        <v>0</v>
      </c>
      <c r="AP1621" s="14">
        <f>INDEX(挂机升级突破!$DP$6:$DP$57,卡牌消耗!AT1621)</f>
        <v>23</v>
      </c>
      <c r="AQ1621" s="14" t="str">
        <f t="shared" si="470"/>
        <v>UR守护灵</v>
      </c>
      <c r="AR1621" s="14">
        <f t="shared" si="471"/>
        <v>5</v>
      </c>
      <c r="AS1621" s="14" t="str">
        <f t="shared" si="472"/>
        <v>UR守护灵魂火-5</v>
      </c>
      <c r="AT1621" s="14">
        <f t="shared" si="473"/>
        <v>5</v>
      </c>
      <c r="AU1621" s="14" t="str">
        <f>IF(AM1621&gt;0,INDEX(挂机升级突破!$DT$4:$ED$4,AM1621),"")</f>
        <v>金币</v>
      </c>
      <c r="AV1621" s="14">
        <f>ROUND(INDEX(挂机升级突破!$DJ$6:$DJ$57,卡牌消耗!AT1621)*INDEX(卡牌消耗!$B$8:$F$8,AR1621)/$Q$4/50,0)*50</f>
        <v>2100</v>
      </c>
      <c r="AW1621" s="14" t="str">
        <f>IF(AN1621&gt;0,INDEX(挂机升级突破!$DT$4:$ED$4,AN1621),"")</f>
        <v>绿色基础材料</v>
      </c>
      <c r="AX1621" s="14">
        <f>ROUND(INDEX(挂机升级突破!$DT$6:$ED$57,卡牌消耗!AT1621,AN1621)*INDEX(卡牌消耗!$B$5:$F$5,AR1621)/$Q$4/5,0)*5</f>
        <v>230</v>
      </c>
      <c r="AY1621" s="14" t="str">
        <f>IF(AO1621&gt;0,INDEX(挂机升级突破!$DT$4:$ED$4,AO1621),"")</f>
        <v/>
      </c>
      <c r="AZ1621" s="14" t="str">
        <f>IF(AO1621&gt;0,ROUND(INDEX(挂机升级突破!$DT$6:$ED$57,卡牌消耗!AT1621,AO1621)*INDEX(卡牌消耗!$B$7:$F$7,AR1621)/$Q$4,0),"")</f>
        <v/>
      </c>
    </row>
    <row r="1622" spans="37:52" ht="16.5" x14ac:dyDescent="0.2">
      <c r="AK1622" s="193">
        <v>1618</v>
      </c>
      <c r="AL1622" s="14">
        <f t="shared" si="474"/>
        <v>32</v>
      </c>
      <c r="AM1622" s="14">
        <f>INDEX(挂机升级突破!DQ$6:DQ$57,卡牌消耗!$AT1622)</f>
        <v>11</v>
      </c>
      <c r="AN1622" s="14">
        <f>INDEX(挂机升级突破!DR$6:DR$57,卡牌消耗!$AT1622)</f>
        <v>2</v>
      </c>
      <c r="AO1622" s="14">
        <f>INDEX(挂机升级突破!DS$6:DS$57,卡牌消耗!$AT1622)</f>
        <v>0</v>
      </c>
      <c r="AP1622" s="14">
        <f>INDEX(挂机升级突破!$DP$6:$DP$57,卡牌消耗!AT1622)</f>
        <v>28</v>
      </c>
      <c r="AQ1622" s="14" t="str">
        <f t="shared" si="470"/>
        <v>UR守护灵</v>
      </c>
      <c r="AR1622" s="14">
        <f t="shared" si="471"/>
        <v>5</v>
      </c>
      <c r="AS1622" s="14" t="str">
        <f t="shared" si="472"/>
        <v>UR守护灵魂火-6</v>
      </c>
      <c r="AT1622" s="14">
        <f t="shared" si="473"/>
        <v>6</v>
      </c>
      <c r="AU1622" s="14" t="str">
        <f>IF(AM1622&gt;0,INDEX(挂机升级突破!$DT$4:$ED$4,AM1622),"")</f>
        <v>金币</v>
      </c>
      <c r="AV1622" s="14">
        <f>ROUND(INDEX(挂机升级突破!$DJ$6:$DJ$57,卡牌消耗!AT1622)*INDEX(卡牌消耗!$B$8:$F$8,AR1622)/$Q$4/50,0)*50</f>
        <v>2550</v>
      </c>
      <c r="AW1622" s="14" t="str">
        <f>IF(AN1622&gt;0,INDEX(挂机升级突破!$DT$4:$ED$4,AN1622),"")</f>
        <v>蓝色基础材料</v>
      </c>
      <c r="AX1622" s="14">
        <f>ROUND(INDEX(挂机升级突破!$DT$6:$ED$57,卡牌消耗!AT1622,AN1622)*INDEX(卡牌消耗!$B$5:$F$5,AR1622)/$Q$4/5,0)*5</f>
        <v>45</v>
      </c>
      <c r="AY1622" s="14" t="str">
        <f>IF(AO1622&gt;0,INDEX(挂机升级突破!$DT$4:$ED$4,AO1622),"")</f>
        <v/>
      </c>
      <c r="AZ1622" s="14" t="str">
        <f>IF(AO1622&gt;0,ROUND(INDEX(挂机升级突破!$DT$6:$ED$57,卡牌消耗!AT1622,AO1622)*INDEX(卡牌消耗!$B$7:$F$7,AR1622)/$Q$4,0),"")</f>
        <v/>
      </c>
    </row>
    <row r="1623" spans="37:52" ht="16.5" x14ac:dyDescent="0.2">
      <c r="AK1623" s="193">
        <v>1619</v>
      </c>
      <c r="AL1623" s="14">
        <f t="shared" si="474"/>
        <v>32</v>
      </c>
      <c r="AM1623" s="14">
        <f>INDEX(挂机升级突破!DQ$6:DQ$57,卡牌消耗!$AT1623)</f>
        <v>11</v>
      </c>
      <c r="AN1623" s="14">
        <f>INDEX(挂机升级突破!DR$6:DR$57,卡牌消耗!$AT1623)</f>
        <v>2</v>
      </c>
      <c r="AO1623" s="14">
        <f>INDEX(挂机升级突破!DS$6:DS$57,卡牌消耗!$AT1623)</f>
        <v>0</v>
      </c>
      <c r="AP1623" s="14">
        <f>INDEX(挂机升级突破!$DP$6:$DP$57,卡牌消耗!AT1623)</f>
        <v>33</v>
      </c>
      <c r="AQ1623" s="14" t="str">
        <f t="shared" si="470"/>
        <v>UR守护灵</v>
      </c>
      <c r="AR1623" s="14">
        <f t="shared" si="471"/>
        <v>5</v>
      </c>
      <c r="AS1623" s="14" t="str">
        <f t="shared" si="472"/>
        <v>UR守护灵魂火-7</v>
      </c>
      <c r="AT1623" s="14">
        <f t="shared" si="473"/>
        <v>7</v>
      </c>
      <c r="AU1623" s="14" t="str">
        <f>IF(AM1623&gt;0,INDEX(挂机升级突破!$DT$4:$ED$4,AM1623),"")</f>
        <v>金币</v>
      </c>
      <c r="AV1623" s="14">
        <f>ROUND(INDEX(挂机升级突破!$DJ$6:$DJ$57,卡牌消耗!AT1623)*INDEX(卡牌消耗!$B$8:$F$8,AR1623)/$Q$4/50,0)*50</f>
        <v>2550</v>
      </c>
      <c r="AW1623" s="14" t="str">
        <f>IF(AN1623&gt;0,INDEX(挂机升级突破!$DT$4:$ED$4,AN1623),"")</f>
        <v>蓝色基础材料</v>
      </c>
      <c r="AX1623" s="14">
        <f>ROUND(INDEX(挂机升级突破!$DT$6:$ED$57,卡牌消耗!AT1623,AN1623)*INDEX(卡牌消耗!$B$5:$F$5,AR1623)/$Q$4/5,0)*5</f>
        <v>45</v>
      </c>
      <c r="AY1623" s="14" t="str">
        <f>IF(AO1623&gt;0,INDEX(挂机升级突破!$DT$4:$ED$4,AO1623),"")</f>
        <v/>
      </c>
      <c r="AZ1623" s="14" t="str">
        <f>IF(AO1623&gt;0,ROUND(INDEX(挂机升级突破!$DT$6:$ED$57,卡牌消耗!AT1623,AO1623)*INDEX(卡牌消耗!$B$7:$F$7,AR1623)/$Q$4,0),"")</f>
        <v/>
      </c>
    </row>
    <row r="1624" spans="37:52" ht="16.5" x14ac:dyDescent="0.2">
      <c r="AK1624" s="193">
        <v>1620</v>
      </c>
      <c r="AL1624" s="14">
        <f t="shared" si="474"/>
        <v>32</v>
      </c>
      <c r="AM1624" s="14">
        <f>INDEX(挂机升级突破!DQ$6:DQ$57,卡牌消耗!$AT1624)</f>
        <v>11</v>
      </c>
      <c r="AN1624" s="14">
        <f>INDEX(挂机升级突破!DR$6:DR$57,卡牌消耗!$AT1624)</f>
        <v>2</v>
      </c>
      <c r="AO1624" s="14">
        <f>INDEX(挂机升级突破!DS$6:DS$57,卡牌消耗!$AT1624)</f>
        <v>0</v>
      </c>
      <c r="AP1624" s="14">
        <f>INDEX(挂机升级突破!$DP$6:$DP$57,卡牌消耗!AT1624)</f>
        <v>38</v>
      </c>
      <c r="AQ1624" s="14" t="str">
        <f t="shared" ref="AQ1624:AQ1668" si="475">INDEX($B$13:$B$45,AL1624)</f>
        <v>UR守护灵</v>
      </c>
      <c r="AR1624" s="14">
        <f t="shared" ref="AR1624:AR1668" si="476">INDEX($C$13:$C$45,AL1624)</f>
        <v>5</v>
      </c>
      <c r="AS1624" s="14" t="str">
        <f t="shared" ref="AS1624:AS1668" si="477">AQ1624&amp;"魂火-"&amp;AT1624</f>
        <v>UR守护灵魂火-8</v>
      </c>
      <c r="AT1624" s="14">
        <f t="shared" ref="AT1624:AT1668" si="478">AK1624-(AL1624-1)*52</f>
        <v>8</v>
      </c>
      <c r="AU1624" s="14" t="str">
        <f>IF(AM1624&gt;0,INDEX(挂机升级突破!$DT$4:$ED$4,AM1624),"")</f>
        <v>金币</v>
      </c>
      <c r="AV1624" s="14">
        <f>ROUND(INDEX(挂机升级突破!$DJ$6:$DJ$57,卡牌消耗!AT1624)*INDEX(卡牌消耗!$B$8:$F$8,AR1624)/$Q$4/50,0)*50</f>
        <v>3800</v>
      </c>
      <c r="AW1624" s="14" t="str">
        <f>IF(AN1624&gt;0,INDEX(挂机升级突破!$DT$4:$ED$4,AN1624),"")</f>
        <v>蓝色基础材料</v>
      </c>
      <c r="AX1624" s="14">
        <f>ROUND(INDEX(挂机升级突破!$DT$6:$ED$57,卡牌消耗!AT1624,AN1624)*INDEX(卡牌消耗!$B$5:$F$5,AR1624)/$Q$4/5,0)*5</f>
        <v>85</v>
      </c>
      <c r="AY1624" s="14" t="str">
        <f>IF(AO1624&gt;0,INDEX(挂机升级突破!$DT$4:$ED$4,AO1624),"")</f>
        <v/>
      </c>
      <c r="AZ1624" s="14" t="str">
        <f>IF(AO1624&gt;0,ROUND(INDEX(挂机升级突破!$DT$6:$ED$57,卡牌消耗!AT1624,AO1624)*INDEX(卡牌消耗!$B$7:$F$7,AR1624)/$Q$4,0),"")</f>
        <v/>
      </c>
    </row>
    <row r="1625" spans="37:52" ht="16.5" x14ac:dyDescent="0.2">
      <c r="AK1625" s="193">
        <v>1621</v>
      </c>
      <c r="AL1625" s="14">
        <f t="shared" si="474"/>
        <v>32</v>
      </c>
      <c r="AM1625" s="14">
        <f>INDEX(挂机升级突破!DQ$6:DQ$57,卡牌消耗!$AT1625)</f>
        <v>11</v>
      </c>
      <c r="AN1625" s="14">
        <f>INDEX(挂机升级突破!DR$6:DR$57,卡牌消耗!$AT1625)</f>
        <v>2</v>
      </c>
      <c r="AO1625" s="14">
        <f>INDEX(挂机升级突破!DS$6:DS$57,卡牌消耗!$AT1625)</f>
        <v>0</v>
      </c>
      <c r="AP1625" s="14">
        <f>INDEX(挂机升级突破!$DP$6:$DP$57,卡牌消耗!AT1625)</f>
        <v>40</v>
      </c>
      <c r="AQ1625" s="14" t="str">
        <f t="shared" si="475"/>
        <v>UR守护灵</v>
      </c>
      <c r="AR1625" s="14">
        <f t="shared" si="476"/>
        <v>5</v>
      </c>
      <c r="AS1625" s="14" t="str">
        <f t="shared" si="477"/>
        <v>UR守护灵魂火-9</v>
      </c>
      <c r="AT1625" s="14">
        <f t="shared" si="478"/>
        <v>9</v>
      </c>
      <c r="AU1625" s="14" t="str">
        <f>IF(AM1625&gt;0,INDEX(挂机升级突破!$DT$4:$ED$4,AM1625),"")</f>
        <v>金币</v>
      </c>
      <c r="AV1625" s="14">
        <f>ROUND(INDEX(挂机升级突破!$DJ$6:$DJ$57,卡牌消耗!AT1625)*INDEX(卡牌消耗!$B$8:$F$8,AR1625)/$Q$4/50,0)*50</f>
        <v>3800</v>
      </c>
      <c r="AW1625" s="14" t="str">
        <f>IF(AN1625&gt;0,INDEX(挂机升级突破!$DT$4:$ED$4,AN1625),"")</f>
        <v>蓝色基础材料</v>
      </c>
      <c r="AX1625" s="14">
        <f>ROUND(INDEX(挂机升级突破!$DT$6:$ED$57,卡牌消耗!AT1625,AN1625)*INDEX(卡牌消耗!$B$5:$F$5,AR1625)/$Q$4/5,0)*5</f>
        <v>85</v>
      </c>
      <c r="AY1625" s="14" t="str">
        <f>IF(AO1625&gt;0,INDEX(挂机升级突破!$DT$4:$ED$4,AO1625),"")</f>
        <v/>
      </c>
      <c r="AZ1625" s="14" t="str">
        <f>IF(AO1625&gt;0,ROUND(INDEX(挂机升级突破!$DT$6:$ED$57,卡牌消耗!AT1625,AO1625)*INDEX(卡牌消耗!$B$7:$F$7,AR1625)/$Q$4,0),"")</f>
        <v/>
      </c>
    </row>
    <row r="1626" spans="37:52" ht="16.5" x14ac:dyDescent="0.2">
      <c r="AK1626" s="193">
        <v>1622</v>
      </c>
      <c r="AL1626" s="14">
        <f t="shared" si="474"/>
        <v>32</v>
      </c>
      <c r="AM1626" s="14">
        <f>INDEX(挂机升级突破!DQ$6:DQ$57,卡牌消耗!$AT1626)</f>
        <v>11</v>
      </c>
      <c r="AN1626" s="14">
        <f>INDEX(挂机升级突破!DR$6:DR$57,卡牌消耗!$AT1626)</f>
        <v>2</v>
      </c>
      <c r="AO1626" s="14">
        <f>INDEX(挂机升级突破!DS$6:DS$57,卡牌消耗!$AT1626)</f>
        <v>0</v>
      </c>
      <c r="AP1626" s="14">
        <f>INDEX(挂机升级突破!$DP$6:$DP$57,卡牌消耗!AT1626)</f>
        <v>43</v>
      </c>
      <c r="AQ1626" s="14" t="str">
        <f t="shared" si="475"/>
        <v>UR守护灵</v>
      </c>
      <c r="AR1626" s="14">
        <f t="shared" si="476"/>
        <v>5</v>
      </c>
      <c r="AS1626" s="14" t="str">
        <f t="shared" si="477"/>
        <v>UR守护灵魂火-10</v>
      </c>
      <c r="AT1626" s="14">
        <f t="shared" si="478"/>
        <v>10</v>
      </c>
      <c r="AU1626" s="14" t="str">
        <f>IF(AM1626&gt;0,INDEX(挂机升级突破!$DT$4:$ED$4,AM1626),"")</f>
        <v>金币</v>
      </c>
      <c r="AV1626" s="14">
        <f>ROUND(INDEX(挂机升级突破!$DJ$6:$DJ$57,卡牌消耗!AT1626)*INDEX(卡牌消耗!$B$8:$F$8,AR1626)/$Q$4/50,0)*50</f>
        <v>6350</v>
      </c>
      <c r="AW1626" s="14" t="str">
        <f>IF(AN1626&gt;0,INDEX(挂机升级突破!$DT$4:$ED$4,AN1626),"")</f>
        <v>蓝色基础材料</v>
      </c>
      <c r="AX1626" s="14">
        <f>ROUND(INDEX(挂机升级突破!$DT$6:$ED$57,卡牌消耗!AT1626,AN1626)*INDEX(卡牌消耗!$B$5:$F$5,AR1626)/$Q$4/5,0)*5</f>
        <v>130</v>
      </c>
      <c r="AY1626" s="14" t="str">
        <f>IF(AO1626&gt;0,INDEX(挂机升级突破!$DT$4:$ED$4,AO1626),"")</f>
        <v/>
      </c>
      <c r="AZ1626" s="14" t="str">
        <f>IF(AO1626&gt;0,ROUND(INDEX(挂机升级突破!$DT$6:$ED$57,卡牌消耗!AT1626,AO1626)*INDEX(卡牌消耗!$B$7:$F$7,AR1626)/$Q$4,0),"")</f>
        <v/>
      </c>
    </row>
    <row r="1627" spans="37:52" ht="16.5" x14ac:dyDescent="0.2">
      <c r="AK1627" s="193">
        <v>1623</v>
      </c>
      <c r="AL1627" s="14">
        <f t="shared" si="474"/>
        <v>32</v>
      </c>
      <c r="AM1627" s="14">
        <f>INDEX(挂机升级突破!DQ$6:DQ$57,卡牌消耗!$AT1627)</f>
        <v>11</v>
      </c>
      <c r="AN1627" s="14">
        <f>INDEX(挂机升级突破!DR$6:DR$57,卡牌消耗!$AT1627)</f>
        <v>2</v>
      </c>
      <c r="AO1627" s="14">
        <f>INDEX(挂机升级突破!DS$6:DS$57,卡牌消耗!$AT1627)</f>
        <v>0</v>
      </c>
      <c r="AP1627" s="14">
        <f>INDEX(挂机升级突破!$DP$6:$DP$57,卡牌消耗!AT1627)</f>
        <v>45</v>
      </c>
      <c r="AQ1627" s="14" t="str">
        <f t="shared" si="475"/>
        <v>UR守护灵</v>
      </c>
      <c r="AR1627" s="14">
        <f t="shared" si="476"/>
        <v>5</v>
      </c>
      <c r="AS1627" s="14" t="str">
        <f t="shared" si="477"/>
        <v>UR守护灵魂火-11</v>
      </c>
      <c r="AT1627" s="14">
        <f t="shared" si="478"/>
        <v>11</v>
      </c>
      <c r="AU1627" s="14" t="str">
        <f>IF(AM1627&gt;0,INDEX(挂机升级突破!$DT$4:$ED$4,AM1627),"")</f>
        <v>金币</v>
      </c>
      <c r="AV1627" s="14">
        <f>ROUND(INDEX(挂机升级突破!$DJ$6:$DJ$57,卡牌消耗!AT1627)*INDEX(卡牌消耗!$B$8:$F$8,AR1627)/$Q$4/50,0)*50</f>
        <v>6350</v>
      </c>
      <c r="AW1627" s="14" t="str">
        <f>IF(AN1627&gt;0,INDEX(挂机升级突破!$DT$4:$ED$4,AN1627),"")</f>
        <v>蓝色基础材料</v>
      </c>
      <c r="AX1627" s="14">
        <f>ROUND(INDEX(挂机升级突破!$DT$6:$ED$57,卡牌消耗!AT1627,AN1627)*INDEX(卡牌消耗!$B$5:$F$5,AR1627)/$Q$4/5,0)*5</f>
        <v>130</v>
      </c>
      <c r="AY1627" s="14" t="str">
        <f>IF(AO1627&gt;0,INDEX(挂机升级突破!$DT$4:$ED$4,AO1627),"")</f>
        <v/>
      </c>
      <c r="AZ1627" s="14" t="str">
        <f>IF(AO1627&gt;0,ROUND(INDEX(挂机升级突破!$DT$6:$ED$57,卡牌消耗!AT1627,AO1627)*INDEX(卡牌消耗!$B$7:$F$7,AR1627)/$Q$4,0),"")</f>
        <v/>
      </c>
    </row>
    <row r="1628" spans="37:52" ht="16.5" x14ac:dyDescent="0.2">
      <c r="AK1628" s="193">
        <v>1624</v>
      </c>
      <c r="AL1628" s="14">
        <f t="shared" si="474"/>
        <v>32</v>
      </c>
      <c r="AM1628" s="14">
        <f>INDEX(挂机升级突破!DQ$6:DQ$57,卡牌消耗!$AT1628)</f>
        <v>11</v>
      </c>
      <c r="AN1628" s="14">
        <f>INDEX(挂机升级突破!DR$6:DR$57,卡牌消耗!$AT1628)</f>
        <v>2</v>
      </c>
      <c r="AO1628" s="14">
        <f>INDEX(挂机升级突破!DS$6:DS$57,卡牌消耗!$AT1628)</f>
        <v>0</v>
      </c>
      <c r="AP1628" s="14">
        <f>INDEX(挂机升级突破!$DP$6:$DP$57,卡牌消耗!AT1628)</f>
        <v>48</v>
      </c>
      <c r="AQ1628" s="14" t="str">
        <f t="shared" si="475"/>
        <v>UR守护灵</v>
      </c>
      <c r="AR1628" s="14">
        <f t="shared" si="476"/>
        <v>5</v>
      </c>
      <c r="AS1628" s="14" t="str">
        <f t="shared" si="477"/>
        <v>UR守护灵魂火-12</v>
      </c>
      <c r="AT1628" s="14">
        <f t="shared" si="478"/>
        <v>12</v>
      </c>
      <c r="AU1628" s="14" t="str">
        <f>IF(AM1628&gt;0,INDEX(挂机升级突破!$DT$4:$ED$4,AM1628),"")</f>
        <v>金币</v>
      </c>
      <c r="AV1628" s="14">
        <f>ROUND(INDEX(挂机升级突破!$DJ$6:$DJ$57,卡牌消耗!AT1628)*INDEX(卡牌消耗!$B$8:$F$8,AR1628)/$Q$4/50,0)*50</f>
        <v>5450</v>
      </c>
      <c r="AW1628" s="14" t="str">
        <f>IF(AN1628&gt;0,INDEX(挂机升级突破!$DT$4:$ED$4,AN1628),"")</f>
        <v>蓝色基础材料</v>
      </c>
      <c r="AX1628" s="14">
        <f>ROUND(INDEX(挂机升级突破!$DT$6:$ED$57,卡牌消耗!AT1628,AN1628)*INDEX(卡牌消耗!$B$5:$F$5,AR1628)/$Q$4/5,0)*5</f>
        <v>175</v>
      </c>
      <c r="AY1628" s="14" t="str">
        <f>IF(AO1628&gt;0,INDEX(挂机升级突破!$DT$4:$ED$4,AO1628),"")</f>
        <v/>
      </c>
      <c r="AZ1628" s="14" t="str">
        <f>IF(AO1628&gt;0,ROUND(INDEX(挂机升级突破!$DT$6:$ED$57,卡牌消耗!AT1628,AO1628)*INDEX(卡牌消耗!$B$7:$F$7,AR1628)/$Q$4,0),"")</f>
        <v/>
      </c>
    </row>
    <row r="1629" spans="37:52" ht="16.5" x14ac:dyDescent="0.2">
      <c r="AK1629" s="193">
        <v>1625</v>
      </c>
      <c r="AL1629" s="14">
        <f t="shared" si="474"/>
        <v>32</v>
      </c>
      <c r="AM1629" s="14">
        <f>INDEX(挂机升级突破!DQ$6:DQ$57,卡牌消耗!$AT1629)</f>
        <v>11</v>
      </c>
      <c r="AN1629" s="14">
        <f>INDEX(挂机升级突破!DR$6:DR$57,卡牌消耗!$AT1629)</f>
        <v>2</v>
      </c>
      <c r="AO1629" s="14">
        <f>INDEX(挂机升级突破!DS$6:DS$57,卡牌消耗!$AT1629)</f>
        <v>0</v>
      </c>
      <c r="AP1629" s="14">
        <f>INDEX(挂机升级突破!$DP$6:$DP$57,卡牌消耗!AT1629)</f>
        <v>50</v>
      </c>
      <c r="AQ1629" s="14" t="str">
        <f t="shared" si="475"/>
        <v>UR守护灵</v>
      </c>
      <c r="AR1629" s="14">
        <f t="shared" si="476"/>
        <v>5</v>
      </c>
      <c r="AS1629" s="14" t="str">
        <f t="shared" si="477"/>
        <v>UR守护灵魂火-13</v>
      </c>
      <c r="AT1629" s="14">
        <f t="shared" si="478"/>
        <v>13</v>
      </c>
      <c r="AU1629" s="14" t="str">
        <f>IF(AM1629&gt;0,INDEX(挂机升级突破!$DT$4:$ED$4,AM1629),"")</f>
        <v>金币</v>
      </c>
      <c r="AV1629" s="14">
        <f>ROUND(INDEX(挂机升级突破!$DJ$6:$DJ$57,卡牌消耗!AT1629)*INDEX(卡牌消耗!$B$8:$F$8,AR1629)/$Q$4/50,0)*50</f>
        <v>5450</v>
      </c>
      <c r="AW1629" s="14" t="str">
        <f>IF(AN1629&gt;0,INDEX(挂机升级突破!$DT$4:$ED$4,AN1629),"")</f>
        <v>蓝色基础材料</v>
      </c>
      <c r="AX1629" s="14">
        <f>ROUND(INDEX(挂机升级突破!$DT$6:$ED$57,卡牌消耗!AT1629,AN1629)*INDEX(卡牌消耗!$B$5:$F$5,AR1629)/$Q$4/5,0)*5</f>
        <v>175</v>
      </c>
      <c r="AY1629" s="14" t="str">
        <f>IF(AO1629&gt;0,INDEX(挂机升级突破!$DT$4:$ED$4,AO1629),"")</f>
        <v/>
      </c>
      <c r="AZ1629" s="14" t="str">
        <f>IF(AO1629&gt;0,ROUND(INDEX(挂机升级突破!$DT$6:$ED$57,卡牌消耗!AT1629,AO1629)*INDEX(卡牌消耗!$B$7:$F$7,AR1629)/$Q$4,0),"")</f>
        <v/>
      </c>
    </row>
    <row r="1630" spans="37:52" ht="16.5" x14ac:dyDescent="0.2">
      <c r="AK1630" s="193">
        <v>1626</v>
      </c>
      <c r="AL1630" s="14">
        <f t="shared" si="474"/>
        <v>32</v>
      </c>
      <c r="AM1630" s="14">
        <f>INDEX(挂机升级突破!DQ$6:DQ$57,卡牌消耗!$AT1630)</f>
        <v>11</v>
      </c>
      <c r="AN1630" s="14">
        <f>INDEX(挂机升级突破!DR$6:DR$57,卡牌消耗!$AT1630)</f>
        <v>3</v>
      </c>
      <c r="AO1630" s="14">
        <f>INDEX(挂机升级突破!DS$6:DS$57,卡牌消耗!$AT1630)</f>
        <v>0</v>
      </c>
      <c r="AP1630" s="14">
        <f>INDEX(挂机升级突破!$DP$6:$DP$57,卡牌消耗!AT1630)</f>
        <v>53</v>
      </c>
      <c r="AQ1630" s="14" t="str">
        <f t="shared" si="475"/>
        <v>UR守护灵</v>
      </c>
      <c r="AR1630" s="14">
        <f t="shared" si="476"/>
        <v>5</v>
      </c>
      <c r="AS1630" s="14" t="str">
        <f t="shared" si="477"/>
        <v>UR守护灵魂火-14</v>
      </c>
      <c r="AT1630" s="14">
        <f t="shared" si="478"/>
        <v>14</v>
      </c>
      <c r="AU1630" s="14" t="str">
        <f>IF(AM1630&gt;0,INDEX(挂机升级突破!$DT$4:$ED$4,AM1630),"")</f>
        <v>金币</v>
      </c>
      <c r="AV1630" s="14">
        <f>ROUND(INDEX(挂机升级突破!$DJ$6:$DJ$57,卡牌消耗!AT1630)*INDEX(卡牌消耗!$B$8:$F$8,AR1630)/$Q$4/50,0)*50</f>
        <v>6000</v>
      </c>
      <c r="AW1630" s="14" t="str">
        <f>IF(AN1630&gt;0,INDEX(挂机升级突破!$DT$4:$ED$4,AN1630),"")</f>
        <v>紫色基础材料</v>
      </c>
      <c r="AX1630" s="14">
        <f>ROUND(INDEX(挂机升级突破!$DT$6:$ED$57,卡牌消耗!AT1630,AN1630)*INDEX(卡牌消耗!$B$5:$F$5,AR1630)/$Q$4/5,0)*5</f>
        <v>35</v>
      </c>
      <c r="AY1630" s="14" t="str">
        <f>IF(AO1630&gt;0,INDEX(挂机升级突破!$DT$4:$ED$4,AO1630),"")</f>
        <v/>
      </c>
      <c r="AZ1630" s="14" t="str">
        <f>IF(AO1630&gt;0,ROUND(INDEX(挂机升级突破!$DT$6:$ED$57,卡牌消耗!AT1630,AO1630)*INDEX(卡牌消耗!$B$7:$F$7,AR1630)/$Q$4,0),"")</f>
        <v/>
      </c>
    </row>
    <row r="1631" spans="37:52" ht="16.5" x14ac:dyDescent="0.2">
      <c r="AK1631" s="193">
        <v>1627</v>
      </c>
      <c r="AL1631" s="14">
        <f t="shared" si="474"/>
        <v>32</v>
      </c>
      <c r="AM1631" s="14">
        <f>INDEX(挂机升级突破!DQ$6:DQ$57,卡牌消耗!$AT1631)</f>
        <v>11</v>
      </c>
      <c r="AN1631" s="14">
        <f>INDEX(挂机升级突破!DR$6:DR$57,卡牌消耗!$AT1631)</f>
        <v>3</v>
      </c>
      <c r="AO1631" s="14">
        <f>INDEX(挂机升级突破!DS$6:DS$57,卡牌消耗!$AT1631)</f>
        <v>0</v>
      </c>
      <c r="AP1631" s="14">
        <f>INDEX(挂机升级突破!$DP$6:$DP$57,卡牌消耗!AT1631)</f>
        <v>55</v>
      </c>
      <c r="AQ1631" s="14" t="str">
        <f t="shared" si="475"/>
        <v>UR守护灵</v>
      </c>
      <c r="AR1631" s="14">
        <f t="shared" si="476"/>
        <v>5</v>
      </c>
      <c r="AS1631" s="14" t="str">
        <f t="shared" si="477"/>
        <v>UR守护灵魂火-15</v>
      </c>
      <c r="AT1631" s="14">
        <f t="shared" si="478"/>
        <v>15</v>
      </c>
      <c r="AU1631" s="14" t="str">
        <f>IF(AM1631&gt;0,INDEX(挂机升级突破!$DT$4:$ED$4,AM1631),"")</f>
        <v>金币</v>
      </c>
      <c r="AV1631" s="14">
        <f>ROUND(INDEX(挂机升级突破!$DJ$6:$DJ$57,卡牌消耗!AT1631)*INDEX(卡牌消耗!$B$8:$F$8,AR1631)/$Q$4/50,0)*50</f>
        <v>6550</v>
      </c>
      <c r="AW1631" s="14" t="str">
        <f>IF(AN1631&gt;0,INDEX(挂机升级突破!$DT$4:$ED$4,AN1631),"")</f>
        <v>紫色基础材料</v>
      </c>
      <c r="AX1631" s="14">
        <f>ROUND(INDEX(挂机升级突破!$DT$6:$ED$57,卡牌消耗!AT1631,AN1631)*INDEX(卡牌消耗!$B$5:$F$5,AR1631)/$Q$4/5,0)*5</f>
        <v>35</v>
      </c>
      <c r="AY1631" s="14" t="str">
        <f>IF(AO1631&gt;0,INDEX(挂机升级突破!$DT$4:$ED$4,AO1631),"")</f>
        <v/>
      </c>
      <c r="AZ1631" s="14" t="str">
        <f>IF(AO1631&gt;0,ROUND(INDEX(挂机升级突破!$DT$6:$ED$57,卡牌消耗!AT1631,AO1631)*INDEX(卡牌消耗!$B$7:$F$7,AR1631)/$Q$4,0),"")</f>
        <v/>
      </c>
    </row>
    <row r="1632" spans="37:52" ht="16.5" x14ac:dyDescent="0.2">
      <c r="AK1632" s="193">
        <v>1628</v>
      </c>
      <c r="AL1632" s="14">
        <f t="shared" si="474"/>
        <v>32</v>
      </c>
      <c r="AM1632" s="14">
        <f>INDEX(挂机升级突破!DQ$6:DQ$57,卡牌消耗!$AT1632)</f>
        <v>11</v>
      </c>
      <c r="AN1632" s="14">
        <f>INDEX(挂机升级突破!DR$6:DR$57,卡牌消耗!$AT1632)</f>
        <v>3</v>
      </c>
      <c r="AO1632" s="14">
        <f>INDEX(挂机升级突破!DS$6:DS$57,卡牌消耗!$AT1632)</f>
        <v>0</v>
      </c>
      <c r="AP1632" s="14">
        <f>INDEX(挂机升级突破!$DP$6:$DP$57,卡牌消耗!AT1632)</f>
        <v>58</v>
      </c>
      <c r="AQ1632" s="14" t="str">
        <f t="shared" si="475"/>
        <v>UR守护灵</v>
      </c>
      <c r="AR1632" s="14">
        <f t="shared" si="476"/>
        <v>5</v>
      </c>
      <c r="AS1632" s="14" t="str">
        <f t="shared" si="477"/>
        <v>UR守护灵魂火-16</v>
      </c>
      <c r="AT1632" s="14">
        <f t="shared" si="478"/>
        <v>16</v>
      </c>
      <c r="AU1632" s="14" t="str">
        <f>IF(AM1632&gt;0,INDEX(挂机升级突破!$DT$4:$ED$4,AM1632),"")</f>
        <v>金币</v>
      </c>
      <c r="AV1632" s="14">
        <f>ROUND(INDEX(挂机升级突破!$DJ$6:$DJ$57,卡牌消耗!AT1632)*INDEX(卡牌消耗!$B$8:$F$8,AR1632)/$Q$4/50,0)*50</f>
        <v>6550</v>
      </c>
      <c r="AW1632" s="14" t="str">
        <f>IF(AN1632&gt;0,INDEX(挂机升级突破!$DT$4:$ED$4,AN1632),"")</f>
        <v>紫色基础材料</v>
      </c>
      <c r="AX1632" s="14">
        <f>ROUND(INDEX(挂机升级突破!$DT$6:$ED$57,卡牌消耗!AT1632,AN1632)*INDEX(卡牌消耗!$B$5:$F$5,AR1632)/$Q$4/5,0)*5</f>
        <v>35</v>
      </c>
      <c r="AY1632" s="14" t="str">
        <f>IF(AO1632&gt;0,INDEX(挂机升级突破!$DT$4:$ED$4,AO1632),"")</f>
        <v/>
      </c>
      <c r="AZ1632" s="14" t="str">
        <f>IF(AO1632&gt;0,ROUND(INDEX(挂机升级突破!$DT$6:$ED$57,卡牌消耗!AT1632,AO1632)*INDEX(卡牌消耗!$B$7:$F$7,AR1632)/$Q$4,0),"")</f>
        <v/>
      </c>
    </row>
    <row r="1633" spans="37:52" ht="16.5" x14ac:dyDescent="0.2">
      <c r="AK1633" s="193">
        <v>1629</v>
      </c>
      <c r="AL1633" s="14">
        <f t="shared" si="474"/>
        <v>32</v>
      </c>
      <c r="AM1633" s="14">
        <f>INDEX(挂机升级突破!DQ$6:DQ$57,卡牌消耗!$AT1633)</f>
        <v>11</v>
      </c>
      <c r="AN1633" s="14">
        <f>INDEX(挂机升级突破!DR$6:DR$57,卡牌消耗!$AT1633)</f>
        <v>3</v>
      </c>
      <c r="AO1633" s="14">
        <f>INDEX(挂机升级突破!DS$6:DS$57,卡牌消耗!$AT1633)</f>
        <v>0</v>
      </c>
      <c r="AP1633" s="14">
        <f>INDEX(挂机升级突破!$DP$6:$DP$57,卡牌消耗!AT1633)</f>
        <v>60</v>
      </c>
      <c r="AQ1633" s="14" t="str">
        <f t="shared" si="475"/>
        <v>UR守护灵</v>
      </c>
      <c r="AR1633" s="14">
        <f t="shared" si="476"/>
        <v>5</v>
      </c>
      <c r="AS1633" s="14" t="str">
        <f t="shared" si="477"/>
        <v>UR守护灵魂火-17</v>
      </c>
      <c r="AT1633" s="14">
        <f t="shared" si="478"/>
        <v>17</v>
      </c>
      <c r="AU1633" s="14" t="str">
        <f>IF(AM1633&gt;0,INDEX(挂机升级突破!$DT$4:$ED$4,AM1633),"")</f>
        <v>金币</v>
      </c>
      <c r="AV1633" s="14">
        <f>ROUND(INDEX(挂机升级突破!$DJ$6:$DJ$57,卡牌消耗!AT1633)*INDEX(卡牌消耗!$B$8:$F$8,AR1633)/$Q$4/50,0)*50</f>
        <v>8200</v>
      </c>
      <c r="AW1633" s="14" t="str">
        <f>IF(AN1633&gt;0,INDEX(挂机升级突破!$DT$4:$ED$4,AN1633),"")</f>
        <v>紫色基础材料</v>
      </c>
      <c r="AX1633" s="14">
        <f>ROUND(INDEX(挂机升级突破!$DT$6:$ED$57,卡牌消耗!AT1633,AN1633)*INDEX(卡牌消耗!$B$5:$F$5,AR1633)/$Q$4/5,0)*5</f>
        <v>70</v>
      </c>
      <c r="AY1633" s="14" t="str">
        <f>IF(AO1633&gt;0,INDEX(挂机升级突破!$DT$4:$ED$4,AO1633),"")</f>
        <v/>
      </c>
      <c r="AZ1633" s="14" t="str">
        <f>IF(AO1633&gt;0,ROUND(INDEX(挂机升级突破!$DT$6:$ED$57,卡牌消耗!AT1633,AO1633)*INDEX(卡牌消耗!$B$7:$F$7,AR1633)/$Q$4,0),"")</f>
        <v/>
      </c>
    </row>
    <row r="1634" spans="37:52" ht="16.5" x14ac:dyDescent="0.2">
      <c r="AK1634" s="193">
        <v>1630</v>
      </c>
      <c r="AL1634" s="14">
        <f t="shared" si="474"/>
        <v>32</v>
      </c>
      <c r="AM1634" s="14">
        <f>INDEX(挂机升级突破!DQ$6:DQ$57,卡牌消耗!$AT1634)</f>
        <v>11</v>
      </c>
      <c r="AN1634" s="14">
        <f>INDEX(挂机升级突破!DR$6:DR$57,卡牌消耗!$AT1634)</f>
        <v>3</v>
      </c>
      <c r="AO1634" s="14">
        <f>INDEX(挂机升级突破!DS$6:DS$57,卡牌消耗!$AT1634)</f>
        <v>0</v>
      </c>
      <c r="AP1634" s="14">
        <f>INDEX(挂机升级突破!$DP$6:$DP$57,卡牌消耗!AT1634)</f>
        <v>63</v>
      </c>
      <c r="AQ1634" s="14" t="str">
        <f t="shared" si="475"/>
        <v>UR守护灵</v>
      </c>
      <c r="AR1634" s="14">
        <f t="shared" si="476"/>
        <v>5</v>
      </c>
      <c r="AS1634" s="14" t="str">
        <f t="shared" si="477"/>
        <v>UR守护灵魂火-18</v>
      </c>
      <c r="AT1634" s="14">
        <f t="shared" si="478"/>
        <v>18</v>
      </c>
      <c r="AU1634" s="14" t="str">
        <f>IF(AM1634&gt;0,INDEX(挂机升级突破!$DT$4:$ED$4,AM1634),"")</f>
        <v>金币</v>
      </c>
      <c r="AV1634" s="14">
        <f>ROUND(INDEX(挂机升级突破!$DJ$6:$DJ$57,卡牌消耗!AT1634)*INDEX(卡牌消耗!$B$8:$F$8,AR1634)/$Q$4/50,0)*50</f>
        <v>8200</v>
      </c>
      <c r="AW1634" s="14" t="str">
        <f>IF(AN1634&gt;0,INDEX(挂机升级突破!$DT$4:$ED$4,AN1634),"")</f>
        <v>紫色基础材料</v>
      </c>
      <c r="AX1634" s="14">
        <f>ROUND(INDEX(挂机升级突破!$DT$6:$ED$57,卡牌消耗!AT1634,AN1634)*INDEX(卡牌消耗!$B$5:$F$5,AR1634)/$Q$4/5,0)*5</f>
        <v>70</v>
      </c>
      <c r="AY1634" s="14" t="str">
        <f>IF(AO1634&gt;0,INDEX(挂机升级突破!$DT$4:$ED$4,AO1634),"")</f>
        <v/>
      </c>
      <c r="AZ1634" s="14" t="str">
        <f>IF(AO1634&gt;0,ROUND(INDEX(挂机升级突破!$DT$6:$ED$57,卡牌消耗!AT1634,AO1634)*INDEX(卡牌消耗!$B$7:$F$7,AR1634)/$Q$4,0),"")</f>
        <v/>
      </c>
    </row>
    <row r="1635" spans="37:52" ht="16.5" x14ac:dyDescent="0.2">
      <c r="AK1635" s="193">
        <v>1631</v>
      </c>
      <c r="AL1635" s="14">
        <f t="shared" si="474"/>
        <v>32</v>
      </c>
      <c r="AM1635" s="14">
        <f>INDEX(挂机升级突破!DQ$6:DQ$57,卡牌消耗!$AT1635)</f>
        <v>11</v>
      </c>
      <c r="AN1635" s="14">
        <f>INDEX(挂机升级突破!DR$6:DR$57,卡牌消耗!$AT1635)</f>
        <v>3</v>
      </c>
      <c r="AO1635" s="14">
        <f>INDEX(挂机升级突破!DS$6:DS$57,卡牌消耗!$AT1635)</f>
        <v>0</v>
      </c>
      <c r="AP1635" s="14">
        <f>INDEX(挂机升级突破!$DP$6:$DP$57,卡牌消耗!AT1635)</f>
        <v>65</v>
      </c>
      <c r="AQ1635" s="14" t="str">
        <f t="shared" si="475"/>
        <v>UR守护灵</v>
      </c>
      <c r="AR1635" s="14">
        <f t="shared" si="476"/>
        <v>5</v>
      </c>
      <c r="AS1635" s="14" t="str">
        <f t="shared" si="477"/>
        <v>UR守护灵魂火-19</v>
      </c>
      <c r="AT1635" s="14">
        <f t="shared" si="478"/>
        <v>19</v>
      </c>
      <c r="AU1635" s="14" t="str">
        <f>IF(AM1635&gt;0,INDEX(挂机升级突破!$DT$4:$ED$4,AM1635),"")</f>
        <v>金币</v>
      </c>
      <c r="AV1635" s="14">
        <f>ROUND(INDEX(挂机升级突破!$DJ$6:$DJ$57,卡牌消耗!AT1635)*INDEX(卡牌消耗!$B$8:$F$8,AR1635)/$Q$4/50,0)*50</f>
        <v>8200</v>
      </c>
      <c r="AW1635" s="14" t="str">
        <f>IF(AN1635&gt;0,INDEX(挂机升级突破!$DT$4:$ED$4,AN1635),"")</f>
        <v>紫色基础材料</v>
      </c>
      <c r="AX1635" s="14">
        <f>ROUND(INDEX(挂机升级突破!$DT$6:$ED$57,卡牌消耗!AT1635,AN1635)*INDEX(卡牌消耗!$B$5:$F$5,AR1635)/$Q$4/5,0)*5</f>
        <v>70</v>
      </c>
      <c r="AY1635" s="14" t="str">
        <f>IF(AO1635&gt;0,INDEX(挂机升级突破!$DT$4:$ED$4,AO1635),"")</f>
        <v/>
      </c>
      <c r="AZ1635" s="14" t="str">
        <f>IF(AO1635&gt;0,ROUND(INDEX(挂机升级突破!$DT$6:$ED$57,卡牌消耗!AT1635,AO1635)*INDEX(卡牌消耗!$B$7:$F$7,AR1635)/$Q$4,0),"")</f>
        <v/>
      </c>
    </row>
    <row r="1636" spans="37:52" ht="16.5" x14ac:dyDescent="0.2">
      <c r="AK1636" s="193">
        <v>1632</v>
      </c>
      <c r="AL1636" s="14">
        <f t="shared" si="474"/>
        <v>32</v>
      </c>
      <c r="AM1636" s="14">
        <f>INDEX(挂机升级突破!DQ$6:DQ$57,卡牌消耗!$AT1636)</f>
        <v>11</v>
      </c>
      <c r="AN1636" s="14">
        <f>INDEX(挂机升级突破!DR$6:DR$57,卡牌消耗!$AT1636)</f>
        <v>3</v>
      </c>
      <c r="AO1636" s="14">
        <f>INDEX(挂机升级突破!DS$6:DS$57,卡牌消耗!$AT1636)</f>
        <v>0</v>
      </c>
      <c r="AP1636" s="14">
        <f>INDEX(挂机升级突破!$DP$6:$DP$57,卡牌消耗!AT1636)</f>
        <v>68</v>
      </c>
      <c r="AQ1636" s="14" t="str">
        <f t="shared" si="475"/>
        <v>UR守护灵</v>
      </c>
      <c r="AR1636" s="14">
        <f t="shared" si="476"/>
        <v>5</v>
      </c>
      <c r="AS1636" s="14" t="str">
        <f t="shared" si="477"/>
        <v>UR守护灵魂火-20</v>
      </c>
      <c r="AT1636" s="14">
        <f t="shared" si="478"/>
        <v>20</v>
      </c>
      <c r="AU1636" s="14" t="str">
        <f>IF(AM1636&gt;0,INDEX(挂机升级突破!$DT$4:$ED$4,AM1636),"")</f>
        <v>金币</v>
      </c>
      <c r="AV1636" s="14">
        <f>ROUND(INDEX(挂机升级突破!$DJ$6:$DJ$57,卡牌消耗!AT1636)*INDEX(卡牌消耗!$B$8:$F$8,AR1636)/$Q$4/50,0)*50</f>
        <v>10050</v>
      </c>
      <c r="AW1636" s="14" t="str">
        <f>IF(AN1636&gt;0,INDEX(挂机升级突破!$DT$4:$ED$4,AN1636),"")</f>
        <v>紫色基础材料</v>
      </c>
      <c r="AX1636" s="14">
        <f>ROUND(INDEX(挂机升级突破!$DT$6:$ED$57,卡牌消耗!AT1636,AN1636)*INDEX(卡牌消耗!$B$5:$F$5,AR1636)/$Q$4/5,0)*5</f>
        <v>105</v>
      </c>
      <c r="AY1636" s="14" t="str">
        <f>IF(AO1636&gt;0,INDEX(挂机升级突破!$DT$4:$ED$4,AO1636),"")</f>
        <v/>
      </c>
      <c r="AZ1636" s="14" t="str">
        <f>IF(AO1636&gt;0,ROUND(INDEX(挂机升级突破!$DT$6:$ED$57,卡牌消耗!AT1636,AO1636)*INDEX(卡牌消耗!$B$7:$F$7,AR1636)/$Q$4,0),"")</f>
        <v/>
      </c>
    </row>
    <row r="1637" spans="37:52" ht="16.5" x14ac:dyDescent="0.2">
      <c r="AK1637" s="193">
        <v>1633</v>
      </c>
      <c r="AL1637" s="14">
        <f t="shared" si="474"/>
        <v>32</v>
      </c>
      <c r="AM1637" s="14">
        <f>INDEX(挂机升级突破!DQ$6:DQ$57,卡牌消耗!$AT1637)</f>
        <v>11</v>
      </c>
      <c r="AN1637" s="14">
        <f>INDEX(挂机升级突破!DR$6:DR$57,卡牌消耗!$AT1637)</f>
        <v>3</v>
      </c>
      <c r="AO1637" s="14">
        <f>INDEX(挂机升级突破!DS$6:DS$57,卡牌消耗!$AT1637)</f>
        <v>0</v>
      </c>
      <c r="AP1637" s="14">
        <f>INDEX(挂机升级突破!$DP$6:$DP$57,卡牌消耗!AT1637)</f>
        <v>70</v>
      </c>
      <c r="AQ1637" s="14" t="str">
        <f t="shared" si="475"/>
        <v>UR守护灵</v>
      </c>
      <c r="AR1637" s="14">
        <f t="shared" si="476"/>
        <v>5</v>
      </c>
      <c r="AS1637" s="14" t="str">
        <f t="shared" si="477"/>
        <v>UR守护灵魂火-21</v>
      </c>
      <c r="AT1637" s="14">
        <f t="shared" si="478"/>
        <v>21</v>
      </c>
      <c r="AU1637" s="14" t="str">
        <f>IF(AM1637&gt;0,INDEX(挂机升级突破!$DT$4:$ED$4,AM1637),"")</f>
        <v>金币</v>
      </c>
      <c r="AV1637" s="14">
        <f>ROUND(INDEX(挂机升级突破!$DJ$6:$DJ$57,卡牌消耗!AT1637)*INDEX(卡牌消耗!$B$8:$F$8,AR1637)/$Q$4/50,0)*50</f>
        <v>10050</v>
      </c>
      <c r="AW1637" s="14" t="str">
        <f>IF(AN1637&gt;0,INDEX(挂机升级突破!$DT$4:$ED$4,AN1637),"")</f>
        <v>紫色基础材料</v>
      </c>
      <c r="AX1637" s="14">
        <f>ROUND(INDEX(挂机升级突破!$DT$6:$ED$57,卡牌消耗!AT1637,AN1637)*INDEX(卡牌消耗!$B$5:$F$5,AR1637)/$Q$4/5,0)*5</f>
        <v>105</v>
      </c>
      <c r="AY1637" s="14" t="str">
        <f>IF(AO1637&gt;0,INDEX(挂机升级突破!$DT$4:$ED$4,AO1637),"")</f>
        <v/>
      </c>
      <c r="AZ1637" s="14" t="str">
        <f>IF(AO1637&gt;0,ROUND(INDEX(挂机升级突破!$DT$6:$ED$57,卡牌消耗!AT1637,AO1637)*INDEX(卡牌消耗!$B$7:$F$7,AR1637)/$Q$4,0),"")</f>
        <v/>
      </c>
    </row>
    <row r="1638" spans="37:52" ht="16.5" x14ac:dyDescent="0.2">
      <c r="AK1638" s="193">
        <v>1634</v>
      </c>
      <c r="AL1638" s="14">
        <f t="shared" si="474"/>
        <v>32</v>
      </c>
      <c r="AM1638" s="14">
        <f>INDEX(挂机升级突破!DQ$6:DQ$57,卡牌消耗!$AT1638)</f>
        <v>11</v>
      </c>
      <c r="AN1638" s="14">
        <f>INDEX(挂机升级突破!DR$6:DR$57,卡牌消耗!$AT1638)</f>
        <v>3</v>
      </c>
      <c r="AO1638" s="14">
        <f>INDEX(挂机升级突破!DS$6:DS$57,卡牌消耗!$AT1638)</f>
        <v>0</v>
      </c>
      <c r="AP1638" s="14">
        <f>INDEX(挂机升级突破!$DP$6:$DP$57,卡牌消耗!AT1638)</f>
        <v>73</v>
      </c>
      <c r="AQ1638" s="14" t="str">
        <f t="shared" si="475"/>
        <v>UR守护灵</v>
      </c>
      <c r="AR1638" s="14">
        <f t="shared" si="476"/>
        <v>5</v>
      </c>
      <c r="AS1638" s="14" t="str">
        <f t="shared" si="477"/>
        <v>UR守护灵魂火-22</v>
      </c>
      <c r="AT1638" s="14">
        <f t="shared" si="478"/>
        <v>22</v>
      </c>
      <c r="AU1638" s="14" t="str">
        <f>IF(AM1638&gt;0,INDEX(挂机升级突破!$DT$4:$ED$4,AM1638),"")</f>
        <v>金币</v>
      </c>
      <c r="AV1638" s="14">
        <f>ROUND(INDEX(挂机升级突破!$DJ$6:$DJ$57,卡牌消耗!AT1638)*INDEX(卡牌消耗!$B$8:$F$8,AR1638)/$Q$4/50,0)*50</f>
        <v>10050</v>
      </c>
      <c r="AW1638" s="14" t="str">
        <f>IF(AN1638&gt;0,INDEX(挂机升级突破!$DT$4:$ED$4,AN1638),"")</f>
        <v>紫色基础材料</v>
      </c>
      <c r="AX1638" s="14">
        <f>ROUND(INDEX(挂机升级突破!$DT$6:$ED$57,卡牌消耗!AT1638,AN1638)*INDEX(卡牌消耗!$B$5:$F$5,AR1638)/$Q$4/5,0)*5</f>
        <v>105</v>
      </c>
      <c r="AY1638" s="14" t="str">
        <f>IF(AO1638&gt;0,INDEX(挂机升级突破!$DT$4:$ED$4,AO1638),"")</f>
        <v/>
      </c>
      <c r="AZ1638" s="14" t="str">
        <f>IF(AO1638&gt;0,ROUND(INDEX(挂机升级突破!$DT$6:$ED$57,卡牌消耗!AT1638,AO1638)*INDEX(卡牌消耗!$B$7:$F$7,AR1638)/$Q$4,0),"")</f>
        <v/>
      </c>
    </row>
    <row r="1639" spans="37:52" ht="16.5" x14ac:dyDescent="0.2">
      <c r="AK1639" s="193">
        <v>1635</v>
      </c>
      <c r="AL1639" s="14">
        <f t="shared" si="474"/>
        <v>32</v>
      </c>
      <c r="AM1639" s="14">
        <f>INDEX(挂机升级突破!DQ$6:DQ$57,卡牌消耗!$AT1639)</f>
        <v>11</v>
      </c>
      <c r="AN1639" s="14">
        <f>INDEX(挂机升级突破!DR$6:DR$57,卡牌消耗!$AT1639)</f>
        <v>4</v>
      </c>
      <c r="AO1639" s="14">
        <f>INDEX(挂机升级突破!DS$6:DS$57,卡牌消耗!$AT1639)</f>
        <v>0</v>
      </c>
      <c r="AP1639" s="14">
        <f>INDEX(挂机升级突破!$DP$6:$DP$57,卡牌消耗!AT1639)</f>
        <v>75</v>
      </c>
      <c r="AQ1639" s="14" t="str">
        <f t="shared" si="475"/>
        <v>UR守护灵</v>
      </c>
      <c r="AR1639" s="14">
        <f t="shared" si="476"/>
        <v>5</v>
      </c>
      <c r="AS1639" s="14" t="str">
        <f t="shared" si="477"/>
        <v>UR守护灵魂火-23</v>
      </c>
      <c r="AT1639" s="14">
        <f t="shared" si="478"/>
        <v>23</v>
      </c>
      <c r="AU1639" s="14" t="str">
        <f>IF(AM1639&gt;0,INDEX(挂机升级突破!$DT$4:$ED$4,AM1639),"")</f>
        <v>金币</v>
      </c>
      <c r="AV1639" s="14">
        <f>ROUND(INDEX(挂机升级突破!$DJ$6:$DJ$57,卡牌消耗!AT1639)*INDEX(卡牌消耗!$B$8:$F$8,AR1639)/$Q$4/50,0)*50</f>
        <v>13800</v>
      </c>
      <c r="AW1639" s="14" t="str">
        <f>IF(AN1639&gt;0,INDEX(挂机升级突破!$DT$4:$ED$4,AN1639),"")</f>
        <v>橙色基础材料</v>
      </c>
      <c r="AX1639" s="14">
        <f>ROUND(INDEX(挂机升级突破!$DT$6:$ED$57,卡牌消耗!AT1639,AN1639)*INDEX(卡牌消耗!$B$5:$F$5,AR1639)/$Q$4/5,0)*5</f>
        <v>30</v>
      </c>
      <c r="AY1639" s="14" t="str">
        <f>IF(AO1639&gt;0,INDEX(挂机升级突破!$DT$4:$ED$4,AO1639),"")</f>
        <v/>
      </c>
      <c r="AZ1639" s="14" t="str">
        <f>IF(AO1639&gt;0,ROUND(INDEX(挂机升级突破!$DT$6:$ED$57,卡牌消耗!AT1639,AO1639)*INDEX(卡牌消耗!$B$7:$F$7,AR1639)/$Q$4,0),"")</f>
        <v/>
      </c>
    </row>
    <row r="1640" spans="37:52" ht="16.5" x14ac:dyDescent="0.2">
      <c r="AK1640" s="193">
        <v>1636</v>
      </c>
      <c r="AL1640" s="14">
        <f t="shared" si="474"/>
        <v>32</v>
      </c>
      <c r="AM1640" s="14">
        <f>INDEX(挂机升级突破!DQ$6:DQ$57,卡牌消耗!$AT1640)</f>
        <v>11</v>
      </c>
      <c r="AN1640" s="14">
        <f>INDEX(挂机升级突破!DR$6:DR$57,卡牌消耗!$AT1640)</f>
        <v>4</v>
      </c>
      <c r="AO1640" s="14">
        <f>INDEX(挂机升级突破!DS$6:DS$57,卡牌消耗!$AT1640)</f>
        <v>0</v>
      </c>
      <c r="AP1640" s="14">
        <f>INDEX(挂机升级突破!$DP$6:$DP$57,卡牌消耗!AT1640)</f>
        <v>78</v>
      </c>
      <c r="AQ1640" s="14" t="str">
        <f t="shared" si="475"/>
        <v>UR守护灵</v>
      </c>
      <c r="AR1640" s="14">
        <f t="shared" si="476"/>
        <v>5</v>
      </c>
      <c r="AS1640" s="14" t="str">
        <f t="shared" si="477"/>
        <v>UR守护灵魂火-24</v>
      </c>
      <c r="AT1640" s="14">
        <f t="shared" si="478"/>
        <v>24</v>
      </c>
      <c r="AU1640" s="14" t="str">
        <f>IF(AM1640&gt;0,INDEX(挂机升级突破!$DT$4:$ED$4,AM1640),"")</f>
        <v>金币</v>
      </c>
      <c r="AV1640" s="14">
        <f>ROUND(INDEX(挂机升级突破!$DJ$6:$DJ$57,卡牌消耗!AT1640)*INDEX(卡牌消耗!$B$8:$F$8,AR1640)/$Q$4/50,0)*50</f>
        <v>13800</v>
      </c>
      <c r="AW1640" s="14" t="str">
        <f>IF(AN1640&gt;0,INDEX(挂机升级突破!$DT$4:$ED$4,AN1640),"")</f>
        <v>橙色基础材料</v>
      </c>
      <c r="AX1640" s="14">
        <f>ROUND(INDEX(挂机升级突破!$DT$6:$ED$57,卡牌消耗!AT1640,AN1640)*INDEX(卡牌消耗!$B$5:$F$5,AR1640)/$Q$4/5,0)*5</f>
        <v>30</v>
      </c>
      <c r="AY1640" s="14" t="str">
        <f>IF(AO1640&gt;0,INDEX(挂机升级突破!$DT$4:$ED$4,AO1640),"")</f>
        <v/>
      </c>
      <c r="AZ1640" s="14" t="str">
        <f>IF(AO1640&gt;0,ROUND(INDEX(挂机升级突破!$DT$6:$ED$57,卡牌消耗!AT1640,AO1640)*INDEX(卡牌消耗!$B$7:$F$7,AR1640)/$Q$4,0),"")</f>
        <v/>
      </c>
    </row>
    <row r="1641" spans="37:52" ht="16.5" x14ac:dyDescent="0.2">
      <c r="AK1641" s="193">
        <v>1637</v>
      </c>
      <c r="AL1641" s="14">
        <f t="shared" si="474"/>
        <v>32</v>
      </c>
      <c r="AM1641" s="14">
        <f>INDEX(挂机升级突破!DQ$6:DQ$57,卡牌消耗!$AT1641)</f>
        <v>11</v>
      </c>
      <c r="AN1641" s="14">
        <f>INDEX(挂机升级突破!DR$6:DR$57,卡牌消耗!$AT1641)</f>
        <v>4</v>
      </c>
      <c r="AO1641" s="14">
        <f>INDEX(挂机升级突破!DS$6:DS$57,卡牌消耗!$AT1641)</f>
        <v>0</v>
      </c>
      <c r="AP1641" s="14">
        <f>INDEX(挂机升级突破!$DP$6:$DP$57,卡牌消耗!AT1641)</f>
        <v>80</v>
      </c>
      <c r="AQ1641" s="14" t="str">
        <f t="shared" si="475"/>
        <v>UR守护灵</v>
      </c>
      <c r="AR1641" s="14">
        <f t="shared" si="476"/>
        <v>5</v>
      </c>
      <c r="AS1641" s="14" t="str">
        <f t="shared" si="477"/>
        <v>UR守护灵魂火-25</v>
      </c>
      <c r="AT1641" s="14">
        <f t="shared" si="478"/>
        <v>25</v>
      </c>
      <c r="AU1641" s="14" t="str">
        <f>IF(AM1641&gt;0,INDEX(挂机升级突破!$DT$4:$ED$4,AM1641),"")</f>
        <v>金币</v>
      </c>
      <c r="AV1641" s="14">
        <f>ROUND(INDEX(挂机升级突破!$DJ$6:$DJ$57,卡牌消耗!AT1641)*INDEX(卡牌消耗!$B$8:$F$8,AR1641)/$Q$4/50,0)*50</f>
        <v>15050</v>
      </c>
      <c r="AW1641" s="14" t="str">
        <f>IF(AN1641&gt;0,INDEX(挂机升级突破!$DT$4:$ED$4,AN1641),"")</f>
        <v>橙色基础材料</v>
      </c>
      <c r="AX1641" s="14">
        <f>ROUND(INDEX(挂机升级突破!$DT$6:$ED$57,卡牌消耗!AT1641,AN1641)*INDEX(卡牌消耗!$B$5:$F$5,AR1641)/$Q$4/5,0)*5</f>
        <v>30</v>
      </c>
      <c r="AY1641" s="14" t="str">
        <f>IF(AO1641&gt;0,INDEX(挂机升级突破!$DT$4:$ED$4,AO1641),"")</f>
        <v/>
      </c>
      <c r="AZ1641" s="14" t="str">
        <f>IF(AO1641&gt;0,ROUND(INDEX(挂机升级突破!$DT$6:$ED$57,卡牌消耗!AT1641,AO1641)*INDEX(卡牌消耗!$B$7:$F$7,AR1641)/$Q$4,0),"")</f>
        <v/>
      </c>
    </row>
    <row r="1642" spans="37:52" ht="16.5" x14ac:dyDescent="0.2">
      <c r="AK1642" s="193">
        <v>1638</v>
      </c>
      <c r="AL1642" s="14">
        <f t="shared" si="474"/>
        <v>32</v>
      </c>
      <c r="AM1642" s="14">
        <f>INDEX(挂机升级突破!DQ$6:DQ$57,卡牌消耗!$AT1642)</f>
        <v>11</v>
      </c>
      <c r="AN1642" s="14">
        <f>INDEX(挂机升级突破!DR$6:DR$57,卡牌消耗!$AT1642)</f>
        <v>4</v>
      </c>
      <c r="AO1642" s="14">
        <f>INDEX(挂机升级突破!DS$6:DS$57,卡牌消耗!$AT1642)</f>
        <v>0</v>
      </c>
      <c r="AP1642" s="14">
        <f>INDEX(挂机升级突破!$DP$6:$DP$57,卡牌消耗!AT1642)</f>
        <v>83</v>
      </c>
      <c r="AQ1642" s="14" t="str">
        <f t="shared" si="475"/>
        <v>UR守护灵</v>
      </c>
      <c r="AR1642" s="14">
        <f t="shared" si="476"/>
        <v>5</v>
      </c>
      <c r="AS1642" s="14" t="str">
        <f t="shared" si="477"/>
        <v>UR守护灵魂火-26</v>
      </c>
      <c r="AT1642" s="14">
        <f t="shared" si="478"/>
        <v>26</v>
      </c>
      <c r="AU1642" s="14" t="str">
        <f>IF(AM1642&gt;0,INDEX(挂机升级突破!$DT$4:$ED$4,AM1642),"")</f>
        <v>金币</v>
      </c>
      <c r="AV1642" s="14">
        <f>ROUND(INDEX(挂机升级突破!$DJ$6:$DJ$57,卡牌消耗!AT1642)*INDEX(卡牌消耗!$B$8:$F$8,AR1642)/$Q$4/50,0)*50</f>
        <v>17550</v>
      </c>
      <c r="AW1642" s="14" t="str">
        <f>IF(AN1642&gt;0,INDEX(挂机升级突破!$DT$4:$ED$4,AN1642),"")</f>
        <v>橙色基础材料</v>
      </c>
      <c r="AX1642" s="14">
        <f>ROUND(INDEX(挂机升级突破!$DT$6:$ED$57,卡牌消耗!AT1642,AN1642)*INDEX(卡牌消耗!$B$5:$F$5,AR1642)/$Q$4/5,0)*5</f>
        <v>35</v>
      </c>
      <c r="AY1642" s="14" t="str">
        <f>IF(AO1642&gt;0,INDEX(挂机升级突破!$DT$4:$ED$4,AO1642),"")</f>
        <v/>
      </c>
      <c r="AZ1642" s="14" t="str">
        <f>IF(AO1642&gt;0,ROUND(INDEX(挂机升级突破!$DT$6:$ED$57,卡牌消耗!AT1642,AO1642)*INDEX(卡牌消耗!$B$7:$F$7,AR1642)/$Q$4,0),"")</f>
        <v/>
      </c>
    </row>
    <row r="1643" spans="37:52" ht="16.5" x14ac:dyDescent="0.2">
      <c r="AK1643" s="193">
        <v>1639</v>
      </c>
      <c r="AL1643" s="14">
        <f t="shared" si="474"/>
        <v>32</v>
      </c>
      <c r="AM1643" s="14">
        <f>INDEX(挂机升级突破!DQ$6:DQ$57,卡牌消耗!$AT1643)</f>
        <v>11</v>
      </c>
      <c r="AN1643" s="14">
        <f>INDEX(挂机升级突破!DR$6:DR$57,卡牌消耗!$AT1643)</f>
        <v>4</v>
      </c>
      <c r="AO1643" s="14">
        <f>INDEX(挂机升级突破!DS$6:DS$57,卡牌消耗!$AT1643)</f>
        <v>0</v>
      </c>
      <c r="AP1643" s="14">
        <f>INDEX(挂机升级突破!$DP$6:$DP$57,卡牌消耗!AT1643)</f>
        <v>85</v>
      </c>
      <c r="AQ1643" s="14" t="str">
        <f t="shared" si="475"/>
        <v>UR守护灵</v>
      </c>
      <c r="AR1643" s="14">
        <f t="shared" si="476"/>
        <v>5</v>
      </c>
      <c r="AS1643" s="14" t="str">
        <f t="shared" si="477"/>
        <v>UR守护灵魂火-27</v>
      </c>
      <c r="AT1643" s="14">
        <f t="shared" si="478"/>
        <v>27</v>
      </c>
      <c r="AU1643" s="14" t="str">
        <f>IF(AM1643&gt;0,INDEX(挂机升级突破!$DT$4:$ED$4,AM1643),"")</f>
        <v>金币</v>
      </c>
      <c r="AV1643" s="14">
        <f>ROUND(INDEX(挂机升级突破!$DJ$6:$DJ$57,卡牌消耗!AT1643)*INDEX(卡牌消耗!$B$8:$F$8,AR1643)/$Q$4/50,0)*50</f>
        <v>17550</v>
      </c>
      <c r="AW1643" s="14" t="str">
        <f>IF(AN1643&gt;0,INDEX(挂机升级突破!$DT$4:$ED$4,AN1643),"")</f>
        <v>橙色基础材料</v>
      </c>
      <c r="AX1643" s="14">
        <f>ROUND(INDEX(挂机升级突破!$DT$6:$ED$57,卡牌消耗!AT1643,AN1643)*INDEX(卡牌消耗!$B$5:$F$5,AR1643)/$Q$4/5,0)*5</f>
        <v>35</v>
      </c>
      <c r="AY1643" s="14" t="str">
        <f>IF(AO1643&gt;0,INDEX(挂机升级突破!$DT$4:$ED$4,AO1643),"")</f>
        <v/>
      </c>
      <c r="AZ1643" s="14" t="str">
        <f>IF(AO1643&gt;0,ROUND(INDEX(挂机升级突破!$DT$6:$ED$57,卡牌消耗!AT1643,AO1643)*INDEX(卡牌消耗!$B$7:$F$7,AR1643)/$Q$4,0),"")</f>
        <v/>
      </c>
    </row>
    <row r="1644" spans="37:52" ht="16.5" x14ac:dyDescent="0.2">
      <c r="AK1644" s="193">
        <v>1640</v>
      </c>
      <c r="AL1644" s="14">
        <f t="shared" si="474"/>
        <v>32</v>
      </c>
      <c r="AM1644" s="14">
        <f>INDEX(挂机升级突破!DQ$6:DQ$57,卡牌消耗!$AT1644)</f>
        <v>11</v>
      </c>
      <c r="AN1644" s="14">
        <f>INDEX(挂机升级突破!DR$6:DR$57,卡牌消耗!$AT1644)</f>
        <v>4</v>
      </c>
      <c r="AO1644" s="14">
        <f>INDEX(挂机升级突破!DS$6:DS$57,卡牌消耗!$AT1644)</f>
        <v>0</v>
      </c>
      <c r="AP1644" s="14">
        <f>INDEX(挂机升级突破!$DP$6:$DP$57,卡牌消耗!AT1644)</f>
        <v>88</v>
      </c>
      <c r="AQ1644" s="14" t="str">
        <f t="shared" si="475"/>
        <v>UR守护灵</v>
      </c>
      <c r="AR1644" s="14">
        <f t="shared" si="476"/>
        <v>5</v>
      </c>
      <c r="AS1644" s="14" t="str">
        <f t="shared" si="477"/>
        <v>UR守护灵魂火-28</v>
      </c>
      <c r="AT1644" s="14">
        <f t="shared" si="478"/>
        <v>28</v>
      </c>
      <c r="AU1644" s="14" t="str">
        <f>IF(AM1644&gt;0,INDEX(挂机升级突破!$DT$4:$ED$4,AM1644),"")</f>
        <v>金币</v>
      </c>
      <c r="AV1644" s="14">
        <f>ROUND(INDEX(挂机升级突破!$DJ$6:$DJ$57,卡牌消耗!AT1644)*INDEX(卡牌消耗!$B$8:$F$8,AR1644)/$Q$4/50,0)*50</f>
        <v>17550</v>
      </c>
      <c r="AW1644" s="14" t="str">
        <f>IF(AN1644&gt;0,INDEX(挂机升级突破!$DT$4:$ED$4,AN1644),"")</f>
        <v>橙色基础材料</v>
      </c>
      <c r="AX1644" s="14">
        <f>ROUND(INDEX(挂机升级突破!$DT$6:$ED$57,卡牌消耗!AT1644,AN1644)*INDEX(卡牌消耗!$B$5:$F$5,AR1644)/$Q$4/5,0)*5</f>
        <v>35</v>
      </c>
      <c r="AY1644" s="14" t="str">
        <f>IF(AO1644&gt;0,INDEX(挂机升级突破!$DT$4:$ED$4,AO1644),"")</f>
        <v/>
      </c>
      <c r="AZ1644" s="14" t="str">
        <f>IF(AO1644&gt;0,ROUND(INDEX(挂机升级突破!$DT$6:$ED$57,卡牌消耗!AT1644,AO1644)*INDEX(卡牌消耗!$B$7:$F$7,AR1644)/$Q$4,0),"")</f>
        <v/>
      </c>
    </row>
    <row r="1645" spans="37:52" ht="16.5" x14ac:dyDescent="0.2">
      <c r="AK1645" s="193">
        <v>1641</v>
      </c>
      <c r="AL1645" s="14">
        <f t="shared" si="474"/>
        <v>32</v>
      </c>
      <c r="AM1645" s="14">
        <f>INDEX(挂机升级突破!DQ$6:DQ$57,卡牌消耗!$AT1645)</f>
        <v>11</v>
      </c>
      <c r="AN1645" s="14">
        <f>INDEX(挂机升级突破!DR$6:DR$57,卡牌消耗!$AT1645)</f>
        <v>4</v>
      </c>
      <c r="AO1645" s="14">
        <f>INDEX(挂机升级突破!DS$6:DS$57,卡牌消耗!$AT1645)</f>
        <v>0</v>
      </c>
      <c r="AP1645" s="14">
        <f>INDEX(挂机升级突破!$DP$6:$DP$57,卡牌消耗!AT1645)</f>
        <v>90</v>
      </c>
      <c r="AQ1645" s="14" t="str">
        <f t="shared" si="475"/>
        <v>UR守护灵</v>
      </c>
      <c r="AR1645" s="14">
        <f t="shared" si="476"/>
        <v>5</v>
      </c>
      <c r="AS1645" s="14" t="str">
        <f t="shared" si="477"/>
        <v>UR守护灵魂火-29</v>
      </c>
      <c r="AT1645" s="14">
        <f t="shared" si="478"/>
        <v>29</v>
      </c>
      <c r="AU1645" s="14" t="str">
        <f>IF(AM1645&gt;0,INDEX(挂机升级突破!$DT$4:$ED$4,AM1645),"")</f>
        <v>金币</v>
      </c>
      <c r="AV1645" s="14">
        <f>ROUND(INDEX(挂机升级突破!$DJ$6:$DJ$57,卡牌消耗!AT1645)*INDEX(卡牌消耗!$B$8:$F$8,AR1645)/$Q$4/50,0)*50</f>
        <v>17800</v>
      </c>
      <c r="AW1645" s="14" t="str">
        <f>IF(AN1645&gt;0,INDEX(挂机升级突破!$DT$4:$ED$4,AN1645),"")</f>
        <v>橙色基础材料</v>
      </c>
      <c r="AX1645" s="14">
        <f>ROUND(INDEX(挂机升级突破!$DT$6:$ED$57,卡牌消耗!AT1645,AN1645)*INDEX(卡牌消耗!$B$5:$F$5,AR1645)/$Q$4/5,0)*5</f>
        <v>40</v>
      </c>
      <c r="AY1645" s="14" t="str">
        <f>IF(AO1645&gt;0,INDEX(挂机升级突破!$DT$4:$ED$4,AO1645),"")</f>
        <v/>
      </c>
      <c r="AZ1645" s="14" t="str">
        <f>IF(AO1645&gt;0,ROUND(INDEX(挂机升级突破!$DT$6:$ED$57,卡牌消耗!AT1645,AO1645)*INDEX(卡牌消耗!$B$7:$F$7,AR1645)/$Q$4,0),"")</f>
        <v/>
      </c>
    </row>
    <row r="1646" spans="37:52" ht="16.5" x14ac:dyDescent="0.2">
      <c r="AK1646" s="193">
        <v>1642</v>
      </c>
      <c r="AL1646" s="14">
        <f t="shared" si="474"/>
        <v>32</v>
      </c>
      <c r="AM1646" s="14">
        <f>INDEX(挂机升级突破!DQ$6:DQ$57,卡牌消耗!$AT1646)</f>
        <v>11</v>
      </c>
      <c r="AN1646" s="14">
        <f>INDEX(挂机升级突破!DR$6:DR$57,卡牌消耗!$AT1646)</f>
        <v>4</v>
      </c>
      <c r="AO1646" s="14">
        <f>INDEX(挂机升级突破!DS$6:DS$57,卡牌消耗!$AT1646)</f>
        <v>0</v>
      </c>
      <c r="AP1646" s="14">
        <f>INDEX(挂机升级突破!$DP$6:$DP$57,卡牌消耗!AT1646)</f>
        <v>93</v>
      </c>
      <c r="AQ1646" s="14" t="str">
        <f t="shared" si="475"/>
        <v>UR守护灵</v>
      </c>
      <c r="AR1646" s="14">
        <f t="shared" si="476"/>
        <v>5</v>
      </c>
      <c r="AS1646" s="14" t="str">
        <f t="shared" si="477"/>
        <v>UR守护灵魂火-30</v>
      </c>
      <c r="AT1646" s="14">
        <f t="shared" si="478"/>
        <v>30</v>
      </c>
      <c r="AU1646" s="14" t="str">
        <f>IF(AM1646&gt;0,INDEX(挂机升级突破!$DT$4:$ED$4,AM1646),"")</f>
        <v>金币</v>
      </c>
      <c r="AV1646" s="14">
        <f>ROUND(INDEX(挂机升级突破!$DJ$6:$DJ$57,卡牌消耗!AT1646)*INDEX(卡牌消耗!$B$8:$F$8,AR1646)/$Q$4/50,0)*50</f>
        <v>17800</v>
      </c>
      <c r="AW1646" s="14" t="str">
        <f>IF(AN1646&gt;0,INDEX(挂机升级突破!$DT$4:$ED$4,AN1646),"")</f>
        <v>橙色基础材料</v>
      </c>
      <c r="AX1646" s="14">
        <f>ROUND(INDEX(挂机升级突破!$DT$6:$ED$57,卡牌消耗!AT1646,AN1646)*INDEX(卡牌消耗!$B$5:$F$5,AR1646)/$Q$4/5,0)*5</f>
        <v>40</v>
      </c>
      <c r="AY1646" s="14" t="str">
        <f>IF(AO1646&gt;0,INDEX(挂机升级突破!$DT$4:$ED$4,AO1646),"")</f>
        <v/>
      </c>
      <c r="AZ1646" s="14" t="str">
        <f>IF(AO1646&gt;0,ROUND(INDEX(挂机升级突破!$DT$6:$ED$57,卡牌消耗!AT1646,AO1646)*INDEX(卡牌消耗!$B$7:$F$7,AR1646)/$Q$4,0),"")</f>
        <v/>
      </c>
    </row>
    <row r="1647" spans="37:52" ht="16.5" x14ac:dyDescent="0.2">
      <c r="AK1647" s="193">
        <v>1643</v>
      </c>
      <c r="AL1647" s="14">
        <f t="shared" si="474"/>
        <v>32</v>
      </c>
      <c r="AM1647" s="14">
        <f>INDEX(挂机升级突破!DQ$6:DQ$57,卡牌消耗!$AT1647)</f>
        <v>11</v>
      </c>
      <c r="AN1647" s="14">
        <f>INDEX(挂机升级突破!DR$6:DR$57,卡牌消耗!$AT1647)</f>
        <v>4</v>
      </c>
      <c r="AO1647" s="14">
        <f>INDEX(挂机升级突破!DS$6:DS$57,卡牌消耗!$AT1647)</f>
        <v>0</v>
      </c>
      <c r="AP1647" s="14">
        <f>INDEX(挂机升级突破!$DP$6:$DP$57,卡牌消耗!AT1647)</f>
        <v>95</v>
      </c>
      <c r="AQ1647" s="14" t="str">
        <f t="shared" si="475"/>
        <v>UR守护灵</v>
      </c>
      <c r="AR1647" s="14">
        <f t="shared" si="476"/>
        <v>5</v>
      </c>
      <c r="AS1647" s="14" t="str">
        <f t="shared" si="477"/>
        <v>UR守护灵魂火-31</v>
      </c>
      <c r="AT1647" s="14">
        <f t="shared" si="478"/>
        <v>31</v>
      </c>
      <c r="AU1647" s="14" t="str">
        <f>IF(AM1647&gt;0,INDEX(挂机升级突破!$DT$4:$ED$4,AM1647),"")</f>
        <v>金币</v>
      </c>
      <c r="AV1647" s="14">
        <f>ROUND(INDEX(挂机升级突破!$DJ$6:$DJ$57,卡牌消耗!AT1647)*INDEX(卡牌消耗!$B$8:$F$8,AR1647)/$Q$4/50,0)*50</f>
        <v>17800</v>
      </c>
      <c r="AW1647" s="14" t="str">
        <f>IF(AN1647&gt;0,INDEX(挂机升级突破!$DT$4:$ED$4,AN1647),"")</f>
        <v>橙色基础材料</v>
      </c>
      <c r="AX1647" s="14">
        <f>ROUND(INDEX(挂机升级突破!$DT$6:$ED$57,卡牌消耗!AT1647,AN1647)*INDEX(卡牌消耗!$B$5:$F$5,AR1647)/$Q$4/5,0)*5</f>
        <v>40</v>
      </c>
      <c r="AY1647" s="14" t="str">
        <f>IF(AO1647&gt;0,INDEX(挂机升级突破!$DT$4:$ED$4,AO1647),"")</f>
        <v/>
      </c>
      <c r="AZ1647" s="14" t="str">
        <f>IF(AO1647&gt;0,ROUND(INDEX(挂机升级突破!$DT$6:$ED$57,卡牌消耗!AT1647,AO1647)*INDEX(卡牌消耗!$B$7:$F$7,AR1647)/$Q$4,0),"")</f>
        <v/>
      </c>
    </row>
    <row r="1648" spans="37:52" ht="16.5" x14ac:dyDescent="0.2">
      <c r="AK1648" s="193">
        <v>1644</v>
      </c>
      <c r="AL1648" s="14">
        <f t="shared" si="474"/>
        <v>32</v>
      </c>
      <c r="AM1648" s="14">
        <f>INDEX(挂机升级突破!DQ$6:DQ$57,卡牌消耗!$AT1648)</f>
        <v>11</v>
      </c>
      <c r="AN1648" s="14">
        <f>INDEX(挂机升级突破!DR$6:DR$57,卡牌消耗!$AT1648)</f>
        <v>4</v>
      </c>
      <c r="AO1648" s="14">
        <f>INDEX(挂机升级突破!DS$6:DS$57,卡牌消耗!$AT1648)</f>
        <v>0</v>
      </c>
      <c r="AP1648" s="14">
        <f>INDEX(挂机升级突破!$DP$6:$DP$57,卡牌消耗!AT1648)</f>
        <v>98</v>
      </c>
      <c r="AQ1648" s="14" t="str">
        <f t="shared" si="475"/>
        <v>UR守护灵</v>
      </c>
      <c r="AR1648" s="14">
        <f t="shared" si="476"/>
        <v>5</v>
      </c>
      <c r="AS1648" s="14" t="str">
        <f t="shared" si="477"/>
        <v>UR守护灵魂火-32</v>
      </c>
      <c r="AT1648" s="14">
        <f t="shared" si="478"/>
        <v>32</v>
      </c>
      <c r="AU1648" s="14" t="str">
        <f>IF(AM1648&gt;0,INDEX(挂机升级突破!$DT$4:$ED$4,AM1648),"")</f>
        <v>金币</v>
      </c>
      <c r="AV1648" s="14">
        <f>ROUND(INDEX(挂机升级突破!$DJ$6:$DJ$57,卡牌消耗!AT1648)*INDEX(卡牌消耗!$B$8:$F$8,AR1648)/$Q$4/50,0)*50</f>
        <v>24450</v>
      </c>
      <c r="AW1648" s="14" t="str">
        <f>IF(AN1648&gt;0,INDEX(挂机升级突破!$DT$4:$ED$4,AN1648),"")</f>
        <v>橙色基础材料</v>
      </c>
      <c r="AX1648" s="14">
        <f>ROUND(INDEX(挂机升级突破!$DT$6:$ED$57,卡牌消耗!AT1648,AN1648)*INDEX(卡牌消耗!$B$5:$F$5,AR1648)/$Q$4/5,0)*5</f>
        <v>40</v>
      </c>
      <c r="AY1648" s="14" t="str">
        <f>IF(AO1648&gt;0,INDEX(挂机升级突破!$DT$4:$ED$4,AO1648),"")</f>
        <v/>
      </c>
      <c r="AZ1648" s="14" t="str">
        <f>IF(AO1648&gt;0,ROUND(INDEX(挂机升级突破!$DT$6:$ED$57,卡牌消耗!AT1648,AO1648)*INDEX(卡牌消耗!$B$7:$F$7,AR1648)/$Q$4,0),"")</f>
        <v/>
      </c>
    </row>
    <row r="1649" spans="37:52" ht="16.5" x14ac:dyDescent="0.2">
      <c r="AK1649" s="193">
        <v>1645</v>
      </c>
      <c r="AL1649" s="14">
        <f t="shared" si="474"/>
        <v>32</v>
      </c>
      <c r="AM1649" s="14">
        <f>INDEX(挂机升级突破!DQ$6:DQ$57,卡牌消耗!$AT1649)</f>
        <v>11</v>
      </c>
      <c r="AN1649" s="14">
        <f>INDEX(挂机升级突破!DR$6:DR$57,卡牌消耗!$AT1649)</f>
        <v>4</v>
      </c>
      <c r="AO1649" s="14">
        <f>INDEX(挂机升级突破!DS$6:DS$57,卡牌消耗!$AT1649)</f>
        <v>0</v>
      </c>
      <c r="AP1649" s="14">
        <f>INDEX(挂机升级突破!$DP$6:$DP$57,卡牌消耗!AT1649)</f>
        <v>100</v>
      </c>
      <c r="AQ1649" s="14" t="str">
        <f t="shared" si="475"/>
        <v>UR守护灵</v>
      </c>
      <c r="AR1649" s="14">
        <f t="shared" si="476"/>
        <v>5</v>
      </c>
      <c r="AS1649" s="14" t="str">
        <f t="shared" si="477"/>
        <v>UR守护灵魂火-33</v>
      </c>
      <c r="AT1649" s="14">
        <f t="shared" si="478"/>
        <v>33</v>
      </c>
      <c r="AU1649" s="14" t="str">
        <f>IF(AM1649&gt;0,INDEX(挂机升级突破!$DT$4:$ED$4,AM1649),"")</f>
        <v>金币</v>
      </c>
      <c r="AV1649" s="14">
        <f>ROUND(INDEX(挂机升级突破!$DJ$6:$DJ$57,卡牌消耗!AT1649)*INDEX(卡牌消耗!$B$8:$F$8,AR1649)/$Q$4/50,0)*50</f>
        <v>24450</v>
      </c>
      <c r="AW1649" s="14" t="str">
        <f>IF(AN1649&gt;0,INDEX(挂机升级突破!$DT$4:$ED$4,AN1649),"")</f>
        <v>橙色基础材料</v>
      </c>
      <c r="AX1649" s="14">
        <f>ROUND(INDEX(挂机升级突破!$DT$6:$ED$57,卡牌消耗!AT1649,AN1649)*INDEX(卡牌消耗!$B$5:$F$5,AR1649)/$Q$4/5,0)*5</f>
        <v>40</v>
      </c>
      <c r="AY1649" s="14" t="str">
        <f>IF(AO1649&gt;0,INDEX(挂机升级突破!$DT$4:$ED$4,AO1649),"")</f>
        <v/>
      </c>
      <c r="AZ1649" s="14" t="str">
        <f>IF(AO1649&gt;0,ROUND(INDEX(挂机升级突破!$DT$6:$ED$57,卡牌消耗!AT1649,AO1649)*INDEX(卡牌消耗!$B$7:$F$7,AR1649)/$Q$4,0),"")</f>
        <v/>
      </c>
    </row>
    <row r="1650" spans="37:52" ht="16.5" x14ac:dyDescent="0.2">
      <c r="AK1650" s="193">
        <v>1646</v>
      </c>
      <c r="AL1650" s="14">
        <f t="shared" si="474"/>
        <v>32</v>
      </c>
      <c r="AM1650" s="14">
        <f>INDEX(挂机升级突破!DQ$6:DQ$57,卡牌消耗!$AT1650)</f>
        <v>11</v>
      </c>
      <c r="AN1650" s="14">
        <f>INDEX(挂机升级突破!DR$6:DR$57,卡牌消耗!$AT1650)</f>
        <v>4</v>
      </c>
      <c r="AO1650" s="14">
        <f>INDEX(挂机升级突破!DS$6:DS$57,卡牌消耗!$AT1650)</f>
        <v>0</v>
      </c>
      <c r="AP1650" s="14">
        <f>INDEX(挂机升级突破!$DP$6:$DP$57,卡牌消耗!AT1650)</f>
        <v>103</v>
      </c>
      <c r="AQ1650" s="14" t="str">
        <f t="shared" si="475"/>
        <v>UR守护灵</v>
      </c>
      <c r="AR1650" s="14">
        <f t="shared" si="476"/>
        <v>5</v>
      </c>
      <c r="AS1650" s="14" t="str">
        <f t="shared" si="477"/>
        <v>UR守护灵魂火-34</v>
      </c>
      <c r="AT1650" s="14">
        <f t="shared" si="478"/>
        <v>34</v>
      </c>
      <c r="AU1650" s="14" t="str">
        <f>IF(AM1650&gt;0,INDEX(挂机升级突破!$DT$4:$ED$4,AM1650),"")</f>
        <v>金币</v>
      </c>
      <c r="AV1650" s="14">
        <f>ROUND(INDEX(挂机升级突破!$DJ$6:$DJ$57,卡牌消耗!AT1650)*INDEX(卡牌消耗!$B$8:$F$8,AR1650)/$Q$4/50,0)*50</f>
        <v>24450</v>
      </c>
      <c r="AW1650" s="14" t="str">
        <f>IF(AN1650&gt;0,INDEX(挂机升级突破!$DT$4:$ED$4,AN1650),"")</f>
        <v>橙色基础材料</v>
      </c>
      <c r="AX1650" s="14">
        <f>ROUND(INDEX(挂机升级突破!$DT$6:$ED$57,卡牌消耗!AT1650,AN1650)*INDEX(卡牌消耗!$B$5:$F$5,AR1650)/$Q$4/5,0)*5</f>
        <v>45</v>
      </c>
      <c r="AY1650" s="14" t="str">
        <f>IF(AO1650&gt;0,INDEX(挂机升级突破!$DT$4:$ED$4,AO1650),"")</f>
        <v/>
      </c>
      <c r="AZ1650" s="14" t="str">
        <f>IF(AO1650&gt;0,ROUND(INDEX(挂机升级突破!$DT$6:$ED$57,卡牌消耗!AT1650,AO1650)*INDEX(卡牌消耗!$B$7:$F$7,AR1650)/$Q$4,0),"")</f>
        <v/>
      </c>
    </row>
    <row r="1651" spans="37:52" ht="16.5" x14ac:dyDescent="0.2">
      <c r="AK1651" s="193">
        <v>1647</v>
      </c>
      <c r="AL1651" s="14">
        <f t="shared" si="474"/>
        <v>32</v>
      </c>
      <c r="AM1651" s="14">
        <f>INDEX(挂机升级突破!DQ$6:DQ$57,卡牌消耗!$AT1651)</f>
        <v>11</v>
      </c>
      <c r="AN1651" s="14">
        <f>INDEX(挂机升级突破!DR$6:DR$57,卡牌消耗!$AT1651)</f>
        <v>4</v>
      </c>
      <c r="AO1651" s="14">
        <f>INDEX(挂机升级突破!DS$6:DS$57,卡牌消耗!$AT1651)</f>
        <v>0</v>
      </c>
      <c r="AP1651" s="14">
        <f>INDEX(挂机升级突破!$DP$6:$DP$57,卡牌消耗!AT1651)</f>
        <v>105</v>
      </c>
      <c r="AQ1651" s="14" t="str">
        <f t="shared" si="475"/>
        <v>UR守护灵</v>
      </c>
      <c r="AR1651" s="14">
        <f t="shared" si="476"/>
        <v>5</v>
      </c>
      <c r="AS1651" s="14" t="str">
        <f t="shared" si="477"/>
        <v>UR守护灵魂火-35</v>
      </c>
      <c r="AT1651" s="14">
        <f t="shared" si="478"/>
        <v>35</v>
      </c>
      <c r="AU1651" s="14" t="str">
        <f>IF(AM1651&gt;0,INDEX(挂机升级突破!$DT$4:$ED$4,AM1651),"")</f>
        <v>金币</v>
      </c>
      <c r="AV1651" s="14">
        <f>ROUND(INDEX(挂机升级突破!$DJ$6:$DJ$57,卡牌消耗!AT1651)*INDEX(卡牌消耗!$B$8:$F$8,AR1651)/$Q$4/50,0)*50</f>
        <v>31100</v>
      </c>
      <c r="AW1651" s="14" t="str">
        <f>IF(AN1651&gt;0,INDEX(挂机升级突破!$DT$4:$ED$4,AN1651),"")</f>
        <v>橙色基础材料</v>
      </c>
      <c r="AX1651" s="14">
        <f>ROUND(INDEX(挂机升级突破!$DT$6:$ED$57,卡牌消耗!AT1651,AN1651)*INDEX(卡牌消耗!$B$5:$F$5,AR1651)/$Q$4/5,0)*5</f>
        <v>45</v>
      </c>
      <c r="AY1651" s="14" t="str">
        <f>IF(AO1651&gt;0,INDEX(挂机升级突破!$DT$4:$ED$4,AO1651),"")</f>
        <v/>
      </c>
      <c r="AZ1651" s="14" t="str">
        <f>IF(AO1651&gt;0,ROUND(INDEX(挂机升级突破!$DT$6:$ED$57,卡牌消耗!AT1651,AO1651)*INDEX(卡牌消耗!$B$7:$F$7,AR1651)/$Q$4,0),"")</f>
        <v/>
      </c>
    </row>
    <row r="1652" spans="37:52" ht="16.5" x14ac:dyDescent="0.2">
      <c r="AK1652" s="193">
        <v>1648</v>
      </c>
      <c r="AL1652" s="14">
        <f t="shared" si="474"/>
        <v>32</v>
      </c>
      <c r="AM1652" s="14">
        <f>INDEX(挂机升级突破!DQ$6:DQ$57,卡牌消耗!$AT1652)</f>
        <v>11</v>
      </c>
      <c r="AN1652" s="14">
        <f>INDEX(挂机升级突破!DR$6:DR$57,卡牌消耗!$AT1652)</f>
        <v>4</v>
      </c>
      <c r="AO1652" s="14">
        <f>INDEX(挂机升级突破!DS$6:DS$57,卡牌消耗!$AT1652)</f>
        <v>0</v>
      </c>
      <c r="AP1652" s="14">
        <f>INDEX(挂机升级突破!$DP$6:$DP$57,卡牌消耗!AT1652)</f>
        <v>108</v>
      </c>
      <c r="AQ1652" s="14" t="str">
        <f t="shared" si="475"/>
        <v>UR守护灵</v>
      </c>
      <c r="AR1652" s="14">
        <f t="shared" si="476"/>
        <v>5</v>
      </c>
      <c r="AS1652" s="14" t="str">
        <f t="shared" si="477"/>
        <v>UR守护灵魂火-36</v>
      </c>
      <c r="AT1652" s="14">
        <f t="shared" si="478"/>
        <v>36</v>
      </c>
      <c r="AU1652" s="14" t="str">
        <f>IF(AM1652&gt;0,INDEX(挂机升级突破!$DT$4:$ED$4,AM1652),"")</f>
        <v>金币</v>
      </c>
      <c r="AV1652" s="14">
        <f>ROUND(INDEX(挂机升级突破!$DJ$6:$DJ$57,卡牌消耗!AT1652)*INDEX(卡牌消耗!$B$8:$F$8,AR1652)/$Q$4/50,0)*50</f>
        <v>31100</v>
      </c>
      <c r="AW1652" s="14" t="str">
        <f>IF(AN1652&gt;0,INDEX(挂机升级突破!$DT$4:$ED$4,AN1652),"")</f>
        <v>橙色基础材料</v>
      </c>
      <c r="AX1652" s="14">
        <f>ROUND(INDEX(挂机升级突破!$DT$6:$ED$57,卡牌消耗!AT1652,AN1652)*INDEX(卡牌消耗!$B$5:$F$5,AR1652)/$Q$4/5,0)*5</f>
        <v>45</v>
      </c>
      <c r="AY1652" s="14" t="str">
        <f>IF(AO1652&gt;0,INDEX(挂机升级突破!$DT$4:$ED$4,AO1652),"")</f>
        <v/>
      </c>
      <c r="AZ1652" s="14" t="str">
        <f>IF(AO1652&gt;0,ROUND(INDEX(挂机升级突破!$DT$6:$ED$57,卡牌消耗!AT1652,AO1652)*INDEX(卡牌消耗!$B$7:$F$7,AR1652)/$Q$4,0),"")</f>
        <v/>
      </c>
    </row>
    <row r="1653" spans="37:52" ht="16.5" x14ac:dyDescent="0.2">
      <c r="AK1653" s="193">
        <v>1649</v>
      </c>
      <c r="AL1653" s="14">
        <f t="shared" si="474"/>
        <v>32</v>
      </c>
      <c r="AM1653" s="14">
        <f>INDEX(挂机升级突破!DQ$6:DQ$57,卡牌消耗!$AT1653)</f>
        <v>11</v>
      </c>
      <c r="AN1653" s="14">
        <f>INDEX(挂机升级突破!DR$6:DR$57,卡牌消耗!$AT1653)</f>
        <v>4</v>
      </c>
      <c r="AO1653" s="14">
        <f>INDEX(挂机升级突破!DS$6:DS$57,卡牌消耗!$AT1653)</f>
        <v>0</v>
      </c>
      <c r="AP1653" s="14">
        <f>INDEX(挂机升级突破!$DP$6:$DP$57,卡牌消耗!AT1653)</f>
        <v>110</v>
      </c>
      <c r="AQ1653" s="14" t="str">
        <f t="shared" si="475"/>
        <v>UR守护灵</v>
      </c>
      <c r="AR1653" s="14">
        <f t="shared" si="476"/>
        <v>5</v>
      </c>
      <c r="AS1653" s="14" t="str">
        <f t="shared" si="477"/>
        <v>UR守护灵魂火-37</v>
      </c>
      <c r="AT1653" s="14">
        <f t="shared" si="478"/>
        <v>37</v>
      </c>
      <c r="AU1653" s="14" t="str">
        <f>IF(AM1653&gt;0,INDEX(挂机升级突破!$DT$4:$ED$4,AM1653),"")</f>
        <v>金币</v>
      </c>
      <c r="AV1653" s="14">
        <f>ROUND(INDEX(挂机升级突破!$DJ$6:$DJ$57,卡牌消耗!AT1653)*INDEX(卡牌消耗!$B$8:$F$8,AR1653)/$Q$4/50,0)*50</f>
        <v>33350</v>
      </c>
      <c r="AW1653" s="14" t="str">
        <f>IF(AN1653&gt;0,INDEX(挂机升级突破!$DT$4:$ED$4,AN1653),"")</f>
        <v>橙色基础材料</v>
      </c>
      <c r="AX1653" s="14">
        <f>ROUND(INDEX(挂机升级突破!$DT$6:$ED$57,卡牌消耗!AT1653,AN1653)*INDEX(卡牌消耗!$B$5:$F$5,AR1653)/$Q$4/5,0)*5</f>
        <v>45</v>
      </c>
      <c r="AY1653" s="14" t="str">
        <f>IF(AO1653&gt;0,INDEX(挂机升级突破!$DT$4:$ED$4,AO1653),"")</f>
        <v/>
      </c>
      <c r="AZ1653" s="14" t="str">
        <f>IF(AO1653&gt;0,ROUND(INDEX(挂机升级突破!$DT$6:$ED$57,卡牌消耗!AT1653,AO1653)*INDEX(卡牌消耗!$B$7:$F$7,AR1653)/$Q$4,0),"")</f>
        <v/>
      </c>
    </row>
    <row r="1654" spans="37:52" ht="16.5" x14ac:dyDescent="0.2">
      <c r="AK1654" s="193">
        <v>1650</v>
      </c>
      <c r="AL1654" s="14">
        <f t="shared" si="474"/>
        <v>32</v>
      </c>
      <c r="AM1654" s="14">
        <f>INDEX(挂机升级突破!DQ$6:DQ$57,卡牌消耗!$AT1654)</f>
        <v>11</v>
      </c>
      <c r="AN1654" s="14">
        <f>INDEX(挂机升级突破!DR$6:DR$57,卡牌消耗!$AT1654)</f>
        <v>5</v>
      </c>
      <c r="AO1654" s="14">
        <f>INDEX(挂机升级突破!DS$6:DS$57,卡牌消耗!$AT1654)</f>
        <v>0</v>
      </c>
      <c r="AP1654" s="14">
        <f>INDEX(挂机升级突破!$DP$6:$DP$57,卡牌消耗!AT1654)</f>
        <v>113</v>
      </c>
      <c r="AQ1654" s="14" t="str">
        <f t="shared" si="475"/>
        <v>UR守护灵</v>
      </c>
      <c r="AR1654" s="14">
        <f t="shared" si="476"/>
        <v>5</v>
      </c>
      <c r="AS1654" s="14" t="str">
        <f t="shared" si="477"/>
        <v>UR守护灵魂火-38</v>
      </c>
      <c r="AT1654" s="14">
        <f t="shared" si="478"/>
        <v>38</v>
      </c>
      <c r="AU1654" s="14" t="str">
        <f>IF(AM1654&gt;0,INDEX(挂机升级突破!$DT$4:$ED$4,AM1654),"")</f>
        <v>金币</v>
      </c>
      <c r="AV1654" s="14">
        <f>ROUND(INDEX(挂机升级突破!$DJ$6:$DJ$57,卡牌消耗!AT1654)*INDEX(卡牌消耗!$B$8:$F$8,AR1654)/$Q$4/50,0)*50</f>
        <v>43000</v>
      </c>
      <c r="AW1654" s="14" t="str">
        <f>IF(AN1654&gt;0,INDEX(挂机升级突破!$DT$4:$ED$4,AN1654),"")</f>
        <v>红色基础材料</v>
      </c>
      <c r="AX1654" s="14">
        <f>ROUND(INDEX(挂机升级突破!$DT$6:$ED$57,卡牌消耗!AT1654,AN1654)*INDEX(卡牌消耗!$B$5:$F$5,AR1654)/$Q$4/5,0)*5</f>
        <v>10</v>
      </c>
      <c r="AY1654" s="14" t="str">
        <f>IF(AO1654&gt;0,INDEX(挂机升级突破!$DT$4:$ED$4,AO1654),"")</f>
        <v/>
      </c>
      <c r="AZ1654" s="14" t="str">
        <f>IF(AO1654&gt;0,ROUND(INDEX(挂机升级突破!$DT$6:$ED$57,卡牌消耗!AT1654,AO1654)*INDEX(卡牌消耗!$B$7:$F$7,AR1654)/$Q$4,0),"")</f>
        <v/>
      </c>
    </row>
    <row r="1655" spans="37:52" ht="16.5" x14ac:dyDescent="0.2">
      <c r="AK1655" s="193">
        <v>1651</v>
      </c>
      <c r="AL1655" s="14">
        <f t="shared" si="474"/>
        <v>32</v>
      </c>
      <c r="AM1655" s="14">
        <f>INDEX(挂机升级突破!DQ$6:DQ$57,卡牌消耗!$AT1655)</f>
        <v>11</v>
      </c>
      <c r="AN1655" s="14">
        <f>INDEX(挂机升级突破!DR$6:DR$57,卡牌消耗!$AT1655)</f>
        <v>5</v>
      </c>
      <c r="AO1655" s="14">
        <f>INDEX(挂机升级突破!DS$6:DS$57,卡牌消耗!$AT1655)</f>
        <v>0</v>
      </c>
      <c r="AP1655" s="14">
        <f>INDEX(挂机升级突破!$DP$6:$DP$57,卡牌消耗!AT1655)</f>
        <v>115</v>
      </c>
      <c r="AQ1655" s="14" t="str">
        <f t="shared" si="475"/>
        <v>UR守护灵</v>
      </c>
      <c r="AR1655" s="14">
        <f t="shared" si="476"/>
        <v>5</v>
      </c>
      <c r="AS1655" s="14" t="str">
        <f t="shared" si="477"/>
        <v>UR守护灵魂火-39</v>
      </c>
      <c r="AT1655" s="14">
        <f t="shared" si="478"/>
        <v>39</v>
      </c>
      <c r="AU1655" s="14" t="str">
        <f>IF(AM1655&gt;0,INDEX(挂机升级突破!$DT$4:$ED$4,AM1655),"")</f>
        <v>金币</v>
      </c>
      <c r="AV1655" s="14">
        <f>ROUND(INDEX(挂机升级突破!$DJ$6:$DJ$57,卡牌消耗!AT1655)*INDEX(卡牌消耗!$B$8:$F$8,AR1655)/$Q$4/50,0)*50</f>
        <v>43000</v>
      </c>
      <c r="AW1655" s="14" t="str">
        <f>IF(AN1655&gt;0,INDEX(挂机升级突破!$DT$4:$ED$4,AN1655),"")</f>
        <v>红色基础材料</v>
      </c>
      <c r="AX1655" s="14">
        <f>ROUND(INDEX(挂机升级突破!$DT$6:$ED$57,卡牌消耗!AT1655,AN1655)*INDEX(卡牌消耗!$B$5:$F$5,AR1655)/$Q$4/5,0)*5</f>
        <v>10</v>
      </c>
      <c r="AY1655" s="14" t="str">
        <f>IF(AO1655&gt;0,INDEX(挂机升级突破!$DT$4:$ED$4,AO1655),"")</f>
        <v/>
      </c>
      <c r="AZ1655" s="14" t="str">
        <f>IF(AO1655&gt;0,ROUND(INDEX(挂机升级突破!$DT$6:$ED$57,卡牌消耗!AT1655,AO1655)*INDEX(卡牌消耗!$B$7:$F$7,AR1655)/$Q$4,0),"")</f>
        <v/>
      </c>
    </row>
    <row r="1656" spans="37:52" ht="16.5" x14ac:dyDescent="0.2">
      <c r="AK1656" s="193">
        <v>1652</v>
      </c>
      <c r="AL1656" s="14">
        <f t="shared" si="474"/>
        <v>32</v>
      </c>
      <c r="AM1656" s="14">
        <f>INDEX(挂机升级突破!DQ$6:DQ$57,卡牌消耗!$AT1656)</f>
        <v>11</v>
      </c>
      <c r="AN1656" s="14">
        <f>INDEX(挂机升级突破!DR$6:DR$57,卡牌消耗!$AT1656)</f>
        <v>5</v>
      </c>
      <c r="AO1656" s="14">
        <f>INDEX(挂机升级突破!DS$6:DS$57,卡牌消耗!$AT1656)</f>
        <v>0</v>
      </c>
      <c r="AP1656" s="14">
        <f>INDEX(挂机升级突破!$DP$6:$DP$57,卡牌消耗!AT1656)</f>
        <v>118</v>
      </c>
      <c r="AQ1656" s="14" t="str">
        <f t="shared" si="475"/>
        <v>UR守护灵</v>
      </c>
      <c r="AR1656" s="14">
        <f t="shared" si="476"/>
        <v>5</v>
      </c>
      <c r="AS1656" s="14" t="str">
        <f t="shared" si="477"/>
        <v>UR守护灵魂火-40</v>
      </c>
      <c r="AT1656" s="14">
        <f t="shared" si="478"/>
        <v>40</v>
      </c>
      <c r="AU1656" s="14" t="str">
        <f>IF(AM1656&gt;0,INDEX(挂机升级突破!$DT$4:$ED$4,AM1656),"")</f>
        <v>金币</v>
      </c>
      <c r="AV1656" s="14">
        <f>ROUND(INDEX(挂机升级突破!$DJ$6:$DJ$57,卡牌消耗!AT1656)*INDEX(卡牌消耗!$B$8:$F$8,AR1656)/$Q$4/50,0)*50</f>
        <v>43000</v>
      </c>
      <c r="AW1656" s="14" t="str">
        <f>IF(AN1656&gt;0,INDEX(挂机升级突破!$DT$4:$ED$4,AN1656),"")</f>
        <v>红色基础材料</v>
      </c>
      <c r="AX1656" s="14">
        <f>ROUND(INDEX(挂机升级突破!$DT$6:$ED$57,卡牌消耗!AT1656,AN1656)*INDEX(卡牌消耗!$B$5:$F$5,AR1656)/$Q$4/5,0)*5</f>
        <v>10</v>
      </c>
      <c r="AY1656" s="14" t="str">
        <f>IF(AO1656&gt;0,INDEX(挂机升级突破!$DT$4:$ED$4,AO1656),"")</f>
        <v/>
      </c>
      <c r="AZ1656" s="14" t="str">
        <f>IF(AO1656&gt;0,ROUND(INDEX(挂机升级突破!$DT$6:$ED$57,卡牌消耗!AT1656,AO1656)*INDEX(卡牌消耗!$B$7:$F$7,AR1656)/$Q$4,0),"")</f>
        <v/>
      </c>
    </row>
    <row r="1657" spans="37:52" ht="16.5" x14ac:dyDescent="0.2">
      <c r="AK1657" s="193">
        <v>1653</v>
      </c>
      <c r="AL1657" s="14">
        <f t="shared" si="474"/>
        <v>32</v>
      </c>
      <c r="AM1657" s="14">
        <f>INDEX(挂机升级突破!DQ$6:DQ$57,卡牌消耗!$AT1657)</f>
        <v>11</v>
      </c>
      <c r="AN1657" s="14">
        <f>INDEX(挂机升级突破!DR$6:DR$57,卡牌消耗!$AT1657)</f>
        <v>5</v>
      </c>
      <c r="AO1657" s="14">
        <f>INDEX(挂机升级突破!DS$6:DS$57,卡牌消耗!$AT1657)</f>
        <v>10</v>
      </c>
      <c r="AP1657" s="14">
        <f>INDEX(挂机升级突破!$DP$6:$DP$57,卡牌消耗!AT1657)</f>
        <v>120</v>
      </c>
      <c r="AQ1657" s="14" t="str">
        <f t="shared" si="475"/>
        <v>UR守护灵</v>
      </c>
      <c r="AR1657" s="14">
        <f t="shared" si="476"/>
        <v>5</v>
      </c>
      <c r="AS1657" s="14" t="str">
        <f t="shared" si="477"/>
        <v>UR守护灵魂火-41</v>
      </c>
      <c r="AT1657" s="14">
        <f t="shared" si="478"/>
        <v>41</v>
      </c>
      <c r="AU1657" s="14" t="str">
        <f>IF(AM1657&gt;0,INDEX(挂机升级突破!$DT$4:$ED$4,AM1657),"")</f>
        <v>金币</v>
      </c>
      <c r="AV1657" s="14">
        <f>ROUND(INDEX(挂机升级突破!$DJ$6:$DJ$57,卡牌消耗!AT1657)*INDEX(卡牌消耗!$B$8:$F$8,AR1657)/$Q$4/50,0)*50</f>
        <v>59100</v>
      </c>
      <c r="AW1657" s="14" t="str">
        <f>IF(AN1657&gt;0,INDEX(挂机升级突破!$DT$4:$ED$4,AN1657),"")</f>
        <v>红色基础材料</v>
      </c>
      <c r="AX1657" s="14">
        <f>ROUND(INDEX(挂机升级突破!$DT$6:$ED$57,卡牌消耗!AT1657,AN1657)*INDEX(卡牌消耗!$B$5:$F$5,AR1657)/$Q$4/5,0)*5</f>
        <v>15</v>
      </c>
      <c r="AY1657" s="14" t="str">
        <f>IF(AO1657&gt;0,INDEX(挂机升级突破!$DT$4:$ED$4,AO1657),"")</f>
        <v>灵玉</v>
      </c>
      <c r="AZ1657" s="14">
        <f>IF(AO1657&gt;0,ROUND(INDEX(挂机升级突破!$DT$6:$ED$57,卡牌消耗!AT1657,AO1657)*INDEX(卡牌消耗!$B$7:$F$7,AR1657)/$Q$4,0),"")</f>
        <v>4</v>
      </c>
    </row>
    <row r="1658" spans="37:52" ht="16.5" x14ac:dyDescent="0.2">
      <c r="AK1658" s="193">
        <v>1654</v>
      </c>
      <c r="AL1658" s="14">
        <f t="shared" si="474"/>
        <v>32</v>
      </c>
      <c r="AM1658" s="14">
        <f>INDEX(挂机升级突破!DQ$6:DQ$57,卡牌消耗!$AT1658)</f>
        <v>11</v>
      </c>
      <c r="AN1658" s="14">
        <f>INDEX(挂机升级突破!DR$6:DR$57,卡牌消耗!$AT1658)</f>
        <v>5</v>
      </c>
      <c r="AO1658" s="14">
        <f>INDEX(挂机升级突破!DS$6:DS$57,卡牌消耗!$AT1658)</f>
        <v>10</v>
      </c>
      <c r="AP1658" s="14">
        <f>INDEX(挂机升级突破!$DP$6:$DP$57,卡牌消耗!AT1658)</f>
        <v>123</v>
      </c>
      <c r="AQ1658" s="14" t="str">
        <f t="shared" si="475"/>
        <v>UR守护灵</v>
      </c>
      <c r="AR1658" s="14">
        <f t="shared" si="476"/>
        <v>5</v>
      </c>
      <c r="AS1658" s="14" t="str">
        <f t="shared" si="477"/>
        <v>UR守护灵魂火-42</v>
      </c>
      <c r="AT1658" s="14">
        <f t="shared" si="478"/>
        <v>42</v>
      </c>
      <c r="AU1658" s="14" t="str">
        <f>IF(AM1658&gt;0,INDEX(挂机升级突破!$DT$4:$ED$4,AM1658),"")</f>
        <v>金币</v>
      </c>
      <c r="AV1658" s="14">
        <f>ROUND(INDEX(挂机升级突破!$DJ$6:$DJ$57,卡牌消耗!AT1658)*INDEX(卡牌消耗!$B$8:$F$8,AR1658)/$Q$4/50,0)*50</f>
        <v>59100</v>
      </c>
      <c r="AW1658" s="14" t="str">
        <f>IF(AN1658&gt;0,INDEX(挂机升级突破!$DT$4:$ED$4,AN1658),"")</f>
        <v>红色基础材料</v>
      </c>
      <c r="AX1658" s="14">
        <f>ROUND(INDEX(挂机升级突破!$DT$6:$ED$57,卡牌消耗!AT1658,AN1658)*INDEX(卡牌消耗!$B$5:$F$5,AR1658)/$Q$4/5,0)*5</f>
        <v>15</v>
      </c>
      <c r="AY1658" s="14" t="str">
        <f>IF(AO1658&gt;0,INDEX(挂机升级突破!$DT$4:$ED$4,AO1658),"")</f>
        <v>灵玉</v>
      </c>
      <c r="AZ1658" s="14">
        <f>IF(AO1658&gt;0,ROUND(INDEX(挂机升级突破!$DT$6:$ED$57,卡牌消耗!AT1658,AO1658)*INDEX(卡牌消耗!$B$7:$F$7,AR1658)/$Q$4,0),"")</f>
        <v>4</v>
      </c>
    </row>
    <row r="1659" spans="37:52" ht="16.5" x14ac:dyDescent="0.2">
      <c r="AK1659" s="193">
        <v>1655</v>
      </c>
      <c r="AL1659" s="14">
        <f t="shared" si="474"/>
        <v>32</v>
      </c>
      <c r="AM1659" s="14">
        <f>INDEX(挂机升级突破!DQ$6:DQ$57,卡牌消耗!$AT1659)</f>
        <v>11</v>
      </c>
      <c r="AN1659" s="14">
        <f>INDEX(挂机升级突破!DR$6:DR$57,卡牌消耗!$AT1659)</f>
        <v>5</v>
      </c>
      <c r="AO1659" s="14">
        <f>INDEX(挂机升级突破!DS$6:DS$57,卡牌消耗!$AT1659)</f>
        <v>10</v>
      </c>
      <c r="AP1659" s="14">
        <f>INDEX(挂机升级突破!$DP$6:$DP$57,卡牌消耗!AT1659)</f>
        <v>125</v>
      </c>
      <c r="AQ1659" s="14" t="str">
        <f t="shared" si="475"/>
        <v>UR守护灵</v>
      </c>
      <c r="AR1659" s="14">
        <f t="shared" si="476"/>
        <v>5</v>
      </c>
      <c r="AS1659" s="14" t="str">
        <f t="shared" si="477"/>
        <v>UR守护灵魂火-43</v>
      </c>
      <c r="AT1659" s="14">
        <f t="shared" si="478"/>
        <v>43</v>
      </c>
      <c r="AU1659" s="14" t="str">
        <f>IF(AM1659&gt;0,INDEX(挂机升级突破!$DT$4:$ED$4,AM1659),"")</f>
        <v>金币</v>
      </c>
      <c r="AV1659" s="14">
        <f>ROUND(INDEX(挂机升级突破!$DJ$6:$DJ$57,卡牌消耗!AT1659)*INDEX(卡牌消耗!$B$8:$F$8,AR1659)/$Q$4/50,0)*50</f>
        <v>59100</v>
      </c>
      <c r="AW1659" s="14" t="str">
        <f>IF(AN1659&gt;0,INDEX(挂机升级突破!$DT$4:$ED$4,AN1659),"")</f>
        <v>红色基础材料</v>
      </c>
      <c r="AX1659" s="14">
        <f>ROUND(INDEX(挂机升级突破!$DT$6:$ED$57,卡牌消耗!AT1659,AN1659)*INDEX(卡牌消耗!$B$5:$F$5,AR1659)/$Q$4/5,0)*5</f>
        <v>15</v>
      </c>
      <c r="AY1659" s="14" t="str">
        <f>IF(AO1659&gt;0,INDEX(挂机升级突破!$DT$4:$ED$4,AO1659),"")</f>
        <v>灵玉</v>
      </c>
      <c r="AZ1659" s="14">
        <f>IF(AO1659&gt;0,ROUND(INDEX(挂机升级突破!$DT$6:$ED$57,卡牌消耗!AT1659,AO1659)*INDEX(卡牌消耗!$B$7:$F$7,AR1659)/$Q$4,0),"")</f>
        <v>4</v>
      </c>
    </row>
    <row r="1660" spans="37:52" ht="16.5" x14ac:dyDescent="0.2">
      <c r="AK1660" s="193">
        <v>1656</v>
      </c>
      <c r="AL1660" s="14">
        <f t="shared" si="474"/>
        <v>32</v>
      </c>
      <c r="AM1660" s="14">
        <f>INDEX(挂机升级突破!DQ$6:DQ$57,卡牌消耗!$AT1660)</f>
        <v>11</v>
      </c>
      <c r="AN1660" s="14">
        <f>INDEX(挂机升级突破!DR$6:DR$57,卡牌消耗!$AT1660)</f>
        <v>5</v>
      </c>
      <c r="AO1660" s="14">
        <f>INDEX(挂机升级突破!DS$6:DS$57,卡牌消耗!$AT1660)</f>
        <v>10</v>
      </c>
      <c r="AP1660" s="14">
        <f>INDEX(挂机升级突破!$DP$6:$DP$57,卡牌消耗!AT1660)</f>
        <v>128</v>
      </c>
      <c r="AQ1660" s="14" t="str">
        <f t="shared" si="475"/>
        <v>UR守护灵</v>
      </c>
      <c r="AR1660" s="14">
        <f t="shared" si="476"/>
        <v>5</v>
      </c>
      <c r="AS1660" s="14" t="str">
        <f t="shared" si="477"/>
        <v>UR守护灵魂火-44</v>
      </c>
      <c r="AT1660" s="14">
        <f t="shared" si="478"/>
        <v>44</v>
      </c>
      <c r="AU1660" s="14" t="str">
        <f>IF(AM1660&gt;0,INDEX(挂机升级突破!$DT$4:$ED$4,AM1660),"")</f>
        <v>金币</v>
      </c>
      <c r="AV1660" s="14">
        <f>ROUND(INDEX(挂机升级突破!$DJ$6:$DJ$57,卡牌消耗!AT1660)*INDEX(卡牌消耗!$B$8:$F$8,AR1660)/$Q$4/50,0)*50</f>
        <v>75200</v>
      </c>
      <c r="AW1660" s="14" t="str">
        <f>IF(AN1660&gt;0,INDEX(挂机升级突破!$DT$4:$ED$4,AN1660),"")</f>
        <v>红色基础材料</v>
      </c>
      <c r="AX1660" s="14">
        <f>ROUND(INDEX(挂机升级突破!$DT$6:$ED$57,卡牌消耗!AT1660,AN1660)*INDEX(卡牌消耗!$B$5:$F$5,AR1660)/$Q$4/5,0)*5</f>
        <v>15</v>
      </c>
      <c r="AY1660" s="14" t="str">
        <f>IF(AO1660&gt;0,INDEX(挂机升级突破!$DT$4:$ED$4,AO1660),"")</f>
        <v>灵玉</v>
      </c>
      <c r="AZ1660" s="14">
        <f>IF(AO1660&gt;0,ROUND(INDEX(挂机升级突破!$DT$6:$ED$57,卡牌消耗!AT1660,AO1660)*INDEX(卡牌消耗!$B$7:$F$7,AR1660)/$Q$4,0),"")</f>
        <v>4</v>
      </c>
    </row>
    <row r="1661" spans="37:52" ht="16.5" x14ac:dyDescent="0.2">
      <c r="AK1661" s="193">
        <v>1657</v>
      </c>
      <c r="AL1661" s="14">
        <f t="shared" si="474"/>
        <v>32</v>
      </c>
      <c r="AM1661" s="14">
        <f>INDEX(挂机升级突破!DQ$6:DQ$57,卡牌消耗!$AT1661)</f>
        <v>11</v>
      </c>
      <c r="AN1661" s="14">
        <f>INDEX(挂机升级突破!DR$6:DR$57,卡牌消耗!$AT1661)</f>
        <v>5</v>
      </c>
      <c r="AO1661" s="14">
        <f>INDEX(挂机升级突破!DS$6:DS$57,卡牌消耗!$AT1661)</f>
        <v>10</v>
      </c>
      <c r="AP1661" s="14">
        <f>INDEX(挂机升级突破!$DP$6:$DP$57,卡牌消耗!AT1661)</f>
        <v>130</v>
      </c>
      <c r="AQ1661" s="14" t="str">
        <f t="shared" si="475"/>
        <v>UR守护灵</v>
      </c>
      <c r="AR1661" s="14">
        <f t="shared" si="476"/>
        <v>5</v>
      </c>
      <c r="AS1661" s="14" t="str">
        <f t="shared" si="477"/>
        <v>UR守护灵魂火-45</v>
      </c>
      <c r="AT1661" s="14">
        <f t="shared" si="478"/>
        <v>45</v>
      </c>
      <c r="AU1661" s="14" t="str">
        <f>IF(AM1661&gt;0,INDEX(挂机升级突破!$DT$4:$ED$4,AM1661),"")</f>
        <v>金币</v>
      </c>
      <c r="AV1661" s="14">
        <f>ROUND(INDEX(挂机升级突破!$DJ$6:$DJ$57,卡牌消耗!AT1661)*INDEX(卡牌消耗!$B$8:$F$8,AR1661)/$Q$4/50,0)*50</f>
        <v>75200</v>
      </c>
      <c r="AW1661" s="14" t="str">
        <f>IF(AN1661&gt;0,INDEX(挂机升级突破!$DT$4:$ED$4,AN1661),"")</f>
        <v>红色基础材料</v>
      </c>
      <c r="AX1661" s="14">
        <f>ROUND(INDEX(挂机升级突破!$DT$6:$ED$57,卡牌消耗!AT1661,AN1661)*INDEX(卡牌消耗!$B$5:$F$5,AR1661)/$Q$4/5,0)*5</f>
        <v>15</v>
      </c>
      <c r="AY1661" s="14" t="str">
        <f>IF(AO1661&gt;0,INDEX(挂机升级突破!$DT$4:$ED$4,AO1661),"")</f>
        <v>灵玉</v>
      </c>
      <c r="AZ1661" s="14">
        <f>IF(AO1661&gt;0,ROUND(INDEX(挂机升级突破!$DT$6:$ED$57,卡牌消耗!AT1661,AO1661)*INDEX(卡牌消耗!$B$7:$F$7,AR1661)/$Q$4,0),"")</f>
        <v>4</v>
      </c>
    </row>
    <row r="1662" spans="37:52" ht="16.5" x14ac:dyDescent="0.2">
      <c r="AK1662" s="193">
        <v>1658</v>
      </c>
      <c r="AL1662" s="14">
        <f t="shared" si="474"/>
        <v>32</v>
      </c>
      <c r="AM1662" s="14">
        <f>INDEX(挂机升级突破!DQ$6:DQ$57,卡牌消耗!$AT1662)</f>
        <v>11</v>
      </c>
      <c r="AN1662" s="14">
        <f>INDEX(挂机升级突破!DR$6:DR$57,卡牌消耗!$AT1662)</f>
        <v>5</v>
      </c>
      <c r="AO1662" s="14">
        <f>INDEX(挂机升级突破!DS$6:DS$57,卡牌消耗!$AT1662)</f>
        <v>10</v>
      </c>
      <c r="AP1662" s="14">
        <f>INDEX(挂机升级突破!$DP$6:$DP$57,卡牌消耗!AT1662)</f>
        <v>133</v>
      </c>
      <c r="AQ1662" s="14" t="str">
        <f t="shared" si="475"/>
        <v>UR守护灵</v>
      </c>
      <c r="AR1662" s="14">
        <f t="shared" si="476"/>
        <v>5</v>
      </c>
      <c r="AS1662" s="14" t="str">
        <f t="shared" si="477"/>
        <v>UR守护灵魂火-46</v>
      </c>
      <c r="AT1662" s="14">
        <f t="shared" si="478"/>
        <v>46</v>
      </c>
      <c r="AU1662" s="14" t="str">
        <f>IF(AM1662&gt;0,INDEX(挂机升级突破!$DT$4:$ED$4,AM1662),"")</f>
        <v>金币</v>
      </c>
      <c r="AV1662" s="14">
        <f>ROUND(INDEX(挂机升级突破!$DJ$6:$DJ$57,卡牌消耗!AT1662)*INDEX(卡牌消耗!$B$8:$F$8,AR1662)/$Q$4/50,0)*50</f>
        <v>80600</v>
      </c>
      <c r="AW1662" s="14" t="str">
        <f>IF(AN1662&gt;0,INDEX(挂机升级突破!$DT$4:$ED$4,AN1662),"")</f>
        <v>红色基础材料</v>
      </c>
      <c r="AX1662" s="14">
        <f>ROUND(INDEX(挂机升级突破!$DT$6:$ED$57,卡牌消耗!AT1662,AN1662)*INDEX(卡牌消耗!$B$5:$F$5,AR1662)/$Q$4/5,0)*5</f>
        <v>15</v>
      </c>
      <c r="AY1662" s="14" t="str">
        <f>IF(AO1662&gt;0,INDEX(挂机升级突破!$DT$4:$ED$4,AO1662),"")</f>
        <v>灵玉</v>
      </c>
      <c r="AZ1662" s="14">
        <f>IF(AO1662&gt;0,ROUND(INDEX(挂机升级突破!$DT$6:$ED$57,卡牌消耗!AT1662,AO1662)*INDEX(卡牌消耗!$B$7:$F$7,AR1662)/$Q$4,0),"")</f>
        <v>4</v>
      </c>
    </row>
    <row r="1663" spans="37:52" ht="16.5" x14ac:dyDescent="0.2">
      <c r="AK1663" s="193">
        <v>1659</v>
      </c>
      <c r="AL1663" s="14">
        <f t="shared" si="474"/>
        <v>32</v>
      </c>
      <c r="AM1663" s="14">
        <f>INDEX(挂机升级突破!DQ$6:DQ$57,卡牌消耗!$AT1663)</f>
        <v>11</v>
      </c>
      <c r="AN1663" s="14">
        <f>INDEX(挂机升级突破!DR$6:DR$57,卡牌消耗!$AT1663)</f>
        <v>5</v>
      </c>
      <c r="AO1663" s="14">
        <f>INDEX(挂机升级突破!DS$6:DS$57,卡牌消耗!$AT1663)</f>
        <v>10</v>
      </c>
      <c r="AP1663" s="14">
        <f>INDEX(挂机升级突破!$DP$6:$DP$57,卡牌消耗!AT1663)</f>
        <v>135</v>
      </c>
      <c r="AQ1663" s="14" t="str">
        <f t="shared" si="475"/>
        <v>UR守护灵</v>
      </c>
      <c r="AR1663" s="14">
        <f t="shared" si="476"/>
        <v>5</v>
      </c>
      <c r="AS1663" s="14" t="str">
        <f t="shared" si="477"/>
        <v>UR守护灵魂火-47</v>
      </c>
      <c r="AT1663" s="14">
        <f t="shared" si="478"/>
        <v>47</v>
      </c>
      <c r="AU1663" s="14" t="str">
        <f>IF(AM1663&gt;0,INDEX(挂机升级突破!$DT$4:$ED$4,AM1663),"")</f>
        <v>金币</v>
      </c>
      <c r="AV1663" s="14">
        <f>ROUND(INDEX(挂机升级突破!$DJ$6:$DJ$57,卡牌消耗!AT1663)*INDEX(卡牌消耗!$B$8:$F$8,AR1663)/$Q$4/50,0)*50</f>
        <v>164100</v>
      </c>
      <c r="AW1663" s="14" t="str">
        <f>IF(AN1663&gt;0,INDEX(挂机升级突破!$DT$4:$ED$4,AN1663),"")</f>
        <v>红色基础材料</v>
      </c>
      <c r="AX1663" s="14">
        <f>ROUND(INDEX(挂机升级突破!$DT$6:$ED$57,卡牌消耗!AT1663,AN1663)*INDEX(卡牌消耗!$B$5:$F$5,AR1663)/$Q$4/5,0)*5</f>
        <v>15</v>
      </c>
      <c r="AY1663" s="14" t="str">
        <f>IF(AO1663&gt;0,INDEX(挂机升级突破!$DT$4:$ED$4,AO1663),"")</f>
        <v>灵玉</v>
      </c>
      <c r="AZ1663" s="14">
        <f>IF(AO1663&gt;0,ROUND(INDEX(挂机升级突破!$DT$6:$ED$57,卡牌消耗!AT1663,AO1663)*INDEX(卡牌消耗!$B$7:$F$7,AR1663)/$Q$4,0),"")</f>
        <v>4</v>
      </c>
    </row>
    <row r="1664" spans="37:52" ht="16.5" x14ac:dyDescent="0.2">
      <c r="AK1664" s="193">
        <v>1660</v>
      </c>
      <c r="AL1664" s="14">
        <f t="shared" si="474"/>
        <v>32</v>
      </c>
      <c r="AM1664" s="14">
        <f>INDEX(挂机升级突破!DQ$6:DQ$57,卡牌消耗!$AT1664)</f>
        <v>11</v>
      </c>
      <c r="AN1664" s="14">
        <f>INDEX(挂机升级突破!DR$6:DR$57,卡牌消耗!$AT1664)</f>
        <v>5</v>
      </c>
      <c r="AO1664" s="14">
        <f>INDEX(挂机升级突破!DS$6:DS$57,卡牌消耗!$AT1664)</f>
        <v>10</v>
      </c>
      <c r="AP1664" s="14">
        <f>INDEX(挂机升级突破!$DP$6:$DP$57,卡牌消耗!AT1664)</f>
        <v>138</v>
      </c>
      <c r="AQ1664" s="14" t="str">
        <f t="shared" si="475"/>
        <v>UR守护灵</v>
      </c>
      <c r="AR1664" s="14">
        <f t="shared" si="476"/>
        <v>5</v>
      </c>
      <c r="AS1664" s="14" t="str">
        <f t="shared" si="477"/>
        <v>UR守护灵魂火-48</v>
      </c>
      <c r="AT1664" s="14">
        <f t="shared" si="478"/>
        <v>48</v>
      </c>
      <c r="AU1664" s="14" t="str">
        <f>IF(AM1664&gt;0,INDEX(挂机升级突破!$DT$4:$ED$4,AM1664),"")</f>
        <v>金币</v>
      </c>
      <c r="AV1664" s="14">
        <f>ROUND(INDEX(挂机升级突破!$DJ$6:$DJ$57,卡牌消耗!AT1664)*INDEX(卡牌消耗!$B$8:$F$8,AR1664)/$Q$4/50,0)*50</f>
        <v>164100</v>
      </c>
      <c r="AW1664" s="14" t="str">
        <f>IF(AN1664&gt;0,INDEX(挂机升级突破!$DT$4:$ED$4,AN1664),"")</f>
        <v>红色基础材料</v>
      </c>
      <c r="AX1664" s="14">
        <f>ROUND(INDEX(挂机升级突破!$DT$6:$ED$57,卡牌消耗!AT1664,AN1664)*INDEX(卡牌消耗!$B$5:$F$5,AR1664)/$Q$4/5,0)*5</f>
        <v>15</v>
      </c>
      <c r="AY1664" s="14" t="str">
        <f>IF(AO1664&gt;0,INDEX(挂机升级突破!$DT$4:$ED$4,AO1664),"")</f>
        <v>灵玉</v>
      </c>
      <c r="AZ1664" s="14">
        <f>IF(AO1664&gt;0,ROUND(INDEX(挂机升级突破!$DT$6:$ED$57,卡牌消耗!AT1664,AO1664)*INDEX(卡牌消耗!$B$7:$F$7,AR1664)/$Q$4,0),"")</f>
        <v>4</v>
      </c>
    </row>
    <row r="1665" spans="37:52" ht="16.5" x14ac:dyDescent="0.2">
      <c r="AK1665" s="193">
        <v>1661</v>
      </c>
      <c r="AL1665" s="14">
        <f t="shared" si="474"/>
        <v>32</v>
      </c>
      <c r="AM1665" s="14">
        <f>INDEX(挂机升级突破!DQ$6:DQ$57,卡牌消耗!$AT1665)</f>
        <v>11</v>
      </c>
      <c r="AN1665" s="14">
        <f>INDEX(挂机升级突破!DR$6:DR$57,卡牌消耗!$AT1665)</f>
        <v>5</v>
      </c>
      <c r="AO1665" s="14">
        <f>INDEX(挂机升级突破!DS$6:DS$57,卡牌消耗!$AT1665)</f>
        <v>10</v>
      </c>
      <c r="AP1665" s="14">
        <f>INDEX(挂机升级突破!$DP$6:$DP$57,卡牌消耗!AT1665)</f>
        <v>140</v>
      </c>
      <c r="AQ1665" s="14" t="str">
        <f t="shared" si="475"/>
        <v>UR守护灵</v>
      </c>
      <c r="AR1665" s="14">
        <f t="shared" si="476"/>
        <v>5</v>
      </c>
      <c r="AS1665" s="14" t="str">
        <f t="shared" si="477"/>
        <v>UR守护灵魂火-49</v>
      </c>
      <c r="AT1665" s="14">
        <f t="shared" si="478"/>
        <v>49</v>
      </c>
      <c r="AU1665" s="14" t="str">
        <f>IF(AM1665&gt;0,INDEX(挂机升级突破!$DT$4:$ED$4,AM1665),"")</f>
        <v>金币</v>
      </c>
      <c r="AV1665" s="14">
        <f>ROUND(INDEX(挂机升级突破!$DJ$6:$DJ$57,卡牌消耗!AT1665)*INDEX(卡牌消耗!$B$8:$F$8,AR1665)/$Q$4/50,0)*50</f>
        <v>164100</v>
      </c>
      <c r="AW1665" s="14" t="str">
        <f>IF(AN1665&gt;0,INDEX(挂机升级突破!$DT$4:$ED$4,AN1665),"")</f>
        <v>红色基础材料</v>
      </c>
      <c r="AX1665" s="14">
        <f>ROUND(INDEX(挂机升级突破!$DT$6:$ED$57,卡牌消耗!AT1665,AN1665)*INDEX(卡牌消耗!$B$5:$F$5,AR1665)/$Q$4/5,0)*5</f>
        <v>20</v>
      </c>
      <c r="AY1665" s="14" t="str">
        <f>IF(AO1665&gt;0,INDEX(挂机升级突破!$DT$4:$ED$4,AO1665),"")</f>
        <v>灵玉</v>
      </c>
      <c r="AZ1665" s="14">
        <f>IF(AO1665&gt;0,ROUND(INDEX(挂机升级突破!$DT$6:$ED$57,卡牌消耗!AT1665,AO1665)*INDEX(卡牌消耗!$B$7:$F$7,AR1665)/$Q$4,0),"")</f>
        <v>4</v>
      </c>
    </row>
    <row r="1666" spans="37:52" ht="16.5" x14ac:dyDescent="0.2">
      <c r="AK1666" s="193">
        <v>1662</v>
      </c>
      <c r="AL1666" s="14">
        <f t="shared" si="474"/>
        <v>32</v>
      </c>
      <c r="AM1666" s="14">
        <f>INDEX(挂机升级突破!DQ$6:DQ$57,卡牌消耗!$AT1666)</f>
        <v>11</v>
      </c>
      <c r="AN1666" s="14">
        <f>INDEX(挂机升级突破!DR$6:DR$57,卡牌消耗!$AT1666)</f>
        <v>5</v>
      </c>
      <c r="AO1666" s="14">
        <f>INDEX(挂机升级突破!DS$6:DS$57,卡牌消耗!$AT1666)</f>
        <v>10</v>
      </c>
      <c r="AP1666" s="14">
        <f>INDEX(挂机升级突破!$DP$6:$DP$57,卡牌消耗!AT1666)</f>
        <v>143</v>
      </c>
      <c r="AQ1666" s="14" t="str">
        <f t="shared" si="475"/>
        <v>UR守护灵</v>
      </c>
      <c r="AR1666" s="14">
        <f t="shared" si="476"/>
        <v>5</v>
      </c>
      <c r="AS1666" s="14" t="str">
        <f t="shared" si="477"/>
        <v>UR守护灵魂火-50</v>
      </c>
      <c r="AT1666" s="14">
        <f t="shared" si="478"/>
        <v>50</v>
      </c>
      <c r="AU1666" s="14" t="str">
        <f>IF(AM1666&gt;0,INDEX(挂机升级突破!$DT$4:$ED$4,AM1666),"")</f>
        <v>金币</v>
      </c>
      <c r="AV1666" s="14">
        <f>ROUND(INDEX(挂机升级突破!$DJ$6:$DJ$57,卡牌消耗!AT1666)*INDEX(卡牌消耗!$B$8:$F$8,AR1666)/$Q$4/50,0)*50</f>
        <v>273550</v>
      </c>
      <c r="AW1666" s="14" t="str">
        <f>IF(AN1666&gt;0,INDEX(挂机升级突破!$DT$4:$ED$4,AN1666),"")</f>
        <v>红色基础材料</v>
      </c>
      <c r="AX1666" s="14">
        <f>ROUND(INDEX(挂机升级突破!$DT$6:$ED$57,卡牌消耗!AT1666,AN1666)*INDEX(卡牌消耗!$B$5:$F$5,AR1666)/$Q$4/5,0)*5</f>
        <v>20</v>
      </c>
      <c r="AY1666" s="14" t="str">
        <f>IF(AO1666&gt;0,INDEX(挂机升级突破!$DT$4:$ED$4,AO1666),"")</f>
        <v>灵玉</v>
      </c>
      <c r="AZ1666" s="14">
        <f>IF(AO1666&gt;0,ROUND(INDEX(挂机升级突破!$DT$6:$ED$57,卡牌消耗!AT1666,AO1666)*INDEX(卡牌消耗!$B$7:$F$7,AR1666)/$Q$4,0),"")</f>
        <v>4</v>
      </c>
    </row>
    <row r="1667" spans="37:52" ht="16.5" x14ac:dyDescent="0.2">
      <c r="AK1667" s="193">
        <v>1663</v>
      </c>
      <c r="AL1667" s="14">
        <f t="shared" si="474"/>
        <v>32</v>
      </c>
      <c r="AM1667" s="14">
        <f>INDEX(挂机升级突破!DQ$6:DQ$57,卡牌消耗!$AT1667)</f>
        <v>11</v>
      </c>
      <c r="AN1667" s="14">
        <f>INDEX(挂机升级突破!DR$6:DR$57,卡牌消耗!$AT1667)</f>
        <v>5</v>
      </c>
      <c r="AO1667" s="14">
        <f>INDEX(挂机升级突破!DS$6:DS$57,卡牌消耗!$AT1667)</f>
        <v>10</v>
      </c>
      <c r="AP1667" s="14">
        <f>INDEX(挂机升级突破!$DP$6:$DP$57,卡牌消耗!AT1667)</f>
        <v>145</v>
      </c>
      <c r="AQ1667" s="14" t="str">
        <f t="shared" si="475"/>
        <v>UR守护灵</v>
      </c>
      <c r="AR1667" s="14">
        <f t="shared" si="476"/>
        <v>5</v>
      </c>
      <c r="AS1667" s="14" t="str">
        <f t="shared" si="477"/>
        <v>UR守护灵魂火-51</v>
      </c>
      <c r="AT1667" s="14">
        <f t="shared" si="478"/>
        <v>51</v>
      </c>
      <c r="AU1667" s="14" t="str">
        <f>IF(AM1667&gt;0,INDEX(挂机升级突破!$DT$4:$ED$4,AM1667),"")</f>
        <v>金币</v>
      </c>
      <c r="AV1667" s="14">
        <f>ROUND(INDEX(挂机升级突破!$DJ$6:$DJ$57,卡牌消耗!AT1667)*INDEX(卡牌消耗!$B$8:$F$8,AR1667)/$Q$4/50,0)*50</f>
        <v>300900</v>
      </c>
      <c r="AW1667" s="14" t="str">
        <f>IF(AN1667&gt;0,INDEX(挂机升级突破!$DT$4:$ED$4,AN1667),"")</f>
        <v>红色基础材料</v>
      </c>
      <c r="AX1667" s="14">
        <f>ROUND(INDEX(挂机升级突破!$DT$6:$ED$57,卡牌消耗!AT1667,AN1667)*INDEX(卡牌消耗!$B$5:$F$5,AR1667)/$Q$4/5,0)*5</f>
        <v>20</v>
      </c>
      <c r="AY1667" s="14" t="str">
        <f>IF(AO1667&gt;0,INDEX(挂机升级突破!$DT$4:$ED$4,AO1667),"")</f>
        <v>灵玉</v>
      </c>
      <c r="AZ1667" s="14">
        <f>IF(AO1667&gt;0,ROUND(INDEX(挂机升级突破!$DT$6:$ED$57,卡牌消耗!AT1667,AO1667)*INDEX(卡牌消耗!$B$7:$F$7,AR1667)/$Q$4,0),"")</f>
        <v>4</v>
      </c>
    </row>
    <row r="1668" spans="37:52" ht="16.5" x14ac:dyDescent="0.2">
      <c r="AK1668" s="193">
        <v>1664</v>
      </c>
      <c r="AL1668" s="14">
        <f t="shared" si="474"/>
        <v>32</v>
      </c>
      <c r="AM1668" s="14">
        <f>INDEX(挂机升级突破!DQ$6:DQ$57,卡牌消耗!$AT1668)</f>
        <v>11</v>
      </c>
      <c r="AN1668" s="14">
        <f>INDEX(挂机升级突破!DR$6:DR$57,卡牌消耗!$AT1668)</f>
        <v>5</v>
      </c>
      <c r="AO1668" s="14">
        <f>INDEX(挂机升级突破!DS$6:DS$57,卡牌消耗!$AT1668)</f>
        <v>10</v>
      </c>
      <c r="AP1668" s="14">
        <f>INDEX(挂机升级突破!$DP$6:$DP$57,卡牌消耗!AT1668)</f>
        <v>148</v>
      </c>
      <c r="AQ1668" s="14" t="str">
        <f t="shared" si="475"/>
        <v>UR守护灵</v>
      </c>
      <c r="AR1668" s="14">
        <f t="shared" si="476"/>
        <v>5</v>
      </c>
      <c r="AS1668" s="14" t="str">
        <f t="shared" si="477"/>
        <v>UR守护灵魂火-52</v>
      </c>
      <c r="AT1668" s="14">
        <f t="shared" si="478"/>
        <v>52</v>
      </c>
      <c r="AU1668" s="14" t="str">
        <f>IF(AM1668&gt;0,INDEX(挂机升级突破!$DT$4:$ED$4,AM1668),"")</f>
        <v>金币</v>
      </c>
      <c r="AV1668" s="14">
        <f>ROUND(INDEX(挂机升级突破!$DJ$6:$DJ$57,卡牌消耗!AT1668)*INDEX(卡牌消耗!$B$8:$F$8,AR1668)/$Q$4/50,0)*50</f>
        <v>300900</v>
      </c>
      <c r="AW1668" s="14" t="str">
        <f>IF(AN1668&gt;0,INDEX(挂机升级突破!$DT$4:$ED$4,AN1668),"")</f>
        <v>红色基础材料</v>
      </c>
      <c r="AX1668" s="14">
        <f>ROUND(INDEX(挂机升级突破!$DT$6:$ED$57,卡牌消耗!AT1668,AN1668)*INDEX(卡牌消耗!$B$5:$F$5,AR1668)/$Q$4/5,0)*5</f>
        <v>20</v>
      </c>
      <c r="AY1668" s="14" t="str">
        <f>IF(AO1668&gt;0,INDEX(挂机升级突破!$DT$4:$ED$4,AO1668),"")</f>
        <v>灵玉</v>
      </c>
      <c r="AZ1668" s="14">
        <f>IF(AO1668&gt;0,ROUND(INDEX(挂机升级突破!$DT$6:$ED$57,卡牌消耗!AT1668,AO1668)*INDEX(卡牌消耗!$B$7:$F$7,AR1668)/$Q$4,0),"")</f>
        <v>4</v>
      </c>
    </row>
    <row r="1669" spans="37:52" x14ac:dyDescent="0.2">
      <c r="AK1669" s="194"/>
      <c r="AL1669" s="194"/>
      <c r="AM1669" s="194"/>
      <c r="AN1669" s="194"/>
      <c r="AO1669" s="194"/>
      <c r="AP1669" s="208"/>
      <c r="AQ1669" s="194"/>
      <c r="AR1669" s="194"/>
      <c r="AS1669" s="194"/>
      <c r="AT1669" s="194"/>
      <c r="AU1669" s="194"/>
      <c r="AV1669" s="194"/>
      <c r="AW1669" s="194"/>
      <c r="AX1669" s="194"/>
      <c r="AY1669" s="194"/>
      <c r="AZ1669" s="194"/>
    </row>
    <row r="1670" spans="37:52" x14ac:dyDescent="0.2">
      <c r="AK1670" s="194"/>
      <c r="AL1670" s="194"/>
      <c r="AM1670" s="194"/>
      <c r="AN1670" s="194"/>
      <c r="AO1670" s="194"/>
      <c r="AP1670" s="208"/>
      <c r="AQ1670" s="194"/>
      <c r="AR1670" s="194"/>
      <c r="AS1670" s="194"/>
      <c r="AT1670" s="194"/>
      <c r="AU1670" s="194"/>
      <c r="AV1670" s="194"/>
      <c r="AW1670" s="194"/>
      <c r="AX1670" s="194"/>
      <c r="AY1670" s="194"/>
      <c r="AZ1670" s="194"/>
    </row>
    <row r="1671" spans="37:52" x14ac:dyDescent="0.2">
      <c r="AK1671" s="194"/>
      <c r="AL1671" s="194"/>
      <c r="AM1671" s="194"/>
      <c r="AN1671" s="194"/>
      <c r="AO1671" s="194"/>
      <c r="AP1671" s="208"/>
      <c r="AQ1671" s="194"/>
      <c r="AR1671" s="194"/>
      <c r="AS1671" s="194"/>
      <c r="AT1671" s="194"/>
      <c r="AU1671" s="194"/>
      <c r="AV1671" s="194"/>
      <c r="AW1671" s="194"/>
      <c r="AX1671" s="194"/>
      <c r="AY1671" s="194"/>
      <c r="AZ1671" s="194"/>
    </row>
    <row r="1672" spans="37:52" x14ac:dyDescent="0.2">
      <c r="AK1672" s="194"/>
      <c r="AL1672" s="194"/>
      <c r="AM1672" s="194"/>
      <c r="AN1672" s="194"/>
      <c r="AO1672" s="194"/>
      <c r="AP1672" s="208"/>
      <c r="AQ1672" s="194"/>
      <c r="AR1672" s="194"/>
      <c r="AS1672" s="194"/>
      <c r="AT1672" s="194"/>
      <c r="AU1672" s="194"/>
      <c r="AV1672" s="194"/>
      <c r="AW1672" s="194"/>
      <c r="AX1672" s="194"/>
      <c r="AY1672" s="194"/>
      <c r="AZ1672" s="194"/>
    </row>
    <row r="1673" spans="37:52" x14ac:dyDescent="0.2">
      <c r="AK1673" s="194"/>
      <c r="AL1673" s="194"/>
      <c r="AM1673" s="194"/>
      <c r="AN1673" s="194"/>
      <c r="AO1673" s="194"/>
      <c r="AP1673" s="208"/>
      <c r="AQ1673" s="194"/>
      <c r="AR1673" s="194"/>
      <c r="AS1673" s="194"/>
      <c r="AT1673" s="194"/>
      <c r="AU1673" s="194"/>
      <c r="AV1673" s="194"/>
      <c r="AW1673" s="194"/>
      <c r="AX1673" s="194"/>
      <c r="AY1673" s="194"/>
      <c r="AZ1673" s="194"/>
    </row>
    <row r="1674" spans="37:52" x14ac:dyDescent="0.2">
      <c r="AK1674" s="194"/>
      <c r="AL1674" s="194"/>
      <c r="AM1674" s="194"/>
      <c r="AN1674" s="194"/>
      <c r="AO1674" s="194"/>
      <c r="AP1674" s="208"/>
      <c r="AQ1674" s="194"/>
      <c r="AR1674" s="194"/>
      <c r="AS1674" s="194"/>
      <c r="AT1674" s="194"/>
      <c r="AU1674" s="194"/>
      <c r="AV1674" s="194"/>
      <c r="AW1674" s="194"/>
      <c r="AX1674" s="194"/>
      <c r="AY1674" s="194"/>
      <c r="AZ1674" s="194"/>
    </row>
    <row r="1675" spans="37:52" x14ac:dyDescent="0.2">
      <c r="AK1675" s="194"/>
      <c r="AL1675" s="194"/>
      <c r="AM1675" s="194"/>
      <c r="AN1675" s="194"/>
      <c r="AO1675" s="194"/>
      <c r="AP1675" s="208"/>
      <c r="AQ1675" s="194"/>
      <c r="AR1675" s="194"/>
      <c r="AS1675" s="194"/>
      <c r="AT1675" s="194"/>
      <c r="AU1675" s="194"/>
      <c r="AV1675" s="194"/>
      <c r="AW1675" s="194"/>
      <c r="AX1675" s="194"/>
      <c r="AY1675" s="194"/>
      <c r="AZ1675" s="194"/>
    </row>
    <row r="1676" spans="37:52" x14ac:dyDescent="0.2">
      <c r="AK1676" s="194"/>
      <c r="AL1676" s="194"/>
      <c r="AM1676" s="194"/>
      <c r="AN1676" s="194"/>
      <c r="AO1676" s="194"/>
      <c r="AP1676" s="208"/>
      <c r="AQ1676" s="194"/>
      <c r="AR1676" s="194"/>
      <c r="AS1676" s="194"/>
      <c r="AT1676" s="194"/>
      <c r="AU1676" s="194"/>
      <c r="AV1676" s="194"/>
      <c r="AW1676" s="194"/>
      <c r="AX1676" s="194"/>
      <c r="AY1676" s="194"/>
      <c r="AZ1676" s="194"/>
    </row>
    <row r="1677" spans="37:52" x14ac:dyDescent="0.2">
      <c r="AK1677" s="194"/>
      <c r="AL1677" s="194"/>
      <c r="AM1677" s="194"/>
      <c r="AN1677" s="194"/>
      <c r="AO1677" s="194"/>
      <c r="AP1677" s="208"/>
      <c r="AQ1677" s="194"/>
      <c r="AR1677" s="194"/>
      <c r="AS1677" s="194"/>
      <c r="AT1677" s="194"/>
      <c r="AU1677" s="194"/>
      <c r="AV1677" s="194"/>
      <c r="AW1677" s="194"/>
      <c r="AX1677" s="194"/>
      <c r="AY1677" s="194"/>
      <c r="AZ1677" s="194"/>
    </row>
    <row r="1678" spans="37:52" x14ac:dyDescent="0.2">
      <c r="AK1678" s="194"/>
      <c r="AL1678" s="194"/>
      <c r="AM1678" s="194"/>
      <c r="AN1678" s="194"/>
      <c r="AO1678" s="194"/>
      <c r="AP1678" s="208"/>
      <c r="AQ1678" s="194"/>
      <c r="AR1678" s="194"/>
      <c r="AS1678" s="194"/>
      <c r="AT1678" s="194"/>
      <c r="AU1678" s="194"/>
      <c r="AV1678" s="194"/>
      <c r="AW1678" s="194"/>
      <c r="AX1678" s="194"/>
      <c r="AY1678" s="194"/>
      <c r="AZ1678" s="194"/>
    </row>
    <row r="1679" spans="37:52" x14ac:dyDescent="0.2">
      <c r="AK1679" s="194"/>
      <c r="AL1679" s="194"/>
      <c r="AM1679" s="194"/>
      <c r="AN1679" s="194"/>
      <c r="AO1679" s="194"/>
      <c r="AP1679" s="208"/>
      <c r="AQ1679" s="194"/>
      <c r="AR1679" s="194"/>
      <c r="AS1679" s="194"/>
      <c r="AT1679" s="194"/>
      <c r="AU1679" s="194"/>
      <c r="AV1679" s="194"/>
      <c r="AW1679" s="194"/>
      <c r="AX1679" s="194"/>
      <c r="AY1679" s="194"/>
      <c r="AZ1679" s="194"/>
    </row>
    <row r="1680" spans="37:52" x14ac:dyDescent="0.2">
      <c r="AK1680" s="194"/>
      <c r="AL1680" s="194"/>
      <c r="AM1680" s="194"/>
      <c r="AN1680" s="194"/>
      <c r="AO1680" s="194"/>
      <c r="AP1680" s="208"/>
      <c r="AQ1680" s="194"/>
      <c r="AR1680" s="194"/>
      <c r="AS1680" s="194"/>
      <c r="AT1680" s="194"/>
      <c r="AU1680" s="194"/>
      <c r="AV1680" s="194"/>
      <c r="AW1680" s="194"/>
      <c r="AX1680" s="194"/>
      <c r="AY1680" s="194"/>
      <c r="AZ1680" s="194"/>
    </row>
    <row r="1681" spans="37:52" x14ac:dyDescent="0.2">
      <c r="AK1681" s="194"/>
      <c r="AL1681" s="194"/>
      <c r="AM1681" s="194"/>
      <c r="AN1681" s="194"/>
      <c r="AO1681" s="194"/>
      <c r="AP1681" s="208"/>
      <c r="AQ1681" s="194"/>
      <c r="AR1681" s="194"/>
      <c r="AS1681" s="194"/>
      <c r="AT1681" s="194"/>
      <c r="AU1681" s="194"/>
      <c r="AV1681" s="194"/>
      <c r="AW1681" s="194"/>
      <c r="AX1681" s="194"/>
      <c r="AY1681" s="194"/>
      <c r="AZ1681" s="194"/>
    </row>
    <row r="1682" spans="37:52" x14ac:dyDescent="0.2">
      <c r="AK1682" s="194"/>
      <c r="AL1682" s="194"/>
      <c r="AM1682" s="194"/>
      <c r="AN1682" s="194"/>
      <c r="AO1682" s="194"/>
      <c r="AP1682" s="208"/>
      <c r="AQ1682" s="194"/>
      <c r="AR1682" s="194"/>
      <c r="AS1682" s="194"/>
      <c r="AT1682" s="194"/>
      <c r="AU1682" s="194"/>
      <c r="AV1682" s="194"/>
      <c r="AW1682" s="194"/>
      <c r="AX1682" s="194"/>
      <c r="AY1682" s="194"/>
      <c r="AZ1682" s="194"/>
    </row>
    <row r="1683" spans="37:52" x14ac:dyDescent="0.2">
      <c r="AK1683" s="194"/>
      <c r="AL1683" s="194"/>
      <c r="AM1683" s="194"/>
      <c r="AN1683" s="194"/>
      <c r="AO1683" s="194"/>
      <c r="AP1683" s="208"/>
      <c r="AQ1683" s="194"/>
      <c r="AR1683" s="194"/>
      <c r="AS1683" s="194"/>
      <c r="AT1683" s="194"/>
      <c r="AU1683" s="194"/>
      <c r="AV1683" s="194"/>
      <c r="AW1683" s="194"/>
      <c r="AX1683" s="194"/>
      <c r="AY1683" s="194"/>
      <c r="AZ1683" s="194"/>
    </row>
    <row r="1684" spans="37:52" x14ac:dyDescent="0.2">
      <c r="AK1684" s="194"/>
      <c r="AL1684" s="194"/>
      <c r="AM1684" s="194"/>
      <c r="AN1684" s="194"/>
      <c r="AO1684" s="194"/>
      <c r="AP1684" s="208"/>
      <c r="AQ1684" s="194"/>
      <c r="AR1684" s="194"/>
      <c r="AS1684" s="194"/>
      <c r="AT1684" s="194"/>
      <c r="AU1684" s="194"/>
      <c r="AV1684" s="194"/>
      <c r="AW1684" s="194"/>
      <c r="AX1684" s="194"/>
      <c r="AY1684" s="194"/>
      <c r="AZ1684" s="194"/>
    </row>
    <row r="1685" spans="37:52" x14ac:dyDescent="0.2">
      <c r="AK1685" s="194"/>
      <c r="AL1685" s="194"/>
      <c r="AM1685" s="194"/>
      <c r="AN1685" s="194"/>
      <c r="AO1685" s="194"/>
      <c r="AP1685" s="208"/>
      <c r="AQ1685" s="194"/>
      <c r="AR1685" s="194"/>
      <c r="AS1685" s="194"/>
      <c r="AT1685" s="194"/>
      <c r="AU1685" s="194"/>
      <c r="AV1685" s="194"/>
      <c r="AW1685" s="194"/>
      <c r="AX1685" s="194"/>
      <c r="AY1685" s="194"/>
      <c r="AZ1685" s="194"/>
    </row>
    <row r="1686" spans="37:52" x14ac:dyDescent="0.2">
      <c r="AK1686" s="194"/>
      <c r="AL1686" s="194"/>
      <c r="AM1686" s="194"/>
      <c r="AN1686" s="194"/>
      <c r="AO1686" s="194"/>
      <c r="AP1686" s="208"/>
      <c r="AQ1686" s="194"/>
      <c r="AR1686" s="194"/>
      <c r="AS1686" s="194"/>
      <c r="AT1686" s="194"/>
      <c r="AU1686" s="194"/>
      <c r="AV1686" s="194"/>
      <c r="AW1686" s="194"/>
      <c r="AX1686" s="194"/>
      <c r="AY1686" s="194"/>
      <c r="AZ1686" s="194"/>
    </row>
    <row r="1687" spans="37:52" x14ac:dyDescent="0.2">
      <c r="AK1687" s="194"/>
      <c r="AL1687" s="194"/>
      <c r="AM1687" s="194"/>
      <c r="AN1687" s="194"/>
      <c r="AO1687" s="194"/>
      <c r="AP1687" s="208"/>
      <c r="AQ1687" s="194"/>
      <c r="AR1687" s="194"/>
      <c r="AS1687" s="194"/>
      <c r="AT1687" s="194"/>
      <c r="AU1687" s="194"/>
      <c r="AV1687" s="194"/>
      <c r="AW1687" s="194"/>
      <c r="AX1687" s="194"/>
      <c r="AY1687" s="194"/>
      <c r="AZ1687" s="194"/>
    </row>
    <row r="1688" spans="37:52" x14ac:dyDescent="0.2">
      <c r="AK1688" s="194"/>
      <c r="AL1688" s="194"/>
      <c r="AM1688" s="194"/>
      <c r="AN1688" s="194"/>
      <c r="AO1688" s="194"/>
      <c r="AP1688" s="208"/>
      <c r="AQ1688" s="194"/>
      <c r="AR1688" s="194"/>
      <c r="AS1688" s="194"/>
      <c r="AT1688" s="194"/>
      <c r="AU1688" s="194"/>
      <c r="AV1688" s="194"/>
      <c r="AW1688" s="194"/>
      <c r="AX1688" s="194"/>
      <c r="AY1688" s="194"/>
      <c r="AZ1688" s="194"/>
    </row>
    <row r="1689" spans="37:52" x14ac:dyDescent="0.2">
      <c r="AK1689" s="194"/>
      <c r="AL1689" s="194"/>
      <c r="AM1689" s="194"/>
      <c r="AN1689" s="194"/>
      <c r="AO1689" s="194"/>
      <c r="AP1689" s="208"/>
      <c r="AQ1689" s="194"/>
      <c r="AR1689" s="194"/>
      <c r="AS1689" s="194"/>
      <c r="AT1689" s="194"/>
      <c r="AU1689" s="194"/>
      <c r="AV1689" s="194"/>
      <c r="AW1689" s="194"/>
      <c r="AX1689" s="194"/>
      <c r="AY1689" s="194"/>
      <c r="AZ1689" s="194"/>
    </row>
    <row r="1690" spans="37:52" x14ac:dyDescent="0.2">
      <c r="AK1690" s="194"/>
      <c r="AL1690" s="194"/>
      <c r="AM1690" s="194"/>
      <c r="AN1690" s="194"/>
      <c r="AO1690" s="194"/>
      <c r="AP1690" s="208"/>
      <c r="AQ1690" s="194"/>
      <c r="AR1690" s="194"/>
      <c r="AS1690" s="194"/>
      <c r="AT1690" s="194"/>
      <c r="AU1690" s="194"/>
      <c r="AV1690" s="194"/>
      <c r="AW1690" s="194"/>
      <c r="AX1690" s="194"/>
      <c r="AY1690" s="194"/>
      <c r="AZ1690" s="194"/>
    </row>
    <row r="1691" spans="37:52" x14ac:dyDescent="0.2">
      <c r="AK1691" s="194"/>
      <c r="AL1691" s="194"/>
      <c r="AM1691" s="194"/>
      <c r="AN1691" s="194"/>
      <c r="AO1691" s="194"/>
      <c r="AP1691" s="208"/>
      <c r="AQ1691" s="194"/>
      <c r="AR1691" s="194"/>
      <c r="AS1691" s="194"/>
      <c r="AT1691" s="194"/>
      <c r="AU1691" s="194"/>
      <c r="AV1691" s="194"/>
      <c r="AW1691" s="194"/>
      <c r="AX1691" s="194"/>
      <c r="AY1691" s="194"/>
      <c r="AZ1691" s="194"/>
    </row>
    <row r="1692" spans="37:52" x14ac:dyDescent="0.2">
      <c r="AK1692" s="194"/>
      <c r="AL1692" s="194"/>
      <c r="AM1692" s="194"/>
      <c r="AN1692" s="194"/>
      <c r="AO1692" s="194"/>
      <c r="AP1692" s="208"/>
      <c r="AQ1692" s="194"/>
      <c r="AR1692" s="194"/>
      <c r="AS1692" s="194"/>
      <c r="AT1692" s="194"/>
      <c r="AU1692" s="194"/>
      <c r="AV1692" s="194"/>
      <c r="AW1692" s="194"/>
      <c r="AX1692" s="194"/>
      <c r="AY1692" s="194"/>
      <c r="AZ1692" s="194"/>
    </row>
    <row r="1693" spans="37:52" x14ac:dyDescent="0.2">
      <c r="AK1693" s="194"/>
      <c r="AL1693" s="194"/>
      <c r="AM1693" s="194"/>
      <c r="AN1693" s="194"/>
      <c r="AO1693" s="194"/>
      <c r="AP1693" s="208"/>
      <c r="AQ1693" s="194"/>
      <c r="AR1693" s="194"/>
      <c r="AS1693" s="194"/>
      <c r="AT1693" s="194"/>
      <c r="AU1693" s="194"/>
      <c r="AV1693" s="194"/>
      <c r="AW1693" s="194"/>
      <c r="AX1693" s="194"/>
      <c r="AY1693" s="194"/>
      <c r="AZ1693" s="194"/>
    </row>
    <row r="1694" spans="37:52" x14ac:dyDescent="0.2">
      <c r="AK1694" s="194"/>
      <c r="AL1694" s="194"/>
      <c r="AM1694" s="194"/>
      <c r="AN1694" s="194"/>
      <c r="AO1694" s="194"/>
      <c r="AP1694" s="208"/>
      <c r="AQ1694" s="194"/>
      <c r="AR1694" s="194"/>
      <c r="AS1694" s="194"/>
      <c r="AT1694" s="194"/>
      <c r="AU1694" s="194"/>
      <c r="AV1694" s="194"/>
      <c r="AW1694" s="194"/>
      <c r="AX1694" s="194"/>
      <c r="AY1694" s="194"/>
      <c r="AZ1694" s="194"/>
    </row>
    <row r="1695" spans="37:52" x14ac:dyDescent="0.2">
      <c r="AK1695" s="194"/>
      <c r="AL1695" s="194"/>
      <c r="AM1695" s="194"/>
      <c r="AN1695" s="194"/>
      <c r="AO1695" s="194"/>
      <c r="AP1695" s="208"/>
      <c r="AQ1695" s="194"/>
      <c r="AR1695" s="194"/>
      <c r="AS1695" s="194"/>
      <c r="AT1695" s="194"/>
      <c r="AU1695" s="194"/>
      <c r="AV1695" s="194"/>
      <c r="AW1695" s="194"/>
      <c r="AX1695" s="194"/>
      <c r="AY1695" s="194"/>
      <c r="AZ1695" s="194"/>
    </row>
    <row r="1696" spans="37:52" x14ac:dyDescent="0.2">
      <c r="AK1696" s="194"/>
      <c r="AL1696" s="194"/>
      <c r="AM1696" s="194"/>
      <c r="AN1696" s="194"/>
      <c r="AO1696" s="194"/>
      <c r="AP1696" s="208"/>
      <c r="AQ1696" s="194"/>
      <c r="AR1696" s="194"/>
      <c r="AS1696" s="194"/>
      <c r="AT1696" s="194"/>
      <c r="AU1696" s="194"/>
      <c r="AV1696" s="194"/>
      <c r="AW1696" s="194"/>
      <c r="AX1696" s="194"/>
      <c r="AY1696" s="194"/>
      <c r="AZ1696" s="194"/>
    </row>
    <row r="1697" spans="37:52" x14ac:dyDescent="0.2">
      <c r="AK1697" s="194"/>
      <c r="AL1697" s="194"/>
      <c r="AM1697" s="194"/>
      <c r="AN1697" s="194"/>
      <c r="AO1697" s="194"/>
      <c r="AP1697" s="208"/>
      <c r="AQ1697" s="194"/>
      <c r="AR1697" s="194"/>
      <c r="AS1697" s="194"/>
      <c r="AT1697" s="194"/>
      <c r="AU1697" s="194"/>
      <c r="AV1697" s="194"/>
      <c r="AW1697" s="194"/>
      <c r="AX1697" s="194"/>
      <c r="AY1697" s="194"/>
      <c r="AZ1697" s="194"/>
    </row>
    <row r="1698" spans="37:52" x14ac:dyDescent="0.2">
      <c r="AK1698" s="194"/>
      <c r="AL1698" s="194"/>
      <c r="AM1698" s="194"/>
      <c r="AN1698" s="194"/>
      <c r="AO1698" s="194"/>
      <c r="AP1698" s="208"/>
      <c r="AQ1698" s="194"/>
      <c r="AR1698" s="194"/>
      <c r="AS1698" s="194"/>
      <c r="AT1698" s="194"/>
      <c r="AU1698" s="194"/>
      <c r="AV1698" s="194"/>
      <c r="AW1698" s="194"/>
      <c r="AX1698" s="194"/>
      <c r="AY1698" s="194"/>
      <c r="AZ1698" s="194"/>
    </row>
    <row r="1699" spans="37:52" x14ac:dyDescent="0.2">
      <c r="AK1699" s="194"/>
      <c r="AL1699" s="194"/>
      <c r="AM1699" s="194"/>
      <c r="AN1699" s="194"/>
      <c r="AO1699" s="194"/>
      <c r="AP1699" s="208"/>
      <c r="AQ1699" s="194"/>
      <c r="AR1699" s="194"/>
      <c r="AS1699" s="194"/>
      <c r="AT1699" s="194"/>
      <c r="AU1699" s="194"/>
      <c r="AV1699" s="194"/>
      <c r="AW1699" s="194"/>
      <c r="AX1699" s="194"/>
      <c r="AY1699" s="194"/>
      <c r="AZ1699" s="194"/>
    </row>
    <row r="1700" spans="37:52" x14ac:dyDescent="0.2">
      <c r="AK1700" s="194"/>
      <c r="AL1700" s="194"/>
      <c r="AM1700" s="194"/>
      <c r="AN1700" s="194"/>
      <c r="AO1700" s="194"/>
      <c r="AP1700" s="208"/>
      <c r="AQ1700" s="194"/>
      <c r="AR1700" s="194"/>
      <c r="AS1700" s="194"/>
      <c r="AT1700" s="194"/>
      <c r="AU1700" s="194"/>
      <c r="AV1700" s="194"/>
      <c r="AW1700" s="194"/>
      <c r="AX1700" s="194"/>
      <c r="AY1700" s="194"/>
      <c r="AZ1700" s="194"/>
    </row>
    <row r="1701" spans="37:52" x14ac:dyDescent="0.2">
      <c r="AK1701" s="194"/>
      <c r="AL1701" s="194"/>
      <c r="AM1701" s="194"/>
      <c r="AN1701" s="194"/>
      <c r="AO1701" s="194"/>
      <c r="AP1701" s="208"/>
      <c r="AQ1701" s="194"/>
      <c r="AR1701" s="194"/>
      <c r="AS1701" s="194"/>
      <c r="AT1701" s="194"/>
      <c r="AU1701" s="194"/>
      <c r="AV1701" s="194"/>
      <c r="AW1701" s="194"/>
      <c r="AX1701" s="194"/>
      <c r="AY1701" s="194"/>
      <c r="AZ1701" s="194"/>
    </row>
    <row r="1702" spans="37:52" x14ac:dyDescent="0.2">
      <c r="AK1702" s="194"/>
      <c r="AL1702" s="194"/>
      <c r="AM1702" s="194"/>
      <c r="AN1702" s="194"/>
      <c r="AO1702" s="194"/>
      <c r="AP1702" s="208"/>
      <c r="AQ1702" s="194"/>
      <c r="AR1702" s="194"/>
      <c r="AS1702" s="194"/>
      <c r="AT1702" s="194"/>
      <c r="AU1702" s="194"/>
      <c r="AV1702" s="194"/>
      <c r="AW1702" s="194"/>
      <c r="AX1702" s="194"/>
      <c r="AY1702" s="194"/>
      <c r="AZ1702" s="194"/>
    </row>
    <row r="1703" spans="37:52" x14ac:dyDescent="0.2">
      <c r="AK1703" s="194"/>
      <c r="AL1703" s="194"/>
      <c r="AM1703" s="194"/>
      <c r="AN1703" s="194"/>
      <c r="AO1703" s="194"/>
      <c r="AP1703" s="208"/>
      <c r="AQ1703" s="194"/>
      <c r="AR1703" s="194"/>
      <c r="AS1703" s="194"/>
      <c r="AT1703" s="194"/>
      <c r="AU1703" s="194"/>
      <c r="AV1703" s="194"/>
      <c r="AW1703" s="194"/>
      <c r="AX1703" s="194"/>
      <c r="AY1703" s="194"/>
      <c r="AZ1703" s="194"/>
    </row>
    <row r="1704" spans="37:52" x14ac:dyDescent="0.2">
      <c r="AK1704" s="194"/>
      <c r="AL1704" s="194"/>
      <c r="AM1704" s="194"/>
      <c r="AN1704" s="194"/>
      <c r="AO1704" s="194"/>
      <c r="AP1704" s="208"/>
      <c r="AQ1704" s="194"/>
      <c r="AR1704" s="194"/>
      <c r="AS1704" s="194"/>
      <c r="AT1704" s="194"/>
      <c r="AU1704" s="194"/>
      <c r="AV1704" s="194"/>
      <c r="AW1704" s="194"/>
      <c r="AX1704" s="194"/>
      <c r="AY1704" s="194"/>
      <c r="AZ1704" s="194"/>
    </row>
    <row r="1705" spans="37:52" x14ac:dyDescent="0.2">
      <c r="AK1705" s="194"/>
      <c r="AL1705" s="194"/>
      <c r="AM1705" s="194"/>
      <c r="AN1705" s="194"/>
      <c r="AO1705" s="194"/>
      <c r="AP1705" s="208"/>
      <c r="AQ1705" s="194"/>
      <c r="AR1705" s="194"/>
      <c r="AS1705" s="194"/>
      <c r="AT1705" s="194"/>
      <c r="AU1705" s="194"/>
      <c r="AV1705" s="194"/>
      <c r="AW1705" s="194"/>
      <c r="AX1705" s="194"/>
      <c r="AY1705" s="194"/>
      <c r="AZ1705" s="194"/>
    </row>
    <row r="1706" spans="37:52" x14ac:dyDescent="0.2">
      <c r="AK1706" s="194"/>
      <c r="AL1706" s="194"/>
      <c r="AM1706" s="194"/>
      <c r="AN1706" s="194"/>
      <c r="AO1706" s="194"/>
      <c r="AP1706" s="208"/>
      <c r="AQ1706" s="194"/>
      <c r="AR1706" s="194"/>
      <c r="AS1706" s="194"/>
      <c r="AT1706" s="194"/>
      <c r="AU1706" s="194"/>
      <c r="AV1706" s="194"/>
      <c r="AW1706" s="194"/>
      <c r="AX1706" s="194"/>
      <c r="AY1706" s="194"/>
      <c r="AZ1706" s="194"/>
    </row>
    <row r="1707" spans="37:52" x14ac:dyDescent="0.2">
      <c r="AK1707" s="194"/>
      <c r="AL1707" s="194"/>
      <c r="AM1707" s="194"/>
      <c r="AN1707" s="194"/>
      <c r="AO1707" s="194"/>
      <c r="AP1707" s="208"/>
      <c r="AQ1707" s="194"/>
      <c r="AR1707" s="194"/>
      <c r="AS1707" s="194"/>
      <c r="AT1707" s="194"/>
      <c r="AU1707" s="194"/>
      <c r="AV1707" s="194"/>
      <c r="AW1707" s="194"/>
      <c r="AX1707" s="194"/>
      <c r="AY1707" s="194"/>
      <c r="AZ1707" s="194"/>
    </row>
    <row r="1708" spans="37:52" x14ac:dyDescent="0.2">
      <c r="AK1708" s="194"/>
      <c r="AL1708" s="194"/>
      <c r="AM1708" s="194"/>
      <c r="AN1708" s="194"/>
      <c r="AO1708" s="194"/>
      <c r="AP1708" s="208"/>
      <c r="AQ1708" s="194"/>
      <c r="AR1708" s="194"/>
      <c r="AS1708" s="194"/>
      <c r="AT1708" s="194"/>
      <c r="AU1708" s="194"/>
      <c r="AV1708" s="194"/>
      <c r="AW1708" s="194"/>
      <c r="AX1708" s="194"/>
      <c r="AY1708" s="194"/>
      <c r="AZ1708" s="194"/>
    </row>
    <row r="1709" spans="37:52" x14ac:dyDescent="0.2">
      <c r="AK1709" s="194"/>
      <c r="AL1709" s="194"/>
      <c r="AM1709" s="194"/>
      <c r="AN1709" s="194"/>
      <c r="AO1709" s="194"/>
      <c r="AP1709" s="208"/>
      <c r="AQ1709" s="194"/>
      <c r="AR1709" s="194"/>
      <c r="AS1709" s="194"/>
      <c r="AT1709" s="194"/>
      <c r="AU1709" s="194"/>
      <c r="AV1709" s="194"/>
      <c r="AW1709" s="194"/>
      <c r="AX1709" s="194"/>
      <c r="AY1709" s="194"/>
      <c r="AZ1709" s="194"/>
    </row>
    <row r="1710" spans="37:52" x14ac:dyDescent="0.2">
      <c r="AK1710" s="194"/>
      <c r="AL1710" s="194"/>
      <c r="AM1710" s="194"/>
      <c r="AN1710" s="194"/>
      <c r="AO1710" s="194"/>
      <c r="AP1710" s="208"/>
      <c r="AQ1710" s="194"/>
      <c r="AR1710" s="194"/>
      <c r="AS1710" s="194"/>
      <c r="AT1710" s="194"/>
      <c r="AU1710" s="194"/>
      <c r="AV1710" s="194"/>
      <c r="AW1710" s="194"/>
      <c r="AX1710" s="194"/>
      <c r="AY1710" s="194"/>
      <c r="AZ1710" s="194"/>
    </row>
    <row r="1711" spans="37:52" x14ac:dyDescent="0.2">
      <c r="AK1711" s="194"/>
      <c r="AL1711" s="194"/>
      <c r="AM1711" s="194"/>
      <c r="AN1711" s="194"/>
      <c r="AO1711" s="194"/>
      <c r="AP1711" s="208"/>
      <c r="AQ1711" s="194"/>
      <c r="AR1711" s="194"/>
      <c r="AS1711" s="194"/>
      <c r="AT1711" s="194"/>
      <c r="AU1711" s="194"/>
      <c r="AV1711" s="194"/>
      <c r="AW1711" s="194"/>
      <c r="AX1711" s="194"/>
      <c r="AY1711" s="194"/>
      <c r="AZ1711" s="194"/>
    </row>
    <row r="1712" spans="37:52" x14ac:dyDescent="0.2">
      <c r="AK1712" s="194"/>
      <c r="AL1712" s="194"/>
      <c r="AM1712" s="194"/>
      <c r="AN1712" s="194"/>
      <c r="AO1712" s="194"/>
      <c r="AP1712" s="208"/>
      <c r="AQ1712" s="194"/>
      <c r="AR1712" s="194"/>
      <c r="AS1712" s="194"/>
      <c r="AT1712" s="194"/>
      <c r="AU1712" s="194"/>
      <c r="AV1712" s="194"/>
      <c r="AW1712" s="194"/>
      <c r="AX1712" s="194"/>
      <c r="AY1712" s="194"/>
      <c r="AZ1712" s="194"/>
    </row>
    <row r="1713" spans="37:52" x14ac:dyDescent="0.2">
      <c r="AK1713" s="194"/>
      <c r="AL1713" s="194"/>
      <c r="AM1713" s="194"/>
      <c r="AN1713" s="194"/>
      <c r="AO1713" s="194"/>
      <c r="AP1713" s="208"/>
      <c r="AQ1713" s="194"/>
      <c r="AR1713" s="194"/>
      <c r="AS1713" s="194"/>
      <c r="AT1713" s="194"/>
      <c r="AU1713" s="194"/>
      <c r="AV1713" s="194"/>
      <c r="AW1713" s="194"/>
      <c r="AX1713" s="194"/>
      <c r="AY1713" s="194"/>
      <c r="AZ1713" s="194"/>
    </row>
    <row r="1714" spans="37:52" x14ac:dyDescent="0.2">
      <c r="AK1714" s="194"/>
      <c r="AL1714" s="194"/>
      <c r="AM1714" s="194"/>
      <c r="AN1714" s="194"/>
      <c r="AO1714" s="194"/>
      <c r="AP1714" s="208"/>
      <c r="AQ1714" s="194"/>
      <c r="AR1714" s="194"/>
      <c r="AS1714" s="194"/>
      <c r="AT1714" s="194"/>
      <c r="AU1714" s="194"/>
      <c r="AV1714" s="194"/>
      <c r="AW1714" s="194"/>
      <c r="AX1714" s="194"/>
      <c r="AY1714" s="194"/>
      <c r="AZ1714" s="194"/>
    </row>
    <row r="1715" spans="37:52" x14ac:dyDescent="0.2">
      <c r="AK1715" s="194"/>
      <c r="AL1715" s="194"/>
      <c r="AM1715" s="194"/>
      <c r="AN1715" s="194"/>
      <c r="AO1715" s="194"/>
      <c r="AP1715" s="208"/>
      <c r="AQ1715" s="194"/>
      <c r="AR1715" s="194"/>
      <c r="AS1715" s="194"/>
      <c r="AT1715" s="194"/>
      <c r="AU1715" s="194"/>
      <c r="AV1715" s="194"/>
      <c r="AW1715" s="194"/>
      <c r="AX1715" s="194"/>
      <c r="AY1715" s="194"/>
      <c r="AZ1715" s="194"/>
    </row>
    <row r="1716" spans="37:52" x14ac:dyDescent="0.2">
      <c r="AK1716" s="194"/>
      <c r="AL1716" s="194"/>
      <c r="AM1716" s="194"/>
      <c r="AN1716" s="194"/>
      <c r="AO1716" s="194"/>
      <c r="AP1716" s="208"/>
      <c r="AQ1716" s="194"/>
      <c r="AR1716" s="194"/>
      <c r="AS1716" s="194"/>
      <c r="AT1716" s="194"/>
      <c r="AU1716" s="194"/>
      <c r="AV1716" s="194"/>
      <c r="AW1716" s="194"/>
      <c r="AX1716" s="194"/>
      <c r="AY1716" s="194"/>
      <c r="AZ1716" s="194"/>
    </row>
    <row r="1717" spans="37:52" x14ac:dyDescent="0.2">
      <c r="AK1717" s="194"/>
      <c r="AL1717" s="194"/>
      <c r="AM1717" s="194"/>
      <c r="AN1717" s="194"/>
      <c r="AO1717" s="194"/>
      <c r="AP1717" s="208"/>
      <c r="AQ1717" s="194"/>
      <c r="AR1717" s="194"/>
      <c r="AS1717" s="194"/>
      <c r="AT1717" s="194"/>
      <c r="AU1717" s="194"/>
      <c r="AV1717" s="194"/>
      <c r="AW1717" s="194"/>
      <c r="AX1717" s="194"/>
      <c r="AY1717" s="194"/>
      <c r="AZ1717" s="194"/>
    </row>
    <row r="1718" spans="37:52" x14ac:dyDescent="0.2">
      <c r="AK1718" s="194"/>
      <c r="AL1718" s="194"/>
      <c r="AM1718" s="194"/>
      <c r="AN1718" s="194"/>
      <c r="AO1718" s="194"/>
      <c r="AP1718" s="208"/>
      <c r="AQ1718" s="194"/>
      <c r="AR1718" s="194"/>
      <c r="AS1718" s="194"/>
      <c r="AT1718" s="194"/>
      <c r="AU1718" s="194"/>
      <c r="AV1718" s="194"/>
      <c r="AW1718" s="194"/>
      <c r="AX1718" s="194"/>
      <c r="AY1718" s="194"/>
      <c r="AZ1718" s="194"/>
    </row>
    <row r="1719" spans="37:52" x14ac:dyDescent="0.2">
      <c r="AK1719" s="194"/>
      <c r="AL1719" s="194"/>
      <c r="AM1719" s="194"/>
      <c r="AN1719" s="194"/>
      <c r="AO1719" s="194"/>
      <c r="AP1719" s="208"/>
      <c r="AQ1719" s="194"/>
      <c r="AR1719" s="194"/>
      <c r="AS1719" s="194"/>
      <c r="AT1719" s="194"/>
      <c r="AU1719" s="194"/>
      <c r="AV1719" s="194"/>
      <c r="AW1719" s="194"/>
      <c r="AX1719" s="194"/>
      <c r="AY1719" s="194"/>
      <c r="AZ1719" s="194"/>
    </row>
    <row r="1720" spans="37:52" x14ac:dyDescent="0.2">
      <c r="AK1720" s="194"/>
      <c r="AL1720" s="194"/>
      <c r="AM1720" s="194"/>
      <c r="AN1720" s="194"/>
      <c r="AO1720" s="194"/>
      <c r="AP1720" s="208"/>
      <c r="AQ1720" s="194"/>
      <c r="AR1720" s="194"/>
      <c r="AS1720" s="194"/>
      <c r="AT1720" s="194"/>
      <c r="AU1720" s="194"/>
      <c r="AV1720" s="194"/>
      <c r="AW1720" s="194"/>
      <c r="AX1720" s="194"/>
      <c r="AY1720" s="194"/>
      <c r="AZ1720" s="194"/>
    </row>
    <row r="1721" spans="37:52" x14ac:dyDescent="0.2">
      <c r="AK1721" s="194"/>
      <c r="AL1721" s="194"/>
      <c r="AM1721" s="194"/>
      <c r="AN1721" s="194"/>
      <c r="AO1721" s="194"/>
      <c r="AP1721" s="208"/>
      <c r="AQ1721" s="194"/>
      <c r="AR1721" s="194"/>
      <c r="AS1721" s="194"/>
      <c r="AT1721" s="194"/>
      <c r="AU1721" s="194"/>
      <c r="AV1721" s="194"/>
      <c r="AW1721" s="194"/>
      <c r="AX1721" s="194"/>
      <c r="AY1721" s="194"/>
      <c r="AZ1721" s="194"/>
    </row>
    <row r="1722" spans="37:52" x14ac:dyDescent="0.2">
      <c r="AK1722" s="194"/>
      <c r="AL1722" s="194"/>
      <c r="AM1722" s="194"/>
      <c r="AN1722" s="194"/>
      <c r="AO1722" s="194"/>
      <c r="AP1722" s="208"/>
      <c r="AQ1722" s="194"/>
      <c r="AR1722" s="194"/>
      <c r="AS1722" s="194"/>
      <c r="AT1722" s="194"/>
      <c r="AU1722" s="194"/>
      <c r="AV1722" s="194"/>
      <c r="AW1722" s="194"/>
      <c r="AX1722" s="194"/>
      <c r="AY1722" s="194"/>
      <c r="AZ1722" s="194"/>
    </row>
    <row r="1723" spans="37:52" x14ac:dyDescent="0.2">
      <c r="AK1723" s="194"/>
      <c r="AL1723" s="194"/>
      <c r="AM1723" s="194"/>
      <c r="AN1723" s="194"/>
      <c r="AO1723" s="194"/>
      <c r="AP1723" s="208"/>
      <c r="AQ1723" s="194"/>
      <c r="AR1723" s="194"/>
      <c r="AS1723" s="194"/>
      <c r="AT1723" s="194"/>
      <c r="AU1723" s="194"/>
      <c r="AV1723" s="194"/>
      <c r="AW1723" s="194"/>
      <c r="AX1723" s="194"/>
      <c r="AY1723" s="194"/>
      <c r="AZ1723" s="194"/>
    </row>
    <row r="1724" spans="37:52" x14ac:dyDescent="0.2">
      <c r="AK1724" s="194"/>
      <c r="AL1724" s="194"/>
      <c r="AM1724" s="194"/>
      <c r="AN1724" s="194"/>
      <c r="AO1724" s="194"/>
      <c r="AP1724" s="208"/>
      <c r="AQ1724" s="194"/>
      <c r="AR1724" s="194"/>
      <c r="AS1724" s="194"/>
      <c r="AT1724" s="194"/>
      <c r="AU1724" s="194"/>
      <c r="AV1724" s="194"/>
      <c r="AW1724" s="194"/>
      <c r="AX1724" s="194"/>
      <c r="AY1724" s="194"/>
      <c r="AZ1724" s="194"/>
    </row>
    <row r="1725" spans="37:52" x14ac:dyDescent="0.2">
      <c r="AK1725" s="194"/>
      <c r="AL1725" s="194"/>
      <c r="AM1725" s="194"/>
      <c r="AN1725" s="194"/>
      <c r="AO1725" s="194"/>
      <c r="AP1725" s="208"/>
      <c r="AQ1725" s="194"/>
      <c r="AR1725" s="194"/>
      <c r="AS1725" s="194"/>
      <c r="AT1725" s="194"/>
      <c r="AU1725" s="194"/>
      <c r="AV1725" s="194"/>
      <c r="AW1725" s="194"/>
      <c r="AX1725" s="194"/>
      <c r="AY1725" s="194"/>
      <c r="AZ1725" s="194"/>
    </row>
    <row r="1726" spans="37:52" x14ac:dyDescent="0.2">
      <c r="AK1726" s="194"/>
      <c r="AL1726" s="194"/>
      <c r="AM1726" s="194"/>
      <c r="AN1726" s="194"/>
      <c r="AO1726" s="194"/>
      <c r="AP1726" s="208"/>
      <c r="AQ1726" s="194"/>
      <c r="AR1726" s="194"/>
      <c r="AS1726" s="194"/>
      <c r="AT1726" s="194"/>
      <c r="AU1726" s="194"/>
      <c r="AV1726" s="194"/>
      <c r="AW1726" s="194"/>
      <c r="AX1726" s="194"/>
      <c r="AY1726" s="194"/>
      <c r="AZ1726" s="194"/>
    </row>
    <row r="1727" spans="37:52" x14ac:dyDescent="0.2">
      <c r="AK1727" s="194"/>
      <c r="AL1727" s="194"/>
      <c r="AM1727" s="194"/>
      <c r="AN1727" s="194"/>
      <c r="AO1727" s="194"/>
      <c r="AP1727" s="208"/>
      <c r="AQ1727" s="194"/>
      <c r="AR1727" s="194"/>
      <c r="AS1727" s="194"/>
      <c r="AT1727" s="194"/>
      <c r="AU1727" s="194"/>
      <c r="AV1727" s="194"/>
      <c r="AW1727" s="194"/>
      <c r="AX1727" s="194"/>
      <c r="AY1727" s="194"/>
      <c r="AZ1727" s="194"/>
    </row>
    <row r="1728" spans="37:52" x14ac:dyDescent="0.2">
      <c r="AK1728" s="194"/>
      <c r="AL1728" s="194"/>
      <c r="AM1728" s="194"/>
      <c r="AN1728" s="194"/>
      <c r="AO1728" s="194"/>
      <c r="AP1728" s="208"/>
      <c r="AQ1728" s="194"/>
      <c r="AR1728" s="194"/>
      <c r="AS1728" s="194"/>
      <c r="AT1728" s="194"/>
      <c r="AU1728" s="194"/>
      <c r="AV1728" s="194"/>
      <c r="AW1728" s="194"/>
      <c r="AX1728" s="194"/>
      <c r="AY1728" s="194"/>
      <c r="AZ1728" s="194"/>
    </row>
    <row r="1729" spans="37:52" x14ac:dyDescent="0.2">
      <c r="AK1729" s="194"/>
      <c r="AL1729" s="194"/>
      <c r="AM1729" s="194"/>
      <c r="AN1729" s="194"/>
      <c r="AO1729" s="194"/>
      <c r="AP1729" s="208"/>
      <c r="AQ1729" s="194"/>
      <c r="AR1729" s="194"/>
      <c r="AS1729" s="194"/>
      <c r="AT1729" s="194"/>
      <c r="AU1729" s="194"/>
      <c r="AV1729" s="194"/>
      <c r="AW1729" s="194"/>
      <c r="AX1729" s="194"/>
      <c r="AY1729" s="194"/>
      <c r="AZ1729" s="194"/>
    </row>
    <row r="1730" spans="37:52" x14ac:dyDescent="0.2">
      <c r="AK1730" s="194"/>
      <c r="AL1730" s="194"/>
      <c r="AM1730" s="194"/>
      <c r="AN1730" s="194"/>
      <c r="AO1730" s="194"/>
      <c r="AP1730" s="208"/>
      <c r="AQ1730" s="194"/>
      <c r="AR1730" s="194"/>
      <c r="AS1730" s="194"/>
      <c r="AT1730" s="194"/>
      <c r="AU1730" s="194"/>
      <c r="AV1730" s="194"/>
      <c r="AW1730" s="194"/>
      <c r="AX1730" s="194"/>
      <c r="AY1730" s="194"/>
      <c r="AZ1730" s="194"/>
    </row>
    <row r="1731" spans="37:52" x14ac:dyDescent="0.2">
      <c r="AK1731" s="194"/>
      <c r="AL1731" s="194"/>
      <c r="AM1731" s="194"/>
      <c r="AN1731" s="194"/>
      <c r="AO1731" s="194"/>
      <c r="AP1731" s="208"/>
      <c r="AQ1731" s="194"/>
      <c r="AR1731" s="194"/>
      <c r="AS1731" s="194"/>
      <c r="AT1731" s="194"/>
      <c r="AU1731" s="194"/>
      <c r="AV1731" s="194"/>
      <c r="AW1731" s="194"/>
      <c r="AX1731" s="194"/>
      <c r="AY1731" s="194"/>
      <c r="AZ1731" s="194"/>
    </row>
    <row r="1732" spans="37:52" x14ac:dyDescent="0.2">
      <c r="AK1732" s="194"/>
      <c r="AL1732" s="194"/>
      <c r="AM1732" s="194"/>
      <c r="AN1732" s="194"/>
      <c r="AO1732" s="194"/>
      <c r="AP1732" s="208"/>
      <c r="AQ1732" s="194"/>
      <c r="AR1732" s="194"/>
      <c r="AS1732" s="194"/>
      <c r="AT1732" s="194"/>
      <c r="AU1732" s="194"/>
      <c r="AV1732" s="194"/>
      <c r="AW1732" s="194"/>
      <c r="AX1732" s="194"/>
      <c r="AY1732" s="194"/>
      <c r="AZ1732" s="194"/>
    </row>
    <row r="1733" spans="37:52" x14ac:dyDescent="0.2">
      <c r="AK1733" s="194"/>
      <c r="AL1733" s="194"/>
      <c r="AM1733" s="194"/>
      <c r="AN1733" s="194"/>
      <c r="AO1733" s="194"/>
      <c r="AP1733" s="208"/>
      <c r="AQ1733" s="194"/>
      <c r="AR1733" s="194"/>
      <c r="AS1733" s="194"/>
      <c r="AT1733" s="194"/>
      <c r="AU1733" s="194"/>
      <c r="AV1733" s="194"/>
      <c r="AW1733" s="194"/>
      <c r="AX1733" s="194"/>
      <c r="AY1733" s="194"/>
      <c r="AZ1733" s="194"/>
    </row>
    <row r="1734" spans="37:52" x14ac:dyDescent="0.2">
      <c r="AK1734" s="194"/>
      <c r="AL1734" s="194"/>
      <c r="AM1734" s="194"/>
      <c r="AN1734" s="194"/>
      <c r="AO1734" s="194"/>
      <c r="AP1734" s="208"/>
      <c r="AQ1734" s="194"/>
      <c r="AR1734" s="194"/>
      <c r="AS1734" s="194"/>
      <c r="AT1734" s="194"/>
      <c r="AU1734" s="194"/>
      <c r="AV1734" s="194"/>
      <c r="AW1734" s="194"/>
      <c r="AX1734" s="194"/>
      <c r="AY1734" s="194"/>
      <c r="AZ1734" s="194"/>
    </row>
    <row r="1735" spans="37:52" x14ac:dyDescent="0.2">
      <c r="AK1735" s="194"/>
      <c r="AL1735" s="194"/>
      <c r="AM1735" s="194"/>
      <c r="AN1735" s="194"/>
      <c r="AO1735" s="194"/>
      <c r="AP1735" s="208"/>
      <c r="AQ1735" s="194"/>
      <c r="AR1735" s="194"/>
      <c r="AS1735" s="194"/>
      <c r="AT1735" s="194"/>
      <c r="AU1735" s="194"/>
      <c r="AV1735" s="194"/>
      <c r="AW1735" s="194"/>
      <c r="AX1735" s="194"/>
      <c r="AY1735" s="194"/>
      <c r="AZ1735" s="194"/>
    </row>
    <row r="1736" spans="37:52" x14ac:dyDescent="0.2">
      <c r="AK1736" s="194"/>
      <c r="AL1736" s="194"/>
      <c r="AM1736" s="194"/>
      <c r="AN1736" s="194"/>
      <c r="AO1736" s="194"/>
      <c r="AP1736" s="208"/>
      <c r="AQ1736" s="194"/>
      <c r="AR1736" s="194"/>
      <c r="AS1736" s="194"/>
      <c r="AT1736" s="194"/>
      <c r="AU1736" s="194"/>
      <c r="AV1736" s="194"/>
      <c r="AW1736" s="194"/>
      <c r="AX1736" s="194"/>
      <c r="AY1736" s="194"/>
      <c r="AZ1736" s="194"/>
    </row>
    <row r="1737" spans="37:52" x14ac:dyDescent="0.2">
      <c r="AK1737" s="194"/>
      <c r="AL1737" s="194"/>
      <c r="AM1737" s="194"/>
      <c r="AN1737" s="194"/>
      <c r="AO1737" s="194"/>
      <c r="AP1737" s="208"/>
      <c r="AQ1737" s="194"/>
      <c r="AR1737" s="194"/>
      <c r="AS1737" s="194"/>
      <c r="AT1737" s="194"/>
      <c r="AU1737" s="194"/>
      <c r="AV1737" s="194"/>
      <c r="AW1737" s="194"/>
      <c r="AX1737" s="194"/>
      <c r="AY1737" s="194"/>
      <c r="AZ1737" s="194"/>
    </row>
    <row r="1738" spans="37:52" x14ac:dyDescent="0.2">
      <c r="AK1738" s="194"/>
      <c r="AL1738" s="194"/>
      <c r="AM1738" s="194"/>
      <c r="AN1738" s="194"/>
      <c r="AO1738" s="194"/>
      <c r="AP1738" s="208"/>
      <c r="AQ1738" s="194"/>
      <c r="AR1738" s="194"/>
      <c r="AS1738" s="194"/>
      <c r="AT1738" s="194"/>
      <c r="AU1738" s="194"/>
      <c r="AV1738" s="194"/>
      <c r="AW1738" s="194"/>
      <c r="AX1738" s="194"/>
      <c r="AY1738" s="194"/>
      <c r="AZ1738" s="194"/>
    </row>
    <row r="1739" spans="37:52" x14ac:dyDescent="0.2">
      <c r="AK1739" s="194"/>
      <c r="AL1739" s="194"/>
      <c r="AM1739" s="194"/>
      <c r="AN1739" s="194"/>
      <c r="AO1739" s="194"/>
      <c r="AP1739" s="208"/>
      <c r="AQ1739" s="194"/>
      <c r="AR1739" s="194"/>
      <c r="AS1739" s="194"/>
      <c r="AT1739" s="194"/>
      <c r="AU1739" s="194"/>
      <c r="AV1739" s="194"/>
      <c r="AW1739" s="194"/>
      <c r="AX1739" s="194"/>
      <c r="AY1739" s="194"/>
      <c r="AZ1739" s="194"/>
    </row>
    <row r="1740" spans="37:52" x14ac:dyDescent="0.2">
      <c r="AK1740" s="194"/>
      <c r="AL1740" s="194"/>
      <c r="AM1740" s="194"/>
      <c r="AN1740" s="194"/>
      <c r="AO1740" s="194"/>
      <c r="AP1740" s="208"/>
      <c r="AQ1740" s="194"/>
      <c r="AR1740" s="194"/>
      <c r="AS1740" s="194"/>
      <c r="AT1740" s="194"/>
      <c r="AU1740" s="194"/>
      <c r="AV1740" s="194"/>
      <c r="AW1740" s="194"/>
      <c r="AX1740" s="194"/>
      <c r="AY1740" s="194"/>
      <c r="AZ1740" s="194"/>
    </row>
    <row r="1741" spans="37:52" x14ac:dyDescent="0.2">
      <c r="AK1741" s="194"/>
      <c r="AL1741" s="194"/>
      <c r="AM1741" s="194"/>
      <c r="AN1741" s="194"/>
      <c r="AO1741" s="194"/>
      <c r="AP1741" s="208"/>
      <c r="AQ1741" s="194"/>
      <c r="AR1741" s="194"/>
      <c r="AS1741" s="194"/>
      <c r="AT1741" s="194"/>
      <c r="AU1741" s="194"/>
      <c r="AV1741" s="194"/>
      <c r="AW1741" s="194"/>
      <c r="AX1741" s="194"/>
      <c r="AY1741" s="194"/>
      <c r="AZ1741" s="194"/>
    </row>
    <row r="1742" spans="37:52" x14ac:dyDescent="0.2">
      <c r="AK1742" s="194"/>
      <c r="AL1742" s="194"/>
      <c r="AM1742" s="194"/>
      <c r="AN1742" s="194"/>
      <c r="AO1742" s="194"/>
      <c r="AP1742" s="208"/>
      <c r="AQ1742" s="194"/>
      <c r="AR1742" s="194"/>
      <c r="AS1742" s="194"/>
      <c r="AT1742" s="194"/>
      <c r="AU1742" s="194"/>
      <c r="AV1742" s="194"/>
      <c r="AW1742" s="194"/>
      <c r="AX1742" s="194"/>
      <c r="AY1742" s="194"/>
      <c r="AZ1742" s="194"/>
    </row>
    <row r="1743" spans="37:52" x14ac:dyDescent="0.2">
      <c r="AK1743" s="194"/>
      <c r="AL1743" s="194"/>
      <c r="AM1743" s="194"/>
      <c r="AN1743" s="194"/>
      <c r="AO1743" s="194"/>
      <c r="AP1743" s="208"/>
      <c r="AQ1743" s="194"/>
      <c r="AR1743" s="194"/>
      <c r="AS1743" s="194"/>
      <c r="AT1743" s="194"/>
      <c r="AU1743" s="194"/>
      <c r="AV1743" s="194"/>
      <c r="AW1743" s="194"/>
      <c r="AX1743" s="194"/>
      <c r="AY1743" s="194"/>
      <c r="AZ1743" s="194"/>
    </row>
    <row r="1744" spans="37:52" x14ac:dyDescent="0.2">
      <c r="AK1744" s="194"/>
      <c r="AL1744" s="194"/>
      <c r="AM1744" s="194"/>
      <c r="AN1744" s="194"/>
      <c r="AO1744" s="194"/>
      <c r="AP1744" s="208"/>
      <c r="AQ1744" s="194"/>
      <c r="AR1744" s="194"/>
      <c r="AS1744" s="194"/>
      <c r="AT1744" s="194"/>
      <c r="AU1744" s="194"/>
      <c r="AV1744" s="194"/>
      <c r="AW1744" s="194"/>
      <c r="AX1744" s="194"/>
      <c r="AY1744" s="194"/>
      <c r="AZ1744" s="194"/>
    </row>
    <row r="1745" spans="37:52" x14ac:dyDescent="0.2">
      <c r="AK1745" s="194"/>
      <c r="AL1745" s="194"/>
      <c r="AM1745" s="194"/>
      <c r="AN1745" s="194"/>
      <c r="AO1745" s="194"/>
      <c r="AP1745" s="208"/>
      <c r="AQ1745" s="194"/>
      <c r="AR1745" s="194"/>
      <c r="AS1745" s="194"/>
      <c r="AT1745" s="194"/>
      <c r="AU1745" s="194"/>
      <c r="AV1745" s="194"/>
      <c r="AW1745" s="194"/>
      <c r="AX1745" s="194"/>
      <c r="AY1745" s="194"/>
      <c r="AZ1745" s="194"/>
    </row>
    <row r="1746" spans="37:52" x14ac:dyDescent="0.2">
      <c r="AK1746" s="194"/>
      <c r="AL1746" s="194"/>
      <c r="AM1746" s="194"/>
      <c r="AN1746" s="194"/>
      <c r="AO1746" s="194"/>
      <c r="AP1746" s="208"/>
      <c r="AQ1746" s="194"/>
      <c r="AR1746" s="194"/>
      <c r="AS1746" s="194"/>
      <c r="AT1746" s="194"/>
      <c r="AU1746" s="194"/>
      <c r="AV1746" s="194"/>
      <c r="AW1746" s="194"/>
      <c r="AX1746" s="194"/>
      <c r="AY1746" s="194"/>
      <c r="AZ1746" s="194"/>
    </row>
    <row r="1747" spans="37:52" x14ac:dyDescent="0.2">
      <c r="AK1747" s="194"/>
      <c r="AL1747" s="194"/>
      <c r="AM1747" s="194"/>
      <c r="AN1747" s="194"/>
      <c r="AO1747" s="194"/>
      <c r="AP1747" s="208"/>
      <c r="AQ1747" s="194"/>
      <c r="AR1747" s="194"/>
      <c r="AS1747" s="194"/>
      <c r="AT1747" s="194"/>
      <c r="AU1747" s="194"/>
      <c r="AV1747" s="194"/>
      <c r="AW1747" s="194"/>
      <c r="AX1747" s="194"/>
      <c r="AY1747" s="194"/>
      <c r="AZ1747" s="194"/>
    </row>
    <row r="1748" spans="37:52" x14ac:dyDescent="0.2">
      <c r="AK1748" s="194"/>
      <c r="AL1748" s="194"/>
      <c r="AM1748" s="194"/>
      <c r="AN1748" s="194"/>
      <c r="AO1748" s="194"/>
      <c r="AP1748" s="208"/>
      <c r="AQ1748" s="194"/>
      <c r="AR1748" s="194"/>
      <c r="AS1748" s="194"/>
      <c r="AT1748" s="194"/>
      <c r="AU1748" s="194"/>
      <c r="AV1748" s="194"/>
      <c r="AW1748" s="194"/>
      <c r="AX1748" s="194"/>
      <c r="AY1748" s="194"/>
      <c r="AZ1748" s="194"/>
    </row>
    <row r="1749" spans="37:52" x14ac:dyDescent="0.2">
      <c r="AK1749" s="194"/>
      <c r="AL1749" s="194"/>
      <c r="AM1749" s="194"/>
      <c r="AN1749" s="194"/>
      <c r="AO1749" s="194"/>
      <c r="AP1749" s="208"/>
      <c r="AQ1749" s="194"/>
      <c r="AR1749" s="194"/>
      <c r="AS1749" s="194"/>
      <c r="AT1749" s="194"/>
      <c r="AU1749" s="194"/>
      <c r="AV1749" s="194"/>
      <c r="AW1749" s="194"/>
      <c r="AX1749" s="194"/>
      <c r="AY1749" s="194"/>
      <c r="AZ1749" s="194"/>
    </row>
    <row r="1750" spans="37:52" x14ac:dyDescent="0.2">
      <c r="AK1750" s="194"/>
      <c r="AL1750" s="194"/>
      <c r="AM1750" s="194"/>
      <c r="AN1750" s="194"/>
      <c r="AO1750" s="194"/>
      <c r="AP1750" s="208"/>
      <c r="AQ1750" s="194"/>
      <c r="AR1750" s="194"/>
      <c r="AS1750" s="194"/>
      <c r="AT1750" s="194"/>
      <c r="AU1750" s="194"/>
      <c r="AV1750" s="194"/>
      <c r="AW1750" s="194"/>
      <c r="AX1750" s="194"/>
      <c r="AY1750" s="194"/>
      <c r="AZ1750" s="194"/>
    </row>
    <row r="1751" spans="37:52" x14ac:dyDescent="0.2">
      <c r="AK1751" s="194"/>
      <c r="AL1751" s="194"/>
      <c r="AM1751" s="194"/>
      <c r="AN1751" s="194"/>
      <c r="AO1751" s="194"/>
      <c r="AP1751" s="208"/>
      <c r="AQ1751" s="194"/>
      <c r="AR1751" s="194"/>
      <c r="AS1751" s="194"/>
      <c r="AT1751" s="194"/>
      <c r="AU1751" s="194"/>
      <c r="AV1751" s="194"/>
      <c r="AW1751" s="194"/>
      <c r="AX1751" s="194"/>
      <c r="AY1751" s="194"/>
      <c r="AZ1751" s="194"/>
    </row>
    <row r="1752" spans="37:52" x14ac:dyDescent="0.2">
      <c r="AK1752" s="194"/>
      <c r="AL1752" s="194"/>
      <c r="AM1752" s="194"/>
      <c r="AN1752" s="194"/>
      <c r="AO1752" s="194"/>
      <c r="AP1752" s="208"/>
      <c r="AQ1752" s="194"/>
      <c r="AR1752" s="194"/>
      <c r="AS1752" s="194"/>
      <c r="AT1752" s="194"/>
      <c r="AU1752" s="194"/>
      <c r="AV1752" s="194"/>
      <c r="AW1752" s="194"/>
      <c r="AX1752" s="194"/>
      <c r="AY1752" s="194"/>
      <c r="AZ1752" s="194"/>
    </row>
    <row r="1753" spans="37:52" x14ac:dyDescent="0.2">
      <c r="AK1753" s="194"/>
      <c r="AL1753" s="194"/>
      <c r="AM1753" s="194"/>
      <c r="AN1753" s="194"/>
      <c r="AO1753" s="194"/>
      <c r="AP1753" s="208"/>
      <c r="AQ1753" s="194"/>
      <c r="AR1753" s="194"/>
      <c r="AS1753" s="194"/>
      <c r="AT1753" s="194"/>
      <c r="AU1753" s="194"/>
      <c r="AV1753" s="194"/>
      <c r="AW1753" s="194"/>
      <c r="AX1753" s="194"/>
      <c r="AY1753" s="194"/>
      <c r="AZ1753" s="194"/>
    </row>
    <row r="1754" spans="37:52" x14ac:dyDescent="0.2">
      <c r="AK1754" s="194"/>
      <c r="AL1754" s="194"/>
      <c r="AM1754" s="194"/>
      <c r="AN1754" s="194"/>
      <c r="AO1754" s="194"/>
      <c r="AP1754" s="208"/>
      <c r="AQ1754" s="194"/>
      <c r="AR1754" s="194"/>
      <c r="AS1754" s="194"/>
      <c r="AT1754" s="194"/>
      <c r="AU1754" s="194"/>
      <c r="AV1754" s="194"/>
      <c r="AW1754" s="194"/>
      <c r="AX1754" s="194"/>
      <c r="AY1754" s="194"/>
      <c r="AZ1754" s="194"/>
    </row>
    <row r="1755" spans="37:52" x14ac:dyDescent="0.2">
      <c r="AK1755" s="194"/>
      <c r="AL1755" s="194"/>
      <c r="AM1755" s="194"/>
      <c r="AN1755" s="194"/>
      <c r="AO1755" s="194"/>
      <c r="AP1755" s="208"/>
      <c r="AQ1755" s="194"/>
      <c r="AR1755" s="194"/>
      <c r="AS1755" s="194"/>
      <c r="AT1755" s="194"/>
      <c r="AU1755" s="194"/>
      <c r="AV1755" s="194"/>
      <c r="AW1755" s="194"/>
      <c r="AX1755" s="194"/>
      <c r="AY1755" s="194"/>
      <c r="AZ1755" s="194"/>
    </row>
    <row r="1756" spans="37:52" x14ac:dyDescent="0.2">
      <c r="AK1756" s="194"/>
      <c r="AL1756" s="194"/>
      <c r="AM1756" s="194"/>
      <c r="AN1756" s="194"/>
      <c r="AO1756" s="194"/>
      <c r="AP1756" s="208"/>
      <c r="AQ1756" s="194"/>
      <c r="AR1756" s="194"/>
      <c r="AS1756" s="194"/>
      <c r="AT1756" s="194"/>
      <c r="AU1756" s="194"/>
      <c r="AV1756" s="194"/>
      <c r="AW1756" s="194"/>
      <c r="AX1756" s="194"/>
      <c r="AY1756" s="194"/>
      <c r="AZ1756" s="194"/>
    </row>
    <row r="1757" spans="37:52" x14ac:dyDescent="0.2">
      <c r="AK1757" s="194"/>
      <c r="AL1757" s="194"/>
      <c r="AM1757" s="194"/>
      <c r="AN1757" s="194"/>
      <c r="AO1757" s="194"/>
      <c r="AP1757" s="208"/>
      <c r="AQ1757" s="194"/>
      <c r="AR1757" s="194"/>
      <c r="AS1757" s="194"/>
      <c r="AT1757" s="194"/>
      <c r="AU1757" s="194"/>
      <c r="AV1757" s="194"/>
      <c r="AW1757" s="194"/>
      <c r="AX1757" s="194"/>
      <c r="AY1757" s="194"/>
      <c r="AZ1757" s="194"/>
    </row>
    <row r="1758" spans="37:52" x14ac:dyDescent="0.2">
      <c r="AK1758" s="194"/>
      <c r="AL1758" s="194"/>
      <c r="AM1758" s="194"/>
      <c r="AN1758" s="194"/>
      <c r="AO1758" s="194"/>
      <c r="AP1758" s="208"/>
      <c r="AQ1758" s="194"/>
      <c r="AR1758" s="194"/>
      <c r="AS1758" s="194"/>
      <c r="AT1758" s="194"/>
      <c r="AU1758" s="194"/>
      <c r="AV1758" s="194"/>
      <c r="AW1758" s="194"/>
      <c r="AX1758" s="194"/>
      <c r="AY1758" s="194"/>
      <c r="AZ1758" s="194"/>
    </row>
    <row r="1759" spans="37:52" x14ac:dyDescent="0.2">
      <c r="AK1759" s="194"/>
      <c r="AL1759" s="194"/>
      <c r="AM1759" s="194"/>
      <c r="AN1759" s="194"/>
      <c r="AO1759" s="194"/>
      <c r="AP1759" s="208"/>
      <c r="AQ1759" s="194"/>
      <c r="AR1759" s="194"/>
      <c r="AS1759" s="194"/>
      <c r="AT1759" s="194"/>
      <c r="AU1759" s="194"/>
      <c r="AV1759" s="194"/>
      <c r="AW1759" s="194"/>
      <c r="AX1759" s="194"/>
      <c r="AY1759" s="194"/>
      <c r="AZ1759" s="194"/>
    </row>
    <row r="1760" spans="37:52" x14ac:dyDescent="0.2">
      <c r="AK1760" s="194"/>
      <c r="AL1760" s="194"/>
      <c r="AM1760" s="194"/>
      <c r="AN1760" s="194"/>
      <c r="AO1760" s="194"/>
      <c r="AP1760" s="208"/>
      <c r="AQ1760" s="194"/>
      <c r="AR1760" s="194"/>
      <c r="AS1760" s="194"/>
      <c r="AT1760" s="194"/>
      <c r="AU1760" s="194"/>
      <c r="AV1760" s="194"/>
      <c r="AW1760" s="194"/>
      <c r="AX1760" s="194"/>
      <c r="AY1760" s="194"/>
      <c r="AZ1760" s="194"/>
    </row>
    <row r="1761" spans="37:52" x14ac:dyDescent="0.2">
      <c r="AK1761" s="194"/>
      <c r="AL1761" s="194"/>
      <c r="AM1761" s="194"/>
      <c r="AN1761" s="194"/>
      <c r="AO1761" s="194"/>
      <c r="AP1761" s="208"/>
      <c r="AQ1761" s="194"/>
      <c r="AR1761" s="194"/>
      <c r="AS1761" s="194"/>
      <c r="AT1761" s="194"/>
      <c r="AU1761" s="194"/>
      <c r="AV1761" s="194"/>
      <c r="AW1761" s="194"/>
      <c r="AX1761" s="194"/>
      <c r="AY1761" s="194"/>
      <c r="AZ1761" s="194"/>
    </row>
    <row r="1762" spans="37:52" x14ac:dyDescent="0.2">
      <c r="AK1762" s="194"/>
      <c r="AL1762" s="194"/>
      <c r="AM1762" s="194"/>
      <c r="AN1762" s="194"/>
      <c r="AO1762" s="194"/>
      <c r="AP1762" s="208"/>
      <c r="AQ1762" s="194"/>
      <c r="AR1762" s="194"/>
      <c r="AS1762" s="194"/>
      <c r="AT1762" s="194"/>
      <c r="AU1762" s="194"/>
      <c r="AV1762" s="194"/>
      <c r="AW1762" s="194"/>
      <c r="AX1762" s="194"/>
      <c r="AY1762" s="194"/>
      <c r="AZ1762" s="194"/>
    </row>
    <row r="1763" spans="37:52" x14ac:dyDescent="0.2">
      <c r="AK1763" s="194"/>
      <c r="AL1763" s="194"/>
      <c r="AM1763" s="194"/>
      <c r="AN1763" s="194"/>
      <c r="AO1763" s="194"/>
      <c r="AP1763" s="208"/>
      <c r="AQ1763" s="194"/>
      <c r="AR1763" s="194"/>
      <c r="AS1763" s="194"/>
      <c r="AT1763" s="194"/>
      <c r="AU1763" s="194"/>
      <c r="AV1763" s="194"/>
      <c r="AW1763" s="194"/>
      <c r="AX1763" s="194"/>
      <c r="AY1763" s="194"/>
      <c r="AZ1763" s="194"/>
    </row>
    <row r="1764" spans="37:52" x14ac:dyDescent="0.2">
      <c r="AK1764" s="194"/>
      <c r="AL1764" s="194"/>
      <c r="AM1764" s="194"/>
      <c r="AN1764" s="194"/>
      <c r="AO1764" s="194"/>
      <c r="AP1764" s="208"/>
      <c r="AQ1764" s="194"/>
      <c r="AR1764" s="194"/>
      <c r="AS1764" s="194"/>
      <c r="AT1764" s="194"/>
      <c r="AU1764" s="194"/>
      <c r="AV1764" s="194"/>
      <c r="AW1764" s="194"/>
      <c r="AX1764" s="194"/>
      <c r="AY1764" s="194"/>
      <c r="AZ1764" s="194"/>
    </row>
    <row r="1765" spans="37:52" x14ac:dyDescent="0.2">
      <c r="AK1765" s="194"/>
      <c r="AL1765" s="194"/>
      <c r="AM1765" s="194"/>
      <c r="AN1765" s="194"/>
      <c r="AO1765" s="194"/>
      <c r="AP1765" s="208"/>
      <c r="AQ1765" s="194"/>
      <c r="AR1765" s="194"/>
      <c r="AS1765" s="194"/>
      <c r="AT1765" s="194"/>
      <c r="AU1765" s="194"/>
      <c r="AV1765" s="194"/>
      <c r="AW1765" s="194"/>
      <c r="AX1765" s="194"/>
      <c r="AY1765" s="194"/>
      <c r="AZ1765" s="194"/>
    </row>
    <row r="1766" spans="37:52" x14ac:dyDescent="0.2">
      <c r="AK1766" s="194"/>
      <c r="AL1766" s="194"/>
      <c r="AM1766" s="194"/>
      <c r="AN1766" s="194"/>
      <c r="AO1766" s="194"/>
      <c r="AP1766" s="208"/>
      <c r="AQ1766" s="194"/>
      <c r="AR1766" s="194"/>
      <c r="AS1766" s="194"/>
      <c r="AT1766" s="194"/>
      <c r="AU1766" s="194"/>
      <c r="AV1766" s="194"/>
      <c r="AW1766" s="194"/>
      <c r="AX1766" s="194"/>
      <c r="AY1766" s="194"/>
      <c r="AZ1766" s="194"/>
    </row>
    <row r="1767" spans="37:52" x14ac:dyDescent="0.2">
      <c r="AK1767" s="194"/>
      <c r="AL1767" s="194"/>
      <c r="AM1767" s="194"/>
      <c r="AN1767" s="194"/>
      <c r="AO1767" s="194"/>
      <c r="AP1767" s="208"/>
      <c r="AQ1767" s="194"/>
      <c r="AR1767" s="194"/>
      <c r="AS1767" s="194"/>
      <c r="AT1767" s="194"/>
      <c r="AU1767" s="194"/>
      <c r="AV1767" s="194"/>
      <c r="AW1767" s="194"/>
      <c r="AX1767" s="194"/>
      <c r="AY1767" s="194"/>
      <c r="AZ1767" s="194"/>
    </row>
    <row r="1768" spans="37:52" x14ac:dyDescent="0.2">
      <c r="AK1768" s="194"/>
      <c r="AL1768" s="194"/>
      <c r="AM1768" s="194"/>
      <c r="AN1768" s="194"/>
      <c r="AO1768" s="194"/>
      <c r="AP1768" s="208"/>
      <c r="AQ1768" s="194"/>
      <c r="AR1768" s="194"/>
      <c r="AS1768" s="194"/>
      <c r="AT1768" s="194"/>
      <c r="AU1768" s="194"/>
      <c r="AV1768" s="194"/>
      <c r="AW1768" s="194"/>
      <c r="AX1768" s="194"/>
      <c r="AY1768" s="194"/>
      <c r="AZ1768" s="194"/>
    </row>
    <row r="1769" spans="37:52" x14ac:dyDescent="0.2">
      <c r="AK1769" s="194"/>
      <c r="AL1769" s="194"/>
      <c r="AM1769" s="194"/>
      <c r="AN1769" s="194"/>
      <c r="AO1769" s="194"/>
      <c r="AP1769" s="208"/>
      <c r="AQ1769" s="194"/>
      <c r="AR1769" s="194"/>
      <c r="AS1769" s="194"/>
      <c r="AT1769" s="194"/>
      <c r="AU1769" s="194"/>
      <c r="AV1769" s="194"/>
      <c r="AW1769" s="194"/>
      <c r="AX1769" s="194"/>
      <c r="AY1769" s="194"/>
      <c r="AZ1769" s="194"/>
    </row>
    <row r="1770" spans="37:52" x14ac:dyDescent="0.2">
      <c r="AK1770" s="194"/>
      <c r="AL1770" s="194"/>
      <c r="AM1770" s="194"/>
      <c r="AN1770" s="194"/>
      <c r="AO1770" s="194"/>
      <c r="AP1770" s="208"/>
      <c r="AQ1770" s="194"/>
      <c r="AR1770" s="194"/>
      <c r="AS1770" s="194"/>
      <c r="AT1770" s="194"/>
      <c r="AU1770" s="194"/>
      <c r="AV1770" s="194"/>
      <c r="AW1770" s="194"/>
      <c r="AX1770" s="194"/>
      <c r="AY1770" s="194"/>
      <c r="AZ1770" s="194"/>
    </row>
    <row r="1771" spans="37:52" x14ac:dyDescent="0.2">
      <c r="AK1771" s="194"/>
      <c r="AL1771" s="194"/>
      <c r="AM1771" s="194"/>
      <c r="AN1771" s="194"/>
      <c r="AO1771" s="194"/>
      <c r="AP1771" s="208"/>
      <c r="AQ1771" s="194"/>
      <c r="AR1771" s="194"/>
      <c r="AS1771" s="194"/>
      <c r="AT1771" s="194"/>
      <c r="AU1771" s="194"/>
      <c r="AV1771" s="194"/>
      <c r="AW1771" s="194"/>
      <c r="AX1771" s="194"/>
      <c r="AY1771" s="194"/>
      <c r="AZ1771" s="194"/>
    </row>
    <row r="1772" spans="37:52" x14ac:dyDescent="0.2">
      <c r="AK1772" s="194"/>
      <c r="AL1772" s="194"/>
      <c r="AM1772" s="194"/>
      <c r="AN1772" s="194"/>
      <c r="AO1772" s="194"/>
      <c r="AP1772" s="208"/>
      <c r="AQ1772" s="194"/>
      <c r="AR1772" s="194"/>
      <c r="AS1772" s="194"/>
      <c r="AT1772" s="194"/>
      <c r="AU1772" s="194"/>
      <c r="AV1772" s="194"/>
      <c r="AW1772" s="194"/>
      <c r="AX1772" s="194"/>
      <c r="AY1772" s="194"/>
      <c r="AZ1772" s="194"/>
    </row>
    <row r="1773" spans="37:52" x14ac:dyDescent="0.2">
      <c r="AK1773" s="194"/>
      <c r="AL1773" s="194"/>
      <c r="AM1773" s="194"/>
      <c r="AN1773" s="194"/>
      <c r="AO1773" s="194"/>
      <c r="AP1773" s="208"/>
      <c r="AQ1773" s="194"/>
      <c r="AR1773" s="194"/>
      <c r="AS1773" s="194"/>
      <c r="AT1773" s="194"/>
      <c r="AU1773" s="194"/>
      <c r="AV1773" s="194"/>
      <c r="AW1773" s="194"/>
      <c r="AX1773" s="194"/>
      <c r="AY1773" s="194"/>
      <c r="AZ1773" s="194"/>
    </row>
    <row r="1774" spans="37:52" x14ac:dyDescent="0.2">
      <c r="AK1774" s="194"/>
      <c r="AL1774" s="194"/>
      <c r="AM1774" s="194"/>
      <c r="AN1774" s="194"/>
      <c r="AO1774" s="194"/>
      <c r="AP1774" s="208"/>
      <c r="AQ1774" s="194"/>
      <c r="AR1774" s="194"/>
      <c r="AS1774" s="194"/>
      <c r="AT1774" s="194"/>
      <c r="AU1774" s="194"/>
      <c r="AV1774" s="194"/>
      <c r="AW1774" s="194"/>
      <c r="AX1774" s="194"/>
      <c r="AY1774" s="194"/>
      <c r="AZ1774" s="194"/>
    </row>
    <row r="1775" spans="37:52" x14ac:dyDescent="0.2">
      <c r="AK1775" s="194"/>
      <c r="AL1775" s="194"/>
      <c r="AM1775" s="194"/>
      <c r="AN1775" s="194"/>
      <c r="AO1775" s="194"/>
      <c r="AP1775" s="208"/>
      <c r="AQ1775" s="194"/>
      <c r="AR1775" s="194"/>
      <c r="AS1775" s="194"/>
      <c r="AT1775" s="194"/>
      <c r="AU1775" s="194"/>
      <c r="AV1775" s="194"/>
      <c r="AW1775" s="194"/>
      <c r="AX1775" s="194"/>
      <c r="AY1775" s="194"/>
      <c r="AZ1775" s="194"/>
    </row>
    <row r="1776" spans="37:52" x14ac:dyDescent="0.2">
      <c r="AK1776" s="194"/>
      <c r="AL1776" s="194"/>
      <c r="AM1776" s="194"/>
      <c r="AN1776" s="194"/>
      <c r="AO1776" s="194"/>
      <c r="AP1776" s="208"/>
      <c r="AQ1776" s="194"/>
      <c r="AR1776" s="194"/>
      <c r="AS1776" s="194"/>
      <c r="AT1776" s="194"/>
      <c r="AU1776" s="194"/>
      <c r="AV1776" s="194"/>
      <c r="AW1776" s="194"/>
      <c r="AX1776" s="194"/>
      <c r="AY1776" s="194"/>
      <c r="AZ1776" s="194"/>
    </row>
    <row r="1777" spans="37:52" x14ac:dyDescent="0.2">
      <c r="AK1777" s="194"/>
      <c r="AL1777" s="194"/>
      <c r="AM1777" s="194"/>
      <c r="AN1777" s="194"/>
      <c r="AO1777" s="194"/>
      <c r="AP1777" s="208"/>
      <c r="AQ1777" s="194"/>
      <c r="AR1777" s="194"/>
      <c r="AS1777" s="194"/>
      <c r="AT1777" s="194"/>
      <c r="AU1777" s="194"/>
      <c r="AV1777" s="194"/>
      <c r="AW1777" s="194"/>
      <c r="AX1777" s="194"/>
      <c r="AY1777" s="194"/>
      <c r="AZ1777" s="194"/>
    </row>
    <row r="1778" spans="37:52" x14ac:dyDescent="0.2">
      <c r="AK1778" s="194"/>
      <c r="AL1778" s="194"/>
      <c r="AM1778" s="194"/>
      <c r="AN1778" s="194"/>
      <c r="AO1778" s="194"/>
      <c r="AP1778" s="208"/>
      <c r="AQ1778" s="194"/>
      <c r="AR1778" s="194"/>
      <c r="AS1778" s="194"/>
      <c r="AT1778" s="194"/>
      <c r="AU1778" s="194"/>
      <c r="AV1778" s="194"/>
      <c r="AW1778" s="194"/>
      <c r="AX1778" s="194"/>
      <c r="AY1778" s="194"/>
      <c r="AZ1778" s="194"/>
    </row>
    <row r="1779" spans="37:52" x14ac:dyDescent="0.2">
      <c r="AK1779" s="194"/>
      <c r="AL1779" s="194"/>
      <c r="AM1779" s="194"/>
      <c r="AN1779" s="194"/>
      <c r="AO1779" s="194"/>
      <c r="AP1779" s="208"/>
      <c r="AQ1779" s="194"/>
      <c r="AR1779" s="194"/>
      <c r="AS1779" s="194"/>
      <c r="AT1779" s="194"/>
      <c r="AU1779" s="194"/>
      <c r="AV1779" s="194"/>
      <c r="AW1779" s="194"/>
      <c r="AX1779" s="194"/>
      <c r="AY1779" s="194"/>
      <c r="AZ1779" s="194"/>
    </row>
    <row r="1780" spans="37:52" x14ac:dyDescent="0.2">
      <c r="AK1780" s="194"/>
      <c r="AL1780" s="194"/>
      <c r="AM1780" s="194"/>
      <c r="AN1780" s="194"/>
      <c r="AO1780" s="194"/>
      <c r="AP1780" s="208"/>
      <c r="AQ1780" s="194"/>
      <c r="AR1780" s="194"/>
      <c r="AS1780" s="194"/>
      <c r="AT1780" s="194"/>
      <c r="AU1780" s="194"/>
      <c r="AV1780" s="194"/>
      <c r="AW1780" s="194"/>
      <c r="AX1780" s="194"/>
      <c r="AY1780" s="194"/>
      <c r="AZ1780" s="194"/>
    </row>
    <row r="1781" spans="37:52" x14ac:dyDescent="0.2">
      <c r="AK1781" s="194"/>
      <c r="AL1781" s="194"/>
      <c r="AM1781" s="194"/>
      <c r="AN1781" s="194"/>
      <c r="AO1781" s="194"/>
      <c r="AP1781" s="208"/>
      <c r="AQ1781" s="194"/>
      <c r="AR1781" s="194"/>
      <c r="AS1781" s="194"/>
      <c r="AT1781" s="194"/>
      <c r="AU1781" s="194"/>
      <c r="AV1781" s="194"/>
      <c r="AW1781" s="194"/>
      <c r="AX1781" s="194"/>
      <c r="AY1781" s="194"/>
      <c r="AZ1781" s="194"/>
    </row>
    <row r="1782" spans="37:52" x14ac:dyDescent="0.2">
      <c r="AK1782" s="194"/>
      <c r="AL1782" s="194"/>
      <c r="AM1782" s="194"/>
      <c r="AN1782" s="194"/>
      <c r="AO1782" s="194"/>
      <c r="AP1782" s="208"/>
      <c r="AQ1782" s="194"/>
      <c r="AR1782" s="194"/>
      <c r="AS1782" s="194"/>
      <c r="AT1782" s="194"/>
      <c r="AU1782" s="194"/>
      <c r="AV1782" s="194"/>
      <c r="AW1782" s="194"/>
      <c r="AX1782" s="194"/>
      <c r="AY1782" s="194"/>
      <c r="AZ1782" s="194"/>
    </row>
    <row r="1783" spans="37:52" x14ac:dyDescent="0.2">
      <c r="AK1783" s="194"/>
      <c r="AL1783" s="194"/>
      <c r="AM1783" s="194"/>
      <c r="AN1783" s="194"/>
      <c r="AO1783" s="194"/>
      <c r="AP1783" s="208"/>
      <c r="AQ1783" s="194"/>
      <c r="AR1783" s="194"/>
      <c r="AS1783" s="194"/>
      <c r="AT1783" s="194"/>
      <c r="AU1783" s="194"/>
      <c r="AV1783" s="194"/>
      <c r="AW1783" s="194"/>
      <c r="AX1783" s="194"/>
      <c r="AY1783" s="194"/>
      <c r="AZ1783" s="194"/>
    </row>
    <row r="1784" spans="37:52" x14ac:dyDescent="0.2">
      <c r="AK1784" s="194"/>
      <c r="AL1784" s="194"/>
      <c r="AM1784" s="194"/>
      <c r="AN1784" s="194"/>
      <c r="AO1784" s="194"/>
      <c r="AP1784" s="208"/>
      <c r="AQ1784" s="194"/>
      <c r="AR1784" s="194"/>
      <c r="AS1784" s="194"/>
      <c r="AT1784" s="194"/>
      <c r="AU1784" s="194"/>
      <c r="AV1784" s="194"/>
      <c r="AW1784" s="194"/>
      <c r="AX1784" s="194"/>
      <c r="AY1784" s="194"/>
      <c r="AZ1784" s="194"/>
    </row>
    <row r="1785" spans="37:52" x14ac:dyDescent="0.2">
      <c r="AK1785" s="194"/>
      <c r="AL1785" s="194"/>
      <c r="AM1785" s="194"/>
      <c r="AN1785" s="194"/>
      <c r="AO1785" s="194"/>
      <c r="AP1785" s="208"/>
      <c r="AQ1785" s="194"/>
      <c r="AR1785" s="194"/>
      <c r="AS1785" s="194"/>
      <c r="AT1785" s="194"/>
      <c r="AU1785" s="194"/>
      <c r="AV1785" s="194"/>
      <c r="AW1785" s="194"/>
      <c r="AX1785" s="194"/>
      <c r="AY1785" s="194"/>
      <c r="AZ1785" s="194"/>
    </row>
    <row r="1786" spans="37:52" x14ac:dyDescent="0.2">
      <c r="AK1786" s="194"/>
      <c r="AL1786" s="194"/>
      <c r="AM1786" s="194"/>
      <c r="AN1786" s="194"/>
      <c r="AO1786" s="194"/>
      <c r="AP1786" s="208"/>
      <c r="AQ1786" s="194"/>
      <c r="AR1786" s="194"/>
      <c r="AS1786" s="194"/>
      <c r="AT1786" s="194"/>
      <c r="AU1786" s="194"/>
      <c r="AV1786" s="194"/>
      <c r="AW1786" s="194"/>
      <c r="AX1786" s="194"/>
      <c r="AY1786" s="194"/>
      <c r="AZ1786" s="194"/>
    </row>
    <row r="1787" spans="37:52" x14ac:dyDescent="0.2">
      <c r="AK1787" s="194"/>
      <c r="AL1787" s="194"/>
      <c r="AM1787" s="194"/>
      <c r="AN1787" s="194"/>
      <c r="AO1787" s="194"/>
      <c r="AP1787" s="208"/>
      <c r="AQ1787" s="194"/>
      <c r="AR1787" s="194"/>
      <c r="AS1787" s="194"/>
      <c r="AT1787" s="194"/>
      <c r="AU1787" s="194"/>
      <c r="AV1787" s="194"/>
      <c r="AW1787" s="194"/>
      <c r="AX1787" s="194"/>
      <c r="AY1787" s="194"/>
      <c r="AZ1787" s="194"/>
    </row>
    <row r="1788" spans="37:52" x14ac:dyDescent="0.2">
      <c r="AK1788" s="194"/>
      <c r="AL1788" s="194"/>
      <c r="AM1788" s="194"/>
      <c r="AN1788" s="194"/>
      <c r="AO1788" s="194"/>
      <c r="AP1788" s="208"/>
      <c r="AQ1788" s="194"/>
      <c r="AR1788" s="194"/>
      <c r="AS1788" s="194"/>
      <c r="AT1788" s="194"/>
      <c r="AU1788" s="194"/>
      <c r="AV1788" s="194"/>
      <c r="AW1788" s="194"/>
      <c r="AX1788" s="194"/>
      <c r="AY1788" s="194"/>
      <c r="AZ1788" s="194"/>
    </row>
    <row r="1789" spans="37:52" x14ac:dyDescent="0.2">
      <c r="AK1789" s="194"/>
      <c r="AL1789" s="194"/>
      <c r="AM1789" s="194"/>
      <c r="AN1789" s="194"/>
      <c r="AO1789" s="194"/>
      <c r="AP1789" s="208"/>
      <c r="AQ1789" s="194"/>
      <c r="AR1789" s="194"/>
      <c r="AS1789" s="194"/>
      <c r="AT1789" s="194"/>
      <c r="AU1789" s="194"/>
      <c r="AV1789" s="194"/>
      <c r="AW1789" s="194"/>
      <c r="AX1789" s="194"/>
      <c r="AY1789" s="194"/>
      <c r="AZ1789" s="194"/>
    </row>
    <row r="1790" spans="37:52" x14ac:dyDescent="0.2">
      <c r="AK1790" s="194"/>
      <c r="AL1790" s="194"/>
      <c r="AM1790" s="194"/>
      <c r="AN1790" s="194"/>
      <c r="AO1790" s="194"/>
      <c r="AP1790" s="208"/>
      <c r="AQ1790" s="194"/>
      <c r="AR1790" s="194"/>
      <c r="AS1790" s="194"/>
      <c r="AT1790" s="194"/>
      <c r="AU1790" s="194"/>
      <c r="AV1790" s="194"/>
      <c r="AW1790" s="194"/>
      <c r="AX1790" s="194"/>
      <c r="AY1790" s="194"/>
      <c r="AZ1790" s="194"/>
    </row>
    <row r="1791" spans="37:52" x14ac:dyDescent="0.2">
      <c r="AK1791" s="194"/>
      <c r="AL1791" s="194"/>
      <c r="AM1791" s="194"/>
      <c r="AN1791" s="194"/>
      <c r="AO1791" s="194"/>
      <c r="AP1791" s="208"/>
      <c r="AQ1791" s="194"/>
      <c r="AR1791" s="194"/>
      <c r="AS1791" s="194"/>
      <c r="AT1791" s="194"/>
      <c r="AU1791" s="194"/>
      <c r="AV1791" s="194"/>
      <c r="AW1791" s="194"/>
      <c r="AX1791" s="194"/>
      <c r="AY1791" s="194"/>
      <c r="AZ1791" s="194"/>
    </row>
    <row r="1792" spans="37:52" x14ac:dyDescent="0.2">
      <c r="AK1792" s="194"/>
      <c r="AL1792" s="194"/>
      <c r="AM1792" s="194"/>
      <c r="AN1792" s="194"/>
      <c r="AO1792" s="194"/>
      <c r="AP1792" s="208"/>
      <c r="AQ1792" s="194"/>
      <c r="AR1792" s="194"/>
      <c r="AS1792" s="194"/>
      <c r="AT1792" s="194"/>
      <c r="AU1792" s="194"/>
      <c r="AV1792" s="194"/>
      <c r="AW1792" s="194"/>
      <c r="AX1792" s="194"/>
      <c r="AY1792" s="194"/>
      <c r="AZ1792" s="194"/>
    </row>
    <row r="1793" spans="37:52" x14ac:dyDescent="0.2">
      <c r="AK1793" s="194"/>
      <c r="AL1793" s="194"/>
      <c r="AM1793" s="194"/>
      <c r="AN1793" s="194"/>
      <c r="AO1793" s="194"/>
      <c r="AP1793" s="208"/>
      <c r="AQ1793" s="194"/>
      <c r="AR1793" s="194"/>
      <c r="AS1793" s="194"/>
      <c r="AT1793" s="194"/>
      <c r="AU1793" s="194"/>
      <c r="AV1793" s="194"/>
      <c r="AW1793" s="194"/>
      <c r="AX1793" s="194"/>
      <c r="AY1793" s="194"/>
      <c r="AZ1793" s="194"/>
    </row>
    <row r="1794" spans="37:52" x14ac:dyDescent="0.2">
      <c r="AK1794" s="194"/>
      <c r="AL1794" s="194"/>
      <c r="AM1794" s="194"/>
      <c r="AN1794" s="194"/>
      <c r="AO1794" s="194"/>
      <c r="AP1794" s="208"/>
      <c r="AQ1794" s="194"/>
      <c r="AR1794" s="194"/>
      <c r="AS1794" s="194"/>
      <c r="AT1794" s="194"/>
      <c r="AU1794" s="194"/>
      <c r="AV1794" s="194"/>
      <c r="AW1794" s="194"/>
      <c r="AX1794" s="194"/>
      <c r="AY1794" s="194"/>
      <c r="AZ1794" s="194"/>
    </row>
    <row r="1795" spans="37:52" x14ac:dyDescent="0.2">
      <c r="AK1795" s="194"/>
      <c r="AL1795" s="194"/>
      <c r="AM1795" s="194"/>
      <c r="AN1795" s="194"/>
      <c r="AO1795" s="194"/>
      <c r="AP1795" s="208"/>
      <c r="AQ1795" s="194"/>
      <c r="AR1795" s="194"/>
      <c r="AS1795" s="194"/>
      <c r="AT1795" s="194"/>
      <c r="AU1795" s="194"/>
      <c r="AV1795" s="194"/>
      <c r="AW1795" s="194"/>
      <c r="AX1795" s="194"/>
      <c r="AY1795" s="194"/>
      <c r="AZ1795" s="194"/>
    </row>
    <row r="1796" spans="37:52" x14ac:dyDescent="0.2">
      <c r="AK1796" s="194"/>
      <c r="AL1796" s="194"/>
      <c r="AM1796" s="194"/>
      <c r="AN1796" s="194"/>
      <c r="AO1796" s="194"/>
      <c r="AP1796" s="208"/>
      <c r="AQ1796" s="194"/>
      <c r="AR1796" s="194"/>
      <c r="AS1796" s="194"/>
      <c r="AT1796" s="194"/>
      <c r="AU1796" s="194"/>
      <c r="AV1796" s="194"/>
      <c r="AW1796" s="194"/>
      <c r="AX1796" s="194"/>
      <c r="AY1796" s="194"/>
      <c r="AZ1796" s="194"/>
    </row>
    <row r="1797" spans="37:52" x14ac:dyDescent="0.2">
      <c r="AK1797" s="194"/>
      <c r="AL1797" s="194"/>
      <c r="AM1797" s="194"/>
      <c r="AN1797" s="194"/>
      <c r="AO1797" s="194"/>
      <c r="AP1797" s="208"/>
      <c r="AQ1797" s="194"/>
      <c r="AR1797" s="194"/>
      <c r="AS1797" s="194"/>
      <c r="AT1797" s="194"/>
      <c r="AU1797" s="194"/>
      <c r="AV1797" s="194"/>
      <c r="AW1797" s="194"/>
      <c r="AX1797" s="194"/>
      <c r="AY1797" s="194"/>
      <c r="AZ1797" s="194"/>
    </row>
    <row r="1798" spans="37:52" x14ac:dyDescent="0.2">
      <c r="AK1798" s="194"/>
      <c r="AL1798" s="194"/>
      <c r="AM1798" s="194"/>
      <c r="AN1798" s="194"/>
      <c r="AO1798" s="194"/>
      <c r="AP1798" s="208"/>
      <c r="AQ1798" s="194"/>
      <c r="AR1798" s="194"/>
      <c r="AS1798" s="194"/>
      <c r="AT1798" s="194"/>
      <c r="AU1798" s="194"/>
      <c r="AV1798" s="194"/>
      <c r="AW1798" s="194"/>
      <c r="AX1798" s="194"/>
      <c r="AY1798" s="194"/>
      <c r="AZ1798" s="194"/>
    </row>
    <row r="1799" spans="37:52" x14ac:dyDescent="0.2">
      <c r="AK1799" s="194"/>
      <c r="AL1799" s="194"/>
      <c r="AM1799" s="194"/>
      <c r="AN1799" s="194"/>
      <c r="AO1799" s="194"/>
      <c r="AP1799" s="208"/>
      <c r="AQ1799" s="194"/>
      <c r="AR1799" s="194"/>
      <c r="AS1799" s="194"/>
      <c r="AT1799" s="194"/>
      <c r="AU1799" s="194"/>
      <c r="AV1799" s="194"/>
      <c r="AW1799" s="194"/>
      <c r="AX1799" s="194"/>
      <c r="AY1799" s="194"/>
      <c r="AZ1799" s="194"/>
    </row>
    <row r="1800" spans="37:52" x14ac:dyDescent="0.2">
      <c r="AK1800" s="194"/>
      <c r="AL1800" s="194"/>
      <c r="AM1800" s="194"/>
      <c r="AN1800" s="194"/>
      <c r="AO1800" s="194"/>
      <c r="AP1800" s="208"/>
      <c r="AQ1800" s="194"/>
      <c r="AR1800" s="194"/>
      <c r="AS1800" s="194"/>
      <c r="AT1800" s="194"/>
      <c r="AU1800" s="194"/>
      <c r="AV1800" s="194"/>
      <c r="AW1800" s="194"/>
      <c r="AX1800" s="194"/>
      <c r="AY1800" s="194"/>
      <c r="AZ1800" s="194"/>
    </row>
    <row r="1801" spans="37:52" x14ac:dyDescent="0.2">
      <c r="AK1801" s="194"/>
      <c r="AL1801" s="194"/>
      <c r="AM1801" s="194"/>
      <c r="AN1801" s="194"/>
      <c r="AO1801" s="194"/>
      <c r="AP1801" s="208"/>
      <c r="AQ1801" s="194"/>
      <c r="AR1801" s="194"/>
      <c r="AS1801" s="194"/>
      <c r="AT1801" s="194"/>
      <c r="AU1801" s="194"/>
      <c r="AV1801" s="194"/>
      <c r="AW1801" s="194"/>
      <c r="AX1801" s="194"/>
      <c r="AY1801" s="194"/>
      <c r="AZ1801" s="194"/>
    </row>
    <row r="1802" spans="37:52" x14ac:dyDescent="0.2">
      <c r="AK1802" s="194"/>
      <c r="AL1802" s="194"/>
      <c r="AM1802" s="194"/>
      <c r="AN1802" s="194"/>
      <c r="AO1802" s="194"/>
      <c r="AP1802" s="208"/>
      <c r="AQ1802" s="194"/>
      <c r="AR1802" s="194"/>
      <c r="AS1802" s="194"/>
      <c r="AT1802" s="194"/>
      <c r="AU1802" s="194"/>
      <c r="AV1802" s="194"/>
      <c r="AW1802" s="194"/>
      <c r="AX1802" s="194"/>
      <c r="AY1802" s="194"/>
      <c r="AZ1802" s="194"/>
    </row>
    <row r="1803" spans="37:52" x14ac:dyDescent="0.2">
      <c r="AK1803" s="194"/>
      <c r="AL1803" s="194"/>
      <c r="AM1803" s="194"/>
      <c r="AN1803" s="194"/>
      <c r="AO1803" s="194"/>
      <c r="AP1803" s="208"/>
      <c r="AQ1803" s="194"/>
      <c r="AR1803" s="194"/>
      <c r="AS1803" s="194"/>
      <c r="AT1803" s="194"/>
      <c r="AU1803" s="194"/>
      <c r="AV1803" s="194"/>
      <c r="AW1803" s="194"/>
      <c r="AX1803" s="194"/>
      <c r="AY1803" s="194"/>
      <c r="AZ1803" s="194"/>
    </row>
    <row r="1804" spans="37:52" x14ac:dyDescent="0.2">
      <c r="AK1804" s="194"/>
      <c r="AL1804" s="194"/>
      <c r="AM1804" s="194"/>
      <c r="AN1804" s="194"/>
      <c r="AO1804" s="194"/>
      <c r="AP1804" s="208"/>
      <c r="AQ1804" s="194"/>
      <c r="AR1804" s="194"/>
      <c r="AS1804" s="194"/>
      <c r="AT1804" s="194"/>
      <c r="AU1804" s="194"/>
      <c r="AV1804" s="194"/>
      <c r="AW1804" s="194"/>
      <c r="AX1804" s="194"/>
      <c r="AY1804" s="194"/>
      <c r="AZ1804" s="194"/>
    </row>
    <row r="1805" spans="37:52" x14ac:dyDescent="0.2">
      <c r="AK1805" s="194"/>
      <c r="AL1805" s="194"/>
      <c r="AM1805" s="194"/>
      <c r="AN1805" s="194"/>
      <c r="AO1805" s="194"/>
      <c r="AP1805" s="208"/>
      <c r="AQ1805" s="194"/>
      <c r="AR1805" s="194"/>
      <c r="AS1805" s="194"/>
      <c r="AT1805" s="194"/>
      <c r="AU1805" s="194"/>
      <c r="AV1805" s="194"/>
      <c r="AW1805" s="194"/>
      <c r="AX1805" s="194"/>
      <c r="AY1805" s="194"/>
      <c r="AZ1805" s="194"/>
    </row>
    <row r="1806" spans="37:52" x14ac:dyDescent="0.2">
      <c r="AK1806" s="194"/>
      <c r="AL1806" s="194"/>
      <c r="AM1806" s="194"/>
      <c r="AN1806" s="194"/>
      <c r="AO1806" s="194"/>
      <c r="AP1806" s="208"/>
      <c r="AQ1806" s="194"/>
      <c r="AR1806" s="194"/>
      <c r="AS1806" s="194"/>
      <c r="AT1806" s="194"/>
      <c r="AU1806" s="194"/>
      <c r="AV1806" s="194"/>
      <c r="AW1806" s="194"/>
      <c r="AX1806" s="194"/>
      <c r="AY1806" s="194"/>
      <c r="AZ1806" s="194"/>
    </row>
    <row r="1807" spans="37:52" x14ac:dyDescent="0.2">
      <c r="AK1807" s="194"/>
      <c r="AL1807" s="194"/>
      <c r="AM1807" s="194"/>
      <c r="AN1807" s="194"/>
      <c r="AO1807" s="194"/>
      <c r="AP1807" s="208"/>
      <c r="AQ1807" s="194"/>
      <c r="AR1807" s="194"/>
      <c r="AS1807" s="194"/>
      <c r="AT1807" s="194"/>
      <c r="AU1807" s="194"/>
      <c r="AV1807" s="194"/>
      <c r="AW1807" s="194"/>
      <c r="AX1807" s="194"/>
      <c r="AY1807" s="194"/>
      <c r="AZ1807" s="194"/>
    </row>
    <row r="1808" spans="37:52" x14ac:dyDescent="0.2">
      <c r="AK1808" s="194"/>
      <c r="AL1808" s="194"/>
      <c r="AM1808" s="194"/>
      <c r="AN1808" s="194"/>
      <c r="AO1808" s="194"/>
      <c r="AP1808" s="208"/>
      <c r="AQ1808" s="194"/>
      <c r="AR1808" s="194"/>
      <c r="AS1808" s="194"/>
      <c r="AT1808" s="194"/>
      <c r="AU1808" s="194"/>
      <c r="AV1808" s="194"/>
      <c r="AW1808" s="194"/>
      <c r="AX1808" s="194"/>
      <c r="AY1808" s="194"/>
      <c r="AZ1808" s="194"/>
    </row>
    <row r="1809" spans="37:52" x14ac:dyDescent="0.2">
      <c r="AK1809" s="194"/>
      <c r="AL1809" s="194"/>
      <c r="AM1809" s="194"/>
      <c r="AN1809" s="194"/>
      <c r="AO1809" s="194"/>
      <c r="AP1809" s="208"/>
      <c r="AQ1809" s="194"/>
      <c r="AR1809" s="194"/>
      <c r="AS1809" s="194"/>
      <c r="AT1809" s="194"/>
      <c r="AU1809" s="194"/>
      <c r="AV1809" s="194"/>
      <c r="AW1809" s="194"/>
      <c r="AX1809" s="194"/>
      <c r="AY1809" s="194"/>
      <c r="AZ1809" s="194"/>
    </row>
    <row r="1810" spans="37:52" x14ac:dyDescent="0.2">
      <c r="AK1810" s="194"/>
      <c r="AL1810" s="194"/>
      <c r="AM1810" s="194"/>
      <c r="AN1810" s="194"/>
      <c r="AO1810" s="194"/>
      <c r="AP1810" s="208"/>
      <c r="AQ1810" s="194"/>
      <c r="AR1810" s="194"/>
      <c r="AS1810" s="194"/>
      <c r="AT1810" s="194"/>
      <c r="AU1810" s="194"/>
      <c r="AV1810" s="194"/>
      <c r="AW1810" s="194"/>
      <c r="AX1810" s="194"/>
      <c r="AY1810" s="194"/>
      <c r="AZ1810" s="194"/>
    </row>
    <row r="1811" spans="37:52" x14ac:dyDescent="0.2">
      <c r="AK1811" s="194"/>
      <c r="AL1811" s="194"/>
      <c r="AM1811" s="194"/>
      <c r="AN1811" s="194"/>
      <c r="AO1811" s="194"/>
      <c r="AP1811" s="208"/>
      <c r="AQ1811" s="194"/>
      <c r="AR1811" s="194"/>
      <c r="AS1811" s="194"/>
      <c r="AT1811" s="194"/>
      <c r="AU1811" s="194"/>
      <c r="AV1811" s="194"/>
      <c r="AW1811" s="194"/>
      <c r="AX1811" s="194"/>
      <c r="AY1811" s="194"/>
      <c r="AZ1811" s="194"/>
    </row>
    <row r="1812" spans="37:52" x14ac:dyDescent="0.2">
      <c r="AK1812" s="194"/>
      <c r="AL1812" s="194"/>
      <c r="AM1812" s="194"/>
      <c r="AN1812" s="194"/>
      <c r="AO1812" s="194"/>
      <c r="AP1812" s="208"/>
      <c r="AQ1812" s="194"/>
      <c r="AR1812" s="194"/>
      <c r="AS1812" s="194"/>
      <c r="AT1812" s="194"/>
      <c r="AU1812" s="194"/>
      <c r="AV1812" s="194"/>
      <c r="AW1812" s="194"/>
      <c r="AX1812" s="194"/>
      <c r="AY1812" s="194"/>
      <c r="AZ1812" s="194"/>
    </row>
    <row r="1813" spans="37:52" x14ac:dyDescent="0.2">
      <c r="AK1813" s="194"/>
      <c r="AL1813" s="194"/>
      <c r="AM1813" s="194"/>
      <c r="AN1813" s="194"/>
      <c r="AO1813" s="194"/>
      <c r="AP1813" s="208"/>
      <c r="AQ1813" s="194"/>
      <c r="AR1813" s="194"/>
      <c r="AS1813" s="194"/>
      <c r="AT1813" s="194"/>
      <c r="AU1813" s="194"/>
      <c r="AV1813" s="194"/>
      <c r="AW1813" s="194"/>
      <c r="AX1813" s="194"/>
      <c r="AY1813" s="194"/>
      <c r="AZ1813" s="194"/>
    </row>
    <row r="1814" spans="37:52" x14ac:dyDescent="0.2">
      <c r="AK1814" s="194"/>
      <c r="AL1814" s="194"/>
      <c r="AM1814" s="194"/>
      <c r="AN1814" s="194"/>
      <c r="AO1814" s="194"/>
      <c r="AP1814" s="208"/>
      <c r="AQ1814" s="194"/>
      <c r="AR1814" s="194"/>
      <c r="AS1814" s="194"/>
      <c r="AT1814" s="194"/>
      <c r="AU1814" s="194"/>
      <c r="AV1814" s="194"/>
      <c r="AW1814" s="194"/>
      <c r="AX1814" s="194"/>
      <c r="AY1814" s="194"/>
      <c r="AZ1814" s="194"/>
    </row>
    <row r="1815" spans="37:52" x14ac:dyDescent="0.2">
      <c r="AK1815" s="194"/>
      <c r="AL1815" s="194"/>
      <c r="AM1815" s="194"/>
      <c r="AN1815" s="194"/>
      <c r="AO1815" s="194"/>
      <c r="AP1815" s="208"/>
      <c r="AQ1815" s="194"/>
      <c r="AR1815" s="194"/>
      <c r="AS1815" s="194"/>
      <c r="AT1815" s="194"/>
      <c r="AU1815" s="194"/>
      <c r="AV1815" s="194"/>
      <c r="AW1815" s="194"/>
      <c r="AX1815" s="194"/>
      <c r="AY1815" s="194"/>
      <c r="AZ1815" s="194"/>
    </row>
    <row r="1816" spans="37:52" x14ac:dyDescent="0.2">
      <c r="AK1816" s="194"/>
      <c r="AL1816" s="194"/>
      <c r="AM1816" s="194"/>
      <c r="AN1816" s="194"/>
      <c r="AO1816" s="194"/>
      <c r="AP1816" s="208"/>
      <c r="AQ1816" s="194"/>
      <c r="AR1816" s="194"/>
      <c r="AS1816" s="194"/>
      <c r="AT1816" s="194"/>
      <c r="AU1816" s="194"/>
      <c r="AV1816" s="194"/>
      <c r="AW1816" s="194"/>
      <c r="AX1816" s="194"/>
      <c r="AY1816" s="194"/>
      <c r="AZ1816" s="194"/>
    </row>
    <row r="1817" spans="37:52" x14ac:dyDescent="0.2">
      <c r="AK1817" s="194"/>
      <c r="AL1817" s="194"/>
      <c r="AM1817" s="194"/>
      <c r="AN1817" s="194"/>
      <c r="AO1817" s="194"/>
      <c r="AP1817" s="208"/>
      <c r="AQ1817" s="194"/>
      <c r="AR1817" s="194"/>
      <c r="AS1817" s="194"/>
      <c r="AT1817" s="194"/>
      <c r="AU1817" s="194"/>
      <c r="AV1817" s="194"/>
      <c r="AW1817" s="194"/>
      <c r="AX1817" s="194"/>
      <c r="AY1817" s="194"/>
      <c r="AZ1817" s="194"/>
    </row>
    <row r="1818" spans="37:52" x14ac:dyDescent="0.2">
      <c r="AK1818" s="194"/>
      <c r="AL1818" s="194"/>
      <c r="AM1818" s="194"/>
      <c r="AN1818" s="194"/>
      <c r="AO1818" s="194"/>
      <c r="AP1818" s="208"/>
      <c r="AQ1818" s="194"/>
      <c r="AR1818" s="194"/>
      <c r="AS1818" s="194"/>
      <c r="AT1818" s="194"/>
      <c r="AU1818" s="194"/>
      <c r="AV1818" s="194"/>
      <c r="AW1818" s="194"/>
      <c r="AX1818" s="194"/>
      <c r="AY1818" s="194"/>
      <c r="AZ1818" s="194"/>
    </row>
    <row r="1819" spans="37:52" x14ac:dyDescent="0.2">
      <c r="AK1819" s="194"/>
      <c r="AL1819" s="194"/>
      <c r="AM1819" s="194"/>
      <c r="AN1819" s="194"/>
      <c r="AO1819" s="194"/>
      <c r="AP1819" s="208"/>
      <c r="AQ1819" s="194"/>
      <c r="AR1819" s="194"/>
      <c r="AS1819" s="194"/>
      <c r="AT1819" s="194"/>
      <c r="AU1819" s="194"/>
      <c r="AV1819" s="194"/>
      <c r="AW1819" s="194"/>
      <c r="AX1819" s="194"/>
      <c r="AY1819" s="194"/>
      <c r="AZ1819" s="194"/>
    </row>
    <row r="1820" spans="37:52" x14ac:dyDescent="0.2">
      <c r="AK1820" s="194"/>
      <c r="AL1820" s="194"/>
      <c r="AM1820" s="194"/>
      <c r="AN1820" s="194"/>
      <c r="AO1820" s="194"/>
      <c r="AP1820" s="208"/>
      <c r="AQ1820" s="194"/>
      <c r="AR1820" s="194"/>
      <c r="AS1820" s="194"/>
      <c r="AT1820" s="194"/>
      <c r="AU1820" s="194"/>
      <c r="AV1820" s="194"/>
      <c r="AW1820" s="194"/>
      <c r="AX1820" s="194"/>
      <c r="AY1820" s="194"/>
      <c r="AZ1820" s="194"/>
    </row>
    <row r="1821" spans="37:52" x14ac:dyDescent="0.2">
      <c r="AK1821" s="194"/>
      <c r="AL1821" s="194"/>
      <c r="AM1821" s="194"/>
      <c r="AN1821" s="194"/>
      <c r="AO1821" s="194"/>
      <c r="AP1821" s="208"/>
      <c r="AQ1821" s="194"/>
      <c r="AR1821" s="194"/>
      <c r="AS1821" s="194"/>
      <c r="AT1821" s="194"/>
      <c r="AU1821" s="194"/>
      <c r="AV1821" s="194"/>
      <c r="AW1821" s="194"/>
      <c r="AX1821" s="194"/>
      <c r="AY1821" s="194"/>
      <c r="AZ1821" s="194"/>
    </row>
    <row r="1822" spans="37:52" x14ac:dyDescent="0.2">
      <c r="AK1822" s="194"/>
      <c r="AL1822" s="194"/>
      <c r="AM1822" s="194"/>
      <c r="AN1822" s="194"/>
      <c r="AO1822" s="194"/>
      <c r="AP1822" s="208"/>
      <c r="AQ1822" s="194"/>
      <c r="AR1822" s="194"/>
      <c r="AS1822" s="194"/>
      <c r="AT1822" s="194"/>
      <c r="AU1822" s="194"/>
      <c r="AV1822" s="194"/>
      <c r="AW1822" s="194"/>
      <c r="AX1822" s="194"/>
      <c r="AY1822" s="194"/>
      <c r="AZ1822" s="194"/>
    </row>
    <row r="1823" spans="37:52" x14ac:dyDescent="0.2">
      <c r="AK1823" s="194"/>
      <c r="AL1823" s="194"/>
      <c r="AM1823" s="194"/>
      <c r="AN1823" s="194"/>
      <c r="AO1823" s="194"/>
      <c r="AP1823" s="208"/>
      <c r="AQ1823" s="194"/>
      <c r="AR1823" s="194"/>
      <c r="AS1823" s="194"/>
      <c r="AT1823" s="194"/>
      <c r="AU1823" s="194"/>
      <c r="AV1823" s="194"/>
      <c r="AW1823" s="194"/>
      <c r="AX1823" s="194"/>
      <c r="AY1823" s="194"/>
      <c r="AZ1823" s="194"/>
    </row>
    <row r="1824" spans="37:52" x14ac:dyDescent="0.2">
      <c r="AK1824" s="194"/>
      <c r="AL1824" s="194"/>
      <c r="AM1824" s="194"/>
      <c r="AN1824" s="194"/>
      <c r="AO1824" s="194"/>
      <c r="AP1824" s="208"/>
      <c r="AQ1824" s="194"/>
      <c r="AR1824" s="194"/>
      <c r="AS1824" s="194"/>
      <c r="AT1824" s="194"/>
      <c r="AU1824" s="194"/>
      <c r="AV1824" s="194"/>
      <c r="AW1824" s="194"/>
      <c r="AX1824" s="194"/>
      <c r="AY1824" s="194"/>
      <c r="AZ1824" s="194"/>
    </row>
    <row r="1825" spans="37:52" x14ac:dyDescent="0.2">
      <c r="AK1825" s="194"/>
      <c r="AL1825" s="194"/>
      <c r="AM1825" s="194"/>
      <c r="AN1825" s="194"/>
      <c r="AO1825" s="194"/>
      <c r="AP1825" s="208"/>
      <c r="AQ1825" s="194"/>
      <c r="AR1825" s="194"/>
      <c r="AS1825" s="194"/>
      <c r="AT1825" s="194"/>
      <c r="AU1825" s="194"/>
      <c r="AV1825" s="194"/>
      <c r="AW1825" s="194"/>
      <c r="AX1825" s="194"/>
      <c r="AY1825" s="194"/>
      <c r="AZ1825" s="194"/>
    </row>
    <row r="1826" spans="37:52" x14ac:dyDescent="0.2">
      <c r="AK1826" s="194"/>
      <c r="AL1826" s="194"/>
      <c r="AM1826" s="194"/>
      <c r="AN1826" s="194"/>
      <c r="AO1826" s="194"/>
      <c r="AP1826" s="208"/>
      <c r="AQ1826" s="194"/>
      <c r="AR1826" s="194"/>
      <c r="AS1826" s="194"/>
      <c r="AT1826" s="194"/>
      <c r="AU1826" s="194"/>
      <c r="AV1826" s="194"/>
      <c r="AW1826" s="194"/>
      <c r="AX1826" s="194"/>
      <c r="AY1826" s="194"/>
      <c r="AZ1826" s="194"/>
    </row>
    <row r="1827" spans="37:52" x14ac:dyDescent="0.2">
      <c r="AK1827" s="194"/>
      <c r="AL1827" s="194"/>
      <c r="AM1827" s="194"/>
      <c r="AN1827" s="194"/>
      <c r="AO1827" s="194"/>
      <c r="AP1827" s="208"/>
      <c r="AQ1827" s="194"/>
      <c r="AR1827" s="194"/>
      <c r="AS1827" s="194"/>
      <c r="AT1827" s="194"/>
      <c r="AU1827" s="194"/>
      <c r="AV1827" s="194"/>
      <c r="AW1827" s="194"/>
      <c r="AX1827" s="194"/>
      <c r="AY1827" s="194"/>
      <c r="AZ1827" s="194"/>
    </row>
    <row r="1828" spans="37:52" x14ac:dyDescent="0.2">
      <c r="AK1828" s="194"/>
      <c r="AL1828" s="194"/>
      <c r="AM1828" s="194"/>
      <c r="AN1828" s="194"/>
      <c r="AO1828" s="194"/>
      <c r="AP1828" s="208"/>
      <c r="AQ1828" s="194"/>
      <c r="AR1828" s="194"/>
      <c r="AS1828" s="194"/>
      <c r="AT1828" s="194"/>
      <c r="AU1828" s="194"/>
      <c r="AV1828" s="194"/>
      <c r="AW1828" s="194"/>
      <c r="AX1828" s="194"/>
      <c r="AY1828" s="194"/>
      <c r="AZ1828" s="194"/>
    </row>
    <row r="1829" spans="37:52" x14ac:dyDescent="0.2">
      <c r="AK1829" s="194"/>
      <c r="AL1829" s="194"/>
      <c r="AM1829" s="194"/>
      <c r="AN1829" s="194"/>
      <c r="AO1829" s="194"/>
      <c r="AP1829" s="208"/>
      <c r="AQ1829" s="194"/>
      <c r="AR1829" s="194"/>
      <c r="AS1829" s="194"/>
      <c r="AT1829" s="194"/>
      <c r="AU1829" s="194"/>
      <c r="AV1829" s="194"/>
      <c r="AW1829" s="194"/>
      <c r="AX1829" s="194"/>
      <c r="AY1829" s="194"/>
      <c r="AZ1829" s="194"/>
    </row>
    <row r="1830" spans="37:52" x14ac:dyDescent="0.2">
      <c r="AK1830" s="194"/>
      <c r="AL1830" s="194"/>
      <c r="AM1830" s="194"/>
      <c r="AN1830" s="194"/>
      <c r="AO1830" s="194"/>
      <c r="AP1830" s="208"/>
      <c r="AQ1830" s="194"/>
      <c r="AR1830" s="194"/>
      <c r="AS1830" s="194"/>
      <c r="AT1830" s="194"/>
      <c r="AU1830" s="194"/>
      <c r="AV1830" s="194"/>
      <c r="AW1830" s="194"/>
      <c r="AX1830" s="194"/>
      <c r="AY1830" s="194"/>
      <c r="AZ1830" s="194"/>
    </row>
    <row r="1831" spans="37:52" x14ac:dyDescent="0.2">
      <c r="AK1831" s="194"/>
      <c r="AL1831" s="194"/>
      <c r="AM1831" s="194"/>
      <c r="AN1831" s="194"/>
      <c r="AO1831" s="194"/>
      <c r="AP1831" s="208"/>
      <c r="AQ1831" s="194"/>
      <c r="AR1831" s="194"/>
      <c r="AS1831" s="194"/>
      <c r="AT1831" s="194"/>
      <c r="AU1831" s="194"/>
      <c r="AV1831" s="194"/>
      <c r="AW1831" s="194"/>
      <c r="AX1831" s="194"/>
      <c r="AY1831" s="194"/>
      <c r="AZ1831" s="194"/>
    </row>
    <row r="1832" spans="37:52" x14ac:dyDescent="0.2">
      <c r="AK1832" s="194"/>
      <c r="AL1832" s="194"/>
      <c r="AM1832" s="194"/>
      <c r="AN1832" s="194"/>
      <c r="AO1832" s="194"/>
      <c r="AP1832" s="208"/>
      <c r="AQ1832" s="194"/>
      <c r="AR1832" s="194"/>
      <c r="AS1832" s="194"/>
      <c r="AT1832" s="194"/>
      <c r="AU1832" s="194"/>
      <c r="AV1832" s="194"/>
      <c r="AW1832" s="194"/>
      <c r="AX1832" s="194"/>
      <c r="AY1832" s="194"/>
      <c r="AZ1832" s="194"/>
    </row>
    <row r="1833" spans="37:52" x14ac:dyDescent="0.2">
      <c r="AK1833" s="194"/>
      <c r="AL1833" s="194"/>
      <c r="AM1833" s="194"/>
      <c r="AN1833" s="194"/>
      <c r="AO1833" s="194"/>
      <c r="AP1833" s="208"/>
      <c r="AQ1833" s="194"/>
      <c r="AR1833" s="194"/>
      <c r="AS1833" s="194"/>
      <c r="AT1833" s="194"/>
      <c r="AU1833" s="194"/>
      <c r="AV1833" s="194"/>
      <c r="AW1833" s="194"/>
      <c r="AX1833" s="194"/>
      <c r="AY1833" s="194"/>
      <c r="AZ1833" s="194"/>
    </row>
    <row r="1834" spans="37:52" x14ac:dyDescent="0.2">
      <c r="AK1834" s="194"/>
      <c r="AL1834" s="194"/>
      <c r="AM1834" s="194"/>
      <c r="AN1834" s="194"/>
      <c r="AO1834" s="194"/>
      <c r="AP1834" s="208"/>
      <c r="AQ1834" s="194"/>
      <c r="AR1834" s="194"/>
      <c r="AS1834" s="194"/>
      <c r="AT1834" s="194"/>
      <c r="AU1834" s="194"/>
      <c r="AV1834" s="194"/>
      <c r="AW1834" s="194"/>
      <c r="AX1834" s="194"/>
      <c r="AY1834" s="194"/>
      <c r="AZ1834" s="194"/>
    </row>
    <row r="1835" spans="37:52" x14ac:dyDescent="0.2">
      <c r="AK1835" s="194"/>
      <c r="AL1835" s="194"/>
      <c r="AM1835" s="194"/>
      <c r="AN1835" s="194"/>
      <c r="AO1835" s="194"/>
      <c r="AP1835" s="208"/>
      <c r="AQ1835" s="194"/>
      <c r="AR1835" s="194"/>
      <c r="AS1835" s="194"/>
      <c r="AT1835" s="194"/>
      <c r="AU1835" s="194"/>
      <c r="AV1835" s="194"/>
      <c r="AW1835" s="194"/>
      <c r="AX1835" s="194"/>
      <c r="AY1835" s="194"/>
      <c r="AZ1835" s="194"/>
    </row>
    <row r="1836" spans="37:52" x14ac:dyDescent="0.2">
      <c r="AK1836" s="194"/>
      <c r="AL1836" s="194"/>
      <c r="AM1836" s="194"/>
      <c r="AN1836" s="194"/>
      <c r="AO1836" s="194"/>
      <c r="AP1836" s="208"/>
      <c r="AQ1836" s="194"/>
      <c r="AR1836" s="194"/>
      <c r="AS1836" s="194"/>
      <c r="AT1836" s="194"/>
      <c r="AU1836" s="194"/>
      <c r="AV1836" s="194"/>
      <c r="AW1836" s="194"/>
      <c r="AX1836" s="194"/>
      <c r="AY1836" s="194"/>
      <c r="AZ1836" s="194"/>
    </row>
    <row r="1837" spans="37:52" x14ac:dyDescent="0.2">
      <c r="AK1837" s="194"/>
      <c r="AL1837" s="194"/>
      <c r="AM1837" s="194"/>
      <c r="AN1837" s="194"/>
      <c r="AO1837" s="194"/>
      <c r="AP1837" s="208"/>
      <c r="AQ1837" s="194"/>
      <c r="AR1837" s="194"/>
      <c r="AS1837" s="194"/>
      <c r="AT1837" s="194"/>
      <c r="AU1837" s="194"/>
      <c r="AV1837" s="194"/>
      <c r="AW1837" s="194"/>
      <c r="AX1837" s="194"/>
      <c r="AY1837" s="194"/>
      <c r="AZ1837" s="194"/>
    </row>
    <row r="1838" spans="37:52" x14ac:dyDescent="0.2">
      <c r="AK1838" s="194"/>
      <c r="AL1838" s="194"/>
      <c r="AM1838" s="194"/>
      <c r="AN1838" s="194"/>
      <c r="AO1838" s="194"/>
      <c r="AP1838" s="208"/>
      <c r="AQ1838" s="194"/>
      <c r="AR1838" s="194"/>
      <c r="AS1838" s="194"/>
      <c r="AT1838" s="194"/>
      <c r="AU1838" s="194"/>
      <c r="AV1838" s="194"/>
      <c r="AW1838" s="194"/>
      <c r="AX1838" s="194"/>
      <c r="AY1838" s="194"/>
      <c r="AZ1838" s="194"/>
    </row>
    <row r="1839" spans="37:52" x14ac:dyDescent="0.2">
      <c r="AK1839" s="194"/>
      <c r="AL1839" s="194"/>
      <c r="AM1839" s="194"/>
      <c r="AN1839" s="194"/>
      <c r="AO1839" s="194"/>
      <c r="AP1839" s="208"/>
      <c r="AQ1839" s="194"/>
      <c r="AR1839" s="194"/>
      <c r="AS1839" s="194"/>
      <c r="AT1839" s="194"/>
      <c r="AU1839" s="194"/>
      <c r="AV1839" s="194"/>
      <c r="AW1839" s="194"/>
      <c r="AX1839" s="194"/>
      <c r="AY1839" s="194"/>
      <c r="AZ1839" s="194"/>
    </row>
    <row r="1840" spans="37:52" x14ac:dyDescent="0.2">
      <c r="AK1840" s="194"/>
      <c r="AL1840" s="194"/>
      <c r="AM1840" s="194"/>
      <c r="AN1840" s="194"/>
      <c r="AO1840" s="194"/>
      <c r="AP1840" s="208"/>
      <c r="AQ1840" s="194"/>
      <c r="AR1840" s="194"/>
      <c r="AS1840" s="194"/>
      <c r="AT1840" s="194"/>
      <c r="AU1840" s="194"/>
      <c r="AV1840" s="194"/>
      <c r="AW1840" s="194"/>
      <c r="AX1840" s="194"/>
      <c r="AY1840" s="194"/>
      <c r="AZ1840" s="194"/>
    </row>
    <row r="1841" spans="37:52" x14ac:dyDescent="0.2">
      <c r="AK1841" s="194"/>
      <c r="AL1841" s="194"/>
      <c r="AM1841" s="194"/>
      <c r="AN1841" s="194"/>
      <c r="AO1841" s="194"/>
      <c r="AP1841" s="208"/>
      <c r="AQ1841" s="194"/>
      <c r="AR1841" s="194"/>
      <c r="AS1841" s="194"/>
      <c r="AT1841" s="194"/>
      <c r="AU1841" s="194"/>
      <c r="AV1841" s="194"/>
      <c r="AW1841" s="194"/>
      <c r="AX1841" s="194"/>
      <c r="AY1841" s="194"/>
      <c r="AZ1841" s="194"/>
    </row>
    <row r="1842" spans="37:52" x14ac:dyDescent="0.2">
      <c r="AK1842" s="194"/>
      <c r="AL1842" s="194"/>
      <c r="AM1842" s="194"/>
      <c r="AN1842" s="194"/>
      <c r="AO1842" s="194"/>
      <c r="AP1842" s="208"/>
      <c r="AQ1842" s="194"/>
      <c r="AR1842" s="194"/>
      <c r="AS1842" s="194"/>
      <c r="AT1842" s="194"/>
      <c r="AU1842" s="194"/>
      <c r="AV1842" s="194"/>
      <c r="AW1842" s="194"/>
      <c r="AX1842" s="194"/>
      <c r="AY1842" s="194"/>
      <c r="AZ1842" s="194"/>
    </row>
    <row r="1843" spans="37:52" x14ac:dyDescent="0.2">
      <c r="AK1843" s="194"/>
      <c r="AL1843" s="194"/>
      <c r="AM1843" s="194"/>
      <c r="AN1843" s="194"/>
      <c r="AO1843" s="194"/>
      <c r="AP1843" s="208"/>
      <c r="AQ1843" s="194"/>
      <c r="AR1843" s="194"/>
      <c r="AS1843" s="194"/>
      <c r="AT1843" s="194"/>
      <c r="AU1843" s="194"/>
      <c r="AV1843" s="194"/>
      <c r="AW1843" s="194"/>
      <c r="AX1843" s="194"/>
      <c r="AY1843" s="194"/>
      <c r="AZ1843" s="194"/>
    </row>
    <row r="1844" spans="37:52" x14ac:dyDescent="0.2">
      <c r="AK1844" s="194"/>
      <c r="AL1844" s="194"/>
      <c r="AM1844" s="194"/>
      <c r="AN1844" s="194"/>
      <c r="AO1844" s="194"/>
      <c r="AP1844" s="208"/>
      <c r="AQ1844" s="194"/>
      <c r="AR1844" s="194"/>
      <c r="AS1844" s="194"/>
      <c r="AT1844" s="194"/>
      <c r="AU1844" s="194"/>
      <c r="AV1844" s="194"/>
      <c r="AW1844" s="194"/>
      <c r="AX1844" s="194"/>
      <c r="AY1844" s="194"/>
      <c r="AZ1844" s="194"/>
    </row>
    <row r="1845" spans="37:52" x14ac:dyDescent="0.2">
      <c r="AK1845" s="194"/>
      <c r="AL1845" s="194"/>
      <c r="AM1845" s="194"/>
      <c r="AN1845" s="194"/>
      <c r="AO1845" s="194"/>
      <c r="AP1845" s="208"/>
      <c r="AQ1845" s="194"/>
      <c r="AR1845" s="194"/>
      <c r="AS1845" s="194"/>
      <c r="AT1845" s="194"/>
      <c r="AU1845" s="194"/>
      <c r="AV1845" s="194"/>
      <c r="AW1845" s="194"/>
      <c r="AX1845" s="194"/>
      <c r="AY1845" s="194"/>
      <c r="AZ1845" s="194"/>
    </row>
    <row r="1846" spans="37:52" x14ac:dyDescent="0.2">
      <c r="AK1846" s="194"/>
      <c r="AL1846" s="194"/>
      <c r="AM1846" s="194"/>
      <c r="AN1846" s="194"/>
      <c r="AO1846" s="194"/>
      <c r="AP1846" s="208"/>
      <c r="AQ1846" s="194"/>
      <c r="AR1846" s="194"/>
      <c r="AS1846" s="194"/>
      <c r="AT1846" s="194"/>
      <c r="AU1846" s="194"/>
      <c r="AV1846" s="194"/>
      <c r="AW1846" s="194"/>
      <c r="AX1846" s="194"/>
      <c r="AY1846" s="194"/>
      <c r="AZ1846" s="194"/>
    </row>
    <row r="1847" spans="37:52" x14ac:dyDescent="0.2">
      <c r="AK1847" s="194"/>
      <c r="AL1847" s="194"/>
      <c r="AM1847" s="194"/>
      <c r="AN1847" s="194"/>
      <c r="AO1847" s="194"/>
      <c r="AP1847" s="208"/>
      <c r="AQ1847" s="194"/>
      <c r="AR1847" s="194"/>
      <c r="AS1847" s="194"/>
      <c r="AT1847" s="194"/>
      <c r="AU1847" s="194"/>
      <c r="AV1847" s="194"/>
      <c r="AW1847" s="194"/>
      <c r="AX1847" s="194"/>
      <c r="AY1847" s="194"/>
      <c r="AZ1847" s="194"/>
    </row>
    <row r="1848" spans="37:52" x14ac:dyDescent="0.2">
      <c r="AK1848" s="194"/>
      <c r="AL1848" s="194"/>
      <c r="AM1848" s="194"/>
      <c r="AN1848" s="194"/>
      <c r="AO1848" s="194"/>
      <c r="AP1848" s="208"/>
      <c r="AQ1848" s="194"/>
      <c r="AR1848" s="194"/>
      <c r="AS1848" s="194"/>
      <c r="AT1848" s="194"/>
      <c r="AU1848" s="194"/>
      <c r="AV1848" s="194"/>
      <c r="AW1848" s="194"/>
      <c r="AX1848" s="194"/>
      <c r="AY1848" s="194"/>
      <c r="AZ1848" s="194"/>
    </row>
    <row r="1849" spans="37:52" x14ac:dyDescent="0.2">
      <c r="AK1849" s="194"/>
      <c r="AL1849" s="194"/>
      <c r="AM1849" s="194"/>
      <c r="AN1849" s="194"/>
      <c r="AO1849" s="194"/>
      <c r="AP1849" s="208"/>
      <c r="AQ1849" s="194"/>
      <c r="AR1849" s="194"/>
      <c r="AS1849" s="194"/>
      <c r="AT1849" s="194"/>
      <c r="AU1849" s="194"/>
      <c r="AV1849" s="194"/>
      <c r="AW1849" s="194"/>
      <c r="AX1849" s="194"/>
      <c r="AY1849" s="194"/>
      <c r="AZ1849" s="194"/>
    </row>
    <row r="1850" spans="37:52" x14ac:dyDescent="0.2">
      <c r="AK1850" s="194"/>
      <c r="AL1850" s="194"/>
      <c r="AM1850" s="194"/>
      <c r="AN1850" s="194"/>
      <c r="AO1850" s="194"/>
      <c r="AP1850" s="208"/>
      <c r="AQ1850" s="194"/>
      <c r="AR1850" s="194"/>
      <c r="AS1850" s="194"/>
      <c r="AT1850" s="194"/>
      <c r="AU1850" s="194"/>
      <c r="AV1850" s="194"/>
      <c r="AW1850" s="194"/>
      <c r="AX1850" s="194"/>
      <c r="AY1850" s="194"/>
      <c r="AZ1850" s="194"/>
    </row>
    <row r="1851" spans="37:52" x14ac:dyDescent="0.2">
      <c r="AK1851" s="194"/>
      <c r="AL1851" s="194"/>
      <c r="AM1851" s="194"/>
      <c r="AN1851" s="194"/>
      <c r="AO1851" s="194"/>
      <c r="AP1851" s="208"/>
      <c r="AQ1851" s="194"/>
      <c r="AR1851" s="194"/>
      <c r="AS1851" s="194"/>
      <c r="AT1851" s="194"/>
      <c r="AU1851" s="194"/>
      <c r="AV1851" s="194"/>
      <c r="AW1851" s="194"/>
      <c r="AX1851" s="194"/>
      <c r="AY1851" s="194"/>
      <c r="AZ1851" s="194"/>
    </row>
    <row r="1852" spans="37:52" x14ac:dyDescent="0.2">
      <c r="AK1852" s="194"/>
      <c r="AL1852" s="194"/>
      <c r="AM1852" s="194"/>
      <c r="AN1852" s="194"/>
      <c r="AO1852" s="194"/>
      <c r="AP1852" s="208"/>
      <c r="AQ1852" s="194"/>
      <c r="AR1852" s="194"/>
      <c r="AS1852" s="194"/>
      <c r="AT1852" s="194"/>
      <c r="AU1852" s="194"/>
      <c r="AV1852" s="194"/>
      <c r="AW1852" s="194"/>
      <c r="AX1852" s="194"/>
      <c r="AY1852" s="194"/>
      <c r="AZ1852" s="194"/>
    </row>
    <row r="1853" spans="37:52" x14ac:dyDescent="0.2">
      <c r="AK1853" s="194"/>
      <c r="AL1853" s="194"/>
      <c r="AM1853" s="194"/>
      <c r="AN1853" s="194"/>
      <c r="AO1853" s="194"/>
      <c r="AP1853" s="208"/>
      <c r="AQ1853" s="194"/>
      <c r="AR1853" s="194"/>
      <c r="AS1853" s="194"/>
      <c r="AT1853" s="194"/>
      <c r="AU1853" s="194"/>
      <c r="AV1853" s="194"/>
      <c r="AW1853" s="194"/>
      <c r="AX1853" s="194"/>
      <c r="AY1853" s="194"/>
      <c r="AZ1853" s="194"/>
    </row>
    <row r="1854" spans="37:52" x14ac:dyDescent="0.2">
      <c r="AK1854" s="194"/>
      <c r="AL1854" s="194"/>
      <c r="AM1854" s="194"/>
      <c r="AN1854" s="194"/>
      <c r="AO1854" s="194"/>
      <c r="AP1854" s="208"/>
      <c r="AQ1854" s="194"/>
      <c r="AR1854" s="194"/>
      <c r="AS1854" s="194"/>
      <c r="AT1854" s="194"/>
      <c r="AU1854" s="194"/>
      <c r="AV1854" s="194"/>
      <c r="AW1854" s="194"/>
      <c r="AX1854" s="194"/>
      <c r="AY1854" s="194"/>
      <c r="AZ1854" s="194"/>
    </row>
    <row r="1855" spans="37:52" x14ac:dyDescent="0.2">
      <c r="AK1855" s="194"/>
      <c r="AL1855" s="194"/>
      <c r="AM1855" s="194"/>
      <c r="AN1855" s="194"/>
      <c r="AO1855" s="194"/>
      <c r="AP1855" s="208"/>
      <c r="AQ1855" s="194"/>
      <c r="AR1855" s="194"/>
      <c r="AS1855" s="194"/>
      <c r="AT1855" s="194"/>
      <c r="AU1855" s="194"/>
      <c r="AV1855" s="194"/>
      <c r="AW1855" s="194"/>
      <c r="AX1855" s="194"/>
      <c r="AY1855" s="194"/>
      <c r="AZ1855" s="194"/>
    </row>
    <row r="1856" spans="37:52" x14ac:dyDescent="0.2">
      <c r="AK1856" s="194"/>
      <c r="AL1856" s="194"/>
      <c r="AM1856" s="194"/>
      <c r="AN1856" s="194"/>
      <c r="AO1856" s="194"/>
      <c r="AP1856" s="208"/>
      <c r="AQ1856" s="194"/>
      <c r="AR1856" s="194"/>
      <c r="AS1856" s="194"/>
      <c r="AT1856" s="194"/>
      <c r="AU1856" s="194"/>
      <c r="AV1856" s="194"/>
      <c r="AW1856" s="194"/>
      <c r="AX1856" s="194"/>
      <c r="AY1856" s="194"/>
      <c r="AZ1856" s="194"/>
    </row>
    <row r="1857" spans="37:52" x14ac:dyDescent="0.2">
      <c r="AK1857" s="194"/>
      <c r="AL1857" s="194"/>
      <c r="AM1857" s="194"/>
      <c r="AN1857" s="194"/>
      <c r="AO1857" s="194"/>
      <c r="AP1857" s="208"/>
      <c r="AQ1857" s="194"/>
      <c r="AR1857" s="194"/>
      <c r="AS1857" s="194"/>
      <c r="AT1857" s="194"/>
      <c r="AU1857" s="194"/>
      <c r="AV1857" s="194"/>
      <c r="AW1857" s="194"/>
      <c r="AX1857" s="194"/>
      <c r="AY1857" s="194"/>
      <c r="AZ1857" s="194"/>
    </row>
    <row r="1858" spans="37:52" x14ac:dyDescent="0.2">
      <c r="AK1858" s="194"/>
      <c r="AL1858" s="194"/>
      <c r="AM1858" s="194"/>
      <c r="AN1858" s="194"/>
      <c r="AO1858" s="194"/>
      <c r="AP1858" s="208"/>
      <c r="AQ1858" s="194"/>
      <c r="AR1858" s="194"/>
      <c r="AS1858" s="194"/>
      <c r="AT1858" s="194"/>
      <c r="AU1858" s="194"/>
      <c r="AV1858" s="194"/>
      <c r="AW1858" s="194"/>
      <c r="AX1858" s="194"/>
      <c r="AY1858" s="194"/>
      <c r="AZ1858" s="194"/>
    </row>
    <row r="1859" spans="37:52" x14ac:dyDescent="0.2">
      <c r="AK1859" s="194"/>
      <c r="AL1859" s="194"/>
      <c r="AM1859" s="194"/>
      <c r="AN1859" s="194"/>
      <c r="AO1859" s="194"/>
      <c r="AP1859" s="208"/>
      <c r="AQ1859" s="194"/>
      <c r="AR1859" s="194"/>
      <c r="AS1859" s="194"/>
      <c r="AT1859" s="194"/>
      <c r="AU1859" s="194"/>
      <c r="AV1859" s="194"/>
      <c r="AW1859" s="194"/>
      <c r="AX1859" s="194"/>
      <c r="AY1859" s="194"/>
      <c r="AZ1859" s="194"/>
    </row>
    <row r="1860" spans="37:52" x14ac:dyDescent="0.2">
      <c r="AK1860" s="194"/>
      <c r="AL1860" s="194"/>
      <c r="AM1860" s="194"/>
      <c r="AN1860" s="194"/>
      <c r="AO1860" s="194"/>
      <c r="AP1860" s="208"/>
      <c r="AQ1860" s="194"/>
      <c r="AR1860" s="194"/>
      <c r="AS1860" s="194"/>
      <c r="AT1860" s="194"/>
      <c r="AU1860" s="194"/>
      <c r="AV1860" s="194"/>
      <c r="AW1860" s="194"/>
      <c r="AX1860" s="194"/>
      <c r="AY1860" s="194"/>
      <c r="AZ1860" s="194"/>
    </row>
    <row r="1861" spans="37:52" x14ac:dyDescent="0.2">
      <c r="AK1861" s="194"/>
      <c r="AL1861" s="194"/>
      <c r="AM1861" s="194"/>
      <c r="AN1861" s="194"/>
      <c r="AO1861" s="194"/>
      <c r="AP1861" s="208"/>
      <c r="AQ1861" s="194"/>
      <c r="AR1861" s="194"/>
      <c r="AS1861" s="194"/>
      <c r="AT1861" s="194"/>
      <c r="AU1861" s="194"/>
      <c r="AV1861" s="194"/>
      <c r="AW1861" s="194"/>
      <c r="AX1861" s="194"/>
      <c r="AY1861" s="194"/>
      <c r="AZ1861" s="194"/>
    </row>
    <row r="1862" spans="37:52" x14ac:dyDescent="0.2">
      <c r="AK1862" s="194"/>
      <c r="AL1862" s="194"/>
      <c r="AM1862" s="194"/>
      <c r="AN1862" s="194"/>
      <c r="AO1862" s="194"/>
      <c r="AP1862" s="208"/>
      <c r="AQ1862" s="194"/>
      <c r="AR1862" s="194"/>
      <c r="AS1862" s="194"/>
      <c r="AT1862" s="194"/>
      <c r="AU1862" s="194"/>
      <c r="AV1862" s="194"/>
      <c r="AW1862" s="194"/>
      <c r="AX1862" s="194"/>
      <c r="AY1862" s="194"/>
      <c r="AZ1862" s="194"/>
    </row>
    <row r="1863" spans="37:52" x14ac:dyDescent="0.2">
      <c r="AK1863" s="194"/>
      <c r="AL1863" s="194"/>
      <c r="AM1863" s="194"/>
      <c r="AN1863" s="194"/>
      <c r="AO1863" s="194"/>
      <c r="AP1863" s="208"/>
      <c r="AQ1863" s="194"/>
      <c r="AR1863" s="194"/>
      <c r="AS1863" s="194"/>
      <c r="AT1863" s="194"/>
      <c r="AU1863" s="194"/>
      <c r="AV1863" s="194"/>
      <c r="AW1863" s="194"/>
      <c r="AX1863" s="194"/>
      <c r="AY1863" s="194"/>
      <c r="AZ1863" s="194"/>
    </row>
    <row r="1864" spans="37:52" x14ac:dyDescent="0.2">
      <c r="AK1864" s="194"/>
      <c r="AL1864" s="194"/>
      <c r="AM1864" s="194"/>
      <c r="AN1864" s="194"/>
      <c r="AO1864" s="194"/>
      <c r="AP1864" s="208"/>
      <c r="AQ1864" s="194"/>
      <c r="AR1864" s="194"/>
      <c r="AS1864" s="194"/>
      <c r="AT1864" s="194"/>
      <c r="AU1864" s="194"/>
      <c r="AV1864" s="194"/>
      <c r="AW1864" s="194"/>
      <c r="AX1864" s="194"/>
      <c r="AY1864" s="194"/>
      <c r="AZ1864" s="194"/>
    </row>
    <row r="1865" spans="37:52" x14ac:dyDescent="0.2">
      <c r="AK1865" s="194"/>
      <c r="AL1865" s="194"/>
      <c r="AM1865" s="194"/>
      <c r="AN1865" s="194"/>
      <c r="AO1865" s="194"/>
      <c r="AP1865" s="208"/>
      <c r="AQ1865" s="194"/>
      <c r="AR1865" s="194"/>
      <c r="AS1865" s="194"/>
      <c r="AT1865" s="194"/>
      <c r="AU1865" s="194"/>
      <c r="AV1865" s="194"/>
      <c r="AW1865" s="194"/>
      <c r="AX1865" s="194"/>
      <c r="AY1865" s="194"/>
      <c r="AZ1865" s="194"/>
    </row>
    <row r="1866" spans="37:52" x14ac:dyDescent="0.2">
      <c r="AK1866" s="194"/>
      <c r="AL1866" s="194"/>
      <c r="AM1866" s="194"/>
      <c r="AN1866" s="194"/>
      <c r="AO1866" s="194"/>
      <c r="AP1866" s="208"/>
      <c r="AQ1866" s="194"/>
      <c r="AR1866" s="194"/>
      <c r="AS1866" s="194"/>
      <c r="AT1866" s="194"/>
      <c r="AU1866" s="194"/>
      <c r="AV1866" s="194"/>
      <c r="AW1866" s="194"/>
      <c r="AX1866" s="194"/>
      <c r="AY1866" s="194"/>
      <c r="AZ1866" s="194"/>
    </row>
    <row r="1867" spans="37:52" x14ac:dyDescent="0.2">
      <c r="AK1867" s="194"/>
      <c r="AL1867" s="194"/>
      <c r="AM1867" s="194"/>
      <c r="AN1867" s="194"/>
      <c r="AO1867" s="194"/>
      <c r="AP1867" s="208"/>
      <c r="AQ1867" s="194"/>
      <c r="AR1867" s="194"/>
      <c r="AS1867" s="194"/>
      <c r="AT1867" s="194"/>
      <c r="AU1867" s="194"/>
      <c r="AV1867" s="194"/>
      <c r="AW1867" s="194"/>
      <c r="AX1867" s="194"/>
      <c r="AY1867" s="194"/>
      <c r="AZ1867" s="194"/>
    </row>
    <row r="1868" spans="37:52" x14ac:dyDescent="0.2">
      <c r="AK1868" s="194"/>
      <c r="AL1868" s="194"/>
      <c r="AM1868" s="194"/>
      <c r="AN1868" s="194"/>
      <c r="AO1868" s="194"/>
      <c r="AP1868" s="208"/>
      <c r="AQ1868" s="194"/>
      <c r="AR1868" s="194"/>
      <c r="AS1868" s="194"/>
      <c r="AT1868" s="194"/>
      <c r="AU1868" s="194"/>
      <c r="AV1868" s="194"/>
      <c r="AW1868" s="194"/>
      <c r="AX1868" s="194"/>
      <c r="AY1868" s="194"/>
      <c r="AZ1868" s="194"/>
    </row>
    <row r="1869" spans="37:52" x14ac:dyDescent="0.2">
      <c r="AK1869" s="194"/>
      <c r="AL1869" s="194"/>
      <c r="AM1869" s="194"/>
      <c r="AN1869" s="194"/>
      <c r="AO1869" s="194"/>
      <c r="AP1869" s="208"/>
      <c r="AQ1869" s="194"/>
      <c r="AR1869" s="194"/>
      <c r="AS1869" s="194"/>
      <c r="AT1869" s="194"/>
      <c r="AU1869" s="194"/>
      <c r="AV1869" s="194"/>
      <c r="AW1869" s="194"/>
      <c r="AX1869" s="194"/>
      <c r="AY1869" s="194"/>
      <c r="AZ1869" s="194"/>
    </row>
    <row r="1870" spans="37:52" x14ac:dyDescent="0.2">
      <c r="AK1870" s="194"/>
      <c r="AL1870" s="194"/>
      <c r="AM1870" s="194"/>
      <c r="AN1870" s="194"/>
      <c r="AO1870" s="194"/>
      <c r="AP1870" s="208"/>
      <c r="AQ1870" s="194"/>
      <c r="AR1870" s="194"/>
      <c r="AS1870" s="194"/>
      <c r="AT1870" s="194"/>
      <c r="AU1870" s="194"/>
      <c r="AV1870" s="194"/>
      <c r="AW1870" s="194"/>
      <c r="AX1870" s="194"/>
      <c r="AY1870" s="194"/>
      <c r="AZ1870" s="194"/>
    </row>
    <row r="1871" spans="37:52" x14ac:dyDescent="0.2">
      <c r="AK1871" s="194"/>
      <c r="AL1871" s="194"/>
      <c r="AM1871" s="194"/>
      <c r="AN1871" s="194"/>
      <c r="AO1871" s="194"/>
      <c r="AP1871" s="208"/>
      <c r="AQ1871" s="194"/>
      <c r="AR1871" s="194"/>
      <c r="AS1871" s="194"/>
      <c r="AT1871" s="194"/>
      <c r="AU1871" s="194"/>
      <c r="AV1871" s="194"/>
      <c r="AW1871" s="194"/>
      <c r="AX1871" s="194"/>
      <c r="AY1871" s="194"/>
      <c r="AZ1871" s="194"/>
    </row>
    <row r="1872" spans="37:52" x14ac:dyDescent="0.2">
      <c r="AK1872" s="194"/>
      <c r="AL1872" s="194"/>
      <c r="AM1872" s="194"/>
      <c r="AN1872" s="194"/>
      <c r="AO1872" s="194"/>
      <c r="AP1872" s="208"/>
      <c r="AQ1872" s="194"/>
      <c r="AR1872" s="194"/>
      <c r="AS1872" s="194"/>
      <c r="AT1872" s="194"/>
      <c r="AU1872" s="194"/>
      <c r="AV1872" s="194"/>
      <c r="AW1872" s="194"/>
      <c r="AX1872" s="194"/>
      <c r="AY1872" s="194"/>
      <c r="AZ1872" s="194"/>
    </row>
    <row r="1873" spans="37:52" x14ac:dyDescent="0.2">
      <c r="AK1873" s="194"/>
      <c r="AL1873" s="194"/>
      <c r="AM1873" s="194"/>
      <c r="AN1873" s="194"/>
      <c r="AO1873" s="194"/>
      <c r="AP1873" s="208"/>
      <c r="AQ1873" s="194"/>
      <c r="AR1873" s="194"/>
      <c r="AS1873" s="194"/>
      <c r="AT1873" s="194"/>
      <c r="AU1873" s="194"/>
      <c r="AV1873" s="194"/>
      <c r="AW1873" s="194"/>
      <c r="AX1873" s="194"/>
      <c r="AY1873" s="194"/>
      <c r="AZ1873" s="194"/>
    </row>
    <row r="1874" spans="37:52" x14ac:dyDescent="0.2">
      <c r="AK1874" s="194"/>
      <c r="AL1874" s="194"/>
      <c r="AM1874" s="194"/>
      <c r="AN1874" s="194"/>
      <c r="AO1874" s="194"/>
      <c r="AP1874" s="208"/>
      <c r="AQ1874" s="194"/>
      <c r="AR1874" s="194"/>
      <c r="AS1874" s="194"/>
      <c r="AT1874" s="194"/>
      <c r="AU1874" s="194"/>
      <c r="AV1874" s="194"/>
      <c r="AW1874" s="194"/>
      <c r="AX1874" s="194"/>
      <c r="AY1874" s="194"/>
      <c r="AZ1874" s="194"/>
    </row>
    <row r="1875" spans="37:52" x14ac:dyDescent="0.2">
      <c r="AK1875" s="194"/>
      <c r="AL1875" s="194"/>
      <c r="AM1875" s="194"/>
      <c r="AN1875" s="194"/>
      <c r="AO1875" s="194"/>
      <c r="AP1875" s="208"/>
      <c r="AQ1875" s="194"/>
      <c r="AR1875" s="194"/>
      <c r="AS1875" s="194"/>
      <c r="AT1875" s="194"/>
      <c r="AU1875" s="194"/>
      <c r="AV1875" s="194"/>
      <c r="AW1875" s="194"/>
      <c r="AX1875" s="194"/>
      <c r="AY1875" s="194"/>
      <c r="AZ1875" s="194"/>
    </row>
    <row r="1876" spans="37:52" x14ac:dyDescent="0.2">
      <c r="AK1876" s="194"/>
      <c r="AL1876" s="194"/>
      <c r="AM1876" s="194"/>
      <c r="AN1876" s="194"/>
      <c r="AO1876" s="194"/>
      <c r="AP1876" s="208"/>
      <c r="AQ1876" s="194"/>
      <c r="AR1876" s="194"/>
      <c r="AS1876" s="194"/>
      <c r="AT1876" s="194"/>
      <c r="AU1876" s="194"/>
      <c r="AV1876" s="194"/>
      <c r="AW1876" s="194"/>
      <c r="AX1876" s="194"/>
      <c r="AY1876" s="194"/>
      <c r="AZ1876" s="194"/>
    </row>
    <row r="1877" spans="37:52" x14ac:dyDescent="0.2">
      <c r="AK1877" s="194"/>
      <c r="AL1877" s="194"/>
      <c r="AM1877" s="194"/>
      <c r="AN1877" s="194"/>
      <c r="AO1877" s="194"/>
      <c r="AP1877" s="208"/>
      <c r="AQ1877" s="194"/>
      <c r="AR1877" s="194"/>
      <c r="AS1877" s="194"/>
      <c r="AT1877" s="194"/>
      <c r="AU1877" s="194"/>
      <c r="AV1877" s="194"/>
      <c r="AW1877" s="194"/>
      <c r="AX1877" s="194"/>
      <c r="AY1877" s="194"/>
      <c r="AZ1877" s="194"/>
    </row>
    <row r="1878" spans="37:52" x14ac:dyDescent="0.2">
      <c r="AK1878" s="194"/>
      <c r="AL1878" s="194"/>
      <c r="AM1878" s="194"/>
      <c r="AN1878" s="194"/>
      <c r="AO1878" s="194"/>
      <c r="AP1878" s="208"/>
      <c r="AQ1878" s="194"/>
      <c r="AR1878" s="194"/>
      <c r="AS1878" s="194"/>
      <c r="AT1878" s="194"/>
      <c r="AU1878" s="194"/>
      <c r="AV1878" s="194"/>
      <c r="AW1878" s="194"/>
      <c r="AX1878" s="194"/>
      <c r="AY1878" s="194"/>
      <c r="AZ1878" s="194"/>
    </row>
    <row r="1879" spans="37:52" x14ac:dyDescent="0.2">
      <c r="AK1879" s="194"/>
      <c r="AL1879" s="194"/>
      <c r="AM1879" s="194"/>
      <c r="AN1879" s="194"/>
      <c r="AO1879" s="194"/>
      <c r="AP1879" s="208"/>
      <c r="AQ1879" s="194"/>
      <c r="AR1879" s="194"/>
      <c r="AS1879" s="194"/>
      <c r="AT1879" s="194"/>
      <c r="AU1879" s="194"/>
      <c r="AV1879" s="194"/>
      <c r="AW1879" s="194"/>
      <c r="AX1879" s="194"/>
      <c r="AY1879" s="194"/>
      <c r="AZ1879" s="194"/>
    </row>
    <row r="1880" spans="37:52" x14ac:dyDescent="0.2">
      <c r="AK1880" s="194"/>
      <c r="AL1880" s="194"/>
      <c r="AM1880" s="194"/>
      <c r="AN1880" s="194"/>
      <c r="AO1880" s="194"/>
      <c r="AP1880" s="208"/>
      <c r="AQ1880" s="194"/>
      <c r="AR1880" s="194"/>
      <c r="AS1880" s="194"/>
      <c r="AT1880" s="194"/>
      <c r="AU1880" s="194"/>
      <c r="AV1880" s="194"/>
      <c r="AW1880" s="194"/>
      <c r="AX1880" s="194"/>
      <c r="AY1880" s="194"/>
      <c r="AZ1880" s="194"/>
    </row>
    <row r="1881" spans="37:52" x14ac:dyDescent="0.2">
      <c r="AK1881" s="194"/>
      <c r="AL1881" s="194"/>
      <c r="AM1881" s="194"/>
      <c r="AN1881" s="194"/>
      <c r="AO1881" s="194"/>
      <c r="AP1881" s="208"/>
      <c r="AQ1881" s="194"/>
      <c r="AR1881" s="194"/>
      <c r="AS1881" s="194"/>
      <c r="AT1881" s="194"/>
      <c r="AU1881" s="194"/>
      <c r="AV1881" s="194"/>
      <c r="AW1881" s="194"/>
      <c r="AX1881" s="194"/>
      <c r="AY1881" s="194"/>
      <c r="AZ1881" s="194"/>
    </row>
    <row r="1882" spans="37:52" x14ac:dyDescent="0.2">
      <c r="AK1882" s="194"/>
      <c r="AL1882" s="194"/>
      <c r="AM1882" s="194"/>
      <c r="AN1882" s="194"/>
      <c r="AO1882" s="194"/>
      <c r="AP1882" s="208"/>
      <c r="AQ1882" s="194"/>
      <c r="AR1882" s="194"/>
      <c r="AS1882" s="194"/>
      <c r="AT1882" s="194"/>
      <c r="AU1882" s="194"/>
      <c r="AV1882" s="194"/>
      <c r="AW1882" s="194"/>
      <c r="AX1882" s="194"/>
      <c r="AY1882" s="194"/>
      <c r="AZ1882" s="194"/>
    </row>
    <row r="1883" spans="37:52" x14ac:dyDescent="0.2">
      <c r="AK1883" s="194"/>
      <c r="AL1883" s="194"/>
      <c r="AM1883" s="194"/>
      <c r="AN1883" s="194"/>
      <c r="AO1883" s="194"/>
      <c r="AP1883" s="208"/>
      <c r="AQ1883" s="194"/>
      <c r="AR1883" s="194"/>
      <c r="AS1883" s="194"/>
      <c r="AT1883" s="194"/>
      <c r="AU1883" s="194"/>
      <c r="AV1883" s="194"/>
      <c r="AW1883" s="194"/>
      <c r="AX1883" s="194"/>
      <c r="AY1883" s="194"/>
      <c r="AZ1883" s="194"/>
    </row>
    <row r="1884" spans="37:52" x14ac:dyDescent="0.2">
      <c r="AK1884" s="194"/>
      <c r="AL1884" s="194"/>
      <c r="AM1884" s="194"/>
      <c r="AN1884" s="194"/>
      <c r="AO1884" s="194"/>
      <c r="AP1884" s="208"/>
      <c r="AQ1884" s="194"/>
      <c r="AR1884" s="194"/>
      <c r="AS1884" s="194"/>
      <c r="AT1884" s="194"/>
      <c r="AU1884" s="194"/>
      <c r="AV1884" s="194"/>
      <c r="AW1884" s="194"/>
      <c r="AX1884" s="194"/>
      <c r="AY1884" s="194"/>
      <c r="AZ1884" s="194"/>
    </row>
    <row r="1885" spans="37:52" x14ac:dyDescent="0.2">
      <c r="AK1885" s="194"/>
      <c r="AL1885" s="194"/>
      <c r="AM1885" s="194"/>
      <c r="AN1885" s="194"/>
      <c r="AO1885" s="194"/>
      <c r="AP1885" s="208"/>
      <c r="AQ1885" s="194"/>
      <c r="AR1885" s="194"/>
      <c r="AS1885" s="194"/>
      <c r="AT1885" s="194"/>
      <c r="AU1885" s="194"/>
      <c r="AV1885" s="194"/>
      <c r="AW1885" s="194"/>
      <c r="AX1885" s="194"/>
      <c r="AY1885" s="194"/>
      <c r="AZ1885" s="194"/>
    </row>
    <row r="1886" spans="37:52" x14ac:dyDescent="0.2">
      <c r="AK1886" s="194"/>
      <c r="AL1886" s="194"/>
      <c r="AM1886" s="194"/>
      <c r="AN1886" s="194"/>
      <c r="AO1886" s="194"/>
      <c r="AP1886" s="208"/>
      <c r="AQ1886" s="194"/>
      <c r="AR1886" s="194"/>
      <c r="AS1886" s="194"/>
      <c r="AT1886" s="194"/>
      <c r="AU1886" s="194"/>
      <c r="AV1886" s="194"/>
      <c r="AW1886" s="194"/>
      <c r="AX1886" s="194"/>
      <c r="AY1886" s="194"/>
      <c r="AZ1886" s="194"/>
    </row>
    <row r="1887" spans="37:52" x14ac:dyDescent="0.2">
      <c r="AK1887" s="194"/>
      <c r="AL1887" s="194"/>
      <c r="AM1887" s="194"/>
      <c r="AN1887" s="194"/>
      <c r="AO1887" s="194"/>
      <c r="AP1887" s="208"/>
      <c r="AQ1887" s="194"/>
      <c r="AR1887" s="194"/>
      <c r="AS1887" s="194"/>
      <c r="AT1887" s="194"/>
      <c r="AU1887" s="194"/>
      <c r="AV1887" s="194"/>
      <c r="AW1887" s="194"/>
      <c r="AX1887" s="194"/>
      <c r="AY1887" s="194"/>
      <c r="AZ1887" s="194"/>
    </row>
    <row r="1888" spans="37:52" x14ac:dyDescent="0.2">
      <c r="AK1888" s="194"/>
      <c r="AL1888" s="194"/>
      <c r="AM1888" s="194"/>
      <c r="AN1888" s="194"/>
      <c r="AO1888" s="194"/>
      <c r="AP1888" s="208"/>
      <c r="AQ1888" s="194"/>
      <c r="AR1888" s="194"/>
      <c r="AS1888" s="194"/>
      <c r="AT1888" s="194"/>
      <c r="AU1888" s="194"/>
      <c r="AV1888" s="194"/>
      <c r="AW1888" s="194"/>
      <c r="AX1888" s="194"/>
      <c r="AY1888" s="194"/>
      <c r="AZ1888" s="194"/>
    </row>
    <row r="1889" spans="37:52" x14ac:dyDescent="0.2">
      <c r="AK1889" s="194"/>
      <c r="AL1889" s="194"/>
      <c r="AM1889" s="194"/>
      <c r="AN1889" s="194"/>
      <c r="AO1889" s="194"/>
      <c r="AP1889" s="208"/>
      <c r="AQ1889" s="194"/>
      <c r="AR1889" s="194"/>
      <c r="AS1889" s="194"/>
      <c r="AT1889" s="194"/>
      <c r="AU1889" s="194"/>
      <c r="AV1889" s="194"/>
      <c r="AW1889" s="194"/>
      <c r="AX1889" s="194"/>
      <c r="AY1889" s="194"/>
      <c r="AZ1889" s="194"/>
    </row>
    <row r="1890" spans="37:52" x14ac:dyDescent="0.2">
      <c r="AK1890" s="194"/>
      <c r="AL1890" s="194"/>
      <c r="AM1890" s="194"/>
      <c r="AN1890" s="194"/>
      <c r="AO1890" s="194"/>
      <c r="AP1890" s="208"/>
      <c r="AQ1890" s="194"/>
      <c r="AR1890" s="194"/>
      <c r="AS1890" s="194"/>
      <c r="AT1890" s="194"/>
      <c r="AU1890" s="194"/>
      <c r="AV1890" s="194"/>
      <c r="AW1890" s="194"/>
      <c r="AX1890" s="194"/>
      <c r="AY1890" s="194"/>
      <c r="AZ1890" s="194"/>
    </row>
    <row r="1891" spans="37:52" x14ac:dyDescent="0.2">
      <c r="AK1891" s="194"/>
      <c r="AL1891" s="194"/>
      <c r="AM1891" s="194"/>
      <c r="AN1891" s="194"/>
      <c r="AO1891" s="194"/>
      <c r="AP1891" s="208"/>
      <c r="AQ1891" s="194"/>
      <c r="AR1891" s="194"/>
      <c r="AS1891" s="194"/>
      <c r="AT1891" s="194"/>
      <c r="AU1891" s="194"/>
      <c r="AV1891" s="194"/>
      <c r="AW1891" s="194"/>
      <c r="AX1891" s="194"/>
      <c r="AY1891" s="194"/>
      <c r="AZ1891" s="194"/>
    </row>
    <row r="1892" spans="37:52" x14ac:dyDescent="0.2">
      <c r="AK1892" s="194"/>
      <c r="AL1892" s="194"/>
      <c r="AM1892" s="194"/>
      <c r="AN1892" s="194"/>
      <c r="AO1892" s="194"/>
      <c r="AP1892" s="208"/>
      <c r="AQ1892" s="194"/>
      <c r="AR1892" s="194"/>
      <c r="AS1892" s="194"/>
      <c r="AT1892" s="194"/>
      <c r="AU1892" s="194"/>
      <c r="AV1892" s="194"/>
      <c r="AW1892" s="194"/>
      <c r="AX1892" s="194"/>
      <c r="AY1892" s="194"/>
      <c r="AZ1892" s="194"/>
    </row>
    <row r="1893" spans="37:52" x14ac:dyDescent="0.2">
      <c r="AK1893" s="194"/>
      <c r="AL1893" s="194"/>
      <c r="AM1893" s="194"/>
      <c r="AN1893" s="194"/>
      <c r="AO1893" s="194"/>
      <c r="AP1893" s="208"/>
      <c r="AQ1893" s="194"/>
      <c r="AR1893" s="194"/>
      <c r="AS1893" s="194"/>
      <c r="AT1893" s="194"/>
      <c r="AU1893" s="194"/>
      <c r="AV1893" s="194"/>
      <c r="AW1893" s="194"/>
      <c r="AX1893" s="194"/>
      <c r="AY1893" s="194"/>
      <c r="AZ1893" s="194"/>
    </row>
    <row r="1894" spans="37:52" x14ac:dyDescent="0.2">
      <c r="AK1894" s="194"/>
      <c r="AL1894" s="194"/>
      <c r="AM1894" s="194"/>
      <c r="AN1894" s="194"/>
      <c r="AO1894" s="194"/>
      <c r="AP1894" s="208"/>
      <c r="AQ1894" s="194"/>
      <c r="AR1894" s="194"/>
      <c r="AS1894" s="194"/>
      <c r="AT1894" s="194"/>
      <c r="AU1894" s="194"/>
      <c r="AV1894" s="194"/>
      <c r="AW1894" s="194"/>
      <c r="AX1894" s="194"/>
      <c r="AY1894" s="194"/>
      <c r="AZ1894" s="194"/>
    </row>
    <row r="1895" spans="37:52" x14ac:dyDescent="0.2">
      <c r="AK1895" s="194"/>
      <c r="AL1895" s="194"/>
      <c r="AM1895" s="194"/>
      <c r="AN1895" s="194"/>
      <c r="AO1895" s="194"/>
      <c r="AP1895" s="208"/>
      <c r="AQ1895" s="194"/>
      <c r="AR1895" s="194"/>
      <c r="AS1895" s="194"/>
      <c r="AT1895" s="194"/>
      <c r="AU1895" s="194"/>
      <c r="AV1895" s="194"/>
      <c r="AW1895" s="194"/>
      <c r="AX1895" s="194"/>
      <c r="AY1895" s="194"/>
      <c r="AZ1895" s="194"/>
    </row>
    <row r="1896" spans="37:52" x14ac:dyDescent="0.2">
      <c r="AK1896" s="194"/>
      <c r="AL1896" s="194"/>
      <c r="AM1896" s="194"/>
      <c r="AN1896" s="194"/>
      <c r="AO1896" s="194"/>
      <c r="AP1896" s="208"/>
      <c r="AQ1896" s="194"/>
      <c r="AR1896" s="194"/>
      <c r="AS1896" s="194"/>
      <c r="AT1896" s="194"/>
      <c r="AU1896" s="194"/>
      <c r="AV1896" s="194"/>
      <c r="AW1896" s="194"/>
      <c r="AX1896" s="194"/>
      <c r="AY1896" s="194"/>
      <c r="AZ1896" s="194"/>
    </row>
    <row r="1897" spans="37:52" x14ac:dyDescent="0.2">
      <c r="AK1897" s="194"/>
      <c r="AL1897" s="194"/>
      <c r="AM1897" s="194"/>
      <c r="AN1897" s="194"/>
      <c r="AO1897" s="194"/>
      <c r="AP1897" s="208"/>
      <c r="AQ1897" s="194"/>
      <c r="AR1897" s="194"/>
      <c r="AS1897" s="194"/>
      <c r="AT1897" s="194"/>
      <c r="AU1897" s="194"/>
      <c r="AV1897" s="194"/>
      <c r="AW1897" s="194"/>
      <c r="AX1897" s="194"/>
      <c r="AY1897" s="194"/>
      <c r="AZ1897" s="194"/>
    </row>
    <row r="1898" spans="37:52" x14ac:dyDescent="0.2">
      <c r="AK1898" s="194"/>
      <c r="AL1898" s="194"/>
      <c r="AM1898" s="194"/>
      <c r="AN1898" s="194"/>
      <c r="AO1898" s="194"/>
      <c r="AP1898" s="208"/>
      <c r="AQ1898" s="194"/>
      <c r="AR1898" s="194"/>
      <c r="AS1898" s="194"/>
      <c r="AT1898" s="194"/>
      <c r="AU1898" s="194"/>
      <c r="AV1898" s="194"/>
      <c r="AW1898" s="194"/>
      <c r="AX1898" s="194"/>
      <c r="AY1898" s="194"/>
      <c r="AZ1898" s="194"/>
    </row>
    <row r="1899" spans="37:52" x14ac:dyDescent="0.2">
      <c r="AK1899" s="194"/>
      <c r="AL1899" s="194"/>
      <c r="AM1899" s="194"/>
      <c r="AN1899" s="194"/>
      <c r="AO1899" s="194"/>
      <c r="AP1899" s="208"/>
      <c r="AQ1899" s="194"/>
      <c r="AR1899" s="194"/>
      <c r="AS1899" s="194"/>
      <c r="AT1899" s="194"/>
      <c r="AU1899" s="194"/>
      <c r="AV1899" s="194"/>
      <c r="AW1899" s="194"/>
      <c r="AX1899" s="194"/>
      <c r="AY1899" s="194"/>
      <c r="AZ1899" s="194"/>
    </row>
    <row r="1900" spans="37:52" x14ac:dyDescent="0.2">
      <c r="AK1900" s="194"/>
      <c r="AL1900" s="194"/>
      <c r="AM1900" s="194"/>
      <c r="AN1900" s="194"/>
      <c r="AO1900" s="194"/>
      <c r="AP1900" s="208"/>
      <c r="AQ1900" s="194"/>
      <c r="AR1900" s="194"/>
      <c r="AS1900" s="194"/>
      <c r="AT1900" s="194"/>
      <c r="AU1900" s="194"/>
      <c r="AV1900" s="194"/>
      <c r="AW1900" s="194"/>
      <c r="AX1900" s="194"/>
      <c r="AY1900" s="194"/>
      <c r="AZ1900" s="194"/>
    </row>
    <row r="1901" spans="37:52" x14ac:dyDescent="0.2">
      <c r="AK1901" s="194"/>
      <c r="AL1901" s="194"/>
      <c r="AM1901" s="194"/>
      <c r="AN1901" s="194"/>
      <c r="AO1901" s="194"/>
      <c r="AP1901" s="208"/>
      <c r="AQ1901" s="194"/>
      <c r="AR1901" s="194"/>
      <c r="AS1901" s="194"/>
      <c r="AT1901" s="194"/>
      <c r="AU1901" s="194"/>
      <c r="AV1901" s="194"/>
      <c r="AW1901" s="194"/>
      <c r="AX1901" s="194"/>
      <c r="AY1901" s="194"/>
      <c r="AZ1901" s="194"/>
    </row>
    <row r="1902" spans="37:52" x14ac:dyDescent="0.2">
      <c r="AK1902" s="194"/>
      <c r="AL1902" s="194"/>
      <c r="AM1902" s="194"/>
      <c r="AN1902" s="194"/>
      <c r="AO1902" s="194"/>
      <c r="AP1902" s="208"/>
      <c r="AQ1902" s="194"/>
      <c r="AR1902" s="194"/>
      <c r="AS1902" s="194"/>
      <c r="AT1902" s="194"/>
      <c r="AU1902" s="194"/>
      <c r="AV1902" s="194"/>
      <c r="AW1902" s="194"/>
      <c r="AX1902" s="194"/>
      <c r="AY1902" s="194"/>
      <c r="AZ1902" s="194"/>
    </row>
    <row r="1903" spans="37:52" x14ac:dyDescent="0.2">
      <c r="AK1903" s="194"/>
      <c r="AL1903" s="194"/>
      <c r="AM1903" s="194"/>
      <c r="AN1903" s="194"/>
      <c r="AO1903" s="194"/>
      <c r="AP1903" s="208"/>
      <c r="AQ1903" s="194"/>
      <c r="AR1903" s="194"/>
      <c r="AS1903" s="194"/>
      <c r="AT1903" s="194"/>
      <c r="AU1903" s="194"/>
      <c r="AV1903" s="194"/>
      <c r="AW1903" s="194"/>
      <c r="AX1903" s="194"/>
      <c r="AY1903" s="194"/>
      <c r="AZ1903" s="194"/>
    </row>
    <row r="1904" spans="37:52" x14ac:dyDescent="0.2">
      <c r="AK1904" s="194"/>
      <c r="AL1904" s="194"/>
      <c r="AM1904" s="194"/>
      <c r="AN1904" s="194"/>
      <c r="AO1904" s="194"/>
      <c r="AP1904" s="208"/>
      <c r="AQ1904" s="194"/>
      <c r="AR1904" s="194"/>
      <c r="AS1904" s="194"/>
      <c r="AT1904" s="194"/>
      <c r="AU1904" s="194"/>
      <c r="AV1904" s="194"/>
      <c r="AW1904" s="194"/>
      <c r="AX1904" s="194"/>
      <c r="AY1904" s="194"/>
      <c r="AZ1904" s="194"/>
    </row>
    <row r="1905" spans="37:52" x14ac:dyDescent="0.2">
      <c r="AK1905" s="194"/>
      <c r="AL1905" s="194"/>
      <c r="AM1905" s="194"/>
      <c r="AN1905" s="194"/>
      <c r="AO1905" s="194"/>
      <c r="AP1905" s="208"/>
      <c r="AQ1905" s="194"/>
      <c r="AR1905" s="194"/>
      <c r="AS1905" s="194"/>
      <c r="AT1905" s="194"/>
      <c r="AU1905" s="194"/>
      <c r="AV1905" s="194"/>
      <c r="AW1905" s="194"/>
      <c r="AX1905" s="194"/>
      <c r="AY1905" s="194"/>
      <c r="AZ1905" s="194"/>
    </row>
    <row r="1906" spans="37:52" x14ac:dyDescent="0.2">
      <c r="AK1906" s="194"/>
      <c r="AL1906" s="194"/>
      <c r="AM1906" s="194"/>
      <c r="AN1906" s="194"/>
      <c r="AO1906" s="194"/>
      <c r="AP1906" s="208"/>
      <c r="AQ1906" s="194"/>
      <c r="AR1906" s="194"/>
      <c r="AS1906" s="194"/>
      <c r="AT1906" s="194"/>
      <c r="AU1906" s="194"/>
      <c r="AV1906" s="194"/>
      <c r="AW1906" s="194"/>
      <c r="AX1906" s="194"/>
      <c r="AY1906" s="194"/>
      <c r="AZ1906" s="194"/>
    </row>
    <row r="1907" spans="37:52" x14ac:dyDescent="0.2">
      <c r="AK1907" s="194"/>
      <c r="AL1907" s="194"/>
      <c r="AM1907" s="194"/>
      <c r="AN1907" s="194"/>
      <c r="AO1907" s="194"/>
      <c r="AP1907" s="208"/>
      <c r="AQ1907" s="194"/>
      <c r="AR1907" s="194"/>
      <c r="AS1907" s="194"/>
      <c r="AT1907" s="194"/>
      <c r="AU1907" s="194"/>
      <c r="AV1907" s="194"/>
      <c r="AW1907" s="194"/>
      <c r="AX1907" s="194"/>
      <c r="AY1907" s="194"/>
      <c r="AZ1907" s="194"/>
    </row>
    <row r="1908" spans="37:52" x14ac:dyDescent="0.2">
      <c r="AK1908" s="194"/>
      <c r="AL1908" s="194"/>
      <c r="AM1908" s="194"/>
      <c r="AN1908" s="194"/>
      <c r="AO1908" s="194"/>
      <c r="AP1908" s="208"/>
      <c r="AQ1908" s="194"/>
      <c r="AR1908" s="194"/>
      <c r="AS1908" s="194"/>
      <c r="AT1908" s="194"/>
      <c r="AU1908" s="194"/>
      <c r="AV1908" s="194"/>
      <c r="AW1908" s="194"/>
      <c r="AX1908" s="194"/>
      <c r="AY1908" s="194"/>
      <c r="AZ1908" s="194"/>
    </row>
    <row r="1909" spans="37:52" x14ac:dyDescent="0.2">
      <c r="AK1909" s="194"/>
      <c r="AL1909" s="194"/>
      <c r="AM1909" s="194"/>
      <c r="AN1909" s="194"/>
      <c r="AO1909" s="194"/>
      <c r="AP1909" s="208"/>
      <c r="AQ1909" s="194"/>
      <c r="AR1909" s="194"/>
      <c r="AS1909" s="194"/>
      <c r="AT1909" s="194"/>
      <c r="AU1909" s="194"/>
      <c r="AV1909" s="194"/>
      <c r="AW1909" s="194"/>
      <c r="AX1909" s="194"/>
      <c r="AY1909" s="194"/>
      <c r="AZ1909" s="194"/>
    </row>
    <row r="1910" spans="37:52" x14ac:dyDescent="0.2">
      <c r="AK1910" s="194"/>
      <c r="AL1910" s="194"/>
      <c r="AM1910" s="194"/>
      <c r="AN1910" s="194"/>
      <c r="AO1910" s="194"/>
      <c r="AP1910" s="208"/>
      <c r="AQ1910" s="194"/>
      <c r="AR1910" s="194"/>
      <c r="AS1910" s="194"/>
      <c r="AT1910" s="194"/>
      <c r="AU1910" s="194"/>
      <c r="AV1910" s="194"/>
      <c r="AW1910" s="194"/>
      <c r="AX1910" s="194"/>
      <c r="AY1910" s="194"/>
      <c r="AZ1910" s="194"/>
    </row>
    <row r="1911" spans="37:52" x14ac:dyDescent="0.2">
      <c r="AK1911" s="194"/>
      <c r="AL1911" s="194"/>
      <c r="AM1911" s="194"/>
      <c r="AN1911" s="194"/>
      <c r="AO1911" s="194"/>
      <c r="AP1911" s="208"/>
      <c r="AQ1911" s="194"/>
      <c r="AR1911" s="194"/>
      <c r="AS1911" s="194"/>
      <c r="AT1911" s="194"/>
      <c r="AU1911" s="194"/>
      <c r="AV1911" s="194"/>
      <c r="AW1911" s="194"/>
      <c r="AX1911" s="194"/>
      <c r="AY1911" s="194"/>
      <c r="AZ1911" s="194"/>
    </row>
    <row r="1912" spans="37:52" x14ac:dyDescent="0.2">
      <c r="AK1912" s="194"/>
      <c r="AL1912" s="194"/>
      <c r="AM1912" s="194"/>
      <c r="AN1912" s="194"/>
      <c r="AO1912" s="194"/>
      <c r="AP1912" s="208"/>
      <c r="AQ1912" s="194"/>
      <c r="AR1912" s="194"/>
      <c r="AS1912" s="194"/>
      <c r="AT1912" s="194"/>
      <c r="AU1912" s="194"/>
      <c r="AV1912" s="194"/>
      <c r="AW1912" s="194"/>
      <c r="AX1912" s="194"/>
      <c r="AY1912" s="194"/>
      <c r="AZ1912" s="194"/>
    </row>
    <row r="1913" spans="37:52" x14ac:dyDescent="0.2">
      <c r="AK1913" s="194"/>
      <c r="AL1913" s="194"/>
      <c r="AM1913" s="194"/>
      <c r="AN1913" s="194"/>
      <c r="AO1913" s="194"/>
      <c r="AP1913" s="208"/>
      <c r="AQ1913" s="194"/>
      <c r="AR1913" s="194"/>
      <c r="AS1913" s="194"/>
      <c r="AT1913" s="194"/>
      <c r="AU1913" s="194"/>
      <c r="AV1913" s="194"/>
      <c r="AW1913" s="194"/>
      <c r="AX1913" s="194"/>
      <c r="AY1913" s="194"/>
      <c r="AZ1913" s="194"/>
    </row>
    <row r="1914" spans="37:52" x14ac:dyDescent="0.2">
      <c r="AK1914" s="194"/>
      <c r="AL1914" s="194"/>
      <c r="AM1914" s="194"/>
      <c r="AN1914" s="194"/>
      <c r="AO1914" s="194"/>
      <c r="AP1914" s="208"/>
      <c r="AQ1914" s="194"/>
      <c r="AR1914" s="194"/>
      <c r="AS1914" s="194"/>
      <c r="AT1914" s="194"/>
      <c r="AU1914" s="194"/>
      <c r="AV1914" s="194"/>
      <c r="AW1914" s="194"/>
      <c r="AX1914" s="194"/>
      <c r="AY1914" s="194"/>
      <c r="AZ1914" s="194"/>
    </row>
    <row r="1915" spans="37:52" x14ac:dyDescent="0.2">
      <c r="AK1915" s="194"/>
      <c r="AL1915" s="194"/>
      <c r="AM1915" s="194"/>
      <c r="AN1915" s="194"/>
      <c r="AO1915" s="194"/>
      <c r="AP1915" s="208"/>
      <c r="AQ1915" s="194"/>
      <c r="AR1915" s="194"/>
      <c r="AS1915" s="194"/>
      <c r="AT1915" s="194"/>
      <c r="AU1915" s="194"/>
      <c r="AV1915" s="194"/>
      <c r="AW1915" s="194"/>
      <c r="AX1915" s="194"/>
      <c r="AY1915" s="194"/>
      <c r="AZ1915" s="194"/>
    </row>
    <row r="1916" spans="37:52" x14ac:dyDescent="0.2">
      <c r="AK1916" s="194"/>
      <c r="AL1916" s="194"/>
      <c r="AM1916" s="194"/>
      <c r="AN1916" s="194"/>
      <c r="AO1916" s="194"/>
      <c r="AP1916" s="208"/>
      <c r="AQ1916" s="194"/>
      <c r="AR1916" s="194"/>
      <c r="AS1916" s="194"/>
      <c r="AT1916" s="194"/>
      <c r="AU1916" s="194"/>
      <c r="AV1916" s="194"/>
      <c r="AW1916" s="194"/>
      <c r="AX1916" s="194"/>
      <c r="AY1916" s="194"/>
      <c r="AZ1916" s="194"/>
    </row>
    <row r="1917" spans="37:52" x14ac:dyDescent="0.2">
      <c r="AK1917" s="194"/>
      <c r="AL1917" s="194"/>
      <c r="AM1917" s="194"/>
      <c r="AN1917" s="194"/>
      <c r="AO1917" s="194"/>
      <c r="AP1917" s="208"/>
      <c r="AQ1917" s="194"/>
      <c r="AR1917" s="194"/>
      <c r="AS1917" s="194"/>
      <c r="AT1917" s="194"/>
      <c r="AU1917" s="194"/>
      <c r="AV1917" s="194"/>
      <c r="AW1917" s="194"/>
      <c r="AX1917" s="194"/>
      <c r="AY1917" s="194"/>
      <c r="AZ1917" s="194"/>
    </row>
    <row r="1918" spans="37:52" x14ac:dyDescent="0.2">
      <c r="AK1918" s="194"/>
      <c r="AL1918" s="194"/>
      <c r="AM1918" s="194"/>
      <c r="AN1918" s="194"/>
      <c r="AO1918" s="194"/>
      <c r="AP1918" s="208"/>
      <c r="AQ1918" s="194"/>
      <c r="AR1918" s="194"/>
      <c r="AS1918" s="194"/>
      <c r="AT1918" s="194"/>
      <c r="AU1918" s="194"/>
      <c r="AV1918" s="194"/>
      <c r="AW1918" s="194"/>
      <c r="AX1918" s="194"/>
      <c r="AY1918" s="194"/>
      <c r="AZ1918" s="194"/>
    </row>
    <row r="1919" spans="37:52" x14ac:dyDescent="0.2">
      <c r="AK1919" s="194"/>
      <c r="AL1919" s="194"/>
      <c r="AM1919" s="194"/>
      <c r="AN1919" s="194"/>
      <c r="AO1919" s="194"/>
      <c r="AP1919" s="208"/>
      <c r="AQ1919" s="194"/>
      <c r="AR1919" s="194"/>
      <c r="AS1919" s="194"/>
      <c r="AT1919" s="194"/>
      <c r="AU1919" s="194"/>
      <c r="AV1919" s="194"/>
      <c r="AW1919" s="194"/>
      <c r="AX1919" s="194"/>
      <c r="AY1919" s="194"/>
      <c r="AZ1919" s="194"/>
    </row>
    <row r="1920" spans="37:52" x14ac:dyDescent="0.2">
      <c r="AK1920" s="194"/>
      <c r="AL1920" s="194"/>
      <c r="AM1920" s="194"/>
      <c r="AN1920" s="194"/>
      <c r="AO1920" s="194"/>
      <c r="AP1920" s="208"/>
      <c r="AQ1920" s="194"/>
      <c r="AR1920" s="194"/>
      <c r="AS1920" s="194"/>
      <c r="AT1920" s="194"/>
      <c r="AU1920" s="194"/>
      <c r="AV1920" s="194"/>
      <c r="AW1920" s="194"/>
      <c r="AX1920" s="194"/>
      <c r="AY1920" s="194"/>
      <c r="AZ1920" s="194"/>
    </row>
    <row r="1921" spans="37:52" x14ac:dyDescent="0.2">
      <c r="AK1921" s="194"/>
      <c r="AL1921" s="194"/>
      <c r="AM1921" s="194"/>
      <c r="AN1921" s="194"/>
      <c r="AO1921" s="194"/>
      <c r="AP1921" s="208"/>
      <c r="AQ1921" s="194"/>
      <c r="AR1921" s="194"/>
      <c r="AS1921" s="194"/>
      <c r="AT1921" s="194"/>
      <c r="AU1921" s="194"/>
      <c r="AV1921" s="194"/>
      <c r="AW1921" s="194"/>
      <c r="AX1921" s="194"/>
      <c r="AY1921" s="194"/>
      <c r="AZ1921" s="194"/>
    </row>
    <row r="1922" spans="37:52" x14ac:dyDescent="0.2">
      <c r="AK1922" s="194"/>
      <c r="AL1922" s="194"/>
      <c r="AM1922" s="194"/>
      <c r="AN1922" s="194"/>
      <c r="AO1922" s="194"/>
      <c r="AP1922" s="208"/>
      <c r="AQ1922" s="194"/>
      <c r="AR1922" s="194"/>
      <c r="AS1922" s="194"/>
      <c r="AT1922" s="194"/>
      <c r="AU1922" s="194"/>
      <c r="AV1922" s="194"/>
      <c r="AW1922" s="194"/>
      <c r="AX1922" s="194"/>
      <c r="AY1922" s="194"/>
      <c r="AZ1922" s="194"/>
    </row>
    <row r="1923" spans="37:52" x14ac:dyDescent="0.2">
      <c r="AK1923" s="194"/>
      <c r="AL1923" s="194"/>
      <c r="AM1923" s="194"/>
      <c r="AN1923" s="194"/>
      <c r="AO1923" s="194"/>
      <c r="AP1923" s="208"/>
      <c r="AQ1923" s="194"/>
      <c r="AR1923" s="194"/>
      <c r="AS1923" s="194"/>
      <c r="AT1923" s="194"/>
      <c r="AU1923" s="194"/>
      <c r="AV1923" s="194"/>
      <c r="AW1923" s="194"/>
      <c r="AX1923" s="194"/>
      <c r="AY1923" s="194"/>
      <c r="AZ1923" s="194"/>
    </row>
    <row r="1924" spans="37:52" x14ac:dyDescent="0.2">
      <c r="AK1924" s="194"/>
      <c r="AL1924" s="194"/>
      <c r="AM1924" s="194"/>
      <c r="AN1924" s="194"/>
      <c r="AO1924" s="194"/>
      <c r="AP1924" s="208"/>
      <c r="AQ1924" s="194"/>
      <c r="AR1924" s="194"/>
      <c r="AS1924" s="194"/>
      <c r="AT1924" s="194"/>
      <c r="AU1924" s="194"/>
      <c r="AV1924" s="194"/>
      <c r="AW1924" s="194"/>
      <c r="AX1924" s="194"/>
      <c r="AY1924" s="194"/>
      <c r="AZ1924" s="194"/>
    </row>
    <row r="1925" spans="37:52" x14ac:dyDescent="0.2">
      <c r="AK1925" s="194"/>
      <c r="AL1925" s="194"/>
      <c r="AM1925" s="194"/>
      <c r="AN1925" s="194"/>
      <c r="AO1925" s="194"/>
      <c r="AP1925" s="208"/>
      <c r="AQ1925" s="194"/>
      <c r="AR1925" s="194"/>
      <c r="AS1925" s="194"/>
      <c r="AT1925" s="194"/>
      <c r="AU1925" s="194"/>
      <c r="AV1925" s="194"/>
      <c r="AW1925" s="194"/>
      <c r="AX1925" s="194"/>
      <c r="AY1925" s="194"/>
      <c r="AZ1925" s="194"/>
    </row>
    <row r="1926" spans="37:52" x14ac:dyDescent="0.2">
      <c r="AK1926" s="194"/>
      <c r="AL1926" s="194"/>
      <c r="AM1926" s="194"/>
      <c r="AN1926" s="194"/>
      <c r="AO1926" s="194"/>
      <c r="AP1926" s="208"/>
      <c r="AQ1926" s="194"/>
      <c r="AR1926" s="194"/>
      <c r="AS1926" s="194"/>
      <c r="AT1926" s="194"/>
      <c r="AU1926" s="194"/>
      <c r="AV1926" s="194"/>
      <c r="AW1926" s="194"/>
      <c r="AX1926" s="194"/>
      <c r="AY1926" s="194"/>
      <c r="AZ1926" s="194"/>
    </row>
    <row r="1927" spans="37:52" x14ac:dyDescent="0.2">
      <c r="AK1927" s="194"/>
      <c r="AL1927" s="194"/>
      <c r="AM1927" s="194"/>
      <c r="AN1927" s="194"/>
      <c r="AO1927" s="194"/>
      <c r="AP1927" s="208"/>
      <c r="AQ1927" s="194"/>
      <c r="AR1927" s="194"/>
      <c r="AS1927" s="194"/>
      <c r="AT1927" s="194"/>
      <c r="AU1927" s="194"/>
      <c r="AV1927" s="194"/>
      <c r="AW1927" s="194"/>
      <c r="AX1927" s="194"/>
      <c r="AY1927" s="194"/>
      <c r="AZ1927" s="194"/>
    </row>
    <row r="1928" spans="37:52" x14ac:dyDescent="0.2">
      <c r="AK1928" s="194"/>
      <c r="AL1928" s="194"/>
      <c r="AM1928" s="194"/>
      <c r="AN1928" s="194"/>
      <c r="AO1928" s="194"/>
      <c r="AP1928" s="208"/>
      <c r="AQ1928" s="194"/>
      <c r="AR1928" s="194"/>
      <c r="AS1928" s="194"/>
      <c r="AT1928" s="194"/>
      <c r="AU1928" s="194"/>
      <c r="AV1928" s="194"/>
      <c r="AW1928" s="194"/>
      <c r="AX1928" s="194"/>
      <c r="AY1928" s="194"/>
      <c r="AZ1928" s="194"/>
    </row>
    <row r="1929" spans="37:52" x14ac:dyDescent="0.2">
      <c r="AK1929" s="194"/>
      <c r="AL1929" s="194"/>
      <c r="AM1929" s="194"/>
      <c r="AN1929" s="194"/>
      <c r="AO1929" s="194"/>
      <c r="AP1929" s="208"/>
      <c r="AQ1929" s="194"/>
      <c r="AR1929" s="194"/>
      <c r="AS1929" s="194"/>
      <c r="AT1929" s="194"/>
      <c r="AU1929" s="194"/>
      <c r="AV1929" s="194"/>
      <c r="AW1929" s="194"/>
      <c r="AX1929" s="194"/>
      <c r="AY1929" s="194"/>
      <c r="AZ1929" s="194"/>
    </row>
    <row r="1930" spans="37:52" x14ac:dyDescent="0.2">
      <c r="AK1930" s="194"/>
      <c r="AL1930" s="194"/>
      <c r="AM1930" s="194"/>
      <c r="AN1930" s="194"/>
      <c r="AO1930" s="194"/>
      <c r="AP1930" s="208"/>
      <c r="AQ1930" s="194"/>
      <c r="AR1930" s="194"/>
      <c r="AS1930" s="194"/>
      <c r="AT1930" s="194"/>
      <c r="AU1930" s="194"/>
      <c r="AV1930" s="194"/>
      <c r="AW1930" s="194"/>
      <c r="AX1930" s="194"/>
      <c r="AY1930" s="194"/>
      <c r="AZ1930" s="194"/>
    </row>
    <row r="1931" spans="37:52" x14ac:dyDescent="0.2">
      <c r="AK1931" s="194"/>
      <c r="AL1931" s="194"/>
      <c r="AM1931" s="194"/>
      <c r="AN1931" s="194"/>
      <c r="AO1931" s="194"/>
      <c r="AP1931" s="208"/>
      <c r="AQ1931" s="194"/>
      <c r="AR1931" s="194"/>
      <c r="AS1931" s="194"/>
      <c r="AT1931" s="194"/>
      <c r="AU1931" s="194"/>
      <c r="AV1931" s="194"/>
      <c r="AW1931" s="194"/>
      <c r="AX1931" s="194"/>
      <c r="AY1931" s="194"/>
      <c r="AZ1931" s="194"/>
    </row>
    <row r="1932" spans="37:52" x14ac:dyDescent="0.2">
      <c r="AK1932" s="194"/>
      <c r="AL1932" s="194"/>
      <c r="AM1932" s="194"/>
      <c r="AN1932" s="194"/>
      <c r="AO1932" s="194"/>
      <c r="AP1932" s="208"/>
      <c r="AQ1932" s="194"/>
      <c r="AR1932" s="194"/>
      <c r="AS1932" s="194"/>
      <c r="AT1932" s="194"/>
      <c r="AU1932" s="194"/>
      <c r="AV1932" s="194"/>
      <c r="AW1932" s="194"/>
      <c r="AX1932" s="194"/>
      <c r="AY1932" s="194"/>
      <c r="AZ1932" s="194"/>
    </row>
    <row r="1933" spans="37:52" x14ac:dyDescent="0.2">
      <c r="AK1933" s="194"/>
      <c r="AL1933" s="194"/>
      <c r="AM1933" s="194"/>
      <c r="AN1933" s="194"/>
      <c r="AO1933" s="194"/>
      <c r="AP1933" s="208"/>
      <c r="AQ1933" s="194"/>
      <c r="AR1933" s="194"/>
      <c r="AS1933" s="194"/>
      <c r="AT1933" s="194"/>
      <c r="AU1933" s="194"/>
      <c r="AV1933" s="194"/>
      <c r="AW1933" s="194"/>
      <c r="AX1933" s="194"/>
      <c r="AY1933" s="194"/>
      <c r="AZ1933" s="194"/>
    </row>
    <row r="1934" spans="37:52" x14ac:dyDescent="0.2">
      <c r="AK1934" s="194"/>
      <c r="AL1934" s="194"/>
      <c r="AM1934" s="194"/>
      <c r="AN1934" s="194"/>
      <c r="AO1934" s="194"/>
      <c r="AP1934" s="208"/>
      <c r="AQ1934" s="194"/>
      <c r="AR1934" s="194"/>
      <c r="AS1934" s="194"/>
      <c r="AT1934" s="194"/>
      <c r="AU1934" s="194"/>
      <c r="AV1934" s="194"/>
      <c r="AW1934" s="194"/>
      <c r="AX1934" s="194"/>
      <c r="AY1934" s="194"/>
      <c r="AZ1934" s="194"/>
    </row>
    <row r="1935" spans="37:52" x14ac:dyDescent="0.2">
      <c r="AK1935" s="194"/>
      <c r="AL1935" s="194"/>
      <c r="AM1935" s="194"/>
      <c r="AN1935" s="194"/>
      <c r="AO1935" s="194"/>
      <c r="AP1935" s="208"/>
      <c r="AQ1935" s="194"/>
      <c r="AR1935" s="194"/>
      <c r="AS1935" s="194"/>
      <c r="AT1935" s="194"/>
      <c r="AU1935" s="194"/>
      <c r="AV1935" s="194"/>
      <c r="AW1935" s="194"/>
      <c r="AX1935" s="194"/>
      <c r="AY1935" s="194"/>
      <c r="AZ1935" s="194"/>
    </row>
    <row r="1936" spans="37:52" x14ac:dyDescent="0.2">
      <c r="AK1936" s="194"/>
      <c r="AL1936" s="194"/>
      <c r="AM1936" s="194"/>
      <c r="AN1936" s="194"/>
      <c r="AO1936" s="194"/>
      <c r="AP1936" s="208"/>
      <c r="AQ1936" s="194"/>
      <c r="AR1936" s="194"/>
      <c r="AS1936" s="194"/>
      <c r="AT1936" s="194"/>
      <c r="AU1936" s="194"/>
      <c r="AV1936" s="194"/>
      <c r="AW1936" s="194"/>
      <c r="AX1936" s="194"/>
      <c r="AY1936" s="194"/>
      <c r="AZ1936" s="194"/>
    </row>
    <row r="1937" spans="37:52" x14ac:dyDescent="0.2">
      <c r="AK1937" s="194"/>
      <c r="AL1937" s="194"/>
      <c r="AM1937" s="194"/>
      <c r="AN1937" s="194"/>
      <c r="AO1937" s="194"/>
      <c r="AP1937" s="208"/>
      <c r="AQ1937" s="194"/>
      <c r="AR1937" s="194"/>
      <c r="AS1937" s="194"/>
      <c r="AT1937" s="194"/>
      <c r="AU1937" s="194"/>
      <c r="AV1937" s="194"/>
      <c r="AW1937" s="194"/>
      <c r="AX1937" s="194"/>
      <c r="AY1937" s="194"/>
      <c r="AZ1937" s="194"/>
    </row>
    <row r="1938" spans="37:52" x14ac:dyDescent="0.2">
      <c r="AK1938" s="194"/>
      <c r="AL1938" s="194"/>
      <c r="AM1938" s="194"/>
      <c r="AN1938" s="194"/>
      <c r="AO1938" s="194"/>
      <c r="AP1938" s="208"/>
      <c r="AQ1938" s="194"/>
      <c r="AR1938" s="194"/>
      <c r="AS1938" s="194"/>
      <c r="AT1938" s="194"/>
      <c r="AU1938" s="194"/>
      <c r="AV1938" s="194"/>
      <c r="AW1938" s="194"/>
      <c r="AX1938" s="194"/>
      <c r="AY1938" s="194"/>
      <c r="AZ1938" s="194"/>
    </row>
    <row r="1939" spans="37:52" x14ac:dyDescent="0.2">
      <c r="AK1939" s="194"/>
      <c r="AL1939" s="194"/>
      <c r="AM1939" s="194"/>
      <c r="AN1939" s="194"/>
      <c r="AO1939" s="194"/>
      <c r="AP1939" s="208"/>
      <c r="AQ1939" s="194"/>
      <c r="AR1939" s="194"/>
      <c r="AS1939" s="194"/>
      <c r="AT1939" s="194"/>
      <c r="AU1939" s="194"/>
      <c r="AV1939" s="194"/>
      <c r="AW1939" s="194"/>
      <c r="AX1939" s="194"/>
      <c r="AY1939" s="194"/>
      <c r="AZ1939" s="194"/>
    </row>
    <row r="1940" spans="37:52" x14ac:dyDescent="0.2">
      <c r="AK1940" s="194"/>
      <c r="AL1940" s="194"/>
      <c r="AM1940" s="194"/>
      <c r="AN1940" s="194"/>
      <c r="AO1940" s="194"/>
      <c r="AP1940" s="208"/>
      <c r="AQ1940" s="194"/>
      <c r="AR1940" s="194"/>
      <c r="AS1940" s="194"/>
      <c r="AT1940" s="194"/>
      <c r="AU1940" s="194"/>
      <c r="AV1940" s="194"/>
      <c r="AW1940" s="194"/>
      <c r="AX1940" s="194"/>
      <c r="AY1940" s="194"/>
      <c r="AZ1940" s="194"/>
    </row>
    <row r="1941" spans="37:52" x14ac:dyDescent="0.2">
      <c r="AK1941" s="194"/>
      <c r="AL1941" s="194"/>
      <c r="AM1941" s="194"/>
      <c r="AN1941" s="194"/>
      <c r="AO1941" s="194"/>
      <c r="AP1941" s="208"/>
      <c r="AQ1941" s="194"/>
      <c r="AR1941" s="194"/>
      <c r="AS1941" s="194"/>
      <c r="AT1941" s="194"/>
      <c r="AU1941" s="194"/>
      <c r="AV1941" s="194"/>
      <c r="AW1941" s="194"/>
      <c r="AX1941" s="194"/>
      <c r="AY1941" s="194"/>
      <c r="AZ1941" s="194"/>
    </row>
    <row r="1942" spans="37:52" x14ac:dyDescent="0.2">
      <c r="AK1942" s="194"/>
      <c r="AL1942" s="194"/>
      <c r="AM1942" s="194"/>
      <c r="AN1942" s="194"/>
      <c r="AO1942" s="194"/>
      <c r="AP1942" s="208"/>
      <c r="AQ1942" s="194"/>
      <c r="AR1942" s="194"/>
      <c r="AS1942" s="194"/>
      <c r="AT1942" s="194"/>
      <c r="AU1942" s="194"/>
      <c r="AV1942" s="194"/>
      <c r="AW1942" s="194"/>
      <c r="AX1942" s="194"/>
      <c r="AY1942" s="194"/>
      <c r="AZ1942" s="194"/>
    </row>
    <row r="1943" spans="37:52" x14ac:dyDescent="0.2">
      <c r="AK1943" s="194"/>
      <c r="AL1943" s="194"/>
      <c r="AM1943" s="194"/>
      <c r="AN1943" s="194"/>
      <c r="AO1943" s="194"/>
      <c r="AP1943" s="208"/>
      <c r="AQ1943" s="194"/>
      <c r="AR1943" s="194"/>
      <c r="AS1943" s="194"/>
      <c r="AT1943" s="194"/>
      <c r="AU1943" s="194"/>
      <c r="AV1943" s="194"/>
      <c r="AW1943" s="194"/>
      <c r="AX1943" s="194"/>
      <c r="AY1943" s="194"/>
      <c r="AZ1943" s="194"/>
    </row>
    <row r="1944" spans="37:52" x14ac:dyDescent="0.2">
      <c r="AK1944" s="194"/>
      <c r="AL1944" s="194"/>
      <c r="AM1944" s="194"/>
      <c r="AN1944" s="194"/>
      <c r="AO1944" s="194"/>
      <c r="AP1944" s="208"/>
      <c r="AQ1944" s="194"/>
      <c r="AR1944" s="194"/>
      <c r="AS1944" s="194"/>
      <c r="AT1944" s="194"/>
      <c r="AU1944" s="194"/>
      <c r="AV1944" s="194"/>
      <c r="AW1944" s="194"/>
      <c r="AX1944" s="194"/>
      <c r="AY1944" s="194"/>
      <c r="AZ1944" s="194"/>
    </row>
    <row r="1945" spans="37:52" x14ac:dyDescent="0.2">
      <c r="AK1945" s="194"/>
      <c r="AL1945" s="194"/>
      <c r="AM1945" s="194"/>
      <c r="AN1945" s="194"/>
      <c r="AO1945" s="194"/>
      <c r="AP1945" s="208"/>
      <c r="AQ1945" s="194"/>
      <c r="AR1945" s="194"/>
      <c r="AS1945" s="194"/>
      <c r="AT1945" s="194"/>
      <c r="AU1945" s="194"/>
      <c r="AV1945" s="194"/>
      <c r="AW1945" s="194"/>
      <c r="AX1945" s="194"/>
      <c r="AY1945" s="194"/>
      <c r="AZ1945" s="194"/>
    </row>
    <row r="1946" spans="37:52" x14ac:dyDescent="0.2">
      <c r="AK1946" s="194"/>
      <c r="AL1946" s="194"/>
      <c r="AM1946" s="194"/>
      <c r="AN1946" s="194"/>
      <c r="AO1946" s="194"/>
      <c r="AP1946" s="208"/>
      <c r="AQ1946" s="194"/>
      <c r="AR1946" s="194"/>
      <c r="AS1946" s="194"/>
      <c r="AT1946" s="194"/>
      <c r="AU1946" s="194"/>
      <c r="AV1946" s="194"/>
      <c r="AW1946" s="194"/>
      <c r="AX1946" s="194"/>
      <c r="AY1946" s="194"/>
      <c r="AZ1946" s="194"/>
    </row>
    <row r="1947" spans="37:52" x14ac:dyDescent="0.2">
      <c r="AK1947" s="194"/>
      <c r="AL1947" s="194"/>
      <c r="AM1947" s="194"/>
      <c r="AN1947" s="194"/>
      <c r="AO1947" s="194"/>
      <c r="AP1947" s="208"/>
      <c r="AQ1947" s="194"/>
      <c r="AR1947" s="194"/>
      <c r="AS1947" s="194"/>
      <c r="AT1947" s="194"/>
      <c r="AU1947" s="194"/>
      <c r="AV1947" s="194"/>
      <c r="AW1947" s="194"/>
      <c r="AX1947" s="194"/>
      <c r="AY1947" s="194"/>
      <c r="AZ1947" s="194"/>
    </row>
    <row r="1948" spans="37:52" x14ac:dyDescent="0.2">
      <c r="AK1948" s="194"/>
      <c r="AL1948" s="194"/>
      <c r="AM1948" s="194"/>
      <c r="AN1948" s="194"/>
      <c r="AO1948" s="194"/>
      <c r="AP1948" s="208"/>
      <c r="AQ1948" s="194"/>
      <c r="AR1948" s="194"/>
      <c r="AS1948" s="194"/>
      <c r="AT1948" s="194"/>
      <c r="AU1948" s="194"/>
      <c r="AV1948" s="194"/>
      <c r="AW1948" s="194"/>
      <c r="AX1948" s="194"/>
      <c r="AY1948" s="194"/>
      <c r="AZ1948" s="194"/>
    </row>
    <row r="1949" spans="37:52" x14ac:dyDescent="0.2">
      <c r="AK1949" s="194"/>
      <c r="AL1949" s="194"/>
      <c r="AM1949" s="194"/>
      <c r="AN1949" s="194"/>
      <c r="AO1949" s="194"/>
      <c r="AP1949" s="208"/>
      <c r="AQ1949" s="194"/>
      <c r="AR1949" s="194"/>
      <c r="AS1949" s="194"/>
      <c r="AT1949" s="194"/>
      <c r="AU1949" s="194"/>
      <c r="AV1949" s="194"/>
      <c r="AW1949" s="194"/>
      <c r="AX1949" s="194"/>
      <c r="AY1949" s="194"/>
      <c r="AZ1949" s="194"/>
    </row>
    <row r="1950" spans="37:52" x14ac:dyDescent="0.2">
      <c r="AK1950" s="194"/>
      <c r="AL1950" s="194"/>
      <c r="AM1950" s="194"/>
      <c r="AN1950" s="194"/>
      <c r="AO1950" s="194"/>
      <c r="AP1950" s="208"/>
      <c r="AQ1950" s="194"/>
      <c r="AR1950" s="194"/>
      <c r="AS1950" s="194"/>
      <c r="AT1950" s="194"/>
      <c r="AU1950" s="194"/>
      <c r="AV1950" s="194"/>
      <c r="AW1950" s="194"/>
      <c r="AX1950" s="194"/>
      <c r="AY1950" s="194"/>
      <c r="AZ1950" s="194"/>
    </row>
    <row r="1951" spans="37:52" x14ac:dyDescent="0.2">
      <c r="AK1951" s="194"/>
      <c r="AL1951" s="194"/>
      <c r="AM1951" s="194"/>
      <c r="AN1951" s="194"/>
      <c r="AO1951" s="194"/>
      <c r="AP1951" s="208"/>
      <c r="AQ1951" s="194"/>
      <c r="AR1951" s="194"/>
      <c r="AS1951" s="194"/>
      <c r="AT1951" s="194"/>
      <c r="AU1951" s="194"/>
      <c r="AV1951" s="194"/>
      <c r="AW1951" s="194"/>
      <c r="AX1951" s="194"/>
      <c r="AY1951" s="194"/>
      <c r="AZ1951" s="194"/>
    </row>
    <row r="1952" spans="37:52" x14ac:dyDescent="0.2">
      <c r="AK1952" s="194"/>
      <c r="AL1952" s="194"/>
      <c r="AM1952" s="194"/>
      <c r="AN1952" s="194"/>
      <c r="AO1952" s="194"/>
      <c r="AP1952" s="208"/>
      <c r="AQ1952" s="194"/>
      <c r="AR1952" s="194"/>
      <c r="AS1952" s="194"/>
      <c r="AT1952" s="194"/>
      <c r="AU1952" s="194"/>
      <c r="AV1952" s="194"/>
      <c r="AW1952" s="194"/>
      <c r="AX1952" s="194"/>
      <c r="AY1952" s="194"/>
      <c r="AZ1952" s="194"/>
    </row>
    <row r="1953" spans="37:52" x14ac:dyDescent="0.2">
      <c r="AK1953" s="194"/>
      <c r="AL1953" s="194"/>
      <c r="AM1953" s="194"/>
      <c r="AN1953" s="194"/>
      <c r="AO1953" s="194"/>
      <c r="AP1953" s="208"/>
      <c r="AQ1953" s="194"/>
      <c r="AR1953" s="194"/>
      <c r="AS1953" s="194"/>
      <c r="AT1953" s="194"/>
      <c r="AU1953" s="194"/>
      <c r="AV1953" s="194"/>
      <c r="AW1953" s="194"/>
      <c r="AX1953" s="194"/>
      <c r="AY1953" s="194"/>
      <c r="AZ1953" s="194"/>
    </row>
    <row r="1954" spans="37:52" x14ac:dyDescent="0.2">
      <c r="AK1954" s="194"/>
      <c r="AL1954" s="194"/>
      <c r="AM1954" s="194"/>
      <c r="AN1954" s="194"/>
      <c r="AO1954" s="194"/>
      <c r="AP1954" s="208"/>
      <c r="AQ1954" s="194"/>
      <c r="AR1954" s="194"/>
      <c r="AS1954" s="194"/>
      <c r="AT1954" s="194"/>
      <c r="AU1954" s="194"/>
      <c r="AV1954" s="194"/>
      <c r="AW1954" s="194"/>
      <c r="AX1954" s="194"/>
      <c r="AY1954" s="194"/>
      <c r="AZ1954" s="194"/>
    </row>
    <row r="1955" spans="37:52" x14ac:dyDescent="0.2">
      <c r="AK1955" s="194"/>
      <c r="AL1955" s="194"/>
      <c r="AM1955" s="194"/>
      <c r="AN1955" s="194"/>
      <c r="AO1955" s="194"/>
      <c r="AP1955" s="208"/>
      <c r="AQ1955" s="194"/>
      <c r="AR1955" s="194"/>
      <c r="AS1955" s="194"/>
      <c r="AT1955" s="194"/>
      <c r="AU1955" s="194"/>
      <c r="AV1955" s="194"/>
      <c r="AW1955" s="194"/>
      <c r="AX1955" s="194"/>
      <c r="AY1955" s="194"/>
      <c r="AZ1955" s="194"/>
    </row>
    <row r="1956" spans="37:52" x14ac:dyDescent="0.2">
      <c r="AK1956" s="194"/>
      <c r="AL1956" s="194"/>
      <c r="AM1956" s="194"/>
      <c r="AN1956" s="194"/>
      <c r="AO1956" s="194"/>
      <c r="AP1956" s="208"/>
      <c r="AQ1956" s="194"/>
      <c r="AR1956" s="194"/>
      <c r="AS1956" s="194"/>
      <c r="AT1956" s="194"/>
      <c r="AU1956" s="194"/>
      <c r="AV1956" s="194"/>
      <c r="AW1956" s="194"/>
      <c r="AX1956" s="194"/>
      <c r="AY1956" s="194"/>
      <c r="AZ1956" s="194"/>
    </row>
    <row r="1957" spans="37:52" x14ac:dyDescent="0.2">
      <c r="AK1957" s="194"/>
      <c r="AL1957" s="194"/>
      <c r="AM1957" s="194"/>
      <c r="AN1957" s="194"/>
      <c r="AO1957" s="194"/>
      <c r="AP1957" s="208"/>
      <c r="AQ1957" s="194"/>
      <c r="AR1957" s="194"/>
      <c r="AS1957" s="194"/>
      <c r="AT1957" s="194"/>
      <c r="AU1957" s="194"/>
      <c r="AV1957" s="194"/>
      <c r="AW1957" s="194"/>
      <c r="AX1957" s="194"/>
      <c r="AY1957" s="194"/>
      <c r="AZ1957" s="194"/>
    </row>
    <row r="1958" spans="37:52" x14ac:dyDescent="0.2">
      <c r="AK1958" s="194"/>
      <c r="AL1958" s="194"/>
      <c r="AM1958" s="194"/>
      <c r="AN1958" s="194"/>
      <c r="AO1958" s="194"/>
      <c r="AP1958" s="208"/>
      <c r="AQ1958" s="194"/>
      <c r="AR1958" s="194"/>
      <c r="AS1958" s="194"/>
      <c r="AT1958" s="194"/>
      <c r="AU1958" s="194"/>
      <c r="AV1958" s="194"/>
      <c r="AW1958" s="194"/>
      <c r="AX1958" s="194"/>
      <c r="AY1958" s="194"/>
      <c r="AZ1958" s="194"/>
    </row>
    <row r="1959" spans="37:52" x14ac:dyDescent="0.2">
      <c r="AK1959" s="194"/>
      <c r="AL1959" s="194"/>
      <c r="AM1959" s="194"/>
      <c r="AN1959" s="194"/>
      <c r="AO1959" s="194"/>
      <c r="AP1959" s="208"/>
      <c r="AQ1959" s="194"/>
      <c r="AR1959" s="194"/>
      <c r="AS1959" s="194"/>
      <c r="AT1959" s="194"/>
      <c r="AU1959" s="194"/>
      <c r="AV1959" s="194"/>
      <c r="AW1959" s="194"/>
      <c r="AX1959" s="194"/>
      <c r="AY1959" s="194"/>
      <c r="AZ1959" s="194"/>
    </row>
    <row r="1960" spans="37:52" x14ac:dyDescent="0.2">
      <c r="AK1960" s="194"/>
      <c r="AL1960" s="194"/>
      <c r="AM1960" s="194"/>
      <c r="AN1960" s="194"/>
      <c r="AO1960" s="194"/>
      <c r="AP1960" s="208"/>
      <c r="AQ1960" s="194"/>
      <c r="AR1960" s="194"/>
      <c r="AS1960" s="194"/>
      <c r="AT1960" s="194"/>
      <c r="AU1960" s="194"/>
      <c r="AV1960" s="194"/>
      <c r="AW1960" s="194"/>
      <c r="AX1960" s="194"/>
      <c r="AY1960" s="194"/>
      <c r="AZ1960" s="194"/>
    </row>
    <row r="1961" spans="37:52" x14ac:dyDescent="0.2">
      <c r="AK1961" s="194"/>
      <c r="AL1961" s="194"/>
      <c r="AM1961" s="194"/>
      <c r="AN1961" s="194"/>
      <c r="AO1961" s="194"/>
      <c r="AP1961" s="208"/>
      <c r="AQ1961" s="194"/>
      <c r="AR1961" s="194"/>
      <c r="AS1961" s="194"/>
      <c r="AT1961" s="194"/>
      <c r="AU1961" s="194"/>
      <c r="AV1961" s="194"/>
      <c r="AW1961" s="194"/>
      <c r="AX1961" s="194"/>
      <c r="AY1961" s="194"/>
      <c r="AZ1961" s="194"/>
    </row>
    <row r="1962" spans="37:52" x14ac:dyDescent="0.2">
      <c r="AK1962" s="194"/>
      <c r="AL1962" s="194"/>
      <c r="AM1962" s="194"/>
      <c r="AN1962" s="194"/>
      <c r="AO1962" s="194"/>
      <c r="AP1962" s="208"/>
      <c r="AQ1962" s="194"/>
      <c r="AR1962" s="194"/>
      <c r="AS1962" s="194"/>
      <c r="AT1962" s="194"/>
      <c r="AU1962" s="194"/>
      <c r="AV1962" s="194"/>
      <c r="AW1962" s="194"/>
      <c r="AX1962" s="194"/>
      <c r="AY1962" s="194"/>
      <c r="AZ1962" s="194"/>
    </row>
    <row r="1963" spans="37:52" x14ac:dyDescent="0.2">
      <c r="AK1963" s="194"/>
      <c r="AL1963" s="194"/>
      <c r="AM1963" s="194"/>
      <c r="AN1963" s="194"/>
      <c r="AO1963" s="194"/>
      <c r="AP1963" s="208"/>
      <c r="AQ1963" s="194"/>
      <c r="AR1963" s="194"/>
      <c r="AS1963" s="194"/>
      <c r="AT1963" s="194"/>
      <c r="AU1963" s="194"/>
      <c r="AV1963" s="194"/>
      <c r="AW1963" s="194"/>
      <c r="AX1963" s="194"/>
      <c r="AY1963" s="194"/>
      <c r="AZ1963" s="194"/>
    </row>
    <row r="1964" spans="37:52" x14ac:dyDescent="0.2">
      <c r="AK1964" s="194"/>
      <c r="AL1964" s="194"/>
      <c r="AM1964" s="194"/>
      <c r="AN1964" s="194"/>
      <c r="AO1964" s="194"/>
      <c r="AP1964" s="208"/>
      <c r="AQ1964" s="194"/>
      <c r="AR1964" s="194"/>
      <c r="AS1964" s="194"/>
      <c r="AT1964" s="194"/>
      <c r="AU1964" s="194"/>
      <c r="AV1964" s="194"/>
      <c r="AW1964" s="194"/>
      <c r="AX1964" s="194"/>
      <c r="AY1964" s="194"/>
      <c r="AZ1964" s="194"/>
    </row>
    <row r="1965" spans="37:52" x14ac:dyDescent="0.2">
      <c r="AK1965" s="194"/>
      <c r="AL1965" s="194"/>
      <c r="AM1965" s="194"/>
      <c r="AN1965" s="194"/>
      <c r="AO1965" s="194"/>
      <c r="AP1965" s="208"/>
      <c r="AQ1965" s="194"/>
      <c r="AR1965" s="194"/>
      <c r="AS1965" s="194"/>
      <c r="AT1965" s="194"/>
      <c r="AU1965" s="194"/>
      <c r="AV1965" s="194"/>
      <c r="AW1965" s="194"/>
      <c r="AX1965" s="194"/>
      <c r="AY1965" s="194"/>
      <c r="AZ1965" s="194"/>
    </row>
    <row r="1966" spans="37:52" x14ac:dyDescent="0.2">
      <c r="AK1966" s="194"/>
      <c r="AL1966" s="194"/>
      <c r="AM1966" s="194"/>
      <c r="AN1966" s="194"/>
      <c r="AO1966" s="194"/>
      <c r="AP1966" s="208"/>
      <c r="AQ1966" s="194"/>
      <c r="AR1966" s="194"/>
      <c r="AS1966" s="194"/>
      <c r="AT1966" s="194"/>
      <c r="AU1966" s="194"/>
      <c r="AV1966" s="194"/>
      <c r="AW1966" s="194"/>
      <c r="AX1966" s="194"/>
      <c r="AY1966" s="194"/>
      <c r="AZ1966" s="194"/>
    </row>
    <row r="1967" spans="37:52" x14ac:dyDescent="0.2">
      <c r="AK1967" s="194"/>
      <c r="AL1967" s="194"/>
      <c r="AM1967" s="194"/>
      <c r="AN1967" s="194"/>
      <c r="AO1967" s="194"/>
      <c r="AP1967" s="208"/>
      <c r="AQ1967" s="194"/>
      <c r="AR1967" s="194"/>
      <c r="AS1967" s="194"/>
      <c r="AT1967" s="194"/>
      <c r="AU1967" s="194"/>
      <c r="AV1967" s="194"/>
      <c r="AW1967" s="194"/>
      <c r="AX1967" s="194"/>
      <c r="AY1967" s="194"/>
      <c r="AZ1967" s="194"/>
    </row>
    <row r="1968" spans="37:52" x14ac:dyDescent="0.2">
      <c r="AK1968" s="194"/>
      <c r="AL1968" s="194"/>
      <c r="AM1968" s="194"/>
      <c r="AN1968" s="194"/>
      <c r="AO1968" s="194"/>
      <c r="AP1968" s="208"/>
      <c r="AQ1968" s="194"/>
      <c r="AR1968" s="194"/>
      <c r="AS1968" s="194"/>
      <c r="AT1968" s="194"/>
      <c r="AU1968" s="194"/>
      <c r="AV1968" s="194"/>
      <c r="AW1968" s="194"/>
      <c r="AX1968" s="194"/>
      <c r="AY1968" s="194"/>
      <c r="AZ1968" s="194"/>
    </row>
    <row r="1969" spans="37:52" x14ac:dyDescent="0.2">
      <c r="AK1969" s="194"/>
      <c r="AL1969" s="194"/>
      <c r="AM1969" s="194"/>
      <c r="AN1969" s="194"/>
      <c r="AO1969" s="194"/>
      <c r="AP1969" s="208"/>
      <c r="AQ1969" s="194"/>
      <c r="AR1969" s="194"/>
      <c r="AS1969" s="194"/>
      <c r="AT1969" s="194"/>
      <c r="AU1969" s="194"/>
      <c r="AV1969" s="194"/>
      <c r="AW1969" s="194"/>
      <c r="AX1969" s="194"/>
      <c r="AY1969" s="194"/>
      <c r="AZ1969" s="194"/>
    </row>
    <row r="1970" spans="37:52" x14ac:dyDescent="0.2">
      <c r="AK1970" s="194"/>
      <c r="AL1970" s="194"/>
      <c r="AM1970" s="194"/>
      <c r="AN1970" s="194"/>
      <c r="AO1970" s="194"/>
      <c r="AP1970" s="208"/>
      <c r="AQ1970" s="194"/>
      <c r="AR1970" s="194"/>
      <c r="AS1970" s="194"/>
      <c r="AT1970" s="194"/>
      <c r="AU1970" s="194"/>
      <c r="AV1970" s="194"/>
      <c r="AW1970" s="194"/>
      <c r="AX1970" s="194"/>
      <c r="AY1970" s="194"/>
      <c r="AZ1970" s="194"/>
    </row>
    <row r="1971" spans="37:52" x14ac:dyDescent="0.2">
      <c r="AK1971" s="194"/>
      <c r="AL1971" s="194"/>
      <c r="AM1971" s="194"/>
      <c r="AN1971" s="194"/>
      <c r="AO1971" s="194"/>
      <c r="AP1971" s="208"/>
      <c r="AQ1971" s="194"/>
      <c r="AR1971" s="194"/>
      <c r="AS1971" s="194"/>
      <c r="AT1971" s="194"/>
      <c r="AU1971" s="194"/>
      <c r="AV1971" s="194"/>
      <c r="AW1971" s="194"/>
      <c r="AX1971" s="194"/>
      <c r="AY1971" s="194"/>
      <c r="AZ1971" s="194"/>
    </row>
    <row r="1972" spans="37:52" x14ac:dyDescent="0.2">
      <c r="AK1972" s="194"/>
      <c r="AL1972" s="194"/>
      <c r="AM1972" s="194"/>
      <c r="AN1972" s="194"/>
      <c r="AO1972" s="194"/>
      <c r="AP1972" s="208"/>
      <c r="AQ1972" s="194"/>
      <c r="AR1972" s="194"/>
      <c r="AS1972" s="194"/>
      <c r="AT1972" s="194"/>
      <c r="AU1972" s="194"/>
      <c r="AV1972" s="194"/>
      <c r="AW1972" s="194"/>
      <c r="AX1972" s="194"/>
      <c r="AY1972" s="194"/>
      <c r="AZ1972" s="194"/>
    </row>
    <row r="1973" spans="37:52" x14ac:dyDescent="0.2">
      <c r="AK1973" s="194"/>
      <c r="AL1973" s="194"/>
      <c r="AM1973" s="194"/>
      <c r="AN1973" s="194"/>
      <c r="AO1973" s="194"/>
      <c r="AP1973" s="208"/>
      <c r="AQ1973" s="194"/>
      <c r="AR1973" s="194"/>
      <c r="AS1973" s="194"/>
      <c r="AT1973" s="194"/>
      <c r="AU1973" s="194"/>
      <c r="AV1973" s="194"/>
      <c r="AW1973" s="194"/>
      <c r="AX1973" s="194"/>
      <c r="AY1973" s="194"/>
      <c r="AZ1973" s="194"/>
    </row>
    <row r="1974" spans="37:52" x14ac:dyDescent="0.2">
      <c r="AK1974" s="194"/>
      <c r="AL1974" s="194"/>
      <c r="AM1974" s="194"/>
      <c r="AN1974" s="194"/>
      <c r="AO1974" s="194"/>
      <c r="AP1974" s="208"/>
      <c r="AQ1974" s="194"/>
      <c r="AR1974" s="194"/>
      <c r="AS1974" s="194"/>
      <c r="AT1974" s="194"/>
      <c r="AU1974" s="194"/>
      <c r="AV1974" s="194"/>
      <c r="AW1974" s="194"/>
      <c r="AX1974" s="194"/>
      <c r="AY1974" s="194"/>
      <c r="AZ1974" s="194"/>
    </row>
    <row r="1975" spans="37:52" x14ac:dyDescent="0.2">
      <c r="AK1975" s="194"/>
      <c r="AL1975" s="194"/>
      <c r="AM1975" s="194"/>
      <c r="AN1975" s="194"/>
      <c r="AO1975" s="194"/>
      <c r="AP1975" s="208"/>
      <c r="AQ1975" s="194"/>
      <c r="AR1975" s="194"/>
      <c r="AS1975" s="194"/>
      <c r="AT1975" s="194"/>
      <c r="AU1975" s="194"/>
      <c r="AV1975" s="194"/>
      <c r="AW1975" s="194"/>
      <c r="AX1975" s="194"/>
      <c r="AY1975" s="194"/>
      <c r="AZ1975" s="194"/>
    </row>
    <row r="1976" spans="37:52" x14ac:dyDescent="0.2">
      <c r="AK1976" s="194"/>
      <c r="AL1976" s="194"/>
      <c r="AM1976" s="194"/>
      <c r="AN1976" s="194"/>
      <c r="AO1976" s="194"/>
      <c r="AP1976" s="208"/>
      <c r="AQ1976" s="194"/>
      <c r="AR1976" s="194"/>
      <c r="AS1976" s="194"/>
      <c r="AT1976" s="194"/>
      <c r="AU1976" s="194"/>
      <c r="AV1976" s="194"/>
      <c r="AW1976" s="194"/>
      <c r="AX1976" s="194"/>
      <c r="AY1976" s="194"/>
      <c r="AZ1976" s="194"/>
    </row>
    <row r="1977" spans="37:52" x14ac:dyDescent="0.2">
      <c r="AK1977" s="194"/>
      <c r="AL1977" s="194"/>
      <c r="AM1977" s="194"/>
      <c r="AN1977" s="194"/>
      <c r="AO1977" s="194"/>
      <c r="AP1977" s="208"/>
      <c r="AQ1977" s="194"/>
      <c r="AR1977" s="194"/>
      <c r="AS1977" s="194"/>
      <c r="AT1977" s="194"/>
      <c r="AU1977" s="194"/>
      <c r="AV1977" s="194"/>
      <c r="AW1977" s="194"/>
      <c r="AX1977" s="194"/>
      <c r="AY1977" s="194"/>
      <c r="AZ1977" s="194"/>
    </row>
    <row r="1978" spans="37:52" x14ac:dyDescent="0.2">
      <c r="AK1978" s="194"/>
      <c r="AL1978" s="194"/>
      <c r="AM1978" s="194"/>
      <c r="AN1978" s="194"/>
      <c r="AO1978" s="194"/>
      <c r="AP1978" s="208"/>
      <c r="AQ1978" s="194"/>
      <c r="AR1978" s="194"/>
      <c r="AS1978" s="194"/>
      <c r="AT1978" s="194"/>
      <c r="AU1978" s="194"/>
      <c r="AV1978" s="194"/>
      <c r="AW1978" s="194"/>
      <c r="AX1978" s="194"/>
      <c r="AY1978" s="194"/>
      <c r="AZ1978" s="194"/>
    </row>
    <row r="1979" spans="37:52" x14ac:dyDescent="0.2">
      <c r="AK1979" s="194"/>
      <c r="AL1979" s="194"/>
      <c r="AM1979" s="194"/>
      <c r="AN1979" s="194"/>
      <c r="AO1979" s="194"/>
      <c r="AP1979" s="208"/>
      <c r="AQ1979" s="194"/>
      <c r="AR1979" s="194"/>
      <c r="AS1979" s="194"/>
      <c r="AT1979" s="194"/>
      <c r="AU1979" s="194"/>
      <c r="AV1979" s="194"/>
      <c r="AW1979" s="194"/>
      <c r="AX1979" s="194"/>
      <c r="AY1979" s="194"/>
      <c r="AZ1979" s="194"/>
    </row>
    <row r="1980" spans="37:52" x14ac:dyDescent="0.2">
      <c r="AK1980" s="194"/>
      <c r="AL1980" s="194"/>
      <c r="AM1980" s="194"/>
      <c r="AN1980" s="194"/>
      <c r="AO1980" s="194"/>
      <c r="AP1980" s="208"/>
      <c r="AQ1980" s="194"/>
      <c r="AR1980" s="194"/>
      <c r="AS1980" s="194"/>
      <c r="AT1980" s="194"/>
      <c r="AU1980" s="194"/>
      <c r="AV1980" s="194"/>
      <c r="AW1980" s="194"/>
      <c r="AX1980" s="194"/>
      <c r="AY1980" s="194"/>
      <c r="AZ1980" s="194"/>
    </row>
    <row r="1981" spans="37:52" x14ac:dyDescent="0.2">
      <c r="AK1981" s="194"/>
      <c r="AL1981" s="194"/>
      <c r="AM1981" s="194"/>
      <c r="AN1981" s="194"/>
      <c r="AO1981" s="194"/>
      <c r="AP1981" s="208"/>
      <c r="AQ1981" s="194"/>
      <c r="AR1981" s="194"/>
      <c r="AS1981" s="194"/>
      <c r="AT1981" s="194"/>
      <c r="AU1981" s="194"/>
      <c r="AV1981" s="194"/>
      <c r="AW1981" s="194"/>
      <c r="AX1981" s="194"/>
      <c r="AY1981" s="194"/>
      <c r="AZ1981" s="194"/>
    </row>
    <row r="1982" spans="37:52" x14ac:dyDescent="0.2">
      <c r="AK1982" s="194"/>
      <c r="AL1982" s="194"/>
      <c r="AM1982" s="194"/>
      <c r="AN1982" s="194"/>
      <c r="AO1982" s="194"/>
      <c r="AP1982" s="208"/>
      <c r="AQ1982" s="194"/>
      <c r="AR1982" s="194"/>
      <c r="AS1982" s="194"/>
      <c r="AT1982" s="194"/>
      <c r="AU1982" s="194"/>
      <c r="AV1982" s="194"/>
      <c r="AW1982" s="194"/>
      <c r="AX1982" s="194"/>
      <c r="AY1982" s="194"/>
      <c r="AZ1982" s="194"/>
    </row>
    <row r="1983" spans="37:52" x14ac:dyDescent="0.2">
      <c r="AK1983" s="194"/>
      <c r="AL1983" s="194"/>
      <c r="AM1983" s="194"/>
      <c r="AN1983" s="194"/>
      <c r="AO1983" s="194"/>
      <c r="AP1983" s="208"/>
      <c r="AQ1983" s="194"/>
      <c r="AR1983" s="194"/>
      <c r="AS1983" s="194"/>
      <c r="AT1983" s="194"/>
      <c r="AU1983" s="194"/>
      <c r="AV1983" s="194"/>
      <c r="AW1983" s="194"/>
      <c r="AX1983" s="194"/>
      <c r="AY1983" s="194"/>
      <c r="AZ1983" s="194"/>
    </row>
    <row r="1984" spans="37:52" x14ac:dyDescent="0.2">
      <c r="AK1984" s="194"/>
      <c r="AL1984" s="194"/>
      <c r="AM1984" s="194"/>
      <c r="AN1984" s="194"/>
      <c r="AO1984" s="194"/>
      <c r="AP1984" s="208"/>
      <c r="AQ1984" s="194"/>
      <c r="AR1984" s="194"/>
      <c r="AS1984" s="194"/>
      <c r="AT1984" s="194"/>
      <c r="AU1984" s="194"/>
      <c r="AV1984" s="194"/>
      <c r="AW1984" s="194"/>
      <c r="AX1984" s="194"/>
      <c r="AY1984" s="194"/>
      <c r="AZ1984" s="194"/>
    </row>
    <row r="1985" spans="37:52" x14ac:dyDescent="0.2">
      <c r="AK1985" s="194"/>
      <c r="AL1985" s="194"/>
      <c r="AM1985" s="194"/>
      <c r="AN1985" s="194"/>
      <c r="AO1985" s="194"/>
      <c r="AP1985" s="208"/>
      <c r="AQ1985" s="194"/>
      <c r="AR1985" s="194"/>
      <c r="AS1985" s="194"/>
      <c r="AT1985" s="194"/>
      <c r="AU1985" s="194"/>
      <c r="AV1985" s="194"/>
      <c r="AW1985" s="194"/>
      <c r="AX1985" s="194"/>
      <c r="AY1985" s="194"/>
      <c r="AZ1985" s="194"/>
    </row>
    <row r="1986" spans="37:52" x14ac:dyDescent="0.2">
      <c r="AK1986" s="194"/>
      <c r="AL1986" s="194"/>
      <c r="AM1986" s="194"/>
      <c r="AN1986" s="194"/>
      <c r="AO1986" s="194"/>
      <c r="AP1986" s="208"/>
      <c r="AQ1986" s="194"/>
      <c r="AR1986" s="194"/>
      <c r="AS1986" s="194"/>
      <c r="AT1986" s="194"/>
      <c r="AU1986" s="194"/>
      <c r="AV1986" s="194"/>
      <c r="AW1986" s="194"/>
      <c r="AX1986" s="194"/>
      <c r="AY1986" s="194"/>
      <c r="AZ1986" s="194"/>
    </row>
    <row r="1987" spans="37:52" x14ac:dyDescent="0.2">
      <c r="AK1987" s="194"/>
      <c r="AL1987" s="194"/>
      <c r="AM1987" s="194"/>
      <c r="AN1987" s="194"/>
      <c r="AO1987" s="194"/>
      <c r="AP1987" s="208"/>
      <c r="AQ1987" s="194"/>
      <c r="AR1987" s="194"/>
      <c r="AS1987" s="194"/>
      <c r="AT1987" s="194"/>
      <c r="AU1987" s="194"/>
      <c r="AV1987" s="194"/>
      <c r="AW1987" s="194"/>
      <c r="AX1987" s="194"/>
      <c r="AY1987" s="194"/>
      <c r="AZ1987" s="194"/>
    </row>
    <row r="1988" spans="37:52" x14ac:dyDescent="0.2">
      <c r="AK1988" s="194"/>
      <c r="AL1988" s="194"/>
      <c r="AM1988" s="194"/>
      <c r="AN1988" s="194"/>
      <c r="AO1988" s="194"/>
      <c r="AP1988" s="208"/>
      <c r="AQ1988" s="194"/>
      <c r="AR1988" s="194"/>
      <c r="AS1988" s="194"/>
      <c r="AT1988" s="194"/>
      <c r="AU1988" s="194"/>
      <c r="AV1988" s="194"/>
      <c r="AW1988" s="194"/>
      <c r="AX1988" s="194"/>
      <c r="AY1988" s="194"/>
      <c r="AZ1988" s="194"/>
    </row>
    <row r="1989" spans="37:52" x14ac:dyDescent="0.2">
      <c r="AK1989" s="194"/>
      <c r="AL1989" s="194"/>
      <c r="AM1989" s="194"/>
      <c r="AN1989" s="194"/>
      <c r="AO1989" s="194"/>
      <c r="AP1989" s="208"/>
      <c r="AQ1989" s="194"/>
      <c r="AR1989" s="194"/>
      <c r="AS1989" s="194"/>
      <c r="AT1989" s="194"/>
      <c r="AU1989" s="194"/>
      <c r="AV1989" s="194"/>
      <c r="AW1989" s="194"/>
      <c r="AX1989" s="194"/>
      <c r="AY1989" s="194"/>
      <c r="AZ1989" s="194"/>
    </row>
    <row r="1990" spans="37:52" x14ac:dyDescent="0.2">
      <c r="AK1990" s="194"/>
      <c r="AL1990" s="194"/>
      <c r="AM1990" s="194"/>
      <c r="AN1990" s="194"/>
      <c r="AO1990" s="194"/>
      <c r="AP1990" s="208"/>
      <c r="AQ1990" s="194"/>
      <c r="AR1990" s="194"/>
      <c r="AS1990" s="194"/>
      <c r="AT1990" s="194"/>
      <c r="AU1990" s="194"/>
      <c r="AV1990" s="194"/>
      <c r="AW1990" s="194"/>
      <c r="AX1990" s="194"/>
      <c r="AY1990" s="194"/>
      <c r="AZ1990" s="194"/>
    </row>
    <row r="1991" spans="37:52" x14ac:dyDescent="0.2">
      <c r="AK1991" s="194"/>
      <c r="AL1991" s="194"/>
      <c r="AM1991" s="194"/>
      <c r="AN1991" s="194"/>
      <c r="AO1991" s="194"/>
      <c r="AP1991" s="208"/>
      <c r="AQ1991" s="194"/>
      <c r="AR1991" s="194"/>
      <c r="AS1991" s="194"/>
      <c r="AT1991" s="194"/>
      <c r="AU1991" s="194"/>
      <c r="AV1991" s="194"/>
      <c r="AW1991" s="194"/>
      <c r="AX1991" s="194"/>
      <c r="AY1991" s="194"/>
      <c r="AZ1991" s="194"/>
    </row>
    <row r="1992" spans="37:52" x14ac:dyDescent="0.2">
      <c r="AK1992" s="194"/>
      <c r="AL1992" s="194"/>
      <c r="AM1992" s="194"/>
      <c r="AN1992" s="194"/>
      <c r="AO1992" s="194"/>
      <c r="AP1992" s="208"/>
      <c r="AQ1992" s="194"/>
      <c r="AR1992" s="194"/>
      <c r="AS1992" s="194"/>
      <c r="AT1992" s="194"/>
      <c r="AU1992" s="194"/>
      <c r="AV1992" s="194"/>
      <c r="AW1992" s="194"/>
      <c r="AX1992" s="194"/>
      <c r="AY1992" s="194"/>
      <c r="AZ1992" s="194"/>
    </row>
    <row r="1993" spans="37:52" x14ac:dyDescent="0.2">
      <c r="AK1993" s="194"/>
      <c r="AL1993" s="194"/>
      <c r="AM1993" s="194"/>
      <c r="AN1993" s="194"/>
      <c r="AO1993" s="194"/>
      <c r="AP1993" s="208"/>
      <c r="AQ1993" s="194"/>
      <c r="AR1993" s="194"/>
      <c r="AS1993" s="194"/>
      <c r="AT1993" s="194"/>
      <c r="AU1993" s="194"/>
      <c r="AV1993" s="194"/>
      <c r="AW1993" s="194"/>
      <c r="AX1993" s="194"/>
      <c r="AY1993" s="194"/>
      <c r="AZ1993" s="194"/>
    </row>
    <row r="1994" spans="37:52" x14ac:dyDescent="0.2">
      <c r="AK1994" s="194"/>
      <c r="AL1994" s="194"/>
      <c r="AM1994" s="194"/>
      <c r="AN1994" s="194"/>
      <c r="AO1994" s="194"/>
      <c r="AP1994" s="208"/>
      <c r="AQ1994" s="194"/>
      <c r="AR1994" s="194"/>
      <c r="AS1994" s="194"/>
      <c r="AT1994" s="194"/>
      <c r="AU1994" s="194"/>
      <c r="AV1994" s="194"/>
      <c r="AW1994" s="194"/>
      <c r="AX1994" s="194"/>
      <c r="AY1994" s="194"/>
      <c r="AZ1994" s="194"/>
    </row>
    <row r="1995" spans="37:52" x14ac:dyDescent="0.2">
      <c r="AK1995" s="194"/>
      <c r="AL1995" s="194"/>
      <c r="AM1995" s="194"/>
      <c r="AN1995" s="194"/>
      <c r="AO1995" s="194"/>
      <c r="AP1995" s="208"/>
      <c r="AQ1995" s="194"/>
      <c r="AR1995" s="194"/>
      <c r="AS1995" s="194"/>
      <c r="AT1995" s="194"/>
      <c r="AU1995" s="194"/>
      <c r="AV1995" s="194"/>
      <c r="AW1995" s="194"/>
      <c r="AX1995" s="194"/>
      <c r="AY1995" s="194"/>
      <c r="AZ1995" s="194"/>
    </row>
    <row r="1996" spans="37:52" x14ac:dyDescent="0.2">
      <c r="AK1996" s="194"/>
      <c r="AL1996" s="194"/>
      <c r="AM1996" s="194"/>
      <c r="AN1996" s="194"/>
      <c r="AO1996" s="194"/>
      <c r="AP1996" s="208"/>
      <c r="AQ1996" s="194"/>
      <c r="AR1996" s="194"/>
      <c r="AS1996" s="194"/>
      <c r="AT1996" s="194"/>
      <c r="AU1996" s="194"/>
      <c r="AV1996" s="194"/>
      <c r="AW1996" s="194"/>
      <c r="AX1996" s="194"/>
      <c r="AY1996" s="194"/>
      <c r="AZ1996" s="194"/>
    </row>
    <row r="1997" spans="37:52" x14ac:dyDescent="0.2">
      <c r="AK1997" s="194"/>
      <c r="AL1997" s="194"/>
      <c r="AM1997" s="194"/>
      <c r="AN1997" s="194"/>
      <c r="AO1997" s="194"/>
      <c r="AP1997" s="208"/>
      <c r="AQ1997" s="194"/>
      <c r="AR1997" s="194"/>
      <c r="AS1997" s="194"/>
      <c r="AT1997" s="194"/>
      <c r="AU1997" s="194"/>
      <c r="AV1997" s="194"/>
      <c r="AW1997" s="194"/>
      <c r="AX1997" s="194"/>
      <c r="AY1997" s="194"/>
      <c r="AZ1997" s="194"/>
    </row>
    <row r="1998" spans="37:52" x14ac:dyDescent="0.2">
      <c r="AK1998" s="194"/>
      <c r="AL1998" s="194"/>
      <c r="AM1998" s="194"/>
      <c r="AN1998" s="194"/>
      <c r="AO1998" s="194"/>
      <c r="AP1998" s="208"/>
      <c r="AQ1998" s="194"/>
      <c r="AR1998" s="194"/>
      <c r="AS1998" s="194"/>
      <c r="AT1998" s="194"/>
      <c r="AU1998" s="194"/>
      <c r="AV1998" s="194"/>
      <c r="AW1998" s="194"/>
      <c r="AX1998" s="194"/>
      <c r="AY1998" s="194"/>
      <c r="AZ1998" s="194"/>
    </row>
    <row r="1999" spans="37:52" x14ac:dyDescent="0.2">
      <c r="AK1999" s="194"/>
      <c r="AL1999" s="194"/>
      <c r="AM1999" s="194"/>
      <c r="AN1999" s="194"/>
      <c r="AO1999" s="194"/>
      <c r="AP1999" s="208"/>
      <c r="AQ1999" s="194"/>
      <c r="AR1999" s="194"/>
      <c r="AS1999" s="194"/>
      <c r="AT1999" s="194"/>
      <c r="AU1999" s="194"/>
      <c r="AV1999" s="194"/>
      <c r="AW1999" s="194"/>
      <c r="AX1999" s="194"/>
      <c r="AY1999" s="194"/>
      <c r="AZ1999" s="194"/>
    </row>
    <row r="2000" spans="37:52" x14ac:dyDescent="0.2">
      <c r="AK2000" s="194"/>
      <c r="AL2000" s="194"/>
      <c r="AM2000" s="194"/>
      <c r="AN2000" s="194"/>
      <c r="AO2000" s="194"/>
      <c r="AP2000" s="208"/>
      <c r="AQ2000" s="194"/>
      <c r="AR2000" s="194"/>
      <c r="AS2000" s="194"/>
      <c r="AT2000" s="194"/>
      <c r="AU2000" s="194"/>
      <c r="AV2000" s="194"/>
      <c r="AW2000" s="194"/>
      <c r="AX2000" s="194"/>
      <c r="AY2000" s="194"/>
      <c r="AZ2000" s="194"/>
    </row>
    <row r="2001" spans="37:52" x14ac:dyDescent="0.2">
      <c r="AK2001" s="194"/>
      <c r="AL2001" s="194"/>
      <c r="AM2001" s="194"/>
      <c r="AN2001" s="194"/>
      <c r="AO2001" s="194"/>
      <c r="AP2001" s="208"/>
      <c r="AQ2001" s="194"/>
      <c r="AR2001" s="194"/>
      <c r="AS2001" s="194"/>
      <c r="AT2001" s="194"/>
      <c r="AU2001" s="194"/>
      <c r="AV2001" s="194"/>
      <c r="AW2001" s="194"/>
      <c r="AX2001" s="194"/>
      <c r="AY2001" s="194"/>
      <c r="AZ2001" s="194"/>
    </row>
    <row r="2002" spans="37:52" x14ac:dyDescent="0.2">
      <c r="AK2002" s="194"/>
      <c r="AL2002" s="194"/>
      <c r="AM2002" s="194"/>
      <c r="AN2002" s="194"/>
      <c r="AO2002" s="194"/>
      <c r="AP2002" s="208"/>
      <c r="AQ2002" s="194"/>
      <c r="AR2002" s="194"/>
      <c r="AS2002" s="194"/>
      <c r="AT2002" s="194"/>
      <c r="AU2002" s="194"/>
      <c r="AV2002" s="194"/>
      <c r="AW2002" s="194"/>
      <c r="AX2002" s="194"/>
      <c r="AY2002" s="194"/>
      <c r="AZ2002" s="194"/>
    </row>
    <row r="2003" spans="37:52" x14ac:dyDescent="0.2">
      <c r="AK2003" s="194"/>
      <c r="AL2003" s="194"/>
      <c r="AM2003" s="194"/>
      <c r="AN2003" s="194"/>
      <c r="AO2003" s="194"/>
      <c r="AP2003" s="208"/>
      <c r="AQ2003" s="194"/>
      <c r="AR2003" s="194"/>
      <c r="AS2003" s="194"/>
      <c r="AT2003" s="194"/>
      <c r="AU2003" s="194"/>
      <c r="AV2003" s="194"/>
      <c r="AW2003" s="194"/>
      <c r="AX2003" s="194"/>
      <c r="AY2003" s="194"/>
      <c r="AZ2003" s="194"/>
    </row>
    <row r="2004" spans="37:52" x14ac:dyDescent="0.2">
      <c r="AK2004" s="194"/>
      <c r="AL2004" s="194"/>
      <c r="AM2004" s="194"/>
      <c r="AN2004" s="194"/>
      <c r="AO2004" s="194"/>
      <c r="AP2004" s="208"/>
      <c r="AQ2004" s="194"/>
      <c r="AR2004" s="194"/>
      <c r="AS2004" s="194"/>
      <c r="AT2004" s="194"/>
      <c r="AU2004" s="194"/>
      <c r="AV2004" s="194"/>
      <c r="AW2004" s="194"/>
      <c r="AX2004" s="194"/>
      <c r="AY2004" s="194"/>
      <c r="AZ2004" s="194"/>
    </row>
    <row r="2005" spans="37:52" x14ac:dyDescent="0.2">
      <c r="AK2005" s="194"/>
      <c r="AL2005" s="194"/>
      <c r="AM2005" s="194"/>
      <c r="AN2005" s="194"/>
      <c r="AO2005" s="194"/>
      <c r="AP2005" s="208"/>
      <c r="AQ2005" s="194"/>
      <c r="AR2005" s="194"/>
      <c r="AS2005" s="194"/>
      <c r="AT2005" s="194"/>
      <c r="AU2005" s="194"/>
      <c r="AV2005" s="194"/>
      <c r="AW2005" s="194"/>
      <c r="AX2005" s="194"/>
      <c r="AY2005" s="194"/>
      <c r="AZ2005" s="194"/>
    </row>
    <row r="2006" spans="37:52" x14ac:dyDescent="0.2">
      <c r="AK2006" s="194"/>
      <c r="AL2006" s="194"/>
      <c r="AM2006" s="194"/>
      <c r="AN2006" s="194"/>
      <c r="AO2006" s="194"/>
      <c r="AP2006" s="208"/>
      <c r="AQ2006" s="194"/>
      <c r="AR2006" s="194"/>
      <c r="AS2006" s="194"/>
      <c r="AT2006" s="194"/>
      <c r="AU2006" s="194"/>
      <c r="AV2006" s="194"/>
      <c r="AW2006" s="194"/>
      <c r="AX2006" s="194"/>
      <c r="AY2006" s="194"/>
      <c r="AZ2006" s="194"/>
    </row>
    <row r="2007" spans="37:52" x14ac:dyDescent="0.2">
      <c r="AK2007" s="194"/>
      <c r="AL2007" s="194"/>
      <c r="AM2007" s="194"/>
      <c r="AN2007" s="194"/>
      <c r="AO2007" s="194"/>
      <c r="AP2007" s="208"/>
      <c r="AQ2007" s="194"/>
      <c r="AR2007" s="194"/>
      <c r="AS2007" s="194"/>
      <c r="AT2007" s="194"/>
      <c r="AU2007" s="194"/>
      <c r="AV2007" s="194"/>
      <c r="AW2007" s="194"/>
      <c r="AX2007" s="194"/>
      <c r="AY2007" s="194"/>
      <c r="AZ2007" s="194"/>
    </row>
    <row r="2008" spans="37:52" x14ac:dyDescent="0.2">
      <c r="AK2008" s="194"/>
      <c r="AL2008" s="194"/>
      <c r="AM2008" s="194"/>
      <c r="AN2008" s="194"/>
      <c r="AO2008" s="194"/>
      <c r="AP2008" s="208"/>
      <c r="AQ2008" s="194"/>
      <c r="AR2008" s="194"/>
      <c r="AS2008" s="194"/>
      <c r="AT2008" s="194"/>
      <c r="AU2008" s="194"/>
      <c r="AV2008" s="194"/>
      <c r="AW2008" s="194"/>
      <c r="AX2008" s="194"/>
      <c r="AY2008" s="194"/>
      <c r="AZ2008" s="194"/>
    </row>
    <row r="2009" spans="37:52" x14ac:dyDescent="0.2">
      <c r="AK2009" s="194"/>
      <c r="AL2009" s="194"/>
      <c r="AM2009" s="194"/>
      <c r="AN2009" s="194"/>
      <c r="AO2009" s="194"/>
      <c r="AP2009" s="208"/>
      <c r="AQ2009" s="194"/>
      <c r="AR2009" s="194"/>
      <c r="AS2009" s="194"/>
      <c r="AT2009" s="194"/>
      <c r="AU2009" s="194"/>
      <c r="AV2009" s="194"/>
      <c r="AW2009" s="194"/>
      <c r="AX2009" s="194"/>
      <c r="AY2009" s="194"/>
      <c r="AZ2009" s="194"/>
    </row>
    <row r="2010" spans="37:52" x14ac:dyDescent="0.2">
      <c r="AK2010" s="194"/>
      <c r="AL2010" s="194"/>
      <c r="AM2010" s="194"/>
      <c r="AN2010" s="194"/>
      <c r="AO2010" s="194"/>
      <c r="AP2010" s="208"/>
      <c r="AQ2010" s="194"/>
      <c r="AR2010" s="194"/>
      <c r="AS2010" s="194"/>
      <c r="AT2010" s="194"/>
      <c r="AU2010" s="194"/>
      <c r="AV2010" s="194"/>
      <c r="AW2010" s="194"/>
      <c r="AX2010" s="194"/>
      <c r="AY2010" s="194"/>
      <c r="AZ2010" s="194"/>
    </row>
    <row r="2011" spans="37:52" x14ac:dyDescent="0.2">
      <c r="AK2011" s="194"/>
      <c r="AL2011" s="194"/>
      <c r="AM2011" s="194"/>
      <c r="AN2011" s="194"/>
      <c r="AO2011" s="194"/>
      <c r="AP2011" s="208"/>
      <c r="AQ2011" s="194"/>
      <c r="AR2011" s="194"/>
      <c r="AS2011" s="194"/>
      <c r="AT2011" s="194"/>
      <c r="AU2011" s="194"/>
      <c r="AV2011" s="194"/>
      <c r="AW2011" s="194"/>
      <c r="AX2011" s="194"/>
      <c r="AY2011" s="194"/>
      <c r="AZ2011" s="194"/>
    </row>
    <row r="2012" spans="37:52" x14ac:dyDescent="0.2">
      <c r="AK2012" s="194"/>
      <c r="AL2012" s="194"/>
      <c r="AM2012" s="194"/>
      <c r="AN2012" s="194"/>
      <c r="AO2012" s="194"/>
      <c r="AP2012" s="208"/>
      <c r="AQ2012" s="194"/>
      <c r="AR2012" s="194"/>
      <c r="AS2012" s="194"/>
      <c r="AT2012" s="194"/>
      <c r="AU2012" s="194"/>
      <c r="AV2012" s="194"/>
      <c r="AW2012" s="194"/>
      <c r="AX2012" s="194"/>
      <c r="AY2012" s="194"/>
      <c r="AZ2012" s="194"/>
    </row>
    <row r="2013" spans="37:52" x14ac:dyDescent="0.2">
      <c r="AK2013" s="194"/>
      <c r="AL2013" s="194"/>
      <c r="AM2013" s="194"/>
      <c r="AN2013" s="194"/>
      <c r="AO2013" s="194"/>
      <c r="AP2013" s="208"/>
      <c r="AQ2013" s="194"/>
      <c r="AR2013" s="194"/>
      <c r="AS2013" s="194"/>
      <c r="AT2013" s="194"/>
      <c r="AU2013" s="194"/>
      <c r="AV2013" s="194"/>
      <c r="AW2013" s="194"/>
      <c r="AX2013" s="194"/>
      <c r="AY2013" s="194"/>
      <c r="AZ2013" s="194"/>
    </row>
    <row r="2014" spans="37:52" x14ac:dyDescent="0.2">
      <c r="AK2014" s="194"/>
      <c r="AL2014" s="194"/>
      <c r="AM2014" s="194"/>
      <c r="AN2014" s="194"/>
      <c r="AO2014" s="194"/>
      <c r="AP2014" s="208"/>
      <c r="AQ2014" s="194"/>
      <c r="AR2014" s="194"/>
      <c r="AS2014" s="194"/>
      <c r="AT2014" s="194"/>
      <c r="AU2014" s="194"/>
      <c r="AV2014" s="194"/>
      <c r="AW2014" s="194"/>
      <c r="AX2014" s="194"/>
      <c r="AY2014" s="194"/>
      <c r="AZ2014" s="194"/>
    </row>
    <row r="2015" spans="37:52" x14ac:dyDescent="0.2">
      <c r="AK2015" s="194"/>
      <c r="AL2015" s="194"/>
      <c r="AM2015" s="194"/>
      <c r="AN2015" s="194"/>
      <c r="AO2015" s="194"/>
      <c r="AP2015" s="208"/>
      <c r="AQ2015" s="194"/>
      <c r="AR2015" s="194"/>
      <c r="AS2015" s="194"/>
      <c r="AT2015" s="194"/>
      <c r="AU2015" s="194"/>
      <c r="AV2015" s="194"/>
      <c r="AW2015" s="194"/>
      <c r="AX2015" s="194"/>
      <c r="AY2015" s="194"/>
      <c r="AZ2015" s="194"/>
    </row>
    <row r="2016" spans="37:52" x14ac:dyDescent="0.2">
      <c r="AK2016" s="194"/>
      <c r="AL2016" s="194"/>
      <c r="AM2016" s="194"/>
      <c r="AN2016" s="194"/>
      <c r="AO2016" s="194"/>
      <c r="AP2016" s="208"/>
      <c r="AQ2016" s="194"/>
      <c r="AR2016" s="194"/>
      <c r="AS2016" s="194"/>
      <c r="AT2016" s="194"/>
      <c r="AU2016" s="194"/>
      <c r="AV2016" s="194"/>
      <c r="AW2016" s="194"/>
      <c r="AX2016" s="194"/>
      <c r="AY2016" s="194"/>
      <c r="AZ2016" s="194"/>
    </row>
    <row r="2017" spans="37:52" x14ac:dyDescent="0.2">
      <c r="AK2017" s="194"/>
      <c r="AL2017" s="194"/>
      <c r="AM2017" s="194"/>
      <c r="AN2017" s="194"/>
      <c r="AO2017" s="194"/>
      <c r="AP2017" s="208"/>
      <c r="AQ2017" s="194"/>
      <c r="AR2017" s="194"/>
      <c r="AS2017" s="194"/>
      <c r="AT2017" s="194"/>
      <c r="AU2017" s="194"/>
      <c r="AV2017" s="194"/>
      <c r="AW2017" s="194"/>
      <c r="AX2017" s="194"/>
      <c r="AY2017" s="194"/>
      <c r="AZ2017" s="194"/>
    </row>
    <row r="2018" spans="37:52" x14ac:dyDescent="0.2">
      <c r="AK2018" s="194"/>
      <c r="AL2018" s="194"/>
      <c r="AM2018" s="194"/>
      <c r="AN2018" s="194"/>
      <c r="AO2018" s="194"/>
      <c r="AP2018" s="208"/>
      <c r="AQ2018" s="194"/>
      <c r="AR2018" s="194"/>
      <c r="AS2018" s="194"/>
      <c r="AT2018" s="194"/>
      <c r="AU2018" s="194"/>
      <c r="AV2018" s="194"/>
      <c r="AW2018" s="194"/>
      <c r="AX2018" s="194"/>
      <c r="AY2018" s="194"/>
      <c r="AZ2018" s="194"/>
    </row>
    <row r="2019" spans="37:52" x14ac:dyDescent="0.2">
      <c r="AK2019" s="194"/>
      <c r="AL2019" s="194"/>
      <c r="AM2019" s="194"/>
      <c r="AN2019" s="194"/>
      <c r="AO2019" s="194"/>
      <c r="AP2019" s="208"/>
      <c r="AQ2019" s="194"/>
      <c r="AR2019" s="194"/>
      <c r="AS2019" s="194"/>
      <c r="AT2019" s="194"/>
      <c r="AU2019" s="194"/>
      <c r="AV2019" s="194"/>
      <c r="AW2019" s="194"/>
      <c r="AX2019" s="194"/>
      <c r="AY2019" s="194"/>
      <c r="AZ2019" s="194"/>
    </row>
    <row r="2020" spans="37:52" x14ac:dyDescent="0.2">
      <c r="AK2020" s="194"/>
      <c r="AL2020" s="194"/>
      <c r="AM2020" s="194"/>
      <c r="AN2020" s="194"/>
      <c r="AO2020" s="194"/>
      <c r="AP2020" s="208"/>
      <c r="AQ2020" s="194"/>
      <c r="AR2020" s="194"/>
      <c r="AS2020" s="194"/>
      <c r="AT2020" s="194"/>
      <c r="AU2020" s="194"/>
      <c r="AV2020" s="194"/>
      <c r="AW2020" s="194"/>
      <c r="AX2020" s="194"/>
      <c r="AY2020" s="194"/>
      <c r="AZ2020" s="194"/>
    </row>
    <row r="2021" spans="37:52" x14ac:dyDescent="0.2">
      <c r="AK2021" s="194"/>
      <c r="AL2021" s="194"/>
      <c r="AM2021" s="194"/>
      <c r="AN2021" s="194"/>
      <c r="AO2021" s="194"/>
      <c r="AP2021" s="208"/>
      <c r="AQ2021" s="194"/>
      <c r="AR2021" s="194"/>
      <c r="AS2021" s="194"/>
      <c r="AT2021" s="194"/>
      <c r="AU2021" s="194"/>
      <c r="AV2021" s="194"/>
      <c r="AW2021" s="194"/>
      <c r="AX2021" s="194"/>
      <c r="AY2021" s="194"/>
      <c r="AZ2021" s="194"/>
    </row>
    <row r="2022" spans="37:52" x14ac:dyDescent="0.2">
      <c r="AK2022" s="194"/>
      <c r="AL2022" s="194"/>
      <c r="AM2022" s="194"/>
      <c r="AN2022" s="194"/>
      <c r="AO2022" s="194"/>
      <c r="AP2022" s="208"/>
      <c r="AQ2022" s="194"/>
      <c r="AR2022" s="194"/>
      <c r="AS2022" s="194"/>
      <c r="AT2022" s="194"/>
      <c r="AU2022" s="194"/>
      <c r="AV2022" s="194"/>
      <c r="AW2022" s="194"/>
      <c r="AX2022" s="194"/>
      <c r="AY2022" s="194"/>
      <c r="AZ2022" s="194"/>
    </row>
    <row r="2023" spans="37:52" x14ac:dyDescent="0.2">
      <c r="AK2023" s="194"/>
      <c r="AL2023" s="194"/>
      <c r="AM2023" s="194"/>
      <c r="AN2023" s="194"/>
      <c r="AO2023" s="194"/>
      <c r="AP2023" s="208"/>
      <c r="AQ2023" s="194"/>
      <c r="AR2023" s="194"/>
      <c r="AS2023" s="194"/>
      <c r="AT2023" s="194"/>
      <c r="AU2023" s="194"/>
      <c r="AV2023" s="194"/>
      <c r="AW2023" s="194"/>
      <c r="AX2023" s="194"/>
      <c r="AY2023" s="194"/>
      <c r="AZ2023" s="194"/>
    </row>
    <row r="2024" spans="37:52" x14ac:dyDescent="0.2">
      <c r="AK2024" s="194"/>
      <c r="AL2024" s="194"/>
      <c r="AM2024" s="194"/>
      <c r="AN2024" s="194"/>
      <c r="AO2024" s="194"/>
      <c r="AP2024" s="208"/>
      <c r="AQ2024" s="194"/>
      <c r="AR2024" s="194"/>
      <c r="AS2024" s="194"/>
      <c r="AT2024" s="194"/>
      <c r="AU2024" s="194"/>
      <c r="AV2024" s="194"/>
      <c r="AW2024" s="194"/>
      <c r="AX2024" s="194"/>
      <c r="AY2024" s="194"/>
      <c r="AZ2024" s="194"/>
    </row>
    <row r="2025" spans="37:52" x14ac:dyDescent="0.2">
      <c r="AK2025" s="194"/>
      <c r="AL2025" s="194"/>
      <c r="AM2025" s="194"/>
      <c r="AN2025" s="194"/>
      <c r="AO2025" s="194"/>
      <c r="AP2025" s="208"/>
      <c r="AQ2025" s="194"/>
      <c r="AR2025" s="194"/>
      <c r="AS2025" s="194"/>
      <c r="AT2025" s="194"/>
      <c r="AU2025" s="194"/>
      <c r="AV2025" s="194"/>
      <c r="AW2025" s="194"/>
      <c r="AX2025" s="194"/>
      <c r="AY2025" s="194"/>
      <c r="AZ2025" s="194"/>
    </row>
    <row r="2026" spans="37:52" x14ac:dyDescent="0.2">
      <c r="AK2026" s="194"/>
      <c r="AL2026" s="194"/>
      <c r="AM2026" s="194"/>
      <c r="AN2026" s="194"/>
      <c r="AO2026" s="194"/>
      <c r="AP2026" s="208"/>
      <c r="AQ2026" s="194"/>
      <c r="AR2026" s="194"/>
      <c r="AS2026" s="194"/>
      <c r="AT2026" s="194"/>
      <c r="AU2026" s="194"/>
      <c r="AV2026" s="194"/>
      <c r="AW2026" s="194"/>
      <c r="AX2026" s="194"/>
      <c r="AY2026" s="194"/>
      <c r="AZ2026" s="194"/>
    </row>
    <row r="2027" spans="37:52" x14ac:dyDescent="0.2">
      <c r="AK2027" s="194"/>
      <c r="AL2027" s="194"/>
      <c r="AM2027" s="194"/>
      <c r="AN2027" s="194"/>
      <c r="AO2027" s="194"/>
      <c r="AP2027" s="208"/>
      <c r="AQ2027" s="194"/>
      <c r="AR2027" s="194"/>
      <c r="AS2027" s="194"/>
      <c r="AT2027" s="194"/>
      <c r="AU2027" s="194"/>
      <c r="AV2027" s="194"/>
      <c r="AW2027" s="194"/>
      <c r="AX2027" s="194"/>
      <c r="AY2027" s="194"/>
      <c r="AZ2027" s="194"/>
    </row>
    <row r="2028" spans="37:52" x14ac:dyDescent="0.2">
      <c r="AK2028" s="194"/>
      <c r="AL2028" s="194"/>
      <c r="AM2028" s="194"/>
      <c r="AN2028" s="194"/>
      <c r="AO2028" s="194"/>
      <c r="AP2028" s="208"/>
      <c r="AQ2028" s="194"/>
      <c r="AR2028" s="194"/>
      <c r="AS2028" s="194"/>
      <c r="AT2028" s="194"/>
      <c r="AU2028" s="194"/>
      <c r="AV2028" s="194"/>
      <c r="AW2028" s="194"/>
      <c r="AX2028" s="194"/>
      <c r="AY2028" s="194"/>
      <c r="AZ2028" s="194"/>
    </row>
    <row r="2029" spans="37:52" x14ac:dyDescent="0.2">
      <c r="AK2029" s="194"/>
      <c r="AL2029" s="194"/>
      <c r="AM2029" s="194"/>
      <c r="AN2029" s="194"/>
      <c r="AO2029" s="194"/>
      <c r="AP2029" s="208"/>
      <c r="AQ2029" s="194"/>
      <c r="AR2029" s="194"/>
      <c r="AS2029" s="194"/>
      <c r="AT2029" s="194"/>
      <c r="AU2029" s="194"/>
      <c r="AV2029" s="194"/>
      <c r="AW2029" s="194"/>
      <c r="AX2029" s="194"/>
      <c r="AY2029" s="194"/>
      <c r="AZ2029" s="194"/>
    </row>
    <row r="2030" spans="37:52" x14ac:dyDescent="0.2">
      <c r="AK2030" s="194"/>
      <c r="AL2030" s="194"/>
      <c r="AM2030" s="194"/>
      <c r="AN2030" s="194"/>
      <c r="AO2030" s="194"/>
      <c r="AP2030" s="208"/>
      <c r="AQ2030" s="194"/>
      <c r="AR2030" s="194"/>
      <c r="AS2030" s="194"/>
      <c r="AT2030" s="194"/>
      <c r="AU2030" s="194"/>
      <c r="AV2030" s="194"/>
      <c r="AW2030" s="194"/>
      <c r="AX2030" s="194"/>
      <c r="AY2030" s="194"/>
      <c r="AZ2030" s="194"/>
    </row>
    <row r="2031" spans="37:52" x14ac:dyDescent="0.2">
      <c r="AK2031" s="194"/>
      <c r="AL2031" s="194"/>
      <c r="AM2031" s="194"/>
      <c r="AN2031" s="194"/>
      <c r="AO2031" s="194"/>
      <c r="AP2031" s="208"/>
      <c r="AQ2031" s="194"/>
      <c r="AR2031" s="194"/>
      <c r="AS2031" s="194"/>
      <c r="AT2031" s="194"/>
      <c r="AU2031" s="194"/>
      <c r="AV2031" s="194"/>
      <c r="AW2031" s="194"/>
      <c r="AX2031" s="194"/>
      <c r="AY2031" s="194"/>
      <c r="AZ2031" s="194"/>
    </row>
    <row r="2032" spans="37:52" x14ac:dyDescent="0.2">
      <c r="AK2032" s="194"/>
      <c r="AL2032" s="194"/>
      <c r="AM2032" s="194"/>
      <c r="AN2032" s="194"/>
      <c r="AO2032" s="194"/>
      <c r="AP2032" s="208"/>
      <c r="AQ2032" s="194"/>
      <c r="AR2032" s="194"/>
      <c r="AS2032" s="194"/>
      <c r="AT2032" s="194"/>
      <c r="AU2032" s="194"/>
      <c r="AV2032" s="194"/>
      <c r="AW2032" s="194"/>
      <c r="AX2032" s="194"/>
      <c r="AY2032" s="194"/>
      <c r="AZ2032" s="194"/>
    </row>
    <row r="2033" spans="37:52" x14ac:dyDescent="0.2">
      <c r="AK2033" s="194"/>
      <c r="AL2033" s="194"/>
      <c r="AM2033" s="194"/>
      <c r="AN2033" s="194"/>
      <c r="AO2033" s="194"/>
      <c r="AP2033" s="208"/>
      <c r="AQ2033" s="194"/>
      <c r="AR2033" s="194"/>
      <c r="AS2033" s="194"/>
      <c r="AT2033" s="194"/>
      <c r="AU2033" s="194"/>
      <c r="AV2033" s="194"/>
      <c r="AW2033" s="194"/>
      <c r="AX2033" s="194"/>
      <c r="AY2033" s="194"/>
      <c r="AZ2033" s="194"/>
    </row>
    <row r="2034" spans="37:52" x14ac:dyDescent="0.2">
      <c r="AK2034" s="194"/>
      <c r="AL2034" s="194"/>
      <c r="AM2034" s="194"/>
      <c r="AN2034" s="194"/>
      <c r="AO2034" s="194"/>
      <c r="AP2034" s="208"/>
      <c r="AQ2034" s="194"/>
      <c r="AR2034" s="194"/>
      <c r="AS2034" s="194"/>
      <c r="AT2034" s="194"/>
      <c r="AU2034" s="194"/>
      <c r="AV2034" s="194"/>
      <c r="AW2034" s="194"/>
      <c r="AX2034" s="194"/>
      <c r="AY2034" s="194"/>
      <c r="AZ2034" s="194"/>
    </row>
    <row r="2035" spans="37:52" x14ac:dyDescent="0.2">
      <c r="AK2035" s="194"/>
      <c r="AL2035" s="194"/>
      <c r="AM2035" s="194"/>
      <c r="AN2035" s="194"/>
      <c r="AO2035" s="194"/>
      <c r="AP2035" s="208"/>
      <c r="AQ2035" s="194"/>
      <c r="AR2035" s="194"/>
      <c r="AS2035" s="194"/>
      <c r="AT2035" s="194"/>
      <c r="AU2035" s="194"/>
      <c r="AV2035" s="194"/>
      <c r="AW2035" s="194"/>
      <c r="AX2035" s="194"/>
      <c r="AY2035" s="194"/>
      <c r="AZ2035" s="194"/>
    </row>
    <row r="2036" spans="37:52" x14ac:dyDescent="0.2">
      <c r="AK2036" s="194"/>
      <c r="AL2036" s="194"/>
      <c r="AM2036" s="194"/>
      <c r="AN2036" s="194"/>
      <c r="AO2036" s="194"/>
      <c r="AP2036" s="208"/>
      <c r="AQ2036" s="194"/>
      <c r="AR2036" s="194"/>
      <c r="AS2036" s="194"/>
      <c r="AT2036" s="194"/>
      <c r="AU2036" s="194"/>
      <c r="AV2036" s="194"/>
      <c r="AW2036" s="194"/>
      <c r="AX2036" s="194"/>
      <c r="AY2036" s="194"/>
      <c r="AZ2036" s="194"/>
    </row>
    <row r="2037" spans="37:52" x14ac:dyDescent="0.2">
      <c r="AK2037" s="194"/>
      <c r="AL2037" s="194"/>
      <c r="AM2037" s="194"/>
      <c r="AN2037" s="194"/>
      <c r="AO2037" s="194"/>
      <c r="AP2037" s="208"/>
      <c r="AQ2037" s="194"/>
      <c r="AR2037" s="194"/>
      <c r="AS2037" s="194"/>
      <c r="AT2037" s="194"/>
      <c r="AU2037" s="194"/>
      <c r="AV2037" s="194"/>
      <c r="AW2037" s="194"/>
      <c r="AX2037" s="194"/>
      <c r="AY2037" s="194"/>
      <c r="AZ2037" s="194"/>
    </row>
    <row r="2038" spans="37:52" x14ac:dyDescent="0.2">
      <c r="AK2038" s="194"/>
      <c r="AL2038" s="194"/>
      <c r="AM2038" s="194"/>
      <c r="AN2038" s="194"/>
      <c r="AO2038" s="194"/>
      <c r="AP2038" s="208"/>
      <c r="AQ2038" s="194"/>
      <c r="AR2038" s="194"/>
      <c r="AS2038" s="194"/>
      <c r="AT2038" s="194"/>
      <c r="AU2038" s="194"/>
      <c r="AV2038" s="194"/>
      <c r="AW2038" s="194"/>
      <c r="AX2038" s="194"/>
      <c r="AY2038" s="194"/>
      <c r="AZ2038" s="194"/>
    </row>
    <row r="2039" spans="37:52" x14ac:dyDescent="0.2">
      <c r="AK2039" s="194"/>
      <c r="AL2039" s="194"/>
      <c r="AM2039" s="194"/>
      <c r="AN2039" s="194"/>
      <c r="AO2039" s="194"/>
      <c r="AP2039" s="208"/>
      <c r="AQ2039" s="194"/>
      <c r="AR2039" s="194"/>
      <c r="AS2039" s="194"/>
      <c r="AT2039" s="194"/>
      <c r="AU2039" s="194"/>
      <c r="AV2039" s="194"/>
      <c r="AW2039" s="194"/>
      <c r="AX2039" s="194"/>
      <c r="AY2039" s="194"/>
      <c r="AZ2039" s="194"/>
    </row>
    <row r="2040" spans="37:52" x14ac:dyDescent="0.2">
      <c r="AK2040" s="194"/>
      <c r="AL2040" s="194"/>
      <c r="AM2040" s="194"/>
      <c r="AN2040" s="194"/>
      <c r="AO2040" s="194"/>
      <c r="AP2040" s="208"/>
      <c r="AQ2040" s="194"/>
      <c r="AR2040" s="194"/>
      <c r="AS2040" s="194"/>
      <c r="AT2040" s="194"/>
      <c r="AU2040" s="194"/>
      <c r="AV2040" s="194"/>
      <c r="AW2040" s="194"/>
      <c r="AX2040" s="194"/>
      <c r="AY2040" s="194"/>
      <c r="AZ2040" s="194"/>
    </row>
    <row r="2041" spans="37:52" x14ac:dyDescent="0.2">
      <c r="AK2041" s="194"/>
      <c r="AL2041" s="194"/>
      <c r="AM2041" s="194"/>
      <c r="AN2041" s="194"/>
      <c r="AO2041" s="194"/>
      <c r="AP2041" s="208"/>
      <c r="AQ2041" s="194"/>
      <c r="AR2041" s="194"/>
      <c r="AS2041" s="194"/>
      <c r="AT2041" s="194"/>
      <c r="AU2041" s="194"/>
      <c r="AV2041" s="194"/>
      <c r="AW2041" s="194"/>
      <c r="AX2041" s="194"/>
      <c r="AY2041" s="194"/>
      <c r="AZ2041" s="194"/>
    </row>
    <row r="2042" spans="37:52" x14ac:dyDescent="0.2">
      <c r="AK2042" s="194"/>
      <c r="AL2042" s="194"/>
      <c r="AM2042" s="194"/>
      <c r="AN2042" s="194"/>
      <c r="AO2042" s="194"/>
      <c r="AP2042" s="208"/>
      <c r="AQ2042" s="194"/>
      <c r="AR2042" s="194"/>
      <c r="AS2042" s="194"/>
      <c r="AT2042" s="194"/>
      <c r="AU2042" s="194"/>
      <c r="AV2042" s="194"/>
      <c r="AW2042" s="194"/>
      <c r="AX2042" s="194"/>
      <c r="AY2042" s="194"/>
      <c r="AZ2042" s="194"/>
    </row>
    <row r="2043" spans="37:52" x14ac:dyDescent="0.2">
      <c r="AK2043" s="194"/>
      <c r="AL2043" s="194"/>
      <c r="AM2043" s="194"/>
      <c r="AN2043" s="194"/>
      <c r="AO2043" s="194"/>
      <c r="AP2043" s="208"/>
      <c r="AQ2043" s="194"/>
      <c r="AR2043" s="194"/>
      <c r="AS2043" s="194"/>
      <c r="AT2043" s="194"/>
      <c r="AU2043" s="194"/>
      <c r="AV2043" s="194"/>
      <c r="AW2043" s="194"/>
      <c r="AX2043" s="194"/>
      <c r="AY2043" s="194"/>
      <c r="AZ2043" s="194"/>
    </row>
    <row r="2044" spans="37:52" x14ac:dyDescent="0.2">
      <c r="AK2044" s="194"/>
      <c r="AL2044" s="194"/>
      <c r="AM2044" s="194"/>
      <c r="AN2044" s="194"/>
      <c r="AO2044" s="194"/>
      <c r="AP2044" s="208"/>
      <c r="AQ2044" s="194"/>
      <c r="AR2044" s="194"/>
      <c r="AS2044" s="194"/>
      <c r="AT2044" s="194"/>
      <c r="AU2044" s="194"/>
      <c r="AV2044" s="194"/>
      <c r="AW2044" s="194"/>
      <c r="AX2044" s="194"/>
      <c r="AY2044" s="194"/>
      <c r="AZ2044" s="194"/>
    </row>
    <row r="2045" spans="37:52" x14ac:dyDescent="0.2">
      <c r="AK2045" s="194"/>
      <c r="AL2045" s="194"/>
      <c r="AM2045" s="194"/>
      <c r="AN2045" s="194"/>
      <c r="AO2045" s="194"/>
      <c r="AP2045" s="208"/>
      <c r="AQ2045" s="194"/>
      <c r="AR2045" s="194"/>
      <c r="AS2045" s="194"/>
      <c r="AT2045" s="194"/>
      <c r="AU2045" s="194"/>
      <c r="AV2045" s="194"/>
      <c r="AW2045" s="194"/>
      <c r="AX2045" s="194"/>
      <c r="AY2045" s="194"/>
      <c r="AZ2045" s="194"/>
    </row>
    <row r="2046" spans="37:52" x14ac:dyDescent="0.2">
      <c r="AK2046" s="194"/>
      <c r="AL2046" s="194"/>
      <c r="AM2046" s="194"/>
      <c r="AN2046" s="194"/>
      <c r="AO2046" s="194"/>
      <c r="AP2046" s="208"/>
      <c r="AQ2046" s="194"/>
      <c r="AR2046" s="194"/>
      <c r="AS2046" s="194"/>
      <c r="AT2046" s="194"/>
      <c r="AU2046" s="194"/>
      <c r="AV2046" s="194"/>
      <c r="AW2046" s="194"/>
      <c r="AX2046" s="194"/>
      <c r="AY2046" s="194"/>
      <c r="AZ2046" s="194"/>
    </row>
    <row r="2047" spans="37:52" x14ac:dyDescent="0.2">
      <c r="AK2047" s="194"/>
      <c r="AL2047" s="194"/>
      <c r="AM2047" s="194"/>
      <c r="AN2047" s="194"/>
      <c r="AO2047" s="194"/>
      <c r="AP2047" s="208"/>
      <c r="AQ2047" s="194"/>
      <c r="AR2047" s="194"/>
      <c r="AS2047" s="194"/>
      <c r="AT2047" s="194"/>
      <c r="AU2047" s="194"/>
      <c r="AV2047" s="194"/>
      <c r="AW2047" s="194"/>
      <c r="AX2047" s="194"/>
      <c r="AY2047" s="194"/>
      <c r="AZ2047" s="194"/>
    </row>
    <row r="2048" spans="37:52" x14ac:dyDescent="0.2">
      <c r="AK2048" s="194"/>
      <c r="AL2048" s="194"/>
      <c r="AM2048" s="194"/>
      <c r="AN2048" s="194"/>
      <c r="AO2048" s="194"/>
      <c r="AP2048" s="208"/>
      <c r="AQ2048" s="194"/>
      <c r="AR2048" s="194"/>
      <c r="AS2048" s="194"/>
      <c r="AT2048" s="194"/>
      <c r="AU2048" s="194"/>
      <c r="AV2048" s="194"/>
      <c r="AW2048" s="194"/>
      <c r="AX2048" s="194"/>
      <c r="AY2048" s="194"/>
      <c r="AZ2048" s="194"/>
    </row>
    <row r="2049" spans="37:52" x14ac:dyDescent="0.2">
      <c r="AK2049" s="194"/>
      <c r="AL2049" s="194"/>
      <c r="AM2049" s="194"/>
      <c r="AN2049" s="194"/>
      <c r="AO2049" s="194"/>
      <c r="AP2049" s="208"/>
      <c r="AQ2049" s="194"/>
      <c r="AR2049" s="194"/>
      <c r="AS2049" s="194"/>
      <c r="AT2049" s="194"/>
      <c r="AU2049" s="194"/>
      <c r="AV2049" s="194"/>
      <c r="AW2049" s="194"/>
      <c r="AX2049" s="194"/>
      <c r="AY2049" s="194"/>
      <c r="AZ2049" s="194"/>
    </row>
    <row r="2050" spans="37:52" x14ac:dyDescent="0.2">
      <c r="AK2050" s="194"/>
      <c r="AL2050" s="194"/>
      <c r="AM2050" s="194"/>
      <c r="AN2050" s="194"/>
      <c r="AO2050" s="194"/>
      <c r="AP2050" s="208"/>
      <c r="AQ2050" s="194"/>
      <c r="AR2050" s="194"/>
      <c r="AS2050" s="194"/>
      <c r="AT2050" s="194"/>
      <c r="AU2050" s="194"/>
      <c r="AV2050" s="194"/>
      <c r="AW2050" s="194"/>
      <c r="AX2050" s="194"/>
      <c r="AY2050" s="194"/>
      <c r="AZ2050" s="194"/>
    </row>
    <row r="2051" spans="37:52" x14ac:dyDescent="0.2">
      <c r="AK2051" s="194"/>
      <c r="AL2051" s="194"/>
      <c r="AM2051" s="194"/>
      <c r="AN2051" s="194"/>
      <c r="AO2051" s="194"/>
      <c r="AP2051" s="208"/>
      <c r="AQ2051" s="194"/>
      <c r="AR2051" s="194"/>
      <c r="AS2051" s="194"/>
      <c r="AT2051" s="194"/>
      <c r="AU2051" s="194"/>
      <c r="AV2051" s="194"/>
      <c r="AW2051" s="194"/>
      <c r="AX2051" s="194"/>
      <c r="AY2051" s="194"/>
      <c r="AZ2051" s="194"/>
    </row>
    <row r="2052" spans="37:52" x14ac:dyDescent="0.2">
      <c r="AK2052" s="194"/>
      <c r="AL2052" s="194"/>
      <c r="AM2052" s="194"/>
      <c r="AN2052" s="194"/>
      <c r="AO2052" s="194"/>
      <c r="AP2052" s="208"/>
      <c r="AQ2052" s="194"/>
      <c r="AR2052" s="194"/>
      <c r="AS2052" s="194"/>
      <c r="AT2052" s="194"/>
      <c r="AU2052" s="194"/>
      <c r="AV2052" s="194"/>
      <c r="AW2052" s="194"/>
      <c r="AX2052" s="194"/>
      <c r="AY2052" s="194"/>
      <c r="AZ2052" s="194"/>
    </row>
    <row r="2053" spans="37:52" x14ac:dyDescent="0.2">
      <c r="AK2053" s="194"/>
      <c r="AL2053" s="194"/>
      <c r="AM2053" s="194"/>
      <c r="AN2053" s="194"/>
      <c r="AO2053" s="194"/>
      <c r="AP2053" s="208"/>
      <c r="AQ2053" s="194"/>
      <c r="AR2053" s="194"/>
      <c r="AS2053" s="194"/>
      <c r="AT2053" s="194"/>
      <c r="AU2053" s="194"/>
      <c r="AV2053" s="194"/>
      <c r="AW2053" s="194"/>
      <c r="AX2053" s="194"/>
      <c r="AY2053" s="194"/>
      <c r="AZ2053" s="194"/>
    </row>
    <row r="2054" spans="37:52" x14ac:dyDescent="0.2">
      <c r="AK2054" s="194"/>
      <c r="AL2054" s="194"/>
      <c r="AM2054" s="194"/>
      <c r="AN2054" s="194"/>
      <c r="AO2054" s="194"/>
      <c r="AP2054" s="208"/>
      <c r="AQ2054" s="194"/>
      <c r="AR2054" s="194"/>
      <c r="AS2054" s="194"/>
      <c r="AT2054" s="194"/>
      <c r="AU2054" s="194"/>
      <c r="AV2054" s="194"/>
      <c r="AW2054" s="194"/>
      <c r="AX2054" s="194"/>
      <c r="AY2054" s="194"/>
      <c r="AZ2054" s="194"/>
    </row>
    <row r="2055" spans="37:52" x14ac:dyDescent="0.2">
      <c r="AK2055" s="194"/>
      <c r="AL2055" s="194"/>
      <c r="AM2055" s="194"/>
      <c r="AN2055" s="194"/>
      <c r="AO2055" s="194"/>
      <c r="AP2055" s="208"/>
      <c r="AQ2055" s="194"/>
      <c r="AR2055" s="194"/>
      <c r="AS2055" s="194"/>
      <c r="AT2055" s="194"/>
      <c r="AU2055" s="194"/>
      <c r="AV2055" s="194"/>
      <c r="AW2055" s="194"/>
      <c r="AX2055" s="194"/>
      <c r="AY2055" s="194"/>
      <c r="AZ2055" s="194"/>
    </row>
    <row r="2056" spans="37:52" x14ac:dyDescent="0.2">
      <c r="AK2056" s="194"/>
      <c r="AL2056" s="194"/>
      <c r="AM2056" s="194"/>
      <c r="AN2056" s="194"/>
      <c r="AO2056" s="194"/>
      <c r="AP2056" s="208"/>
      <c r="AQ2056" s="194"/>
      <c r="AR2056" s="194"/>
      <c r="AS2056" s="194"/>
      <c r="AT2056" s="194"/>
      <c r="AU2056" s="194"/>
      <c r="AV2056" s="194"/>
      <c r="AW2056" s="194"/>
      <c r="AX2056" s="194"/>
      <c r="AY2056" s="194"/>
      <c r="AZ2056" s="194"/>
    </row>
    <row r="2057" spans="37:52" x14ac:dyDescent="0.2">
      <c r="AK2057" s="194"/>
      <c r="AL2057" s="194"/>
      <c r="AM2057" s="194"/>
      <c r="AN2057" s="194"/>
      <c r="AO2057" s="194"/>
      <c r="AP2057" s="208"/>
      <c r="AQ2057" s="194"/>
      <c r="AR2057" s="194"/>
      <c r="AS2057" s="194"/>
      <c r="AT2057" s="194"/>
      <c r="AU2057" s="194"/>
      <c r="AV2057" s="194"/>
      <c r="AW2057" s="194"/>
      <c r="AX2057" s="194"/>
      <c r="AY2057" s="194"/>
      <c r="AZ2057" s="194"/>
    </row>
    <row r="2058" spans="37:52" x14ac:dyDescent="0.2">
      <c r="AK2058" s="194"/>
      <c r="AL2058" s="194"/>
      <c r="AM2058" s="194"/>
      <c r="AN2058" s="194"/>
      <c r="AO2058" s="194"/>
      <c r="AP2058" s="208"/>
      <c r="AQ2058" s="194"/>
      <c r="AR2058" s="194"/>
      <c r="AS2058" s="194"/>
      <c r="AT2058" s="194"/>
      <c r="AU2058" s="194"/>
      <c r="AV2058" s="194"/>
      <c r="AW2058" s="194"/>
      <c r="AX2058" s="194"/>
      <c r="AY2058" s="194"/>
      <c r="AZ2058" s="194"/>
    </row>
    <row r="2059" spans="37:52" x14ac:dyDescent="0.2">
      <c r="AK2059" s="194"/>
      <c r="AL2059" s="194"/>
      <c r="AM2059" s="194"/>
      <c r="AN2059" s="194"/>
      <c r="AO2059" s="194"/>
      <c r="AP2059" s="208"/>
      <c r="AQ2059" s="194"/>
      <c r="AR2059" s="194"/>
      <c r="AS2059" s="194"/>
      <c r="AT2059" s="194"/>
      <c r="AU2059" s="194"/>
      <c r="AV2059" s="194"/>
      <c r="AW2059" s="194"/>
      <c r="AX2059" s="194"/>
      <c r="AY2059" s="194"/>
      <c r="AZ2059" s="194"/>
    </row>
    <row r="2060" spans="37:52" x14ac:dyDescent="0.2">
      <c r="AK2060" s="194"/>
      <c r="AL2060" s="194"/>
      <c r="AM2060" s="194"/>
      <c r="AN2060" s="194"/>
      <c r="AO2060" s="194"/>
      <c r="AP2060" s="208"/>
      <c r="AQ2060" s="194"/>
      <c r="AR2060" s="194"/>
      <c r="AS2060" s="194"/>
      <c r="AT2060" s="194"/>
      <c r="AU2060" s="194"/>
      <c r="AV2060" s="194"/>
      <c r="AW2060" s="194"/>
      <c r="AX2060" s="194"/>
      <c r="AY2060" s="194"/>
      <c r="AZ2060" s="194"/>
    </row>
    <row r="2061" spans="37:52" x14ac:dyDescent="0.2">
      <c r="AK2061" s="194"/>
      <c r="AL2061" s="194"/>
      <c r="AM2061" s="194"/>
      <c r="AN2061" s="194"/>
      <c r="AO2061" s="194"/>
      <c r="AP2061" s="208"/>
      <c r="AQ2061" s="194"/>
      <c r="AR2061" s="194"/>
      <c r="AS2061" s="194"/>
      <c r="AT2061" s="194"/>
      <c r="AU2061" s="194"/>
      <c r="AV2061" s="194"/>
      <c r="AW2061" s="194"/>
      <c r="AX2061" s="194"/>
      <c r="AY2061" s="194"/>
      <c r="AZ2061" s="194"/>
    </row>
    <row r="2062" spans="37:52" x14ac:dyDescent="0.2">
      <c r="AK2062" s="194"/>
      <c r="AL2062" s="194"/>
      <c r="AM2062" s="194"/>
      <c r="AN2062" s="194"/>
      <c r="AO2062" s="194"/>
      <c r="AP2062" s="208"/>
      <c r="AQ2062" s="194"/>
      <c r="AR2062" s="194"/>
      <c r="AS2062" s="194"/>
      <c r="AT2062" s="194"/>
      <c r="AU2062" s="194"/>
      <c r="AV2062" s="194"/>
      <c r="AW2062" s="194"/>
      <c r="AX2062" s="194"/>
      <c r="AY2062" s="194"/>
      <c r="AZ2062" s="194"/>
    </row>
    <row r="2063" spans="37:52" x14ac:dyDescent="0.2">
      <c r="AK2063" s="194"/>
      <c r="AL2063" s="194"/>
      <c r="AM2063" s="194"/>
      <c r="AN2063" s="194"/>
      <c r="AO2063" s="194"/>
      <c r="AP2063" s="208"/>
      <c r="AQ2063" s="194"/>
      <c r="AR2063" s="194"/>
      <c r="AS2063" s="194"/>
      <c r="AT2063" s="194"/>
      <c r="AU2063" s="194"/>
      <c r="AV2063" s="194"/>
      <c r="AW2063" s="194"/>
      <c r="AX2063" s="194"/>
      <c r="AY2063" s="194"/>
      <c r="AZ2063" s="194"/>
    </row>
    <row r="2064" spans="37:52" x14ac:dyDescent="0.2">
      <c r="AK2064" s="194"/>
      <c r="AL2064" s="194"/>
      <c r="AM2064" s="194"/>
      <c r="AN2064" s="194"/>
      <c r="AO2064" s="194"/>
      <c r="AP2064" s="208"/>
      <c r="AQ2064" s="194"/>
      <c r="AR2064" s="194"/>
      <c r="AS2064" s="194"/>
      <c r="AT2064" s="194"/>
      <c r="AU2064" s="194"/>
      <c r="AV2064" s="194"/>
      <c r="AW2064" s="194"/>
      <c r="AX2064" s="194"/>
      <c r="AY2064" s="194"/>
      <c r="AZ2064" s="194"/>
    </row>
    <row r="2065" spans="37:52" x14ac:dyDescent="0.2">
      <c r="AK2065" s="194"/>
      <c r="AL2065" s="194"/>
      <c r="AM2065" s="194"/>
      <c r="AN2065" s="194"/>
      <c r="AO2065" s="194"/>
      <c r="AP2065" s="208"/>
      <c r="AQ2065" s="194"/>
      <c r="AR2065" s="194"/>
      <c r="AS2065" s="194"/>
      <c r="AT2065" s="194"/>
      <c r="AU2065" s="194"/>
      <c r="AV2065" s="194"/>
      <c r="AW2065" s="194"/>
      <c r="AX2065" s="194"/>
      <c r="AY2065" s="194"/>
      <c r="AZ2065" s="194"/>
    </row>
    <row r="2066" spans="37:52" x14ac:dyDescent="0.2">
      <c r="AK2066" s="194"/>
      <c r="AL2066" s="194"/>
      <c r="AM2066" s="194"/>
      <c r="AN2066" s="194"/>
      <c r="AO2066" s="194"/>
      <c r="AP2066" s="208"/>
      <c r="AQ2066" s="194"/>
      <c r="AR2066" s="194"/>
      <c r="AS2066" s="194"/>
      <c r="AT2066" s="194"/>
      <c r="AU2066" s="194"/>
      <c r="AV2066" s="194"/>
      <c r="AW2066" s="194"/>
      <c r="AX2066" s="194"/>
      <c r="AY2066" s="194"/>
      <c r="AZ2066" s="194"/>
    </row>
    <row r="2067" spans="37:52" x14ac:dyDescent="0.2">
      <c r="AK2067" s="194"/>
      <c r="AL2067" s="194"/>
      <c r="AM2067" s="194"/>
      <c r="AN2067" s="194"/>
      <c r="AO2067" s="194"/>
      <c r="AP2067" s="208"/>
      <c r="AQ2067" s="194"/>
      <c r="AR2067" s="194"/>
      <c r="AS2067" s="194"/>
      <c r="AT2067" s="194"/>
      <c r="AU2067" s="194"/>
      <c r="AV2067" s="194"/>
      <c r="AW2067" s="194"/>
      <c r="AX2067" s="194"/>
      <c r="AY2067" s="194"/>
      <c r="AZ2067" s="194"/>
    </row>
    <row r="2068" spans="37:52" x14ac:dyDescent="0.2">
      <c r="AK2068" s="194"/>
      <c r="AL2068" s="194"/>
      <c r="AM2068" s="194"/>
      <c r="AN2068" s="194"/>
      <c r="AO2068" s="194"/>
      <c r="AP2068" s="208"/>
      <c r="AQ2068" s="194"/>
      <c r="AR2068" s="194"/>
      <c r="AS2068" s="194"/>
      <c r="AT2068" s="194"/>
      <c r="AU2068" s="194"/>
      <c r="AV2068" s="194"/>
      <c r="AW2068" s="194"/>
      <c r="AX2068" s="194"/>
      <c r="AY2068" s="194"/>
      <c r="AZ2068" s="194"/>
    </row>
    <row r="2069" spans="37:52" x14ac:dyDescent="0.2">
      <c r="AK2069" s="194"/>
      <c r="AL2069" s="194"/>
      <c r="AM2069" s="194"/>
      <c r="AN2069" s="194"/>
      <c r="AO2069" s="194"/>
      <c r="AP2069" s="208"/>
      <c r="AQ2069" s="194"/>
      <c r="AR2069" s="194"/>
      <c r="AS2069" s="194"/>
      <c r="AT2069" s="194"/>
      <c r="AU2069" s="194"/>
      <c r="AV2069" s="194"/>
      <c r="AW2069" s="194"/>
      <c r="AX2069" s="194"/>
      <c r="AY2069" s="194"/>
      <c r="AZ2069" s="194"/>
    </row>
    <row r="2070" spans="37:52" x14ac:dyDescent="0.2">
      <c r="AK2070" s="194"/>
      <c r="AL2070" s="194"/>
      <c r="AM2070" s="194"/>
      <c r="AN2070" s="194"/>
      <c r="AO2070" s="194"/>
      <c r="AP2070" s="208"/>
      <c r="AQ2070" s="194"/>
      <c r="AR2070" s="194"/>
      <c r="AS2070" s="194"/>
      <c r="AT2070" s="194"/>
      <c r="AU2070" s="194"/>
      <c r="AV2070" s="194"/>
      <c r="AW2070" s="194"/>
      <c r="AX2070" s="194"/>
      <c r="AY2070" s="194"/>
      <c r="AZ2070" s="194"/>
    </row>
    <row r="2071" spans="37:52" x14ac:dyDescent="0.2">
      <c r="AK2071" s="194"/>
      <c r="AL2071" s="194"/>
      <c r="AM2071" s="194"/>
      <c r="AN2071" s="194"/>
      <c r="AO2071" s="194"/>
      <c r="AP2071" s="208"/>
      <c r="AQ2071" s="194"/>
      <c r="AR2071" s="194"/>
      <c r="AS2071" s="194"/>
      <c r="AT2071" s="194"/>
      <c r="AU2071" s="194"/>
      <c r="AV2071" s="194"/>
      <c r="AW2071" s="194"/>
      <c r="AX2071" s="194"/>
      <c r="AY2071" s="194"/>
      <c r="AZ2071" s="194"/>
    </row>
    <row r="2072" spans="37:52" x14ac:dyDescent="0.2">
      <c r="AK2072" s="194"/>
      <c r="AL2072" s="194"/>
      <c r="AM2072" s="194"/>
      <c r="AN2072" s="194"/>
      <c r="AO2072" s="194"/>
      <c r="AP2072" s="208"/>
      <c r="AQ2072" s="194"/>
      <c r="AR2072" s="194"/>
      <c r="AS2072" s="194"/>
      <c r="AT2072" s="194"/>
      <c r="AU2072" s="194"/>
      <c r="AV2072" s="194"/>
      <c r="AW2072" s="194"/>
      <c r="AX2072" s="194"/>
      <c r="AY2072" s="194"/>
      <c r="AZ2072" s="194"/>
    </row>
    <row r="2073" spans="37:52" x14ac:dyDescent="0.2">
      <c r="AK2073" s="194"/>
      <c r="AL2073" s="194"/>
      <c r="AM2073" s="194"/>
      <c r="AN2073" s="194"/>
      <c r="AO2073" s="194"/>
      <c r="AP2073" s="208"/>
      <c r="AQ2073" s="194"/>
      <c r="AR2073" s="194"/>
      <c r="AS2073" s="194"/>
      <c r="AT2073" s="194"/>
      <c r="AU2073" s="194"/>
      <c r="AV2073" s="194"/>
      <c r="AW2073" s="194"/>
      <c r="AX2073" s="194"/>
      <c r="AY2073" s="194"/>
      <c r="AZ2073" s="194"/>
    </row>
    <row r="2074" spans="37:52" x14ac:dyDescent="0.2">
      <c r="AK2074" s="194"/>
      <c r="AL2074" s="194"/>
      <c r="AM2074" s="194"/>
      <c r="AN2074" s="194"/>
      <c r="AO2074" s="194"/>
      <c r="AP2074" s="208"/>
      <c r="AQ2074" s="194"/>
      <c r="AR2074" s="194"/>
      <c r="AS2074" s="194"/>
      <c r="AT2074" s="194"/>
      <c r="AU2074" s="194"/>
      <c r="AV2074" s="194"/>
      <c r="AW2074" s="194"/>
      <c r="AX2074" s="194"/>
      <c r="AY2074" s="194"/>
      <c r="AZ2074" s="194"/>
    </row>
    <row r="2075" spans="37:52" x14ac:dyDescent="0.2">
      <c r="AK2075" s="194"/>
      <c r="AL2075" s="194"/>
      <c r="AM2075" s="194"/>
      <c r="AN2075" s="194"/>
      <c r="AO2075" s="194"/>
      <c r="AP2075" s="208"/>
      <c r="AQ2075" s="194"/>
      <c r="AR2075" s="194"/>
      <c r="AS2075" s="194"/>
      <c r="AT2075" s="194"/>
      <c r="AU2075" s="194"/>
      <c r="AV2075" s="194"/>
      <c r="AW2075" s="194"/>
      <c r="AX2075" s="194"/>
      <c r="AY2075" s="194"/>
      <c r="AZ2075" s="194"/>
    </row>
    <row r="2076" spans="37:52" x14ac:dyDescent="0.2">
      <c r="AK2076" s="194"/>
      <c r="AL2076" s="194"/>
      <c r="AM2076" s="194"/>
      <c r="AN2076" s="194"/>
      <c r="AO2076" s="194"/>
      <c r="AP2076" s="208"/>
      <c r="AQ2076" s="194"/>
      <c r="AR2076" s="194"/>
      <c r="AS2076" s="194"/>
      <c r="AT2076" s="194"/>
      <c r="AU2076" s="194"/>
      <c r="AV2076" s="194"/>
      <c r="AW2076" s="194"/>
      <c r="AX2076" s="194"/>
      <c r="AY2076" s="194"/>
      <c r="AZ2076" s="194"/>
    </row>
    <row r="2077" spans="37:52" x14ac:dyDescent="0.2">
      <c r="AK2077" s="194"/>
      <c r="AL2077" s="194"/>
      <c r="AM2077" s="194"/>
      <c r="AN2077" s="194"/>
      <c r="AO2077" s="194"/>
      <c r="AP2077" s="208"/>
      <c r="AQ2077" s="194"/>
      <c r="AR2077" s="194"/>
      <c r="AS2077" s="194"/>
      <c r="AT2077" s="194"/>
      <c r="AU2077" s="194"/>
      <c r="AV2077" s="194"/>
      <c r="AW2077" s="194"/>
      <c r="AX2077" s="194"/>
      <c r="AY2077" s="194"/>
      <c r="AZ2077" s="194"/>
    </row>
    <row r="2078" spans="37:52" x14ac:dyDescent="0.2">
      <c r="AK2078" s="194"/>
      <c r="AL2078" s="194"/>
      <c r="AM2078" s="194"/>
      <c r="AN2078" s="194"/>
      <c r="AO2078" s="194"/>
      <c r="AP2078" s="208"/>
      <c r="AQ2078" s="194"/>
      <c r="AR2078" s="194"/>
      <c r="AS2078" s="194"/>
      <c r="AT2078" s="194"/>
      <c r="AU2078" s="194"/>
      <c r="AV2078" s="194"/>
      <c r="AW2078" s="194"/>
      <c r="AX2078" s="194"/>
      <c r="AY2078" s="194"/>
      <c r="AZ2078" s="194"/>
    </row>
    <row r="2079" spans="37:52" x14ac:dyDescent="0.2">
      <c r="AK2079" s="194"/>
      <c r="AL2079" s="194"/>
      <c r="AM2079" s="194"/>
      <c r="AN2079" s="194"/>
      <c r="AO2079" s="194"/>
      <c r="AP2079" s="208"/>
      <c r="AQ2079" s="194"/>
      <c r="AR2079" s="194"/>
      <c r="AS2079" s="194"/>
      <c r="AT2079" s="194"/>
      <c r="AU2079" s="194"/>
      <c r="AV2079" s="194"/>
      <c r="AW2079" s="194"/>
      <c r="AX2079" s="194"/>
      <c r="AY2079" s="194"/>
      <c r="AZ2079" s="194"/>
    </row>
    <row r="2080" spans="37:52" x14ac:dyDescent="0.2">
      <c r="AK2080" s="194"/>
      <c r="AL2080" s="194"/>
      <c r="AM2080" s="194"/>
      <c r="AN2080" s="194"/>
      <c r="AO2080" s="194"/>
      <c r="AP2080" s="208"/>
      <c r="AQ2080" s="194"/>
      <c r="AR2080" s="194"/>
      <c r="AS2080" s="194"/>
      <c r="AT2080" s="194"/>
      <c r="AU2080" s="194"/>
      <c r="AV2080" s="194"/>
      <c r="AW2080" s="194"/>
      <c r="AX2080" s="194"/>
      <c r="AY2080" s="194"/>
      <c r="AZ2080" s="194"/>
    </row>
    <row r="2081" spans="37:52" x14ac:dyDescent="0.2">
      <c r="AK2081" s="194"/>
      <c r="AL2081" s="194"/>
      <c r="AM2081" s="194"/>
      <c r="AN2081" s="194"/>
      <c r="AO2081" s="194"/>
      <c r="AP2081" s="208"/>
      <c r="AQ2081" s="194"/>
      <c r="AR2081" s="194"/>
      <c r="AS2081" s="194"/>
      <c r="AT2081" s="194"/>
      <c r="AU2081" s="194"/>
      <c r="AV2081" s="194"/>
      <c r="AW2081" s="194"/>
      <c r="AX2081" s="194"/>
      <c r="AY2081" s="194"/>
      <c r="AZ2081" s="194"/>
    </row>
    <row r="2082" spans="37:52" x14ac:dyDescent="0.2">
      <c r="AK2082" s="194"/>
      <c r="AL2082" s="194"/>
      <c r="AM2082" s="194"/>
      <c r="AN2082" s="194"/>
      <c r="AO2082" s="194"/>
      <c r="AP2082" s="208"/>
      <c r="AQ2082" s="194"/>
      <c r="AR2082" s="194"/>
      <c r="AS2082" s="194"/>
      <c r="AT2082" s="194"/>
      <c r="AU2082" s="194"/>
      <c r="AV2082" s="194"/>
      <c r="AW2082" s="194"/>
      <c r="AX2082" s="194"/>
      <c r="AY2082" s="194"/>
      <c r="AZ2082" s="194"/>
    </row>
    <row r="2083" spans="37:52" x14ac:dyDescent="0.2">
      <c r="AK2083" s="194"/>
      <c r="AL2083" s="194"/>
      <c r="AM2083" s="194"/>
      <c r="AN2083" s="194"/>
      <c r="AO2083" s="194"/>
      <c r="AP2083" s="208"/>
      <c r="AQ2083" s="194"/>
      <c r="AR2083" s="194"/>
      <c r="AS2083" s="194"/>
      <c r="AT2083" s="194"/>
      <c r="AU2083" s="194"/>
      <c r="AV2083" s="194"/>
      <c r="AW2083" s="194"/>
      <c r="AX2083" s="194"/>
      <c r="AY2083" s="194"/>
      <c r="AZ2083" s="194"/>
    </row>
    <row r="2084" spans="37:52" x14ac:dyDescent="0.2">
      <c r="AK2084" s="194"/>
      <c r="AL2084" s="194"/>
      <c r="AM2084" s="194"/>
      <c r="AN2084" s="194"/>
      <c r="AO2084" s="194"/>
      <c r="AP2084" s="208"/>
      <c r="AQ2084" s="194"/>
      <c r="AR2084" s="194"/>
      <c r="AS2084" s="194"/>
      <c r="AT2084" s="194"/>
      <c r="AU2084" s="194"/>
      <c r="AV2084" s="194"/>
      <c r="AW2084" s="194"/>
      <c r="AX2084" s="194"/>
      <c r="AY2084" s="194"/>
      <c r="AZ2084" s="194"/>
    </row>
    <row r="2085" spans="37:52" x14ac:dyDescent="0.2">
      <c r="AK2085" s="194"/>
      <c r="AL2085" s="194"/>
      <c r="AM2085" s="194"/>
      <c r="AN2085" s="194"/>
      <c r="AO2085" s="194"/>
      <c r="AP2085" s="208"/>
      <c r="AQ2085" s="194"/>
      <c r="AR2085" s="194"/>
      <c r="AS2085" s="194"/>
      <c r="AT2085" s="194"/>
      <c r="AU2085" s="194"/>
      <c r="AV2085" s="194"/>
      <c r="AW2085" s="194"/>
      <c r="AX2085" s="194"/>
      <c r="AY2085" s="194"/>
      <c r="AZ2085" s="194"/>
    </row>
    <row r="2086" spans="37:52" x14ac:dyDescent="0.2">
      <c r="AK2086" s="194"/>
      <c r="AL2086" s="194"/>
      <c r="AM2086" s="194"/>
      <c r="AN2086" s="194"/>
      <c r="AO2086" s="194"/>
      <c r="AP2086" s="208"/>
      <c r="AQ2086" s="194"/>
      <c r="AR2086" s="194"/>
      <c r="AS2086" s="194"/>
      <c r="AT2086" s="194"/>
      <c r="AU2086" s="194"/>
      <c r="AV2086" s="194"/>
      <c r="AW2086" s="194"/>
      <c r="AX2086" s="194"/>
      <c r="AY2086" s="194"/>
      <c r="AZ2086" s="194"/>
    </row>
    <row r="2087" spans="37:52" x14ac:dyDescent="0.2">
      <c r="AK2087" s="194"/>
      <c r="AL2087" s="194"/>
      <c r="AM2087" s="194"/>
      <c r="AN2087" s="194"/>
      <c r="AO2087" s="194"/>
      <c r="AP2087" s="208"/>
      <c r="AQ2087" s="194"/>
      <c r="AR2087" s="194"/>
      <c r="AS2087" s="194"/>
      <c r="AT2087" s="194"/>
      <c r="AU2087" s="194"/>
      <c r="AV2087" s="194"/>
      <c r="AW2087" s="194"/>
      <c r="AX2087" s="194"/>
      <c r="AY2087" s="194"/>
      <c r="AZ2087" s="194"/>
    </row>
    <row r="2088" spans="37:52" x14ac:dyDescent="0.2">
      <c r="AK2088" s="194"/>
      <c r="AL2088" s="194"/>
      <c r="AM2088" s="194"/>
      <c r="AN2088" s="194"/>
      <c r="AO2088" s="194"/>
      <c r="AP2088" s="208"/>
      <c r="AQ2088" s="194"/>
      <c r="AR2088" s="194"/>
      <c r="AS2088" s="194"/>
      <c r="AT2088" s="194"/>
      <c r="AU2088" s="194"/>
      <c r="AV2088" s="194"/>
      <c r="AW2088" s="194"/>
      <c r="AX2088" s="194"/>
      <c r="AY2088" s="194"/>
      <c r="AZ2088" s="194"/>
    </row>
    <row r="2089" spans="37:52" x14ac:dyDescent="0.2">
      <c r="AK2089" s="194"/>
      <c r="AL2089" s="194"/>
      <c r="AM2089" s="194"/>
      <c r="AN2089" s="194"/>
      <c r="AO2089" s="194"/>
      <c r="AP2089" s="208"/>
      <c r="AQ2089" s="194"/>
      <c r="AR2089" s="194"/>
      <c r="AS2089" s="194"/>
      <c r="AT2089" s="194"/>
      <c r="AU2089" s="194"/>
      <c r="AV2089" s="194"/>
      <c r="AW2089" s="194"/>
      <c r="AX2089" s="194"/>
      <c r="AY2089" s="194"/>
      <c r="AZ2089" s="194"/>
    </row>
    <row r="2090" spans="37:52" x14ac:dyDescent="0.2">
      <c r="AK2090" s="194"/>
      <c r="AL2090" s="194"/>
      <c r="AM2090" s="194"/>
      <c r="AN2090" s="194"/>
      <c r="AO2090" s="194"/>
      <c r="AP2090" s="208"/>
      <c r="AQ2090" s="194"/>
      <c r="AR2090" s="194"/>
      <c r="AS2090" s="194"/>
      <c r="AT2090" s="194"/>
      <c r="AU2090" s="194"/>
      <c r="AV2090" s="194"/>
      <c r="AW2090" s="194"/>
      <c r="AX2090" s="194"/>
      <c r="AY2090" s="194"/>
      <c r="AZ2090" s="194"/>
    </row>
    <row r="2091" spans="37:52" x14ac:dyDescent="0.2">
      <c r="AK2091" s="194"/>
      <c r="AL2091" s="194"/>
      <c r="AM2091" s="194"/>
      <c r="AN2091" s="194"/>
      <c r="AO2091" s="194"/>
      <c r="AP2091" s="208"/>
      <c r="AQ2091" s="194"/>
      <c r="AR2091" s="194"/>
      <c r="AS2091" s="194"/>
      <c r="AT2091" s="194"/>
      <c r="AU2091" s="194"/>
      <c r="AV2091" s="194"/>
      <c r="AW2091" s="194"/>
      <c r="AX2091" s="194"/>
      <c r="AY2091" s="194"/>
      <c r="AZ2091" s="194"/>
    </row>
    <row r="2092" spans="37:52" x14ac:dyDescent="0.2">
      <c r="AK2092" s="194"/>
      <c r="AL2092" s="194"/>
      <c r="AM2092" s="194"/>
      <c r="AN2092" s="194"/>
      <c r="AO2092" s="194"/>
      <c r="AP2092" s="208"/>
      <c r="AQ2092" s="194"/>
      <c r="AR2092" s="194"/>
      <c r="AS2092" s="194"/>
      <c r="AT2092" s="194"/>
      <c r="AU2092" s="194"/>
      <c r="AV2092" s="194"/>
      <c r="AW2092" s="194"/>
      <c r="AX2092" s="194"/>
      <c r="AY2092" s="194"/>
      <c r="AZ2092" s="194"/>
    </row>
    <row r="2093" spans="37:52" x14ac:dyDescent="0.2">
      <c r="AK2093" s="194"/>
      <c r="AL2093" s="194"/>
      <c r="AM2093" s="194"/>
      <c r="AN2093" s="194"/>
      <c r="AO2093" s="194"/>
      <c r="AP2093" s="208"/>
      <c r="AQ2093" s="194"/>
      <c r="AR2093" s="194"/>
      <c r="AS2093" s="194"/>
      <c r="AT2093" s="194"/>
      <c r="AU2093" s="194"/>
      <c r="AV2093" s="194"/>
      <c r="AW2093" s="194"/>
      <c r="AX2093" s="194"/>
      <c r="AY2093" s="194"/>
      <c r="AZ2093" s="194"/>
    </row>
    <row r="2094" spans="37:52" x14ac:dyDescent="0.2">
      <c r="AK2094" s="194"/>
      <c r="AL2094" s="194"/>
      <c r="AM2094" s="194"/>
      <c r="AN2094" s="194"/>
      <c r="AO2094" s="194"/>
      <c r="AP2094" s="208"/>
      <c r="AQ2094" s="194"/>
      <c r="AR2094" s="194"/>
      <c r="AS2094" s="194"/>
      <c r="AT2094" s="194"/>
      <c r="AU2094" s="194"/>
      <c r="AV2094" s="194"/>
      <c r="AW2094" s="194"/>
      <c r="AX2094" s="194"/>
      <c r="AY2094" s="194"/>
      <c r="AZ2094" s="194"/>
    </row>
    <row r="2095" spans="37:52" x14ac:dyDescent="0.2">
      <c r="AK2095" s="194"/>
      <c r="AL2095" s="194"/>
      <c r="AM2095" s="194"/>
      <c r="AN2095" s="194"/>
      <c r="AO2095" s="194"/>
      <c r="AP2095" s="208"/>
      <c r="AQ2095" s="194"/>
      <c r="AR2095" s="194"/>
      <c r="AS2095" s="194"/>
      <c r="AT2095" s="194"/>
      <c r="AU2095" s="194"/>
      <c r="AV2095" s="194"/>
      <c r="AW2095" s="194"/>
      <c r="AX2095" s="194"/>
      <c r="AY2095" s="194"/>
      <c r="AZ2095" s="194"/>
    </row>
    <row r="2096" spans="37:52" x14ac:dyDescent="0.2">
      <c r="AK2096" s="194"/>
      <c r="AL2096" s="194"/>
      <c r="AM2096" s="194"/>
      <c r="AN2096" s="194"/>
      <c r="AO2096" s="194"/>
      <c r="AP2096" s="208"/>
      <c r="AQ2096" s="194"/>
      <c r="AR2096" s="194"/>
      <c r="AS2096" s="194"/>
      <c r="AT2096" s="194"/>
      <c r="AU2096" s="194"/>
      <c r="AV2096" s="194"/>
      <c r="AW2096" s="194"/>
      <c r="AX2096" s="194"/>
      <c r="AY2096" s="194"/>
      <c r="AZ2096" s="194"/>
    </row>
    <row r="2097" spans="37:52" x14ac:dyDescent="0.2">
      <c r="AK2097" s="194"/>
      <c r="AL2097" s="194"/>
      <c r="AM2097" s="194"/>
      <c r="AN2097" s="194"/>
      <c r="AO2097" s="194"/>
      <c r="AP2097" s="208"/>
      <c r="AQ2097" s="194"/>
      <c r="AR2097" s="194"/>
      <c r="AS2097" s="194"/>
      <c r="AT2097" s="194"/>
      <c r="AU2097" s="194"/>
      <c r="AV2097" s="194"/>
      <c r="AW2097" s="194"/>
      <c r="AX2097" s="194"/>
      <c r="AY2097" s="194"/>
      <c r="AZ2097" s="194"/>
    </row>
    <row r="2098" spans="37:52" x14ac:dyDescent="0.2">
      <c r="AK2098" s="194"/>
      <c r="AL2098" s="194"/>
      <c r="AM2098" s="194"/>
      <c r="AN2098" s="194"/>
      <c r="AO2098" s="194"/>
      <c r="AP2098" s="208"/>
      <c r="AQ2098" s="194"/>
      <c r="AR2098" s="194"/>
      <c r="AS2098" s="194"/>
      <c r="AT2098" s="194"/>
      <c r="AU2098" s="194"/>
      <c r="AV2098" s="194"/>
      <c r="AW2098" s="194"/>
      <c r="AX2098" s="194"/>
      <c r="AY2098" s="194"/>
      <c r="AZ2098" s="194"/>
    </row>
    <row r="2099" spans="37:52" x14ac:dyDescent="0.2">
      <c r="AK2099" s="194"/>
      <c r="AL2099" s="194"/>
      <c r="AM2099" s="194"/>
      <c r="AN2099" s="194"/>
      <c r="AO2099" s="194"/>
      <c r="AP2099" s="208"/>
      <c r="AQ2099" s="194"/>
      <c r="AR2099" s="194"/>
      <c r="AS2099" s="194"/>
      <c r="AT2099" s="194"/>
      <c r="AU2099" s="194"/>
      <c r="AV2099" s="194"/>
      <c r="AW2099" s="194"/>
      <c r="AX2099" s="194"/>
      <c r="AY2099" s="194"/>
      <c r="AZ2099" s="194"/>
    </row>
    <row r="2100" spans="37:52" x14ac:dyDescent="0.2">
      <c r="AK2100" s="194"/>
      <c r="AL2100" s="194"/>
      <c r="AM2100" s="194"/>
      <c r="AN2100" s="194"/>
      <c r="AO2100" s="194"/>
      <c r="AP2100" s="208"/>
      <c r="AQ2100" s="194"/>
      <c r="AR2100" s="194"/>
      <c r="AS2100" s="194"/>
      <c r="AT2100" s="194"/>
      <c r="AU2100" s="194"/>
      <c r="AV2100" s="194"/>
      <c r="AW2100" s="194"/>
      <c r="AX2100" s="194"/>
      <c r="AY2100" s="194"/>
      <c r="AZ2100" s="194"/>
    </row>
    <row r="2101" spans="37:52" x14ac:dyDescent="0.2">
      <c r="AK2101" s="194"/>
      <c r="AL2101" s="194"/>
      <c r="AM2101" s="194"/>
      <c r="AN2101" s="194"/>
      <c r="AO2101" s="194"/>
      <c r="AP2101" s="208"/>
      <c r="AQ2101" s="194"/>
      <c r="AR2101" s="194"/>
      <c r="AS2101" s="194"/>
      <c r="AT2101" s="194"/>
      <c r="AU2101" s="194"/>
      <c r="AV2101" s="194"/>
      <c r="AW2101" s="194"/>
      <c r="AX2101" s="194"/>
      <c r="AY2101" s="194"/>
      <c r="AZ2101" s="194"/>
    </row>
    <row r="2102" spans="37:52" x14ac:dyDescent="0.2">
      <c r="AK2102" s="194"/>
      <c r="AL2102" s="194"/>
      <c r="AM2102" s="194"/>
      <c r="AN2102" s="194"/>
      <c r="AO2102" s="194"/>
      <c r="AP2102" s="208"/>
      <c r="AQ2102" s="194"/>
      <c r="AR2102" s="194"/>
      <c r="AS2102" s="194"/>
      <c r="AT2102" s="194"/>
      <c r="AU2102" s="194"/>
      <c r="AV2102" s="194"/>
      <c r="AW2102" s="194"/>
      <c r="AX2102" s="194"/>
      <c r="AY2102" s="194"/>
      <c r="AZ2102" s="194"/>
    </row>
    <row r="2103" spans="37:52" x14ac:dyDescent="0.2">
      <c r="AK2103" s="194"/>
      <c r="AL2103" s="194"/>
      <c r="AM2103" s="194"/>
      <c r="AN2103" s="194"/>
      <c r="AO2103" s="194"/>
      <c r="AP2103" s="208"/>
      <c r="AQ2103" s="194"/>
      <c r="AR2103" s="194"/>
      <c r="AS2103" s="194"/>
      <c r="AT2103" s="194"/>
      <c r="AU2103" s="194"/>
      <c r="AV2103" s="194"/>
      <c r="AW2103" s="194"/>
      <c r="AX2103" s="194"/>
      <c r="AY2103" s="194"/>
      <c r="AZ2103" s="194"/>
    </row>
    <row r="2104" spans="37:52" x14ac:dyDescent="0.2">
      <c r="AK2104" s="194"/>
      <c r="AL2104" s="194"/>
      <c r="AM2104" s="194"/>
      <c r="AN2104" s="194"/>
      <c r="AO2104" s="194"/>
      <c r="AP2104" s="208"/>
      <c r="AQ2104" s="194"/>
      <c r="AR2104" s="194"/>
      <c r="AS2104" s="194"/>
      <c r="AT2104" s="194"/>
      <c r="AU2104" s="194"/>
      <c r="AV2104" s="194"/>
      <c r="AW2104" s="194"/>
      <c r="AX2104" s="194"/>
      <c r="AY2104" s="194"/>
      <c r="AZ2104" s="194"/>
    </row>
    <row r="2105" spans="37:52" x14ac:dyDescent="0.2">
      <c r="AK2105" s="194"/>
      <c r="AL2105" s="194"/>
      <c r="AM2105" s="194"/>
      <c r="AN2105" s="194"/>
      <c r="AO2105" s="194"/>
      <c r="AP2105" s="208"/>
      <c r="AQ2105" s="194"/>
      <c r="AR2105" s="194"/>
      <c r="AS2105" s="194"/>
      <c r="AT2105" s="194"/>
      <c r="AU2105" s="194"/>
      <c r="AV2105" s="194"/>
      <c r="AW2105" s="194"/>
      <c r="AX2105" s="194"/>
      <c r="AY2105" s="194"/>
      <c r="AZ2105" s="194"/>
    </row>
    <row r="2106" spans="37:52" x14ac:dyDescent="0.2">
      <c r="AK2106" s="194"/>
      <c r="AL2106" s="194"/>
      <c r="AM2106" s="194"/>
      <c r="AN2106" s="194"/>
      <c r="AO2106" s="194"/>
      <c r="AP2106" s="208"/>
      <c r="AQ2106" s="194"/>
      <c r="AR2106" s="194"/>
      <c r="AS2106" s="194"/>
      <c r="AT2106" s="194"/>
      <c r="AU2106" s="194"/>
      <c r="AV2106" s="194"/>
      <c r="AW2106" s="194"/>
      <c r="AX2106" s="194"/>
      <c r="AY2106" s="194"/>
      <c r="AZ2106" s="194"/>
    </row>
    <row r="2107" spans="37:52" x14ac:dyDescent="0.2">
      <c r="AK2107" s="194"/>
      <c r="AL2107" s="194"/>
      <c r="AM2107" s="194"/>
      <c r="AN2107" s="194"/>
      <c r="AO2107" s="194"/>
      <c r="AP2107" s="208"/>
      <c r="AQ2107" s="194"/>
      <c r="AR2107" s="194"/>
      <c r="AS2107" s="194"/>
      <c r="AT2107" s="194"/>
      <c r="AU2107" s="194"/>
      <c r="AV2107" s="194"/>
      <c r="AW2107" s="194"/>
      <c r="AX2107" s="194"/>
      <c r="AY2107" s="194"/>
      <c r="AZ2107" s="194"/>
    </row>
    <row r="2108" spans="37:52" x14ac:dyDescent="0.2">
      <c r="AK2108" s="194"/>
      <c r="AL2108" s="194"/>
      <c r="AM2108" s="194"/>
      <c r="AN2108" s="194"/>
      <c r="AO2108" s="194"/>
      <c r="AP2108" s="208"/>
      <c r="AQ2108" s="194"/>
      <c r="AR2108" s="194"/>
      <c r="AS2108" s="194"/>
      <c r="AT2108" s="194"/>
      <c r="AU2108" s="194"/>
      <c r="AV2108" s="194"/>
      <c r="AW2108" s="194"/>
      <c r="AX2108" s="194"/>
      <c r="AY2108" s="194"/>
      <c r="AZ2108" s="194"/>
    </row>
    <row r="2109" spans="37:52" x14ac:dyDescent="0.2">
      <c r="AK2109" s="194"/>
      <c r="AL2109" s="194"/>
      <c r="AM2109" s="194"/>
      <c r="AN2109" s="194"/>
      <c r="AO2109" s="194"/>
      <c r="AP2109" s="208"/>
      <c r="AQ2109" s="194"/>
      <c r="AR2109" s="194"/>
      <c r="AS2109" s="194"/>
      <c r="AT2109" s="194"/>
      <c r="AU2109" s="194"/>
      <c r="AV2109" s="194"/>
      <c r="AW2109" s="194"/>
      <c r="AX2109" s="194"/>
      <c r="AY2109" s="194"/>
      <c r="AZ2109" s="194"/>
    </row>
    <row r="2110" spans="37:52" x14ac:dyDescent="0.2">
      <c r="AK2110" s="194"/>
      <c r="AL2110" s="194"/>
      <c r="AM2110" s="194"/>
      <c r="AN2110" s="194"/>
      <c r="AO2110" s="194"/>
      <c r="AP2110" s="208"/>
      <c r="AQ2110" s="194"/>
      <c r="AR2110" s="194"/>
      <c r="AS2110" s="194"/>
      <c r="AT2110" s="194"/>
      <c r="AU2110" s="194"/>
      <c r="AV2110" s="194"/>
      <c r="AW2110" s="194"/>
      <c r="AX2110" s="194"/>
      <c r="AY2110" s="194"/>
      <c r="AZ2110" s="194"/>
    </row>
    <row r="2111" spans="37:52" x14ac:dyDescent="0.2">
      <c r="AK2111" s="194"/>
      <c r="AL2111" s="194"/>
      <c r="AM2111" s="194"/>
      <c r="AN2111" s="194"/>
      <c r="AO2111" s="194"/>
      <c r="AP2111" s="208"/>
      <c r="AQ2111" s="194"/>
      <c r="AR2111" s="194"/>
      <c r="AS2111" s="194"/>
      <c r="AT2111" s="194"/>
      <c r="AU2111" s="194"/>
      <c r="AV2111" s="194"/>
      <c r="AW2111" s="194"/>
      <c r="AX2111" s="194"/>
      <c r="AY2111" s="194"/>
      <c r="AZ2111" s="194"/>
    </row>
    <row r="2112" spans="37:52" x14ac:dyDescent="0.2">
      <c r="AK2112" s="194"/>
      <c r="AL2112" s="194"/>
      <c r="AM2112" s="194"/>
      <c r="AN2112" s="194"/>
      <c r="AO2112" s="194"/>
      <c r="AP2112" s="208"/>
      <c r="AQ2112" s="194"/>
      <c r="AR2112" s="194"/>
      <c r="AS2112" s="194"/>
      <c r="AT2112" s="194"/>
      <c r="AU2112" s="194"/>
      <c r="AV2112" s="194"/>
      <c r="AW2112" s="194"/>
      <c r="AX2112" s="194"/>
      <c r="AY2112" s="194"/>
      <c r="AZ2112" s="194"/>
    </row>
    <row r="2113" spans="37:52" x14ac:dyDescent="0.2">
      <c r="AK2113" s="194"/>
      <c r="AL2113" s="194"/>
      <c r="AM2113" s="194"/>
      <c r="AN2113" s="194"/>
      <c r="AO2113" s="194"/>
      <c r="AP2113" s="208"/>
      <c r="AQ2113" s="194"/>
      <c r="AR2113" s="194"/>
      <c r="AS2113" s="194"/>
      <c r="AT2113" s="194"/>
      <c r="AU2113" s="194"/>
      <c r="AV2113" s="194"/>
      <c r="AW2113" s="194"/>
      <c r="AX2113" s="194"/>
      <c r="AY2113" s="194"/>
      <c r="AZ2113" s="194"/>
    </row>
    <row r="2114" spans="37:52" x14ac:dyDescent="0.2">
      <c r="AK2114" s="194"/>
      <c r="AL2114" s="194"/>
      <c r="AM2114" s="194"/>
      <c r="AN2114" s="194"/>
      <c r="AO2114" s="194"/>
      <c r="AP2114" s="208"/>
      <c r="AQ2114" s="194"/>
      <c r="AR2114" s="194"/>
      <c r="AS2114" s="194"/>
      <c r="AT2114" s="194"/>
      <c r="AU2114" s="194"/>
      <c r="AV2114" s="194"/>
      <c r="AW2114" s="194"/>
      <c r="AX2114" s="194"/>
      <c r="AY2114" s="194"/>
      <c r="AZ2114" s="194"/>
    </row>
    <row r="2115" spans="37:52" x14ac:dyDescent="0.2">
      <c r="AK2115" s="194"/>
      <c r="AL2115" s="194"/>
      <c r="AM2115" s="194"/>
      <c r="AN2115" s="194"/>
      <c r="AO2115" s="194"/>
      <c r="AP2115" s="208"/>
      <c r="AQ2115" s="194"/>
      <c r="AR2115" s="194"/>
      <c r="AS2115" s="194"/>
      <c r="AT2115" s="194"/>
      <c r="AU2115" s="194"/>
      <c r="AV2115" s="194"/>
      <c r="AW2115" s="194"/>
      <c r="AX2115" s="194"/>
      <c r="AY2115" s="194"/>
      <c r="AZ2115" s="194"/>
    </row>
    <row r="2116" spans="37:52" x14ac:dyDescent="0.2">
      <c r="AK2116" s="194"/>
      <c r="AL2116" s="194"/>
      <c r="AM2116" s="194"/>
      <c r="AN2116" s="194"/>
      <c r="AO2116" s="194"/>
      <c r="AP2116" s="208"/>
      <c r="AQ2116" s="194"/>
      <c r="AR2116" s="194"/>
      <c r="AS2116" s="194"/>
      <c r="AT2116" s="194"/>
      <c r="AU2116" s="194"/>
      <c r="AV2116" s="194"/>
      <c r="AW2116" s="194"/>
      <c r="AX2116" s="194"/>
      <c r="AY2116" s="194"/>
      <c r="AZ2116" s="194"/>
    </row>
    <row r="2117" spans="37:52" x14ac:dyDescent="0.2">
      <c r="AK2117" s="194"/>
      <c r="AL2117" s="194"/>
      <c r="AM2117" s="194"/>
      <c r="AN2117" s="194"/>
      <c r="AO2117" s="194"/>
      <c r="AP2117" s="208"/>
      <c r="AQ2117" s="194"/>
      <c r="AR2117" s="194"/>
      <c r="AS2117" s="194"/>
      <c r="AT2117" s="194"/>
      <c r="AU2117" s="194"/>
      <c r="AV2117" s="194"/>
      <c r="AW2117" s="194"/>
      <c r="AX2117" s="194"/>
      <c r="AY2117" s="194"/>
      <c r="AZ2117" s="194"/>
    </row>
    <row r="2118" spans="37:52" x14ac:dyDescent="0.2">
      <c r="AK2118" s="194"/>
      <c r="AL2118" s="194"/>
      <c r="AM2118" s="194"/>
      <c r="AN2118" s="194"/>
      <c r="AO2118" s="194"/>
      <c r="AP2118" s="208"/>
      <c r="AQ2118" s="194"/>
      <c r="AR2118" s="194"/>
      <c r="AS2118" s="194"/>
      <c r="AT2118" s="194"/>
      <c r="AU2118" s="194"/>
      <c r="AV2118" s="194"/>
      <c r="AW2118" s="194"/>
      <c r="AX2118" s="194"/>
      <c r="AY2118" s="194"/>
      <c r="AZ2118" s="194"/>
    </row>
    <row r="2119" spans="37:52" x14ac:dyDescent="0.2">
      <c r="AK2119" s="194"/>
      <c r="AL2119" s="194"/>
      <c r="AM2119" s="194"/>
      <c r="AN2119" s="194"/>
      <c r="AO2119" s="194"/>
      <c r="AP2119" s="208"/>
      <c r="AQ2119" s="194"/>
      <c r="AR2119" s="194"/>
      <c r="AS2119" s="194"/>
      <c r="AT2119" s="194"/>
      <c r="AU2119" s="194"/>
      <c r="AV2119" s="194"/>
      <c r="AW2119" s="194"/>
      <c r="AX2119" s="194"/>
      <c r="AY2119" s="194"/>
      <c r="AZ2119" s="194"/>
    </row>
    <row r="2120" spans="37:52" x14ac:dyDescent="0.2">
      <c r="AK2120" s="194"/>
      <c r="AL2120" s="194"/>
      <c r="AM2120" s="194"/>
      <c r="AN2120" s="194"/>
      <c r="AO2120" s="194"/>
      <c r="AP2120" s="208"/>
      <c r="AQ2120" s="194"/>
      <c r="AR2120" s="194"/>
      <c r="AS2120" s="194"/>
      <c r="AT2120" s="194"/>
      <c r="AU2120" s="194"/>
      <c r="AV2120" s="194"/>
      <c r="AW2120" s="194"/>
      <c r="AX2120" s="194"/>
      <c r="AY2120" s="194"/>
      <c r="AZ2120" s="194"/>
    </row>
    <row r="2121" spans="37:52" x14ac:dyDescent="0.2">
      <c r="AK2121" s="194"/>
      <c r="AL2121" s="194"/>
      <c r="AM2121" s="194"/>
      <c r="AN2121" s="194"/>
      <c r="AO2121" s="194"/>
      <c r="AP2121" s="208"/>
      <c r="AQ2121" s="194"/>
      <c r="AR2121" s="194"/>
      <c r="AS2121" s="194"/>
      <c r="AT2121" s="194"/>
      <c r="AU2121" s="194"/>
      <c r="AV2121" s="194"/>
      <c r="AW2121" s="194"/>
      <c r="AX2121" s="194"/>
      <c r="AY2121" s="194"/>
      <c r="AZ2121" s="194"/>
    </row>
    <row r="2122" spans="37:52" x14ac:dyDescent="0.2">
      <c r="AK2122" s="194"/>
      <c r="AL2122" s="194"/>
      <c r="AM2122" s="194"/>
      <c r="AN2122" s="194"/>
      <c r="AO2122" s="194"/>
      <c r="AP2122" s="208"/>
      <c r="AQ2122" s="194"/>
      <c r="AR2122" s="194"/>
      <c r="AS2122" s="194"/>
      <c r="AT2122" s="194"/>
      <c r="AU2122" s="194"/>
      <c r="AV2122" s="194"/>
      <c r="AW2122" s="194"/>
      <c r="AX2122" s="194"/>
      <c r="AY2122" s="194"/>
      <c r="AZ2122" s="194"/>
    </row>
    <row r="2123" spans="37:52" x14ac:dyDescent="0.2">
      <c r="AK2123" s="194"/>
      <c r="AL2123" s="194"/>
      <c r="AM2123" s="194"/>
      <c r="AN2123" s="194"/>
      <c r="AO2123" s="194"/>
      <c r="AP2123" s="208"/>
      <c r="AQ2123" s="194"/>
      <c r="AR2123" s="194"/>
      <c r="AS2123" s="194"/>
      <c r="AT2123" s="194"/>
      <c r="AU2123" s="194"/>
      <c r="AV2123" s="194"/>
      <c r="AW2123" s="194"/>
      <c r="AX2123" s="194"/>
      <c r="AY2123" s="194"/>
      <c r="AZ2123" s="194"/>
    </row>
    <row r="2124" spans="37:52" x14ac:dyDescent="0.2">
      <c r="AK2124" s="194"/>
      <c r="AL2124" s="194"/>
      <c r="AM2124" s="194"/>
      <c r="AN2124" s="194"/>
      <c r="AO2124" s="194"/>
      <c r="AP2124" s="208"/>
      <c r="AQ2124" s="194"/>
      <c r="AR2124" s="194"/>
      <c r="AS2124" s="194"/>
      <c r="AT2124" s="194"/>
      <c r="AU2124" s="194"/>
      <c r="AV2124" s="194"/>
      <c r="AW2124" s="194"/>
      <c r="AX2124" s="194"/>
      <c r="AY2124" s="194"/>
      <c r="AZ2124" s="194"/>
    </row>
    <row r="2125" spans="37:52" x14ac:dyDescent="0.2">
      <c r="AK2125" s="194"/>
      <c r="AL2125" s="194"/>
      <c r="AM2125" s="194"/>
      <c r="AN2125" s="194"/>
      <c r="AO2125" s="194"/>
      <c r="AP2125" s="208"/>
      <c r="AQ2125" s="194"/>
      <c r="AR2125" s="194"/>
      <c r="AS2125" s="194"/>
      <c r="AT2125" s="194"/>
      <c r="AU2125" s="194"/>
      <c r="AV2125" s="194"/>
      <c r="AW2125" s="194"/>
      <c r="AX2125" s="194"/>
      <c r="AY2125" s="194"/>
      <c r="AZ2125" s="194"/>
    </row>
    <row r="2126" spans="37:52" x14ac:dyDescent="0.2">
      <c r="AK2126" s="194"/>
      <c r="AL2126" s="194"/>
      <c r="AM2126" s="194"/>
      <c r="AN2126" s="194"/>
      <c r="AO2126" s="194"/>
      <c r="AP2126" s="208"/>
      <c r="AQ2126" s="194"/>
      <c r="AR2126" s="194"/>
      <c r="AS2126" s="194"/>
      <c r="AT2126" s="194"/>
      <c r="AU2126" s="194"/>
      <c r="AV2126" s="194"/>
      <c r="AW2126" s="194"/>
      <c r="AX2126" s="194"/>
      <c r="AY2126" s="194"/>
      <c r="AZ2126" s="194"/>
    </row>
    <row r="2127" spans="37:52" x14ac:dyDescent="0.2">
      <c r="AK2127" s="194"/>
      <c r="AL2127" s="194"/>
      <c r="AM2127" s="194"/>
      <c r="AN2127" s="194"/>
      <c r="AO2127" s="194"/>
      <c r="AP2127" s="208"/>
      <c r="AQ2127" s="194"/>
      <c r="AR2127" s="194"/>
      <c r="AS2127" s="194"/>
      <c r="AT2127" s="194"/>
      <c r="AU2127" s="194"/>
      <c r="AV2127" s="194"/>
      <c r="AW2127" s="194"/>
      <c r="AX2127" s="194"/>
      <c r="AY2127" s="194"/>
      <c r="AZ2127" s="194"/>
    </row>
    <row r="2128" spans="37:52" x14ac:dyDescent="0.2">
      <c r="AK2128" s="194"/>
      <c r="AL2128" s="194"/>
      <c r="AM2128" s="194"/>
      <c r="AN2128" s="194"/>
      <c r="AO2128" s="194"/>
      <c r="AP2128" s="208"/>
      <c r="AQ2128" s="194"/>
      <c r="AR2128" s="194"/>
      <c r="AS2128" s="194"/>
      <c r="AT2128" s="194"/>
      <c r="AU2128" s="194"/>
      <c r="AV2128" s="194"/>
      <c r="AW2128" s="194"/>
      <c r="AX2128" s="194"/>
      <c r="AY2128" s="194"/>
      <c r="AZ2128" s="194"/>
    </row>
    <row r="2129" spans="37:52" x14ac:dyDescent="0.2">
      <c r="AK2129" s="194"/>
      <c r="AL2129" s="194"/>
      <c r="AM2129" s="194"/>
      <c r="AN2129" s="194"/>
      <c r="AO2129" s="194"/>
      <c r="AP2129" s="208"/>
      <c r="AQ2129" s="194"/>
      <c r="AR2129" s="194"/>
      <c r="AS2129" s="194"/>
      <c r="AT2129" s="194"/>
      <c r="AU2129" s="194"/>
      <c r="AV2129" s="194"/>
      <c r="AW2129" s="194"/>
      <c r="AX2129" s="194"/>
      <c r="AY2129" s="194"/>
      <c r="AZ2129" s="194"/>
    </row>
    <row r="2130" spans="37:52" x14ac:dyDescent="0.2">
      <c r="AK2130" s="194"/>
      <c r="AL2130" s="194"/>
      <c r="AM2130" s="194"/>
      <c r="AN2130" s="194"/>
      <c r="AO2130" s="194"/>
      <c r="AP2130" s="208"/>
      <c r="AQ2130" s="194"/>
      <c r="AR2130" s="194"/>
      <c r="AS2130" s="194"/>
      <c r="AT2130" s="194"/>
      <c r="AU2130" s="194"/>
      <c r="AV2130" s="194"/>
      <c r="AW2130" s="194"/>
      <c r="AX2130" s="194"/>
      <c r="AY2130" s="194"/>
      <c r="AZ2130" s="194"/>
    </row>
    <row r="2131" spans="37:52" x14ac:dyDescent="0.2">
      <c r="AK2131" s="194"/>
      <c r="AL2131" s="194"/>
      <c r="AM2131" s="194"/>
      <c r="AN2131" s="194"/>
      <c r="AO2131" s="194"/>
      <c r="AP2131" s="208"/>
      <c r="AQ2131" s="194"/>
      <c r="AR2131" s="194"/>
      <c r="AS2131" s="194"/>
      <c r="AT2131" s="194"/>
      <c r="AU2131" s="194"/>
      <c r="AV2131" s="194"/>
      <c r="AW2131" s="194"/>
      <c r="AX2131" s="194"/>
      <c r="AY2131" s="194"/>
      <c r="AZ2131" s="194"/>
    </row>
    <row r="2132" spans="37:52" x14ac:dyDescent="0.2">
      <c r="AK2132" s="194"/>
      <c r="AL2132" s="194"/>
      <c r="AM2132" s="194"/>
      <c r="AN2132" s="194"/>
      <c r="AO2132" s="194"/>
      <c r="AP2132" s="208"/>
      <c r="AQ2132" s="194"/>
      <c r="AR2132" s="194"/>
      <c r="AS2132" s="194"/>
      <c r="AT2132" s="194"/>
      <c r="AU2132" s="194"/>
      <c r="AV2132" s="194"/>
      <c r="AW2132" s="194"/>
      <c r="AX2132" s="194"/>
      <c r="AY2132" s="194"/>
      <c r="AZ2132" s="194"/>
    </row>
    <row r="2133" spans="37:52" x14ac:dyDescent="0.2">
      <c r="AK2133" s="194"/>
      <c r="AL2133" s="194"/>
      <c r="AM2133" s="194"/>
      <c r="AN2133" s="194"/>
      <c r="AO2133" s="194"/>
      <c r="AP2133" s="208"/>
      <c r="AQ2133" s="194"/>
      <c r="AR2133" s="194"/>
      <c r="AS2133" s="194"/>
      <c r="AT2133" s="194"/>
      <c r="AU2133" s="194"/>
      <c r="AV2133" s="194"/>
      <c r="AW2133" s="194"/>
      <c r="AX2133" s="194"/>
      <c r="AY2133" s="194"/>
      <c r="AZ2133" s="194"/>
    </row>
    <row r="2134" spans="37:52" x14ac:dyDescent="0.2">
      <c r="AK2134" s="194"/>
      <c r="AL2134" s="194"/>
      <c r="AM2134" s="194"/>
      <c r="AN2134" s="194"/>
      <c r="AO2134" s="194"/>
      <c r="AP2134" s="208"/>
      <c r="AQ2134" s="194"/>
      <c r="AR2134" s="194"/>
      <c r="AS2134" s="194"/>
      <c r="AT2134" s="194"/>
      <c r="AU2134" s="194"/>
      <c r="AV2134" s="194"/>
      <c r="AW2134" s="194"/>
      <c r="AX2134" s="194"/>
      <c r="AY2134" s="194"/>
      <c r="AZ2134" s="194"/>
    </row>
    <row r="2135" spans="37:52" x14ac:dyDescent="0.2">
      <c r="AK2135" s="194"/>
      <c r="AL2135" s="194"/>
      <c r="AM2135" s="194"/>
      <c r="AN2135" s="194"/>
      <c r="AO2135" s="194"/>
      <c r="AP2135" s="208"/>
      <c r="AQ2135" s="194"/>
      <c r="AR2135" s="194"/>
      <c r="AS2135" s="194"/>
      <c r="AT2135" s="194"/>
      <c r="AU2135" s="194"/>
      <c r="AV2135" s="194"/>
      <c r="AW2135" s="194"/>
      <c r="AX2135" s="194"/>
      <c r="AY2135" s="194"/>
      <c r="AZ2135" s="194"/>
    </row>
    <row r="2136" spans="37:52" x14ac:dyDescent="0.2">
      <c r="AK2136" s="194"/>
      <c r="AL2136" s="194"/>
      <c r="AM2136" s="194"/>
      <c r="AN2136" s="194"/>
      <c r="AO2136" s="194"/>
      <c r="AP2136" s="208"/>
      <c r="AQ2136" s="194"/>
      <c r="AR2136" s="194"/>
      <c r="AS2136" s="194"/>
      <c r="AT2136" s="194"/>
      <c r="AU2136" s="194"/>
      <c r="AV2136" s="194"/>
      <c r="AW2136" s="194"/>
      <c r="AX2136" s="194"/>
      <c r="AY2136" s="194"/>
      <c r="AZ2136" s="194"/>
    </row>
    <row r="2137" spans="37:52" x14ac:dyDescent="0.2">
      <c r="AK2137" s="194"/>
      <c r="AL2137" s="194"/>
      <c r="AM2137" s="194"/>
      <c r="AN2137" s="194"/>
      <c r="AO2137" s="194"/>
      <c r="AP2137" s="208"/>
      <c r="AQ2137" s="194"/>
      <c r="AR2137" s="194"/>
      <c r="AS2137" s="194"/>
      <c r="AT2137" s="194"/>
      <c r="AU2137" s="194"/>
      <c r="AV2137" s="194"/>
      <c r="AW2137" s="194"/>
      <c r="AX2137" s="194"/>
      <c r="AY2137" s="194"/>
      <c r="AZ2137" s="194"/>
    </row>
    <row r="2138" spans="37:52" x14ac:dyDescent="0.2">
      <c r="AK2138" s="194"/>
      <c r="AL2138" s="194"/>
      <c r="AM2138" s="194"/>
      <c r="AN2138" s="194"/>
      <c r="AO2138" s="194"/>
      <c r="AP2138" s="208"/>
      <c r="AQ2138" s="194"/>
      <c r="AR2138" s="194"/>
      <c r="AS2138" s="194"/>
      <c r="AT2138" s="194"/>
      <c r="AU2138" s="194"/>
      <c r="AV2138" s="194"/>
      <c r="AW2138" s="194"/>
      <c r="AX2138" s="194"/>
      <c r="AY2138" s="194"/>
      <c r="AZ2138" s="194"/>
    </row>
    <row r="2139" spans="37:52" x14ac:dyDescent="0.2">
      <c r="AK2139" s="194"/>
      <c r="AL2139" s="194"/>
      <c r="AM2139" s="194"/>
      <c r="AN2139" s="194"/>
      <c r="AO2139" s="194"/>
      <c r="AP2139" s="208"/>
      <c r="AQ2139" s="194"/>
      <c r="AR2139" s="194"/>
      <c r="AS2139" s="194"/>
      <c r="AT2139" s="194"/>
      <c r="AU2139" s="194"/>
      <c r="AV2139" s="194"/>
      <c r="AW2139" s="194"/>
      <c r="AX2139" s="194"/>
      <c r="AY2139" s="194"/>
      <c r="AZ2139" s="194"/>
    </row>
    <row r="2140" spans="37:52" x14ac:dyDescent="0.2">
      <c r="AK2140" s="194"/>
      <c r="AL2140" s="194"/>
      <c r="AM2140" s="194"/>
      <c r="AN2140" s="194"/>
      <c r="AO2140" s="194"/>
      <c r="AP2140" s="208"/>
      <c r="AQ2140" s="194"/>
      <c r="AR2140" s="194"/>
      <c r="AS2140" s="194"/>
      <c r="AT2140" s="194"/>
      <c r="AU2140" s="194"/>
      <c r="AV2140" s="194"/>
      <c r="AW2140" s="194"/>
      <c r="AX2140" s="194"/>
      <c r="AY2140" s="194"/>
      <c r="AZ2140" s="194"/>
    </row>
    <row r="2141" spans="37:52" x14ac:dyDescent="0.2">
      <c r="AK2141" s="194"/>
      <c r="AL2141" s="194"/>
      <c r="AM2141" s="194"/>
      <c r="AN2141" s="194"/>
      <c r="AO2141" s="194"/>
      <c r="AP2141" s="208"/>
      <c r="AQ2141" s="194"/>
      <c r="AR2141" s="194"/>
      <c r="AS2141" s="194"/>
      <c r="AT2141" s="194"/>
      <c r="AU2141" s="194"/>
      <c r="AV2141" s="194"/>
      <c r="AW2141" s="194"/>
      <c r="AX2141" s="194"/>
      <c r="AY2141" s="194"/>
      <c r="AZ2141" s="194"/>
    </row>
    <row r="2142" spans="37:52" x14ac:dyDescent="0.2">
      <c r="AK2142" s="194"/>
      <c r="AL2142" s="194"/>
      <c r="AM2142" s="194"/>
      <c r="AN2142" s="194"/>
      <c r="AO2142" s="194"/>
      <c r="AP2142" s="208"/>
      <c r="AQ2142" s="194"/>
      <c r="AR2142" s="194"/>
      <c r="AS2142" s="194"/>
      <c r="AT2142" s="194"/>
      <c r="AU2142" s="194"/>
      <c r="AV2142" s="194"/>
      <c r="AW2142" s="194"/>
      <c r="AX2142" s="194"/>
      <c r="AY2142" s="194"/>
      <c r="AZ2142" s="194"/>
    </row>
    <row r="2143" spans="37:52" x14ac:dyDescent="0.2">
      <c r="AK2143" s="194"/>
      <c r="AL2143" s="194"/>
      <c r="AM2143" s="194"/>
      <c r="AN2143" s="194"/>
      <c r="AO2143" s="194"/>
      <c r="AP2143" s="208"/>
      <c r="AQ2143" s="194"/>
      <c r="AR2143" s="194"/>
      <c r="AS2143" s="194"/>
      <c r="AT2143" s="194"/>
      <c r="AU2143" s="194"/>
      <c r="AV2143" s="194"/>
      <c r="AW2143" s="194"/>
      <c r="AX2143" s="194"/>
      <c r="AY2143" s="194"/>
      <c r="AZ2143" s="194"/>
    </row>
    <row r="2144" spans="37:52" x14ac:dyDescent="0.2">
      <c r="AK2144" s="194"/>
      <c r="AL2144" s="194"/>
      <c r="AM2144" s="194"/>
      <c r="AN2144" s="194"/>
      <c r="AO2144" s="194"/>
      <c r="AP2144" s="208"/>
      <c r="AQ2144" s="194"/>
      <c r="AR2144" s="194"/>
      <c r="AS2144" s="194"/>
      <c r="AT2144" s="194"/>
      <c r="AU2144" s="194"/>
      <c r="AV2144" s="194"/>
      <c r="AW2144" s="194"/>
      <c r="AX2144" s="194"/>
      <c r="AY2144" s="194"/>
      <c r="AZ2144" s="194"/>
    </row>
    <row r="2145" spans="37:52" x14ac:dyDescent="0.2">
      <c r="AK2145" s="194"/>
      <c r="AL2145" s="194"/>
      <c r="AM2145" s="194"/>
      <c r="AN2145" s="194"/>
      <c r="AO2145" s="194"/>
      <c r="AP2145" s="208"/>
      <c r="AQ2145" s="194"/>
      <c r="AR2145" s="194"/>
      <c r="AS2145" s="194"/>
      <c r="AT2145" s="194"/>
      <c r="AU2145" s="194"/>
      <c r="AV2145" s="194"/>
      <c r="AW2145" s="194"/>
      <c r="AX2145" s="194"/>
      <c r="AY2145" s="194"/>
      <c r="AZ2145" s="194"/>
    </row>
    <row r="2146" spans="37:52" x14ac:dyDescent="0.2">
      <c r="AK2146" s="194"/>
      <c r="AL2146" s="194"/>
      <c r="AM2146" s="194"/>
      <c r="AN2146" s="194"/>
      <c r="AO2146" s="194"/>
      <c r="AP2146" s="208"/>
      <c r="AQ2146" s="194"/>
      <c r="AR2146" s="194"/>
      <c r="AS2146" s="194"/>
      <c r="AT2146" s="194"/>
      <c r="AU2146" s="194"/>
      <c r="AV2146" s="194"/>
      <c r="AW2146" s="194"/>
      <c r="AX2146" s="194"/>
      <c r="AY2146" s="194"/>
      <c r="AZ2146" s="194"/>
    </row>
    <row r="2147" spans="37:52" x14ac:dyDescent="0.2">
      <c r="AK2147" s="194"/>
      <c r="AL2147" s="194"/>
      <c r="AM2147" s="194"/>
      <c r="AN2147" s="194"/>
      <c r="AO2147" s="194"/>
      <c r="AP2147" s="208"/>
      <c r="AQ2147" s="194"/>
      <c r="AR2147" s="194"/>
      <c r="AS2147" s="194"/>
      <c r="AT2147" s="194"/>
      <c r="AU2147" s="194"/>
      <c r="AV2147" s="194"/>
      <c r="AW2147" s="194"/>
      <c r="AX2147" s="194"/>
      <c r="AY2147" s="194"/>
      <c r="AZ2147" s="194"/>
    </row>
    <row r="2148" spans="37:52" x14ac:dyDescent="0.2">
      <c r="AK2148" s="194"/>
      <c r="AL2148" s="194"/>
      <c r="AM2148" s="194"/>
      <c r="AN2148" s="194"/>
      <c r="AO2148" s="194"/>
      <c r="AP2148" s="208"/>
      <c r="AQ2148" s="194"/>
      <c r="AR2148" s="194"/>
      <c r="AS2148" s="194"/>
      <c r="AT2148" s="194"/>
      <c r="AU2148" s="194"/>
      <c r="AV2148" s="194"/>
      <c r="AW2148" s="194"/>
      <c r="AX2148" s="194"/>
      <c r="AY2148" s="194"/>
      <c r="AZ2148" s="194"/>
    </row>
    <row r="2149" spans="37:52" x14ac:dyDescent="0.2">
      <c r="AK2149" s="194"/>
      <c r="AL2149" s="194"/>
      <c r="AM2149" s="194"/>
      <c r="AN2149" s="194"/>
      <c r="AO2149" s="194"/>
      <c r="AP2149" s="208"/>
      <c r="AQ2149" s="194"/>
      <c r="AR2149" s="194"/>
      <c r="AS2149" s="194"/>
      <c r="AT2149" s="194"/>
      <c r="AU2149" s="194"/>
      <c r="AV2149" s="194"/>
      <c r="AW2149" s="194"/>
      <c r="AX2149" s="194"/>
      <c r="AY2149" s="194"/>
      <c r="AZ2149" s="194"/>
    </row>
    <row r="2150" spans="37:52" x14ac:dyDescent="0.2">
      <c r="AK2150" s="194"/>
      <c r="AL2150" s="194"/>
      <c r="AM2150" s="194"/>
      <c r="AN2150" s="194"/>
      <c r="AO2150" s="194"/>
      <c r="AP2150" s="208"/>
      <c r="AQ2150" s="194"/>
      <c r="AR2150" s="194"/>
      <c r="AS2150" s="194"/>
      <c r="AT2150" s="194"/>
      <c r="AU2150" s="194"/>
      <c r="AV2150" s="194"/>
      <c r="AW2150" s="194"/>
      <c r="AX2150" s="194"/>
      <c r="AY2150" s="194"/>
      <c r="AZ2150" s="194"/>
    </row>
    <row r="2151" spans="37:52" x14ac:dyDescent="0.2">
      <c r="AK2151" s="194"/>
      <c r="AL2151" s="194"/>
      <c r="AM2151" s="194"/>
      <c r="AN2151" s="194"/>
      <c r="AO2151" s="194"/>
      <c r="AP2151" s="208"/>
      <c r="AQ2151" s="194"/>
      <c r="AR2151" s="194"/>
      <c r="AS2151" s="194"/>
      <c r="AT2151" s="194"/>
      <c r="AU2151" s="194"/>
      <c r="AV2151" s="194"/>
      <c r="AW2151" s="194"/>
      <c r="AX2151" s="194"/>
      <c r="AY2151" s="194"/>
      <c r="AZ2151" s="194"/>
    </row>
    <row r="2152" spans="37:52" x14ac:dyDescent="0.2">
      <c r="AK2152" s="194"/>
      <c r="AL2152" s="194"/>
      <c r="AM2152" s="194"/>
      <c r="AN2152" s="194"/>
      <c r="AO2152" s="194"/>
      <c r="AP2152" s="208"/>
      <c r="AQ2152" s="194"/>
      <c r="AR2152" s="194"/>
      <c r="AS2152" s="194"/>
      <c r="AT2152" s="194"/>
      <c r="AU2152" s="194"/>
      <c r="AV2152" s="194"/>
      <c r="AW2152" s="194"/>
      <c r="AX2152" s="194"/>
      <c r="AY2152" s="194"/>
      <c r="AZ2152" s="194"/>
    </row>
    <row r="2153" spans="37:52" x14ac:dyDescent="0.2">
      <c r="AK2153" s="194"/>
      <c r="AL2153" s="194"/>
      <c r="AM2153" s="194"/>
      <c r="AN2153" s="194"/>
      <c r="AO2153" s="194"/>
      <c r="AP2153" s="208"/>
      <c r="AQ2153" s="194"/>
      <c r="AR2153" s="194"/>
      <c r="AS2153" s="194"/>
      <c r="AT2153" s="194"/>
      <c r="AU2153" s="194"/>
      <c r="AV2153" s="194"/>
      <c r="AW2153" s="194"/>
      <c r="AX2153" s="194"/>
      <c r="AY2153" s="194"/>
      <c r="AZ2153" s="194"/>
    </row>
    <row r="2154" spans="37:52" x14ac:dyDescent="0.2">
      <c r="AK2154" s="194"/>
      <c r="AL2154" s="194"/>
      <c r="AM2154" s="194"/>
      <c r="AN2154" s="194"/>
      <c r="AO2154" s="194"/>
      <c r="AP2154" s="208"/>
      <c r="AQ2154" s="194"/>
      <c r="AR2154" s="194"/>
      <c r="AS2154" s="194"/>
      <c r="AT2154" s="194"/>
      <c r="AU2154" s="194"/>
      <c r="AV2154" s="194"/>
      <c r="AW2154" s="194"/>
      <c r="AX2154" s="194"/>
      <c r="AY2154" s="194"/>
      <c r="AZ2154" s="194"/>
    </row>
    <row r="2155" spans="37:52" x14ac:dyDescent="0.2">
      <c r="AK2155" s="194"/>
      <c r="AL2155" s="194"/>
      <c r="AM2155" s="194"/>
      <c r="AN2155" s="194"/>
      <c r="AO2155" s="194"/>
      <c r="AP2155" s="208"/>
      <c r="AQ2155" s="194"/>
      <c r="AR2155" s="194"/>
      <c r="AS2155" s="194"/>
      <c r="AT2155" s="194"/>
      <c r="AU2155" s="194"/>
      <c r="AV2155" s="194"/>
      <c r="AW2155" s="194"/>
      <c r="AX2155" s="194"/>
      <c r="AY2155" s="194"/>
      <c r="AZ2155" s="194"/>
    </row>
    <row r="2156" spans="37:52" x14ac:dyDescent="0.2">
      <c r="AK2156" s="194"/>
      <c r="AL2156" s="194"/>
      <c r="AM2156" s="194"/>
      <c r="AN2156" s="194"/>
      <c r="AO2156" s="194"/>
      <c r="AP2156" s="208"/>
      <c r="AQ2156" s="194"/>
      <c r="AR2156" s="194"/>
      <c r="AS2156" s="194"/>
      <c r="AT2156" s="194"/>
      <c r="AU2156" s="194"/>
      <c r="AV2156" s="194"/>
      <c r="AW2156" s="194"/>
      <c r="AX2156" s="194"/>
      <c r="AY2156" s="194"/>
      <c r="AZ2156" s="194"/>
    </row>
    <row r="2157" spans="37:52" x14ac:dyDescent="0.2">
      <c r="AK2157" s="194"/>
      <c r="AL2157" s="194"/>
      <c r="AM2157" s="194"/>
      <c r="AN2157" s="194"/>
      <c r="AO2157" s="194"/>
      <c r="AP2157" s="208"/>
      <c r="AQ2157" s="194"/>
      <c r="AR2157" s="194"/>
      <c r="AS2157" s="194"/>
      <c r="AT2157" s="194"/>
      <c r="AU2157" s="194"/>
      <c r="AV2157" s="194"/>
      <c r="AW2157" s="194"/>
      <c r="AX2157" s="194"/>
      <c r="AY2157" s="194"/>
      <c r="AZ2157" s="194"/>
    </row>
    <row r="2158" spans="37:52" x14ac:dyDescent="0.2">
      <c r="AK2158" s="194"/>
      <c r="AL2158" s="194"/>
      <c r="AM2158" s="194"/>
      <c r="AN2158" s="194"/>
      <c r="AO2158" s="194"/>
      <c r="AP2158" s="208"/>
      <c r="AQ2158" s="194"/>
      <c r="AR2158" s="194"/>
      <c r="AS2158" s="194"/>
      <c r="AT2158" s="194"/>
      <c r="AU2158" s="194"/>
      <c r="AV2158" s="194"/>
      <c r="AW2158" s="194"/>
      <c r="AX2158" s="194"/>
      <c r="AY2158" s="194"/>
      <c r="AZ2158" s="194"/>
    </row>
    <row r="2159" spans="37:52" x14ac:dyDescent="0.2">
      <c r="AK2159" s="194"/>
      <c r="AL2159" s="194"/>
      <c r="AM2159" s="194"/>
      <c r="AN2159" s="194"/>
      <c r="AO2159" s="194"/>
      <c r="AP2159" s="208"/>
      <c r="AQ2159" s="194"/>
      <c r="AR2159" s="194"/>
      <c r="AS2159" s="194"/>
      <c r="AT2159" s="194"/>
      <c r="AU2159" s="194"/>
      <c r="AV2159" s="194"/>
      <c r="AW2159" s="194"/>
      <c r="AX2159" s="194"/>
      <c r="AY2159" s="194"/>
      <c r="AZ2159" s="194"/>
    </row>
    <row r="2160" spans="37:52" x14ac:dyDescent="0.2">
      <c r="AK2160" s="194"/>
      <c r="AL2160" s="194"/>
      <c r="AM2160" s="194"/>
      <c r="AN2160" s="194"/>
      <c r="AO2160" s="194"/>
      <c r="AP2160" s="208"/>
      <c r="AQ2160" s="194"/>
      <c r="AR2160" s="194"/>
      <c r="AS2160" s="194"/>
      <c r="AT2160" s="194"/>
      <c r="AU2160" s="194"/>
      <c r="AV2160" s="194"/>
      <c r="AW2160" s="194"/>
      <c r="AX2160" s="194"/>
      <c r="AY2160" s="194"/>
      <c r="AZ2160" s="194"/>
    </row>
    <row r="2161" spans="37:52" x14ac:dyDescent="0.2">
      <c r="AK2161" s="194"/>
      <c r="AL2161" s="194"/>
      <c r="AM2161" s="194"/>
      <c r="AN2161" s="194"/>
      <c r="AO2161" s="194"/>
      <c r="AP2161" s="208"/>
      <c r="AQ2161" s="194"/>
      <c r="AR2161" s="194"/>
      <c r="AS2161" s="194"/>
      <c r="AT2161" s="194"/>
      <c r="AU2161" s="194"/>
      <c r="AV2161" s="194"/>
      <c r="AW2161" s="194"/>
      <c r="AX2161" s="194"/>
      <c r="AY2161" s="194"/>
      <c r="AZ2161" s="194"/>
    </row>
    <row r="2162" spans="37:52" x14ac:dyDescent="0.2">
      <c r="AK2162" s="194"/>
      <c r="AL2162" s="194"/>
      <c r="AM2162" s="194"/>
      <c r="AN2162" s="194"/>
      <c r="AO2162" s="194"/>
      <c r="AP2162" s="208"/>
      <c r="AQ2162" s="194"/>
      <c r="AR2162" s="194"/>
      <c r="AS2162" s="194"/>
      <c r="AT2162" s="194"/>
      <c r="AU2162" s="194"/>
      <c r="AV2162" s="194"/>
      <c r="AW2162" s="194"/>
      <c r="AX2162" s="194"/>
      <c r="AY2162" s="194"/>
      <c r="AZ2162" s="194"/>
    </row>
    <row r="2163" spans="37:52" x14ac:dyDescent="0.2">
      <c r="AK2163" s="194"/>
      <c r="AL2163" s="194"/>
      <c r="AM2163" s="194"/>
      <c r="AN2163" s="194"/>
      <c r="AO2163" s="194"/>
      <c r="AP2163" s="208"/>
      <c r="AQ2163" s="194"/>
      <c r="AR2163" s="194"/>
      <c r="AS2163" s="194"/>
      <c r="AT2163" s="194"/>
      <c r="AU2163" s="194"/>
      <c r="AV2163" s="194"/>
      <c r="AW2163" s="194"/>
      <c r="AX2163" s="194"/>
      <c r="AY2163" s="194"/>
      <c r="AZ2163" s="194"/>
    </row>
    <row r="2164" spans="37:52" x14ac:dyDescent="0.2">
      <c r="AK2164" s="194"/>
      <c r="AL2164" s="194"/>
      <c r="AM2164" s="194"/>
      <c r="AN2164" s="194"/>
      <c r="AO2164" s="194"/>
      <c r="AP2164" s="208"/>
      <c r="AQ2164" s="194"/>
      <c r="AR2164" s="194"/>
      <c r="AS2164" s="194"/>
      <c r="AT2164" s="194"/>
      <c r="AU2164" s="194"/>
      <c r="AV2164" s="194"/>
      <c r="AW2164" s="194"/>
      <c r="AX2164" s="194"/>
      <c r="AY2164" s="194"/>
      <c r="AZ2164" s="194"/>
    </row>
    <row r="2165" spans="37:52" x14ac:dyDescent="0.2">
      <c r="AK2165" s="194"/>
      <c r="AL2165" s="194"/>
      <c r="AM2165" s="194"/>
      <c r="AN2165" s="194"/>
      <c r="AO2165" s="194"/>
      <c r="AP2165" s="208"/>
      <c r="AQ2165" s="194"/>
      <c r="AR2165" s="194"/>
      <c r="AS2165" s="194"/>
      <c r="AT2165" s="194"/>
      <c r="AU2165" s="194"/>
      <c r="AV2165" s="194"/>
      <c r="AW2165" s="194"/>
      <c r="AX2165" s="194"/>
      <c r="AY2165" s="194"/>
      <c r="AZ2165" s="194"/>
    </row>
    <row r="2166" spans="37:52" x14ac:dyDescent="0.2">
      <c r="AK2166" s="194"/>
      <c r="AL2166" s="194"/>
      <c r="AM2166" s="194"/>
      <c r="AN2166" s="194"/>
      <c r="AO2166" s="194"/>
      <c r="AP2166" s="208"/>
      <c r="AQ2166" s="194"/>
      <c r="AR2166" s="194"/>
      <c r="AS2166" s="194"/>
      <c r="AT2166" s="194"/>
      <c r="AU2166" s="194"/>
      <c r="AV2166" s="194"/>
      <c r="AW2166" s="194"/>
      <c r="AX2166" s="194"/>
      <c r="AY2166" s="194"/>
      <c r="AZ2166" s="194"/>
    </row>
    <row r="2167" spans="37:52" x14ac:dyDescent="0.2">
      <c r="AK2167" s="194"/>
      <c r="AL2167" s="194"/>
      <c r="AM2167" s="194"/>
      <c r="AN2167" s="194"/>
      <c r="AO2167" s="194"/>
      <c r="AP2167" s="208"/>
      <c r="AQ2167" s="194"/>
      <c r="AR2167" s="194"/>
      <c r="AS2167" s="194"/>
      <c r="AT2167" s="194"/>
      <c r="AU2167" s="194"/>
      <c r="AV2167" s="194"/>
      <c r="AW2167" s="194"/>
      <c r="AX2167" s="194"/>
      <c r="AY2167" s="194"/>
      <c r="AZ2167" s="194"/>
    </row>
    <row r="2168" spans="37:52" x14ac:dyDescent="0.2">
      <c r="AK2168" s="194"/>
      <c r="AL2168" s="194"/>
      <c r="AM2168" s="194"/>
      <c r="AN2168" s="194"/>
      <c r="AO2168" s="194"/>
      <c r="AP2168" s="208"/>
      <c r="AQ2168" s="194"/>
      <c r="AR2168" s="194"/>
      <c r="AS2168" s="194"/>
      <c r="AT2168" s="194"/>
      <c r="AU2168" s="194"/>
      <c r="AV2168" s="194"/>
      <c r="AW2168" s="194"/>
      <c r="AX2168" s="194"/>
      <c r="AY2168" s="194"/>
      <c r="AZ2168" s="194"/>
    </row>
    <row r="2169" spans="37:52" x14ac:dyDescent="0.2">
      <c r="AK2169" s="194"/>
      <c r="AL2169" s="194"/>
      <c r="AM2169" s="194"/>
      <c r="AN2169" s="194"/>
      <c r="AO2169" s="194"/>
      <c r="AP2169" s="208"/>
      <c r="AQ2169" s="194"/>
      <c r="AR2169" s="194"/>
      <c r="AS2169" s="194"/>
      <c r="AT2169" s="194"/>
      <c r="AU2169" s="194"/>
      <c r="AV2169" s="194"/>
      <c r="AW2169" s="194"/>
      <c r="AX2169" s="194"/>
      <c r="AY2169" s="194"/>
      <c r="AZ2169" s="194"/>
    </row>
    <row r="2170" spans="37:52" x14ac:dyDescent="0.2">
      <c r="AK2170" s="194"/>
      <c r="AL2170" s="194"/>
      <c r="AM2170" s="194"/>
      <c r="AN2170" s="194"/>
      <c r="AO2170" s="194"/>
      <c r="AP2170" s="208"/>
      <c r="AQ2170" s="194"/>
      <c r="AR2170" s="194"/>
      <c r="AS2170" s="194"/>
      <c r="AT2170" s="194"/>
      <c r="AU2170" s="194"/>
      <c r="AV2170" s="194"/>
      <c r="AW2170" s="194"/>
      <c r="AX2170" s="194"/>
      <c r="AY2170" s="194"/>
      <c r="AZ2170" s="194"/>
    </row>
    <row r="2171" spans="37:52" x14ac:dyDescent="0.2">
      <c r="AK2171" s="194"/>
      <c r="AL2171" s="194"/>
      <c r="AM2171" s="194"/>
      <c r="AN2171" s="194"/>
      <c r="AO2171" s="194"/>
      <c r="AP2171" s="208"/>
      <c r="AQ2171" s="194"/>
      <c r="AR2171" s="194"/>
      <c r="AS2171" s="194"/>
      <c r="AT2171" s="194"/>
      <c r="AU2171" s="194"/>
      <c r="AV2171" s="194"/>
      <c r="AW2171" s="194"/>
      <c r="AX2171" s="194"/>
      <c r="AY2171" s="194"/>
      <c r="AZ2171" s="194"/>
    </row>
    <row r="2172" spans="37:52" x14ac:dyDescent="0.2">
      <c r="AK2172" s="194"/>
      <c r="AL2172" s="194"/>
      <c r="AM2172" s="194"/>
      <c r="AN2172" s="194"/>
      <c r="AO2172" s="194"/>
      <c r="AP2172" s="208"/>
      <c r="AQ2172" s="194"/>
      <c r="AR2172" s="194"/>
      <c r="AS2172" s="194"/>
      <c r="AT2172" s="194"/>
      <c r="AU2172" s="194"/>
      <c r="AV2172" s="194"/>
      <c r="AW2172" s="194"/>
      <c r="AX2172" s="194"/>
      <c r="AY2172" s="194"/>
      <c r="AZ2172" s="194"/>
    </row>
    <row r="2173" spans="37:52" x14ac:dyDescent="0.2">
      <c r="AK2173" s="194"/>
      <c r="AL2173" s="194"/>
      <c r="AM2173" s="194"/>
      <c r="AN2173" s="194"/>
      <c r="AO2173" s="194"/>
      <c r="AP2173" s="208"/>
      <c r="AQ2173" s="194"/>
      <c r="AR2173" s="194"/>
      <c r="AS2173" s="194"/>
      <c r="AT2173" s="194"/>
      <c r="AU2173" s="194"/>
      <c r="AV2173" s="194"/>
      <c r="AW2173" s="194"/>
      <c r="AX2173" s="194"/>
      <c r="AY2173" s="194"/>
      <c r="AZ2173" s="194"/>
    </row>
    <row r="2174" spans="37:52" x14ac:dyDescent="0.2">
      <c r="AK2174" s="194"/>
      <c r="AL2174" s="194"/>
      <c r="AM2174" s="194"/>
      <c r="AN2174" s="194"/>
      <c r="AO2174" s="194"/>
      <c r="AP2174" s="208"/>
      <c r="AQ2174" s="194"/>
      <c r="AR2174" s="194"/>
      <c r="AS2174" s="194"/>
      <c r="AT2174" s="194"/>
      <c r="AU2174" s="194"/>
      <c r="AV2174" s="194"/>
      <c r="AW2174" s="194"/>
      <c r="AX2174" s="194"/>
      <c r="AY2174" s="194"/>
      <c r="AZ2174" s="194"/>
    </row>
    <row r="2175" spans="37:52" x14ac:dyDescent="0.2">
      <c r="AK2175" s="194"/>
      <c r="AL2175" s="194"/>
      <c r="AM2175" s="194"/>
      <c r="AN2175" s="194"/>
      <c r="AO2175" s="194"/>
      <c r="AP2175" s="208"/>
      <c r="AQ2175" s="194"/>
      <c r="AR2175" s="194"/>
      <c r="AS2175" s="194"/>
      <c r="AT2175" s="194"/>
      <c r="AU2175" s="194"/>
      <c r="AV2175" s="194"/>
      <c r="AW2175" s="194"/>
      <c r="AX2175" s="194"/>
      <c r="AY2175" s="194"/>
      <c r="AZ2175" s="194"/>
    </row>
    <row r="2176" spans="37:52" x14ac:dyDescent="0.2">
      <c r="AK2176" s="194"/>
      <c r="AL2176" s="194"/>
      <c r="AM2176" s="194"/>
      <c r="AN2176" s="194"/>
      <c r="AO2176" s="194"/>
      <c r="AP2176" s="208"/>
      <c r="AQ2176" s="194"/>
      <c r="AR2176" s="194"/>
      <c r="AS2176" s="194"/>
      <c r="AT2176" s="194"/>
      <c r="AU2176" s="194"/>
      <c r="AV2176" s="194"/>
      <c r="AW2176" s="194"/>
      <c r="AX2176" s="194"/>
      <c r="AY2176" s="194"/>
      <c r="AZ2176" s="194"/>
    </row>
    <row r="2177" spans="37:52" x14ac:dyDescent="0.2">
      <c r="AK2177" s="194"/>
      <c r="AL2177" s="194"/>
      <c r="AM2177" s="194"/>
      <c r="AN2177" s="194"/>
      <c r="AO2177" s="194"/>
      <c r="AP2177" s="208"/>
      <c r="AQ2177" s="194"/>
      <c r="AR2177" s="194"/>
      <c r="AS2177" s="194"/>
      <c r="AT2177" s="194"/>
      <c r="AU2177" s="194"/>
      <c r="AV2177" s="194"/>
      <c r="AW2177" s="194"/>
      <c r="AX2177" s="194"/>
      <c r="AY2177" s="194"/>
      <c r="AZ2177" s="194"/>
    </row>
    <row r="2178" spans="37:52" x14ac:dyDescent="0.2">
      <c r="AK2178" s="194"/>
      <c r="AL2178" s="194"/>
      <c r="AM2178" s="194"/>
      <c r="AN2178" s="194"/>
      <c r="AO2178" s="194"/>
      <c r="AP2178" s="208"/>
      <c r="AQ2178" s="194"/>
      <c r="AR2178" s="194"/>
      <c r="AS2178" s="194"/>
      <c r="AT2178" s="194"/>
      <c r="AU2178" s="194"/>
      <c r="AV2178" s="194"/>
      <c r="AW2178" s="194"/>
      <c r="AX2178" s="194"/>
      <c r="AY2178" s="194"/>
      <c r="AZ2178" s="194"/>
    </row>
    <row r="2179" spans="37:52" x14ac:dyDescent="0.2">
      <c r="AK2179" s="194"/>
      <c r="AL2179" s="194"/>
      <c r="AM2179" s="194"/>
      <c r="AN2179" s="194"/>
      <c r="AO2179" s="194"/>
      <c r="AP2179" s="208"/>
      <c r="AQ2179" s="194"/>
      <c r="AR2179" s="194"/>
      <c r="AS2179" s="194"/>
      <c r="AT2179" s="194"/>
      <c r="AU2179" s="194"/>
      <c r="AV2179" s="194"/>
      <c r="AW2179" s="194"/>
      <c r="AX2179" s="194"/>
      <c r="AY2179" s="194"/>
      <c r="AZ2179" s="194"/>
    </row>
    <row r="2180" spans="37:52" x14ac:dyDescent="0.2">
      <c r="AK2180" s="194"/>
      <c r="AL2180" s="194"/>
      <c r="AM2180" s="194"/>
      <c r="AN2180" s="194"/>
      <c r="AO2180" s="194"/>
      <c r="AP2180" s="208"/>
      <c r="AQ2180" s="194"/>
      <c r="AR2180" s="194"/>
      <c r="AS2180" s="194"/>
      <c r="AT2180" s="194"/>
      <c r="AU2180" s="194"/>
      <c r="AV2180" s="194"/>
      <c r="AW2180" s="194"/>
      <c r="AX2180" s="194"/>
      <c r="AY2180" s="194"/>
      <c r="AZ2180" s="194"/>
    </row>
    <row r="2181" spans="37:52" x14ac:dyDescent="0.2">
      <c r="AK2181" s="194"/>
      <c r="AL2181" s="194"/>
      <c r="AM2181" s="194"/>
      <c r="AN2181" s="194"/>
      <c r="AO2181" s="194"/>
      <c r="AP2181" s="208"/>
      <c r="AQ2181" s="194"/>
      <c r="AR2181" s="194"/>
      <c r="AS2181" s="194"/>
      <c r="AT2181" s="194"/>
      <c r="AU2181" s="194"/>
      <c r="AV2181" s="194"/>
      <c r="AW2181" s="194"/>
      <c r="AX2181" s="194"/>
      <c r="AY2181" s="194"/>
      <c r="AZ2181" s="194"/>
    </row>
    <row r="2182" spans="37:52" x14ac:dyDescent="0.2">
      <c r="AK2182" s="194"/>
      <c r="AL2182" s="194"/>
      <c r="AM2182" s="194"/>
      <c r="AN2182" s="194"/>
      <c r="AO2182" s="194"/>
      <c r="AP2182" s="208"/>
      <c r="AQ2182" s="194"/>
      <c r="AR2182" s="194"/>
      <c r="AS2182" s="194"/>
      <c r="AT2182" s="194"/>
      <c r="AU2182" s="194"/>
      <c r="AV2182" s="194"/>
      <c r="AW2182" s="194"/>
      <c r="AX2182" s="194"/>
      <c r="AY2182" s="194"/>
      <c r="AZ2182" s="194"/>
    </row>
    <row r="2183" spans="37:52" x14ac:dyDescent="0.2">
      <c r="AK2183" s="194"/>
      <c r="AL2183" s="194"/>
      <c r="AM2183" s="194"/>
      <c r="AN2183" s="194"/>
      <c r="AO2183" s="194"/>
      <c r="AP2183" s="208"/>
      <c r="AQ2183" s="194"/>
      <c r="AR2183" s="194"/>
      <c r="AS2183" s="194"/>
      <c r="AT2183" s="194"/>
      <c r="AU2183" s="194"/>
      <c r="AV2183" s="194"/>
      <c r="AW2183" s="194"/>
      <c r="AX2183" s="194"/>
      <c r="AY2183" s="194"/>
      <c r="AZ2183" s="194"/>
    </row>
    <row r="2184" spans="37:52" x14ac:dyDescent="0.2">
      <c r="AK2184" s="194"/>
      <c r="AL2184" s="194"/>
      <c r="AM2184" s="194"/>
      <c r="AN2184" s="194"/>
      <c r="AO2184" s="194"/>
      <c r="AP2184" s="208"/>
      <c r="AQ2184" s="194"/>
      <c r="AR2184" s="194"/>
      <c r="AS2184" s="194"/>
      <c r="AT2184" s="194"/>
      <c r="AU2184" s="194"/>
      <c r="AV2184" s="194"/>
      <c r="AW2184" s="194"/>
      <c r="AX2184" s="194"/>
      <c r="AY2184" s="194"/>
      <c r="AZ2184" s="194"/>
    </row>
    <row r="2185" spans="37:52" x14ac:dyDescent="0.2">
      <c r="AK2185" s="194"/>
      <c r="AL2185" s="194"/>
      <c r="AM2185" s="194"/>
      <c r="AN2185" s="194"/>
      <c r="AO2185" s="194"/>
      <c r="AP2185" s="208"/>
      <c r="AQ2185" s="194"/>
      <c r="AR2185" s="194"/>
      <c r="AS2185" s="194"/>
      <c r="AT2185" s="194"/>
      <c r="AU2185" s="194"/>
      <c r="AV2185" s="194"/>
      <c r="AW2185" s="194"/>
      <c r="AX2185" s="194"/>
      <c r="AY2185" s="194"/>
      <c r="AZ2185" s="194"/>
    </row>
    <row r="2186" spans="37:52" x14ac:dyDescent="0.2">
      <c r="AK2186" s="194"/>
      <c r="AL2186" s="194"/>
      <c r="AM2186" s="194"/>
      <c r="AN2186" s="194"/>
      <c r="AO2186" s="194"/>
      <c r="AP2186" s="208"/>
      <c r="AQ2186" s="194"/>
      <c r="AR2186" s="194"/>
      <c r="AS2186" s="194"/>
      <c r="AT2186" s="194"/>
      <c r="AU2186" s="194"/>
      <c r="AV2186" s="194"/>
      <c r="AW2186" s="194"/>
      <c r="AX2186" s="194"/>
      <c r="AY2186" s="194"/>
      <c r="AZ2186" s="194"/>
    </row>
    <row r="2187" spans="37:52" x14ac:dyDescent="0.2">
      <c r="AK2187" s="194"/>
      <c r="AL2187" s="194"/>
      <c r="AM2187" s="194"/>
      <c r="AN2187" s="194"/>
      <c r="AO2187" s="194"/>
      <c r="AP2187" s="208"/>
      <c r="AQ2187" s="194"/>
      <c r="AR2187" s="194"/>
      <c r="AS2187" s="194"/>
      <c r="AT2187" s="194"/>
      <c r="AU2187" s="194"/>
      <c r="AV2187" s="194"/>
      <c r="AW2187" s="194"/>
      <c r="AX2187" s="194"/>
      <c r="AY2187" s="194"/>
      <c r="AZ2187" s="194"/>
    </row>
    <row r="2188" spans="37:52" x14ac:dyDescent="0.2">
      <c r="AK2188" s="194"/>
      <c r="AL2188" s="194"/>
      <c r="AM2188" s="194"/>
      <c r="AN2188" s="194"/>
      <c r="AO2188" s="194"/>
      <c r="AP2188" s="208"/>
      <c r="AQ2188" s="194"/>
      <c r="AR2188" s="194"/>
      <c r="AS2188" s="194"/>
      <c r="AT2188" s="194"/>
      <c r="AU2188" s="194"/>
      <c r="AV2188" s="194"/>
      <c r="AW2188" s="194"/>
      <c r="AX2188" s="194"/>
      <c r="AY2188" s="194"/>
      <c r="AZ2188" s="194"/>
    </row>
    <row r="2189" spans="37:52" x14ac:dyDescent="0.2">
      <c r="AK2189" s="194"/>
      <c r="AL2189" s="194"/>
      <c r="AM2189" s="194"/>
      <c r="AN2189" s="194"/>
      <c r="AO2189" s="194"/>
      <c r="AP2189" s="208"/>
      <c r="AQ2189" s="194"/>
      <c r="AR2189" s="194"/>
      <c r="AS2189" s="194"/>
      <c r="AT2189" s="194"/>
      <c r="AU2189" s="194"/>
      <c r="AV2189" s="194"/>
      <c r="AW2189" s="194"/>
      <c r="AX2189" s="194"/>
      <c r="AY2189" s="194"/>
      <c r="AZ2189" s="194"/>
    </row>
    <row r="2190" spans="37:52" x14ac:dyDescent="0.2">
      <c r="AK2190" s="194"/>
      <c r="AL2190" s="194"/>
      <c r="AM2190" s="194"/>
      <c r="AN2190" s="194"/>
      <c r="AO2190" s="194"/>
      <c r="AP2190" s="208"/>
      <c r="AQ2190" s="194"/>
      <c r="AR2190" s="194"/>
      <c r="AS2190" s="194"/>
      <c r="AT2190" s="194"/>
      <c r="AU2190" s="194"/>
      <c r="AV2190" s="194"/>
      <c r="AW2190" s="194"/>
      <c r="AX2190" s="194"/>
      <c r="AY2190" s="194"/>
      <c r="AZ2190" s="194"/>
    </row>
    <row r="2191" spans="37:52" x14ac:dyDescent="0.2">
      <c r="AK2191" s="194"/>
      <c r="AL2191" s="194"/>
      <c r="AM2191" s="194"/>
      <c r="AN2191" s="194"/>
      <c r="AO2191" s="194"/>
      <c r="AP2191" s="208"/>
      <c r="AQ2191" s="194"/>
      <c r="AR2191" s="194"/>
      <c r="AS2191" s="194"/>
      <c r="AT2191" s="194"/>
      <c r="AU2191" s="194"/>
      <c r="AV2191" s="194"/>
      <c r="AW2191" s="194"/>
      <c r="AX2191" s="194"/>
      <c r="AY2191" s="194"/>
      <c r="AZ2191" s="194"/>
    </row>
    <row r="2192" spans="37:52" x14ac:dyDescent="0.2">
      <c r="AK2192" s="194"/>
      <c r="AL2192" s="194"/>
      <c r="AM2192" s="194"/>
      <c r="AN2192" s="194"/>
      <c r="AO2192" s="194"/>
      <c r="AP2192" s="208"/>
      <c r="AQ2192" s="194"/>
      <c r="AR2192" s="194"/>
      <c r="AS2192" s="194"/>
      <c r="AT2192" s="194"/>
      <c r="AU2192" s="194"/>
      <c r="AV2192" s="194"/>
      <c r="AW2192" s="194"/>
      <c r="AX2192" s="194"/>
      <c r="AY2192" s="194"/>
      <c r="AZ2192" s="194"/>
    </row>
    <row r="2193" spans="37:52" x14ac:dyDescent="0.2">
      <c r="AK2193" s="194"/>
      <c r="AL2193" s="194"/>
      <c r="AM2193" s="194"/>
      <c r="AN2193" s="194"/>
      <c r="AO2193" s="194"/>
      <c r="AP2193" s="208"/>
      <c r="AQ2193" s="194"/>
      <c r="AR2193" s="194"/>
      <c r="AS2193" s="194"/>
      <c r="AT2193" s="194"/>
      <c r="AU2193" s="194"/>
      <c r="AV2193" s="194"/>
      <c r="AW2193" s="194"/>
      <c r="AX2193" s="194"/>
      <c r="AY2193" s="194"/>
      <c r="AZ2193" s="194"/>
    </row>
    <row r="2194" spans="37:52" x14ac:dyDescent="0.2">
      <c r="AK2194" s="194"/>
      <c r="AL2194" s="194"/>
      <c r="AM2194" s="194"/>
      <c r="AN2194" s="194"/>
      <c r="AO2194" s="194"/>
      <c r="AP2194" s="208"/>
      <c r="AQ2194" s="194"/>
      <c r="AR2194" s="194"/>
      <c r="AS2194" s="194"/>
      <c r="AT2194" s="194"/>
      <c r="AU2194" s="194"/>
      <c r="AV2194" s="194"/>
      <c r="AW2194" s="194"/>
      <c r="AX2194" s="194"/>
      <c r="AY2194" s="194"/>
      <c r="AZ2194" s="194"/>
    </row>
    <row r="2195" spans="37:52" x14ac:dyDescent="0.2">
      <c r="AK2195" s="194"/>
      <c r="AL2195" s="194"/>
      <c r="AM2195" s="194"/>
      <c r="AN2195" s="194"/>
      <c r="AO2195" s="194"/>
      <c r="AP2195" s="208"/>
      <c r="AQ2195" s="194"/>
      <c r="AR2195" s="194"/>
      <c r="AS2195" s="194"/>
      <c r="AT2195" s="194"/>
      <c r="AU2195" s="194"/>
      <c r="AV2195" s="194"/>
      <c r="AW2195" s="194"/>
      <c r="AX2195" s="194"/>
      <c r="AY2195" s="194"/>
      <c r="AZ2195" s="194"/>
    </row>
    <row r="2196" spans="37:52" x14ac:dyDescent="0.2">
      <c r="AK2196" s="194"/>
      <c r="AL2196" s="194"/>
      <c r="AM2196" s="194"/>
      <c r="AN2196" s="194"/>
      <c r="AO2196" s="194"/>
      <c r="AP2196" s="208"/>
      <c r="AQ2196" s="194"/>
      <c r="AR2196" s="194"/>
      <c r="AS2196" s="194"/>
      <c r="AT2196" s="194"/>
      <c r="AU2196" s="194"/>
      <c r="AV2196" s="194"/>
      <c r="AW2196" s="194"/>
      <c r="AX2196" s="194"/>
      <c r="AY2196" s="194"/>
      <c r="AZ2196" s="194"/>
    </row>
    <row r="2197" spans="37:52" x14ac:dyDescent="0.2">
      <c r="AK2197" s="194"/>
      <c r="AL2197" s="194"/>
      <c r="AM2197" s="194"/>
      <c r="AN2197" s="194"/>
      <c r="AO2197" s="194"/>
      <c r="AP2197" s="208"/>
      <c r="AQ2197" s="194"/>
      <c r="AR2197" s="194"/>
      <c r="AS2197" s="194"/>
      <c r="AT2197" s="194"/>
      <c r="AU2197" s="194"/>
      <c r="AV2197" s="194"/>
      <c r="AW2197" s="194"/>
      <c r="AX2197" s="194"/>
      <c r="AY2197" s="194"/>
      <c r="AZ2197" s="194"/>
    </row>
    <row r="2198" spans="37:52" x14ac:dyDescent="0.2">
      <c r="AK2198" s="194"/>
      <c r="AL2198" s="194"/>
      <c r="AM2198" s="194"/>
      <c r="AN2198" s="194"/>
      <c r="AO2198" s="194"/>
      <c r="AP2198" s="208"/>
      <c r="AQ2198" s="194"/>
      <c r="AR2198" s="194"/>
      <c r="AS2198" s="194"/>
      <c r="AT2198" s="194"/>
      <c r="AU2198" s="194"/>
      <c r="AV2198" s="194"/>
      <c r="AW2198" s="194"/>
      <c r="AX2198" s="194"/>
      <c r="AY2198" s="194"/>
      <c r="AZ2198" s="194"/>
    </row>
    <row r="2199" spans="37:52" x14ac:dyDescent="0.2">
      <c r="AK2199" s="194"/>
      <c r="AL2199" s="194"/>
      <c r="AM2199" s="194"/>
      <c r="AN2199" s="194"/>
      <c r="AO2199" s="194"/>
      <c r="AP2199" s="208"/>
      <c r="AQ2199" s="194"/>
      <c r="AR2199" s="194"/>
      <c r="AS2199" s="194"/>
      <c r="AT2199" s="194"/>
      <c r="AU2199" s="194"/>
      <c r="AV2199" s="194"/>
      <c r="AW2199" s="194"/>
      <c r="AX2199" s="194"/>
      <c r="AY2199" s="194"/>
      <c r="AZ2199" s="194"/>
    </row>
    <row r="2200" spans="37:52" x14ac:dyDescent="0.2">
      <c r="AK2200" s="194"/>
      <c r="AL2200" s="194"/>
      <c r="AM2200" s="194"/>
      <c r="AN2200" s="194"/>
      <c r="AO2200" s="194"/>
      <c r="AP2200" s="208"/>
      <c r="AQ2200" s="194"/>
      <c r="AR2200" s="194"/>
      <c r="AS2200" s="194"/>
      <c r="AT2200" s="194"/>
      <c r="AU2200" s="194"/>
      <c r="AV2200" s="194"/>
      <c r="AW2200" s="194"/>
      <c r="AX2200" s="194"/>
      <c r="AY2200" s="194"/>
      <c r="AZ2200" s="194"/>
    </row>
    <row r="2201" spans="37:52" x14ac:dyDescent="0.2">
      <c r="AK2201" s="194"/>
      <c r="AL2201" s="194"/>
      <c r="AM2201" s="194"/>
      <c r="AN2201" s="194"/>
      <c r="AO2201" s="194"/>
      <c r="AP2201" s="208"/>
      <c r="AQ2201" s="194"/>
      <c r="AR2201" s="194"/>
      <c r="AS2201" s="194"/>
      <c r="AT2201" s="194"/>
      <c r="AU2201" s="194"/>
      <c r="AV2201" s="194"/>
      <c r="AW2201" s="194"/>
      <c r="AX2201" s="194"/>
      <c r="AY2201" s="194"/>
      <c r="AZ2201" s="194"/>
    </row>
    <row r="2202" spans="37:52" x14ac:dyDescent="0.2">
      <c r="AK2202" s="194"/>
      <c r="AL2202" s="194"/>
      <c r="AM2202" s="194"/>
      <c r="AN2202" s="194"/>
      <c r="AO2202" s="194"/>
      <c r="AP2202" s="208"/>
      <c r="AQ2202" s="194"/>
      <c r="AR2202" s="194"/>
      <c r="AS2202" s="194"/>
      <c r="AT2202" s="194"/>
      <c r="AU2202" s="194"/>
      <c r="AV2202" s="194"/>
      <c r="AW2202" s="194"/>
      <c r="AX2202" s="194"/>
      <c r="AY2202" s="194"/>
      <c r="AZ2202" s="194"/>
    </row>
    <row r="2203" spans="37:52" x14ac:dyDescent="0.2">
      <c r="AK2203" s="194"/>
      <c r="AL2203" s="194"/>
      <c r="AM2203" s="194"/>
      <c r="AN2203" s="194"/>
      <c r="AO2203" s="194"/>
      <c r="AP2203" s="208"/>
      <c r="AQ2203" s="194"/>
      <c r="AR2203" s="194"/>
      <c r="AS2203" s="194"/>
      <c r="AT2203" s="194"/>
      <c r="AU2203" s="194"/>
      <c r="AV2203" s="194"/>
      <c r="AW2203" s="194"/>
      <c r="AX2203" s="194"/>
      <c r="AY2203" s="194"/>
      <c r="AZ2203" s="194"/>
    </row>
    <row r="2204" spans="37:52" x14ac:dyDescent="0.2">
      <c r="AK2204" s="194"/>
      <c r="AL2204" s="194"/>
      <c r="AM2204" s="194"/>
      <c r="AN2204" s="194"/>
      <c r="AO2204" s="194"/>
      <c r="AP2204" s="208"/>
      <c r="AQ2204" s="194"/>
      <c r="AR2204" s="194"/>
      <c r="AS2204" s="194"/>
      <c r="AT2204" s="194"/>
      <c r="AU2204" s="194"/>
      <c r="AV2204" s="194"/>
      <c r="AW2204" s="194"/>
      <c r="AX2204" s="194"/>
      <c r="AY2204" s="194"/>
      <c r="AZ2204" s="194"/>
    </row>
    <row r="2205" spans="37:52" x14ac:dyDescent="0.2">
      <c r="AK2205" s="194"/>
      <c r="AL2205" s="194"/>
      <c r="AM2205" s="194"/>
      <c r="AN2205" s="194"/>
      <c r="AO2205" s="194"/>
      <c r="AP2205" s="208"/>
      <c r="AQ2205" s="194"/>
      <c r="AR2205" s="194"/>
      <c r="AS2205" s="194"/>
      <c r="AT2205" s="194"/>
      <c r="AU2205" s="194"/>
      <c r="AV2205" s="194"/>
      <c r="AW2205" s="194"/>
      <c r="AX2205" s="194"/>
      <c r="AY2205" s="194"/>
      <c r="AZ2205" s="194"/>
    </row>
    <row r="2206" spans="37:52" x14ac:dyDescent="0.2">
      <c r="AK2206" s="194"/>
      <c r="AL2206" s="194"/>
      <c r="AM2206" s="194"/>
      <c r="AN2206" s="194"/>
      <c r="AO2206" s="194"/>
      <c r="AP2206" s="208"/>
      <c r="AQ2206" s="194"/>
      <c r="AR2206" s="194"/>
      <c r="AS2206" s="194"/>
      <c r="AT2206" s="194"/>
      <c r="AU2206" s="194"/>
      <c r="AV2206" s="194"/>
      <c r="AW2206" s="194"/>
      <c r="AX2206" s="194"/>
      <c r="AY2206" s="194"/>
      <c r="AZ2206" s="194"/>
    </row>
    <row r="2207" spans="37:52" x14ac:dyDescent="0.2">
      <c r="AK2207" s="194"/>
      <c r="AL2207" s="194"/>
      <c r="AM2207" s="194"/>
      <c r="AN2207" s="194"/>
      <c r="AO2207" s="194"/>
      <c r="AP2207" s="208"/>
      <c r="AQ2207" s="194"/>
      <c r="AR2207" s="194"/>
      <c r="AS2207" s="194"/>
      <c r="AT2207" s="194"/>
      <c r="AU2207" s="194"/>
      <c r="AV2207" s="194"/>
      <c r="AW2207" s="194"/>
      <c r="AX2207" s="194"/>
      <c r="AY2207" s="194"/>
      <c r="AZ2207" s="194"/>
    </row>
    <row r="2208" spans="37:52" x14ac:dyDescent="0.2">
      <c r="AK2208" s="194"/>
      <c r="AL2208" s="194"/>
      <c r="AM2208" s="194"/>
      <c r="AN2208" s="194"/>
      <c r="AO2208" s="194"/>
      <c r="AP2208" s="208"/>
      <c r="AQ2208" s="194"/>
      <c r="AR2208" s="194"/>
      <c r="AS2208" s="194"/>
      <c r="AT2208" s="194"/>
      <c r="AU2208" s="194"/>
      <c r="AV2208" s="194"/>
      <c r="AW2208" s="194"/>
      <c r="AX2208" s="194"/>
      <c r="AY2208" s="194"/>
      <c r="AZ2208" s="194"/>
    </row>
    <row r="2209" spans="37:52" x14ac:dyDescent="0.2">
      <c r="AK2209" s="194"/>
      <c r="AL2209" s="194"/>
      <c r="AM2209" s="194"/>
      <c r="AN2209" s="194"/>
      <c r="AO2209" s="194"/>
      <c r="AP2209" s="208"/>
      <c r="AQ2209" s="194"/>
      <c r="AR2209" s="194"/>
      <c r="AS2209" s="194"/>
      <c r="AT2209" s="194"/>
      <c r="AU2209" s="194"/>
      <c r="AV2209" s="194"/>
      <c r="AW2209" s="194"/>
      <c r="AX2209" s="194"/>
      <c r="AY2209" s="194"/>
      <c r="AZ2209" s="194"/>
    </row>
    <row r="2210" spans="37:52" x14ac:dyDescent="0.2">
      <c r="AK2210" s="194"/>
      <c r="AL2210" s="194"/>
      <c r="AM2210" s="194"/>
      <c r="AN2210" s="194"/>
      <c r="AO2210" s="194"/>
      <c r="AP2210" s="208"/>
      <c r="AQ2210" s="194"/>
      <c r="AR2210" s="194"/>
      <c r="AS2210" s="194"/>
      <c r="AT2210" s="194"/>
      <c r="AU2210" s="194"/>
      <c r="AV2210" s="194"/>
      <c r="AW2210" s="194"/>
      <c r="AX2210" s="194"/>
      <c r="AY2210" s="194"/>
      <c r="AZ2210" s="194"/>
    </row>
    <row r="2211" spans="37:52" x14ac:dyDescent="0.2">
      <c r="AK2211" s="194"/>
      <c r="AL2211" s="194"/>
      <c r="AM2211" s="194"/>
      <c r="AN2211" s="194"/>
      <c r="AO2211" s="194"/>
      <c r="AP2211" s="208"/>
      <c r="AQ2211" s="194"/>
      <c r="AR2211" s="194"/>
      <c r="AS2211" s="194"/>
      <c r="AT2211" s="194"/>
      <c r="AU2211" s="194"/>
      <c r="AV2211" s="194"/>
      <c r="AW2211" s="194"/>
      <c r="AX2211" s="194"/>
      <c r="AY2211" s="194"/>
      <c r="AZ2211" s="194"/>
    </row>
    <row r="2212" spans="37:52" x14ac:dyDescent="0.2">
      <c r="AK2212" s="194"/>
      <c r="AL2212" s="194"/>
      <c r="AM2212" s="194"/>
      <c r="AN2212" s="194"/>
      <c r="AO2212" s="194"/>
      <c r="AP2212" s="208"/>
      <c r="AQ2212" s="194"/>
      <c r="AR2212" s="194"/>
      <c r="AS2212" s="194"/>
      <c r="AT2212" s="194"/>
      <c r="AU2212" s="194"/>
      <c r="AV2212" s="194"/>
      <c r="AW2212" s="194"/>
      <c r="AX2212" s="194"/>
      <c r="AY2212" s="194"/>
      <c r="AZ2212" s="194"/>
    </row>
    <row r="2213" spans="37:52" x14ac:dyDescent="0.2">
      <c r="AK2213" s="194"/>
      <c r="AL2213" s="194"/>
      <c r="AM2213" s="194"/>
      <c r="AN2213" s="194"/>
      <c r="AO2213" s="194"/>
      <c r="AP2213" s="208"/>
      <c r="AQ2213" s="194"/>
      <c r="AR2213" s="194"/>
      <c r="AS2213" s="194"/>
      <c r="AT2213" s="194"/>
      <c r="AU2213" s="194"/>
      <c r="AV2213" s="194"/>
      <c r="AW2213" s="194"/>
      <c r="AX2213" s="194"/>
      <c r="AY2213" s="194"/>
      <c r="AZ2213" s="194"/>
    </row>
    <row r="2214" spans="37:52" x14ac:dyDescent="0.2">
      <c r="AK2214" s="194"/>
      <c r="AL2214" s="194"/>
      <c r="AM2214" s="194"/>
      <c r="AN2214" s="194"/>
      <c r="AO2214" s="194"/>
      <c r="AP2214" s="208"/>
      <c r="AQ2214" s="194"/>
      <c r="AR2214" s="194"/>
      <c r="AS2214" s="194"/>
      <c r="AT2214" s="194"/>
      <c r="AU2214" s="194"/>
      <c r="AV2214" s="194"/>
      <c r="AW2214" s="194"/>
      <c r="AX2214" s="194"/>
      <c r="AY2214" s="194"/>
      <c r="AZ2214" s="194"/>
    </row>
    <row r="2215" spans="37:52" x14ac:dyDescent="0.2">
      <c r="AK2215" s="194"/>
      <c r="AL2215" s="194"/>
      <c r="AM2215" s="194"/>
      <c r="AN2215" s="194"/>
      <c r="AO2215" s="194"/>
      <c r="AP2215" s="208"/>
      <c r="AQ2215" s="194"/>
      <c r="AR2215" s="194"/>
      <c r="AS2215" s="194"/>
      <c r="AT2215" s="194"/>
      <c r="AU2215" s="194"/>
      <c r="AV2215" s="194"/>
      <c r="AW2215" s="194"/>
      <c r="AX2215" s="194"/>
      <c r="AY2215" s="194"/>
      <c r="AZ2215" s="194"/>
    </row>
    <row r="2216" spans="37:52" x14ac:dyDescent="0.2">
      <c r="AK2216" s="194"/>
      <c r="AL2216" s="194"/>
      <c r="AM2216" s="194"/>
      <c r="AN2216" s="194"/>
      <c r="AO2216" s="194"/>
      <c r="AP2216" s="208"/>
      <c r="AQ2216" s="194"/>
      <c r="AR2216" s="194"/>
      <c r="AS2216" s="194"/>
      <c r="AT2216" s="194"/>
      <c r="AU2216" s="194"/>
      <c r="AV2216" s="194"/>
      <c r="AW2216" s="194"/>
      <c r="AX2216" s="194"/>
      <c r="AY2216" s="194"/>
      <c r="AZ2216" s="194"/>
    </row>
    <row r="2217" spans="37:52" x14ac:dyDescent="0.2">
      <c r="AK2217" s="194"/>
      <c r="AL2217" s="194"/>
      <c r="AM2217" s="194"/>
      <c r="AN2217" s="194"/>
      <c r="AO2217" s="194"/>
      <c r="AP2217" s="208"/>
      <c r="AQ2217" s="194"/>
      <c r="AR2217" s="194"/>
      <c r="AS2217" s="194"/>
      <c r="AT2217" s="194"/>
      <c r="AU2217" s="194"/>
      <c r="AV2217" s="194"/>
      <c r="AW2217" s="194"/>
      <c r="AX2217" s="194"/>
      <c r="AY2217" s="194"/>
      <c r="AZ2217" s="194"/>
    </row>
    <row r="2218" spans="37:52" x14ac:dyDescent="0.2">
      <c r="AK2218" s="194"/>
      <c r="AL2218" s="194"/>
      <c r="AM2218" s="194"/>
      <c r="AN2218" s="194"/>
      <c r="AO2218" s="194"/>
      <c r="AP2218" s="208"/>
      <c r="AQ2218" s="194"/>
      <c r="AR2218" s="194"/>
      <c r="AS2218" s="194"/>
      <c r="AT2218" s="194"/>
      <c r="AU2218" s="194"/>
      <c r="AV2218" s="194"/>
      <c r="AW2218" s="194"/>
      <c r="AX2218" s="194"/>
      <c r="AY2218" s="194"/>
      <c r="AZ2218" s="194"/>
    </row>
    <row r="2219" spans="37:52" x14ac:dyDescent="0.2">
      <c r="AK2219" s="194"/>
      <c r="AL2219" s="194"/>
      <c r="AM2219" s="194"/>
      <c r="AN2219" s="194"/>
      <c r="AO2219" s="194"/>
      <c r="AP2219" s="208"/>
      <c r="AQ2219" s="194"/>
      <c r="AR2219" s="194"/>
      <c r="AS2219" s="194"/>
      <c r="AT2219" s="194"/>
      <c r="AU2219" s="194"/>
      <c r="AV2219" s="194"/>
      <c r="AW2219" s="194"/>
      <c r="AX2219" s="194"/>
      <c r="AY2219" s="194"/>
      <c r="AZ2219" s="194"/>
    </row>
    <row r="2220" spans="37:52" x14ac:dyDescent="0.2">
      <c r="AK2220" s="194"/>
      <c r="AL2220" s="194"/>
      <c r="AM2220" s="194"/>
      <c r="AN2220" s="194"/>
      <c r="AO2220" s="194"/>
      <c r="AP2220" s="208"/>
      <c r="AQ2220" s="194"/>
      <c r="AR2220" s="194"/>
      <c r="AS2220" s="194"/>
      <c r="AT2220" s="194"/>
      <c r="AU2220" s="194"/>
      <c r="AV2220" s="194"/>
      <c r="AW2220" s="194"/>
      <c r="AX2220" s="194"/>
      <c r="AY2220" s="194"/>
      <c r="AZ2220" s="194"/>
    </row>
    <row r="2221" spans="37:52" x14ac:dyDescent="0.2">
      <c r="AK2221" s="194"/>
      <c r="AL2221" s="194"/>
      <c r="AM2221" s="194"/>
      <c r="AN2221" s="194"/>
      <c r="AO2221" s="194"/>
      <c r="AP2221" s="208"/>
      <c r="AQ2221" s="194"/>
      <c r="AR2221" s="194"/>
      <c r="AS2221" s="194"/>
      <c r="AT2221" s="194"/>
      <c r="AU2221" s="194"/>
      <c r="AV2221" s="194"/>
      <c r="AW2221" s="194"/>
      <c r="AX2221" s="194"/>
      <c r="AY2221" s="194"/>
      <c r="AZ2221" s="194"/>
    </row>
    <row r="2222" spans="37:52" x14ac:dyDescent="0.2">
      <c r="AK2222" s="194"/>
      <c r="AL2222" s="194"/>
      <c r="AM2222" s="194"/>
      <c r="AN2222" s="194"/>
      <c r="AO2222" s="194"/>
      <c r="AP2222" s="208"/>
      <c r="AQ2222" s="194"/>
      <c r="AR2222" s="194"/>
      <c r="AS2222" s="194"/>
      <c r="AT2222" s="194"/>
      <c r="AU2222" s="194"/>
      <c r="AV2222" s="194"/>
      <c r="AW2222" s="194"/>
      <c r="AX2222" s="194"/>
      <c r="AY2222" s="194"/>
      <c r="AZ2222" s="194"/>
    </row>
  </sheetData>
  <mergeCells count="12">
    <mergeCell ref="BL3:BZ3"/>
    <mergeCell ref="DI3:DS3"/>
    <mergeCell ref="CC3:CQ3"/>
    <mergeCell ref="I28:M28"/>
    <mergeCell ref="A3:F3"/>
    <mergeCell ref="I3:M3"/>
    <mergeCell ref="AK3:AZ3"/>
    <mergeCell ref="I11:N11"/>
    <mergeCell ref="I19:N19"/>
    <mergeCell ref="T3:X3"/>
    <mergeCell ref="Z3:AH3"/>
    <mergeCell ref="BC3:BI3"/>
  </mergeCells>
  <phoneticPr fontId="2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Q1685"/>
  <sheetViews>
    <sheetView workbookViewId="0">
      <selection activeCell="DT8" sqref="DT8"/>
    </sheetView>
  </sheetViews>
  <sheetFormatPr defaultRowHeight="14.25" x14ac:dyDescent="0.2"/>
  <cols>
    <col min="2" max="9" width="10" customWidth="1"/>
    <col min="10" max="10" width="11" customWidth="1"/>
    <col min="11" max="11" width="10.625" customWidth="1"/>
    <col min="12" max="13" width="10.375" customWidth="1"/>
    <col min="14" max="17" width="11" customWidth="1"/>
    <col min="18" max="39" width="10.875" customWidth="1"/>
    <col min="40" max="42" width="10.125" customWidth="1"/>
    <col min="49" max="50" width="7.625" customWidth="1"/>
    <col min="52" max="52" width="9" style="185"/>
    <col min="55" max="55" width="9" style="185"/>
    <col min="56" max="57" width="9.625" style="185" customWidth="1"/>
    <col min="58" max="58" width="11.5" customWidth="1"/>
    <col min="59" max="61" width="11.625" customWidth="1"/>
    <col min="62" max="62" width="12" customWidth="1"/>
    <col min="63" max="63" width="11" customWidth="1"/>
    <col min="64" max="64" width="9.875" customWidth="1"/>
    <col min="65" max="65" width="11.625" customWidth="1"/>
    <col min="66" max="67" width="10.125" customWidth="1"/>
    <col min="68" max="68" width="9.875" customWidth="1"/>
    <col min="69" max="69" width="10.75" customWidth="1"/>
    <col min="75" max="75" width="9.375" customWidth="1"/>
    <col min="88" max="88" width="7.25" customWidth="1"/>
    <col min="102" max="102" width="9.75" customWidth="1"/>
    <col min="109" max="110" width="9.125" bestFit="1" customWidth="1"/>
    <col min="111" max="111" width="14" bestFit="1" customWidth="1"/>
    <col min="112" max="112" width="10.125" bestFit="1" customWidth="1"/>
    <col min="113" max="113" width="9.25" bestFit="1" customWidth="1"/>
    <col min="114" max="114" width="9.125" bestFit="1" customWidth="1"/>
    <col min="116" max="116" width="9.125" bestFit="1" customWidth="1"/>
    <col min="119" max="119" width="13.875" bestFit="1" customWidth="1"/>
    <col min="120" max="122" width="9.125" bestFit="1" customWidth="1"/>
    <col min="128" max="128" width="8.375" customWidth="1"/>
    <col min="135" max="135" width="11" customWidth="1"/>
    <col min="136" max="136" width="10.625" customWidth="1"/>
    <col min="137" max="141" width="10.625" style="142" customWidth="1"/>
    <col min="142" max="142" width="11.125" style="142" customWidth="1"/>
    <col min="143" max="143" width="11.25" style="102" customWidth="1"/>
    <col min="144" max="145" width="10.875" style="102" customWidth="1"/>
    <col min="146" max="146" width="13.125" customWidth="1"/>
    <col min="147" max="147" width="10.875" customWidth="1"/>
    <col min="148" max="148" width="11.5" customWidth="1"/>
    <col min="149" max="149" width="10.875" customWidth="1"/>
    <col min="150" max="150" width="9.125" bestFit="1" customWidth="1"/>
    <col min="151" max="151" width="9.125" style="102" bestFit="1" customWidth="1"/>
    <col min="152" max="152" width="9.125" bestFit="1" customWidth="1"/>
    <col min="153" max="153" width="9" style="102"/>
    <col min="154" max="154" width="13.875" bestFit="1" customWidth="1"/>
    <col min="155" max="155" width="13.875" style="207" customWidth="1"/>
    <col min="158" max="158" width="12.375" customWidth="1"/>
    <col min="159" max="159" width="11.875" customWidth="1"/>
    <col min="161" max="161" width="12.75" customWidth="1"/>
    <col min="162" max="162" width="12.125" customWidth="1"/>
    <col min="164" max="164" width="12.75" customWidth="1"/>
    <col min="165" max="165" width="13.625" customWidth="1"/>
    <col min="168" max="168" width="11" style="102" customWidth="1"/>
    <col min="169" max="169" width="11.125" style="102" customWidth="1"/>
    <col min="170" max="170" width="11.375" style="102" customWidth="1"/>
    <col min="171" max="171" width="11.625" style="102" customWidth="1"/>
    <col min="172" max="174" width="9" style="102"/>
    <col min="176" max="176" width="9" style="102"/>
    <col min="178" max="178" width="9" style="142"/>
    <col min="179" max="179" width="26.75" style="102" customWidth="1"/>
    <col min="180" max="180" width="9" style="102"/>
    <col min="181" max="181" width="11" customWidth="1"/>
    <col min="182" max="182" width="12.625" customWidth="1"/>
    <col min="183" max="183" width="12.5" customWidth="1"/>
    <col min="184" max="184" width="14" customWidth="1"/>
    <col min="185" max="185" width="11.375" customWidth="1"/>
    <col min="186" max="186" width="11.875" customWidth="1"/>
    <col min="187" max="187" width="11" customWidth="1"/>
    <col min="192" max="192" width="9.25" customWidth="1"/>
    <col min="194" max="194" width="9.375" customWidth="1"/>
    <col min="195" max="195" width="10.25" customWidth="1"/>
    <col min="196" max="196" width="9.875" customWidth="1"/>
    <col min="197" max="197" width="12.375" customWidth="1"/>
  </cols>
  <sheetData>
    <row r="1" spans="1:199" x14ac:dyDescent="0.2">
      <c r="DX1">
        <f>SUM(DX6:DX77)</f>
        <v>3393.1614465408811</v>
      </c>
      <c r="DY1" s="209">
        <f t="shared" ref="DY1:EA1" si="0">SUM(DY6:DY77)</f>
        <v>5324.1381907894756</v>
      </c>
      <c r="DZ1" s="209">
        <f t="shared" si="0"/>
        <v>10587.474704944179</v>
      </c>
      <c r="EA1" s="209">
        <f t="shared" si="0"/>
        <v>8568.7963636363638</v>
      </c>
      <c r="EC1">
        <f>SUMPRODUCT(DX1:EA1,DX2:EA2)</f>
        <v>710396.50142130093</v>
      </c>
    </row>
    <row r="2" spans="1:199" x14ac:dyDescent="0.2">
      <c r="A2" t="s">
        <v>565</v>
      </c>
      <c r="DX2">
        <v>5</v>
      </c>
      <c r="DY2">
        <v>10</v>
      </c>
      <c r="DZ2">
        <v>20</v>
      </c>
      <c r="EA2">
        <v>50</v>
      </c>
    </row>
    <row r="3" spans="1:199" ht="16.5" x14ac:dyDescent="0.2">
      <c r="A3" s="80" t="s">
        <v>556</v>
      </c>
      <c r="B3" s="79">
        <v>5</v>
      </c>
      <c r="C3" s="82" t="s">
        <v>566</v>
      </c>
      <c r="D3" s="81">
        <v>3</v>
      </c>
      <c r="BZ3" s="184" t="s">
        <v>1559</v>
      </c>
      <c r="CA3" s="14">
        <f>价值概述!C67</f>
        <v>5</v>
      </c>
      <c r="CB3" s="14">
        <f>价值概述!C68</f>
        <v>10</v>
      </c>
      <c r="CC3" s="14">
        <f>价值概述!C69</f>
        <v>20</v>
      </c>
      <c r="CD3" s="14">
        <f>价值概述!C70</f>
        <v>50</v>
      </c>
      <c r="DX3">
        <v>1</v>
      </c>
      <c r="DY3">
        <v>2</v>
      </c>
      <c r="DZ3">
        <v>3</v>
      </c>
      <c r="EA3">
        <v>4</v>
      </c>
      <c r="FZ3">
        <v>1</v>
      </c>
      <c r="GA3">
        <v>1</v>
      </c>
      <c r="GB3">
        <v>2</v>
      </c>
      <c r="GC3">
        <v>2</v>
      </c>
      <c r="GD3">
        <v>3</v>
      </c>
      <c r="GE3">
        <v>3</v>
      </c>
    </row>
    <row r="4" spans="1:199" ht="20.25" x14ac:dyDescent="0.2">
      <c r="F4">
        <v>5</v>
      </c>
      <c r="G4">
        <v>10</v>
      </c>
      <c r="H4">
        <v>20</v>
      </c>
      <c r="I4">
        <v>50</v>
      </c>
      <c r="AU4">
        <f>PRODUCT(AU6:AU8)</f>
        <v>524880</v>
      </c>
      <c r="BD4" s="185">
        <v>0.5</v>
      </c>
      <c r="BE4" s="185">
        <f>SUM(BD6:BD13)</f>
        <v>1058.659974885375</v>
      </c>
      <c r="BZ4" s="82" t="s">
        <v>213</v>
      </c>
      <c r="CA4" s="35">
        <v>0</v>
      </c>
      <c r="CB4" s="35">
        <v>0</v>
      </c>
      <c r="CC4" s="35">
        <v>0</v>
      </c>
      <c r="CD4" s="35">
        <v>0</v>
      </c>
      <c r="CK4" s="234" t="s">
        <v>617</v>
      </c>
      <c r="CL4" s="234"/>
      <c r="CM4" s="234"/>
      <c r="CN4" s="234"/>
      <c r="CO4" s="234" t="s">
        <v>618</v>
      </c>
      <c r="CP4" s="234"/>
      <c r="CQ4" s="234"/>
      <c r="CR4" s="234"/>
      <c r="CS4" s="234" t="s">
        <v>133</v>
      </c>
      <c r="CT4" s="234"/>
      <c r="CU4" s="234"/>
      <c r="CV4" s="234"/>
      <c r="DA4" s="234" t="s">
        <v>615</v>
      </c>
      <c r="DB4" s="234"/>
      <c r="DC4" s="234"/>
      <c r="DD4" s="234"/>
      <c r="DG4" s="233" t="s">
        <v>613</v>
      </c>
      <c r="DH4" s="233"/>
      <c r="DI4" s="233"/>
      <c r="DJ4" s="233"/>
      <c r="DK4" s="234" t="s">
        <v>616</v>
      </c>
      <c r="DL4" s="234"/>
      <c r="DM4" s="234"/>
      <c r="DN4" s="234"/>
      <c r="DO4" s="233" t="s">
        <v>614</v>
      </c>
      <c r="DP4" s="233"/>
      <c r="DQ4" s="233"/>
      <c r="DR4" s="233"/>
    </row>
    <row r="5" spans="1:199" ht="17.25" x14ac:dyDescent="0.2">
      <c r="A5" s="12" t="s">
        <v>537</v>
      </c>
      <c r="B5" s="12" t="s">
        <v>73</v>
      </c>
      <c r="C5" s="12" t="s">
        <v>1384</v>
      </c>
      <c r="D5" s="12" t="s">
        <v>555</v>
      </c>
      <c r="E5" s="12" t="s">
        <v>567</v>
      </c>
      <c r="F5" s="12" t="s">
        <v>361</v>
      </c>
      <c r="G5" s="12" t="s">
        <v>538</v>
      </c>
      <c r="H5" s="12" t="s">
        <v>539</v>
      </c>
      <c r="I5" s="12" t="s">
        <v>540</v>
      </c>
      <c r="J5" s="12" t="s">
        <v>541</v>
      </c>
      <c r="K5" s="12" t="s">
        <v>538</v>
      </c>
      <c r="L5" s="12" t="s">
        <v>539</v>
      </c>
      <c r="M5" s="12" t="s">
        <v>540</v>
      </c>
      <c r="N5" s="12" t="s">
        <v>541</v>
      </c>
      <c r="O5" s="12" t="s">
        <v>538</v>
      </c>
      <c r="P5" s="12" t="s">
        <v>539</v>
      </c>
      <c r="Q5" s="12" t="s">
        <v>540</v>
      </c>
      <c r="R5" s="12" t="s">
        <v>541</v>
      </c>
      <c r="S5" s="12" t="s">
        <v>568</v>
      </c>
      <c r="T5" s="12" t="s">
        <v>80</v>
      </c>
      <c r="U5" s="12" t="s">
        <v>538</v>
      </c>
      <c r="V5" s="12" t="s">
        <v>539</v>
      </c>
      <c r="W5" s="12" t="s">
        <v>540</v>
      </c>
      <c r="X5" s="12" t="s">
        <v>541</v>
      </c>
      <c r="Y5" s="12" t="s">
        <v>538</v>
      </c>
      <c r="Z5" s="12" t="s">
        <v>539</v>
      </c>
      <c r="AA5" s="12" t="s">
        <v>540</v>
      </c>
      <c r="AB5" s="12" t="s">
        <v>541</v>
      </c>
      <c r="AC5" s="12" t="s">
        <v>569</v>
      </c>
      <c r="AD5" s="12" t="s">
        <v>80</v>
      </c>
      <c r="AE5" s="12" t="s">
        <v>538</v>
      </c>
      <c r="AF5" s="12" t="s">
        <v>539</v>
      </c>
      <c r="AG5" s="12" t="s">
        <v>540</v>
      </c>
      <c r="AH5" s="12" t="s">
        <v>541</v>
      </c>
      <c r="AI5" s="12" t="s">
        <v>538</v>
      </c>
      <c r="AJ5" s="12" t="s">
        <v>539</v>
      </c>
      <c r="AK5" s="12" t="s">
        <v>540</v>
      </c>
      <c r="AL5" s="12" t="s">
        <v>541</v>
      </c>
      <c r="AN5" s="12" t="s">
        <v>548</v>
      </c>
      <c r="AO5" s="12" t="s">
        <v>549</v>
      </c>
      <c r="AP5" s="12" t="s">
        <v>619</v>
      </c>
      <c r="AQ5" s="12" t="s">
        <v>620</v>
      </c>
      <c r="AR5" s="12" t="s">
        <v>621</v>
      </c>
      <c r="AT5" s="45" t="s">
        <v>562</v>
      </c>
      <c r="AU5" s="12" t="s">
        <v>214</v>
      </c>
      <c r="AV5" s="12" t="s">
        <v>43</v>
      </c>
      <c r="AW5" s="12" t="s">
        <v>143</v>
      </c>
      <c r="AX5" s="12" t="s">
        <v>143</v>
      </c>
      <c r="BA5" s="12" t="s">
        <v>560</v>
      </c>
      <c r="BB5" s="12" t="s">
        <v>557</v>
      </c>
      <c r="BC5" s="12" t="s">
        <v>1558</v>
      </c>
      <c r="BD5" s="12" t="s">
        <v>1560</v>
      </c>
      <c r="BE5" s="12" t="s">
        <v>1561</v>
      </c>
      <c r="BF5" s="12" t="s">
        <v>558</v>
      </c>
      <c r="BG5" s="12" t="s">
        <v>559</v>
      </c>
      <c r="BH5" s="12" t="s">
        <v>824</v>
      </c>
      <c r="BI5" s="12" t="s">
        <v>825</v>
      </c>
      <c r="BJ5" s="12" t="s">
        <v>538</v>
      </c>
      <c r="BK5" s="12" t="s">
        <v>539</v>
      </c>
      <c r="BL5" s="12" t="s">
        <v>540</v>
      </c>
      <c r="BM5" s="12" t="s">
        <v>541</v>
      </c>
      <c r="BN5" s="12" t="s">
        <v>538</v>
      </c>
      <c r="BO5" s="12" t="s">
        <v>539</v>
      </c>
      <c r="BP5" s="12" t="s">
        <v>540</v>
      </c>
      <c r="BQ5" s="12" t="s">
        <v>541</v>
      </c>
      <c r="BR5" s="12" t="s">
        <v>538</v>
      </c>
      <c r="BS5" s="12" t="s">
        <v>539</v>
      </c>
      <c r="BT5" s="12" t="s">
        <v>540</v>
      </c>
      <c r="BU5" s="12" t="s">
        <v>541</v>
      </c>
      <c r="BV5" s="12" t="s">
        <v>578</v>
      </c>
      <c r="BW5" s="12" t="s">
        <v>538</v>
      </c>
      <c r="BX5" s="12" t="s">
        <v>539</v>
      </c>
      <c r="BY5" s="12" t="s">
        <v>540</v>
      </c>
      <c r="BZ5" s="12" t="s">
        <v>541</v>
      </c>
      <c r="CA5" s="12" t="s">
        <v>538</v>
      </c>
      <c r="CB5" s="12" t="s">
        <v>539</v>
      </c>
      <c r="CC5" s="12" t="s">
        <v>540</v>
      </c>
      <c r="CD5" s="12" t="s">
        <v>541</v>
      </c>
      <c r="CG5" s="12" t="s">
        <v>71</v>
      </c>
      <c r="CH5" s="12" t="s">
        <v>34</v>
      </c>
      <c r="CI5" s="12" t="s">
        <v>611</v>
      </c>
      <c r="CJ5" s="12" t="s">
        <v>217</v>
      </c>
      <c r="CK5" s="12" t="s">
        <v>538</v>
      </c>
      <c r="CL5" s="12" t="s">
        <v>539</v>
      </c>
      <c r="CM5" s="12" t="s">
        <v>540</v>
      </c>
      <c r="CN5" s="12" t="s">
        <v>541</v>
      </c>
      <c r="CO5" s="12" t="s">
        <v>538</v>
      </c>
      <c r="CP5" s="12" t="s">
        <v>539</v>
      </c>
      <c r="CQ5" s="12" t="s">
        <v>540</v>
      </c>
      <c r="CR5" s="12" t="s">
        <v>541</v>
      </c>
      <c r="CS5" s="12" t="s">
        <v>538</v>
      </c>
      <c r="CT5" s="12" t="s">
        <v>539</v>
      </c>
      <c r="CU5" s="12" t="s">
        <v>540</v>
      </c>
      <c r="CV5" s="12" t="s">
        <v>541</v>
      </c>
      <c r="CY5" s="12" t="s">
        <v>71</v>
      </c>
      <c r="CZ5" s="12" t="s">
        <v>34</v>
      </c>
      <c r="DA5" s="12" t="s">
        <v>538</v>
      </c>
      <c r="DB5" s="12" t="s">
        <v>539</v>
      </c>
      <c r="DC5" s="12" t="s">
        <v>540</v>
      </c>
      <c r="DD5" s="12" t="s">
        <v>541</v>
      </c>
      <c r="DE5" s="12" t="s">
        <v>612</v>
      </c>
      <c r="DF5" s="12" t="s">
        <v>34</v>
      </c>
      <c r="DG5" s="12" t="s">
        <v>538</v>
      </c>
      <c r="DH5" s="12" t="s">
        <v>539</v>
      </c>
      <c r="DI5" s="12" t="s">
        <v>540</v>
      </c>
      <c r="DJ5" s="12" t="s">
        <v>541</v>
      </c>
      <c r="DK5" s="12" t="s">
        <v>538</v>
      </c>
      <c r="DL5" s="12" t="s">
        <v>539</v>
      </c>
      <c r="DM5" s="12" t="s">
        <v>540</v>
      </c>
      <c r="DN5" s="12" t="s">
        <v>541</v>
      </c>
      <c r="DO5" s="12" t="s">
        <v>538</v>
      </c>
      <c r="DP5" s="12" t="s">
        <v>539</v>
      </c>
      <c r="DQ5" s="12" t="s">
        <v>540</v>
      </c>
      <c r="DR5" s="12" t="s">
        <v>541</v>
      </c>
      <c r="DU5" s="12" t="s">
        <v>826</v>
      </c>
      <c r="DV5" s="12" t="s">
        <v>827</v>
      </c>
      <c r="DW5" s="12" t="s">
        <v>828</v>
      </c>
      <c r="DX5" s="12" t="s">
        <v>829</v>
      </c>
      <c r="DY5" s="12" t="s">
        <v>830</v>
      </c>
      <c r="DZ5" s="12" t="s">
        <v>831</v>
      </c>
      <c r="EA5" s="12" t="s">
        <v>832</v>
      </c>
      <c r="EB5" s="12" t="s">
        <v>833</v>
      </c>
      <c r="EC5" s="12" t="s">
        <v>834</v>
      </c>
      <c r="EE5" s="12" t="s">
        <v>1124</v>
      </c>
      <c r="EF5" s="12" t="s">
        <v>1110</v>
      </c>
      <c r="EG5" s="12" t="s">
        <v>1128</v>
      </c>
      <c r="EJ5" s="12" t="s">
        <v>1127</v>
      </c>
      <c r="EK5" s="12" t="s">
        <v>1126</v>
      </c>
      <c r="EL5" s="12" t="s">
        <v>1125</v>
      </c>
      <c r="EM5" s="12" t="s">
        <v>953</v>
      </c>
      <c r="EN5" s="12" t="s">
        <v>938</v>
      </c>
      <c r="EO5" s="12" t="s">
        <v>939</v>
      </c>
      <c r="EP5" s="12" t="s">
        <v>846</v>
      </c>
      <c r="EQ5" s="12" t="s">
        <v>847</v>
      </c>
      <c r="ER5" s="12" t="s">
        <v>937</v>
      </c>
      <c r="ES5" s="12" t="s">
        <v>940</v>
      </c>
      <c r="ET5" s="12" t="s">
        <v>851</v>
      </c>
      <c r="EU5" s="12" t="s">
        <v>942</v>
      </c>
      <c r="EV5" s="12" t="s">
        <v>852</v>
      </c>
      <c r="EW5" s="12"/>
      <c r="EX5" s="12" t="s">
        <v>845</v>
      </c>
      <c r="EY5" s="12" t="s">
        <v>1603</v>
      </c>
      <c r="FA5" s="12" t="s">
        <v>835</v>
      </c>
      <c r="FB5" s="12" t="s">
        <v>836</v>
      </c>
      <c r="FC5" s="12" t="s">
        <v>837</v>
      </c>
      <c r="FD5" s="12" t="s">
        <v>838</v>
      </c>
      <c r="FE5" s="12" t="s">
        <v>839</v>
      </c>
      <c r="FF5" s="12" t="s">
        <v>840</v>
      </c>
      <c r="FG5" s="12" t="s">
        <v>841</v>
      </c>
      <c r="FH5" s="12" t="s">
        <v>842</v>
      </c>
      <c r="FI5" s="12" t="s">
        <v>843</v>
      </c>
      <c r="FL5" s="12" t="s">
        <v>869</v>
      </c>
      <c r="FM5" s="12" t="s">
        <v>947</v>
      </c>
      <c r="FN5" s="12" t="s">
        <v>854</v>
      </c>
      <c r="FO5" s="12" t="s">
        <v>1130</v>
      </c>
      <c r="FS5" s="12" t="s">
        <v>943</v>
      </c>
      <c r="FT5" s="12" t="s">
        <v>952</v>
      </c>
      <c r="FU5" s="12" t="s">
        <v>944</v>
      </c>
      <c r="FV5" s="12" t="s">
        <v>1129</v>
      </c>
      <c r="FW5" s="12" t="s">
        <v>951</v>
      </c>
      <c r="FX5" s="12" t="s">
        <v>946</v>
      </c>
      <c r="FY5" s="12" t="s">
        <v>945</v>
      </c>
      <c r="FZ5" s="12" t="s">
        <v>938</v>
      </c>
      <c r="GA5" s="12" t="s">
        <v>939</v>
      </c>
      <c r="GB5" s="12" t="s">
        <v>846</v>
      </c>
      <c r="GC5" s="12" t="s">
        <v>847</v>
      </c>
      <c r="GD5" s="12" t="s">
        <v>937</v>
      </c>
      <c r="GE5" s="12" t="s">
        <v>940</v>
      </c>
      <c r="GF5" s="12" t="s">
        <v>851</v>
      </c>
      <c r="GG5" s="12" t="s">
        <v>942</v>
      </c>
      <c r="GH5" s="12" t="s">
        <v>852</v>
      </c>
      <c r="GI5" s="12" t="s">
        <v>835</v>
      </c>
      <c r="GJ5" s="12" t="s">
        <v>836</v>
      </c>
      <c r="GK5" s="12" t="s">
        <v>837</v>
      </c>
      <c r="GL5" s="12" t="s">
        <v>838</v>
      </c>
      <c r="GM5" s="12" t="s">
        <v>839</v>
      </c>
      <c r="GN5" s="12" t="s">
        <v>840</v>
      </c>
      <c r="GO5" s="12" t="s">
        <v>841</v>
      </c>
      <c r="GP5" s="12" t="s">
        <v>842</v>
      </c>
      <c r="GQ5" s="12" t="s">
        <v>843</v>
      </c>
    </row>
    <row r="6" spans="1:199" ht="16.5" x14ac:dyDescent="0.2">
      <c r="A6" s="81">
        <v>0</v>
      </c>
      <c r="B6" s="81">
        <v>0</v>
      </c>
      <c r="C6" s="159">
        <v>0</v>
      </c>
      <c r="D6" s="81">
        <v>0</v>
      </c>
      <c r="E6" s="81">
        <v>0</v>
      </c>
      <c r="F6" s="81">
        <v>0</v>
      </c>
      <c r="G6" s="81">
        <v>0</v>
      </c>
      <c r="H6" s="81">
        <v>0</v>
      </c>
      <c r="I6" s="81">
        <v>0</v>
      </c>
      <c r="J6" s="81">
        <v>0</v>
      </c>
      <c r="K6" s="81">
        <v>0</v>
      </c>
      <c r="L6" s="81">
        <v>0</v>
      </c>
      <c r="M6" s="81">
        <v>0</v>
      </c>
      <c r="N6" s="81">
        <v>0</v>
      </c>
      <c r="O6" s="81">
        <v>0</v>
      </c>
      <c r="P6" s="81">
        <v>0</v>
      </c>
      <c r="Q6" s="81">
        <v>0</v>
      </c>
      <c r="R6" s="81">
        <v>0</v>
      </c>
      <c r="S6" s="81">
        <v>0</v>
      </c>
      <c r="T6" s="81">
        <v>0</v>
      </c>
      <c r="U6" s="81">
        <v>0</v>
      </c>
      <c r="V6" s="81">
        <v>0</v>
      </c>
      <c r="W6" s="81">
        <v>0</v>
      </c>
      <c r="X6" s="81">
        <v>0</v>
      </c>
      <c r="Y6" s="81">
        <v>0</v>
      </c>
      <c r="Z6" s="81">
        <v>0</v>
      </c>
      <c r="AA6" s="81">
        <v>0</v>
      </c>
      <c r="AB6" s="81">
        <v>0</v>
      </c>
      <c r="AC6" s="81">
        <v>0</v>
      </c>
      <c r="AD6" s="81">
        <v>0</v>
      </c>
      <c r="AE6" s="81">
        <v>0</v>
      </c>
      <c r="AF6" s="81">
        <v>0</v>
      </c>
      <c r="AG6" s="81">
        <v>0</v>
      </c>
      <c r="AH6" s="81">
        <v>0</v>
      </c>
      <c r="AI6" s="81">
        <v>0</v>
      </c>
      <c r="AJ6" s="81">
        <v>0</v>
      </c>
      <c r="AK6" s="81">
        <v>0</v>
      </c>
      <c r="AL6" s="81">
        <v>0</v>
      </c>
      <c r="AN6" s="79" t="s">
        <v>538</v>
      </c>
      <c r="AO6" s="79">
        <v>5</v>
      </c>
      <c r="AP6" s="83">
        <v>20</v>
      </c>
      <c r="AQ6" s="83"/>
      <c r="AR6" s="83">
        <f>AO6*AP6*1000</f>
        <v>100000</v>
      </c>
      <c r="AT6" s="81" t="s">
        <v>563</v>
      </c>
      <c r="AU6" s="81">
        <v>108</v>
      </c>
      <c r="AV6" s="81">
        <f>AU$4/AU6</f>
        <v>4860</v>
      </c>
      <c r="AW6" s="32">
        <v>1</v>
      </c>
      <c r="AX6" s="32">
        <v>1</v>
      </c>
      <c r="BA6" s="79">
        <v>1</v>
      </c>
      <c r="BB6" s="79">
        <v>37</v>
      </c>
      <c r="BC6" s="183">
        <f>SUMPRODUCT($CA$3:$CD$3,CA6:CD6)</f>
        <v>2491.4000000000005</v>
      </c>
      <c r="BD6" s="183">
        <f>BC6^$BD$4</f>
        <v>49.913925912514642</v>
      </c>
      <c r="BE6" s="21">
        <f>BD6/BE$4</f>
        <v>4.7148212926363828E-2</v>
      </c>
      <c r="BF6" s="79" t="s">
        <v>561</v>
      </c>
      <c r="BG6" s="79"/>
      <c r="BH6" s="95">
        <v>1</v>
      </c>
      <c r="BI6" s="95"/>
      <c r="BJ6" s="19">
        <v>0.2</v>
      </c>
      <c r="BK6" s="79"/>
      <c r="BL6" s="79"/>
      <c r="BM6" s="79"/>
      <c r="BN6" s="81">
        <f t="shared" ref="BN6:BN13" si="1">$O$16*BJ6</f>
        <v>206.86800000000005</v>
      </c>
      <c r="BO6" s="81">
        <f t="shared" ref="BO6:BO13" si="2">$P$16*BK6</f>
        <v>0</v>
      </c>
      <c r="BP6" s="81">
        <f t="shared" ref="BP6:BP13" si="3">$Q$16*BL6</f>
        <v>0</v>
      </c>
      <c r="BQ6" s="81">
        <f t="shared" ref="BQ6:BQ13" si="4">$R$16*BM6</f>
        <v>0</v>
      </c>
      <c r="BR6" s="81">
        <f t="shared" ref="BR6:BR13" si="5">$Y$16*BJ6</f>
        <v>426.02</v>
      </c>
      <c r="BS6" s="81">
        <f t="shared" ref="BS6:BS13" si="6">$Z$16*BK6</f>
        <v>0</v>
      </c>
      <c r="BT6" s="81">
        <f t="shared" ref="BT6:BT13" si="7">$AA$16*BL6</f>
        <v>0</v>
      </c>
      <c r="BU6" s="81">
        <f t="shared" ref="BU6:BU13" si="8">$AB$16*BM6</f>
        <v>0</v>
      </c>
      <c r="BV6" s="81">
        <v>7</v>
      </c>
      <c r="BW6" s="81">
        <f t="shared" ref="BW6:BX13" si="9">$AI$16*BJ6</f>
        <v>498.28000000000014</v>
      </c>
      <c r="BX6" s="81">
        <f t="shared" si="9"/>
        <v>0</v>
      </c>
      <c r="BY6" s="81">
        <f t="shared" ref="BY6:BY13" si="10">$AK$16*BL6</f>
        <v>0</v>
      </c>
      <c r="BZ6" s="81">
        <f t="shared" ref="BZ6:BZ13" si="11">$AL$16*BM6</f>
        <v>0</v>
      </c>
      <c r="CA6" s="14">
        <f>BW6/(1-CA$4)</f>
        <v>498.28000000000014</v>
      </c>
      <c r="CB6" s="14">
        <f t="shared" ref="CB6:CD6" si="12">BX6/(1-CB$4)</f>
        <v>0</v>
      </c>
      <c r="CC6" s="14">
        <f t="shared" si="12"/>
        <v>0</v>
      </c>
      <c r="CD6" s="14">
        <f t="shared" si="12"/>
        <v>0</v>
      </c>
      <c r="CG6" s="81">
        <v>1</v>
      </c>
      <c r="CH6" s="81">
        <f>INDEX(节奏总表!$CK$4:$CK$63,专属武器强化!CG6)</f>
        <v>27</v>
      </c>
      <c r="CI6" s="81"/>
      <c r="CJ6" s="81">
        <f t="shared" ref="CJ6:CJ37" si="13">MATCH(CH6,$B$6:$B$15,1)-1</f>
        <v>0</v>
      </c>
      <c r="CK6" s="14">
        <f t="shared" ref="CK6:CK37" si="14">IF($CJ6&gt;0,INDEX(AE$7:AE$15,$CJ6),0)*$B$3</f>
        <v>0</v>
      </c>
      <c r="CL6" s="14">
        <f t="shared" ref="CL6:CL37" si="15">IF($CJ6&gt;0,INDEX(AF$7:AF$15,$CJ6),0)*$B$3</f>
        <v>0</v>
      </c>
      <c r="CM6" s="14">
        <f t="shared" ref="CM6:CM37" si="16">IF($CJ6&gt;0,INDEX(AG$7:AG$15,$CJ6),0)*$B$3</f>
        <v>0</v>
      </c>
      <c r="CN6" s="14">
        <f t="shared" ref="CN6:CN37" si="17">IF($CJ6&gt;0,INDEX(AH$7:AH$15,$CJ6),0)*$B$3</f>
        <v>0</v>
      </c>
      <c r="CO6" s="14"/>
      <c r="CP6" s="14"/>
      <c r="CQ6" s="14"/>
      <c r="CR6" s="14"/>
      <c r="CS6" s="14">
        <f>SUM(CK$6:CK6)</f>
        <v>0</v>
      </c>
      <c r="CT6" s="14">
        <f>SUM(CL$6:CL6)</f>
        <v>0</v>
      </c>
      <c r="CU6" s="14">
        <f>SUM(CM$6:CM6)</f>
        <v>0</v>
      </c>
      <c r="CV6" s="14">
        <f>SUM(CN$6:CN6)</f>
        <v>0</v>
      </c>
      <c r="CY6" s="83">
        <v>1</v>
      </c>
      <c r="CZ6" s="14">
        <f>INDEX(节奏总表!$CK$4:CK63,专属武器强化!CY6)</f>
        <v>27</v>
      </c>
      <c r="DA6" s="14">
        <f t="shared" ref="DA6:DA37" si="18">INDEX(CS$6:CS$65,$CY6)</f>
        <v>0</v>
      </c>
      <c r="DB6" s="14">
        <f t="shared" ref="DB6:DD6" si="19">INDEX(CT$6:CT$65,$CY6)</f>
        <v>0</v>
      </c>
      <c r="DC6" s="14">
        <f t="shared" si="19"/>
        <v>0</v>
      </c>
      <c r="DD6" s="14">
        <f t="shared" si="19"/>
        <v>0</v>
      </c>
      <c r="DE6" s="83"/>
      <c r="DF6" s="83"/>
      <c r="DG6" s="14"/>
      <c r="DH6" s="83"/>
      <c r="DI6" s="83"/>
      <c r="DJ6" s="83"/>
      <c r="DK6" s="83"/>
      <c r="DL6" s="83"/>
      <c r="DM6" s="83"/>
      <c r="DN6" s="83"/>
      <c r="DO6" s="83"/>
      <c r="DP6" s="83"/>
      <c r="DQ6" s="83"/>
      <c r="DR6" s="83"/>
      <c r="DU6" s="95">
        <v>1</v>
      </c>
      <c r="DV6" s="14">
        <f>INT((DU6-1)/9)+1</f>
        <v>1</v>
      </c>
      <c r="DW6" s="14">
        <f>DU6-(DV6-1)*9</f>
        <v>1</v>
      </c>
      <c r="DX6" s="14">
        <f t="shared" ref="DX6:EA25" si="20">INDEX($K$22:$AP$30,$DW6,($DV6-1)*4+DX$3)</f>
        <v>3.1338364779874222</v>
      </c>
      <c r="DY6" s="14">
        <f t="shared" si="20"/>
        <v>0</v>
      </c>
      <c r="DZ6" s="14">
        <f t="shared" si="20"/>
        <v>0</v>
      </c>
      <c r="EA6" s="14">
        <f t="shared" si="20"/>
        <v>0</v>
      </c>
      <c r="EB6" s="14">
        <f>INDEX($BH$6:$BH$13,DV6)</f>
        <v>1</v>
      </c>
      <c r="EC6" s="14">
        <f>INDEX($BI$6:$BI$13,DV6)</f>
        <v>0</v>
      </c>
      <c r="EE6" s="139">
        <v>1</v>
      </c>
      <c r="EF6" s="139">
        <f>金币总表!AT7*0.5</f>
        <v>89010</v>
      </c>
      <c r="EG6" s="139">
        <f>ROUND(EF6/6,0)</f>
        <v>14835</v>
      </c>
      <c r="EJ6" s="139">
        <v>1</v>
      </c>
      <c r="EK6" s="14">
        <f>INT((EJ6-1)/9)+1</f>
        <v>1</v>
      </c>
      <c r="EL6" s="19">
        <v>0.02</v>
      </c>
      <c r="EM6" s="139">
        <v>2</v>
      </c>
      <c r="EN6" s="139" t="s">
        <v>941</v>
      </c>
      <c r="EO6" s="139">
        <f>ROUND(INDEX($EG$6:$EG$13,EK6)*EL6/EX6,0)</f>
        <v>95</v>
      </c>
      <c r="EP6" s="139" t="s">
        <v>844</v>
      </c>
      <c r="EQ6" s="139">
        <v>1</v>
      </c>
      <c r="ER6" s="139"/>
      <c r="ES6" s="139"/>
      <c r="ET6" s="139">
        <f t="shared" ref="ET6:ET37" si="21">ROUND(1/EX6,2)</f>
        <v>0.32</v>
      </c>
      <c r="EU6" s="139">
        <v>1</v>
      </c>
      <c r="EV6" s="139">
        <f>FI6</f>
        <v>5</v>
      </c>
      <c r="EW6" s="139"/>
      <c r="EX6" s="139">
        <f t="shared" ref="EX6:EX14" si="22">DX6/EQ6</f>
        <v>3.1338364779874222</v>
      </c>
      <c r="EY6" s="206">
        <f>INDEX($EG$6:$EG$13,EK6)*EL6</f>
        <v>296.7</v>
      </c>
      <c r="FA6">
        <v>0</v>
      </c>
      <c r="FB6">
        <v>1</v>
      </c>
      <c r="FC6">
        <f t="shared" ref="FC6:FC37" si="23">ROUND(EX6*0.35,0)</f>
        <v>1</v>
      </c>
      <c r="FD6" s="89">
        <f t="shared" ref="FD6:FD37" si="24">ROUND(1/EX6/2,4)</f>
        <v>0.1595</v>
      </c>
      <c r="FE6">
        <v>1</v>
      </c>
      <c r="FF6">
        <f t="shared" ref="FF6:FF37" si="25">ROUND(EX6*0.7,0)</f>
        <v>2</v>
      </c>
      <c r="FG6" s="89">
        <f t="shared" ref="FG6:FG37" si="26">ROUND(2/EX6,4)</f>
        <v>0.63819999999999999</v>
      </c>
      <c r="FH6">
        <v>1</v>
      </c>
      <c r="FI6">
        <f t="shared" ref="FI6:FI37" si="27">ROUND(EX6*1.5,0)</f>
        <v>5</v>
      </c>
      <c r="FL6" s="101">
        <v>1102001</v>
      </c>
      <c r="FM6" s="101">
        <v>1102001</v>
      </c>
      <c r="FN6" s="101" t="s">
        <v>172</v>
      </c>
      <c r="FO6" s="14">
        <f>INDEX(卡牌消耗!$C$13:$C$40,MATCH(专属武器强化!FL6,卡牌消耗!$A$13:$A$40,0))</f>
        <v>5</v>
      </c>
      <c r="FS6" s="101">
        <v>1</v>
      </c>
      <c r="FT6" s="101">
        <f>IF(FY6&gt;0,(FX6-1)*9+FY6,0)</f>
        <v>0</v>
      </c>
      <c r="FU6" s="101">
        <f>INT((FS6-1)/80+1)</f>
        <v>1</v>
      </c>
      <c r="FV6" s="14">
        <f>INDEX($FO$6:$FO$26,FU6)</f>
        <v>5</v>
      </c>
      <c r="FW6" s="101" t="str">
        <f>INDEX($FN$6:$FN$26,FU6)&amp;"专属武器-魂珠-"&amp;FX6&amp;" "&amp;FY6&amp;"级"</f>
        <v>关羽专属武器-魂珠-1 0级</v>
      </c>
      <c r="FX6" s="101">
        <f>INT((FS6-(FU6-1)*80-1)/10)+1</f>
        <v>1</v>
      </c>
      <c r="FY6" s="101">
        <f>FS6-(FU6-1)*80-(FX6-1)*10-1</f>
        <v>0</v>
      </c>
      <c r="FZ6" s="101" t="str">
        <f>IF($FY6&gt;0,IF(INDEX($EM$6:$EM$77,$FT6)&gt;=FZ$3,INDEX(EN$6:EN$77,$FT6),""),"")</f>
        <v/>
      </c>
      <c r="GA6" s="101" t="str">
        <f>IF($FY6&gt;0,IF(INDEX($EM$6:$EM$77,$FT6)&gt;=GA$3,ROUND(INDEX(EO$6:EO$77,$FT6)*INDEX(卡牌消耗!$B$8:$F$8,FV6)/5,0)*5,""),"")</f>
        <v/>
      </c>
      <c r="GB6" s="101" t="str">
        <f>IF($FY6&gt;0,IF(INDEX($EM$6:$EM$77,$FT6)&gt;=GB$3,INDEX(EP$6:EP$77,$FT6),""),"")</f>
        <v/>
      </c>
      <c r="GC6" s="101" t="str">
        <f>IF($FY6&gt;0,IF(INDEX($EM$6:$EM$77,$FT6)&gt;=GC$3,INDEX(EQ$6:EQ$77,$FT6),""),"")</f>
        <v/>
      </c>
      <c r="GD6" s="101" t="str">
        <f>IF($FY6&gt;0,IF(INDEX($EM$6:$EM$77,$FT6)&gt;=GD$3,INDEX(ER$6:ER$77,$FT6),""),"")</f>
        <v/>
      </c>
      <c r="GE6" s="101" t="str">
        <f>IF($FY6&gt;0,IF(INDEX($EM$6:$EM$77,$FT6)&gt;=GE$3,INDEX(ES$6:ES$77,$FT6),""),"")</f>
        <v/>
      </c>
      <c r="GF6" s="101" t="str">
        <f>IF($FY6&gt;0,INDEX(ET$6:ET$77,$FT6),"")</f>
        <v/>
      </c>
      <c r="GG6" s="101" t="str">
        <f>IF($FY6&gt;0,INDEX(EU$6:EU$77,$FT6),"")</f>
        <v/>
      </c>
      <c r="GH6" s="101" t="str">
        <f>IF($FY6&gt;0,INDEX(EV$6:EV$77,$FT6),"")</f>
        <v/>
      </c>
      <c r="GI6" s="101" t="str">
        <f t="shared" ref="GI6:GQ6" si="28">IF($FY6&gt;0,INDEX(FA$6:FA$77,$FT6),"")</f>
        <v/>
      </c>
      <c r="GJ6" s="101" t="str">
        <f t="shared" si="28"/>
        <v/>
      </c>
      <c r="GK6" s="101" t="str">
        <f t="shared" si="28"/>
        <v/>
      </c>
      <c r="GL6" s="101" t="str">
        <f t="shared" si="28"/>
        <v/>
      </c>
      <c r="GM6" s="101" t="str">
        <f t="shared" si="28"/>
        <v/>
      </c>
      <c r="GN6" s="101" t="str">
        <f t="shared" si="28"/>
        <v/>
      </c>
      <c r="GO6" s="101" t="str">
        <f t="shared" si="28"/>
        <v/>
      </c>
      <c r="GP6" s="101" t="str">
        <f t="shared" si="28"/>
        <v/>
      </c>
      <c r="GQ6" s="101" t="str">
        <f t="shared" si="28"/>
        <v/>
      </c>
    </row>
    <row r="7" spans="1:199" ht="16.5" x14ac:dyDescent="0.2">
      <c r="A7" s="79">
        <v>1</v>
      </c>
      <c r="B7" s="79">
        <v>35</v>
      </c>
      <c r="C7" s="159">
        <v>35</v>
      </c>
      <c r="D7" s="14">
        <f>SUMIFS(节奏总表!$U$5:$U$34,节奏总表!$M$5:$M$34,"&lt;="&amp;专属武器强化!C7,节奏总表!$M$5:$M$34,"&gt;"&amp;C6)</f>
        <v>2.87</v>
      </c>
      <c r="E7" s="81">
        <v>50</v>
      </c>
      <c r="F7" s="14">
        <f t="shared" ref="F7:F15" si="29">SUMPRODUCT(K7:N7,F$4:I$4)</f>
        <v>50</v>
      </c>
      <c r="G7" s="19">
        <v>1</v>
      </c>
      <c r="H7" s="81"/>
      <c r="I7" s="81"/>
      <c r="J7" s="81"/>
      <c r="K7" s="14">
        <f t="shared" ref="K7:K16" si="30">$E7*G7/F$4</f>
        <v>10</v>
      </c>
      <c r="L7" s="14">
        <f t="shared" ref="L7:L16" si="31">$E7*H7/G$4</f>
        <v>0</v>
      </c>
      <c r="M7" s="14">
        <f t="shared" ref="M7:M16" si="32">$E7*I7/H$4</f>
        <v>0</v>
      </c>
      <c r="N7" s="14">
        <f t="shared" ref="N7:N16" si="33">$E7*J7/I$4</f>
        <v>0</v>
      </c>
      <c r="O7" s="14">
        <f t="shared" ref="O7:O15" si="34">K7*$D7*$D$3</f>
        <v>86.100000000000009</v>
      </c>
      <c r="P7" s="14">
        <f t="shared" ref="P7:P15" si="35">L7*$D7*$D$3</f>
        <v>0</v>
      </c>
      <c r="Q7" s="14">
        <f t="shared" ref="Q7:Q15" si="36">M7*$D7*$D$3</f>
        <v>0</v>
      </c>
      <c r="R7" s="14">
        <f t="shared" ref="R7:R15" si="37">N7*$D7*$D$3</f>
        <v>0</v>
      </c>
      <c r="S7" s="14">
        <f t="shared" ref="S7:S15" si="38">E7*$AX$7</f>
        <v>70</v>
      </c>
      <c r="T7" s="14">
        <f>SUMIFS(节奏总表!$W$5:$W$34,节奏总表!$M$5:$M$34,"&lt;="&amp;专属武器强化!C7,节奏总表!$M$5:$M$34,"&gt;"&amp;C6)</f>
        <v>2.5300000000000002</v>
      </c>
      <c r="U7" s="14">
        <f t="shared" ref="U7:U15" si="39">$S7*G7/F$4</f>
        <v>14</v>
      </c>
      <c r="V7" s="14">
        <f t="shared" ref="V7:V15" si="40">$S7*H7/G$4</f>
        <v>0</v>
      </c>
      <c r="W7" s="14">
        <f t="shared" ref="W7:W15" si="41">$S7*I7/H$4</f>
        <v>0</v>
      </c>
      <c r="X7" s="14">
        <f t="shared" ref="X7:X15" si="42">$S7*J7/I$4</f>
        <v>0</v>
      </c>
      <c r="Y7" s="14">
        <f t="shared" ref="Y7:Y15" si="43">U7*$T7*$B$3</f>
        <v>177.10000000000002</v>
      </c>
      <c r="Z7" s="14">
        <f t="shared" ref="Z7:Z15" si="44">V7*$T7*$B$3</f>
        <v>0</v>
      </c>
      <c r="AA7" s="14">
        <f t="shared" ref="AA7:AA15" si="45">W7*$T7*$B$3</f>
        <v>0</v>
      </c>
      <c r="AB7" s="14">
        <f t="shared" ref="AB7:AB15" si="46">X7*$T7*$B$3</f>
        <v>0</v>
      </c>
      <c r="AC7" s="14">
        <f t="shared" ref="AC7:AC15" si="47">E7*$AX$8</f>
        <v>100</v>
      </c>
      <c r="AD7" s="14">
        <f>SUMIFS(节奏总表!$Y$5:$Y$34,节奏总表!$M$5:$M$34,"&lt;="&amp;专属武器强化!C7,节奏总表!$M$5:$M$34,"&gt;"&amp;C6)</f>
        <v>2.33</v>
      </c>
      <c r="AE7" s="14">
        <f t="shared" ref="AE7:AE15" si="48">$AC7*G7/F$4</f>
        <v>20</v>
      </c>
      <c r="AF7" s="14">
        <f t="shared" ref="AF7:AF15" si="49">$AC7*H7/G$4</f>
        <v>0</v>
      </c>
      <c r="AG7" s="14">
        <f t="shared" ref="AG7:AG15" si="50">$AC7*I7/H$4</f>
        <v>0</v>
      </c>
      <c r="AH7" s="14">
        <f t="shared" ref="AH7:AH15" si="51">$AC7*J7/I$4</f>
        <v>0</v>
      </c>
      <c r="AI7" s="14">
        <f t="shared" ref="AI7:AI15" si="52">AE7*$AD7*$B$3</f>
        <v>233</v>
      </c>
      <c r="AJ7" s="14">
        <f t="shared" ref="AJ7:AJ15" si="53">AF7*$AD7*$B$3</f>
        <v>0</v>
      </c>
      <c r="AK7" s="14">
        <f t="shared" ref="AK7:AK15" si="54">AG7*$AD7*$B$3</f>
        <v>0</v>
      </c>
      <c r="AL7" s="14">
        <f t="shared" ref="AL7:AL15" si="55">AH7*$AD7*$B$3</f>
        <v>0</v>
      </c>
      <c r="AN7" s="79" t="s">
        <v>539</v>
      </c>
      <c r="AO7" s="79">
        <v>10</v>
      </c>
      <c r="AP7" s="83">
        <v>10</v>
      </c>
      <c r="AQ7" s="83">
        <f>AO7*AP7</f>
        <v>100</v>
      </c>
      <c r="AR7" s="83"/>
      <c r="AT7" s="81" t="s">
        <v>37</v>
      </c>
      <c r="AU7" s="81">
        <v>81</v>
      </c>
      <c r="AV7" s="81">
        <f t="shared" ref="AV7:AV8" si="56">AU$4/AU7</f>
        <v>6480</v>
      </c>
      <c r="AW7" s="32">
        <f>ROUND(AV7/AV$6,4)</f>
        <v>1.3332999999999999</v>
      </c>
      <c r="AX7" s="32">
        <v>1.4</v>
      </c>
      <c r="BA7" s="79">
        <v>2</v>
      </c>
      <c r="BB7" s="79">
        <v>53</v>
      </c>
      <c r="BC7" s="183">
        <f t="shared" ref="BC7:BC13" si="57">SUMPRODUCT($CA$3:$CD$3,CA7:CD7)</f>
        <v>6228.5000000000018</v>
      </c>
      <c r="BD7" s="183">
        <f t="shared" ref="BD7:BD13" si="58">BC7^$BD$4</f>
        <v>78.920846422222326</v>
      </c>
      <c r="BE7" s="21">
        <f t="shared" ref="BE7:BE13" si="59">BD7/BE$4</f>
        <v>7.4547870226951168E-2</v>
      </c>
      <c r="BF7" s="79" t="s">
        <v>554</v>
      </c>
      <c r="BG7" s="79" t="s">
        <v>542</v>
      </c>
      <c r="BH7" s="95">
        <v>1</v>
      </c>
      <c r="BI7" s="95">
        <v>2</v>
      </c>
      <c r="BJ7" s="19">
        <v>0.3</v>
      </c>
      <c r="BK7" s="19">
        <v>0.1</v>
      </c>
      <c r="BL7" s="79"/>
      <c r="BM7" s="79"/>
      <c r="BN7" s="81">
        <f t="shared" si="1"/>
        <v>310.30200000000002</v>
      </c>
      <c r="BO7" s="81">
        <f t="shared" si="2"/>
        <v>133.518</v>
      </c>
      <c r="BP7" s="81">
        <f t="shared" si="3"/>
        <v>0</v>
      </c>
      <c r="BQ7" s="81">
        <f t="shared" si="4"/>
        <v>0</v>
      </c>
      <c r="BR7" s="81">
        <f t="shared" si="5"/>
        <v>639.03</v>
      </c>
      <c r="BS7" s="81">
        <f t="shared" si="6"/>
        <v>274.85499999999996</v>
      </c>
      <c r="BT7" s="81">
        <f t="shared" si="7"/>
        <v>0</v>
      </c>
      <c r="BU7" s="81">
        <f t="shared" si="8"/>
        <v>0</v>
      </c>
      <c r="BV7" s="81">
        <v>6</v>
      </c>
      <c r="BW7" s="81">
        <f t="shared" si="9"/>
        <v>747.42000000000019</v>
      </c>
      <c r="BX7" s="81">
        <f t="shared" si="9"/>
        <v>249.14000000000007</v>
      </c>
      <c r="BY7" s="81">
        <f t="shared" si="10"/>
        <v>0</v>
      </c>
      <c r="BZ7" s="81">
        <f t="shared" si="11"/>
        <v>0</v>
      </c>
      <c r="CA7" s="14">
        <f t="shared" ref="CA7:CA13" si="60">BW7/(1-CA$4)</f>
        <v>747.42000000000019</v>
      </c>
      <c r="CB7" s="14">
        <f t="shared" ref="CB7:CB13" si="61">BX7/(1-CB$4)</f>
        <v>249.14000000000007</v>
      </c>
      <c r="CC7" s="14">
        <f t="shared" ref="CC7:CC13" si="62">BY7/(1-CC$4)</f>
        <v>0</v>
      </c>
      <c r="CD7" s="14">
        <f t="shared" ref="CD7:CD13" si="63">BZ7/(1-CD$4)</f>
        <v>0</v>
      </c>
      <c r="CG7" s="81">
        <v>2</v>
      </c>
      <c r="CH7" s="174">
        <f>INDEX(节奏总表!$CK$4:$CK$63,专属武器强化!CG7)</f>
        <v>36</v>
      </c>
      <c r="CI7" s="81">
        <v>1</v>
      </c>
      <c r="CJ7" s="81">
        <f t="shared" si="13"/>
        <v>1</v>
      </c>
      <c r="CK7" s="14">
        <f t="shared" si="14"/>
        <v>100</v>
      </c>
      <c r="CL7" s="14">
        <f t="shared" si="15"/>
        <v>0</v>
      </c>
      <c r="CM7" s="14">
        <f t="shared" si="16"/>
        <v>0</v>
      </c>
      <c r="CN7" s="14">
        <f t="shared" si="17"/>
        <v>0</v>
      </c>
      <c r="CO7" s="14"/>
      <c r="CP7" s="14"/>
      <c r="CQ7" s="14"/>
      <c r="CR7" s="14"/>
      <c r="CS7" s="14">
        <f>SUM(CK$6:CK7)</f>
        <v>100</v>
      </c>
      <c r="CT7" s="14">
        <f>SUM(CL$6:CL7)</f>
        <v>0</v>
      </c>
      <c r="CU7" s="14">
        <f>SUM(CM$6:CM7)</f>
        <v>0</v>
      </c>
      <c r="CV7" s="14">
        <f>SUM(CN$6:CN7)</f>
        <v>0</v>
      </c>
      <c r="CY7" s="83">
        <v>2</v>
      </c>
      <c r="CZ7" s="14">
        <f>INDEX(节奏总表!$CK$4:CK64,专属武器强化!CY7)</f>
        <v>36</v>
      </c>
      <c r="DA7" s="14">
        <f t="shared" si="18"/>
        <v>100</v>
      </c>
      <c r="DB7" s="14">
        <f t="shared" ref="DB7:DB65" si="64">INDEX(CT$6:CT$65,$CY7)</f>
        <v>0</v>
      </c>
      <c r="DC7" s="14">
        <f t="shared" ref="DC7:DC65" si="65">INDEX(CU$6:CU$65,$CY7)</f>
        <v>0</v>
      </c>
      <c r="DD7" s="14">
        <f t="shared" ref="DD7:DD65" si="66">INDEX(CV$6:CV$65,$CY7)</f>
        <v>0</v>
      </c>
      <c r="DE7" s="83">
        <v>1</v>
      </c>
      <c r="DF7" s="83">
        <v>1</v>
      </c>
      <c r="DG7" s="14">
        <f t="shared" ref="DG7:DG38" si="67">IF(DE7&gt;0,INDEX($K$22:$AP$30,$DF7,($DE7-1)*4+1),0)*3</f>
        <v>9.401509433962266</v>
      </c>
      <c r="DH7" s="14">
        <f t="shared" ref="DH7:DH38" si="68">IF(DE7&gt;0,INDEX($K$22:$AP$30,$DF7,($DE7-1)*4+2),0)*3</f>
        <v>0</v>
      </c>
      <c r="DI7" s="14">
        <f t="shared" ref="DI7:DI38" si="69">IF(DE7&gt;0,INDEX($K$22:$AP$30,$DF7,($DE7-1)*4+3),0)*3</f>
        <v>0</v>
      </c>
      <c r="DJ7" s="14">
        <f t="shared" ref="DJ7:DJ38" si="70">IF(DF7&gt;0,INDEX($K$22:$AP$30,$DF7,($DE7-1)*4+4),0)*3</f>
        <v>0</v>
      </c>
      <c r="DK7" s="83"/>
      <c r="DL7" s="83"/>
      <c r="DM7" s="83"/>
      <c r="DN7" s="83"/>
      <c r="DO7" s="14">
        <f>DA7-SUM(DG$7:DG7)+SUM(DK$7:DK7)</f>
        <v>90.598490566037739</v>
      </c>
      <c r="DP7" s="14">
        <f>DB7-SUM(DH$7:DH7)+SUM(DL$7:DL7)</f>
        <v>0</v>
      </c>
      <c r="DQ7" s="14">
        <f>DC7-SUM(DI$7:DI7)+SUM(DM$7:DM7)</f>
        <v>0</v>
      </c>
      <c r="DR7" s="14">
        <f>DD7-SUM(DJ$7:DJ7)+SUM(DN$7:DN7)</f>
        <v>0</v>
      </c>
      <c r="DU7" s="95">
        <v>2</v>
      </c>
      <c r="DV7" s="14">
        <f t="shared" ref="DV7:DV70" si="71">INT((DU7-1)/9)+1</f>
        <v>1</v>
      </c>
      <c r="DW7" s="14">
        <f t="shared" ref="DW7:DW70" si="72">DU7-(DV7-1)*9</f>
        <v>2</v>
      </c>
      <c r="DX7" s="14">
        <f t="shared" si="20"/>
        <v>6.2676729559748443</v>
      </c>
      <c r="DY7" s="14">
        <f t="shared" si="20"/>
        <v>0</v>
      </c>
      <c r="DZ7" s="14">
        <f t="shared" si="20"/>
        <v>0</v>
      </c>
      <c r="EA7" s="14">
        <f t="shared" si="20"/>
        <v>0</v>
      </c>
      <c r="EB7" s="14">
        <f t="shared" ref="EB7:EB70" si="73">INDEX($BH$6:$BH$13,DV7)</f>
        <v>1</v>
      </c>
      <c r="EC7" s="14">
        <f t="shared" ref="EC7:EC70" si="74">INDEX($BI$6:$BI$13,DV7)</f>
        <v>0</v>
      </c>
      <c r="EE7" s="139">
        <v>2</v>
      </c>
      <c r="EF7" s="139">
        <f>金币总表!AT7*0.5+金币总表!AT8*0.3</f>
        <v>203601</v>
      </c>
      <c r="EG7" s="139">
        <f t="shared" ref="EG7:EG13" si="75">ROUND(EF7/6,0)</f>
        <v>33934</v>
      </c>
      <c r="EJ7" s="139">
        <v>2</v>
      </c>
      <c r="EK7" s="14">
        <f t="shared" ref="EK7:EK70" si="76">INT((EJ7-1)/9)+1</f>
        <v>1</v>
      </c>
      <c r="EL7" s="19">
        <v>0.03</v>
      </c>
      <c r="EM7" s="139">
        <v>2</v>
      </c>
      <c r="EN7" s="139" t="s">
        <v>941</v>
      </c>
      <c r="EO7" s="139">
        <f t="shared" ref="EO7:EO70" si="77">ROUND(INDEX($EG$6:$EG$13,EK7)*EL7/EX7,0)</f>
        <v>142</v>
      </c>
      <c r="EP7" s="139" t="s">
        <v>844</v>
      </c>
      <c r="EQ7" s="139">
        <v>2</v>
      </c>
      <c r="ER7" s="139"/>
      <c r="ES7" s="139"/>
      <c r="ET7" s="139">
        <f t="shared" si="21"/>
        <v>0.32</v>
      </c>
      <c r="EU7" s="139">
        <v>1</v>
      </c>
      <c r="EV7" s="139">
        <f t="shared" ref="EV7:EV41" si="78">FI7</f>
        <v>5</v>
      </c>
      <c r="EW7" s="139"/>
      <c r="EX7" s="139">
        <f t="shared" si="22"/>
        <v>3.1338364779874222</v>
      </c>
      <c r="EY7" s="206">
        <f t="shared" ref="EY7:EY70" si="79">INDEX($EG$6:$EG$13,EK7)*EL7</f>
        <v>445.05</v>
      </c>
      <c r="FA7">
        <v>0</v>
      </c>
      <c r="FB7">
        <v>1</v>
      </c>
      <c r="FC7">
        <f t="shared" si="23"/>
        <v>1</v>
      </c>
      <c r="FD7" s="89">
        <f t="shared" si="24"/>
        <v>0.1595</v>
      </c>
      <c r="FE7">
        <v>1</v>
      </c>
      <c r="FF7">
        <f t="shared" si="25"/>
        <v>2</v>
      </c>
      <c r="FG7" s="89">
        <f t="shared" si="26"/>
        <v>0.63819999999999999</v>
      </c>
      <c r="FH7">
        <v>1</v>
      </c>
      <c r="FI7">
        <f t="shared" si="27"/>
        <v>5</v>
      </c>
      <c r="FL7" s="101">
        <v>1102002</v>
      </c>
      <c r="FM7" s="101">
        <v>1102002</v>
      </c>
      <c r="FN7" s="101" t="s">
        <v>173</v>
      </c>
      <c r="FO7" s="14">
        <f>INDEX(卡牌消耗!$C$13:$C$40,MATCH(专属武器强化!FL7,卡牌消耗!$A$13:$A$40,0))</f>
        <v>3</v>
      </c>
      <c r="FS7" s="101">
        <v>2</v>
      </c>
      <c r="FT7" s="101">
        <f t="shared" ref="FT7:FT70" si="80">IF(FY7&gt;0,(FX7-1)*9+FY7,0)</f>
        <v>1</v>
      </c>
      <c r="FU7" s="101">
        <f t="shared" ref="FU7:FU70" si="81">INT((FS7-1)/80+1)</f>
        <v>1</v>
      </c>
      <c r="FV7" s="14">
        <f t="shared" ref="FV7:FV70" si="82">INDEX($FO$6:$FO$26,FU7)</f>
        <v>5</v>
      </c>
      <c r="FW7" s="101" t="str">
        <f t="shared" ref="FW7:FW70" si="83">INDEX($FN$6:$FN$26,FU7)&amp;"专属武器-魂珠-"&amp;FX7&amp;" "&amp;FY7&amp;"级"</f>
        <v>关羽专属武器-魂珠-1 1级</v>
      </c>
      <c r="FX7" s="101">
        <f t="shared" ref="FX7:FX70" si="84">INT((FS7-(FU7-1)*80-1)/10)+1</f>
        <v>1</v>
      </c>
      <c r="FY7" s="101">
        <f t="shared" ref="FY7:FY70" si="85">FS7-(FU7-1)*80-(FX7-1)*10-1</f>
        <v>1</v>
      </c>
      <c r="FZ7" s="101" t="str">
        <f t="shared" ref="FZ7:FZ70" si="86">IF($FY7&gt;0,IF(INDEX($EM$6:$EM$77,$FT7)&gt;=FZ$3,INDEX(EN$6:EN$77,$FT7),""),"")</f>
        <v>金币</v>
      </c>
      <c r="GA7" s="139">
        <f>IF($FY7&gt;0,IF(INDEX($EM$6:$EM$77,$FT7)&gt;=GA$3,ROUND(INDEX(EO$6:EO$77,$FT7)*INDEX(卡牌消耗!$B$8:$F$8,FV7)/5,0)*5,""),"")</f>
        <v>190</v>
      </c>
      <c r="GB7" s="101" t="str">
        <f t="shared" ref="GB7:GB70" si="87">IF($FY7&gt;0,IF(INDEX($EM$6:$EM$77,$FT7)&gt;=GB$3,INDEX(EP$6:EP$77,$FT7),""),"")</f>
        <v>专属强化石1</v>
      </c>
      <c r="GC7" s="101">
        <f t="shared" ref="GC7:GC70" si="88">IF($FY7&gt;0,IF(INDEX($EM$6:$EM$77,$FT7)&gt;=GC$3,INDEX(EQ$6:EQ$77,$FT7),""),"")</f>
        <v>1</v>
      </c>
      <c r="GD7" s="101" t="str">
        <f t="shared" ref="GD7:GD70" si="89">IF($FY7&gt;0,IF(INDEX($EM$6:$EM$77,$FT7)&gt;=GD$3,INDEX(ER$6:ER$77,$FT7),""),"")</f>
        <v/>
      </c>
      <c r="GE7" s="101" t="str">
        <f t="shared" ref="GE7:GE70" si="90">IF($FY7&gt;0,IF(INDEX($EM$6:$EM$77,$FT7)&gt;=GE$3,INDEX(ES$6:ES$77,$FT7),""),"")</f>
        <v/>
      </c>
      <c r="GF7" s="101">
        <f t="shared" ref="GF7:GF70" si="91">IF($FY7&gt;0,INDEX(ET$6:ET$77,$FT7),"")</f>
        <v>0.32</v>
      </c>
      <c r="GG7" s="101">
        <f t="shared" ref="GG7:GG70" si="92">IF($FY7&gt;0,INDEX(EU$6:EU$77,$FT7),"")</f>
        <v>1</v>
      </c>
      <c r="GH7" s="101">
        <f t="shared" ref="GH7:GH70" si="93">IF($FY7&gt;0,INDEX(EV$6:EV$77,$FT7),"")</f>
        <v>5</v>
      </c>
      <c r="GI7" s="101">
        <f t="shared" ref="GI7:GI70" si="94">IF($FY7&gt;0,INDEX(FA$6:FA$77,$FT7),"")</f>
        <v>0</v>
      </c>
      <c r="GJ7" s="101">
        <f t="shared" ref="GJ7:GJ70" si="95">IF($FY7&gt;0,INDEX(FB$6:FB$77,$FT7),"")</f>
        <v>1</v>
      </c>
      <c r="GK7" s="101">
        <f t="shared" ref="GK7:GK70" si="96">IF($FY7&gt;0,INDEX(FC$6:FC$77,$FT7),"")</f>
        <v>1</v>
      </c>
      <c r="GL7" s="101">
        <f t="shared" ref="GL7:GL70" si="97">IF($FY7&gt;0,INDEX(FD$6:FD$77,$FT7),"")</f>
        <v>0.1595</v>
      </c>
      <c r="GM7" s="101">
        <f t="shared" ref="GM7:GM70" si="98">IF($FY7&gt;0,INDEX(FE$6:FE$77,$FT7),"")</f>
        <v>1</v>
      </c>
      <c r="GN7" s="101">
        <f t="shared" ref="GN7:GN70" si="99">IF($FY7&gt;0,INDEX(FF$6:FF$77,$FT7),"")</f>
        <v>2</v>
      </c>
      <c r="GO7" s="101">
        <f t="shared" ref="GO7:GO70" si="100">IF($FY7&gt;0,INDEX(FG$6:FG$77,$FT7),"")</f>
        <v>0.63819999999999999</v>
      </c>
      <c r="GP7" s="101">
        <f t="shared" ref="GP7:GP70" si="101">IF($FY7&gt;0,INDEX(FH$6:FH$77,$FT7),"")</f>
        <v>1</v>
      </c>
      <c r="GQ7" s="101">
        <f t="shared" ref="GQ7:GQ70" si="102">IF($FY7&gt;0,INDEX(FI$6:FI$77,$FT7),"")</f>
        <v>5</v>
      </c>
    </row>
    <row r="8" spans="1:199" ht="16.5" x14ac:dyDescent="0.2">
      <c r="A8" s="79">
        <v>2</v>
      </c>
      <c r="B8" s="79">
        <v>50</v>
      </c>
      <c r="C8" s="159">
        <v>50</v>
      </c>
      <c r="D8" s="14">
        <f>SUMIFS(节奏总表!$U$5:$U$34,节奏总表!$M$5:$M$34,"&lt;="&amp;专属武器强化!C8,节奏总表!$M$5:$M$34,"&gt;"&amp;C7)</f>
        <v>2.4</v>
      </c>
      <c r="E8" s="81">
        <v>100</v>
      </c>
      <c r="F8" s="14">
        <f t="shared" si="29"/>
        <v>100</v>
      </c>
      <c r="G8" s="19">
        <v>0.7</v>
      </c>
      <c r="H8" s="19">
        <v>0.3</v>
      </c>
      <c r="I8" s="81"/>
      <c r="J8" s="81"/>
      <c r="K8" s="14">
        <f t="shared" si="30"/>
        <v>14</v>
      </c>
      <c r="L8" s="14">
        <f t="shared" si="31"/>
        <v>3</v>
      </c>
      <c r="M8" s="14">
        <f t="shared" si="32"/>
        <v>0</v>
      </c>
      <c r="N8" s="14">
        <f t="shared" si="33"/>
        <v>0</v>
      </c>
      <c r="O8" s="14">
        <f t="shared" si="34"/>
        <v>100.80000000000001</v>
      </c>
      <c r="P8" s="14">
        <f t="shared" si="35"/>
        <v>21.599999999999998</v>
      </c>
      <c r="Q8" s="14">
        <f t="shared" si="36"/>
        <v>0</v>
      </c>
      <c r="R8" s="14">
        <f t="shared" si="37"/>
        <v>0</v>
      </c>
      <c r="S8" s="14">
        <f t="shared" si="38"/>
        <v>140</v>
      </c>
      <c r="T8" s="14">
        <f>SUMIFS(节奏总表!$W$5:$W$34,节奏总表!$M$5:$M$34,"&lt;="&amp;专属武器强化!C8,节奏总表!$M$5:$M$34,"&gt;"&amp;C7)</f>
        <v>2.12</v>
      </c>
      <c r="U8" s="14">
        <f t="shared" si="39"/>
        <v>19.600000000000001</v>
      </c>
      <c r="V8" s="14">
        <f t="shared" si="40"/>
        <v>4.2</v>
      </c>
      <c r="W8" s="14">
        <f t="shared" si="41"/>
        <v>0</v>
      </c>
      <c r="X8" s="14">
        <f t="shared" si="42"/>
        <v>0</v>
      </c>
      <c r="Y8" s="14">
        <f t="shared" si="43"/>
        <v>207.76000000000005</v>
      </c>
      <c r="Z8" s="14">
        <f t="shared" si="44"/>
        <v>44.52000000000001</v>
      </c>
      <c r="AA8" s="14">
        <f t="shared" si="45"/>
        <v>0</v>
      </c>
      <c r="AB8" s="14">
        <f t="shared" si="46"/>
        <v>0</v>
      </c>
      <c r="AC8" s="14">
        <f t="shared" si="47"/>
        <v>200</v>
      </c>
      <c r="AD8" s="14">
        <f>SUMIFS(节奏总表!$Y$5:$Y$34,节奏总表!$M$5:$M$34,"&lt;="&amp;专属武器强化!C8,节奏总表!$M$5:$M$34,"&gt;"&amp;C7)</f>
        <v>1.71</v>
      </c>
      <c r="AE8" s="14">
        <f t="shared" si="48"/>
        <v>28</v>
      </c>
      <c r="AF8" s="14">
        <f t="shared" si="49"/>
        <v>6</v>
      </c>
      <c r="AG8" s="14">
        <f t="shared" si="50"/>
        <v>0</v>
      </c>
      <c r="AH8" s="14">
        <f t="shared" si="51"/>
        <v>0</v>
      </c>
      <c r="AI8" s="14">
        <f t="shared" si="52"/>
        <v>239.39999999999998</v>
      </c>
      <c r="AJ8" s="14">
        <f t="shared" si="53"/>
        <v>51.3</v>
      </c>
      <c r="AK8" s="14">
        <f t="shared" si="54"/>
        <v>0</v>
      </c>
      <c r="AL8" s="14">
        <f t="shared" si="55"/>
        <v>0</v>
      </c>
      <c r="AN8" s="79" t="s">
        <v>540</v>
      </c>
      <c r="AO8" s="79">
        <v>20</v>
      </c>
      <c r="AP8" s="83">
        <v>5</v>
      </c>
      <c r="AQ8" s="83">
        <f>AO8*AP8</f>
        <v>100</v>
      </c>
      <c r="AR8" s="83"/>
      <c r="AT8" s="81" t="s">
        <v>564</v>
      </c>
      <c r="AU8" s="81">
        <v>60</v>
      </c>
      <c r="AV8" s="81">
        <f t="shared" si="56"/>
        <v>8748</v>
      </c>
      <c r="AW8" s="32">
        <f>ROUND(AV8/AV$6,4)</f>
        <v>1.8</v>
      </c>
      <c r="AX8" s="32">
        <v>2</v>
      </c>
      <c r="BA8" s="79">
        <v>3</v>
      </c>
      <c r="BB8" s="79">
        <v>77</v>
      </c>
      <c r="BC8" s="183">
        <f t="shared" si="57"/>
        <v>12457.000000000004</v>
      </c>
      <c r="BD8" s="183">
        <f t="shared" si="58"/>
        <v>111.61093136427097</v>
      </c>
      <c r="BE8" s="21">
        <f t="shared" si="59"/>
        <v>0.10542660912098381</v>
      </c>
      <c r="BF8" s="79" t="s">
        <v>543</v>
      </c>
      <c r="BG8" s="79" t="s">
        <v>552</v>
      </c>
      <c r="BH8" s="95">
        <v>1</v>
      </c>
      <c r="BI8" s="95">
        <v>2</v>
      </c>
      <c r="BJ8" s="19">
        <v>0.5</v>
      </c>
      <c r="BK8" s="19">
        <v>0.25</v>
      </c>
      <c r="BL8" s="79"/>
      <c r="BM8" s="79"/>
      <c r="BN8" s="81">
        <f t="shared" si="1"/>
        <v>517.17000000000007</v>
      </c>
      <c r="BO8" s="81">
        <f t="shared" si="2"/>
        <v>333.79499999999996</v>
      </c>
      <c r="BP8" s="81">
        <f t="shared" si="3"/>
        <v>0</v>
      </c>
      <c r="BQ8" s="81">
        <f t="shared" si="4"/>
        <v>0</v>
      </c>
      <c r="BR8" s="81">
        <f t="shared" si="5"/>
        <v>1065.05</v>
      </c>
      <c r="BS8" s="81">
        <f t="shared" si="6"/>
        <v>687.13749999999993</v>
      </c>
      <c r="BT8" s="81">
        <f t="shared" si="7"/>
        <v>0</v>
      </c>
      <c r="BU8" s="81">
        <f t="shared" si="8"/>
        <v>0</v>
      </c>
      <c r="BV8" s="81">
        <v>6</v>
      </c>
      <c r="BW8" s="81">
        <f t="shared" si="9"/>
        <v>1245.7000000000003</v>
      </c>
      <c r="BX8" s="81">
        <f t="shared" si="9"/>
        <v>622.85000000000014</v>
      </c>
      <c r="BY8" s="81">
        <f t="shared" si="10"/>
        <v>0</v>
      </c>
      <c r="BZ8" s="81">
        <f t="shared" si="11"/>
        <v>0</v>
      </c>
      <c r="CA8" s="14">
        <f t="shared" si="60"/>
        <v>1245.7000000000003</v>
      </c>
      <c r="CB8" s="14">
        <f t="shared" si="61"/>
        <v>622.85000000000014</v>
      </c>
      <c r="CC8" s="14">
        <f t="shared" si="62"/>
        <v>0</v>
      </c>
      <c r="CD8" s="14">
        <f t="shared" si="63"/>
        <v>0</v>
      </c>
      <c r="CG8" s="81">
        <v>3</v>
      </c>
      <c r="CH8" s="174">
        <f>INDEX(节奏总表!$CK$4:$CK$63,专属武器强化!CG8)</f>
        <v>45</v>
      </c>
      <c r="CI8" s="81"/>
      <c r="CJ8" s="81">
        <f t="shared" si="13"/>
        <v>1</v>
      </c>
      <c r="CK8" s="14">
        <f t="shared" si="14"/>
        <v>100</v>
      </c>
      <c r="CL8" s="14">
        <f t="shared" si="15"/>
        <v>0</v>
      </c>
      <c r="CM8" s="14">
        <f t="shared" si="16"/>
        <v>0</v>
      </c>
      <c r="CN8" s="14">
        <f t="shared" si="17"/>
        <v>0</v>
      </c>
      <c r="CO8" s="14"/>
      <c r="CP8" s="14"/>
      <c r="CQ8" s="14"/>
      <c r="CR8" s="14"/>
      <c r="CS8" s="14">
        <f>SUM(CK$6:CK8)</f>
        <v>200</v>
      </c>
      <c r="CT8" s="14">
        <f>SUM(CL$6:CL8)</f>
        <v>0</v>
      </c>
      <c r="CU8" s="14">
        <f>SUM(CM$6:CM8)</f>
        <v>0</v>
      </c>
      <c r="CV8" s="14">
        <f>SUM(CN$6:CN8)</f>
        <v>0</v>
      </c>
      <c r="CY8" s="83">
        <v>2</v>
      </c>
      <c r="CZ8" s="14">
        <f>INDEX(节奏总表!$CK$4:CK65,专属武器强化!CY8)</f>
        <v>36</v>
      </c>
      <c r="DA8" s="14">
        <f t="shared" si="18"/>
        <v>100</v>
      </c>
      <c r="DB8" s="14">
        <f t="shared" si="64"/>
        <v>0</v>
      </c>
      <c r="DC8" s="14">
        <f t="shared" si="65"/>
        <v>0</v>
      </c>
      <c r="DD8" s="14">
        <f t="shared" si="66"/>
        <v>0</v>
      </c>
      <c r="DE8" s="83">
        <v>1</v>
      </c>
      <c r="DF8" s="83">
        <v>2</v>
      </c>
      <c r="DG8" s="14">
        <f t="shared" si="67"/>
        <v>18.803018867924532</v>
      </c>
      <c r="DH8" s="14">
        <f t="shared" si="68"/>
        <v>0</v>
      </c>
      <c r="DI8" s="14">
        <f t="shared" si="69"/>
        <v>0</v>
      </c>
      <c r="DJ8" s="14">
        <f t="shared" si="70"/>
        <v>0</v>
      </c>
      <c r="DK8" s="83"/>
      <c r="DL8" s="83"/>
      <c r="DM8" s="83"/>
      <c r="DN8" s="83"/>
      <c r="DO8" s="14">
        <f>DA8-SUM(DG$7:DG8)+SUM(DK$7:DK8)</f>
        <v>71.795471698113204</v>
      </c>
      <c r="DP8" s="14">
        <f>DB8-SUM(DH$7:DH8)+SUM(DL$7:DL8)</f>
        <v>0</v>
      </c>
      <c r="DQ8" s="14">
        <f>DC8-SUM(DI$7:DI8)+SUM(DM$7:DM8)</f>
        <v>0</v>
      </c>
      <c r="DR8" s="14">
        <f>DD8-SUM(DJ$7:DJ8)+SUM(DN$7:DN8)</f>
        <v>0</v>
      </c>
      <c r="DU8" s="95">
        <v>3</v>
      </c>
      <c r="DV8" s="14">
        <f t="shared" si="71"/>
        <v>1</v>
      </c>
      <c r="DW8" s="14">
        <f t="shared" si="72"/>
        <v>3</v>
      </c>
      <c r="DX8" s="14">
        <f t="shared" si="20"/>
        <v>9.401509433962266</v>
      </c>
      <c r="DY8" s="14">
        <f t="shared" si="20"/>
        <v>0</v>
      </c>
      <c r="DZ8" s="14">
        <f t="shared" si="20"/>
        <v>0</v>
      </c>
      <c r="EA8" s="14">
        <f t="shared" si="20"/>
        <v>0</v>
      </c>
      <c r="EB8" s="14">
        <f t="shared" si="73"/>
        <v>1</v>
      </c>
      <c r="EC8" s="14">
        <f t="shared" si="74"/>
        <v>0</v>
      </c>
      <c r="EE8" s="139">
        <v>3</v>
      </c>
      <c r="EF8" s="139">
        <f>金币总表!AT8*0.7+金币总表!AT9*0.3</f>
        <v>530839</v>
      </c>
      <c r="EG8" s="139">
        <f t="shared" si="75"/>
        <v>88473</v>
      </c>
      <c r="EJ8" s="139">
        <v>3</v>
      </c>
      <c r="EK8" s="14">
        <f t="shared" si="76"/>
        <v>1</v>
      </c>
      <c r="EL8" s="19">
        <f>EL6+EL7</f>
        <v>0.05</v>
      </c>
      <c r="EM8" s="139">
        <v>2</v>
      </c>
      <c r="EN8" s="139" t="s">
        <v>941</v>
      </c>
      <c r="EO8" s="139">
        <f t="shared" si="77"/>
        <v>237</v>
      </c>
      <c r="EP8" s="139" t="s">
        <v>844</v>
      </c>
      <c r="EQ8" s="139">
        <v>3</v>
      </c>
      <c r="ER8" s="139"/>
      <c r="ES8" s="139"/>
      <c r="ET8" s="139">
        <f t="shared" si="21"/>
        <v>0.32</v>
      </c>
      <c r="EU8" s="139">
        <v>1</v>
      </c>
      <c r="EV8" s="139">
        <f t="shared" si="78"/>
        <v>5</v>
      </c>
      <c r="EW8" s="139"/>
      <c r="EX8" s="139">
        <f t="shared" si="22"/>
        <v>3.1338364779874222</v>
      </c>
      <c r="EY8" s="206">
        <f t="shared" si="79"/>
        <v>741.75</v>
      </c>
      <c r="FA8">
        <v>0</v>
      </c>
      <c r="FB8">
        <v>1</v>
      </c>
      <c r="FC8">
        <f t="shared" si="23"/>
        <v>1</v>
      </c>
      <c r="FD8" s="89">
        <f t="shared" si="24"/>
        <v>0.1595</v>
      </c>
      <c r="FE8">
        <v>1</v>
      </c>
      <c r="FF8">
        <f t="shared" si="25"/>
        <v>2</v>
      </c>
      <c r="FG8" s="89">
        <f t="shared" si="26"/>
        <v>0.63819999999999999</v>
      </c>
      <c r="FH8">
        <v>1</v>
      </c>
      <c r="FI8">
        <f t="shared" si="27"/>
        <v>5</v>
      </c>
      <c r="FL8" s="101">
        <v>1102003</v>
      </c>
      <c r="FM8" s="101">
        <v>1102003</v>
      </c>
      <c r="FN8" s="101" t="s">
        <v>174</v>
      </c>
      <c r="FO8" s="14">
        <f>INDEX(卡牌消耗!$C$13:$C$40,MATCH(专属武器强化!FL8,卡牌消耗!$A$13:$A$40,0))</f>
        <v>4</v>
      </c>
      <c r="FS8" s="101">
        <v>3</v>
      </c>
      <c r="FT8" s="101">
        <f t="shared" si="80"/>
        <v>2</v>
      </c>
      <c r="FU8" s="101">
        <f t="shared" si="81"/>
        <v>1</v>
      </c>
      <c r="FV8" s="14">
        <f t="shared" si="82"/>
        <v>5</v>
      </c>
      <c r="FW8" s="101" t="str">
        <f t="shared" si="83"/>
        <v>关羽专属武器-魂珠-1 2级</v>
      </c>
      <c r="FX8" s="101">
        <f t="shared" si="84"/>
        <v>1</v>
      </c>
      <c r="FY8" s="101">
        <f t="shared" si="85"/>
        <v>2</v>
      </c>
      <c r="FZ8" s="101" t="str">
        <f t="shared" si="86"/>
        <v>金币</v>
      </c>
      <c r="GA8" s="139">
        <f>IF($FY8&gt;0,IF(INDEX($EM$6:$EM$77,$FT8)&gt;=GA$3,ROUND(INDEX(EO$6:EO$77,$FT8)*INDEX(卡牌消耗!$B$8:$F$8,FV8)/5,0)*5,""),"")</f>
        <v>285</v>
      </c>
      <c r="GB8" s="101" t="str">
        <f t="shared" si="87"/>
        <v>专属强化石1</v>
      </c>
      <c r="GC8" s="101">
        <f t="shared" si="88"/>
        <v>2</v>
      </c>
      <c r="GD8" s="101" t="str">
        <f t="shared" si="89"/>
        <v/>
      </c>
      <c r="GE8" s="101" t="str">
        <f t="shared" si="90"/>
        <v/>
      </c>
      <c r="GF8" s="101">
        <f t="shared" si="91"/>
        <v>0.32</v>
      </c>
      <c r="GG8" s="101">
        <f t="shared" si="92"/>
        <v>1</v>
      </c>
      <c r="GH8" s="101">
        <f t="shared" si="93"/>
        <v>5</v>
      </c>
      <c r="GI8" s="101">
        <f t="shared" si="94"/>
        <v>0</v>
      </c>
      <c r="GJ8" s="101">
        <f t="shared" si="95"/>
        <v>1</v>
      </c>
      <c r="GK8" s="101">
        <f t="shared" si="96"/>
        <v>1</v>
      </c>
      <c r="GL8" s="101">
        <f t="shared" si="97"/>
        <v>0.1595</v>
      </c>
      <c r="GM8" s="101">
        <f t="shared" si="98"/>
        <v>1</v>
      </c>
      <c r="GN8" s="101">
        <f t="shared" si="99"/>
        <v>2</v>
      </c>
      <c r="GO8" s="101">
        <f t="shared" si="100"/>
        <v>0.63819999999999999</v>
      </c>
      <c r="GP8" s="101">
        <f t="shared" si="101"/>
        <v>1</v>
      </c>
      <c r="GQ8" s="101">
        <f t="shared" si="102"/>
        <v>5</v>
      </c>
    </row>
    <row r="9" spans="1:199" ht="16.5" x14ac:dyDescent="0.2">
      <c r="A9" s="79">
        <v>3</v>
      </c>
      <c r="B9" s="79">
        <v>65</v>
      </c>
      <c r="C9" s="159">
        <v>65</v>
      </c>
      <c r="D9" s="14">
        <f>SUMIFS(节奏总表!$U$5:$U$34,节奏总表!$M$5:$M$34,"&lt;="&amp;专属武器强化!C9,节奏总表!$M$5:$M$34,"&gt;"&amp;C8)</f>
        <v>3.5600000000000005</v>
      </c>
      <c r="E9" s="81">
        <v>150</v>
      </c>
      <c r="F9" s="14">
        <f t="shared" si="29"/>
        <v>150</v>
      </c>
      <c r="G9" s="19">
        <v>0.6</v>
      </c>
      <c r="H9" s="19">
        <v>0.4</v>
      </c>
      <c r="I9" s="81"/>
      <c r="J9" s="81"/>
      <c r="K9" s="14">
        <f t="shared" si="30"/>
        <v>18</v>
      </c>
      <c r="L9" s="14">
        <f t="shared" si="31"/>
        <v>6</v>
      </c>
      <c r="M9" s="14">
        <f t="shared" si="32"/>
        <v>0</v>
      </c>
      <c r="N9" s="14">
        <f t="shared" si="33"/>
        <v>0</v>
      </c>
      <c r="O9" s="14">
        <f t="shared" si="34"/>
        <v>192.24000000000004</v>
      </c>
      <c r="P9" s="14">
        <f t="shared" si="35"/>
        <v>64.080000000000013</v>
      </c>
      <c r="Q9" s="14">
        <f t="shared" si="36"/>
        <v>0</v>
      </c>
      <c r="R9" s="14">
        <f t="shared" si="37"/>
        <v>0</v>
      </c>
      <c r="S9" s="14">
        <f t="shared" si="38"/>
        <v>210</v>
      </c>
      <c r="T9" s="14">
        <f>SUMIFS(节奏总表!$W$5:$W$34,节奏总表!$M$5:$M$34,"&lt;="&amp;专属武器强化!C9,节奏总表!$M$5:$M$34,"&gt;"&amp;C8)</f>
        <v>3.1399999999999997</v>
      </c>
      <c r="U9" s="14">
        <f t="shared" si="39"/>
        <v>25.2</v>
      </c>
      <c r="V9" s="14">
        <f t="shared" si="40"/>
        <v>8.4</v>
      </c>
      <c r="W9" s="14">
        <f t="shared" si="41"/>
        <v>0</v>
      </c>
      <c r="X9" s="14">
        <f t="shared" si="42"/>
        <v>0</v>
      </c>
      <c r="Y9" s="14">
        <f t="shared" si="43"/>
        <v>395.63999999999993</v>
      </c>
      <c r="Z9" s="14">
        <f t="shared" si="44"/>
        <v>131.88</v>
      </c>
      <c r="AA9" s="14">
        <f t="shared" si="45"/>
        <v>0</v>
      </c>
      <c r="AB9" s="14">
        <f t="shared" si="46"/>
        <v>0</v>
      </c>
      <c r="AC9" s="14">
        <f t="shared" si="47"/>
        <v>300</v>
      </c>
      <c r="AD9" s="14">
        <f>SUMIFS(节奏总表!$Y$5:$Y$34,节奏总表!$M$5:$M$34,"&lt;="&amp;专属武器强化!C9,节奏总表!$M$5:$M$34,"&gt;"&amp;C8)</f>
        <v>2.5499999999999998</v>
      </c>
      <c r="AE9" s="14">
        <f t="shared" si="48"/>
        <v>36</v>
      </c>
      <c r="AF9" s="14">
        <f t="shared" si="49"/>
        <v>12</v>
      </c>
      <c r="AG9" s="14">
        <f t="shared" si="50"/>
        <v>0</v>
      </c>
      <c r="AH9" s="14">
        <f t="shared" si="51"/>
        <v>0</v>
      </c>
      <c r="AI9" s="14">
        <f t="shared" si="52"/>
        <v>459</v>
      </c>
      <c r="AJ9" s="14">
        <f t="shared" si="53"/>
        <v>153</v>
      </c>
      <c r="AK9" s="14">
        <f t="shared" si="54"/>
        <v>0</v>
      </c>
      <c r="AL9" s="14">
        <f t="shared" si="55"/>
        <v>0</v>
      </c>
      <c r="AN9" s="79" t="s">
        <v>541</v>
      </c>
      <c r="AO9" s="79">
        <v>50</v>
      </c>
      <c r="AP9" s="83">
        <v>5</v>
      </c>
      <c r="AQ9" s="83">
        <f>AO9*AP9</f>
        <v>250</v>
      </c>
      <c r="AR9" s="83"/>
      <c r="BA9" s="79">
        <v>4</v>
      </c>
      <c r="BB9" s="79">
        <v>97</v>
      </c>
      <c r="BC9" s="183">
        <f t="shared" si="57"/>
        <v>13106.600000000002</v>
      </c>
      <c r="BD9" s="183">
        <f t="shared" si="58"/>
        <v>114.48406002583941</v>
      </c>
      <c r="BE9" s="21">
        <f t="shared" si="59"/>
        <v>0.10814053873930109</v>
      </c>
      <c r="BF9" s="79" t="s">
        <v>544</v>
      </c>
      <c r="BG9" s="79" t="s">
        <v>545</v>
      </c>
      <c r="BH9" s="95">
        <v>2</v>
      </c>
      <c r="BI9" s="95">
        <v>3</v>
      </c>
      <c r="BJ9" s="79"/>
      <c r="BK9" s="19">
        <v>0.3</v>
      </c>
      <c r="BL9" s="19">
        <v>0.1</v>
      </c>
      <c r="BM9" s="79"/>
      <c r="BN9" s="81">
        <f t="shared" si="1"/>
        <v>0</v>
      </c>
      <c r="BO9" s="81">
        <f t="shared" si="2"/>
        <v>400.55399999999992</v>
      </c>
      <c r="BP9" s="81">
        <f t="shared" si="3"/>
        <v>118.2765</v>
      </c>
      <c r="BQ9" s="81">
        <f t="shared" si="4"/>
        <v>0</v>
      </c>
      <c r="BR9" s="81">
        <f t="shared" si="5"/>
        <v>0</v>
      </c>
      <c r="BS9" s="81">
        <f t="shared" si="6"/>
        <v>824.56499999999994</v>
      </c>
      <c r="BT9" s="81">
        <f t="shared" si="7"/>
        <v>243.50900000000001</v>
      </c>
      <c r="BU9" s="81">
        <f t="shared" si="8"/>
        <v>0</v>
      </c>
      <c r="BV9" s="81">
        <v>5</v>
      </c>
      <c r="BW9" s="81">
        <f t="shared" si="9"/>
        <v>0</v>
      </c>
      <c r="BX9" s="81">
        <f t="shared" si="9"/>
        <v>747.42000000000019</v>
      </c>
      <c r="BY9" s="81">
        <f t="shared" si="10"/>
        <v>281.62000000000006</v>
      </c>
      <c r="BZ9" s="81">
        <f t="shared" si="11"/>
        <v>0</v>
      </c>
      <c r="CA9" s="14">
        <f t="shared" si="60"/>
        <v>0</v>
      </c>
      <c r="CB9" s="14">
        <f t="shared" si="61"/>
        <v>747.42000000000019</v>
      </c>
      <c r="CC9" s="14">
        <f t="shared" si="62"/>
        <v>281.62000000000006</v>
      </c>
      <c r="CD9" s="14">
        <f t="shared" si="63"/>
        <v>0</v>
      </c>
      <c r="CG9" s="81">
        <v>4</v>
      </c>
      <c r="CH9" s="174">
        <f>INDEX(节奏总表!$CK$4:$CK$63,专属武器强化!CG9)</f>
        <v>52</v>
      </c>
      <c r="CI9" s="81">
        <v>2</v>
      </c>
      <c r="CJ9" s="81">
        <f t="shared" si="13"/>
        <v>2</v>
      </c>
      <c r="CK9" s="14">
        <f t="shared" si="14"/>
        <v>140</v>
      </c>
      <c r="CL9" s="14">
        <f t="shared" si="15"/>
        <v>30</v>
      </c>
      <c r="CM9" s="14">
        <f t="shared" si="16"/>
        <v>0</v>
      </c>
      <c r="CN9" s="14">
        <f t="shared" si="17"/>
        <v>0</v>
      </c>
      <c r="CO9" s="14"/>
      <c r="CP9" s="14"/>
      <c r="CQ9" s="14"/>
      <c r="CR9" s="14"/>
      <c r="CS9" s="14">
        <f>SUM(CK$6:CK9)</f>
        <v>340</v>
      </c>
      <c r="CT9" s="14">
        <f>SUM(CL$6:CL9)</f>
        <v>30</v>
      </c>
      <c r="CU9" s="14">
        <f>SUM(CM$6:CM9)</f>
        <v>0</v>
      </c>
      <c r="CV9" s="14">
        <f>SUM(CN$6:CN9)</f>
        <v>0</v>
      </c>
      <c r="CY9" s="83">
        <v>2</v>
      </c>
      <c r="CZ9" s="14">
        <f>INDEX(节奏总表!$CK$4:CK66,专属武器强化!CY9)</f>
        <v>36</v>
      </c>
      <c r="DA9" s="14">
        <f t="shared" si="18"/>
        <v>100</v>
      </c>
      <c r="DB9" s="14">
        <f t="shared" si="64"/>
        <v>0</v>
      </c>
      <c r="DC9" s="14">
        <f t="shared" si="65"/>
        <v>0</v>
      </c>
      <c r="DD9" s="14">
        <f t="shared" si="66"/>
        <v>0</v>
      </c>
      <c r="DE9" s="83">
        <v>1</v>
      </c>
      <c r="DF9" s="83">
        <v>3</v>
      </c>
      <c r="DG9" s="14">
        <f t="shared" si="67"/>
        <v>28.204528301886796</v>
      </c>
      <c r="DH9" s="14">
        <f t="shared" si="68"/>
        <v>0</v>
      </c>
      <c r="DI9" s="14">
        <f t="shared" si="69"/>
        <v>0</v>
      </c>
      <c r="DJ9" s="14">
        <f t="shared" si="70"/>
        <v>0</v>
      </c>
      <c r="DK9" s="83"/>
      <c r="DL9" s="83"/>
      <c r="DM9" s="83"/>
      <c r="DN9" s="83"/>
      <c r="DO9" s="14">
        <f>DA9-SUM(DG$7:DG9)+SUM(DK$7:DK9)</f>
        <v>43.590943396226407</v>
      </c>
      <c r="DP9" s="14">
        <f>DB9-SUM(DH$7:DH9)+SUM(DL$7:DL9)</f>
        <v>0</v>
      </c>
      <c r="DQ9" s="14">
        <f>DC9-SUM(DI$7:DI9)+SUM(DM$7:DM9)</f>
        <v>0</v>
      </c>
      <c r="DR9" s="14">
        <f>DD9-SUM(DJ$7:DJ9)+SUM(DN$7:DN9)</f>
        <v>0</v>
      </c>
      <c r="DU9" s="95">
        <v>4</v>
      </c>
      <c r="DV9" s="14">
        <f t="shared" si="71"/>
        <v>1</v>
      </c>
      <c r="DW9" s="14">
        <f t="shared" si="72"/>
        <v>4</v>
      </c>
      <c r="DX9" s="14">
        <f t="shared" si="20"/>
        <v>15.669182389937111</v>
      </c>
      <c r="DY9" s="14">
        <f t="shared" si="20"/>
        <v>0</v>
      </c>
      <c r="DZ9" s="14">
        <f t="shared" si="20"/>
        <v>0</v>
      </c>
      <c r="EA9" s="14">
        <f t="shared" si="20"/>
        <v>0</v>
      </c>
      <c r="EB9" s="14">
        <f t="shared" si="73"/>
        <v>1</v>
      </c>
      <c r="EC9" s="14">
        <f t="shared" si="74"/>
        <v>0</v>
      </c>
      <c r="EE9" s="139">
        <v>4</v>
      </c>
      <c r="EF9" s="139">
        <f>金币总表!AT9*0.7+金币总表!AT10*0.3</f>
        <v>1081385.5</v>
      </c>
      <c r="EG9" s="139">
        <f t="shared" si="75"/>
        <v>180231</v>
      </c>
      <c r="EJ9" s="139">
        <v>4</v>
      </c>
      <c r="EK9" s="14">
        <f t="shared" si="76"/>
        <v>1</v>
      </c>
      <c r="EL9" s="19">
        <f t="shared" ref="EL9:EL14" si="103">EL7+EL8</f>
        <v>0.08</v>
      </c>
      <c r="EM9" s="139">
        <v>2</v>
      </c>
      <c r="EN9" s="139" t="s">
        <v>941</v>
      </c>
      <c r="EO9" s="139">
        <f t="shared" si="77"/>
        <v>303</v>
      </c>
      <c r="EP9" s="139" t="s">
        <v>844</v>
      </c>
      <c r="EQ9" s="139">
        <v>4</v>
      </c>
      <c r="ER9" s="139"/>
      <c r="ES9" s="139"/>
      <c r="ET9" s="139">
        <f t="shared" si="21"/>
        <v>0.26</v>
      </c>
      <c r="EU9" s="139">
        <v>1</v>
      </c>
      <c r="EV9" s="139">
        <f t="shared" si="78"/>
        <v>6</v>
      </c>
      <c r="EW9" s="139"/>
      <c r="EX9" s="139">
        <f t="shared" si="22"/>
        <v>3.9172955974842778</v>
      </c>
      <c r="EY9" s="206">
        <f t="shared" si="79"/>
        <v>1186.8</v>
      </c>
      <c r="FA9">
        <v>0</v>
      </c>
      <c r="FB9">
        <v>1</v>
      </c>
      <c r="FC9">
        <f t="shared" si="23"/>
        <v>1</v>
      </c>
      <c r="FD9" s="89">
        <f t="shared" si="24"/>
        <v>0.12759999999999999</v>
      </c>
      <c r="FE9">
        <v>1</v>
      </c>
      <c r="FF9">
        <f t="shared" si="25"/>
        <v>3</v>
      </c>
      <c r="FG9" s="89">
        <f t="shared" si="26"/>
        <v>0.51060000000000005</v>
      </c>
      <c r="FH9">
        <v>1</v>
      </c>
      <c r="FI9">
        <f t="shared" si="27"/>
        <v>6</v>
      </c>
      <c r="FL9" s="101">
        <v>1102005</v>
      </c>
      <c r="FM9" s="101">
        <v>1102005</v>
      </c>
      <c r="FN9" s="101" t="s">
        <v>176</v>
      </c>
      <c r="FO9" s="14">
        <f>INDEX(卡牌消耗!$C$13:$C$40,MATCH(专属武器强化!FL9,卡牌消耗!$A$13:$A$40,0))</f>
        <v>3</v>
      </c>
      <c r="FS9" s="101">
        <v>4</v>
      </c>
      <c r="FT9" s="101">
        <f t="shared" si="80"/>
        <v>3</v>
      </c>
      <c r="FU9" s="101">
        <f t="shared" si="81"/>
        <v>1</v>
      </c>
      <c r="FV9" s="14">
        <f t="shared" si="82"/>
        <v>5</v>
      </c>
      <c r="FW9" s="101" t="str">
        <f t="shared" si="83"/>
        <v>关羽专属武器-魂珠-1 3级</v>
      </c>
      <c r="FX9" s="101">
        <f t="shared" si="84"/>
        <v>1</v>
      </c>
      <c r="FY9" s="101">
        <f t="shared" si="85"/>
        <v>3</v>
      </c>
      <c r="FZ9" s="101" t="str">
        <f t="shared" si="86"/>
        <v>金币</v>
      </c>
      <c r="GA9" s="139">
        <f>IF($FY9&gt;0,IF(INDEX($EM$6:$EM$77,$FT9)&gt;=GA$3,ROUND(INDEX(EO$6:EO$77,$FT9)*INDEX(卡牌消耗!$B$8:$F$8,FV9)/5,0)*5,""),"")</f>
        <v>475</v>
      </c>
      <c r="GB9" s="101" t="str">
        <f t="shared" si="87"/>
        <v>专属强化石1</v>
      </c>
      <c r="GC9" s="101">
        <f t="shared" si="88"/>
        <v>3</v>
      </c>
      <c r="GD9" s="101" t="str">
        <f t="shared" si="89"/>
        <v/>
      </c>
      <c r="GE9" s="101" t="str">
        <f t="shared" si="90"/>
        <v/>
      </c>
      <c r="GF9" s="101">
        <f t="shared" si="91"/>
        <v>0.32</v>
      </c>
      <c r="GG9" s="101">
        <f t="shared" si="92"/>
        <v>1</v>
      </c>
      <c r="GH9" s="101">
        <f t="shared" si="93"/>
        <v>5</v>
      </c>
      <c r="GI9" s="101">
        <f t="shared" si="94"/>
        <v>0</v>
      </c>
      <c r="GJ9" s="101">
        <f t="shared" si="95"/>
        <v>1</v>
      </c>
      <c r="GK9" s="101">
        <f t="shared" si="96"/>
        <v>1</v>
      </c>
      <c r="GL9" s="101">
        <f t="shared" si="97"/>
        <v>0.1595</v>
      </c>
      <c r="GM9" s="101">
        <f t="shared" si="98"/>
        <v>1</v>
      </c>
      <c r="GN9" s="101">
        <f t="shared" si="99"/>
        <v>2</v>
      </c>
      <c r="GO9" s="101">
        <f t="shared" si="100"/>
        <v>0.63819999999999999</v>
      </c>
      <c r="GP9" s="101">
        <f t="shared" si="101"/>
        <v>1</v>
      </c>
      <c r="GQ9" s="101">
        <f t="shared" si="102"/>
        <v>5</v>
      </c>
    </row>
    <row r="10" spans="1:199" ht="16.5" x14ac:dyDescent="0.2">
      <c r="A10" s="79">
        <v>4</v>
      </c>
      <c r="B10" s="79">
        <v>80</v>
      </c>
      <c r="C10" s="159">
        <v>80</v>
      </c>
      <c r="D10" s="14">
        <f>SUMIFS(节奏总表!$U$5:$U$34,节奏总表!$M$5:$M$34,"&lt;="&amp;专属武器强化!C10,节奏总表!$M$5:$M$34,"&gt;"&amp;C9)</f>
        <v>6</v>
      </c>
      <c r="E10" s="81">
        <v>200</v>
      </c>
      <c r="F10" s="14">
        <f t="shared" si="29"/>
        <v>200</v>
      </c>
      <c r="G10" s="19">
        <v>0.5</v>
      </c>
      <c r="H10" s="19">
        <v>0.5</v>
      </c>
      <c r="I10" s="19"/>
      <c r="J10" s="81"/>
      <c r="K10" s="14">
        <f t="shared" si="30"/>
        <v>20</v>
      </c>
      <c r="L10" s="14">
        <f t="shared" si="31"/>
        <v>10</v>
      </c>
      <c r="M10" s="14">
        <f t="shared" si="32"/>
        <v>0</v>
      </c>
      <c r="N10" s="14">
        <f t="shared" si="33"/>
        <v>0</v>
      </c>
      <c r="O10" s="14">
        <f t="shared" si="34"/>
        <v>360</v>
      </c>
      <c r="P10" s="14">
        <f t="shared" si="35"/>
        <v>180</v>
      </c>
      <c r="Q10" s="14">
        <f t="shared" si="36"/>
        <v>0</v>
      </c>
      <c r="R10" s="14">
        <f t="shared" si="37"/>
        <v>0</v>
      </c>
      <c r="S10" s="14">
        <f t="shared" si="38"/>
        <v>280</v>
      </c>
      <c r="T10" s="14">
        <f>SUMIFS(节奏总表!$W$5:$W$34,节奏总表!$M$5:$M$34,"&lt;="&amp;专属武器强化!C10,节奏总表!$M$5:$M$34,"&gt;"&amp;C9)</f>
        <v>5.3000000000000007</v>
      </c>
      <c r="U10" s="14">
        <f t="shared" si="39"/>
        <v>28</v>
      </c>
      <c r="V10" s="14">
        <f t="shared" si="40"/>
        <v>14</v>
      </c>
      <c r="W10" s="14">
        <f t="shared" si="41"/>
        <v>0</v>
      </c>
      <c r="X10" s="14">
        <f t="shared" si="42"/>
        <v>0</v>
      </c>
      <c r="Y10" s="14">
        <f t="shared" si="43"/>
        <v>742.00000000000023</v>
      </c>
      <c r="Z10" s="14">
        <f t="shared" si="44"/>
        <v>371.00000000000011</v>
      </c>
      <c r="AA10" s="14">
        <f t="shared" si="45"/>
        <v>0</v>
      </c>
      <c r="AB10" s="14">
        <f t="shared" si="46"/>
        <v>0</v>
      </c>
      <c r="AC10" s="14">
        <f t="shared" si="47"/>
        <v>400</v>
      </c>
      <c r="AD10" s="14">
        <f>SUMIFS(节奏总表!$Y$5:$Y$34,节奏总表!$M$5:$M$34,"&lt;="&amp;专属武器强化!C10,节奏总表!$M$5:$M$34,"&gt;"&amp;C9)</f>
        <v>4.29</v>
      </c>
      <c r="AE10" s="14">
        <f t="shared" si="48"/>
        <v>40</v>
      </c>
      <c r="AF10" s="14">
        <f t="shared" si="49"/>
        <v>20</v>
      </c>
      <c r="AG10" s="14">
        <f t="shared" si="50"/>
        <v>0</v>
      </c>
      <c r="AH10" s="14">
        <f t="shared" si="51"/>
        <v>0</v>
      </c>
      <c r="AI10" s="14">
        <f t="shared" si="52"/>
        <v>858</v>
      </c>
      <c r="AJ10" s="14">
        <f t="shared" si="53"/>
        <v>429</v>
      </c>
      <c r="AK10" s="14">
        <f t="shared" si="54"/>
        <v>0</v>
      </c>
      <c r="AL10" s="14">
        <f t="shared" si="55"/>
        <v>0</v>
      </c>
      <c r="BA10" s="79">
        <v>5</v>
      </c>
      <c r="BB10" s="79">
        <v>107</v>
      </c>
      <c r="BC10" s="183">
        <f t="shared" si="57"/>
        <v>19984.700000000004</v>
      </c>
      <c r="BD10" s="183">
        <f t="shared" si="58"/>
        <v>141.36725221917558</v>
      </c>
      <c r="BE10" s="21">
        <f t="shared" si="59"/>
        <v>0.13353414275861514</v>
      </c>
      <c r="BF10" s="79" t="s">
        <v>544</v>
      </c>
      <c r="BG10" s="79" t="s">
        <v>553</v>
      </c>
      <c r="BH10" s="95">
        <v>2</v>
      </c>
      <c r="BI10" s="95">
        <v>3</v>
      </c>
      <c r="BJ10" s="79"/>
      <c r="BK10" s="19">
        <v>0.35</v>
      </c>
      <c r="BL10" s="19">
        <v>0.2</v>
      </c>
      <c r="BM10" s="79"/>
      <c r="BN10" s="81">
        <f t="shared" si="1"/>
        <v>0</v>
      </c>
      <c r="BO10" s="81">
        <f t="shared" si="2"/>
        <v>467.31299999999993</v>
      </c>
      <c r="BP10" s="81">
        <f t="shared" si="3"/>
        <v>236.553</v>
      </c>
      <c r="BQ10" s="81">
        <f t="shared" si="4"/>
        <v>0</v>
      </c>
      <c r="BR10" s="81">
        <f t="shared" si="5"/>
        <v>0</v>
      </c>
      <c r="BS10" s="81">
        <f t="shared" si="6"/>
        <v>961.99249999999984</v>
      </c>
      <c r="BT10" s="81">
        <f t="shared" si="7"/>
        <v>487.01800000000003</v>
      </c>
      <c r="BU10" s="81">
        <f t="shared" si="8"/>
        <v>0</v>
      </c>
      <c r="BV10" s="81">
        <v>5</v>
      </c>
      <c r="BW10" s="81">
        <f t="shared" si="9"/>
        <v>0</v>
      </c>
      <c r="BX10" s="81">
        <f t="shared" si="9"/>
        <v>871.99000000000012</v>
      </c>
      <c r="BY10" s="81">
        <f t="shared" si="10"/>
        <v>563.24000000000012</v>
      </c>
      <c r="BZ10" s="81">
        <f t="shared" si="11"/>
        <v>0</v>
      </c>
      <c r="CA10" s="14">
        <f t="shared" si="60"/>
        <v>0</v>
      </c>
      <c r="CB10" s="14">
        <f t="shared" si="61"/>
        <v>871.99000000000012</v>
      </c>
      <c r="CC10" s="14">
        <f t="shared" si="62"/>
        <v>563.24000000000012</v>
      </c>
      <c r="CD10" s="14">
        <f t="shared" si="63"/>
        <v>0</v>
      </c>
      <c r="CG10" s="81">
        <v>5</v>
      </c>
      <c r="CH10" s="174">
        <f>INDEX(节奏总表!$CK$4:$CK$63,专属武器强化!CG10)</f>
        <v>58</v>
      </c>
      <c r="CI10" s="81"/>
      <c r="CJ10" s="81">
        <f t="shared" si="13"/>
        <v>2</v>
      </c>
      <c r="CK10" s="14">
        <f t="shared" si="14"/>
        <v>140</v>
      </c>
      <c r="CL10" s="14">
        <f t="shared" si="15"/>
        <v>30</v>
      </c>
      <c r="CM10" s="14">
        <f t="shared" si="16"/>
        <v>0</v>
      </c>
      <c r="CN10" s="14">
        <f t="shared" si="17"/>
        <v>0</v>
      </c>
      <c r="CO10" s="14"/>
      <c r="CP10" s="14"/>
      <c r="CQ10" s="14"/>
      <c r="CR10" s="14"/>
      <c r="CS10" s="14">
        <f>SUM(CK$6:CK10)</f>
        <v>480</v>
      </c>
      <c r="CT10" s="14">
        <f>SUM(CL$6:CL10)</f>
        <v>60</v>
      </c>
      <c r="CU10" s="14">
        <f>SUM(CM$6:CM10)</f>
        <v>0</v>
      </c>
      <c r="CV10" s="14">
        <f>SUM(CN$6:CN10)</f>
        <v>0</v>
      </c>
      <c r="CY10" s="83">
        <v>3</v>
      </c>
      <c r="CZ10" s="14">
        <f>INDEX(节奏总表!$CK$4:CK67,专属武器强化!CY10)</f>
        <v>45</v>
      </c>
      <c r="DA10" s="14">
        <f t="shared" si="18"/>
        <v>200</v>
      </c>
      <c r="DB10" s="14">
        <f t="shared" si="64"/>
        <v>0</v>
      </c>
      <c r="DC10" s="14">
        <f t="shared" si="65"/>
        <v>0</v>
      </c>
      <c r="DD10" s="14">
        <f t="shared" si="66"/>
        <v>0</v>
      </c>
      <c r="DE10" s="83">
        <v>1</v>
      </c>
      <c r="DF10" s="83">
        <v>4</v>
      </c>
      <c r="DG10" s="14">
        <f t="shared" si="67"/>
        <v>47.007547169811332</v>
      </c>
      <c r="DH10" s="14">
        <f t="shared" si="68"/>
        <v>0</v>
      </c>
      <c r="DI10" s="14">
        <f t="shared" si="69"/>
        <v>0</v>
      </c>
      <c r="DJ10" s="14">
        <f t="shared" si="70"/>
        <v>0</v>
      </c>
      <c r="DK10" s="83"/>
      <c r="DL10" s="83"/>
      <c r="DM10" s="83"/>
      <c r="DN10" s="83"/>
      <c r="DO10" s="14">
        <f>DA10-SUM(DG$7:DG10)+SUM(DK$7:DK10)</f>
        <v>96.583396226415076</v>
      </c>
      <c r="DP10" s="14">
        <f>DB10-SUM(DH$7:DH10)+SUM(DL$7:DL10)</f>
        <v>0</v>
      </c>
      <c r="DQ10" s="14">
        <f>DC10-SUM(DI$7:DI10)+SUM(DM$7:DM10)</f>
        <v>0</v>
      </c>
      <c r="DR10" s="14">
        <f>DD10-SUM(DJ$7:DJ10)+SUM(DN$7:DN10)</f>
        <v>0</v>
      </c>
      <c r="DU10" s="95">
        <v>5</v>
      </c>
      <c r="DV10" s="14">
        <f t="shared" si="71"/>
        <v>1</v>
      </c>
      <c r="DW10" s="14">
        <f t="shared" si="72"/>
        <v>5</v>
      </c>
      <c r="DX10" s="14">
        <f t="shared" si="20"/>
        <v>25.070691823899377</v>
      </c>
      <c r="DY10" s="14">
        <f t="shared" si="20"/>
        <v>0</v>
      </c>
      <c r="DZ10" s="14">
        <f t="shared" si="20"/>
        <v>0</v>
      </c>
      <c r="EA10" s="14">
        <f t="shared" si="20"/>
        <v>0</v>
      </c>
      <c r="EB10" s="14">
        <f t="shared" si="73"/>
        <v>1</v>
      </c>
      <c r="EC10" s="14">
        <f t="shared" si="74"/>
        <v>0</v>
      </c>
      <c r="EE10" s="139">
        <v>5</v>
      </c>
      <c r="EF10" s="139">
        <f>金币总表!AT10*0.7+金币总表!AT11*0.3</f>
        <v>2216978.7000000002</v>
      </c>
      <c r="EG10" s="139">
        <f t="shared" si="75"/>
        <v>369496</v>
      </c>
      <c r="EJ10" s="139">
        <v>5</v>
      </c>
      <c r="EK10" s="14">
        <f t="shared" si="76"/>
        <v>1</v>
      </c>
      <c r="EL10" s="19">
        <f t="shared" si="103"/>
        <v>0.13</v>
      </c>
      <c r="EM10" s="139">
        <v>2</v>
      </c>
      <c r="EN10" s="139" t="s">
        <v>941</v>
      </c>
      <c r="EO10" s="139">
        <f t="shared" si="77"/>
        <v>385</v>
      </c>
      <c r="EP10" s="139" t="s">
        <v>844</v>
      </c>
      <c r="EQ10" s="139">
        <v>5</v>
      </c>
      <c r="ER10" s="139"/>
      <c r="ES10" s="139"/>
      <c r="ET10" s="139">
        <f t="shared" si="21"/>
        <v>0.2</v>
      </c>
      <c r="EU10" s="139">
        <v>1</v>
      </c>
      <c r="EV10" s="139">
        <f t="shared" si="78"/>
        <v>8</v>
      </c>
      <c r="EW10" s="139"/>
      <c r="EX10" s="139">
        <f t="shared" si="22"/>
        <v>5.0141383647798756</v>
      </c>
      <c r="EY10" s="206">
        <f t="shared" si="79"/>
        <v>1928.55</v>
      </c>
      <c r="FA10">
        <v>0</v>
      </c>
      <c r="FB10">
        <v>1</v>
      </c>
      <c r="FC10">
        <f t="shared" si="23"/>
        <v>2</v>
      </c>
      <c r="FD10" s="89">
        <f t="shared" si="24"/>
        <v>9.9699999999999997E-2</v>
      </c>
      <c r="FE10">
        <v>1</v>
      </c>
      <c r="FF10">
        <f t="shared" si="25"/>
        <v>4</v>
      </c>
      <c r="FG10" s="89">
        <f t="shared" si="26"/>
        <v>0.39889999999999998</v>
      </c>
      <c r="FH10">
        <v>1</v>
      </c>
      <c r="FI10">
        <f t="shared" si="27"/>
        <v>8</v>
      </c>
      <c r="FL10" s="101">
        <v>1102006</v>
      </c>
      <c r="FM10" s="101">
        <v>1102006</v>
      </c>
      <c r="FN10" s="101" t="s">
        <v>177</v>
      </c>
      <c r="FO10" s="14">
        <f>INDEX(卡牌消耗!$C$13:$C$40,MATCH(专属武器强化!FL10,卡牌消耗!$A$13:$A$40,0))</f>
        <v>5</v>
      </c>
      <c r="FS10" s="101">
        <v>5</v>
      </c>
      <c r="FT10" s="101">
        <f t="shared" si="80"/>
        <v>4</v>
      </c>
      <c r="FU10" s="101">
        <f t="shared" si="81"/>
        <v>1</v>
      </c>
      <c r="FV10" s="14">
        <f t="shared" si="82"/>
        <v>5</v>
      </c>
      <c r="FW10" s="101" t="str">
        <f t="shared" si="83"/>
        <v>关羽专属武器-魂珠-1 4级</v>
      </c>
      <c r="FX10" s="101">
        <f t="shared" si="84"/>
        <v>1</v>
      </c>
      <c r="FY10" s="101">
        <f t="shared" si="85"/>
        <v>4</v>
      </c>
      <c r="FZ10" s="101" t="str">
        <f t="shared" si="86"/>
        <v>金币</v>
      </c>
      <c r="GA10" s="139">
        <f>IF($FY10&gt;0,IF(INDEX($EM$6:$EM$77,$FT10)&gt;=GA$3,ROUND(INDEX(EO$6:EO$77,$FT10)*INDEX(卡牌消耗!$B$8:$F$8,FV10)/5,0)*5,""),"")</f>
        <v>605</v>
      </c>
      <c r="GB10" s="101" t="str">
        <f t="shared" si="87"/>
        <v>专属强化石1</v>
      </c>
      <c r="GC10" s="101">
        <f t="shared" si="88"/>
        <v>4</v>
      </c>
      <c r="GD10" s="101" t="str">
        <f t="shared" si="89"/>
        <v/>
      </c>
      <c r="GE10" s="101" t="str">
        <f t="shared" si="90"/>
        <v/>
      </c>
      <c r="GF10" s="101">
        <f t="shared" si="91"/>
        <v>0.26</v>
      </c>
      <c r="GG10" s="101">
        <f t="shared" si="92"/>
        <v>1</v>
      </c>
      <c r="GH10" s="101">
        <f t="shared" si="93"/>
        <v>6</v>
      </c>
      <c r="GI10" s="101">
        <f t="shared" si="94"/>
        <v>0</v>
      </c>
      <c r="GJ10" s="101">
        <f t="shared" si="95"/>
        <v>1</v>
      </c>
      <c r="GK10" s="101">
        <f t="shared" si="96"/>
        <v>1</v>
      </c>
      <c r="GL10" s="101">
        <f t="shared" si="97"/>
        <v>0.12759999999999999</v>
      </c>
      <c r="GM10" s="101">
        <f t="shared" si="98"/>
        <v>1</v>
      </c>
      <c r="GN10" s="101">
        <f t="shared" si="99"/>
        <v>3</v>
      </c>
      <c r="GO10" s="101">
        <f t="shared" si="100"/>
        <v>0.51060000000000005</v>
      </c>
      <c r="GP10" s="101">
        <f t="shared" si="101"/>
        <v>1</v>
      </c>
      <c r="GQ10" s="101">
        <f t="shared" si="102"/>
        <v>6</v>
      </c>
    </row>
    <row r="11" spans="1:199" ht="16.5" x14ac:dyDescent="0.2">
      <c r="A11" s="79">
        <v>5</v>
      </c>
      <c r="B11" s="79">
        <v>95</v>
      </c>
      <c r="C11" s="159">
        <v>95</v>
      </c>
      <c r="D11" s="14">
        <f>SUMIFS(节奏总表!$U$5:$U$34,节奏总表!$M$5:$M$34,"&lt;="&amp;专属武器强化!C11,节奏总表!$M$5:$M$34,"&gt;"&amp;C10)</f>
        <v>9.84</v>
      </c>
      <c r="E11" s="81">
        <v>250</v>
      </c>
      <c r="F11" s="14">
        <f t="shared" si="29"/>
        <v>250</v>
      </c>
      <c r="G11" s="19">
        <v>0.2</v>
      </c>
      <c r="H11" s="19">
        <v>0.6</v>
      </c>
      <c r="I11" s="19">
        <v>0.2</v>
      </c>
      <c r="J11" s="81"/>
      <c r="K11" s="14">
        <f t="shared" si="30"/>
        <v>10</v>
      </c>
      <c r="L11" s="14">
        <f t="shared" si="31"/>
        <v>15</v>
      </c>
      <c r="M11" s="14">
        <f t="shared" si="32"/>
        <v>2.5</v>
      </c>
      <c r="N11" s="14">
        <f t="shared" si="33"/>
        <v>0</v>
      </c>
      <c r="O11" s="14">
        <f t="shared" si="34"/>
        <v>295.20000000000005</v>
      </c>
      <c r="P11" s="14">
        <f t="shared" si="35"/>
        <v>442.79999999999995</v>
      </c>
      <c r="Q11" s="14">
        <f t="shared" si="36"/>
        <v>73.800000000000011</v>
      </c>
      <c r="R11" s="14">
        <f t="shared" si="37"/>
        <v>0</v>
      </c>
      <c r="S11" s="14">
        <f t="shared" si="38"/>
        <v>350</v>
      </c>
      <c r="T11" s="14">
        <f>SUMIFS(节奏总表!$W$5:$W$34,节奏总表!$M$5:$M$34,"&lt;="&amp;专属武器强化!C11,节奏总表!$M$5:$M$34,"&gt;"&amp;C10)</f>
        <v>8.6799999999999979</v>
      </c>
      <c r="U11" s="14">
        <f t="shared" si="39"/>
        <v>14</v>
      </c>
      <c r="V11" s="14">
        <f t="shared" si="40"/>
        <v>21</v>
      </c>
      <c r="W11" s="14">
        <f t="shared" si="41"/>
        <v>3.5</v>
      </c>
      <c r="X11" s="14">
        <f t="shared" si="42"/>
        <v>0</v>
      </c>
      <c r="Y11" s="14">
        <f t="shared" si="43"/>
        <v>607.5999999999998</v>
      </c>
      <c r="Z11" s="14">
        <f t="shared" si="44"/>
        <v>911.39999999999975</v>
      </c>
      <c r="AA11" s="14">
        <f t="shared" si="45"/>
        <v>151.89999999999995</v>
      </c>
      <c r="AB11" s="14">
        <f t="shared" si="46"/>
        <v>0</v>
      </c>
      <c r="AC11" s="14">
        <f t="shared" si="47"/>
        <v>500</v>
      </c>
      <c r="AD11" s="14">
        <f>SUMIFS(节奏总表!$Y$5:$Y$34,节奏总表!$M$5:$M$34,"&lt;="&amp;专属武器强化!C11,节奏总表!$M$5:$M$34,"&gt;"&amp;C10)</f>
        <v>7.0200000000000014</v>
      </c>
      <c r="AE11" s="14">
        <f t="shared" si="48"/>
        <v>20</v>
      </c>
      <c r="AF11" s="14">
        <f t="shared" si="49"/>
        <v>30</v>
      </c>
      <c r="AG11" s="14">
        <f t="shared" si="50"/>
        <v>5</v>
      </c>
      <c r="AH11" s="14">
        <f t="shared" si="51"/>
        <v>0</v>
      </c>
      <c r="AI11" s="14">
        <f t="shared" si="52"/>
        <v>702.00000000000023</v>
      </c>
      <c r="AJ11" s="14">
        <f t="shared" si="53"/>
        <v>1053.0000000000002</v>
      </c>
      <c r="AK11" s="14">
        <f t="shared" si="54"/>
        <v>175.50000000000006</v>
      </c>
      <c r="AL11" s="14">
        <f t="shared" si="55"/>
        <v>0</v>
      </c>
      <c r="BA11" s="79">
        <v>6</v>
      </c>
      <c r="BB11" s="79">
        <v>117</v>
      </c>
      <c r="BC11" s="183">
        <f t="shared" si="57"/>
        <v>29670.1</v>
      </c>
      <c r="BD11" s="183">
        <f t="shared" si="58"/>
        <v>172.25010885337633</v>
      </c>
      <c r="BE11" s="21">
        <f t="shared" si="59"/>
        <v>0.16270579122633447</v>
      </c>
      <c r="BF11" s="79" t="s">
        <v>546</v>
      </c>
      <c r="BG11" s="79" t="s">
        <v>547</v>
      </c>
      <c r="BH11" s="95">
        <v>3</v>
      </c>
      <c r="BI11" s="95">
        <v>4</v>
      </c>
      <c r="BJ11" s="79"/>
      <c r="BK11" s="79"/>
      <c r="BL11" s="19">
        <v>0.35</v>
      </c>
      <c r="BM11" s="19">
        <v>0.15</v>
      </c>
      <c r="BN11" s="81">
        <f t="shared" si="1"/>
        <v>0</v>
      </c>
      <c r="BO11" s="81">
        <f t="shared" si="2"/>
        <v>0</v>
      </c>
      <c r="BP11" s="81">
        <f t="shared" si="3"/>
        <v>413.96774999999991</v>
      </c>
      <c r="BQ11" s="81">
        <f t="shared" si="4"/>
        <v>83.627100000000013</v>
      </c>
      <c r="BR11" s="81">
        <f t="shared" si="5"/>
        <v>0</v>
      </c>
      <c r="BS11" s="81">
        <f t="shared" si="6"/>
        <v>0</v>
      </c>
      <c r="BT11" s="81">
        <f t="shared" si="7"/>
        <v>852.28150000000005</v>
      </c>
      <c r="BU11" s="81">
        <f t="shared" si="8"/>
        <v>172.17060000000001</v>
      </c>
      <c r="BV11" s="81">
        <v>4</v>
      </c>
      <c r="BW11" s="81">
        <f t="shared" si="9"/>
        <v>0</v>
      </c>
      <c r="BX11" s="81">
        <f t="shared" si="9"/>
        <v>0</v>
      </c>
      <c r="BY11" s="81">
        <f t="shared" si="10"/>
        <v>985.67000000000007</v>
      </c>
      <c r="BZ11" s="81">
        <f t="shared" si="11"/>
        <v>199.13399999999999</v>
      </c>
      <c r="CA11" s="14">
        <f t="shared" si="60"/>
        <v>0</v>
      </c>
      <c r="CB11" s="14">
        <f t="shared" si="61"/>
        <v>0</v>
      </c>
      <c r="CC11" s="14">
        <f t="shared" si="62"/>
        <v>985.67000000000007</v>
      </c>
      <c r="CD11" s="14">
        <f t="shared" si="63"/>
        <v>199.13399999999999</v>
      </c>
      <c r="CG11" s="81">
        <v>6</v>
      </c>
      <c r="CH11" s="174">
        <f>INDEX(节奏总表!$CK$4:$CK$63,专属武器强化!CG11)</f>
        <v>64</v>
      </c>
      <c r="CI11" s="81"/>
      <c r="CJ11" s="81">
        <f t="shared" si="13"/>
        <v>2</v>
      </c>
      <c r="CK11" s="14">
        <f t="shared" si="14"/>
        <v>140</v>
      </c>
      <c r="CL11" s="14">
        <f t="shared" si="15"/>
        <v>30</v>
      </c>
      <c r="CM11" s="14">
        <f t="shared" si="16"/>
        <v>0</v>
      </c>
      <c r="CN11" s="14">
        <f t="shared" si="17"/>
        <v>0</v>
      </c>
      <c r="CO11" s="14"/>
      <c r="CP11" s="14"/>
      <c r="CQ11" s="14"/>
      <c r="CR11" s="14"/>
      <c r="CS11" s="14">
        <f>SUM(CK$6:CK11)</f>
        <v>620</v>
      </c>
      <c r="CT11" s="14">
        <f>SUM(CL$6:CL11)</f>
        <v>90</v>
      </c>
      <c r="CU11" s="14">
        <f>SUM(CM$6:CM11)</f>
        <v>0</v>
      </c>
      <c r="CV11" s="14">
        <f>SUM(CN$6:CN11)</f>
        <v>0</v>
      </c>
      <c r="CY11" s="83">
        <v>3</v>
      </c>
      <c r="CZ11" s="14">
        <f>INDEX(节奏总表!$CK$4:CK68,专属武器强化!CY11)</f>
        <v>45</v>
      </c>
      <c r="DA11" s="14">
        <f t="shared" si="18"/>
        <v>200</v>
      </c>
      <c r="DB11" s="14">
        <f t="shared" si="64"/>
        <v>0</v>
      </c>
      <c r="DC11" s="14">
        <f t="shared" si="65"/>
        <v>0</v>
      </c>
      <c r="DD11" s="14">
        <f t="shared" si="66"/>
        <v>0</v>
      </c>
      <c r="DE11" s="83">
        <v>1</v>
      </c>
      <c r="DF11" s="83">
        <v>5</v>
      </c>
      <c r="DG11" s="14">
        <f t="shared" si="67"/>
        <v>75.212075471698128</v>
      </c>
      <c r="DH11" s="14">
        <f t="shared" si="68"/>
        <v>0</v>
      </c>
      <c r="DI11" s="14">
        <f t="shared" si="69"/>
        <v>0</v>
      </c>
      <c r="DJ11" s="14">
        <f t="shared" si="70"/>
        <v>0</v>
      </c>
      <c r="DK11" s="83">
        <v>40</v>
      </c>
      <c r="DL11" s="83"/>
      <c r="DM11" s="83"/>
      <c r="DN11" s="83"/>
      <c r="DO11" s="14">
        <f>DA11-SUM(DG$7:DG11)+SUM(DK$7:DK11)</f>
        <v>61.371320754716947</v>
      </c>
      <c r="DP11" s="14">
        <f>DB11-SUM(DH$7:DH11)+SUM(DL$7:DL11)</f>
        <v>0</v>
      </c>
      <c r="DQ11" s="14">
        <f>DC11-SUM(DI$7:DI11)+SUM(DM$7:DM11)</f>
        <v>0</v>
      </c>
      <c r="DR11" s="14">
        <f>DD11-SUM(DJ$7:DJ11)+SUM(DN$7:DN11)</f>
        <v>0</v>
      </c>
      <c r="DU11" s="95">
        <v>6</v>
      </c>
      <c r="DV11" s="14">
        <f t="shared" si="71"/>
        <v>1</v>
      </c>
      <c r="DW11" s="14">
        <f t="shared" si="72"/>
        <v>6</v>
      </c>
      <c r="DX11" s="14">
        <f t="shared" si="20"/>
        <v>40.739874213836494</v>
      </c>
      <c r="DY11" s="14">
        <f t="shared" si="20"/>
        <v>0</v>
      </c>
      <c r="DZ11" s="14">
        <f t="shared" si="20"/>
        <v>0</v>
      </c>
      <c r="EA11" s="14">
        <f t="shared" si="20"/>
        <v>0</v>
      </c>
      <c r="EB11" s="14">
        <f t="shared" si="73"/>
        <v>1</v>
      </c>
      <c r="EC11" s="14">
        <f t="shared" si="74"/>
        <v>0</v>
      </c>
      <c r="EE11" s="139">
        <v>6</v>
      </c>
      <c r="EF11" s="139">
        <f>金币总表!AT11*0.7</f>
        <v>2632324.7999999998</v>
      </c>
      <c r="EG11" s="139">
        <f t="shared" si="75"/>
        <v>438721</v>
      </c>
      <c r="EJ11" s="139">
        <v>6</v>
      </c>
      <c r="EK11" s="14">
        <f t="shared" si="76"/>
        <v>1</v>
      </c>
      <c r="EL11" s="19">
        <f t="shared" si="103"/>
        <v>0.21000000000000002</v>
      </c>
      <c r="EM11" s="139">
        <v>2</v>
      </c>
      <c r="EN11" s="139" t="s">
        <v>941</v>
      </c>
      <c r="EO11" s="139">
        <f t="shared" si="77"/>
        <v>459</v>
      </c>
      <c r="EP11" s="139" t="s">
        <v>844</v>
      </c>
      <c r="EQ11" s="139">
        <v>6</v>
      </c>
      <c r="ER11" s="139"/>
      <c r="ES11" s="139"/>
      <c r="ET11" s="139">
        <f t="shared" si="21"/>
        <v>0.15</v>
      </c>
      <c r="EU11" s="139">
        <v>1</v>
      </c>
      <c r="EV11" s="139">
        <f t="shared" si="78"/>
        <v>10</v>
      </c>
      <c r="EW11" s="139"/>
      <c r="EX11" s="139">
        <f t="shared" si="22"/>
        <v>6.7899790356394156</v>
      </c>
      <c r="EY11" s="206">
        <f t="shared" si="79"/>
        <v>3115.3500000000004</v>
      </c>
      <c r="FA11">
        <v>0</v>
      </c>
      <c r="FB11">
        <v>1</v>
      </c>
      <c r="FC11">
        <f t="shared" si="23"/>
        <v>2</v>
      </c>
      <c r="FD11" s="89">
        <f t="shared" si="24"/>
        <v>7.3599999999999999E-2</v>
      </c>
      <c r="FE11">
        <v>1</v>
      </c>
      <c r="FF11">
        <f t="shared" si="25"/>
        <v>5</v>
      </c>
      <c r="FG11" s="89">
        <f t="shared" si="26"/>
        <v>0.29459999999999997</v>
      </c>
      <c r="FH11">
        <v>1</v>
      </c>
      <c r="FI11">
        <f t="shared" si="27"/>
        <v>10</v>
      </c>
      <c r="FL11" s="101">
        <v>1102007</v>
      </c>
      <c r="FM11" s="101">
        <v>1102007</v>
      </c>
      <c r="FN11" s="101" t="s">
        <v>178</v>
      </c>
      <c r="FO11" s="14">
        <f>INDEX(卡牌消耗!$C$13:$C$40,MATCH(专属武器强化!FL11,卡牌消耗!$A$13:$A$40,0))</f>
        <v>4</v>
      </c>
      <c r="FS11" s="101">
        <v>6</v>
      </c>
      <c r="FT11" s="101">
        <f t="shared" si="80"/>
        <v>5</v>
      </c>
      <c r="FU11" s="101">
        <f t="shared" si="81"/>
        <v>1</v>
      </c>
      <c r="FV11" s="14">
        <f t="shared" si="82"/>
        <v>5</v>
      </c>
      <c r="FW11" s="101" t="str">
        <f t="shared" si="83"/>
        <v>关羽专属武器-魂珠-1 5级</v>
      </c>
      <c r="FX11" s="101">
        <f t="shared" si="84"/>
        <v>1</v>
      </c>
      <c r="FY11" s="101">
        <f t="shared" si="85"/>
        <v>5</v>
      </c>
      <c r="FZ11" s="101" t="str">
        <f t="shared" si="86"/>
        <v>金币</v>
      </c>
      <c r="GA11" s="139">
        <f>IF($FY11&gt;0,IF(INDEX($EM$6:$EM$77,$FT11)&gt;=GA$3,ROUND(INDEX(EO$6:EO$77,$FT11)*INDEX(卡牌消耗!$B$8:$F$8,FV11)/5,0)*5,""),"")</f>
        <v>770</v>
      </c>
      <c r="GB11" s="101" t="str">
        <f t="shared" si="87"/>
        <v>专属强化石1</v>
      </c>
      <c r="GC11" s="101">
        <f t="shared" si="88"/>
        <v>5</v>
      </c>
      <c r="GD11" s="101" t="str">
        <f t="shared" si="89"/>
        <v/>
      </c>
      <c r="GE11" s="101" t="str">
        <f t="shared" si="90"/>
        <v/>
      </c>
      <c r="GF11" s="101">
        <f t="shared" si="91"/>
        <v>0.2</v>
      </c>
      <c r="GG11" s="101">
        <f t="shared" si="92"/>
        <v>1</v>
      </c>
      <c r="GH11" s="101">
        <f t="shared" si="93"/>
        <v>8</v>
      </c>
      <c r="GI11" s="101">
        <f t="shared" si="94"/>
        <v>0</v>
      </c>
      <c r="GJ11" s="101">
        <f t="shared" si="95"/>
        <v>1</v>
      </c>
      <c r="GK11" s="101">
        <f t="shared" si="96"/>
        <v>2</v>
      </c>
      <c r="GL11" s="101">
        <f t="shared" si="97"/>
        <v>9.9699999999999997E-2</v>
      </c>
      <c r="GM11" s="101">
        <f t="shared" si="98"/>
        <v>1</v>
      </c>
      <c r="GN11" s="101">
        <f t="shared" si="99"/>
        <v>4</v>
      </c>
      <c r="GO11" s="101">
        <f t="shared" si="100"/>
        <v>0.39889999999999998</v>
      </c>
      <c r="GP11" s="101">
        <f t="shared" si="101"/>
        <v>1</v>
      </c>
      <c r="GQ11" s="101">
        <f t="shared" si="102"/>
        <v>8</v>
      </c>
    </row>
    <row r="12" spans="1:199" ht="16.5" x14ac:dyDescent="0.2">
      <c r="A12" s="79">
        <v>6</v>
      </c>
      <c r="B12" s="79">
        <v>110</v>
      </c>
      <c r="C12" s="159">
        <v>110</v>
      </c>
      <c r="D12" s="14">
        <f>SUMIFS(节奏总表!$U$5:$U$34,节奏总表!$M$5:$M$34,"&lt;="&amp;专属武器强化!C12,节奏总表!$M$5:$M$34,"&gt;"&amp;C11)</f>
        <v>12.100000000000001</v>
      </c>
      <c r="E12" s="81">
        <v>300</v>
      </c>
      <c r="F12" s="14">
        <f t="shared" si="29"/>
        <v>300</v>
      </c>
      <c r="G12" s="81"/>
      <c r="H12" s="19">
        <v>0.4</v>
      </c>
      <c r="I12" s="19">
        <v>0.4</v>
      </c>
      <c r="J12" s="19">
        <v>0.2</v>
      </c>
      <c r="K12" s="14">
        <f t="shared" si="30"/>
        <v>0</v>
      </c>
      <c r="L12" s="14">
        <f t="shared" si="31"/>
        <v>12</v>
      </c>
      <c r="M12" s="14">
        <f t="shared" si="32"/>
        <v>6</v>
      </c>
      <c r="N12" s="14">
        <f t="shared" si="33"/>
        <v>1.2</v>
      </c>
      <c r="O12" s="14">
        <f t="shared" si="34"/>
        <v>0</v>
      </c>
      <c r="P12" s="14">
        <f t="shared" si="35"/>
        <v>435.6</v>
      </c>
      <c r="Q12" s="14">
        <f t="shared" si="36"/>
        <v>217.8</v>
      </c>
      <c r="R12" s="14">
        <f t="shared" si="37"/>
        <v>43.56</v>
      </c>
      <c r="S12" s="14">
        <f t="shared" si="38"/>
        <v>420</v>
      </c>
      <c r="T12" s="14">
        <f>SUMIFS(节奏总表!$W$5:$W$34,节奏总表!$M$5:$M$34,"&lt;="&amp;专属武器强化!C12,节奏总表!$M$5:$M$34,"&gt;"&amp;C11)</f>
        <v>10.670000000000002</v>
      </c>
      <c r="U12" s="14">
        <f t="shared" si="39"/>
        <v>0</v>
      </c>
      <c r="V12" s="14">
        <f t="shared" si="40"/>
        <v>16.8</v>
      </c>
      <c r="W12" s="14">
        <f t="shared" si="41"/>
        <v>8.4</v>
      </c>
      <c r="X12" s="14">
        <f t="shared" si="42"/>
        <v>1.68</v>
      </c>
      <c r="Y12" s="14">
        <f t="shared" si="43"/>
        <v>0</v>
      </c>
      <c r="Z12" s="14">
        <f t="shared" si="44"/>
        <v>896.2800000000002</v>
      </c>
      <c r="AA12" s="14">
        <f t="shared" si="45"/>
        <v>448.1400000000001</v>
      </c>
      <c r="AB12" s="14">
        <f t="shared" si="46"/>
        <v>89.628000000000014</v>
      </c>
      <c r="AC12" s="14">
        <f t="shared" si="47"/>
        <v>600</v>
      </c>
      <c r="AD12" s="14">
        <f>SUMIFS(节奏总表!$Y$5:$Y$34,节奏总表!$M$5:$M$34,"&lt;="&amp;专属武器强化!C12,节奏总表!$M$5:$M$34,"&gt;"&amp;C11)</f>
        <v>8.639999999999997</v>
      </c>
      <c r="AE12" s="14">
        <f t="shared" si="48"/>
        <v>0</v>
      </c>
      <c r="AF12" s="14">
        <f t="shared" si="49"/>
        <v>24</v>
      </c>
      <c r="AG12" s="14">
        <f t="shared" si="50"/>
        <v>12</v>
      </c>
      <c r="AH12" s="14">
        <f t="shared" si="51"/>
        <v>2.4</v>
      </c>
      <c r="AI12" s="14">
        <f t="shared" si="52"/>
        <v>0</v>
      </c>
      <c r="AJ12" s="14">
        <f t="shared" si="53"/>
        <v>1036.7999999999997</v>
      </c>
      <c r="AK12" s="14">
        <f t="shared" si="54"/>
        <v>518.39999999999986</v>
      </c>
      <c r="AL12" s="14">
        <f t="shared" si="55"/>
        <v>103.67999999999996</v>
      </c>
      <c r="BA12" s="79">
        <v>7</v>
      </c>
      <c r="BB12" s="79">
        <v>127</v>
      </c>
      <c r="BC12" s="183">
        <f t="shared" si="57"/>
        <v>36307.9</v>
      </c>
      <c r="BD12" s="183">
        <f t="shared" si="58"/>
        <v>190.54631982801453</v>
      </c>
      <c r="BE12" s="21">
        <f t="shared" si="59"/>
        <v>0.17998821562007733</v>
      </c>
      <c r="BF12" s="79" t="s">
        <v>546</v>
      </c>
      <c r="BG12" s="79" t="s">
        <v>550</v>
      </c>
      <c r="BH12" s="95">
        <v>3</v>
      </c>
      <c r="BI12" s="95">
        <v>4</v>
      </c>
      <c r="BJ12" s="79"/>
      <c r="BK12" s="79"/>
      <c r="BL12" s="19">
        <v>0.35</v>
      </c>
      <c r="BM12" s="19">
        <v>0.25</v>
      </c>
      <c r="BN12" s="81">
        <f t="shared" si="1"/>
        <v>0</v>
      </c>
      <c r="BO12" s="81">
        <f t="shared" si="2"/>
        <v>0</v>
      </c>
      <c r="BP12" s="81">
        <f t="shared" si="3"/>
        <v>413.96774999999991</v>
      </c>
      <c r="BQ12" s="81">
        <f t="shared" si="4"/>
        <v>139.37850000000003</v>
      </c>
      <c r="BR12" s="81">
        <f t="shared" si="5"/>
        <v>0</v>
      </c>
      <c r="BS12" s="81">
        <f t="shared" si="6"/>
        <v>0</v>
      </c>
      <c r="BT12" s="81">
        <f t="shared" si="7"/>
        <v>852.28150000000005</v>
      </c>
      <c r="BU12" s="81">
        <f t="shared" si="8"/>
        <v>286.95100000000002</v>
      </c>
      <c r="BV12" s="81">
        <v>4</v>
      </c>
      <c r="BW12" s="81">
        <f t="shared" si="9"/>
        <v>0</v>
      </c>
      <c r="BX12" s="81">
        <f t="shared" si="9"/>
        <v>0</v>
      </c>
      <c r="BY12" s="81">
        <f t="shared" si="10"/>
        <v>985.67000000000007</v>
      </c>
      <c r="BZ12" s="81">
        <f t="shared" si="11"/>
        <v>331.89</v>
      </c>
      <c r="CA12" s="14">
        <f t="shared" si="60"/>
        <v>0</v>
      </c>
      <c r="CB12" s="14">
        <f t="shared" si="61"/>
        <v>0</v>
      </c>
      <c r="CC12" s="14">
        <f t="shared" si="62"/>
        <v>985.67000000000007</v>
      </c>
      <c r="CD12" s="14">
        <f t="shared" si="63"/>
        <v>331.89</v>
      </c>
      <c r="CG12" s="81">
        <v>7</v>
      </c>
      <c r="CH12" s="174">
        <f>INDEX(节奏总表!$CK$4:$CK$63,专属武器强化!CG12)</f>
        <v>68</v>
      </c>
      <c r="CI12" s="81"/>
      <c r="CJ12" s="81">
        <f t="shared" si="13"/>
        <v>3</v>
      </c>
      <c r="CK12" s="14">
        <f t="shared" si="14"/>
        <v>180</v>
      </c>
      <c r="CL12" s="14">
        <f t="shared" si="15"/>
        <v>60</v>
      </c>
      <c r="CM12" s="14">
        <f t="shared" si="16"/>
        <v>0</v>
      </c>
      <c r="CN12" s="14">
        <f t="shared" si="17"/>
        <v>0</v>
      </c>
      <c r="CO12" s="14"/>
      <c r="CP12" s="14"/>
      <c r="CQ12" s="14"/>
      <c r="CR12" s="14"/>
      <c r="CS12" s="14">
        <f>SUM(CK$6:CK12)</f>
        <v>800</v>
      </c>
      <c r="CT12" s="14">
        <f>SUM(CL$6:CL12)</f>
        <v>150</v>
      </c>
      <c r="CU12" s="14">
        <f>SUM(CM$6:CM12)</f>
        <v>0</v>
      </c>
      <c r="CV12" s="14">
        <f>SUM(CN$6:CN12)</f>
        <v>0</v>
      </c>
      <c r="CY12" s="83">
        <v>4</v>
      </c>
      <c r="CZ12" s="14">
        <f>INDEX(节奏总表!$CK$4:CK69,专属武器强化!CY12)</f>
        <v>52</v>
      </c>
      <c r="DA12" s="14">
        <f t="shared" si="18"/>
        <v>340</v>
      </c>
      <c r="DB12" s="14">
        <f t="shared" si="64"/>
        <v>30</v>
      </c>
      <c r="DC12" s="14">
        <f t="shared" si="65"/>
        <v>0</v>
      </c>
      <c r="DD12" s="14">
        <f t="shared" si="66"/>
        <v>0</v>
      </c>
      <c r="DE12" s="83">
        <v>2</v>
      </c>
      <c r="DF12" s="83">
        <v>1</v>
      </c>
      <c r="DG12" s="14">
        <f t="shared" si="67"/>
        <v>23.356875000000006</v>
      </c>
      <c r="DH12" s="14">
        <f t="shared" si="68"/>
        <v>7.7856250000000031</v>
      </c>
      <c r="DI12" s="14">
        <f t="shared" si="69"/>
        <v>0</v>
      </c>
      <c r="DJ12" s="14">
        <f t="shared" si="70"/>
        <v>0</v>
      </c>
      <c r="DK12" s="83"/>
      <c r="DL12" s="83"/>
      <c r="DM12" s="83"/>
      <c r="DN12" s="83"/>
      <c r="DO12" s="14">
        <f>DA12-SUM(DG$7:DG12)+SUM(DK$7:DK12)</f>
        <v>178.01444575471695</v>
      </c>
      <c r="DP12" s="14">
        <f>DB12-SUM(DH$7:DH12)+SUM(DL$7:DL12)</f>
        <v>22.214374999999997</v>
      </c>
      <c r="DQ12" s="14">
        <f>DC12-SUM(DI$7:DI12)+SUM(DM$7:DM12)</f>
        <v>0</v>
      </c>
      <c r="DR12" s="14">
        <f>DD12-SUM(DJ$7:DJ12)+SUM(DN$7:DN12)</f>
        <v>0</v>
      </c>
      <c r="DU12" s="95">
        <v>7</v>
      </c>
      <c r="DV12" s="14">
        <f t="shared" si="71"/>
        <v>1</v>
      </c>
      <c r="DW12" s="14">
        <f t="shared" si="72"/>
        <v>7</v>
      </c>
      <c r="DX12" s="14">
        <f t="shared" si="20"/>
        <v>65.810566037735867</v>
      </c>
      <c r="DY12" s="14">
        <f t="shared" si="20"/>
        <v>0</v>
      </c>
      <c r="DZ12" s="14">
        <f t="shared" si="20"/>
        <v>0</v>
      </c>
      <c r="EA12" s="14">
        <f t="shared" si="20"/>
        <v>0</v>
      </c>
      <c r="EB12" s="14">
        <f t="shared" si="73"/>
        <v>1</v>
      </c>
      <c r="EC12" s="14">
        <f t="shared" si="74"/>
        <v>0</v>
      </c>
      <c r="EE12" s="139">
        <v>7</v>
      </c>
      <c r="EF12" s="139">
        <f>金币总表!AT12*0.8</f>
        <v>7659040</v>
      </c>
      <c r="EG12" s="139">
        <f t="shared" si="75"/>
        <v>1276507</v>
      </c>
      <c r="EJ12" s="139">
        <v>7</v>
      </c>
      <c r="EK12" s="14">
        <f t="shared" si="76"/>
        <v>1</v>
      </c>
      <c r="EL12" s="19">
        <f t="shared" si="103"/>
        <v>0.34</v>
      </c>
      <c r="EM12" s="139">
        <v>2</v>
      </c>
      <c r="EN12" s="139" t="s">
        <v>941</v>
      </c>
      <c r="EO12" s="139">
        <f t="shared" si="77"/>
        <v>536</v>
      </c>
      <c r="EP12" s="139" t="s">
        <v>844</v>
      </c>
      <c r="EQ12" s="139">
        <v>7</v>
      </c>
      <c r="ER12" s="139"/>
      <c r="ES12" s="139"/>
      <c r="ET12" s="139">
        <f t="shared" si="21"/>
        <v>0.11</v>
      </c>
      <c r="EU12" s="139">
        <v>1</v>
      </c>
      <c r="EV12" s="139">
        <f t="shared" si="78"/>
        <v>14</v>
      </c>
      <c r="EW12" s="139"/>
      <c r="EX12" s="139">
        <f t="shared" si="22"/>
        <v>9.401509433962266</v>
      </c>
      <c r="EY12" s="206">
        <f t="shared" si="79"/>
        <v>5043.9000000000005</v>
      </c>
      <c r="FA12">
        <v>0</v>
      </c>
      <c r="FB12">
        <v>1</v>
      </c>
      <c r="FC12">
        <f t="shared" si="23"/>
        <v>3</v>
      </c>
      <c r="FD12" s="89">
        <f t="shared" si="24"/>
        <v>5.3199999999999997E-2</v>
      </c>
      <c r="FE12">
        <v>1</v>
      </c>
      <c r="FF12">
        <f t="shared" si="25"/>
        <v>7</v>
      </c>
      <c r="FG12" s="89">
        <f t="shared" si="26"/>
        <v>0.2127</v>
      </c>
      <c r="FH12">
        <v>1</v>
      </c>
      <c r="FI12">
        <f t="shared" si="27"/>
        <v>14</v>
      </c>
      <c r="FL12" s="101">
        <v>1102008</v>
      </c>
      <c r="FM12" s="101">
        <v>1102008</v>
      </c>
      <c r="FN12" s="101" t="s">
        <v>179</v>
      </c>
      <c r="FO12" s="14">
        <f>INDEX(卡牌消耗!$C$13:$C$40,MATCH(专属武器强化!FL12,卡牌消耗!$A$13:$A$40,0))</f>
        <v>4</v>
      </c>
      <c r="FS12" s="101">
        <v>7</v>
      </c>
      <c r="FT12" s="101">
        <f t="shared" si="80"/>
        <v>6</v>
      </c>
      <c r="FU12" s="101">
        <f t="shared" si="81"/>
        <v>1</v>
      </c>
      <c r="FV12" s="14">
        <f t="shared" si="82"/>
        <v>5</v>
      </c>
      <c r="FW12" s="101" t="str">
        <f t="shared" si="83"/>
        <v>关羽专属武器-魂珠-1 6级</v>
      </c>
      <c r="FX12" s="101">
        <f t="shared" si="84"/>
        <v>1</v>
      </c>
      <c r="FY12" s="101">
        <f t="shared" si="85"/>
        <v>6</v>
      </c>
      <c r="FZ12" s="101" t="str">
        <f t="shared" si="86"/>
        <v>金币</v>
      </c>
      <c r="GA12" s="139">
        <f>IF($FY12&gt;0,IF(INDEX($EM$6:$EM$77,$FT12)&gt;=GA$3,ROUND(INDEX(EO$6:EO$77,$FT12)*INDEX(卡牌消耗!$B$8:$F$8,FV12)/5,0)*5,""),"")</f>
        <v>920</v>
      </c>
      <c r="GB12" s="101" t="str">
        <f t="shared" si="87"/>
        <v>专属强化石1</v>
      </c>
      <c r="GC12" s="101">
        <f t="shared" si="88"/>
        <v>6</v>
      </c>
      <c r="GD12" s="101" t="str">
        <f t="shared" si="89"/>
        <v/>
      </c>
      <c r="GE12" s="101" t="str">
        <f t="shared" si="90"/>
        <v/>
      </c>
      <c r="GF12" s="101">
        <f t="shared" si="91"/>
        <v>0.15</v>
      </c>
      <c r="GG12" s="101">
        <f t="shared" si="92"/>
        <v>1</v>
      </c>
      <c r="GH12" s="101">
        <f t="shared" si="93"/>
        <v>10</v>
      </c>
      <c r="GI12" s="101">
        <f t="shared" si="94"/>
        <v>0</v>
      </c>
      <c r="GJ12" s="101">
        <f t="shared" si="95"/>
        <v>1</v>
      </c>
      <c r="GK12" s="101">
        <f t="shared" si="96"/>
        <v>2</v>
      </c>
      <c r="GL12" s="101">
        <f t="shared" si="97"/>
        <v>7.3599999999999999E-2</v>
      </c>
      <c r="GM12" s="101">
        <f t="shared" si="98"/>
        <v>1</v>
      </c>
      <c r="GN12" s="101">
        <f t="shared" si="99"/>
        <v>5</v>
      </c>
      <c r="GO12" s="101">
        <f t="shared" si="100"/>
        <v>0.29459999999999997</v>
      </c>
      <c r="GP12" s="101">
        <f t="shared" si="101"/>
        <v>1</v>
      </c>
      <c r="GQ12" s="101">
        <f t="shared" si="102"/>
        <v>10</v>
      </c>
    </row>
    <row r="13" spans="1:199" ht="16.5" x14ac:dyDescent="0.2">
      <c r="A13" s="79">
        <v>7</v>
      </c>
      <c r="B13" s="79">
        <v>120</v>
      </c>
      <c r="C13" s="159">
        <v>120</v>
      </c>
      <c r="D13" s="14">
        <f>SUMIFS(节奏总表!$U$5:$U$34,节奏总表!$M$5:$M$34,"&lt;="&amp;专属武器强化!C13,节奏总表!$M$5:$M$34,"&gt;"&amp;C12)</f>
        <v>9.1000000000000014</v>
      </c>
      <c r="E13" s="81">
        <v>350</v>
      </c>
      <c r="F13" s="14">
        <f t="shared" si="29"/>
        <v>350</v>
      </c>
      <c r="G13" s="81"/>
      <c r="H13" s="19">
        <v>0.2</v>
      </c>
      <c r="I13" s="19">
        <v>0.6</v>
      </c>
      <c r="J13" s="19">
        <v>0.2</v>
      </c>
      <c r="K13" s="14">
        <f t="shared" si="30"/>
        <v>0</v>
      </c>
      <c r="L13" s="14">
        <f t="shared" si="31"/>
        <v>7</v>
      </c>
      <c r="M13" s="14">
        <f t="shared" si="32"/>
        <v>10.5</v>
      </c>
      <c r="N13" s="14">
        <f t="shared" si="33"/>
        <v>1.4</v>
      </c>
      <c r="O13" s="14">
        <f t="shared" si="34"/>
        <v>0</v>
      </c>
      <c r="P13" s="14">
        <f t="shared" si="35"/>
        <v>191.10000000000002</v>
      </c>
      <c r="Q13" s="14">
        <f t="shared" si="36"/>
        <v>286.65000000000003</v>
      </c>
      <c r="R13" s="14">
        <f t="shared" si="37"/>
        <v>38.220000000000006</v>
      </c>
      <c r="S13" s="14">
        <f t="shared" si="38"/>
        <v>489.99999999999994</v>
      </c>
      <c r="T13" s="14">
        <f>SUMIFS(节奏总表!$W$5:$W$34,节奏总表!$M$5:$M$34,"&lt;="&amp;专属武器强化!C13,节奏总表!$M$5:$M$34,"&gt;"&amp;C12)</f>
        <v>8.0299999999999976</v>
      </c>
      <c r="U13" s="14">
        <f t="shared" si="39"/>
        <v>0</v>
      </c>
      <c r="V13" s="14">
        <f t="shared" si="40"/>
        <v>9.8000000000000007</v>
      </c>
      <c r="W13" s="14">
        <f t="shared" si="41"/>
        <v>14.699999999999998</v>
      </c>
      <c r="X13" s="14">
        <f t="shared" si="42"/>
        <v>1.96</v>
      </c>
      <c r="Y13" s="14">
        <f t="shared" si="43"/>
        <v>0</v>
      </c>
      <c r="Z13" s="14">
        <f t="shared" si="44"/>
        <v>393.46999999999991</v>
      </c>
      <c r="AA13" s="14">
        <f t="shared" si="45"/>
        <v>590.2049999999997</v>
      </c>
      <c r="AB13" s="14">
        <f t="shared" si="46"/>
        <v>78.693999999999974</v>
      </c>
      <c r="AC13" s="14">
        <f t="shared" si="47"/>
        <v>700</v>
      </c>
      <c r="AD13" s="14">
        <f>SUMIFS(节奏总表!$Y$5:$Y$34,节奏总表!$M$5:$M$34,"&lt;="&amp;专属武器强化!C13,节奏总表!$M$5:$M$34,"&gt;"&amp;C12)</f>
        <v>6.5</v>
      </c>
      <c r="AE13" s="14">
        <f t="shared" si="48"/>
        <v>0</v>
      </c>
      <c r="AF13" s="14">
        <f t="shared" si="49"/>
        <v>14</v>
      </c>
      <c r="AG13" s="14">
        <f t="shared" si="50"/>
        <v>21</v>
      </c>
      <c r="AH13" s="14">
        <f t="shared" si="51"/>
        <v>2.8</v>
      </c>
      <c r="AI13" s="14">
        <f t="shared" si="52"/>
        <v>0</v>
      </c>
      <c r="AJ13" s="14">
        <f t="shared" si="53"/>
        <v>455</v>
      </c>
      <c r="AK13" s="14">
        <f t="shared" si="54"/>
        <v>682.5</v>
      </c>
      <c r="AL13" s="14">
        <f t="shared" si="55"/>
        <v>91</v>
      </c>
      <c r="BA13" s="79">
        <v>8</v>
      </c>
      <c r="BB13" s="79">
        <v>137</v>
      </c>
      <c r="BC13" s="183">
        <f t="shared" si="57"/>
        <v>39826.799999999996</v>
      </c>
      <c r="BD13" s="183">
        <f t="shared" si="58"/>
        <v>199.56653025996116</v>
      </c>
      <c r="BE13" s="21">
        <f t="shared" si="59"/>
        <v>0.18850861938137309</v>
      </c>
      <c r="BF13" s="79" t="s">
        <v>551</v>
      </c>
      <c r="BG13" s="79"/>
      <c r="BH13" s="95">
        <v>4</v>
      </c>
      <c r="BI13" s="95"/>
      <c r="BJ13" s="79"/>
      <c r="BK13" s="79"/>
      <c r="BL13" s="79"/>
      <c r="BM13" s="19">
        <v>0.6</v>
      </c>
      <c r="BN13" s="81">
        <f t="shared" si="1"/>
        <v>0</v>
      </c>
      <c r="BO13" s="81">
        <f t="shared" si="2"/>
        <v>0</v>
      </c>
      <c r="BP13" s="81">
        <f t="shared" si="3"/>
        <v>0</v>
      </c>
      <c r="BQ13" s="81">
        <f t="shared" si="4"/>
        <v>334.50840000000005</v>
      </c>
      <c r="BR13" s="81">
        <f t="shared" si="5"/>
        <v>0</v>
      </c>
      <c r="BS13" s="81">
        <f t="shared" si="6"/>
        <v>0</v>
      </c>
      <c r="BT13" s="81">
        <f t="shared" si="7"/>
        <v>0</v>
      </c>
      <c r="BU13" s="81">
        <f t="shared" si="8"/>
        <v>688.68240000000003</v>
      </c>
      <c r="BV13" s="81">
        <v>3</v>
      </c>
      <c r="BW13" s="81">
        <f t="shared" si="9"/>
        <v>0</v>
      </c>
      <c r="BX13" s="81">
        <f t="shared" si="9"/>
        <v>0</v>
      </c>
      <c r="BY13" s="81">
        <f t="shared" si="10"/>
        <v>0</v>
      </c>
      <c r="BZ13" s="81">
        <f t="shared" si="11"/>
        <v>796.53599999999994</v>
      </c>
      <c r="CA13" s="14">
        <f t="shared" si="60"/>
        <v>0</v>
      </c>
      <c r="CB13" s="14">
        <f t="shared" si="61"/>
        <v>0</v>
      </c>
      <c r="CC13" s="14">
        <f t="shared" si="62"/>
        <v>0</v>
      </c>
      <c r="CD13" s="14">
        <f t="shared" si="63"/>
        <v>796.53599999999994</v>
      </c>
      <c r="CG13" s="81">
        <v>8</v>
      </c>
      <c r="CH13" s="174">
        <f>INDEX(节奏总表!$CK$4:$CK$63,专属武器强化!CG13)</f>
        <v>72</v>
      </c>
      <c r="CI13" s="81"/>
      <c r="CJ13" s="81">
        <f t="shared" si="13"/>
        <v>3</v>
      </c>
      <c r="CK13" s="14">
        <f t="shared" si="14"/>
        <v>180</v>
      </c>
      <c r="CL13" s="14">
        <f t="shared" si="15"/>
        <v>60</v>
      </c>
      <c r="CM13" s="14">
        <f t="shared" si="16"/>
        <v>0</v>
      </c>
      <c r="CN13" s="14">
        <f t="shared" si="17"/>
        <v>0</v>
      </c>
      <c r="CO13" s="14"/>
      <c r="CP13" s="14"/>
      <c r="CQ13" s="14"/>
      <c r="CR13" s="14"/>
      <c r="CS13" s="14">
        <f>SUM(CK$6:CK13)</f>
        <v>980</v>
      </c>
      <c r="CT13" s="14">
        <f>SUM(CL$6:CL13)</f>
        <v>210</v>
      </c>
      <c r="CU13" s="14">
        <f>SUM(CM$6:CM13)</f>
        <v>0</v>
      </c>
      <c r="CV13" s="14">
        <f>SUM(CN$6:CN13)</f>
        <v>0</v>
      </c>
      <c r="CY13" s="83">
        <v>4</v>
      </c>
      <c r="CZ13" s="14">
        <f>INDEX(节奏总表!$CK$4:CK70,专属武器强化!CY13)</f>
        <v>52</v>
      </c>
      <c r="DA13" s="14">
        <f t="shared" si="18"/>
        <v>340</v>
      </c>
      <c r="DB13" s="14">
        <f t="shared" si="64"/>
        <v>30</v>
      </c>
      <c r="DC13" s="14">
        <f t="shared" si="65"/>
        <v>0</v>
      </c>
      <c r="DD13" s="14">
        <f t="shared" si="66"/>
        <v>0</v>
      </c>
      <c r="DE13" s="83">
        <v>2</v>
      </c>
      <c r="DF13" s="83">
        <v>2</v>
      </c>
      <c r="DG13" s="14">
        <f t="shared" si="67"/>
        <v>46.713750000000012</v>
      </c>
      <c r="DH13" s="14">
        <f t="shared" si="68"/>
        <v>15.571250000000006</v>
      </c>
      <c r="DI13" s="14">
        <f t="shared" si="69"/>
        <v>0</v>
      </c>
      <c r="DJ13" s="14">
        <f t="shared" si="70"/>
        <v>0</v>
      </c>
      <c r="DK13" s="83"/>
      <c r="DL13" s="83">
        <v>2</v>
      </c>
      <c r="DM13" s="83"/>
      <c r="DN13" s="83"/>
      <c r="DO13" s="14">
        <f>DA13-SUM(DG$7:DG13)+SUM(DK$7:DK13)</f>
        <v>131.30069575471694</v>
      </c>
      <c r="DP13" s="14">
        <f>DB13-SUM(DH$7:DH13)+SUM(DL$7:DL13)</f>
        <v>8.6431249999999906</v>
      </c>
      <c r="DQ13" s="14">
        <f>DC13-SUM(DI$7:DI13)+SUM(DM$7:DM13)</f>
        <v>0</v>
      </c>
      <c r="DR13" s="14">
        <f>DD13-SUM(DJ$7:DJ13)+SUM(DN$7:DN13)</f>
        <v>0</v>
      </c>
      <c r="DU13" s="95">
        <v>8</v>
      </c>
      <c r="DV13" s="14">
        <f t="shared" si="71"/>
        <v>1</v>
      </c>
      <c r="DW13" s="14">
        <f t="shared" si="72"/>
        <v>8</v>
      </c>
      <c r="DX13" s="14">
        <f t="shared" si="20"/>
        <v>106.55044025157235</v>
      </c>
      <c r="DY13" s="14">
        <f t="shared" si="20"/>
        <v>0</v>
      </c>
      <c r="DZ13" s="14">
        <f t="shared" si="20"/>
        <v>0</v>
      </c>
      <c r="EA13" s="14">
        <f t="shared" si="20"/>
        <v>0</v>
      </c>
      <c r="EB13" s="14">
        <f t="shared" si="73"/>
        <v>1</v>
      </c>
      <c r="EC13" s="14">
        <f t="shared" si="74"/>
        <v>0</v>
      </c>
      <c r="EE13" s="139">
        <v>8</v>
      </c>
      <c r="EF13" s="139">
        <f>金币总表!AT12*1.2</f>
        <v>11488560</v>
      </c>
      <c r="EG13" s="139">
        <f t="shared" si="75"/>
        <v>1914760</v>
      </c>
      <c r="EJ13" s="139">
        <v>8</v>
      </c>
      <c r="EK13" s="14">
        <f t="shared" si="76"/>
        <v>1</v>
      </c>
      <c r="EL13" s="19">
        <f t="shared" si="103"/>
        <v>0.55000000000000004</v>
      </c>
      <c r="EM13" s="139">
        <v>2</v>
      </c>
      <c r="EN13" s="139" t="s">
        <v>941</v>
      </c>
      <c r="EO13" s="139">
        <f t="shared" si="77"/>
        <v>613</v>
      </c>
      <c r="EP13" s="139" t="s">
        <v>844</v>
      </c>
      <c r="EQ13" s="139">
        <v>8</v>
      </c>
      <c r="ER13" s="139"/>
      <c r="ES13" s="139"/>
      <c r="ET13" s="139">
        <f t="shared" si="21"/>
        <v>0.08</v>
      </c>
      <c r="EU13" s="139">
        <v>1</v>
      </c>
      <c r="EV13" s="139">
        <f t="shared" si="78"/>
        <v>20</v>
      </c>
      <c r="EW13" s="139"/>
      <c r="EX13" s="139">
        <f t="shared" si="22"/>
        <v>13.318805031446544</v>
      </c>
      <c r="EY13" s="206">
        <f t="shared" si="79"/>
        <v>8159.2500000000009</v>
      </c>
      <c r="FA13">
        <v>0</v>
      </c>
      <c r="FB13">
        <v>1</v>
      </c>
      <c r="FC13">
        <f t="shared" si="23"/>
        <v>5</v>
      </c>
      <c r="FD13" s="89">
        <f t="shared" si="24"/>
        <v>3.7499999999999999E-2</v>
      </c>
      <c r="FE13">
        <v>1</v>
      </c>
      <c r="FF13">
        <f t="shared" si="25"/>
        <v>9</v>
      </c>
      <c r="FG13" s="89">
        <f t="shared" si="26"/>
        <v>0.1502</v>
      </c>
      <c r="FH13">
        <v>1</v>
      </c>
      <c r="FI13">
        <f t="shared" si="27"/>
        <v>20</v>
      </c>
      <c r="FL13" s="101">
        <v>1102009</v>
      </c>
      <c r="FM13" s="101">
        <v>1102009</v>
      </c>
      <c r="FN13" s="101" t="s">
        <v>180</v>
      </c>
      <c r="FO13" s="14">
        <f>INDEX(卡牌消耗!$C$13:$C$40,MATCH(专属武器强化!FL13,卡牌消耗!$A$13:$A$40,0))</f>
        <v>3</v>
      </c>
      <c r="FS13" s="101">
        <v>8</v>
      </c>
      <c r="FT13" s="101">
        <f t="shared" si="80"/>
        <v>7</v>
      </c>
      <c r="FU13" s="101">
        <f t="shared" si="81"/>
        <v>1</v>
      </c>
      <c r="FV13" s="14">
        <f t="shared" si="82"/>
        <v>5</v>
      </c>
      <c r="FW13" s="101" t="str">
        <f t="shared" si="83"/>
        <v>关羽专属武器-魂珠-1 7级</v>
      </c>
      <c r="FX13" s="101">
        <f t="shared" si="84"/>
        <v>1</v>
      </c>
      <c r="FY13" s="101">
        <f t="shared" si="85"/>
        <v>7</v>
      </c>
      <c r="FZ13" s="101" t="str">
        <f t="shared" si="86"/>
        <v>金币</v>
      </c>
      <c r="GA13" s="139">
        <f>IF($FY13&gt;0,IF(INDEX($EM$6:$EM$77,$FT13)&gt;=GA$3,ROUND(INDEX(EO$6:EO$77,$FT13)*INDEX(卡牌消耗!$B$8:$F$8,FV13)/5,0)*5,""),"")</f>
        <v>1070</v>
      </c>
      <c r="GB13" s="101" t="str">
        <f t="shared" si="87"/>
        <v>专属强化石1</v>
      </c>
      <c r="GC13" s="101">
        <f t="shared" si="88"/>
        <v>7</v>
      </c>
      <c r="GD13" s="101" t="str">
        <f t="shared" si="89"/>
        <v/>
      </c>
      <c r="GE13" s="101" t="str">
        <f t="shared" si="90"/>
        <v/>
      </c>
      <c r="GF13" s="101">
        <f t="shared" si="91"/>
        <v>0.11</v>
      </c>
      <c r="GG13" s="101">
        <f t="shared" si="92"/>
        <v>1</v>
      </c>
      <c r="GH13" s="101">
        <f t="shared" si="93"/>
        <v>14</v>
      </c>
      <c r="GI13" s="101">
        <f t="shared" si="94"/>
        <v>0</v>
      </c>
      <c r="GJ13" s="101">
        <f t="shared" si="95"/>
        <v>1</v>
      </c>
      <c r="GK13" s="101">
        <f t="shared" si="96"/>
        <v>3</v>
      </c>
      <c r="GL13" s="101">
        <f t="shared" si="97"/>
        <v>5.3199999999999997E-2</v>
      </c>
      <c r="GM13" s="101">
        <f t="shared" si="98"/>
        <v>1</v>
      </c>
      <c r="GN13" s="101">
        <f t="shared" si="99"/>
        <v>7</v>
      </c>
      <c r="GO13" s="101">
        <f t="shared" si="100"/>
        <v>0.2127</v>
      </c>
      <c r="GP13" s="101">
        <f t="shared" si="101"/>
        <v>1</v>
      </c>
      <c r="GQ13" s="101">
        <f t="shared" si="102"/>
        <v>14</v>
      </c>
    </row>
    <row r="14" spans="1:199" ht="16.5" x14ac:dyDescent="0.2">
      <c r="A14" s="79">
        <v>8</v>
      </c>
      <c r="B14" s="79">
        <v>130</v>
      </c>
      <c r="C14" s="159">
        <v>130</v>
      </c>
      <c r="D14" s="14">
        <f>SUMIFS(节奏总表!$U$5:$U$34,节奏总表!$M$5:$M$34,"&lt;="&amp;专属武器强化!C14,节奏总表!$M$5:$M$34,"&gt;"&amp;C13)</f>
        <v>11.059999999999995</v>
      </c>
      <c r="E14" s="81">
        <v>400</v>
      </c>
      <c r="F14" s="14">
        <f t="shared" si="29"/>
        <v>400</v>
      </c>
      <c r="G14" s="81"/>
      <c r="H14" s="19"/>
      <c r="I14" s="19">
        <v>0.4</v>
      </c>
      <c r="J14" s="19">
        <v>0.6</v>
      </c>
      <c r="K14" s="14">
        <f t="shared" si="30"/>
        <v>0</v>
      </c>
      <c r="L14" s="14">
        <f t="shared" si="31"/>
        <v>0</v>
      </c>
      <c r="M14" s="14">
        <f t="shared" si="32"/>
        <v>8</v>
      </c>
      <c r="N14" s="14">
        <f t="shared" si="33"/>
        <v>4.8</v>
      </c>
      <c r="O14" s="14">
        <f t="shared" si="34"/>
        <v>0</v>
      </c>
      <c r="P14" s="14">
        <f t="shared" si="35"/>
        <v>0</v>
      </c>
      <c r="Q14" s="14">
        <f t="shared" si="36"/>
        <v>265.43999999999988</v>
      </c>
      <c r="R14" s="14">
        <f t="shared" si="37"/>
        <v>159.26399999999992</v>
      </c>
      <c r="S14" s="14">
        <f t="shared" si="38"/>
        <v>560</v>
      </c>
      <c r="T14" s="14">
        <f>SUMIFS(节奏总表!$W$5:$W$34,节奏总表!$M$5:$M$34,"&lt;="&amp;专属武器强化!C14,节奏总表!$M$5:$M$34,"&gt;"&amp;C13)</f>
        <v>9.7700000000000031</v>
      </c>
      <c r="U14" s="14">
        <f t="shared" si="39"/>
        <v>0</v>
      </c>
      <c r="V14" s="14">
        <f t="shared" si="40"/>
        <v>0</v>
      </c>
      <c r="W14" s="14">
        <f t="shared" si="41"/>
        <v>11.2</v>
      </c>
      <c r="X14" s="14">
        <f t="shared" si="42"/>
        <v>6.72</v>
      </c>
      <c r="Y14" s="14">
        <f t="shared" si="43"/>
        <v>0</v>
      </c>
      <c r="Z14" s="14">
        <f t="shared" si="44"/>
        <v>0</v>
      </c>
      <c r="AA14" s="14">
        <f t="shared" si="45"/>
        <v>547.12000000000012</v>
      </c>
      <c r="AB14" s="14">
        <f t="shared" si="46"/>
        <v>328.27200000000011</v>
      </c>
      <c r="AC14" s="14">
        <f t="shared" si="47"/>
        <v>800</v>
      </c>
      <c r="AD14" s="14">
        <f>SUMIFS(节奏总表!$Y$5:$Y$34,节奏总表!$M$5:$M$34,"&lt;="&amp;专属武器强化!C14,节奏总表!$M$5:$M$34,"&gt;"&amp;C13)</f>
        <v>7.9100000000000037</v>
      </c>
      <c r="AE14" s="14">
        <f t="shared" si="48"/>
        <v>0</v>
      </c>
      <c r="AF14" s="14">
        <f t="shared" si="49"/>
        <v>0</v>
      </c>
      <c r="AG14" s="14">
        <f t="shared" si="50"/>
        <v>16</v>
      </c>
      <c r="AH14" s="14">
        <f t="shared" si="51"/>
        <v>9.6</v>
      </c>
      <c r="AI14" s="14">
        <f t="shared" si="52"/>
        <v>0</v>
      </c>
      <c r="AJ14" s="14">
        <f t="shared" si="53"/>
        <v>0</v>
      </c>
      <c r="AK14" s="14">
        <f t="shared" si="54"/>
        <v>632.8000000000003</v>
      </c>
      <c r="AL14" s="14">
        <f t="shared" si="55"/>
        <v>379.68000000000018</v>
      </c>
      <c r="CG14" s="81">
        <v>9</v>
      </c>
      <c r="CH14" s="174">
        <f>INDEX(节奏总表!$CK$4:$CK$63,专属武器强化!CG14)</f>
        <v>76</v>
      </c>
      <c r="CI14" s="81">
        <v>3</v>
      </c>
      <c r="CJ14" s="81">
        <f t="shared" si="13"/>
        <v>3</v>
      </c>
      <c r="CK14" s="14">
        <f t="shared" si="14"/>
        <v>180</v>
      </c>
      <c r="CL14" s="14">
        <f t="shared" si="15"/>
        <v>60</v>
      </c>
      <c r="CM14" s="14">
        <f t="shared" si="16"/>
        <v>0</v>
      </c>
      <c r="CN14" s="14">
        <f t="shared" si="17"/>
        <v>0</v>
      </c>
      <c r="CO14" s="14"/>
      <c r="CP14" s="14"/>
      <c r="CQ14" s="14"/>
      <c r="CR14" s="14"/>
      <c r="CS14" s="14">
        <f>SUM(CK$6:CK14)</f>
        <v>1160</v>
      </c>
      <c r="CT14" s="14">
        <f>SUM(CL$6:CL14)</f>
        <v>270</v>
      </c>
      <c r="CU14" s="14">
        <f>SUM(CM$6:CM14)</f>
        <v>0</v>
      </c>
      <c r="CV14" s="14">
        <f>SUM(CN$6:CN14)</f>
        <v>0</v>
      </c>
      <c r="CY14" s="83">
        <v>5</v>
      </c>
      <c r="CZ14" s="14">
        <f>INDEX(节奏总表!$CK$4:CK71,专属武器强化!CY14)</f>
        <v>58</v>
      </c>
      <c r="DA14" s="14">
        <f t="shared" si="18"/>
        <v>480</v>
      </c>
      <c r="DB14" s="14">
        <f t="shared" si="64"/>
        <v>60</v>
      </c>
      <c r="DC14" s="14">
        <f t="shared" si="65"/>
        <v>0</v>
      </c>
      <c r="DD14" s="14">
        <f t="shared" si="66"/>
        <v>0</v>
      </c>
      <c r="DE14" s="83">
        <v>2</v>
      </c>
      <c r="DF14" s="83">
        <v>3</v>
      </c>
      <c r="DG14" s="14">
        <f t="shared" si="67"/>
        <v>70.070625000000021</v>
      </c>
      <c r="DH14" s="14">
        <f t="shared" si="68"/>
        <v>23.356875000000006</v>
      </c>
      <c r="DI14" s="14">
        <f t="shared" si="69"/>
        <v>0</v>
      </c>
      <c r="DJ14" s="14">
        <f t="shared" si="70"/>
        <v>0</v>
      </c>
      <c r="DK14" s="83"/>
      <c r="DL14" s="83">
        <v>25</v>
      </c>
      <c r="DM14" s="83"/>
      <c r="DN14" s="83"/>
      <c r="DO14" s="14">
        <f>DA14-SUM(DG$7:DG14)+SUM(DK$7:DK14)</f>
        <v>201.23007075471691</v>
      </c>
      <c r="DP14" s="14">
        <f>DB14-SUM(DH$7:DH14)+SUM(DL$7:DL14)</f>
        <v>40.286249999999981</v>
      </c>
      <c r="DQ14" s="14">
        <f>DC14-SUM(DI$7:DI14)+SUM(DM$7:DM14)</f>
        <v>0</v>
      </c>
      <c r="DR14" s="14">
        <f>DD14-SUM(DJ$7:DJ14)+SUM(DN$7:DN14)</f>
        <v>0</v>
      </c>
      <c r="DU14" s="95">
        <v>9</v>
      </c>
      <c r="DV14" s="14">
        <f t="shared" si="71"/>
        <v>1</v>
      </c>
      <c r="DW14" s="14">
        <f t="shared" si="72"/>
        <v>9</v>
      </c>
      <c r="DX14" s="14">
        <f t="shared" si="20"/>
        <v>172.36100628930822</v>
      </c>
      <c r="DY14" s="14">
        <f t="shared" si="20"/>
        <v>0</v>
      </c>
      <c r="DZ14" s="14">
        <f t="shared" si="20"/>
        <v>0</v>
      </c>
      <c r="EA14" s="14">
        <f t="shared" si="20"/>
        <v>0</v>
      </c>
      <c r="EB14" s="14">
        <f t="shared" si="73"/>
        <v>1</v>
      </c>
      <c r="EC14" s="14">
        <f t="shared" si="74"/>
        <v>0</v>
      </c>
      <c r="EJ14" s="139">
        <v>9</v>
      </c>
      <c r="EK14" s="14">
        <f t="shared" si="76"/>
        <v>1</v>
      </c>
      <c r="EL14" s="19">
        <f t="shared" si="103"/>
        <v>0.89000000000000012</v>
      </c>
      <c r="EM14" s="139">
        <v>2</v>
      </c>
      <c r="EN14" s="139" t="s">
        <v>941</v>
      </c>
      <c r="EO14" s="139">
        <f t="shared" si="77"/>
        <v>766</v>
      </c>
      <c r="EP14" s="139" t="s">
        <v>844</v>
      </c>
      <c r="EQ14" s="139">
        <v>10</v>
      </c>
      <c r="ER14" s="139"/>
      <c r="ES14" s="139"/>
      <c r="ET14" s="139">
        <f t="shared" si="21"/>
        <v>0.06</v>
      </c>
      <c r="EU14" s="139">
        <v>1</v>
      </c>
      <c r="EV14" s="139">
        <f t="shared" si="78"/>
        <v>26</v>
      </c>
      <c r="EW14" s="139"/>
      <c r="EX14" s="139">
        <f t="shared" si="22"/>
        <v>17.236100628930821</v>
      </c>
      <c r="EY14" s="206">
        <f t="shared" si="79"/>
        <v>13203.150000000001</v>
      </c>
      <c r="FA14">
        <v>0</v>
      </c>
      <c r="FB14">
        <v>1</v>
      </c>
      <c r="FC14">
        <f t="shared" si="23"/>
        <v>6</v>
      </c>
      <c r="FD14" s="89">
        <f t="shared" si="24"/>
        <v>2.9000000000000001E-2</v>
      </c>
      <c r="FE14">
        <v>1</v>
      </c>
      <c r="FF14">
        <f t="shared" si="25"/>
        <v>12</v>
      </c>
      <c r="FG14" s="89">
        <f t="shared" si="26"/>
        <v>0.11600000000000001</v>
      </c>
      <c r="FH14">
        <v>1</v>
      </c>
      <c r="FI14">
        <f t="shared" si="27"/>
        <v>26</v>
      </c>
      <c r="FL14" s="101">
        <v>1102010</v>
      </c>
      <c r="FM14" s="101">
        <v>1102010</v>
      </c>
      <c r="FN14" s="101" t="s">
        <v>181</v>
      </c>
      <c r="FO14" s="14">
        <f>INDEX(卡牌消耗!$C$13:$C$40,MATCH(专属武器强化!FL14,卡牌消耗!$A$13:$A$40,0))</f>
        <v>4</v>
      </c>
      <c r="FS14" s="101">
        <v>9</v>
      </c>
      <c r="FT14" s="101">
        <f t="shared" si="80"/>
        <v>8</v>
      </c>
      <c r="FU14" s="101">
        <f t="shared" si="81"/>
        <v>1</v>
      </c>
      <c r="FV14" s="14">
        <f t="shared" si="82"/>
        <v>5</v>
      </c>
      <c r="FW14" s="101" t="str">
        <f t="shared" si="83"/>
        <v>关羽专属武器-魂珠-1 8级</v>
      </c>
      <c r="FX14" s="101">
        <f t="shared" si="84"/>
        <v>1</v>
      </c>
      <c r="FY14" s="101">
        <f t="shared" si="85"/>
        <v>8</v>
      </c>
      <c r="FZ14" s="101" t="str">
        <f t="shared" si="86"/>
        <v>金币</v>
      </c>
      <c r="GA14" s="139">
        <f>IF($FY14&gt;0,IF(INDEX($EM$6:$EM$77,$FT14)&gt;=GA$3,ROUND(INDEX(EO$6:EO$77,$FT14)*INDEX(卡牌消耗!$B$8:$F$8,FV14)/5,0)*5,""),"")</f>
        <v>1225</v>
      </c>
      <c r="GB14" s="101" t="str">
        <f t="shared" si="87"/>
        <v>专属强化石1</v>
      </c>
      <c r="GC14" s="101">
        <f t="shared" si="88"/>
        <v>8</v>
      </c>
      <c r="GD14" s="101" t="str">
        <f t="shared" si="89"/>
        <v/>
      </c>
      <c r="GE14" s="101" t="str">
        <f t="shared" si="90"/>
        <v/>
      </c>
      <c r="GF14" s="101">
        <f t="shared" si="91"/>
        <v>0.08</v>
      </c>
      <c r="GG14" s="101">
        <f t="shared" si="92"/>
        <v>1</v>
      </c>
      <c r="GH14" s="101">
        <f t="shared" si="93"/>
        <v>20</v>
      </c>
      <c r="GI14" s="101">
        <f t="shared" si="94"/>
        <v>0</v>
      </c>
      <c r="GJ14" s="101">
        <f t="shared" si="95"/>
        <v>1</v>
      </c>
      <c r="GK14" s="101">
        <f t="shared" si="96"/>
        <v>5</v>
      </c>
      <c r="GL14" s="101">
        <f t="shared" si="97"/>
        <v>3.7499999999999999E-2</v>
      </c>
      <c r="GM14" s="101">
        <f t="shared" si="98"/>
        <v>1</v>
      </c>
      <c r="GN14" s="101">
        <f t="shared" si="99"/>
        <v>9</v>
      </c>
      <c r="GO14" s="101">
        <f t="shared" si="100"/>
        <v>0.1502</v>
      </c>
      <c r="GP14" s="101">
        <f t="shared" si="101"/>
        <v>1</v>
      </c>
      <c r="GQ14" s="101">
        <f t="shared" si="102"/>
        <v>20</v>
      </c>
    </row>
    <row r="15" spans="1:199" ht="16.5" x14ac:dyDescent="0.2">
      <c r="A15" s="79">
        <v>9</v>
      </c>
      <c r="B15" s="79">
        <v>140</v>
      </c>
      <c r="C15" s="159">
        <v>140</v>
      </c>
      <c r="D15" s="14">
        <f>SUMIFS(节奏总表!$U$5:$U$34,节奏总表!$M$5:$M$34,"&lt;="&amp;专属武器强化!C15,节奏总表!$M$5:$M$34,"&gt;"&amp;C14)</f>
        <v>15.070000000000007</v>
      </c>
      <c r="E15" s="81">
        <v>500</v>
      </c>
      <c r="F15" s="14">
        <f t="shared" si="29"/>
        <v>500</v>
      </c>
      <c r="G15" s="81"/>
      <c r="H15" s="19"/>
      <c r="I15" s="19">
        <v>0.3</v>
      </c>
      <c r="J15" s="19">
        <v>0.7</v>
      </c>
      <c r="K15" s="14">
        <f t="shared" si="30"/>
        <v>0</v>
      </c>
      <c r="L15" s="14">
        <f t="shared" si="31"/>
        <v>0</v>
      </c>
      <c r="M15" s="14">
        <f t="shared" si="32"/>
        <v>7.5</v>
      </c>
      <c r="N15" s="14">
        <f t="shared" si="33"/>
        <v>7</v>
      </c>
      <c r="O15" s="14">
        <f t="shared" si="34"/>
        <v>0</v>
      </c>
      <c r="P15" s="14">
        <f t="shared" si="35"/>
        <v>0</v>
      </c>
      <c r="Q15" s="14">
        <f t="shared" si="36"/>
        <v>339.07500000000016</v>
      </c>
      <c r="R15" s="14">
        <f t="shared" si="37"/>
        <v>316.47000000000014</v>
      </c>
      <c r="S15" s="14">
        <f t="shared" si="38"/>
        <v>700</v>
      </c>
      <c r="T15" s="14">
        <f>SUMIFS(节奏总表!$W$5:$W$34,节奏总表!$M$5:$M$34,"&lt;="&amp;专属武器强化!C15,节奏总表!$M$5:$M$34,"&gt;"&amp;C14)</f>
        <v>13.29</v>
      </c>
      <c r="U15" s="14">
        <f t="shared" si="39"/>
        <v>0</v>
      </c>
      <c r="V15" s="14">
        <f t="shared" si="40"/>
        <v>0</v>
      </c>
      <c r="W15" s="14">
        <f t="shared" si="41"/>
        <v>10.5</v>
      </c>
      <c r="X15" s="14">
        <f t="shared" si="42"/>
        <v>9.7999999999999989</v>
      </c>
      <c r="Y15" s="14">
        <f t="shared" si="43"/>
        <v>0</v>
      </c>
      <c r="Z15" s="14">
        <f t="shared" si="44"/>
        <v>0</v>
      </c>
      <c r="AA15" s="14">
        <f t="shared" si="45"/>
        <v>697.72499999999991</v>
      </c>
      <c r="AB15" s="14">
        <f t="shared" si="46"/>
        <v>651.20999999999992</v>
      </c>
      <c r="AC15" s="14">
        <f t="shared" si="47"/>
        <v>1000</v>
      </c>
      <c r="AD15" s="14">
        <f>SUMIFS(节奏总表!$Y$5:$Y$34,节奏总表!$M$5:$M$34,"&lt;="&amp;专属武器强化!C15,节奏总表!$M$5:$M$34,"&gt;"&amp;C14)</f>
        <v>10.759999999999998</v>
      </c>
      <c r="AE15" s="14">
        <f t="shared" si="48"/>
        <v>0</v>
      </c>
      <c r="AF15" s="14">
        <f t="shared" si="49"/>
        <v>0</v>
      </c>
      <c r="AG15" s="14">
        <f t="shared" si="50"/>
        <v>15</v>
      </c>
      <c r="AH15" s="14">
        <f t="shared" si="51"/>
        <v>14</v>
      </c>
      <c r="AI15" s="14">
        <f t="shared" si="52"/>
        <v>0</v>
      </c>
      <c r="AJ15" s="14">
        <f t="shared" si="53"/>
        <v>0</v>
      </c>
      <c r="AK15" s="14">
        <f t="shared" si="54"/>
        <v>806.99999999999989</v>
      </c>
      <c r="AL15" s="14">
        <f t="shared" si="55"/>
        <v>753.19999999999993</v>
      </c>
      <c r="CG15" s="81">
        <v>10</v>
      </c>
      <c r="CH15" s="174">
        <f>INDEX(节奏总表!$CK$4:$CK$63,专属武器强化!CG15)</f>
        <v>79</v>
      </c>
      <c r="CI15" s="81"/>
      <c r="CJ15" s="81">
        <f t="shared" si="13"/>
        <v>3</v>
      </c>
      <c r="CK15" s="14">
        <f t="shared" si="14"/>
        <v>180</v>
      </c>
      <c r="CL15" s="14">
        <f t="shared" si="15"/>
        <v>60</v>
      </c>
      <c r="CM15" s="14">
        <f t="shared" si="16"/>
        <v>0</v>
      </c>
      <c r="CN15" s="14">
        <f t="shared" si="17"/>
        <v>0</v>
      </c>
      <c r="CO15" s="14"/>
      <c r="CP15" s="14"/>
      <c r="CQ15" s="14"/>
      <c r="CR15" s="14"/>
      <c r="CS15" s="14">
        <f>SUM(CK$6:CK15)</f>
        <v>1340</v>
      </c>
      <c r="CT15" s="14">
        <f>SUM(CL$6:CL15)</f>
        <v>330</v>
      </c>
      <c r="CU15" s="14">
        <f>SUM(CM$6:CM15)</f>
        <v>0</v>
      </c>
      <c r="CV15" s="14">
        <f>SUM(CN$6:CN15)</f>
        <v>0</v>
      </c>
      <c r="CY15" s="83">
        <v>6</v>
      </c>
      <c r="CZ15" s="14">
        <f>INDEX(节奏总表!$CK$4:CK72,专属武器强化!CY15)</f>
        <v>64</v>
      </c>
      <c r="DA15" s="14">
        <f t="shared" si="18"/>
        <v>620</v>
      </c>
      <c r="DB15" s="14">
        <f t="shared" si="64"/>
        <v>90</v>
      </c>
      <c r="DC15" s="14">
        <f t="shared" si="65"/>
        <v>0</v>
      </c>
      <c r="DD15" s="14">
        <f t="shared" si="66"/>
        <v>0</v>
      </c>
      <c r="DE15" s="83">
        <v>2</v>
      </c>
      <c r="DF15" s="83">
        <v>4</v>
      </c>
      <c r="DG15" s="14">
        <f t="shared" si="67"/>
        <v>116.78437500000003</v>
      </c>
      <c r="DH15" s="14">
        <f t="shared" si="68"/>
        <v>38.928125000000009</v>
      </c>
      <c r="DI15" s="14">
        <f t="shared" si="69"/>
        <v>0</v>
      </c>
      <c r="DJ15" s="14">
        <f t="shared" si="70"/>
        <v>0</v>
      </c>
      <c r="DK15" s="83"/>
      <c r="DL15" s="83">
        <v>12</v>
      </c>
      <c r="DM15" s="83"/>
      <c r="DN15" s="83"/>
      <c r="DO15" s="14">
        <f>DA15-SUM(DG$7:DG15)+SUM(DK$7:DK15)</f>
        <v>224.44569575471689</v>
      </c>
      <c r="DP15" s="14">
        <f>DB15-SUM(DH$7:DH15)+SUM(DL$7:DL15)</f>
        <v>43.358124999999973</v>
      </c>
      <c r="DQ15" s="14">
        <f>DC15-SUM(DI$7:DI15)+SUM(DM$7:DM15)</f>
        <v>0</v>
      </c>
      <c r="DR15" s="14">
        <f>DD15-SUM(DJ$7:DJ15)+SUM(DN$7:DN15)</f>
        <v>0</v>
      </c>
      <c r="DU15" s="95">
        <v>10</v>
      </c>
      <c r="DV15" s="14">
        <f t="shared" si="71"/>
        <v>2</v>
      </c>
      <c r="DW15" s="14">
        <f t="shared" si="72"/>
        <v>1</v>
      </c>
      <c r="DX15" s="14">
        <f t="shared" si="20"/>
        <v>7.7856250000000022</v>
      </c>
      <c r="DY15" s="14">
        <f t="shared" si="20"/>
        <v>2.5952083333333342</v>
      </c>
      <c r="DZ15" s="14">
        <f t="shared" si="20"/>
        <v>0</v>
      </c>
      <c r="EA15" s="14">
        <f t="shared" si="20"/>
        <v>0</v>
      </c>
      <c r="EB15" s="14">
        <f t="shared" si="73"/>
        <v>1</v>
      </c>
      <c r="EC15" s="14">
        <f t="shared" si="74"/>
        <v>2</v>
      </c>
      <c r="EJ15" s="139">
        <v>10</v>
      </c>
      <c r="EK15" s="14">
        <f t="shared" si="76"/>
        <v>2</v>
      </c>
      <c r="EL15" s="19">
        <v>0.02</v>
      </c>
      <c r="EM15" s="139">
        <v>3</v>
      </c>
      <c r="EN15" s="139" t="s">
        <v>941</v>
      </c>
      <c r="EO15" s="139">
        <f t="shared" si="77"/>
        <v>262</v>
      </c>
      <c r="EP15" s="139" t="s">
        <v>848</v>
      </c>
      <c r="EQ15" s="139">
        <f>ROUND(ES15*DX15/DY15,0)</f>
        <v>3</v>
      </c>
      <c r="ER15" s="139" t="s">
        <v>849</v>
      </c>
      <c r="ES15" s="139">
        <v>1</v>
      </c>
      <c r="ET15" s="139">
        <f t="shared" si="21"/>
        <v>0.39</v>
      </c>
      <c r="EU15" s="139">
        <v>1</v>
      </c>
      <c r="EV15" s="139">
        <f t="shared" si="78"/>
        <v>4</v>
      </c>
      <c r="EW15" s="139"/>
      <c r="EX15" s="139">
        <f t="shared" ref="EX15:EX32" si="104">DY15/ES15</f>
        <v>2.5952083333333342</v>
      </c>
      <c r="EY15" s="206">
        <f t="shared" si="79"/>
        <v>678.68000000000006</v>
      </c>
      <c r="FA15">
        <v>0</v>
      </c>
      <c r="FB15">
        <v>1</v>
      </c>
      <c r="FC15">
        <f t="shared" si="23"/>
        <v>1</v>
      </c>
      <c r="FD15" s="89">
        <f t="shared" si="24"/>
        <v>0.19270000000000001</v>
      </c>
      <c r="FE15">
        <v>1</v>
      </c>
      <c r="FF15">
        <f t="shared" si="25"/>
        <v>2</v>
      </c>
      <c r="FG15" s="89">
        <f t="shared" si="26"/>
        <v>0.77070000000000005</v>
      </c>
      <c r="FH15">
        <v>1</v>
      </c>
      <c r="FI15">
        <f t="shared" si="27"/>
        <v>4</v>
      </c>
      <c r="FL15" s="101">
        <v>1102011</v>
      </c>
      <c r="FM15" s="101">
        <v>1102011</v>
      </c>
      <c r="FN15" s="101" t="s">
        <v>182</v>
      </c>
      <c r="FO15" s="14">
        <f>INDEX(卡牌消耗!$C$13:$C$40,MATCH(专属武器强化!FL15,卡牌消耗!$A$13:$A$40,0))</f>
        <v>4</v>
      </c>
      <c r="FS15" s="101">
        <v>10</v>
      </c>
      <c r="FT15" s="101">
        <f t="shared" si="80"/>
        <v>9</v>
      </c>
      <c r="FU15" s="101">
        <f t="shared" si="81"/>
        <v>1</v>
      </c>
      <c r="FV15" s="14">
        <f t="shared" si="82"/>
        <v>5</v>
      </c>
      <c r="FW15" s="101" t="str">
        <f t="shared" si="83"/>
        <v>关羽专属武器-魂珠-1 9级</v>
      </c>
      <c r="FX15" s="101">
        <f t="shared" si="84"/>
        <v>1</v>
      </c>
      <c r="FY15" s="101">
        <f t="shared" si="85"/>
        <v>9</v>
      </c>
      <c r="FZ15" s="101" t="str">
        <f t="shared" si="86"/>
        <v>金币</v>
      </c>
      <c r="GA15" s="139">
        <f>IF($FY15&gt;0,IF(INDEX($EM$6:$EM$77,$FT15)&gt;=GA$3,ROUND(INDEX(EO$6:EO$77,$FT15)*INDEX(卡牌消耗!$B$8:$F$8,FV15)/5,0)*5,""),"")</f>
        <v>1530</v>
      </c>
      <c r="GB15" s="101" t="str">
        <f t="shared" si="87"/>
        <v>专属强化石1</v>
      </c>
      <c r="GC15" s="101">
        <f t="shared" si="88"/>
        <v>10</v>
      </c>
      <c r="GD15" s="101" t="str">
        <f t="shared" si="89"/>
        <v/>
      </c>
      <c r="GE15" s="101" t="str">
        <f t="shared" si="90"/>
        <v/>
      </c>
      <c r="GF15" s="101">
        <f t="shared" si="91"/>
        <v>0.06</v>
      </c>
      <c r="GG15" s="101">
        <f t="shared" si="92"/>
        <v>1</v>
      </c>
      <c r="GH15" s="101">
        <f t="shared" si="93"/>
        <v>26</v>
      </c>
      <c r="GI15" s="101">
        <f t="shared" si="94"/>
        <v>0</v>
      </c>
      <c r="GJ15" s="101">
        <f t="shared" si="95"/>
        <v>1</v>
      </c>
      <c r="GK15" s="101">
        <f t="shared" si="96"/>
        <v>6</v>
      </c>
      <c r="GL15" s="101">
        <f t="shared" si="97"/>
        <v>2.9000000000000001E-2</v>
      </c>
      <c r="GM15" s="101">
        <f t="shared" si="98"/>
        <v>1</v>
      </c>
      <c r="GN15" s="101">
        <f t="shared" si="99"/>
        <v>12</v>
      </c>
      <c r="GO15" s="101">
        <f t="shared" si="100"/>
        <v>0.11600000000000001</v>
      </c>
      <c r="GP15" s="101">
        <f t="shared" si="101"/>
        <v>1</v>
      </c>
      <c r="GQ15" s="101">
        <f t="shared" si="102"/>
        <v>26</v>
      </c>
    </row>
    <row r="16" spans="1:199" ht="16.5" x14ac:dyDescent="0.2">
      <c r="A16" s="79"/>
      <c r="B16" s="79">
        <v>150</v>
      </c>
      <c r="C16" s="159">
        <v>150</v>
      </c>
      <c r="D16" s="79"/>
      <c r="E16" s="81"/>
      <c r="F16" s="79"/>
      <c r="G16" s="81"/>
      <c r="H16" s="81"/>
      <c r="I16" s="81"/>
      <c r="J16" s="81"/>
      <c r="K16" s="14">
        <f t="shared" si="30"/>
        <v>0</v>
      </c>
      <c r="L16" s="14">
        <f t="shared" si="31"/>
        <v>0</v>
      </c>
      <c r="M16" s="14">
        <f t="shared" si="32"/>
        <v>0</v>
      </c>
      <c r="N16" s="14">
        <f t="shared" si="33"/>
        <v>0</v>
      </c>
      <c r="O16" s="14">
        <f>SUM(O7:O15)</f>
        <v>1034.3400000000001</v>
      </c>
      <c r="P16" s="14">
        <f t="shared" ref="P16:R16" si="105">SUM(P7:P15)</f>
        <v>1335.1799999999998</v>
      </c>
      <c r="Q16" s="14">
        <f t="shared" si="105"/>
        <v>1182.7649999999999</v>
      </c>
      <c r="R16" s="14">
        <f t="shared" si="105"/>
        <v>557.51400000000012</v>
      </c>
      <c r="S16" s="14"/>
      <c r="T16" s="14"/>
      <c r="U16" s="14"/>
      <c r="V16" s="14"/>
      <c r="W16" s="14"/>
      <c r="X16" s="14"/>
      <c r="Y16" s="14">
        <f>SUM(Y7:Y15)</f>
        <v>2130.1</v>
      </c>
      <c r="Z16" s="14">
        <f t="shared" ref="Z16" si="106">SUM(Z7:Z15)</f>
        <v>2748.5499999999997</v>
      </c>
      <c r="AA16" s="14">
        <f t="shared" ref="AA16" si="107">SUM(AA7:AA15)</f>
        <v>2435.09</v>
      </c>
      <c r="AB16" s="14">
        <f t="shared" ref="AB16" si="108">SUM(AB7:AB15)</f>
        <v>1147.8040000000001</v>
      </c>
      <c r="AC16" s="14"/>
      <c r="AD16" s="14"/>
      <c r="AE16" s="14"/>
      <c r="AF16" s="14"/>
      <c r="AG16" s="14"/>
      <c r="AH16" s="14"/>
      <c r="AI16" s="14">
        <f>SUM(AI7:AI15)</f>
        <v>2491.4000000000005</v>
      </c>
      <c r="AJ16" s="14">
        <f>SUM(AJ7:AJ15)</f>
        <v>3178.1</v>
      </c>
      <c r="AK16" s="14">
        <f>SUM(AK7:AK15)</f>
        <v>2816.2000000000003</v>
      </c>
      <c r="AL16" s="14">
        <f>SUM(AL7:AL15)</f>
        <v>1327.56</v>
      </c>
      <c r="CG16" s="81">
        <v>11</v>
      </c>
      <c r="CH16" s="174">
        <f>INDEX(节奏总表!$CK$4:$CK$63,专属武器强化!CG16)</f>
        <v>81</v>
      </c>
      <c r="CI16" s="81"/>
      <c r="CJ16" s="81">
        <f t="shared" si="13"/>
        <v>4</v>
      </c>
      <c r="CK16" s="14">
        <f t="shared" si="14"/>
        <v>200</v>
      </c>
      <c r="CL16" s="14">
        <f t="shared" si="15"/>
        <v>100</v>
      </c>
      <c r="CM16" s="14">
        <f t="shared" si="16"/>
        <v>0</v>
      </c>
      <c r="CN16" s="14">
        <f t="shared" si="17"/>
        <v>0</v>
      </c>
      <c r="CO16" s="14"/>
      <c r="CP16" s="14"/>
      <c r="CQ16" s="14"/>
      <c r="CR16" s="14"/>
      <c r="CS16" s="14">
        <f>SUM(CK$6:CK16)</f>
        <v>1540</v>
      </c>
      <c r="CT16" s="14">
        <f>SUM(CL$6:CL16)</f>
        <v>430</v>
      </c>
      <c r="CU16" s="14">
        <f>SUM(CM$6:CM16)</f>
        <v>0</v>
      </c>
      <c r="CV16" s="14">
        <f>SUM(CN$6:CN16)</f>
        <v>0</v>
      </c>
      <c r="CY16" s="83">
        <v>6</v>
      </c>
      <c r="CZ16" s="14">
        <f>INDEX(节奏总表!$CK$4:CK73,专属武器强化!CY16)</f>
        <v>64</v>
      </c>
      <c r="DA16" s="14">
        <f t="shared" si="18"/>
        <v>620</v>
      </c>
      <c r="DB16" s="14">
        <f t="shared" si="64"/>
        <v>90</v>
      </c>
      <c r="DC16" s="14">
        <f t="shared" si="65"/>
        <v>0</v>
      </c>
      <c r="DD16" s="14">
        <f t="shared" si="66"/>
        <v>0</v>
      </c>
      <c r="DE16" s="83">
        <v>1</v>
      </c>
      <c r="DF16" s="83">
        <v>6</v>
      </c>
      <c r="DG16" s="14">
        <f t="shared" si="67"/>
        <v>122.21962264150949</v>
      </c>
      <c r="DH16" s="14">
        <f t="shared" si="68"/>
        <v>0</v>
      </c>
      <c r="DI16" s="14">
        <f t="shared" si="69"/>
        <v>0</v>
      </c>
      <c r="DJ16" s="14">
        <f t="shared" si="70"/>
        <v>0</v>
      </c>
      <c r="DK16" s="83">
        <v>45</v>
      </c>
      <c r="DL16" s="83"/>
      <c r="DM16" s="83"/>
      <c r="DN16" s="83"/>
      <c r="DO16" s="14">
        <f>DA16-SUM(DG$7:DG16)+SUM(DK$7:DK16)</f>
        <v>147.22607311320735</v>
      </c>
      <c r="DP16" s="14">
        <f>DB16-SUM(DH$7:DH16)+SUM(DL$7:DL16)</f>
        <v>43.358124999999973</v>
      </c>
      <c r="DQ16" s="14">
        <f>DC16-SUM(DI$7:DI16)+SUM(DM$7:DM16)</f>
        <v>0</v>
      </c>
      <c r="DR16" s="14">
        <f>DD16-SUM(DJ$7:DJ16)+SUM(DN$7:DN16)</f>
        <v>0</v>
      </c>
      <c r="DU16" s="95">
        <v>11</v>
      </c>
      <c r="DV16" s="14">
        <f t="shared" si="71"/>
        <v>2</v>
      </c>
      <c r="DW16" s="14">
        <f t="shared" si="72"/>
        <v>2</v>
      </c>
      <c r="DX16" s="14">
        <f t="shared" si="20"/>
        <v>15.571250000000004</v>
      </c>
      <c r="DY16" s="14">
        <f t="shared" si="20"/>
        <v>5.1904166666666685</v>
      </c>
      <c r="DZ16" s="14">
        <f t="shared" si="20"/>
        <v>0</v>
      </c>
      <c r="EA16" s="14">
        <f t="shared" si="20"/>
        <v>0</v>
      </c>
      <c r="EB16" s="14">
        <f t="shared" si="73"/>
        <v>1</v>
      </c>
      <c r="EC16" s="14">
        <f t="shared" si="74"/>
        <v>2</v>
      </c>
      <c r="EJ16" s="139">
        <v>11</v>
      </c>
      <c r="EK16" s="14">
        <f t="shared" si="76"/>
        <v>2</v>
      </c>
      <c r="EL16" s="19">
        <v>0.03</v>
      </c>
      <c r="EM16" s="139">
        <v>3</v>
      </c>
      <c r="EN16" s="139" t="s">
        <v>941</v>
      </c>
      <c r="EO16" s="139">
        <f t="shared" si="77"/>
        <v>196</v>
      </c>
      <c r="EP16" s="139" t="s">
        <v>848</v>
      </c>
      <c r="EQ16" s="139">
        <f t="shared" ref="EQ16:EQ32" si="109">ROUND(ES16*DX16/DY16,0)</f>
        <v>3</v>
      </c>
      <c r="ER16" s="139" t="s">
        <v>849</v>
      </c>
      <c r="ES16" s="139">
        <v>1</v>
      </c>
      <c r="ET16" s="139">
        <f t="shared" si="21"/>
        <v>0.19</v>
      </c>
      <c r="EU16" s="139">
        <v>1</v>
      </c>
      <c r="EV16" s="139">
        <f t="shared" si="78"/>
        <v>8</v>
      </c>
      <c r="EW16" s="139"/>
      <c r="EX16" s="139">
        <f t="shared" si="104"/>
        <v>5.1904166666666685</v>
      </c>
      <c r="EY16" s="206">
        <f t="shared" si="79"/>
        <v>1018.02</v>
      </c>
      <c r="FA16">
        <v>0</v>
      </c>
      <c r="FB16">
        <v>1</v>
      </c>
      <c r="FC16">
        <f t="shared" si="23"/>
        <v>2</v>
      </c>
      <c r="FD16" s="89">
        <f t="shared" si="24"/>
        <v>9.6299999999999997E-2</v>
      </c>
      <c r="FE16">
        <v>1</v>
      </c>
      <c r="FF16">
        <f t="shared" si="25"/>
        <v>4</v>
      </c>
      <c r="FG16" s="89">
        <f t="shared" si="26"/>
        <v>0.38529999999999998</v>
      </c>
      <c r="FH16">
        <v>1</v>
      </c>
      <c r="FI16">
        <f t="shared" si="27"/>
        <v>8</v>
      </c>
      <c r="FL16" s="101">
        <v>1102012</v>
      </c>
      <c r="FM16" s="101">
        <v>1102012</v>
      </c>
      <c r="FN16" s="101" t="s">
        <v>183</v>
      </c>
      <c r="FO16" s="14">
        <f>INDEX(卡牌消耗!$C$13:$C$40,MATCH(专属武器强化!FL16,卡牌消耗!$A$13:$A$40,0))</f>
        <v>5</v>
      </c>
      <c r="FS16" s="101">
        <v>11</v>
      </c>
      <c r="FT16" s="101">
        <f t="shared" si="80"/>
        <v>0</v>
      </c>
      <c r="FU16" s="101">
        <f t="shared" si="81"/>
        <v>1</v>
      </c>
      <c r="FV16" s="14">
        <f t="shared" si="82"/>
        <v>5</v>
      </c>
      <c r="FW16" s="101" t="str">
        <f t="shared" si="83"/>
        <v>关羽专属武器-魂珠-2 0级</v>
      </c>
      <c r="FX16" s="101">
        <f t="shared" si="84"/>
        <v>2</v>
      </c>
      <c r="FY16" s="101">
        <f t="shared" si="85"/>
        <v>0</v>
      </c>
      <c r="FZ16" s="101" t="str">
        <f t="shared" si="86"/>
        <v/>
      </c>
      <c r="GA16" s="139" t="str">
        <f>IF($FY16&gt;0,IF(INDEX($EM$6:$EM$77,$FT16)&gt;=GA$3,ROUND(INDEX(EO$6:EO$77,$FT16)*INDEX(卡牌消耗!$B$8:$F$8,FV16)/5,0)*5,""),"")</f>
        <v/>
      </c>
      <c r="GB16" s="101" t="str">
        <f t="shared" si="87"/>
        <v/>
      </c>
      <c r="GC16" s="101" t="str">
        <f t="shared" si="88"/>
        <v/>
      </c>
      <c r="GD16" s="101" t="str">
        <f t="shared" si="89"/>
        <v/>
      </c>
      <c r="GE16" s="101" t="str">
        <f t="shared" si="90"/>
        <v/>
      </c>
      <c r="GF16" s="101" t="str">
        <f t="shared" si="91"/>
        <v/>
      </c>
      <c r="GG16" s="101" t="str">
        <f t="shared" si="92"/>
        <v/>
      </c>
      <c r="GH16" s="101" t="str">
        <f t="shared" si="93"/>
        <v/>
      </c>
      <c r="GI16" s="101" t="str">
        <f t="shared" si="94"/>
        <v/>
      </c>
      <c r="GJ16" s="101" t="str">
        <f t="shared" si="95"/>
        <v/>
      </c>
      <c r="GK16" s="101" t="str">
        <f t="shared" si="96"/>
        <v/>
      </c>
      <c r="GL16" s="101" t="str">
        <f t="shared" si="97"/>
        <v/>
      </c>
      <c r="GM16" s="101" t="str">
        <f t="shared" si="98"/>
        <v/>
      </c>
      <c r="GN16" s="101" t="str">
        <f t="shared" si="99"/>
        <v/>
      </c>
      <c r="GO16" s="101" t="str">
        <f t="shared" si="100"/>
        <v/>
      </c>
      <c r="GP16" s="101" t="str">
        <f t="shared" si="101"/>
        <v/>
      </c>
      <c r="GQ16" s="101" t="str">
        <f t="shared" si="102"/>
        <v/>
      </c>
    </row>
    <row r="17" spans="1:199" ht="16.5" x14ac:dyDescent="0.2">
      <c r="CG17" s="81">
        <v>12</v>
      </c>
      <c r="CH17" s="174">
        <f>INDEX(节奏总表!$CK$4:$CK$63,专属武器强化!CG17)</f>
        <v>84</v>
      </c>
      <c r="CI17" s="81"/>
      <c r="CJ17" s="81">
        <f t="shared" si="13"/>
        <v>4</v>
      </c>
      <c r="CK17" s="14">
        <f t="shared" si="14"/>
        <v>200</v>
      </c>
      <c r="CL17" s="14">
        <f t="shared" si="15"/>
        <v>100</v>
      </c>
      <c r="CM17" s="14">
        <f t="shared" si="16"/>
        <v>0</v>
      </c>
      <c r="CN17" s="14">
        <f t="shared" si="17"/>
        <v>0</v>
      </c>
      <c r="CO17" s="14"/>
      <c r="CP17" s="14"/>
      <c r="CQ17" s="14"/>
      <c r="CR17" s="14"/>
      <c r="CS17" s="14">
        <f>SUM(CK$6:CK17)</f>
        <v>1740</v>
      </c>
      <c r="CT17" s="14">
        <f>SUM(CL$6:CL17)</f>
        <v>530</v>
      </c>
      <c r="CU17" s="14">
        <f>SUM(CM$6:CM17)</f>
        <v>0</v>
      </c>
      <c r="CV17" s="14">
        <f>SUM(CN$6:CN17)</f>
        <v>0</v>
      </c>
      <c r="CY17" s="83">
        <v>7</v>
      </c>
      <c r="CZ17" s="14">
        <f>INDEX(节奏总表!$CK$4:CK74,专属武器强化!CY17)</f>
        <v>68</v>
      </c>
      <c r="DA17" s="14">
        <f t="shared" si="18"/>
        <v>800</v>
      </c>
      <c r="DB17" s="14">
        <f t="shared" si="64"/>
        <v>150</v>
      </c>
      <c r="DC17" s="14">
        <f t="shared" si="65"/>
        <v>0</v>
      </c>
      <c r="DD17" s="14">
        <f t="shared" si="66"/>
        <v>0</v>
      </c>
      <c r="DE17" s="83">
        <v>0</v>
      </c>
      <c r="DF17" s="83">
        <v>0</v>
      </c>
      <c r="DG17" s="14">
        <f t="shared" si="67"/>
        <v>0</v>
      </c>
      <c r="DH17" s="14">
        <f t="shared" si="68"/>
        <v>0</v>
      </c>
      <c r="DI17" s="14">
        <f t="shared" si="69"/>
        <v>0</v>
      </c>
      <c r="DJ17" s="14">
        <f t="shared" si="70"/>
        <v>0</v>
      </c>
      <c r="DK17" s="83"/>
      <c r="DL17" s="83"/>
      <c r="DM17" s="83"/>
      <c r="DN17" s="83"/>
      <c r="DO17" s="14">
        <f>DA17-SUM(DG$7:DG17)+SUM(DK$7:DK17)</f>
        <v>327.22607311320735</v>
      </c>
      <c r="DP17" s="14">
        <f>DB17-SUM(DH$7:DH17)+SUM(DL$7:DL17)</f>
        <v>103.35812499999997</v>
      </c>
      <c r="DQ17" s="14">
        <f>DC17-SUM(DI$7:DI17)+SUM(DM$7:DM17)</f>
        <v>0</v>
      </c>
      <c r="DR17" s="14">
        <f>DD17-SUM(DJ$7:DJ17)+SUM(DN$7:DN17)</f>
        <v>0</v>
      </c>
      <c r="DU17" s="95">
        <v>12</v>
      </c>
      <c r="DV17" s="14">
        <f t="shared" si="71"/>
        <v>2</v>
      </c>
      <c r="DW17" s="14">
        <f t="shared" si="72"/>
        <v>3</v>
      </c>
      <c r="DX17" s="14">
        <f t="shared" si="20"/>
        <v>23.356875000000006</v>
      </c>
      <c r="DY17" s="14">
        <f t="shared" si="20"/>
        <v>7.7856250000000022</v>
      </c>
      <c r="DZ17" s="14">
        <f t="shared" si="20"/>
        <v>0</v>
      </c>
      <c r="EA17" s="14">
        <f t="shared" si="20"/>
        <v>0</v>
      </c>
      <c r="EB17" s="14">
        <f t="shared" si="73"/>
        <v>1</v>
      </c>
      <c r="EC17" s="14">
        <f t="shared" si="74"/>
        <v>2</v>
      </c>
      <c r="EJ17" s="139">
        <v>12</v>
      </c>
      <c r="EK17" s="14">
        <f t="shared" si="76"/>
        <v>2</v>
      </c>
      <c r="EL17" s="19">
        <f>EL15+EL16</f>
        <v>0.05</v>
      </c>
      <c r="EM17" s="139">
        <v>3</v>
      </c>
      <c r="EN17" s="139" t="s">
        <v>941</v>
      </c>
      <c r="EO17" s="139">
        <f t="shared" si="77"/>
        <v>436</v>
      </c>
      <c r="EP17" s="139" t="s">
        <v>848</v>
      </c>
      <c r="EQ17" s="139">
        <f t="shared" si="109"/>
        <v>6</v>
      </c>
      <c r="ER17" s="139" t="s">
        <v>849</v>
      </c>
      <c r="ES17" s="139">
        <v>2</v>
      </c>
      <c r="ET17" s="139">
        <f t="shared" si="21"/>
        <v>0.26</v>
      </c>
      <c r="EU17" s="139">
        <v>1</v>
      </c>
      <c r="EV17" s="139">
        <f t="shared" si="78"/>
        <v>6</v>
      </c>
      <c r="EW17" s="139"/>
      <c r="EX17" s="139">
        <f t="shared" si="104"/>
        <v>3.8928125000000011</v>
      </c>
      <c r="EY17" s="206">
        <f t="shared" si="79"/>
        <v>1696.7</v>
      </c>
      <c r="FA17">
        <v>0</v>
      </c>
      <c r="FB17">
        <v>1</v>
      </c>
      <c r="FC17">
        <f t="shared" si="23"/>
        <v>1</v>
      </c>
      <c r="FD17" s="89">
        <f t="shared" si="24"/>
        <v>0.12839999999999999</v>
      </c>
      <c r="FE17">
        <v>1</v>
      </c>
      <c r="FF17">
        <f t="shared" si="25"/>
        <v>3</v>
      </c>
      <c r="FG17" s="89">
        <f t="shared" si="26"/>
        <v>0.51380000000000003</v>
      </c>
      <c r="FH17">
        <v>1</v>
      </c>
      <c r="FI17">
        <f t="shared" si="27"/>
        <v>6</v>
      </c>
      <c r="FL17" s="101">
        <v>1102014</v>
      </c>
      <c r="FM17" s="101">
        <v>1102014</v>
      </c>
      <c r="FN17" s="101" t="s">
        <v>185</v>
      </c>
      <c r="FO17" s="14">
        <f>INDEX(卡牌消耗!$C$13:$C$40,MATCH(专属武器强化!FL17,卡牌消耗!$A$13:$A$40,0))</f>
        <v>3</v>
      </c>
      <c r="FS17" s="101">
        <v>12</v>
      </c>
      <c r="FT17" s="101">
        <f t="shared" si="80"/>
        <v>10</v>
      </c>
      <c r="FU17" s="101">
        <f t="shared" si="81"/>
        <v>1</v>
      </c>
      <c r="FV17" s="14">
        <f t="shared" si="82"/>
        <v>5</v>
      </c>
      <c r="FW17" s="101" t="str">
        <f t="shared" si="83"/>
        <v>关羽专属武器-魂珠-2 1级</v>
      </c>
      <c r="FX17" s="101">
        <f t="shared" si="84"/>
        <v>2</v>
      </c>
      <c r="FY17" s="101">
        <f t="shared" si="85"/>
        <v>1</v>
      </c>
      <c r="FZ17" s="101" t="str">
        <f t="shared" si="86"/>
        <v>金币</v>
      </c>
      <c r="GA17" s="139">
        <f>IF($FY17&gt;0,IF(INDEX($EM$6:$EM$77,$FT17)&gt;=GA$3,ROUND(INDEX(EO$6:EO$77,$FT17)*INDEX(卡牌消耗!$B$8:$F$8,FV17)/5,0)*5,""),"")</f>
        <v>525</v>
      </c>
      <c r="GB17" s="101" t="str">
        <f t="shared" si="87"/>
        <v>专属强化石1</v>
      </c>
      <c r="GC17" s="101">
        <f t="shared" si="88"/>
        <v>3</v>
      </c>
      <c r="GD17" s="101" t="str">
        <f t="shared" si="89"/>
        <v>专属强化石2</v>
      </c>
      <c r="GE17" s="101">
        <f t="shared" si="90"/>
        <v>1</v>
      </c>
      <c r="GF17" s="101">
        <f t="shared" si="91"/>
        <v>0.39</v>
      </c>
      <c r="GG17" s="101">
        <f t="shared" si="92"/>
        <v>1</v>
      </c>
      <c r="GH17" s="101">
        <f t="shared" si="93"/>
        <v>4</v>
      </c>
      <c r="GI17" s="101">
        <f t="shared" si="94"/>
        <v>0</v>
      </c>
      <c r="GJ17" s="101">
        <f t="shared" si="95"/>
        <v>1</v>
      </c>
      <c r="GK17" s="101">
        <f t="shared" si="96"/>
        <v>1</v>
      </c>
      <c r="GL17" s="101">
        <f t="shared" si="97"/>
        <v>0.19270000000000001</v>
      </c>
      <c r="GM17" s="101">
        <f t="shared" si="98"/>
        <v>1</v>
      </c>
      <c r="GN17" s="101">
        <f t="shared" si="99"/>
        <v>2</v>
      </c>
      <c r="GO17" s="101">
        <f t="shared" si="100"/>
        <v>0.77070000000000005</v>
      </c>
      <c r="GP17" s="101">
        <f t="shared" si="101"/>
        <v>1</v>
      </c>
      <c r="GQ17" s="101">
        <f t="shared" si="102"/>
        <v>4</v>
      </c>
    </row>
    <row r="18" spans="1:199" ht="16.5" x14ac:dyDescent="0.2">
      <c r="CG18" s="81">
        <v>13</v>
      </c>
      <c r="CH18" s="174">
        <f>INDEX(节奏总表!$CK$4:$CK$63,专属武器强化!CG18)</f>
        <v>86</v>
      </c>
      <c r="CI18" s="81"/>
      <c r="CJ18" s="81">
        <f t="shared" si="13"/>
        <v>4</v>
      </c>
      <c r="CK18" s="14">
        <f t="shared" si="14"/>
        <v>200</v>
      </c>
      <c r="CL18" s="14">
        <f t="shared" si="15"/>
        <v>100</v>
      </c>
      <c r="CM18" s="14">
        <f t="shared" si="16"/>
        <v>0</v>
      </c>
      <c r="CN18" s="14">
        <f t="shared" si="17"/>
        <v>0</v>
      </c>
      <c r="CO18" s="14"/>
      <c r="CP18" s="14"/>
      <c r="CQ18" s="14"/>
      <c r="CR18" s="14"/>
      <c r="CS18" s="14">
        <f>SUM(CK$6:CK18)</f>
        <v>1940</v>
      </c>
      <c r="CT18" s="14">
        <f>SUM(CL$6:CL18)</f>
        <v>630</v>
      </c>
      <c r="CU18" s="14">
        <f>SUM(CM$6:CM18)</f>
        <v>0</v>
      </c>
      <c r="CV18" s="14">
        <f>SUM(CN$6:CN18)</f>
        <v>0</v>
      </c>
      <c r="CY18" s="83">
        <v>8</v>
      </c>
      <c r="CZ18" s="14">
        <f>INDEX(节奏总表!$CK$4:CK75,专属武器强化!CY18)</f>
        <v>72</v>
      </c>
      <c r="DA18" s="14">
        <f t="shared" si="18"/>
        <v>980</v>
      </c>
      <c r="DB18" s="14">
        <f t="shared" si="64"/>
        <v>210</v>
      </c>
      <c r="DC18" s="14">
        <f t="shared" si="65"/>
        <v>0</v>
      </c>
      <c r="DD18" s="14">
        <f t="shared" si="66"/>
        <v>0</v>
      </c>
      <c r="DE18" s="83">
        <v>2</v>
      </c>
      <c r="DF18" s="83">
        <v>5</v>
      </c>
      <c r="DG18" s="14">
        <f t="shared" si="67"/>
        <v>186.85500000000005</v>
      </c>
      <c r="DH18" s="14">
        <f t="shared" si="68"/>
        <v>62.285000000000025</v>
      </c>
      <c r="DI18" s="14">
        <f t="shared" si="69"/>
        <v>0</v>
      </c>
      <c r="DJ18" s="14">
        <f t="shared" si="70"/>
        <v>0</v>
      </c>
      <c r="DK18" s="83">
        <v>20</v>
      </c>
      <c r="DL18" s="83"/>
      <c r="DM18" s="83"/>
      <c r="DN18" s="83"/>
      <c r="DO18" s="14">
        <f>DA18-SUM(DG$7:DG18)+SUM(DK$7:DK18)</f>
        <v>340.37107311320733</v>
      </c>
      <c r="DP18" s="14">
        <f>DB18-SUM(DH$7:DH18)+SUM(DL$7:DL18)</f>
        <v>101.07312499999995</v>
      </c>
      <c r="DQ18" s="14">
        <f>DC18-SUM(DI$7:DI18)+SUM(DM$7:DM18)</f>
        <v>0</v>
      </c>
      <c r="DR18" s="14">
        <f>DD18-SUM(DJ$7:DJ18)+SUM(DN$7:DN18)</f>
        <v>0</v>
      </c>
      <c r="DU18" s="95">
        <v>13</v>
      </c>
      <c r="DV18" s="14">
        <f t="shared" si="71"/>
        <v>2</v>
      </c>
      <c r="DW18" s="14">
        <f t="shared" si="72"/>
        <v>4</v>
      </c>
      <c r="DX18" s="14">
        <f t="shared" si="20"/>
        <v>38.928125000000009</v>
      </c>
      <c r="DY18" s="14">
        <f t="shared" si="20"/>
        <v>12.976041666666669</v>
      </c>
      <c r="DZ18" s="14">
        <f t="shared" si="20"/>
        <v>0</v>
      </c>
      <c r="EA18" s="14">
        <f t="shared" si="20"/>
        <v>0</v>
      </c>
      <c r="EB18" s="14">
        <f t="shared" si="73"/>
        <v>1</v>
      </c>
      <c r="EC18" s="14">
        <f t="shared" si="74"/>
        <v>2</v>
      </c>
      <c r="EJ18" s="139">
        <v>13</v>
      </c>
      <c r="EK18" s="14">
        <f t="shared" si="76"/>
        <v>2</v>
      </c>
      <c r="EL18" s="19">
        <f t="shared" ref="EL18:EL23" si="110">EL16+EL17</f>
        <v>0.08</v>
      </c>
      <c r="EM18" s="139">
        <v>3</v>
      </c>
      <c r="EN18" s="139" t="s">
        <v>941</v>
      </c>
      <c r="EO18" s="139">
        <f t="shared" si="77"/>
        <v>418</v>
      </c>
      <c r="EP18" s="139" t="s">
        <v>848</v>
      </c>
      <c r="EQ18" s="139">
        <f t="shared" si="109"/>
        <v>6</v>
      </c>
      <c r="ER18" s="139" t="s">
        <v>849</v>
      </c>
      <c r="ES18" s="139">
        <v>2</v>
      </c>
      <c r="ET18" s="139">
        <f t="shared" si="21"/>
        <v>0.15</v>
      </c>
      <c r="EU18" s="139">
        <v>1</v>
      </c>
      <c r="EV18" s="139">
        <f t="shared" si="78"/>
        <v>10</v>
      </c>
      <c r="EW18" s="139"/>
      <c r="EX18" s="139">
        <f t="shared" si="104"/>
        <v>6.4880208333333345</v>
      </c>
      <c r="EY18" s="206">
        <f t="shared" si="79"/>
        <v>2714.7200000000003</v>
      </c>
      <c r="FA18">
        <v>0</v>
      </c>
      <c r="FB18">
        <v>1</v>
      </c>
      <c r="FC18">
        <f t="shared" si="23"/>
        <v>2</v>
      </c>
      <c r="FD18" s="89">
        <f t="shared" si="24"/>
        <v>7.7100000000000002E-2</v>
      </c>
      <c r="FE18">
        <v>1</v>
      </c>
      <c r="FF18">
        <f t="shared" si="25"/>
        <v>5</v>
      </c>
      <c r="FG18" s="89">
        <f t="shared" si="26"/>
        <v>0.30830000000000002</v>
      </c>
      <c r="FH18">
        <v>1</v>
      </c>
      <c r="FI18">
        <f t="shared" si="27"/>
        <v>10</v>
      </c>
      <c r="FL18" s="101">
        <v>1102016</v>
      </c>
      <c r="FM18" s="101">
        <v>1102016</v>
      </c>
      <c r="FN18" s="101" t="s">
        <v>187</v>
      </c>
      <c r="FO18" s="14">
        <f>INDEX(卡牌消耗!$C$13:$C$40,MATCH(专属武器强化!FL18,卡牌消耗!$A$13:$A$40,0))</f>
        <v>4</v>
      </c>
      <c r="FS18" s="101">
        <v>13</v>
      </c>
      <c r="FT18" s="101">
        <f t="shared" si="80"/>
        <v>11</v>
      </c>
      <c r="FU18" s="101">
        <f t="shared" si="81"/>
        <v>1</v>
      </c>
      <c r="FV18" s="14">
        <f t="shared" si="82"/>
        <v>5</v>
      </c>
      <c r="FW18" s="101" t="str">
        <f t="shared" si="83"/>
        <v>关羽专属武器-魂珠-2 2级</v>
      </c>
      <c r="FX18" s="101">
        <f t="shared" si="84"/>
        <v>2</v>
      </c>
      <c r="FY18" s="101">
        <f t="shared" si="85"/>
        <v>2</v>
      </c>
      <c r="FZ18" s="101" t="str">
        <f t="shared" si="86"/>
        <v>金币</v>
      </c>
      <c r="GA18" s="139">
        <f>IF($FY18&gt;0,IF(INDEX($EM$6:$EM$77,$FT18)&gt;=GA$3,ROUND(INDEX(EO$6:EO$77,$FT18)*INDEX(卡牌消耗!$B$8:$F$8,FV18)/5,0)*5,""),"")</f>
        <v>390</v>
      </c>
      <c r="GB18" s="101" t="str">
        <f t="shared" si="87"/>
        <v>专属强化石1</v>
      </c>
      <c r="GC18" s="101">
        <f t="shared" si="88"/>
        <v>3</v>
      </c>
      <c r="GD18" s="101" t="str">
        <f t="shared" si="89"/>
        <v>专属强化石2</v>
      </c>
      <c r="GE18" s="101">
        <f t="shared" si="90"/>
        <v>1</v>
      </c>
      <c r="GF18" s="101">
        <f t="shared" si="91"/>
        <v>0.19</v>
      </c>
      <c r="GG18" s="101">
        <f t="shared" si="92"/>
        <v>1</v>
      </c>
      <c r="GH18" s="101">
        <f t="shared" si="93"/>
        <v>8</v>
      </c>
      <c r="GI18" s="101">
        <f t="shared" si="94"/>
        <v>0</v>
      </c>
      <c r="GJ18" s="101">
        <f t="shared" si="95"/>
        <v>1</v>
      </c>
      <c r="GK18" s="101">
        <f t="shared" si="96"/>
        <v>2</v>
      </c>
      <c r="GL18" s="101">
        <f t="shared" si="97"/>
        <v>9.6299999999999997E-2</v>
      </c>
      <c r="GM18" s="101">
        <f t="shared" si="98"/>
        <v>1</v>
      </c>
      <c r="GN18" s="101">
        <f t="shared" si="99"/>
        <v>4</v>
      </c>
      <c r="GO18" s="101">
        <f t="shared" si="100"/>
        <v>0.38529999999999998</v>
      </c>
      <c r="GP18" s="101">
        <f t="shared" si="101"/>
        <v>1</v>
      </c>
      <c r="GQ18" s="101">
        <f t="shared" si="102"/>
        <v>8</v>
      </c>
    </row>
    <row r="19" spans="1:199" ht="16.5" x14ac:dyDescent="0.2">
      <c r="K19">
        <v>1</v>
      </c>
      <c r="L19">
        <v>2</v>
      </c>
      <c r="M19">
        <v>3</v>
      </c>
      <c r="N19">
        <v>4</v>
      </c>
      <c r="O19">
        <v>1</v>
      </c>
      <c r="P19">
        <v>2</v>
      </c>
      <c r="Q19">
        <v>3</v>
      </c>
      <c r="R19">
        <v>4</v>
      </c>
      <c r="S19">
        <v>1</v>
      </c>
      <c r="T19">
        <v>2</v>
      </c>
      <c r="U19">
        <v>3</v>
      </c>
      <c r="V19">
        <v>4</v>
      </c>
      <c r="W19">
        <v>1</v>
      </c>
      <c r="X19">
        <v>2</v>
      </c>
      <c r="Y19">
        <v>3</v>
      </c>
      <c r="Z19">
        <v>4</v>
      </c>
      <c r="AA19">
        <v>1</v>
      </c>
      <c r="AB19">
        <v>2</v>
      </c>
      <c r="AC19">
        <v>3</v>
      </c>
      <c r="AD19">
        <v>4</v>
      </c>
      <c r="AE19">
        <v>1</v>
      </c>
      <c r="AF19">
        <v>2</v>
      </c>
      <c r="AG19">
        <v>3</v>
      </c>
      <c r="AH19">
        <v>4</v>
      </c>
      <c r="AI19">
        <v>1</v>
      </c>
      <c r="AJ19">
        <v>2</v>
      </c>
      <c r="AK19">
        <v>3</v>
      </c>
      <c r="AL19">
        <v>4</v>
      </c>
      <c r="AM19">
        <v>1</v>
      </c>
      <c r="AN19">
        <v>2</v>
      </c>
      <c r="AO19">
        <v>3</v>
      </c>
      <c r="AP19">
        <v>4</v>
      </c>
      <c r="CG19" s="81">
        <v>14</v>
      </c>
      <c r="CH19" s="174">
        <f>INDEX(节奏总表!$CK$4:$CK$63,专属武器强化!CG19)</f>
        <v>89</v>
      </c>
      <c r="CI19" s="81"/>
      <c r="CJ19" s="81">
        <f t="shared" si="13"/>
        <v>4</v>
      </c>
      <c r="CK19" s="14">
        <f t="shared" si="14"/>
        <v>200</v>
      </c>
      <c r="CL19" s="14">
        <f t="shared" si="15"/>
        <v>100</v>
      </c>
      <c r="CM19" s="14">
        <f t="shared" si="16"/>
        <v>0</v>
      </c>
      <c r="CN19" s="14">
        <f t="shared" si="17"/>
        <v>0</v>
      </c>
      <c r="CO19" s="14"/>
      <c r="CP19" s="14"/>
      <c r="CQ19" s="14"/>
      <c r="CR19" s="14"/>
      <c r="CS19" s="14">
        <f>SUM(CK$6:CK19)</f>
        <v>2140</v>
      </c>
      <c r="CT19" s="14">
        <f>SUM(CL$6:CL19)</f>
        <v>730</v>
      </c>
      <c r="CU19" s="14">
        <f>SUM(CM$6:CM19)</f>
        <v>0</v>
      </c>
      <c r="CV19" s="14">
        <f>SUM(CN$6:CN19)</f>
        <v>0</v>
      </c>
      <c r="CY19" s="83">
        <v>9</v>
      </c>
      <c r="CZ19" s="14">
        <f>INDEX(节奏总表!$CK$4:CK76,专属武器强化!CY19)</f>
        <v>76</v>
      </c>
      <c r="DA19" s="14">
        <f t="shared" si="18"/>
        <v>1160</v>
      </c>
      <c r="DB19" s="14">
        <f t="shared" si="64"/>
        <v>270</v>
      </c>
      <c r="DC19" s="14">
        <f t="shared" si="65"/>
        <v>0</v>
      </c>
      <c r="DD19" s="14">
        <f t="shared" si="66"/>
        <v>0</v>
      </c>
      <c r="DE19" s="83">
        <v>3</v>
      </c>
      <c r="DF19" s="83">
        <v>1</v>
      </c>
      <c r="DG19" s="14">
        <f t="shared" si="67"/>
        <v>38.928125000000009</v>
      </c>
      <c r="DH19" s="14">
        <f t="shared" si="68"/>
        <v>19.464062500000004</v>
      </c>
      <c r="DI19" s="14">
        <f t="shared" si="69"/>
        <v>0</v>
      </c>
      <c r="DJ19" s="14">
        <f t="shared" si="70"/>
        <v>0</v>
      </c>
      <c r="DK19" s="83"/>
      <c r="DL19" s="83"/>
      <c r="DM19" s="83"/>
      <c r="DN19" s="83"/>
      <c r="DO19" s="14">
        <f>DA19-SUM(DG$7:DG19)+SUM(DK$7:DK19)</f>
        <v>481.44294811320731</v>
      </c>
      <c r="DP19" s="14">
        <f>DB19-SUM(DH$7:DH19)+SUM(DL$7:DL19)</f>
        <v>141.60906249999994</v>
      </c>
      <c r="DQ19" s="14">
        <f>DC19-SUM(DI$7:DI19)+SUM(DM$7:DM19)</f>
        <v>0</v>
      </c>
      <c r="DR19" s="14">
        <f>DD19-SUM(DJ$7:DJ19)+SUM(DN$7:DN19)</f>
        <v>0</v>
      </c>
      <c r="DU19" s="95">
        <v>14</v>
      </c>
      <c r="DV19" s="14">
        <f t="shared" si="71"/>
        <v>2</v>
      </c>
      <c r="DW19" s="14">
        <f t="shared" si="72"/>
        <v>5</v>
      </c>
      <c r="DX19" s="14">
        <f t="shared" si="20"/>
        <v>62.285000000000018</v>
      </c>
      <c r="DY19" s="14">
        <f t="shared" si="20"/>
        <v>20.761666666666674</v>
      </c>
      <c r="DZ19" s="14">
        <f t="shared" si="20"/>
        <v>0</v>
      </c>
      <c r="EA19" s="14">
        <f t="shared" si="20"/>
        <v>0</v>
      </c>
      <c r="EB19" s="14">
        <f t="shared" si="73"/>
        <v>1</v>
      </c>
      <c r="EC19" s="14">
        <f t="shared" si="74"/>
        <v>2</v>
      </c>
      <c r="EJ19" s="139">
        <v>14</v>
      </c>
      <c r="EK19" s="14">
        <f t="shared" si="76"/>
        <v>2</v>
      </c>
      <c r="EL19" s="19">
        <f t="shared" si="110"/>
        <v>0.13</v>
      </c>
      <c r="EM19" s="139">
        <v>3</v>
      </c>
      <c r="EN19" s="139" t="s">
        <v>941</v>
      </c>
      <c r="EO19" s="139">
        <f t="shared" si="77"/>
        <v>637</v>
      </c>
      <c r="EP19" s="139" t="s">
        <v>848</v>
      </c>
      <c r="EQ19" s="139">
        <f t="shared" si="109"/>
        <v>9</v>
      </c>
      <c r="ER19" s="139" t="s">
        <v>849</v>
      </c>
      <c r="ES19" s="139">
        <v>3</v>
      </c>
      <c r="ET19" s="139">
        <f t="shared" si="21"/>
        <v>0.14000000000000001</v>
      </c>
      <c r="EU19" s="139">
        <v>1</v>
      </c>
      <c r="EV19" s="139">
        <f t="shared" si="78"/>
        <v>10</v>
      </c>
      <c r="EW19" s="139"/>
      <c r="EX19" s="139">
        <f t="shared" si="104"/>
        <v>6.9205555555555582</v>
      </c>
      <c r="EY19" s="206">
        <f t="shared" si="79"/>
        <v>4411.42</v>
      </c>
      <c r="FA19">
        <v>0</v>
      </c>
      <c r="FB19">
        <v>1</v>
      </c>
      <c r="FC19">
        <f t="shared" si="23"/>
        <v>2</v>
      </c>
      <c r="FD19" s="89">
        <f t="shared" si="24"/>
        <v>7.22E-2</v>
      </c>
      <c r="FE19">
        <v>1</v>
      </c>
      <c r="FF19">
        <f t="shared" si="25"/>
        <v>5</v>
      </c>
      <c r="FG19" s="89">
        <f t="shared" si="26"/>
        <v>0.28899999999999998</v>
      </c>
      <c r="FH19">
        <v>1</v>
      </c>
      <c r="FI19">
        <f t="shared" si="27"/>
        <v>10</v>
      </c>
      <c r="FL19" s="101">
        <v>1102017</v>
      </c>
      <c r="FM19" s="101">
        <v>1102017</v>
      </c>
      <c r="FN19" s="101" t="s">
        <v>188</v>
      </c>
      <c r="FO19" s="14">
        <f>INDEX(卡牌消耗!$C$13:$C$40,MATCH(专属武器强化!FL19,卡牌消耗!$A$13:$A$40,0))</f>
        <v>3</v>
      </c>
      <c r="FS19" s="101">
        <v>14</v>
      </c>
      <c r="FT19" s="101">
        <f t="shared" si="80"/>
        <v>12</v>
      </c>
      <c r="FU19" s="101">
        <f t="shared" si="81"/>
        <v>1</v>
      </c>
      <c r="FV19" s="14">
        <f t="shared" si="82"/>
        <v>5</v>
      </c>
      <c r="FW19" s="101" t="str">
        <f t="shared" si="83"/>
        <v>关羽专属武器-魂珠-2 3级</v>
      </c>
      <c r="FX19" s="101">
        <f t="shared" si="84"/>
        <v>2</v>
      </c>
      <c r="FY19" s="101">
        <f t="shared" si="85"/>
        <v>3</v>
      </c>
      <c r="FZ19" s="101" t="str">
        <f t="shared" si="86"/>
        <v>金币</v>
      </c>
      <c r="GA19" s="139">
        <f>IF($FY19&gt;0,IF(INDEX($EM$6:$EM$77,$FT19)&gt;=GA$3,ROUND(INDEX(EO$6:EO$77,$FT19)*INDEX(卡牌消耗!$B$8:$F$8,FV19)/5,0)*5,""),"")</f>
        <v>870</v>
      </c>
      <c r="GB19" s="101" t="str">
        <f t="shared" si="87"/>
        <v>专属强化石1</v>
      </c>
      <c r="GC19" s="101">
        <f t="shared" si="88"/>
        <v>6</v>
      </c>
      <c r="GD19" s="101" t="str">
        <f t="shared" si="89"/>
        <v>专属强化石2</v>
      </c>
      <c r="GE19" s="101">
        <f t="shared" si="90"/>
        <v>2</v>
      </c>
      <c r="GF19" s="101">
        <f t="shared" si="91"/>
        <v>0.26</v>
      </c>
      <c r="GG19" s="101">
        <f t="shared" si="92"/>
        <v>1</v>
      </c>
      <c r="GH19" s="101">
        <f t="shared" si="93"/>
        <v>6</v>
      </c>
      <c r="GI19" s="101">
        <f t="shared" si="94"/>
        <v>0</v>
      </c>
      <c r="GJ19" s="101">
        <f t="shared" si="95"/>
        <v>1</v>
      </c>
      <c r="GK19" s="101">
        <f t="shared" si="96"/>
        <v>1</v>
      </c>
      <c r="GL19" s="101">
        <f t="shared" si="97"/>
        <v>0.12839999999999999</v>
      </c>
      <c r="GM19" s="101">
        <f t="shared" si="98"/>
        <v>1</v>
      </c>
      <c r="GN19" s="101">
        <f t="shared" si="99"/>
        <v>3</v>
      </c>
      <c r="GO19" s="101">
        <f t="shared" si="100"/>
        <v>0.51380000000000003</v>
      </c>
      <c r="GP19" s="101">
        <f t="shared" si="101"/>
        <v>1</v>
      </c>
      <c r="GQ19" s="101">
        <f t="shared" si="102"/>
        <v>6</v>
      </c>
    </row>
    <row r="20" spans="1:199" ht="16.5" x14ac:dyDescent="0.2">
      <c r="B20">
        <f>SUMIFS(B$22:B$30,$A$22:$A$30,"&lt;="&amp;BV6)</f>
        <v>53</v>
      </c>
      <c r="C20">
        <f>SUMIFS(C$22:C$30,$A$22:$A$30,"&lt;="&amp;BV7)</f>
        <v>32</v>
      </c>
      <c r="D20">
        <f>SUMIFS(D$22:D$30,$A$22:$A$30,"&lt;="&amp;BV8)</f>
        <v>32</v>
      </c>
      <c r="E20">
        <f>SUMIFS(E$22:E$30,$A$22:$A$30,"&lt;="&amp;BV9)</f>
        <v>19</v>
      </c>
      <c r="F20">
        <f>SUMIFS(F$22:F$30,$A$22:$A$30,"&lt;="&amp;BV10)</f>
        <v>19</v>
      </c>
      <c r="G20">
        <f>SUMIFS(G$22:G$30,$A$22:$A$30,"&lt;="&amp;BV11)</f>
        <v>11</v>
      </c>
      <c r="H20">
        <f>SUMIFS(H$22:H$30,$A$22:$A$30,"&lt;="&amp;BV12)</f>
        <v>11</v>
      </c>
      <c r="I20">
        <f>SUMIFS(I$22:I$30,$A$22:$A$30,"&lt;="&amp;BV13)</f>
        <v>6</v>
      </c>
      <c r="K20">
        <v>1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2</v>
      </c>
      <c r="S20">
        <v>3</v>
      </c>
      <c r="T20">
        <v>3</v>
      </c>
      <c r="U20">
        <v>3</v>
      </c>
      <c r="V20">
        <v>3</v>
      </c>
      <c r="W20">
        <v>4</v>
      </c>
      <c r="X20">
        <v>4</v>
      </c>
      <c r="Y20">
        <v>4</v>
      </c>
      <c r="Z20">
        <v>4</v>
      </c>
      <c r="AA20">
        <v>5</v>
      </c>
      <c r="AB20">
        <v>5</v>
      </c>
      <c r="AC20">
        <v>5</v>
      </c>
      <c r="AD20">
        <v>5</v>
      </c>
      <c r="AE20">
        <v>6</v>
      </c>
      <c r="AF20">
        <v>6</v>
      </c>
      <c r="AG20">
        <v>6</v>
      </c>
      <c r="AH20">
        <v>6</v>
      </c>
      <c r="AI20">
        <v>7</v>
      </c>
      <c r="AJ20">
        <v>7</v>
      </c>
      <c r="AK20">
        <v>7</v>
      </c>
      <c r="AL20">
        <v>7</v>
      </c>
      <c r="AM20">
        <v>8</v>
      </c>
      <c r="AN20">
        <v>8</v>
      </c>
      <c r="AO20">
        <v>8</v>
      </c>
      <c r="AP20">
        <v>8</v>
      </c>
      <c r="CG20" s="81">
        <v>15</v>
      </c>
      <c r="CH20" s="174">
        <f>INDEX(节奏总表!$CK$4:$CK$63,专属武器强化!CG20)</f>
        <v>91</v>
      </c>
      <c r="CI20" s="81"/>
      <c r="CJ20" s="81">
        <f t="shared" si="13"/>
        <v>4</v>
      </c>
      <c r="CK20" s="14">
        <f t="shared" si="14"/>
        <v>200</v>
      </c>
      <c r="CL20" s="14">
        <f t="shared" si="15"/>
        <v>100</v>
      </c>
      <c r="CM20" s="14">
        <f t="shared" si="16"/>
        <v>0</v>
      </c>
      <c r="CN20" s="14">
        <f t="shared" si="17"/>
        <v>0</v>
      </c>
      <c r="CO20" s="14"/>
      <c r="CP20" s="14"/>
      <c r="CQ20" s="14"/>
      <c r="CR20" s="14"/>
      <c r="CS20" s="14">
        <f>SUM(CK$6:CK20)</f>
        <v>2340</v>
      </c>
      <c r="CT20" s="14">
        <f>SUM(CL$6:CL20)</f>
        <v>830</v>
      </c>
      <c r="CU20" s="14">
        <f>SUM(CM$6:CM20)</f>
        <v>0</v>
      </c>
      <c r="CV20" s="14">
        <f>SUM(CN$6:CN20)</f>
        <v>0</v>
      </c>
      <c r="CY20" s="83">
        <v>9</v>
      </c>
      <c r="CZ20" s="14">
        <f>INDEX(节奏总表!$CK$4:CK77,专属武器强化!CY20)</f>
        <v>76</v>
      </c>
      <c r="DA20" s="14">
        <f t="shared" si="18"/>
        <v>1160</v>
      </c>
      <c r="DB20" s="14">
        <f t="shared" si="64"/>
        <v>270</v>
      </c>
      <c r="DC20" s="14">
        <f t="shared" si="65"/>
        <v>0</v>
      </c>
      <c r="DD20" s="14">
        <f t="shared" si="66"/>
        <v>0</v>
      </c>
      <c r="DE20" s="83">
        <v>3</v>
      </c>
      <c r="DF20" s="83">
        <v>2</v>
      </c>
      <c r="DG20" s="14">
        <f t="shared" si="67"/>
        <v>77.856250000000017</v>
      </c>
      <c r="DH20" s="14">
        <f t="shared" si="68"/>
        <v>38.928125000000009</v>
      </c>
      <c r="DI20" s="14">
        <f t="shared" si="69"/>
        <v>0</v>
      </c>
      <c r="DJ20" s="14">
        <f t="shared" si="70"/>
        <v>0</v>
      </c>
      <c r="DK20" s="83"/>
      <c r="DL20" s="83"/>
      <c r="DM20" s="83"/>
      <c r="DN20" s="83"/>
      <c r="DO20" s="14">
        <f>DA20-SUM(DG$7:DG20)+SUM(DK$7:DK20)</f>
        <v>403.58669811320726</v>
      </c>
      <c r="DP20" s="14">
        <f>DB20-SUM(DH$7:DH20)+SUM(DL$7:DL20)</f>
        <v>102.68093749999991</v>
      </c>
      <c r="DQ20" s="14">
        <f>DC20-SUM(DI$7:DI20)+SUM(DM$7:DM20)</f>
        <v>0</v>
      </c>
      <c r="DR20" s="14">
        <f>DD20-SUM(DJ$7:DJ20)+SUM(DN$7:DN20)</f>
        <v>0</v>
      </c>
      <c r="DU20" s="95">
        <v>15</v>
      </c>
      <c r="DV20" s="14">
        <f t="shared" si="71"/>
        <v>2</v>
      </c>
      <c r="DW20" s="14">
        <f t="shared" si="72"/>
        <v>6</v>
      </c>
      <c r="DX20" s="14">
        <f t="shared" si="20"/>
        <v>101.21312500000003</v>
      </c>
      <c r="DY20" s="14">
        <f t="shared" si="20"/>
        <v>33.737708333333345</v>
      </c>
      <c r="DZ20" s="14">
        <f t="shared" si="20"/>
        <v>0</v>
      </c>
      <c r="EA20" s="14">
        <f t="shared" si="20"/>
        <v>0</v>
      </c>
      <c r="EB20" s="14">
        <f t="shared" si="73"/>
        <v>1</v>
      </c>
      <c r="EC20" s="14">
        <f t="shared" si="74"/>
        <v>2</v>
      </c>
      <c r="EJ20" s="139">
        <v>15</v>
      </c>
      <c r="EK20" s="14">
        <f t="shared" si="76"/>
        <v>2</v>
      </c>
      <c r="EL20" s="19">
        <f t="shared" si="110"/>
        <v>0.21000000000000002</v>
      </c>
      <c r="EM20" s="139">
        <v>3</v>
      </c>
      <c r="EN20" s="139" t="s">
        <v>941</v>
      </c>
      <c r="EO20" s="139">
        <f t="shared" si="77"/>
        <v>845</v>
      </c>
      <c r="EP20" s="139" t="s">
        <v>848</v>
      </c>
      <c r="EQ20" s="139">
        <f t="shared" si="109"/>
        <v>12</v>
      </c>
      <c r="ER20" s="139" t="s">
        <v>849</v>
      </c>
      <c r="ES20" s="139">
        <v>4</v>
      </c>
      <c r="ET20" s="139">
        <f t="shared" si="21"/>
        <v>0.12</v>
      </c>
      <c r="EU20" s="139">
        <v>1</v>
      </c>
      <c r="EV20" s="139">
        <f t="shared" si="78"/>
        <v>13</v>
      </c>
      <c r="EW20" s="139"/>
      <c r="EX20" s="139">
        <f t="shared" si="104"/>
        <v>8.4344270833333361</v>
      </c>
      <c r="EY20" s="206">
        <f t="shared" si="79"/>
        <v>7126.14</v>
      </c>
      <c r="FA20">
        <v>0</v>
      </c>
      <c r="FB20">
        <v>1</v>
      </c>
      <c r="FC20">
        <f t="shared" si="23"/>
        <v>3</v>
      </c>
      <c r="FD20" s="89">
        <f t="shared" si="24"/>
        <v>5.9299999999999999E-2</v>
      </c>
      <c r="FE20">
        <v>1</v>
      </c>
      <c r="FF20">
        <f t="shared" si="25"/>
        <v>6</v>
      </c>
      <c r="FG20" s="89">
        <f t="shared" si="26"/>
        <v>0.23710000000000001</v>
      </c>
      <c r="FH20">
        <v>1</v>
      </c>
      <c r="FI20">
        <f t="shared" si="27"/>
        <v>13</v>
      </c>
      <c r="FL20" s="101">
        <v>1102020</v>
      </c>
      <c r="FM20" s="101">
        <v>1102020</v>
      </c>
      <c r="FN20" s="101" t="s">
        <v>191</v>
      </c>
      <c r="FO20" s="14">
        <f>INDEX(卡牌消耗!$C$13:$C$40,MATCH(专属武器强化!FL20,卡牌消耗!$A$13:$A$40,0))</f>
        <v>3</v>
      </c>
      <c r="FS20" s="101">
        <v>15</v>
      </c>
      <c r="FT20" s="101">
        <f t="shared" si="80"/>
        <v>13</v>
      </c>
      <c r="FU20" s="101">
        <f t="shared" si="81"/>
        <v>1</v>
      </c>
      <c r="FV20" s="14">
        <f t="shared" si="82"/>
        <v>5</v>
      </c>
      <c r="FW20" s="101" t="str">
        <f t="shared" si="83"/>
        <v>关羽专属武器-魂珠-2 4级</v>
      </c>
      <c r="FX20" s="101">
        <f t="shared" si="84"/>
        <v>2</v>
      </c>
      <c r="FY20" s="101">
        <f t="shared" si="85"/>
        <v>4</v>
      </c>
      <c r="FZ20" s="101" t="str">
        <f t="shared" si="86"/>
        <v>金币</v>
      </c>
      <c r="GA20" s="139">
        <f>IF($FY20&gt;0,IF(INDEX($EM$6:$EM$77,$FT20)&gt;=GA$3,ROUND(INDEX(EO$6:EO$77,$FT20)*INDEX(卡牌消耗!$B$8:$F$8,FV20)/5,0)*5,""),"")</f>
        <v>835</v>
      </c>
      <c r="GB20" s="101" t="str">
        <f t="shared" si="87"/>
        <v>专属强化石1</v>
      </c>
      <c r="GC20" s="101">
        <f t="shared" si="88"/>
        <v>6</v>
      </c>
      <c r="GD20" s="101" t="str">
        <f t="shared" si="89"/>
        <v>专属强化石2</v>
      </c>
      <c r="GE20" s="101">
        <f t="shared" si="90"/>
        <v>2</v>
      </c>
      <c r="GF20" s="101">
        <f t="shared" si="91"/>
        <v>0.15</v>
      </c>
      <c r="GG20" s="101">
        <f t="shared" si="92"/>
        <v>1</v>
      </c>
      <c r="GH20" s="101">
        <f t="shared" si="93"/>
        <v>10</v>
      </c>
      <c r="GI20" s="101">
        <f t="shared" si="94"/>
        <v>0</v>
      </c>
      <c r="GJ20" s="101">
        <f t="shared" si="95"/>
        <v>1</v>
      </c>
      <c r="GK20" s="101">
        <f t="shared" si="96"/>
        <v>2</v>
      </c>
      <c r="GL20" s="101">
        <f t="shared" si="97"/>
        <v>7.7100000000000002E-2</v>
      </c>
      <c r="GM20" s="101">
        <f t="shared" si="98"/>
        <v>1</v>
      </c>
      <c r="GN20" s="101">
        <f t="shared" si="99"/>
        <v>5</v>
      </c>
      <c r="GO20" s="101">
        <f t="shared" si="100"/>
        <v>0.30830000000000002</v>
      </c>
      <c r="GP20" s="101">
        <f t="shared" si="101"/>
        <v>1</v>
      </c>
      <c r="GQ20" s="101">
        <f t="shared" si="102"/>
        <v>10</v>
      </c>
    </row>
    <row r="21" spans="1:199" ht="17.25" x14ac:dyDescent="0.2">
      <c r="A21" s="12" t="s">
        <v>34</v>
      </c>
      <c r="B21" s="12" t="s">
        <v>570</v>
      </c>
      <c r="C21" s="12" t="s">
        <v>571</v>
      </c>
      <c r="D21" s="12" t="s">
        <v>572</v>
      </c>
      <c r="E21" s="12" t="s">
        <v>573</v>
      </c>
      <c r="F21" s="12" t="s">
        <v>574</v>
      </c>
      <c r="G21" s="12" t="s">
        <v>575</v>
      </c>
      <c r="H21" s="12" t="s">
        <v>576</v>
      </c>
      <c r="I21" s="12" t="s">
        <v>577</v>
      </c>
      <c r="K21" s="12" t="s">
        <v>579</v>
      </c>
      <c r="L21" s="12" t="s">
        <v>580</v>
      </c>
      <c r="M21" s="12" t="s">
        <v>581</v>
      </c>
      <c r="N21" s="12" t="s">
        <v>582</v>
      </c>
      <c r="O21" s="12" t="s">
        <v>583</v>
      </c>
      <c r="P21" s="12" t="s">
        <v>584</v>
      </c>
      <c r="Q21" s="12" t="s">
        <v>585</v>
      </c>
      <c r="R21" s="12" t="s">
        <v>586</v>
      </c>
      <c r="S21" s="12" t="s">
        <v>587</v>
      </c>
      <c r="T21" s="12" t="s">
        <v>588</v>
      </c>
      <c r="U21" s="12" t="s">
        <v>589</v>
      </c>
      <c r="V21" s="12" t="s">
        <v>590</v>
      </c>
      <c r="W21" s="12" t="s">
        <v>591</v>
      </c>
      <c r="X21" s="12" t="s">
        <v>592</v>
      </c>
      <c r="Y21" s="12" t="s">
        <v>593</v>
      </c>
      <c r="Z21" s="12" t="s">
        <v>594</v>
      </c>
      <c r="AA21" s="12" t="s">
        <v>602</v>
      </c>
      <c r="AB21" s="12" t="s">
        <v>595</v>
      </c>
      <c r="AC21" s="12" t="s">
        <v>596</v>
      </c>
      <c r="AD21" s="12" t="s">
        <v>597</v>
      </c>
      <c r="AE21" s="12" t="s">
        <v>603</v>
      </c>
      <c r="AF21" s="12" t="s">
        <v>598</v>
      </c>
      <c r="AG21" s="12" t="s">
        <v>599</v>
      </c>
      <c r="AH21" s="12" t="s">
        <v>600</v>
      </c>
      <c r="AI21" s="12" t="s">
        <v>604</v>
      </c>
      <c r="AJ21" s="12" t="s">
        <v>601</v>
      </c>
      <c r="AK21" s="12" t="s">
        <v>605</v>
      </c>
      <c r="AL21" s="12" t="s">
        <v>606</v>
      </c>
      <c r="AM21" s="12" t="s">
        <v>607</v>
      </c>
      <c r="AN21" s="12" t="s">
        <v>608</v>
      </c>
      <c r="AO21" s="12" t="s">
        <v>609</v>
      </c>
      <c r="AP21" s="12" t="s">
        <v>610</v>
      </c>
      <c r="CG21" s="81">
        <v>16</v>
      </c>
      <c r="CH21" s="174">
        <f>INDEX(节奏总表!$CK$4:$CK$63,专属武器强化!CG21)</f>
        <v>93</v>
      </c>
      <c r="CI21" s="81"/>
      <c r="CJ21" s="81">
        <f t="shared" si="13"/>
        <v>4</v>
      </c>
      <c r="CK21" s="14">
        <f t="shared" si="14"/>
        <v>200</v>
      </c>
      <c r="CL21" s="14">
        <f t="shared" si="15"/>
        <v>100</v>
      </c>
      <c r="CM21" s="14">
        <f t="shared" si="16"/>
        <v>0</v>
      </c>
      <c r="CN21" s="14">
        <f t="shared" si="17"/>
        <v>0</v>
      </c>
      <c r="CO21" s="14"/>
      <c r="CP21" s="14"/>
      <c r="CQ21" s="14"/>
      <c r="CR21" s="14"/>
      <c r="CS21" s="14">
        <f>SUM(CK$6:CK21)</f>
        <v>2540</v>
      </c>
      <c r="CT21" s="14">
        <f>SUM(CL$6:CL21)</f>
        <v>930</v>
      </c>
      <c r="CU21" s="14">
        <f>SUM(CM$6:CM21)</f>
        <v>0</v>
      </c>
      <c r="CV21" s="14">
        <f>SUM(CN$6:CN21)</f>
        <v>0</v>
      </c>
      <c r="CY21" s="83">
        <v>9</v>
      </c>
      <c r="CZ21" s="14">
        <f>INDEX(节奏总表!$CK$4:CK78,专属武器强化!CY21)</f>
        <v>76</v>
      </c>
      <c r="DA21" s="14">
        <f t="shared" si="18"/>
        <v>1160</v>
      </c>
      <c r="DB21" s="14">
        <f t="shared" si="64"/>
        <v>270</v>
      </c>
      <c r="DC21" s="14">
        <f t="shared" si="65"/>
        <v>0</v>
      </c>
      <c r="DD21" s="14">
        <f t="shared" si="66"/>
        <v>0</v>
      </c>
      <c r="DE21" s="83">
        <v>3</v>
      </c>
      <c r="DF21" s="83">
        <v>3</v>
      </c>
      <c r="DG21" s="14">
        <f t="shared" si="67"/>
        <v>116.78437500000003</v>
      </c>
      <c r="DH21" s="14">
        <f t="shared" si="68"/>
        <v>58.392187500000013</v>
      </c>
      <c r="DI21" s="14">
        <f t="shared" si="69"/>
        <v>0</v>
      </c>
      <c r="DJ21" s="14">
        <f t="shared" si="70"/>
        <v>0</v>
      </c>
      <c r="DK21" s="83"/>
      <c r="DL21" s="83">
        <v>15</v>
      </c>
      <c r="DM21" s="83"/>
      <c r="DN21" s="83"/>
      <c r="DO21" s="14">
        <f>DA21-SUM(DG$7:DG21)+SUM(DK$7:DK21)</f>
        <v>286.80232311320719</v>
      </c>
      <c r="DP21" s="14">
        <f>DB21-SUM(DH$7:DH21)+SUM(DL$7:DL21)</f>
        <v>59.288749999999879</v>
      </c>
      <c r="DQ21" s="14">
        <f>DC21-SUM(DI$7:DI21)+SUM(DM$7:DM21)</f>
        <v>0</v>
      </c>
      <c r="DR21" s="14">
        <f>DD21-SUM(DJ$7:DJ21)+SUM(DN$7:DN21)</f>
        <v>0</v>
      </c>
      <c r="DU21" s="95">
        <v>16</v>
      </c>
      <c r="DV21" s="14">
        <f t="shared" si="71"/>
        <v>2</v>
      </c>
      <c r="DW21" s="14">
        <f t="shared" si="72"/>
        <v>7</v>
      </c>
      <c r="DX21" s="14">
        <f t="shared" si="20"/>
        <v>163.49812500000004</v>
      </c>
      <c r="DY21" s="14">
        <f t="shared" si="20"/>
        <v>54.499375000000015</v>
      </c>
      <c r="DZ21" s="14">
        <f t="shared" si="20"/>
        <v>0</v>
      </c>
      <c r="EA21" s="14">
        <f t="shared" si="20"/>
        <v>0</v>
      </c>
      <c r="EB21" s="14">
        <f t="shared" si="73"/>
        <v>1</v>
      </c>
      <c r="EC21" s="14">
        <f t="shared" si="74"/>
        <v>2</v>
      </c>
      <c r="EJ21" s="139">
        <v>16</v>
      </c>
      <c r="EK21" s="14">
        <f t="shared" si="76"/>
        <v>2</v>
      </c>
      <c r="EL21" s="19">
        <f t="shared" si="110"/>
        <v>0.34</v>
      </c>
      <c r="EM21" s="139">
        <v>3</v>
      </c>
      <c r="EN21" s="139" t="s">
        <v>941</v>
      </c>
      <c r="EO21" s="139">
        <f t="shared" si="77"/>
        <v>1059</v>
      </c>
      <c r="EP21" s="139" t="s">
        <v>848</v>
      </c>
      <c r="EQ21" s="139">
        <f t="shared" si="109"/>
        <v>15</v>
      </c>
      <c r="ER21" s="139" t="s">
        <v>849</v>
      </c>
      <c r="ES21" s="139">
        <v>5</v>
      </c>
      <c r="ET21" s="139">
        <f t="shared" si="21"/>
        <v>0.09</v>
      </c>
      <c r="EU21" s="139">
        <v>1</v>
      </c>
      <c r="EV21" s="139">
        <f t="shared" si="78"/>
        <v>16</v>
      </c>
      <c r="EW21" s="139"/>
      <c r="EX21" s="139">
        <f t="shared" si="104"/>
        <v>10.899875000000003</v>
      </c>
      <c r="EY21" s="206">
        <f t="shared" si="79"/>
        <v>11537.560000000001</v>
      </c>
      <c r="FA21">
        <v>0</v>
      </c>
      <c r="FB21">
        <v>1</v>
      </c>
      <c r="FC21">
        <f t="shared" si="23"/>
        <v>4</v>
      </c>
      <c r="FD21" s="89">
        <f t="shared" si="24"/>
        <v>4.5900000000000003E-2</v>
      </c>
      <c r="FE21">
        <v>1</v>
      </c>
      <c r="FF21">
        <f t="shared" si="25"/>
        <v>8</v>
      </c>
      <c r="FG21" s="89">
        <f t="shared" si="26"/>
        <v>0.1835</v>
      </c>
      <c r="FH21">
        <v>1</v>
      </c>
      <c r="FI21">
        <f t="shared" si="27"/>
        <v>16</v>
      </c>
      <c r="FL21" s="101">
        <v>1102021</v>
      </c>
      <c r="FM21" s="101">
        <v>1102021</v>
      </c>
      <c r="FN21" s="101" t="s">
        <v>192</v>
      </c>
      <c r="FO21" s="14">
        <f>INDEX(卡牌消耗!$C$13:$C$40,MATCH(专属武器强化!FL21,卡牌消耗!$A$13:$A$40,0))</f>
        <v>3</v>
      </c>
      <c r="FS21" s="101">
        <v>16</v>
      </c>
      <c r="FT21" s="101">
        <f t="shared" si="80"/>
        <v>14</v>
      </c>
      <c r="FU21" s="101">
        <f t="shared" si="81"/>
        <v>1</v>
      </c>
      <c r="FV21" s="14">
        <f t="shared" si="82"/>
        <v>5</v>
      </c>
      <c r="FW21" s="101" t="str">
        <f t="shared" si="83"/>
        <v>关羽专属武器-魂珠-2 5级</v>
      </c>
      <c r="FX21" s="101">
        <f t="shared" si="84"/>
        <v>2</v>
      </c>
      <c r="FY21" s="101">
        <f t="shared" si="85"/>
        <v>5</v>
      </c>
      <c r="FZ21" s="101" t="str">
        <f t="shared" si="86"/>
        <v>金币</v>
      </c>
      <c r="GA21" s="139">
        <f>IF($FY21&gt;0,IF(INDEX($EM$6:$EM$77,$FT21)&gt;=GA$3,ROUND(INDEX(EO$6:EO$77,$FT21)*INDEX(卡牌消耗!$B$8:$F$8,FV21)/5,0)*5,""),"")</f>
        <v>1275</v>
      </c>
      <c r="GB21" s="101" t="str">
        <f t="shared" si="87"/>
        <v>专属强化石1</v>
      </c>
      <c r="GC21" s="101">
        <f t="shared" si="88"/>
        <v>9</v>
      </c>
      <c r="GD21" s="101" t="str">
        <f t="shared" si="89"/>
        <v>专属强化石2</v>
      </c>
      <c r="GE21" s="101">
        <f t="shared" si="90"/>
        <v>3</v>
      </c>
      <c r="GF21" s="101">
        <f t="shared" si="91"/>
        <v>0.14000000000000001</v>
      </c>
      <c r="GG21" s="101">
        <f t="shared" si="92"/>
        <v>1</v>
      </c>
      <c r="GH21" s="101">
        <f t="shared" si="93"/>
        <v>10</v>
      </c>
      <c r="GI21" s="101">
        <f t="shared" si="94"/>
        <v>0</v>
      </c>
      <c r="GJ21" s="101">
        <f t="shared" si="95"/>
        <v>1</v>
      </c>
      <c r="GK21" s="101">
        <f t="shared" si="96"/>
        <v>2</v>
      </c>
      <c r="GL21" s="101">
        <f t="shared" si="97"/>
        <v>7.22E-2</v>
      </c>
      <c r="GM21" s="101">
        <f t="shared" si="98"/>
        <v>1</v>
      </c>
      <c r="GN21" s="101">
        <f t="shared" si="99"/>
        <v>5</v>
      </c>
      <c r="GO21" s="101">
        <f t="shared" si="100"/>
        <v>0.28899999999999998</v>
      </c>
      <c r="GP21" s="101">
        <f t="shared" si="101"/>
        <v>1</v>
      </c>
      <c r="GQ21" s="101">
        <f t="shared" si="102"/>
        <v>10</v>
      </c>
    </row>
    <row r="22" spans="1:199" ht="16.5" x14ac:dyDescent="0.2">
      <c r="A22" s="81">
        <v>1</v>
      </c>
      <c r="B22" s="81">
        <v>1</v>
      </c>
      <c r="C22" s="81">
        <v>1</v>
      </c>
      <c r="D22" s="81">
        <v>1</v>
      </c>
      <c r="E22" s="81">
        <v>1</v>
      </c>
      <c r="F22" s="81">
        <v>1</v>
      </c>
      <c r="G22" s="81">
        <v>1</v>
      </c>
      <c r="H22" s="81">
        <v>1</v>
      </c>
      <c r="I22" s="81">
        <v>1</v>
      </c>
      <c r="K22" s="81">
        <f t="shared" ref="K22:T30" si="111">INDEX($CA$6:$CD$13,K$20,K$19)*INDEX($B22:$I22,K$20)/INDEX($B$20:$I$20,K$20)/3</f>
        <v>3.1338364779874222</v>
      </c>
      <c r="L22" s="84">
        <f t="shared" si="111"/>
        <v>0</v>
      </c>
      <c r="M22" s="84">
        <f t="shared" si="111"/>
        <v>0</v>
      </c>
      <c r="N22" s="84">
        <f t="shared" si="111"/>
        <v>0</v>
      </c>
      <c r="O22" s="84">
        <f t="shared" si="111"/>
        <v>7.7856250000000022</v>
      </c>
      <c r="P22" s="84">
        <f t="shared" si="111"/>
        <v>2.5952083333333342</v>
      </c>
      <c r="Q22" s="84">
        <f t="shared" si="111"/>
        <v>0</v>
      </c>
      <c r="R22" s="84">
        <f t="shared" si="111"/>
        <v>0</v>
      </c>
      <c r="S22" s="84">
        <f t="shared" si="111"/>
        <v>12.976041666666669</v>
      </c>
      <c r="T22" s="84">
        <f t="shared" si="111"/>
        <v>6.4880208333333345</v>
      </c>
      <c r="U22" s="84">
        <f t="shared" ref="U22:AD30" si="112">INDEX($CA$6:$CD$13,U$20,U$19)*INDEX($B22:$I22,U$20)/INDEX($B$20:$I$20,U$20)/3</f>
        <v>0</v>
      </c>
      <c r="V22" s="84">
        <f t="shared" si="112"/>
        <v>0</v>
      </c>
      <c r="W22" s="84">
        <f t="shared" si="112"/>
        <v>0</v>
      </c>
      <c r="X22" s="84">
        <f t="shared" si="112"/>
        <v>13.112631578947372</v>
      </c>
      <c r="Y22" s="84">
        <f t="shared" si="112"/>
        <v>4.9407017543859659</v>
      </c>
      <c r="Z22" s="84">
        <f t="shared" si="112"/>
        <v>0</v>
      </c>
      <c r="AA22" s="84">
        <f t="shared" si="112"/>
        <v>0</v>
      </c>
      <c r="AB22" s="84">
        <f t="shared" si="112"/>
        <v>15.298070175438598</v>
      </c>
      <c r="AC22" s="84">
        <f t="shared" si="112"/>
        <v>9.8814035087719319</v>
      </c>
      <c r="AD22" s="84">
        <f t="shared" si="112"/>
        <v>0</v>
      </c>
      <c r="AE22" s="84">
        <f t="shared" ref="AE22:AP30" si="113">INDEX($CA$6:$CD$13,AE$20,AE$19)*INDEX($B22:$I22,AE$20)/INDEX($B$20:$I$20,AE$20)/3</f>
        <v>0</v>
      </c>
      <c r="AF22" s="84">
        <f t="shared" si="113"/>
        <v>0</v>
      </c>
      <c r="AG22" s="84">
        <f t="shared" si="113"/>
        <v>29.868787878787881</v>
      </c>
      <c r="AH22" s="84">
        <f t="shared" si="113"/>
        <v>6.0343636363636364</v>
      </c>
      <c r="AI22" s="84">
        <f t="shared" si="113"/>
        <v>0</v>
      </c>
      <c r="AJ22" s="84">
        <f t="shared" si="113"/>
        <v>0</v>
      </c>
      <c r="AK22" s="84">
        <f t="shared" si="113"/>
        <v>29.868787878787881</v>
      </c>
      <c r="AL22" s="84">
        <f t="shared" si="113"/>
        <v>10.057272727272727</v>
      </c>
      <c r="AM22" s="84">
        <f t="shared" si="113"/>
        <v>0</v>
      </c>
      <c r="AN22" s="84">
        <f t="shared" si="113"/>
        <v>0</v>
      </c>
      <c r="AO22" s="84">
        <f t="shared" si="113"/>
        <v>0</v>
      </c>
      <c r="AP22" s="84">
        <f t="shared" si="113"/>
        <v>44.252000000000002</v>
      </c>
      <c r="CG22" s="81">
        <v>17</v>
      </c>
      <c r="CH22" s="174">
        <f>INDEX(节奏总表!$CK$4:$CK$63,专属武器强化!CG22)</f>
        <v>95</v>
      </c>
      <c r="CI22" s="81">
        <v>4</v>
      </c>
      <c r="CJ22" s="81">
        <f t="shared" si="13"/>
        <v>5</v>
      </c>
      <c r="CK22" s="14">
        <f t="shared" si="14"/>
        <v>100</v>
      </c>
      <c r="CL22" s="14">
        <f t="shared" si="15"/>
        <v>150</v>
      </c>
      <c r="CM22" s="14">
        <f t="shared" si="16"/>
        <v>25</v>
      </c>
      <c r="CN22" s="14">
        <f t="shared" si="17"/>
        <v>0</v>
      </c>
      <c r="CO22" s="14"/>
      <c r="CP22" s="14"/>
      <c r="CQ22" s="14"/>
      <c r="CR22" s="14"/>
      <c r="CS22" s="14">
        <f>SUM(CK$6:CK22)</f>
        <v>2640</v>
      </c>
      <c r="CT22" s="14">
        <f>SUM(CL$6:CL22)</f>
        <v>1080</v>
      </c>
      <c r="CU22" s="14">
        <f>SUM(CM$6:CM22)</f>
        <v>25</v>
      </c>
      <c r="CV22" s="14">
        <f>SUM(CN$6:CN22)</f>
        <v>0</v>
      </c>
      <c r="CY22" s="83">
        <v>10</v>
      </c>
      <c r="CZ22" s="14">
        <f>INDEX(节奏总表!$CK$4:CK79,专属武器强化!CY22)</f>
        <v>79</v>
      </c>
      <c r="DA22" s="14">
        <f t="shared" si="18"/>
        <v>1340</v>
      </c>
      <c r="DB22" s="14">
        <f t="shared" si="64"/>
        <v>330</v>
      </c>
      <c r="DC22" s="14">
        <f t="shared" si="65"/>
        <v>0</v>
      </c>
      <c r="DD22" s="14">
        <f t="shared" si="66"/>
        <v>0</v>
      </c>
      <c r="DE22" s="83">
        <v>0</v>
      </c>
      <c r="DF22" s="83">
        <v>0</v>
      </c>
      <c r="DG22" s="14">
        <f t="shared" si="67"/>
        <v>0</v>
      </c>
      <c r="DH22" s="14">
        <f t="shared" si="68"/>
        <v>0</v>
      </c>
      <c r="DI22" s="14">
        <f t="shared" si="69"/>
        <v>0</v>
      </c>
      <c r="DJ22" s="14">
        <f t="shared" si="70"/>
        <v>0</v>
      </c>
      <c r="DK22" s="83"/>
      <c r="DL22" s="83"/>
      <c r="DM22" s="83"/>
      <c r="DN22" s="83"/>
      <c r="DO22" s="14">
        <f>DA22-SUM(DG$7:DG22)+SUM(DK$7:DK22)</f>
        <v>466.80232311320719</v>
      </c>
      <c r="DP22" s="14">
        <f>DB22-SUM(DH$7:DH22)+SUM(DL$7:DL22)</f>
        <v>119.28874999999988</v>
      </c>
      <c r="DQ22" s="14">
        <f>DC22-SUM(DI$7:DI22)+SUM(DM$7:DM22)</f>
        <v>0</v>
      </c>
      <c r="DR22" s="14">
        <f>DD22-SUM(DJ$7:DJ22)+SUM(DN$7:DN22)</f>
        <v>0</v>
      </c>
      <c r="DU22" s="95">
        <v>17</v>
      </c>
      <c r="DV22" s="14">
        <f t="shared" si="71"/>
        <v>2</v>
      </c>
      <c r="DW22" s="14">
        <f t="shared" si="72"/>
        <v>8</v>
      </c>
      <c r="DX22" s="14">
        <f t="shared" si="20"/>
        <v>264.71125000000006</v>
      </c>
      <c r="DY22" s="14">
        <f t="shared" si="20"/>
        <v>88.237083333333359</v>
      </c>
      <c r="DZ22" s="14">
        <f t="shared" si="20"/>
        <v>0</v>
      </c>
      <c r="EA22" s="14">
        <f t="shared" si="20"/>
        <v>0</v>
      </c>
      <c r="EB22" s="14">
        <f t="shared" si="73"/>
        <v>1</v>
      </c>
      <c r="EC22" s="14">
        <f t="shared" si="74"/>
        <v>2</v>
      </c>
      <c r="EJ22" s="139">
        <v>17</v>
      </c>
      <c r="EK22" s="14">
        <f t="shared" si="76"/>
        <v>2</v>
      </c>
      <c r="EL22" s="19">
        <f t="shared" si="110"/>
        <v>0.55000000000000004</v>
      </c>
      <c r="EM22" s="139">
        <v>3</v>
      </c>
      <c r="EN22" s="139" t="s">
        <v>941</v>
      </c>
      <c r="EO22" s="139">
        <f t="shared" si="77"/>
        <v>1269</v>
      </c>
      <c r="EP22" s="139" t="s">
        <v>848</v>
      </c>
      <c r="EQ22" s="139">
        <f t="shared" si="109"/>
        <v>18</v>
      </c>
      <c r="ER22" s="139" t="s">
        <v>849</v>
      </c>
      <c r="ES22" s="139">
        <v>6</v>
      </c>
      <c r="ET22" s="139">
        <f t="shared" si="21"/>
        <v>7.0000000000000007E-2</v>
      </c>
      <c r="EU22" s="139">
        <v>1</v>
      </c>
      <c r="EV22" s="139">
        <f t="shared" si="78"/>
        <v>22</v>
      </c>
      <c r="EW22" s="139"/>
      <c r="EX22" s="139">
        <f t="shared" si="104"/>
        <v>14.70618055555556</v>
      </c>
      <c r="EY22" s="206">
        <f t="shared" si="79"/>
        <v>18663.7</v>
      </c>
      <c r="FA22">
        <v>0</v>
      </c>
      <c r="FB22">
        <v>1</v>
      </c>
      <c r="FC22">
        <f t="shared" si="23"/>
        <v>5</v>
      </c>
      <c r="FD22" s="89">
        <f t="shared" si="24"/>
        <v>3.4000000000000002E-2</v>
      </c>
      <c r="FE22">
        <v>1</v>
      </c>
      <c r="FF22">
        <f t="shared" si="25"/>
        <v>10</v>
      </c>
      <c r="FG22" s="89">
        <f t="shared" si="26"/>
        <v>0.13600000000000001</v>
      </c>
      <c r="FH22">
        <v>1</v>
      </c>
      <c r="FI22">
        <f t="shared" si="27"/>
        <v>22</v>
      </c>
      <c r="FL22" s="101">
        <v>1102024</v>
      </c>
      <c r="FM22" s="101">
        <v>1102024</v>
      </c>
      <c r="FN22" s="101" t="s">
        <v>866</v>
      </c>
      <c r="FO22" s="14">
        <f>INDEX(卡牌消耗!$C$13:$C$40,MATCH(专属武器强化!FL22,卡牌消耗!$A$13:$A$40,0))</f>
        <v>3</v>
      </c>
      <c r="FS22" s="101">
        <v>17</v>
      </c>
      <c r="FT22" s="101">
        <f t="shared" si="80"/>
        <v>15</v>
      </c>
      <c r="FU22" s="101">
        <f t="shared" si="81"/>
        <v>1</v>
      </c>
      <c r="FV22" s="14">
        <f t="shared" si="82"/>
        <v>5</v>
      </c>
      <c r="FW22" s="101" t="str">
        <f t="shared" si="83"/>
        <v>关羽专属武器-魂珠-2 6级</v>
      </c>
      <c r="FX22" s="101">
        <f t="shared" si="84"/>
        <v>2</v>
      </c>
      <c r="FY22" s="101">
        <f t="shared" si="85"/>
        <v>6</v>
      </c>
      <c r="FZ22" s="101" t="str">
        <f t="shared" si="86"/>
        <v>金币</v>
      </c>
      <c r="GA22" s="139">
        <f>IF($FY22&gt;0,IF(INDEX($EM$6:$EM$77,$FT22)&gt;=GA$3,ROUND(INDEX(EO$6:EO$77,$FT22)*INDEX(卡牌消耗!$B$8:$F$8,FV22)/5,0)*5,""),"")</f>
        <v>1690</v>
      </c>
      <c r="GB22" s="101" t="str">
        <f t="shared" si="87"/>
        <v>专属强化石1</v>
      </c>
      <c r="GC22" s="101">
        <f t="shared" si="88"/>
        <v>12</v>
      </c>
      <c r="GD22" s="101" t="str">
        <f t="shared" si="89"/>
        <v>专属强化石2</v>
      </c>
      <c r="GE22" s="101">
        <f t="shared" si="90"/>
        <v>4</v>
      </c>
      <c r="GF22" s="101">
        <f t="shared" si="91"/>
        <v>0.12</v>
      </c>
      <c r="GG22" s="101">
        <f t="shared" si="92"/>
        <v>1</v>
      </c>
      <c r="GH22" s="101">
        <f t="shared" si="93"/>
        <v>13</v>
      </c>
      <c r="GI22" s="101">
        <f t="shared" si="94"/>
        <v>0</v>
      </c>
      <c r="GJ22" s="101">
        <f t="shared" si="95"/>
        <v>1</v>
      </c>
      <c r="GK22" s="101">
        <f t="shared" si="96"/>
        <v>3</v>
      </c>
      <c r="GL22" s="101">
        <f t="shared" si="97"/>
        <v>5.9299999999999999E-2</v>
      </c>
      <c r="GM22" s="101">
        <f t="shared" si="98"/>
        <v>1</v>
      </c>
      <c r="GN22" s="101">
        <f t="shared" si="99"/>
        <v>6</v>
      </c>
      <c r="GO22" s="101">
        <f t="shared" si="100"/>
        <v>0.23710000000000001</v>
      </c>
      <c r="GP22" s="101">
        <f t="shared" si="101"/>
        <v>1</v>
      </c>
      <c r="GQ22" s="101">
        <f t="shared" si="102"/>
        <v>13</v>
      </c>
    </row>
    <row r="23" spans="1:199" ht="16.5" x14ac:dyDescent="0.2">
      <c r="A23" s="81">
        <v>2</v>
      </c>
      <c r="B23" s="81">
        <v>2</v>
      </c>
      <c r="C23" s="81">
        <v>2</v>
      </c>
      <c r="D23" s="81">
        <v>2</v>
      </c>
      <c r="E23" s="81">
        <v>2</v>
      </c>
      <c r="F23" s="81">
        <v>2</v>
      </c>
      <c r="G23" s="81">
        <v>2</v>
      </c>
      <c r="H23" s="81">
        <v>2</v>
      </c>
      <c r="I23" s="81">
        <v>2</v>
      </c>
      <c r="K23" s="84">
        <f t="shared" si="111"/>
        <v>6.2676729559748443</v>
      </c>
      <c r="L23" s="84">
        <f t="shared" si="111"/>
        <v>0</v>
      </c>
      <c r="M23" s="84">
        <f t="shared" si="111"/>
        <v>0</v>
      </c>
      <c r="N23" s="84">
        <f t="shared" si="111"/>
        <v>0</v>
      </c>
      <c r="O23" s="84">
        <f t="shared" si="111"/>
        <v>15.571250000000004</v>
      </c>
      <c r="P23" s="84">
        <f t="shared" si="111"/>
        <v>5.1904166666666685</v>
      </c>
      <c r="Q23" s="84">
        <f t="shared" si="111"/>
        <v>0</v>
      </c>
      <c r="R23" s="84">
        <f t="shared" si="111"/>
        <v>0</v>
      </c>
      <c r="S23" s="84">
        <f t="shared" si="111"/>
        <v>25.952083333333338</v>
      </c>
      <c r="T23" s="84">
        <f t="shared" si="111"/>
        <v>12.976041666666669</v>
      </c>
      <c r="U23" s="84">
        <f t="shared" si="112"/>
        <v>0</v>
      </c>
      <c r="V23" s="84">
        <f t="shared" si="112"/>
        <v>0</v>
      </c>
      <c r="W23" s="84">
        <f t="shared" si="112"/>
        <v>0</v>
      </c>
      <c r="X23" s="84">
        <f t="shared" si="112"/>
        <v>26.225263157894744</v>
      </c>
      <c r="Y23" s="84">
        <f t="shared" si="112"/>
        <v>9.8814035087719319</v>
      </c>
      <c r="Z23" s="84">
        <f t="shared" si="112"/>
        <v>0</v>
      </c>
      <c r="AA23" s="84">
        <f t="shared" si="112"/>
        <v>0</v>
      </c>
      <c r="AB23" s="84">
        <f t="shared" si="112"/>
        <v>30.596140350877196</v>
      </c>
      <c r="AC23" s="84">
        <f t="shared" si="112"/>
        <v>19.762807017543864</v>
      </c>
      <c r="AD23" s="84">
        <f t="shared" si="112"/>
        <v>0</v>
      </c>
      <c r="AE23" s="84">
        <f t="shared" si="113"/>
        <v>0</v>
      </c>
      <c r="AF23" s="84">
        <f t="shared" si="113"/>
        <v>0</v>
      </c>
      <c r="AG23" s="84">
        <f t="shared" si="113"/>
        <v>59.737575757575762</v>
      </c>
      <c r="AH23" s="84">
        <f t="shared" si="113"/>
        <v>12.068727272727273</v>
      </c>
      <c r="AI23" s="84">
        <f t="shared" si="113"/>
        <v>0</v>
      </c>
      <c r="AJ23" s="84">
        <f t="shared" si="113"/>
        <v>0</v>
      </c>
      <c r="AK23" s="84">
        <f t="shared" si="113"/>
        <v>59.737575757575762</v>
      </c>
      <c r="AL23" s="84">
        <f t="shared" si="113"/>
        <v>20.114545454545453</v>
      </c>
      <c r="AM23" s="84">
        <f t="shared" si="113"/>
        <v>0</v>
      </c>
      <c r="AN23" s="84">
        <f t="shared" si="113"/>
        <v>0</v>
      </c>
      <c r="AO23" s="84">
        <f t="shared" si="113"/>
        <v>0</v>
      </c>
      <c r="AP23" s="84">
        <f t="shared" si="113"/>
        <v>88.504000000000005</v>
      </c>
      <c r="CG23" s="81">
        <v>18</v>
      </c>
      <c r="CH23" s="174">
        <f>INDEX(节奏总表!$CK$4:$CK$63,专属武器强化!CG23)</f>
        <v>97</v>
      </c>
      <c r="CI23" s="81"/>
      <c r="CJ23" s="81">
        <f t="shared" si="13"/>
        <v>5</v>
      </c>
      <c r="CK23" s="14">
        <f t="shared" si="14"/>
        <v>100</v>
      </c>
      <c r="CL23" s="14">
        <f t="shared" si="15"/>
        <v>150</v>
      </c>
      <c r="CM23" s="14">
        <f t="shared" si="16"/>
        <v>25</v>
      </c>
      <c r="CN23" s="14">
        <f t="shared" si="17"/>
        <v>0</v>
      </c>
      <c r="CO23" s="14"/>
      <c r="CP23" s="14"/>
      <c r="CQ23" s="14"/>
      <c r="CR23" s="14"/>
      <c r="CS23" s="14">
        <f>SUM(CK$6:CK23)</f>
        <v>2740</v>
      </c>
      <c r="CT23" s="14">
        <f>SUM(CL$6:CL23)</f>
        <v>1230</v>
      </c>
      <c r="CU23" s="14">
        <f>SUM(CM$6:CM23)</f>
        <v>50</v>
      </c>
      <c r="CV23" s="14">
        <f>SUM(CN$6:CN23)</f>
        <v>0</v>
      </c>
      <c r="CY23" s="83">
        <v>11</v>
      </c>
      <c r="CZ23" s="14">
        <f>INDEX(节奏总表!$CK$4:CK80,专属武器强化!CY23)</f>
        <v>81</v>
      </c>
      <c r="DA23" s="14">
        <f t="shared" si="18"/>
        <v>1540</v>
      </c>
      <c r="DB23" s="14">
        <f t="shared" si="64"/>
        <v>430</v>
      </c>
      <c r="DC23" s="14">
        <f t="shared" si="65"/>
        <v>0</v>
      </c>
      <c r="DD23" s="14">
        <f t="shared" si="66"/>
        <v>0</v>
      </c>
      <c r="DE23" s="83">
        <v>3</v>
      </c>
      <c r="DF23" s="83">
        <v>4</v>
      </c>
      <c r="DG23" s="14">
        <f t="shared" si="67"/>
        <v>194.64062500000006</v>
      </c>
      <c r="DH23" s="14">
        <f t="shared" si="68"/>
        <v>97.320312500000028</v>
      </c>
      <c r="DI23" s="14">
        <f t="shared" si="69"/>
        <v>0</v>
      </c>
      <c r="DJ23" s="14">
        <f t="shared" si="70"/>
        <v>0</v>
      </c>
      <c r="DK23" s="83"/>
      <c r="DL23" s="83"/>
      <c r="DM23" s="83"/>
      <c r="DN23" s="83"/>
      <c r="DO23" s="14">
        <f>DA23-SUM(DG$7:DG23)+SUM(DK$7:DK23)</f>
        <v>472.16169811320719</v>
      </c>
      <c r="DP23" s="14">
        <f>DB23-SUM(DH$7:DH23)+SUM(DL$7:DL23)</f>
        <v>121.96843749999982</v>
      </c>
      <c r="DQ23" s="14">
        <f>DC23-SUM(DI$7:DI23)+SUM(DM$7:DM23)</f>
        <v>0</v>
      </c>
      <c r="DR23" s="14">
        <f>DD23-SUM(DJ$7:DJ23)+SUM(DN$7:DN23)</f>
        <v>0</v>
      </c>
      <c r="DU23" s="95">
        <v>18</v>
      </c>
      <c r="DV23" s="14">
        <f t="shared" si="71"/>
        <v>2</v>
      </c>
      <c r="DW23" s="14">
        <f t="shared" si="72"/>
        <v>9</v>
      </c>
      <c r="DX23" s="14">
        <f t="shared" si="20"/>
        <v>428.20937500000014</v>
      </c>
      <c r="DY23" s="14">
        <f t="shared" si="20"/>
        <v>142.73645833333339</v>
      </c>
      <c r="DZ23" s="14">
        <f t="shared" si="20"/>
        <v>0</v>
      </c>
      <c r="EA23" s="14">
        <f t="shared" si="20"/>
        <v>0</v>
      </c>
      <c r="EB23" s="14">
        <f t="shared" si="73"/>
        <v>1</v>
      </c>
      <c r="EC23" s="14">
        <f t="shared" si="74"/>
        <v>2</v>
      </c>
      <c r="EJ23" s="139">
        <v>18</v>
      </c>
      <c r="EK23" s="14">
        <f t="shared" si="76"/>
        <v>2</v>
      </c>
      <c r="EL23" s="19">
        <f t="shared" si="110"/>
        <v>0.89000000000000012</v>
      </c>
      <c r="EM23" s="139">
        <v>3</v>
      </c>
      <c r="EN23" s="139" t="s">
        <v>941</v>
      </c>
      <c r="EO23" s="139">
        <f t="shared" si="77"/>
        <v>1693</v>
      </c>
      <c r="EP23" s="139" t="s">
        <v>848</v>
      </c>
      <c r="EQ23" s="139">
        <f t="shared" si="109"/>
        <v>24</v>
      </c>
      <c r="ER23" s="139" t="s">
        <v>849</v>
      </c>
      <c r="ES23" s="139">
        <v>8</v>
      </c>
      <c r="ET23" s="139">
        <f t="shared" si="21"/>
        <v>0.06</v>
      </c>
      <c r="EU23" s="139">
        <v>1</v>
      </c>
      <c r="EV23" s="139">
        <f t="shared" si="78"/>
        <v>27</v>
      </c>
      <c r="EW23" s="139"/>
      <c r="EX23" s="139">
        <f t="shared" si="104"/>
        <v>17.842057291666674</v>
      </c>
      <c r="EY23" s="206">
        <f t="shared" si="79"/>
        <v>30201.260000000006</v>
      </c>
      <c r="FA23">
        <v>0</v>
      </c>
      <c r="FB23">
        <v>1</v>
      </c>
      <c r="FC23">
        <f t="shared" si="23"/>
        <v>6</v>
      </c>
      <c r="FD23" s="89">
        <f t="shared" si="24"/>
        <v>2.8000000000000001E-2</v>
      </c>
      <c r="FE23">
        <v>1</v>
      </c>
      <c r="FF23">
        <f t="shared" si="25"/>
        <v>12</v>
      </c>
      <c r="FG23" s="89">
        <f t="shared" si="26"/>
        <v>0.11210000000000001</v>
      </c>
      <c r="FH23">
        <v>1</v>
      </c>
      <c r="FI23">
        <f t="shared" si="27"/>
        <v>27</v>
      </c>
      <c r="FL23" s="101">
        <v>1102026</v>
      </c>
      <c r="FM23" s="101">
        <v>1102026</v>
      </c>
      <c r="FN23" s="101" t="s">
        <v>948</v>
      </c>
      <c r="FO23" s="14">
        <f>INDEX(卡牌消耗!$C$13:$C$40,MATCH(专属武器强化!FL23,卡牌消耗!$A$13:$A$40,0))</f>
        <v>3</v>
      </c>
      <c r="FS23" s="101">
        <v>18</v>
      </c>
      <c r="FT23" s="101">
        <f t="shared" si="80"/>
        <v>16</v>
      </c>
      <c r="FU23" s="101">
        <f t="shared" si="81"/>
        <v>1</v>
      </c>
      <c r="FV23" s="14">
        <f t="shared" si="82"/>
        <v>5</v>
      </c>
      <c r="FW23" s="101" t="str">
        <f t="shared" si="83"/>
        <v>关羽专属武器-魂珠-2 7级</v>
      </c>
      <c r="FX23" s="101">
        <f t="shared" si="84"/>
        <v>2</v>
      </c>
      <c r="FY23" s="101">
        <f t="shared" si="85"/>
        <v>7</v>
      </c>
      <c r="FZ23" s="101" t="str">
        <f t="shared" si="86"/>
        <v>金币</v>
      </c>
      <c r="GA23" s="139">
        <f>IF($FY23&gt;0,IF(INDEX($EM$6:$EM$77,$FT23)&gt;=GA$3,ROUND(INDEX(EO$6:EO$77,$FT23)*INDEX(卡牌消耗!$B$8:$F$8,FV23)/5,0)*5,""),"")</f>
        <v>2120</v>
      </c>
      <c r="GB23" s="101" t="str">
        <f t="shared" si="87"/>
        <v>专属强化石1</v>
      </c>
      <c r="GC23" s="101">
        <f t="shared" si="88"/>
        <v>15</v>
      </c>
      <c r="GD23" s="101" t="str">
        <f t="shared" si="89"/>
        <v>专属强化石2</v>
      </c>
      <c r="GE23" s="101">
        <f t="shared" si="90"/>
        <v>5</v>
      </c>
      <c r="GF23" s="101">
        <f t="shared" si="91"/>
        <v>0.09</v>
      </c>
      <c r="GG23" s="101">
        <f t="shared" si="92"/>
        <v>1</v>
      </c>
      <c r="GH23" s="101">
        <f t="shared" si="93"/>
        <v>16</v>
      </c>
      <c r="GI23" s="101">
        <f t="shared" si="94"/>
        <v>0</v>
      </c>
      <c r="GJ23" s="101">
        <f t="shared" si="95"/>
        <v>1</v>
      </c>
      <c r="GK23" s="101">
        <f t="shared" si="96"/>
        <v>4</v>
      </c>
      <c r="GL23" s="101">
        <f t="shared" si="97"/>
        <v>4.5900000000000003E-2</v>
      </c>
      <c r="GM23" s="101">
        <f t="shared" si="98"/>
        <v>1</v>
      </c>
      <c r="GN23" s="101">
        <f t="shared" si="99"/>
        <v>8</v>
      </c>
      <c r="GO23" s="101">
        <f t="shared" si="100"/>
        <v>0.1835</v>
      </c>
      <c r="GP23" s="101">
        <f t="shared" si="101"/>
        <v>1</v>
      </c>
      <c r="GQ23" s="101">
        <f t="shared" si="102"/>
        <v>16</v>
      </c>
    </row>
    <row r="24" spans="1:199" ht="16.5" x14ac:dyDescent="0.2">
      <c r="A24" s="81">
        <v>3</v>
      </c>
      <c r="B24" s="81">
        <v>3</v>
      </c>
      <c r="C24" s="81">
        <v>3</v>
      </c>
      <c r="D24" s="81">
        <v>3</v>
      </c>
      <c r="E24" s="81">
        <v>3</v>
      </c>
      <c r="F24" s="81">
        <v>3</v>
      </c>
      <c r="G24" s="81">
        <v>3</v>
      </c>
      <c r="H24" s="81">
        <v>3</v>
      </c>
      <c r="I24" s="81">
        <v>3</v>
      </c>
      <c r="K24" s="84">
        <f t="shared" si="111"/>
        <v>9.401509433962266</v>
      </c>
      <c r="L24" s="84">
        <f t="shared" si="111"/>
        <v>0</v>
      </c>
      <c r="M24" s="84">
        <f t="shared" si="111"/>
        <v>0</v>
      </c>
      <c r="N24" s="84">
        <f t="shared" si="111"/>
        <v>0</v>
      </c>
      <c r="O24" s="84">
        <f t="shared" si="111"/>
        <v>23.356875000000006</v>
      </c>
      <c r="P24" s="84">
        <f t="shared" si="111"/>
        <v>7.7856250000000022</v>
      </c>
      <c r="Q24" s="84">
        <f t="shared" si="111"/>
        <v>0</v>
      </c>
      <c r="R24" s="84">
        <f t="shared" si="111"/>
        <v>0</v>
      </c>
      <c r="S24" s="84">
        <f t="shared" si="111"/>
        <v>38.928125000000009</v>
      </c>
      <c r="T24" s="84">
        <f t="shared" si="111"/>
        <v>19.464062500000004</v>
      </c>
      <c r="U24" s="84">
        <f t="shared" si="112"/>
        <v>0</v>
      </c>
      <c r="V24" s="84">
        <f t="shared" si="112"/>
        <v>0</v>
      </c>
      <c r="W24" s="84">
        <f t="shared" si="112"/>
        <v>0</v>
      </c>
      <c r="X24" s="84">
        <f t="shared" si="112"/>
        <v>39.337894736842117</v>
      </c>
      <c r="Y24" s="84">
        <f t="shared" si="112"/>
        <v>14.822105263157896</v>
      </c>
      <c r="Z24" s="84">
        <f t="shared" si="112"/>
        <v>0</v>
      </c>
      <c r="AA24" s="84">
        <f t="shared" si="112"/>
        <v>0</v>
      </c>
      <c r="AB24" s="84">
        <f t="shared" si="112"/>
        <v>45.894210526315796</v>
      </c>
      <c r="AC24" s="84">
        <f t="shared" si="112"/>
        <v>29.644210526315792</v>
      </c>
      <c r="AD24" s="84">
        <f t="shared" si="112"/>
        <v>0</v>
      </c>
      <c r="AE24" s="84">
        <f t="shared" si="113"/>
        <v>0</v>
      </c>
      <c r="AF24" s="84">
        <f t="shared" si="113"/>
        <v>0</v>
      </c>
      <c r="AG24" s="84">
        <f t="shared" si="113"/>
        <v>89.606363636363639</v>
      </c>
      <c r="AH24" s="84">
        <f t="shared" si="113"/>
        <v>18.103090909090906</v>
      </c>
      <c r="AI24" s="84">
        <f t="shared" si="113"/>
        <v>0</v>
      </c>
      <c r="AJ24" s="84">
        <f t="shared" si="113"/>
        <v>0</v>
      </c>
      <c r="AK24" s="84">
        <f t="shared" si="113"/>
        <v>89.606363636363639</v>
      </c>
      <c r="AL24" s="84">
        <f t="shared" si="113"/>
        <v>30.171818181818182</v>
      </c>
      <c r="AM24" s="84">
        <f t="shared" si="113"/>
        <v>0</v>
      </c>
      <c r="AN24" s="84">
        <f t="shared" si="113"/>
        <v>0</v>
      </c>
      <c r="AO24" s="84">
        <f t="shared" si="113"/>
        <v>0</v>
      </c>
      <c r="AP24" s="84">
        <f t="shared" si="113"/>
        <v>132.756</v>
      </c>
      <c r="CG24" s="81">
        <v>19</v>
      </c>
      <c r="CH24" s="174">
        <f>INDEX(节奏总表!$CK$4:$CK$63,专属武器强化!CG24)</f>
        <v>99</v>
      </c>
      <c r="CI24" s="81"/>
      <c r="CJ24" s="81">
        <f t="shared" si="13"/>
        <v>5</v>
      </c>
      <c r="CK24" s="14">
        <f t="shared" si="14"/>
        <v>100</v>
      </c>
      <c r="CL24" s="14">
        <f t="shared" si="15"/>
        <v>150</v>
      </c>
      <c r="CM24" s="14">
        <f t="shared" si="16"/>
        <v>25</v>
      </c>
      <c r="CN24" s="14">
        <f t="shared" si="17"/>
        <v>0</v>
      </c>
      <c r="CO24" s="14"/>
      <c r="CP24" s="14"/>
      <c r="CQ24" s="14"/>
      <c r="CR24" s="14"/>
      <c r="CS24" s="14">
        <f>SUM(CK$6:CK24)</f>
        <v>2840</v>
      </c>
      <c r="CT24" s="14">
        <f>SUM(CL$6:CL24)</f>
        <v>1380</v>
      </c>
      <c r="CU24" s="14">
        <f>SUM(CM$6:CM24)</f>
        <v>75</v>
      </c>
      <c r="CV24" s="14">
        <f>SUM(CN$6:CN24)</f>
        <v>0</v>
      </c>
      <c r="CY24" s="83">
        <v>12</v>
      </c>
      <c r="CZ24" s="14">
        <f>INDEX(节奏总表!$CK$4:CK81,专属武器强化!CY24)</f>
        <v>84</v>
      </c>
      <c r="DA24" s="14">
        <f t="shared" si="18"/>
        <v>1740</v>
      </c>
      <c r="DB24" s="14">
        <f t="shared" si="64"/>
        <v>530</v>
      </c>
      <c r="DC24" s="14">
        <f t="shared" si="65"/>
        <v>0</v>
      </c>
      <c r="DD24" s="14">
        <f t="shared" si="66"/>
        <v>0</v>
      </c>
      <c r="DE24" s="83">
        <v>0</v>
      </c>
      <c r="DF24" s="83">
        <v>0</v>
      </c>
      <c r="DG24" s="14">
        <f t="shared" si="67"/>
        <v>0</v>
      </c>
      <c r="DH24" s="14">
        <f t="shared" si="68"/>
        <v>0</v>
      </c>
      <c r="DI24" s="14">
        <f t="shared" si="69"/>
        <v>0</v>
      </c>
      <c r="DJ24" s="14">
        <f t="shared" si="70"/>
        <v>0</v>
      </c>
      <c r="DK24" s="83"/>
      <c r="DL24" s="83"/>
      <c r="DM24" s="83"/>
      <c r="DN24" s="83"/>
      <c r="DO24" s="14">
        <f>DA24-SUM(DG$7:DG24)+SUM(DK$7:DK24)</f>
        <v>672.16169811320719</v>
      </c>
      <c r="DP24" s="14">
        <f>DB24-SUM(DH$7:DH24)+SUM(DL$7:DL24)</f>
        <v>221.96843749999982</v>
      </c>
      <c r="DQ24" s="14">
        <f>DC24-SUM(DI$7:DI24)+SUM(DM$7:DM24)</f>
        <v>0</v>
      </c>
      <c r="DR24" s="14">
        <f>DD24-SUM(DJ$7:DJ24)+SUM(DN$7:DN24)</f>
        <v>0</v>
      </c>
      <c r="DU24" s="95">
        <v>19</v>
      </c>
      <c r="DV24" s="14">
        <f t="shared" si="71"/>
        <v>3</v>
      </c>
      <c r="DW24" s="14">
        <f t="shared" si="72"/>
        <v>1</v>
      </c>
      <c r="DX24" s="14">
        <f t="shared" si="20"/>
        <v>12.976041666666669</v>
      </c>
      <c r="DY24" s="14">
        <f t="shared" si="20"/>
        <v>6.4880208333333345</v>
      </c>
      <c r="DZ24" s="14">
        <f t="shared" si="20"/>
        <v>0</v>
      </c>
      <c r="EA24" s="14">
        <f t="shared" si="20"/>
        <v>0</v>
      </c>
      <c r="EB24" s="14">
        <f t="shared" si="73"/>
        <v>1</v>
      </c>
      <c r="EC24" s="14">
        <f t="shared" si="74"/>
        <v>2</v>
      </c>
      <c r="EJ24" s="139">
        <v>19</v>
      </c>
      <c r="EK24" s="14">
        <f t="shared" si="76"/>
        <v>3</v>
      </c>
      <c r="EL24" s="19">
        <v>0.02</v>
      </c>
      <c r="EM24" s="139">
        <v>3</v>
      </c>
      <c r="EN24" s="139" t="s">
        <v>941</v>
      </c>
      <c r="EO24" s="139">
        <f t="shared" si="77"/>
        <v>545</v>
      </c>
      <c r="EP24" s="139" t="s">
        <v>848</v>
      </c>
      <c r="EQ24" s="139">
        <f t="shared" si="109"/>
        <v>4</v>
      </c>
      <c r="ER24" s="139" t="s">
        <v>849</v>
      </c>
      <c r="ES24" s="139">
        <v>2</v>
      </c>
      <c r="ET24" s="139">
        <f t="shared" si="21"/>
        <v>0.31</v>
      </c>
      <c r="EU24" s="139">
        <v>1</v>
      </c>
      <c r="EV24" s="139">
        <f t="shared" si="78"/>
        <v>5</v>
      </c>
      <c r="EW24" s="139"/>
      <c r="EX24" s="139">
        <f t="shared" si="104"/>
        <v>3.2440104166666672</v>
      </c>
      <c r="EY24" s="206">
        <f t="shared" si="79"/>
        <v>1769.46</v>
      </c>
      <c r="FA24">
        <v>0</v>
      </c>
      <c r="FB24">
        <v>1</v>
      </c>
      <c r="FC24">
        <f t="shared" si="23"/>
        <v>1</v>
      </c>
      <c r="FD24" s="89">
        <f t="shared" si="24"/>
        <v>0.15409999999999999</v>
      </c>
      <c r="FE24">
        <v>1</v>
      </c>
      <c r="FF24">
        <f t="shared" si="25"/>
        <v>2</v>
      </c>
      <c r="FG24" s="89">
        <f t="shared" si="26"/>
        <v>0.61650000000000005</v>
      </c>
      <c r="FH24">
        <v>1</v>
      </c>
      <c r="FI24">
        <f t="shared" si="27"/>
        <v>5</v>
      </c>
      <c r="FL24" s="101">
        <v>1102028</v>
      </c>
      <c r="FM24" s="101">
        <v>1102028</v>
      </c>
      <c r="FN24" s="101" t="s">
        <v>949</v>
      </c>
      <c r="FO24" s="14">
        <f>INDEX(卡牌消耗!$C$13:$C$40,MATCH(专属武器强化!FL24,卡牌消耗!$A$13:$A$40,0))</f>
        <v>5</v>
      </c>
      <c r="FS24" s="101">
        <v>19</v>
      </c>
      <c r="FT24" s="101">
        <f t="shared" si="80"/>
        <v>17</v>
      </c>
      <c r="FU24" s="101">
        <f t="shared" si="81"/>
        <v>1</v>
      </c>
      <c r="FV24" s="14">
        <f t="shared" si="82"/>
        <v>5</v>
      </c>
      <c r="FW24" s="101" t="str">
        <f t="shared" si="83"/>
        <v>关羽专属武器-魂珠-2 8级</v>
      </c>
      <c r="FX24" s="101">
        <f t="shared" si="84"/>
        <v>2</v>
      </c>
      <c r="FY24" s="101">
        <f t="shared" si="85"/>
        <v>8</v>
      </c>
      <c r="FZ24" s="101" t="str">
        <f t="shared" si="86"/>
        <v>金币</v>
      </c>
      <c r="GA24" s="139">
        <f>IF($FY24&gt;0,IF(INDEX($EM$6:$EM$77,$FT24)&gt;=GA$3,ROUND(INDEX(EO$6:EO$77,$FT24)*INDEX(卡牌消耗!$B$8:$F$8,FV24)/5,0)*5,""),"")</f>
        <v>2540</v>
      </c>
      <c r="GB24" s="101" t="str">
        <f t="shared" si="87"/>
        <v>专属强化石1</v>
      </c>
      <c r="GC24" s="101">
        <f t="shared" si="88"/>
        <v>18</v>
      </c>
      <c r="GD24" s="101" t="str">
        <f t="shared" si="89"/>
        <v>专属强化石2</v>
      </c>
      <c r="GE24" s="101">
        <f t="shared" si="90"/>
        <v>6</v>
      </c>
      <c r="GF24" s="101">
        <f t="shared" si="91"/>
        <v>7.0000000000000007E-2</v>
      </c>
      <c r="GG24" s="101">
        <f t="shared" si="92"/>
        <v>1</v>
      </c>
      <c r="GH24" s="101">
        <f t="shared" si="93"/>
        <v>22</v>
      </c>
      <c r="GI24" s="101">
        <f t="shared" si="94"/>
        <v>0</v>
      </c>
      <c r="GJ24" s="101">
        <f t="shared" si="95"/>
        <v>1</v>
      </c>
      <c r="GK24" s="101">
        <f t="shared" si="96"/>
        <v>5</v>
      </c>
      <c r="GL24" s="101">
        <f t="shared" si="97"/>
        <v>3.4000000000000002E-2</v>
      </c>
      <c r="GM24" s="101">
        <f t="shared" si="98"/>
        <v>1</v>
      </c>
      <c r="GN24" s="101">
        <f t="shared" si="99"/>
        <v>10</v>
      </c>
      <c r="GO24" s="101">
        <f t="shared" si="100"/>
        <v>0.13600000000000001</v>
      </c>
      <c r="GP24" s="101">
        <f t="shared" si="101"/>
        <v>1</v>
      </c>
      <c r="GQ24" s="101">
        <f t="shared" si="102"/>
        <v>22</v>
      </c>
    </row>
    <row r="25" spans="1:199" ht="16.5" x14ac:dyDescent="0.2">
      <c r="A25" s="81">
        <v>4</v>
      </c>
      <c r="B25" s="81">
        <v>5</v>
      </c>
      <c r="C25" s="81">
        <v>5</v>
      </c>
      <c r="D25" s="81">
        <v>5</v>
      </c>
      <c r="E25" s="81">
        <v>5</v>
      </c>
      <c r="F25" s="81">
        <v>5</v>
      </c>
      <c r="G25" s="81">
        <v>5</v>
      </c>
      <c r="H25" s="81">
        <v>5</v>
      </c>
      <c r="I25" s="81">
        <v>5</v>
      </c>
      <c r="K25" s="84">
        <f t="shared" si="111"/>
        <v>15.669182389937111</v>
      </c>
      <c r="L25" s="84">
        <f t="shared" si="111"/>
        <v>0</v>
      </c>
      <c r="M25" s="84">
        <f t="shared" si="111"/>
        <v>0</v>
      </c>
      <c r="N25" s="84">
        <f t="shared" si="111"/>
        <v>0</v>
      </c>
      <c r="O25" s="84">
        <f t="shared" si="111"/>
        <v>38.928125000000009</v>
      </c>
      <c r="P25" s="84">
        <f t="shared" si="111"/>
        <v>12.976041666666669</v>
      </c>
      <c r="Q25" s="84">
        <f t="shared" si="111"/>
        <v>0</v>
      </c>
      <c r="R25" s="84">
        <f t="shared" si="111"/>
        <v>0</v>
      </c>
      <c r="S25" s="84">
        <f t="shared" si="111"/>
        <v>64.880208333333357</v>
      </c>
      <c r="T25" s="84">
        <f t="shared" si="111"/>
        <v>32.440104166666679</v>
      </c>
      <c r="U25" s="84">
        <f t="shared" si="112"/>
        <v>0</v>
      </c>
      <c r="V25" s="84">
        <f t="shared" si="112"/>
        <v>0</v>
      </c>
      <c r="W25" s="84">
        <f t="shared" si="112"/>
        <v>0</v>
      </c>
      <c r="X25" s="84">
        <f t="shared" si="112"/>
        <v>65.563157894736861</v>
      </c>
      <c r="Y25" s="84">
        <f t="shared" si="112"/>
        <v>24.703508771929833</v>
      </c>
      <c r="Z25" s="84">
        <f t="shared" si="112"/>
        <v>0</v>
      </c>
      <c r="AA25" s="84">
        <f t="shared" si="112"/>
        <v>0</v>
      </c>
      <c r="AB25" s="84">
        <f t="shared" si="112"/>
        <v>76.490350877192995</v>
      </c>
      <c r="AC25" s="84">
        <f t="shared" si="112"/>
        <v>49.407017543859666</v>
      </c>
      <c r="AD25" s="84">
        <f t="shared" si="112"/>
        <v>0</v>
      </c>
      <c r="AE25" s="84">
        <f t="shared" si="113"/>
        <v>0</v>
      </c>
      <c r="AF25" s="84">
        <f t="shared" si="113"/>
        <v>0</v>
      </c>
      <c r="AG25" s="84">
        <f t="shared" si="113"/>
        <v>149.34393939393939</v>
      </c>
      <c r="AH25" s="84">
        <f t="shared" si="113"/>
        <v>30.171818181818182</v>
      </c>
      <c r="AI25" s="84">
        <f t="shared" si="113"/>
        <v>0</v>
      </c>
      <c r="AJ25" s="84">
        <f t="shared" si="113"/>
        <v>0</v>
      </c>
      <c r="AK25" s="84">
        <f t="shared" si="113"/>
        <v>149.34393939393939</v>
      </c>
      <c r="AL25" s="84">
        <f t="shared" si="113"/>
        <v>50.286363636363632</v>
      </c>
      <c r="AM25" s="84">
        <f t="shared" si="113"/>
        <v>0</v>
      </c>
      <c r="AN25" s="84">
        <f t="shared" si="113"/>
        <v>0</v>
      </c>
      <c r="AO25" s="84">
        <f t="shared" si="113"/>
        <v>0</v>
      </c>
      <c r="AP25" s="84">
        <f t="shared" si="113"/>
        <v>221.26</v>
      </c>
      <c r="CG25" s="81">
        <v>20</v>
      </c>
      <c r="CH25" s="174">
        <f>INDEX(节奏总表!$CK$4:$CK$63,专属武器强化!CG25)</f>
        <v>101</v>
      </c>
      <c r="CI25" s="81"/>
      <c r="CJ25" s="81">
        <f t="shared" si="13"/>
        <v>5</v>
      </c>
      <c r="CK25" s="14">
        <f t="shared" si="14"/>
        <v>100</v>
      </c>
      <c r="CL25" s="14">
        <f t="shared" si="15"/>
        <v>150</v>
      </c>
      <c r="CM25" s="14">
        <f t="shared" si="16"/>
        <v>25</v>
      </c>
      <c r="CN25" s="14">
        <f t="shared" si="17"/>
        <v>0</v>
      </c>
      <c r="CO25" s="14"/>
      <c r="CP25" s="14"/>
      <c r="CQ25" s="14"/>
      <c r="CR25" s="14"/>
      <c r="CS25" s="14">
        <f>SUM(CK$6:CK25)</f>
        <v>2940</v>
      </c>
      <c r="CT25" s="14">
        <f>SUM(CL$6:CL25)</f>
        <v>1530</v>
      </c>
      <c r="CU25" s="14">
        <f>SUM(CM$6:CM25)</f>
        <v>100</v>
      </c>
      <c r="CV25" s="14">
        <f>SUM(CN$6:CN25)</f>
        <v>0</v>
      </c>
      <c r="CY25" s="83">
        <v>13</v>
      </c>
      <c r="CZ25" s="14">
        <f>INDEX(节奏总表!$CK$4:CK82,专属武器强化!CY25)</f>
        <v>86</v>
      </c>
      <c r="DA25" s="14">
        <f t="shared" si="18"/>
        <v>1940</v>
      </c>
      <c r="DB25" s="14">
        <f t="shared" si="64"/>
        <v>630</v>
      </c>
      <c r="DC25" s="14">
        <f t="shared" si="65"/>
        <v>0</v>
      </c>
      <c r="DD25" s="14">
        <f t="shared" si="66"/>
        <v>0</v>
      </c>
      <c r="DE25" s="83">
        <v>3</v>
      </c>
      <c r="DF25" s="83">
        <v>5</v>
      </c>
      <c r="DG25" s="14">
        <f t="shared" si="67"/>
        <v>311.42500000000007</v>
      </c>
      <c r="DH25" s="14">
        <f t="shared" si="68"/>
        <v>155.71250000000003</v>
      </c>
      <c r="DI25" s="14">
        <f t="shared" si="69"/>
        <v>0</v>
      </c>
      <c r="DJ25" s="14">
        <f t="shared" si="70"/>
        <v>0</v>
      </c>
      <c r="DK25" s="83"/>
      <c r="DL25" s="83"/>
      <c r="DM25" s="83"/>
      <c r="DN25" s="83"/>
      <c r="DO25" s="14">
        <f>DA25-SUM(DG$7:DG25)+SUM(DK$7:DK25)</f>
        <v>560.73669811320724</v>
      </c>
      <c r="DP25" s="14">
        <f>DB25-SUM(DH$7:DH25)+SUM(DL$7:DL25)</f>
        <v>166.25593749999985</v>
      </c>
      <c r="DQ25" s="14">
        <f>DC25-SUM(DI$7:DI25)+SUM(DM$7:DM25)</f>
        <v>0</v>
      </c>
      <c r="DR25" s="14">
        <f>DD25-SUM(DJ$7:DJ25)+SUM(DN$7:DN25)</f>
        <v>0</v>
      </c>
      <c r="DU25" s="95">
        <v>20</v>
      </c>
      <c r="DV25" s="14">
        <f t="shared" si="71"/>
        <v>3</v>
      </c>
      <c r="DW25" s="14">
        <f t="shared" si="72"/>
        <v>2</v>
      </c>
      <c r="DX25" s="14">
        <f t="shared" si="20"/>
        <v>25.952083333333338</v>
      </c>
      <c r="DY25" s="14">
        <f t="shared" si="20"/>
        <v>12.976041666666669</v>
      </c>
      <c r="DZ25" s="14">
        <f t="shared" si="20"/>
        <v>0</v>
      </c>
      <c r="EA25" s="14">
        <f t="shared" si="20"/>
        <v>0</v>
      </c>
      <c r="EB25" s="14">
        <f t="shared" si="73"/>
        <v>1</v>
      </c>
      <c r="EC25" s="14">
        <f t="shared" si="74"/>
        <v>2</v>
      </c>
      <c r="EJ25" s="139">
        <v>20</v>
      </c>
      <c r="EK25" s="14">
        <f t="shared" si="76"/>
        <v>3</v>
      </c>
      <c r="EL25" s="19">
        <v>0.03</v>
      </c>
      <c r="EM25" s="139">
        <v>3</v>
      </c>
      <c r="EN25" s="139" t="s">
        <v>941</v>
      </c>
      <c r="EO25" s="139">
        <f t="shared" si="77"/>
        <v>409</v>
      </c>
      <c r="EP25" s="139" t="s">
        <v>848</v>
      </c>
      <c r="EQ25" s="139">
        <f t="shared" si="109"/>
        <v>4</v>
      </c>
      <c r="ER25" s="139" t="s">
        <v>849</v>
      </c>
      <c r="ES25" s="139">
        <v>2</v>
      </c>
      <c r="ET25" s="139">
        <f t="shared" si="21"/>
        <v>0.15</v>
      </c>
      <c r="EU25" s="139">
        <v>1</v>
      </c>
      <c r="EV25" s="139">
        <f t="shared" si="78"/>
        <v>10</v>
      </c>
      <c r="EW25" s="139"/>
      <c r="EX25" s="139">
        <f t="shared" si="104"/>
        <v>6.4880208333333345</v>
      </c>
      <c r="EY25" s="206">
        <f t="shared" si="79"/>
        <v>2654.19</v>
      </c>
      <c r="FA25">
        <v>0</v>
      </c>
      <c r="FB25">
        <v>1</v>
      </c>
      <c r="FC25">
        <f t="shared" si="23"/>
        <v>2</v>
      </c>
      <c r="FD25" s="89">
        <f t="shared" si="24"/>
        <v>7.7100000000000002E-2</v>
      </c>
      <c r="FE25">
        <v>1</v>
      </c>
      <c r="FF25">
        <f t="shared" si="25"/>
        <v>5</v>
      </c>
      <c r="FG25" s="89">
        <f t="shared" si="26"/>
        <v>0.30830000000000002</v>
      </c>
      <c r="FH25">
        <v>1</v>
      </c>
      <c r="FI25">
        <f t="shared" si="27"/>
        <v>10</v>
      </c>
      <c r="FL25" s="101">
        <v>1102030</v>
      </c>
      <c r="FM25" s="101">
        <v>1102030</v>
      </c>
      <c r="FN25" s="101" t="s">
        <v>867</v>
      </c>
      <c r="FO25" s="14">
        <f>INDEX(卡牌消耗!$C$13:$C$40,MATCH(专属武器强化!FL25,卡牌消耗!$A$13:$A$40,0))</f>
        <v>3</v>
      </c>
      <c r="FS25" s="101">
        <v>20</v>
      </c>
      <c r="FT25" s="101">
        <f t="shared" si="80"/>
        <v>18</v>
      </c>
      <c r="FU25" s="101">
        <f t="shared" si="81"/>
        <v>1</v>
      </c>
      <c r="FV25" s="14">
        <f t="shared" si="82"/>
        <v>5</v>
      </c>
      <c r="FW25" s="101" t="str">
        <f t="shared" si="83"/>
        <v>关羽专属武器-魂珠-2 9级</v>
      </c>
      <c r="FX25" s="101">
        <f t="shared" si="84"/>
        <v>2</v>
      </c>
      <c r="FY25" s="101">
        <f t="shared" si="85"/>
        <v>9</v>
      </c>
      <c r="FZ25" s="101" t="str">
        <f t="shared" si="86"/>
        <v>金币</v>
      </c>
      <c r="GA25" s="139">
        <f>IF($FY25&gt;0,IF(INDEX($EM$6:$EM$77,$FT25)&gt;=GA$3,ROUND(INDEX(EO$6:EO$77,$FT25)*INDEX(卡牌消耗!$B$8:$F$8,FV25)/5,0)*5,""),"")</f>
        <v>3385</v>
      </c>
      <c r="GB25" s="101" t="str">
        <f t="shared" si="87"/>
        <v>专属强化石1</v>
      </c>
      <c r="GC25" s="101">
        <f t="shared" si="88"/>
        <v>24</v>
      </c>
      <c r="GD25" s="101" t="str">
        <f t="shared" si="89"/>
        <v>专属强化石2</v>
      </c>
      <c r="GE25" s="101">
        <f t="shared" si="90"/>
        <v>8</v>
      </c>
      <c r="GF25" s="101">
        <f t="shared" si="91"/>
        <v>0.06</v>
      </c>
      <c r="GG25" s="101">
        <f t="shared" si="92"/>
        <v>1</v>
      </c>
      <c r="GH25" s="101">
        <f t="shared" si="93"/>
        <v>27</v>
      </c>
      <c r="GI25" s="101">
        <f t="shared" si="94"/>
        <v>0</v>
      </c>
      <c r="GJ25" s="101">
        <f t="shared" si="95"/>
        <v>1</v>
      </c>
      <c r="GK25" s="101">
        <f t="shared" si="96"/>
        <v>6</v>
      </c>
      <c r="GL25" s="101">
        <f t="shared" si="97"/>
        <v>2.8000000000000001E-2</v>
      </c>
      <c r="GM25" s="101">
        <f t="shared" si="98"/>
        <v>1</v>
      </c>
      <c r="GN25" s="101">
        <f t="shared" si="99"/>
        <v>12</v>
      </c>
      <c r="GO25" s="101">
        <f t="shared" si="100"/>
        <v>0.11210000000000001</v>
      </c>
      <c r="GP25" s="101">
        <f t="shared" si="101"/>
        <v>1</v>
      </c>
      <c r="GQ25" s="101">
        <f t="shared" si="102"/>
        <v>27</v>
      </c>
    </row>
    <row r="26" spans="1:199" ht="16.5" x14ac:dyDescent="0.2">
      <c r="A26" s="81">
        <v>5</v>
      </c>
      <c r="B26" s="81">
        <v>8</v>
      </c>
      <c r="C26" s="81">
        <v>8</v>
      </c>
      <c r="D26" s="81">
        <v>8</v>
      </c>
      <c r="E26" s="81">
        <v>8</v>
      </c>
      <c r="F26" s="81">
        <v>8</v>
      </c>
      <c r="G26" s="81">
        <v>8</v>
      </c>
      <c r="H26" s="81">
        <v>8</v>
      </c>
      <c r="I26" s="81">
        <v>8</v>
      </c>
      <c r="K26" s="84">
        <f t="shared" si="111"/>
        <v>25.070691823899377</v>
      </c>
      <c r="L26" s="84">
        <f t="shared" si="111"/>
        <v>0</v>
      </c>
      <c r="M26" s="84">
        <f t="shared" si="111"/>
        <v>0</v>
      </c>
      <c r="N26" s="84">
        <f t="shared" si="111"/>
        <v>0</v>
      </c>
      <c r="O26" s="84">
        <f t="shared" si="111"/>
        <v>62.285000000000018</v>
      </c>
      <c r="P26" s="84">
        <f t="shared" si="111"/>
        <v>20.761666666666674</v>
      </c>
      <c r="Q26" s="84">
        <f t="shared" si="111"/>
        <v>0</v>
      </c>
      <c r="R26" s="84">
        <f t="shared" si="111"/>
        <v>0</v>
      </c>
      <c r="S26" s="84">
        <f t="shared" si="111"/>
        <v>103.80833333333335</v>
      </c>
      <c r="T26" s="84">
        <f t="shared" si="111"/>
        <v>51.904166666666676</v>
      </c>
      <c r="U26" s="84">
        <f t="shared" si="112"/>
        <v>0</v>
      </c>
      <c r="V26" s="84">
        <f t="shared" si="112"/>
        <v>0</v>
      </c>
      <c r="W26" s="84">
        <f t="shared" si="112"/>
        <v>0</v>
      </c>
      <c r="X26" s="84">
        <f t="shared" si="112"/>
        <v>104.90105263157898</v>
      </c>
      <c r="Y26" s="84">
        <f t="shared" si="112"/>
        <v>39.525614035087727</v>
      </c>
      <c r="Z26" s="84">
        <f t="shared" si="112"/>
        <v>0</v>
      </c>
      <c r="AA26" s="84">
        <f t="shared" si="112"/>
        <v>0</v>
      </c>
      <c r="AB26" s="84">
        <f t="shared" si="112"/>
        <v>122.38456140350878</v>
      </c>
      <c r="AC26" s="84">
        <f t="shared" si="112"/>
        <v>79.051228070175455</v>
      </c>
      <c r="AD26" s="84">
        <f t="shared" si="112"/>
        <v>0</v>
      </c>
      <c r="AE26" s="84">
        <f t="shared" si="113"/>
        <v>0</v>
      </c>
      <c r="AF26" s="84">
        <f t="shared" si="113"/>
        <v>0</v>
      </c>
      <c r="AG26" s="84">
        <f t="shared" si="113"/>
        <v>238.95030303030305</v>
      </c>
      <c r="AH26" s="84">
        <f t="shared" si="113"/>
        <v>48.274909090909091</v>
      </c>
      <c r="AI26" s="84">
        <f t="shared" si="113"/>
        <v>0</v>
      </c>
      <c r="AJ26" s="84">
        <f t="shared" si="113"/>
        <v>0</v>
      </c>
      <c r="AK26" s="84">
        <f t="shared" si="113"/>
        <v>238.95030303030305</v>
      </c>
      <c r="AL26" s="84">
        <f t="shared" si="113"/>
        <v>80.458181818181814</v>
      </c>
      <c r="AM26" s="84">
        <f t="shared" si="113"/>
        <v>0</v>
      </c>
      <c r="AN26" s="84">
        <f t="shared" si="113"/>
        <v>0</v>
      </c>
      <c r="AO26" s="84">
        <f t="shared" si="113"/>
        <v>0</v>
      </c>
      <c r="AP26" s="84">
        <f t="shared" si="113"/>
        <v>354.01600000000002</v>
      </c>
      <c r="CG26" s="81">
        <v>21</v>
      </c>
      <c r="CH26" s="174">
        <f>INDEX(节奏总表!$CK$4:$CK$63,专属武器强化!CG26)</f>
        <v>103</v>
      </c>
      <c r="CI26" s="81"/>
      <c r="CJ26" s="81">
        <f t="shared" si="13"/>
        <v>5</v>
      </c>
      <c r="CK26" s="14">
        <f t="shared" si="14"/>
        <v>100</v>
      </c>
      <c r="CL26" s="14">
        <f t="shared" si="15"/>
        <v>150</v>
      </c>
      <c r="CM26" s="14">
        <f t="shared" si="16"/>
        <v>25</v>
      </c>
      <c r="CN26" s="14">
        <f t="shared" si="17"/>
        <v>0</v>
      </c>
      <c r="CO26" s="14"/>
      <c r="CP26" s="14"/>
      <c r="CQ26" s="14"/>
      <c r="CR26" s="14"/>
      <c r="CS26" s="14">
        <f>SUM(CK$6:CK26)</f>
        <v>3040</v>
      </c>
      <c r="CT26" s="14">
        <f>SUM(CL$6:CL26)</f>
        <v>1680</v>
      </c>
      <c r="CU26" s="14">
        <f>SUM(CM$6:CM26)</f>
        <v>125</v>
      </c>
      <c r="CV26" s="14">
        <f>SUM(CN$6:CN26)</f>
        <v>0</v>
      </c>
      <c r="CY26" s="83">
        <v>14</v>
      </c>
      <c r="CZ26" s="14">
        <f>INDEX(节奏总表!$CK$4:CK83,专属武器强化!CY26)</f>
        <v>89</v>
      </c>
      <c r="DA26" s="14">
        <f t="shared" si="18"/>
        <v>2140</v>
      </c>
      <c r="DB26" s="14">
        <f t="shared" si="64"/>
        <v>730</v>
      </c>
      <c r="DC26" s="14">
        <f t="shared" si="65"/>
        <v>0</v>
      </c>
      <c r="DD26" s="14">
        <f t="shared" si="66"/>
        <v>0</v>
      </c>
      <c r="DE26" s="83">
        <v>1</v>
      </c>
      <c r="DF26" s="83">
        <v>7</v>
      </c>
      <c r="DG26" s="14">
        <f t="shared" si="67"/>
        <v>197.4316981132076</v>
      </c>
      <c r="DH26" s="14">
        <f t="shared" si="68"/>
        <v>0</v>
      </c>
      <c r="DI26" s="14">
        <f t="shared" si="69"/>
        <v>0</v>
      </c>
      <c r="DJ26" s="14">
        <f t="shared" si="70"/>
        <v>0</v>
      </c>
      <c r="DK26" s="83"/>
      <c r="DL26" s="83"/>
      <c r="DM26" s="83"/>
      <c r="DN26" s="83"/>
      <c r="DO26" s="14">
        <f>DA26-SUM(DG$7:DG26)+SUM(DK$7:DK26)</f>
        <v>563.30499999999961</v>
      </c>
      <c r="DP26" s="14">
        <f>DB26-SUM(DH$7:DH26)+SUM(DL$7:DL26)</f>
        <v>266.25593749999985</v>
      </c>
      <c r="DQ26" s="14">
        <f>DC26-SUM(DI$7:DI26)+SUM(DM$7:DM26)</f>
        <v>0</v>
      </c>
      <c r="DR26" s="14">
        <f>DD26-SUM(DJ$7:DJ26)+SUM(DN$7:DN26)</f>
        <v>0</v>
      </c>
      <c r="DU26" s="95">
        <v>21</v>
      </c>
      <c r="DV26" s="14">
        <f t="shared" si="71"/>
        <v>3</v>
      </c>
      <c r="DW26" s="14">
        <f t="shared" si="72"/>
        <v>3</v>
      </c>
      <c r="DX26" s="14">
        <f t="shared" ref="DX26:EA45" si="114">INDEX($K$22:$AP$30,$DW26,($DV26-1)*4+DX$3)</f>
        <v>38.928125000000009</v>
      </c>
      <c r="DY26" s="14">
        <f t="shared" si="114"/>
        <v>19.464062500000004</v>
      </c>
      <c r="DZ26" s="14">
        <f t="shared" si="114"/>
        <v>0</v>
      </c>
      <c r="EA26" s="14">
        <f t="shared" si="114"/>
        <v>0</v>
      </c>
      <c r="EB26" s="14">
        <f t="shared" si="73"/>
        <v>1</v>
      </c>
      <c r="EC26" s="14">
        <f t="shared" si="74"/>
        <v>2</v>
      </c>
      <c r="EJ26" s="139">
        <v>21</v>
      </c>
      <c r="EK26" s="14">
        <f t="shared" si="76"/>
        <v>3</v>
      </c>
      <c r="EL26" s="19">
        <f t="shared" ref="EL26:EL77" si="115">EL24+EL25</f>
        <v>0.05</v>
      </c>
      <c r="EM26" s="139">
        <v>3</v>
      </c>
      <c r="EN26" s="139" t="s">
        <v>941</v>
      </c>
      <c r="EO26" s="139">
        <f t="shared" si="77"/>
        <v>682</v>
      </c>
      <c r="EP26" s="139" t="s">
        <v>848</v>
      </c>
      <c r="EQ26" s="139">
        <f t="shared" si="109"/>
        <v>6</v>
      </c>
      <c r="ER26" s="139" t="s">
        <v>849</v>
      </c>
      <c r="ES26" s="139">
        <v>3</v>
      </c>
      <c r="ET26" s="139">
        <f t="shared" si="21"/>
        <v>0.15</v>
      </c>
      <c r="EU26" s="139">
        <v>1</v>
      </c>
      <c r="EV26" s="139">
        <f t="shared" si="78"/>
        <v>10</v>
      </c>
      <c r="EW26" s="139"/>
      <c r="EX26" s="139">
        <f t="shared" si="104"/>
        <v>6.4880208333333345</v>
      </c>
      <c r="EY26" s="206">
        <f t="shared" si="79"/>
        <v>4423.6500000000005</v>
      </c>
      <c r="FA26">
        <v>0</v>
      </c>
      <c r="FB26">
        <v>1</v>
      </c>
      <c r="FC26">
        <f t="shared" si="23"/>
        <v>2</v>
      </c>
      <c r="FD26" s="89">
        <f t="shared" si="24"/>
        <v>7.7100000000000002E-2</v>
      </c>
      <c r="FE26">
        <v>1</v>
      </c>
      <c r="FF26">
        <f t="shared" si="25"/>
        <v>5</v>
      </c>
      <c r="FG26" s="89">
        <f t="shared" si="26"/>
        <v>0.30830000000000002</v>
      </c>
      <c r="FH26">
        <v>1</v>
      </c>
      <c r="FI26">
        <f t="shared" si="27"/>
        <v>10</v>
      </c>
      <c r="FL26" s="101">
        <v>1102031</v>
      </c>
      <c r="FM26" s="101">
        <v>1102031</v>
      </c>
      <c r="FN26" s="101" t="s">
        <v>950</v>
      </c>
      <c r="FO26" s="14">
        <f>INDEX(卡牌消耗!$C$13:$C$40,MATCH(专属武器强化!FL26,卡牌消耗!$A$13:$A$40,0))</f>
        <v>4</v>
      </c>
      <c r="FS26" s="101">
        <v>21</v>
      </c>
      <c r="FT26" s="101">
        <f t="shared" si="80"/>
        <v>0</v>
      </c>
      <c r="FU26" s="101">
        <f t="shared" si="81"/>
        <v>1</v>
      </c>
      <c r="FV26" s="14">
        <f t="shared" si="82"/>
        <v>5</v>
      </c>
      <c r="FW26" s="101" t="str">
        <f t="shared" si="83"/>
        <v>关羽专属武器-魂珠-3 0级</v>
      </c>
      <c r="FX26" s="101">
        <f t="shared" si="84"/>
        <v>3</v>
      </c>
      <c r="FY26" s="101">
        <f t="shared" si="85"/>
        <v>0</v>
      </c>
      <c r="FZ26" s="101" t="str">
        <f t="shared" si="86"/>
        <v/>
      </c>
      <c r="GA26" s="139" t="str">
        <f>IF($FY26&gt;0,IF(INDEX($EM$6:$EM$77,$FT26)&gt;=GA$3,ROUND(INDEX(EO$6:EO$77,$FT26)*INDEX(卡牌消耗!$B$8:$F$8,FV26)/5,0)*5,""),"")</f>
        <v/>
      </c>
      <c r="GB26" s="101" t="str">
        <f t="shared" si="87"/>
        <v/>
      </c>
      <c r="GC26" s="101" t="str">
        <f t="shared" si="88"/>
        <v/>
      </c>
      <c r="GD26" s="101" t="str">
        <f t="shared" si="89"/>
        <v/>
      </c>
      <c r="GE26" s="101" t="str">
        <f t="shared" si="90"/>
        <v/>
      </c>
      <c r="GF26" s="101" t="str">
        <f t="shared" si="91"/>
        <v/>
      </c>
      <c r="GG26" s="101" t="str">
        <f t="shared" si="92"/>
        <v/>
      </c>
      <c r="GH26" s="101" t="str">
        <f t="shared" si="93"/>
        <v/>
      </c>
      <c r="GI26" s="101" t="str">
        <f t="shared" si="94"/>
        <v/>
      </c>
      <c r="GJ26" s="101" t="str">
        <f t="shared" si="95"/>
        <v/>
      </c>
      <c r="GK26" s="101" t="str">
        <f t="shared" si="96"/>
        <v/>
      </c>
      <c r="GL26" s="101" t="str">
        <f t="shared" si="97"/>
        <v/>
      </c>
      <c r="GM26" s="101" t="str">
        <f t="shared" si="98"/>
        <v/>
      </c>
      <c r="GN26" s="101" t="str">
        <f t="shared" si="99"/>
        <v/>
      </c>
      <c r="GO26" s="101" t="str">
        <f t="shared" si="100"/>
        <v/>
      </c>
      <c r="GP26" s="101" t="str">
        <f t="shared" si="101"/>
        <v/>
      </c>
      <c r="GQ26" s="101" t="str">
        <f t="shared" si="102"/>
        <v/>
      </c>
    </row>
    <row r="27" spans="1:199" ht="16.5" x14ac:dyDescent="0.2">
      <c r="A27" s="81">
        <v>6</v>
      </c>
      <c r="B27" s="81">
        <v>13</v>
      </c>
      <c r="C27" s="81">
        <v>13</v>
      </c>
      <c r="D27" s="81">
        <v>13</v>
      </c>
      <c r="E27" s="81">
        <v>13</v>
      </c>
      <c r="F27" s="81">
        <v>13</v>
      </c>
      <c r="G27" s="81">
        <v>13</v>
      </c>
      <c r="H27" s="81">
        <v>13</v>
      </c>
      <c r="I27" s="81">
        <v>13</v>
      </c>
      <c r="K27" s="84">
        <f t="shared" si="111"/>
        <v>40.739874213836494</v>
      </c>
      <c r="L27" s="84">
        <f t="shared" si="111"/>
        <v>0</v>
      </c>
      <c r="M27" s="84">
        <f t="shared" si="111"/>
        <v>0</v>
      </c>
      <c r="N27" s="84">
        <f t="shared" si="111"/>
        <v>0</v>
      </c>
      <c r="O27" s="84">
        <f t="shared" si="111"/>
        <v>101.21312500000003</v>
      </c>
      <c r="P27" s="84">
        <f t="shared" si="111"/>
        <v>33.737708333333345</v>
      </c>
      <c r="Q27" s="84">
        <f t="shared" si="111"/>
        <v>0</v>
      </c>
      <c r="R27" s="84">
        <f t="shared" si="111"/>
        <v>0</v>
      </c>
      <c r="S27" s="84">
        <f t="shared" si="111"/>
        <v>168.68854166666671</v>
      </c>
      <c r="T27" s="84">
        <f t="shared" si="111"/>
        <v>84.344270833333354</v>
      </c>
      <c r="U27" s="84">
        <f t="shared" si="112"/>
        <v>0</v>
      </c>
      <c r="V27" s="84">
        <f t="shared" si="112"/>
        <v>0</v>
      </c>
      <c r="W27" s="84">
        <f t="shared" si="112"/>
        <v>0</v>
      </c>
      <c r="X27" s="84">
        <f t="shared" si="112"/>
        <v>170.46421052631584</v>
      </c>
      <c r="Y27" s="84">
        <f t="shared" si="112"/>
        <v>64.229122807017561</v>
      </c>
      <c r="Z27" s="84">
        <f t="shared" si="112"/>
        <v>0</v>
      </c>
      <c r="AA27" s="84">
        <f t="shared" si="112"/>
        <v>0</v>
      </c>
      <c r="AB27" s="84">
        <f t="shared" si="112"/>
        <v>198.87491228070178</v>
      </c>
      <c r="AC27" s="84">
        <f t="shared" si="112"/>
        <v>128.45824561403512</v>
      </c>
      <c r="AD27" s="84">
        <f t="shared" si="112"/>
        <v>0</v>
      </c>
      <c r="AE27" s="84">
        <f t="shared" si="113"/>
        <v>0</v>
      </c>
      <c r="AF27" s="84">
        <f t="shared" si="113"/>
        <v>0</v>
      </c>
      <c r="AG27" s="84">
        <f t="shared" si="113"/>
        <v>388.29424242424244</v>
      </c>
      <c r="AH27" s="84">
        <f t="shared" si="113"/>
        <v>78.446727272727273</v>
      </c>
      <c r="AI27" s="84">
        <f t="shared" si="113"/>
        <v>0</v>
      </c>
      <c r="AJ27" s="84">
        <f t="shared" si="113"/>
        <v>0</v>
      </c>
      <c r="AK27" s="84">
        <f t="shared" si="113"/>
        <v>388.29424242424244</v>
      </c>
      <c r="AL27" s="84">
        <f t="shared" si="113"/>
        <v>130.74454545454543</v>
      </c>
      <c r="AM27" s="84">
        <f t="shared" si="113"/>
        <v>0</v>
      </c>
      <c r="AN27" s="84">
        <f t="shared" si="113"/>
        <v>0</v>
      </c>
      <c r="AO27" s="84">
        <f t="shared" si="113"/>
        <v>0</v>
      </c>
      <c r="AP27" s="84">
        <f t="shared" si="113"/>
        <v>575.27599999999995</v>
      </c>
      <c r="CG27" s="81">
        <v>22</v>
      </c>
      <c r="CH27" s="174">
        <f>INDEX(节奏总表!$CK$4:$CK$63,专属武器强化!CG27)</f>
        <v>105</v>
      </c>
      <c r="CI27" s="81">
        <v>5</v>
      </c>
      <c r="CJ27" s="81">
        <f t="shared" si="13"/>
        <v>5</v>
      </c>
      <c r="CK27" s="14">
        <f t="shared" si="14"/>
        <v>100</v>
      </c>
      <c r="CL27" s="14">
        <f t="shared" si="15"/>
        <v>150</v>
      </c>
      <c r="CM27" s="14">
        <f t="shared" si="16"/>
        <v>25</v>
      </c>
      <c r="CN27" s="14">
        <f t="shared" si="17"/>
        <v>0</v>
      </c>
      <c r="CO27" s="14"/>
      <c r="CP27" s="14"/>
      <c r="CQ27" s="14"/>
      <c r="CR27" s="14"/>
      <c r="CS27" s="14">
        <f>SUM(CK$6:CK27)</f>
        <v>3140</v>
      </c>
      <c r="CT27" s="14">
        <f>SUM(CL$6:CL27)</f>
        <v>1830</v>
      </c>
      <c r="CU27" s="14">
        <f>SUM(CM$6:CM27)</f>
        <v>150</v>
      </c>
      <c r="CV27" s="14">
        <f>SUM(CN$6:CN27)</f>
        <v>0</v>
      </c>
      <c r="CY27" s="83">
        <v>15</v>
      </c>
      <c r="CZ27" s="14">
        <f>INDEX(节奏总表!$CK$4:CK84,专属武器强化!CY27)</f>
        <v>91</v>
      </c>
      <c r="DA27" s="14">
        <f t="shared" si="18"/>
        <v>2340</v>
      </c>
      <c r="DB27" s="14">
        <f t="shared" si="64"/>
        <v>830</v>
      </c>
      <c r="DC27" s="14">
        <f t="shared" si="65"/>
        <v>0</v>
      </c>
      <c r="DD27" s="14">
        <f t="shared" si="66"/>
        <v>0</v>
      </c>
      <c r="DE27" s="83">
        <v>0</v>
      </c>
      <c r="DF27" s="83">
        <v>0</v>
      </c>
      <c r="DG27" s="14">
        <f t="shared" si="67"/>
        <v>0</v>
      </c>
      <c r="DH27" s="14">
        <f t="shared" si="68"/>
        <v>0</v>
      </c>
      <c r="DI27" s="14">
        <f t="shared" si="69"/>
        <v>0</v>
      </c>
      <c r="DJ27" s="14">
        <f t="shared" si="70"/>
        <v>0</v>
      </c>
      <c r="DK27" s="83"/>
      <c r="DL27" s="83"/>
      <c r="DM27" s="83"/>
      <c r="DN27" s="83"/>
      <c r="DO27" s="14">
        <f>DA27-SUM(DG$7:DG27)+SUM(DK$7:DK27)</f>
        <v>763.30499999999961</v>
      </c>
      <c r="DP27" s="14">
        <f>DB27-SUM(DH$7:DH27)+SUM(DL$7:DL27)</f>
        <v>366.25593749999985</v>
      </c>
      <c r="DQ27" s="14">
        <f>DC27-SUM(DI$7:DI27)+SUM(DM$7:DM27)</f>
        <v>0</v>
      </c>
      <c r="DR27" s="14">
        <f>DD27-SUM(DJ$7:DJ27)+SUM(DN$7:DN27)</f>
        <v>0</v>
      </c>
      <c r="DU27" s="95">
        <v>22</v>
      </c>
      <c r="DV27" s="14">
        <f t="shared" si="71"/>
        <v>3</v>
      </c>
      <c r="DW27" s="14">
        <f t="shared" si="72"/>
        <v>4</v>
      </c>
      <c r="DX27" s="14">
        <f t="shared" si="114"/>
        <v>64.880208333333357</v>
      </c>
      <c r="DY27" s="14">
        <f t="shared" si="114"/>
        <v>32.440104166666679</v>
      </c>
      <c r="DZ27" s="14">
        <f t="shared" si="114"/>
        <v>0</v>
      </c>
      <c r="EA27" s="14">
        <f t="shared" si="114"/>
        <v>0</v>
      </c>
      <c r="EB27" s="14">
        <f t="shared" si="73"/>
        <v>1</v>
      </c>
      <c r="EC27" s="14">
        <f t="shared" si="74"/>
        <v>2</v>
      </c>
      <c r="EJ27" s="139">
        <v>22</v>
      </c>
      <c r="EK27" s="14">
        <f t="shared" si="76"/>
        <v>3</v>
      </c>
      <c r="EL27" s="19">
        <f t="shared" si="115"/>
        <v>0.08</v>
      </c>
      <c r="EM27" s="139">
        <v>3</v>
      </c>
      <c r="EN27" s="139" t="s">
        <v>941</v>
      </c>
      <c r="EO27" s="139">
        <f t="shared" si="77"/>
        <v>655</v>
      </c>
      <c r="EP27" s="139" t="s">
        <v>848</v>
      </c>
      <c r="EQ27" s="139">
        <f t="shared" si="109"/>
        <v>6</v>
      </c>
      <c r="ER27" s="139" t="s">
        <v>849</v>
      </c>
      <c r="ES27" s="139">
        <v>3</v>
      </c>
      <c r="ET27" s="139">
        <f t="shared" si="21"/>
        <v>0.09</v>
      </c>
      <c r="EU27" s="139">
        <v>1</v>
      </c>
      <c r="EV27" s="139">
        <f t="shared" si="78"/>
        <v>16</v>
      </c>
      <c r="EW27" s="139"/>
      <c r="EX27" s="139">
        <f t="shared" si="104"/>
        <v>10.813368055555559</v>
      </c>
      <c r="EY27" s="206">
        <f t="shared" si="79"/>
        <v>7077.84</v>
      </c>
      <c r="FA27">
        <v>0</v>
      </c>
      <c r="FB27">
        <v>1</v>
      </c>
      <c r="FC27">
        <f t="shared" si="23"/>
        <v>4</v>
      </c>
      <c r="FD27" s="89">
        <f t="shared" si="24"/>
        <v>4.6199999999999998E-2</v>
      </c>
      <c r="FE27">
        <v>1</v>
      </c>
      <c r="FF27">
        <f t="shared" si="25"/>
        <v>8</v>
      </c>
      <c r="FG27" s="89">
        <f t="shared" si="26"/>
        <v>0.185</v>
      </c>
      <c r="FH27">
        <v>1</v>
      </c>
      <c r="FI27">
        <f t="shared" si="27"/>
        <v>16</v>
      </c>
      <c r="FS27" s="101">
        <v>22</v>
      </c>
      <c r="FT27" s="101">
        <f t="shared" si="80"/>
        <v>19</v>
      </c>
      <c r="FU27" s="101">
        <f t="shared" si="81"/>
        <v>1</v>
      </c>
      <c r="FV27" s="14">
        <f t="shared" si="82"/>
        <v>5</v>
      </c>
      <c r="FW27" s="101" t="str">
        <f t="shared" si="83"/>
        <v>关羽专属武器-魂珠-3 1级</v>
      </c>
      <c r="FX27" s="101">
        <f t="shared" si="84"/>
        <v>3</v>
      </c>
      <c r="FY27" s="101">
        <f t="shared" si="85"/>
        <v>1</v>
      </c>
      <c r="FZ27" s="101" t="str">
        <f t="shared" si="86"/>
        <v>金币</v>
      </c>
      <c r="GA27" s="139">
        <f>IF($FY27&gt;0,IF(INDEX($EM$6:$EM$77,$FT27)&gt;=GA$3,ROUND(INDEX(EO$6:EO$77,$FT27)*INDEX(卡牌消耗!$B$8:$F$8,FV27)/5,0)*5,""),"")</f>
        <v>1090</v>
      </c>
      <c r="GB27" s="101" t="str">
        <f t="shared" si="87"/>
        <v>专属强化石1</v>
      </c>
      <c r="GC27" s="101">
        <f t="shared" si="88"/>
        <v>4</v>
      </c>
      <c r="GD27" s="101" t="str">
        <f t="shared" si="89"/>
        <v>专属强化石2</v>
      </c>
      <c r="GE27" s="101">
        <f t="shared" si="90"/>
        <v>2</v>
      </c>
      <c r="GF27" s="101">
        <f t="shared" si="91"/>
        <v>0.31</v>
      </c>
      <c r="GG27" s="101">
        <f t="shared" si="92"/>
        <v>1</v>
      </c>
      <c r="GH27" s="101">
        <f t="shared" si="93"/>
        <v>5</v>
      </c>
      <c r="GI27" s="101">
        <f t="shared" si="94"/>
        <v>0</v>
      </c>
      <c r="GJ27" s="101">
        <f t="shared" si="95"/>
        <v>1</v>
      </c>
      <c r="GK27" s="101">
        <f t="shared" si="96"/>
        <v>1</v>
      </c>
      <c r="GL27" s="101">
        <f t="shared" si="97"/>
        <v>0.15409999999999999</v>
      </c>
      <c r="GM27" s="101">
        <f t="shared" si="98"/>
        <v>1</v>
      </c>
      <c r="GN27" s="101">
        <f t="shared" si="99"/>
        <v>2</v>
      </c>
      <c r="GO27" s="101">
        <f t="shared" si="100"/>
        <v>0.61650000000000005</v>
      </c>
      <c r="GP27" s="101">
        <f t="shared" si="101"/>
        <v>1</v>
      </c>
      <c r="GQ27" s="101">
        <f t="shared" si="102"/>
        <v>5</v>
      </c>
    </row>
    <row r="28" spans="1:199" ht="16.5" x14ac:dyDescent="0.2">
      <c r="A28" s="81">
        <v>7</v>
      </c>
      <c r="B28" s="81">
        <v>21</v>
      </c>
      <c r="C28" s="81">
        <v>21</v>
      </c>
      <c r="D28" s="81">
        <v>21</v>
      </c>
      <c r="E28" s="81">
        <v>21</v>
      </c>
      <c r="F28" s="81">
        <v>21</v>
      </c>
      <c r="G28" s="81">
        <v>21</v>
      </c>
      <c r="H28" s="81">
        <v>21</v>
      </c>
      <c r="I28" s="81">
        <v>21</v>
      </c>
      <c r="K28" s="84">
        <f t="shared" si="111"/>
        <v>65.810566037735867</v>
      </c>
      <c r="L28" s="84">
        <f t="shared" si="111"/>
        <v>0</v>
      </c>
      <c r="M28" s="84">
        <f t="shared" si="111"/>
        <v>0</v>
      </c>
      <c r="N28" s="84">
        <f t="shared" si="111"/>
        <v>0</v>
      </c>
      <c r="O28" s="84">
        <f t="shared" si="111"/>
        <v>163.49812500000004</v>
      </c>
      <c r="P28" s="84">
        <f t="shared" si="111"/>
        <v>54.499375000000015</v>
      </c>
      <c r="Q28" s="84">
        <f t="shared" si="111"/>
        <v>0</v>
      </c>
      <c r="R28" s="84">
        <f t="shared" si="111"/>
        <v>0</v>
      </c>
      <c r="S28" s="84">
        <f t="shared" si="111"/>
        <v>272.49687500000005</v>
      </c>
      <c r="T28" s="84">
        <f t="shared" si="111"/>
        <v>136.24843750000002</v>
      </c>
      <c r="U28" s="84">
        <f t="shared" si="112"/>
        <v>0</v>
      </c>
      <c r="V28" s="84">
        <f t="shared" si="112"/>
        <v>0</v>
      </c>
      <c r="W28" s="84">
        <f t="shared" si="112"/>
        <v>0</v>
      </c>
      <c r="X28" s="84">
        <f t="shared" si="112"/>
        <v>275.36526315789479</v>
      </c>
      <c r="Y28" s="84">
        <f t="shared" si="112"/>
        <v>103.75473684210529</v>
      </c>
      <c r="Z28" s="84">
        <f t="shared" si="112"/>
        <v>0</v>
      </c>
      <c r="AA28" s="84">
        <f t="shared" si="112"/>
        <v>0</v>
      </c>
      <c r="AB28" s="84">
        <f t="shared" si="112"/>
        <v>321.25947368421055</v>
      </c>
      <c r="AC28" s="84">
        <f t="shared" si="112"/>
        <v>207.50947368421058</v>
      </c>
      <c r="AD28" s="84">
        <f t="shared" si="112"/>
        <v>0</v>
      </c>
      <c r="AE28" s="84">
        <f t="shared" si="113"/>
        <v>0</v>
      </c>
      <c r="AF28" s="84">
        <f t="shared" si="113"/>
        <v>0</v>
      </c>
      <c r="AG28" s="84">
        <f t="shared" si="113"/>
        <v>627.24454545454546</v>
      </c>
      <c r="AH28" s="84">
        <f t="shared" si="113"/>
        <v>126.72163636363634</v>
      </c>
      <c r="AI28" s="84">
        <f t="shared" si="113"/>
        <v>0</v>
      </c>
      <c r="AJ28" s="84">
        <f t="shared" si="113"/>
        <v>0</v>
      </c>
      <c r="AK28" s="84">
        <f t="shared" si="113"/>
        <v>627.24454545454546</v>
      </c>
      <c r="AL28" s="84">
        <f t="shared" si="113"/>
        <v>211.20272727272729</v>
      </c>
      <c r="AM28" s="84">
        <f t="shared" si="113"/>
        <v>0</v>
      </c>
      <c r="AN28" s="84">
        <f t="shared" si="113"/>
        <v>0</v>
      </c>
      <c r="AO28" s="84">
        <f t="shared" si="113"/>
        <v>0</v>
      </c>
      <c r="AP28" s="84">
        <f t="shared" si="113"/>
        <v>929.29199999999992</v>
      </c>
      <c r="CG28" s="81">
        <v>23</v>
      </c>
      <c r="CH28" s="174">
        <f>INDEX(节奏总表!$CK$4:$CK$63,专属武器强化!CG28)</f>
        <v>107</v>
      </c>
      <c r="CI28" s="81"/>
      <c r="CJ28" s="81">
        <f t="shared" si="13"/>
        <v>5</v>
      </c>
      <c r="CK28" s="14">
        <f t="shared" si="14"/>
        <v>100</v>
      </c>
      <c r="CL28" s="14">
        <f t="shared" si="15"/>
        <v>150</v>
      </c>
      <c r="CM28" s="14">
        <f t="shared" si="16"/>
        <v>25</v>
      </c>
      <c r="CN28" s="14">
        <f t="shared" si="17"/>
        <v>0</v>
      </c>
      <c r="CO28" s="14"/>
      <c r="CP28" s="14"/>
      <c r="CQ28" s="14"/>
      <c r="CR28" s="14"/>
      <c r="CS28" s="14">
        <f>SUM(CK$6:CK28)</f>
        <v>3240</v>
      </c>
      <c r="CT28" s="14">
        <f>SUM(CL$6:CL28)</f>
        <v>1980</v>
      </c>
      <c r="CU28" s="14">
        <f>SUM(CM$6:CM28)</f>
        <v>175</v>
      </c>
      <c r="CV28" s="14">
        <f>SUM(CN$6:CN28)</f>
        <v>0</v>
      </c>
      <c r="CY28" s="83">
        <v>16</v>
      </c>
      <c r="CZ28" s="14">
        <f>INDEX(节奏总表!$CK$4:CK85,专属武器强化!CY28)</f>
        <v>93</v>
      </c>
      <c r="DA28" s="14">
        <f t="shared" si="18"/>
        <v>2540</v>
      </c>
      <c r="DB28" s="14">
        <f t="shared" si="64"/>
        <v>930</v>
      </c>
      <c r="DC28" s="14">
        <f t="shared" si="65"/>
        <v>0</v>
      </c>
      <c r="DD28" s="14">
        <f t="shared" si="66"/>
        <v>0</v>
      </c>
      <c r="DE28" s="83">
        <v>2</v>
      </c>
      <c r="DF28" s="83">
        <v>6</v>
      </c>
      <c r="DG28" s="14">
        <f t="shared" si="67"/>
        <v>303.63937500000009</v>
      </c>
      <c r="DH28" s="14">
        <f t="shared" si="68"/>
        <v>101.21312500000003</v>
      </c>
      <c r="DI28" s="14">
        <f t="shared" si="69"/>
        <v>0</v>
      </c>
      <c r="DJ28" s="14">
        <f t="shared" si="70"/>
        <v>0</v>
      </c>
      <c r="DK28" s="83"/>
      <c r="DL28" s="83"/>
      <c r="DM28" s="83"/>
      <c r="DN28" s="83"/>
      <c r="DO28" s="14">
        <f>DA28-SUM(DG$7:DG28)+SUM(DK$7:DK28)</f>
        <v>659.66562499999964</v>
      </c>
      <c r="DP28" s="14">
        <f>DB28-SUM(DH$7:DH28)+SUM(DL$7:DL28)</f>
        <v>365.04281249999985</v>
      </c>
      <c r="DQ28" s="14">
        <f>DC28-SUM(DI$7:DI28)+SUM(DM$7:DM28)</f>
        <v>0</v>
      </c>
      <c r="DR28" s="14">
        <f>DD28-SUM(DJ$7:DJ28)+SUM(DN$7:DN28)</f>
        <v>0</v>
      </c>
      <c r="DU28" s="95">
        <v>23</v>
      </c>
      <c r="DV28" s="14">
        <f t="shared" si="71"/>
        <v>3</v>
      </c>
      <c r="DW28" s="14">
        <f t="shared" si="72"/>
        <v>5</v>
      </c>
      <c r="DX28" s="14">
        <f t="shared" si="114"/>
        <v>103.80833333333335</v>
      </c>
      <c r="DY28" s="14">
        <f t="shared" si="114"/>
        <v>51.904166666666676</v>
      </c>
      <c r="DZ28" s="14">
        <f t="shared" si="114"/>
        <v>0</v>
      </c>
      <c r="EA28" s="14">
        <f t="shared" si="114"/>
        <v>0</v>
      </c>
      <c r="EB28" s="14">
        <f t="shared" si="73"/>
        <v>1</v>
      </c>
      <c r="EC28" s="14">
        <f t="shared" si="74"/>
        <v>2</v>
      </c>
      <c r="EJ28" s="139">
        <v>23</v>
      </c>
      <c r="EK28" s="14">
        <f t="shared" si="76"/>
        <v>3</v>
      </c>
      <c r="EL28" s="19">
        <f t="shared" si="115"/>
        <v>0.13</v>
      </c>
      <c r="EM28" s="139">
        <v>3</v>
      </c>
      <c r="EN28" s="139" t="s">
        <v>941</v>
      </c>
      <c r="EO28" s="139">
        <f t="shared" si="77"/>
        <v>886</v>
      </c>
      <c r="EP28" s="139" t="s">
        <v>848</v>
      </c>
      <c r="EQ28" s="139">
        <f t="shared" si="109"/>
        <v>8</v>
      </c>
      <c r="ER28" s="139" t="s">
        <v>849</v>
      </c>
      <c r="ES28" s="139">
        <v>4</v>
      </c>
      <c r="ET28" s="139">
        <f t="shared" si="21"/>
        <v>0.08</v>
      </c>
      <c r="EU28" s="139">
        <v>1</v>
      </c>
      <c r="EV28" s="139">
        <f t="shared" si="78"/>
        <v>19</v>
      </c>
      <c r="EW28" s="139"/>
      <c r="EX28" s="139">
        <f t="shared" si="104"/>
        <v>12.976041666666669</v>
      </c>
      <c r="EY28" s="206">
        <f t="shared" si="79"/>
        <v>11501.49</v>
      </c>
      <c r="FA28">
        <v>0</v>
      </c>
      <c r="FB28">
        <v>1</v>
      </c>
      <c r="FC28">
        <f t="shared" si="23"/>
        <v>5</v>
      </c>
      <c r="FD28" s="89">
        <f t="shared" si="24"/>
        <v>3.85E-2</v>
      </c>
      <c r="FE28">
        <v>1</v>
      </c>
      <c r="FF28">
        <f t="shared" si="25"/>
        <v>9</v>
      </c>
      <c r="FG28" s="89">
        <f t="shared" si="26"/>
        <v>0.15409999999999999</v>
      </c>
      <c r="FH28">
        <v>1</v>
      </c>
      <c r="FI28">
        <f t="shared" si="27"/>
        <v>19</v>
      </c>
      <c r="FS28" s="101">
        <v>23</v>
      </c>
      <c r="FT28" s="101">
        <f t="shared" si="80"/>
        <v>20</v>
      </c>
      <c r="FU28" s="101">
        <f t="shared" si="81"/>
        <v>1</v>
      </c>
      <c r="FV28" s="14">
        <f t="shared" si="82"/>
        <v>5</v>
      </c>
      <c r="FW28" s="101" t="str">
        <f t="shared" si="83"/>
        <v>关羽专属武器-魂珠-3 2级</v>
      </c>
      <c r="FX28" s="101">
        <f t="shared" si="84"/>
        <v>3</v>
      </c>
      <c r="FY28" s="101">
        <f t="shared" si="85"/>
        <v>2</v>
      </c>
      <c r="FZ28" s="101" t="str">
        <f t="shared" si="86"/>
        <v>金币</v>
      </c>
      <c r="GA28" s="139">
        <f>IF($FY28&gt;0,IF(INDEX($EM$6:$EM$77,$FT28)&gt;=GA$3,ROUND(INDEX(EO$6:EO$77,$FT28)*INDEX(卡牌消耗!$B$8:$F$8,FV28)/5,0)*5,""),"")</f>
        <v>820</v>
      </c>
      <c r="GB28" s="101" t="str">
        <f t="shared" si="87"/>
        <v>专属强化石1</v>
      </c>
      <c r="GC28" s="101">
        <f t="shared" si="88"/>
        <v>4</v>
      </c>
      <c r="GD28" s="101" t="str">
        <f t="shared" si="89"/>
        <v>专属强化石2</v>
      </c>
      <c r="GE28" s="101">
        <f t="shared" si="90"/>
        <v>2</v>
      </c>
      <c r="GF28" s="101">
        <f t="shared" si="91"/>
        <v>0.15</v>
      </c>
      <c r="GG28" s="101">
        <f t="shared" si="92"/>
        <v>1</v>
      </c>
      <c r="GH28" s="101">
        <f t="shared" si="93"/>
        <v>10</v>
      </c>
      <c r="GI28" s="101">
        <f t="shared" si="94"/>
        <v>0</v>
      </c>
      <c r="GJ28" s="101">
        <f t="shared" si="95"/>
        <v>1</v>
      </c>
      <c r="GK28" s="101">
        <f t="shared" si="96"/>
        <v>2</v>
      </c>
      <c r="GL28" s="101">
        <f t="shared" si="97"/>
        <v>7.7100000000000002E-2</v>
      </c>
      <c r="GM28" s="101">
        <f t="shared" si="98"/>
        <v>1</v>
      </c>
      <c r="GN28" s="101">
        <f t="shared" si="99"/>
        <v>5</v>
      </c>
      <c r="GO28" s="101">
        <f t="shared" si="100"/>
        <v>0.30830000000000002</v>
      </c>
      <c r="GP28" s="101">
        <f t="shared" si="101"/>
        <v>1</v>
      </c>
      <c r="GQ28" s="101">
        <f t="shared" si="102"/>
        <v>10</v>
      </c>
    </row>
    <row r="29" spans="1:199" ht="16.5" x14ac:dyDescent="0.2">
      <c r="A29" s="81">
        <v>8</v>
      </c>
      <c r="B29" s="81">
        <v>34</v>
      </c>
      <c r="C29" s="81">
        <v>34</v>
      </c>
      <c r="D29" s="81">
        <v>34</v>
      </c>
      <c r="E29" s="81">
        <v>34</v>
      </c>
      <c r="F29" s="81">
        <v>34</v>
      </c>
      <c r="G29" s="81">
        <v>34</v>
      </c>
      <c r="H29" s="81">
        <v>34</v>
      </c>
      <c r="I29" s="81">
        <v>34</v>
      </c>
      <c r="K29" s="84">
        <f t="shared" si="111"/>
        <v>106.55044025157235</v>
      </c>
      <c r="L29" s="84">
        <f t="shared" si="111"/>
        <v>0</v>
      </c>
      <c r="M29" s="84">
        <f t="shared" si="111"/>
        <v>0</v>
      </c>
      <c r="N29" s="84">
        <f t="shared" si="111"/>
        <v>0</v>
      </c>
      <c r="O29" s="84">
        <f t="shared" si="111"/>
        <v>264.71125000000006</v>
      </c>
      <c r="P29" s="84">
        <f t="shared" si="111"/>
        <v>88.237083333333359</v>
      </c>
      <c r="Q29" s="84">
        <f t="shared" si="111"/>
        <v>0</v>
      </c>
      <c r="R29" s="84">
        <f t="shared" si="111"/>
        <v>0</v>
      </c>
      <c r="S29" s="84">
        <f t="shared" si="111"/>
        <v>441.18541666666675</v>
      </c>
      <c r="T29" s="84">
        <f t="shared" si="111"/>
        <v>220.59270833333338</v>
      </c>
      <c r="U29" s="84">
        <f t="shared" si="112"/>
        <v>0</v>
      </c>
      <c r="V29" s="84">
        <f t="shared" si="112"/>
        <v>0</v>
      </c>
      <c r="W29" s="84">
        <f t="shared" si="112"/>
        <v>0</v>
      </c>
      <c r="X29" s="84">
        <f t="shared" si="112"/>
        <v>445.8294736842106</v>
      </c>
      <c r="Y29" s="84">
        <f t="shared" si="112"/>
        <v>167.98385964912282</v>
      </c>
      <c r="Z29" s="84">
        <f t="shared" si="112"/>
        <v>0</v>
      </c>
      <c r="AA29" s="84">
        <f t="shared" si="112"/>
        <v>0</v>
      </c>
      <c r="AB29" s="84">
        <f t="shared" si="112"/>
        <v>520.13438596491233</v>
      </c>
      <c r="AC29" s="84">
        <f t="shared" si="112"/>
        <v>335.96771929824564</v>
      </c>
      <c r="AD29" s="84">
        <f t="shared" si="112"/>
        <v>0</v>
      </c>
      <c r="AE29" s="84">
        <f t="shared" si="113"/>
        <v>0</v>
      </c>
      <c r="AF29" s="84">
        <f t="shared" si="113"/>
        <v>0</v>
      </c>
      <c r="AG29" s="84">
        <f t="shared" si="113"/>
        <v>1015.5387878787878</v>
      </c>
      <c r="AH29" s="84">
        <f t="shared" si="113"/>
        <v>205.16836363636364</v>
      </c>
      <c r="AI29" s="84">
        <f t="shared" si="113"/>
        <v>0</v>
      </c>
      <c r="AJ29" s="84">
        <f t="shared" si="113"/>
        <v>0</v>
      </c>
      <c r="AK29" s="84">
        <f t="shared" si="113"/>
        <v>1015.5387878787878</v>
      </c>
      <c r="AL29" s="84">
        <f t="shared" si="113"/>
        <v>341.94727272727272</v>
      </c>
      <c r="AM29" s="84">
        <f t="shared" si="113"/>
        <v>0</v>
      </c>
      <c r="AN29" s="84">
        <f t="shared" si="113"/>
        <v>0</v>
      </c>
      <c r="AO29" s="84">
        <f t="shared" si="113"/>
        <v>0</v>
      </c>
      <c r="AP29" s="84">
        <f t="shared" si="113"/>
        <v>1504.568</v>
      </c>
      <c r="CG29" s="81">
        <v>24</v>
      </c>
      <c r="CH29" s="174">
        <f>INDEX(节奏总表!$CK$4:$CK$63,专属武器强化!CG29)</f>
        <v>108</v>
      </c>
      <c r="CI29" s="81"/>
      <c r="CJ29" s="81">
        <f t="shared" si="13"/>
        <v>5</v>
      </c>
      <c r="CK29" s="14">
        <f t="shared" si="14"/>
        <v>100</v>
      </c>
      <c r="CL29" s="14">
        <f t="shared" si="15"/>
        <v>150</v>
      </c>
      <c r="CM29" s="14">
        <f t="shared" si="16"/>
        <v>25</v>
      </c>
      <c r="CN29" s="14">
        <f t="shared" si="17"/>
        <v>0</v>
      </c>
      <c r="CO29" s="14"/>
      <c r="CP29" s="14"/>
      <c r="CQ29" s="14"/>
      <c r="CR29" s="14"/>
      <c r="CS29" s="14">
        <f>SUM(CK$6:CK29)</f>
        <v>3340</v>
      </c>
      <c r="CT29" s="14">
        <f>SUM(CL$6:CL29)</f>
        <v>2130</v>
      </c>
      <c r="CU29" s="14">
        <f>SUM(CM$6:CM29)</f>
        <v>200</v>
      </c>
      <c r="CV29" s="14">
        <f>SUM(CN$6:CN29)</f>
        <v>0</v>
      </c>
      <c r="CY29" s="83">
        <v>17</v>
      </c>
      <c r="CZ29" s="14">
        <f>INDEX(节奏总表!$CK$4:CK86,专属武器强化!CY29)</f>
        <v>95</v>
      </c>
      <c r="DA29" s="14">
        <f t="shared" si="18"/>
        <v>2640</v>
      </c>
      <c r="DB29" s="14">
        <f t="shared" si="64"/>
        <v>1080</v>
      </c>
      <c r="DC29" s="14">
        <f t="shared" si="65"/>
        <v>25</v>
      </c>
      <c r="DD29" s="14">
        <f t="shared" si="66"/>
        <v>0</v>
      </c>
      <c r="DE29" s="83">
        <v>4</v>
      </c>
      <c r="DF29" s="83">
        <v>1</v>
      </c>
      <c r="DG29" s="14">
        <f t="shared" si="67"/>
        <v>0</v>
      </c>
      <c r="DH29" s="14">
        <f t="shared" si="68"/>
        <v>39.337894736842117</v>
      </c>
      <c r="DI29" s="14">
        <f t="shared" si="69"/>
        <v>14.822105263157898</v>
      </c>
      <c r="DJ29" s="14">
        <f t="shared" si="70"/>
        <v>0</v>
      </c>
      <c r="DK29" s="83"/>
      <c r="DL29" s="83"/>
      <c r="DM29" s="83"/>
      <c r="DN29" s="83"/>
      <c r="DO29" s="14">
        <f>DA29-SUM(DG$7:DG29)+SUM(DK$7:DK29)</f>
        <v>759.66562499999964</v>
      </c>
      <c r="DP29" s="14">
        <f>DB29-SUM(DH$7:DH29)+SUM(DL$7:DL29)</f>
        <v>475.70491776315771</v>
      </c>
      <c r="DQ29" s="14">
        <f>DC29-SUM(DI$7:DI29)+SUM(DM$7:DM29)</f>
        <v>10.177894736842102</v>
      </c>
      <c r="DR29" s="14">
        <f>DD29-SUM(DJ$7:DJ29)+SUM(DN$7:DN29)</f>
        <v>0</v>
      </c>
      <c r="DU29" s="95">
        <v>24</v>
      </c>
      <c r="DV29" s="14">
        <f t="shared" si="71"/>
        <v>3</v>
      </c>
      <c r="DW29" s="14">
        <f t="shared" si="72"/>
        <v>6</v>
      </c>
      <c r="DX29" s="14">
        <f t="shared" si="114"/>
        <v>168.68854166666671</v>
      </c>
      <c r="DY29" s="14">
        <f t="shared" si="114"/>
        <v>84.344270833333354</v>
      </c>
      <c r="DZ29" s="14">
        <f t="shared" si="114"/>
        <v>0</v>
      </c>
      <c r="EA29" s="14">
        <f t="shared" si="114"/>
        <v>0</v>
      </c>
      <c r="EB29" s="14">
        <f t="shared" si="73"/>
        <v>1</v>
      </c>
      <c r="EC29" s="14">
        <f t="shared" si="74"/>
        <v>2</v>
      </c>
      <c r="EJ29" s="139">
        <v>24</v>
      </c>
      <c r="EK29" s="14">
        <f t="shared" si="76"/>
        <v>3</v>
      </c>
      <c r="EL29" s="19">
        <f t="shared" si="115"/>
        <v>0.21000000000000002</v>
      </c>
      <c r="EM29" s="139">
        <v>3</v>
      </c>
      <c r="EN29" s="139" t="s">
        <v>941</v>
      </c>
      <c r="EO29" s="139">
        <f t="shared" si="77"/>
        <v>1101</v>
      </c>
      <c r="EP29" s="139" t="s">
        <v>848</v>
      </c>
      <c r="EQ29" s="139">
        <f t="shared" si="109"/>
        <v>10</v>
      </c>
      <c r="ER29" s="139" t="s">
        <v>849</v>
      </c>
      <c r="ES29" s="139">
        <v>5</v>
      </c>
      <c r="ET29" s="139">
        <f t="shared" si="21"/>
        <v>0.06</v>
      </c>
      <c r="EU29" s="139">
        <v>1</v>
      </c>
      <c r="EV29" s="139">
        <f t="shared" si="78"/>
        <v>25</v>
      </c>
      <c r="EW29" s="139"/>
      <c r="EX29" s="139">
        <f t="shared" si="104"/>
        <v>16.868854166666672</v>
      </c>
      <c r="EY29" s="206">
        <f t="shared" si="79"/>
        <v>18579.330000000002</v>
      </c>
      <c r="FA29">
        <v>0</v>
      </c>
      <c r="FB29">
        <v>1</v>
      </c>
      <c r="FC29">
        <f t="shared" si="23"/>
        <v>6</v>
      </c>
      <c r="FD29" s="89">
        <f t="shared" si="24"/>
        <v>2.9600000000000001E-2</v>
      </c>
      <c r="FE29">
        <v>1</v>
      </c>
      <c r="FF29">
        <f t="shared" si="25"/>
        <v>12</v>
      </c>
      <c r="FG29" s="89">
        <f t="shared" si="26"/>
        <v>0.1186</v>
      </c>
      <c r="FH29">
        <v>1</v>
      </c>
      <c r="FI29">
        <f t="shared" si="27"/>
        <v>25</v>
      </c>
      <c r="FS29" s="101">
        <v>24</v>
      </c>
      <c r="FT29" s="101">
        <f t="shared" si="80"/>
        <v>21</v>
      </c>
      <c r="FU29" s="101">
        <f t="shared" si="81"/>
        <v>1</v>
      </c>
      <c r="FV29" s="14">
        <f t="shared" si="82"/>
        <v>5</v>
      </c>
      <c r="FW29" s="101" t="str">
        <f t="shared" si="83"/>
        <v>关羽专属武器-魂珠-3 3级</v>
      </c>
      <c r="FX29" s="101">
        <f t="shared" si="84"/>
        <v>3</v>
      </c>
      <c r="FY29" s="101">
        <f t="shared" si="85"/>
        <v>3</v>
      </c>
      <c r="FZ29" s="101" t="str">
        <f t="shared" si="86"/>
        <v>金币</v>
      </c>
      <c r="GA29" s="139">
        <f>IF($FY29&gt;0,IF(INDEX($EM$6:$EM$77,$FT29)&gt;=GA$3,ROUND(INDEX(EO$6:EO$77,$FT29)*INDEX(卡牌消耗!$B$8:$F$8,FV29)/5,0)*5,""),"")</f>
        <v>1365</v>
      </c>
      <c r="GB29" s="101" t="str">
        <f t="shared" si="87"/>
        <v>专属强化石1</v>
      </c>
      <c r="GC29" s="101">
        <f t="shared" si="88"/>
        <v>6</v>
      </c>
      <c r="GD29" s="101" t="str">
        <f t="shared" si="89"/>
        <v>专属强化石2</v>
      </c>
      <c r="GE29" s="101">
        <f t="shared" si="90"/>
        <v>3</v>
      </c>
      <c r="GF29" s="101">
        <f t="shared" si="91"/>
        <v>0.15</v>
      </c>
      <c r="GG29" s="101">
        <f t="shared" si="92"/>
        <v>1</v>
      </c>
      <c r="GH29" s="101">
        <f t="shared" si="93"/>
        <v>10</v>
      </c>
      <c r="GI29" s="101">
        <f t="shared" si="94"/>
        <v>0</v>
      </c>
      <c r="GJ29" s="101">
        <f t="shared" si="95"/>
        <v>1</v>
      </c>
      <c r="GK29" s="101">
        <f t="shared" si="96"/>
        <v>2</v>
      </c>
      <c r="GL29" s="101">
        <f t="shared" si="97"/>
        <v>7.7100000000000002E-2</v>
      </c>
      <c r="GM29" s="101">
        <f t="shared" si="98"/>
        <v>1</v>
      </c>
      <c r="GN29" s="101">
        <f t="shared" si="99"/>
        <v>5</v>
      </c>
      <c r="GO29" s="101">
        <f t="shared" si="100"/>
        <v>0.30830000000000002</v>
      </c>
      <c r="GP29" s="101">
        <f t="shared" si="101"/>
        <v>1</v>
      </c>
      <c r="GQ29" s="101">
        <f t="shared" si="102"/>
        <v>10</v>
      </c>
    </row>
    <row r="30" spans="1:199" ht="16.5" x14ac:dyDescent="0.2">
      <c r="A30" s="81">
        <v>9</v>
      </c>
      <c r="B30" s="81">
        <v>55</v>
      </c>
      <c r="C30" s="81">
        <v>55</v>
      </c>
      <c r="D30" s="81">
        <v>55</v>
      </c>
      <c r="E30" s="81">
        <v>55</v>
      </c>
      <c r="F30" s="81">
        <v>55</v>
      </c>
      <c r="G30" s="81">
        <v>55</v>
      </c>
      <c r="H30" s="81">
        <v>55</v>
      </c>
      <c r="I30" s="81">
        <v>55</v>
      </c>
      <c r="K30" s="84">
        <f t="shared" si="111"/>
        <v>172.36100628930822</v>
      </c>
      <c r="L30" s="84">
        <f t="shared" si="111"/>
        <v>0</v>
      </c>
      <c r="M30" s="84">
        <f t="shared" si="111"/>
        <v>0</v>
      </c>
      <c r="N30" s="84">
        <f t="shared" si="111"/>
        <v>0</v>
      </c>
      <c r="O30" s="84">
        <f t="shared" si="111"/>
        <v>428.20937500000014</v>
      </c>
      <c r="P30" s="84">
        <f t="shared" si="111"/>
        <v>142.73645833333339</v>
      </c>
      <c r="Q30" s="84">
        <f t="shared" si="111"/>
        <v>0</v>
      </c>
      <c r="R30" s="84">
        <f t="shared" si="111"/>
        <v>0</v>
      </c>
      <c r="S30" s="84">
        <f t="shared" si="111"/>
        <v>713.68229166666686</v>
      </c>
      <c r="T30" s="84">
        <f t="shared" si="111"/>
        <v>356.84114583333343</v>
      </c>
      <c r="U30" s="84">
        <f t="shared" si="112"/>
        <v>0</v>
      </c>
      <c r="V30" s="84">
        <f t="shared" si="112"/>
        <v>0</v>
      </c>
      <c r="W30" s="84">
        <f t="shared" si="112"/>
        <v>0</v>
      </c>
      <c r="X30" s="84">
        <f t="shared" si="112"/>
        <v>721.1947368421055</v>
      </c>
      <c r="Y30" s="84">
        <f t="shared" si="112"/>
        <v>271.73859649122812</v>
      </c>
      <c r="Z30" s="84">
        <f t="shared" si="112"/>
        <v>0</v>
      </c>
      <c r="AA30" s="84">
        <f t="shared" si="112"/>
        <v>0</v>
      </c>
      <c r="AB30" s="84">
        <f t="shared" si="112"/>
        <v>841.39385964912287</v>
      </c>
      <c r="AC30" s="84">
        <f t="shared" si="112"/>
        <v>543.47719298245624</v>
      </c>
      <c r="AD30" s="84">
        <f t="shared" si="112"/>
        <v>0</v>
      </c>
      <c r="AE30" s="84">
        <f t="shared" si="113"/>
        <v>0</v>
      </c>
      <c r="AF30" s="84">
        <f t="shared" si="113"/>
        <v>0</v>
      </c>
      <c r="AG30" s="84">
        <f t="shared" si="113"/>
        <v>1642.7833333333335</v>
      </c>
      <c r="AH30" s="84">
        <f t="shared" si="113"/>
        <v>331.89</v>
      </c>
      <c r="AI30" s="84">
        <f t="shared" si="113"/>
        <v>0</v>
      </c>
      <c r="AJ30" s="84">
        <f t="shared" si="113"/>
        <v>0</v>
      </c>
      <c r="AK30" s="84">
        <f t="shared" si="113"/>
        <v>1642.7833333333335</v>
      </c>
      <c r="AL30" s="84">
        <f t="shared" si="113"/>
        <v>553.15</v>
      </c>
      <c r="AM30" s="84">
        <f t="shared" si="113"/>
        <v>0</v>
      </c>
      <c r="AN30" s="84">
        <f t="shared" si="113"/>
        <v>0</v>
      </c>
      <c r="AO30" s="84">
        <f t="shared" si="113"/>
        <v>0</v>
      </c>
      <c r="AP30" s="84">
        <f t="shared" si="113"/>
        <v>2433.8599999999997</v>
      </c>
      <c r="CG30" s="81">
        <v>25</v>
      </c>
      <c r="CH30" s="174">
        <f>INDEX(节奏总表!$CK$4:$CK$63,专属武器强化!CG30)</f>
        <v>110</v>
      </c>
      <c r="CI30" s="81"/>
      <c r="CJ30" s="81">
        <f t="shared" si="13"/>
        <v>6</v>
      </c>
      <c r="CK30" s="14">
        <f t="shared" si="14"/>
        <v>0</v>
      </c>
      <c r="CL30" s="14">
        <f t="shared" si="15"/>
        <v>120</v>
      </c>
      <c r="CM30" s="14">
        <f t="shared" si="16"/>
        <v>60</v>
      </c>
      <c r="CN30" s="14">
        <f t="shared" si="17"/>
        <v>12</v>
      </c>
      <c r="CO30" s="14"/>
      <c r="CP30" s="14"/>
      <c r="CQ30" s="14"/>
      <c r="CR30" s="14"/>
      <c r="CS30" s="14">
        <f>SUM(CK$6:CK30)</f>
        <v>3340</v>
      </c>
      <c r="CT30" s="14">
        <f>SUM(CL$6:CL30)</f>
        <v>2250</v>
      </c>
      <c r="CU30" s="14">
        <f>SUM(CM$6:CM30)</f>
        <v>260</v>
      </c>
      <c r="CV30" s="14">
        <f>SUM(CN$6:CN30)</f>
        <v>12</v>
      </c>
      <c r="CY30" s="83">
        <v>17</v>
      </c>
      <c r="CZ30" s="14">
        <f>INDEX(节奏总表!$CK$4:CK87,专属武器强化!CY30)</f>
        <v>95</v>
      </c>
      <c r="DA30" s="14">
        <f t="shared" si="18"/>
        <v>2640</v>
      </c>
      <c r="DB30" s="14">
        <f t="shared" si="64"/>
        <v>1080</v>
      </c>
      <c r="DC30" s="14">
        <f t="shared" si="65"/>
        <v>25</v>
      </c>
      <c r="DD30" s="14">
        <f t="shared" si="66"/>
        <v>0</v>
      </c>
      <c r="DE30" s="83">
        <v>4</v>
      </c>
      <c r="DF30" s="83">
        <v>2</v>
      </c>
      <c r="DG30" s="14">
        <f t="shared" si="67"/>
        <v>0</v>
      </c>
      <c r="DH30" s="14">
        <f t="shared" si="68"/>
        <v>78.675789473684233</v>
      </c>
      <c r="DI30" s="14">
        <f t="shared" si="69"/>
        <v>29.644210526315796</v>
      </c>
      <c r="DJ30" s="14">
        <f t="shared" si="70"/>
        <v>0</v>
      </c>
      <c r="DK30" s="83"/>
      <c r="DL30" s="83"/>
      <c r="DM30" s="83">
        <v>25</v>
      </c>
      <c r="DN30" s="83"/>
      <c r="DO30" s="14">
        <f>DA30-SUM(DG$7:DG30)+SUM(DK$7:DK30)</f>
        <v>759.66562499999964</v>
      </c>
      <c r="DP30" s="14">
        <f>DB30-SUM(DH$7:DH30)+SUM(DL$7:DL30)</f>
        <v>397.02912828947342</v>
      </c>
      <c r="DQ30" s="14">
        <f>DC30-SUM(DI$7:DI30)+SUM(DM$7:DM30)</f>
        <v>5.5336842105263031</v>
      </c>
      <c r="DR30" s="14">
        <f>DD30-SUM(DJ$7:DJ30)+SUM(DN$7:DN30)</f>
        <v>0</v>
      </c>
      <c r="DU30" s="95">
        <v>25</v>
      </c>
      <c r="DV30" s="14">
        <f t="shared" si="71"/>
        <v>3</v>
      </c>
      <c r="DW30" s="14">
        <f t="shared" si="72"/>
        <v>7</v>
      </c>
      <c r="DX30" s="14">
        <f t="shared" si="114"/>
        <v>272.49687500000005</v>
      </c>
      <c r="DY30" s="14">
        <f t="shared" si="114"/>
        <v>136.24843750000002</v>
      </c>
      <c r="DZ30" s="14">
        <f t="shared" si="114"/>
        <v>0</v>
      </c>
      <c r="EA30" s="14">
        <f t="shared" si="114"/>
        <v>0</v>
      </c>
      <c r="EB30" s="14">
        <f t="shared" si="73"/>
        <v>1</v>
      </c>
      <c r="EC30" s="14">
        <f t="shared" si="74"/>
        <v>2</v>
      </c>
      <c r="EJ30" s="139">
        <v>25</v>
      </c>
      <c r="EK30" s="14">
        <f t="shared" si="76"/>
        <v>3</v>
      </c>
      <c r="EL30" s="19">
        <f t="shared" si="115"/>
        <v>0.34</v>
      </c>
      <c r="EM30" s="139">
        <v>3</v>
      </c>
      <c r="EN30" s="139" t="s">
        <v>941</v>
      </c>
      <c r="EO30" s="139">
        <f t="shared" si="77"/>
        <v>1325</v>
      </c>
      <c r="EP30" s="139" t="s">
        <v>848</v>
      </c>
      <c r="EQ30" s="139">
        <f t="shared" si="109"/>
        <v>12</v>
      </c>
      <c r="ER30" s="139" t="s">
        <v>849</v>
      </c>
      <c r="ES30" s="139">
        <v>6</v>
      </c>
      <c r="ET30" s="139">
        <f t="shared" si="21"/>
        <v>0.04</v>
      </c>
      <c r="EU30" s="139">
        <v>1</v>
      </c>
      <c r="EV30" s="139">
        <f t="shared" si="78"/>
        <v>34</v>
      </c>
      <c r="EW30" s="139"/>
      <c r="EX30" s="139">
        <f t="shared" si="104"/>
        <v>22.708072916666669</v>
      </c>
      <c r="EY30" s="206">
        <f t="shared" si="79"/>
        <v>30080.820000000003</v>
      </c>
      <c r="FA30">
        <v>0</v>
      </c>
      <c r="FB30">
        <v>1</v>
      </c>
      <c r="FC30">
        <f t="shared" si="23"/>
        <v>8</v>
      </c>
      <c r="FD30" s="89">
        <f t="shared" si="24"/>
        <v>2.1999999999999999E-2</v>
      </c>
      <c r="FE30">
        <v>1</v>
      </c>
      <c r="FF30">
        <f t="shared" si="25"/>
        <v>16</v>
      </c>
      <c r="FG30" s="89">
        <f t="shared" si="26"/>
        <v>8.8099999999999998E-2</v>
      </c>
      <c r="FH30">
        <v>1</v>
      </c>
      <c r="FI30">
        <f t="shared" si="27"/>
        <v>34</v>
      </c>
      <c r="FS30" s="101">
        <v>25</v>
      </c>
      <c r="FT30" s="101">
        <f t="shared" si="80"/>
        <v>22</v>
      </c>
      <c r="FU30" s="101">
        <f t="shared" si="81"/>
        <v>1</v>
      </c>
      <c r="FV30" s="14">
        <f t="shared" si="82"/>
        <v>5</v>
      </c>
      <c r="FW30" s="101" t="str">
        <f t="shared" si="83"/>
        <v>关羽专属武器-魂珠-3 4级</v>
      </c>
      <c r="FX30" s="101">
        <f t="shared" si="84"/>
        <v>3</v>
      </c>
      <c r="FY30" s="101">
        <f t="shared" si="85"/>
        <v>4</v>
      </c>
      <c r="FZ30" s="101" t="str">
        <f t="shared" si="86"/>
        <v>金币</v>
      </c>
      <c r="GA30" s="139">
        <f>IF($FY30&gt;0,IF(INDEX($EM$6:$EM$77,$FT30)&gt;=GA$3,ROUND(INDEX(EO$6:EO$77,$FT30)*INDEX(卡牌消耗!$B$8:$F$8,FV30)/5,0)*5,""),"")</f>
        <v>1310</v>
      </c>
      <c r="GB30" s="101" t="str">
        <f t="shared" si="87"/>
        <v>专属强化石1</v>
      </c>
      <c r="GC30" s="101">
        <f t="shared" si="88"/>
        <v>6</v>
      </c>
      <c r="GD30" s="101" t="str">
        <f t="shared" si="89"/>
        <v>专属强化石2</v>
      </c>
      <c r="GE30" s="101">
        <f t="shared" si="90"/>
        <v>3</v>
      </c>
      <c r="GF30" s="101">
        <f t="shared" si="91"/>
        <v>0.09</v>
      </c>
      <c r="GG30" s="101">
        <f t="shared" si="92"/>
        <v>1</v>
      </c>
      <c r="GH30" s="101">
        <f t="shared" si="93"/>
        <v>16</v>
      </c>
      <c r="GI30" s="101">
        <f t="shared" si="94"/>
        <v>0</v>
      </c>
      <c r="GJ30" s="101">
        <f t="shared" si="95"/>
        <v>1</v>
      </c>
      <c r="GK30" s="101">
        <f t="shared" si="96"/>
        <v>4</v>
      </c>
      <c r="GL30" s="101">
        <f t="shared" si="97"/>
        <v>4.6199999999999998E-2</v>
      </c>
      <c r="GM30" s="101">
        <f t="shared" si="98"/>
        <v>1</v>
      </c>
      <c r="GN30" s="101">
        <f t="shared" si="99"/>
        <v>8</v>
      </c>
      <c r="GO30" s="101">
        <f t="shared" si="100"/>
        <v>0.185</v>
      </c>
      <c r="GP30" s="101">
        <f t="shared" si="101"/>
        <v>1</v>
      </c>
      <c r="GQ30" s="101">
        <f t="shared" si="102"/>
        <v>16</v>
      </c>
    </row>
    <row r="31" spans="1:199" ht="16.5" x14ac:dyDescent="0.2">
      <c r="CG31" s="81">
        <v>26</v>
      </c>
      <c r="CH31" s="174">
        <f>INDEX(节奏总表!$CK$4:$CK$63,专属武器强化!CG31)</f>
        <v>112</v>
      </c>
      <c r="CI31" s="81"/>
      <c r="CJ31" s="81">
        <f t="shared" si="13"/>
        <v>6</v>
      </c>
      <c r="CK31" s="14">
        <f t="shared" si="14"/>
        <v>0</v>
      </c>
      <c r="CL31" s="14">
        <f t="shared" si="15"/>
        <v>120</v>
      </c>
      <c r="CM31" s="14">
        <f t="shared" si="16"/>
        <v>60</v>
      </c>
      <c r="CN31" s="14">
        <f t="shared" si="17"/>
        <v>12</v>
      </c>
      <c r="CO31" s="14"/>
      <c r="CP31" s="14"/>
      <c r="CQ31" s="14"/>
      <c r="CR31" s="14"/>
      <c r="CS31" s="14">
        <f>SUM(CK$6:CK31)</f>
        <v>3340</v>
      </c>
      <c r="CT31" s="14">
        <f>SUM(CL$6:CL31)</f>
        <v>2370</v>
      </c>
      <c r="CU31" s="14">
        <f>SUM(CM$6:CM31)</f>
        <v>320</v>
      </c>
      <c r="CV31" s="14">
        <f>SUM(CN$6:CN31)</f>
        <v>24</v>
      </c>
      <c r="CY31" s="83">
        <v>18</v>
      </c>
      <c r="CZ31" s="14">
        <f>INDEX(节奏总表!$CK$4:CK88,专属武器强化!CY31)</f>
        <v>97</v>
      </c>
      <c r="DA31" s="14">
        <f t="shared" si="18"/>
        <v>2740</v>
      </c>
      <c r="DB31" s="14">
        <f t="shared" si="64"/>
        <v>1230</v>
      </c>
      <c r="DC31" s="14">
        <f t="shared" si="65"/>
        <v>50</v>
      </c>
      <c r="DD31" s="14">
        <f t="shared" si="66"/>
        <v>0</v>
      </c>
      <c r="DE31" s="85">
        <v>4</v>
      </c>
      <c r="DF31" s="85">
        <v>3</v>
      </c>
      <c r="DG31" s="14">
        <f t="shared" si="67"/>
        <v>0</v>
      </c>
      <c r="DH31" s="14">
        <f t="shared" si="68"/>
        <v>118.01368421052635</v>
      </c>
      <c r="DI31" s="14">
        <f t="shared" si="69"/>
        <v>44.46631578947369</v>
      </c>
      <c r="DJ31" s="14">
        <f t="shared" si="70"/>
        <v>0</v>
      </c>
      <c r="DK31" s="83"/>
      <c r="DL31" s="83"/>
      <c r="DM31" s="83">
        <v>23</v>
      </c>
      <c r="DN31" s="83"/>
      <c r="DO31" s="14">
        <f>DA31-SUM(DG$7:DG31)+SUM(DK$7:DK31)</f>
        <v>859.66562499999964</v>
      </c>
      <c r="DP31" s="14">
        <f>DB31-SUM(DH$7:DH31)+SUM(DL$7:DL31)</f>
        <v>429.0154440789471</v>
      </c>
      <c r="DQ31" s="14">
        <f>DC31-SUM(DI$7:DI31)+SUM(DM$7:DM31)</f>
        <v>9.0673684210526062</v>
      </c>
      <c r="DR31" s="14">
        <f>DD31-SUM(DJ$7:DJ31)+SUM(DN$7:DN31)</f>
        <v>0</v>
      </c>
      <c r="DU31" s="95">
        <v>26</v>
      </c>
      <c r="DV31" s="14">
        <f t="shared" si="71"/>
        <v>3</v>
      </c>
      <c r="DW31" s="14">
        <f t="shared" si="72"/>
        <v>8</v>
      </c>
      <c r="DX31" s="14">
        <f t="shared" si="114"/>
        <v>441.18541666666675</v>
      </c>
      <c r="DY31" s="14">
        <f t="shared" si="114"/>
        <v>220.59270833333338</v>
      </c>
      <c r="DZ31" s="14">
        <f t="shared" si="114"/>
        <v>0</v>
      </c>
      <c r="EA31" s="14">
        <f t="shared" si="114"/>
        <v>0</v>
      </c>
      <c r="EB31" s="14">
        <f t="shared" si="73"/>
        <v>1</v>
      </c>
      <c r="EC31" s="14">
        <f t="shared" si="74"/>
        <v>2</v>
      </c>
      <c r="EJ31" s="139">
        <v>26</v>
      </c>
      <c r="EK31" s="14">
        <f t="shared" si="76"/>
        <v>3</v>
      </c>
      <c r="EL31" s="19">
        <f t="shared" si="115"/>
        <v>0.55000000000000004</v>
      </c>
      <c r="EM31" s="139">
        <v>3</v>
      </c>
      <c r="EN31" s="139" t="s">
        <v>941</v>
      </c>
      <c r="EO31" s="139">
        <f t="shared" si="77"/>
        <v>1765</v>
      </c>
      <c r="EP31" s="139" t="s">
        <v>848</v>
      </c>
      <c r="EQ31" s="139">
        <f t="shared" si="109"/>
        <v>16</v>
      </c>
      <c r="ER31" s="139" t="s">
        <v>849</v>
      </c>
      <c r="ES31" s="139">
        <v>8</v>
      </c>
      <c r="ET31" s="139">
        <f t="shared" si="21"/>
        <v>0.04</v>
      </c>
      <c r="EU31" s="139">
        <v>1</v>
      </c>
      <c r="EV31" s="139">
        <f t="shared" si="78"/>
        <v>41</v>
      </c>
      <c r="EW31" s="139"/>
      <c r="EX31" s="139">
        <f t="shared" si="104"/>
        <v>27.574088541666672</v>
      </c>
      <c r="EY31" s="206">
        <f t="shared" si="79"/>
        <v>48660.15</v>
      </c>
      <c r="FA31">
        <v>0</v>
      </c>
      <c r="FB31">
        <v>1</v>
      </c>
      <c r="FC31">
        <f t="shared" si="23"/>
        <v>10</v>
      </c>
      <c r="FD31" s="89">
        <f t="shared" si="24"/>
        <v>1.8100000000000002E-2</v>
      </c>
      <c r="FE31">
        <v>1</v>
      </c>
      <c r="FF31">
        <f t="shared" si="25"/>
        <v>19</v>
      </c>
      <c r="FG31" s="89">
        <f t="shared" si="26"/>
        <v>7.2499999999999995E-2</v>
      </c>
      <c r="FH31">
        <v>1</v>
      </c>
      <c r="FI31">
        <f t="shared" si="27"/>
        <v>41</v>
      </c>
      <c r="FS31" s="101">
        <v>26</v>
      </c>
      <c r="FT31" s="101">
        <f t="shared" si="80"/>
        <v>23</v>
      </c>
      <c r="FU31" s="101">
        <f t="shared" si="81"/>
        <v>1</v>
      </c>
      <c r="FV31" s="14">
        <f t="shared" si="82"/>
        <v>5</v>
      </c>
      <c r="FW31" s="101" t="str">
        <f t="shared" si="83"/>
        <v>关羽专属武器-魂珠-3 5级</v>
      </c>
      <c r="FX31" s="101">
        <f t="shared" si="84"/>
        <v>3</v>
      </c>
      <c r="FY31" s="101">
        <f t="shared" si="85"/>
        <v>5</v>
      </c>
      <c r="FZ31" s="101" t="str">
        <f t="shared" si="86"/>
        <v>金币</v>
      </c>
      <c r="GA31" s="139">
        <f>IF($FY31&gt;0,IF(INDEX($EM$6:$EM$77,$FT31)&gt;=GA$3,ROUND(INDEX(EO$6:EO$77,$FT31)*INDEX(卡牌消耗!$B$8:$F$8,FV31)/5,0)*5,""),"")</f>
        <v>1770</v>
      </c>
      <c r="GB31" s="101" t="str">
        <f t="shared" si="87"/>
        <v>专属强化石1</v>
      </c>
      <c r="GC31" s="101">
        <f t="shared" si="88"/>
        <v>8</v>
      </c>
      <c r="GD31" s="101" t="str">
        <f t="shared" si="89"/>
        <v>专属强化石2</v>
      </c>
      <c r="GE31" s="101">
        <f t="shared" si="90"/>
        <v>4</v>
      </c>
      <c r="GF31" s="101">
        <f t="shared" si="91"/>
        <v>0.08</v>
      </c>
      <c r="GG31" s="101">
        <f t="shared" si="92"/>
        <v>1</v>
      </c>
      <c r="GH31" s="101">
        <f t="shared" si="93"/>
        <v>19</v>
      </c>
      <c r="GI31" s="101">
        <f t="shared" si="94"/>
        <v>0</v>
      </c>
      <c r="GJ31" s="101">
        <f t="shared" si="95"/>
        <v>1</v>
      </c>
      <c r="GK31" s="101">
        <f t="shared" si="96"/>
        <v>5</v>
      </c>
      <c r="GL31" s="101">
        <f t="shared" si="97"/>
        <v>3.85E-2</v>
      </c>
      <c r="GM31" s="101">
        <f t="shared" si="98"/>
        <v>1</v>
      </c>
      <c r="GN31" s="101">
        <f t="shared" si="99"/>
        <v>9</v>
      </c>
      <c r="GO31" s="101">
        <f t="shared" si="100"/>
        <v>0.15409999999999999</v>
      </c>
      <c r="GP31" s="101">
        <f t="shared" si="101"/>
        <v>1</v>
      </c>
      <c r="GQ31" s="101">
        <f t="shared" si="102"/>
        <v>19</v>
      </c>
    </row>
    <row r="32" spans="1:199" ht="16.5" x14ac:dyDescent="0.2">
      <c r="CG32" s="81">
        <v>27</v>
      </c>
      <c r="CH32" s="174">
        <f>INDEX(节奏总表!$CK$4:$CK$63,专属武器强化!CG32)</f>
        <v>113</v>
      </c>
      <c r="CI32" s="81"/>
      <c r="CJ32" s="81">
        <f t="shared" si="13"/>
        <v>6</v>
      </c>
      <c r="CK32" s="14">
        <f t="shared" si="14"/>
        <v>0</v>
      </c>
      <c r="CL32" s="14">
        <f t="shared" si="15"/>
        <v>120</v>
      </c>
      <c r="CM32" s="14">
        <f t="shared" si="16"/>
        <v>60</v>
      </c>
      <c r="CN32" s="14">
        <f t="shared" si="17"/>
        <v>12</v>
      </c>
      <c r="CO32" s="14"/>
      <c r="CP32" s="14"/>
      <c r="CQ32" s="14"/>
      <c r="CR32" s="14"/>
      <c r="CS32" s="14">
        <f>SUM(CK$6:CK32)</f>
        <v>3340</v>
      </c>
      <c r="CT32" s="14">
        <f>SUM(CL$6:CL32)</f>
        <v>2490</v>
      </c>
      <c r="CU32" s="14">
        <f>SUM(CM$6:CM32)</f>
        <v>380</v>
      </c>
      <c r="CV32" s="14">
        <f>SUM(CN$6:CN32)</f>
        <v>36</v>
      </c>
      <c r="CY32" s="83">
        <v>19</v>
      </c>
      <c r="CZ32" s="14">
        <f>INDEX(节奏总表!$CK$4:CK89,专属武器强化!CY32)</f>
        <v>99</v>
      </c>
      <c r="DA32" s="14">
        <f t="shared" si="18"/>
        <v>2840</v>
      </c>
      <c r="DB32" s="14">
        <f t="shared" si="64"/>
        <v>1380</v>
      </c>
      <c r="DC32" s="14">
        <f t="shared" si="65"/>
        <v>75</v>
      </c>
      <c r="DD32" s="14">
        <f t="shared" si="66"/>
        <v>0</v>
      </c>
      <c r="DE32" s="83">
        <v>0</v>
      </c>
      <c r="DF32" s="83">
        <v>0</v>
      </c>
      <c r="DG32" s="14">
        <f t="shared" si="67"/>
        <v>0</v>
      </c>
      <c r="DH32" s="14">
        <f t="shared" si="68"/>
        <v>0</v>
      </c>
      <c r="DI32" s="14">
        <f t="shared" si="69"/>
        <v>0</v>
      </c>
      <c r="DJ32" s="14">
        <f t="shared" si="70"/>
        <v>0</v>
      </c>
      <c r="DK32" s="83"/>
      <c r="DL32" s="83"/>
      <c r="DM32" s="83"/>
      <c r="DN32" s="83"/>
      <c r="DO32" s="14">
        <f>DA32-SUM(DG$7:DG32)+SUM(DK$7:DK32)</f>
        <v>959.66562499999964</v>
      </c>
      <c r="DP32" s="14">
        <f>DB32-SUM(DH$7:DH32)+SUM(DL$7:DL32)</f>
        <v>579.0154440789471</v>
      </c>
      <c r="DQ32" s="14">
        <f>DC32-SUM(DI$7:DI32)+SUM(DM$7:DM32)</f>
        <v>34.067368421052606</v>
      </c>
      <c r="DR32" s="14">
        <f>DD32-SUM(DJ$7:DJ32)+SUM(DN$7:DN32)</f>
        <v>0</v>
      </c>
      <c r="DU32" s="95">
        <v>27</v>
      </c>
      <c r="DV32" s="14">
        <f t="shared" si="71"/>
        <v>3</v>
      </c>
      <c r="DW32" s="14">
        <f t="shared" si="72"/>
        <v>9</v>
      </c>
      <c r="DX32" s="14">
        <f t="shared" si="114"/>
        <v>713.68229166666686</v>
      </c>
      <c r="DY32" s="14">
        <f t="shared" si="114"/>
        <v>356.84114583333343</v>
      </c>
      <c r="DZ32" s="14">
        <f t="shared" si="114"/>
        <v>0</v>
      </c>
      <c r="EA32" s="14">
        <f t="shared" si="114"/>
        <v>0</v>
      </c>
      <c r="EB32" s="14">
        <f t="shared" si="73"/>
        <v>1</v>
      </c>
      <c r="EC32" s="14">
        <f t="shared" si="74"/>
        <v>2</v>
      </c>
      <c r="EJ32" s="139">
        <v>27</v>
      </c>
      <c r="EK32" s="14">
        <f t="shared" si="76"/>
        <v>3</v>
      </c>
      <c r="EL32" s="19">
        <f t="shared" si="115"/>
        <v>0.89000000000000012</v>
      </c>
      <c r="EM32" s="139">
        <v>3</v>
      </c>
      <c r="EN32" s="139" t="s">
        <v>941</v>
      </c>
      <c r="EO32" s="139">
        <f t="shared" si="77"/>
        <v>2207</v>
      </c>
      <c r="EP32" s="139" t="s">
        <v>848</v>
      </c>
      <c r="EQ32" s="139">
        <f t="shared" si="109"/>
        <v>20</v>
      </c>
      <c r="ER32" s="139" t="s">
        <v>849</v>
      </c>
      <c r="ES32" s="139">
        <v>10</v>
      </c>
      <c r="ET32" s="139">
        <f t="shared" si="21"/>
        <v>0.03</v>
      </c>
      <c r="EU32" s="139">
        <v>1</v>
      </c>
      <c r="EV32" s="139">
        <f t="shared" si="78"/>
        <v>54</v>
      </c>
      <c r="EW32" s="139"/>
      <c r="EX32" s="139">
        <f t="shared" si="104"/>
        <v>35.68411458333334</v>
      </c>
      <c r="EY32" s="206">
        <f t="shared" si="79"/>
        <v>78740.970000000016</v>
      </c>
      <c r="FA32">
        <v>0</v>
      </c>
      <c r="FB32">
        <v>1</v>
      </c>
      <c r="FC32">
        <f t="shared" si="23"/>
        <v>12</v>
      </c>
      <c r="FD32" s="89">
        <f t="shared" si="24"/>
        <v>1.4E-2</v>
      </c>
      <c r="FE32">
        <v>1</v>
      </c>
      <c r="FF32">
        <f t="shared" si="25"/>
        <v>25</v>
      </c>
      <c r="FG32" s="89">
        <f t="shared" si="26"/>
        <v>5.6000000000000001E-2</v>
      </c>
      <c r="FH32">
        <v>1</v>
      </c>
      <c r="FI32">
        <f t="shared" si="27"/>
        <v>54</v>
      </c>
      <c r="FS32" s="101">
        <v>27</v>
      </c>
      <c r="FT32" s="101">
        <f t="shared" si="80"/>
        <v>24</v>
      </c>
      <c r="FU32" s="101">
        <f t="shared" si="81"/>
        <v>1</v>
      </c>
      <c r="FV32" s="14">
        <f t="shared" si="82"/>
        <v>5</v>
      </c>
      <c r="FW32" s="101" t="str">
        <f t="shared" si="83"/>
        <v>关羽专属武器-魂珠-3 6级</v>
      </c>
      <c r="FX32" s="101">
        <f t="shared" si="84"/>
        <v>3</v>
      </c>
      <c r="FY32" s="101">
        <f t="shared" si="85"/>
        <v>6</v>
      </c>
      <c r="FZ32" s="101" t="str">
        <f t="shared" si="86"/>
        <v>金币</v>
      </c>
      <c r="GA32" s="139">
        <f>IF($FY32&gt;0,IF(INDEX($EM$6:$EM$77,$FT32)&gt;=GA$3,ROUND(INDEX(EO$6:EO$77,$FT32)*INDEX(卡牌消耗!$B$8:$F$8,FV32)/5,0)*5,""),"")</f>
        <v>2200</v>
      </c>
      <c r="GB32" s="101" t="str">
        <f t="shared" si="87"/>
        <v>专属强化石1</v>
      </c>
      <c r="GC32" s="101">
        <f t="shared" si="88"/>
        <v>10</v>
      </c>
      <c r="GD32" s="101" t="str">
        <f t="shared" si="89"/>
        <v>专属强化石2</v>
      </c>
      <c r="GE32" s="101">
        <f t="shared" si="90"/>
        <v>5</v>
      </c>
      <c r="GF32" s="101">
        <f t="shared" si="91"/>
        <v>0.06</v>
      </c>
      <c r="GG32" s="101">
        <f t="shared" si="92"/>
        <v>1</v>
      </c>
      <c r="GH32" s="101">
        <f t="shared" si="93"/>
        <v>25</v>
      </c>
      <c r="GI32" s="101">
        <f t="shared" si="94"/>
        <v>0</v>
      </c>
      <c r="GJ32" s="101">
        <f t="shared" si="95"/>
        <v>1</v>
      </c>
      <c r="GK32" s="101">
        <f t="shared" si="96"/>
        <v>6</v>
      </c>
      <c r="GL32" s="101">
        <f t="shared" si="97"/>
        <v>2.9600000000000001E-2</v>
      </c>
      <c r="GM32" s="101">
        <f t="shared" si="98"/>
        <v>1</v>
      </c>
      <c r="GN32" s="101">
        <f t="shared" si="99"/>
        <v>12</v>
      </c>
      <c r="GO32" s="101">
        <f t="shared" si="100"/>
        <v>0.1186</v>
      </c>
      <c r="GP32" s="101">
        <f t="shared" si="101"/>
        <v>1</v>
      </c>
      <c r="GQ32" s="101">
        <f t="shared" si="102"/>
        <v>25</v>
      </c>
    </row>
    <row r="33" spans="85:199" ht="16.5" x14ac:dyDescent="0.2">
      <c r="CG33" s="81">
        <v>28</v>
      </c>
      <c r="CH33" s="174">
        <f>INDEX(节奏总表!$CK$4:$CK$63,专属武器强化!CG33)</f>
        <v>115</v>
      </c>
      <c r="CI33" s="81">
        <v>6</v>
      </c>
      <c r="CJ33" s="81">
        <f t="shared" si="13"/>
        <v>6</v>
      </c>
      <c r="CK33" s="14">
        <f t="shared" si="14"/>
        <v>0</v>
      </c>
      <c r="CL33" s="14">
        <f t="shared" si="15"/>
        <v>120</v>
      </c>
      <c r="CM33" s="14">
        <f t="shared" si="16"/>
        <v>60</v>
      </c>
      <c r="CN33" s="14">
        <f t="shared" si="17"/>
        <v>12</v>
      </c>
      <c r="CO33" s="14"/>
      <c r="CP33" s="14"/>
      <c r="CQ33" s="14"/>
      <c r="CR33" s="14"/>
      <c r="CS33" s="14">
        <f>SUM(CK$6:CK33)</f>
        <v>3340</v>
      </c>
      <c r="CT33" s="14">
        <f>SUM(CL$6:CL33)</f>
        <v>2610</v>
      </c>
      <c r="CU33" s="14">
        <f>SUM(CM$6:CM33)</f>
        <v>440</v>
      </c>
      <c r="CV33" s="14">
        <f>SUM(CN$6:CN33)</f>
        <v>48</v>
      </c>
      <c r="CY33" s="83">
        <v>20</v>
      </c>
      <c r="CZ33" s="14">
        <f>INDEX(节奏总表!$CK$4:CK90,专属武器强化!CY33)</f>
        <v>101</v>
      </c>
      <c r="DA33" s="14">
        <f t="shared" si="18"/>
        <v>2940</v>
      </c>
      <c r="DB33" s="14">
        <f t="shared" si="64"/>
        <v>1530</v>
      </c>
      <c r="DC33" s="14">
        <f t="shared" si="65"/>
        <v>100</v>
      </c>
      <c r="DD33" s="14">
        <f t="shared" si="66"/>
        <v>0</v>
      </c>
      <c r="DE33" s="83">
        <v>0</v>
      </c>
      <c r="DF33" s="83">
        <v>0</v>
      </c>
      <c r="DG33" s="14">
        <f t="shared" si="67"/>
        <v>0</v>
      </c>
      <c r="DH33" s="14">
        <f t="shared" si="68"/>
        <v>0</v>
      </c>
      <c r="DI33" s="14">
        <f t="shared" si="69"/>
        <v>0</v>
      </c>
      <c r="DJ33" s="14">
        <f t="shared" si="70"/>
        <v>0</v>
      </c>
      <c r="DK33" s="83"/>
      <c r="DL33" s="83"/>
      <c r="DM33" s="83"/>
      <c r="DN33" s="83"/>
      <c r="DO33" s="14">
        <f>DA33-SUM(DG$7:DG33)+SUM(DK$7:DK33)</f>
        <v>1059.6656249999996</v>
      </c>
      <c r="DP33" s="14">
        <f>DB33-SUM(DH$7:DH33)+SUM(DL$7:DL33)</f>
        <v>729.0154440789471</v>
      </c>
      <c r="DQ33" s="14">
        <f>DC33-SUM(DI$7:DI33)+SUM(DM$7:DM33)</f>
        <v>59.067368421052606</v>
      </c>
      <c r="DR33" s="14">
        <f>DD33-SUM(DJ$7:DJ33)+SUM(DN$7:DN33)</f>
        <v>0</v>
      </c>
      <c r="DU33" s="95">
        <v>28</v>
      </c>
      <c r="DV33" s="14">
        <f t="shared" si="71"/>
        <v>4</v>
      </c>
      <c r="DW33" s="14">
        <f t="shared" si="72"/>
        <v>1</v>
      </c>
      <c r="DX33" s="14">
        <f t="shared" si="114"/>
        <v>0</v>
      </c>
      <c r="DY33" s="14">
        <f t="shared" si="114"/>
        <v>13.112631578947372</v>
      </c>
      <c r="DZ33" s="14">
        <f t="shared" si="114"/>
        <v>4.9407017543859659</v>
      </c>
      <c r="EA33" s="14">
        <f t="shared" si="114"/>
        <v>0</v>
      </c>
      <c r="EB33" s="14">
        <f t="shared" si="73"/>
        <v>2</v>
      </c>
      <c r="EC33" s="14">
        <f t="shared" si="74"/>
        <v>3</v>
      </c>
      <c r="EJ33" s="139">
        <v>28</v>
      </c>
      <c r="EK33" s="14">
        <f t="shared" si="76"/>
        <v>4</v>
      </c>
      <c r="EL33" s="19">
        <v>0.02</v>
      </c>
      <c r="EM33" s="139">
        <v>3</v>
      </c>
      <c r="EN33" s="139" t="s">
        <v>941</v>
      </c>
      <c r="EO33" s="139">
        <f t="shared" si="77"/>
        <v>730</v>
      </c>
      <c r="EP33" s="139" t="s">
        <v>849</v>
      </c>
      <c r="EQ33" s="139">
        <f>ROUND(ES33*DY33/DZ33,0)</f>
        <v>3</v>
      </c>
      <c r="ER33" s="139" t="s">
        <v>850</v>
      </c>
      <c r="ES33" s="139">
        <v>1</v>
      </c>
      <c r="ET33" s="139">
        <f t="shared" si="21"/>
        <v>0.2</v>
      </c>
      <c r="EU33" s="139">
        <v>1</v>
      </c>
      <c r="EV33" s="139">
        <f t="shared" si="78"/>
        <v>7</v>
      </c>
      <c r="EW33" s="139"/>
      <c r="EX33" s="139">
        <f t="shared" ref="EX33:EX50" si="116">DZ33/ES33</f>
        <v>4.9407017543859659</v>
      </c>
      <c r="EY33" s="206">
        <f t="shared" si="79"/>
        <v>3604.62</v>
      </c>
      <c r="FA33">
        <v>0</v>
      </c>
      <c r="FB33">
        <v>1</v>
      </c>
      <c r="FC33">
        <f t="shared" si="23"/>
        <v>2</v>
      </c>
      <c r="FD33" s="89">
        <f t="shared" si="24"/>
        <v>0.1012</v>
      </c>
      <c r="FE33">
        <v>1</v>
      </c>
      <c r="FF33">
        <f t="shared" si="25"/>
        <v>3</v>
      </c>
      <c r="FG33" s="89">
        <f t="shared" si="26"/>
        <v>0.40479999999999999</v>
      </c>
      <c r="FH33">
        <v>1</v>
      </c>
      <c r="FI33">
        <f t="shared" si="27"/>
        <v>7</v>
      </c>
      <c r="FS33" s="101">
        <v>28</v>
      </c>
      <c r="FT33" s="101">
        <f t="shared" si="80"/>
        <v>25</v>
      </c>
      <c r="FU33" s="101">
        <f t="shared" si="81"/>
        <v>1</v>
      </c>
      <c r="FV33" s="14">
        <f t="shared" si="82"/>
        <v>5</v>
      </c>
      <c r="FW33" s="101" t="str">
        <f t="shared" si="83"/>
        <v>关羽专属武器-魂珠-3 7级</v>
      </c>
      <c r="FX33" s="101">
        <f t="shared" si="84"/>
        <v>3</v>
      </c>
      <c r="FY33" s="101">
        <f t="shared" si="85"/>
        <v>7</v>
      </c>
      <c r="FZ33" s="101" t="str">
        <f t="shared" si="86"/>
        <v>金币</v>
      </c>
      <c r="GA33" s="139">
        <f>IF($FY33&gt;0,IF(INDEX($EM$6:$EM$77,$FT33)&gt;=GA$3,ROUND(INDEX(EO$6:EO$77,$FT33)*INDEX(卡牌消耗!$B$8:$F$8,FV33)/5,0)*5,""),"")</f>
        <v>2650</v>
      </c>
      <c r="GB33" s="101" t="str">
        <f t="shared" si="87"/>
        <v>专属强化石1</v>
      </c>
      <c r="GC33" s="101">
        <f t="shared" si="88"/>
        <v>12</v>
      </c>
      <c r="GD33" s="101" t="str">
        <f t="shared" si="89"/>
        <v>专属强化石2</v>
      </c>
      <c r="GE33" s="101">
        <f t="shared" si="90"/>
        <v>6</v>
      </c>
      <c r="GF33" s="101">
        <f t="shared" si="91"/>
        <v>0.04</v>
      </c>
      <c r="GG33" s="101">
        <f t="shared" si="92"/>
        <v>1</v>
      </c>
      <c r="GH33" s="101">
        <f t="shared" si="93"/>
        <v>34</v>
      </c>
      <c r="GI33" s="101">
        <f t="shared" si="94"/>
        <v>0</v>
      </c>
      <c r="GJ33" s="101">
        <f t="shared" si="95"/>
        <v>1</v>
      </c>
      <c r="GK33" s="101">
        <f t="shared" si="96"/>
        <v>8</v>
      </c>
      <c r="GL33" s="101">
        <f t="shared" si="97"/>
        <v>2.1999999999999999E-2</v>
      </c>
      <c r="GM33" s="101">
        <f t="shared" si="98"/>
        <v>1</v>
      </c>
      <c r="GN33" s="101">
        <f t="shared" si="99"/>
        <v>16</v>
      </c>
      <c r="GO33" s="101">
        <f t="shared" si="100"/>
        <v>8.8099999999999998E-2</v>
      </c>
      <c r="GP33" s="101">
        <f t="shared" si="101"/>
        <v>1</v>
      </c>
      <c r="GQ33" s="101">
        <f t="shared" si="102"/>
        <v>34</v>
      </c>
    </row>
    <row r="34" spans="85:199" ht="16.5" x14ac:dyDescent="0.2">
      <c r="CG34" s="81">
        <v>29</v>
      </c>
      <c r="CH34" s="174">
        <f>INDEX(节奏总表!$CK$4:$CK$63,专属武器强化!CG34)</f>
        <v>117</v>
      </c>
      <c r="CI34" s="81"/>
      <c r="CJ34" s="81">
        <f t="shared" si="13"/>
        <v>6</v>
      </c>
      <c r="CK34" s="14">
        <f t="shared" si="14"/>
        <v>0</v>
      </c>
      <c r="CL34" s="14">
        <f t="shared" si="15"/>
        <v>120</v>
      </c>
      <c r="CM34" s="14">
        <f t="shared" si="16"/>
        <v>60</v>
      </c>
      <c r="CN34" s="14">
        <f t="shared" si="17"/>
        <v>12</v>
      </c>
      <c r="CO34" s="14"/>
      <c r="CP34" s="14"/>
      <c r="CQ34" s="14"/>
      <c r="CR34" s="14"/>
      <c r="CS34" s="14">
        <f>SUM(CK$6:CK34)</f>
        <v>3340</v>
      </c>
      <c r="CT34" s="14">
        <f>SUM(CL$6:CL34)</f>
        <v>2730</v>
      </c>
      <c r="CU34" s="14">
        <f>SUM(CM$6:CM34)</f>
        <v>500</v>
      </c>
      <c r="CV34" s="14">
        <f>SUM(CN$6:CN34)</f>
        <v>60</v>
      </c>
      <c r="CY34" s="83">
        <v>21</v>
      </c>
      <c r="CZ34" s="14">
        <f>INDEX(节奏总表!$CK$4:CK91,专属武器强化!CY34)</f>
        <v>103</v>
      </c>
      <c r="DA34" s="14">
        <f t="shared" si="18"/>
        <v>3040</v>
      </c>
      <c r="DB34" s="14">
        <f t="shared" si="64"/>
        <v>1680</v>
      </c>
      <c r="DC34" s="14">
        <f t="shared" si="65"/>
        <v>125</v>
      </c>
      <c r="DD34" s="14">
        <f t="shared" si="66"/>
        <v>0</v>
      </c>
      <c r="DE34" s="83">
        <v>4</v>
      </c>
      <c r="DF34" s="83">
        <v>4</v>
      </c>
      <c r="DG34" s="14">
        <f t="shared" si="67"/>
        <v>0</v>
      </c>
      <c r="DH34" s="14">
        <f t="shared" si="68"/>
        <v>196.68947368421058</v>
      </c>
      <c r="DI34" s="14">
        <f t="shared" si="69"/>
        <v>74.1105263157895</v>
      </c>
      <c r="DJ34" s="14">
        <f t="shared" si="70"/>
        <v>0</v>
      </c>
      <c r="DK34" s="83"/>
      <c r="DL34" s="83"/>
      <c r="DM34" s="83">
        <v>10</v>
      </c>
      <c r="DN34" s="83"/>
      <c r="DO34" s="14">
        <f>DA34-SUM(DG$7:DG34)+SUM(DK$7:DK34)</f>
        <v>1159.6656249999996</v>
      </c>
      <c r="DP34" s="14">
        <f>DB34-SUM(DH$7:DH34)+SUM(DL$7:DL34)</f>
        <v>682.32597039473649</v>
      </c>
      <c r="DQ34" s="14">
        <f>DC34-SUM(DI$7:DI34)+SUM(DM$7:DM34)</f>
        <v>19.956842105263092</v>
      </c>
      <c r="DR34" s="14">
        <f>DD34-SUM(DJ$7:DJ34)+SUM(DN$7:DN34)</f>
        <v>0</v>
      </c>
      <c r="DU34" s="95">
        <v>29</v>
      </c>
      <c r="DV34" s="14">
        <f t="shared" si="71"/>
        <v>4</v>
      </c>
      <c r="DW34" s="14">
        <f t="shared" si="72"/>
        <v>2</v>
      </c>
      <c r="DX34" s="14">
        <f t="shared" si="114"/>
        <v>0</v>
      </c>
      <c r="DY34" s="14">
        <f t="shared" si="114"/>
        <v>26.225263157894744</v>
      </c>
      <c r="DZ34" s="14">
        <f t="shared" si="114"/>
        <v>9.8814035087719319</v>
      </c>
      <c r="EA34" s="14">
        <f t="shared" si="114"/>
        <v>0</v>
      </c>
      <c r="EB34" s="14">
        <f t="shared" si="73"/>
        <v>2</v>
      </c>
      <c r="EC34" s="14">
        <f t="shared" si="74"/>
        <v>3</v>
      </c>
      <c r="EJ34" s="139">
        <v>29</v>
      </c>
      <c r="EK34" s="14">
        <f t="shared" si="76"/>
        <v>4</v>
      </c>
      <c r="EL34" s="19">
        <v>0.03</v>
      </c>
      <c r="EM34" s="139">
        <v>3</v>
      </c>
      <c r="EN34" s="139" t="s">
        <v>941</v>
      </c>
      <c r="EO34" s="139">
        <f t="shared" si="77"/>
        <v>547</v>
      </c>
      <c r="EP34" s="139" t="s">
        <v>849</v>
      </c>
      <c r="EQ34" s="139">
        <f>ROUND(ES34*DY34/DZ34,0)</f>
        <v>3</v>
      </c>
      <c r="ER34" s="139" t="s">
        <v>850</v>
      </c>
      <c r="ES34" s="139">
        <v>1</v>
      </c>
      <c r="ET34" s="139">
        <f t="shared" si="21"/>
        <v>0.1</v>
      </c>
      <c r="EU34" s="139">
        <v>1</v>
      </c>
      <c r="EV34" s="139">
        <f t="shared" si="78"/>
        <v>15</v>
      </c>
      <c r="EW34" s="139"/>
      <c r="EX34" s="139">
        <f t="shared" si="116"/>
        <v>9.8814035087719319</v>
      </c>
      <c r="EY34" s="206">
        <f t="shared" si="79"/>
        <v>5406.9299999999994</v>
      </c>
      <c r="FA34">
        <v>0</v>
      </c>
      <c r="FB34">
        <v>1</v>
      </c>
      <c r="FC34">
        <f t="shared" si="23"/>
        <v>3</v>
      </c>
      <c r="FD34" s="89">
        <f t="shared" si="24"/>
        <v>5.0599999999999999E-2</v>
      </c>
      <c r="FE34">
        <v>1</v>
      </c>
      <c r="FF34">
        <f t="shared" si="25"/>
        <v>7</v>
      </c>
      <c r="FG34" s="89">
        <f t="shared" si="26"/>
        <v>0.2024</v>
      </c>
      <c r="FH34">
        <v>1</v>
      </c>
      <c r="FI34">
        <f t="shared" si="27"/>
        <v>15</v>
      </c>
      <c r="FS34" s="101">
        <v>29</v>
      </c>
      <c r="FT34" s="101">
        <f t="shared" si="80"/>
        <v>26</v>
      </c>
      <c r="FU34" s="101">
        <f t="shared" si="81"/>
        <v>1</v>
      </c>
      <c r="FV34" s="14">
        <f t="shared" si="82"/>
        <v>5</v>
      </c>
      <c r="FW34" s="101" t="str">
        <f t="shared" si="83"/>
        <v>关羽专属武器-魂珠-3 8级</v>
      </c>
      <c r="FX34" s="101">
        <f t="shared" si="84"/>
        <v>3</v>
      </c>
      <c r="FY34" s="101">
        <f t="shared" si="85"/>
        <v>8</v>
      </c>
      <c r="FZ34" s="101" t="str">
        <f t="shared" si="86"/>
        <v>金币</v>
      </c>
      <c r="GA34" s="139">
        <f>IF($FY34&gt;0,IF(INDEX($EM$6:$EM$77,$FT34)&gt;=GA$3,ROUND(INDEX(EO$6:EO$77,$FT34)*INDEX(卡牌消耗!$B$8:$F$8,FV34)/5,0)*5,""),"")</f>
        <v>3530</v>
      </c>
      <c r="GB34" s="101" t="str">
        <f t="shared" si="87"/>
        <v>专属强化石1</v>
      </c>
      <c r="GC34" s="101">
        <f t="shared" si="88"/>
        <v>16</v>
      </c>
      <c r="GD34" s="101" t="str">
        <f t="shared" si="89"/>
        <v>专属强化石2</v>
      </c>
      <c r="GE34" s="101">
        <f t="shared" si="90"/>
        <v>8</v>
      </c>
      <c r="GF34" s="101">
        <f t="shared" si="91"/>
        <v>0.04</v>
      </c>
      <c r="GG34" s="101">
        <f t="shared" si="92"/>
        <v>1</v>
      </c>
      <c r="GH34" s="101">
        <f t="shared" si="93"/>
        <v>41</v>
      </c>
      <c r="GI34" s="101">
        <f t="shared" si="94"/>
        <v>0</v>
      </c>
      <c r="GJ34" s="101">
        <f t="shared" si="95"/>
        <v>1</v>
      </c>
      <c r="GK34" s="101">
        <f t="shared" si="96"/>
        <v>10</v>
      </c>
      <c r="GL34" s="101">
        <f t="shared" si="97"/>
        <v>1.8100000000000002E-2</v>
      </c>
      <c r="GM34" s="101">
        <f t="shared" si="98"/>
        <v>1</v>
      </c>
      <c r="GN34" s="101">
        <f t="shared" si="99"/>
        <v>19</v>
      </c>
      <c r="GO34" s="101">
        <f t="shared" si="100"/>
        <v>7.2499999999999995E-2</v>
      </c>
      <c r="GP34" s="101">
        <f t="shared" si="101"/>
        <v>1</v>
      </c>
      <c r="GQ34" s="101">
        <f t="shared" si="102"/>
        <v>41</v>
      </c>
    </row>
    <row r="35" spans="85:199" ht="16.5" x14ac:dyDescent="0.2">
      <c r="CG35" s="81">
        <v>30</v>
      </c>
      <c r="CH35" s="174">
        <f>INDEX(节奏总表!$CK$4:$CK$63,专属武器强化!CG35)</f>
        <v>118</v>
      </c>
      <c r="CI35" s="81"/>
      <c r="CJ35" s="81">
        <f t="shared" si="13"/>
        <v>6</v>
      </c>
      <c r="CK35" s="14">
        <f t="shared" si="14"/>
        <v>0</v>
      </c>
      <c r="CL35" s="14">
        <f t="shared" si="15"/>
        <v>120</v>
      </c>
      <c r="CM35" s="14">
        <f t="shared" si="16"/>
        <v>60</v>
      </c>
      <c r="CN35" s="14">
        <f t="shared" si="17"/>
        <v>12</v>
      </c>
      <c r="CO35" s="14"/>
      <c r="CP35" s="14"/>
      <c r="CQ35" s="14"/>
      <c r="CR35" s="14"/>
      <c r="CS35" s="14">
        <f>SUM(CK$6:CK35)</f>
        <v>3340</v>
      </c>
      <c r="CT35" s="14">
        <f>SUM(CL$6:CL35)</f>
        <v>2850</v>
      </c>
      <c r="CU35" s="14">
        <f>SUM(CM$6:CM35)</f>
        <v>560</v>
      </c>
      <c r="CV35" s="14">
        <f>SUM(CN$6:CN35)</f>
        <v>72</v>
      </c>
      <c r="CY35" s="83">
        <v>22</v>
      </c>
      <c r="CZ35" s="14">
        <f>INDEX(节奏总表!$CK$4:CK92,专属武器强化!CY35)</f>
        <v>105</v>
      </c>
      <c r="DA35" s="14">
        <f t="shared" si="18"/>
        <v>3140</v>
      </c>
      <c r="DB35" s="14">
        <f t="shared" si="64"/>
        <v>1830</v>
      </c>
      <c r="DC35" s="14">
        <f t="shared" si="65"/>
        <v>150</v>
      </c>
      <c r="DD35" s="14">
        <f t="shared" si="66"/>
        <v>0</v>
      </c>
      <c r="DE35" s="83">
        <v>2</v>
      </c>
      <c r="DF35" s="83">
        <v>7</v>
      </c>
      <c r="DG35" s="14">
        <f t="shared" si="67"/>
        <v>490.4943750000001</v>
      </c>
      <c r="DH35" s="14">
        <f t="shared" si="68"/>
        <v>163.49812500000004</v>
      </c>
      <c r="DI35" s="14">
        <f t="shared" si="69"/>
        <v>0</v>
      </c>
      <c r="DJ35" s="14">
        <f t="shared" si="70"/>
        <v>0</v>
      </c>
      <c r="DK35" s="83"/>
      <c r="DL35" s="83"/>
      <c r="DM35" s="83"/>
      <c r="DN35" s="83"/>
      <c r="DO35" s="14">
        <f>DA35-SUM(DG$7:DG35)+SUM(DK$7:DK35)</f>
        <v>769.17124999999942</v>
      </c>
      <c r="DP35" s="14">
        <f>DB35-SUM(DH$7:DH35)+SUM(DL$7:DL35)</f>
        <v>668.82784539473641</v>
      </c>
      <c r="DQ35" s="14">
        <f>DC35-SUM(DI$7:DI35)+SUM(DM$7:DM35)</f>
        <v>44.956842105263092</v>
      </c>
      <c r="DR35" s="14">
        <f>DD35-SUM(DJ$7:DJ35)+SUM(DN$7:DN35)</f>
        <v>0</v>
      </c>
      <c r="DU35" s="95">
        <v>30</v>
      </c>
      <c r="DV35" s="14">
        <f t="shared" si="71"/>
        <v>4</v>
      </c>
      <c r="DW35" s="14">
        <f t="shared" si="72"/>
        <v>3</v>
      </c>
      <c r="DX35" s="14">
        <f t="shared" si="114"/>
        <v>0</v>
      </c>
      <c r="DY35" s="14">
        <f t="shared" si="114"/>
        <v>39.337894736842117</v>
      </c>
      <c r="DZ35" s="14">
        <f t="shared" si="114"/>
        <v>14.822105263157896</v>
      </c>
      <c r="EA35" s="14">
        <f t="shared" si="114"/>
        <v>0</v>
      </c>
      <c r="EB35" s="14">
        <f t="shared" si="73"/>
        <v>2</v>
      </c>
      <c r="EC35" s="14">
        <f t="shared" si="74"/>
        <v>3</v>
      </c>
      <c r="EJ35" s="139">
        <v>30</v>
      </c>
      <c r="EK35" s="14">
        <f t="shared" si="76"/>
        <v>4</v>
      </c>
      <c r="EL35" s="19">
        <f t="shared" ref="EL35" si="117">EL33+EL34</f>
        <v>0.05</v>
      </c>
      <c r="EM35" s="139">
        <v>3</v>
      </c>
      <c r="EN35" s="139" t="s">
        <v>941</v>
      </c>
      <c r="EO35" s="139">
        <f t="shared" si="77"/>
        <v>608</v>
      </c>
      <c r="EP35" s="139" t="s">
        <v>849</v>
      </c>
      <c r="EQ35" s="139">
        <f t="shared" ref="EQ35:EQ50" si="118">ROUND(ES35*DY35/DZ35,0)</f>
        <v>3</v>
      </c>
      <c r="ER35" s="139" t="s">
        <v>850</v>
      </c>
      <c r="ES35" s="139">
        <v>1</v>
      </c>
      <c r="ET35" s="139">
        <f t="shared" si="21"/>
        <v>7.0000000000000007E-2</v>
      </c>
      <c r="EU35" s="139">
        <v>1</v>
      </c>
      <c r="EV35" s="139">
        <f t="shared" si="78"/>
        <v>22</v>
      </c>
      <c r="EW35" s="139"/>
      <c r="EX35" s="139">
        <f t="shared" si="116"/>
        <v>14.822105263157896</v>
      </c>
      <c r="EY35" s="206">
        <f t="shared" si="79"/>
        <v>9011.5500000000011</v>
      </c>
      <c r="FA35">
        <v>0</v>
      </c>
      <c r="FB35">
        <v>1</v>
      </c>
      <c r="FC35">
        <f t="shared" si="23"/>
        <v>5</v>
      </c>
      <c r="FD35" s="89">
        <f t="shared" si="24"/>
        <v>3.3700000000000001E-2</v>
      </c>
      <c r="FE35">
        <v>1</v>
      </c>
      <c r="FF35">
        <f t="shared" si="25"/>
        <v>10</v>
      </c>
      <c r="FG35" s="89">
        <f t="shared" si="26"/>
        <v>0.13489999999999999</v>
      </c>
      <c r="FH35">
        <v>1</v>
      </c>
      <c r="FI35">
        <f t="shared" si="27"/>
        <v>22</v>
      </c>
      <c r="FS35" s="101">
        <v>30</v>
      </c>
      <c r="FT35" s="101">
        <f t="shared" si="80"/>
        <v>27</v>
      </c>
      <c r="FU35" s="101">
        <f t="shared" si="81"/>
        <v>1</v>
      </c>
      <c r="FV35" s="14">
        <f t="shared" si="82"/>
        <v>5</v>
      </c>
      <c r="FW35" s="101" t="str">
        <f t="shared" si="83"/>
        <v>关羽专属武器-魂珠-3 9级</v>
      </c>
      <c r="FX35" s="101">
        <f t="shared" si="84"/>
        <v>3</v>
      </c>
      <c r="FY35" s="101">
        <f t="shared" si="85"/>
        <v>9</v>
      </c>
      <c r="FZ35" s="101" t="str">
        <f t="shared" si="86"/>
        <v>金币</v>
      </c>
      <c r="GA35" s="139">
        <f>IF($FY35&gt;0,IF(INDEX($EM$6:$EM$77,$FT35)&gt;=GA$3,ROUND(INDEX(EO$6:EO$77,$FT35)*INDEX(卡牌消耗!$B$8:$F$8,FV35)/5,0)*5,""),"")</f>
        <v>4415</v>
      </c>
      <c r="GB35" s="101" t="str">
        <f t="shared" si="87"/>
        <v>专属强化石1</v>
      </c>
      <c r="GC35" s="101">
        <f t="shared" si="88"/>
        <v>20</v>
      </c>
      <c r="GD35" s="101" t="str">
        <f t="shared" si="89"/>
        <v>专属强化石2</v>
      </c>
      <c r="GE35" s="101">
        <f t="shared" si="90"/>
        <v>10</v>
      </c>
      <c r="GF35" s="101">
        <f t="shared" si="91"/>
        <v>0.03</v>
      </c>
      <c r="GG35" s="101">
        <f t="shared" si="92"/>
        <v>1</v>
      </c>
      <c r="GH35" s="101">
        <f t="shared" si="93"/>
        <v>54</v>
      </c>
      <c r="GI35" s="101">
        <f t="shared" si="94"/>
        <v>0</v>
      </c>
      <c r="GJ35" s="101">
        <f t="shared" si="95"/>
        <v>1</v>
      </c>
      <c r="GK35" s="101">
        <f t="shared" si="96"/>
        <v>12</v>
      </c>
      <c r="GL35" s="101">
        <f t="shared" si="97"/>
        <v>1.4E-2</v>
      </c>
      <c r="GM35" s="101">
        <f t="shared" si="98"/>
        <v>1</v>
      </c>
      <c r="GN35" s="101">
        <f t="shared" si="99"/>
        <v>25</v>
      </c>
      <c r="GO35" s="101">
        <f t="shared" si="100"/>
        <v>5.6000000000000001E-2</v>
      </c>
      <c r="GP35" s="101">
        <f t="shared" si="101"/>
        <v>1</v>
      </c>
      <c r="GQ35" s="101">
        <f t="shared" si="102"/>
        <v>54</v>
      </c>
    </row>
    <row r="36" spans="85:199" ht="16.5" x14ac:dyDescent="0.2">
      <c r="CG36" s="81">
        <v>31</v>
      </c>
      <c r="CH36" s="174">
        <f>INDEX(节奏总表!$CK$4:$CK$63,专属武器强化!CG36)</f>
        <v>120</v>
      </c>
      <c r="CI36" s="81"/>
      <c r="CJ36" s="81">
        <f t="shared" si="13"/>
        <v>7</v>
      </c>
      <c r="CK36" s="14">
        <f t="shared" si="14"/>
        <v>0</v>
      </c>
      <c r="CL36" s="14">
        <f t="shared" si="15"/>
        <v>70</v>
      </c>
      <c r="CM36" s="14">
        <f t="shared" si="16"/>
        <v>105</v>
      </c>
      <c r="CN36" s="14">
        <f t="shared" si="17"/>
        <v>14</v>
      </c>
      <c r="CO36" s="14"/>
      <c r="CP36" s="14"/>
      <c r="CQ36" s="14"/>
      <c r="CR36" s="14"/>
      <c r="CS36" s="14">
        <f>SUM(CK$6:CK36)</f>
        <v>3340</v>
      </c>
      <c r="CT36" s="14">
        <f>SUM(CL$6:CL36)</f>
        <v>2920</v>
      </c>
      <c r="CU36" s="14">
        <f>SUM(CM$6:CM36)</f>
        <v>665</v>
      </c>
      <c r="CV36" s="14">
        <f>SUM(CN$6:CN36)</f>
        <v>86</v>
      </c>
      <c r="CY36" s="83">
        <v>22</v>
      </c>
      <c r="CZ36" s="14">
        <f>INDEX(节奏总表!$CK$4:CK93,专属武器强化!CY36)</f>
        <v>105</v>
      </c>
      <c r="DA36" s="14">
        <f t="shared" si="18"/>
        <v>3140</v>
      </c>
      <c r="DB36" s="14">
        <f t="shared" si="64"/>
        <v>1830</v>
      </c>
      <c r="DC36" s="14">
        <f t="shared" si="65"/>
        <v>150</v>
      </c>
      <c r="DD36" s="14">
        <f t="shared" si="66"/>
        <v>0</v>
      </c>
      <c r="DE36" s="83">
        <v>5</v>
      </c>
      <c r="DF36" s="83">
        <v>1</v>
      </c>
      <c r="DG36" s="14">
        <f t="shared" si="67"/>
        <v>0</v>
      </c>
      <c r="DH36" s="14">
        <f t="shared" si="68"/>
        <v>45.894210526315796</v>
      </c>
      <c r="DI36" s="14">
        <f t="shared" si="69"/>
        <v>29.644210526315796</v>
      </c>
      <c r="DJ36" s="14">
        <f t="shared" si="70"/>
        <v>0</v>
      </c>
      <c r="DK36" s="83"/>
      <c r="DL36" s="83"/>
      <c r="DM36" s="83">
        <v>6</v>
      </c>
      <c r="DN36" s="83"/>
      <c r="DO36" s="14">
        <f>DA36-SUM(DG$7:DG36)+SUM(DK$7:DK36)</f>
        <v>769.17124999999942</v>
      </c>
      <c r="DP36" s="14">
        <f>DB36-SUM(DH$7:DH36)+SUM(DL$7:DL36)</f>
        <v>622.93363486842054</v>
      </c>
      <c r="DQ36" s="14">
        <f>DC36-SUM(DI$7:DI36)+SUM(DM$7:DM36)</f>
        <v>21.312631578947304</v>
      </c>
      <c r="DR36" s="14">
        <f>DD36-SUM(DJ$7:DJ36)+SUM(DN$7:DN36)</f>
        <v>0</v>
      </c>
      <c r="DU36" s="95">
        <v>31</v>
      </c>
      <c r="DV36" s="14">
        <f t="shared" si="71"/>
        <v>4</v>
      </c>
      <c r="DW36" s="14">
        <f t="shared" si="72"/>
        <v>4</v>
      </c>
      <c r="DX36" s="14">
        <f t="shared" si="114"/>
        <v>0</v>
      </c>
      <c r="DY36" s="14">
        <f t="shared" si="114"/>
        <v>65.563157894736861</v>
      </c>
      <c r="DZ36" s="14">
        <f t="shared" si="114"/>
        <v>24.703508771929833</v>
      </c>
      <c r="EA36" s="14">
        <f t="shared" si="114"/>
        <v>0</v>
      </c>
      <c r="EB36" s="14">
        <f t="shared" si="73"/>
        <v>2</v>
      </c>
      <c r="EC36" s="14">
        <f t="shared" si="74"/>
        <v>3</v>
      </c>
      <c r="EJ36" s="139">
        <v>31</v>
      </c>
      <c r="EK36" s="14">
        <f t="shared" si="76"/>
        <v>4</v>
      </c>
      <c r="EL36" s="19">
        <f t="shared" si="115"/>
        <v>0.08</v>
      </c>
      <c r="EM36" s="139">
        <v>3</v>
      </c>
      <c r="EN36" s="139" t="s">
        <v>941</v>
      </c>
      <c r="EO36" s="139">
        <f t="shared" si="77"/>
        <v>1167</v>
      </c>
      <c r="EP36" s="139" t="s">
        <v>849</v>
      </c>
      <c r="EQ36" s="139">
        <f t="shared" si="118"/>
        <v>5</v>
      </c>
      <c r="ER36" s="139" t="s">
        <v>850</v>
      </c>
      <c r="ES36" s="139">
        <v>2</v>
      </c>
      <c r="ET36" s="139">
        <f t="shared" si="21"/>
        <v>0.08</v>
      </c>
      <c r="EU36" s="139">
        <v>1</v>
      </c>
      <c r="EV36" s="139">
        <f t="shared" si="78"/>
        <v>19</v>
      </c>
      <c r="EW36" s="139"/>
      <c r="EX36" s="139">
        <f t="shared" si="116"/>
        <v>12.351754385964917</v>
      </c>
      <c r="EY36" s="206">
        <f t="shared" si="79"/>
        <v>14418.48</v>
      </c>
      <c r="FA36">
        <v>0</v>
      </c>
      <c r="FB36">
        <v>1</v>
      </c>
      <c r="FC36">
        <f t="shared" si="23"/>
        <v>4</v>
      </c>
      <c r="FD36" s="89">
        <f t="shared" si="24"/>
        <v>4.0500000000000001E-2</v>
      </c>
      <c r="FE36">
        <v>1</v>
      </c>
      <c r="FF36">
        <f t="shared" si="25"/>
        <v>9</v>
      </c>
      <c r="FG36" s="89">
        <f t="shared" si="26"/>
        <v>0.16189999999999999</v>
      </c>
      <c r="FH36">
        <v>1</v>
      </c>
      <c r="FI36">
        <f t="shared" si="27"/>
        <v>19</v>
      </c>
      <c r="FS36" s="101">
        <v>31</v>
      </c>
      <c r="FT36" s="101">
        <f t="shared" si="80"/>
        <v>0</v>
      </c>
      <c r="FU36" s="101">
        <f t="shared" si="81"/>
        <v>1</v>
      </c>
      <c r="FV36" s="14">
        <f t="shared" si="82"/>
        <v>5</v>
      </c>
      <c r="FW36" s="101" t="str">
        <f t="shared" si="83"/>
        <v>关羽专属武器-魂珠-4 0级</v>
      </c>
      <c r="FX36" s="101">
        <f t="shared" si="84"/>
        <v>4</v>
      </c>
      <c r="FY36" s="101">
        <f t="shared" si="85"/>
        <v>0</v>
      </c>
      <c r="FZ36" s="101" t="str">
        <f t="shared" si="86"/>
        <v/>
      </c>
      <c r="GA36" s="139" t="str">
        <f>IF($FY36&gt;0,IF(INDEX($EM$6:$EM$77,$FT36)&gt;=GA$3,ROUND(INDEX(EO$6:EO$77,$FT36)*INDEX(卡牌消耗!$B$8:$F$8,FV36)/5,0)*5,""),"")</f>
        <v/>
      </c>
      <c r="GB36" s="101" t="str">
        <f t="shared" si="87"/>
        <v/>
      </c>
      <c r="GC36" s="101" t="str">
        <f t="shared" si="88"/>
        <v/>
      </c>
      <c r="GD36" s="101" t="str">
        <f t="shared" si="89"/>
        <v/>
      </c>
      <c r="GE36" s="101" t="str">
        <f t="shared" si="90"/>
        <v/>
      </c>
      <c r="GF36" s="101" t="str">
        <f t="shared" si="91"/>
        <v/>
      </c>
      <c r="GG36" s="101" t="str">
        <f t="shared" si="92"/>
        <v/>
      </c>
      <c r="GH36" s="101" t="str">
        <f t="shared" si="93"/>
        <v/>
      </c>
      <c r="GI36" s="101" t="str">
        <f t="shared" si="94"/>
        <v/>
      </c>
      <c r="GJ36" s="101" t="str">
        <f t="shared" si="95"/>
        <v/>
      </c>
      <c r="GK36" s="101" t="str">
        <f t="shared" si="96"/>
        <v/>
      </c>
      <c r="GL36" s="101" t="str">
        <f t="shared" si="97"/>
        <v/>
      </c>
      <c r="GM36" s="101" t="str">
        <f t="shared" si="98"/>
        <v/>
      </c>
      <c r="GN36" s="101" t="str">
        <f t="shared" si="99"/>
        <v/>
      </c>
      <c r="GO36" s="101" t="str">
        <f t="shared" si="100"/>
        <v/>
      </c>
      <c r="GP36" s="101" t="str">
        <f t="shared" si="101"/>
        <v/>
      </c>
      <c r="GQ36" s="101" t="str">
        <f t="shared" si="102"/>
        <v/>
      </c>
    </row>
    <row r="37" spans="85:199" ht="16.5" x14ac:dyDescent="0.2">
      <c r="CG37" s="81">
        <v>32</v>
      </c>
      <c r="CH37" s="174">
        <f>INDEX(节奏总表!$CK$4:$CK$63,专属武器强化!CG37)</f>
        <v>122</v>
      </c>
      <c r="CI37" s="81"/>
      <c r="CJ37" s="81">
        <f t="shared" si="13"/>
        <v>7</v>
      </c>
      <c r="CK37" s="14">
        <f t="shared" si="14"/>
        <v>0</v>
      </c>
      <c r="CL37" s="14">
        <f t="shared" si="15"/>
        <v>70</v>
      </c>
      <c r="CM37" s="14">
        <f t="shared" si="16"/>
        <v>105</v>
      </c>
      <c r="CN37" s="14">
        <f t="shared" si="17"/>
        <v>14</v>
      </c>
      <c r="CO37" s="14"/>
      <c r="CP37" s="14"/>
      <c r="CQ37" s="14"/>
      <c r="CR37" s="14"/>
      <c r="CS37" s="14">
        <f>SUM(CK$6:CK37)</f>
        <v>3340</v>
      </c>
      <c r="CT37" s="14">
        <f>SUM(CL$6:CL37)</f>
        <v>2990</v>
      </c>
      <c r="CU37" s="14">
        <f>SUM(CM$6:CM37)</f>
        <v>770</v>
      </c>
      <c r="CV37" s="14">
        <f>SUM(CN$6:CN37)</f>
        <v>100</v>
      </c>
      <c r="CY37" s="83">
        <v>23</v>
      </c>
      <c r="CZ37" s="14">
        <f>INDEX(节奏总表!$CK$4:CK94,专属武器强化!CY37)</f>
        <v>107</v>
      </c>
      <c r="DA37" s="14">
        <f t="shared" si="18"/>
        <v>3240</v>
      </c>
      <c r="DB37" s="14">
        <f t="shared" si="64"/>
        <v>1980</v>
      </c>
      <c r="DC37" s="14">
        <f t="shared" si="65"/>
        <v>175</v>
      </c>
      <c r="DD37" s="14">
        <f t="shared" si="66"/>
        <v>0</v>
      </c>
      <c r="DE37" s="83">
        <v>0</v>
      </c>
      <c r="DF37" s="83">
        <v>0</v>
      </c>
      <c r="DG37" s="14">
        <f t="shared" si="67"/>
        <v>0</v>
      </c>
      <c r="DH37" s="14">
        <f t="shared" si="68"/>
        <v>0</v>
      </c>
      <c r="DI37" s="14">
        <f t="shared" si="69"/>
        <v>0</v>
      </c>
      <c r="DJ37" s="14">
        <f t="shared" si="70"/>
        <v>0</v>
      </c>
      <c r="DK37" s="83"/>
      <c r="DL37" s="83"/>
      <c r="DM37" s="83"/>
      <c r="DN37" s="83"/>
      <c r="DO37" s="14">
        <f>DA37-SUM(DG$7:DG37)+SUM(DK$7:DK37)</f>
        <v>869.17124999999942</v>
      </c>
      <c r="DP37" s="14">
        <f>DB37-SUM(DH$7:DH37)+SUM(DL$7:DL37)</f>
        <v>772.93363486842054</v>
      </c>
      <c r="DQ37" s="14">
        <f>DC37-SUM(DI$7:DI37)+SUM(DM$7:DM37)</f>
        <v>46.312631578947304</v>
      </c>
      <c r="DR37" s="14">
        <f>DD37-SUM(DJ$7:DJ37)+SUM(DN$7:DN37)</f>
        <v>0</v>
      </c>
      <c r="DU37" s="95">
        <v>32</v>
      </c>
      <c r="DV37" s="14">
        <f t="shared" si="71"/>
        <v>4</v>
      </c>
      <c r="DW37" s="14">
        <f t="shared" si="72"/>
        <v>5</v>
      </c>
      <c r="DX37" s="14">
        <f t="shared" si="114"/>
        <v>0</v>
      </c>
      <c r="DY37" s="14">
        <f t="shared" si="114"/>
        <v>104.90105263157898</v>
      </c>
      <c r="DZ37" s="14">
        <f t="shared" si="114"/>
        <v>39.525614035087727</v>
      </c>
      <c r="EA37" s="14">
        <f t="shared" si="114"/>
        <v>0</v>
      </c>
      <c r="EB37" s="14">
        <f t="shared" si="73"/>
        <v>2</v>
      </c>
      <c r="EC37" s="14">
        <f t="shared" si="74"/>
        <v>3</v>
      </c>
      <c r="EJ37" s="139">
        <v>32</v>
      </c>
      <c r="EK37" s="14">
        <f t="shared" si="76"/>
        <v>4</v>
      </c>
      <c r="EL37" s="19">
        <f t="shared" si="115"/>
        <v>0.13</v>
      </c>
      <c r="EM37" s="139">
        <v>3</v>
      </c>
      <c r="EN37" s="139" t="s">
        <v>941</v>
      </c>
      <c r="EO37" s="139">
        <f t="shared" si="77"/>
        <v>1186</v>
      </c>
      <c r="EP37" s="139" t="s">
        <v>849</v>
      </c>
      <c r="EQ37" s="139">
        <f t="shared" si="118"/>
        <v>5</v>
      </c>
      <c r="ER37" s="139" t="s">
        <v>850</v>
      </c>
      <c r="ES37" s="139">
        <v>2</v>
      </c>
      <c r="ET37" s="139">
        <f t="shared" si="21"/>
        <v>0.05</v>
      </c>
      <c r="EU37" s="139">
        <v>1</v>
      </c>
      <c r="EV37" s="139">
        <f t="shared" si="78"/>
        <v>30</v>
      </c>
      <c r="EW37" s="139"/>
      <c r="EX37" s="139">
        <f t="shared" si="116"/>
        <v>19.762807017543864</v>
      </c>
      <c r="EY37" s="206">
        <f t="shared" si="79"/>
        <v>23430.030000000002</v>
      </c>
      <c r="FA37">
        <v>0</v>
      </c>
      <c r="FB37">
        <v>1</v>
      </c>
      <c r="FC37">
        <f t="shared" si="23"/>
        <v>7</v>
      </c>
      <c r="FD37" s="89">
        <f t="shared" si="24"/>
        <v>2.53E-2</v>
      </c>
      <c r="FE37">
        <v>1</v>
      </c>
      <c r="FF37">
        <f t="shared" si="25"/>
        <v>14</v>
      </c>
      <c r="FG37" s="89">
        <f t="shared" si="26"/>
        <v>0.1012</v>
      </c>
      <c r="FH37">
        <v>1</v>
      </c>
      <c r="FI37">
        <f t="shared" si="27"/>
        <v>30</v>
      </c>
      <c r="FS37" s="101">
        <v>32</v>
      </c>
      <c r="FT37" s="101">
        <f t="shared" si="80"/>
        <v>28</v>
      </c>
      <c r="FU37" s="101">
        <f t="shared" si="81"/>
        <v>1</v>
      </c>
      <c r="FV37" s="14">
        <f t="shared" si="82"/>
        <v>5</v>
      </c>
      <c r="FW37" s="101" t="str">
        <f t="shared" si="83"/>
        <v>关羽专属武器-魂珠-4 1级</v>
      </c>
      <c r="FX37" s="101">
        <f t="shared" si="84"/>
        <v>4</v>
      </c>
      <c r="FY37" s="101">
        <f t="shared" si="85"/>
        <v>1</v>
      </c>
      <c r="FZ37" s="101" t="str">
        <f t="shared" si="86"/>
        <v>金币</v>
      </c>
      <c r="GA37" s="139">
        <f>IF($FY37&gt;0,IF(INDEX($EM$6:$EM$77,$FT37)&gt;=GA$3,ROUND(INDEX(EO$6:EO$77,$FT37)*INDEX(卡牌消耗!$B$8:$F$8,FV37)/5,0)*5,""),"")</f>
        <v>1460</v>
      </c>
      <c r="GB37" s="101" t="str">
        <f t="shared" si="87"/>
        <v>专属强化石2</v>
      </c>
      <c r="GC37" s="101">
        <f t="shared" si="88"/>
        <v>3</v>
      </c>
      <c r="GD37" s="101" t="str">
        <f t="shared" si="89"/>
        <v>专属强化石3</v>
      </c>
      <c r="GE37" s="101">
        <f t="shared" si="90"/>
        <v>1</v>
      </c>
      <c r="GF37" s="101">
        <f t="shared" si="91"/>
        <v>0.2</v>
      </c>
      <c r="GG37" s="101">
        <f t="shared" si="92"/>
        <v>1</v>
      </c>
      <c r="GH37" s="101">
        <f t="shared" si="93"/>
        <v>7</v>
      </c>
      <c r="GI37" s="101">
        <f t="shared" si="94"/>
        <v>0</v>
      </c>
      <c r="GJ37" s="101">
        <f t="shared" si="95"/>
        <v>1</v>
      </c>
      <c r="GK37" s="101">
        <f t="shared" si="96"/>
        <v>2</v>
      </c>
      <c r="GL37" s="101">
        <f t="shared" si="97"/>
        <v>0.1012</v>
      </c>
      <c r="GM37" s="101">
        <f t="shared" si="98"/>
        <v>1</v>
      </c>
      <c r="GN37" s="101">
        <f t="shared" si="99"/>
        <v>3</v>
      </c>
      <c r="GO37" s="101">
        <f t="shared" si="100"/>
        <v>0.40479999999999999</v>
      </c>
      <c r="GP37" s="101">
        <f t="shared" si="101"/>
        <v>1</v>
      </c>
      <c r="GQ37" s="101">
        <f t="shared" si="102"/>
        <v>7</v>
      </c>
    </row>
    <row r="38" spans="85:199" ht="16.5" x14ac:dyDescent="0.2">
      <c r="CG38" s="81">
        <v>33</v>
      </c>
      <c r="CH38" s="174">
        <f>INDEX(节奏总表!$CK$4:$CK$63,专属武器强化!CG38)</f>
        <v>123</v>
      </c>
      <c r="CI38" s="81"/>
      <c r="CJ38" s="81">
        <f t="shared" ref="CJ38:CJ65" si="119">MATCH(CH38,$B$6:$B$15,1)-1</f>
        <v>7</v>
      </c>
      <c r="CK38" s="14">
        <f t="shared" ref="CK38:CK65" si="120">IF($CJ38&gt;0,INDEX(AE$7:AE$15,$CJ38),0)*$B$3</f>
        <v>0</v>
      </c>
      <c r="CL38" s="14">
        <f t="shared" ref="CL38:CL65" si="121">IF($CJ38&gt;0,INDEX(AF$7:AF$15,$CJ38),0)*$B$3</f>
        <v>70</v>
      </c>
      <c r="CM38" s="14">
        <f t="shared" ref="CM38:CM65" si="122">IF($CJ38&gt;0,INDEX(AG$7:AG$15,$CJ38),0)*$B$3</f>
        <v>105</v>
      </c>
      <c r="CN38" s="14">
        <f t="shared" ref="CN38:CN65" si="123">IF($CJ38&gt;0,INDEX(AH$7:AH$15,$CJ38),0)*$B$3</f>
        <v>14</v>
      </c>
      <c r="CO38" s="14"/>
      <c r="CP38" s="14"/>
      <c r="CQ38" s="14"/>
      <c r="CR38" s="14"/>
      <c r="CS38" s="14">
        <f>SUM(CK$6:CK38)</f>
        <v>3340</v>
      </c>
      <c r="CT38" s="14">
        <f>SUM(CL$6:CL38)</f>
        <v>3060</v>
      </c>
      <c r="CU38" s="14">
        <f>SUM(CM$6:CM38)</f>
        <v>875</v>
      </c>
      <c r="CV38" s="14">
        <f>SUM(CN$6:CN38)</f>
        <v>114</v>
      </c>
      <c r="CY38" s="83">
        <v>24</v>
      </c>
      <c r="CZ38" s="14">
        <f>INDEX(节奏总表!$CK$4:CK95,专属武器强化!CY38)</f>
        <v>108</v>
      </c>
      <c r="DA38" s="14">
        <f t="shared" ref="DA38:DA65" si="124">INDEX(CS$6:CS$65,$CY38)</f>
        <v>3340</v>
      </c>
      <c r="DB38" s="14">
        <f t="shared" si="64"/>
        <v>2130</v>
      </c>
      <c r="DC38" s="14">
        <f t="shared" si="65"/>
        <v>200</v>
      </c>
      <c r="DD38" s="14">
        <f t="shared" si="66"/>
        <v>0</v>
      </c>
      <c r="DE38" s="83">
        <v>5</v>
      </c>
      <c r="DF38" s="83">
        <v>2</v>
      </c>
      <c r="DG38" s="14">
        <f t="shared" si="67"/>
        <v>0</v>
      </c>
      <c r="DH38" s="14">
        <f t="shared" si="68"/>
        <v>91.788421052631591</v>
      </c>
      <c r="DI38" s="14">
        <f t="shared" si="69"/>
        <v>59.288421052631591</v>
      </c>
      <c r="DJ38" s="14">
        <f t="shared" si="70"/>
        <v>0</v>
      </c>
      <c r="DK38" s="83"/>
      <c r="DL38" s="83"/>
      <c r="DM38" s="83"/>
      <c r="DN38" s="83"/>
      <c r="DO38" s="14">
        <f>DA38-SUM(DG$7:DG38)+SUM(DK$7:DK38)</f>
        <v>969.17124999999942</v>
      </c>
      <c r="DP38" s="14">
        <f>DB38-SUM(DH$7:DH38)+SUM(DL$7:DL38)</f>
        <v>831.14521381578902</v>
      </c>
      <c r="DQ38" s="14">
        <f>DC38-SUM(DI$7:DI38)+SUM(DM$7:DM38)</f>
        <v>12.024210526315699</v>
      </c>
      <c r="DR38" s="14">
        <f>DD38-SUM(DJ$7:DJ38)+SUM(DN$7:DN38)</f>
        <v>0</v>
      </c>
      <c r="DU38" s="95">
        <v>33</v>
      </c>
      <c r="DV38" s="14">
        <f t="shared" si="71"/>
        <v>4</v>
      </c>
      <c r="DW38" s="14">
        <f t="shared" si="72"/>
        <v>6</v>
      </c>
      <c r="DX38" s="14">
        <f t="shared" si="114"/>
        <v>0</v>
      </c>
      <c r="DY38" s="14">
        <f t="shared" si="114"/>
        <v>170.46421052631584</v>
      </c>
      <c r="DZ38" s="14">
        <f t="shared" si="114"/>
        <v>64.229122807017561</v>
      </c>
      <c r="EA38" s="14">
        <f t="shared" si="114"/>
        <v>0</v>
      </c>
      <c r="EB38" s="14">
        <f t="shared" si="73"/>
        <v>2</v>
      </c>
      <c r="EC38" s="14">
        <f t="shared" si="74"/>
        <v>3</v>
      </c>
      <c r="EJ38" s="139">
        <v>33</v>
      </c>
      <c r="EK38" s="14">
        <f t="shared" si="76"/>
        <v>4</v>
      </c>
      <c r="EL38" s="19">
        <f t="shared" si="115"/>
        <v>0.21000000000000002</v>
      </c>
      <c r="EM38" s="139">
        <v>3</v>
      </c>
      <c r="EN38" s="139" t="s">
        <v>941</v>
      </c>
      <c r="EO38" s="139">
        <f t="shared" si="77"/>
        <v>1179</v>
      </c>
      <c r="EP38" s="139" t="s">
        <v>849</v>
      </c>
      <c r="EQ38" s="139">
        <f t="shared" si="118"/>
        <v>5</v>
      </c>
      <c r="ER38" s="139" t="s">
        <v>850</v>
      </c>
      <c r="ES38" s="139">
        <v>2</v>
      </c>
      <c r="ET38" s="139">
        <f t="shared" ref="ET38:ET69" si="125">ROUND(1/EX38,2)</f>
        <v>0.03</v>
      </c>
      <c r="EU38" s="139">
        <v>1</v>
      </c>
      <c r="EV38" s="139">
        <f t="shared" si="78"/>
        <v>48</v>
      </c>
      <c r="EW38" s="139"/>
      <c r="EX38" s="139">
        <f t="shared" si="116"/>
        <v>32.11456140350878</v>
      </c>
      <c r="EY38" s="206">
        <f t="shared" si="79"/>
        <v>37848.51</v>
      </c>
      <c r="FA38">
        <v>0</v>
      </c>
      <c r="FB38">
        <v>1</v>
      </c>
      <c r="FC38">
        <f t="shared" ref="FC38:FC69" si="126">ROUND(EX38*0.35,0)</f>
        <v>11</v>
      </c>
      <c r="FD38" s="89">
        <f t="shared" ref="FD38:FD69" si="127">ROUND(1/EX38/2,4)</f>
        <v>1.5599999999999999E-2</v>
      </c>
      <c r="FE38">
        <v>1</v>
      </c>
      <c r="FF38">
        <f t="shared" ref="FF38:FF69" si="128">ROUND(EX38*0.7,0)</f>
        <v>22</v>
      </c>
      <c r="FG38" s="89">
        <f t="shared" ref="FG38:FG69" si="129">ROUND(2/EX38,4)</f>
        <v>6.2300000000000001E-2</v>
      </c>
      <c r="FH38">
        <v>1</v>
      </c>
      <c r="FI38">
        <f t="shared" ref="FI38:FI69" si="130">ROUND(EX38*1.5,0)</f>
        <v>48</v>
      </c>
      <c r="FS38" s="101">
        <v>33</v>
      </c>
      <c r="FT38" s="101">
        <f t="shared" si="80"/>
        <v>29</v>
      </c>
      <c r="FU38" s="101">
        <f t="shared" si="81"/>
        <v>1</v>
      </c>
      <c r="FV38" s="14">
        <f t="shared" si="82"/>
        <v>5</v>
      </c>
      <c r="FW38" s="101" t="str">
        <f t="shared" si="83"/>
        <v>关羽专属武器-魂珠-4 2级</v>
      </c>
      <c r="FX38" s="101">
        <f t="shared" si="84"/>
        <v>4</v>
      </c>
      <c r="FY38" s="101">
        <f t="shared" si="85"/>
        <v>2</v>
      </c>
      <c r="FZ38" s="101" t="str">
        <f t="shared" si="86"/>
        <v>金币</v>
      </c>
      <c r="GA38" s="139">
        <f>IF($FY38&gt;0,IF(INDEX($EM$6:$EM$77,$FT38)&gt;=GA$3,ROUND(INDEX(EO$6:EO$77,$FT38)*INDEX(卡牌消耗!$B$8:$F$8,FV38)/5,0)*5,""),"")</f>
        <v>1095</v>
      </c>
      <c r="GB38" s="101" t="str">
        <f t="shared" si="87"/>
        <v>专属强化石2</v>
      </c>
      <c r="GC38" s="101">
        <f t="shared" si="88"/>
        <v>3</v>
      </c>
      <c r="GD38" s="101" t="str">
        <f t="shared" si="89"/>
        <v>专属强化石3</v>
      </c>
      <c r="GE38" s="101">
        <f t="shared" si="90"/>
        <v>1</v>
      </c>
      <c r="GF38" s="101">
        <f t="shared" si="91"/>
        <v>0.1</v>
      </c>
      <c r="GG38" s="101">
        <f t="shared" si="92"/>
        <v>1</v>
      </c>
      <c r="GH38" s="101">
        <f t="shared" si="93"/>
        <v>15</v>
      </c>
      <c r="GI38" s="101">
        <f t="shared" si="94"/>
        <v>0</v>
      </c>
      <c r="GJ38" s="101">
        <f t="shared" si="95"/>
        <v>1</v>
      </c>
      <c r="GK38" s="101">
        <f t="shared" si="96"/>
        <v>3</v>
      </c>
      <c r="GL38" s="101">
        <f t="shared" si="97"/>
        <v>5.0599999999999999E-2</v>
      </c>
      <c r="GM38" s="101">
        <f t="shared" si="98"/>
        <v>1</v>
      </c>
      <c r="GN38" s="101">
        <f t="shared" si="99"/>
        <v>7</v>
      </c>
      <c r="GO38" s="101">
        <f t="shared" si="100"/>
        <v>0.2024</v>
      </c>
      <c r="GP38" s="101">
        <f t="shared" si="101"/>
        <v>1</v>
      </c>
      <c r="GQ38" s="101">
        <f t="shared" si="102"/>
        <v>15</v>
      </c>
    </row>
    <row r="39" spans="85:199" ht="16.5" x14ac:dyDescent="0.2">
      <c r="CG39" s="81">
        <v>34</v>
      </c>
      <c r="CH39" s="174">
        <f>INDEX(节奏总表!$CK$4:$CK$63,专属武器强化!CG39)</f>
        <v>124</v>
      </c>
      <c r="CI39" s="81"/>
      <c r="CJ39" s="81">
        <f t="shared" si="119"/>
        <v>7</v>
      </c>
      <c r="CK39" s="14">
        <f t="shared" si="120"/>
        <v>0</v>
      </c>
      <c r="CL39" s="14">
        <f t="shared" si="121"/>
        <v>70</v>
      </c>
      <c r="CM39" s="14">
        <f t="shared" si="122"/>
        <v>105</v>
      </c>
      <c r="CN39" s="14">
        <f t="shared" si="123"/>
        <v>14</v>
      </c>
      <c r="CO39" s="14"/>
      <c r="CP39" s="14"/>
      <c r="CQ39" s="14"/>
      <c r="CR39" s="14"/>
      <c r="CS39" s="14">
        <f>SUM(CK$6:CK39)</f>
        <v>3340</v>
      </c>
      <c r="CT39" s="14">
        <f>SUM(CL$6:CL39)</f>
        <v>3130</v>
      </c>
      <c r="CU39" s="14">
        <f>SUM(CM$6:CM39)</f>
        <v>980</v>
      </c>
      <c r="CV39" s="14">
        <f>SUM(CN$6:CN39)</f>
        <v>128</v>
      </c>
      <c r="CY39" s="83">
        <v>25</v>
      </c>
      <c r="CZ39" s="14">
        <f>INDEX(节奏总表!$CK$4:CK96,专属武器强化!CY39)</f>
        <v>110</v>
      </c>
      <c r="DA39" s="14">
        <f t="shared" si="124"/>
        <v>3340</v>
      </c>
      <c r="DB39" s="14">
        <f t="shared" si="64"/>
        <v>2250</v>
      </c>
      <c r="DC39" s="14">
        <f t="shared" si="65"/>
        <v>260</v>
      </c>
      <c r="DD39" s="14">
        <f t="shared" si="66"/>
        <v>12</v>
      </c>
      <c r="DE39" s="83">
        <v>0</v>
      </c>
      <c r="DF39" s="83">
        <v>0</v>
      </c>
      <c r="DG39" s="14">
        <f t="shared" ref="DG39:DG70" si="131">IF(DE39&gt;0,INDEX($K$22:$AP$30,$DF39,($DE39-1)*4+1),0)*3</f>
        <v>0</v>
      </c>
      <c r="DH39" s="14">
        <f t="shared" ref="DH39:DH70" si="132">IF(DE39&gt;0,INDEX($K$22:$AP$30,$DF39,($DE39-1)*4+2),0)*3</f>
        <v>0</v>
      </c>
      <c r="DI39" s="14">
        <f t="shared" ref="DI39:DI70" si="133">IF(DE39&gt;0,INDEX($K$22:$AP$30,$DF39,($DE39-1)*4+3),0)*3</f>
        <v>0</v>
      </c>
      <c r="DJ39" s="14">
        <f t="shared" ref="DJ39:DJ70" si="134">IF(DF39&gt;0,INDEX($K$22:$AP$30,$DF39,($DE39-1)*4+4),0)*3</f>
        <v>0</v>
      </c>
      <c r="DK39" s="83"/>
      <c r="DL39" s="83"/>
      <c r="DM39" s="83"/>
      <c r="DN39" s="83"/>
      <c r="DO39" s="14">
        <f>DA39-SUM(DG$7:DG39)+SUM(DK$7:DK39)</f>
        <v>969.17124999999942</v>
      </c>
      <c r="DP39" s="14">
        <f>DB39-SUM(DH$7:DH39)+SUM(DL$7:DL39)</f>
        <v>951.14521381578902</v>
      </c>
      <c r="DQ39" s="14">
        <f>DC39-SUM(DI$7:DI39)+SUM(DM$7:DM39)</f>
        <v>72.024210526315699</v>
      </c>
      <c r="DR39" s="14">
        <f>DD39-SUM(DJ$7:DJ39)+SUM(DN$7:DN39)</f>
        <v>12</v>
      </c>
      <c r="DU39" s="95">
        <v>34</v>
      </c>
      <c r="DV39" s="14">
        <f t="shared" si="71"/>
        <v>4</v>
      </c>
      <c r="DW39" s="14">
        <f t="shared" si="72"/>
        <v>7</v>
      </c>
      <c r="DX39" s="14">
        <f t="shared" si="114"/>
        <v>0</v>
      </c>
      <c r="DY39" s="14">
        <f t="shared" si="114"/>
        <v>275.36526315789479</v>
      </c>
      <c r="DZ39" s="14">
        <f t="shared" si="114"/>
        <v>103.75473684210529</v>
      </c>
      <c r="EA39" s="14">
        <f t="shared" si="114"/>
        <v>0</v>
      </c>
      <c r="EB39" s="14">
        <f t="shared" si="73"/>
        <v>2</v>
      </c>
      <c r="EC39" s="14">
        <f t="shared" si="74"/>
        <v>3</v>
      </c>
      <c r="EJ39" s="139">
        <v>34</v>
      </c>
      <c r="EK39" s="14">
        <f t="shared" si="76"/>
        <v>4</v>
      </c>
      <c r="EL39" s="19">
        <f t="shared" si="115"/>
        <v>0.34</v>
      </c>
      <c r="EM39" s="139">
        <v>3</v>
      </c>
      <c r="EN39" s="139" t="s">
        <v>941</v>
      </c>
      <c r="EO39" s="139">
        <f t="shared" si="77"/>
        <v>1772</v>
      </c>
      <c r="EP39" s="139" t="s">
        <v>849</v>
      </c>
      <c r="EQ39" s="139">
        <f t="shared" si="118"/>
        <v>8</v>
      </c>
      <c r="ER39" s="139" t="s">
        <v>850</v>
      </c>
      <c r="ES39" s="139">
        <v>3</v>
      </c>
      <c r="ET39" s="139">
        <f t="shared" si="125"/>
        <v>0.03</v>
      </c>
      <c r="EU39" s="139">
        <v>1</v>
      </c>
      <c r="EV39" s="139">
        <f t="shared" si="78"/>
        <v>52</v>
      </c>
      <c r="EW39" s="139"/>
      <c r="EX39" s="139">
        <f t="shared" si="116"/>
        <v>34.584912280701765</v>
      </c>
      <c r="EY39" s="206">
        <f t="shared" si="79"/>
        <v>61278.54</v>
      </c>
      <c r="FA39">
        <v>0</v>
      </c>
      <c r="FB39">
        <v>1</v>
      </c>
      <c r="FC39">
        <f t="shared" si="126"/>
        <v>12</v>
      </c>
      <c r="FD39" s="89">
        <f t="shared" si="127"/>
        <v>1.4500000000000001E-2</v>
      </c>
      <c r="FE39">
        <v>1</v>
      </c>
      <c r="FF39">
        <f t="shared" si="128"/>
        <v>24</v>
      </c>
      <c r="FG39" s="89">
        <f t="shared" si="129"/>
        <v>5.7799999999999997E-2</v>
      </c>
      <c r="FH39">
        <v>1</v>
      </c>
      <c r="FI39">
        <f t="shared" si="130"/>
        <v>52</v>
      </c>
      <c r="FS39" s="101">
        <v>34</v>
      </c>
      <c r="FT39" s="101">
        <f t="shared" si="80"/>
        <v>30</v>
      </c>
      <c r="FU39" s="101">
        <f t="shared" si="81"/>
        <v>1</v>
      </c>
      <c r="FV39" s="14">
        <f t="shared" si="82"/>
        <v>5</v>
      </c>
      <c r="FW39" s="101" t="str">
        <f t="shared" si="83"/>
        <v>关羽专属武器-魂珠-4 3级</v>
      </c>
      <c r="FX39" s="101">
        <f t="shared" si="84"/>
        <v>4</v>
      </c>
      <c r="FY39" s="101">
        <f t="shared" si="85"/>
        <v>3</v>
      </c>
      <c r="FZ39" s="101" t="str">
        <f t="shared" si="86"/>
        <v>金币</v>
      </c>
      <c r="GA39" s="139">
        <f>IF($FY39&gt;0,IF(INDEX($EM$6:$EM$77,$FT39)&gt;=GA$3,ROUND(INDEX(EO$6:EO$77,$FT39)*INDEX(卡牌消耗!$B$8:$F$8,FV39)/5,0)*5,""),"")</f>
        <v>1215</v>
      </c>
      <c r="GB39" s="101" t="str">
        <f t="shared" si="87"/>
        <v>专属强化石2</v>
      </c>
      <c r="GC39" s="101">
        <f t="shared" si="88"/>
        <v>3</v>
      </c>
      <c r="GD39" s="101" t="str">
        <f t="shared" si="89"/>
        <v>专属强化石3</v>
      </c>
      <c r="GE39" s="101">
        <f t="shared" si="90"/>
        <v>1</v>
      </c>
      <c r="GF39" s="101">
        <f t="shared" si="91"/>
        <v>7.0000000000000007E-2</v>
      </c>
      <c r="GG39" s="101">
        <f t="shared" si="92"/>
        <v>1</v>
      </c>
      <c r="GH39" s="101">
        <f t="shared" si="93"/>
        <v>22</v>
      </c>
      <c r="GI39" s="101">
        <f t="shared" si="94"/>
        <v>0</v>
      </c>
      <c r="GJ39" s="101">
        <f t="shared" si="95"/>
        <v>1</v>
      </c>
      <c r="GK39" s="101">
        <f t="shared" si="96"/>
        <v>5</v>
      </c>
      <c r="GL39" s="101">
        <f t="shared" si="97"/>
        <v>3.3700000000000001E-2</v>
      </c>
      <c r="GM39" s="101">
        <f t="shared" si="98"/>
        <v>1</v>
      </c>
      <c r="GN39" s="101">
        <f t="shared" si="99"/>
        <v>10</v>
      </c>
      <c r="GO39" s="101">
        <f t="shared" si="100"/>
        <v>0.13489999999999999</v>
      </c>
      <c r="GP39" s="101">
        <f t="shared" si="101"/>
        <v>1</v>
      </c>
      <c r="GQ39" s="101">
        <f t="shared" si="102"/>
        <v>22</v>
      </c>
    </row>
    <row r="40" spans="85:199" ht="16.5" x14ac:dyDescent="0.2">
      <c r="CG40" s="81">
        <v>35</v>
      </c>
      <c r="CH40" s="174">
        <f>INDEX(节奏总表!$CK$4:$CK$63,专属武器强化!CG40)</f>
        <v>126</v>
      </c>
      <c r="CI40" s="81">
        <v>7</v>
      </c>
      <c r="CJ40" s="81">
        <f t="shared" si="119"/>
        <v>7</v>
      </c>
      <c r="CK40" s="14">
        <f t="shared" si="120"/>
        <v>0</v>
      </c>
      <c r="CL40" s="14">
        <f t="shared" si="121"/>
        <v>70</v>
      </c>
      <c r="CM40" s="14">
        <f t="shared" si="122"/>
        <v>105</v>
      </c>
      <c r="CN40" s="14">
        <f t="shared" si="123"/>
        <v>14</v>
      </c>
      <c r="CO40" s="14"/>
      <c r="CP40" s="14"/>
      <c r="CQ40" s="14"/>
      <c r="CR40" s="14"/>
      <c r="CS40" s="14">
        <f>SUM(CK$6:CK40)</f>
        <v>3340</v>
      </c>
      <c r="CT40" s="14">
        <f>SUM(CL$6:CL40)</f>
        <v>3200</v>
      </c>
      <c r="CU40" s="14">
        <f>SUM(CM$6:CM40)</f>
        <v>1085</v>
      </c>
      <c r="CV40" s="14">
        <f>SUM(CN$6:CN40)</f>
        <v>142</v>
      </c>
      <c r="CY40" s="83">
        <v>26</v>
      </c>
      <c r="CZ40" s="14">
        <f>INDEX(节奏总表!$CK$4:CK97,专属武器强化!CY40)</f>
        <v>112</v>
      </c>
      <c r="DA40" s="14">
        <f t="shared" si="124"/>
        <v>3340</v>
      </c>
      <c r="DB40" s="14">
        <f t="shared" si="64"/>
        <v>2370</v>
      </c>
      <c r="DC40" s="14">
        <f t="shared" si="65"/>
        <v>320</v>
      </c>
      <c r="DD40" s="14">
        <f t="shared" si="66"/>
        <v>24</v>
      </c>
      <c r="DE40" s="83">
        <v>4</v>
      </c>
      <c r="DF40" s="83">
        <v>5</v>
      </c>
      <c r="DG40" s="14">
        <f t="shared" si="131"/>
        <v>0</v>
      </c>
      <c r="DH40" s="14">
        <f t="shared" si="132"/>
        <v>314.70315789473693</v>
      </c>
      <c r="DI40" s="14">
        <f t="shared" si="133"/>
        <v>118.57684210526318</v>
      </c>
      <c r="DJ40" s="14">
        <f t="shared" si="134"/>
        <v>0</v>
      </c>
      <c r="DK40" s="83"/>
      <c r="DL40" s="83"/>
      <c r="DM40" s="83"/>
      <c r="DN40" s="83"/>
      <c r="DO40" s="14">
        <f>DA40-SUM(DG$7:DG40)+SUM(DK$7:DK40)</f>
        <v>969.17124999999942</v>
      </c>
      <c r="DP40" s="14">
        <f>DB40-SUM(DH$7:DH40)+SUM(DL$7:DL40)</f>
        <v>756.44205592105209</v>
      </c>
      <c r="DQ40" s="14">
        <f>DC40-SUM(DI$7:DI40)+SUM(DM$7:DM40)</f>
        <v>13.447368421052488</v>
      </c>
      <c r="DR40" s="14">
        <f>DD40-SUM(DJ$7:DJ40)+SUM(DN$7:DN40)</f>
        <v>24</v>
      </c>
      <c r="DU40" s="95">
        <v>35</v>
      </c>
      <c r="DV40" s="14">
        <f t="shared" si="71"/>
        <v>4</v>
      </c>
      <c r="DW40" s="14">
        <f t="shared" si="72"/>
        <v>8</v>
      </c>
      <c r="DX40" s="14">
        <f t="shared" si="114"/>
        <v>0</v>
      </c>
      <c r="DY40" s="14">
        <f t="shared" si="114"/>
        <v>445.8294736842106</v>
      </c>
      <c r="DZ40" s="14">
        <f t="shared" si="114"/>
        <v>167.98385964912282</v>
      </c>
      <c r="EA40" s="14">
        <f t="shared" si="114"/>
        <v>0</v>
      </c>
      <c r="EB40" s="14">
        <f t="shared" si="73"/>
        <v>2</v>
      </c>
      <c r="EC40" s="14">
        <f t="shared" si="74"/>
        <v>3</v>
      </c>
      <c r="EJ40" s="139">
        <v>35</v>
      </c>
      <c r="EK40" s="14">
        <f t="shared" si="76"/>
        <v>4</v>
      </c>
      <c r="EL40" s="19">
        <f t="shared" si="115"/>
        <v>0.55000000000000004</v>
      </c>
      <c r="EM40" s="139">
        <v>3</v>
      </c>
      <c r="EN40" s="139" t="s">
        <v>941</v>
      </c>
      <c r="EO40" s="139">
        <f t="shared" si="77"/>
        <v>2360</v>
      </c>
      <c r="EP40" s="139" t="s">
        <v>849</v>
      </c>
      <c r="EQ40" s="139">
        <f t="shared" si="118"/>
        <v>11</v>
      </c>
      <c r="ER40" s="139" t="s">
        <v>850</v>
      </c>
      <c r="ES40" s="139">
        <v>4</v>
      </c>
      <c r="ET40" s="139">
        <f t="shared" si="125"/>
        <v>0.02</v>
      </c>
      <c r="EU40" s="139">
        <v>1</v>
      </c>
      <c r="EV40" s="139">
        <f t="shared" si="78"/>
        <v>63</v>
      </c>
      <c r="EW40" s="139"/>
      <c r="EX40" s="139">
        <f t="shared" si="116"/>
        <v>41.995964912280705</v>
      </c>
      <c r="EY40" s="206">
        <f t="shared" si="79"/>
        <v>99127.05</v>
      </c>
      <c r="FA40">
        <v>0</v>
      </c>
      <c r="FB40">
        <v>1</v>
      </c>
      <c r="FC40">
        <f t="shared" si="126"/>
        <v>15</v>
      </c>
      <c r="FD40" s="89">
        <f t="shared" si="127"/>
        <v>1.1900000000000001E-2</v>
      </c>
      <c r="FE40">
        <v>1</v>
      </c>
      <c r="FF40">
        <f t="shared" si="128"/>
        <v>29</v>
      </c>
      <c r="FG40" s="89">
        <f t="shared" si="129"/>
        <v>4.7600000000000003E-2</v>
      </c>
      <c r="FH40">
        <v>1</v>
      </c>
      <c r="FI40">
        <f t="shared" si="130"/>
        <v>63</v>
      </c>
      <c r="FS40" s="101">
        <v>35</v>
      </c>
      <c r="FT40" s="101">
        <f t="shared" si="80"/>
        <v>31</v>
      </c>
      <c r="FU40" s="101">
        <f t="shared" si="81"/>
        <v>1</v>
      </c>
      <c r="FV40" s="14">
        <f t="shared" si="82"/>
        <v>5</v>
      </c>
      <c r="FW40" s="101" t="str">
        <f t="shared" si="83"/>
        <v>关羽专属武器-魂珠-4 4级</v>
      </c>
      <c r="FX40" s="101">
        <f t="shared" si="84"/>
        <v>4</v>
      </c>
      <c r="FY40" s="101">
        <f t="shared" si="85"/>
        <v>4</v>
      </c>
      <c r="FZ40" s="101" t="str">
        <f t="shared" si="86"/>
        <v>金币</v>
      </c>
      <c r="GA40" s="139">
        <f>IF($FY40&gt;0,IF(INDEX($EM$6:$EM$77,$FT40)&gt;=GA$3,ROUND(INDEX(EO$6:EO$77,$FT40)*INDEX(卡牌消耗!$B$8:$F$8,FV40)/5,0)*5,""),"")</f>
        <v>2335</v>
      </c>
      <c r="GB40" s="101" t="str">
        <f t="shared" si="87"/>
        <v>专属强化石2</v>
      </c>
      <c r="GC40" s="101">
        <f t="shared" si="88"/>
        <v>5</v>
      </c>
      <c r="GD40" s="101" t="str">
        <f t="shared" si="89"/>
        <v>专属强化石3</v>
      </c>
      <c r="GE40" s="101">
        <f t="shared" si="90"/>
        <v>2</v>
      </c>
      <c r="GF40" s="101">
        <f t="shared" si="91"/>
        <v>0.08</v>
      </c>
      <c r="GG40" s="101">
        <f t="shared" si="92"/>
        <v>1</v>
      </c>
      <c r="GH40" s="101">
        <f t="shared" si="93"/>
        <v>19</v>
      </c>
      <c r="GI40" s="101">
        <f t="shared" si="94"/>
        <v>0</v>
      </c>
      <c r="GJ40" s="101">
        <f t="shared" si="95"/>
        <v>1</v>
      </c>
      <c r="GK40" s="101">
        <f t="shared" si="96"/>
        <v>4</v>
      </c>
      <c r="GL40" s="101">
        <f t="shared" si="97"/>
        <v>4.0500000000000001E-2</v>
      </c>
      <c r="GM40" s="101">
        <f t="shared" si="98"/>
        <v>1</v>
      </c>
      <c r="GN40" s="101">
        <f t="shared" si="99"/>
        <v>9</v>
      </c>
      <c r="GO40" s="101">
        <f t="shared" si="100"/>
        <v>0.16189999999999999</v>
      </c>
      <c r="GP40" s="101">
        <f t="shared" si="101"/>
        <v>1</v>
      </c>
      <c r="GQ40" s="101">
        <f t="shared" si="102"/>
        <v>19</v>
      </c>
    </row>
    <row r="41" spans="85:199" ht="16.5" x14ac:dyDescent="0.2">
      <c r="CG41" s="81">
        <v>36</v>
      </c>
      <c r="CH41" s="174">
        <f>INDEX(节奏总表!$CK$4:$CK$63,专属武器强化!CG41)</f>
        <v>127</v>
      </c>
      <c r="CI41" s="81"/>
      <c r="CJ41" s="81">
        <f t="shared" si="119"/>
        <v>7</v>
      </c>
      <c r="CK41" s="14">
        <f t="shared" si="120"/>
        <v>0</v>
      </c>
      <c r="CL41" s="14">
        <f t="shared" si="121"/>
        <v>70</v>
      </c>
      <c r="CM41" s="14">
        <f t="shared" si="122"/>
        <v>105</v>
      </c>
      <c r="CN41" s="14">
        <f t="shared" si="123"/>
        <v>14</v>
      </c>
      <c r="CO41" s="14"/>
      <c r="CP41" s="14"/>
      <c r="CQ41" s="14"/>
      <c r="CR41" s="14"/>
      <c r="CS41" s="14">
        <f>SUM(CK$6:CK41)</f>
        <v>3340</v>
      </c>
      <c r="CT41" s="14">
        <f>SUM(CL$6:CL41)</f>
        <v>3270</v>
      </c>
      <c r="CU41" s="14">
        <f>SUM(CM$6:CM41)</f>
        <v>1190</v>
      </c>
      <c r="CV41" s="14">
        <f>SUM(CN$6:CN41)</f>
        <v>156</v>
      </c>
      <c r="CY41" s="83">
        <v>27</v>
      </c>
      <c r="CZ41" s="14">
        <f>INDEX(节奏总表!$CK$4:CK98,专属武器强化!CY41)</f>
        <v>113</v>
      </c>
      <c r="DA41" s="14">
        <f t="shared" si="124"/>
        <v>3340</v>
      </c>
      <c r="DB41" s="14">
        <f t="shared" si="64"/>
        <v>2490</v>
      </c>
      <c r="DC41" s="14">
        <f t="shared" si="65"/>
        <v>380</v>
      </c>
      <c r="DD41" s="14">
        <f t="shared" si="66"/>
        <v>36</v>
      </c>
      <c r="DE41" s="83">
        <v>0</v>
      </c>
      <c r="DF41" s="83">
        <v>0</v>
      </c>
      <c r="DG41" s="14">
        <f t="shared" si="131"/>
        <v>0</v>
      </c>
      <c r="DH41" s="14">
        <f t="shared" si="132"/>
        <v>0</v>
      </c>
      <c r="DI41" s="14">
        <f t="shared" si="133"/>
        <v>0</v>
      </c>
      <c r="DJ41" s="14">
        <f t="shared" si="134"/>
        <v>0</v>
      </c>
      <c r="DK41" s="83"/>
      <c r="DL41" s="83"/>
      <c r="DM41" s="83"/>
      <c r="DN41" s="83"/>
      <c r="DO41" s="14">
        <f>DA41-SUM(DG$7:DG41)+SUM(DK$7:DK41)</f>
        <v>969.17124999999942</v>
      </c>
      <c r="DP41" s="14">
        <f>DB41-SUM(DH$7:DH41)+SUM(DL$7:DL41)</f>
        <v>876.44205592105209</v>
      </c>
      <c r="DQ41" s="14">
        <f>DC41-SUM(DI$7:DI41)+SUM(DM$7:DM41)</f>
        <v>73.447368421052488</v>
      </c>
      <c r="DR41" s="14">
        <f>DD41-SUM(DJ$7:DJ41)+SUM(DN$7:DN41)</f>
        <v>36</v>
      </c>
      <c r="DU41" s="95">
        <v>36</v>
      </c>
      <c r="DV41" s="14">
        <f t="shared" si="71"/>
        <v>4</v>
      </c>
      <c r="DW41" s="14">
        <f t="shared" si="72"/>
        <v>9</v>
      </c>
      <c r="DX41" s="14">
        <f t="shared" si="114"/>
        <v>0</v>
      </c>
      <c r="DY41" s="14">
        <f t="shared" si="114"/>
        <v>721.1947368421055</v>
      </c>
      <c r="DZ41" s="14">
        <f t="shared" si="114"/>
        <v>271.73859649122812</v>
      </c>
      <c r="EA41" s="14">
        <f t="shared" si="114"/>
        <v>0</v>
      </c>
      <c r="EB41" s="14">
        <f t="shared" si="73"/>
        <v>2</v>
      </c>
      <c r="EC41" s="14">
        <f t="shared" si="74"/>
        <v>3</v>
      </c>
      <c r="EJ41" s="139">
        <v>36</v>
      </c>
      <c r="EK41" s="14">
        <f t="shared" si="76"/>
        <v>4</v>
      </c>
      <c r="EL41" s="19">
        <f t="shared" si="115"/>
        <v>0.89000000000000012</v>
      </c>
      <c r="EM41" s="139">
        <v>3</v>
      </c>
      <c r="EN41" s="139" t="s">
        <v>941</v>
      </c>
      <c r="EO41" s="139">
        <f t="shared" si="77"/>
        <v>3542</v>
      </c>
      <c r="EP41" s="139" t="s">
        <v>849</v>
      </c>
      <c r="EQ41" s="139">
        <f t="shared" si="118"/>
        <v>16</v>
      </c>
      <c r="ER41" s="139" t="s">
        <v>850</v>
      </c>
      <c r="ES41" s="139">
        <v>6</v>
      </c>
      <c r="ET41" s="139">
        <f t="shared" si="125"/>
        <v>0.02</v>
      </c>
      <c r="EU41" s="139">
        <v>1</v>
      </c>
      <c r="EV41" s="139">
        <f t="shared" si="78"/>
        <v>68</v>
      </c>
      <c r="EW41" s="139"/>
      <c r="EX41" s="139">
        <f t="shared" si="116"/>
        <v>45.289766081871356</v>
      </c>
      <c r="EY41" s="206">
        <f t="shared" si="79"/>
        <v>160405.59000000003</v>
      </c>
      <c r="FA41">
        <v>0</v>
      </c>
      <c r="FB41">
        <v>1</v>
      </c>
      <c r="FC41">
        <f t="shared" si="126"/>
        <v>16</v>
      </c>
      <c r="FD41" s="89">
        <f t="shared" si="127"/>
        <v>1.0999999999999999E-2</v>
      </c>
      <c r="FE41">
        <v>1</v>
      </c>
      <c r="FF41">
        <f t="shared" si="128"/>
        <v>32</v>
      </c>
      <c r="FG41" s="89">
        <f t="shared" si="129"/>
        <v>4.4200000000000003E-2</v>
      </c>
      <c r="FH41">
        <v>1</v>
      </c>
      <c r="FI41">
        <f t="shared" si="130"/>
        <v>68</v>
      </c>
      <c r="FS41" s="101">
        <v>36</v>
      </c>
      <c r="FT41" s="101">
        <f t="shared" si="80"/>
        <v>32</v>
      </c>
      <c r="FU41" s="101">
        <f t="shared" si="81"/>
        <v>1</v>
      </c>
      <c r="FV41" s="14">
        <f t="shared" si="82"/>
        <v>5</v>
      </c>
      <c r="FW41" s="101" t="str">
        <f t="shared" si="83"/>
        <v>关羽专属武器-魂珠-4 5级</v>
      </c>
      <c r="FX41" s="101">
        <f t="shared" si="84"/>
        <v>4</v>
      </c>
      <c r="FY41" s="101">
        <f t="shared" si="85"/>
        <v>5</v>
      </c>
      <c r="FZ41" s="101" t="str">
        <f t="shared" si="86"/>
        <v>金币</v>
      </c>
      <c r="GA41" s="139">
        <f>IF($FY41&gt;0,IF(INDEX($EM$6:$EM$77,$FT41)&gt;=GA$3,ROUND(INDEX(EO$6:EO$77,$FT41)*INDEX(卡牌消耗!$B$8:$F$8,FV41)/5,0)*5,""),"")</f>
        <v>2370</v>
      </c>
      <c r="GB41" s="101" t="str">
        <f t="shared" si="87"/>
        <v>专属强化石2</v>
      </c>
      <c r="GC41" s="101">
        <f t="shared" si="88"/>
        <v>5</v>
      </c>
      <c r="GD41" s="101" t="str">
        <f t="shared" si="89"/>
        <v>专属强化石3</v>
      </c>
      <c r="GE41" s="101">
        <f t="shared" si="90"/>
        <v>2</v>
      </c>
      <c r="GF41" s="101">
        <f t="shared" si="91"/>
        <v>0.05</v>
      </c>
      <c r="GG41" s="101">
        <f t="shared" si="92"/>
        <v>1</v>
      </c>
      <c r="GH41" s="101">
        <f t="shared" si="93"/>
        <v>30</v>
      </c>
      <c r="GI41" s="101">
        <f t="shared" si="94"/>
        <v>0</v>
      </c>
      <c r="GJ41" s="101">
        <f t="shared" si="95"/>
        <v>1</v>
      </c>
      <c r="GK41" s="101">
        <f t="shared" si="96"/>
        <v>7</v>
      </c>
      <c r="GL41" s="101">
        <f t="shared" si="97"/>
        <v>2.53E-2</v>
      </c>
      <c r="GM41" s="101">
        <f t="shared" si="98"/>
        <v>1</v>
      </c>
      <c r="GN41" s="101">
        <f t="shared" si="99"/>
        <v>14</v>
      </c>
      <c r="GO41" s="101">
        <f t="shared" si="100"/>
        <v>0.1012</v>
      </c>
      <c r="GP41" s="101">
        <f t="shared" si="101"/>
        <v>1</v>
      </c>
      <c r="GQ41" s="101">
        <f t="shared" si="102"/>
        <v>30</v>
      </c>
    </row>
    <row r="42" spans="85:199" ht="16.5" x14ac:dyDescent="0.2">
      <c r="CG42" s="81">
        <v>37</v>
      </c>
      <c r="CH42" s="174">
        <f>INDEX(节奏总表!$CK$4:$CK$63,专属武器强化!CG42)</f>
        <v>128</v>
      </c>
      <c r="CI42" s="81"/>
      <c r="CJ42" s="81">
        <f t="shared" si="119"/>
        <v>7</v>
      </c>
      <c r="CK42" s="14">
        <f t="shared" si="120"/>
        <v>0</v>
      </c>
      <c r="CL42" s="14">
        <f t="shared" si="121"/>
        <v>70</v>
      </c>
      <c r="CM42" s="14">
        <f t="shared" si="122"/>
        <v>105</v>
      </c>
      <c r="CN42" s="14">
        <f t="shared" si="123"/>
        <v>14</v>
      </c>
      <c r="CO42" s="14"/>
      <c r="CP42" s="14"/>
      <c r="CQ42" s="14"/>
      <c r="CR42" s="14"/>
      <c r="CS42" s="14">
        <f>SUM(CK$6:CK42)</f>
        <v>3340</v>
      </c>
      <c r="CT42" s="14">
        <f>SUM(CL$6:CL42)</f>
        <v>3340</v>
      </c>
      <c r="CU42" s="14">
        <f>SUM(CM$6:CM42)</f>
        <v>1295</v>
      </c>
      <c r="CV42" s="14">
        <f>SUM(CN$6:CN42)</f>
        <v>170</v>
      </c>
      <c r="CY42" s="83">
        <v>28</v>
      </c>
      <c r="CZ42" s="14">
        <f>INDEX(节奏总表!$CK$4:CK99,专属武器强化!CY42)</f>
        <v>115</v>
      </c>
      <c r="DA42" s="14">
        <f t="shared" si="124"/>
        <v>3340</v>
      </c>
      <c r="DB42" s="14">
        <f t="shared" si="64"/>
        <v>2610</v>
      </c>
      <c r="DC42" s="14">
        <f t="shared" si="65"/>
        <v>440</v>
      </c>
      <c r="DD42" s="14">
        <f t="shared" si="66"/>
        <v>48</v>
      </c>
      <c r="DE42" s="83">
        <v>0</v>
      </c>
      <c r="DF42" s="83">
        <v>0</v>
      </c>
      <c r="DG42" s="14">
        <f t="shared" si="131"/>
        <v>0</v>
      </c>
      <c r="DH42" s="14">
        <f t="shared" si="132"/>
        <v>0</v>
      </c>
      <c r="DI42" s="14">
        <f t="shared" si="133"/>
        <v>0</v>
      </c>
      <c r="DJ42" s="14">
        <f t="shared" si="134"/>
        <v>0</v>
      </c>
      <c r="DK42" s="83"/>
      <c r="DL42" s="83"/>
      <c r="DM42" s="83"/>
      <c r="DN42" s="83"/>
      <c r="DO42" s="14">
        <f>DA42-SUM(DG$7:DG42)+SUM(DK$7:DK42)</f>
        <v>969.17124999999942</v>
      </c>
      <c r="DP42" s="14">
        <f>DB42-SUM(DH$7:DH42)+SUM(DL$7:DL42)</f>
        <v>996.44205592105209</v>
      </c>
      <c r="DQ42" s="14">
        <f>DC42-SUM(DI$7:DI42)+SUM(DM$7:DM42)</f>
        <v>133.44736842105249</v>
      </c>
      <c r="DR42" s="14">
        <f>DD42-SUM(DJ$7:DJ42)+SUM(DN$7:DN42)</f>
        <v>48</v>
      </c>
      <c r="DU42" s="95">
        <v>37</v>
      </c>
      <c r="DV42" s="14">
        <f t="shared" si="71"/>
        <v>5</v>
      </c>
      <c r="DW42" s="14">
        <f t="shared" si="72"/>
        <v>1</v>
      </c>
      <c r="DX42" s="14">
        <f t="shared" si="114"/>
        <v>0</v>
      </c>
      <c r="DY42" s="14">
        <f t="shared" si="114"/>
        <v>15.298070175438598</v>
      </c>
      <c r="DZ42" s="14">
        <f t="shared" si="114"/>
        <v>9.8814035087719319</v>
      </c>
      <c r="EA42" s="14">
        <f t="shared" si="114"/>
        <v>0</v>
      </c>
      <c r="EB42" s="14">
        <f t="shared" si="73"/>
        <v>2</v>
      </c>
      <c r="EC42" s="14">
        <f t="shared" si="74"/>
        <v>3</v>
      </c>
      <c r="EJ42" s="139">
        <v>37</v>
      </c>
      <c r="EK42" s="14">
        <f t="shared" si="76"/>
        <v>5</v>
      </c>
      <c r="EL42" s="19">
        <v>0.02</v>
      </c>
      <c r="EM42" s="139">
        <v>3</v>
      </c>
      <c r="EN42" s="139" t="s">
        <v>941</v>
      </c>
      <c r="EO42" s="139">
        <f t="shared" si="77"/>
        <v>1496</v>
      </c>
      <c r="EP42" s="139" t="s">
        <v>849</v>
      </c>
      <c r="EQ42" s="139">
        <f t="shared" si="118"/>
        <v>3</v>
      </c>
      <c r="ER42" s="139" t="s">
        <v>850</v>
      </c>
      <c r="ES42" s="139">
        <v>2</v>
      </c>
      <c r="ET42" s="139">
        <f t="shared" si="125"/>
        <v>0.2</v>
      </c>
      <c r="EU42" s="139">
        <v>1</v>
      </c>
      <c r="EV42" s="139">
        <f t="shared" ref="EV42:EV51" si="135">FI42</f>
        <v>7</v>
      </c>
      <c r="EW42" s="139"/>
      <c r="EX42" s="139">
        <f t="shared" si="116"/>
        <v>4.9407017543859659</v>
      </c>
      <c r="EY42" s="206">
        <f t="shared" si="79"/>
        <v>7389.92</v>
      </c>
      <c r="FA42">
        <v>0</v>
      </c>
      <c r="FB42">
        <v>1</v>
      </c>
      <c r="FC42">
        <f t="shared" si="126"/>
        <v>2</v>
      </c>
      <c r="FD42" s="89">
        <f t="shared" si="127"/>
        <v>0.1012</v>
      </c>
      <c r="FE42">
        <v>1</v>
      </c>
      <c r="FF42">
        <f t="shared" si="128"/>
        <v>3</v>
      </c>
      <c r="FG42" s="89">
        <f t="shared" si="129"/>
        <v>0.40479999999999999</v>
      </c>
      <c r="FH42">
        <v>1</v>
      </c>
      <c r="FI42">
        <f t="shared" si="130"/>
        <v>7</v>
      </c>
      <c r="FS42" s="101">
        <v>37</v>
      </c>
      <c r="FT42" s="101">
        <f t="shared" si="80"/>
        <v>33</v>
      </c>
      <c r="FU42" s="101">
        <f t="shared" si="81"/>
        <v>1</v>
      </c>
      <c r="FV42" s="14">
        <f t="shared" si="82"/>
        <v>5</v>
      </c>
      <c r="FW42" s="101" t="str">
        <f t="shared" si="83"/>
        <v>关羽专属武器-魂珠-4 6级</v>
      </c>
      <c r="FX42" s="101">
        <f t="shared" si="84"/>
        <v>4</v>
      </c>
      <c r="FY42" s="101">
        <f t="shared" si="85"/>
        <v>6</v>
      </c>
      <c r="FZ42" s="101" t="str">
        <f t="shared" si="86"/>
        <v>金币</v>
      </c>
      <c r="GA42" s="139">
        <f>IF($FY42&gt;0,IF(INDEX($EM$6:$EM$77,$FT42)&gt;=GA$3,ROUND(INDEX(EO$6:EO$77,$FT42)*INDEX(卡牌消耗!$B$8:$F$8,FV42)/5,0)*5,""),"")</f>
        <v>2360</v>
      </c>
      <c r="GB42" s="101" t="str">
        <f t="shared" si="87"/>
        <v>专属强化石2</v>
      </c>
      <c r="GC42" s="101">
        <f t="shared" si="88"/>
        <v>5</v>
      </c>
      <c r="GD42" s="101" t="str">
        <f t="shared" si="89"/>
        <v>专属强化石3</v>
      </c>
      <c r="GE42" s="101">
        <f t="shared" si="90"/>
        <v>2</v>
      </c>
      <c r="GF42" s="101">
        <f t="shared" si="91"/>
        <v>0.03</v>
      </c>
      <c r="GG42" s="101">
        <f t="shared" si="92"/>
        <v>1</v>
      </c>
      <c r="GH42" s="101">
        <f t="shared" si="93"/>
        <v>48</v>
      </c>
      <c r="GI42" s="101">
        <f t="shared" si="94"/>
        <v>0</v>
      </c>
      <c r="GJ42" s="101">
        <f t="shared" si="95"/>
        <v>1</v>
      </c>
      <c r="GK42" s="101">
        <f t="shared" si="96"/>
        <v>11</v>
      </c>
      <c r="GL42" s="101">
        <f t="shared" si="97"/>
        <v>1.5599999999999999E-2</v>
      </c>
      <c r="GM42" s="101">
        <f t="shared" si="98"/>
        <v>1</v>
      </c>
      <c r="GN42" s="101">
        <f t="shared" si="99"/>
        <v>22</v>
      </c>
      <c r="GO42" s="101">
        <f t="shared" si="100"/>
        <v>6.2300000000000001E-2</v>
      </c>
      <c r="GP42" s="101">
        <f t="shared" si="101"/>
        <v>1</v>
      </c>
      <c r="GQ42" s="101">
        <f t="shared" si="102"/>
        <v>48</v>
      </c>
    </row>
    <row r="43" spans="85:199" ht="16.5" x14ac:dyDescent="0.2">
      <c r="CG43" s="81">
        <v>38</v>
      </c>
      <c r="CH43" s="174">
        <f>INDEX(节奏总表!$CK$4:$CK$63,专属武器强化!CG43)</f>
        <v>130</v>
      </c>
      <c r="CI43" s="81"/>
      <c r="CJ43" s="81">
        <f t="shared" si="119"/>
        <v>8</v>
      </c>
      <c r="CK43" s="14">
        <f t="shared" si="120"/>
        <v>0</v>
      </c>
      <c r="CL43" s="14">
        <f t="shared" si="121"/>
        <v>0</v>
      </c>
      <c r="CM43" s="14">
        <f t="shared" si="122"/>
        <v>80</v>
      </c>
      <c r="CN43" s="14">
        <f t="shared" si="123"/>
        <v>48</v>
      </c>
      <c r="CO43" s="14"/>
      <c r="CP43" s="14"/>
      <c r="CQ43" s="14"/>
      <c r="CR43" s="14"/>
      <c r="CS43" s="14">
        <f>SUM(CK$6:CK43)</f>
        <v>3340</v>
      </c>
      <c r="CT43" s="14">
        <f>SUM(CL$6:CL43)</f>
        <v>3340</v>
      </c>
      <c r="CU43" s="14">
        <f>SUM(CM$6:CM43)</f>
        <v>1375</v>
      </c>
      <c r="CV43" s="14">
        <f>SUM(CN$6:CN43)</f>
        <v>218</v>
      </c>
      <c r="CY43" s="83">
        <v>28</v>
      </c>
      <c r="CZ43" s="14">
        <f>INDEX(节奏总表!$CK$4:CK100,专属武器强化!CY43)</f>
        <v>115</v>
      </c>
      <c r="DA43" s="14">
        <f t="shared" si="124"/>
        <v>3340</v>
      </c>
      <c r="DB43" s="14">
        <f t="shared" si="64"/>
        <v>2610</v>
      </c>
      <c r="DC43" s="14">
        <f t="shared" si="65"/>
        <v>440</v>
      </c>
      <c r="DD43" s="14">
        <f t="shared" si="66"/>
        <v>48</v>
      </c>
      <c r="DE43" s="83">
        <v>6</v>
      </c>
      <c r="DF43" s="83">
        <v>1</v>
      </c>
      <c r="DG43" s="14">
        <f t="shared" si="131"/>
        <v>0</v>
      </c>
      <c r="DH43" s="14">
        <f t="shared" si="132"/>
        <v>0</v>
      </c>
      <c r="DI43" s="14">
        <f t="shared" si="133"/>
        <v>89.606363636363639</v>
      </c>
      <c r="DJ43" s="14">
        <f t="shared" si="134"/>
        <v>18.103090909090909</v>
      </c>
      <c r="DK43" s="83"/>
      <c r="DL43" s="83"/>
      <c r="DM43" s="83"/>
      <c r="DN43" s="83"/>
      <c r="DO43" s="14">
        <f>DA43-SUM(DG$7:DG43)+SUM(DK$7:DK43)</f>
        <v>969.17124999999942</v>
      </c>
      <c r="DP43" s="14">
        <f>DB43-SUM(DH$7:DH43)+SUM(DL$7:DL43)</f>
        <v>996.44205592105209</v>
      </c>
      <c r="DQ43" s="14">
        <f>DC43-SUM(DI$7:DI43)+SUM(DM$7:DM43)</f>
        <v>43.841004784688835</v>
      </c>
      <c r="DR43" s="14">
        <f>DD43-SUM(DJ$7:DJ43)+SUM(DN$7:DN43)</f>
        <v>29.896909090909091</v>
      </c>
      <c r="DU43" s="95">
        <v>38</v>
      </c>
      <c r="DV43" s="14">
        <f t="shared" si="71"/>
        <v>5</v>
      </c>
      <c r="DW43" s="14">
        <f t="shared" si="72"/>
        <v>2</v>
      </c>
      <c r="DX43" s="14">
        <f t="shared" si="114"/>
        <v>0</v>
      </c>
      <c r="DY43" s="14">
        <f t="shared" si="114"/>
        <v>30.596140350877196</v>
      </c>
      <c r="DZ43" s="14">
        <f t="shared" si="114"/>
        <v>19.762807017543864</v>
      </c>
      <c r="EA43" s="14">
        <f t="shared" si="114"/>
        <v>0</v>
      </c>
      <c r="EB43" s="14">
        <f t="shared" si="73"/>
        <v>2</v>
      </c>
      <c r="EC43" s="14">
        <f t="shared" si="74"/>
        <v>3</v>
      </c>
      <c r="EJ43" s="139">
        <v>38</v>
      </c>
      <c r="EK43" s="14">
        <f t="shared" si="76"/>
        <v>5</v>
      </c>
      <c r="EL43" s="19">
        <v>0.03</v>
      </c>
      <c r="EM43" s="139">
        <v>3</v>
      </c>
      <c r="EN43" s="139" t="s">
        <v>941</v>
      </c>
      <c r="EO43" s="139">
        <f t="shared" si="77"/>
        <v>1122</v>
      </c>
      <c r="EP43" s="139" t="s">
        <v>849</v>
      </c>
      <c r="EQ43" s="139">
        <f t="shared" si="118"/>
        <v>3</v>
      </c>
      <c r="ER43" s="139" t="s">
        <v>850</v>
      </c>
      <c r="ES43" s="139">
        <v>2</v>
      </c>
      <c r="ET43" s="139">
        <f t="shared" si="125"/>
        <v>0.1</v>
      </c>
      <c r="EU43" s="139">
        <v>1</v>
      </c>
      <c r="EV43" s="139">
        <f t="shared" si="135"/>
        <v>15</v>
      </c>
      <c r="EW43" s="139"/>
      <c r="EX43" s="139">
        <f t="shared" si="116"/>
        <v>9.8814035087719319</v>
      </c>
      <c r="EY43" s="206">
        <f t="shared" si="79"/>
        <v>11084.88</v>
      </c>
      <c r="FA43">
        <v>0</v>
      </c>
      <c r="FB43">
        <v>1</v>
      </c>
      <c r="FC43">
        <f t="shared" si="126"/>
        <v>3</v>
      </c>
      <c r="FD43" s="89">
        <f t="shared" si="127"/>
        <v>5.0599999999999999E-2</v>
      </c>
      <c r="FE43">
        <v>1</v>
      </c>
      <c r="FF43">
        <f t="shared" si="128"/>
        <v>7</v>
      </c>
      <c r="FG43" s="89">
        <f t="shared" si="129"/>
        <v>0.2024</v>
      </c>
      <c r="FH43">
        <v>1</v>
      </c>
      <c r="FI43">
        <f t="shared" si="130"/>
        <v>15</v>
      </c>
      <c r="FS43" s="101">
        <v>38</v>
      </c>
      <c r="FT43" s="101">
        <f t="shared" si="80"/>
        <v>34</v>
      </c>
      <c r="FU43" s="101">
        <f t="shared" si="81"/>
        <v>1</v>
      </c>
      <c r="FV43" s="14">
        <f t="shared" si="82"/>
        <v>5</v>
      </c>
      <c r="FW43" s="101" t="str">
        <f t="shared" si="83"/>
        <v>关羽专属武器-魂珠-4 7级</v>
      </c>
      <c r="FX43" s="101">
        <f t="shared" si="84"/>
        <v>4</v>
      </c>
      <c r="FY43" s="101">
        <f t="shared" si="85"/>
        <v>7</v>
      </c>
      <c r="FZ43" s="101" t="str">
        <f t="shared" si="86"/>
        <v>金币</v>
      </c>
      <c r="GA43" s="139">
        <f>IF($FY43&gt;0,IF(INDEX($EM$6:$EM$77,$FT43)&gt;=GA$3,ROUND(INDEX(EO$6:EO$77,$FT43)*INDEX(卡牌消耗!$B$8:$F$8,FV43)/5,0)*5,""),"")</f>
        <v>3545</v>
      </c>
      <c r="GB43" s="101" t="str">
        <f t="shared" si="87"/>
        <v>专属强化石2</v>
      </c>
      <c r="GC43" s="101">
        <f t="shared" si="88"/>
        <v>8</v>
      </c>
      <c r="GD43" s="101" t="str">
        <f t="shared" si="89"/>
        <v>专属强化石3</v>
      </c>
      <c r="GE43" s="101">
        <f t="shared" si="90"/>
        <v>3</v>
      </c>
      <c r="GF43" s="101">
        <f t="shared" si="91"/>
        <v>0.03</v>
      </c>
      <c r="GG43" s="101">
        <f t="shared" si="92"/>
        <v>1</v>
      </c>
      <c r="GH43" s="101">
        <f t="shared" si="93"/>
        <v>52</v>
      </c>
      <c r="GI43" s="101">
        <f t="shared" si="94"/>
        <v>0</v>
      </c>
      <c r="GJ43" s="101">
        <f t="shared" si="95"/>
        <v>1</v>
      </c>
      <c r="GK43" s="101">
        <f t="shared" si="96"/>
        <v>12</v>
      </c>
      <c r="GL43" s="101">
        <f t="shared" si="97"/>
        <v>1.4500000000000001E-2</v>
      </c>
      <c r="GM43" s="101">
        <f t="shared" si="98"/>
        <v>1</v>
      </c>
      <c r="GN43" s="101">
        <f t="shared" si="99"/>
        <v>24</v>
      </c>
      <c r="GO43" s="101">
        <f t="shared" si="100"/>
        <v>5.7799999999999997E-2</v>
      </c>
      <c r="GP43" s="101">
        <f t="shared" si="101"/>
        <v>1</v>
      </c>
      <c r="GQ43" s="101">
        <f t="shared" si="102"/>
        <v>52</v>
      </c>
    </row>
    <row r="44" spans="85:199" ht="16.5" x14ac:dyDescent="0.2">
      <c r="CG44" s="81">
        <v>39</v>
      </c>
      <c r="CH44" s="174">
        <f>INDEX(节奏总表!$CK$4:$CK$63,专属武器强化!CG44)</f>
        <v>131</v>
      </c>
      <c r="CI44" s="81"/>
      <c r="CJ44" s="81">
        <f t="shared" si="119"/>
        <v>8</v>
      </c>
      <c r="CK44" s="14">
        <f t="shared" si="120"/>
        <v>0</v>
      </c>
      <c r="CL44" s="14">
        <f t="shared" si="121"/>
        <v>0</v>
      </c>
      <c r="CM44" s="14">
        <f t="shared" si="122"/>
        <v>80</v>
      </c>
      <c r="CN44" s="14">
        <f t="shared" si="123"/>
        <v>48</v>
      </c>
      <c r="CO44" s="14"/>
      <c r="CP44" s="14"/>
      <c r="CQ44" s="14"/>
      <c r="CR44" s="14"/>
      <c r="CS44" s="14">
        <f>SUM(CK$6:CK44)</f>
        <v>3340</v>
      </c>
      <c r="CT44" s="14">
        <f>SUM(CL$6:CL44)</f>
        <v>3340</v>
      </c>
      <c r="CU44" s="14">
        <f>SUM(CM$6:CM44)</f>
        <v>1455</v>
      </c>
      <c r="CV44" s="14">
        <f>SUM(CN$6:CN44)</f>
        <v>266</v>
      </c>
      <c r="CY44" s="83">
        <v>29</v>
      </c>
      <c r="CZ44" s="14">
        <f>INDEX(节奏总表!$CK$4:CK101,专属武器强化!CY44)</f>
        <v>117</v>
      </c>
      <c r="DA44" s="14">
        <f t="shared" si="124"/>
        <v>3340</v>
      </c>
      <c r="DB44" s="14">
        <f t="shared" si="64"/>
        <v>2730</v>
      </c>
      <c r="DC44" s="14">
        <f t="shared" si="65"/>
        <v>500</v>
      </c>
      <c r="DD44" s="14">
        <f t="shared" si="66"/>
        <v>60</v>
      </c>
      <c r="DE44" s="83">
        <v>5</v>
      </c>
      <c r="DF44" s="83">
        <v>3</v>
      </c>
      <c r="DG44" s="14">
        <f t="shared" si="131"/>
        <v>0</v>
      </c>
      <c r="DH44" s="14">
        <f t="shared" si="132"/>
        <v>137.68263157894739</v>
      </c>
      <c r="DI44" s="14">
        <f t="shared" si="133"/>
        <v>88.93263157894738</v>
      </c>
      <c r="DJ44" s="14">
        <f t="shared" si="134"/>
        <v>0</v>
      </c>
      <c r="DK44" s="83"/>
      <c r="DL44" s="83"/>
      <c r="DM44" s="83">
        <v>5</v>
      </c>
      <c r="DN44" s="83"/>
      <c r="DO44" s="14">
        <f>DA44-SUM(DG$7:DG44)+SUM(DK$7:DK44)</f>
        <v>969.17124999999942</v>
      </c>
      <c r="DP44" s="14">
        <f>DB44-SUM(DH$7:DH44)+SUM(DL$7:DL44)</f>
        <v>978.75942434210469</v>
      </c>
      <c r="DQ44" s="14">
        <f>DC44-SUM(DI$7:DI44)+SUM(DM$7:DM44)</f>
        <v>19.908373205741441</v>
      </c>
      <c r="DR44" s="14">
        <f>DD44-SUM(DJ$7:DJ44)+SUM(DN$7:DN44)</f>
        <v>41.896909090909091</v>
      </c>
      <c r="DU44" s="95">
        <v>39</v>
      </c>
      <c r="DV44" s="14">
        <f t="shared" si="71"/>
        <v>5</v>
      </c>
      <c r="DW44" s="14">
        <f t="shared" si="72"/>
        <v>3</v>
      </c>
      <c r="DX44" s="14">
        <f t="shared" si="114"/>
        <v>0</v>
      </c>
      <c r="DY44" s="14">
        <f t="shared" si="114"/>
        <v>45.894210526315796</v>
      </c>
      <c r="DZ44" s="14">
        <f t="shared" si="114"/>
        <v>29.644210526315792</v>
      </c>
      <c r="EA44" s="14">
        <f t="shared" si="114"/>
        <v>0</v>
      </c>
      <c r="EB44" s="14">
        <f t="shared" si="73"/>
        <v>2</v>
      </c>
      <c r="EC44" s="14">
        <f t="shared" si="74"/>
        <v>3</v>
      </c>
      <c r="EJ44" s="139">
        <v>39</v>
      </c>
      <c r="EK44" s="14">
        <f t="shared" si="76"/>
        <v>5</v>
      </c>
      <c r="EL44" s="19">
        <f t="shared" ref="EL44" si="136">EL42+EL43</f>
        <v>0.05</v>
      </c>
      <c r="EM44" s="139">
        <v>3</v>
      </c>
      <c r="EN44" s="139" t="s">
        <v>941</v>
      </c>
      <c r="EO44" s="139">
        <f t="shared" si="77"/>
        <v>1246</v>
      </c>
      <c r="EP44" s="139" t="s">
        <v>849</v>
      </c>
      <c r="EQ44" s="139">
        <f t="shared" si="118"/>
        <v>3</v>
      </c>
      <c r="ER44" s="139" t="s">
        <v>850</v>
      </c>
      <c r="ES44" s="139">
        <v>2</v>
      </c>
      <c r="ET44" s="139">
        <f t="shared" si="125"/>
        <v>7.0000000000000007E-2</v>
      </c>
      <c r="EU44" s="139">
        <v>1</v>
      </c>
      <c r="EV44" s="139">
        <f t="shared" si="135"/>
        <v>22</v>
      </c>
      <c r="EW44" s="139"/>
      <c r="EX44" s="139">
        <f t="shared" si="116"/>
        <v>14.822105263157896</v>
      </c>
      <c r="EY44" s="206">
        <f t="shared" si="79"/>
        <v>18474.8</v>
      </c>
      <c r="FA44">
        <v>0</v>
      </c>
      <c r="FB44">
        <v>1</v>
      </c>
      <c r="FC44">
        <f t="shared" si="126"/>
        <v>5</v>
      </c>
      <c r="FD44" s="89">
        <f t="shared" si="127"/>
        <v>3.3700000000000001E-2</v>
      </c>
      <c r="FE44">
        <v>1</v>
      </c>
      <c r="FF44">
        <f t="shared" si="128"/>
        <v>10</v>
      </c>
      <c r="FG44" s="89">
        <f t="shared" si="129"/>
        <v>0.13489999999999999</v>
      </c>
      <c r="FH44">
        <v>1</v>
      </c>
      <c r="FI44">
        <f t="shared" si="130"/>
        <v>22</v>
      </c>
      <c r="FS44" s="101">
        <v>39</v>
      </c>
      <c r="FT44" s="101">
        <f t="shared" si="80"/>
        <v>35</v>
      </c>
      <c r="FU44" s="101">
        <f t="shared" si="81"/>
        <v>1</v>
      </c>
      <c r="FV44" s="14">
        <f t="shared" si="82"/>
        <v>5</v>
      </c>
      <c r="FW44" s="101" t="str">
        <f t="shared" si="83"/>
        <v>关羽专属武器-魂珠-4 8级</v>
      </c>
      <c r="FX44" s="101">
        <f t="shared" si="84"/>
        <v>4</v>
      </c>
      <c r="FY44" s="101">
        <f t="shared" si="85"/>
        <v>8</v>
      </c>
      <c r="FZ44" s="101" t="str">
        <f t="shared" si="86"/>
        <v>金币</v>
      </c>
      <c r="GA44" s="139">
        <f>IF($FY44&gt;0,IF(INDEX($EM$6:$EM$77,$FT44)&gt;=GA$3,ROUND(INDEX(EO$6:EO$77,$FT44)*INDEX(卡牌消耗!$B$8:$F$8,FV44)/5,0)*5,""),"")</f>
        <v>4720</v>
      </c>
      <c r="GB44" s="101" t="str">
        <f t="shared" si="87"/>
        <v>专属强化石2</v>
      </c>
      <c r="GC44" s="101">
        <f t="shared" si="88"/>
        <v>11</v>
      </c>
      <c r="GD44" s="101" t="str">
        <f t="shared" si="89"/>
        <v>专属强化石3</v>
      </c>
      <c r="GE44" s="101">
        <f t="shared" si="90"/>
        <v>4</v>
      </c>
      <c r="GF44" s="101">
        <f t="shared" si="91"/>
        <v>0.02</v>
      </c>
      <c r="GG44" s="101">
        <f t="shared" si="92"/>
        <v>1</v>
      </c>
      <c r="GH44" s="101">
        <f t="shared" si="93"/>
        <v>63</v>
      </c>
      <c r="GI44" s="101">
        <f t="shared" si="94"/>
        <v>0</v>
      </c>
      <c r="GJ44" s="101">
        <f t="shared" si="95"/>
        <v>1</v>
      </c>
      <c r="GK44" s="101">
        <f t="shared" si="96"/>
        <v>15</v>
      </c>
      <c r="GL44" s="101">
        <f t="shared" si="97"/>
        <v>1.1900000000000001E-2</v>
      </c>
      <c r="GM44" s="101">
        <f t="shared" si="98"/>
        <v>1</v>
      </c>
      <c r="GN44" s="101">
        <f t="shared" si="99"/>
        <v>29</v>
      </c>
      <c r="GO44" s="101">
        <f t="shared" si="100"/>
        <v>4.7600000000000003E-2</v>
      </c>
      <c r="GP44" s="101">
        <f t="shared" si="101"/>
        <v>1</v>
      </c>
      <c r="GQ44" s="101">
        <f t="shared" si="102"/>
        <v>63</v>
      </c>
    </row>
    <row r="45" spans="85:199" ht="16.5" x14ac:dyDescent="0.2">
      <c r="CG45" s="81">
        <v>40</v>
      </c>
      <c r="CH45" s="174">
        <f>INDEX(节奏总表!$CK$4:$CK$63,专属武器强化!CG45)</f>
        <v>132</v>
      </c>
      <c r="CI45" s="81"/>
      <c r="CJ45" s="81">
        <f t="shared" si="119"/>
        <v>8</v>
      </c>
      <c r="CK45" s="14">
        <f t="shared" si="120"/>
        <v>0</v>
      </c>
      <c r="CL45" s="14">
        <f t="shared" si="121"/>
        <v>0</v>
      </c>
      <c r="CM45" s="14">
        <f t="shared" si="122"/>
        <v>80</v>
      </c>
      <c r="CN45" s="14">
        <f t="shared" si="123"/>
        <v>48</v>
      </c>
      <c r="CO45" s="14"/>
      <c r="CP45" s="14"/>
      <c r="CQ45" s="14"/>
      <c r="CR45" s="14"/>
      <c r="CS45" s="14">
        <f>SUM(CK$6:CK45)</f>
        <v>3340</v>
      </c>
      <c r="CT45" s="14">
        <f>SUM(CL$6:CL45)</f>
        <v>3340</v>
      </c>
      <c r="CU45" s="14">
        <f>SUM(CM$6:CM45)</f>
        <v>1535</v>
      </c>
      <c r="CV45" s="14">
        <f>SUM(CN$6:CN45)</f>
        <v>314</v>
      </c>
      <c r="CY45" s="83">
        <v>30</v>
      </c>
      <c r="CZ45" s="14">
        <f>INDEX(节奏总表!$CK$4:CK102,专属武器强化!CY45)</f>
        <v>118</v>
      </c>
      <c r="DA45" s="14">
        <f t="shared" si="124"/>
        <v>3340</v>
      </c>
      <c r="DB45" s="14">
        <f t="shared" si="64"/>
        <v>2850</v>
      </c>
      <c r="DC45" s="14">
        <f t="shared" si="65"/>
        <v>560</v>
      </c>
      <c r="DD45" s="14">
        <f t="shared" si="66"/>
        <v>72</v>
      </c>
      <c r="DE45" s="83">
        <v>0</v>
      </c>
      <c r="DF45" s="83">
        <v>0</v>
      </c>
      <c r="DG45" s="14">
        <f t="shared" si="131"/>
        <v>0</v>
      </c>
      <c r="DH45" s="14">
        <f t="shared" si="132"/>
        <v>0</v>
      </c>
      <c r="DI45" s="14">
        <f t="shared" si="133"/>
        <v>0</v>
      </c>
      <c r="DJ45" s="14">
        <f t="shared" si="134"/>
        <v>0</v>
      </c>
      <c r="DK45" s="83"/>
      <c r="DL45" s="83"/>
      <c r="DM45" s="83"/>
      <c r="DN45" s="83"/>
      <c r="DO45" s="14">
        <f>DA45-SUM(DG$7:DG45)+SUM(DK$7:DK45)</f>
        <v>969.17124999999942</v>
      </c>
      <c r="DP45" s="14">
        <f>DB45-SUM(DH$7:DH45)+SUM(DL$7:DL45)</f>
        <v>1098.7594243421047</v>
      </c>
      <c r="DQ45" s="14">
        <f>DC45-SUM(DI$7:DI45)+SUM(DM$7:DM45)</f>
        <v>79.908373205741441</v>
      </c>
      <c r="DR45" s="14">
        <f>DD45-SUM(DJ$7:DJ45)+SUM(DN$7:DN45)</f>
        <v>53.896909090909091</v>
      </c>
      <c r="DU45" s="95">
        <v>40</v>
      </c>
      <c r="DV45" s="14">
        <f t="shared" si="71"/>
        <v>5</v>
      </c>
      <c r="DW45" s="14">
        <f t="shared" si="72"/>
        <v>4</v>
      </c>
      <c r="DX45" s="14">
        <f t="shared" si="114"/>
        <v>0</v>
      </c>
      <c r="DY45" s="14">
        <f t="shared" si="114"/>
        <v>76.490350877192995</v>
      </c>
      <c r="DZ45" s="14">
        <f t="shared" si="114"/>
        <v>49.407017543859666</v>
      </c>
      <c r="EA45" s="14">
        <f t="shared" si="114"/>
        <v>0</v>
      </c>
      <c r="EB45" s="14">
        <f t="shared" si="73"/>
        <v>2</v>
      </c>
      <c r="EC45" s="14">
        <f t="shared" si="74"/>
        <v>3</v>
      </c>
      <c r="EJ45" s="139">
        <v>40</v>
      </c>
      <c r="EK45" s="14">
        <f t="shared" si="76"/>
        <v>5</v>
      </c>
      <c r="EL45" s="19">
        <f t="shared" si="115"/>
        <v>0.08</v>
      </c>
      <c r="EM45" s="139">
        <v>3</v>
      </c>
      <c r="EN45" s="139" t="s">
        <v>941</v>
      </c>
      <c r="EO45" s="139">
        <f t="shared" si="77"/>
        <v>1795</v>
      </c>
      <c r="EP45" s="139" t="s">
        <v>849</v>
      </c>
      <c r="EQ45" s="139">
        <f t="shared" si="118"/>
        <v>5</v>
      </c>
      <c r="ER45" s="139" t="s">
        <v>850</v>
      </c>
      <c r="ES45" s="139">
        <v>3</v>
      </c>
      <c r="ET45" s="139">
        <f t="shared" si="125"/>
        <v>0.06</v>
      </c>
      <c r="EU45" s="139">
        <v>1</v>
      </c>
      <c r="EV45" s="139">
        <f t="shared" si="135"/>
        <v>25</v>
      </c>
      <c r="EW45" s="139"/>
      <c r="EX45" s="139">
        <f t="shared" si="116"/>
        <v>16.469005847953223</v>
      </c>
      <c r="EY45" s="206">
        <f t="shared" si="79"/>
        <v>29559.68</v>
      </c>
      <c r="FA45">
        <v>0</v>
      </c>
      <c r="FB45">
        <v>1</v>
      </c>
      <c r="FC45">
        <f t="shared" si="126"/>
        <v>6</v>
      </c>
      <c r="FD45" s="89">
        <f t="shared" si="127"/>
        <v>3.04E-2</v>
      </c>
      <c r="FE45">
        <v>1</v>
      </c>
      <c r="FF45">
        <f t="shared" si="128"/>
        <v>12</v>
      </c>
      <c r="FG45" s="89">
        <f t="shared" si="129"/>
        <v>0.12139999999999999</v>
      </c>
      <c r="FH45">
        <v>1</v>
      </c>
      <c r="FI45">
        <f t="shared" si="130"/>
        <v>25</v>
      </c>
      <c r="FS45" s="101">
        <v>40</v>
      </c>
      <c r="FT45" s="101">
        <f t="shared" si="80"/>
        <v>36</v>
      </c>
      <c r="FU45" s="101">
        <f t="shared" si="81"/>
        <v>1</v>
      </c>
      <c r="FV45" s="14">
        <f t="shared" si="82"/>
        <v>5</v>
      </c>
      <c r="FW45" s="101" t="str">
        <f t="shared" si="83"/>
        <v>关羽专属武器-魂珠-4 9级</v>
      </c>
      <c r="FX45" s="101">
        <f t="shared" si="84"/>
        <v>4</v>
      </c>
      <c r="FY45" s="101">
        <f t="shared" si="85"/>
        <v>9</v>
      </c>
      <c r="FZ45" s="101" t="str">
        <f t="shared" si="86"/>
        <v>金币</v>
      </c>
      <c r="GA45" s="139">
        <f>IF($FY45&gt;0,IF(INDEX($EM$6:$EM$77,$FT45)&gt;=GA$3,ROUND(INDEX(EO$6:EO$77,$FT45)*INDEX(卡牌消耗!$B$8:$F$8,FV45)/5,0)*5,""),"")</f>
        <v>7085</v>
      </c>
      <c r="GB45" s="101" t="str">
        <f t="shared" si="87"/>
        <v>专属强化石2</v>
      </c>
      <c r="GC45" s="101">
        <f t="shared" si="88"/>
        <v>16</v>
      </c>
      <c r="GD45" s="101" t="str">
        <f t="shared" si="89"/>
        <v>专属强化石3</v>
      </c>
      <c r="GE45" s="101">
        <f t="shared" si="90"/>
        <v>6</v>
      </c>
      <c r="GF45" s="101">
        <f t="shared" si="91"/>
        <v>0.02</v>
      </c>
      <c r="GG45" s="101">
        <f t="shared" si="92"/>
        <v>1</v>
      </c>
      <c r="GH45" s="101">
        <f t="shared" si="93"/>
        <v>68</v>
      </c>
      <c r="GI45" s="101">
        <f t="shared" si="94"/>
        <v>0</v>
      </c>
      <c r="GJ45" s="101">
        <f t="shared" si="95"/>
        <v>1</v>
      </c>
      <c r="GK45" s="101">
        <f t="shared" si="96"/>
        <v>16</v>
      </c>
      <c r="GL45" s="101">
        <f t="shared" si="97"/>
        <v>1.0999999999999999E-2</v>
      </c>
      <c r="GM45" s="101">
        <f t="shared" si="98"/>
        <v>1</v>
      </c>
      <c r="GN45" s="101">
        <f t="shared" si="99"/>
        <v>32</v>
      </c>
      <c r="GO45" s="101">
        <f t="shared" si="100"/>
        <v>4.4200000000000003E-2</v>
      </c>
      <c r="GP45" s="101">
        <f t="shared" si="101"/>
        <v>1</v>
      </c>
      <c r="GQ45" s="101">
        <f t="shared" si="102"/>
        <v>68</v>
      </c>
    </row>
    <row r="46" spans="85:199" ht="16.5" x14ac:dyDescent="0.2">
      <c r="CG46" s="81">
        <v>41</v>
      </c>
      <c r="CH46" s="174">
        <f>INDEX(节奏总表!$CK$4:$CK$63,专属武器强化!CG46)</f>
        <v>133</v>
      </c>
      <c r="CI46" s="81"/>
      <c r="CJ46" s="81">
        <f t="shared" si="119"/>
        <v>8</v>
      </c>
      <c r="CK46" s="14">
        <f t="shared" si="120"/>
        <v>0</v>
      </c>
      <c r="CL46" s="14">
        <f t="shared" si="121"/>
        <v>0</v>
      </c>
      <c r="CM46" s="14">
        <f t="shared" si="122"/>
        <v>80</v>
      </c>
      <c r="CN46" s="14">
        <f t="shared" si="123"/>
        <v>48</v>
      </c>
      <c r="CO46" s="14"/>
      <c r="CP46" s="14"/>
      <c r="CQ46" s="14"/>
      <c r="CR46" s="14"/>
      <c r="CS46" s="14">
        <f>SUM(CK$6:CK46)</f>
        <v>3340</v>
      </c>
      <c r="CT46" s="14">
        <f>SUM(CL$6:CL46)</f>
        <v>3340</v>
      </c>
      <c r="CU46" s="14">
        <f>SUM(CM$6:CM46)</f>
        <v>1615</v>
      </c>
      <c r="CV46" s="14">
        <f>SUM(CN$6:CN46)</f>
        <v>362</v>
      </c>
      <c r="CY46" s="83">
        <v>31</v>
      </c>
      <c r="CZ46" s="14">
        <f>INDEX(节奏总表!$CK$4:CK103,专属武器强化!CY46)</f>
        <v>120</v>
      </c>
      <c r="DA46" s="14">
        <f t="shared" si="124"/>
        <v>3340</v>
      </c>
      <c r="DB46" s="14">
        <f t="shared" si="64"/>
        <v>2920</v>
      </c>
      <c r="DC46" s="14">
        <f t="shared" si="65"/>
        <v>665</v>
      </c>
      <c r="DD46" s="14">
        <f t="shared" si="66"/>
        <v>86</v>
      </c>
      <c r="DE46" s="152">
        <v>0</v>
      </c>
      <c r="DF46" s="152">
        <v>0</v>
      </c>
      <c r="DG46" s="14">
        <f t="shared" si="131"/>
        <v>0</v>
      </c>
      <c r="DH46" s="14">
        <f t="shared" si="132"/>
        <v>0</v>
      </c>
      <c r="DI46" s="14">
        <f t="shared" si="133"/>
        <v>0</v>
      </c>
      <c r="DJ46" s="14">
        <f t="shared" si="134"/>
        <v>0</v>
      </c>
      <c r="DK46" s="83"/>
      <c r="DL46" s="83"/>
      <c r="DM46" s="83"/>
      <c r="DN46" s="83"/>
      <c r="DO46" s="14">
        <f>DA46-SUM(DG$7:DG46)+SUM(DK$7:DK46)</f>
        <v>969.17124999999942</v>
      </c>
      <c r="DP46" s="14">
        <f>DB46-SUM(DH$7:DH46)+SUM(DL$7:DL46)</f>
        <v>1168.7594243421047</v>
      </c>
      <c r="DQ46" s="14">
        <f>DC46-SUM(DI$7:DI46)+SUM(DM$7:DM46)</f>
        <v>184.90837320574144</v>
      </c>
      <c r="DR46" s="14">
        <f>DD46-SUM(DJ$7:DJ46)+SUM(DN$7:DN46)</f>
        <v>67.896909090909091</v>
      </c>
      <c r="DU46" s="95">
        <v>41</v>
      </c>
      <c r="DV46" s="14">
        <f t="shared" si="71"/>
        <v>5</v>
      </c>
      <c r="DW46" s="14">
        <f t="shared" si="72"/>
        <v>5</v>
      </c>
      <c r="DX46" s="14">
        <f t="shared" ref="DX46:EA65" si="137">INDEX($K$22:$AP$30,$DW46,($DV46-1)*4+DX$3)</f>
        <v>0</v>
      </c>
      <c r="DY46" s="14">
        <f t="shared" si="137"/>
        <v>122.38456140350878</v>
      </c>
      <c r="DZ46" s="14">
        <f t="shared" si="137"/>
        <v>79.051228070175455</v>
      </c>
      <c r="EA46" s="14">
        <f t="shared" si="137"/>
        <v>0</v>
      </c>
      <c r="EB46" s="14">
        <f t="shared" si="73"/>
        <v>2</v>
      </c>
      <c r="EC46" s="14">
        <f t="shared" si="74"/>
        <v>3</v>
      </c>
      <c r="EJ46" s="139">
        <v>41</v>
      </c>
      <c r="EK46" s="14">
        <f t="shared" si="76"/>
        <v>5</v>
      </c>
      <c r="EL46" s="19">
        <f t="shared" si="115"/>
        <v>0.13</v>
      </c>
      <c r="EM46" s="139">
        <v>3</v>
      </c>
      <c r="EN46" s="139" t="s">
        <v>941</v>
      </c>
      <c r="EO46" s="139">
        <f t="shared" si="77"/>
        <v>1823</v>
      </c>
      <c r="EP46" s="139" t="s">
        <v>849</v>
      </c>
      <c r="EQ46" s="139">
        <f t="shared" si="118"/>
        <v>5</v>
      </c>
      <c r="ER46" s="139" t="s">
        <v>850</v>
      </c>
      <c r="ES46" s="139">
        <v>3</v>
      </c>
      <c r="ET46" s="139">
        <f t="shared" si="125"/>
        <v>0.04</v>
      </c>
      <c r="EU46" s="139">
        <v>1</v>
      </c>
      <c r="EV46" s="139">
        <f t="shared" si="135"/>
        <v>40</v>
      </c>
      <c r="EW46" s="139"/>
      <c r="EX46" s="139">
        <f t="shared" si="116"/>
        <v>26.350409356725152</v>
      </c>
      <c r="EY46" s="206">
        <f t="shared" si="79"/>
        <v>48034.48</v>
      </c>
      <c r="FA46">
        <v>0</v>
      </c>
      <c r="FB46">
        <v>1</v>
      </c>
      <c r="FC46">
        <f t="shared" si="126"/>
        <v>9</v>
      </c>
      <c r="FD46" s="89">
        <f t="shared" si="127"/>
        <v>1.9E-2</v>
      </c>
      <c r="FE46">
        <v>1</v>
      </c>
      <c r="FF46">
        <f t="shared" si="128"/>
        <v>18</v>
      </c>
      <c r="FG46" s="89">
        <f t="shared" si="129"/>
        <v>7.5899999999999995E-2</v>
      </c>
      <c r="FH46">
        <v>1</v>
      </c>
      <c r="FI46">
        <f t="shared" si="130"/>
        <v>40</v>
      </c>
      <c r="FS46" s="101">
        <v>41</v>
      </c>
      <c r="FT46" s="101">
        <f t="shared" si="80"/>
        <v>0</v>
      </c>
      <c r="FU46" s="101">
        <f t="shared" si="81"/>
        <v>1</v>
      </c>
      <c r="FV46" s="14">
        <f t="shared" si="82"/>
        <v>5</v>
      </c>
      <c r="FW46" s="101" t="str">
        <f t="shared" si="83"/>
        <v>关羽专属武器-魂珠-5 0级</v>
      </c>
      <c r="FX46" s="101">
        <f t="shared" si="84"/>
        <v>5</v>
      </c>
      <c r="FY46" s="101">
        <f t="shared" si="85"/>
        <v>0</v>
      </c>
      <c r="FZ46" s="101" t="str">
        <f t="shared" si="86"/>
        <v/>
      </c>
      <c r="GA46" s="139" t="str">
        <f>IF($FY46&gt;0,IF(INDEX($EM$6:$EM$77,$FT46)&gt;=GA$3,ROUND(INDEX(EO$6:EO$77,$FT46)*INDEX(卡牌消耗!$B$8:$F$8,FV46)/5,0)*5,""),"")</f>
        <v/>
      </c>
      <c r="GB46" s="101" t="str">
        <f t="shared" si="87"/>
        <v/>
      </c>
      <c r="GC46" s="101" t="str">
        <f t="shared" si="88"/>
        <v/>
      </c>
      <c r="GD46" s="101" t="str">
        <f t="shared" si="89"/>
        <v/>
      </c>
      <c r="GE46" s="101" t="str">
        <f t="shared" si="90"/>
        <v/>
      </c>
      <c r="GF46" s="101" t="str">
        <f t="shared" si="91"/>
        <v/>
      </c>
      <c r="GG46" s="101" t="str">
        <f t="shared" si="92"/>
        <v/>
      </c>
      <c r="GH46" s="101" t="str">
        <f t="shared" si="93"/>
        <v/>
      </c>
      <c r="GI46" s="101" t="str">
        <f t="shared" si="94"/>
        <v/>
      </c>
      <c r="GJ46" s="101" t="str">
        <f t="shared" si="95"/>
        <v/>
      </c>
      <c r="GK46" s="101" t="str">
        <f t="shared" si="96"/>
        <v/>
      </c>
      <c r="GL46" s="101" t="str">
        <f t="shared" si="97"/>
        <v/>
      </c>
      <c r="GM46" s="101" t="str">
        <f t="shared" si="98"/>
        <v/>
      </c>
      <c r="GN46" s="101" t="str">
        <f t="shared" si="99"/>
        <v/>
      </c>
      <c r="GO46" s="101" t="str">
        <f t="shared" si="100"/>
        <v/>
      </c>
      <c r="GP46" s="101" t="str">
        <f t="shared" si="101"/>
        <v/>
      </c>
      <c r="GQ46" s="101" t="str">
        <f t="shared" si="102"/>
        <v/>
      </c>
    </row>
    <row r="47" spans="85:199" ht="16.5" x14ac:dyDescent="0.2">
      <c r="CG47" s="81">
        <v>42</v>
      </c>
      <c r="CH47" s="174">
        <f>INDEX(节奏总表!$CK$4:$CK$63,专属武器强化!CG47)</f>
        <v>134</v>
      </c>
      <c r="CI47" s="81"/>
      <c r="CJ47" s="81">
        <f t="shared" si="119"/>
        <v>8</v>
      </c>
      <c r="CK47" s="14">
        <f t="shared" si="120"/>
        <v>0</v>
      </c>
      <c r="CL47" s="14">
        <f t="shared" si="121"/>
        <v>0</v>
      </c>
      <c r="CM47" s="14">
        <f t="shared" si="122"/>
        <v>80</v>
      </c>
      <c r="CN47" s="14">
        <f t="shared" si="123"/>
        <v>48</v>
      </c>
      <c r="CO47" s="14"/>
      <c r="CP47" s="14"/>
      <c r="CQ47" s="14"/>
      <c r="CR47" s="14"/>
      <c r="CS47" s="14">
        <f>SUM(CK$6:CK47)</f>
        <v>3340</v>
      </c>
      <c r="CT47" s="14">
        <f>SUM(CL$6:CL47)</f>
        <v>3340</v>
      </c>
      <c r="CU47" s="14">
        <f>SUM(CM$6:CM47)</f>
        <v>1695</v>
      </c>
      <c r="CV47" s="14">
        <f>SUM(CN$6:CN47)</f>
        <v>410</v>
      </c>
      <c r="CY47" s="83">
        <v>32</v>
      </c>
      <c r="CZ47" s="14">
        <f>INDEX(节奏总表!$CK$4:CK104,专属武器强化!CY47)</f>
        <v>122</v>
      </c>
      <c r="DA47" s="14">
        <f t="shared" si="124"/>
        <v>3340</v>
      </c>
      <c r="DB47" s="14">
        <f t="shared" si="64"/>
        <v>2990</v>
      </c>
      <c r="DC47" s="14">
        <f t="shared" si="65"/>
        <v>770</v>
      </c>
      <c r="DD47" s="14">
        <f t="shared" si="66"/>
        <v>100</v>
      </c>
      <c r="DE47" s="83">
        <v>6</v>
      </c>
      <c r="DF47" s="83">
        <v>2</v>
      </c>
      <c r="DG47" s="14">
        <f t="shared" si="131"/>
        <v>0</v>
      </c>
      <c r="DH47" s="14">
        <f t="shared" si="132"/>
        <v>0</v>
      </c>
      <c r="DI47" s="14">
        <f t="shared" si="133"/>
        <v>179.21272727272728</v>
      </c>
      <c r="DJ47" s="14">
        <f t="shared" si="134"/>
        <v>36.206181818181818</v>
      </c>
      <c r="DK47" s="83"/>
      <c r="DL47" s="83"/>
      <c r="DM47" s="83">
        <v>10</v>
      </c>
      <c r="DN47" s="83"/>
      <c r="DO47" s="14">
        <f>DA47-SUM(DG$7:DG47)+SUM(DK$7:DK47)</f>
        <v>969.17124999999942</v>
      </c>
      <c r="DP47" s="14">
        <f>DB47-SUM(DH$7:DH47)+SUM(DL$7:DL47)</f>
        <v>1238.7594243421047</v>
      </c>
      <c r="DQ47" s="14">
        <f>DC47-SUM(DI$7:DI47)+SUM(DM$7:DM47)</f>
        <v>120.69564593301413</v>
      </c>
      <c r="DR47" s="14">
        <f>DD47-SUM(DJ$7:DJ47)+SUM(DN$7:DN47)</f>
        <v>45.690727272727273</v>
      </c>
      <c r="DU47" s="95">
        <v>42</v>
      </c>
      <c r="DV47" s="14">
        <f t="shared" si="71"/>
        <v>5</v>
      </c>
      <c r="DW47" s="14">
        <f t="shared" si="72"/>
        <v>6</v>
      </c>
      <c r="DX47" s="14">
        <f t="shared" si="137"/>
        <v>0</v>
      </c>
      <c r="DY47" s="14">
        <f t="shared" si="137"/>
        <v>198.87491228070178</v>
      </c>
      <c r="DZ47" s="14">
        <f t="shared" si="137"/>
        <v>128.45824561403512</v>
      </c>
      <c r="EA47" s="14">
        <f t="shared" si="137"/>
        <v>0</v>
      </c>
      <c r="EB47" s="14">
        <f t="shared" si="73"/>
        <v>2</v>
      </c>
      <c r="EC47" s="14">
        <f t="shared" si="74"/>
        <v>3</v>
      </c>
      <c r="EJ47" s="139">
        <v>42</v>
      </c>
      <c r="EK47" s="14">
        <f t="shared" si="76"/>
        <v>5</v>
      </c>
      <c r="EL47" s="19">
        <f t="shared" si="115"/>
        <v>0.21000000000000002</v>
      </c>
      <c r="EM47" s="139">
        <v>3</v>
      </c>
      <c r="EN47" s="139" t="s">
        <v>941</v>
      </c>
      <c r="EO47" s="139">
        <f t="shared" si="77"/>
        <v>3020</v>
      </c>
      <c r="EP47" s="139" t="s">
        <v>849</v>
      </c>
      <c r="EQ47" s="139">
        <f t="shared" si="118"/>
        <v>8</v>
      </c>
      <c r="ER47" s="139" t="s">
        <v>850</v>
      </c>
      <c r="ES47" s="139">
        <v>5</v>
      </c>
      <c r="ET47" s="139">
        <f t="shared" si="125"/>
        <v>0.04</v>
      </c>
      <c r="EU47" s="139">
        <v>1</v>
      </c>
      <c r="EV47" s="139">
        <f t="shared" si="135"/>
        <v>39</v>
      </c>
      <c r="EW47" s="139"/>
      <c r="EX47" s="139">
        <f t="shared" si="116"/>
        <v>25.691649122807025</v>
      </c>
      <c r="EY47" s="206">
        <f t="shared" si="79"/>
        <v>77594.16</v>
      </c>
      <c r="FA47">
        <v>0</v>
      </c>
      <c r="FB47">
        <v>1</v>
      </c>
      <c r="FC47">
        <f t="shared" si="126"/>
        <v>9</v>
      </c>
      <c r="FD47" s="89">
        <f t="shared" si="127"/>
        <v>1.95E-2</v>
      </c>
      <c r="FE47">
        <v>1</v>
      </c>
      <c r="FF47">
        <f t="shared" si="128"/>
        <v>18</v>
      </c>
      <c r="FG47" s="89">
        <f t="shared" si="129"/>
        <v>7.7799999999999994E-2</v>
      </c>
      <c r="FH47">
        <v>1</v>
      </c>
      <c r="FI47">
        <f t="shared" si="130"/>
        <v>39</v>
      </c>
      <c r="FS47" s="101">
        <v>42</v>
      </c>
      <c r="FT47" s="101">
        <f t="shared" si="80"/>
        <v>37</v>
      </c>
      <c r="FU47" s="101">
        <f t="shared" si="81"/>
        <v>1</v>
      </c>
      <c r="FV47" s="14">
        <f t="shared" si="82"/>
        <v>5</v>
      </c>
      <c r="FW47" s="101" t="str">
        <f t="shared" si="83"/>
        <v>关羽专属武器-魂珠-5 1级</v>
      </c>
      <c r="FX47" s="101">
        <f t="shared" si="84"/>
        <v>5</v>
      </c>
      <c r="FY47" s="101">
        <f t="shared" si="85"/>
        <v>1</v>
      </c>
      <c r="FZ47" s="101" t="str">
        <f t="shared" si="86"/>
        <v>金币</v>
      </c>
      <c r="GA47" s="139">
        <f>IF($FY47&gt;0,IF(INDEX($EM$6:$EM$77,$FT47)&gt;=GA$3,ROUND(INDEX(EO$6:EO$77,$FT47)*INDEX(卡牌消耗!$B$8:$F$8,FV47)/5,0)*5,""),"")</f>
        <v>2990</v>
      </c>
      <c r="GB47" s="101" t="str">
        <f t="shared" si="87"/>
        <v>专属强化石2</v>
      </c>
      <c r="GC47" s="101">
        <f t="shared" si="88"/>
        <v>3</v>
      </c>
      <c r="GD47" s="101" t="str">
        <f t="shared" si="89"/>
        <v>专属强化石3</v>
      </c>
      <c r="GE47" s="101">
        <f t="shared" si="90"/>
        <v>2</v>
      </c>
      <c r="GF47" s="101">
        <f t="shared" si="91"/>
        <v>0.2</v>
      </c>
      <c r="GG47" s="101">
        <f t="shared" si="92"/>
        <v>1</v>
      </c>
      <c r="GH47" s="101">
        <f t="shared" si="93"/>
        <v>7</v>
      </c>
      <c r="GI47" s="101">
        <f t="shared" si="94"/>
        <v>0</v>
      </c>
      <c r="GJ47" s="101">
        <f t="shared" si="95"/>
        <v>1</v>
      </c>
      <c r="GK47" s="101">
        <f t="shared" si="96"/>
        <v>2</v>
      </c>
      <c r="GL47" s="101">
        <f t="shared" si="97"/>
        <v>0.1012</v>
      </c>
      <c r="GM47" s="101">
        <f t="shared" si="98"/>
        <v>1</v>
      </c>
      <c r="GN47" s="101">
        <f t="shared" si="99"/>
        <v>3</v>
      </c>
      <c r="GO47" s="101">
        <f t="shared" si="100"/>
        <v>0.40479999999999999</v>
      </c>
      <c r="GP47" s="101">
        <f t="shared" si="101"/>
        <v>1</v>
      </c>
      <c r="GQ47" s="101">
        <f t="shared" si="102"/>
        <v>7</v>
      </c>
    </row>
    <row r="48" spans="85:199" ht="16.5" x14ac:dyDescent="0.2">
      <c r="CG48" s="81">
        <v>43</v>
      </c>
      <c r="CH48" s="174">
        <f>INDEX(节奏总表!$CK$4:$CK$63,专属武器强化!CG48)</f>
        <v>135</v>
      </c>
      <c r="CI48" s="81"/>
      <c r="CJ48" s="81">
        <f t="shared" si="119"/>
        <v>8</v>
      </c>
      <c r="CK48" s="14">
        <f t="shared" si="120"/>
        <v>0</v>
      </c>
      <c r="CL48" s="14">
        <f t="shared" si="121"/>
        <v>0</v>
      </c>
      <c r="CM48" s="14">
        <f t="shared" si="122"/>
        <v>80</v>
      </c>
      <c r="CN48" s="14">
        <f t="shared" si="123"/>
        <v>48</v>
      </c>
      <c r="CO48" s="14"/>
      <c r="CP48" s="14"/>
      <c r="CQ48" s="14"/>
      <c r="CR48" s="14"/>
      <c r="CS48" s="14">
        <f>SUM(CK$6:CK48)</f>
        <v>3340</v>
      </c>
      <c r="CT48" s="14">
        <f>SUM(CL$6:CL48)</f>
        <v>3340</v>
      </c>
      <c r="CU48" s="14">
        <f>SUM(CM$6:CM48)</f>
        <v>1775</v>
      </c>
      <c r="CV48" s="14">
        <f>SUM(CN$6:CN48)</f>
        <v>458</v>
      </c>
      <c r="CY48" s="83">
        <v>33</v>
      </c>
      <c r="CZ48" s="14">
        <f>INDEX(节奏总表!$CK$4:CK105,专属武器强化!CY48)</f>
        <v>123</v>
      </c>
      <c r="DA48" s="14">
        <f t="shared" si="124"/>
        <v>3340</v>
      </c>
      <c r="DB48" s="14">
        <f t="shared" si="64"/>
        <v>3060</v>
      </c>
      <c r="DC48" s="14">
        <f t="shared" si="65"/>
        <v>875</v>
      </c>
      <c r="DD48" s="14">
        <f t="shared" si="66"/>
        <v>114</v>
      </c>
      <c r="DE48" s="83">
        <v>0</v>
      </c>
      <c r="DF48" s="83">
        <v>0</v>
      </c>
      <c r="DG48" s="14">
        <f t="shared" si="131"/>
        <v>0</v>
      </c>
      <c r="DH48" s="14">
        <f t="shared" si="132"/>
        <v>0</v>
      </c>
      <c r="DI48" s="14">
        <f t="shared" si="133"/>
        <v>0</v>
      </c>
      <c r="DJ48" s="14">
        <f t="shared" si="134"/>
        <v>0</v>
      </c>
      <c r="DK48" s="83"/>
      <c r="DL48" s="83"/>
      <c r="DM48" s="83"/>
      <c r="DN48" s="83"/>
      <c r="DO48" s="14">
        <f>DA48-SUM(DG$7:DG48)+SUM(DK$7:DK48)</f>
        <v>969.17124999999942</v>
      </c>
      <c r="DP48" s="14">
        <f>DB48-SUM(DH$7:DH48)+SUM(DL$7:DL48)</f>
        <v>1308.7594243421047</v>
      </c>
      <c r="DQ48" s="14">
        <f>DC48-SUM(DI$7:DI48)+SUM(DM$7:DM48)</f>
        <v>225.69564593301413</v>
      </c>
      <c r="DR48" s="14">
        <f>DD48-SUM(DJ$7:DJ48)+SUM(DN$7:DN48)</f>
        <v>59.690727272727273</v>
      </c>
      <c r="DU48" s="95">
        <v>43</v>
      </c>
      <c r="DV48" s="14">
        <f t="shared" si="71"/>
        <v>5</v>
      </c>
      <c r="DW48" s="14">
        <f t="shared" si="72"/>
        <v>7</v>
      </c>
      <c r="DX48" s="14">
        <f t="shared" si="137"/>
        <v>0</v>
      </c>
      <c r="DY48" s="14">
        <f t="shared" si="137"/>
        <v>321.25947368421055</v>
      </c>
      <c r="DZ48" s="14">
        <f t="shared" si="137"/>
        <v>207.50947368421058</v>
      </c>
      <c r="EA48" s="14">
        <f t="shared" si="137"/>
        <v>0</v>
      </c>
      <c r="EB48" s="14">
        <f t="shared" si="73"/>
        <v>2</v>
      </c>
      <c r="EC48" s="14">
        <f t="shared" si="74"/>
        <v>3</v>
      </c>
      <c r="EJ48" s="139">
        <v>43</v>
      </c>
      <c r="EK48" s="14">
        <f t="shared" si="76"/>
        <v>5</v>
      </c>
      <c r="EL48" s="19">
        <f t="shared" si="115"/>
        <v>0.34</v>
      </c>
      <c r="EM48" s="139">
        <v>3</v>
      </c>
      <c r="EN48" s="139" t="s">
        <v>941</v>
      </c>
      <c r="EO48" s="139">
        <f t="shared" si="77"/>
        <v>3027</v>
      </c>
      <c r="EP48" s="139" t="s">
        <v>849</v>
      </c>
      <c r="EQ48" s="139">
        <f t="shared" si="118"/>
        <v>8</v>
      </c>
      <c r="ER48" s="139" t="s">
        <v>850</v>
      </c>
      <c r="ES48" s="139">
        <v>5</v>
      </c>
      <c r="ET48" s="139">
        <f t="shared" si="125"/>
        <v>0.02</v>
      </c>
      <c r="EU48" s="139">
        <v>1</v>
      </c>
      <c r="EV48" s="139">
        <f t="shared" si="135"/>
        <v>62</v>
      </c>
      <c r="EW48" s="139"/>
      <c r="EX48" s="139">
        <f t="shared" si="116"/>
        <v>41.501894736842118</v>
      </c>
      <c r="EY48" s="206">
        <f t="shared" si="79"/>
        <v>125628.64000000001</v>
      </c>
      <c r="FA48">
        <v>0</v>
      </c>
      <c r="FB48">
        <v>1</v>
      </c>
      <c r="FC48">
        <f t="shared" si="126"/>
        <v>15</v>
      </c>
      <c r="FD48" s="89">
        <f t="shared" si="127"/>
        <v>1.2E-2</v>
      </c>
      <c r="FE48">
        <v>1</v>
      </c>
      <c r="FF48">
        <f t="shared" si="128"/>
        <v>29</v>
      </c>
      <c r="FG48" s="89">
        <f t="shared" si="129"/>
        <v>4.82E-2</v>
      </c>
      <c r="FH48">
        <v>1</v>
      </c>
      <c r="FI48">
        <f t="shared" si="130"/>
        <v>62</v>
      </c>
      <c r="FS48" s="101">
        <v>43</v>
      </c>
      <c r="FT48" s="101">
        <f t="shared" si="80"/>
        <v>38</v>
      </c>
      <c r="FU48" s="101">
        <f t="shared" si="81"/>
        <v>1</v>
      </c>
      <c r="FV48" s="14">
        <f t="shared" si="82"/>
        <v>5</v>
      </c>
      <c r="FW48" s="101" t="str">
        <f t="shared" si="83"/>
        <v>关羽专属武器-魂珠-5 2级</v>
      </c>
      <c r="FX48" s="101">
        <f t="shared" si="84"/>
        <v>5</v>
      </c>
      <c r="FY48" s="101">
        <f t="shared" si="85"/>
        <v>2</v>
      </c>
      <c r="FZ48" s="101" t="str">
        <f t="shared" si="86"/>
        <v>金币</v>
      </c>
      <c r="GA48" s="139">
        <f>IF($FY48&gt;0,IF(INDEX($EM$6:$EM$77,$FT48)&gt;=GA$3,ROUND(INDEX(EO$6:EO$77,$FT48)*INDEX(卡牌消耗!$B$8:$F$8,FV48)/5,0)*5,""),"")</f>
        <v>2245</v>
      </c>
      <c r="GB48" s="101" t="str">
        <f t="shared" si="87"/>
        <v>专属强化石2</v>
      </c>
      <c r="GC48" s="101">
        <f t="shared" si="88"/>
        <v>3</v>
      </c>
      <c r="GD48" s="101" t="str">
        <f t="shared" si="89"/>
        <v>专属强化石3</v>
      </c>
      <c r="GE48" s="101">
        <f t="shared" si="90"/>
        <v>2</v>
      </c>
      <c r="GF48" s="101">
        <f t="shared" si="91"/>
        <v>0.1</v>
      </c>
      <c r="GG48" s="101">
        <f t="shared" si="92"/>
        <v>1</v>
      </c>
      <c r="GH48" s="101">
        <f t="shared" si="93"/>
        <v>15</v>
      </c>
      <c r="GI48" s="101">
        <f t="shared" si="94"/>
        <v>0</v>
      </c>
      <c r="GJ48" s="101">
        <f t="shared" si="95"/>
        <v>1</v>
      </c>
      <c r="GK48" s="101">
        <f t="shared" si="96"/>
        <v>3</v>
      </c>
      <c r="GL48" s="101">
        <f t="shared" si="97"/>
        <v>5.0599999999999999E-2</v>
      </c>
      <c r="GM48" s="101">
        <f t="shared" si="98"/>
        <v>1</v>
      </c>
      <c r="GN48" s="101">
        <f t="shared" si="99"/>
        <v>7</v>
      </c>
      <c r="GO48" s="101">
        <f t="shared" si="100"/>
        <v>0.2024</v>
      </c>
      <c r="GP48" s="101">
        <f t="shared" si="101"/>
        <v>1</v>
      </c>
      <c r="GQ48" s="101">
        <f t="shared" si="102"/>
        <v>15</v>
      </c>
    </row>
    <row r="49" spans="85:199" ht="16.5" x14ac:dyDescent="0.2">
      <c r="CG49" s="81">
        <v>44</v>
      </c>
      <c r="CH49" s="174">
        <f>INDEX(节奏总表!$CK$4:$CK$63,专属武器强化!CG49)</f>
        <v>136</v>
      </c>
      <c r="CI49" s="81">
        <v>8</v>
      </c>
      <c r="CJ49" s="81">
        <f t="shared" si="119"/>
        <v>8</v>
      </c>
      <c r="CK49" s="14">
        <f t="shared" si="120"/>
        <v>0</v>
      </c>
      <c r="CL49" s="14">
        <f t="shared" si="121"/>
        <v>0</v>
      </c>
      <c r="CM49" s="14">
        <f t="shared" si="122"/>
        <v>80</v>
      </c>
      <c r="CN49" s="14">
        <f t="shared" si="123"/>
        <v>48</v>
      </c>
      <c r="CO49" s="14"/>
      <c r="CP49" s="14"/>
      <c r="CQ49" s="14"/>
      <c r="CR49" s="14"/>
      <c r="CS49" s="14">
        <f>SUM(CK$6:CK49)</f>
        <v>3340</v>
      </c>
      <c r="CT49" s="14">
        <f>SUM(CL$6:CL49)</f>
        <v>3340</v>
      </c>
      <c r="CU49" s="14">
        <f>SUM(CM$6:CM49)</f>
        <v>1855</v>
      </c>
      <c r="CV49" s="14">
        <f>SUM(CN$6:CN49)</f>
        <v>506</v>
      </c>
      <c r="CY49" s="83">
        <v>34</v>
      </c>
      <c r="CZ49" s="14">
        <f>INDEX(节奏总表!$CK$4:CK106,专属武器强化!CY49)</f>
        <v>124</v>
      </c>
      <c r="DA49" s="14">
        <f t="shared" si="124"/>
        <v>3340</v>
      </c>
      <c r="DB49" s="14">
        <f t="shared" si="64"/>
        <v>3130</v>
      </c>
      <c r="DC49" s="14">
        <f t="shared" si="65"/>
        <v>980</v>
      </c>
      <c r="DD49" s="14">
        <f t="shared" si="66"/>
        <v>128</v>
      </c>
      <c r="DE49" s="83">
        <v>0</v>
      </c>
      <c r="DF49" s="83">
        <v>0</v>
      </c>
      <c r="DG49" s="14">
        <f t="shared" si="131"/>
        <v>0</v>
      </c>
      <c r="DH49" s="14">
        <f t="shared" si="132"/>
        <v>0</v>
      </c>
      <c r="DI49" s="14">
        <f t="shared" si="133"/>
        <v>0</v>
      </c>
      <c r="DJ49" s="14">
        <f t="shared" si="134"/>
        <v>0</v>
      </c>
      <c r="DK49" s="83"/>
      <c r="DL49" s="83"/>
      <c r="DM49" s="83"/>
      <c r="DN49" s="83"/>
      <c r="DO49" s="14">
        <f>DA49-SUM(DG$7:DG49)+SUM(DK$7:DK49)</f>
        <v>969.17124999999942</v>
      </c>
      <c r="DP49" s="14">
        <f>DB49-SUM(DH$7:DH49)+SUM(DL$7:DL49)</f>
        <v>1378.7594243421047</v>
      </c>
      <c r="DQ49" s="14">
        <f>DC49-SUM(DI$7:DI49)+SUM(DM$7:DM49)</f>
        <v>330.69564593301413</v>
      </c>
      <c r="DR49" s="14">
        <f>DD49-SUM(DJ$7:DJ49)+SUM(DN$7:DN49)</f>
        <v>73.690727272727273</v>
      </c>
      <c r="DU49" s="95">
        <v>44</v>
      </c>
      <c r="DV49" s="14">
        <f t="shared" si="71"/>
        <v>5</v>
      </c>
      <c r="DW49" s="14">
        <f t="shared" si="72"/>
        <v>8</v>
      </c>
      <c r="DX49" s="14">
        <f t="shared" si="137"/>
        <v>0</v>
      </c>
      <c r="DY49" s="14">
        <f t="shared" si="137"/>
        <v>520.13438596491233</v>
      </c>
      <c r="DZ49" s="14">
        <f t="shared" si="137"/>
        <v>335.96771929824564</v>
      </c>
      <c r="EA49" s="14">
        <f t="shared" si="137"/>
        <v>0</v>
      </c>
      <c r="EB49" s="14">
        <f t="shared" si="73"/>
        <v>2</v>
      </c>
      <c r="EC49" s="14">
        <f t="shared" si="74"/>
        <v>3</v>
      </c>
      <c r="EJ49" s="139">
        <v>44</v>
      </c>
      <c r="EK49" s="14">
        <f t="shared" si="76"/>
        <v>5</v>
      </c>
      <c r="EL49" s="19">
        <f t="shared" si="115"/>
        <v>0.55000000000000004</v>
      </c>
      <c r="EM49" s="139">
        <v>3</v>
      </c>
      <c r="EN49" s="139" t="s">
        <v>941</v>
      </c>
      <c r="EO49" s="139">
        <f t="shared" si="77"/>
        <v>4234</v>
      </c>
      <c r="EP49" s="139" t="s">
        <v>849</v>
      </c>
      <c r="EQ49" s="139">
        <f t="shared" si="118"/>
        <v>11</v>
      </c>
      <c r="ER49" s="139" t="s">
        <v>850</v>
      </c>
      <c r="ES49" s="139">
        <v>7</v>
      </c>
      <c r="ET49" s="139">
        <f t="shared" si="125"/>
        <v>0.02</v>
      </c>
      <c r="EU49" s="139">
        <v>1</v>
      </c>
      <c r="EV49" s="139">
        <f t="shared" si="135"/>
        <v>72</v>
      </c>
      <c r="EW49" s="139"/>
      <c r="EX49" s="139">
        <f t="shared" si="116"/>
        <v>47.995388471177947</v>
      </c>
      <c r="EY49" s="206">
        <f t="shared" si="79"/>
        <v>203222.80000000002</v>
      </c>
      <c r="FA49">
        <v>0</v>
      </c>
      <c r="FB49">
        <v>1</v>
      </c>
      <c r="FC49">
        <f t="shared" si="126"/>
        <v>17</v>
      </c>
      <c r="FD49" s="89">
        <f t="shared" si="127"/>
        <v>1.04E-2</v>
      </c>
      <c r="FE49">
        <v>1</v>
      </c>
      <c r="FF49">
        <f t="shared" si="128"/>
        <v>34</v>
      </c>
      <c r="FG49" s="89">
        <f t="shared" si="129"/>
        <v>4.1700000000000001E-2</v>
      </c>
      <c r="FH49">
        <v>1</v>
      </c>
      <c r="FI49">
        <f t="shared" si="130"/>
        <v>72</v>
      </c>
      <c r="FS49" s="101">
        <v>44</v>
      </c>
      <c r="FT49" s="101">
        <f t="shared" si="80"/>
        <v>39</v>
      </c>
      <c r="FU49" s="101">
        <f t="shared" si="81"/>
        <v>1</v>
      </c>
      <c r="FV49" s="14">
        <f t="shared" si="82"/>
        <v>5</v>
      </c>
      <c r="FW49" s="101" t="str">
        <f t="shared" si="83"/>
        <v>关羽专属武器-魂珠-5 3级</v>
      </c>
      <c r="FX49" s="101">
        <f t="shared" si="84"/>
        <v>5</v>
      </c>
      <c r="FY49" s="101">
        <f t="shared" si="85"/>
        <v>3</v>
      </c>
      <c r="FZ49" s="101" t="str">
        <f t="shared" si="86"/>
        <v>金币</v>
      </c>
      <c r="GA49" s="139">
        <f>IF($FY49&gt;0,IF(INDEX($EM$6:$EM$77,$FT49)&gt;=GA$3,ROUND(INDEX(EO$6:EO$77,$FT49)*INDEX(卡牌消耗!$B$8:$F$8,FV49)/5,0)*5,""),"")</f>
        <v>2490</v>
      </c>
      <c r="GB49" s="101" t="str">
        <f t="shared" si="87"/>
        <v>专属强化石2</v>
      </c>
      <c r="GC49" s="101">
        <f t="shared" si="88"/>
        <v>3</v>
      </c>
      <c r="GD49" s="101" t="str">
        <f t="shared" si="89"/>
        <v>专属强化石3</v>
      </c>
      <c r="GE49" s="101">
        <f t="shared" si="90"/>
        <v>2</v>
      </c>
      <c r="GF49" s="101">
        <f t="shared" si="91"/>
        <v>7.0000000000000007E-2</v>
      </c>
      <c r="GG49" s="101">
        <f t="shared" si="92"/>
        <v>1</v>
      </c>
      <c r="GH49" s="101">
        <f t="shared" si="93"/>
        <v>22</v>
      </c>
      <c r="GI49" s="101">
        <f t="shared" si="94"/>
        <v>0</v>
      </c>
      <c r="GJ49" s="101">
        <f t="shared" si="95"/>
        <v>1</v>
      </c>
      <c r="GK49" s="101">
        <f t="shared" si="96"/>
        <v>5</v>
      </c>
      <c r="GL49" s="101">
        <f t="shared" si="97"/>
        <v>3.3700000000000001E-2</v>
      </c>
      <c r="GM49" s="101">
        <f t="shared" si="98"/>
        <v>1</v>
      </c>
      <c r="GN49" s="101">
        <f t="shared" si="99"/>
        <v>10</v>
      </c>
      <c r="GO49" s="101">
        <f t="shared" si="100"/>
        <v>0.13489999999999999</v>
      </c>
      <c r="GP49" s="101">
        <f t="shared" si="101"/>
        <v>1</v>
      </c>
      <c r="GQ49" s="101">
        <f t="shared" si="102"/>
        <v>22</v>
      </c>
    </row>
    <row r="50" spans="85:199" ht="16.5" x14ac:dyDescent="0.2">
      <c r="CG50" s="81">
        <v>45</v>
      </c>
      <c r="CH50" s="174">
        <f>INDEX(节奏总表!$CK$4:$CK$63,专属武器强化!CG50)</f>
        <v>137</v>
      </c>
      <c r="CI50" s="81"/>
      <c r="CJ50" s="81">
        <f t="shared" si="119"/>
        <v>8</v>
      </c>
      <c r="CK50" s="14">
        <f t="shared" si="120"/>
        <v>0</v>
      </c>
      <c r="CL50" s="14">
        <f t="shared" si="121"/>
        <v>0</v>
      </c>
      <c r="CM50" s="14">
        <f t="shared" si="122"/>
        <v>80</v>
      </c>
      <c r="CN50" s="14">
        <f t="shared" si="123"/>
        <v>48</v>
      </c>
      <c r="CO50" s="14"/>
      <c r="CP50" s="14"/>
      <c r="CQ50" s="14"/>
      <c r="CR50" s="14"/>
      <c r="CS50" s="14">
        <f>SUM(CK$6:CK50)</f>
        <v>3340</v>
      </c>
      <c r="CT50" s="14">
        <f>SUM(CL$6:CL50)</f>
        <v>3340</v>
      </c>
      <c r="CU50" s="14">
        <f>SUM(CM$6:CM50)</f>
        <v>1935</v>
      </c>
      <c r="CV50" s="14">
        <f>SUM(CN$6:CN50)</f>
        <v>554</v>
      </c>
      <c r="CY50" s="83">
        <v>35</v>
      </c>
      <c r="CZ50" s="14">
        <f>INDEX(节奏总表!$CK$4:CK107,专属武器强化!CY50)</f>
        <v>126</v>
      </c>
      <c r="DA50" s="14">
        <f t="shared" si="124"/>
        <v>3340</v>
      </c>
      <c r="DB50" s="14">
        <f t="shared" si="64"/>
        <v>3200</v>
      </c>
      <c r="DC50" s="14">
        <f t="shared" si="65"/>
        <v>1085</v>
      </c>
      <c r="DD50" s="14">
        <f t="shared" si="66"/>
        <v>142</v>
      </c>
      <c r="DE50" s="83">
        <v>7</v>
      </c>
      <c r="DF50" s="83">
        <v>1</v>
      </c>
      <c r="DG50" s="14">
        <f t="shared" si="131"/>
        <v>0</v>
      </c>
      <c r="DH50" s="14">
        <f t="shared" si="132"/>
        <v>0</v>
      </c>
      <c r="DI50" s="14">
        <f t="shared" si="133"/>
        <v>89.606363636363639</v>
      </c>
      <c r="DJ50" s="14">
        <f t="shared" si="134"/>
        <v>30.171818181818182</v>
      </c>
      <c r="DK50" s="83"/>
      <c r="DL50" s="83"/>
      <c r="DM50" s="83"/>
      <c r="DN50" s="83"/>
      <c r="DO50" s="14">
        <f>DA50-SUM(DG$7:DG50)+SUM(DK$7:DK50)</f>
        <v>969.17124999999942</v>
      </c>
      <c r="DP50" s="14">
        <f>DB50-SUM(DH$7:DH50)+SUM(DL$7:DL50)</f>
        <v>1448.7594243421047</v>
      </c>
      <c r="DQ50" s="14">
        <f>DC50-SUM(DI$7:DI50)+SUM(DM$7:DM50)</f>
        <v>346.08928229665048</v>
      </c>
      <c r="DR50" s="14">
        <f>DD50-SUM(DJ$7:DJ50)+SUM(DN$7:DN50)</f>
        <v>57.518909090909091</v>
      </c>
      <c r="DU50" s="95">
        <v>45</v>
      </c>
      <c r="DV50" s="14">
        <f t="shared" si="71"/>
        <v>5</v>
      </c>
      <c r="DW50" s="14">
        <f t="shared" si="72"/>
        <v>9</v>
      </c>
      <c r="DX50" s="14">
        <f t="shared" si="137"/>
        <v>0</v>
      </c>
      <c r="DY50" s="14">
        <f t="shared" si="137"/>
        <v>841.39385964912287</v>
      </c>
      <c r="DZ50" s="14">
        <f t="shared" si="137"/>
        <v>543.47719298245624</v>
      </c>
      <c r="EA50" s="14">
        <f t="shared" si="137"/>
        <v>0</v>
      </c>
      <c r="EB50" s="14">
        <f t="shared" si="73"/>
        <v>2</v>
      </c>
      <c r="EC50" s="14">
        <f t="shared" si="74"/>
        <v>3</v>
      </c>
      <c r="EJ50" s="139">
        <v>45</v>
      </c>
      <c r="EK50" s="14">
        <f t="shared" si="76"/>
        <v>5</v>
      </c>
      <c r="EL50" s="19">
        <f t="shared" si="115"/>
        <v>0.89000000000000012</v>
      </c>
      <c r="EM50" s="139">
        <v>3</v>
      </c>
      <c r="EN50" s="139" t="s">
        <v>941</v>
      </c>
      <c r="EO50" s="139">
        <f t="shared" si="77"/>
        <v>5446</v>
      </c>
      <c r="EP50" s="139" t="s">
        <v>849</v>
      </c>
      <c r="EQ50" s="139">
        <f t="shared" si="118"/>
        <v>14</v>
      </c>
      <c r="ER50" s="139" t="s">
        <v>850</v>
      </c>
      <c r="ES50" s="139">
        <v>9</v>
      </c>
      <c r="ET50" s="139">
        <f t="shared" si="125"/>
        <v>0.02</v>
      </c>
      <c r="EU50" s="139">
        <v>1</v>
      </c>
      <c r="EV50" s="139">
        <f t="shared" si="135"/>
        <v>91</v>
      </c>
      <c r="EW50" s="139"/>
      <c r="EX50" s="139">
        <f t="shared" si="116"/>
        <v>60.386354775828472</v>
      </c>
      <c r="EY50" s="206">
        <f t="shared" si="79"/>
        <v>328851.44000000006</v>
      </c>
      <c r="FA50">
        <v>0</v>
      </c>
      <c r="FB50">
        <v>1</v>
      </c>
      <c r="FC50">
        <f t="shared" si="126"/>
        <v>21</v>
      </c>
      <c r="FD50" s="89">
        <f t="shared" si="127"/>
        <v>8.3000000000000001E-3</v>
      </c>
      <c r="FE50">
        <v>1</v>
      </c>
      <c r="FF50">
        <f t="shared" si="128"/>
        <v>42</v>
      </c>
      <c r="FG50" s="89">
        <f t="shared" si="129"/>
        <v>3.3099999999999997E-2</v>
      </c>
      <c r="FH50">
        <v>1</v>
      </c>
      <c r="FI50">
        <f t="shared" si="130"/>
        <v>91</v>
      </c>
      <c r="FS50" s="101">
        <v>45</v>
      </c>
      <c r="FT50" s="101">
        <f t="shared" si="80"/>
        <v>40</v>
      </c>
      <c r="FU50" s="101">
        <f t="shared" si="81"/>
        <v>1</v>
      </c>
      <c r="FV50" s="14">
        <f t="shared" si="82"/>
        <v>5</v>
      </c>
      <c r="FW50" s="101" t="str">
        <f t="shared" si="83"/>
        <v>关羽专属武器-魂珠-5 4级</v>
      </c>
      <c r="FX50" s="101">
        <f t="shared" si="84"/>
        <v>5</v>
      </c>
      <c r="FY50" s="101">
        <f t="shared" si="85"/>
        <v>4</v>
      </c>
      <c r="FZ50" s="101" t="str">
        <f t="shared" si="86"/>
        <v>金币</v>
      </c>
      <c r="GA50" s="139">
        <f>IF($FY50&gt;0,IF(INDEX($EM$6:$EM$77,$FT50)&gt;=GA$3,ROUND(INDEX(EO$6:EO$77,$FT50)*INDEX(卡牌消耗!$B$8:$F$8,FV50)/5,0)*5,""),"")</f>
        <v>3590</v>
      </c>
      <c r="GB50" s="101" t="str">
        <f t="shared" si="87"/>
        <v>专属强化石2</v>
      </c>
      <c r="GC50" s="101">
        <f t="shared" si="88"/>
        <v>5</v>
      </c>
      <c r="GD50" s="101" t="str">
        <f t="shared" si="89"/>
        <v>专属强化石3</v>
      </c>
      <c r="GE50" s="101">
        <f t="shared" si="90"/>
        <v>3</v>
      </c>
      <c r="GF50" s="101">
        <f t="shared" si="91"/>
        <v>0.06</v>
      </c>
      <c r="GG50" s="101">
        <f t="shared" si="92"/>
        <v>1</v>
      </c>
      <c r="GH50" s="101">
        <f t="shared" si="93"/>
        <v>25</v>
      </c>
      <c r="GI50" s="101">
        <f t="shared" si="94"/>
        <v>0</v>
      </c>
      <c r="GJ50" s="101">
        <f t="shared" si="95"/>
        <v>1</v>
      </c>
      <c r="GK50" s="101">
        <f t="shared" si="96"/>
        <v>6</v>
      </c>
      <c r="GL50" s="101">
        <f t="shared" si="97"/>
        <v>3.04E-2</v>
      </c>
      <c r="GM50" s="101">
        <f t="shared" si="98"/>
        <v>1</v>
      </c>
      <c r="GN50" s="101">
        <f t="shared" si="99"/>
        <v>12</v>
      </c>
      <c r="GO50" s="101">
        <f t="shared" si="100"/>
        <v>0.12139999999999999</v>
      </c>
      <c r="GP50" s="101">
        <f t="shared" si="101"/>
        <v>1</v>
      </c>
      <c r="GQ50" s="101">
        <f t="shared" si="102"/>
        <v>25</v>
      </c>
    </row>
    <row r="51" spans="85:199" ht="16.5" x14ac:dyDescent="0.2">
      <c r="CG51" s="81">
        <v>46</v>
      </c>
      <c r="CH51" s="174">
        <f>INDEX(节奏总表!$CK$4:$CK$63,专属武器强化!CG51)</f>
        <v>138</v>
      </c>
      <c r="CI51" s="81"/>
      <c r="CJ51" s="81">
        <f t="shared" si="119"/>
        <v>8</v>
      </c>
      <c r="CK51" s="14">
        <f t="shared" si="120"/>
        <v>0</v>
      </c>
      <c r="CL51" s="14">
        <f t="shared" si="121"/>
        <v>0</v>
      </c>
      <c r="CM51" s="14">
        <f t="shared" si="122"/>
        <v>80</v>
      </c>
      <c r="CN51" s="14">
        <f t="shared" si="123"/>
        <v>48</v>
      </c>
      <c r="CO51" s="14"/>
      <c r="CP51" s="14"/>
      <c r="CQ51" s="14"/>
      <c r="CR51" s="14"/>
      <c r="CS51" s="14">
        <f>SUM(CK$6:CK51)</f>
        <v>3340</v>
      </c>
      <c r="CT51" s="14">
        <f>SUM(CL$6:CL51)</f>
        <v>3340</v>
      </c>
      <c r="CU51" s="14">
        <f>SUM(CM$6:CM51)</f>
        <v>2015</v>
      </c>
      <c r="CV51" s="14">
        <f>SUM(CN$6:CN51)</f>
        <v>602</v>
      </c>
      <c r="CY51" s="83">
        <v>36</v>
      </c>
      <c r="CZ51" s="14">
        <f>INDEX(节奏总表!$CK$4:CK108,专属武器强化!CY51)</f>
        <v>127</v>
      </c>
      <c r="DA51" s="14">
        <f t="shared" si="124"/>
        <v>3340</v>
      </c>
      <c r="DB51" s="14">
        <f t="shared" si="64"/>
        <v>3270</v>
      </c>
      <c r="DC51" s="14">
        <f t="shared" si="65"/>
        <v>1190</v>
      </c>
      <c r="DD51" s="14">
        <f t="shared" si="66"/>
        <v>156</v>
      </c>
      <c r="DE51" s="83">
        <v>6</v>
      </c>
      <c r="DF51" s="83">
        <v>3</v>
      </c>
      <c r="DG51" s="14">
        <f t="shared" si="131"/>
        <v>0</v>
      </c>
      <c r="DH51" s="14">
        <f t="shared" si="132"/>
        <v>0</v>
      </c>
      <c r="DI51" s="14">
        <f t="shared" si="133"/>
        <v>268.8190909090909</v>
      </c>
      <c r="DJ51" s="14">
        <f t="shared" si="134"/>
        <v>54.309272727272713</v>
      </c>
      <c r="DK51" s="83"/>
      <c r="DL51" s="83"/>
      <c r="DM51" s="83"/>
      <c r="DN51" s="83"/>
      <c r="DO51" s="14">
        <f>DA51-SUM(DG$7:DG51)+SUM(DK$7:DK51)</f>
        <v>969.17124999999942</v>
      </c>
      <c r="DP51" s="14">
        <f>DB51-SUM(DH$7:DH51)+SUM(DL$7:DL51)</f>
        <v>1518.7594243421047</v>
      </c>
      <c r="DQ51" s="14">
        <f>DC51-SUM(DI$7:DI51)+SUM(DM$7:DM51)</f>
        <v>182.27019138755963</v>
      </c>
      <c r="DR51" s="14">
        <f>DD51-SUM(DJ$7:DJ51)+SUM(DN$7:DN51)</f>
        <v>17.209636363636378</v>
      </c>
      <c r="DU51" s="95">
        <v>46</v>
      </c>
      <c r="DV51" s="14">
        <f t="shared" si="71"/>
        <v>6</v>
      </c>
      <c r="DW51" s="14">
        <f t="shared" si="72"/>
        <v>1</v>
      </c>
      <c r="DX51" s="14">
        <f t="shared" si="137"/>
        <v>0</v>
      </c>
      <c r="DY51" s="14">
        <f t="shared" si="137"/>
        <v>0</v>
      </c>
      <c r="DZ51" s="14">
        <f t="shared" si="137"/>
        <v>29.868787878787881</v>
      </c>
      <c r="EA51" s="14">
        <f t="shared" si="137"/>
        <v>6.0343636363636364</v>
      </c>
      <c r="EB51" s="14">
        <f t="shared" si="73"/>
        <v>3</v>
      </c>
      <c r="EC51" s="14">
        <f t="shared" si="74"/>
        <v>4</v>
      </c>
      <c r="EJ51" s="139">
        <v>46</v>
      </c>
      <c r="EK51" s="14">
        <f t="shared" si="76"/>
        <v>6</v>
      </c>
      <c r="EL51" s="19">
        <v>0.02</v>
      </c>
      <c r="EM51" s="139">
        <v>3</v>
      </c>
      <c r="EN51" s="139" t="s">
        <v>941</v>
      </c>
      <c r="EO51" s="139">
        <f t="shared" si="77"/>
        <v>1454</v>
      </c>
      <c r="EP51" s="139" t="s">
        <v>850</v>
      </c>
      <c r="EQ51" s="139">
        <f>ROUND(ES51*DZ51/EA51,0)</f>
        <v>5</v>
      </c>
      <c r="ER51" s="139" t="s">
        <v>853</v>
      </c>
      <c r="ES51" s="139">
        <v>1</v>
      </c>
      <c r="ET51" s="139">
        <f t="shared" si="125"/>
        <v>0.17</v>
      </c>
      <c r="EU51" s="139">
        <v>1</v>
      </c>
      <c r="EV51" s="139">
        <f t="shared" si="135"/>
        <v>9</v>
      </c>
      <c r="EW51" s="139"/>
      <c r="EX51" s="139">
        <f t="shared" ref="EX51:EX68" si="138">EA51/ES51</f>
        <v>6.0343636363636364</v>
      </c>
      <c r="EY51" s="206">
        <f t="shared" si="79"/>
        <v>8774.42</v>
      </c>
      <c r="FA51">
        <v>0</v>
      </c>
      <c r="FB51">
        <v>1</v>
      </c>
      <c r="FC51">
        <f t="shared" si="126"/>
        <v>2</v>
      </c>
      <c r="FD51" s="89">
        <f t="shared" si="127"/>
        <v>8.2900000000000001E-2</v>
      </c>
      <c r="FE51">
        <v>1</v>
      </c>
      <c r="FF51">
        <f t="shared" si="128"/>
        <v>4</v>
      </c>
      <c r="FG51" s="89">
        <f t="shared" si="129"/>
        <v>0.33139999999999997</v>
      </c>
      <c r="FH51">
        <v>1</v>
      </c>
      <c r="FI51">
        <f t="shared" si="130"/>
        <v>9</v>
      </c>
      <c r="FS51" s="101">
        <v>46</v>
      </c>
      <c r="FT51" s="101">
        <f t="shared" si="80"/>
        <v>41</v>
      </c>
      <c r="FU51" s="101">
        <f t="shared" si="81"/>
        <v>1</v>
      </c>
      <c r="FV51" s="14">
        <f t="shared" si="82"/>
        <v>5</v>
      </c>
      <c r="FW51" s="101" t="str">
        <f t="shared" si="83"/>
        <v>关羽专属武器-魂珠-5 5级</v>
      </c>
      <c r="FX51" s="101">
        <f t="shared" si="84"/>
        <v>5</v>
      </c>
      <c r="FY51" s="101">
        <f t="shared" si="85"/>
        <v>5</v>
      </c>
      <c r="FZ51" s="101" t="str">
        <f t="shared" si="86"/>
        <v>金币</v>
      </c>
      <c r="GA51" s="139">
        <f>IF($FY51&gt;0,IF(INDEX($EM$6:$EM$77,$FT51)&gt;=GA$3,ROUND(INDEX(EO$6:EO$77,$FT51)*INDEX(卡牌消耗!$B$8:$F$8,FV51)/5,0)*5,""),"")</f>
        <v>3645</v>
      </c>
      <c r="GB51" s="101" t="str">
        <f t="shared" si="87"/>
        <v>专属强化石2</v>
      </c>
      <c r="GC51" s="101">
        <f t="shared" si="88"/>
        <v>5</v>
      </c>
      <c r="GD51" s="101" t="str">
        <f t="shared" si="89"/>
        <v>专属强化石3</v>
      </c>
      <c r="GE51" s="101">
        <f t="shared" si="90"/>
        <v>3</v>
      </c>
      <c r="GF51" s="101">
        <f t="shared" si="91"/>
        <v>0.04</v>
      </c>
      <c r="GG51" s="101">
        <f t="shared" si="92"/>
        <v>1</v>
      </c>
      <c r="GH51" s="101">
        <f t="shared" si="93"/>
        <v>40</v>
      </c>
      <c r="GI51" s="101">
        <f t="shared" si="94"/>
        <v>0</v>
      </c>
      <c r="GJ51" s="101">
        <f t="shared" si="95"/>
        <v>1</v>
      </c>
      <c r="GK51" s="101">
        <f t="shared" si="96"/>
        <v>9</v>
      </c>
      <c r="GL51" s="101">
        <f t="shared" si="97"/>
        <v>1.9E-2</v>
      </c>
      <c r="GM51" s="101">
        <f t="shared" si="98"/>
        <v>1</v>
      </c>
      <c r="GN51" s="101">
        <f t="shared" si="99"/>
        <v>18</v>
      </c>
      <c r="GO51" s="101">
        <f t="shared" si="100"/>
        <v>7.5899999999999995E-2</v>
      </c>
      <c r="GP51" s="101">
        <f t="shared" si="101"/>
        <v>1</v>
      </c>
      <c r="GQ51" s="101">
        <f t="shared" si="102"/>
        <v>40</v>
      </c>
    </row>
    <row r="52" spans="85:199" ht="16.5" x14ac:dyDescent="0.2">
      <c r="CG52" s="81">
        <v>47</v>
      </c>
      <c r="CH52" s="174">
        <f>INDEX(节奏总表!$CK$4:$CK$63,专属武器强化!CG52)</f>
        <v>139</v>
      </c>
      <c r="CI52" s="81"/>
      <c r="CJ52" s="81">
        <f t="shared" si="119"/>
        <v>8</v>
      </c>
      <c r="CK52" s="14">
        <f t="shared" si="120"/>
        <v>0</v>
      </c>
      <c r="CL52" s="14">
        <f t="shared" si="121"/>
        <v>0</v>
      </c>
      <c r="CM52" s="14">
        <f t="shared" si="122"/>
        <v>80</v>
      </c>
      <c r="CN52" s="14">
        <f t="shared" si="123"/>
        <v>48</v>
      </c>
      <c r="CO52" s="14"/>
      <c r="CP52" s="14"/>
      <c r="CQ52" s="14"/>
      <c r="CR52" s="14"/>
      <c r="CS52" s="14">
        <f>SUM(CK$6:CK52)</f>
        <v>3340</v>
      </c>
      <c r="CT52" s="14">
        <f>SUM(CL$6:CL52)</f>
        <v>3340</v>
      </c>
      <c r="CU52" s="14">
        <f>SUM(CM$6:CM52)</f>
        <v>2095</v>
      </c>
      <c r="CV52" s="14">
        <f>SUM(CN$6:CN52)</f>
        <v>650</v>
      </c>
      <c r="CY52" s="83">
        <v>37</v>
      </c>
      <c r="CZ52" s="14">
        <f>INDEX(节奏总表!$CK$4:CK109,专属武器强化!CY52)</f>
        <v>128</v>
      </c>
      <c r="DA52" s="14">
        <f t="shared" si="124"/>
        <v>3340</v>
      </c>
      <c r="DB52" s="14">
        <f t="shared" si="64"/>
        <v>3340</v>
      </c>
      <c r="DC52" s="14">
        <f t="shared" si="65"/>
        <v>1295</v>
      </c>
      <c r="DD52" s="14">
        <f t="shared" si="66"/>
        <v>170</v>
      </c>
      <c r="DE52" s="83">
        <v>0</v>
      </c>
      <c r="DF52" s="83">
        <v>0</v>
      </c>
      <c r="DG52" s="14">
        <f t="shared" si="131"/>
        <v>0</v>
      </c>
      <c r="DH52" s="14">
        <f t="shared" si="132"/>
        <v>0</v>
      </c>
      <c r="DI52" s="14">
        <f t="shared" si="133"/>
        <v>0</v>
      </c>
      <c r="DJ52" s="14">
        <f t="shared" si="134"/>
        <v>0</v>
      </c>
      <c r="DK52" s="83"/>
      <c r="DL52" s="83"/>
      <c r="DM52" s="83"/>
      <c r="DN52" s="83"/>
      <c r="DO52" s="14">
        <f>DA52-SUM(DG$7:DG52)+SUM(DK$7:DK52)</f>
        <v>969.17124999999942</v>
      </c>
      <c r="DP52" s="14">
        <f>DB52-SUM(DH$7:DH52)+SUM(DL$7:DL52)</f>
        <v>1588.7594243421047</v>
      </c>
      <c r="DQ52" s="14">
        <f>DC52-SUM(DI$7:DI52)+SUM(DM$7:DM52)</f>
        <v>287.27019138755963</v>
      </c>
      <c r="DR52" s="14">
        <f>DD52-SUM(DJ$7:DJ52)+SUM(DN$7:DN52)</f>
        <v>31.209636363636378</v>
      </c>
      <c r="DU52" s="95">
        <v>47</v>
      </c>
      <c r="DV52" s="14">
        <f t="shared" si="71"/>
        <v>6</v>
      </c>
      <c r="DW52" s="14">
        <f t="shared" si="72"/>
        <v>2</v>
      </c>
      <c r="DX52" s="14">
        <f t="shared" si="137"/>
        <v>0</v>
      </c>
      <c r="DY52" s="14">
        <f t="shared" si="137"/>
        <v>0</v>
      </c>
      <c r="DZ52" s="14">
        <f t="shared" si="137"/>
        <v>59.737575757575762</v>
      </c>
      <c r="EA52" s="14">
        <f t="shared" si="137"/>
        <v>12.068727272727273</v>
      </c>
      <c r="EB52" s="14">
        <f t="shared" si="73"/>
        <v>3</v>
      </c>
      <c r="EC52" s="14">
        <f t="shared" si="74"/>
        <v>4</v>
      </c>
      <c r="EJ52" s="139">
        <v>47</v>
      </c>
      <c r="EK52" s="14">
        <f t="shared" si="76"/>
        <v>6</v>
      </c>
      <c r="EL52" s="19">
        <v>0.03</v>
      </c>
      <c r="EM52" s="139">
        <v>3</v>
      </c>
      <c r="EN52" s="139" t="s">
        <v>941</v>
      </c>
      <c r="EO52" s="139">
        <f t="shared" si="77"/>
        <v>2181</v>
      </c>
      <c r="EP52" s="139" t="s">
        <v>850</v>
      </c>
      <c r="EQ52" s="139">
        <f t="shared" ref="EQ52:EQ68" si="139">ROUND(ES52*DZ52/EA52,0)</f>
        <v>10</v>
      </c>
      <c r="ER52" s="139" t="s">
        <v>853</v>
      </c>
      <c r="ES52" s="139">
        <v>2</v>
      </c>
      <c r="ET52" s="139">
        <f t="shared" si="125"/>
        <v>0.17</v>
      </c>
      <c r="EU52" s="139">
        <v>1</v>
      </c>
      <c r="EV52" s="139">
        <f t="shared" ref="EV52:EV77" si="140">FI52</f>
        <v>9</v>
      </c>
      <c r="EW52" s="139"/>
      <c r="EX52" s="139">
        <f t="shared" si="138"/>
        <v>6.0343636363636364</v>
      </c>
      <c r="EY52" s="206">
        <f t="shared" si="79"/>
        <v>13161.63</v>
      </c>
      <c r="FA52">
        <v>0</v>
      </c>
      <c r="FB52">
        <v>1</v>
      </c>
      <c r="FC52">
        <f t="shared" si="126"/>
        <v>2</v>
      </c>
      <c r="FD52" s="89">
        <f t="shared" si="127"/>
        <v>8.2900000000000001E-2</v>
      </c>
      <c r="FE52">
        <v>1</v>
      </c>
      <c r="FF52">
        <f t="shared" si="128"/>
        <v>4</v>
      </c>
      <c r="FG52" s="89">
        <f t="shared" si="129"/>
        <v>0.33139999999999997</v>
      </c>
      <c r="FH52">
        <v>1</v>
      </c>
      <c r="FI52">
        <f t="shared" si="130"/>
        <v>9</v>
      </c>
      <c r="FS52" s="101">
        <v>47</v>
      </c>
      <c r="FT52" s="101">
        <f t="shared" si="80"/>
        <v>42</v>
      </c>
      <c r="FU52" s="101">
        <f t="shared" si="81"/>
        <v>1</v>
      </c>
      <c r="FV52" s="14">
        <f t="shared" si="82"/>
        <v>5</v>
      </c>
      <c r="FW52" s="101" t="str">
        <f t="shared" si="83"/>
        <v>关羽专属武器-魂珠-5 6级</v>
      </c>
      <c r="FX52" s="101">
        <f t="shared" si="84"/>
        <v>5</v>
      </c>
      <c r="FY52" s="101">
        <f t="shared" si="85"/>
        <v>6</v>
      </c>
      <c r="FZ52" s="101" t="str">
        <f t="shared" si="86"/>
        <v>金币</v>
      </c>
      <c r="GA52" s="139">
        <f>IF($FY52&gt;0,IF(INDEX($EM$6:$EM$77,$FT52)&gt;=GA$3,ROUND(INDEX(EO$6:EO$77,$FT52)*INDEX(卡牌消耗!$B$8:$F$8,FV52)/5,0)*5,""),"")</f>
        <v>6040</v>
      </c>
      <c r="GB52" s="101" t="str">
        <f t="shared" si="87"/>
        <v>专属强化石2</v>
      </c>
      <c r="GC52" s="101">
        <f t="shared" si="88"/>
        <v>8</v>
      </c>
      <c r="GD52" s="101" t="str">
        <f t="shared" si="89"/>
        <v>专属强化石3</v>
      </c>
      <c r="GE52" s="101">
        <f t="shared" si="90"/>
        <v>5</v>
      </c>
      <c r="GF52" s="101">
        <f t="shared" si="91"/>
        <v>0.04</v>
      </c>
      <c r="GG52" s="101">
        <f t="shared" si="92"/>
        <v>1</v>
      </c>
      <c r="GH52" s="101">
        <f t="shared" si="93"/>
        <v>39</v>
      </c>
      <c r="GI52" s="101">
        <f t="shared" si="94"/>
        <v>0</v>
      </c>
      <c r="GJ52" s="101">
        <f t="shared" si="95"/>
        <v>1</v>
      </c>
      <c r="GK52" s="101">
        <f t="shared" si="96"/>
        <v>9</v>
      </c>
      <c r="GL52" s="101">
        <f t="shared" si="97"/>
        <v>1.95E-2</v>
      </c>
      <c r="GM52" s="101">
        <f t="shared" si="98"/>
        <v>1</v>
      </c>
      <c r="GN52" s="101">
        <f t="shared" si="99"/>
        <v>18</v>
      </c>
      <c r="GO52" s="101">
        <f t="shared" si="100"/>
        <v>7.7799999999999994E-2</v>
      </c>
      <c r="GP52" s="101">
        <f t="shared" si="101"/>
        <v>1</v>
      </c>
      <c r="GQ52" s="101">
        <f t="shared" si="102"/>
        <v>39</v>
      </c>
    </row>
    <row r="53" spans="85:199" ht="16.5" x14ac:dyDescent="0.2">
      <c r="CG53" s="81">
        <v>48</v>
      </c>
      <c r="CH53" s="174">
        <f>INDEX(节奏总表!$CK$4:$CK$63,专属武器强化!CG53)</f>
        <v>140</v>
      </c>
      <c r="CI53" s="81"/>
      <c r="CJ53" s="81">
        <f t="shared" si="119"/>
        <v>9</v>
      </c>
      <c r="CK53" s="14">
        <f t="shared" si="120"/>
        <v>0</v>
      </c>
      <c r="CL53" s="14">
        <f t="shared" si="121"/>
        <v>0</v>
      </c>
      <c r="CM53" s="14">
        <f t="shared" si="122"/>
        <v>75</v>
      </c>
      <c r="CN53" s="14">
        <f t="shared" si="123"/>
        <v>70</v>
      </c>
      <c r="CO53" s="14"/>
      <c r="CP53" s="14"/>
      <c r="CQ53" s="14"/>
      <c r="CR53" s="14"/>
      <c r="CS53" s="14">
        <f>SUM(CK$6:CK53)</f>
        <v>3340</v>
      </c>
      <c r="CT53" s="14">
        <f>SUM(CL$6:CL53)</f>
        <v>3340</v>
      </c>
      <c r="CU53" s="14">
        <f>SUM(CM$6:CM53)</f>
        <v>2170</v>
      </c>
      <c r="CV53" s="14">
        <f>SUM(CN$6:CN53)</f>
        <v>720</v>
      </c>
      <c r="CY53" s="83">
        <v>38</v>
      </c>
      <c r="CZ53" s="14">
        <f>INDEX(节奏总表!$CK$4:CK110,专属武器强化!CY53)</f>
        <v>130</v>
      </c>
      <c r="DA53" s="14">
        <f t="shared" si="124"/>
        <v>3340</v>
      </c>
      <c r="DB53" s="14">
        <f t="shared" si="64"/>
        <v>3340</v>
      </c>
      <c r="DC53" s="14">
        <f t="shared" si="65"/>
        <v>1375</v>
      </c>
      <c r="DD53" s="14">
        <f t="shared" si="66"/>
        <v>218</v>
      </c>
      <c r="DE53" s="83">
        <v>7</v>
      </c>
      <c r="DF53" s="83">
        <v>2</v>
      </c>
      <c r="DG53" s="14">
        <f t="shared" si="131"/>
        <v>0</v>
      </c>
      <c r="DH53" s="14">
        <f t="shared" si="132"/>
        <v>0</v>
      </c>
      <c r="DI53" s="14">
        <f t="shared" si="133"/>
        <v>179.21272727272728</v>
      </c>
      <c r="DJ53" s="14">
        <f t="shared" si="134"/>
        <v>60.343636363636364</v>
      </c>
      <c r="DK53" s="83"/>
      <c r="DL53" s="83"/>
      <c r="DM53" s="83"/>
      <c r="DN53" s="83"/>
      <c r="DO53" s="14">
        <f>DA53-SUM(DG$7:DG53)+SUM(DK$7:DK53)</f>
        <v>969.17124999999942</v>
      </c>
      <c r="DP53" s="14">
        <f>DB53-SUM(DH$7:DH53)+SUM(DL$7:DL53)</f>
        <v>1588.7594243421047</v>
      </c>
      <c r="DQ53" s="14">
        <f>DC53-SUM(DI$7:DI53)+SUM(DM$7:DM53)</f>
        <v>188.05746411483233</v>
      </c>
      <c r="DR53" s="14">
        <f>DD53-SUM(DJ$7:DJ53)+SUM(DN$7:DN53)</f>
        <v>18.866000000000014</v>
      </c>
      <c r="DU53" s="95">
        <v>48</v>
      </c>
      <c r="DV53" s="14">
        <f t="shared" si="71"/>
        <v>6</v>
      </c>
      <c r="DW53" s="14">
        <f t="shared" si="72"/>
        <v>3</v>
      </c>
      <c r="DX53" s="14">
        <f t="shared" si="137"/>
        <v>0</v>
      </c>
      <c r="DY53" s="14">
        <f t="shared" si="137"/>
        <v>0</v>
      </c>
      <c r="DZ53" s="14">
        <f t="shared" si="137"/>
        <v>89.606363636363639</v>
      </c>
      <c r="EA53" s="14">
        <f t="shared" si="137"/>
        <v>18.103090909090906</v>
      </c>
      <c r="EB53" s="14">
        <f t="shared" si="73"/>
        <v>3</v>
      </c>
      <c r="EC53" s="14">
        <f t="shared" si="74"/>
        <v>4</v>
      </c>
      <c r="EJ53" s="139">
        <v>48</v>
      </c>
      <c r="EK53" s="14">
        <f t="shared" si="76"/>
        <v>6</v>
      </c>
      <c r="EL53" s="19">
        <f t="shared" ref="EL53" si="141">EL51+EL52</f>
        <v>0.05</v>
      </c>
      <c r="EM53" s="139">
        <v>3</v>
      </c>
      <c r="EN53" s="139" t="s">
        <v>941</v>
      </c>
      <c r="EO53" s="139">
        <f t="shared" si="77"/>
        <v>2423</v>
      </c>
      <c r="EP53" s="139" t="s">
        <v>850</v>
      </c>
      <c r="EQ53" s="139">
        <f t="shared" si="139"/>
        <v>10</v>
      </c>
      <c r="ER53" s="139" t="s">
        <v>853</v>
      </c>
      <c r="ES53" s="139">
        <v>2</v>
      </c>
      <c r="ET53" s="139">
        <f t="shared" si="125"/>
        <v>0.11</v>
      </c>
      <c r="EU53" s="139">
        <v>1</v>
      </c>
      <c r="EV53" s="139">
        <f t="shared" si="140"/>
        <v>14</v>
      </c>
      <c r="EW53" s="139"/>
      <c r="EX53" s="139">
        <f t="shared" si="138"/>
        <v>9.0515454545454528</v>
      </c>
      <c r="EY53" s="206">
        <f t="shared" si="79"/>
        <v>21936.050000000003</v>
      </c>
      <c r="FA53">
        <v>0</v>
      </c>
      <c r="FB53">
        <v>1</v>
      </c>
      <c r="FC53">
        <f t="shared" si="126"/>
        <v>3</v>
      </c>
      <c r="FD53" s="89">
        <f t="shared" si="127"/>
        <v>5.5199999999999999E-2</v>
      </c>
      <c r="FE53">
        <v>1</v>
      </c>
      <c r="FF53">
        <f t="shared" si="128"/>
        <v>6</v>
      </c>
      <c r="FG53" s="89">
        <f t="shared" si="129"/>
        <v>0.221</v>
      </c>
      <c r="FH53">
        <v>1</v>
      </c>
      <c r="FI53">
        <f t="shared" si="130"/>
        <v>14</v>
      </c>
      <c r="FS53" s="101">
        <v>48</v>
      </c>
      <c r="FT53" s="101">
        <f t="shared" si="80"/>
        <v>43</v>
      </c>
      <c r="FU53" s="101">
        <f t="shared" si="81"/>
        <v>1</v>
      </c>
      <c r="FV53" s="14">
        <f t="shared" si="82"/>
        <v>5</v>
      </c>
      <c r="FW53" s="101" t="str">
        <f t="shared" si="83"/>
        <v>关羽专属武器-魂珠-5 7级</v>
      </c>
      <c r="FX53" s="101">
        <f t="shared" si="84"/>
        <v>5</v>
      </c>
      <c r="FY53" s="101">
        <f t="shared" si="85"/>
        <v>7</v>
      </c>
      <c r="FZ53" s="101" t="str">
        <f t="shared" si="86"/>
        <v>金币</v>
      </c>
      <c r="GA53" s="139">
        <f>IF($FY53&gt;0,IF(INDEX($EM$6:$EM$77,$FT53)&gt;=GA$3,ROUND(INDEX(EO$6:EO$77,$FT53)*INDEX(卡牌消耗!$B$8:$F$8,FV53)/5,0)*5,""),"")</f>
        <v>6055</v>
      </c>
      <c r="GB53" s="101" t="str">
        <f t="shared" si="87"/>
        <v>专属强化石2</v>
      </c>
      <c r="GC53" s="101">
        <f t="shared" si="88"/>
        <v>8</v>
      </c>
      <c r="GD53" s="101" t="str">
        <f t="shared" si="89"/>
        <v>专属强化石3</v>
      </c>
      <c r="GE53" s="101">
        <f t="shared" si="90"/>
        <v>5</v>
      </c>
      <c r="GF53" s="101">
        <f t="shared" si="91"/>
        <v>0.02</v>
      </c>
      <c r="GG53" s="101">
        <f t="shared" si="92"/>
        <v>1</v>
      </c>
      <c r="GH53" s="101">
        <f t="shared" si="93"/>
        <v>62</v>
      </c>
      <c r="GI53" s="101">
        <f t="shared" si="94"/>
        <v>0</v>
      </c>
      <c r="GJ53" s="101">
        <f t="shared" si="95"/>
        <v>1</v>
      </c>
      <c r="GK53" s="101">
        <f t="shared" si="96"/>
        <v>15</v>
      </c>
      <c r="GL53" s="101">
        <f t="shared" si="97"/>
        <v>1.2E-2</v>
      </c>
      <c r="GM53" s="101">
        <f t="shared" si="98"/>
        <v>1</v>
      </c>
      <c r="GN53" s="101">
        <f t="shared" si="99"/>
        <v>29</v>
      </c>
      <c r="GO53" s="101">
        <f t="shared" si="100"/>
        <v>4.82E-2</v>
      </c>
      <c r="GP53" s="101">
        <f t="shared" si="101"/>
        <v>1</v>
      </c>
      <c r="GQ53" s="101">
        <f t="shared" si="102"/>
        <v>62</v>
      </c>
    </row>
    <row r="54" spans="85:199" ht="16.5" x14ac:dyDescent="0.2">
      <c r="CG54" s="81">
        <v>49</v>
      </c>
      <c r="CH54" s="174">
        <f>INDEX(节奏总表!$CK$4:$CK$63,专属武器强化!CG54)</f>
        <v>141</v>
      </c>
      <c r="CI54" s="81"/>
      <c r="CJ54" s="81">
        <f t="shared" si="119"/>
        <v>9</v>
      </c>
      <c r="CK54" s="14">
        <f t="shared" si="120"/>
        <v>0</v>
      </c>
      <c r="CL54" s="14">
        <f t="shared" si="121"/>
        <v>0</v>
      </c>
      <c r="CM54" s="14">
        <f t="shared" si="122"/>
        <v>75</v>
      </c>
      <c r="CN54" s="14">
        <f t="shared" si="123"/>
        <v>70</v>
      </c>
      <c r="CO54" s="14"/>
      <c r="CP54" s="14"/>
      <c r="CQ54" s="14"/>
      <c r="CR54" s="14"/>
      <c r="CS54" s="14">
        <f>SUM(CK$6:CK54)</f>
        <v>3340</v>
      </c>
      <c r="CT54" s="14">
        <f>SUM(CL$6:CL54)</f>
        <v>3340</v>
      </c>
      <c r="CU54" s="14">
        <f>SUM(CM$6:CM54)</f>
        <v>2245</v>
      </c>
      <c r="CV54" s="14">
        <f>SUM(CN$6:CN54)</f>
        <v>790</v>
      </c>
      <c r="CY54" s="83">
        <v>39</v>
      </c>
      <c r="CZ54" s="14">
        <f>INDEX(节奏总表!$CK$4:CK111,专属武器强化!CY54)</f>
        <v>131</v>
      </c>
      <c r="DA54" s="14">
        <f t="shared" si="124"/>
        <v>3340</v>
      </c>
      <c r="DB54" s="14">
        <f t="shared" si="64"/>
        <v>3340</v>
      </c>
      <c r="DC54" s="14">
        <f t="shared" si="65"/>
        <v>1455</v>
      </c>
      <c r="DD54" s="14">
        <f t="shared" si="66"/>
        <v>266</v>
      </c>
      <c r="DE54" s="83">
        <v>0</v>
      </c>
      <c r="DF54" s="83">
        <v>0</v>
      </c>
      <c r="DG54" s="14">
        <f t="shared" si="131"/>
        <v>0</v>
      </c>
      <c r="DH54" s="14">
        <f t="shared" si="132"/>
        <v>0</v>
      </c>
      <c r="DI54" s="14">
        <f t="shared" si="133"/>
        <v>0</v>
      </c>
      <c r="DJ54" s="14">
        <f t="shared" si="134"/>
        <v>0</v>
      </c>
      <c r="DK54" s="83"/>
      <c r="DL54" s="83"/>
      <c r="DM54" s="83"/>
      <c r="DN54" s="83"/>
      <c r="DO54" s="14">
        <f>DA54-SUM(DG$7:DG54)+SUM(DK$7:DK54)</f>
        <v>969.17124999999942</v>
      </c>
      <c r="DP54" s="14">
        <f>DB54-SUM(DH$7:DH54)+SUM(DL$7:DL54)</f>
        <v>1588.7594243421047</v>
      </c>
      <c r="DQ54" s="14">
        <f>DC54-SUM(DI$7:DI54)+SUM(DM$7:DM54)</f>
        <v>268.05746411483233</v>
      </c>
      <c r="DR54" s="14">
        <f>DD54-SUM(DJ$7:DJ54)+SUM(DN$7:DN54)</f>
        <v>66.866000000000014</v>
      </c>
      <c r="DU54" s="95">
        <v>49</v>
      </c>
      <c r="DV54" s="14">
        <f t="shared" si="71"/>
        <v>6</v>
      </c>
      <c r="DW54" s="14">
        <f t="shared" si="72"/>
        <v>4</v>
      </c>
      <c r="DX54" s="14">
        <f t="shared" si="137"/>
        <v>0</v>
      </c>
      <c r="DY54" s="14">
        <f t="shared" si="137"/>
        <v>0</v>
      </c>
      <c r="DZ54" s="14">
        <f t="shared" si="137"/>
        <v>149.34393939393939</v>
      </c>
      <c r="EA54" s="14">
        <f t="shared" si="137"/>
        <v>30.171818181818182</v>
      </c>
      <c r="EB54" s="14">
        <f t="shared" si="73"/>
        <v>3</v>
      </c>
      <c r="EC54" s="14">
        <f t="shared" si="74"/>
        <v>4</v>
      </c>
      <c r="EJ54" s="139">
        <v>49</v>
      </c>
      <c r="EK54" s="14">
        <f t="shared" si="76"/>
        <v>6</v>
      </c>
      <c r="EL54" s="19">
        <f t="shared" si="115"/>
        <v>0.08</v>
      </c>
      <c r="EM54" s="139">
        <v>3</v>
      </c>
      <c r="EN54" s="139" t="s">
        <v>941</v>
      </c>
      <c r="EO54" s="139">
        <f t="shared" si="77"/>
        <v>3490</v>
      </c>
      <c r="EP54" s="139" t="s">
        <v>850</v>
      </c>
      <c r="EQ54" s="139">
        <f t="shared" si="139"/>
        <v>15</v>
      </c>
      <c r="ER54" s="139" t="s">
        <v>853</v>
      </c>
      <c r="ES54" s="139">
        <v>3</v>
      </c>
      <c r="ET54" s="139">
        <f t="shared" si="125"/>
        <v>0.1</v>
      </c>
      <c r="EU54" s="139">
        <v>1</v>
      </c>
      <c r="EV54" s="139">
        <f t="shared" si="140"/>
        <v>15</v>
      </c>
      <c r="EW54" s="139"/>
      <c r="EX54" s="139">
        <f t="shared" si="138"/>
        <v>10.057272727272727</v>
      </c>
      <c r="EY54" s="206">
        <f t="shared" si="79"/>
        <v>35097.68</v>
      </c>
      <c r="FA54">
        <v>0</v>
      </c>
      <c r="FB54">
        <v>1</v>
      </c>
      <c r="FC54">
        <f t="shared" si="126"/>
        <v>4</v>
      </c>
      <c r="FD54" s="89">
        <f t="shared" si="127"/>
        <v>4.9700000000000001E-2</v>
      </c>
      <c r="FE54">
        <v>1</v>
      </c>
      <c r="FF54">
        <f t="shared" si="128"/>
        <v>7</v>
      </c>
      <c r="FG54" s="89">
        <f t="shared" si="129"/>
        <v>0.19889999999999999</v>
      </c>
      <c r="FH54">
        <v>1</v>
      </c>
      <c r="FI54">
        <f t="shared" si="130"/>
        <v>15</v>
      </c>
      <c r="FS54" s="101">
        <v>49</v>
      </c>
      <c r="FT54" s="101">
        <f t="shared" si="80"/>
        <v>44</v>
      </c>
      <c r="FU54" s="101">
        <f t="shared" si="81"/>
        <v>1</v>
      </c>
      <c r="FV54" s="14">
        <f t="shared" si="82"/>
        <v>5</v>
      </c>
      <c r="FW54" s="101" t="str">
        <f t="shared" si="83"/>
        <v>关羽专属武器-魂珠-5 8级</v>
      </c>
      <c r="FX54" s="101">
        <f t="shared" si="84"/>
        <v>5</v>
      </c>
      <c r="FY54" s="101">
        <f t="shared" si="85"/>
        <v>8</v>
      </c>
      <c r="FZ54" s="101" t="str">
        <f t="shared" si="86"/>
        <v>金币</v>
      </c>
      <c r="GA54" s="139">
        <f>IF($FY54&gt;0,IF(INDEX($EM$6:$EM$77,$FT54)&gt;=GA$3,ROUND(INDEX(EO$6:EO$77,$FT54)*INDEX(卡牌消耗!$B$8:$F$8,FV54)/5,0)*5,""),"")</f>
        <v>8470</v>
      </c>
      <c r="GB54" s="101" t="str">
        <f t="shared" si="87"/>
        <v>专属强化石2</v>
      </c>
      <c r="GC54" s="101">
        <f t="shared" si="88"/>
        <v>11</v>
      </c>
      <c r="GD54" s="101" t="str">
        <f t="shared" si="89"/>
        <v>专属强化石3</v>
      </c>
      <c r="GE54" s="101">
        <f t="shared" si="90"/>
        <v>7</v>
      </c>
      <c r="GF54" s="101">
        <f t="shared" si="91"/>
        <v>0.02</v>
      </c>
      <c r="GG54" s="101">
        <f t="shared" si="92"/>
        <v>1</v>
      </c>
      <c r="GH54" s="101">
        <f t="shared" si="93"/>
        <v>72</v>
      </c>
      <c r="GI54" s="101">
        <f t="shared" si="94"/>
        <v>0</v>
      </c>
      <c r="GJ54" s="101">
        <f t="shared" si="95"/>
        <v>1</v>
      </c>
      <c r="GK54" s="101">
        <f t="shared" si="96"/>
        <v>17</v>
      </c>
      <c r="GL54" s="101">
        <f t="shared" si="97"/>
        <v>1.04E-2</v>
      </c>
      <c r="GM54" s="101">
        <f t="shared" si="98"/>
        <v>1</v>
      </c>
      <c r="GN54" s="101">
        <f t="shared" si="99"/>
        <v>34</v>
      </c>
      <c r="GO54" s="101">
        <f t="shared" si="100"/>
        <v>4.1700000000000001E-2</v>
      </c>
      <c r="GP54" s="101">
        <f t="shared" si="101"/>
        <v>1</v>
      </c>
      <c r="GQ54" s="101">
        <f t="shared" si="102"/>
        <v>72</v>
      </c>
    </row>
    <row r="55" spans="85:199" ht="16.5" x14ac:dyDescent="0.2">
      <c r="CG55" s="81">
        <v>50</v>
      </c>
      <c r="CH55" s="174">
        <f>INDEX(节奏总表!$CK$4:$CK$63,专属武器强化!CG55)</f>
        <v>141</v>
      </c>
      <c r="CI55" s="81"/>
      <c r="CJ55" s="81">
        <f t="shared" si="119"/>
        <v>9</v>
      </c>
      <c r="CK55" s="14">
        <f t="shared" si="120"/>
        <v>0</v>
      </c>
      <c r="CL55" s="14">
        <f t="shared" si="121"/>
        <v>0</v>
      </c>
      <c r="CM55" s="14">
        <f t="shared" si="122"/>
        <v>75</v>
      </c>
      <c r="CN55" s="14">
        <f t="shared" si="123"/>
        <v>70</v>
      </c>
      <c r="CO55" s="14"/>
      <c r="CP55" s="14"/>
      <c r="CQ55" s="14"/>
      <c r="CR55" s="14"/>
      <c r="CS55" s="14">
        <f>SUM(CK$6:CK55)</f>
        <v>3340</v>
      </c>
      <c r="CT55" s="14">
        <f>SUM(CL$6:CL55)</f>
        <v>3340</v>
      </c>
      <c r="CU55" s="14">
        <f>SUM(CM$6:CM55)</f>
        <v>2320</v>
      </c>
      <c r="CV55" s="14">
        <f>SUM(CN$6:CN55)</f>
        <v>860</v>
      </c>
      <c r="CY55" s="83">
        <v>40</v>
      </c>
      <c r="CZ55" s="14">
        <f>INDEX(节奏总表!$CK$4:CK112,专属武器强化!CY55)</f>
        <v>132</v>
      </c>
      <c r="DA55" s="14">
        <f t="shared" si="124"/>
        <v>3340</v>
      </c>
      <c r="DB55" s="14">
        <f t="shared" si="64"/>
        <v>3340</v>
      </c>
      <c r="DC55" s="14">
        <f t="shared" si="65"/>
        <v>1535</v>
      </c>
      <c r="DD55" s="14">
        <f t="shared" si="66"/>
        <v>314</v>
      </c>
      <c r="DE55" s="83">
        <v>5</v>
      </c>
      <c r="DF55" s="83">
        <v>4</v>
      </c>
      <c r="DG55" s="14">
        <f t="shared" si="131"/>
        <v>0</v>
      </c>
      <c r="DH55" s="14">
        <f t="shared" si="132"/>
        <v>229.47105263157897</v>
      </c>
      <c r="DI55" s="14">
        <f t="shared" si="133"/>
        <v>148.221052631579</v>
      </c>
      <c r="DJ55" s="14">
        <f t="shared" si="134"/>
        <v>0</v>
      </c>
      <c r="DK55" s="83"/>
      <c r="DL55" s="83"/>
      <c r="DM55" s="83"/>
      <c r="DN55" s="83"/>
      <c r="DO55" s="14">
        <f>DA55-SUM(DG$7:DG55)+SUM(DK$7:DK55)</f>
        <v>969.17124999999942</v>
      </c>
      <c r="DP55" s="14">
        <f>DB55-SUM(DH$7:DH55)+SUM(DL$7:DL55)</f>
        <v>1359.2883717105258</v>
      </c>
      <c r="DQ55" s="14">
        <f>DC55-SUM(DI$7:DI55)+SUM(DM$7:DM55)</f>
        <v>199.83641148325341</v>
      </c>
      <c r="DR55" s="14">
        <f>DD55-SUM(DJ$7:DJ55)+SUM(DN$7:DN55)</f>
        <v>114.86600000000001</v>
      </c>
      <c r="DU55" s="95">
        <v>50</v>
      </c>
      <c r="DV55" s="14">
        <f t="shared" si="71"/>
        <v>6</v>
      </c>
      <c r="DW55" s="14">
        <f t="shared" si="72"/>
        <v>5</v>
      </c>
      <c r="DX55" s="14">
        <f t="shared" si="137"/>
        <v>0</v>
      </c>
      <c r="DY55" s="14">
        <f t="shared" si="137"/>
        <v>0</v>
      </c>
      <c r="DZ55" s="14">
        <f t="shared" si="137"/>
        <v>238.95030303030305</v>
      </c>
      <c r="EA55" s="14">
        <f t="shared" si="137"/>
        <v>48.274909090909091</v>
      </c>
      <c r="EB55" s="14">
        <f t="shared" si="73"/>
        <v>3</v>
      </c>
      <c r="EC55" s="14">
        <f t="shared" si="74"/>
        <v>4</v>
      </c>
      <c r="EJ55" s="139">
        <v>50</v>
      </c>
      <c r="EK55" s="14">
        <f t="shared" si="76"/>
        <v>6</v>
      </c>
      <c r="EL55" s="19">
        <f t="shared" si="115"/>
        <v>0.13</v>
      </c>
      <c r="EM55" s="139">
        <v>3</v>
      </c>
      <c r="EN55" s="139" t="s">
        <v>941</v>
      </c>
      <c r="EO55" s="139">
        <f t="shared" si="77"/>
        <v>3544</v>
      </c>
      <c r="EP55" s="139" t="s">
        <v>850</v>
      </c>
      <c r="EQ55" s="139">
        <f t="shared" si="139"/>
        <v>15</v>
      </c>
      <c r="ER55" s="139" t="s">
        <v>853</v>
      </c>
      <c r="ES55" s="139">
        <v>3</v>
      </c>
      <c r="ET55" s="139">
        <f t="shared" si="125"/>
        <v>0.06</v>
      </c>
      <c r="EU55" s="139">
        <v>1</v>
      </c>
      <c r="EV55" s="139">
        <f t="shared" si="140"/>
        <v>24</v>
      </c>
      <c r="EW55" s="139"/>
      <c r="EX55" s="139">
        <f t="shared" si="138"/>
        <v>16.091636363636365</v>
      </c>
      <c r="EY55" s="206">
        <f t="shared" si="79"/>
        <v>57033.73</v>
      </c>
      <c r="FA55">
        <v>0</v>
      </c>
      <c r="FB55">
        <v>1</v>
      </c>
      <c r="FC55">
        <f t="shared" si="126"/>
        <v>6</v>
      </c>
      <c r="FD55" s="89">
        <f t="shared" si="127"/>
        <v>3.1099999999999999E-2</v>
      </c>
      <c r="FE55">
        <v>1</v>
      </c>
      <c r="FF55">
        <f t="shared" si="128"/>
        <v>11</v>
      </c>
      <c r="FG55" s="89">
        <f t="shared" si="129"/>
        <v>0.12429999999999999</v>
      </c>
      <c r="FH55">
        <v>1</v>
      </c>
      <c r="FI55">
        <f t="shared" si="130"/>
        <v>24</v>
      </c>
      <c r="FS55" s="101">
        <v>50</v>
      </c>
      <c r="FT55" s="101">
        <f t="shared" si="80"/>
        <v>45</v>
      </c>
      <c r="FU55" s="101">
        <f t="shared" si="81"/>
        <v>1</v>
      </c>
      <c r="FV55" s="14">
        <f t="shared" si="82"/>
        <v>5</v>
      </c>
      <c r="FW55" s="101" t="str">
        <f t="shared" si="83"/>
        <v>关羽专属武器-魂珠-5 9级</v>
      </c>
      <c r="FX55" s="101">
        <f t="shared" si="84"/>
        <v>5</v>
      </c>
      <c r="FY55" s="101">
        <f t="shared" si="85"/>
        <v>9</v>
      </c>
      <c r="FZ55" s="101" t="str">
        <f t="shared" si="86"/>
        <v>金币</v>
      </c>
      <c r="GA55" s="139">
        <f>IF($FY55&gt;0,IF(INDEX($EM$6:$EM$77,$FT55)&gt;=GA$3,ROUND(INDEX(EO$6:EO$77,$FT55)*INDEX(卡牌消耗!$B$8:$F$8,FV55)/5,0)*5,""),"")</f>
        <v>10890</v>
      </c>
      <c r="GB55" s="101" t="str">
        <f t="shared" si="87"/>
        <v>专属强化石2</v>
      </c>
      <c r="GC55" s="101">
        <f t="shared" si="88"/>
        <v>14</v>
      </c>
      <c r="GD55" s="101" t="str">
        <f t="shared" si="89"/>
        <v>专属强化石3</v>
      </c>
      <c r="GE55" s="101">
        <f t="shared" si="90"/>
        <v>9</v>
      </c>
      <c r="GF55" s="101">
        <f t="shared" si="91"/>
        <v>0.02</v>
      </c>
      <c r="GG55" s="101">
        <f t="shared" si="92"/>
        <v>1</v>
      </c>
      <c r="GH55" s="101">
        <f t="shared" si="93"/>
        <v>91</v>
      </c>
      <c r="GI55" s="101">
        <f t="shared" si="94"/>
        <v>0</v>
      </c>
      <c r="GJ55" s="101">
        <f t="shared" si="95"/>
        <v>1</v>
      </c>
      <c r="GK55" s="101">
        <f t="shared" si="96"/>
        <v>21</v>
      </c>
      <c r="GL55" s="101">
        <f t="shared" si="97"/>
        <v>8.3000000000000001E-3</v>
      </c>
      <c r="GM55" s="101">
        <f t="shared" si="98"/>
        <v>1</v>
      </c>
      <c r="GN55" s="101">
        <f t="shared" si="99"/>
        <v>42</v>
      </c>
      <c r="GO55" s="101">
        <f t="shared" si="100"/>
        <v>3.3099999999999997E-2</v>
      </c>
      <c r="GP55" s="101">
        <f t="shared" si="101"/>
        <v>1</v>
      </c>
      <c r="GQ55" s="101">
        <f t="shared" si="102"/>
        <v>91</v>
      </c>
    </row>
    <row r="56" spans="85:199" ht="16.5" x14ac:dyDescent="0.2">
      <c r="CG56" s="81">
        <v>51</v>
      </c>
      <c r="CH56" s="174">
        <f>INDEX(节奏总表!$CK$4:$CK$63,专属武器强化!CG56)</f>
        <v>142</v>
      </c>
      <c r="CI56" s="81"/>
      <c r="CJ56" s="81">
        <f t="shared" si="119"/>
        <v>9</v>
      </c>
      <c r="CK56" s="14">
        <f t="shared" si="120"/>
        <v>0</v>
      </c>
      <c r="CL56" s="14">
        <f t="shared" si="121"/>
        <v>0</v>
      </c>
      <c r="CM56" s="14">
        <f t="shared" si="122"/>
        <v>75</v>
      </c>
      <c r="CN56" s="14">
        <f t="shared" si="123"/>
        <v>70</v>
      </c>
      <c r="CO56" s="14"/>
      <c r="CP56" s="14"/>
      <c r="CQ56" s="14"/>
      <c r="CR56" s="14"/>
      <c r="CS56" s="14">
        <f>SUM(CK$6:CK56)</f>
        <v>3340</v>
      </c>
      <c r="CT56" s="14">
        <f>SUM(CL$6:CL56)</f>
        <v>3340</v>
      </c>
      <c r="CU56" s="14">
        <f>SUM(CM$6:CM56)</f>
        <v>2395</v>
      </c>
      <c r="CV56" s="14">
        <f>SUM(CN$6:CN56)</f>
        <v>930</v>
      </c>
      <c r="CY56" s="83">
        <v>41</v>
      </c>
      <c r="CZ56" s="14">
        <f>INDEX(节奏总表!$CK$4:CK113,专属武器强化!CY56)</f>
        <v>133</v>
      </c>
      <c r="DA56" s="14">
        <f t="shared" si="124"/>
        <v>3340</v>
      </c>
      <c r="DB56" s="14">
        <f t="shared" si="64"/>
        <v>3340</v>
      </c>
      <c r="DC56" s="14">
        <f t="shared" si="65"/>
        <v>1615</v>
      </c>
      <c r="DD56" s="14">
        <f t="shared" si="66"/>
        <v>362</v>
      </c>
      <c r="DE56" s="83">
        <v>0</v>
      </c>
      <c r="DF56" s="83">
        <v>0</v>
      </c>
      <c r="DG56" s="14">
        <f t="shared" si="131"/>
        <v>0</v>
      </c>
      <c r="DH56" s="14">
        <f t="shared" si="132"/>
        <v>0</v>
      </c>
      <c r="DI56" s="14">
        <f t="shared" si="133"/>
        <v>0</v>
      </c>
      <c r="DJ56" s="14">
        <f t="shared" si="134"/>
        <v>0</v>
      </c>
      <c r="DK56" s="83"/>
      <c r="DL56" s="83"/>
      <c r="DM56" s="83"/>
      <c r="DN56" s="83"/>
      <c r="DO56" s="14">
        <f>DA56-SUM(DG$7:DG56)+SUM(DK$7:DK56)</f>
        <v>969.17124999999942</v>
      </c>
      <c r="DP56" s="14">
        <f>DB56-SUM(DH$7:DH56)+SUM(DL$7:DL56)</f>
        <v>1359.2883717105258</v>
      </c>
      <c r="DQ56" s="14">
        <f>DC56-SUM(DI$7:DI56)+SUM(DM$7:DM56)</f>
        <v>279.83641148325341</v>
      </c>
      <c r="DR56" s="14">
        <f>DD56-SUM(DJ$7:DJ56)+SUM(DN$7:DN56)</f>
        <v>162.86600000000001</v>
      </c>
      <c r="DU56" s="95">
        <v>51</v>
      </c>
      <c r="DV56" s="14">
        <f t="shared" si="71"/>
        <v>6</v>
      </c>
      <c r="DW56" s="14">
        <f t="shared" si="72"/>
        <v>6</v>
      </c>
      <c r="DX56" s="14">
        <f t="shared" si="137"/>
        <v>0</v>
      </c>
      <c r="DY56" s="14">
        <f t="shared" si="137"/>
        <v>0</v>
      </c>
      <c r="DZ56" s="14">
        <f t="shared" si="137"/>
        <v>388.29424242424244</v>
      </c>
      <c r="EA56" s="14">
        <f t="shared" si="137"/>
        <v>78.446727272727273</v>
      </c>
      <c r="EB56" s="14">
        <f t="shared" si="73"/>
        <v>3</v>
      </c>
      <c r="EC56" s="14">
        <f t="shared" si="74"/>
        <v>4</v>
      </c>
      <c r="EJ56" s="139">
        <v>51</v>
      </c>
      <c r="EK56" s="14">
        <f t="shared" si="76"/>
        <v>6</v>
      </c>
      <c r="EL56" s="19">
        <f t="shared" si="115"/>
        <v>0.21000000000000002</v>
      </c>
      <c r="EM56" s="139">
        <v>3</v>
      </c>
      <c r="EN56" s="139" t="s">
        <v>941</v>
      </c>
      <c r="EO56" s="139">
        <f t="shared" si="77"/>
        <v>4698</v>
      </c>
      <c r="EP56" s="139" t="s">
        <v>850</v>
      </c>
      <c r="EQ56" s="139">
        <f t="shared" si="139"/>
        <v>20</v>
      </c>
      <c r="ER56" s="139" t="s">
        <v>853</v>
      </c>
      <c r="ES56" s="139">
        <v>4</v>
      </c>
      <c r="ET56" s="139">
        <f t="shared" si="125"/>
        <v>0.05</v>
      </c>
      <c r="EU56" s="139">
        <v>1</v>
      </c>
      <c r="EV56" s="139">
        <f t="shared" si="140"/>
        <v>29</v>
      </c>
      <c r="EW56" s="139"/>
      <c r="EX56" s="139">
        <f t="shared" si="138"/>
        <v>19.611681818181818</v>
      </c>
      <c r="EY56" s="206">
        <f t="shared" si="79"/>
        <v>92131.41</v>
      </c>
      <c r="FA56">
        <v>0</v>
      </c>
      <c r="FB56">
        <v>1</v>
      </c>
      <c r="FC56">
        <f t="shared" si="126"/>
        <v>7</v>
      </c>
      <c r="FD56" s="89">
        <f t="shared" si="127"/>
        <v>2.5499999999999998E-2</v>
      </c>
      <c r="FE56">
        <v>1</v>
      </c>
      <c r="FF56">
        <f t="shared" si="128"/>
        <v>14</v>
      </c>
      <c r="FG56" s="89">
        <f t="shared" si="129"/>
        <v>0.10199999999999999</v>
      </c>
      <c r="FH56">
        <v>1</v>
      </c>
      <c r="FI56">
        <f t="shared" si="130"/>
        <v>29</v>
      </c>
      <c r="FS56" s="101">
        <v>51</v>
      </c>
      <c r="FT56" s="101">
        <f t="shared" si="80"/>
        <v>0</v>
      </c>
      <c r="FU56" s="101">
        <f t="shared" si="81"/>
        <v>1</v>
      </c>
      <c r="FV56" s="14">
        <f t="shared" si="82"/>
        <v>5</v>
      </c>
      <c r="FW56" s="101" t="str">
        <f t="shared" si="83"/>
        <v>关羽专属武器-魂珠-6 0级</v>
      </c>
      <c r="FX56" s="101">
        <f t="shared" si="84"/>
        <v>6</v>
      </c>
      <c r="FY56" s="101">
        <f t="shared" si="85"/>
        <v>0</v>
      </c>
      <c r="FZ56" s="101" t="str">
        <f t="shared" si="86"/>
        <v/>
      </c>
      <c r="GA56" s="139" t="str">
        <f>IF($FY56&gt;0,IF(INDEX($EM$6:$EM$77,$FT56)&gt;=GA$3,ROUND(INDEX(EO$6:EO$77,$FT56)*INDEX(卡牌消耗!$B$8:$F$8,FV56)/5,0)*5,""),"")</f>
        <v/>
      </c>
      <c r="GB56" s="101" t="str">
        <f t="shared" si="87"/>
        <v/>
      </c>
      <c r="GC56" s="101" t="str">
        <f t="shared" si="88"/>
        <v/>
      </c>
      <c r="GD56" s="101" t="str">
        <f t="shared" si="89"/>
        <v/>
      </c>
      <c r="GE56" s="101" t="str">
        <f t="shared" si="90"/>
        <v/>
      </c>
      <c r="GF56" s="101" t="str">
        <f t="shared" si="91"/>
        <v/>
      </c>
      <c r="GG56" s="101" t="str">
        <f t="shared" si="92"/>
        <v/>
      </c>
      <c r="GH56" s="101" t="str">
        <f t="shared" si="93"/>
        <v/>
      </c>
      <c r="GI56" s="101" t="str">
        <f t="shared" si="94"/>
        <v/>
      </c>
      <c r="GJ56" s="101" t="str">
        <f t="shared" si="95"/>
        <v/>
      </c>
      <c r="GK56" s="101" t="str">
        <f t="shared" si="96"/>
        <v/>
      </c>
      <c r="GL56" s="101" t="str">
        <f t="shared" si="97"/>
        <v/>
      </c>
      <c r="GM56" s="101" t="str">
        <f t="shared" si="98"/>
        <v/>
      </c>
      <c r="GN56" s="101" t="str">
        <f t="shared" si="99"/>
        <v/>
      </c>
      <c r="GO56" s="101" t="str">
        <f t="shared" si="100"/>
        <v/>
      </c>
      <c r="GP56" s="101" t="str">
        <f t="shared" si="101"/>
        <v/>
      </c>
      <c r="GQ56" s="101" t="str">
        <f t="shared" si="102"/>
        <v/>
      </c>
    </row>
    <row r="57" spans="85:199" ht="16.5" x14ac:dyDescent="0.2">
      <c r="CG57" s="81">
        <v>52</v>
      </c>
      <c r="CH57" s="174">
        <f>INDEX(节奏总表!$CK$4:$CK$63,专属武器强化!CG57)</f>
        <v>143</v>
      </c>
      <c r="CI57" s="81"/>
      <c r="CJ57" s="81">
        <f t="shared" si="119"/>
        <v>9</v>
      </c>
      <c r="CK57" s="14">
        <f t="shared" si="120"/>
        <v>0</v>
      </c>
      <c r="CL57" s="14">
        <f t="shared" si="121"/>
        <v>0</v>
      </c>
      <c r="CM57" s="14">
        <f t="shared" si="122"/>
        <v>75</v>
      </c>
      <c r="CN57" s="14">
        <f t="shared" si="123"/>
        <v>70</v>
      </c>
      <c r="CO57" s="14"/>
      <c r="CP57" s="14"/>
      <c r="CQ57" s="14"/>
      <c r="CR57" s="14"/>
      <c r="CS57" s="14">
        <f>SUM(CK$6:CK57)</f>
        <v>3340</v>
      </c>
      <c r="CT57" s="14">
        <f>SUM(CL$6:CL57)</f>
        <v>3340</v>
      </c>
      <c r="CU57" s="14">
        <f>SUM(CM$6:CM57)</f>
        <v>2470</v>
      </c>
      <c r="CV57" s="14">
        <f>SUM(CN$6:CN57)</f>
        <v>1000</v>
      </c>
      <c r="CY57" s="83">
        <v>42</v>
      </c>
      <c r="CZ57" s="14">
        <f>INDEX(节奏总表!$CK$4:CK114,专属武器强化!CY57)</f>
        <v>134</v>
      </c>
      <c r="DA57" s="14">
        <f t="shared" si="124"/>
        <v>3340</v>
      </c>
      <c r="DB57" s="14">
        <f t="shared" si="64"/>
        <v>3340</v>
      </c>
      <c r="DC57" s="14">
        <f t="shared" si="65"/>
        <v>1695</v>
      </c>
      <c r="DD57" s="14">
        <f t="shared" si="66"/>
        <v>410</v>
      </c>
      <c r="DE57" s="83">
        <v>0</v>
      </c>
      <c r="DF57" s="83">
        <v>0</v>
      </c>
      <c r="DG57" s="14">
        <f t="shared" si="131"/>
        <v>0</v>
      </c>
      <c r="DH57" s="14">
        <f t="shared" si="132"/>
        <v>0</v>
      </c>
      <c r="DI57" s="14">
        <f t="shared" si="133"/>
        <v>0</v>
      </c>
      <c r="DJ57" s="14">
        <f t="shared" si="134"/>
        <v>0</v>
      </c>
      <c r="DK57" s="83"/>
      <c r="DL57" s="83"/>
      <c r="DM57" s="83"/>
      <c r="DN57" s="83"/>
      <c r="DO57" s="14">
        <f>DA57-SUM(DG$7:DG57)+SUM(DK$7:DK57)</f>
        <v>969.17124999999942</v>
      </c>
      <c r="DP57" s="14">
        <f>DB57-SUM(DH$7:DH57)+SUM(DL$7:DL57)</f>
        <v>1359.2883717105258</v>
      </c>
      <c r="DQ57" s="14">
        <f>DC57-SUM(DI$7:DI57)+SUM(DM$7:DM57)</f>
        <v>359.83641148325341</v>
      </c>
      <c r="DR57" s="14">
        <f>DD57-SUM(DJ$7:DJ57)+SUM(DN$7:DN57)</f>
        <v>210.86600000000001</v>
      </c>
      <c r="DU57" s="95">
        <v>52</v>
      </c>
      <c r="DV57" s="14">
        <f t="shared" si="71"/>
        <v>6</v>
      </c>
      <c r="DW57" s="14">
        <f t="shared" si="72"/>
        <v>7</v>
      </c>
      <c r="DX57" s="14">
        <f t="shared" si="137"/>
        <v>0</v>
      </c>
      <c r="DY57" s="14">
        <f t="shared" si="137"/>
        <v>0</v>
      </c>
      <c r="DZ57" s="14">
        <f t="shared" si="137"/>
        <v>627.24454545454546</v>
      </c>
      <c r="EA57" s="14">
        <f t="shared" si="137"/>
        <v>126.72163636363634</v>
      </c>
      <c r="EB57" s="14">
        <f t="shared" si="73"/>
        <v>3</v>
      </c>
      <c r="EC57" s="14">
        <f t="shared" si="74"/>
        <v>4</v>
      </c>
      <c r="EJ57" s="139">
        <v>52</v>
      </c>
      <c r="EK57" s="14">
        <f t="shared" si="76"/>
        <v>6</v>
      </c>
      <c r="EL57" s="19">
        <f t="shared" si="115"/>
        <v>0.34</v>
      </c>
      <c r="EM57" s="139">
        <v>3</v>
      </c>
      <c r="EN57" s="139" t="s">
        <v>941</v>
      </c>
      <c r="EO57" s="139">
        <f t="shared" si="77"/>
        <v>5886</v>
      </c>
      <c r="EP57" s="139" t="s">
        <v>850</v>
      </c>
      <c r="EQ57" s="139">
        <f t="shared" si="139"/>
        <v>25</v>
      </c>
      <c r="ER57" s="139" t="s">
        <v>853</v>
      </c>
      <c r="ES57" s="139">
        <v>5</v>
      </c>
      <c r="ET57" s="139">
        <f t="shared" si="125"/>
        <v>0.04</v>
      </c>
      <c r="EU57" s="139">
        <v>1</v>
      </c>
      <c r="EV57" s="139">
        <f t="shared" si="140"/>
        <v>38</v>
      </c>
      <c r="EW57" s="139"/>
      <c r="EX57" s="139">
        <f t="shared" si="138"/>
        <v>25.344327272727266</v>
      </c>
      <c r="EY57" s="206">
        <f t="shared" si="79"/>
        <v>149165.14000000001</v>
      </c>
      <c r="FA57">
        <v>0</v>
      </c>
      <c r="FB57">
        <v>1</v>
      </c>
      <c r="FC57">
        <f t="shared" si="126"/>
        <v>9</v>
      </c>
      <c r="FD57" s="89">
        <f t="shared" si="127"/>
        <v>1.9699999999999999E-2</v>
      </c>
      <c r="FE57">
        <v>1</v>
      </c>
      <c r="FF57">
        <f t="shared" si="128"/>
        <v>18</v>
      </c>
      <c r="FG57" s="89">
        <f t="shared" si="129"/>
        <v>7.8899999999999998E-2</v>
      </c>
      <c r="FH57">
        <v>1</v>
      </c>
      <c r="FI57">
        <f t="shared" si="130"/>
        <v>38</v>
      </c>
      <c r="FS57" s="101">
        <v>52</v>
      </c>
      <c r="FT57" s="101">
        <f t="shared" si="80"/>
        <v>46</v>
      </c>
      <c r="FU57" s="101">
        <f t="shared" si="81"/>
        <v>1</v>
      </c>
      <c r="FV57" s="14">
        <f t="shared" si="82"/>
        <v>5</v>
      </c>
      <c r="FW57" s="101" t="str">
        <f t="shared" si="83"/>
        <v>关羽专属武器-魂珠-6 1级</v>
      </c>
      <c r="FX57" s="101">
        <f t="shared" si="84"/>
        <v>6</v>
      </c>
      <c r="FY57" s="101">
        <f t="shared" si="85"/>
        <v>1</v>
      </c>
      <c r="FZ57" s="101" t="str">
        <f t="shared" si="86"/>
        <v>金币</v>
      </c>
      <c r="GA57" s="139">
        <f>IF($FY57&gt;0,IF(INDEX($EM$6:$EM$77,$FT57)&gt;=GA$3,ROUND(INDEX(EO$6:EO$77,$FT57)*INDEX(卡牌消耗!$B$8:$F$8,FV57)/5,0)*5,""),"")</f>
        <v>2910</v>
      </c>
      <c r="GB57" s="101" t="str">
        <f t="shared" si="87"/>
        <v>专属强化石3</v>
      </c>
      <c r="GC57" s="101">
        <f t="shared" si="88"/>
        <v>5</v>
      </c>
      <c r="GD57" s="101" t="str">
        <f t="shared" si="89"/>
        <v>专属强化石4</v>
      </c>
      <c r="GE57" s="101">
        <f t="shared" si="90"/>
        <v>1</v>
      </c>
      <c r="GF57" s="101">
        <f t="shared" si="91"/>
        <v>0.17</v>
      </c>
      <c r="GG57" s="101">
        <f t="shared" si="92"/>
        <v>1</v>
      </c>
      <c r="GH57" s="101">
        <f t="shared" si="93"/>
        <v>9</v>
      </c>
      <c r="GI57" s="101">
        <f t="shared" si="94"/>
        <v>0</v>
      </c>
      <c r="GJ57" s="101">
        <f t="shared" si="95"/>
        <v>1</v>
      </c>
      <c r="GK57" s="101">
        <f t="shared" si="96"/>
        <v>2</v>
      </c>
      <c r="GL57" s="101">
        <f t="shared" si="97"/>
        <v>8.2900000000000001E-2</v>
      </c>
      <c r="GM57" s="101">
        <f t="shared" si="98"/>
        <v>1</v>
      </c>
      <c r="GN57" s="101">
        <f t="shared" si="99"/>
        <v>4</v>
      </c>
      <c r="GO57" s="101">
        <f t="shared" si="100"/>
        <v>0.33139999999999997</v>
      </c>
      <c r="GP57" s="101">
        <f t="shared" si="101"/>
        <v>1</v>
      </c>
      <c r="GQ57" s="101">
        <f t="shared" si="102"/>
        <v>9</v>
      </c>
    </row>
    <row r="58" spans="85:199" ht="16.5" x14ac:dyDescent="0.2">
      <c r="CG58" s="81">
        <v>53</v>
      </c>
      <c r="CH58" s="174">
        <f>INDEX(节奏总表!$CK$4:$CK$63,专属武器强化!CG58)</f>
        <v>144</v>
      </c>
      <c r="CI58" s="81"/>
      <c r="CJ58" s="81">
        <f t="shared" si="119"/>
        <v>9</v>
      </c>
      <c r="CK58" s="14">
        <f t="shared" si="120"/>
        <v>0</v>
      </c>
      <c r="CL58" s="14">
        <f t="shared" si="121"/>
        <v>0</v>
      </c>
      <c r="CM58" s="14">
        <f t="shared" si="122"/>
        <v>75</v>
      </c>
      <c r="CN58" s="14">
        <f t="shared" si="123"/>
        <v>70</v>
      </c>
      <c r="CO58" s="14"/>
      <c r="CP58" s="14"/>
      <c r="CQ58" s="14"/>
      <c r="CR58" s="14"/>
      <c r="CS58" s="14">
        <f>SUM(CK$6:CK58)</f>
        <v>3340</v>
      </c>
      <c r="CT58" s="14">
        <f>SUM(CL$6:CL58)</f>
        <v>3340</v>
      </c>
      <c r="CU58" s="14">
        <f>SUM(CM$6:CM58)</f>
        <v>2545</v>
      </c>
      <c r="CV58" s="14">
        <f>SUM(CN$6:CN58)</f>
        <v>1070</v>
      </c>
      <c r="CY58" s="83">
        <v>43</v>
      </c>
      <c r="CZ58" s="14">
        <f>INDEX(节奏总表!$CK$4:CK115,专属武器强化!CY58)</f>
        <v>135</v>
      </c>
      <c r="DA58" s="14">
        <f t="shared" si="124"/>
        <v>3340</v>
      </c>
      <c r="DB58" s="14">
        <f t="shared" si="64"/>
        <v>3340</v>
      </c>
      <c r="DC58" s="14">
        <f t="shared" si="65"/>
        <v>1775</v>
      </c>
      <c r="DD58" s="14">
        <f t="shared" si="66"/>
        <v>458</v>
      </c>
      <c r="DE58" s="83">
        <v>0</v>
      </c>
      <c r="DF58" s="83">
        <v>0</v>
      </c>
      <c r="DG58" s="14">
        <f t="shared" si="131"/>
        <v>0</v>
      </c>
      <c r="DH58" s="14">
        <f t="shared" si="132"/>
        <v>0</v>
      </c>
      <c r="DI58" s="14">
        <f t="shared" si="133"/>
        <v>0</v>
      </c>
      <c r="DJ58" s="14">
        <f t="shared" si="134"/>
        <v>0</v>
      </c>
      <c r="DK58" s="83"/>
      <c r="DL58" s="83"/>
      <c r="DM58" s="83"/>
      <c r="DN58" s="83"/>
      <c r="DO58" s="14">
        <f>DA58-SUM(DG$7:DG58)+SUM(DK$7:DK58)</f>
        <v>969.17124999999942</v>
      </c>
      <c r="DP58" s="14">
        <f>DB58-SUM(DH$7:DH58)+SUM(DL$7:DL58)</f>
        <v>1359.2883717105258</v>
      </c>
      <c r="DQ58" s="14">
        <f>DC58-SUM(DI$7:DI58)+SUM(DM$7:DM58)</f>
        <v>439.83641148325341</v>
      </c>
      <c r="DR58" s="14">
        <f>DD58-SUM(DJ$7:DJ58)+SUM(DN$7:DN58)</f>
        <v>258.86599999999999</v>
      </c>
      <c r="DU58" s="95">
        <v>53</v>
      </c>
      <c r="DV58" s="14">
        <f t="shared" si="71"/>
        <v>6</v>
      </c>
      <c r="DW58" s="14">
        <f t="shared" si="72"/>
        <v>8</v>
      </c>
      <c r="DX58" s="14">
        <f t="shared" si="137"/>
        <v>0</v>
      </c>
      <c r="DY58" s="14">
        <f t="shared" si="137"/>
        <v>0</v>
      </c>
      <c r="DZ58" s="14">
        <f t="shared" si="137"/>
        <v>1015.5387878787878</v>
      </c>
      <c r="EA58" s="14">
        <f t="shared" si="137"/>
        <v>205.16836363636364</v>
      </c>
      <c r="EB58" s="14">
        <f t="shared" si="73"/>
        <v>3</v>
      </c>
      <c r="EC58" s="14">
        <f t="shared" si="74"/>
        <v>4</v>
      </c>
      <c r="EJ58" s="139">
        <v>53</v>
      </c>
      <c r="EK58" s="14">
        <f t="shared" si="76"/>
        <v>6</v>
      </c>
      <c r="EL58" s="19">
        <f t="shared" si="115"/>
        <v>0.55000000000000004</v>
      </c>
      <c r="EM58" s="139">
        <v>3</v>
      </c>
      <c r="EN58" s="139" t="s">
        <v>941</v>
      </c>
      <c r="EO58" s="139">
        <f t="shared" si="77"/>
        <v>8233</v>
      </c>
      <c r="EP58" s="139" t="s">
        <v>850</v>
      </c>
      <c r="EQ58" s="139">
        <f t="shared" si="139"/>
        <v>35</v>
      </c>
      <c r="ER58" s="139" t="s">
        <v>853</v>
      </c>
      <c r="ES58" s="139">
        <v>7</v>
      </c>
      <c r="ET58" s="139">
        <f t="shared" si="125"/>
        <v>0.03</v>
      </c>
      <c r="EU58" s="139">
        <v>1</v>
      </c>
      <c r="EV58" s="139">
        <f t="shared" si="140"/>
        <v>44</v>
      </c>
      <c r="EW58" s="139"/>
      <c r="EX58" s="139">
        <f t="shared" si="138"/>
        <v>29.309766233766233</v>
      </c>
      <c r="EY58" s="206">
        <f t="shared" si="79"/>
        <v>241296.55000000002</v>
      </c>
      <c r="FA58">
        <v>0</v>
      </c>
      <c r="FB58">
        <v>1</v>
      </c>
      <c r="FC58">
        <f t="shared" si="126"/>
        <v>10</v>
      </c>
      <c r="FD58" s="89">
        <f t="shared" si="127"/>
        <v>1.7100000000000001E-2</v>
      </c>
      <c r="FE58">
        <v>1</v>
      </c>
      <c r="FF58">
        <f t="shared" si="128"/>
        <v>21</v>
      </c>
      <c r="FG58" s="89">
        <f t="shared" si="129"/>
        <v>6.8199999999999997E-2</v>
      </c>
      <c r="FH58">
        <v>1</v>
      </c>
      <c r="FI58">
        <f t="shared" si="130"/>
        <v>44</v>
      </c>
      <c r="FS58" s="101">
        <v>53</v>
      </c>
      <c r="FT58" s="101">
        <f t="shared" si="80"/>
        <v>47</v>
      </c>
      <c r="FU58" s="101">
        <f t="shared" si="81"/>
        <v>1</v>
      </c>
      <c r="FV58" s="14">
        <f t="shared" si="82"/>
        <v>5</v>
      </c>
      <c r="FW58" s="101" t="str">
        <f t="shared" si="83"/>
        <v>关羽专属武器-魂珠-6 2级</v>
      </c>
      <c r="FX58" s="101">
        <f t="shared" si="84"/>
        <v>6</v>
      </c>
      <c r="FY58" s="101">
        <f t="shared" si="85"/>
        <v>2</v>
      </c>
      <c r="FZ58" s="101" t="str">
        <f t="shared" si="86"/>
        <v>金币</v>
      </c>
      <c r="GA58" s="139">
        <f>IF($FY58&gt;0,IF(INDEX($EM$6:$EM$77,$FT58)&gt;=GA$3,ROUND(INDEX(EO$6:EO$77,$FT58)*INDEX(卡牌消耗!$B$8:$F$8,FV58)/5,0)*5,""),"")</f>
        <v>4360</v>
      </c>
      <c r="GB58" s="101" t="str">
        <f t="shared" si="87"/>
        <v>专属强化石3</v>
      </c>
      <c r="GC58" s="101">
        <f t="shared" si="88"/>
        <v>10</v>
      </c>
      <c r="GD58" s="101" t="str">
        <f t="shared" si="89"/>
        <v>专属强化石4</v>
      </c>
      <c r="GE58" s="101">
        <f t="shared" si="90"/>
        <v>2</v>
      </c>
      <c r="GF58" s="101">
        <f t="shared" si="91"/>
        <v>0.17</v>
      </c>
      <c r="GG58" s="101">
        <f t="shared" si="92"/>
        <v>1</v>
      </c>
      <c r="GH58" s="101">
        <f t="shared" si="93"/>
        <v>9</v>
      </c>
      <c r="GI58" s="101">
        <f t="shared" si="94"/>
        <v>0</v>
      </c>
      <c r="GJ58" s="101">
        <f t="shared" si="95"/>
        <v>1</v>
      </c>
      <c r="GK58" s="101">
        <f t="shared" si="96"/>
        <v>2</v>
      </c>
      <c r="GL58" s="101">
        <f t="shared" si="97"/>
        <v>8.2900000000000001E-2</v>
      </c>
      <c r="GM58" s="101">
        <f t="shared" si="98"/>
        <v>1</v>
      </c>
      <c r="GN58" s="101">
        <f t="shared" si="99"/>
        <v>4</v>
      </c>
      <c r="GO58" s="101">
        <f t="shared" si="100"/>
        <v>0.33139999999999997</v>
      </c>
      <c r="GP58" s="101">
        <f t="shared" si="101"/>
        <v>1</v>
      </c>
      <c r="GQ58" s="101">
        <f t="shared" si="102"/>
        <v>9</v>
      </c>
    </row>
    <row r="59" spans="85:199" ht="16.5" x14ac:dyDescent="0.2">
      <c r="CG59" s="81">
        <v>54</v>
      </c>
      <c r="CH59" s="174">
        <f>INDEX(节奏总表!$CK$4:$CK$63,专属武器强化!CG59)</f>
        <v>144</v>
      </c>
      <c r="CI59" s="81"/>
      <c r="CJ59" s="81">
        <f t="shared" si="119"/>
        <v>9</v>
      </c>
      <c r="CK59" s="14">
        <f t="shared" si="120"/>
        <v>0</v>
      </c>
      <c r="CL59" s="14">
        <f t="shared" si="121"/>
        <v>0</v>
      </c>
      <c r="CM59" s="14">
        <f t="shared" si="122"/>
        <v>75</v>
      </c>
      <c r="CN59" s="14">
        <f t="shared" si="123"/>
        <v>70</v>
      </c>
      <c r="CO59" s="14"/>
      <c r="CP59" s="14"/>
      <c r="CQ59" s="14"/>
      <c r="CR59" s="14"/>
      <c r="CS59" s="14">
        <f>SUM(CK$6:CK59)</f>
        <v>3340</v>
      </c>
      <c r="CT59" s="14">
        <f>SUM(CL$6:CL59)</f>
        <v>3340</v>
      </c>
      <c r="CU59" s="14">
        <f>SUM(CM$6:CM59)</f>
        <v>2620</v>
      </c>
      <c r="CV59" s="14">
        <f>SUM(CN$6:CN59)</f>
        <v>1140</v>
      </c>
      <c r="CY59" s="83">
        <v>44</v>
      </c>
      <c r="CZ59" s="14">
        <f>INDEX(节奏总表!$CK$4:CK116,专属武器强化!CY59)</f>
        <v>136</v>
      </c>
      <c r="DA59" s="14">
        <f t="shared" si="124"/>
        <v>3340</v>
      </c>
      <c r="DB59" s="14">
        <f t="shared" si="64"/>
        <v>3340</v>
      </c>
      <c r="DC59" s="14">
        <f t="shared" si="65"/>
        <v>1855</v>
      </c>
      <c r="DD59" s="14">
        <f t="shared" si="66"/>
        <v>506</v>
      </c>
      <c r="DE59" s="83">
        <v>8</v>
      </c>
      <c r="DF59" s="83">
        <v>1</v>
      </c>
      <c r="DG59" s="14">
        <f t="shared" si="131"/>
        <v>0</v>
      </c>
      <c r="DH59" s="14">
        <f t="shared" si="132"/>
        <v>0</v>
      </c>
      <c r="DI59" s="14">
        <f t="shared" si="133"/>
        <v>0</v>
      </c>
      <c r="DJ59" s="14">
        <f t="shared" si="134"/>
        <v>132.756</v>
      </c>
      <c r="DK59" s="83"/>
      <c r="DL59" s="83"/>
      <c r="DM59" s="83"/>
      <c r="DN59" s="83"/>
      <c r="DO59" s="14">
        <f>DA59-SUM(DG$7:DG59)+SUM(DK$7:DK59)</f>
        <v>969.17124999999942</v>
      </c>
      <c r="DP59" s="14">
        <f>DB59-SUM(DH$7:DH59)+SUM(DL$7:DL59)</f>
        <v>1359.2883717105258</v>
      </c>
      <c r="DQ59" s="14">
        <f>DC59-SUM(DI$7:DI59)+SUM(DM$7:DM59)</f>
        <v>519.83641148325341</v>
      </c>
      <c r="DR59" s="14">
        <f>DD59-SUM(DJ$7:DJ59)+SUM(DN$7:DN59)</f>
        <v>174.11</v>
      </c>
      <c r="DU59" s="95">
        <v>54</v>
      </c>
      <c r="DV59" s="14">
        <f t="shared" si="71"/>
        <v>6</v>
      </c>
      <c r="DW59" s="14">
        <f t="shared" si="72"/>
        <v>9</v>
      </c>
      <c r="DX59" s="14">
        <f t="shared" si="137"/>
        <v>0</v>
      </c>
      <c r="DY59" s="14">
        <f t="shared" si="137"/>
        <v>0</v>
      </c>
      <c r="DZ59" s="14">
        <f t="shared" si="137"/>
        <v>1642.7833333333335</v>
      </c>
      <c r="EA59" s="14">
        <f t="shared" si="137"/>
        <v>331.89</v>
      </c>
      <c r="EB59" s="14">
        <f t="shared" si="73"/>
        <v>3</v>
      </c>
      <c r="EC59" s="14">
        <f t="shared" si="74"/>
        <v>4</v>
      </c>
      <c r="EJ59" s="139">
        <v>54</v>
      </c>
      <c r="EK59" s="14">
        <f t="shared" si="76"/>
        <v>6</v>
      </c>
      <c r="EL59" s="19">
        <f t="shared" si="115"/>
        <v>0.89000000000000012</v>
      </c>
      <c r="EM59" s="139">
        <v>3</v>
      </c>
      <c r="EN59" s="139" t="s">
        <v>941</v>
      </c>
      <c r="EO59" s="139">
        <f t="shared" si="77"/>
        <v>9412</v>
      </c>
      <c r="EP59" s="139" t="s">
        <v>850</v>
      </c>
      <c r="EQ59" s="139">
        <f t="shared" si="139"/>
        <v>40</v>
      </c>
      <c r="ER59" s="139" t="s">
        <v>853</v>
      </c>
      <c r="ES59" s="139">
        <v>8</v>
      </c>
      <c r="ET59" s="139">
        <f t="shared" si="125"/>
        <v>0.02</v>
      </c>
      <c r="EU59" s="139">
        <v>1</v>
      </c>
      <c r="EV59" s="139">
        <f t="shared" si="140"/>
        <v>62</v>
      </c>
      <c r="EW59" s="139"/>
      <c r="EX59" s="139">
        <f t="shared" si="138"/>
        <v>41.486249999999998</v>
      </c>
      <c r="EY59" s="206">
        <f t="shared" si="79"/>
        <v>390461.69000000006</v>
      </c>
      <c r="FA59">
        <v>0</v>
      </c>
      <c r="FB59">
        <v>1</v>
      </c>
      <c r="FC59">
        <f t="shared" si="126"/>
        <v>15</v>
      </c>
      <c r="FD59" s="89">
        <f t="shared" si="127"/>
        <v>1.21E-2</v>
      </c>
      <c r="FE59">
        <v>1</v>
      </c>
      <c r="FF59">
        <f t="shared" si="128"/>
        <v>29</v>
      </c>
      <c r="FG59" s="89">
        <f t="shared" si="129"/>
        <v>4.82E-2</v>
      </c>
      <c r="FH59">
        <v>1</v>
      </c>
      <c r="FI59">
        <f t="shared" si="130"/>
        <v>62</v>
      </c>
      <c r="FS59" s="101">
        <v>54</v>
      </c>
      <c r="FT59" s="101">
        <f t="shared" si="80"/>
        <v>48</v>
      </c>
      <c r="FU59" s="101">
        <f t="shared" si="81"/>
        <v>1</v>
      </c>
      <c r="FV59" s="14">
        <f t="shared" si="82"/>
        <v>5</v>
      </c>
      <c r="FW59" s="101" t="str">
        <f t="shared" si="83"/>
        <v>关羽专属武器-魂珠-6 3级</v>
      </c>
      <c r="FX59" s="101">
        <f t="shared" si="84"/>
        <v>6</v>
      </c>
      <c r="FY59" s="101">
        <f t="shared" si="85"/>
        <v>3</v>
      </c>
      <c r="FZ59" s="101" t="str">
        <f t="shared" si="86"/>
        <v>金币</v>
      </c>
      <c r="GA59" s="139">
        <f>IF($FY59&gt;0,IF(INDEX($EM$6:$EM$77,$FT59)&gt;=GA$3,ROUND(INDEX(EO$6:EO$77,$FT59)*INDEX(卡牌消耗!$B$8:$F$8,FV59)/5,0)*5,""),"")</f>
        <v>4845</v>
      </c>
      <c r="GB59" s="101" t="str">
        <f t="shared" si="87"/>
        <v>专属强化石3</v>
      </c>
      <c r="GC59" s="101">
        <f t="shared" si="88"/>
        <v>10</v>
      </c>
      <c r="GD59" s="101" t="str">
        <f t="shared" si="89"/>
        <v>专属强化石4</v>
      </c>
      <c r="GE59" s="101">
        <f t="shared" si="90"/>
        <v>2</v>
      </c>
      <c r="GF59" s="101">
        <f t="shared" si="91"/>
        <v>0.11</v>
      </c>
      <c r="GG59" s="101">
        <f t="shared" si="92"/>
        <v>1</v>
      </c>
      <c r="GH59" s="101">
        <f t="shared" si="93"/>
        <v>14</v>
      </c>
      <c r="GI59" s="101">
        <f t="shared" si="94"/>
        <v>0</v>
      </c>
      <c r="GJ59" s="101">
        <f t="shared" si="95"/>
        <v>1</v>
      </c>
      <c r="GK59" s="101">
        <f t="shared" si="96"/>
        <v>3</v>
      </c>
      <c r="GL59" s="101">
        <f t="shared" si="97"/>
        <v>5.5199999999999999E-2</v>
      </c>
      <c r="GM59" s="101">
        <f t="shared" si="98"/>
        <v>1</v>
      </c>
      <c r="GN59" s="101">
        <f t="shared" si="99"/>
        <v>6</v>
      </c>
      <c r="GO59" s="101">
        <f t="shared" si="100"/>
        <v>0.221</v>
      </c>
      <c r="GP59" s="101">
        <f t="shared" si="101"/>
        <v>1</v>
      </c>
      <c r="GQ59" s="101">
        <f t="shared" si="102"/>
        <v>14</v>
      </c>
    </row>
    <row r="60" spans="85:199" ht="16.5" x14ac:dyDescent="0.2">
      <c r="CG60" s="81">
        <v>55</v>
      </c>
      <c r="CH60" s="174">
        <f>INDEX(节奏总表!$CK$4:$CK$63,专属武器强化!CG60)</f>
        <v>145</v>
      </c>
      <c r="CI60" s="81"/>
      <c r="CJ60" s="81">
        <f t="shared" si="119"/>
        <v>9</v>
      </c>
      <c r="CK60" s="14">
        <f t="shared" si="120"/>
        <v>0</v>
      </c>
      <c r="CL60" s="14">
        <f t="shared" si="121"/>
        <v>0</v>
      </c>
      <c r="CM60" s="14">
        <f t="shared" si="122"/>
        <v>75</v>
      </c>
      <c r="CN60" s="14">
        <f t="shared" si="123"/>
        <v>70</v>
      </c>
      <c r="CO60" s="14"/>
      <c r="CP60" s="14"/>
      <c r="CQ60" s="14"/>
      <c r="CR60" s="14"/>
      <c r="CS60" s="14">
        <f>SUM(CK$6:CK60)</f>
        <v>3340</v>
      </c>
      <c r="CT60" s="14">
        <f>SUM(CL$6:CL60)</f>
        <v>3340</v>
      </c>
      <c r="CU60" s="14">
        <f>SUM(CM$6:CM60)</f>
        <v>2695</v>
      </c>
      <c r="CV60" s="14">
        <f>SUM(CN$6:CN60)</f>
        <v>1210</v>
      </c>
      <c r="CY60" s="83">
        <v>44</v>
      </c>
      <c r="CZ60" s="14">
        <f>INDEX(节奏总表!$CK$4:CK117,专属武器强化!CY60)</f>
        <v>136</v>
      </c>
      <c r="DA60" s="14">
        <f t="shared" si="124"/>
        <v>3340</v>
      </c>
      <c r="DB60" s="14">
        <f t="shared" si="64"/>
        <v>3340</v>
      </c>
      <c r="DC60" s="14">
        <f t="shared" si="65"/>
        <v>1855</v>
      </c>
      <c r="DD60" s="14">
        <f t="shared" si="66"/>
        <v>506</v>
      </c>
      <c r="DE60" s="83">
        <v>7</v>
      </c>
      <c r="DF60" s="83">
        <v>3</v>
      </c>
      <c r="DG60" s="14">
        <f t="shared" si="131"/>
        <v>0</v>
      </c>
      <c r="DH60" s="14">
        <f t="shared" si="132"/>
        <v>0</v>
      </c>
      <c r="DI60" s="14">
        <f t="shared" si="133"/>
        <v>268.8190909090909</v>
      </c>
      <c r="DJ60" s="14">
        <f t="shared" si="134"/>
        <v>90.515454545454546</v>
      </c>
      <c r="DK60" s="83"/>
      <c r="DL60" s="83"/>
      <c r="DM60" s="83"/>
      <c r="DN60" s="83"/>
      <c r="DO60" s="14">
        <f>DA60-SUM(DG$7:DG60)+SUM(DK$7:DK60)</f>
        <v>969.17124999999942</v>
      </c>
      <c r="DP60" s="14">
        <f>DB60-SUM(DH$7:DH60)+SUM(DL$7:DL60)</f>
        <v>1359.2883717105258</v>
      </c>
      <c r="DQ60" s="14">
        <f>DC60-SUM(DI$7:DI60)+SUM(DM$7:DM60)</f>
        <v>251.01732057416257</v>
      </c>
      <c r="DR60" s="14">
        <f>DD60-SUM(DJ$7:DJ60)+SUM(DN$7:DN60)</f>
        <v>83.594545454545482</v>
      </c>
      <c r="DU60" s="95">
        <v>55</v>
      </c>
      <c r="DV60" s="14">
        <f t="shared" si="71"/>
        <v>7</v>
      </c>
      <c r="DW60" s="14">
        <f t="shared" si="72"/>
        <v>1</v>
      </c>
      <c r="DX60" s="14">
        <f t="shared" si="137"/>
        <v>0</v>
      </c>
      <c r="DY60" s="14">
        <f t="shared" si="137"/>
        <v>0</v>
      </c>
      <c r="DZ60" s="14">
        <f t="shared" si="137"/>
        <v>29.868787878787881</v>
      </c>
      <c r="EA60" s="14">
        <f t="shared" si="137"/>
        <v>10.057272727272727</v>
      </c>
      <c r="EB60" s="14">
        <f t="shared" si="73"/>
        <v>3</v>
      </c>
      <c r="EC60" s="14">
        <f t="shared" si="74"/>
        <v>4</v>
      </c>
      <c r="EJ60" s="139">
        <v>55</v>
      </c>
      <c r="EK60" s="14">
        <f t="shared" si="76"/>
        <v>7</v>
      </c>
      <c r="EL60" s="19">
        <v>0.02</v>
      </c>
      <c r="EM60" s="139">
        <v>3</v>
      </c>
      <c r="EN60" s="139" t="s">
        <v>941</v>
      </c>
      <c r="EO60" s="139">
        <f t="shared" si="77"/>
        <v>5077</v>
      </c>
      <c r="EP60" s="139" t="s">
        <v>850</v>
      </c>
      <c r="EQ60" s="139">
        <f t="shared" si="139"/>
        <v>6</v>
      </c>
      <c r="ER60" s="139" t="s">
        <v>853</v>
      </c>
      <c r="ES60" s="139">
        <v>2</v>
      </c>
      <c r="ET60" s="139">
        <f t="shared" si="125"/>
        <v>0.2</v>
      </c>
      <c r="EU60" s="139">
        <v>1</v>
      </c>
      <c r="EV60" s="139">
        <f t="shared" si="140"/>
        <v>8</v>
      </c>
      <c r="EW60" s="139"/>
      <c r="EX60" s="139">
        <f t="shared" si="138"/>
        <v>5.0286363636363633</v>
      </c>
      <c r="EY60" s="206">
        <f t="shared" si="79"/>
        <v>25530.14</v>
      </c>
      <c r="FA60">
        <v>0</v>
      </c>
      <c r="FB60">
        <v>1</v>
      </c>
      <c r="FC60">
        <f t="shared" si="126"/>
        <v>2</v>
      </c>
      <c r="FD60" s="89">
        <f t="shared" si="127"/>
        <v>9.9400000000000002E-2</v>
      </c>
      <c r="FE60">
        <v>1</v>
      </c>
      <c r="FF60">
        <f t="shared" si="128"/>
        <v>4</v>
      </c>
      <c r="FG60" s="89">
        <f t="shared" si="129"/>
        <v>0.3977</v>
      </c>
      <c r="FH60">
        <v>1</v>
      </c>
      <c r="FI60">
        <f t="shared" si="130"/>
        <v>8</v>
      </c>
      <c r="FS60" s="101">
        <v>55</v>
      </c>
      <c r="FT60" s="101">
        <f t="shared" si="80"/>
        <v>49</v>
      </c>
      <c r="FU60" s="101">
        <f t="shared" si="81"/>
        <v>1</v>
      </c>
      <c r="FV60" s="14">
        <f t="shared" si="82"/>
        <v>5</v>
      </c>
      <c r="FW60" s="101" t="str">
        <f t="shared" si="83"/>
        <v>关羽专属武器-魂珠-6 4级</v>
      </c>
      <c r="FX60" s="101">
        <f t="shared" si="84"/>
        <v>6</v>
      </c>
      <c r="FY60" s="101">
        <f t="shared" si="85"/>
        <v>4</v>
      </c>
      <c r="FZ60" s="101" t="str">
        <f t="shared" si="86"/>
        <v>金币</v>
      </c>
      <c r="GA60" s="139">
        <f>IF($FY60&gt;0,IF(INDEX($EM$6:$EM$77,$FT60)&gt;=GA$3,ROUND(INDEX(EO$6:EO$77,$FT60)*INDEX(卡牌消耗!$B$8:$F$8,FV60)/5,0)*5,""),"")</f>
        <v>6980</v>
      </c>
      <c r="GB60" s="101" t="str">
        <f t="shared" si="87"/>
        <v>专属强化石3</v>
      </c>
      <c r="GC60" s="101">
        <f t="shared" si="88"/>
        <v>15</v>
      </c>
      <c r="GD60" s="101" t="str">
        <f t="shared" si="89"/>
        <v>专属强化石4</v>
      </c>
      <c r="GE60" s="101">
        <f t="shared" si="90"/>
        <v>3</v>
      </c>
      <c r="GF60" s="101">
        <f t="shared" si="91"/>
        <v>0.1</v>
      </c>
      <c r="GG60" s="101">
        <f t="shared" si="92"/>
        <v>1</v>
      </c>
      <c r="GH60" s="101">
        <f t="shared" si="93"/>
        <v>15</v>
      </c>
      <c r="GI60" s="101">
        <f t="shared" si="94"/>
        <v>0</v>
      </c>
      <c r="GJ60" s="101">
        <f t="shared" si="95"/>
        <v>1</v>
      </c>
      <c r="GK60" s="101">
        <f t="shared" si="96"/>
        <v>4</v>
      </c>
      <c r="GL60" s="101">
        <f t="shared" si="97"/>
        <v>4.9700000000000001E-2</v>
      </c>
      <c r="GM60" s="101">
        <f t="shared" si="98"/>
        <v>1</v>
      </c>
      <c r="GN60" s="101">
        <f t="shared" si="99"/>
        <v>7</v>
      </c>
      <c r="GO60" s="101">
        <f t="shared" si="100"/>
        <v>0.19889999999999999</v>
      </c>
      <c r="GP60" s="101">
        <f t="shared" si="101"/>
        <v>1</v>
      </c>
      <c r="GQ60" s="101">
        <f t="shared" si="102"/>
        <v>15</v>
      </c>
    </row>
    <row r="61" spans="85:199" ht="16.5" x14ac:dyDescent="0.2">
      <c r="CG61" s="81">
        <v>56</v>
      </c>
      <c r="CH61" s="174">
        <f>INDEX(节奏总表!$CK$4:$CK$63,专属武器强化!CG61)</f>
        <v>146</v>
      </c>
      <c r="CI61" s="81"/>
      <c r="CJ61" s="81">
        <f t="shared" si="119"/>
        <v>9</v>
      </c>
      <c r="CK61" s="14">
        <f t="shared" si="120"/>
        <v>0</v>
      </c>
      <c r="CL61" s="14">
        <f t="shared" si="121"/>
        <v>0</v>
      </c>
      <c r="CM61" s="14">
        <f t="shared" si="122"/>
        <v>75</v>
      </c>
      <c r="CN61" s="14">
        <f t="shared" si="123"/>
        <v>70</v>
      </c>
      <c r="CO61" s="14"/>
      <c r="CP61" s="14"/>
      <c r="CQ61" s="14"/>
      <c r="CR61" s="14"/>
      <c r="CS61" s="14">
        <f>SUM(CK$6:CK61)</f>
        <v>3340</v>
      </c>
      <c r="CT61" s="14">
        <f>SUM(CL$6:CL61)</f>
        <v>3340</v>
      </c>
      <c r="CU61" s="14">
        <f>SUM(CM$6:CM61)</f>
        <v>2770</v>
      </c>
      <c r="CV61" s="14">
        <f>SUM(CN$6:CN61)</f>
        <v>1280</v>
      </c>
      <c r="CY61" s="83">
        <v>45</v>
      </c>
      <c r="CZ61" s="14">
        <f>INDEX(节奏总表!$CK$4:CK118,专属武器强化!CY61)</f>
        <v>137</v>
      </c>
      <c r="DA61" s="14">
        <f t="shared" si="124"/>
        <v>3340</v>
      </c>
      <c r="DB61" s="14">
        <f t="shared" si="64"/>
        <v>3340</v>
      </c>
      <c r="DC61" s="14">
        <f t="shared" si="65"/>
        <v>1935</v>
      </c>
      <c r="DD61" s="14">
        <f t="shared" si="66"/>
        <v>554</v>
      </c>
      <c r="DE61" s="83">
        <v>0</v>
      </c>
      <c r="DF61" s="83">
        <v>0</v>
      </c>
      <c r="DG61" s="14">
        <f t="shared" si="131"/>
        <v>0</v>
      </c>
      <c r="DH61" s="14">
        <f t="shared" si="132"/>
        <v>0</v>
      </c>
      <c r="DI61" s="14">
        <f t="shared" si="133"/>
        <v>0</v>
      </c>
      <c r="DJ61" s="14">
        <f t="shared" si="134"/>
        <v>0</v>
      </c>
      <c r="DK61" s="83"/>
      <c r="DL61" s="83"/>
      <c r="DM61" s="83"/>
      <c r="DN61" s="83"/>
      <c r="DO61" s="14">
        <f>DA61-SUM(DG$7:DG61)+SUM(DK$7:DK61)</f>
        <v>969.17124999999942</v>
      </c>
      <c r="DP61" s="14">
        <f>DB61-SUM(DH$7:DH61)+SUM(DL$7:DL61)</f>
        <v>1359.2883717105258</v>
      </c>
      <c r="DQ61" s="14">
        <f>DC61-SUM(DI$7:DI61)+SUM(DM$7:DM61)</f>
        <v>331.01732057416257</v>
      </c>
      <c r="DR61" s="14">
        <f>DD61-SUM(DJ$7:DJ61)+SUM(DN$7:DN61)</f>
        <v>131.59454545454548</v>
      </c>
      <c r="DU61" s="95">
        <v>56</v>
      </c>
      <c r="DV61" s="14">
        <f t="shared" si="71"/>
        <v>7</v>
      </c>
      <c r="DW61" s="14">
        <f t="shared" si="72"/>
        <v>2</v>
      </c>
      <c r="DX61" s="14">
        <f t="shared" si="137"/>
        <v>0</v>
      </c>
      <c r="DY61" s="14">
        <f t="shared" si="137"/>
        <v>0</v>
      </c>
      <c r="DZ61" s="14">
        <f t="shared" si="137"/>
        <v>59.737575757575762</v>
      </c>
      <c r="EA61" s="14">
        <f t="shared" si="137"/>
        <v>20.114545454545453</v>
      </c>
      <c r="EB61" s="14">
        <f t="shared" si="73"/>
        <v>3</v>
      </c>
      <c r="EC61" s="14">
        <f t="shared" si="74"/>
        <v>4</v>
      </c>
      <c r="EJ61" s="139">
        <v>56</v>
      </c>
      <c r="EK61" s="14">
        <f t="shared" si="76"/>
        <v>7</v>
      </c>
      <c r="EL61" s="19">
        <v>0.03</v>
      </c>
      <c r="EM61" s="139">
        <v>3</v>
      </c>
      <c r="EN61" s="139" t="s">
        <v>941</v>
      </c>
      <c r="EO61" s="139">
        <f t="shared" si="77"/>
        <v>3808</v>
      </c>
      <c r="EP61" s="139" t="s">
        <v>850</v>
      </c>
      <c r="EQ61" s="139">
        <f t="shared" si="139"/>
        <v>6</v>
      </c>
      <c r="ER61" s="139" t="s">
        <v>853</v>
      </c>
      <c r="ES61" s="139">
        <v>2</v>
      </c>
      <c r="ET61" s="139">
        <f t="shared" si="125"/>
        <v>0.1</v>
      </c>
      <c r="EU61" s="139">
        <v>1</v>
      </c>
      <c r="EV61" s="139">
        <f t="shared" si="140"/>
        <v>15</v>
      </c>
      <c r="EW61" s="139"/>
      <c r="EX61" s="139">
        <f t="shared" si="138"/>
        <v>10.057272727272727</v>
      </c>
      <c r="EY61" s="206">
        <f t="shared" si="79"/>
        <v>38295.21</v>
      </c>
      <c r="FA61">
        <v>0</v>
      </c>
      <c r="FB61">
        <v>1</v>
      </c>
      <c r="FC61">
        <f t="shared" si="126"/>
        <v>4</v>
      </c>
      <c r="FD61" s="89">
        <f t="shared" si="127"/>
        <v>4.9700000000000001E-2</v>
      </c>
      <c r="FE61">
        <v>1</v>
      </c>
      <c r="FF61">
        <f t="shared" si="128"/>
        <v>7</v>
      </c>
      <c r="FG61" s="89">
        <f t="shared" si="129"/>
        <v>0.19889999999999999</v>
      </c>
      <c r="FH61">
        <v>1</v>
      </c>
      <c r="FI61">
        <f t="shared" si="130"/>
        <v>15</v>
      </c>
      <c r="FS61" s="101">
        <v>56</v>
      </c>
      <c r="FT61" s="101">
        <f t="shared" si="80"/>
        <v>50</v>
      </c>
      <c r="FU61" s="101">
        <f t="shared" si="81"/>
        <v>1</v>
      </c>
      <c r="FV61" s="14">
        <f t="shared" si="82"/>
        <v>5</v>
      </c>
      <c r="FW61" s="101" t="str">
        <f t="shared" si="83"/>
        <v>关羽专属武器-魂珠-6 5级</v>
      </c>
      <c r="FX61" s="101">
        <f t="shared" si="84"/>
        <v>6</v>
      </c>
      <c r="FY61" s="101">
        <f t="shared" si="85"/>
        <v>5</v>
      </c>
      <c r="FZ61" s="101" t="str">
        <f t="shared" si="86"/>
        <v>金币</v>
      </c>
      <c r="GA61" s="139">
        <f>IF($FY61&gt;0,IF(INDEX($EM$6:$EM$77,$FT61)&gt;=GA$3,ROUND(INDEX(EO$6:EO$77,$FT61)*INDEX(卡牌消耗!$B$8:$F$8,FV61)/5,0)*5,""),"")</f>
        <v>7090</v>
      </c>
      <c r="GB61" s="101" t="str">
        <f t="shared" si="87"/>
        <v>专属强化石3</v>
      </c>
      <c r="GC61" s="101">
        <f t="shared" si="88"/>
        <v>15</v>
      </c>
      <c r="GD61" s="101" t="str">
        <f t="shared" si="89"/>
        <v>专属强化石4</v>
      </c>
      <c r="GE61" s="101">
        <f t="shared" si="90"/>
        <v>3</v>
      </c>
      <c r="GF61" s="101">
        <f t="shared" si="91"/>
        <v>0.06</v>
      </c>
      <c r="GG61" s="101">
        <f t="shared" si="92"/>
        <v>1</v>
      </c>
      <c r="GH61" s="101">
        <f t="shared" si="93"/>
        <v>24</v>
      </c>
      <c r="GI61" s="101">
        <f t="shared" si="94"/>
        <v>0</v>
      </c>
      <c r="GJ61" s="101">
        <f t="shared" si="95"/>
        <v>1</v>
      </c>
      <c r="GK61" s="101">
        <f t="shared" si="96"/>
        <v>6</v>
      </c>
      <c r="GL61" s="101">
        <f t="shared" si="97"/>
        <v>3.1099999999999999E-2</v>
      </c>
      <c r="GM61" s="101">
        <f t="shared" si="98"/>
        <v>1</v>
      </c>
      <c r="GN61" s="101">
        <f t="shared" si="99"/>
        <v>11</v>
      </c>
      <c r="GO61" s="101">
        <f t="shared" si="100"/>
        <v>0.12429999999999999</v>
      </c>
      <c r="GP61" s="101">
        <f t="shared" si="101"/>
        <v>1</v>
      </c>
      <c r="GQ61" s="101">
        <f t="shared" si="102"/>
        <v>24</v>
      </c>
    </row>
    <row r="62" spans="85:199" ht="16.5" x14ac:dyDescent="0.2">
      <c r="CG62" s="81">
        <v>57</v>
      </c>
      <c r="CH62" s="174">
        <f>INDEX(节奏总表!$CK$4:$CK$63,专属武器强化!CG62)</f>
        <v>147</v>
      </c>
      <c r="CI62" s="81"/>
      <c r="CJ62" s="81">
        <f t="shared" si="119"/>
        <v>9</v>
      </c>
      <c r="CK62" s="14">
        <f t="shared" si="120"/>
        <v>0</v>
      </c>
      <c r="CL62" s="14">
        <f t="shared" si="121"/>
        <v>0</v>
      </c>
      <c r="CM62" s="14">
        <f t="shared" si="122"/>
        <v>75</v>
      </c>
      <c r="CN62" s="14">
        <f t="shared" si="123"/>
        <v>70</v>
      </c>
      <c r="CO62" s="14"/>
      <c r="CP62" s="14"/>
      <c r="CQ62" s="14"/>
      <c r="CR62" s="14"/>
      <c r="CS62" s="14">
        <f>SUM(CK$6:CK62)</f>
        <v>3340</v>
      </c>
      <c r="CT62" s="14">
        <f>SUM(CL$6:CL62)</f>
        <v>3340</v>
      </c>
      <c r="CU62" s="14">
        <f>SUM(CM$6:CM62)</f>
        <v>2845</v>
      </c>
      <c r="CV62" s="14">
        <f>SUM(CN$6:CN62)</f>
        <v>1350</v>
      </c>
      <c r="CY62" s="83">
        <v>46</v>
      </c>
      <c r="CZ62" s="14">
        <f>INDEX(节奏总表!$CK$4:CK119,专属武器强化!CY62)</f>
        <v>138</v>
      </c>
      <c r="DA62" s="14">
        <f t="shared" si="124"/>
        <v>3340</v>
      </c>
      <c r="DB62" s="14">
        <f t="shared" si="64"/>
        <v>3340</v>
      </c>
      <c r="DC62" s="14">
        <f t="shared" si="65"/>
        <v>2015</v>
      </c>
      <c r="DD62" s="14">
        <f t="shared" si="66"/>
        <v>602</v>
      </c>
      <c r="DE62" s="83">
        <v>0</v>
      </c>
      <c r="DF62" s="83">
        <v>0</v>
      </c>
      <c r="DG62" s="14">
        <f t="shared" si="131"/>
        <v>0</v>
      </c>
      <c r="DH62" s="14">
        <f t="shared" si="132"/>
        <v>0</v>
      </c>
      <c r="DI62" s="14">
        <f t="shared" si="133"/>
        <v>0</v>
      </c>
      <c r="DJ62" s="14">
        <f t="shared" si="134"/>
        <v>0</v>
      </c>
      <c r="DK62" s="83"/>
      <c r="DL62" s="83"/>
      <c r="DM62" s="83"/>
      <c r="DN62" s="83"/>
      <c r="DO62" s="14">
        <f>DA62-SUM(DG$7:DG62)+SUM(DK$7:DK62)</f>
        <v>969.17124999999942</v>
      </c>
      <c r="DP62" s="14">
        <f>DB62-SUM(DH$7:DH62)+SUM(DL$7:DL62)</f>
        <v>1359.2883717105258</v>
      </c>
      <c r="DQ62" s="14">
        <f>DC62-SUM(DI$7:DI62)+SUM(DM$7:DM62)</f>
        <v>411.01732057416257</v>
      </c>
      <c r="DR62" s="14">
        <f>DD62-SUM(DJ$7:DJ62)+SUM(DN$7:DN62)</f>
        <v>179.59454545454548</v>
      </c>
      <c r="DU62" s="95">
        <v>57</v>
      </c>
      <c r="DV62" s="14">
        <f t="shared" si="71"/>
        <v>7</v>
      </c>
      <c r="DW62" s="14">
        <f t="shared" si="72"/>
        <v>3</v>
      </c>
      <c r="DX62" s="14">
        <f t="shared" si="137"/>
        <v>0</v>
      </c>
      <c r="DY62" s="14">
        <f t="shared" si="137"/>
        <v>0</v>
      </c>
      <c r="DZ62" s="14">
        <f t="shared" si="137"/>
        <v>89.606363636363639</v>
      </c>
      <c r="EA62" s="14">
        <f t="shared" si="137"/>
        <v>30.171818181818182</v>
      </c>
      <c r="EB62" s="14">
        <f t="shared" si="73"/>
        <v>3</v>
      </c>
      <c r="EC62" s="14">
        <f t="shared" si="74"/>
        <v>4</v>
      </c>
      <c r="EJ62" s="139">
        <v>57</v>
      </c>
      <c r="EK62" s="14">
        <f t="shared" si="76"/>
        <v>7</v>
      </c>
      <c r="EL62" s="19">
        <f t="shared" ref="EL62" si="142">EL60+EL61</f>
        <v>0.05</v>
      </c>
      <c r="EM62" s="139">
        <v>3</v>
      </c>
      <c r="EN62" s="139" t="s">
        <v>941</v>
      </c>
      <c r="EO62" s="139">
        <f t="shared" si="77"/>
        <v>6346</v>
      </c>
      <c r="EP62" s="139" t="s">
        <v>850</v>
      </c>
      <c r="EQ62" s="139">
        <f t="shared" si="139"/>
        <v>9</v>
      </c>
      <c r="ER62" s="139" t="s">
        <v>853</v>
      </c>
      <c r="ES62" s="139">
        <v>3</v>
      </c>
      <c r="ET62" s="139">
        <f t="shared" si="125"/>
        <v>0.1</v>
      </c>
      <c r="EU62" s="139">
        <v>1</v>
      </c>
      <c r="EV62" s="139">
        <f t="shared" si="140"/>
        <v>15</v>
      </c>
      <c r="EW62" s="139"/>
      <c r="EX62" s="139">
        <f t="shared" si="138"/>
        <v>10.057272727272727</v>
      </c>
      <c r="EY62" s="206">
        <f t="shared" si="79"/>
        <v>63825.350000000006</v>
      </c>
      <c r="FA62">
        <v>0</v>
      </c>
      <c r="FB62">
        <v>1</v>
      </c>
      <c r="FC62">
        <f t="shared" si="126"/>
        <v>4</v>
      </c>
      <c r="FD62" s="89">
        <f t="shared" si="127"/>
        <v>4.9700000000000001E-2</v>
      </c>
      <c r="FE62">
        <v>1</v>
      </c>
      <c r="FF62">
        <f t="shared" si="128"/>
        <v>7</v>
      </c>
      <c r="FG62" s="89">
        <f t="shared" si="129"/>
        <v>0.19889999999999999</v>
      </c>
      <c r="FH62">
        <v>1</v>
      </c>
      <c r="FI62">
        <f t="shared" si="130"/>
        <v>15</v>
      </c>
      <c r="FS62" s="101">
        <v>57</v>
      </c>
      <c r="FT62" s="101">
        <f t="shared" si="80"/>
        <v>51</v>
      </c>
      <c r="FU62" s="101">
        <f t="shared" si="81"/>
        <v>1</v>
      </c>
      <c r="FV62" s="14">
        <f t="shared" si="82"/>
        <v>5</v>
      </c>
      <c r="FW62" s="101" t="str">
        <f t="shared" si="83"/>
        <v>关羽专属武器-魂珠-6 6级</v>
      </c>
      <c r="FX62" s="101">
        <f t="shared" si="84"/>
        <v>6</v>
      </c>
      <c r="FY62" s="101">
        <f t="shared" si="85"/>
        <v>6</v>
      </c>
      <c r="FZ62" s="101" t="str">
        <f t="shared" si="86"/>
        <v>金币</v>
      </c>
      <c r="GA62" s="139">
        <f>IF($FY62&gt;0,IF(INDEX($EM$6:$EM$77,$FT62)&gt;=GA$3,ROUND(INDEX(EO$6:EO$77,$FT62)*INDEX(卡牌消耗!$B$8:$F$8,FV62)/5,0)*5,""),"")</f>
        <v>9395</v>
      </c>
      <c r="GB62" s="101" t="str">
        <f t="shared" si="87"/>
        <v>专属强化石3</v>
      </c>
      <c r="GC62" s="101">
        <f t="shared" si="88"/>
        <v>20</v>
      </c>
      <c r="GD62" s="101" t="str">
        <f t="shared" si="89"/>
        <v>专属强化石4</v>
      </c>
      <c r="GE62" s="101">
        <f t="shared" si="90"/>
        <v>4</v>
      </c>
      <c r="GF62" s="101">
        <f t="shared" si="91"/>
        <v>0.05</v>
      </c>
      <c r="GG62" s="101">
        <f t="shared" si="92"/>
        <v>1</v>
      </c>
      <c r="GH62" s="101">
        <f t="shared" si="93"/>
        <v>29</v>
      </c>
      <c r="GI62" s="101">
        <f t="shared" si="94"/>
        <v>0</v>
      </c>
      <c r="GJ62" s="101">
        <f t="shared" si="95"/>
        <v>1</v>
      </c>
      <c r="GK62" s="101">
        <f t="shared" si="96"/>
        <v>7</v>
      </c>
      <c r="GL62" s="101">
        <f t="shared" si="97"/>
        <v>2.5499999999999998E-2</v>
      </c>
      <c r="GM62" s="101">
        <f t="shared" si="98"/>
        <v>1</v>
      </c>
      <c r="GN62" s="101">
        <f t="shared" si="99"/>
        <v>14</v>
      </c>
      <c r="GO62" s="101">
        <f t="shared" si="100"/>
        <v>0.10199999999999999</v>
      </c>
      <c r="GP62" s="101">
        <f t="shared" si="101"/>
        <v>1</v>
      </c>
      <c r="GQ62" s="101">
        <f t="shared" si="102"/>
        <v>29</v>
      </c>
    </row>
    <row r="63" spans="85:199" ht="16.5" x14ac:dyDescent="0.2">
      <c r="CG63" s="81">
        <v>58</v>
      </c>
      <c r="CH63" s="174">
        <f>INDEX(节奏总表!$CK$4:$CK$63,专属武器强化!CG63)</f>
        <v>147</v>
      </c>
      <c r="CI63" s="81"/>
      <c r="CJ63" s="81">
        <f t="shared" si="119"/>
        <v>9</v>
      </c>
      <c r="CK63" s="14">
        <f t="shared" si="120"/>
        <v>0</v>
      </c>
      <c r="CL63" s="14">
        <f t="shared" si="121"/>
        <v>0</v>
      </c>
      <c r="CM63" s="14">
        <f t="shared" si="122"/>
        <v>75</v>
      </c>
      <c r="CN63" s="14">
        <f t="shared" si="123"/>
        <v>70</v>
      </c>
      <c r="CO63" s="14"/>
      <c r="CP63" s="14"/>
      <c r="CQ63" s="14"/>
      <c r="CR63" s="14"/>
      <c r="CS63" s="14">
        <f>SUM(CK$6:CK63)</f>
        <v>3340</v>
      </c>
      <c r="CT63" s="14">
        <f>SUM(CL$6:CL63)</f>
        <v>3340</v>
      </c>
      <c r="CU63" s="14">
        <f>SUM(CM$6:CM63)</f>
        <v>2920</v>
      </c>
      <c r="CV63" s="14">
        <f>SUM(CN$6:CN63)</f>
        <v>1420</v>
      </c>
      <c r="CY63" s="83">
        <v>47</v>
      </c>
      <c r="CZ63" s="14">
        <f>INDEX(节奏总表!$CK$4:CK120,专属武器强化!CY63)</f>
        <v>139</v>
      </c>
      <c r="DA63" s="14">
        <f t="shared" si="124"/>
        <v>3340</v>
      </c>
      <c r="DB63" s="14">
        <f t="shared" si="64"/>
        <v>3340</v>
      </c>
      <c r="DC63" s="14">
        <f t="shared" si="65"/>
        <v>2095</v>
      </c>
      <c r="DD63" s="14">
        <f t="shared" si="66"/>
        <v>650</v>
      </c>
      <c r="DE63" s="83">
        <v>0</v>
      </c>
      <c r="DF63" s="83">
        <v>0</v>
      </c>
      <c r="DG63" s="14">
        <f t="shared" si="131"/>
        <v>0</v>
      </c>
      <c r="DH63" s="14">
        <f t="shared" si="132"/>
        <v>0</v>
      </c>
      <c r="DI63" s="14">
        <f t="shared" si="133"/>
        <v>0</v>
      </c>
      <c r="DJ63" s="14">
        <f t="shared" si="134"/>
        <v>0</v>
      </c>
      <c r="DK63" s="83"/>
      <c r="DL63" s="83"/>
      <c r="DM63" s="83"/>
      <c r="DN63" s="83"/>
      <c r="DO63" s="14">
        <f>DA63-SUM(DG$7:DG63)+SUM(DK$7:DK63)</f>
        <v>969.17124999999942</v>
      </c>
      <c r="DP63" s="14">
        <f>DB63-SUM(DH$7:DH63)+SUM(DL$7:DL63)</f>
        <v>1359.2883717105258</v>
      </c>
      <c r="DQ63" s="14">
        <f>DC63-SUM(DI$7:DI63)+SUM(DM$7:DM63)</f>
        <v>491.01732057416257</v>
      </c>
      <c r="DR63" s="14">
        <f>DD63-SUM(DJ$7:DJ63)+SUM(DN$7:DN63)</f>
        <v>227.59454545454548</v>
      </c>
      <c r="DU63" s="95">
        <v>58</v>
      </c>
      <c r="DV63" s="14">
        <f t="shared" si="71"/>
        <v>7</v>
      </c>
      <c r="DW63" s="14">
        <f t="shared" si="72"/>
        <v>4</v>
      </c>
      <c r="DX63" s="14">
        <f t="shared" si="137"/>
        <v>0</v>
      </c>
      <c r="DY63" s="14">
        <f t="shared" si="137"/>
        <v>0</v>
      </c>
      <c r="DZ63" s="14">
        <f t="shared" si="137"/>
        <v>149.34393939393939</v>
      </c>
      <c r="EA63" s="14">
        <f t="shared" si="137"/>
        <v>50.286363636363632</v>
      </c>
      <c r="EB63" s="14">
        <f t="shared" si="73"/>
        <v>3</v>
      </c>
      <c r="EC63" s="14">
        <f t="shared" si="74"/>
        <v>4</v>
      </c>
      <c r="EJ63" s="139">
        <v>58</v>
      </c>
      <c r="EK63" s="14">
        <f t="shared" si="76"/>
        <v>7</v>
      </c>
      <c r="EL63" s="19">
        <f t="shared" si="115"/>
        <v>0.08</v>
      </c>
      <c r="EM63" s="139">
        <v>3</v>
      </c>
      <c r="EN63" s="139" t="s">
        <v>941</v>
      </c>
      <c r="EO63" s="139">
        <f t="shared" si="77"/>
        <v>8123</v>
      </c>
      <c r="EP63" s="139" t="s">
        <v>850</v>
      </c>
      <c r="EQ63" s="139">
        <f t="shared" si="139"/>
        <v>12</v>
      </c>
      <c r="ER63" s="139" t="s">
        <v>853</v>
      </c>
      <c r="ES63" s="139">
        <v>4</v>
      </c>
      <c r="ET63" s="139">
        <f t="shared" si="125"/>
        <v>0.08</v>
      </c>
      <c r="EU63" s="139">
        <v>1</v>
      </c>
      <c r="EV63" s="139">
        <f t="shared" si="140"/>
        <v>19</v>
      </c>
      <c r="EW63" s="139"/>
      <c r="EX63" s="139">
        <f t="shared" si="138"/>
        <v>12.571590909090908</v>
      </c>
      <c r="EY63" s="206">
        <f t="shared" si="79"/>
        <v>102120.56</v>
      </c>
      <c r="FA63">
        <v>0</v>
      </c>
      <c r="FB63">
        <v>1</v>
      </c>
      <c r="FC63">
        <f t="shared" si="126"/>
        <v>4</v>
      </c>
      <c r="FD63" s="89">
        <f t="shared" si="127"/>
        <v>3.9800000000000002E-2</v>
      </c>
      <c r="FE63">
        <v>1</v>
      </c>
      <c r="FF63">
        <f t="shared" si="128"/>
        <v>9</v>
      </c>
      <c r="FG63" s="89">
        <f t="shared" si="129"/>
        <v>0.15909999999999999</v>
      </c>
      <c r="FH63">
        <v>1</v>
      </c>
      <c r="FI63">
        <f t="shared" si="130"/>
        <v>19</v>
      </c>
      <c r="FS63" s="101">
        <v>58</v>
      </c>
      <c r="FT63" s="101">
        <f t="shared" si="80"/>
        <v>52</v>
      </c>
      <c r="FU63" s="101">
        <f t="shared" si="81"/>
        <v>1</v>
      </c>
      <c r="FV63" s="14">
        <f t="shared" si="82"/>
        <v>5</v>
      </c>
      <c r="FW63" s="101" t="str">
        <f t="shared" si="83"/>
        <v>关羽专属武器-魂珠-6 7级</v>
      </c>
      <c r="FX63" s="101">
        <f t="shared" si="84"/>
        <v>6</v>
      </c>
      <c r="FY63" s="101">
        <f t="shared" si="85"/>
        <v>7</v>
      </c>
      <c r="FZ63" s="101" t="str">
        <f t="shared" si="86"/>
        <v>金币</v>
      </c>
      <c r="GA63" s="139">
        <f>IF($FY63&gt;0,IF(INDEX($EM$6:$EM$77,$FT63)&gt;=GA$3,ROUND(INDEX(EO$6:EO$77,$FT63)*INDEX(卡牌消耗!$B$8:$F$8,FV63)/5,0)*5,""),"")</f>
        <v>11770</v>
      </c>
      <c r="GB63" s="101" t="str">
        <f t="shared" si="87"/>
        <v>专属强化石3</v>
      </c>
      <c r="GC63" s="101">
        <f t="shared" si="88"/>
        <v>25</v>
      </c>
      <c r="GD63" s="101" t="str">
        <f t="shared" si="89"/>
        <v>专属强化石4</v>
      </c>
      <c r="GE63" s="101">
        <f t="shared" si="90"/>
        <v>5</v>
      </c>
      <c r="GF63" s="101">
        <f t="shared" si="91"/>
        <v>0.04</v>
      </c>
      <c r="GG63" s="101">
        <f t="shared" si="92"/>
        <v>1</v>
      </c>
      <c r="GH63" s="101">
        <f t="shared" si="93"/>
        <v>38</v>
      </c>
      <c r="GI63" s="101">
        <f t="shared" si="94"/>
        <v>0</v>
      </c>
      <c r="GJ63" s="101">
        <f t="shared" si="95"/>
        <v>1</v>
      </c>
      <c r="GK63" s="101">
        <f t="shared" si="96"/>
        <v>9</v>
      </c>
      <c r="GL63" s="101">
        <f t="shared" si="97"/>
        <v>1.9699999999999999E-2</v>
      </c>
      <c r="GM63" s="101">
        <f t="shared" si="98"/>
        <v>1</v>
      </c>
      <c r="GN63" s="101">
        <f t="shared" si="99"/>
        <v>18</v>
      </c>
      <c r="GO63" s="101">
        <f t="shared" si="100"/>
        <v>7.8899999999999998E-2</v>
      </c>
      <c r="GP63" s="101">
        <f t="shared" si="101"/>
        <v>1</v>
      </c>
      <c r="GQ63" s="101">
        <f t="shared" si="102"/>
        <v>38</v>
      </c>
    </row>
    <row r="64" spans="85:199" ht="16.5" x14ac:dyDescent="0.2">
      <c r="CG64" s="81">
        <v>59</v>
      </c>
      <c r="CH64" s="174">
        <f>INDEX(节奏总表!$CK$4:$CK$63,专属武器强化!CG64)</f>
        <v>148</v>
      </c>
      <c r="CI64" s="81"/>
      <c r="CJ64" s="81">
        <f t="shared" si="119"/>
        <v>9</v>
      </c>
      <c r="CK64" s="14">
        <f t="shared" si="120"/>
        <v>0</v>
      </c>
      <c r="CL64" s="14">
        <f t="shared" si="121"/>
        <v>0</v>
      </c>
      <c r="CM64" s="14">
        <f t="shared" si="122"/>
        <v>75</v>
      </c>
      <c r="CN64" s="14">
        <f t="shared" si="123"/>
        <v>70</v>
      </c>
      <c r="CO64" s="14"/>
      <c r="CP64" s="14"/>
      <c r="CQ64" s="14"/>
      <c r="CR64" s="14"/>
      <c r="CS64" s="14">
        <f>SUM(CK$6:CK64)</f>
        <v>3340</v>
      </c>
      <c r="CT64" s="14">
        <f>SUM(CL$6:CL64)</f>
        <v>3340</v>
      </c>
      <c r="CU64" s="14">
        <f>SUM(CM$6:CM64)</f>
        <v>2995</v>
      </c>
      <c r="CV64" s="14">
        <f>SUM(CN$6:CN64)</f>
        <v>1490</v>
      </c>
      <c r="CY64" s="83">
        <v>48</v>
      </c>
      <c r="CZ64" s="14">
        <f>INDEX(节奏总表!$CK$4:CK121,专属武器强化!CY64)</f>
        <v>140</v>
      </c>
      <c r="DA64" s="14">
        <f t="shared" si="124"/>
        <v>3340</v>
      </c>
      <c r="DB64" s="14">
        <f t="shared" si="64"/>
        <v>3340</v>
      </c>
      <c r="DC64" s="14">
        <f t="shared" si="65"/>
        <v>2170</v>
      </c>
      <c r="DD64" s="14">
        <f t="shared" si="66"/>
        <v>720</v>
      </c>
      <c r="DE64" s="83">
        <v>0</v>
      </c>
      <c r="DF64" s="83">
        <v>0</v>
      </c>
      <c r="DG64" s="14">
        <f t="shared" si="131"/>
        <v>0</v>
      </c>
      <c r="DH64" s="14">
        <f t="shared" si="132"/>
        <v>0</v>
      </c>
      <c r="DI64" s="14">
        <f t="shared" si="133"/>
        <v>0</v>
      </c>
      <c r="DJ64" s="14">
        <f t="shared" si="134"/>
        <v>0</v>
      </c>
      <c r="DK64" s="83"/>
      <c r="DL64" s="83"/>
      <c r="DM64" s="83"/>
      <c r="DN64" s="83"/>
      <c r="DO64" s="14">
        <f>DA64-SUM(DG$7:DG64)+SUM(DK$7:DK64)</f>
        <v>969.17124999999942</v>
      </c>
      <c r="DP64" s="14">
        <f>DB64-SUM(DH$7:DH64)+SUM(DL$7:DL64)</f>
        <v>1359.2883717105258</v>
      </c>
      <c r="DQ64" s="14">
        <f>DC64-SUM(DI$7:DI64)+SUM(DM$7:DM64)</f>
        <v>566.01732057416257</v>
      </c>
      <c r="DR64" s="14">
        <f>DD64-SUM(DJ$7:DJ64)+SUM(DN$7:DN64)</f>
        <v>297.59454545454548</v>
      </c>
      <c r="DU64" s="95">
        <v>59</v>
      </c>
      <c r="DV64" s="14">
        <f t="shared" si="71"/>
        <v>7</v>
      </c>
      <c r="DW64" s="14">
        <f t="shared" si="72"/>
        <v>5</v>
      </c>
      <c r="DX64" s="14">
        <f t="shared" si="137"/>
        <v>0</v>
      </c>
      <c r="DY64" s="14">
        <f t="shared" si="137"/>
        <v>0</v>
      </c>
      <c r="DZ64" s="14">
        <f t="shared" si="137"/>
        <v>238.95030303030305</v>
      </c>
      <c r="EA64" s="14">
        <f t="shared" si="137"/>
        <v>80.458181818181814</v>
      </c>
      <c r="EB64" s="14">
        <f t="shared" si="73"/>
        <v>3</v>
      </c>
      <c r="EC64" s="14">
        <f t="shared" si="74"/>
        <v>4</v>
      </c>
      <c r="EJ64" s="139">
        <v>59</v>
      </c>
      <c r="EK64" s="14">
        <f t="shared" si="76"/>
        <v>7</v>
      </c>
      <c r="EL64" s="19">
        <f t="shared" si="115"/>
        <v>0.13</v>
      </c>
      <c r="EM64" s="139">
        <v>3</v>
      </c>
      <c r="EN64" s="139" t="s">
        <v>941</v>
      </c>
      <c r="EO64" s="139">
        <f t="shared" si="77"/>
        <v>8250</v>
      </c>
      <c r="EP64" s="139" t="s">
        <v>850</v>
      </c>
      <c r="EQ64" s="139">
        <f t="shared" si="139"/>
        <v>12</v>
      </c>
      <c r="ER64" s="139" t="s">
        <v>853</v>
      </c>
      <c r="ES64" s="139">
        <v>4</v>
      </c>
      <c r="ET64" s="139">
        <f t="shared" si="125"/>
        <v>0.05</v>
      </c>
      <c r="EU64" s="139">
        <v>1</v>
      </c>
      <c r="EV64" s="139">
        <f t="shared" si="140"/>
        <v>30</v>
      </c>
      <c r="EW64" s="139"/>
      <c r="EX64" s="139">
        <f t="shared" si="138"/>
        <v>20.114545454545453</v>
      </c>
      <c r="EY64" s="206">
        <f t="shared" si="79"/>
        <v>165945.91</v>
      </c>
      <c r="FA64">
        <v>0</v>
      </c>
      <c r="FB64">
        <v>1</v>
      </c>
      <c r="FC64">
        <f t="shared" si="126"/>
        <v>7</v>
      </c>
      <c r="FD64" s="89">
        <f t="shared" si="127"/>
        <v>2.4899999999999999E-2</v>
      </c>
      <c r="FE64">
        <v>1</v>
      </c>
      <c r="FF64">
        <f t="shared" si="128"/>
        <v>14</v>
      </c>
      <c r="FG64" s="89">
        <f t="shared" si="129"/>
        <v>9.9400000000000002E-2</v>
      </c>
      <c r="FH64">
        <v>1</v>
      </c>
      <c r="FI64">
        <f t="shared" si="130"/>
        <v>30</v>
      </c>
      <c r="FS64" s="101">
        <v>59</v>
      </c>
      <c r="FT64" s="101">
        <f t="shared" si="80"/>
        <v>53</v>
      </c>
      <c r="FU64" s="101">
        <f t="shared" si="81"/>
        <v>1</v>
      </c>
      <c r="FV64" s="14">
        <f t="shared" si="82"/>
        <v>5</v>
      </c>
      <c r="FW64" s="101" t="str">
        <f t="shared" si="83"/>
        <v>关羽专属武器-魂珠-6 8级</v>
      </c>
      <c r="FX64" s="101">
        <f t="shared" si="84"/>
        <v>6</v>
      </c>
      <c r="FY64" s="101">
        <f t="shared" si="85"/>
        <v>8</v>
      </c>
      <c r="FZ64" s="101" t="str">
        <f t="shared" si="86"/>
        <v>金币</v>
      </c>
      <c r="GA64" s="139">
        <f>IF($FY64&gt;0,IF(INDEX($EM$6:$EM$77,$FT64)&gt;=GA$3,ROUND(INDEX(EO$6:EO$77,$FT64)*INDEX(卡牌消耗!$B$8:$F$8,FV64)/5,0)*5,""),"")</f>
        <v>16465</v>
      </c>
      <c r="GB64" s="101" t="str">
        <f t="shared" si="87"/>
        <v>专属强化石3</v>
      </c>
      <c r="GC64" s="101">
        <f t="shared" si="88"/>
        <v>35</v>
      </c>
      <c r="GD64" s="101" t="str">
        <f t="shared" si="89"/>
        <v>专属强化石4</v>
      </c>
      <c r="GE64" s="101">
        <f t="shared" si="90"/>
        <v>7</v>
      </c>
      <c r="GF64" s="101">
        <f t="shared" si="91"/>
        <v>0.03</v>
      </c>
      <c r="GG64" s="101">
        <f t="shared" si="92"/>
        <v>1</v>
      </c>
      <c r="GH64" s="101">
        <f t="shared" si="93"/>
        <v>44</v>
      </c>
      <c r="GI64" s="101">
        <f t="shared" si="94"/>
        <v>0</v>
      </c>
      <c r="GJ64" s="101">
        <f t="shared" si="95"/>
        <v>1</v>
      </c>
      <c r="GK64" s="101">
        <f t="shared" si="96"/>
        <v>10</v>
      </c>
      <c r="GL64" s="101">
        <f t="shared" si="97"/>
        <v>1.7100000000000001E-2</v>
      </c>
      <c r="GM64" s="101">
        <f t="shared" si="98"/>
        <v>1</v>
      </c>
      <c r="GN64" s="101">
        <f t="shared" si="99"/>
        <v>21</v>
      </c>
      <c r="GO64" s="101">
        <f t="shared" si="100"/>
        <v>6.8199999999999997E-2</v>
      </c>
      <c r="GP64" s="101">
        <f t="shared" si="101"/>
        <v>1</v>
      </c>
      <c r="GQ64" s="101">
        <f t="shared" si="102"/>
        <v>44</v>
      </c>
    </row>
    <row r="65" spans="85:199" ht="16.5" x14ac:dyDescent="0.2">
      <c r="CG65" s="81">
        <v>60</v>
      </c>
      <c r="CH65" s="174">
        <f>INDEX(节奏总表!$CK$4:$CK$63,专属武器强化!CG65)</f>
        <v>148</v>
      </c>
      <c r="CI65" s="81"/>
      <c r="CJ65" s="81">
        <f t="shared" si="119"/>
        <v>9</v>
      </c>
      <c r="CK65" s="14">
        <f t="shared" si="120"/>
        <v>0</v>
      </c>
      <c r="CL65" s="14">
        <f t="shared" si="121"/>
        <v>0</v>
      </c>
      <c r="CM65" s="14">
        <f t="shared" si="122"/>
        <v>75</v>
      </c>
      <c r="CN65" s="14">
        <f t="shared" si="123"/>
        <v>70</v>
      </c>
      <c r="CO65" s="14"/>
      <c r="CP65" s="14"/>
      <c r="CQ65" s="14"/>
      <c r="CR65" s="14"/>
      <c r="CS65" s="14">
        <f>SUM(CK$6:CK65)</f>
        <v>3340</v>
      </c>
      <c r="CT65" s="14">
        <f>SUM(CL$6:CL65)</f>
        <v>3340</v>
      </c>
      <c r="CU65" s="14">
        <f>SUM(CM$6:CM65)</f>
        <v>3070</v>
      </c>
      <c r="CV65" s="14">
        <f>SUM(CN$6:CN65)</f>
        <v>1560</v>
      </c>
      <c r="CY65" s="83">
        <v>49</v>
      </c>
      <c r="CZ65" s="14">
        <f>INDEX(节奏总表!$CK$4:CK122,专属武器强化!CY65)</f>
        <v>141</v>
      </c>
      <c r="DA65" s="14">
        <f t="shared" si="124"/>
        <v>3340</v>
      </c>
      <c r="DB65" s="14">
        <f t="shared" si="64"/>
        <v>3340</v>
      </c>
      <c r="DC65" s="14">
        <f t="shared" si="65"/>
        <v>2245</v>
      </c>
      <c r="DD65" s="14">
        <f t="shared" si="66"/>
        <v>790</v>
      </c>
      <c r="DE65" s="83">
        <v>8</v>
      </c>
      <c r="DF65" s="83">
        <v>2</v>
      </c>
      <c r="DG65" s="14">
        <f t="shared" si="131"/>
        <v>0</v>
      </c>
      <c r="DH65" s="14">
        <f t="shared" si="132"/>
        <v>0</v>
      </c>
      <c r="DI65" s="14">
        <f t="shared" si="133"/>
        <v>0</v>
      </c>
      <c r="DJ65" s="14">
        <f t="shared" si="134"/>
        <v>265.512</v>
      </c>
      <c r="DK65" s="83"/>
      <c r="DL65" s="83"/>
      <c r="DM65" s="83"/>
      <c r="DN65" s="83"/>
      <c r="DO65" s="14">
        <f>DA65-SUM(DG$7:DG65)+SUM(DK$7:DK65)</f>
        <v>969.17124999999942</v>
      </c>
      <c r="DP65" s="14">
        <f>DB65-SUM(DH$7:DH65)+SUM(DL$7:DL65)</f>
        <v>1359.2883717105258</v>
      </c>
      <c r="DQ65" s="14">
        <f>DC65-SUM(DI$7:DI65)+SUM(DM$7:DM65)</f>
        <v>641.01732057416257</v>
      </c>
      <c r="DR65" s="14">
        <f>DD65-SUM(DJ$7:DJ65)+SUM(DN$7:DN65)</f>
        <v>102.08254545454542</v>
      </c>
      <c r="DU65" s="95">
        <v>60</v>
      </c>
      <c r="DV65" s="14">
        <f t="shared" si="71"/>
        <v>7</v>
      </c>
      <c r="DW65" s="14">
        <f t="shared" si="72"/>
        <v>6</v>
      </c>
      <c r="DX65" s="14">
        <f t="shared" si="137"/>
        <v>0</v>
      </c>
      <c r="DY65" s="14">
        <f t="shared" si="137"/>
        <v>0</v>
      </c>
      <c r="DZ65" s="14">
        <f t="shared" si="137"/>
        <v>388.29424242424244</v>
      </c>
      <c r="EA65" s="14">
        <f t="shared" si="137"/>
        <v>130.74454545454543</v>
      </c>
      <c r="EB65" s="14">
        <f t="shared" si="73"/>
        <v>3</v>
      </c>
      <c r="EC65" s="14">
        <f t="shared" si="74"/>
        <v>4</v>
      </c>
      <c r="EJ65" s="139">
        <v>60</v>
      </c>
      <c r="EK65" s="14">
        <f t="shared" si="76"/>
        <v>7</v>
      </c>
      <c r="EL65" s="19">
        <f t="shared" si="115"/>
        <v>0.21000000000000002</v>
      </c>
      <c r="EM65" s="139">
        <v>3</v>
      </c>
      <c r="EN65" s="139" t="s">
        <v>941</v>
      </c>
      <c r="EO65" s="139">
        <f t="shared" si="77"/>
        <v>10252</v>
      </c>
      <c r="EP65" s="139" t="s">
        <v>850</v>
      </c>
      <c r="EQ65" s="139">
        <f t="shared" si="139"/>
        <v>15</v>
      </c>
      <c r="ER65" s="139" t="s">
        <v>853</v>
      </c>
      <c r="ES65" s="139">
        <v>5</v>
      </c>
      <c r="ET65" s="139">
        <f t="shared" si="125"/>
        <v>0.04</v>
      </c>
      <c r="EU65" s="139">
        <v>1</v>
      </c>
      <c r="EV65" s="139">
        <f t="shared" si="140"/>
        <v>39</v>
      </c>
      <c r="EW65" s="139"/>
      <c r="EX65" s="139">
        <f t="shared" si="138"/>
        <v>26.148909090909086</v>
      </c>
      <c r="EY65" s="206">
        <f t="shared" si="79"/>
        <v>268066.47000000003</v>
      </c>
      <c r="FA65">
        <v>0</v>
      </c>
      <c r="FB65">
        <v>1</v>
      </c>
      <c r="FC65">
        <f t="shared" si="126"/>
        <v>9</v>
      </c>
      <c r="FD65" s="89">
        <f t="shared" si="127"/>
        <v>1.9099999999999999E-2</v>
      </c>
      <c r="FE65">
        <v>1</v>
      </c>
      <c r="FF65">
        <f t="shared" si="128"/>
        <v>18</v>
      </c>
      <c r="FG65" s="89">
        <f t="shared" si="129"/>
        <v>7.6499999999999999E-2</v>
      </c>
      <c r="FH65">
        <v>1</v>
      </c>
      <c r="FI65">
        <f t="shared" si="130"/>
        <v>39</v>
      </c>
      <c r="FS65" s="101">
        <v>60</v>
      </c>
      <c r="FT65" s="101">
        <f t="shared" si="80"/>
        <v>54</v>
      </c>
      <c r="FU65" s="101">
        <f t="shared" si="81"/>
        <v>1</v>
      </c>
      <c r="FV65" s="14">
        <f t="shared" si="82"/>
        <v>5</v>
      </c>
      <c r="FW65" s="101" t="str">
        <f t="shared" si="83"/>
        <v>关羽专属武器-魂珠-6 9级</v>
      </c>
      <c r="FX65" s="101">
        <f t="shared" si="84"/>
        <v>6</v>
      </c>
      <c r="FY65" s="101">
        <f t="shared" si="85"/>
        <v>9</v>
      </c>
      <c r="FZ65" s="101" t="str">
        <f t="shared" si="86"/>
        <v>金币</v>
      </c>
      <c r="GA65" s="139">
        <f>IF($FY65&gt;0,IF(INDEX($EM$6:$EM$77,$FT65)&gt;=GA$3,ROUND(INDEX(EO$6:EO$77,$FT65)*INDEX(卡牌消耗!$B$8:$F$8,FV65)/5,0)*5,""),"")</f>
        <v>18825</v>
      </c>
      <c r="GB65" s="101" t="str">
        <f t="shared" si="87"/>
        <v>专属强化石3</v>
      </c>
      <c r="GC65" s="101">
        <f t="shared" si="88"/>
        <v>40</v>
      </c>
      <c r="GD65" s="101" t="str">
        <f t="shared" si="89"/>
        <v>专属强化石4</v>
      </c>
      <c r="GE65" s="101">
        <f t="shared" si="90"/>
        <v>8</v>
      </c>
      <c r="GF65" s="101">
        <f t="shared" si="91"/>
        <v>0.02</v>
      </c>
      <c r="GG65" s="101">
        <f t="shared" si="92"/>
        <v>1</v>
      </c>
      <c r="GH65" s="101">
        <f t="shared" si="93"/>
        <v>62</v>
      </c>
      <c r="GI65" s="101">
        <f t="shared" si="94"/>
        <v>0</v>
      </c>
      <c r="GJ65" s="101">
        <f t="shared" si="95"/>
        <v>1</v>
      </c>
      <c r="GK65" s="101">
        <f t="shared" si="96"/>
        <v>15</v>
      </c>
      <c r="GL65" s="101">
        <f t="shared" si="97"/>
        <v>1.21E-2</v>
      </c>
      <c r="GM65" s="101">
        <f t="shared" si="98"/>
        <v>1</v>
      </c>
      <c r="GN65" s="101">
        <f t="shared" si="99"/>
        <v>29</v>
      </c>
      <c r="GO65" s="101">
        <f t="shared" si="100"/>
        <v>4.82E-2</v>
      </c>
      <c r="GP65" s="101">
        <f t="shared" si="101"/>
        <v>1</v>
      </c>
      <c r="GQ65" s="101">
        <f t="shared" si="102"/>
        <v>62</v>
      </c>
    </row>
    <row r="66" spans="85:199" ht="16.5" x14ac:dyDescent="0.2">
      <c r="CY66" s="83">
        <v>50</v>
      </c>
      <c r="CZ66" s="14">
        <f>INDEX(节奏总表!$CK$4:CK123,专属武器强化!CY66)</f>
        <v>141</v>
      </c>
      <c r="DA66" s="14">
        <f t="shared" ref="DA66:DA76" si="143">INDEX(CS$6:CS$65,$CY66)</f>
        <v>3340</v>
      </c>
      <c r="DB66" s="14">
        <f t="shared" ref="DB66:DB76" si="144">INDEX(CT$6:CT$65,$CY66)</f>
        <v>3340</v>
      </c>
      <c r="DC66" s="14">
        <f t="shared" ref="DC66:DC76" si="145">INDEX(CU$6:CU$65,$CY66)</f>
        <v>2320</v>
      </c>
      <c r="DD66" s="14">
        <f t="shared" ref="DD66:DD76" si="146">INDEX(CV$6:CV$65,$CY66)</f>
        <v>860</v>
      </c>
      <c r="DE66" s="83">
        <v>0</v>
      </c>
      <c r="DF66" s="83">
        <v>0</v>
      </c>
      <c r="DG66" s="14">
        <f t="shared" si="131"/>
        <v>0</v>
      </c>
      <c r="DH66" s="14">
        <f t="shared" si="132"/>
        <v>0</v>
      </c>
      <c r="DI66" s="14">
        <f t="shared" si="133"/>
        <v>0</v>
      </c>
      <c r="DJ66" s="14">
        <f t="shared" si="134"/>
        <v>0</v>
      </c>
      <c r="DK66" s="83"/>
      <c r="DL66" s="83"/>
      <c r="DM66" s="83"/>
      <c r="DN66" s="83"/>
      <c r="DO66" s="14">
        <f>DA66-SUM(DG$7:DG66)+SUM(DK$7:DK66)</f>
        <v>969.17124999999942</v>
      </c>
      <c r="DP66" s="14">
        <f>DB66-SUM(DH$7:DH66)+SUM(DL$7:DL66)</f>
        <v>1359.2883717105258</v>
      </c>
      <c r="DQ66" s="14">
        <f>DC66-SUM(DI$7:DI66)+SUM(DM$7:DM66)</f>
        <v>716.01732057416257</v>
      </c>
      <c r="DR66" s="14">
        <f>DD66-SUM(DJ$7:DJ66)+SUM(DN$7:DN66)</f>
        <v>172.08254545454542</v>
      </c>
      <c r="DU66" s="95">
        <v>61</v>
      </c>
      <c r="DV66" s="14">
        <f t="shared" si="71"/>
        <v>7</v>
      </c>
      <c r="DW66" s="14">
        <f t="shared" si="72"/>
        <v>7</v>
      </c>
      <c r="DX66" s="14">
        <f t="shared" ref="DX66:EA77" si="147">INDEX($K$22:$AP$30,$DW66,($DV66-1)*4+DX$3)</f>
        <v>0</v>
      </c>
      <c r="DY66" s="14">
        <f t="shared" si="147"/>
        <v>0</v>
      </c>
      <c r="DZ66" s="14">
        <f t="shared" si="147"/>
        <v>627.24454545454546</v>
      </c>
      <c r="EA66" s="14">
        <f t="shared" si="147"/>
        <v>211.20272727272729</v>
      </c>
      <c r="EB66" s="14">
        <f t="shared" si="73"/>
        <v>3</v>
      </c>
      <c r="EC66" s="14">
        <f t="shared" si="74"/>
        <v>4</v>
      </c>
      <c r="EJ66" s="139">
        <v>61</v>
      </c>
      <c r="EK66" s="14">
        <f t="shared" si="76"/>
        <v>7</v>
      </c>
      <c r="EL66" s="19">
        <f t="shared" si="115"/>
        <v>0.34</v>
      </c>
      <c r="EM66" s="139">
        <v>3</v>
      </c>
      <c r="EN66" s="139" t="s">
        <v>941</v>
      </c>
      <c r="EO66" s="139">
        <f t="shared" si="77"/>
        <v>14385</v>
      </c>
      <c r="EP66" s="139" t="s">
        <v>850</v>
      </c>
      <c r="EQ66" s="139">
        <f t="shared" si="139"/>
        <v>21</v>
      </c>
      <c r="ER66" s="139" t="s">
        <v>853</v>
      </c>
      <c r="ES66" s="139">
        <v>7</v>
      </c>
      <c r="ET66" s="139">
        <f t="shared" si="125"/>
        <v>0.03</v>
      </c>
      <c r="EU66" s="139">
        <v>1</v>
      </c>
      <c r="EV66" s="139">
        <f t="shared" si="140"/>
        <v>45</v>
      </c>
      <c r="EW66" s="139"/>
      <c r="EX66" s="139">
        <f t="shared" si="138"/>
        <v>30.171818181818185</v>
      </c>
      <c r="EY66" s="206">
        <f t="shared" si="79"/>
        <v>434012.38</v>
      </c>
      <c r="FA66">
        <v>0</v>
      </c>
      <c r="FB66">
        <v>1</v>
      </c>
      <c r="FC66">
        <f t="shared" si="126"/>
        <v>11</v>
      </c>
      <c r="FD66" s="89">
        <f t="shared" si="127"/>
        <v>1.66E-2</v>
      </c>
      <c r="FE66">
        <v>1</v>
      </c>
      <c r="FF66">
        <f t="shared" si="128"/>
        <v>21</v>
      </c>
      <c r="FG66" s="89">
        <f t="shared" si="129"/>
        <v>6.6299999999999998E-2</v>
      </c>
      <c r="FH66">
        <v>1</v>
      </c>
      <c r="FI66">
        <f t="shared" si="130"/>
        <v>45</v>
      </c>
      <c r="FS66" s="101">
        <v>61</v>
      </c>
      <c r="FT66" s="101">
        <f t="shared" si="80"/>
        <v>0</v>
      </c>
      <c r="FU66" s="101">
        <f t="shared" si="81"/>
        <v>1</v>
      </c>
      <c r="FV66" s="14">
        <f t="shared" si="82"/>
        <v>5</v>
      </c>
      <c r="FW66" s="101" t="str">
        <f t="shared" si="83"/>
        <v>关羽专属武器-魂珠-7 0级</v>
      </c>
      <c r="FX66" s="101">
        <f t="shared" si="84"/>
        <v>7</v>
      </c>
      <c r="FY66" s="101">
        <f t="shared" si="85"/>
        <v>0</v>
      </c>
      <c r="FZ66" s="101" t="str">
        <f t="shared" si="86"/>
        <v/>
      </c>
      <c r="GA66" s="139" t="str">
        <f>IF($FY66&gt;0,IF(INDEX($EM$6:$EM$77,$FT66)&gt;=GA$3,ROUND(INDEX(EO$6:EO$77,$FT66)*INDEX(卡牌消耗!$B$8:$F$8,FV66)/5,0)*5,""),"")</f>
        <v/>
      </c>
      <c r="GB66" s="101" t="str">
        <f t="shared" si="87"/>
        <v/>
      </c>
      <c r="GC66" s="101" t="str">
        <f t="shared" si="88"/>
        <v/>
      </c>
      <c r="GD66" s="101" t="str">
        <f t="shared" si="89"/>
        <v/>
      </c>
      <c r="GE66" s="101" t="str">
        <f t="shared" si="90"/>
        <v/>
      </c>
      <c r="GF66" s="101" t="str">
        <f t="shared" si="91"/>
        <v/>
      </c>
      <c r="GG66" s="101" t="str">
        <f t="shared" si="92"/>
        <v/>
      </c>
      <c r="GH66" s="101" t="str">
        <f t="shared" si="93"/>
        <v/>
      </c>
      <c r="GI66" s="101" t="str">
        <f t="shared" si="94"/>
        <v/>
      </c>
      <c r="GJ66" s="101" t="str">
        <f t="shared" si="95"/>
        <v/>
      </c>
      <c r="GK66" s="101" t="str">
        <f t="shared" si="96"/>
        <v/>
      </c>
      <c r="GL66" s="101" t="str">
        <f t="shared" si="97"/>
        <v/>
      </c>
      <c r="GM66" s="101" t="str">
        <f t="shared" si="98"/>
        <v/>
      </c>
      <c r="GN66" s="101" t="str">
        <f t="shared" si="99"/>
        <v/>
      </c>
      <c r="GO66" s="101" t="str">
        <f t="shared" si="100"/>
        <v/>
      </c>
      <c r="GP66" s="101" t="str">
        <f t="shared" si="101"/>
        <v/>
      </c>
      <c r="GQ66" s="101" t="str">
        <f t="shared" si="102"/>
        <v/>
      </c>
    </row>
    <row r="67" spans="85:199" ht="16.5" x14ac:dyDescent="0.2">
      <c r="CY67" s="83">
        <v>51</v>
      </c>
      <c r="CZ67" s="14">
        <f>INDEX(节奏总表!$CK$4:CK124,专属武器强化!CY67)</f>
        <v>142</v>
      </c>
      <c r="DA67" s="14">
        <f t="shared" si="143"/>
        <v>3340</v>
      </c>
      <c r="DB67" s="14">
        <f t="shared" si="144"/>
        <v>3340</v>
      </c>
      <c r="DC67" s="14">
        <f t="shared" si="145"/>
        <v>2395</v>
      </c>
      <c r="DD67" s="14">
        <f t="shared" si="146"/>
        <v>930</v>
      </c>
      <c r="DE67" s="83">
        <v>7</v>
      </c>
      <c r="DF67" s="83">
        <v>4</v>
      </c>
      <c r="DG67" s="14">
        <f t="shared" si="131"/>
        <v>0</v>
      </c>
      <c r="DH67" s="14">
        <f t="shared" si="132"/>
        <v>0</v>
      </c>
      <c r="DI67" s="14">
        <f t="shared" si="133"/>
        <v>448.03181818181815</v>
      </c>
      <c r="DJ67" s="14">
        <f t="shared" si="134"/>
        <v>150.8590909090909</v>
      </c>
      <c r="DK67" s="83"/>
      <c r="DL67" s="83"/>
      <c r="DM67" s="83"/>
      <c r="DN67" s="83">
        <v>20</v>
      </c>
      <c r="DO67" s="14">
        <f>DA67-SUM(DG$7:DG67)+SUM(DK$7:DK67)</f>
        <v>969.17124999999942</v>
      </c>
      <c r="DP67" s="14">
        <f>DB67-SUM(DH$7:DH67)+SUM(DL$7:DL67)</f>
        <v>1359.2883717105258</v>
      </c>
      <c r="DQ67" s="14">
        <f>DC67-SUM(DI$7:DI67)+SUM(DM$7:DM67)</f>
        <v>342.98550239234464</v>
      </c>
      <c r="DR67" s="14">
        <f>DD67-SUM(DJ$7:DJ67)+SUM(DN$7:DN67)</f>
        <v>111.2234545454545</v>
      </c>
      <c r="DU67" s="95">
        <v>62</v>
      </c>
      <c r="DV67" s="14">
        <f t="shared" si="71"/>
        <v>7</v>
      </c>
      <c r="DW67" s="14">
        <f t="shared" si="72"/>
        <v>8</v>
      </c>
      <c r="DX67" s="14">
        <f t="shared" si="147"/>
        <v>0</v>
      </c>
      <c r="DY67" s="14">
        <f t="shared" si="147"/>
        <v>0</v>
      </c>
      <c r="DZ67" s="14">
        <f t="shared" si="147"/>
        <v>1015.5387878787878</v>
      </c>
      <c r="EA67" s="14">
        <f t="shared" si="147"/>
        <v>341.94727272727272</v>
      </c>
      <c r="EB67" s="14">
        <f t="shared" si="73"/>
        <v>3</v>
      </c>
      <c r="EC67" s="14">
        <f t="shared" si="74"/>
        <v>4</v>
      </c>
      <c r="EJ67" s="139">
        <v>62</v>
      </c>
      <c r="EK67" s="14">
        <f t="shared" si="76"/>
        <v>7</v>
      </c>
      <c r="EL67" s="19">
        <f t="shared" si="115"/>
        <v>0.55000000000000004</v>
      </c>
      <c r="EM67" s="139">
        <v>3</v>
      </c>
      <c r="EN67" s="139" t="s">
        <v>941</v>
      </c>
      <c r="EO67" s="139">
        <f t="shared" si="77"/>
        <v>16425</v>
      </c>
      <c r="EP67" s="139" t="s">
        <v>850</v>
      </c>
      <c r="EQ67" s="139">
        <f t="shared" si="139"/>
        <v>24</v>
      </c>
      <c r="ER67" s="139" t="s">
        <v>853</v>
      </c>
      <c r="ES67" s="139">
        <v>8</v>
      </c>
      <c r="ET67" s="139">
        <f t="shared" si="125"/>
        <v>0.02</v>
      </c>
      <c r="EU67" s="139">
        <v>1</v>
      </c>
      <c r="EV67" s="139">
        <f t="shared" si="140"/>
        <v>64</v>
      </c>
      <c r="EW67" s="139"/>
      <c r="EX67" s="139">
        <f t="shared" si="138"/>
        <v>42.74340909090909</v>
      </c>
      <c r="EY67" s="206">
        <f t="shared" si="79"/>
        <v>702078.85000000009</v>
      </c>
      <c r="FA67">
        <v>0</v>
      </c>
      <c r="FB67">
        <v>1</v>
      </c>
      <c r="FC67">
        <f t="shared" si="126"/>
        <v>15</v>
      </c>
      <c r="FD67" s="89">
        <f t="shared" si="127"/>
        <v>1.17E-2</v>
      </c>
      <c r="FE67">
        <v>1</v>
      </c>
      <c r="FF67">
        <f t="shared" si="128"/>
        <v>30</v>
      </c>
      <c r="FG67" s="89">
        <f t="shared" si="129"/>
        <v>4.6800000000000001E-2</v>
      </c>
      <c r="FH67">
        <v>1</v>
      </c>
      <c r="FI67">
        <f t="shared" si="130"/>
        <v>64</v>
      </c>
      <c r="FS67" s="101">
        <v>62</v>
      </c>
      <c r="FT67" s="101">
        <f t="shared" si="80"/>
        <v>55</v>
      </c>
      <c r="FU67" s="101">
        <f t="shared" si="81"/>
        <v>1</v>
      </c>
      <c r="FV67" s="14">
        <f t="shared" si="82"/>
        <v>5</v>
      </c>
      <c r="FW67" s="101" t="str">
        <f t="shared" si="83"/>
        <v>关羽专属武器-魂珠-7 1级</v>
      </c>
      <c r="FX67" s="101">
        <f t="shared" si="84"/>
        <v>7</v>
      </c>
      <c r="FY67" s="101">
        <f t="shared" si="85"/>
        <v>1</v>
      </c>
      <c r="FZ67" s="101" t="str">
        <f t="shared" si="86"/>
        <v>金币</v>
      </c>
      <c r="GA67" s="139">
        <f>IF($FY67&gt;0,IF(INDEX($EM$6:$EM$77,$FT67)&gt;=GA$3,ROUND(INDEX(EO$6:EO$77,$FT67)*INDEX(卡牌消耗!$B$8:$F$8,FV67)/5,0)*5,""),"")</f>
        <v>10155</v>
      </c>
      <c r="GB67" s="101" t="str">
        <f t="shared" si="87"/>
        <v>专属强化石3</v>
      </c>
      <c r="GC67" s="101">
        <f t="shared" si="88"/>
        <v>6</v>
      </c>
      <c r="GD67" s="101" t="str">
        <f t="shared" si="89"/>
        <v>专属强化石4</v>
      </c>
      <c r="GE67" s="101">
        <f t="shared" si="90"/>
        <v>2</v>
      </c>
      <c r="GF67" s="101">
        <f t="shared" si="91"/>
        <v>0.2</v>
      </c>
      <c r="GG67" s="101">
        <f t="shared" si="92"/>
        <v>1</v>
      </c>
      <c r="GH67" s="101">
        <f t="shared" si="93"/>
        <v>8</v>
      </c>
      <c r="GI67" s="101">
        <f t="shared" si="94"/>
        <v>0</v>
      </c>
      <c r="GJ67" s="101">
        <f t="shared" si="95"/>
        <v>1</v>
      </c>
      <c r="GK67" s="101">
        <f t="shared" si="96"/>
        <v>2</v>
      </c>
      <c r="GL67" s="101">
        <f t="shared" si="97"/>
        <v>9.9400000000000002E-2</v>
      </c>
      <c r="GM67" s="101">
        <f t="shared" si="98"/>
        <v>1</v>
      </c>
      <c r="GN67" s="101">
        <f t="shared" si="99"/>
        <v>4</v>
      </c>
      <c r="GO67" s="101">
        <f t="shared" si="100"/>
        <v>0.3977</v>
      </c>
      <c r="GP67" s="101">
        <f t="shared" si="101"/>
        <v>1</v>
      </c>
      <c r="GQ67" s="101">
        <f t="shared" si="102"/>
        <v>8</v>
      </c>
    </row>
    <row r="68" spans="85:199" ht="16.5" x14ac:dyDescent="0.2">
      <c r="CY68" s="83">
        <v>52</v>
      </c>
      <c r="CZ68" s="14">
        <f>INDEX(节奏总表!$CK$4:CK125,专属武器强化!CY68)</f>
        <v>143</v>
      </c>
      <c r="DA68" s="14">
        <f t="shared" si="143"/>
        <v>3340</v>
      </c>
      <c r="DB68" s="14">
        <f t="shared" si="144"/>
        <v>3340</v>
      </c>
      <c r="DC68" s="14">
        <f t="shared" si="145"/>
        <v>2470</v>
      </c>
      <c r="DD68" s="14">
        <f t="shared" si="146"/>
        <v>1000</v>
      </c>
      <c r="DE68" s="83">
        <v>0</v>
      </c>
      <c r="DF68" s="83">
        <v>0</v>
      </c>
      <c r="DG68" s="14">
        <f t="shared" si="131"/>
        <v>0</v>
      </c>
      <c r="DH68" s="14">
        <f t="shared" si="132"/>
        <v>0</v>
      </c>
      <c r="DI68" s="14">
        <f t="shared" si="133"/>
        <v>0</v>
      </c>
      <c r="DJ68" s="14">
        <f t="shared" si="134"/>
        <v>0</v>
      </c>
      <c r="DK68" s="83"/>
      <c r="DL68" s="83"/>
      <c r="DM68" s="83"/>
      <c r="DN68" s="83"/>
      <c r="DO68" s="14">
        <f>DA68-SUM(DG$7:DG68)+SUM(DK$7:DK68)</f>
        <v>969.17124999999942</v>
      </c>
      <c r="DP68" s="14">
        <f>DB68-SUM(DH$7:DH68)+SUM(DL$7:DL68)</f>
        <v>1359.2883717105258</v>
      </c>
      <c r="DQ68" s="14">
        <f>DC68-SUM(DI$7:DI68)+SUM(DM$7:DM68)</f>
        <v>417.98550239234464</v>
      </c>
      <c r="DR68" s="14">
        <f>DD68-SUM(DJ$7:DJ68)+SUM(DN$7:DN68)</f>
        <v>181.2234545454545</v>
      </c>
      <c r="DU68" s="95">
        <v>63</v>
      </c>
      <c r="DV68" s="14">
        <f t="shared" si="71"/>
        <v>7</v>
      </c>
      <c r="DW68" s="14">
        <f t="shared" si="72"/>
        <v>9</v>
      </c>
      <c r="DX68" s="14">
        <f t="shared" si="147"/>
        <v>0</v>
      </c>
      <c r="DY68" s="14">
        <f t="shared" si="147"/>
        <v>0</v>
      </c>
      <c r="DZ68" s="14">
        <f t="shared" si="147"/>
        <v>1642.7833333333335</v>
      </c>
      <c r="EA68" s="14">
        <f t="shared" si="147"/>
        <v>553.15</v>
      </c>
      <c r="EB68" s="14">
        <f t="shared" si="73"/>
        <v>3</v>
      </c>
      <c r="EC68" s="14">
        <f t="shared" si="74"/>
        <v>4</v>
      </c>
      <c r="EJ68" s="139">
        <v>63</v>
      </c>
      <c r="EK68" s="14">
        <f t="shared" si="76"/>
        <v>7</v>
      </c>
      <c r="EL68" s="19">
        <f t="shared" si="115"/>
        <v>0.89000000000000012</v>
      </c>
      <c r="EM68" s="139">
        <v>3</v>
      </c>
      <c r="EN68" s="139" t="s">
        <v>941</v>
      </c>
      <c r="EO68" s="139">
        <f t="shared" si="77"/>
        <v>20539</v>
      </c>
      <c r="EP68" s="139" t="s">
        <v>850</v>
      </c>
      <c r="EQ68" s="139">
        <f t="shared" si="139"/>
        <v>30</v>
      </c>
      <c r="ER68" s="139" t="s">
        <v>853</v>
      </c>
      <c r="ES68" s="139">
        <v>10</v>
      </c>
      <c r="ET68" s="139">
        <f t="shared" si="125"/>
        <v>0.02</v>
      </c>
      <c r="EU68" s="139">
        <v>1</v>
      </c>
      <c r="EV68" s="139">
        <f t="shared" si="140"/>
        <v>83</v>
      </c>
      <c r="EW68" s="139"/>
      <c r="EX68" s="139">
        <f t="shared" si="138"/>
        <v>55.314999999999998</v>
      </c>
      <c r="EY68" s="206">
        <f t="shared" si="79"/>
        <v>1136091.2300000002</v>
      </c>
      <c r="FA68">
        <v>0</v>
      </c>
      <c r="FB68">
        <v>1</v>
      </c>
      <c r="FC68">
        <f t="shared" si="126"/>
        <v>19</v>
      </c>
      <c r="FD68" s="89">
        <f t="shared" si="127"/>
        <v>8.9999999999999993E-3</v>
      </c>
      <c r="FE68">
        <v>1</v>
      </c>
      <c r="FF68">
        <f t="shared" si="128"/>
        <v>39</v>
      </c>
      <c r="FG68" s="89">
        <f t="shared" si="129"/>
        <v>3.6200000000000003E-2</v>
      </c>
      <c r="FH68">
        <v>1</v>
      </c>
      <c r="FI68">
        <f t="shared" si="130"/>
        <v>83</v>
      </c>
      <c r="FS68" s="101">
        <v>63</v>
      </c>
      <c r="FT68" s="101">
        <f t="shared" si="80"/>
        <v>56</v>
      </c>
      <c r="FU68" s="101">
        <f t="shared" si="81"/>
        <v>1</v>
      </c>
      <c r="FV68" s="14">
        <f t="shared" si="82"/>
        <v>5</v>
      </c>
      <c r="FW68" s="101" t="str">
        <f t="shared" si="83"/>
        <v>关羽专属武器-魂珠-7 2级</v>
      </c>
      <c r="FX68" s="101">
        <f t="shared" si="84"/>
        <v>7</v>
      </c>
      <c r="FY68" s="101">
        <f t="shared" si="85"/>
        <v>2</v>
      </c>
      <c r="FZ68" s="101" t="str">
        <f t="shared" si="86"/>
        <v>金币</v>
      </c>
      <c r="GA68" s="139">
        <f>IF($FY68&gt;0,IF(INDEX($EM$6:$EM$77,$FT68)&gt;=GA$3,ROUND(INDEX(EO$6:EO$77,$FT68)*INDEX(卡牌消耗!$B$8:$F$8,FV68)/5,0)*5,""),"")</f>
        <v>7615</v>
      </c>
      <c r="GB68" s="101" t="str">
        <f t="shared" si="87"/>
        <v>专属强化石3</v>
      </c>
      <c r="GC68" s="101">
        <f t="shared" si="88"/>
        <v>6</v>
      </c>
      <c r="GD68" s="101" t="str">
        <f t="shared" si="89"/>
        <v>专属强化石4</v>
      </c>
      <c r="GE68" s="101">
        <f t="shared" si="90"/>
        <v>2</v>
      </c>
      <c r="GF68" s="101">
        <f t="shared" si="91"/>
        <v>0.1</v>
      </c>
      <c r="GG68" s="101">
        <f t="shared" si="92"/>
        <v>1</v>
      </c>
      <c r="GH68" s="101">
        <f t="shared" si="93"/>
        <v>15</v>
      </c>
      <c r="GI68" s="101">
        <f t="shared" si="94"/>
        <v>0</v>
      </c>
      <c r="GJ68" s="101">
        <f t="shared" si="95"/>
        <v>1</v>
      </c>
      <c r="GK68" s="101">
        <f t="shared" si="96"/>
        <v>4</v>
      </c>
      <c r="GL68" s="101">
        <f t="shared" si="97"/>
        <v>4.9700000000000001E-2</v>
      </c>
      <c r="GM68" s="101">
        <f t="shared" si="98"/>
        <v>1</v>
      </c>
      <c r="GN68" s="101">
        <f t="shared" si="99"/>
        <v>7</v>
      </c>
      <c r="GO68" s="101">
        <f t="shared" si="100"/>
        <v>0.19889999999999999</v>
      </c>
      <c r="GP68" s="101">
        <f t="shared" si="101"/>
        <v>1</v>
      </c>
      <c r="GQ68" s="101">
        <f t="shared" si="102"/>
        <v>15</v>
      </c>
    </row>
    <row r="69" spans="85:199" ht="16.5" x14ac:dyDescent="0.2">
      <c r="CY69" s="83">
        <v>53</v>
      </c>
      <c r="CZ69" s="14">
        <f>INDEX(节奏总表!$CK$4:CK126,专属武器强化!CY69)</f>
        <v>144</v>
      </c>
      <c r="DA69" s="14">
        <f t="shared" si="143"/>
        <v>3340</v>
      </c>
      <c r="DB69" s="14">
        <f t="shared" si="144"/>
        <v>3340</v>
      </c>
      <c r="DC69" s="14">
        <f t="shared" si="145"/>
        <v>2545</v>
      </c>
      <c r="DD69" s="14">
        <f t="shared" si="146"/>
        <v>1070</v>
      </c>
      <c r="DE69" s="83">
        <v>0</v>
      </c>
      <c r="DF69" s="83">
        <v>0</v>
      </c>
      <c r="DG69" s="14">
        <f t="shared" si="131"/>
        <v>0</v>
      </c>
      <c r="DH69" s="14">
        <f t="shared" si="132"/>
        <v>0</v>
      </c>
      <c r="DI69" s="14">
        <f t="shared" si="133"/>
        <v>0</v>
      </c>
      <c r="DJ69" s="14">
        <f t="shared" si="134"/>
        <v>0</v>
      </c>
      <c r="DK69" s="83"/>
      <c r="DL69" s="83"/>
      <c r="DM69" s="83"/>
      <c r="DN69" s="83"/>
      <c r="DO69" s="14">
        <f>DA69-SUM(DG$7:DG69)+SUM(DK$7:DK69)</f>
        <v>969.17124999999942</v>
      </c>
      <c r="DP69" s="14">
        <f>DB69-SUM(DH$7:DH69)+SUM(DL$7:DL69)</f>
        <v>1359.2883717105258</v>
      </c>
      <c r="DQ69" s="14">
        <f>DC69-SUM(DI$7:DI69)+SUM(DM$7:DM69)</f>
        <v>492.98550239234464</v>
      </c>
      <c r="DR69" s="14">
        <f>DD69-SUM(DJ$7:DJ69)+SUM(DN$7:DN69)</f>
        <v>251.2234545454545</v>
      </c>
      <c r="DU69" s="95">
        <v>64</v>
      </c>
      <c r="DV69" s="14">
        <f t="shared" si="71"/>
        <v>8</v>
      </c>
      <c r="DW69" s="14">
        <f t="shared" si="72"/>
        <v>1</v>
      </c>
      <c r="DX69" s="14">
        <f t="shared" si="147"/>
        <v>0</v>
      </c>
      <c r="DY69" s="14">
        <f t="shared" si="147"/>
        <v>0</v>
      </c>
      <c r="DZ69" s="14">
        <f t="shared" si="147"/>
        <v>0</v>
      </c>
      <c r="EA69" s="14">
        <f t="shared" si="147"/>
        <v>44.252000000000002</v>
      </c>
      <c r="EB69" s="14">
        <f t="shared" si="73"/>
        <v>4</v>
      </c>
      <c r="EC69" s="14">
        <f t="shared" si="74"/>
        <v>0</v>
      </c>
      <c r="EJ69" s="139">
        <v>64</v>
      </c>
      <c r="EK69" s="14">
        <f t="shared" si="76"/>
        <v>8</v>
      </c>
      <c r="EL69" s="19">
        <v>0.02</v>
      </c>
      <c r="EM69" s="139">
        <v>2</v>
      </c>
      <c r="EN69" s="139" t="s">
        <v>941</v>
      </c>
      <c r="EO69" s="139">
        <f t="shared" si="77"/>
        <v>4327</v>
      </c>
      <c r="EP69" s="139" t="s">
        <v>853</v>
      </c>
      <c r="EQ69" s="139">
        <v>5</v>
      </c>
      <c r="ER69" s="139"/>
      <c r="ES69" s="139"/>
      <c r="ET69" s="139">
        <f t="shared" si="125"/>
        <v>0.11</v>
      </c>
      <c r="EU69" s="139">
        <v>1</v>
      </c>
      <c r="EV69" s="139">
        <f t="shared" si="140"/>
        <v>13</v>
      </c>
      <c r="EW69" s="139"/>
      <c r="EX69" s="139">
        <f t="shared" ref="EX69:EX77" si="148">EA69/EQ69</f>
        <v>8.8504000000000005</v>
      </c>
      <c r="EY69" s="206">
        <f t="shared" si="79"/>
        <v>38295.200000000004</v>
      </c>
      <c r="FA69">
        <v>0</v>
      </c>
      <c r="FB69">
        <v>1</v>
      </c>
      <c r="FC69">
        <f t="shared" si="126"/>
        <v>3</v>
      </c>
      <c r="FD69" s="89">
        <f t="shared" si="127"/>
        <v>5.6500000000000002E-2</v>
      </c>
      <c r="FE69">
        <v>1</v>
      </c>
      <c r="FF69">
        <f t="shared" si="128"/>
        <v>6</v>
      </c>
      <c r="FG69" s="89">
        <f t="shared" si="129"/>
        <v>0.22600000000000001</v>
      </c>
      <c r="FH69">
        <v>1</v>
      </c>
      <c r="FI69">
        <f t="shared" si="130"/>
        <v>13</v>
      </c>
      <c r="FS69" s="101">
        <v>64</v>
      </c>
      <c r="FT69" s="101">
        <f t="shared" si="80"/>
        <v>57</v>
      </c>
      <c r="FU69" s="101">
        <f t="shared" si="81"/>
        <v>1</v>
      </c>
      <c r="FV69" s="14">
        <f t="shared" si="82"/>
        <v>5</v>
      </c>
      <c r="FW69" s="101" t="str">
        <f t="shared" si="83"/>
        <v>关羽专属武器-魂珠-7 3级</v>
      </c>
      <c r="FX69" s="101">
        <f t="shared" si="84"/>
        <v>7</v>
      </c>
      <c r="FY69" s="101">
        <f t="shared" si="85"/>
        <v>3</v>
      </c>
      <c r="FZ69" s="101" t="str">
        <f t="shared" si="86"/>
        <v>金币</v>
      </c>
      <c r="GA69" s="139">
        <f>IF($FY69&gt;0,IF(INDEX($EM$6:$EM$77,$FT69)&gt;=GA$3,ROUND(INDEX(EO$6:EO$77,$FT69)*INDEX(卡牌消耗!$B$8:$F$8,FV69)/5,0)*5,""),"")</f>
        <v>12690</v>
      </c>
      <c r="GB69" s="101" t="str">
        <f t="shared" si="87"/>
        <v>专属强化石3</v>
      </c>
      <c r="GC69" s="101">
        <f t="shared" si="88"/>
        <v>9</v>
      </c>
      <c r="GD69" s="101" t="str">
        <f t="shared" si="89"/>
        <v>专属强化石4</v>
      </c>
      <c r="GE69" s="101">
        <f t="shared" si="90"/>
        <v>3</v>
      </c>
      <c r="GF69" s="101">
        <f t="shared" si="91"/>
        <v>0.1</v>
      </c>
      <c r="GG69" s="101">
        <f t="shared" si="92"/>
        <v>1</v>
      </c>
      <c r="GH69" s="101">
        <f t="shared" si="93"/>
        <v>15</v>
      </c>
      <c r="GI69" s="101">
        <f t="shared" si="94"/>
        <v>0</v>
      </c>
      <c r="GJ69" s="101">
        <f t="shared" si="95"/>
        <v>1</v>
      </c>
      <c r="GK69" s="101">
        <f t="shared" si="96"/>
        <v>4</v>
      </c>
      <c r="GL69" s="101">
        <f t="shared" si="97"/>
        <v>4.9700000000000001E-2</v>
      </c>
      <c r="GM69" s="101">
        <f t="shared" si="98"/>
        <v>1</v>
      </c>
      <c r="GN69" s="101">
        <f t="shared" si="99"/>
        <v>7</v>
      </c>
      <c r="GO69" s="101">
        <f t="shared" si="100"/>
        <v>0.19889999999999999</v>
      </c>
      <c r="GP69" s="101">
        <f t="shared" si="101"/>
        <v>1</v>
      </c>
      <c r="GQ69" s="101">
        <f t="shared" si="102"/>
        <v>15</v>
      </c>
    </row>
    <row r="70" spans="85:199" ht="16.5" x14ac:dyDescent="0.2">
      <c r="CY70" s="83">
        <v>54</v>
      </c>
      <c r="CZ70" s="14">
        <f>INDEX(节奏总表!$CK$4:CK127,专属武器强化!CY70)</f>
        <v>144</v>
      </c>
      <c r="DA70" s="14">
        <f t="shared" si="143"/>
        <v>3340</v>
      </c>
      <c r="DB70" s="14">
        <f t="shared" si="144"/>
        <v>3340</v>
      </c>
      <c r="DC70" s="14">
        <f t="shared" si="145"/>
        <v>2620</v>
      </c>
      <c r="DD70" s="14">
        <f t="shared" si="146"/>
        <v>1140</v>
      </c>
      <c r="DE70" s="83">
        <v>0</v>
      </c>
      <c r="DF70" s="83">
        <v>0</v>
      </c>
      <c r="DG70" s="14">
        <f t="shared" si="131"/>
        <v>0</v>
      </c>
      <c r="DH70" s="14">
        <f t="shared" si="132"/>
        <v>0</v>
      </c>
      <c r="DI70" s="14">
        <f t="shared" si="133"/>
        <v>0</v>
      </c>
      <c r="DJ70" s="14">
        <f t="shared" si="134"/>
        <v>0</v>
      </c>
      <c r="DK70" s="83"/>
      <c r="DL70" s="83"/>
      <c r="DM70" s="83"/>
      <c r="DN70" s="83"/>
      <c r="DO70" s="14">
        <f>DA70-SUM(DG$7:DG70)+SUM(DK$7:DK70)</f>
        <v>969.17124999999942</v>
      </c>
      <c r="DP70" s="14">
        <f>DB70-SUM(DH$7:DH70)+SUM(DL$7:DL70)</f>
        <v>1359.2883717105258</v>
      </c>
      <c r="DQ70" s="14">
        <f>DC70-SUM(DI$7:DI70)+SUM(DM$7:DM70)</f>
        <v>567.98550239234464</v>
      </c>
      <c r="DR70" s="14">
        <f>DD70-SUM(DJ$7:DJ70)+SUM(DN$7:DN70)</f>
        <v>321.2234545454545</v>
      </c>
      <c r="DU70" s="95">
        <v>65</v>
      </c>
      <c r="DV70" s="14">
        <f t="shared" si="71"/>
        <v>8</v>
      </c>
      <c r="DW70" s="14">
        <f t="shared" si="72"/>
        <v>2</v>
      </c>
      <c r="DX70" s="14">
        <f t="shared" si="147"/>
        <v>0</v>
      </c>
      <c r="DY70" s="14">
        <f t="shared" si="147"/>
        <v>0</v>
      </c>
      <c r="DZ70" s="14">
        <f t="shared" si="147"/>
        <v>0</v>
      </c>
      <c r="EA70" s="14">
        <f t="shared" si="147"/>
        <v>88.504000000000005</v>
      </c>
      <c r="EB70" s="14">
        <f t="shared" si="73"/>
        <v>4</v>
      </c>
      <c r="EC70" s="14">
        <f t="shared" si="74"/>
        <v>0</v>
      </c>
      <c r="EJ70" s="139">
        <v>65</v>
      </c>
      <c r="EK70" s="14">
        <f t="shared" si="76"/>
        <v>8</v>
      </c>
      <c r="EL70" s="19">
        <v>0.03</v>
      </c>
      <c r="EM70" s="139">
        <v>2</v>
      </c>
      <c r="EN70" s="139" t="s">
        <v>941</v>
      </c>
      <c r="EO70" s="139">
        <f t="shared" si="77"/>
        <v>5192</v>
      </c>
      <c r="EP70" s="139" t="s">
        <v>853</v>
      </c>
      <c r="EQ70" s="139">
        <v>8</v>
      </c>
      <c r="ER70" s="139"/>
      <c r="ES70" s="139"/>
      <c r="ET70" s="139">
        <f t="shared" ref="ET70:ET77" si="149">ROUND(1/EX70,2)</f>
        <v>0.09</v>
      </c>
      <c r="EU70" s="139">
        <v>1</v>
      </c>
      <c r="EV70" s="139">
        <f t="shared" si="140"/>
        <v>17</v>
      </c>
      <c r="EW70" s="139"/>
      <c r="EX70" s="139">
        <f t="shared" si="148"/>
        <v>11.063000000000001</v>
      </c>
      <c r="EY70" s="206">
        <f t="shared" si="79"/>
        <v>57442.799999999996</v>
      </c>
      <c r="FA70">
        <v>0</v>
      </c>
      <c r="FB70">
        <v>1</v>
      </c>
      <c r="FC70">
        <f t="shared" ref="FC70:FC77" si="150">ROUND(EX70*0.35,0)</f>
        <v>4</v>
      </c>
      <c r="FD70" s="89">
        <f t="shared" ref="FD70:FD77" si="151">ROUND(1/EX70/2,4)</f>
        <v>4.5199999999999997E-2</v>
      </c>
      <c r="FE70">
        <v>1</v>
      </c>
      <c r="FF70">
        <f t="shared" ref="FF70:FF77" si="152">ROUND(EX70*0.7,0)</f>
        <v>8</v>
      </c>
      <c r="FG70" s="89">
        <f t="shared" ref="FG70:FG77" si="153">ROUND(2/EX70,4)</f>
        <v>0.18079999999999999</v>
      </c>
      <c r="FH70">
        <v>1</v>
      </c>
      <c r="FI70">
        <f t="shared" ref="FI70:FI77" si="154">ROUND(EX70*1.5,0)</f>
        <v>17</v>
      </c>
      <c r="FS70" s="101">
        <v>65</v>
      </c>
      <c r="FT70" s="101">
        <f t="shared" si="80"/>
        <v>58</v>
      </c>
      <c r="FU70" s="101">
        <f t="shared" si="81"/>
        <v>1</v>
      </c>
      <c r="FV70" s="14">
        <f t="shared" si="82"/>
        <v>5</v>
      </c>
      <c r="FW70" s="101" t="str">
        <f t="shared" si="83"/>
        <v>关羽专属武器-魂珠-7 4级</v>
      </c>
      <c r="FX70" s="101">
        <f t="shared" si="84"/>
        <v>7</v>
      </c>
      <c r="FY70" s="101">
        <f t="shared" si="85"/>
        <v>4</v>
      </c>
      <c r="FZ70" s="101" t="str">
        <f t="shared" si="86"/>
        <v>金币</v>
      </c>
      <c r="GA70" s="139">
        <f>IF($FY70&gt;0,IF(INDEX($EM$6:$EM$77,$FT70)&gt;=GA$3,ROUND(INDEX(EO$6:EO$77,$FT70)*INDEX(卡牌消耗!$B$8:$F$8,FV70)/5,0)*5,""),"")</f>
        <v>16245</v>
      </c>
      <c r="GB70" s="101" t="str">
        <f t="shared" si="87"/>
        <v>专属强化石3</v>
      </c>
      <c r="GC70" s="101">
        <f t="shared" si="88"/>
        <v>12</v>
      </c>
      <c r="GD70" s="101" t="str">
        <f t="shared" si="89"/>
        <v>专属强化石4</v>
      </c>
      <c r="GE70" s="101">
        <f t="shared" si="90"/>
        <v>4</v>
      </c>
      <c r="GF70" s="101">
        <f t="shared" si="91"/>
        <v>0.08</v>
      </c>
      <c r="GG70" s="101">
        <f t="shared" si="92"/>
        <v>1</v>
      </c>
      <c r="GH70" s="101">
        <f t="shared" si="93"/>
        <v>19</v>
      </c>
      <c r="GI70" s="101">
        <f t="shared" si="94"/>
        <v>0</v>
      </c>
      <c r="GJ70" s="101">
        <f t="shared" si="95"/>
        <v>1</v>
      </c>
      <c r="GK70" s="101">
        <f t="shared" si="96"/>
        <v>4</v>
      </c>
      <c r="GL70" s="101">
        <f t="shared" si="97"/>
        <v>3.9800000000000002E-2</v>
      </c>
      <c r="GM70" s="101">
        <f t="shared" si="98"/>
        <v>1</v>
      </c>
      <c r="GN70" s="101">
        <f t="shared" si="99"/>
        <v>9</v>
      </c>
      <c r="GO70" s="101">
        <f t="shared" si="100"/>
        <v>0.15909999999999999</v>
      </c>
      <c r="GP70" s="101">
        <f t="shared" si="101"/>
        <v>1</v>
      </c>
      <c r="GQ70" s="101">
        <f t="shared" si="102"/>
        <v>19</v>
      </c>
    </row>
    <row r="71" spans="85:199" ht="16.5" x14ac:dyDescent="0.2">
      <c r="CY71" s="83">
        <v>55</v>
      </c>
      <c r="CZ71" s="14">
        <f>INDEX(节奏总表!$CK$4:CK128,专属武器强化!CY71)</f>
        <v>145</v>
      </c>
      <c r="DA71" s="14">
        <f t="shared" si="143"/>
        <v>3340</v>
      </c>
      <c r="DB71" s="14">
        <f t="shared" si="144"/>
        <v>3340</v>
      </c>
      <c r="DC71" s="14">
        <f t="shared" si="145"/>
        <v>2695</v>
      </c>
      <c r="DD71" s="14">
        <f t="shared" si="146"/>
        <v>1210</v>
      </c>
      <c r="DE71" s="83">
        <v>0</v>
      </c>
      <c r="DF71" s="83">
        <v>0</v>
      </c>
      <c r="DG71" s="14">
        <f t="shared" ref="DG71:DG76" si="155">IF(DE71&gt;0,INDEX($K$22:$AP$30,$DF71,($DE71-1)*4+1),0)*3</f>
        <v>0</v>
      </c>
      <c r="DH71" s="14">
        <f t="shared" ref="DH71:DH76" si="156">IF(DE71&gt;0,INDEX($K$22:$AP$30,$DF71,($DE71-1)*4+2),0)*3</f>
        <v>0</v>
      </c>
      <c r="DI71" s="14">
        <f t="shared" ref="DI71:DI76" si="157">IF(DE71&gt;0,INDEX($K$22:$AP$30,$DF71,($DE71-1)*4+3),0)*3</f>
        <v>0</v>
      </c>
      <c r="DJ71" s="14">
        <f t="shared" ref="DJ71:DJ76" si="158">IF(DF71&gt;0,INDEX($K$22:$AP$30,$DF71,($DE71-1)*4+4),0)*3</f>
        <v>0</v>
      </c>
      <c r="DK71" s="83"/>
      <c r="DL71" s="83"/>
      <c r="DM71" s="83"/>
      <c r="DN71" s="83"/>
      <c r="DO71" s="14">
        <f>DA71-SUM(DG$7:DG71)+SUM(DK$7:DK71)</f>
        <v>969.17124999999942</v>
      </c>
      <c r="DP71" s="14">
        <f>DB71-SUM(DH$7:DH71)+SUM(DL$7:DL71)</f>
        <v>1359.2883717105258</v>
      </c>
      <c r="DQ71" s="14">
        <f>DC71-SUM(DI$7:DI71)+SUM(DM$7:DM71)</f>
        <v>642.98550239234464</v>
      </c>
      <c r="DR71" s="14">
        <f>DD71-SUM(DJ$7:DJ71)+SUM(DN$7:DN71)</f>
        <v>391.2234545454545</v>
      </c>
      <c r="DU71" s="95">
        <v>66</v>
      </c>
      <c r="DV71" s="14">
        <f t="shared" ref="DV71:DV77" si="159">INT((DU71-1)/9)+1</f>
        <v>8</v>
      </c>
      <c r="DW71" s="14">
        <f t="shared" ref="DW71:DW77" si="160">DU71-(DV71-1)*9</f>
        <v>3</v>
      </c>
      <c r="DX71" s="14">
        <f t="shared" si="147"/>
        <v>0</v>
      </c>
      <c r="DY71" s="14">
        <f t="shared" si="147"/>
        <v>0</v>
      </c>
      <c r="DZ71" s="14">
        <f t="shared" si="147"/>
        <v>0</v>
      </c>
      <c r="EA71" s="14">
        <f t="shared" si="147"/>
        <v>132.756</v>
      </c>
      <c r="EB71" s="14">
        <f t="shared" ref="EB71:EB77" si="161">INDEX($BH$6:$BH$13,DV71)</f>
        <v>4</v>
      </c>
      <c r="EC71" s="14">
        <f t="shared" ref="EC71:EC77" si="162">INDEX($BI$6:$BI$13,DV71)</f>
        <v>0</v>
      </c>
      <c r="EJ71" s="139">
        <v>66</v>
      </c>
      <c r="EK71" s="14">
        <f t="shared" ref="EK71:EK77" si="163">INT((EJ71-1)/9)+1</f>
        <v>8</v>
      </c>
      <c r="EL71" s="19">
        <f t="shared" ref="EL71" si="164">EL69+EL70</f>
        <v>0.05</v>
      </c>
      <c r="EM71" s="139">
        <v>2</v>
      </c>
      <c r="EN71" s="139" t="s">
        <v>941</v>
      </c>
      <c r="EO71" s="139">
        <f t="shared" ref="EO71:EO77" si="165">ROUND(INDEX($EG$6:$EG$13,EK71)*EL71/EX71,0)</f>
        <v>7212</v>
      </c>
      <c r="EP71" s="139" t="s">
        <v>853</v>
      </c>
      <c r="EQ71" s="139">
        <v>10</v>
      </c>
      <c r="ER71" s="139"/>
      <c r="ES71" s="139"/>
      <c r="ET71" s="139">
        <f t="shared" si="149"/>
        <v>0.08</v>
      </c>
      <c r="EU71" s="139">
        <v>1</v>
      </c>
      <c r="EV71" s="139">
        <f t="shared" si="140"/>
        <v>20</v>
      </c>
      <c r="EW71" s="139"/>
      <c r="EX71" s="139">
        <f t="shared" si="148"/>
        <v>13.275600000000001</v>
      </c>
      <c r="EY71" s="206">
        <f t="shared" ref="EY71:EY77" si="166">INDEX($EG$6:$EG$13,EK71)*EL71</f>
        <v>95738</v>
      </c>
      <c r="FA71">
        <v>0</v>
      </c>
      <c r="FB71">
        <v>1</v>
      </c>
      <c r="FC71">
        <f t="shared" si="150"/>
        <v>5</v>
      </c>
      <c r="FD71" s="89">
        <f t="shared" si="151"/>
        <v>3.7699999999999997E-2</v>
      </c>
      <c r="FE71">
        <v>1</v>
      </c>
      <c r="FF71">
        <f t="shared" si="152"/>
        <v>9</v>
      </c>
      <c r="FG71" s="89">
        <f t="shared" si="153"/>
        <v>0.1507</v>
      </c>
      <c r="FH71">
        <v>1</v>
      </c>
      <c r="FI71">
        <f t="shared" si="154"/>
        <v>20</v>
      </c>
      <c r="FS71" s="101">
        <v>66</v>
      </c>
      <c r="FT71" s="101">
        <f t="shared" ref="FT71:FT85" si="167">IF(FY71&gt;0,(FX71-1)*9+FY71,0)</f>
        <v>59</v>
      </c>
      <c r="FU71" s="101">
        <f t="shared" ref="FU71:FU134" si="168">INT((FS71-1)/80+1)</f>
        <v>1</v>
      </c>
      <c r="FV71" s="14">
        <f t="shared" ref="FV71:FV134" si="169">INDEX($FO$6:$FO$26,FU71)</f>
        <v>5</v>
      </c>
      <c r="FW71" s="101" t="str">
        <f t="shared" ref="FW71:FW85" si="170">INDEX($FN$6:$FN$26,FU71)&amp;"专属武器-魂珠-"&amp;FX71&amp;" "&amp;FY71&amp;"级"</f>
        <v>关羽专属武器-魂珠-7 5级</v>
      </c>
      <c r="FX71" s="101">
        <f t="shared" ref="FX71:FX85" si="171">INT((FS71-(FU71-1)*80-1)/10)+1</f>
        <v>7</v>
      </c>
      <c r="FY71" s="101">
        <f t="shared" ref="FY71:FY85" si="172">FS71-(FU71-1)*80-(FX71-1)*10-1</f>
        <v>5</v>
      </c>
      <c r="FZ71" s="101" t="str">
        <f t="shared" ref="FZ71:FZ134" si="173">IF($FY71&gt;0,IF(INDEX($EM$6:$EM$77,$FT71)&gt;=FZ$3,INDEX(EN$6:EN$77,$FT71),""),"")</f>
        <v>金币</v>
      </c>
      <c r="GA71" s="139">
        <f>IF($FY71&gt;0,IF(INDEX($EM$6:$EM$77,$FT71)&gt;=GA$3,ROUND(INDEX(EO$6:EO$77,$FT71)*INDEX(卡牌消耗!$B$8:$F$8,FV71)/5,0)*5,""),"")</f>
        <v>16500</v>
      </c>
      <c r="GB71" s="101" t="str">
        <f t="shared" ref="GB71:GB134" si="174">IF($FY71&gt;0,IF(INDEX($EM$6:$EM$77,$FT71)&gt;=GB$3,INDEX(EP$6:EP$77,$FT71),""),"")</f>
        <v>专属强化石3</v>
      </c>
      <c r="GC71" s="101">
        <f t="shared" ref="GC71:GC134" si="175">IF($FY71&gt;0,IF(INDEX($EM$6:$EM$77,$FT71)&gt;=GC$3,INDEX(EQ$6:EQ$77,$FT71),""),"")</f>
        <v>12</v>
      </c>
      <c r="GD71" s="101" t="str">
        <f t="shared" ref="GD71:GD134" si="176">IF($FY71&gt;0,IF(INDEX($EM$6:$EM$77,$FT71)&gt;=GD$3,INDEX(ER$6:ER$77,$FT71),""),"")</f>
        <v>专属强化石4</v>
      </c>
      <c r="GE71" s="101">
        <f t="shared" ref="GE71:GE134" si="177">IF($FY71&gt;0,IF(INDEX($EM$6:$EM$77,$FT71)&gt;=GE$3,INDEX(ES$6:ES$77,$FT71),""),"")</f>
        <v>4</v>
      </c>
      <c r="GF71" s="101">
        <f t="shared" ref="GF71:GF85" si="178">IF($FY71&gt;0,INDEX(ET$6:ET$77,$FT71),"")</f>
        <v>0.05</v>
      </c>
      <c r="GG71" s="101">
        <f t="shared" ref="GG71:GG85" si="179">IF($FY71&gt;0,INDEX(EU$6:EU$77,$FT71),"")</f>
        <v>1</v>
      </c>
      <c r="GH71" s="101">
        <f t="shared" ref="GH71:GH85" si="180">IF($FY71&gt;0,INDEX(EV$6:EV$77,$FT71),"")</f>
        <v>30</v>
      </c>
      <c r="GI71" s="101">
        <f t="shared" ref="GI71:GI85" si="181">IF($FY71&gt;0,INDEX(FA$6:FA$77,$FT71),"")</f>
        <v>0</v>
      </c>
      <c r="GJ71" s="101">
        <f t="shared" ref="GJ71:GJ85" si="182">IF($FY71&gt;0,INDEX(FB$6:FB$77,$FT71),"")</f>
        <v>1</v>
      </c>
      <c r="GK71" s="101">
        <f t="shared" ref="GK71:GK85" si="183">IF($FY71&gt;0,INDEX(FC$6:FC$77,$FT71),"")</f>
        <v>7</v>
      </c>
      <c r="GL71" s="101">
        <f t="shared" ref="GL71:GL85" si="184">IF($FY71&gt;0,INDEX(FD$6:FD$77,$FT71),"")</f>
        <v>2.4899999999999999E-2</v>
      </c>
      <c r="GM71" s="101">
        <f t="shared" ref="GM71:GM85" si="185">IF($FY71&gt;0,INDEX(FE$6:FE$77,$FT71),"")</f>
        <v>1</v>
      </c>
      <c r="GN71" s="101">
        <f t="shared" ref="GN71:GN85" si="186">IF($FY71&gt;0,INDEX(FF$6:FF$77,$FT71),"")</f>
        <v>14</v>
      </c>
      <c r="GO71" s="101">
        <f t="shared" ref="GO71:GO85" si="187">IF($FY71&gt;0,INDEX(FG$6:FG$77,$FT71),"")</f>
        <v>9.9400000000000002E-2</v>
      </c>
      <c r="GP71" s="101">
        <f t="shared" ref="GP71:GP85" si="188">IF($FY71&gt;0,INDEX(FH$6:FH$77,$FT71),"")</f>
        <v>1</v>
      </c>
      <c r="GQ71" s="101">
        <f t="shared" ref="GQ71:GQ85" si="189">IF($FY71&gt;0,INDEX(FI$6:FI$77,$FT71),"")</f>
        <v>30</v>
      </c>
    </row>
    <row r="72" spans="85:199" ht="16.5" x14ac:dyDescent="0.2">
      <c r="CY72" s="83">
        <v>56</v>
      </c>
      <c r="CZ72" s="14">
        <f>INDEX(节奏总表!$CK$4:CK129,专属武器强化!CY72)</f>
        <v>146</v>
      </c>
      <c r="DA72" s="14">
        <f t="shared" si="143"/>
        <v>3340</v>
      </c>
      <c r="DB72" s="14">
        <f t="shared" si="144"/>
        <v>3340</v>
      </c>
      <c r="DC72" s="14">
        <f t="shared" si="145"/>
        <v>2770</v>
      </c>
      <c r="DD72" s="14">
        <f t="shared" si="146"/>
        <v>1280</v>
      </c>
      <c r="DE72" s="83">
        <v>6</v>
      </c>
      <c r="DF72" s="83">
        <v>4</v>
      </c>
      <c r="DG72" s="14">
        <f t="shared" si="155"/>
        <v>0</v>
      </c>
      <c r="DH72" s="14">
        <f t="shared" si="156"/>
        <v>0</v>
      </c>
      <c r="DI72" s="14">
        <f t="shared" si="157"/>
        <v>448.03181818181815</v>
      </c>
      <c r="DJ72" s="14">
        <f t="shared" si="158"/>
        <v>90.515454545454546</v>
      </c>
      <c r="DK72" s="83"/>
      <c r="DL72" s="83"/>
      <c r="DM72" s="83">
        <v>25</v>
      </c>
      <c r="DN72" s="83"/>
      <c r="DO72" s="14">
        <f>DA72-SUM(DG$7:DG72)+SUM(DK$7:DK72)</f>
        <v>969.17124999999942</v>
      </c>
      <c r="DP72" s="14">
        <f>DB72-SUM(DH$7:DH72)+SUM(DL$7:DL72)</f>
        <v>1359.2883717105258</v>
      </c>
      <c r="DQ72" s="14">
        <f>DC72-SUM(DI$7:DI72)+SUM(DM$7:DM72)</f>
        <v>294.95368421052626</v>
      </c>
      <c r="DR72" s="14">
        <f>DD72-SUM(DJ$7:DJ72)+SUM(DN$7:DN72)</f>
        <v>370.70799999999997</v>
      </c>
      <c r="DU72" s="95">
        <v>67</v>
      </c>
      <c r="DV72" s="14">
        <f t="shared" si="159"/>
        <v>8</v>
      </c>
      <c r="DW72" s="14">
        <f t="shared" si="160"/>
        <v>4</v>
      </c>
      <c r="DX72" s="14">
        <f t="shared" si="147"/>
        <v>0</v>
      </c>
      <c r="DY72" s="14">
        <f t="shared" si="147"/>
        <v>0</v>
      </c>
      <c r="DZ72" s="14">
        <f t="shared" si="147"/>
        <v>0</v>
      </c>
      <c r="EA72" s="14">
        <f t="shared" si="147"/>
        <v>221.26</v>
      </c>
      <c r="EB72" s="14">
        <f t="shared" si="161"/>
        <v>4</v>
      </c>
      <c r="EC72" s="14">
        <f t="shared" si="162"/>
        <v>0</v>
      </c>
      <c r="EJ72" s="139">
        <v>67</v>
      </c>
      <c r="EK72" s="14">
        <f t="shared" si="163"/>
        <v>8</v>
      </c>
      <c r="EL72" s="19">
        <f t="shared" si="115"/>
        <v>0.08</v>
      </c>
      <c r="EM72" s="139">
        <v>2</v>
      </c>
      <c r="EN72" s="139" t="s">
        <v>941</v>
      </c>
      <c r="EO72" s="139">
        <f t="shared" si="165"/>
        <v>8308</v>
      </c>
      <c r="EP72" s="139" t="s">
        <v>853</v>
      </c>
      <c r="EQ72" s="139">
        <v>12</v>
      </c>
      <c r="ER72" s="139"/>
      <c r="ES72" s="139"/>
      <c r="ET72" s="139">
        <f t="shared" si="149"/>
        <v>0.05</v>
      </c>
      <c r="EU72" s="139">
        <v>1</v>
      </c>
      <c r="EV72" s="139">
        <f t="shared" si="140"/>
        <v>28</v>
      </c>
      <c r="EW72" s="139"/>
      <c r="EX72" s="139">
        <f t="shared" si="148"/>
        <v>18.438333333333333</v>
      </c>
      <c r="EY72" s="206">
        <f t="shared" si="166"/>
        <v>153180.80000000002</v>
      </c>
      <c r="FA72">
        <v>0</v>
      </c>
      <c r="FB72">
        <v>1</v>
      </c>
      <c r="FC72">
        <f t="shared" si="150"/>
        <v>6</v>
      </c>
      <c r="FD72" s="89">
        <f t="shared" si="151"/>
        <v>2.7099999999999999E-2</v>
      </c>
      <c r="FE72">
        <v>1</v>
      </c>
      <c r="FF72">
        <f t="shared" si="152"/>
        <v>13</v>
      </c>
      <c r="FG72" s="89">
        <f t="shared" si="153"/>
        <v>0.1085</v>
      </c>
      <c r="FH72">
        <v>1</v>
      </c>
      <c r="FI72">
        <f t="shared" si="154"/>
        <v>28</v>
      </c>
      <c r="FS72" s="101">
        <v>67</v>
      </c>
      <c r="FT72" s="101">
        <f t="shared" si="167"/>
        <v>60</v>
      </c>
      <c r="FU72" s="101">
        <f t="shared" si="168"/>
        <v>1</v>
      </c>
      <c r="FV72" s="14">
        <f t="shared" si="169"/>
        <v>5</v>
      </c>
      <c r="FW72" s="101" t="str">
        <f t="shared" si="170"/>
        <v>关羽专属武器-魂珠-7 6级</v>
      </c>
      <c r="FX72" s="101">
        <f t="shared" si="171"/>
        <v>7</v>
      </c>
      <c r="FY72" s="101">
        <f t="shared" si="172"/>
        <v>6</v>
      </c>
      <c r="FZ72" s="101" t="str">
        <f t="shared" si="173"/>
        <v>金币</v>
      </c>
      <c r="GA72" s="139">
        <f>IF($FY72&gt;0,IF(INDEX($EM$6:$EM$77,$FT72)&gt;=GA$3,ROUND(INDEX(EO$6:EO$77,$FT72)*INDEX(卡牌消耗!$B$8:$F$8,FV72)/5,0)*5,""),"")</f>
        <v>20505</v>
      </c>
      <c r="GB72" s="101" t="str">
        <f t="shared" si="174"/>
        <v>专属强化石3</v>
      </c>
      <c r="GC72" s="101">
        <f t="shared" si="175"/>
        <v>15</v>
      </c>
      <c r="GD72" s="101" t="str">
        <f t="shared" si="176"/>
        <v>专属强化石4</v>
      </c>
      <c r="GE72" s="101">
        <f t="shared" si="177"/>
        <v>5</v>
      </c>
      <c r="GF72" s="101">
        <f t="shared" si="178"/>
        <v>0.04</v>
      </c>
      <c r="GG72" s="101">
        <f t="shared" si="179"/>
        <v>1</v>
      </c>
      <c r="GH72" s="101">
        <f t="shared" si="180"/>
        <v>39</v>
      </c>
      <c r="GI72" s="101">
        <f t="shared" si="181"/>
        <v>0</v>
      </c>
      <c r="GJ72" s="101">
        <f t="shared" si="182"/>
        <v>1</v>
      </c>
      <c r="GK72" s="101">
        <f t="shared" si="183"/>
        <v>9</v>
      </c>
      <c r="GL72" s="101">
        <f t="shared" si="184"/>
        <v>1.9099999999999999E-2</v>
      </c>
      <c r="GM72" s="101">
        <f t="shared" si="185"/>
        <v>1</v>
      </c>
      <c r="GN72" s="101">
        <f t="shared" si="186"/>
        <v>18</v>
      </c>
      <c r="GO72" s="101">
        <f t="shared" si="187"/>
        <v>7.6499999999999999E-2</v>
      </c>
      <c r="GP72" s="101">
        <f t="shared" si="188"/>
        <v>1</v>
      </c>
      <c r="GQ72" s="101">
        <f t="shared" si="189"/>
        <v>39</v>
      </c>
    </row>
    <row r="73" spans="85:199" ht="16.5" x14ac:dyDescent="0.2">
      <c r="CY73" s="83">
        <v>57</v>
      </c>
      <c r="CZ73" s="14">
        <f>INDEX(节奏总表!$CK$4:CK130,专属武器强化!CY73)</f>
        <v>147</v>
      </c>
      <c r="DA73" s="14">
        <f t="shared" si="143"/>
        <v>3340</v>
      </c>
      <c r="DB73" s="14">
        <f t="shared" si="144"/>
        <v>3340</v>
      </c>
      <c r="DC73" s="14">
        <f t="shared" si="145"/>
        <v>2845</v>
      </c>
      <c r="DD73" s="14">
        <f t="shared" si="146"/>
        <v>1350</v>
      </c>
      <c r="DE73" s="83">
        <v>0</v>
      </c>
      <c r="DF73" s="83">
        <v>0</v>
      </c>
      <c r="DG73" s="14">
        <f t="shared" si="155"/>
        <v>0</v>
      </c>
      <c r="DH73" s="14">
        <f t="shared" si="156"/>
        <v>0</v>
      </c>
      <c r="DI73" s="14">
        <f t="shared" si="157"/>
        <v>0</v>
      </c>
      <c r="DJ73" s="14">
        <f t="shared" si="158"/>
        <v>0</v>
      </c>
      <c r="DK73" s="83"/>
      <c r="DL73" s="83"/>
      <c r="DM73" s="83"/>
      <c r="DN73" s="83"/>
      <c r="DO73" s="14">
        <f>DA73-SUM(DG$7:DG73)+SUM(DK$7:DK73)</f>
        <v>969.17124999999942</v>
      </c>
      <c r="DP73" s="14">
        <f>DB73-SUM(DH$7:DH73)+SUM(DL$7:DL73)</f>
        <v>1359.2883717105258</v>
      </c>
      <c r="DQ73" s="14">
        <f>DC73-SUM(DI$7:DI73)+SUM(DM$7:DM73)</f>
        <v>369.95368421052626</v>
      </c>
      <c r="DR73" s="14">
        <f>DD73-SUM(DJ$7:DJ73)+SUM(DN$7:DN73)</f>
        <v>440.70799999999997</v>
      </c>
      <c r="DU73" s="95">
        <v>68</v>
      </c>
      <c r="DV73" s="14">
        <f t="shared" si="159"/>
        <v>8</v>
      </c>
      <c r="DW73" s="14">
        <f t="shared" si="160"/>
        <v>5</v>
      </c>
      <c r="DX73" s="14">
        <f t="shared" si="147"/>
        <v>0</v>
      </c>
      <c r="DY73" s="14">
        <f t="shared" si="147"/>
        <v>0</v>
      </c>
      <c r="DZ73" s="14">
        <f t="shared" si="147"/>
        <v>0</v>
      </c>
      <c r="EA73" s="14">
        <f t="shared" si="147"/>
        <v>354.01600000000002</v>
      </c>
      <c r="EB73" s="14">
        <f t="shared" si="161"/>
        <v>4</v>
      </c>
      <c r="EC73" s="14">
        <f t="shared" si="162"/>
        <v>0</v>
      </c>
      <c r="EJ73" s="139">
        <v>68</v>
      </c>
      <c r="EK73" s="14">
        <f t="shared" si="163"/>
        <v>8</v>
      </c>
      <c r="EL73" s="19">
        <f t="shared" si="115"/>
        <v>0.13</v>
      </c>
      <c r="EM73" s="139">
        <v>2</v>
      </c>
      <c r="EN73" s="139" t="s">
        <v>941</v>
      </c>
      <c r="EO73" s="139">
        <f t="shared" si="165"/>
        <v>10547</v>
      </c>
      <c r="EP73" s="139" t="s">
        <v>853</v>
      </c>
      <c r="EQ73" s="139">
        <v>15</v>
      </c>
      <c r="ER73" s="139"/>
      <c r="ES73" s="139"/>
      <c r="ET73" s="139">
        <f t="shared" si="149"/>
        <v>0.04</v>
      </c>
      <c r="EU73" s="139">
        <v>1</v>
      </c>
      <c r="EV73" s="139">
        <f t="shared" si="140"/>
        <v>35</v>
      </c>
      <c r="EW73" s="139"/>
      <c r="EX73" s="139">
        <f t="shared" si="148"/>
        <v>23.601066666666668</v>
      </c>
      <c r="EY73" s="206">
        <f t="shared" si="166"/>
        <v>248918.80000000002</v>
      </c>
      <c r="FA73">
        <v>0</v>
      </c>
      <c r="FB73">
        <v>1</v>
      </c>
      <c r="FC73">
        <f t="shared" si="150"/>
        <v>8</v>
      </c>
      <c r="FD73" s="89">
        <f t="shared" si="151"/>
        <v>2.12E-2</v>
      </c>
      <c r="FE73">
        <v>1</v>
      </c>
      <c r="FF73">
        <f t="shared" si="152"/>
        <v>17</v>
      </c>
      <c r="FG73" s="89">
        <f t="shared" si="153"/>
        <v>8.4699999999999998E-2</v>
      </c>
      <c r="FH73">
        <v>1</v>
      </c>
      <c r="FI73">
        <f t="shared" si="154"/>
        <v>35</v>
      </c>
      <c r="FS73" s="101">
        <v>68</v>
      </c>
      <c r="FT73" s="101">
        <f t="shared" si="167"/>
        <v>61</v>
      </c>
      <c r="FU73" s="101">
        <f t="shared" si="168"/>
        <v>1</v>
      </c>
      <c r="FV73" s="14">
        <f t="shared" si="169"/>
        <v>5</v>
      </c>
      <c r="FW73" s="101" t="str">
        <f t="shared" si="170"/>
        <v>关羽专属武器-魂珠-7 7级</v>
      </c>
      <c r="FX73" s="101">
        <f t="shared" si="171"/>
        <v>7</v>
      </c>
      <c r="FY73" s="101">
        <f t="shared" si="172"/>
        <v>7</v>
      </c>
      <c r="FZ73" s="101" t="str">
        <f t="shared" si="173"/>
        <v>金币</v>
      </c>
      <c r="GA73" s="139">
        <f>IF($FY73&gt;0,IF(INDEX($EM$6:$EM$77,$FT73)&gt;=GA$3,ROUND(INDEX(EO$6:EO$77,$FT73)*INDEX(卡牌消耗!$B$8:$F$8,FV73)/5,0)*5,""),"")</f>
        <v>28770</v>
      </c>
      <c r="GB73" s="101" t="str">
        <f t="shared" si="174"/>
        <v>专属强化石3</v>
      </c>
      <c r="GC73" s="101">
        <f t="shared" si="175"/>
        <v>21</v>
      </c>
      <c r="GD73" s="101" t="str">
        <f t="shared" si="176"/>
        <v>专属强化石4</v>
      </c>
      <c r="GE73" s="101">
        <f t="shared" si="177"/>
        <v>7</v>
      </c>
      <c r="GF73" s="101">
        <f t="shared" si="178"/>
        <v>0.03</v>
      </c>
      <c r="GG73" s="101">
        <f t="shared" si="179"/>
        <v>1</v>
      </c>
      <c r="GH73" s="101">
        <f t="shared" si="180"/>
        <v>45</v>
      </c>
      <c r="GI73" s="101">
        <f t="shared" si="181"/>
        <v>0</v>
      </c>
      <c r="GJ73" s="101">
        <f t="shared" si="182"/>
        <v>1</v>
      </c>
      <c r="GK73" s="101">
        <f t="shared" si="183"/>
        <v>11</v>
      </c>
      <c r="GL73" s="101">
        <f t="shared" si="184"/>
        <v>1.66E-2</v>
      </c>
      <c r="GM73" s="101">
        <f t="shared" si="185"/>
        <v>1</v>
      </c>
      <c r="GN73" s="101">
        <f t="shared" si="186"/>
        <v>21</v>
      </c>
      <c r="GO73" s="101">
        <f t="shared" si="187"/>
        <v>6.6299999999999998E-2</v>
      </c>
      <c r="GP73" s="101">
        <f t="shared" si="188"/>
        <v>1</v>
      </c>
      <c r="GQ73" s="101">
        <f t="shared" si="189"/>
        <v>45</v>
      </c>
    </row>
    <row r="74" spans="85:199" ht="16.5" x14ac:dyDescent="0.2">
      <c r="CY74" s="83">
        <v>58</v>
      </c>
      <c r="CZ74" s="14">
        <f>INDEX(节奏总表!$CK$4:CK131,专属武器强化!CY74)</f>
        <v>147</v>
      </c>
      <c r="DA74" s="14">
        <f t="shared" si="143"/>
        <v>3340</v>
      </c>
      <c r="DB74" s="14">
        <f t="shared" si="144"/>
        <v>3340</v>
      </c>
      <c r="DC74" s="14">
        <f t="shared" si="145"/>
        <v>2920</v>
      </c>
      <c r="DD74" s="14">
        <f t="shared" si="146"/>
        <v>1420</v>
      </c>
      <c r="DE74" s="83">
        <v>0</v>
      </c>
      <c r="DF74" s="83">
        <v>0</v>
      </c>
      <c r="DG74" s="14">
        <f t="shared" si="155"/>
        <v>0</v>
      </c>
      <c r="DH74" s="14">
        <f t="shared" si="156"/>
        <v>0</v>
      </c>
      <c r="DI74" s="14">
        <f t="shared" si="157"/>
        <v>0</v>
      </c>
      <c r="DJ74" s="14">
        <f t="shared" si="158"/>
        <v>0</v>
      </c>
      <c r="DK74" s="83"/>
      <c r="DL74" s="83"/>
      <c r="DM74" s="83"/>
      <c r="DN74" s="83"/>
      <c r="DO74" s="14">
        <f>DA74-SUM(DG$7:DG74)+SUM(DK$7:DK74)</f>
        <v>969.17124999999942</v>
      </c>
      <c r="DP74" s="14">
        <f>DB74-SUM(DH$7:DH74)+SUM(DL$7:DL74)</f>
        <v>1359.2883717105258</v>
      </c>
      <c r="DQ74" s="14">
        <f>DC74-SUM(DI$7:DI74)+SUM(DM$7:DM74)</f>
        <v>444.95368421052626</v>
      </c>
      <c r="DR74" s="14">
        <f>DD74-SUM(DJ$7:DJ74)+SUM(DN$7:DN74)</f>
        <v>510.70799999999997</v>
      </c>
      <c r="DU74" s="95">
        <v>69</v>
      </c>
      <c r="DV74" s="14">
        <f t="shared" si="159"/>
        <v>8</v>
      </c>
      <c r="DW74" s="14">
        <f t="shared" si="160"/>
        <v>6</v>
      </c>
      <c r="DX74" s="14">
        <f t="shared" si="147"/>
        <v>0</v>
      </c>
      <c r="DY74" s="14">
        <f t="shared" si="147"/>
        <v>0</v>
      </c>
      <c r="DZ74" s="14">
        <f t="shared" si="147"/>
        <v>0</v>
      </c>
      <c r="EA74" s="14">
        <f t="shared" si="147"/>
        <v>575.27599999999995</v>
      </c>
      <c r="EB74" s="14">
        <f t="shared" si="161"/>
        <v>4</v>
      </c>
      <c r="EC74" s="14">
        <f t="shared" si="162"/>
        <v>0</v>
      </c>
      <c r="EJ74" s="139">
        <v>69</v>
      </c>
      <c r="EK74" s="14">
        <f t="shared" si="163"/>
        <v>8</v>
      </c>
      <c r="EL74" s="19">
        <f t="shared" si="115"/>
        <v>0.21000000000000002</v>
      </c>
      <c r="EM74" s="139">
        <v>2</v>
      </c>
      <c r="EN74" s="139" t="s">
        <v>941</v>
      </c>
      <c r="EO74" s="139">
        <f t="shared" si="165"/>
        <v>12581</v>
      </c>
      <c r="EP74" s="139" t="s">
        <v>853</v>
      </c>
      <c r="EQ74" s="139">
        <v>18</v>
      </c>
      <c r="ER74" s="139"/>
      <c r="ES74" s="139"/>
      <c r="ET74" s="139">
        <f t="shared" si="149"/>
        <v>0.03</v>
      </c>
      <c r="EU74" s="139">
        <v>1</v>
      </c>
      <c r="EV74" s="139">
        <f t="shared" si="140"/>
        <v>48</v>
      </c>
      <c r="EW74" s="139"/>
      <c r="EX74" s="139">
        <f t="shared" si="148"/>
        <v>31.959777777777774</v>
      </c>
      <c r="EY74" s="206">
        <f t="shared" si="166"/>
        <v>402099.60000000003</v>
      </c>
      <c r="FA74">
        <v>0</v>
      </c>
      <c r="FB74">
        <v>1</v>
      </c>
      <c r="FC74">
        <f t="shared" si="150"/>
        <v>11</v>
      </c>
      <c r="FD74" s="89">
        <f t="shared" si="151"/>
        <v>1.5599999999999999E-2</v>
      </c>
      <c r="FE74">
        <v>1</v>
      </c>
      <c r="FF74">
        <f t="shared" si="152"/>
        <v>22</v>
      </c>
      <c r="FG74" s="89">
        <f t="shared" si="153"/>
        <v>6.2600000000000003E-2</v>
      </c>
      <c r="FH74">
        <v>1</v>
      </c>
      <c r="FI74">
        <f t="shared" si="154"/>
        <v>48</v>
      </c>
      <c r="FS74" s="101">
        <v>69</v>
      </c>
      <c r="FT74" s="101">
        <f t="shared" si="167"/>
        <v>62</v>
      </c>
      <c r="FU74" s="101">
        <f t="shared" si="168"/>
        <v>1</v>
      </c>
      <c r="FV74" s="14">
        <f t="shared" si="169"/>
        <v>5</v>
      </c>
      <c r="FW74" s="101" t="str">
        <f t="shared" si="170"/>
        <v>关羽专属武器-魂珠-7 8级</v>
      </c>
      <c r="FX74" s="101">
        <f t="shared" si="171"/>
        <v>7</v>
      </c>
      <c r="FY74" s="101">
        <f t="shared" si="172"/>
        <v>8</v>
      </c>
      <c r="FZ74" s="101" t="str">
        <f t="shared" si="173"/>
        <v>金币</v>
      </c>
      <c r="GA74" s="139">
        <f>IF($FY74&gt;0,IF(INDEX($EM$6:$EM$77,$FT74)&gt;=GA$3,ROUND(INDEX(EO$6:EO$77,$FT74)*INDEX(卡牌消耗!$B$8:$F$8,FV74)/5,0)*5,""),"")</f>
        <v>32850</v>
      </c>
      <c r="GB74" s="101" t="str">
        <f t="shared" si="174"/>
        <v>专属强化石3</v>
      </c>
      <c r="GC74" s="101">
        <f t="shared" si="175"/>
        <v>24</v>
      </c>
      <c r="GD74" s="101" t="str">
        <f t="shared" si="176"/>
        <v>专属强化石4</v>
      </c>
      <c r="GE74" s="101">
        <f t="shared" si="177"/>
        <v>8</v>
      </c>
      <c r="GF74" s="101">
        <f t="shared" si="178"/>
        <v>0.02</v>
      </c>
      <c r="GG74" s="101">
        <f t="shared" si="179"/>
        <v>1</v>
      </c>
      <c r="GH74" s="101">
        <f t="shared" si="180"/>
        <v>64</v>
      </c>
      <c r="GI74" s="101">
        <f t="shared" si="181"/>
        <v>0</v>
      </c>
      <c r="GJ74" s="101">
        <f t="shared" si="182"/>
        <v>1</v>
      </c>
      <c r="GK74" s="101">
        <f t="shared" si="183"/>
        <v>15</v>
      </c>
      <c r="GL74" s="101">
        <f t="shared" si="184"/>
        <v>1.17E-2</v>
      </c>
      <c r="GM74" s="101">
        <f t="shared" si="185"/>
        <v>1</v>
      </c>
      <c r="GN74" s="101">
        <f t="shared" si="186"/>
        <v>30</v>
      </c>
      <c r="GO74" s="101">
        <f t="shared" si="187"/>
        <v>4.6800000000000001E-2</v>
      </c>
      <c r="GP74" s="101">
        <f t="shared" si="188"/>
        <v>1</v>
      </c>
      <c r="GQ74" s="101">
        <f t="shared" si="189"/>
        <v>64</v>
      </c>
    </row>
    <row r="75" spans="85:199" ht="16.5" x14ac:dyDescent="0.2">
      <c r="CY75" s="83">
        <v>59</v>
      </c>
      <c r="CZ75" s="14">
        <f>INDEX(节奏总表!$CK$4:CK132,专属武器强化!CY75)</f>
        <v>148</v>
      </c>
      <c r="DA75" s="14">
        <f t="shared" si="143"/>
        <v>3340</v>
      </c>
      <c r="DB75" s="14">
        <f t="shared" si="144"/>
        <v>3340</v>
      </c>
      <c r="DC75" s="14">
        <f t="shared" si="145"/>
        <v>2995</v>
      </c>
      <c r="DD75" s="14">
        <f t="shared" si="146"/>
        <v>1490</v>
      </c>
      <c r="DE75" s="83">
        <v>8</v>
      </c>
      <c r="DF75" s="83">
        <v>3</v>
      </c>
      <c r="DG75" s="14">
        <f t="shared" si="155"/>
        <v>0</v>
      </c>
      <c r="DH75" s="14">
        <f t="shared" si="156"/>
        <v>0</v>
      </c>
      <c r="DI75" s="14">
        <f t="shared" si="157"/>
        <v>0</v>
      </c>
      <c r="DJ75" s="14">
        <f t="shared" si="158"/>
        <v>398.26800000000003</v>
      </c>
      <c r="DK75" s="83"/>
      <c r="DL75" s="83"/>
      <c r="DM75" s="83"/>
      <c r="DN75" s="83">
        <v>1</v>
      </c>
      <c r="DO75" s="14">
        <f>DA75-SUM(DG$7:DG75)+SUM(DK$7:DK75)</f>
        <v>969.17124999999942</v>
      </c>
      <c r="DP75" s="14">
        <f>DB75-SUM(DH$7:DH75)+SUM(DL$7:DL75)</f>
        <v>1359.2883717105258</v>
      </c>
      <c r="DQ75" s="14">
        <f>DC75-SUM(DI$7:DI75)+SUM(DM$7:DM75)</f>
        <v>519.95368421052626</v>
      </c>
      <c r="DR75" s="14">
        <f>DD75-SUM(DJ$7:DJ75)+SUM(DN$7:DN75)</f>
        <v>183.44000000000005</v>
      </c>
      <c r="DU75" s="95">
        <v>70</v>
      </c>
      <c r="DV75" s="14">
        <f t="shared" si="159"/>
        <v>8</v>
      </c>
      <c r="DW75" s="14">
        <f t="shared" si="160"/>
        <v>7</v>
      </c>
      <c r="DX75" s="14">
        <f t="shared" si="147"/>
        <v>0</v>
      </c>
      <c r="DY75" s="14">
        <f t="shared" si="147"/>
        <v>0</v>
      </c>
      <c r="DZ75" s="14">
        <f t="shared" si="147"/>
        <v>0</v>
      </c>
      <c r="EA75" s="14">
        <f t="shared" si="147"/>
        <v>929.29199999999992</v>
      </c>
      <c r="EB75" s="14">
        <f t="shared" si="161"/>
        <v>4</v>
      </c>
      <c r="EC75" s="14">
        <f t="shared" si="162"/>
        <v>0</v>
      </c>
      <c r="EJ75" s="139">
        <v>70</v>
      </c>
      <c r="EK75" s="14">
        <f t="shared" si="163"/>
        <v>8</v>
      </c>
      <c r="EL75" s="19">
        <f t="shared" si="115"/>
        <v>0.34</v>
      </c>
      <c r="EM75" s="139">
        <v>2</v>
      </c>
      <c r="EN75" s="139" t="s">
        <v>941</v>
      </c>
      <c r="EO75" s="139">
        <f t="shared" si="165"/>
        <v>17514</v>
      </c>
      <c r="EP75" s="139" t="s">
        <v>853</v>
      </c>
      <c r="EQ75" s="139">
        <v>25</v>
      </c>
      <c r="ER75" s="139"/>
      <c r="ES75" s="139"/>
      <c r="ET75" s="139">
        <f t="shared" si="149"/>
        <v>0.03</v>
      </c>
      <c r="EU75" s="139">
        <v>1</v>
      </c>
      <c r="EV75" s="139">
        <f t="shared" si="140"/>
        <v>56</v>
      </c>
      <c r="EW75" s="139"/>
      <c r="EX75" s="139">
        <f t="shared" si="148"/>
        <v>37.171679999999995</v>
      </c>
      <c r="EY75" s="206">
        <f t="shared" si="166"/>
        <v>651018.4</v>
      </c>
      <c r="FA75">
        <v>0</v>
      </c>
      <c r="FB75">
        <v>1</v>
      </c>
      <c r="FC75">
        <f t="shared" si="150"/>
        <v>13</v>
      </c>
      <c r="FD75" s="89">
        <f t="shared" si="151"/>
        <v>1.35E-2</v>
      </c>
      <c r="FE75">
        <v>1</v>
      </c>
      <c r="FF75">
        <f t="shared" si="152"/>
        <v>26</v>
      </c>
      <c r="FG75" s="89">
        <f t="shared" si="153"/>
        <v>5.3800000000000001E-2</v>
      </c>
      <c r="FH75">
        <v>1</v>
      </c>
      <c r="FI75">
        <f t="shared" si="154"/>
        <v>56</v>
      </c>
      <c r="FS75" s="101">
        <v>70</v>
      </c>
      <c r="FT75" s="101">
        <f t="shared" si="167"/>
        <v>63</v>
      </c>
      <c r="FU75" s="101">
        <f t="shared" si="168"/>
        <v>1</v>
      </c>
      <c r="FV75" s="14">
        <f t="shared" si="169"/>
        <v>5</v>
      </c>
      <c r="FW75" s="101" t="str">
        <f t="shared" si="170"/>
        <v>关羽专属武器-魂珠-7 9级</v>
      </c>
      <c r="FX75" s="101">
        <f t="shared" si="171"/>
        <v>7</v>
      </c>
      <c r="FY75" s="101">
        <f t="shared" si="172"/>
        <v>9</v>
      </c>
      <c r="FZ75" s="101" t="str">
        <f t="shared" si="173"/>
        <v>金币</v>
      </c>
      <c r="GA75" s="139">
        <f>IF($FY75&gt;0,IF(INDEX($EM$6:$EM$77,$FT75)&gt;=GA$3,ROUND(INDEX(EO$6:EO$77,$FT75)*INDEX(卡牌消耗!$B$8:$F$8,FV75)/5,0)*5,""),"")</f>
        <v>41080</v>
      </c>
      <c r="GB75" s="101" t="str">
        <f t="shared" si="174"/>
        <v>专属强化石3</v>
      </c>
      <c r="GC75" s="101">
        <f t="shared" si="175"/>
        <v>30</v>
      </c>
      <c r="GD75" s="101" t="str">
        <f t="shared" si="176"/>
        <v>专属强化石4</v>
      </c>
      <c r="GE75" s="101">
        <f t="shared" si="177"/>
        <v>10</v>
      </c>
      <c r="GF75" s="101">
        <f t="shared" si="178"/>
        <v>0.02</v>
      </c>
      <c r="GG75" s="101">
        <f t="shared" si="179"/>
        <v>1</v>
      </c>
      <c r="GH75" s="101">
        <f t="shared" si="180"/>
        <v>83</v>
      </c>
      <c r="GI75" s="101">
        <f t="shared" si="181"/>
        <v>0</v>
      </c>
      <c r="GJ75" s="101">
        <f t="shared" si="182"/>
        <v>1</v>
      </c>
      <c r="GK75" s="101">
        <f t="shared" si="183"/>
        <v>19</v>
      </c>
      <c r="GL75" s="101">
        <f t="shared" si="184"/>
        <v>8.9999999999999993E-3</v>
      </c>
      <c r="GM75" s="101">
        <f t="shared" si="185"/>
        <v>1</v>
      </c>
      <c r="GN75" s="101">
        <f t="shared" si="186"/>
        <v>39</v>
      </c>
      <c r="GO75" s="101">
        <f t="shared" si="187"/>
        <v>3.6200000000000003E-2</v>
      </c>
      <c r="GP75" s="101">
        <f t="shared" si="188"/>
        <v>1</v>
      </c>
      <c r="GQ75" s="101">
        <f t="shared" si="189"/>
        <v>83</v>
      </c>
    </row>
    <row r="76" spans="85:199" ht="16.5" x14ac:dyDescent="0.2">
      <c r="CY76" s="83">
        <v>60</v>
      </c>
      <c r="CZ76" s="14">
        <f>INDEX(节奏总表!$CK$4:CK133,专属武器强化!CY76)</f>
        <v>148</v>
      </c>
      <c r="DA76" s="14">
        <f t="shared" si="143"/>
        <v>3340</v>
      </c>
      <c r="DB76" s="14">
        <f t="shared" si="144"/>
        <v>3340</v>
      </c>
      <c r="DC76" s="14">
        <f t="shared" si="145"/>
        <v>3070</v>
      </c>
      <c r="DD76" s="14">
        <f t="shared" si="146"/>
        <v>1560</v>
      </c>
      <c r="DE76" s="83">
        <v>0</v>
      </c>
      <c r="DF76" s="83">
        <v>0</v>
      </c>
      <c r="DG76" s="14">
        <f t="shared" si="155"/>
        <v>0</v>
      </c>
      <c r="DH76" s="14">
        <f t="shared" si="156"/>
        <v>0</v>
      </c>
      <c r="DI76" s="14">
        <f t="shared" si="157"/>
        <v>0</v>
      </c>
      <c r="DJ76" s="14">
        <f t="shared" si="158"/>
        <v>0</v>
      </c>
      <c r="DK76" s="83"/>
      <c r="DL76" s="83"/>
      <c r="DM76" s="83"/>
      <c r="DN76" s="83"/>
      <c r="DO76" s="14">
        <f>DA76-SUM(DG$7:DG76)+SUM(DK$7:DK76)</f>
        <v>969.17124999999942</v>
      </c>
      <c r="DP76" s="14">
        <f>DB76-SUM(DH$7:DH76)+SUM(DL$7:DL76)</f>
        <v>1359.2883717105258</v>
      </c>
      <c r="DQ76" s="14">
        <f>DC76-SUM(DI$7:DI76)+SUM(DM$7:DM76)</f>
        <v>594.95368421052626</v>
      </c>
      <c r="DR76" s="14">
        <f>DD76-SUM(DJ$7:DJ76)+SUM(DN$7:DN76)</f>
        <v>253.44000000000005</v>
      </c>
      <c r="DU76" s="95">
        <v>71</v>
      </c>
      <c r="DV76" s="14">
        <f t="shared" si="159"/>
        <v>8</v>
      </c>
      <c r="DW76" s="14">
        <f t="shared" si="160"/>
        <v>8</v>
      </c>
      <c r="DX76" s="14">
        <f t="shared" si="147"/>
        <v>0</v>
      </c>
      <c r="DY76" s="14">
        <f t="shared" si="147"/>
        <v>0</v>
      </c>
      <c r="DZ76" s="14">
        <f t="shared" si="147"/>
        <v>0</v>
      </c>
      <c r="EA76" s="14">
        <f t="shared" si="147"/>
        <v>1504.568</v>
      </c>
      <c r="EB76" s="14">
        <f t="shared" si="161"/>
        <v>4</v>
      </c>
      <c r="EC76" s="14">
        <f t="shared" si="162"/>
        <v>0</v>
      </c>
      <c r="EJ76" s="139">
        <v>71</v>
      </c>
      <c r="EK76" s="14">
        <f t="shared" si="163"/>
        <v>8</v>
      </c>
      <c r="EL76" s="19">
        <f t="shared" si="115"/>
        <v>0.55000000000000004</v>
      </c>
      <c r="EM76" s="139">
        <v>2</v>
      </c>
      <c r="EN76" s="139" t="s">
        <v>941</v>
      </c>
      <c r="EO76" s="139">
        <f t="shared" si="165"/>
        <v>20998</v>
      </c>
      <c r="EP76" s="139" t="s">
        <v>853</v>
      </c>
      <c r="EQ76" s="139">
        <v>30</v>
      </c>
      <c r="ER76" s="139"/>
      <c r="ES76" s="139"/>
      <c r="ET76" s="139">
        <f t="shared" si="149"/>
        <v>0.02</v>
      </c>
      <c r="EU76" s="139">
        <v>1</v>
      </c>
      <c r="EV76" s="139">
        <f t="shared" si="140"/>
        <v>75</v>
      </c>
      <c r="EW76" s="139"/>
      <c r="EX76" s="139">
        <f t="shared" si="148"/>
        <v>50.152266666666669</v>
      </c>
      <c r="EY76" s="206">
        <f t="shared" si="166"/>
        <v>1053118</v>
      </c>
      <c r="FA76">
        <v>0</v>
      </c>
      <c r="FB76">
        <v>1</v>
      </c>
      <c r="FC76">
        <f t="shared" si="150"/>
        <v>18</v>
      </c>
      <c r="FD76" s="89">
        <f t="shared" si="151"/>
        <v>0.01</v>
      </c>
      <c r="FE76">
        <v>1</v>
      </c>
      <c r="FF76">
        <f t="shared" si="152"/>
        <v>35</v>
      </c>
      <c r="FG76" s="89">
        <f t="shared" si="153"/>
        <v>3.9899999999999998E-2</v>
      </c>
      <c r="FH76">
        <v>1</v>
      </c>
      <c r="FI76">
        <f t="shared" si="154"/>
        <v>75</v>
      </c>
      <c r="FS76" s="101">
        <v>71</v>
      </c>
      <c r="FT76" s="101">
        <f t="shared" si="167"/>
        <v>0</v>
      </c>
      <c r="FU76" s="101">
        <f t="shared" si="168"/>
        <v>1</v>
      </c>
      <c r="FV76" s="14">
        <f t="shared" si="169"/>
        <v>5</v>
      </c>
      <c r="FW76" s="101" t="str">
        <f t="shared" si="170"/>
        <v>关羽专属武器-魂珠-8 0级</v>
      </c>
      <c r="FX76" s="101">
        <f t="shared" si="171"/>
        <v>8</v>
      </c>
      <c r="FY76" s="101">
        <f t="shared" si="172"/>
        <v>0</v>
      </c>
      <c r="FZ76" s="101" t="str">
        <f t="shared" si="173"/>
        <v/>
      </c>
      <c r="GA76" s="139" t="str">
        <f>IF($FY76&gt;0,IF(INDEX($EM$6:$EM$77,$FT76)&gt;=GA$3,ROUND(INDEX(EO$6:EO$77,$FT76)*INDEX(卡牌消耗!$B$8:$F$8,FV76)/5,0)*5,""),"")</f>
        <v/>
      </c>
      <c r="GB76" s="101" t="str">
        <f t="shared" si="174"/>
        <v/>
      </c>
      <c r="GC76" s="101" t="str">
        <f t="shared" si="175"/>
        <v/>
      </c>
      <c r="GD76" s="101" t="str">
        <f t="shared" si="176"/>
        <v/>
      </c>
      <c r="GE76" s="101" t="str">
        <f t="shared" si="177"/>
        <v/>
      </c>
      <c r="GF76" s="101" t="str">
        <f t="shared" si="178"/>
        <v/>
      </c>
      <c r="GG76" s="101" t="str">
        <f t="shared" si="179"/>
        <v/>
      </c>
      <c r="GH76" s="101" t="str">
        <f t="shared" si="180"/>
        <v/>
      </c>
      <c r="GI76" s="101" t="str">
        <f t="shared" si="181"/>
        <v/>
      </c>
      <c r="GJ76" s="101" t="str">
        <f t="shared" si="182"/>
        <v/>
      </c>
      <c r="GK76" s="101" t="str">
        <f t="shared" si="183"/>
        <v/>
      </c>
      <c r="GL76" s="101" t="str">
        <f t="shared" si="184"/>
        <v/>
      </c>
      <c r="GM76" s="101" t="str">
        <f t="shared" si="185"/>
        <v/>
      </c>
      <c r="GN76" s="101" t="str">
        <f t="shared" si="186"/>
        <v/>
      </c>
      <c r="GO76" s="101" t="str">
        <f t="shared" si="187"/>
        <v/>
      </c>
      <c r="GP76" s="101" t="str">
        <f t="shared" si="188"/>
        <v/>
      </c>
      <c r="GQ76" s="101" t="str">
        <f t="shared" si="189"/>
        <v/>
      </c>
    </row>
    <row r="77" spans="85:199" ht="16.5" x14ac:dyDescent="0.2">
      <c r="CY77" s="15"/>
      <c r="CZ77" s="15"/>
      <c r="DA77" s="15"/>
      <c r="DB77" s="15"/>
      <c r="DC77" s="15"/>
      <c r="DD77" s="15"/>
      <c r="DU77" s="95">
        <v>72</v>
      </c>
      <c r="DV77" s="14">
        <f t="shared" si="159"/>
        <v>8</v>
      </c>
      <c r="DW77" s="14">
        <f t="shared" si="160"/>
        <v>9</v>
      </c>
      <c r="DX77" s="14">
        <f t="shared" si="147"/>
        <v>0</v>
      </c>
      <c r="DY77" s="14">
        <f t="shared" si="147"/>
        <v>0</v>
      </c>
      <c r="DZ77" s="14">
        <f t="shared" si="147"/>
        <v>0</v>
      </c>
      <c r="EA77" s="14">
        <f t="shared" si="147"/>
        <v>2433.8599999999997</v>
      </c>
      <c r="EB77" s="14">
        <f t="shared" si="161"/>
        <v>4</v>
      </c>
      <c r="EC77" s="14">
        <f t="shared" si="162"/>
        <v>0</v>
      </c>
      <c r="EJ77" s="139">
        <v>72</v>
      </c>
      <c r="EK77" s="14">
        <f t="shared" si="163"/>
        <v>8</v>
      </c>
      <c r="EL77" s="19">
        <f t="shared" si="115"/>
        <v>0.89000000000000012</v>
      </c>
      <c r="EM77" s="139">
        <v>2</v>
      </c>
      <c r="EN77" s="139" t="s">
        <v>941</v>
      </c>
      <c r="EO77" s="139">
        <f t="shared" si="165"/>
        <v>21005</v>
      </c>
      <c r="EP77" s="139" t="s">
        <v>853</v>
      </c>
      <c r="EQ77" s="139">
        <v>30</v>
      </c>
      <c r="ER77" s="139"/>
      <c r="ES77" s="139"/>
      <c r="ET77" s="139">
        <f t="shared" si="149"/>
        <v>0.01</v>
      </c>
      <c r="EU77" s="139">
        <v>1</v>
      </c>
      <c r="EV77" s="139">
        <f t="shared" si="140"/>
        <v>122</v>
      </c>
      <c r="EW77" s="139"/>
      <c r="EX77" s="139">
        <f t="shared" si="148"/>
        <v>81.12866666666666</v>
      </c>
      <c r="EY77" s="206">
        <f t="shared" si="166"/>
        <v>1704136.4000000001</v>
      </c>
      <c r="FA77">
        <v>0</v>
      </c>
      <c r="FB77">
        <v>1</v>
      </c>
      <c r="FC77">
        <f t="shared" si="150"/>
        <v>28</v>
      </c>
      <c r="FD77" s="89">
        <f t="shared" si="151"/>
        <v>6.1999999999999998E-3</v>
      </c>
      <c r="FE77">
        <v>1</v>
      </c>
      <c r="FF77">
        <f t="shared" si="152"/>
        <v>57</v>
      </c>
      <c r="FG77" s="89">
        <f t="shared" si="153"/>
        <v>2.47E-2</v>
      </c>
      <c r="FH77">
        <v>1</v>
      </c>
      <c r="FI77">
        <f t="shared" si="154"/>
        <v>122</v>
      </c>
      <c r="FS77" s="101">
        <v>72</v>
      </c>
      <c r="FT77" s="101">
        <f t="shared" si="167"/>
        <v>64</v>
      </c>
      <c r="FU77" s="101">
        <f t="shared" si="168"/>
        <v>1</v>
      </c>
      <c r="FV77" s="14">
        <f t="shared" si="169"/>
        <v>5</v>
      </c>
      <c r="FW77" s="101" t="str">
        <f t="shared" si="170"/>
        <v>关羽专属武器-魂珠-8 1级</v>
      </c>
      <c r="FX77" s="101">
        <f t="shared" si="171"/>
        <v>8</v>
      </c>
      <c r="FY77" s="101">
        <f t="shared" si="172"/>
        <v>1</v>
      </c>
      <c r="FZ77" s="101" t="str">
        <f t="shared" si="173"/>
        <v>金币</v>
      </c>
      <c r="GA77" s="139">
        <f>IF($FY77&gt;0,IF(INDEX($EM$6:$EM$77,$FT77)&gt;=GA$3,ROUND(INDEX(EO$6:EO$77,$FT77)*INDEX(卡牌消耗!$B$8:$F$8,FV77)/5,0)*5,""),"")</f>
        <v>8655</v>
      </c>
      <c r="GB77" s="101" t="str">
        <f t="shared" si="174"/>
        <v>专属强化石4</v>
      </c>
      <c r="GC77" s="101">
        <f t="shared" si="175"/>
        <v>5</v>
      </c>
      <c r="GD77" s="101" t="str">
        <f t="shared" si="176"/>
        <v/>
      </c>
      <c r="GE77" s="101" t="str">
        <f t="shared" si="177"/>
        <v/>
      </c>
      <c r="GF77" s="101">
        <f t="shared" si="178"/>
        <v>0.11</v>
      </c>
      <c r="GG77" s="101">
        <f t="shared" si="179"/>
        <v>1</v>
      </c>
      <c r="GH77" s="101">
        <f t="shared" si="180"/>
        <v>13</v>
      </c>
      <c r="GI77" s="101">
        <f t="shared" si="181"/>
        <v>0</v>
      </c>
      <c r="GJ77" s="101">
        <f t="shared" si="182"/>
        <v>1</v>
      </c>
      <c r="GK77" s="101">
        <f t="shared" si="183"/>
        <v>3</v>
      </c>
      <c r="GL77" s="101">
        <f t="shared" si="184"/>
        <v>5.6500000000000002E-2</v>
      </c>
      <c r="GM77" s="101">
        <f t="shared" si="185"/>
        <v>1</v>
      </c>
      <c r="GN77" s="101">
        <f t="shared" si="186"/>
        <v>6</v>
      </c>
      <c r="GO77" s="101">
        <f t="shared" si="187"/>
        <v>0.22600000000000001</v>
      </c>
      <c r="GP77" s="101">
        <f t="shared" si="188"/>
        <v>1</v>
      </c>
      <c r="GQ77" s="101">
        <f t="shared" si="189"/>
        <v>13</v>
      </c>
    </row>
    <row r="78" spans="85:199" ht="16.5" x14ac:dyDescent="0.2">
      <c r="CY78" s="15"/>
      <c r="CZ78" s="15"/>
      <c r="DA78" s="15"/>
      <c r="DB78" s="15"/>
      <c r="DC78" s="15"/>
      <c r="DD78" s="15"/>
      <c r="FS78" s="101">
        <v>73</v>
      </c>
      <c r="FT78" s="101">
        <f t="shared" si="167"/>
        <v>65</v>
      </c>
      <c r="FU78" s="101">
        <f t="shared" si="168"/>
        <v>1</v>
      </c>
      <c r="FV78" s="14">
        <f t="shared" si="169"/>
        <v>5</v>
      </c>
      <c r="FW78" s="101" t="str">
        <f t="shared" si="170"/>
        <v>关羽专属武器-魂珠-8 2级</v>
      </c>
      <c r="FX78" s="101">
        <f t="shared" si="171"/>
        <v>8</v>
      </c>
      <c r="FY78" s="101">
        <f t="shared" si="172"/>
        <v>2</v>
      </c>
      <c r="FZ78" s="101" t="str">
        <f t="shared" si="173"/>
        <v>金币</v>
      </c>
      <c r="GA78" s="139">
        <f>IF($FY78&gt;0,IF(INDEX($EM$6:$EM$77,$FT78)&gt;=GA$3,ROUND(INDEX(EO$6:EO$77,$FT78)*INDEX(卡牌消耗!$B$8:$F$8,FV78)/5,0)*5,""),"")</f>
        <v>10385</v>
      </c>
      <c r="GB78" s="101" t="str">
        <f t="shared" si="174"/>
        <v>专属强化石4</v>
      </c>
      <c r="GC78" s="101">
        <f t="shared" si="175"/>
        <v>8</v>
      </c>
      <c r="GD78" s="101" t="str">
        <f t="shared" si="176"/>
        <v/>
      </c>
      <c r="GE78" s="101" t="str">
        <f t="shared" si="177"/>
        <v/>
      </c>
      <c r="GF78" s="101">
        <f t="shared" si="178"/>
        <v>0.09</v>
      </c>
      <c r="GG78" s="101">
        <f t="shared" si="179"/>
        <v>1</v>
      </c>
      <c r="GH78" s="101">
        <f t="shared" si="180"/>
        <v>17</v>
      </c>
      <c r="GI78" s="101">
        <f t="shared" si="181"/>
        <v>0</v>
      </c>
      <c r="GJ78" s="101">
        <f t="shared" si="182"/>
        <v>1</v>
      </c>
      <c r="GK78" s="101">
        <f t="shared" si="183"/>
        <v>4</v>
      </c>
      <c r="GL78" s="101">
        <f t="shared" si="184"/>
        <v>4.5199999999999997E-2</v>
      </c>
      <c r="GM78" s="101">
        <f t="shared" si="185"/>
        <v>1</v>
      </c>
      <c r="GN78" s="101">
        <f t="shared" si="186"/>
        <v>8</v>
      </c>
      <c r="GO78" s="101">
        <f t="shared" si="187"/>
        <v>0.18079999999999999</v>
      </c>
      <c r="GP78" s="101">
        <f t="shared" si="188"/>
        <v>1</v>
      </c>
      <c r="GQ78" s="101">
        <f t="shared" si="189"/>
        <v>17</v>
      </c>
    </row>
    <row r="79" spans="85:199" ht="16.5" x14ac:dyDescent="0.2">
      <c r="CY79" s="15"/>
      <c r="CZ79" s="15"/>
      <c r="DA79" s="15"/>
      <c r="DB79" s="15"/>
      <c r="DC79" s="15"/>
      <c r="DD79" s="15"/>
      <c r="FS79" s="101">
        <v>74</v>
      </c>
      <c r="FT79" s="101">
        <f t="shared" si="167"/>
        <v>66</v>
      </c>
      <c r="FU79" s="101">
        <f t="shared" si="168"/>
        <v>1</v>
      </c>
      <c r="FV79" s="14">
        <f t="shared" si="169"/>
        <v>5</v>
      </c>
      <c r="FW79" s="101" t="str">
        <f t="shared" si="170"/>
        <v>关羽专属武器-魂珠-8 3级</v>
      </c>
      <c r="FX79" s="101">
        <f t="shared" si="171"/>
        <v>8</v>
      </c>
      <c r="FY79" s="101">
        <f t="shared" si="172"/>
        <v>3</v>
      </c>
      <c r="FZ79" s="101" t="str">
        <f t="shared" si="173"/>
        <v>金币</v>
      </c>
      <c r="GA79" s="139">
        <f>IF($FY79&gt;0,IF(INDEX($EM$6:$EM$77,$FT79)&gt;=GA$3,ROUND(INDEX(EO$6:EO$77,$FT79)*INDEX(卡牌消耗!$B$8:$F$8,FV79)/5,0)*5,""),"")</f>
        <v>14425</v>
      </c>
      <c r="GB79" s="101" t="str">
        <f t="shared" si="174"/>
        <v>专属强化石4</v>
      </c>
      <c r="GC79" s="101">
        <f t="shared" si="175"/>
        <v>10</v>
      </c>
      <c r="GD79" s="101" t="str">
        <f t="shared" si="176"/>
        <v/>
      </c>
      <c r="GE79" s="101" t="str">
        <f t="shared" si="177"/>
        <v/>
      </c>
      <c r="GF79" s="101">
        <f t="shared" si="178"/>
        <v>0.08</v>
      </c>
      <c r="GG79" s="101">
        <f t="shared" si="179"/>
        <v>1</v>
      </c>
      <c r="GH79" s="101">
        <f t="shared" si="180"/>
        <v>20</v>
      </c>
      <c r="GI79" s="101">
        <f t="shared" si="181"/>
        <v>0</v>
      </c>
      <c r="GJ79" s="101">
        <f t="shared" si="182"/>
        <v>1</v>
      </c>
      <c r="GK79" s="101">
        <f t="shared" si="183"/>
        <v>5</v>
      </c>
      <c r="GL79" s="101">
        <f t="shared" si="184"/>
        <v>3.7699999999999997E-2</v>
      </c>
      <c r="GM79" s="101">
        <f t="shared" si="185"/>
        <v>1</v>
      </c>
      <c r="GN79" s="101">
        <f t="shared" si="186"/>
        <v>9</v>
      </c>
      <c r="GO79" s="101">
        <f t="shared" si="187"/>
        <v>0.1507</v>
      </c>
      <c r="GP79" s="101">
        <f t="shared" si="188"/>
        <v>1</v>
      </c>
      <c r="GQ79" s="101">
        <f t="shared" si="189"/>
        <v>20</v>
      </c>
    </row>
    <row r="80" spans="85:199" ht="16.5" x14ac:dyDescent="0.2">
      <c r="CY80" s="15"/>
      <c r="CZ80" s="15"/>
      <c r="DA80" s="15"/>
      <c r="DB80" s="15"/>
      <c r="DC80" s="15"/>
      <c r="DD80" s="15"/>
      <c r="FS80" s="101">
        <v>75</v>
      </c>
      <c r="FT80" s="101">
        <f t="shared" si="167"/>
        <v>67</v>
      </c>
      <c r="FU80" s="101">
        <f t="shared" si="168"/>
        <v>1</v>
      </c>
      <c r="FV80" s="14">
        <f t="shared" si="169"/>
        <v>5</v>
      </c>
      <c r="FW80" s="101" t="str">
        <f t="shared" si="170"/>
        <v>关羽专属武器-魂珠-8 4级</v>
      </c>
      <c r="FX80" s="101">
        <f t="shared" si="171"/>
        <v>8</v>
      </c>
      <c r="FY80" s="101">
        <f t="shared" si="172"/>
        <v>4</v>
      </c>
      <c r="FZ80" s="101" t="str">
        <f t="shared" si="173"/>
        <v>金币</v>
      </c>
      <c r="GA80" s="139">
        <f>IF($FY80&gt;0,IF(INDEX($EM$6:$EM$77,$FT80)&gt;=GA$3,ROUND(INDEX(EO$6:EO$77,$FT80)*INDEX(卡牌消耗!$B$8:$F$8,FV80)/5,0)*5,""),"")</f>
        <v>16615</v>
      </c>
      <c r="GB80" s="101" t="str">
        <f t="shared" si="174"/>
        <v>专属强化石4</v>
      </c>
      <c r="GC80" s="101">
        <f t="shared" si="175"/>
        <v>12</v>
      </c>
      <c r="GD80" s="101" t="str">
        <f t="shared" si="176"/>
        <v/>
      </c>
      <c r="GE80" s="101" t="str">
        <f t="shared" si="177"/>
        <v/>
      </c>
      <c r="GF80" s="101">
        <f t="shared" si="178"/>
        <v>0.05</v>
      </c>
      <c r="GG80" s="101">
        <f t="shared" si="179"/>
        <v>1</v>
      </c>
      <c r="GH80" s="101">
        <f t="shared" si="180"/>
        <v>28</v>
      </c>
      <c r="GI80" s="101">
        <f t="shared" si="181"/>
        <v>0</v>
      </c>
      <c r="GJ80" s="101">
        <f t="shared" si="182"/>
        <v>1</v>
      </c>
      <c r="GK80" s="101">
        <f t="shared" si="183"/>
        <v>6</v>
      </c>
      <c r="GL80" s="101">
        <f t="shared" si="184"/>
        <v>2.7099999999999999E-2</v>
      </c>
      <c r="GM80" s="101">
        <f t="shared" si="185"/>
        <v>1</v>
      </c>
      <c r="GN80" s="101">
        <f t="shared" si="186"/>
        <v>13</v>
      </c>
      <c r="GO80" s="101">
        <f t="shared" si="187"/>
        <v>0.1085</v>
      </c>
      <c r="GP80" s="101">
        <f t="shared" si="188"/>
        <v>1</v>
      </c>
      <c r="GQ80" s="101">
        <f t="shared" si="189"/>
        <v>28</v>
      </c>
    </row>
    <row r="81" spans="173:199" ht="16.5" x14ac:dyDescent="0.2">
      <c r="FS81" s="101">
        <v>76</v>
      </c>
      <c r="FT81" s="101">
        <f t="shared" si="167"/>
        <v>68</v>
      </c>
      <c r="FU81" s="101">
        <f t="shared" si="168"/>
        <v>1</v>
      </c>
      <c r="FV81" s="14">
        <f t="shared" si="169"/>
        <v>5</v>
      </c>
      <c r="FW81" s="101" t="str">
        <f t="shared" si="170"/>
        <v>关羽专属武器-魂珠-8 5级</v>
      </c>
      <c r="FX81" s="101">
        <f t="shared" si="171"/>
        <v>8</v>
      </c>
      <c r="FY81" s="101">
        <f t="shared" si="172"/>
        <v>5</v>
      </c>
      <c r="FZ81" s="101" t="str">
        <f t="shared" si="173"/>
        <v>金币</v>
      </c>
      <c r="GA81" s="139">
        <f>IF($FY81&gt;0,IF(INDEX($EM$6:$EM$77,$FT81)&gt;=GA$3,ROUND(INDEX(EO$6:EO$77,$FT81)*INDEX(卡牌消耗!$B$8:$F$8,FV81)/5,0)*5,""),"")</f>
        <v>21095</v>
      </c>
      <c r="GB81" s="101" t="str">
        <f t="shared" si="174"/>
        <v>专属强化石4</v>
      </c>
      <c r="GC81" s="101">
        <f t="shared" si="175"/>
        <v>15</v>
      </c>
      <c r="GD81" s="101" t="str">
        <f t="shared" si="176"/>
        <v/>
      </c>
      <c r="GE81" s="101" t="str">
        <f t="shared" si="177"/>
        <v/>
      </c>
      <c r="GF81" s="101">
        <f t="shared" si="178"/>
        <v>0.04</v>
      </c>
      <c r="GG81" s="101">
        <f t="shared" si="179"/>
        <v>1</v>
      </c>
      <c r="GH81" s="101">
        <f t="shared" si="180"/>
        <v>35</v>
      </c>
      <c r="GI81" s="101">
        <f t="shared" si="181"/>
        <v>0</v>
      </c>
      <c r="GJ81" s="101">
        <f t="shared" si="182"/>
        <v>1</v>
      </c>
      <c r="GK81" s="101">
        <f t="shared" si="183"/>
        <v>8</v>
      </c>
      <c r="GL81" s="101">
        <f t="shared" si="184"/>
        <v>2.12E-2</v>
      </c>
      <c r="GM81" s="101">
        <f t="shared" si="185"/>
        <v>1</v>
      </c>
      <c r="GN81" s="101">
        <f t="shared" si="186"/>
        <v>17</v>
      </c>
      <c r="GO81" s="101">
        <f t="shared" si="187"/>
        <v>8.4699999999999998E-2</v>
      </c>
      <c r="GP81" s="101">
        <f t="shared" si="188"/>
        <v>1</v>
      </c>
      <c r="GQ81" s="101">
        <f t="shared" si="189"/>
        <v>35</v>
      </c>
    </row>
    <row r="82" spans="173:199" ht="16.5" x14ac:dyDescent="0.2">
      <c r="FS82" s="101">
        <v>77</v>
      </c>
      <c r="FT82" s="101">
        <f t="shared" si="167"/>
        <v>69</v>
      </c>
      <c r="FU82" s="101">
        <f t="shared" si="168"/>
        <v>1</v>
      </c>
      <c r="FV82" s="14">
        <f t="shared" si="169"/>
        <v>5</v>
      </c>
      <c r="FW82" s="101" t="str">
        <f t="shared" si="170"/>
        <v>关羽专属武器-魂珠-8 6级</v>
      </c>
      <c r="FX82" s="101">
        <f t="shared" si="171"/>
        <v>8</v>
      </c>
      <c r="FY82" s="101">
        <f t="shared" si="172"/>
        <v>6</v>
      </c>
      <c r="FZ82" s="101" t="str">
        <f t="shared" si="173"/>
        <v>金币</v>
      </c>
      <c r="GA82" s="139">
        <f>IF($FY82&gt;0,IF(INDEX($EM$6:$EM$77,$FT82)&gt;=GA$3,ROUND(INDEX(EO$6:EO$77,$FT82)*INDEX(卡牌消耗!$B$8:$F$8,FV82)/5,0)*5,""),"")</f>
        <v>25160</v>
      </c>
      <c r="GB82" s="101" t="str">
        <f t="shared" si="174"/>
        <v>专属强化石4</v>
      </c>
      <c r="GC82" s="101">
        <f t="shared" si="175"/>
        <v>18</v>
      </c>
      <c r="GD82" s="101" t="str">
        <f t="shared" si="176"/>
        <v/>
      </c>
      <c r="GE82" s="101" t="str">
        <f t="shared" si="177"/>
        <v/>
      </c>
      <c r="GF82" s="101">
        <f t="shared" si="178"/>
        <v>0.03</v>
      </c>
      <c r="GG82" s="101">
        <f t="shared" si="179"/>
        <v>1</v>
      </c>
      <c r="GH82" s="101">
        <f t="shared" si="180"/>
        <v>48</v>
      </c>
      <c r="GI82" s="101">
        <f t="shared" si="181"/>
        <v>0</v>
      </c>
      <c r="GJ82" s="101">
        <f t="shared" si="182"/>
        <v>1</v>
      </c>
      <c r="GK82" s="101">
        <f t="shared" si="183"/>
        <v>11</v>
      </c>
      <c r="GL82" s="101">
        <f t="shared" si="184"/>
        <v>1.5599999999999999E-2</v>
      </c>
      <c r="GM82" s="101">
        <f t="shared" si="185"/>
        <v>1</v>
      </c>
      <c r="GN82" s="101">
        <f t="shared" si="186"/>
        <v>22</v>
      </c>
      <c r="GO82" s="101">
        <f t="shared" si="187"/>
        <v>6.2600000000000003E-2</v>
      </c>
      <c r="GP82" s="101">
        <f t="shared" si="188"/>
        <v>1</v>
      </c>
      <c r="GQ82" s="101">
        <f t="shared" si="189"/>
        <v>48</v>
      </c>
    </row>
    <row r="83" spans="173:199" ht="16.5" x14ac:dyDescent="0.2">
      <c r="FS83" s="101">
        <v>78</v>
      </c>
      <c r="FT83" s="101">
        <f t="shared" si="167"/>
        <v>70</v>
      </c>
      <c r="FU83" s="101">
        <f t="shared" si="168"/>
        <v>1</v>
      </c>
      <c r="FV83" s="14">
        <f t="shared" si="169"/>
        <v>5</v>
      </c>
      <c r="FW83" s="101" t="str">
        <f t="shared" si="170"/>
        <v>关羽专属武器-魂珠-8 7级</v>
      </c>
      <c r="FX83" s="101">
        <f t="shared" si="171"/>
        <v>8</v>
      </c>
      <c r="FY83" s="101">
        <f t="shared" si="172"/>
        <v>7</v>
      </c>
      <c r="FZ83" s="101" t="str">
        <f t="shared" si="173"/>
        <v>金币</v>
      </c>
      <c r="GA83" s="139">
        <f>IF($FY83&gt;0,IF(INDEX($EM$6:$EM$77,$FT83)&gt;=GA$3,ROUND(INDEX(EO$6:EO$77,$FT83)*INDEX(卡牌消耗!$B$8:$F$8,FV83)/5,0)*5,""),"")</f>
        <v>35030</v>
      </c>
      <c r="GB83" s="101" t="str">
        <f t="shared" si="174"/>
        <v>专属强化石4</v>
      </c>
      <c r="GC83" s="101">
        <f t="shared" si="175"/>
        <v>25</v>
      </c>
      <c r="GD83" s="101" t="str">
        <f t="shared" si="176"/>
        <v/>
      </c>
      <c r="GE83" s="101" t="str">
        <f t="shared" si="177"/>
        <v/>
      </c>
      <c r="GF83" s="101">
        <f t="shared" si="178"/>
        <v>0.03</v>
      </c>
      <c r="GG83" s="101">
        <f t="shared" si="179"/>
        <v>1</v>
      </c>
      <c r="GH83" s="101">
        <f t="shared" si="180"/>
        <v>56</v>
      </c>
      <c r="GI83" s="101">
        <f t="shared" si="181"/>
        <v>0</v>
      </c>
      <c r="GJ83" s="101">
        <f t="shared" si="182"/>
        <v>1</v>
      </c>
      <c r="GK83" s="101">
        <f t="shared" si="183"/>
        <v>13</v>
      </c>
      <c r="GL83" s="101">
        <f t="shared" si="184"/>
        <v>1.35E-2</v>
      </c>
      <c r="GM83" s="101">
        <f t="shared" si="185"/>
        <v>1</v>
      </c>
      <c r="GN83" s="101">
        <f t="shared" si="186"/>
        <v>26</v>
      </c>
      <c r="GO83" s="101">
        <f t="shared" si="187"/>
        <v>5.3800000000000001E-2</v>
      </c>
      <c r="GP83" s="101">
        <f t="shared" si="188"/>
        <v>1</v>
      </c>
      <c r="GQ83" s="101">
        <f t="shared" si="189"/>
        <v>56</v>
      </c>
    </row>
    <row r="84" spans="173:199" ht="16.5" x14ac:dyDescent="0.2">
      <c r="FS84" s="101">
        <v>79</v>
      </c>
      <c r="FT84" s="101">
        <f t="shared" si="167"/>
        <v>71</v>
      </c>
      <c r="FU84" s="101">
        <f t="shared" si="168"/>
        <v>1</v>
      </c>
      <c r="FV84" s="14">
        <f t="shared" si="169"/>
        <v>5</v>
      </c>
      <c r="FW84" s="101" t="str">
        <f t="shared" si="170"/>
        <v>关羽专属武器-魂珠-8 8级</v>
      </c>
      <c r="FX84" s="101">
        <f t="shared" si="171"/>
        <v>8</v>
      </c>
      <c r="FY84" s="101">
        <f t="shared" si="172"/>
        <v>8</v>
      </c>
      <c r="FZ84" s="101" t="str">
        <f t="shared" si="173"/>
        <v>金币</v>
      </c>
      <c r="GA84" s="139">
        <f>IF($FY84&gt;0,IF(INDEX($EM$6:$EM$77,$FT84)&gt;=GA$3,ROUND(INDEX(EO$6:EO$77,$FT84)*INDEX(卡牌消耗!$B$8:$F$8,FV84)/5,0)*5,""),"")</f>
        <v>41995</v>
      </c>
      <c r="GB84" s="101" t="str">
        <f t="shared" si="174"/>
        <v>专属强化石4</v>
      </c>
      <c r="GC84" s="101">
        <f t="shared" si="175"/>
        <v>30</v>
      </c>
      <c r="GD84" s="101" t="str">
        <f t="shared" si="176"/>
        <v/>
      </c>
      <c r="GE84" s="101" t="str">
        <f t="shared" si="177"/>
        <v/>
      </c>
      <c r="GF84" s="101">
        <f t="shared" si="178"/>
        <v>0.02</v>
      </c>
      <c r="GG84" s="101">
        <f t="shared" si="179"/>
        <v>1</v>
      </c>
      <c r="GH84" s="101">
        <f t="shared" si="180"/>
        <v>75</v>
      </c>
      <c r="GI84" s="101">
        <f t="shared" si="181"/>
        <v>0</v>
      </c>
      <c r="GJ84" s="101">
        <f t="shared" si="182"/>
        <v>1</v>
      </c>
      <c r="GK84" s="101">
        <f t="shared" si="183"/>
        <v>18</v>
      </c>
      <c r="GL84" s="101">
        <f t="shared" si="184"/>
        <v>0.01</v>
      </c>
      <c r="GM84" s="101">
        <f t="shared" si="185"/>
        <v>1</v>
      </c>
      <c r="GN84" s="101">
        <f t="shared" si="186"/>
        <v>35</v>
      </c>
      <c r="GO84" s="101">
        <f t="shared" si="187"/>
        <v>3.9899999999999998E-2</v>
      </c>
      <c r="GP84" s="101">
        <f t="shared" si="188"/>
        <v>1</v>
      </c>
      <c r="GQ84" s="101">
        <f t="shared" si="189"/>
        <v>75</v>
      </c>
    </row>
    <row r="85" spans="173:199" ht="16.5" x14ac:dyDescent="0.2">
      <c r="FQ85" s="102" t="b">
        <f>$FY86&gt;0</f>
        <v>0</v>
      </c>
      <c r="FS85" s="101">
        <v>80</v>
      </c>
      <c r="FT85" s="101">
        <f t="shared" si="167"/>
        <v>72</v>
      </c>
      <c r="FU85" s="101">
        <f t="shared" si="168"/>
        <v>1</v>
      </c>
      <c r="FV85" s="14">
        <f t="shared" si="169"/>
        <v>5</v>
      </c>
      <c r="FW85" s="101" t="str">
        <f t="shared" si="170"/>
        <v>关羽专属武器-魂珠-8 9级</v>
      </c>
      <c r="FX85" s="101">
        <f t="shared" si="171"/>
        <v>8</v>
      </c>
      <c r="FY85" s="101">
        <f t="shared" si="172"/>
        <v>9</v>
      </c>
      <c r="FZ85" s="101" t="str">
        <f t="shared" si="173"/>
        <v>金币</v>
      </c>
      <c r="GA85" s="139">
        <f>IF($FY85&gt;0,IF(INDEX($EM$6:$EM$77,$FT85)&gt;=GA$3,ROUND(INDEX(EO$6:EO$77,$FT85)*INDEX(卡牌消耗!$B$8:$F$8,FV85)/5,0)*5,""),"")</f>
        <v>42010</v>
      </c>
      <c r="GB85" s="101" t="str">
        <f t="shared" si="174"/>
        <v>专属强化石4</v>
      </c>
      <c r="GC85" s="101">
        <f t="shared" si="175"/>
        <v>30</v>
      </c>
      <c r="GD85" s="101" t="str">
        <f t="shared" si="176"/>
        <v/>
      </c>
      <c r="GE85" s="101" t="str">
        <f t="shared" si="177"/>
        <v/>
      </c>
      <c r="GF85" s="101">
        <f t="shared" si="178"/>
        <v>0.01</v>
      </c>
      <c r="GG85" s="101">
        <f t="shared" si="179"/>
        <v>1</v>
      </c>
      <c r="GH85" s="101">
        <f t="shared" si="180"/>
        <v>122</v>
      </c>
      <c r="GI85" s="101">
        <f t="shared" si="181"/>
        <v>0</v>
      </c>
      <c r="GJ85" s="101">
        <f t="shared" si="182"/>
        <v>1</v>
      </c>
      <c r="GK85" s="101">
        <f t="shared" si="183"/>
        <v>28</v>
      </c>
      <c r="GL85" s="101">
        <f t="shared" si="184"/>
        <v>6.1999999999999998E-3</v>
      </c>
      <c r="GM85" s="101">
        <f t="shared" si="185"/>
        <v>1</v>
      </c>
      <c r="GN85" s="101">
        <f t="shared" si="186"/>
        <v>57</v>
      </c>
      <c r="GO85" s="101">
        <f t="shared" si="187"/>
        <v>2.47E-2</v>
      </c>
      <c r="GP85" s="101">
        <f t="shared" si="188"/>
        <v>1</v>
      </c>
      <c r="GQ85" s="101">
        <f t="shared" si="189"/>
        <v>122</v>
      </c>
    </row>
    <row r="86" spans="173:199" ht="16.5" x14ac:dyDescent="0.2">
      <c r="FQ86" s="102" t="e">
        <f>AND($FY86&gt;0,INDEX($EM$6:$EM$77,$FT86)&gt;=FZ$3)</f>
        <v>#VALUE!</v>
      </c>
      <c r="FS86" s="101">
        <v>81</v>
      </c>
      <c r="FT86" s="101">
        <f t="shared" ref="FT86:FT149" si="190">IF(FY86&gt;0,(FX86-1)*9+FY86,0)</f>
        <v>0</v>
      </c>
      <c r="FU86" s="101">
        <f t="shared" si="168"/>
        <v>2</v>
      </c>
      <c r="FV86" s="14">
        <f t="shared" si="169"/>
        <v>3</v>
      </c>
      <c r="FW86" s="101" t="str">
        <f t="shared" ref="FW86:FW149" si="191">INDEX($FN$6:$FN$26,FU86)&amp;"专属武器-魂珠-"&amp;FX86&amp;" "&amp;FY86&amp;"级"</f>
        <v>许褚专属武器-魂珠-1 0级</v>
      </c>
      <c r="FX86" s="101">
        <f t="shared" ref="FX86:FX149" si="192">INT((FS86-(FU86-1)*80-1)/10)+1</f>
        <v>1</v>
      </c>
      <c r="FY86" s="101">
        <f t="shared" ref="FY86:FY149" si="193">FS86-(FU86-1)*80-(FX86-1)*10-1</f>
        <v>0</v>
      </c>
      <c r="FZ86" s="101" t="str">
        <f t="shared" si="173"/>
        <v/>
      </c>
      <c r="GA86" s="139" t="str">
        <f>IF($FY86&gt;0,IF(INDEX($EM$6:$EM$77,$FT86)&gt;=GA$3,ROUND(INDEX(EO$6:EO$77,$FT86)*INDEX(卡牌消耗!$B$8:$F$8,FV86)/5,0)*5,""),"")</f>
        <v/>
      </c>
      <c r="GB86" s="101" t="str">
        <f t="shared" si="174"/>
        <v/>
      </c>
      <c r="GC86" s="101" t="str">
        <f t="shared" si="175"/>
        <v/>
      </c>
      <c r="GD86" s="101" t="str">
        <f t="shared" si="176"/>
        <v/>
      </c>
      <c r="GE86" s="101" t="str">
        <f t="shared" si="177"/>
        <v/>
      </c>
      <c r="GF86" s="101" t="str">
        <f t="shared" ref="GF86:GF149" si="194">IF($FY86&gt;0,INDEX(ET$6:ET$77,$FT86),"")</f>
        <v/>
      </c>
      <c r="GG86" s="101" t="str">
        <f t="shared" ref="GG86:GG149" si="195">IF($FY86&gt;0,INDEX(EU$6:EU$77,$FT86),"")</f>
        <v/>
      </c>
      <c r="GH86" s="101" t="str">
        <f t="shared" ref="GH86:GH149" si="196">IF($FY86&gt;0,INDEX(EV$6:EV$77,$FT86),"")</f>
        <v/>
      </c>
      <c r="GI86" s="101" t="str">
        <f t="shared" ref="GI86:GI149" si="197">IF($FY86&gt;0,INDEX(FA$6:FA$77,$FT86),"")</f>
        <v/>
      </c>
      <c r="GJ86" s="101" t="str">
        <f t="shared" ref="GJ86:GJ149" si="198">IF($FY86&gt;0,INDEX(FB$6:FB$77,$FT86),"")</f>
        <v/>
      </c>
      <c r="GK86" s="101" t="str">
        <f t="shared" ref="GK86:GK149" si="199">IF($FY86&gt;0,INDEX(FC$6:FC$77,$FT86),"")</f>
        <v/>
      </c>
      <c r="GL86" s="101" t="str">
        <f t="shared" ref="GL86:GL149" si="200">IF($FY86&gt;0,INDEX(FD$6:FD$77,$FT86),"")</f>
        <v/>
      </c>
      <c r="GM86" s="101" t="str">
        <f t="shared" ref="GM86:GM149" si="201">IF($FY86&gt;0,INDEX(FE$6:FE$77,$FT86),"")</f>
        <v/>
      </c>
      <c r="GN86" s="101" t="str">
        <f t="shared" ref="GN86:GN149" si="202">IF($FY86&gt;0,INDEX(FF$6:FF$77,$FT86),"")</f>
        <v/>
      </c>
      <c r="GO86" s="101" t="str">
        <f t="shared" ref="GO86:GO149" si="203">IF($FY86&gt;0,INDEX(FG$6:FG$77,$FT86),"")</f>
        <v/>
      </c>
      <c r="GP86" s="101" t="str">
        <f t="shared" ref="GP86:GP149" si="204">IF($FY86&gt;0,INDEX(FH$6:FH$77,$FT86),"")</f>
        <v/>
      </c>
      <c r="GQ86" s="101" t="str">
        <f t="shared" ref="GQ86:GQ149" si="205">IF($FY86&gt;0,INDEX(FI$6:FI$77,$FT86),"")</f>
        <v/>
      </c>
    </row>
    <row r="87" spans="173:199" ht="16.5" x14ac:dyDescent="0.2">
      <c r="FS87" s="101">
        <v>82</v>
      </c>
      <c r="FT87" s="101">
        <f t="shared" si="190"/>
        <v>1</v>
      </c>
      <c r="FU87" s="101">
        <f t="shared" si="168"/>
        <v>2</v>
      </c>
      <c r="FV87" s="14">
        <f t="shared" si="169"/>
        <v>3</v>
      </c>
      <c r="FW87" s="101" t="str">
        <f t="shared" si="191"/>
        <v>许褚专属武器-魂珠-1 1级</v>
      </c>
      <c r="FX87" s="101">
        <f t="shared" si="192"/>
        <v>1</v>
      </c>
      <c r="FY87" s="101">
        <f t="shared" si="193"/>
        <v>1</v>
      </c>
      <c r="FZ87" s="101" t="str">
        <f t="shared" si="173"/>
        <v>金币</v>
      </c>
      <c r="GA87" s="139">
        <f>IF($FY87&gt;0,IF(INDEX($EM$6:$EM$77,$FT87)&gt;=GA$3,ROUND(INDEX(EO$6:EO$77,$FT87)*INDEX(卡牌消耗!$B$8:$F$8,FV87)/5,0)*5,""),"")</f>
        <v>95</v>
      </c>
      <c r="GB87" s="101" t="str">
        <f t="shared" si="174"/>
        <v>专属强化石1</v>
      </c>
      <c r="GC87" s="101">
        <f t="shared" si="175"/>
        <v>1</v>
      </c>
      <c r="GD87" s="101" t="str">
        <f t="shared" si="176"/>
        <v/>
      </c>
      <c r="GE87" s="101" t="str">
        <f t="shared" si="177"/>
        <v/>
      </c>
      <c r="GF87" s="101">
        <f t="shared" si="194"/>
        <v>0.32</v>
      </c>
      <c r="GG87" s="101">
        <f t="shared" si="195"/>
        <v>1</v>
      </c>
      <c r="GH87" s="101">
        <f t="shared" si="196"/>
        <v>5</v>
      </c>
      <c r="GI87" s="101">
        <f t="shared" si="197"/>
        <v>0</v>
      </c>
      <c r="GJ87" s="101">
        <f t="shared" si="198"/>
        <v>1</v>
      </c>
      <c r="GK87" s="101">
        <f t="shared" si="199"/>
        <v>1</v>
      </c>
      <c r="GL87" s="101">
        <f t="shared" si="200"/>
        <v>0.1595</v>
      </c>
      <c r="GM87" s="101">
        <f t="shared" si="201"/>
        <v>1</v>
      </c>
      <c r="GN87" s="101">
        <f t="shared" si="202"/>
        <v>2</v>
      </c>
      <c r="GO87" s="101">
        <f t="shared" si="203"/>
        <v>0.63819999999999999</v>
      </c>
      <c r="GP87" s="101">
        <f t="shared" si="204"/>
        <v>1</v>
      </c>
      <c r="GQ87" s="101">
        <f t="shared" si="205"/>
        <v>5</v>
      </c>
    </row>
    <row r="88" spans="173:199" ht="16.5" x14ac:dyDescent="0.2">
      <c r="FS88" s="101">
        <v>83</v>
      </c>
      <c r="FT88" s="101">
        <f t="shared" si="190"/>
        <v>2</v>
      </c>
      <c r="FU88" s="101">
        <f t="shared" si="168"/>
        <v>2</v>
      </c>
      <c r="FV88" s="14">
        <f t="shared" si="169"/>
        <v>3</v>
      </c>
      <c r="FW88" s="101" t="str">
        <f t="shared" si="191"/>
        <v>许褚专属武器-魂珠-1 2级</v>
      </c>
      <c r="FX88" s="101">
        <f t="shared" si="192"/>
        <v>1</v>
      </c>
      <c r="FY88" s="101">
        <f t="shared" si="193"/>
        <v>2</v>
      </c>
      <c r="FZ88" s="101" t="str">
        <f t="shared" si="173"/>
        <v>金币</v>
      </c>
      <c r="GA88" s="139">
        <f>IF($FY88&gt;0,IF(INDEX($EM$6:$EM$77,$FT88)&gt;=GA$3,ROUND(INDEX(EO$6:EO$77,$FT88)*INDEX(卡牌消耗!$B$8:$F$8,FV88)/5,0)*5,""),"")</f>
        <v>140</v>
      </c>
      <c r="GB88" s="101" t="str">
        <f t="shared" si="174"/>
        <v>专属强化石1</v>
      </c>
      <c r="GC88" s="101">
        <f t="shared" si="175"/>
        <v>2</v>
      </c>
      <c r="GD88" s="101" t="str">
        <f t="shared" si="176"/>
        <v/>
      </c>
      <c r="GE88" s="101" t="str">
        <f t="shared" si="177"/>
        <v/>
      </c>
      <c r="GF88" s="101">
        <f t="shared" si="194"/>
        <v>0.32</v>
      </c>
      <c r="GG88" s="101">
        <f t="shared" si="195"/>
        <v>1</v>
      </c>
      <c r="GH88" s="101">
        <f t="shared" si="196"/>
        <v>5</v>
      </c>
      <c r="GI88" s="101">
        <f t="shared" si="197"/>
        <v>0</v>
      </c>
      <c r="GJ88" s="101">
        <f t="shared" si="198"/>
        <v>1</v>
      </c>
      <c r="GK88" s="101">
        <f t="shared" si="199"/>
        <v>1</v>
      </c>
      <c r="GL88" s="101">
        <f t="shared" si="200"/>
        <v>0.1595</v>
      </c>
      <c r="GM88" s="101">
        <f t="shared" si="201"/>
        <v>1</v>
      </c>
      <c r="GN88" s="101">
        <f t="shared" si="202"/>
        <v>2</v>
      </c>
      <c r="GO88" s="101">
        <f t="shared" si="203"/>
        <v>0.63819999999999999</v>
      </c>
      <c r="GP88" s="101">
        <f t="shared" si="204"/>
        <v>1</v>
      </c>
      <c r="GQ88" s="101">
        <f t="shared" si="205"/>
        <v>5</v>
      </c>
    </row>
    <row r="89" spans="173:199" ht="16.5" x14ac:dyDescent="0.2">
      <c r="FS89" s="101">
        <v>84</v>
      </c>
      <c r="FT89" s="101">
        <f t="shared" si="190"/>
        <v>3</v>
      </c>
      <c r="FU89" s="101">
        <f t="shared" si="168"/>
        <v>2</v>
      </c>
      <c r="FV89" s="14">
        <f t="shared" si="169"/>
        <v>3</v>
      </c>
      <c r="FW89" s="101" t="str">
        <f t="shared" si="191"/>
        <v>许褚专属武器-魂珠-1 3级</v>
      </c>
      <c r="FX89" s="101">
        <f t="shared" si="192"/>
        <v>1</v>
      </c>
      <c r="FY89" s="101">
        <f t="shared" si="193"/>
        <v>3</v>
      </c>
      <c r="FZ89" s="101" t="str">
        <f t="shared" si="173"/>
        <v>金币</v>
      </c>
      <c r="GA89" s="139">
        <f>IF($FY89&gt;0,IF(INDEX($EM$6:$EM$77,$FT89)&gt;=GA$3,ROUND(INDEX(EO$6:EO$77,$FT89)*INDEX(卡牌消耗!$B$8:$F$8,FV89)/5,0)*5,""),"")</f>
        <v>235</v>
      </c>
      <c r="GB89" s="101" t="str">
        <f t="shared" si="174"/>
        <v>专属强化石1</v>
      </c>
      <c r="GC89" s="101">
        <f t="shared" si="175"/>
        <v>3</v>
      </c>
      <c r="GD89" s="101" t="str">
        <f t="shared" si="176"/>
        <v/>
      </c>
      <c r="GE89" s="101" t="str">
        <f t="shared" si="177"/>
        <v/>
      </c>
      <c r="GF89" s="101">
        <f t="shared" si="194"/>
        <v>0.32</v>
      </c>
      <c r="GG89" s="101">
        <f t="shared" si="195"/>
        <v>1</v>
      </c>
      <c r="GH89" s="101">
        <f t="shared" si="196"/>
        <v>5</v>
      </c>
      <c r="GI89" s="101">
        <f t="shared" si="197"/>
        <v>0</v>
      </c>
      <c r="GJ89" s="101">
        <f t="shared" si="198"/>
        <v>1</v>
      </c>
      <c r="GK89" s="101">
        <f t="shared" si="199"/>
        <v>1</v>
      </c>
      <c r="GL89" s="101">
        <f t="shared" si="200"/>
        <v>0.1595</v>
      </c>
      <c r="GM89" s="101">
        <f t="shared" si="201"/>
        <v>1</v>
      </c>
      <c r="GN89" s="101">
        <f t="shared" si="202"/>
        <v>2</v>
      </c>
      <c r="GO89" s="101">
        <f t="shared" si="203"/>
        <v>0.63819999999999999</v>
      </c>
      <c r="GP89" s="101">
        <f t="shared" si="204"/>
        <v>1</v>
      </c>
      <c r="GQ89" s="101">
        <f t="shared" si="205"/>
        <v>5</v>
      </c>
    </row>
    <row r="90" spans="173:199" ht="16.5" x14ac:dyDescent="0.2">
      <c r="FS90" s="101">
        <v>85</v>
      </c>
      <c r="FT90" s="101">
        <f t="shared" si="190"/>
        <v>4</v>
      </c>
      <c r="FU90" s="101">
        <f t="shared" si="168"/>
        <v>2</v>
      </c>
      <c r="FV90" s="14">
        <f t="shared" si="169"/>
        <v>3</v>
      </c>
      <c r="FW90" s="101" t="str">
        <f t="shared" si="191"/>
        <v>许褚专属武器-魂珠-1 4级</v>
      </c>
      <c r="FX90" s="101">
        <f t="shared" si="192"/>
        <v>1</v>
      </c>
      <c r="FY90" s="101">
        <f t="shared" si="193"/>
        <v>4</v>
      </c>
      <c r="FZ90" s="101" t="str">
        <f t="shared" si="173"/>
        <v>金币</v>
      </c>
      <c r="GA90" s="139">
        <f>IF($FY90&gt;0,IF(INDEX($EM$6:$EM$77,$FT90)&gt;=GA$3,ROUND(INDEX(EO$6:EO$77,$FT90)*INDEX(卡牌消耗!$B$8:$F$8,FV90)/5,0)*5,""),"")</f>
        <v>305</v>
      </c>
      <c r="GB90" s="101" t="str">
        <f t="shared" si="174"/>
        <v>专属强化石1</v>
      </c>
      <c r="GC90" s="101">
        <f t="shared" si="175"/>
        <v>4</v>
      </c>
      <c r="GD90" s="101" t="str">
        <f t="shared" si="176"/>
        <v/>
      </c>
      <c r="GE90" s="101" t="str">
        <f t="shared" si="177"/>
        <v/>
      </c>
      <c r="GF90" s="101">
        <f t="shared" si="194"/>
        <v>0.26</v>
      </c>
      <c r="GG90" s="101">
        <f t="shared" si="195"/>
        <v>1</v>
      </c>
      <c r="GH90" s="101">
        <f t="shared" si="196"/>
        <v>6</v>
      </c>
      <c r="GI90" s="101">
        <f t="shared" si="197"/>
        <v>0</v>
      </c>
      <c r="GJ90" s="101">
        <f t="shared" si="198"/>
        <v>1</v>
      </c>
      <c r="GK90" s="101">
        <f t="shared" si="199"/>
        <v>1</v>
      </c>
      <c r="GL90" s="101">
        <f t="shared" si="200"/>
        <v>0.12759999999999999</v>
      </c>
      <c r="GM90" s="101">
        <f t="shared" si="201"/>
        <v>1</v>
      </c>
      <c r="GN90" s="101">
        <f t="shared" si="202"/>
        <v>3</v>
      </c>
      <c r="GO90" s="101">
        <f t="shared" si="203"/>
        <v>0.51060000000000005</v>
      </c>
      <c r="GP90" s="101">
        <f t="shared" si="204"/>
        <v>1</v>
      </c>
      <c r="GQ90" s="101">
        <f t="shared" si="205"/>
        <v>6</v>
      </c>
    </row>
    <row r="91" spans="173:199" ht="16.5" x14ac:dyDescent="0.2">
      <c r="FS91" s="101">
        <v>86</v>
      </c>
      <c r="FT91" s="101">
        <f t="shared" si="190"/>
        <v>5</v>
      </c>
      <c r="FU91" s="101">
        <f t="shared" si="168"/>
        <v>2</v>
      </c>
      <c r="FV91" s="14">
        <f t="shared" si="169"/>
        <v>3</v>
      </c>
      <c r="FW91" s="101" t="str">
        <f t="shared" si="191"/>
        <v>许褚专属武器-魂珠-1 5级</v>
      </c>
      <c r="FX91" s="101">
        <f t="shared" si="192"/>
        <v>1</v>
      </c>
      <c r="FY91" s="101">
        <f t="shared" si="193"/>
        <v>5</v>
      </c>
      <c r="FZ91" s="101" t="str">
        <f t="shared" si="173"/>
        <v>金币</v>
      </c>
      <c r="GA91" s="139">
        <f>IF($FY91&gt;0,IF(INDEX($EM$6:$EM$77,$FT91)&gt;=GA$3,ROUND(INDEX(EO$6:EO$77,$FT91)*INDEX(卡牌消耗!$B$8:$F$8,FV91)/5,0)*5,""),"")</f>
        <v>385</v>
      </c>
      <c r="GB91" s="101" t="str">
        <f t="shared" si="174"/>
        <v>专属强化石1</v>
      </c>
      <c r="GC91" s="101">
        <f t="shared" si="175"/>
        <v>5</v>
      </c>
      <c r="GD91" s="101" t="str">
        <f t="shared" si="176"/>
        <v/>
      </c>
      <c r="GE91" s="101" t="str">
        <f t="shared" si="177"/>
        <v/>
      </c>
      <c r="GF91" s="101">
        <f t="shared" si="194"/>
        <v>0.2</v>
      </c>
      <c r="GG91" s="101">
        <f t="shared" si="195"/>
        <v>1</v>
      </c>
      <c r="GH91" s="101">
        <f t="shared" si="196"/>
        <v>8</v>
      </c>
      <c r="GI91" s="101">
        <f t="shared" si="197"/>
        <v>0</v>
      </c>
      <c r="GJ91" s="101">
        <f t="shared" si="198"/>
        <v>1</v>
      </c>
      <c r="GK91" s="101">
        <f t="shared" si="199"/>
        <v>2</v>
      </c>
      <c r="GL91" s="101">
        <f t="shared" si="200"/>
        <v>9.9699999999999997E-2</v>
      </c>
      <c r="GM91" s="101">
        <f t="shared" si="201"/>
        <v>1</v>
      </c>
      <c r="GN91" s="101">
        <f t="shared" si="202"/>
        <v>4</v>
      </c>
      <c r="GO91" s="101">
        <f t="shared" si="203"/>
        <v>0.39889999999999998</v>
      </c>
      <c r="GP91" s="101">
        <f t="shared" si="204"/>
        <v>1</v>
      </c>
      <c r="GQ91" s="101">
        <f t="shared" si="205"/>
        <v>8</v>
      </c>
    </row>
    <row r="92" spans="173:199" ht="16.5" x14ac:dyDescent="0.2">
      <c r="FS92" s="101">
        <v>87</v>
      </c>
      <c r="FT92" s="101">
        <f t="shared" si="190"/>
        <v>6</v>
      </c>
      <c r="FU92" s="101">
        <f t="shared" si="168"/>
        <v>2</v>
      </c>
      <c r="FV92" s="14">
        <f t="shared" si="169"/>
        <v>3</v>
      </c>
      <c r="FW92" s="101" t="str">
        <f t="shared" si="191"/>
        <v>许褚专属武器-魂珠-1 6级</v>
      </c>
      <c r="FX92" s="101">
        <f t="shared" si="192"/>
        <v>1</v>
      </c>
      <c r="FY92" s="101">
        <f t="shared" si="193"/>
        <v>6</v>
      </c>
      <c r="FZ92" s="101" t="str">
        <f t="shared" si="173"/>
        <v>金币</v>
      </c>
      <c r="GA92" s="139">
        <f>IF($FY92&gt;0,IF(INDEX($EM$6:$EM$77,$FT92)&gt;=GA$3,ROUND(INDEX(EO$6:EO$77,$FT92)*INDEX(卡牌消耗!$B$8:$F$8,FV92)/5,0)*5,""),"")</f>
        <v>460</v>
      </c>
      <c r="GB92" s="101" t="str">
        <f t="shared" si="174"/>
        <v>专属强化石1</v>
      </c>
      <c r="GC92" s="101">
        <f t="shared" si="175"/>
        <v>6</v>
      </c>
      <c r="GD92" s="101" t="str">
        <f t="shared" si="176"/>
        <v/>
      </c>
      <c r="GE92" s="101" t="str">
        <f t="shared" si="177"/>
        <v/>
      </c>
      <c r="GF92" s="101">
        <f t="shared" si="194"/>
        <v>0.15</v>
      </c>
      <c r="GG92" s="101">
        <f t="shared" si="195"/>
        <v>1</v>
      </c>
      <c r="GH92" s="101">
        <f t="shared" si="196"/>
        <v>10</v>
      </c>
      <c r="GI92" s="101">
        <f t="shared" si="197"/>
        <v>0</v>
      </c>
      <c r="GJ92" s="101">
        <f t="shared" si="198"/>
        <v>1</v>
      </c>
      <c r="GK92" s="101">
        <f t="shared" si="199"/>
        <v>2</v>
      </c>
      <c r="GL92" s="101">
        <f t="shared" si="200"/>
        <v>7.3599999999999999E-2</v>
      </c>
      <c r="GM92" s="101">
        <f t="shared" si="201"/>
        <v>1</v>
      </c>
      <c r="GN92" s="101">
        <f t="shared" si="202"/>
        <v>5</v>
      </c>
      <c r="GO92" s="101">
        <f t="shared" si="203"/>
        <v>0.29459999999999997</v>
      </c>
      <c r="GP92" s="101">
        <f t="shared" si="204"/>
        <v>1</v>
      </c>
      <c r="GQ92" s="101">
        <f t="shared" si="205"/>
        <v>10</v>
      </c>
    </row>
    <row r="93" spans="173:199" ht="16.5" x14ac:dyDescent="0.2">
      <c r="FS93" s="101">
        <v>88</v>
      </c>
      <c r="FT93" s="101">
        <f t="shared" si="190"/>
        <v>7</v>
      </c>
      <c r="FU93" s="101">
        <f t="shared" si="168"/>
        <v>2</v>
      </c>
      <c r="FV93" s="14">
        <f t="shared" si="169"/>
        <v>3</v>
      </c>
      <c r="FW93" s="101" t="str">
        <f t="shared" si="191"/>
        <v>许褚专属武器-魂珠-1 7级</v>
      </c>
      <c r="FX93" s="101">
        <f t="shared" si="192"/>
        <v>1</v>
      </c>
      <c r="FY93" s="101">
        <f t="shared" si="193"/>
        <v>7</v>
      </c>
      <c r="FZ93" s="101" t="str">
        <f t="shared" si="173"/>
        <v>金币</v>
      </c>
      <c r="GA93" s="139">
        <f>IF($FY93&gt;0,IF(INDEX($EM$6:$EM$77,$FT93)&gt;=GA$3,ROUND(INDEX(EO$6:EO$77,$FT93)*INDEX(卡牌消耗!$B$8:$F$8,FV93)/5,0)*5,""),"")</f>
        <v>535</v>
      </c>
      <c r="GB93" s="101" t="str">
        <f t="shared" si="174"/>
        <v>专属强化石1</v>
      </c>
      <c r="GC93" s="101">
        <f t="shared" si="175"/>
        <v>7</v>
      </c>
      <c r="GD93" s="101" t="str">
        <f t="shared" si="176"/>
        <v/>
      </c>
      <c r="GE93" s="101" t="str">
        <f t="shared" si="177"/>
        <v/>
      </c>
      <c r="GF93" s="101">
        <f t="shared" si="194"/>
        <v>0.11</v>
      </c>
      <c r="GG93" s="101">
        <f t="shared" si="195"/>
        <v>1</v>
      </c>
      <c r="GH93" s="101">
        <f t="shared" si="196"/>
        <v>14</v>
      </c>
      <c r="GI93" s="101">
        <f t="shared" si="197"/>
        <v>0</v>
      </c>
      <c r="GJ93" s="101">
        <f t="shared" si="198"/>
        <v>1</v>
      </c>
      <c r="GK93" s="101">
        <f t="shared" si="199"/>
        <v>3</v>
      </c>
      <c r="GL93" s="101">
        <f t="shared" si="200"/>
        <v>5.3199999999999997E-2</v>
      </c>
      <c r="GM93" s="101">
        <f t="shared" si="201"/>
        <v>1</v>
      </c>
      <c r="GN93" s="101">
        <f t="shared" si="202"/>
        <v>7</v>
      </c>
      <c r="GO93" s="101">
        <f t="shared" si="203"/>
        <v>0.2127</v>
      </c>
      <c r="GP93" s="101">
        <f t="shared" si="204"/>
        <v>1</v>
      </c>
      <c r="GQ93" s="101">
        <f t="shared" si="205"/>
        <v>14</v>
      </c>
    </row>
    <row r="94" spans="173:199" ht="16.5" x14ac:dyDescent="0.2">
      <c r="FS94" s="101">
        <v>89</v>
      </c>
      <c r="FT94" s="101">
        <f t="shared" si="190"/>
        <v>8</v>
      </c>
      <c r="FU94" s="101">
        <f t="shared" si="168"/>
        <v>2</v>
      </c>
      <c r="FV94" s="14">
        <f t="shared" si="169"/>
        <v>3</v>
      </c>
      <c r="FW94" s="101" t="str">
        <f t="shared" si="191"/>
        <v>许褚专属武器-魂珠-1 8级</v>
      </c>
      <c r="FX94" s="101">
        <f t="shared" si="192"/>
        <v>1</v>
      </c>
      <c r="FY94" s="101">
        <f t="shared" si="193"/>
        <v>8</v>
      </c>
      <c r="FZ94" s="101" t="str">
        <f t="shared" si="173"/>
        <v>金币</v>
      </c>
      <c r="GA94" s="139">
        <f>IF($FY94&gt;0,IF(INDEX($EM$6:$EM$77,$FT94)&gt;=GA$3,ROUND(INDEX(EO$6:EO$77,$FT94)*INDEX(卡牌消耗!$B$8:$F$8,FV94)/5,0)*5,""),"")</f>
        <v>615</v>
      </c>
      <c r="GB94" s="101" t="str">
        <f t="shared" si="174"/>
        <v>专属强化石1</v>
      </c>
      <c r="GC94" s="101">
        <f t="shared" si="175"/>
        <v>8</v>
      </c>
      <c r="GD94" s="101" t="str">
        <f t="shared" si="176"/>
        <v/>
      </c>
      <c r="GE94" s="101" t="str">
        <f t="shared" si="177"/>
        <v/>
      </c>
      <c r="GF94" s="101">
        <f t="shared" si="194"/>
        <v>0.08</v>
      </c>
      <c r="GG94" s="101">
        <f t="shared" si="195"/>
        <v>1</v>
      </c>
      <c r="GH94" s="101">
        <f t="shared" si="196"/>
        <v>20</v>
      </c>
      <c r="GI94" s="101">
        <f t="shared" si="197"/>
        <v>0</v>
      </c>
      <c r="GJ94" s="101">
        <f t="shared" si="198"/>
        <v>1</v>
      </c>
      <c r="GK94" s="101">
        <f t="shared" si="199"/>
        <v>5</v>
      </c>
      <c r="GL94" s="101">
        <f t="shared" si="200"/>
        <v>3.7499999999999999E-2</v>
      </c>
      <c r="GM94" s="101">
        <f t="shared" si="201"/>
        <v>1</v>
      </c>
      <c r="GN94" s="101">
        <f t="shared" si="202"/>
        <v>9</v>
      </c>
      <c r="GO94" s="101">
        <f t="shared" si="203"/>
        <v>0.1502</v>
      </c>
      <c r="GP94" s="101">
        <f t="shared" si="204"/>
        <v>1</v>
      </c>
      <c r="GQ94" s="101">
        <f t="shared" si="205"/>
        <v>20</v>
      </c>
    </row>
    <row r="95" spans="173:199" ht="16.5" x14ac:dyDescent="0.2">
      <c r="FS95" s="101">
        <v>90</v>
      </c>
      <c r="FT95" s="101">
        <f t="shared" si="190"/>
        <v>9</v>
      </c>
      <c r="FU95" s="101">
        <f t="shared" si="168"/>
        <v>2</v>
      </c>
      <c r="FV95" s="14">
        <f t="shared" si="169"/>
        <v>3</v>
      </c>
      <c r="FW95" s="101" t="str">
        <f t="shared" si="191"/>
        <v>许褚专属武器-魂珠-1 9级</v>
      </c>
      <c r="FX95" s="101">
        <f t="shared" si="192"/>
        <v>1</v>
      </c>
      <c r="FY95" s="101">
        <f t="shared" si="193"/>
        <v>9</v>
      </c>
      <c r="FZ95" s="101" t="str">
        <f t="shared" si="173"/>
        <v>金币</v>
      </c>
      <c r="GA95" s="139">
        <f>IF($FY95&gt;0,IF(INDEX($EM$6:$EM$77,$FT95)&gt;=GA$3,ROUND(INDEX(EO$6:EO$77,$FT95)*INDEX(卡牌消耗!$B$8:$F$8,FV95)/5,0)*5,""),"")</f>
        <v>765</v>
      </c>
      <c r="GB95" s="101" t="str">
        <f t="shared" si="174"/>
        <v>专属强化石1</v>
      </c>
      <c r="GC95" s="101">
        <f t="shared" si="175"/>
        <v>10</v>
      </c>
      <c r="GD95" s="101" t="str">
        <f t="shared" si="176"/>
        <v/>
      </c>
      <c r="GE95" s="101" t="str">
        <f t="shared" si="177"/>
        <v/>
      </c>
      <c r="GF95" s="101">
        <f t="shared" si="194"/>
        <v>0.06</v>
      </c>
      <c r="GG95" s="101">
        <f t="shared" si="195"/>
        <v>1</v>
      </c>
      <c r="GH95" s="101">
        <f t="shared" si="196"/>
        <v>26</v>
      </c>
      <c r="GI95" s="101">
        <f t="shared" si="197"/>
        <v>0</v>
      </c>
      <c r="GJ95" s="101">
        <f t="shared" si="198"/>
        <v>1</v>
      </c>
      <c r="GK95" s="101">
        <f t="shared" si="199"/>
        <v>6</v>
      </c>
      <c r="GL95" s="101">
        <f t="shared" si="200"/>
        <v>2.9000000000000001E-2</v>
      </c>
      <c r="GM95" s="101">
        <f t="shared" si="201"/>
        <v>1</v>
      </c>
      <c r="GN95" s="101">
        <f t="shared" si="202"/>
        <v>12</v>
      </c>
      <c r="GO95" s="101">
        <f t="shared" si="203"/>
        <v>0.11600000000000001</v>
      </c>
      <c r="GP95" s="101">
        <f t="shared" si="204"/>
        <v>1</v>
      </c>
      <c r="GQ95" s="101">
        <f t="shared" si="205"/>
        <v>26</v>
      </c>
    </row>
    <row r="96" spans="173:199" ht="16.5" x14ac:dyDescent="0.2">
      <c r="FS96" s="101">
        <v>91</v>
      </c>
      <c r="FT96" s="101">
        <f t="shared" si="190"/>
        <v>0</v>
      </c>
      <c r="FU96" s="101">
        <f t="shared" si="168"/>
        <v>2</v>
      </c>
      <c r="FV96" s="14">
        <f t="shared" si="169"/>
        <v>3</v>
      </c>
      <c r="FW96" s="101" t="str">
        <f t="shared" si="191"/>
        <v>许褚专属武器-魂珠-2 0级</v>
      </c>
      <c r="FX96" s="101">
        <f t="shared" si="192"/>
        <v>2</v>
      </c>
      <c r="FY96" s="101">
        <f t="shared" si="193"/>
        <v>0</v>
      </c>
      <c r="FZ96" s="101" t="str">
        <f t="shared" si="173"/>
        <v/>
      </c>
      <c r="GA96" s="139" t="str">
        <f>IF($FY96&gt;0,IF(INDEX($EM$6:$EM$77,$FT96)&gt;=GA$3,ROUND(INDEX(EO$6:EO$77,$FT96)*INDEX(卡牌消耗!$B$8:$F$8,FV96)/5,0)*5,""),"")</f>
        <v/>
      </c>
      <c r="GB96" s="101" t="str">
        <f t="shared" si="174"/>
        <v/>
      </c>
      <c r="GC96" s="101" t="str">
        <f t="shared" si="175"/>
        <v/>
      </c>
      <c r="GD96" s="101" t="str">
        <f t="shared" si="176"/>
        <v/>
      </c>
      <c r="GE96" s="101" t="str">
        <f t="shared" si="177"/>
        <v/>
      </c>
      <c r="GF96" s="101" t="str">
        <f t="shared" si="194"/>
        <v/>
      </c>
      <c r="GG96" s="101" t="str">
        <f t="shared" si="195"/>
        <v/>
      </c>
      <c r="GH96" s="101" t="str">
        <f t="shared" si="196"/>
        <v/>
      </c>
      <c r="GI96" s="101" t="str">
        <f t="shared" si="197"/>
        <v/>
      </c>
      <c r="GJ96" s="101" t="str">
        <f t="shared" si="198"/>
        <v/>
      </c>
      <c r="GK96" s="101" t="str">
        <f t="shared" si="199"/>
        <v/>
      </c>
      <c r="GL96" s="101" t="str">
        <f t="shared" si="200"/>
        <v/>
      </c>
      <c r="GM96" s="101" t="str">
        <f t="shared" si="201"/>
        <v/>
      </c>
      <c r="GN96" s="101" t="str">
        <f t="shared" si="202"/>
        <v/>
      </c>
      <c r="GO96" s="101" t="str">
        <f t="shared" si="203"/>
        <v/>
      </c>
      <c r="GP96" s="101" t="str">
        <f t="shared" si="204"/>
        <v/>
      </c>
      <c r="GQ96" s="101" t="str">
        <f t="shared" si="205"/>
        <v/>
      </c>
    </row>
    <row r="97" spans="175:199" ht="16.5" x14ac:dyDescent="0.2">
      <c r="FS97" s="101">
        <v>92</v>
      </c>
      <c r="FT97" s="101">
        <f t="shared" si="190"/>
        <v>10</v>
      </c>
      <c r="FU97" s="101">
        <f t="shared" si="168"/>
        <v>2</v>
      </c>
      <c r="FV97" s="14">
        <f t="shared" si="169"/>
        <v>3</v>
      </c>
      <c r="FW97" s="101" t="str">
        <f t="shared" si="191"/>
        <v>许褚专属武器-魂珠-2 1级</v>
      </c>
      <c r="FX97" s="101">
        <f t="shared" si="192"/>
        <v>2</v>
      </c>
      <c r="FY97" s="101">
        <f t="shared" si="193"/>
        <v>1</v>
      </c>
      <c r="FZ97" s="101" t="str">
        <f t="shared" si="173"/>
        <v>金币</v>
      </c>
      <c r="GA97" s="139">
        <f>IF($FY97&gt;0,IF(INDEX($EM$6:$EM$77,$FT97)&gt;=GA$3,ROUND(INDEX(EO$6:EO$77,$FT97)*INDEX(卡牌消耗!$B$8:$F$8,FV97)/5,0)*5,""),"")</f>
        <v>260</v>
      </c>
      <c r="GB97" s="101" t="str">
        <f t="shared" si="174"/>
        <v>专属强化石1</v>
      </c>
      <c r="GC97" s="101">
        <f t="shared" si="175"/>
        <v>3</v>
      </c>
      <c r="GD97" s="101" t="str">
        <f t="shared" si="176"/>
        <v>专属强化石2</v>
      </c>
      <c r="GE97" s="101">
        <f t="shared" si="177"/>
        <v>1</v>
      </c>
      <c r="GF97" s="101">
        <f t="shared" si="194"/>
        <v>0.39</v>
      </c>
      <c r="GG97" s="101">
        <f t="shared" si="195"/>
        <v>1</v>
      </c>
      <c r="GH97" s="101">
        <f t="shared" si="196"/>
        <v>4</v>
      </c>
      <c r="GI97" s="101">
        <f t="shared" si="197"/>
        <v>0</v>
      </c>
      <c r="GJ97" s="101">
        <f t="shared" si="198"/>
        <v>1</v>
      </c>
      <c r="GK97" s="101">
        <f t="shared" si="199"/>
        <v>1</v>
      </c>
      <c r="GL97" s="101">
        <f t="shared" si="200"/>
        <v>0.19270000000000001</v>
      </c>
      <c r="GM97" s="101">
        <f t="shared" si="201"/>
        <v>1</v>
      </c>
      <c r="GN97" s="101">
        <f t="shared" si="202"/>
        <v>2</v>
      </c>
      <c r="GO97" s="101">
        <f t="shared" si="203"/>
        <v>0.77070000000000005</v>
      </c>
      <c r="GP97" s="101">
        <f t="shared" si="204"/>
        <v>1</v>
      </c>
      <c r="GQ97" s="101">
        <f t="shared" si="205"/>
        <v>4</v>
      </c>
    </row>
    <row r="98" spans="175:199" ht="16.5" x14ac:dyDescent="0.2">
      <c r="FS98" s="101">
        <v>93</v>
      </c>
      <c r="FT98" s="101">
        <f t="shared" si="190"/>
        <v>11</v>
      </c>
      <c r="FU98" s="101">
        <f t="shared" si="168"/>
        <v>2</v>
      </c>
      <c r="FV98" s="14">
        <f t="shared" si="169"/>
        <v>3</v>
      </c>
      <c r="FW98" s="101" t="str">
        <f t="shared" si="191"/>
        <v>许褚专属武器-魂珠-2 2级</v>
      </c>
      <c r="FX98" s="101">
        <f t="shared" si="192"/>
        <v>2</v>
      </c>
      <c r="FY98" s="101">
        <f t="shared" si="193"/>
        <v>2</v>
      </c>
      <c r="FZ98" s="101" t="str">
        <f t="shared" si="173"/>
        <v>金币</v>
      </c>
      <c r="GA98" s="139">
        <f>IF($FY98&gt;0,IF(INDEX($EM$6:$EM$77,$FT98)&gt;=GA$3,ROUND(INDEX(EO$6:EO$77,$FT98)*INDEX(卡牌消耗!$B$8:$F$8,FV98)/5,0)*5,""),"")</f>
        <v>195</v>
      </c>
      <c r="GB98" s="101" t="str">
        <f t="shared" si="174"/>
        <v>专属强化石1</v>
      </c>
      <c r="GC98" s="101">
        <f t="shared" si="175"/>
        <v>3</v>
      </c>
      <c r="GD98" s="101" t="str">
        <f t="shared" si="176"/>
        <v>专属强化石2</v>
      </c>
      <c r="GE98" s="101">
        <f t="shared" si="177"/>
        <v>1</v>
      </c>
      <c r="GF98" s="101">
        <f t="shared" si="194"/>
        <v>0.19</v>
      </c>
      <c r="GG98" s="101">
        <f t="shared" si="195"/>
        <v>1</v>
      </c>
      <c r="GH98" s="101">
        <f t="shared" si="196"/>
        <v>8</v>
      </c>
      <c r="GI98" s="101">
        <f t="shared" si="197"/>
        <v>0</v>
      </c>
      <c r="GJ98" s="101">
        <f t="shared" si="198"/>
        <v>1</v>
      </c>
      <c r="GK98" s="101">
        <f t="shared" si="199"/>
        <v>2</v>
      </c>
      <c r="GL98" s="101">
        <f t="shared" si="200"/>
        <v>9.6299999999999997E-2</v>
      </c>
      <c r="GM98" s="101">
        <f t="shared" si="201"/>
        <v>1</v>
      </c>
      <c r="GN98" s="101">
        <f t="shared" si="202"/>
        <v>4</v>
      </c>
      <c r="GO98" s="101">
        <f t="shared" si="203"/>
        <v>0.38529999999999998</v>
      </c>
      <c r="GP98" s="101">
        <f t="shared" si="204"/>
        <v>1</v>
      </c>
      <c r="GQ98" s="101">
        <f t="shared" si="205"/>
        <v>8</v>
      </c>
    </row>
    <row r="99" spans="175:199" ht="16.5" x14ac:dyDescent="0.2">
      <c r="FS99" s="101">
        <v>94</v>
      </c>
      <c r="FT99" s="101">
        <f t="shared" si="190"/>
        <v>12</v>
      </c>
      <c r="FU99" s="101">
        <f t="shared" si="168"/>
        <v>2</v>
      </c>
      <c r="FV99" s="14">
        <f t="shared" si="169"/>
        <v>3</v>
      </c>
      <c r="FW99" s="101" t="str">
        <f t="shared" si="191"/>
        <v>许褚专属武器-魂珠-2 3级</v>
      </c>
      <c r="FX99" s="101">
        <f t="shared" si="192"/>
        <v>2</v>
      </c>
      <c r="FY99" s="101">
        <f t="shared" si="193"/>
        <v>3</v>
      </c>
      <c r="FZ99" s="101" t="str">
        <f t="shared" si="173"/>
        <v>金币</v>
      </c>
      <c r="GA99" s="139">
        <f>IF($FY99&gt;0,IF(INDEX($EM$6:$EM$77,$FT99)&gt;=GA$3,ROUND(INDEX(EO$6:EO$77,$FT99)*INDEX(卡牌消耗!$B$8:$F$8,FV99)/5,0)*5,""),"")</f>
        <v>435</v>
      </c>
      <c r="GB99" s="101" t="str">
        <f t="shared" si="174"/>
        <v>专属强化石1</v>
      </c>
      <c r="GC99" s="101">
        <f t="shared" si="175"/>
        <v>6</v>
      </c>
      <c r="GD99" s="101" t="str">
        <f t="shared" si="176"/>
        <v>专属强化石2</v>
      </c>
      <c r="GE99" s="101">
        <f t="shared" si="177"/>
        <v>2</v>
      </c>
      <c r="GF99" s="101">
        <f t="shared" si="194"/>
        <v>0.26</v>
      </c>
      <c r="GG99" s="101">
        <f t="shared" si="195"/>
        <v>1</v>
      </c>
      <c r="GH99" s="101">
        <f t="shared" si="196"/>
        <v>6</v>
      </c>
      <c r="GI99" s="101">
        <f t="shared" si="197"/>
        <v>0</v>
      </c>
      <c r="GJ99" s="101">
        <f t="shared" si="198"/>
        <v>1</v>
      </c>
      <c r="GK99" s="101">
        <f t="shared" si="199"/>
        <v>1</v>
      </c>
      <c r="GL99" s="101">
        <f t="shared" si="200"/>
        <v>0.12839999999999999</v>
      </c>
      <c r="GM99" s="101">
        <f t="shared" si="201"/>
        <v>1</v>
      </c>
      <c r="GN99" s="101">
        <f t="shared" si="202"/>
        <v>3</v>
      </c>
      <c r="GO99" s="101">
        <f t="shared" si="203"/>
        <v>0.51380000000000003</v>
      </c>
      <c r="GP99" s="101">
        <f t="shared" si="204"/>
        <v>1</v>
      </c>
      <c r="GQ99" s="101">
        <f t="shared" si="205"/>
        <v>6</v>
      </c>
    </row>
    <row r="100" spans="175:199" ht="16.5" x14ac:dyDescent="0.2">
      <c r="FS100" s="101">
        <v>95</v>
      </c>
      <c r="FT100" s="101">
        <f t="shared" si="190"/>
        <v>13</v>
      </c>
      <c r="FU100" s="101">
        <f t="shared" si="168"/>
        <v>2</v>
      </c>
      <c r="FV100" s="14">
        <f t="shared" si="169"/>
        <v>3</v>
      </c>
      <c r="FW100" s="101" t="str">
        <f t="shared" si="191"/>
        <v>许褚专属武器-魂珠-2 4级</v>
      </c>
      <c r="FX100" s="101">
        <f t="shared" si="192"/>
        <v>2</v>
      </c>
      <c r="FY100" s="101">
        <f t="shared" si="193"/>
        <v>4</v>
      </c>
      <c r="FZ100" s="101" t="str">
        <f t="shared" si="173"/>
        <v>金币</v>
      </c>
      <c r="GA100" s="139">
        <f>IF($FY100&gt;0,IF(INDEX($EM$6:$EM$77,$FT100)&gt;=GA$3,ROUND(INDEX(EO$6:EO$77,$FT100)*INDEX(卡牌消耗!$B$8:$F$8,FV100)/5,0)*5,""),"")</f>
        <v>420</v>
      </c>
      <c r="GB100" s="101" t="str">
        <f t="shared" si="174"/>
        <v>专属强化石1</v>
      </c>
      <c r="GC100" s="101">
        <f t="shared" si="175"/>
        <v>6</v>
      </c>
      <c r="GD100" s="101" t="str">
        <f t="shared" si="176"/>
        <v>专属强化石2</v>
      </c>
      <c r="GE100" s="101">
        <f t="shared" si="177"/>
        <v>2</v>
      </c>
      <c r="GF100" s="101">
        <f t="shared" si="194"/>
        <v>0.15</v>
      </c>
      <c r="GG100" s="101">
        <f t="shared" si="195"/>
        <v>1</v>
      </c>
      <c r="GH100" s="101">
        <f t="shared" si="196"/>
        <v>10</v>
      </c>
      <c r="GI100" s="101">
        <f t="shared" si="197"/>
        <v>0</v>
      </c>
      <c r="GJ100" s="101">
        <f t="shared" si="198"/>
        <v>1</v>
      </c>
      <c r="GK100" s="101">
        <f t="shared" si="199"/>
        <v>2</v>
      </c>
      <c r="GL100" s="101">
        <f t="shared" si="200"/>
        <v>7.7100000000000002E-2</v>
      </c>
      <c r="GM100" s="101">
        <f t="shared" si="201"/>
        <v>1</v>
      </c>
      <c r="GN100" s="101">
        <f t="shared" si="202"/>
        <v>5</v>
      </c>
      <c r="GO100" s="101">
        <f t="shared" si="203"/>
        <v>0.30830000000000002</v>
      </c>
      <c r="GP100" s="101">
        <f t="shared" si="204"/>
        <v>1</v>
      </c>
      <c r="GQ100" s="101">
        <f t="shared" si="205"/>
        <v>10</v>
      </c>
    </row>
    <row r="101" spans="175:199" ht="16.5" x14ac:dyDescent="0.2">
      <c r="FS101" s="101">
        <v>96</v>
      </c>
      <c r="FT101" s="101">
        <f t="shared" si="190"/>
        <v>14</v>
      </c>
      <c r="FU101" s="101">
        <f t="shared" si="168"/>
        <v>2</v>
      </c>
      <c r="FV101" s="14">
        <f t="shared" si="169"/>
        <v>3</v>
      </c>
      <c r="FW101" s="101" t="str">
        <f t="shared" si="191"/>
        <v>许褚专属武器-魂珠-2 5级</v>
      </c>
      <c r="FX101" s="101">
        <f t="shared" si="192"/>
        <v>2</v>
      </c>
      <c r="FY101" s="101">
        <f t="shared" si="193"/>
        <v>5</v>
      </c>
      <c r="FZ101" s="101" t="str">
        <f t="shared" si="173"/>
        <v>金币</v>
      </c>
      <c r="GA101" s="139">
        <f>IF($FY101&gt;0,IF(INDEX($EM$6:$EM$77,$FT101)&gt;=GA$3,ROUND(INDEX(EO$6:EO$77,$FT101)*INDEX(卡牌消耗!$B$8:$F$8,FV101)/5,0)*5,""),"")</f>
        <v>635</v>
      </c>
      <c r="GB101" s="101" t="str">
        <f t="shared" si="174"/>
        <v>专属强化石1</v>
      </c>
      <c r="GC101" s="101">
        <f t="shared" si="175"/>
        <v>9</v>
      </c>
      <c r="GD101" s="101" t="str">
        <f t="shared" si="176"/>
        <v>专属强化石2</v>
      </c>
      <c r="GE101" s="101">
        <f t="shared" si="177"/>
        <v>3</v>
      </c>
      <c r="GF101" s="101">
        <f t="shared" si="194"/>
        <v>0.14000000000000001</v>
      </c>
      <c r="GG101" s="101">
        <f t="shared" si="195"/>
        <v>1</v>
      </c>
      <c r="GH101" s="101">
        <f t="shared" si="196"/>
        <v>10</v>
      </c>
      <c r="GI101" s="101">
        <f t="shared" si="197"/>
        <v>0</v>
      </c>
      <c r="GJ101" s="101">
        <f t="shared" si="198"/>
        <v>1</v>
      </c>
      <c r="GK101" s="101">
        <f t="shared" si="199"/>
        <v>2</v>
      </c>
      <c r="GL101" s="101">
        <f t="shared" si="200"/>
        <v>7.22E-2</v>
      </c>
      <c r="GM101" s="101">
        <f t="shared" si="201"/>
        <v>1</v>
      </c>
      <c r="GN101" s="101">
        <f t="shared" si="202"/>
        <v>5</v>
      </c>
      <c r="GO101" s="101">
        <f t="shared" si="203"/>
        <v>0.28899999999999998</v>
      </c>
      <c r="GP101" s="101">
        <f t="shared" si="204"/>
        <v>1</v>
      </c>
      <c r="GQ101" s="101">
        <f t="shared" si="205"/>
        <v>10</v>
      </c>
    </row>
    <row r="102" spans="175:199" ht="16.5" x14ac:dyDescent="0.2">
      <c r="FS102" s="101">
        <v>97</v>
      </c>
      <c r="FT102" s="101">
        <f t="shared" si="190"/>
        <v>15</v>
      </c>
      <c r="FU102" s="101">
        <f t="shared" si="168"/>
        <v>2</v>
      </c>
      <c r="FV102" s="14">
        <f t="shared" si="169"/>
        <v>3</v>
      </c>
      <c r="FW102" s="101" t="str">
        <f t="shared" si="191"/>
        <v>许褚专属武器-魂珠-2 6级</v>
      </c>
      <c r="FX102" s="101">
        <f t="shared" si="192"/>
        <v>2</v>
      </c>
      <c r="FY102" s="101">
        <f t="shared" si="193"/>
        <v>6</v>
      </c>
      <c r="FZ102" s="101" t="str">
        <f t="shared" si="173"/>
        <v>金币</v>
      </c>
      <c r="GA102" s="139">
        <f>IF($FY102&gt;0,IF(INDEX($EM$6:$EM$77,$FT102)&gt;=GA$3,ROUND(INDEX(EO$6:EO$77,$FT102)*INDEX(卡牌消耗!$B$8:$F$8,FV102)/5,0)*5,""),"")</f>
        <v>845</v>
      </c>
      <c r="GB102" s="101" t="str">
        <f t="shared" si="174"/>
        <v>专属强化石1</v>
      </c>
      <c r="GC102" s="101">
        <f t="shared" si="175"/>
        <v>12</v>
      </c>
      <c r="GD102" s="101" t="str">
        <f t="shared" si="176"/>
        <v>专属强化石2</v>
      </c>
      <c r="GE102" s="101">
        <f t="shared" si="177"/>
        <v>4</v>
      </c>
      <c r="GF102" s="101">
        <f t="shared" si="194"/>
        <v>0.12</v>
      </c>
      <c r="GG102" s="101">
        <f t="shared" si="195"/>
        <v>1</v>
      </c>
      <c r="GH102" s="101">
        <f t="shared" si="196"/>
        <v>13</v>
      </c>
      <c r="GI102" s="101">
        <f t="shared" si="197"/>
        <v>0</v>
      </c>
      <c r="GJ102" s="101">
        <f t="shared" si="198"/>
        <v>1</v>
      </c>
      <c r="GK102" s="101">
        <f t="shared" si="199"/>
        <v>3</v>
      </c>
      <c r="GL102" s="101">
        <f t="shared" si="200"/>
        <v>5.9299999999999999E-2</v>
      </c>
      <c r="GM102" s="101">
        <f t="shared" si="201"/>
        <v>1</v>
      </c>
      <c r="GN102" s="101">
        <f t="shared" si="202"/>
        <v>6</v>
      </c>
      <c r="GO102" s="101">
        <f t="shared" si="203"/>
        <v>0.23710000000000001</v>
      </c>
      <c r="GP102" s="101">
        <f t="shared" si="204"/>
        <v>1</v>
      </c>
      <c r="GQ102" s="101">
        <f t="shared" si="205"/>
        <v>13</v>
      </c>
    </row>
    <row r="103" spans="175:199" ht="16.5" x14ac:dyDescent="0.2">
      <c r="FS103" s="101">
        <v>98</v>
      </c>
      <c r="FT103" s="101">
        <f t="shared" si="190"/>
        <v>16</v>
      </c>
      <c r="FU103" s="101">
        <f t="shared" si="168"/>
        <v>2</v>
      </c>
      <c r="FV103" s="14">
        <f t="shared" si="169"/>
        <v>3</v>
      </c>
      <c r="FW103" s="101" t="str">
        <f t="shared" si="191"/>
        <v>许褚专属武器-魂珠-2 7级</v>
      </c>
      <c r="FX103" s="101">
        <f t="shared" si="192"/>
        <v>2</v>
      </c>
      <c r="FY103" s="101">
        <f t="shared" si="193"/>
        <v>7</v>
      </c>
      <c r="FZ103" s="101" t="str">
        <f t="shared" si="173"/>
        <v>金币</v>
      </c>
      <c r="GA103" s="139">
        <f>IF($FY103&gt;0,IF(INDEX($EM$6:$EM$77,$FT103)&gt;=GA$3,ROUND(INDEX(EO$6:EO$77,$FT103)*INDEX(卡牌消耗!$B$8:$F$8,FV103)/5,0)*5,""),"")</f>
        <v>1060</v>
      </c>
      <c r="GB103" s="101" t="str">
        <f t="shared" si="174"/>
        <v>专属强化石1</v>
      </c>
      <c r="GC103" s="101">
        <f t="shared" si="175"/>
        <v>15</v>
      </c>
      <c r="GD103" s="101" t="str">
        <f t="shared" si="176"/>
        <v>专属强化石2</v>
      </c>
      <c r="GE103" s="101">
        <f t="shared" si="177"/>
        <v>5</v>
      </c>
      <c r="GF103" s="101">
        <f t="shared" si="194"/>
        <v>0.09</v>
      </c>
      <c r="GG103" s="101">
        <f t="shared" si="195"/>
        <v>1</v>
      </c>
      <c r="GH103" s="101">
        <f t="shared" si="196"/>
        <v>16</v>
      </c>
      <c r="GI103" s="101">
        <f t="shared" si="197"/>
        <v>0</v>
      </c>
      <c r="GJ103" s="101">
        <f t="shared" si="198"/>
        <v>1</v>
      </c>
      <c r="GK103" s="101">
        <f t="shared" si="199"/>
        <v>4</v>
      </c>
      <c r="GL103" s="101">
        <f t="shared" si="200"/>
        <v>4.5900000000000003E-2</v>
      </c>
      <c r="GM103" s="101">
        <f t="shared" si="201"/>
        <v>1</v>
      </c>
      <c r="GN103" s="101">
        <f t="shared" si="202"/>
        <v>8</v>
      </c>
      <c r="GO103" s="101">
        <f t="shared" si="203"/>
        <v>0.1835</v>
      </c>
      <c r="GP103" s="101">
        <f t="shared" si="204"/>
        <v>1</v>
      </c>
      <c r="GQ103" s="101">
        <f t="shared" si="205"/>
        <v>16</v>
      </c>
    </row>
    <row r="104" spans="175:199" ht="16.5" x14ac:dyDescent="0.2">
      <c r="FS104" s="101">
        <v>99</v>
      </c>
      <c r="FT104" s="101">
        <f t="shared" si="190"/>
        <v>17</v>
      </c>
      <c r="FU104" s="101">
        <f t="shared" si="168"/>
        <v>2</v>
      </c>
      <c r="FV104" s="14">
        <f t="shared" si="169"/>
        <v>3</v>
      </c>
      <c r="FW104" s="101" t="str">
        <f t="shared" si="191"/>
        <v>许褚专属武器-魂珠-2 8级</v>
      </c>
      <c r="FX104" s="101">
        <f t="shared" si="192"/>
        <v>2</v>
      </c>
      <c r="FY104" s="101">
        <f t="shared" si="193"/>
        <v>8</v>
      </c>
      <c r="FZ104" s="101" t="str">
        <f t="shared" si="173"/>
        <v>金币</v>
      </c>
      <c r="GA104" s="139">
        <f>IF($FY104&gt;0,IF(INDEX($EM$6:$EM$77,$FT104)&gt;=GA$3,ROUND(INDEX(EO$6:EO$77,$FT104)*INDEX(卡牌消耗!$B$8:$F$8,FV104)/5,0)*5,""),"")</f>
        <v>1270</v>
      </c>
      <c r="GB104" s="101" t="str">
        <f t="shared" si="174"/>
        <v>专属强化石1</v>
      </c>
      <c r="GC104" s="101">
        <f t="shared" si="175"/>
        <v>18</v>
      </c>
      <c r="GD104" s="101" t="str">
        <f t="shared" si="176"/>
        <v>专属强化石2</v>
      </c>
      <c r="GE104" s="101">
        <f t="shared" si="177"/>
        <v>6</v>
      </c>
      <c r="GF104" s="101">
        <f t="shared" si="194"/>
        <v>7.0000000000000007E-2</v>
      </c>
      <c r="GG104" s="101">
        <f t="shared" si="195"/>
        <v>1</v>
      </c>
      <c r="GH104" s="101">
        <f t="shared" si="196"/>
        <v>22</v>
      </c>
      <c r="GI104" s="101">
        <f t="shared" si="197"/>
        <v>0</v>
      </c>
      <c r="GJ104" s="101">
        <f t="shared" si="198"/>
        <v>1</v>
      </c>
      <c r="GK104" s="101">
        <f t="shared" si="199"/>
        <v>5</v>
      </c>
      <c r="GL104" s="101">
        <f t="shared" si="200"/>
        <v>3.4000000000000002E-2</v>
      </c>
      <c r="GM104" s="101">
        <f t="shared" si="201"/>
        <v>1</v>
      </c>
      <c r="GN104" s="101">
        <f t="shared" si="202"/>
        <v>10</v>
      </c>
      <c r="GO104" s="101">
        <f t="shared" si="203"/>
        <v>0.13600000000000001</v>
      </c>
      <c r="GP104" s="101">
        <f t="shared" si="204"/>
        <v>1</v>
      </c>
      <c r="GQ104" s="101">
        <f t="shared" si="205"/>
        <v>22</v>
      </c>
    </row>
    <row r="105" spans="175:199" ht="16.5" x14ac:dyDescent="0.2">
      <c r="FS105" s="101">
        <v>100</v>
      </c>
      <c r="FT105" s="101">
        <f t="shared" si="190"/>
        <v>18</v>
      </c>
      <c r="FU105" s="101">
        <f t="shared" si="168"/>
        <v>2</v>
      </c>
      <c r="FV105" s="14">
        <f t="shared" si="169"/>
        <v>3</v>
      </c>
      <c r="FW105" s="101" t="str">
        <f t="shared" si="191"/>
        <v>许褚专属武器-魂珠-2 9级</v>
      </c>
      <c r="FX105" s="101">
        <f t="shared" si="192"/>
        <v>2</v>
      </c>
      <c r="FY105" s="101">
        <f t="shared" si="193"/>
        <v>9</v>
      </c>
      <c r="FZ105" s="101" t="str">
        <f t="shared" si="173"/>
        <v>金币</v>
      </c>
      <c r="GA105" s="139">
        <f>IF($FY105&gt;0,IF(INDEX($EM$6:$EM$77,$FT105)&gt;=GA$3,ROUND(INDEX(EO$6:EO$77,$FT105)*INDEX(卡牌消耗!$B$8:$F$8,FV105)/5,0)*5,""),"")</f>
        <v>1695</v>
      </c>
      <c r="GB105" s="101" t="str">
        <f t="shared" si="174"/>
        <v>专属强化石1</v>
      </c>
      <c r="GC105" s="101">
        <f t="shared" si="175"/>
        <v>24</v>
      </c>
      <c r="GD105" s="101" t="str">
        <f t="shared" si="176"/>
        <v>专属强化石2</v>
      </c>
      <c r="GE105" s="101">
        <f t="shared" si="177"/>
        <v>8</v>
      </c>
      <c r="GF105" s="101">
        <f t="shared" si="194"/>
        <v>0.06</v>
      </c>
      <c r="GG105" s="101">
        <f t="shared" si="195"/>
        <v>1</v>
      </c>
      <c r="GH105" s="101">
        <f t="shared" si="196"/>
        <v>27</v>
      </c>
      <c r="GI105" s="101">
        <f t="shared" si="197"/>
        <v>0</v>
      </c>
      <c r="GJ105" s="101">
        <f t="shared" si="198"/>
        <v>1</v>
      </c>
      <c r="GK105" s="101">
        <f t="shared" si="199"/>
        <v>6</v>
      </c>
      <c r="GL105" s="101">
        <f t="shared" si="200"/>
        <v>2.8000000000000001E-2</v>
      </c>
      <c r="GM105" s="101">
        <f t="shared" si="201"/>
        <v>1</v>
      </c>
      <c r="GN105" s="101">
        <f t="shared" si="202"/>
        <v>12</v>
      </c>
      <c r="GO105" s="101">
        <f t="shared" si="203"/>
        <v>0.11210000000000001</v>
      </c>
      <c r="GP105" s="101">
        <f t="shared" si="204"/>
        <v>1</v>
      </c>
      <c r="GQ105" s="101">
        <f t="shared" si="205"/>
        <v>27</v>
      </c>
    </row>
    <row r="106" spans="175:199" ht="16.5" x14ac:dyDescent="0.2">
      <c r="FS106" s="101">
        <v>101</v>
      </c>
      <c r="FT106" s="101">
        <f t="shared" si="190"/>
        <v>0</v>
      </c>
      <c r="FU106" s="101">
        <f t="shared" si="168"/>
        <v>2</v>
      </c>
      <c r="FV106" s="14">
        <f t="shared" si="169"/>
        <v>3</v>
      </c>
      <c r="FW106" s="101" t="str">
        <f t="shared" si="191"/>
        <v>许褚专属武器-魂珠-3 0级</v>
      </c>
      <c r="FX106" s="101">
        <f t="shared" si="192"/>
        <v>3</v>
      </c>
      <c r="FY106" s="101">
        <f t="shared" si="193"/>
        <v>0</v>
      </c>
      <c r="FZ106" s="101" t="str">
        <f t="shared" si="173"/>
        <v/>
      </c>
      <c r="GA106" s="139" t="str">
        <f>IF($FY106&gt;0,IF(INDEX($EM$6:$EM$77,$FT106)&gt;=GA$3,ROUND(INDEX(EO$6:EO$77,$FT106)*INDEX(卡牌消耗!$B$8:$F$8,FV106)/5,0)*5,""),"")</f>
        <v/>
      </c>
      <c r="GB106" s="101" t="str">
        <f t="shared" si="174"/>
        <v/>
      </c>
      <c r="GC106" s="101" t="str">
        <f t="shared" si="175"/>
        <v/>
      </c>
      <c r="GD106" s="101" t="str">
        <f t="shared" si="176"/>
        <v/>
      </c>
      <c r="GE106" s="101" t="str">
        <f t="shared" si="177"/>
        <v/>
      </c>
      <c r="GF106" s="101" t="str">
        <f t="shared" si="194"/>
        <v/>
      </c>
      <c r="GG106" s="101" t="str">
        <f t="shared" si="195"/>
        <v/>
      </c>
      <c r="GH106" s="101" t="str">
        <f t="shared" si="196"/>
        <v/>
      </c>
      <c r="GI106" s="101" t="str">
        <f t="shared" si="197"/>
        <v/>
      </c>
      <c r="GJ106" s="101" t="str">
        <f t="shared" si="198"/>
        <v/>
      </c>
      <c r="GK106" s="101" t="str">
        <f t="shared" si="199"/>
        <v/>
      </c>
      <c r="GL106" s="101" t="str">
        <f t="shared" si="200"/>
        <v/>
      </c>
      <c r="GM106" s="101" t="str">
        <f t="shared" si="201"/>
        <v/>
      </c>
      <c r="GN106" s="101" t="str">
        <f t="shared" si="202"/>
        <v/>
      </c>
      <c r="GO106" s="101" t="str">
        <f t="shared" si="203"/>
        <v/>
      </c>
      <c r="GP106" s="101" t="str">
        <f t="shared" si="204"/>
        <v/>
      </c>
      <c r="GQ106" s="101" t="str">
        <f t="shared" si="205"/>
        <v/>
      </c>
    </row>
    <row r="107" spans="175:199" ht="16.5" x14ac:dyDescent="0.2">
      <c r="FS107" s="101">
        <v>102</v>
      </c>
      <c r="FT107" s="101">
        <f t="shared" si="190"/>
        <v>19</v>
      </c>
      <c r="FU107" s="101">
        <f t="shared" si="168"/>
        <v>2</v>
      </c>
      <c r="FV107" s="14">
        <f t="shared" si="169"/>
        <v>3</v>
      </c>
      <c r="FW107" s="101" t="str">
        <f t="shared" si="191"/>
        <v>许褚专属武器-魂珠-3 1级</v>
      </c>
      <c r="FX107" s="101">
        <f t="shared" si="192"/>
        <v>3</v>
      </c>
      <c r="FY107" s="101">
        <f t="shared" si="193"/>
        <v>1</v>
      </c>
      <c r="FZ107" s="101" t="str">
        <f t="shared" si="173"/>
        <v>金币</v>
      </c>
      <c r="GA107" s="139">
        <f>IF($FY107&gt;0,IF(INDEX($EM$6:$EM$77,$FT107)&gt;=GA$3,ROUND(INDEX(EO$6:EO$77,$FT107)*INDEX(卡牌消耗!$B$8:$F$8,FV107)/5,0)*5,""),"")</f>
        <v>545</v>
      </c>
      <c r="GB107" s="101" t="str">
        <f t="shared" si="174"/>
        <v>专属强化石1</v>
      </c>
      <c r="GC107" s="101">
        <f t="shared" si="175"/>
        <v>4</v>
      </c>
      <c r="GD107" s="101" t="str">
        <f t="shared" si="176"/>
        <v>专属强化石2</v>
      </c>
      <c r="GE107" s="101">
        <f t="shared" si="177"/>
        <v>2</v>
      </c>
      <c r="GF107" s="101">
        <f t="shared" si="194"/>
        <v>0.31</v>
      </c>
      <c r="GG107" s="101">
        <f t="shared" si="195"/>
        <v>1</v>
      </c>
      <c r="GH107" s="101">
        <f t="shared" si="196"/>
        <v>5</v>
      </c>
      <c r="GI107" s="101">
        <f t="shared" si="197"/>
        <v>0</v>
      </c>
      <c r="GJ107" s="101">
        <f t="shared" si="198"/>
        <v>1</v>
      </c>
      <c r="GK107" s="101">
        <f t="shared" si="199"/>
        <v>1</v>
      </c>
      <c r="GL107" s="101">
        <f t="shared" si="200"/>
        <v>0.15409999999999999</v>
      </c>
      <c r="GM107" s="101">
        <f t="shared" si="201"/>
        <v>1</v>
      </c>
      <c r="GN107" s="101">
        <f t="shared" si="202"/>
        <v>2</v>
      </c>
      <c r="GO107" s="101">
        <f t="shared" si="203"/>
        <v>0.61650000000000005</v>
      </c>
      <c r="GP107" s="101">
        <f t="shared" si="204"/>
        <v>1</v>
      </c>
      <c r="GQ107" s="101">
        <f t="shared" si="205"/>
        <v>5</v>
      </c>
    </row>
    <row r="108" spans="175:199" ht="16.5" x14ac:dyDescent="0.2">
      <c r="FS108" s="101">
        <v>103</v>
      </c>
      <c r="FT108" s="101">
        <f t="shared" si="190"/>
        <v>20</v>
      </c>
      <c r="FU108" s="101">
        <f t="shared" si="168"/>
        <v>2</v>
      </c>
      <c r="FV108" s="14">
        <f t="shared" si="169"/>
        <v>3</v>
      </c>
      <c r="FW108" s="101" t="str">
        <f t="shared" si="191"/>
        <v>许褚专属武器-魂珠-3 2级</v>
      </c>
      <c r="FX108" s="101">
        <f t="shared" si="192"/>
        <v>3</v>
      </c>
      <c r="FY108" s="101">
        <f t="shared" si="193"/>
        <v>2</v>
      </c>
      <c r="FZ108" s="101" t="str">
        <f t="shared" si="173"/>
        <v>金币</v>
      </c>
      <c r="GA108" s="139">
        <f>IF($FY108&gt;0,IF(INDEX($EM$6:$EM$77,$FT108)&gt;=GA$3,ROUND(INDEX(EO$6:EO$77,$FT108)*INDEX(卡牌消耗!$B$8:$F$8,FV108)/5,0)*5,""),"")</f>
        <v>410</v>
      </c>
      <c r="GB108" s="101" t="str">
        <f t="shared" si="174"/>
        <v>专属强化石1</v>
      </c>
      <c r="GC108" s="101">
        <f t="shared" si="175"/>
        <v>4</v>
      </c>
      <c r="GD108" s="101" t="str">
        <f t="shared" si="176"/>
        <v>专属强化石2</v>
      </c>
      <c r="GE108" s="101">
        <f t="shared" si="177"/>
        <v>2</v>
      </c>
      <c r="GF108" s="101">
        <f t="shared" si="194"/>
        <v>0.15</v>
      </c>
      <c r="GG108" s="101">
        <f t="shared" si="195"/>
        <v>1</v>
      </c>
      <c r="GH108" s="101">
        <f t="shared" si="196"/>
        <v>10</v>
      </c>
      <c r="GI108" s="101">
        <f t="shared" si="197"/>
        <v>0</v>
      </c>
      <c r="GJ108" s="101">
        <f t="shared" si="198"/>
        <v>1</v>
      </c>
      <c r="GK108" s="101">
        <f t="shared" si="199"/>
        <v>2</v>
      </c>
      <c r="GL108" s="101">
        <f t="shared" si="200"/>
        <v>7.7100000000000002E-2</v>
      </c>
      <c r="GM108" s="101">
        <f t="shared" si="201"/>
        <v>1</v>
      </c>
      <c r="GN108" s="101">
        <f t="shared" si="202"/>
        <v>5</v>
      </c>
      <c r="GO108" s="101">
        <f t="shared" si="203"/>
        <v>0.30830000000000002</v>
      </c>
      <c r="GP108" s="101">
        <f t="shared" si="204"/>
        <v>1</v>
      </c>
      <c r="GQ108" s="101">
        <f t="shared" si="205"/>
        <v>10</v>
      </c>
    </row>
    <row r="109" spans="175:199" ht="16.5" x14ac:dyDescent="0.2">
      <c r="FS109" s="101">
        <v>104</v>
      </c>
      <c r="FT109" s="101">
        <f t="shared" si="190"/>
        <v>21</v>
      </c>
      <c r="FU109" s="101">
        <f t="shared" si="168"/>
        <v>2</v>
      </c>
      <c r="FV109" s="14">
        <f t="shared" si="169"/>
        <v>3</v>
      </c>
      <c r="FW109" s="101" t="str">
        <f t="shared" si="191"/>
        <v>许褚专属武器-魂珠-3 3级</v>
      </c>
      <c r="FX109" s="101">
        <f t="shared" si="192"/>
        <v>3</v>
      </c>
      <c r="FY109" s="101">
        <f t="shared" si="193"/>
        <v>3</v>
      </c>
      <c r="FZ109" s="101" t="str">
        <f t="shared" si="173"/>
        <v>金币</v>
      </c>
      <c r="GA109" s="139">
        <f>IF($FY109&gt;0,IF(INDEX($EM$6:$EM$77,$FT109)&gt;=GA$3,ROUND(INDEX(EO$6:EO$77,$FT109)*INDEX(卡牌消耗!$B$8:$F$8,FV109)/5,0)*5,""),"")</f>
        <v>680</v>
      </c>
      <c r="GB109" s="101" t="str">
        <f t="shared" si="174"/>
        <v>专属强化石1</v>
      </c>
      <c r="GC109" s="101">
        <f t="shared" si="175"/>
        <v>6</v>
      </c>
      <c r="GD109" s="101" t="str">
        <f t="shared" si="176"/>
        <v>专属强化石2</v>
      </c>
      <c r="GE109" s="101">
        <f t="shared" si="177"/>
        <v>3</v>
      </c>
      <c r="GF109" s="101">
        <f t="shared" si="194"/>
        <v>0.15</v>
      </c>
      <c r="GG109" s="101">
        <f t="shared" si="195"/>
        <v>1</v>
      </c>
      <c r="GH109" s="101">
        <f t="shared" si="196"/>
        <v>10</v>
      </c>
      <c r="GI109" s="101">
        <f t="shared" si="197"/>
        <v>0</v>
      </c>
      <c r="GJ109" s="101">
        <f t="shared" si="198"/>
        <v>1</v>
      </c>
      <c r="GK109" s="101">
        <f t="shared" si="199"/>
        <v>2</v>
      </c>
      <c r="GL109" s="101">
        <f t="shared" si="200"/>
        <v>7.7100000000000002E-2</v>
      </c>
      <c r="GM109" s="101">
        <f t="shared" si="201"/>
        <v>1</v>
      </c>
      <c r="GN109" s="101">
        <f t="shared" si="202"/>
        <v>5</v>
      </c>
      <c r="GO109" s="101">
        <f t="shared" si="203"/>
        <v>0.30830000000000002</v>
      </c>
      <c r="GP109" s="101">
        <f t="shared" si="204"/>
        <v>1</v>
      </c>
      <c r="GQ109" s="101">
        <f t="shared" si="205"/>
        <v>10</v>
      </c>
    </row>
    <row r="110" spans="175:199" ht="16.5" x14ac:dyDescent="0.2">
      <c r="FS110" s="101">
        <v>105</v>
      </c>
      <c r="FT110" s="101">
        <f t="shared" si="190"/>
        <v>22</v>
      </c>
      <c r="FU110" s="101">
        <f t="shared" si="168"/>
        <v>2</v>
      </c>
      <c r="FV110" s="14">
        <f t="shared" si="169"/>
        <v>3</v>
      </c>
      <c r="FW110" s="101" t="str">
        <f t="shared" si="191"/>
        <v>许褚专属武器-魂珠-3 4级</v>
      </c>
      <c r="FX110" s="101">
        <f t="shared" si="192"/>
        <v>3</v>
      </c>
      <c r="FY110" s="101">
        <f t="shared" si="193"/>
        <v>4</v>
      </c>
      <c r="FZ110" s="101" t="str">
        <f t="shared" si="173"/>
        <v>金币</v>
      </c>
      <c r="GA110" s="139">
        <f>IF($FY110&gt;0,IF(INDEX($EM$6:$EM$77,$FT110)&gt;=GA$3,ROUND(INDEX(EO$6:EO$77,$FT110)*INDEX(卡牌消耗!$B$8:$F$8,FV110)/5,0)*5,""),"")</f>
        <v>655</v>
      </c>
      <c r="GB110" s="101" t="str">
        <f t="shared" si="174"/>
        <v>专属强化石1</v>
      </c>
      <c r="GC110" s="101">
        <f t="shared" si="175"/>
        <v>6</v>
      </c>
      <c r="GD110" s="101" t="str">
        <f t="shared" si="176"/>
        <v>专属强化石2</v>
      </c>
      <c r="GE110" s="101">
        <f t="shared" si="177"/>
        <v>3</v>
      </c>
      <c r="GF110" s="101">
        <f t="shared" si="194"/>
        <v>0.09</v>
      </c>
      <c r="GG110" s="101">
        <f t="shared" si="195"/>
        <v>1</v>
      </c>
      <c r="GH110" s="101">
        <f t="shared" si="196"/>
        <v>16</v>
      </c>
      <c r="GI110" s="101">
        <f t="shared" si="197"/>
        <v>0</v>
      </c>
      <c r="GJ110" s="101">
        <f t="shared" si="198"/>
        <v>1</v>
      </c>
      <c r="GK110" s="101">
        <f t="shared" si="199"/>
        <v>4</v>
      </c>
      <c r="GL110" s="101">
        <f t="shared" si="200"/>
        <v>4.6199999999999998E-2</v>
      </c>
      <c r="GM110" s="101">
        <f t="shared" si="201"/>
        <v>1</v>
      </c>
      <c r="GN110" s="101">
        <f t="shared" si="202"/>
        <v>8</v>
      </c>
      <c r="GO110" s="101">
        <f t="shared" si="203"/>
        <v>0.185</v>
      </c>
      <c r="GP110" s="101">
        <f t="shared" si="204"/>
        <v>1</v>
      </c>
      <c r="GQ110" s="101">
        <f t="shared" si="205"/>
        <v>16</v>
      </c>
    </row>
    <row r="111" spans="175:199" ht="16.5" x14ac:dyDescent="0.2">
      <c r="FS111" s="101">
        <v>106</v>
      </c>
      <c r="FT111" s="101">
        <f t="shared" si="190"/>
        <v>23</v>
      </c>
      <c r="FU111" s="101">
        <f t="shared" si="168"/>
        <v>2</v>
      </c>
      <c r="FV111" s="14">
        <f t="shared" si="169"/>
        <v>3</v>
      </c>
      <c r="FW111" s="101" t="str">
        <f t="shared" si="191"/>
        <v>许褚专属武器-魂珠-3 5级</v>
      </c>
      <c r="FX111" s="101">
        <f t="shared" si="192"/>
        <v>3</v>
      </c>
      <c r="FY111" s="101">
        <f t="shared" si="193"/>
        <v>5</v>
      </c>
      <c r="FZ111" s="101" t="str">
        <f t="shared" si="173"/>
        <v>金币</v>
      </c>
      <c r="GA111" s="139">
        <f>IF($FY111&gt;0,IF(INDEX($EM$6:$EM$77,$FT111)&gt;=GA$3,ROUND(INDEX(EO$6:EO$77,$FT111)*INDEX(卡牌消耗!$B$8:$F$8,FV111)/5,0)*5,""),"")</f>
        <v>885</v>
      </c>
      <c r="GB111" s="101" t="str">
        <f t="shared" si="174"/>
        <v>专属强化石1</v>
      </c>
      <c r="GC111" s="101">
        <f t="shared" si="175"/>
        <v>8</v>
      </c>
      <c r="GD111" s="101" t="str">
        <f t="shared" si="176"/>
        <v>专属强化石2</v>
      </c>
      <c r="GE111" s="101">
        <f t="shared" si="177"/>
        <v>4</v>
      </c>
      <c r="GF111" s="101">
        <f t="shared" si="194"/>
        <v>0.08</v>
      </c>
      <c r="GG111" s="101">
        <f t="shared" si="195"/>
        <v>1</v>
      </c>
      <c r="GH111" s="101">
        <f t="shared" si="196"/>
        <v>19</v>
      </c>
      <c r="GI111" s="101">
        <f t="shared" si="197"/>
        <v>0</v>
      </c>
      <c r="GJ111" s="101">
        <f t="shared" si="198"/>
        <v>1</v>
      </c>
      <c r="GK111" s="101">
        <f t="shared" si="199"/>
        <v>5</v>
      </c>
      <c r="GL111" s="101">
        <f t="shared" si="200"/>
        <v>3.85E-2</v>
      </c>
      <c r="GM111" s="101">
        <f t="shared" si="201"/>
        <v>1</v>
      </c>
      <c r="GN111" s="101">
        <f t="shared" si="202"/>
        <v>9</v>
      </c>
      <c r="GO111" s="101">
        <f t="shared" si="203"/>
        <v>0.15409999999999999</v>
      </c>
      <c r="GP111" s="101">
        <f t="shared" si="204"/>
        <v>1</v>
      </c>
      <c r="GQ111" s="101">
        <f t="shared" si="205"/>
        <v>19</v>
      </c>
    </row>
    <row r="112" spans="175:199" ht="16.5" x14ac:dyDescent="0.2">
      <c r="FS112" s="101">
        <v>107</v>
      </c>
      <c r="FT112" s="101">
        <f t="shared" si="190"/>
        <v>24</v>
      </c>
      <c r="FU112" s="101">
        <f t="shared" si="168"/>
        <v>2</v>
      </c>
      <c r="FV112" s="14">
        <f t="shared" si="169"/>
        <v>3</v>
      </c>
      <c r="FW112" s="101" t="str">
        <f t="shared" si="191"/>
        <v>许褚专属武器-魂珠-3 6级</v>
      </c>
      <c r="FX112" s="101">
        <f t="shared" si="192"/>
        <v>3</v>
      </c>
      <c r="FY112" s="101">
        <f t="shared" si="193"/>
        <v>6</v>
      </c>
      <c r="FZ112" s="101" t="str">
        <f t="shared" si="173"/>
        <v>金币</v>
      </c>
      <c r="GA112" s="139">
        <f>IF($FY112&gt;0,IF(INDEX($EM$6:$EM$77,$FT112)&gt;=GA$3,ROUND(INDEX(EO$6:EO$77,$FT112)*INDEX(卡牌消耗!$B$8:$F$8,FV112)/5,0)*5,""),"")</f>
        <v>1100</v>
      </c>
      <c r="GB112" s="101" t="str">
        <f t="shared" si="174"/>
        <v>专属强化石1</v>
      </c>
      <c r="GC112" s="101">
        <f t="shared" si="175"/>
        <v>10</v>
      </c>
      <c r="GD112" s="101" t="str">
        <f t="shared" si="176"/>
        <v>专属强化石2</v>
      </c>
      <c r="GE112" s="101">
        <f t="shared" si="177"/>
        <v>5</v>
      </c>
      <c r="GF112" s="101">
        <f t="shared" si="194"/>
        <v>0.06</v>
      </c>
      <c r="GG112" s="101">
        <f t="shared" si="195"/>
        <v>1</v>
      </c>
      <c r="GH112" s="101">
        <f t="shared" si="196"/>
        <v>25</v>
      </c>
      <c r="GI112" s="101">
        <f t="shared" si="197"/>
        <v>0</v>
      </c>
      <c r="GJ112" s="101">
        <f t="shared" si="198"/>
        <v>1</v>
      </c>
      <c r="GK112" s="101">
        <f t="shared" si="199"/>
        <v>6</v>
      </c>
      <c r="GL112" s="101">
        <f t="shared" si="200"/>
        <v>2.9600000000000001E-2</v>
      </c>
      <c r="GM112" s="101">
        <f t="shared" si="201"/>
        <v>1</v>
      </c>
      <c r="GN112" s="101">
        <f t="shared" si="202"/>
        <v>12</v>
      </c>
      <c r="GO112" s="101">
        <f t="shared" si="203"/>
        <v>0.1186</v>
      </c>
      <c r="GP112" s="101">
        <f t="shared" si="204"/>
        <v>1</v>
      </c>
      <c r="GQ112" s="101">
        <f t="shared" si="205"/>
        <v>25</v>
      </c>
    </row>
    <row r="113" spans="175:199" ht="16.5" x14ac:dyDescent="0.2">
      <c r="FS113" s="101">
        <v>108</v>
      </c>
      <c r="FT113" s="101">
        <f t="shared" si="190"/>
        <v>25</v>
      </c>
      <c r="FU113" s="101">
        <f t="shared" si="168"/>
        <v>2</v>
      </c>
      <c r="FV113" s="14">
        <f t="shared" si="169"/>
        <v>3</v>
      </c>
      <c r="FW113" s="101" t="str">
        <f t="shared" si="191"/>
        <v>许褚专属武器-魂珠-3 7级</v>
      </c>
      <c r="FX113" s="101">
        <f t="shared" si="192"/>
        <v>3</v>
      </c>
      <c r="FY113" s="101">
        <f t="shared" si="193"/>
        <v>7</v>
      </c>
      <c r="FZ113" s="101" t="str">
        <f t="shared" si="173"/>
        <v>金币</v>
      </c>
      <c r="GA113" s="139">
        <f>IF($FY113&gt;0,IF(INDEX($EM$6:$EM$77,$FT113)&gt;=GA$3,ROUND(INDEX(EO$6:EO$77,$FT113)*INDEX(卡牌消耗!$B$8:$F$8,FV113)/5,0)*5,""),"")</f>
        <v>1325</v>
      </c>
      <c r="GB113" s="101" t="str">
        <f t="shared" si="174"/>
        <v>专属强化石1</v>
      </c>
      <c r="GC113" s="101">
        <f t="shared" si="175"/>
        <v>12</v>
      </c>
      <c r="GD113" s="101" t="str">
        <f t="shared" si="176"/>
        <v>专属强化石2</v>
      </c>
      <c r="GE113" s="101">
        <f t="shared" si="177"/>
        <v>6</v>
      </c>
      <c r="GF113" s="101">
        <f t="shared" si="194"/>
        <v>0.04</v>
      </c>
      <c r="GG113" s="101">
        <f t="shared" si="195"/>
        <v>1</v>
      </c>
      <c r="GH113" s="101">
        <f t="shared" si="196"/>
        <v>34</v>
      </c>
      <c r="GI113" s="101">
        <f t="shared" si="197"/>
        <v>0</v>
      </c>
      <c r="GJ113" s="101">
        <f t="shared" si="198"/>
        <v>1</v>
      </c>
      <c r="GK113" s="101">
        <f t="shared" si="199"/>
        <v>8</v>
      </c>
      <c r="GL113" s="101">
        <f t="shared" si="200"/>
        <v>2.1999999999999999E-2</v>
      </c>
      <c r="GM113" s="101">
        <f t="shared" si="201"/>
        <v>1</v>
      </c>
      <c r="GN113" s="101">
        <f t="shared" si="202"/>
        <v>16</v>
      </c>
      <c r="GO113" s="101">
        <f t="shared" si="203"/>
        <v>8.8099999999999998E-2</v>
      </c>
      <c r="GP113" s="101">
        <f t="shared" si="204"/>
        <v>1</v>
      </c>
      <c r="GQ113" s="101">
        <f t="shared" si="205"/>
        <v>34</v>
      </c>
    </row>
    <row r="114" spans="175:199" ht="16.5" x14ac:dyDescent="0.2">
      <c r="FS114" s="101">
        <v>109</v>
      </c>
      <c r="FT114" s="101">
        <f t="shared" si="190"/>
        <v>26</v>
      </c>
      <c r="FU114" s="101">
        <f t="shared" si="168"/>
        <v>2</v>
      </c>
      <c r="FV114" s="14">
        <f t="shared" si="169"/>
        <v>3</v>
      </c>
      <c r="FW114" s="101" t="str">
        <f t="shared" si="191"/>
        <v>许褚专属武器-魂珠-3 8级</v>
      </c>
      <c r="FX114" s="101">
        <f t="shared" si="192"/>
        <v>3</v>
      </c>
      <c r="FY114" s="101">
        <f t="shared" si="193"/>
        <v>8</v>
      </c>
      <c r="FZ114" s="101" t="str">
        <f t="shared" si="173"/>
        <v>金币</v>
      </c>
      <c r="GA114" s="139">
        <f>IF($FY114&gt;0,IF(INDEX($EM$6:$EM$77,$FT114)&gt;=GA$3,ROUND(INDEX(EO$6:EO$77,$FT114)*INDEX(卡牌消耗!$B$8:$F$8,FV114)/5,0)*5,""),"")</f>
        <v>1765</v>
      </c>
      <c r="GB114" s="101" t="str">
        <f t="shared" si="174"/>
        <v>专属强化石1</v>
      </c>
      <c r="GC114" s="101">
        <f t="shared" si="175"/>
        <v>16</v>
      </c>
      <c r="GD114" s="101" t="str">
        <f t="shared" si="176"/>
        <v>专属强化石2</v>
      </c>
      <c r="GE114" s="101">
        <f t="shared" si="177"/>
        <v>8</v>
      </c>
      <c r="GF114" s="101">
        <f t="shared" si="194"/>
        <v>0.04</v>
      </c>
      <c r="GG114" s="101">
        <f t="shared" si="195"/>
        <v>1</v>
      </c>
      <c r="GH114" s="101">
        <f t="shared" si="196"/>
        <v>41</v>
      </c>
      <c r="GI114" s="101">
        <f t="shared" si="197"/>
        <v>0</v>
      </c>
      <c r="GJ114" s="101">
        <f t="shared" si="198"/>
        <v>1</v>
      </c>
      <c r="GK114" s="101">
        <f t="shared" si="199"/>
        <v>10</v>
      </c>
      <c r="GL114" s="101">
        <f t="shared" si="200"/>
        <v>1.8100000000000002E-2</v>
      </c>
      <c r="GM114" s="101">
        <f t="shared" si="201"/>
        <v>1</v>
      </c>
      <c r="GN114" s="101">
        <f t="shared" si="202"/>
        <v>19</v>
      </c>
      <c r="GO114" s="101">
        <f t="shared" si="203"/>
        <v>7.2499999999999995E-2</v>
      </c>
      <c r="GP114" s="101">
        <f t="shared" si="204"/>
        <v>1</v>
      </c>
      <c r="GQ114" s="101">
        <f t="shared" si="205"/>
        <v>41</v>
      </c>
    </row>
    <row r="115" spans="175:199" ht="16.5" x14ac:dyDescent="0.2">
      <c r="FS115" s="101">
        <v>110</v>
      </c>
      <c r="FT115" s="101">
        <f t="shared" si="190"/>
        <v>27</v>
      </c>
      <c r="FU115" s="101">
        <f t="shared" si="168"/>
        <v>2</v>
      </c>
      <c r="FV115" s="14">
        <f t="shared" si="169"/>
        <v>3</v>
      </c>
      <c r="FW115" s="101" t="str">
        <f t="shared" si="191"/>
        <v>许褚专属武器-魂珠-3 9级</v>
      </c>
      <c r="FX115" s="101">
        <f t="shared" si="192"/>
        <v>3</v>
      </c>
      <c r="FY115" s="101">
        <f t="shared" si="193"/>
        <v>9</v>
      </c>
      <c r="FZ115" s="101" t="str">
        <f t="shared" si="173"/>
        <v>金币</v>
      </c>
      <c r="GA115" s="139">
        <f>IF($FY115&gt;0,IF(INDEX($EM$6:$EM$77,$FT115)&gt;=GA$3,ROUND(INDEX(EO$6:EO$77,$FT115)*INDEX(卡牌消耗!$B$8:$F$8,FV115)/5,0)*5,""),"")</f>
        <v>2205</v>
      </c>
      <c r="GB115" s="101" t="str">
        <f t="shared" si="174"/>
        <v>专属强化石1</v>
      </c>
      <c r="GC115" s="101">
        <f t="shared" si="175"/>
        <v>20</v>
      </c>
      <c r="GD115" s="101" t="str">
        <f t="shared" si="176"/>
        <v>专属强化石2</v>
      </c>
      <c r="GE115" s="101">
        <f t="shared" si="177"/>
        <v>10</v>
      </c>
      <c r="GF115" s="101">
        <f t="shared" si="194"/>
        <v>0.03</v>
      </c>
      <c r="GG115" s="101">
        <f t="shared" si="195"/>
        <v>1</v>
      </c>
      <c r="GH115" s="101">
        <f t="shared" si="196"/>
        <v>54</v>
      </c>
      <c r="GI115" s="101">
        <f t="shared" si="197"/>
        <v>0</v>
      </c>
      <c r="GJ115" s="101">
        <f t="shared" si="198"/>
        <v>1</v>
      </c>
      <c r="GK115" s="101">
        <f t="shared" si="199"/>
        <v>12</v>
      </c>
      <c r="GL115" s="101">
        <f t="shared" si="200"/>
        <v>1.4E-2</v>
      </c>
      <c r="GM115" s="101">
        <f t="shared" si="201"/>
        <v>1</v>
      </c>
      <c r="GN115" s="101">
        <f t="shared" si="202"/>
        <v>25</v>
      </c>
      <c r="GO115" s="101">
        <f t="shared" si="203"/>
        <v>5.6000000000000001E-2</v>
      </c>
      <c r="GP115" s="101">
        <f t="shared" si="204"/>
        <v>1</v>
      </c>
      <c r="GQ115" s="101">
        <f t="shared" si="205"/>
        <v>54</v>
      </c>
    </row>
    <row r="116" spans="175:199" ht="16.5" x14ac:dyDescent="0.2">
      <c r="FS116" s="101">
        <v>111</v>
      </c>
      <c r="FT116" s="101">
        <f t="shared" si="190"/>
        <v>0</v>
      </c>
      <c r="FU116" s="101">
        <f t="shared" si="168"/>
        <v>2</v>
      </c>
      <c r="FV116" s="14">
        <f t="shared" si="169"/>
        <v>3</v>
      </c>
      <c r="FW116" s="101" t="str">
        <f t="shared" si="191"/>
        <v>许褚专属武器-魂珠-4 0级</v>
      </c>
      <c r="FX116" s="101">
        <f t="shared" si="192"/>
        <v>4</v>
      </c>
      <c r="FY116" s="101">
        <f t="shared" si="193"/>
        <v>0</v>
      </c>
      <c r="FZ116" s="101" t="str">
        <f t="shared" si="173"/>
        <v/>
      </c>
      <c r="GA116" s="139" t="str">
        <f>IF($FY116&gt;0,IF(INDEX($EM$6:$EM$77,$FT116)&gt;=GA$3,ROUND(INDEX(EO$6:EO$77,$FT116)*INDEX(卡牌消耗!$B$8:$F$8,FV116)/5,0)*5,""),"")</f>
        <v/>
      </c>
      <c r="GB116" s="101" t="str">
        <f t="shared" si="174"/>
        <v/>
      </c>
      <c r="GC116" s="101" t="str">
        <f t="shared" si="175"/>
        <v/>
      </c>
      <c r="GD116" s="101" t="str">
        <f t="shared" si="176"/>
        <v/>
      </c>
      <c r="GE116" s="101" t="str">
        <f t="shared" si="177"/>
        <v/>
      </c>
      <c r="GF116" s="101" t="str">
        <f t="shared" si="194"/>
        <v/>
      </c>
      <c r="GG116" s="101" t="str">
        <f t="shared" si="195"/>
        <v/>
      </c>
      <c r="GH116" s="101" t="str">
        <f t="shared" si="196"/>
        <v/>
      </c>
      <c r="GI116" s="101" t="str">
        <f t="shared" si="197"/>
        <v/>
      </c>
      <c r="GJ116" s="101" t="str">
        <f t="shared" si="198"/>
        <v/>
      </c>
      <c r="GK116" s="101" t="str">
        <f t="shared" si="199"/>
        <v/>
      </c>
      <c r="GL116" s="101" t="str">
        <f t="shared" si="200"/>
        <v/>
      </c>
      <c r="GM116" s="101" t="str">
        <f t="shared" si="201"/>
        <v/>
      </c>
      <c r="GN116" s="101" t="str">
        <f t="shared" si="202"/>
        <v/>
      </c>
      <c r="GO116" s="101" t="str">
        <f t="shared" si="203"/>
        <v/>
      </c>
      <c r="GP116" s="101" t="str">
        <f t="shared" si="204"/>
        <v/>
      </c>
      <c r="GQ116" s="101" t="str">
        <f t="shared" si="205"/>
        <v/>
      </c>
    </row>
    <row r="117" spans="175:199" ht="16.5" x14ac:dyDescent="0.2">
      <c r="FS117" s="101">
        <v>112</v>
      </c>
      <c r="FT117" s="101">
        <f t="shared" si="190"/>
        <v>28</v>
      </c>
      <c r="FU117" s="101">
        <f t="shared" si="168"/>
        <v>2</v>
      </c>
      <c r="FV117" s="14">
        <f t="shared" si="169"/>
        <v>3</v>
      </c>
      <c r="FW117" s="101" t="str">
        <f t="shared" si="191"/>
        <v>许褚专属武器-魂珠-4 1级</v>
      </c>
      <c r="FX117" s="101">
        <f t="shared" si="192"/>
        <v>4</v>
      </c>
      <c r="FY117" s="101">
        <f t="shared" si="193"/>
        <v>1</v>
      </c>
      <c r="FZ117" s="101" t="str">
        <f t="shared" si="173"/>
        <v>金币</v>
      </c>
      <c r="GA117" s="139">
        <f>IF($FY117&gt;0,IF(INDEX($EM$6:$EM$77,$FT117)&gt;=GA$3,ROUND(INDEX(EO$6:EO$77,$FT117)*INDEX(卡牌消耗!$B$8:$F$8,FV117)/5,0)*5,""),"")</f>
        <v>730</v>
      </c>
      <c r="GB117" s="101" t="str">
        <f t="shared" si="174"/>
        <v>专属强化石2</v>
      </c>
      <c r="GC117" s="101">
        <f t="shared" si="175"/>
        <v>3</v>
      </c>
      <c r="GD117" s="101" t="str">
        <f t="shared" si="176"/>
        <v>专属强化石3</v>
      </c>
      <c r="GE117" s="101">
        <f t="shared" si="177"/>
        <v>1</v>
      </c>
      <c r="GF117" s="101">
        <f t="shared" si="194"/>
        <v>0.2</v>
      </c>
      <c r="GG117" s="101">
        <f t="shared" si="195"/>
        <v>1</v>
      </c>
      <c r="GH117" s="101">
        <f t="shared" si="196"/>
        <v>7</v>
      </c>
      <c r="GI117" s="101">
        <f t="shared" si="197"/>
        <v>0</v>
      </c>
      <c r="GJ117" s="101">
        <f t="shared" si="198"/>
        <v>1</v>
      </c>
      <c r="GK117" s="101">
        <f t="shared" si="199"/>
        <v>2</v>
      </c>
      <c r="GL117" s="101">
        <f t="shared" si="200"/>
        <v>0.1012</v>
      </c>
      <c r="GM117" s="101">
        <f t="shared" si="201"/>
        <v>1</v>
      </c>
      <c r="GN117" s="101">
        <f t="shared" si="202"/>
        <v>3</v>
      </c>
      <c r="GO117" s="101">
        <f t="shared" si="203"/>
        <v>0.40479999999999999</v>
      </c>
      <c r="GP117" s="101">
        <f t="shared" si="204"/>
        <v>1</v>
      </c>
      <c r="GQ117" s="101">
        <f t="shared" si="205"/>
        <v>7</v>
      </c>
    </row>
    <row r="118" spans="175:199" ht="16.5" x14ac:dyDescent="0.2">
      <c r="FS118" s="101">
        <v>113</v>
      </c>
      <c r="FT118" s="101">
        <f t="shared" si="190"/>
        <v>29</v>
      </c>
      <c r="FU118" s="101">
        <f t="shared" si="168"/>
        <v>2</v>
      </c>
      <c r="FV118" s="14">
        <f t="shared" si="169"/>
        <v>3</v>
      </c>
      <c r="FW118" s="101" t="str">
        <f t="shared" si="191"/>
        <v>许褚专属武器-魂珠-4 2级</v>
      </c>
      <c r="FX118" s="101">
        <f t="shared" si="192"/>
        <v>4</v>
      </c>
      <c r="FY118" s="101">
        <f t="shared" si="193"/>
        <v>2</v>
      </c>
      <c r="FZ118" s="101" t="str">
        <f t="shared" si="173"/>
        <v>金币</v>
      </c>
      <c r="GA118" s="139">
        <f>IF($FY118&gt;0,IF(INDEX($EM$6:$EM$77,$FT118)&gt;=GA$3,ROUND(INDEX(EO$6:EO$77,$FT118)*INDEX(卡牌消耗!$B$8:$F$8,FV118)/5,0)*5,""),"")</f>
        <v>545</v>
      </c>
      <c r="GB118" s="101" t="str">
        <f t="shared" si="174"/>
        <v>专属强化石2</v>
      </c>
      <c r="GC118" s="101">
        <f t="shared" si="175"/>
        <v>3</v>
      </c>
      <c r="GD118" s="101" t="str">
        <f t="shared" si="176"/>
        <v>专属强化石3</v>
      </c>
      <c r="GE118" s="101">
        <f t="shared" si="177"/>
        <v>1</v>
      </c>
      <c r="GF118" s="101">
        <f t="shared" si="194"/>
        <v>0.1</v>
      </c>
      <c r="GG118" s="101">
        <f t="shared" si="195"/>
        <v>1</v>
      </c>
      <c r="GH118" s="101">
        <f t="shared" si="196"/>
        <v>15</v>
      </c>
      <c r="GI118" s="101">
        <f t="shared" si="197"/>
        <v>0</v>
      </c>
      <c r="GJ118" s="101">
        <f t="shared" si="198"/>
        <v>1</v>
      </c>
      <c r="GK118" s="101">
        <f t="shared" si="199"/>
        <v>3</v>
      </c>
      <c r="GL118" s="101">
        <f t="shared" si="200"/>
        <v>5.0599999999999999E-2</v>
      </c>
      <c r="GM118" s="101">
        <f t="shared" si="201"/>
        <v>1</v>
      </c>
      <c r="GN118" s="101">
        <f t="shared" si="202"/>
        <v>7</v>
      </c>
      <c r="GO118" s="101">
        <f t="shared" si="203"/>
        <v>0.2024</v>
      </c>
      <c r="GP118" s="101">
        <f t="shared" si="204"/>
        <v>1</v>
      </c>
      <c r="GQ118" s="101">
        <f t="shared" si="205"/>
        <v>15</v>
      </c>
    </row>
    <row r="119" spans="175:199" ht="16.5" x14ac:dyDescent="0.2">
      <c r="FS119" s="101">
        <v>114</v>
      </c>
      <c r="FT119" s="101">
        <f t="shared" si="190"/>
        <v>30</v>
      </c>
      <c r="FU119" s="101">
        <f t="shared" si="168"/>
        <v>2</v>
      </c>
      <c r="FV119" s="14">
        <f t="shared" si="169"/>
        <v>3</v>
      </c>
      <c r="FW119" s="101" t="str">
        <f t="shared" si="191"/>
        <v>许褚专属武器-魂珠-4 3级</v>
      </c>
      <c r="FX119" s="101">
        <f t="shared" si="192"/>
        <v>4</v>
      </c>
      <c r="FY119" s="101">
        <f t="shared" si="193"/>
        <v>3</v>
      </c>
      <c r="FZ119" s="101" t="str">
        <f t="shared" si="173"/>
        <v>金币</v>
      </c>
      <c r="GA119" s="139">
        <f>IF($FY119&gt;0,IF(INDEX($EM$6:$EM$77,$FT119)&gt;=GA$3,ROUND(INDEX(EO$6:EO$77,$FT119)*INDEX(卡牌消耗!$B$8:$F$8,FV119)/5,0)*5,""),"")</f>
        <v>610</v>
      </c>
      <c r="GB119" s="101" t="str">
        <f t="shared" si="174"/>
        <v>专属强化石2</v>
      </c>
      <c r="GC119" s="101">
        <f t="shared" si="175"/>
        <v>3</v>
      </c>
      <c r="GD119" s="101" t="str">
        <f t="shared" si="176"/>
        <v>专属强化石3</v>
      </c>
      <c r="GE119" s="101">
        <f t="shared" si="177"/>
        <v>1</v>
      </c>
      <c r="GF119" s="101">
        <f t="shared" si="194"/>
        <v>7.0000000000000007E-2</v>
      </c>
      <c r="GG119" s="101">
        <f t="shared" si="195"/>
        <v>1</v>
      </c>
      <c r="GH119" s="101">
        <f t="shared" si="196"/>
        <v>22</v>
      </c>
      <c r="GI119" s="101">
        <f t="shared" si="197"/>
        <v>0</v>
      </c>
      <c r="GJ119" s="101">
        <f t="shared" si="198"/>
        <v>1</v>
      </c>
      <c r="GK119" s="101">
        <f t="shared" si="199"/>
        <v>5</v>
      </c>
      <c r="GL119" s="101">
        <f t="shared" si="200"/>
        <v>3.3700000000000001E-2</v>
      </c>
      <c r="GM119" s="101">
        <f t="shared" si="201"/>
        <v>1</v>
      </c>
      <c r="GN119" s="101">
        <f t="shared" si="202"/>
        <v>10</v>
      </c>
      <c r="GO119" s="101">
        <f t="shared" si="203"/>
        <v>0.13489999999999999</v>
      </c>
      <c r="GP119" s="101">
        <f t="shared" si="204"/>
        <v>1</v>
      </c>
      <c r="GQ119" s="101">
        <f t="shared" si="205"/>
        <v>22</v>
      </c>
    </row>
    <row r="120" spans="175:199" ht="16.5" x14ac:dyDescent="0.2">
      <c r="FS120" s="101">
        <v>115</v>
      </c>
      <c r="FT120" s="101">
        <f t="shared" si="190"/>
        <v>31</v>
      </c>
      <c r="FU120" s="101">
        <f t="shared" si="168"/>
        <v>2</v>
      </c>
      <c r="FV120" s="14">
        <f t="shared" si="169"/>
        <v>3</v>
      </c>
      <c r="FW120" s="101" t="str">
        <f t="shared" si="191"/>
        <v>许褚专属武器-魂珠-4 4级</v>
      </c>
      <c r="FX120" s="101">
        <f t="shared" si="192"/>
        <v>4</v>
      </c>
      <c r="FY120" s="101">
        <f t="shared" si="193"/>
        <v>4</v>
      </c>
      <c r="FZ120" s="101" t="str">
        <f t="shared" si="173"/>
        <v>金币</v>
      </c>
      <c r="GA120" s="139">
        <f>IF($FY120&gt;0,IF(INDEX($EM$6:$EM$77,$FT120)&gt;=GA$3,ROUND(INDEX(EO$6:EO$77,$FT120)*INDEX(卡牌消耗!$B$8:$F$8,FV120)/5,0)*5,""),"")</f>
        <v>1165</v>
      </c>
      <c r="GB120" s="101" t="str">
        <f t="shared" si="174"/>
        <v>专属强化石2</v>
      </c>
      <c r="GC120" s="101">
        <f t="shared" si="175"/>
        <v>5</v>
      </c>
      <c r="GD120" s="101" t="str">
        <f t="shared" si="176"/>
        <v>专属强化石3</v>
      </c>
      <c r="GE120" s="101">
        <f t="shared" si="177"/>
        <v>2</v>
      </c>
      <c r="GF120" s="101">
        <f t="shared" si="194"/>
        <v>0.08</v>
      </c>
      <c r="GG120" s="101">
        <f t="shared" si="195"/>
        <v>1</v>
      </c>
      <c r="GH120" s="101">
        <f t="shared" si="196"/>
        <v>19</v>
      </c>
      <c r="GI120" s="101">
        <f t="shared" si="197"/>
        <v>0</v>
      </c>
      <c r="GJ120" s="101">
        <f t="shared" si="198"/>
        <v>1</v>
      </c>
      <c r="GK120" s="101">
        <f t="shared" si="199"/>
        <v>4</v>
      </c>
      <c r="GL120" s="101">
        <f t="shared" si="200"/>
        <v>4.0500000000000001E-2</v>
      </c>
      <c r="GM120" s="101">
        <f t="shared" si="201"/>
        <v>1</v>
      </c>
      <c r="GN120" s="101">
        <f t="shared" si="202"/>
        <v>9</v>
      </c>
      <c r="GO120" s="101">
        <f t="shared" si="203"/>
        <v>0.16189999999999999</v>
      </c>
      <c r="GP120" s="101">
        <f t="shared" si="204"/>
        <v>1</v>
      </c>
      <c r="GQ120" s="101">
        <f t="shared" si="205"/>
        <v>19</v>
      </c>
    </row>
    <row r="121" spans="175:199" ht="16.5" x14ac:dyDescent="0.2">
      <c r="FS121" s="101">
        <v>116</v>
      </c>
      <c r="FT121" s="101">
        <f t="shared" si="190"/>
        <v>32</v>
      </c>
      <c r="FU121" s="101">
        <f t="shared" si="168"/>
        <v>2</v>
      </c>
      <c r="FV121" s="14">
        <f t="shared" si="169"/>
        <v>3</v>
      </c>
      <c r="FW121" s="101" t="str">
        <f t="shared" si="191"/>
        <v>许褚专属武器-魂珠-4 5级</v>
      </c>
      <c r="FX121" s="101">
        <f t="shared" si="192"/>
        <v>4</v>
      </c>
      <c r="FY121" s="101">
        <f t="shared" si="193"/>
        <v>5</v>
      </c>
      <c r="FZ121" s="101" t="str">
        <f t="shared" si="173"/>
        <v>金币</v>
      </c>
      <c r="GA121" s="139">
        <f>IF($FY121&gt;0,IF(INDEX($EM$6:$EM$77,$FT121)&gt;=GA$3,ROUND(INDEX(EO$6:EO$77,$FT121)*INDEX(卡牌消耗!$B$8:$F$8,FV121)/5,0)*5,""),"")</f>
        <v>1185</v>
      </c>
      <c r="GB121" s="101" t="str">
        <f t="shared" si="174"/>
        <v>专属强化石2</v>
      </c>
      <c r="GC121" s="101">
        <f t="shared" si="175"/>
        <v>5</v>
      </c>
      <c r="GD121" s="101" t="str">
        <f t="shared" si="176"/>
        <v>专属强化石3</v>
      </c>
      <c r="GE121" s="101">
        <f t="shared" si="177"/>
        <v>2</v>
      </c>
      <c r="GF121" s="101">
        <f t="shared" si="194"/>
        <v>0.05</v>
      </c>
      <c r="GG121" s="101">
        <f t="shared" si="195"/>
        <v>1</v>
      </c>
      <c r="GH121" s="101">
        <f t="shared" si="196"/>
        <v>30</v>
      </c>
      <c r="GI121" s="101">
        <f t="shared" si="197"/>
        <v>0</v>
      </c>
      <c r="GJ121" s="101">
        <f t="shared" si="198"/>
        <v>1</v>
      </c>
      <c r="GK121" s="101">
        <f t="shared" si="199"/>
        <v>7</v>
      </c>
      <c r="GL121" s="101">
        <f t="shared" si="200"/>
        <v>2.53E-2</v>
      </c>
      <c r="GM121" s="101">
        <f t="shared" si="201"/>
        <v>1</v>
      </c>
      <c r="GN121" s="101">
        <f t="shared" si="202"/>
        <v>14</v>
      </c>
      <c r="GO121" s="101">
        <f t="shared" si="203"/>
        <v>0.1012</v>
      </c>
      <c r="GP121" s="101">
        <f t="shared" si="204"/>
        <v>1</v>
      </c>
      <c r="GQ121" s="101">
        <f t="shared" si="205"/>
        <v>30</v>
      </c>
    </row>
    <row r="122" spans="175:199" ht="16.5" x14ac:dyDescent="0.2">
      <c r="FS122" s="101">
        <v>117</v>
      </c>
      <c r="FT122" s="101">
        <f t="shared" si="190"/>
        <v>33</v>
      </c>
      <c r="FU122" s="101">
        <f t="shared" si="168"/>
        <v>2</v>
      </c>
      <c r="FV122" s="14">
        <f t="shared" si="169"/>
        <v>3</v>
      </c>
      <c r="FW122" s="101" t="str">
        <f t="shared" si="191"/>
        <v>许褚专属武器-魂珠-4 6级</v>
      </c>
      <c r="FX122" s="101">
        <f t="shared" si="192"/>
        <v>4</v>
      </c>
      <c r="FY122" s="101">
        <f t="shared" si="193"/>
        <v>6</v>
      </c>
      <c r="FZ122" s="101" t="str">
        <f t="shared" si="173"/>
        <v>金币</v>
      </c>
      <c r="GA122" s="139">
        <f>IF($FY122&gt;0,IF(INDEX($EM$6:$EM$77,$FT122)&gt;=GA$3,ROUND(INDEX(EO$6:EO$77,$FT122)*INDEX(卡牌消耗!$B$8:$F$8,FV122)/5,0)*5,""),"")</f>
        <v>1180</v>
      </c>
      <c r="GB122" s="101" t="str">
        <f t="shared" si="174"/>
        <v>专属强化石2</v>
      </c>
      <c r="GC122" s="101">
        <f t="shared" si="175"/>
        <v>5</v>
      </c>
      <c r="GD122" s="101" t="str">
        <f t="shared" si="176"/>
        <v>专属强化石3</v>
      </c>
      <c r="GE122" s="101">
        <f t="shared" si="177"/>
        <v>2</v>
      </c>
      <c r="GF122" s="101">
        <f t="shared" si="194"/>
        <v>0.03</v>
      </c>
      <c r="GG122" s="101">
        <f t="shared" si="195"/>
        <v>1</v>
      </c>
      <c r="GH122" s="101">
        <f t="shared" si="196"/>
        <v>48</v>
      </c>
      <c r="GI122" s="101">
        <f t="shared" si="197"/>
        <v>0</v>
      </c>
      <c r="GJ122" s="101">
        <f t="shared" si="198"/>
        <v>1</v>
      </c>
      <c r="GK122" s="101">
        <f t="shared" si="199"/>
        <v>11</v>
      </c>
      <c r="GL122" s="101">
        <f t="shared" si="200"/>
        <v>1.5599999999999999E-2</v>
      </c>
      <c r="GM122" s="101">
        <f t="shared" si="201"/>
        <v>1</v>
      </c>
      <c r="GN122" s="101">
        <f t="shared" si="202"/>
        <v>22</v>
      </c>
      <c r="GO122" s="101">
        <f t="shared" si="203"/>
        <v>6.2300000000000001E-2</v>
      </c>
      <c r="GP122" s="101">
        <f t="shared" si="204"/>
        <v>1</v>
      </c>
      <c r="GQ122" s="101">
        <f t="shared" si="205"/>
        <v>48</v>
      </c>
    </row>
    <row r="123" spans="175:199" ht="16.5" x14ac:dyDescent="0.2">
      <c r="FS123" s="101">
        <v>118</v>
      </c>
      <c r="FT123" s="101">
        <f t="shared" si="190"/>
        <v>34</v>
      </c>
      <c r="FU123" s="101">
        <f t="shared" si="168"/>
        <v>2</v>
      </c>
      <c r="FV123" s="14">
        <f t="shared" si="169"/>
        <v>3</v>
      </c>
      <c r="FW123" s="101" t="str">
        <f t="shared" si="191"/>
        <v>许褚专属武器-魂珠-4 7级</v>
      </c>
      <c r="FX123" s="101">
        <f t="shared" si="192"/>
        <v>4</v>
      </c>
      <c r="FY123" s="101">
        <f t="shared" si="193"/>
        <v>7</v>
      </c>
      <c r="FZ123" s="101" t="str">
        <f t="shared" si="173"/>
        <v>金币</v>
      </c>
      <c r="GA123" s="139">
        <f>IF($FY123&gt;0,IF(INDEX($EM$6:$EM$77,$FT123)&gt;=GA$3,ROUND(INDEX(EO$6:EO$77,$FT123)*INDEX(卡牌消耗!$B$8:$F$8,FV123)/5,0)*5,""),"")</f>
        <v>1770</v>
      </c>
      <c r="GB123" s="101" t="str">
        <f t="shared" si="174"/>
        <v>专属强化石2</v>
      </c>
      <c r="GC123" s="101">
        <f t="shared" si="175"/>
        <v>8</v>
      </c>
      <c r="GD123" s="101" t="str">
        <f t="shared" si="176"/>
        <v>专属强化石3</v>
      </c>
      <c r="GE123" s="101">
        <f t="shared" si="177"/>
        <v>3</v>
      </c>
      <c r="GF123" s="101">
        <f t="shared" si="194"/>
        <v>0.03</v>
      </c>
      <c r="GG123" s="101">
        <f t="shared" si="195"/>
        <v>1</v>
      </c>
      <c r="GH123" s="101">
        <f t="shared" si="196"/>
        <v>52</v>
      </c>
      <c r="GI123" s="101">
        <f t="shared" si="197"/>
        <v>0</v>
      </c>
      <c r="GJ123" s="101">
        <f t="shared" si="198"/>
        <v>1</v>
      </c>
      <c r="GK123" s="101">
        <f t="shared" si="199"/>
        <v>12</v>
      </c>
      <c r="GL123" s="101">
        <f t="shared" si="200"/>
        <v>1.4500000000000001E-2</v>
      </c>
      <c r="GM123" s="101">
        <f t="shared" si="201"/>
        <v>1</v>
      </c>
      <c r="GN123" s="101">
        <f t="shared" si="202"/>
        <v>24</v>
      </c>
      <c r="GO123" s="101">
        <f t="shared" si="203"/>
        <v>5.7799999999999997E-2</v>
      </c>
      <c r="GP123" s="101">
        <f t="shared" si="204"/>
        <v>1</v>
      </c>
      <c r="GQ123" s="101">
        <f t="shared" si="205"/>
        <v>52</v>
      </c>
    </row>
    <row r="124" spans="175:199" ht="16.5" x14ac:dyDescent="0.2">
      <c r="FS124" s="101">
        <v>119</v>
      </c>
      <c r="FT124" s="101">
        <f t="shared" si="190"/>
        <v>35</v>
      </c>
      <c r="FU124" s="101">
        <f t="shared" si="168"/>
        <v>2</v>
      </c>
      <c r="FV124" s="14">
        <f t="shared" si="169"/>
        <v>3</v>
      </c>
      <c r="FW124" s="101" t="str">
        <f t="shared" si="191"/>
        <v>许褚专属武器-魂珠-4 8级</v>
      </c>
      <c r="FX124" s="101">
        <f t="shared" si="192"/>
        <v>4</v>
      </c>
      <c r="FY124" s="101">
        <f t="shared" si="193"/>
        <v>8</v>
      </c>
      <c r="FZ124" s="101" t="str">
        <f t="shared" si="173"/>
        <v>金币</v>
      </c>
      <c r="GA124" s="139">
        <f>IF($FY124&gt;0,IF(INDEX($EM$6:$EM$77,$FT124)&gt;=GA$3,ROUND(INDEX(EO$6:EO$77,$FT124)*INDEX(卡牌消耗!$B$8:$F$8,FV124)/5,0)*5,""),"")</f>
        <v>2360</v>
      </c>
      <c r="GB124" s="101" t="str">
        <f t="shared" si="174"/>
        <v>专属强化石2</v>
      </c>
      <c r="GC124" s="101">
        <f t="shared" si="175"/>
        <v>11</v>
      </c>
      <c r="GD124" s="101" t="str">
        <f t="shared" si="176"/>
        <v>专属强化石3</v>
      </c>
      <c r="GE124" s="101">
        <f t="shared" si="177"/>
        <v>4</v>
      </c>
      <c r="GF124" s="101">
        <f t="shared" si="194"/>
        <v>0.02</v>
      </c>
      <c r="GG124" s="101">
        <f t="shared" si="195"/>
        <v>1</v>
      </c>
      <c r="GH124" s="101">
        <f t="shared" si="196"/>
        <v>63</v>
      </c>
      <c r="GI124" s="101">
        <f t="shared" si="197"/>
        <v>0</v>
      </c>
      <c r="GJ124" s="101">
        <f t="shared" si="198"/>
        <v>1</v>
      </c>
      <c r="GK124" s="101">
        <f t="shared" si="199"/>
        <v>15</v>
      </c>
      <c r="GL124" s="101">
        <f t="shared" si="200"/>
        <v>1.1900000000000001E-2</v>
      </c>
      <c r="GM124" s="101">
        <f t="shared" si="201"/>
        <v>1</v>
      </c>
      <c r="GN124" s="101">
        <f t="shared" si="202"/>
        <v>29</v>
      </c>
      <c r="GO124" s="101">
        <f t="shared" si="203"/>
        <v>4.7600000000000003E-2</v>
      </c>
      <c r="GP124" s="101">
        <f t="shared" si="204"/>
        <v>1</v>
      </c>
      <c r="GQ124" s="101">
        <f t="shared" si="205"/>
        <v>63</v>
      </c>
    </row>
    <row r="125" spans="175:199" ht="16.5" x14ac:dyDescent="0.2">
      <c r="FS125" s="101">
        <v>120</v>
      </c>
      <c r="FT125" s="101">
        <f t="shared" si="190"/>
        <v>36</v>
      </c>
      <c r="FU125" s="101">
        <f t="shared" si="168"/>
        <v>2</v>
      </c>
      <c r="FV125" s="14">
        <f t="shared" si="169"/>
        <v>3</v>
      </c>
      <c r="FW125" s="101" t="str">
        <f t="shared" si="191"/>
        <v>许褚专属武器-魂珠-4 9级</v>
      </c>
      <c r="FX125" s="101">
        <f t="shared" si="192"/>
        <v>4</v>
      </c>
      <c r="FY125" s="101">
        <f t="shared" si="193"/>
        <v>9</v>
      </c>
      <c r="FZ125" s="101" t="str">
        <f t="shared" si="173"/>
        <v>金币</v>
      </c>
      <c r="GA125" s="139">
        <f>IF($FY125&gt;0,IF(INDEX($EM$6:$EM$77,$FT125)&gt;=GA$3,ROUND(INDEX(EO$6:EO$77,$FT125)*INDEX(卡牌消耗!$B$8:$F$8,FV125)/5,0)*5,""),"")</f>
        <v>3540</v>
      </c>
      <c r="GB125" s="101" t="str">
        <f t="shared" si="174"/>
        <v>专属强化石2</v>
      </c>
      <c r="GC125" s="101">
        <f t="shared" si="175"/>
        <v>16</v>
      </c>
      <c r="GD125" s="101" t="str">
        <f t="shared" si="176"/>
        <v>专属强化石3</v>
      </c>
      <c r="GE125" s="101">
        <f t="shared" si="177"/>
        <v>6</v>
      </c>
      <c r="GF125" s="101">
        <f t="shared" si="194"/>
        <v>0.02</v>
      </c>
      <c r="GG125" s="101">
        <f t="shared" si="195"/>
        <v>1</v>
      </c>
      <c r="GH125" s="101">
        <f t="shared" si="196"/>
        <v>68</v>
      </c>
      <c r="GI125" s="101">
        <f t="shared" si="197"/>
        <v>0</v>
      </c>
      <c r="GJ125" s="101">
        <f t="shared" si="198"/>
        <v>1</v>
      </c>
      <c r="GK125" s="101">
        <f t="shared" si="199"/>
        <v>16</v>
      </c>
      <c r="GL125" s="101">
        <f t="shared" si="200"/>
        <v>1.0999999999999999E-2</v>
      </c>
      <c r="GM125" s="101">
        <f t="shared" si="201"/>
        <v>1</v>
      </c>
      <c r="GN125" s="101">
        <f t="shared" si="202"/>
        <v>32</v>
      </c>
      <c r="GO125" s="101">
        <f t="shared" si="203"/>
        <v>4.4200000000000003E-2</v>
      </c>
      <c r="GP125" s="101">
        <f t="shared" si="204"/>
        <v>1</v>
      </c>
      <c r="GQ125" s="101">
        <f t="shared" si="205"/>
        <v>68</v>
      </c>
    </row>
    <row r="126" spans="175:199" ht="16.5" x14ac:dyDescent="0.2">
      <c r="FS126" s="101">
        <v>121</v>
      </c>
      <c r="FT126" s="101">
        <f t="shared" si="190"/>
        <v>0</v>
      </c>
      <c r="FU126" s="101">
        <f t="shared" si="168"/>
        <v>2</v>
      </c>
      <c r="FV126" s="14">
        <f t="shared" si="169"/>
        <v>3</v>
      </c>
      <c r="FW126" s="101" t="str">
        <f t="shared" si="191"/>
        <v>许褚专属武器-魂珠-5 0级</v>
      </c>
      <c r="FX126" s="101">
        <f t="shared" si="192"/>
        <v>5</v>
      </c>
      <c r="FY126" s="101">
        <f t="shared" si="193"/>
        <v>0</v>
      </c>
      <c r="FZ126" s="101" t="str">
        <f t="shared" si="173"/>
        <v/>
      </c>
      <c r="GA126" s="139" t="str">
        <f>IF($FY126&gt;0,IF(INDEX($EM$6:$EM$77,$FT126)&gt;=GA$3,ROUND(INDEX(EO$6:EO$77,$FT126)*INDEX(卡牌消耗!$B$8:$F$8,FV126)/5,0)*5,""),"")</f>
        <v/>
      </c>
      <c r="GB126" s="101" t="str">
        <f t="shared" si="174"/>
        <v/>
      </c>
      <c r="GC126" s="101" t="str">
        <f t="shared" si="175"/>
        <v/>
      </c>
      <c r="GD126" s="101" t="str">
        <f t="shared" si="176"/>
        <v/>
      </c>
      <c r="GE126" s="101" t="str">
        <f t="shared" si="177"/>
        <v/>
      </c>
      <c r="GF126" s="101" t="str">
        <f t="shared" si="194"/>
        <v/>
      </c>
      <c r="GG126" s="101" t="str">
        <f t="shared" si="195"/>
        <v/>
      </c>
      <c r="GH126" s="101" t="str">
        <f t="shared" si="196"/>
        <v/>
      </c>
      <c r="GI126" s="101" t="str">
        <f t="shared" si="197"/>
        <v/>
      </c>
      <c r="GJ126" s="101" t="str">
        <f t="shared" si="198"/>
        <v/>
      </c>
      <c r="GK126" s="101" t="str">
        <f t="shared" si="199"/>
        <v/>
      </c>
      <c r="GL126" s="101" t="str">
        <f t="shared" si="200"/>
        <v/>
      </c>
      <c r="GM126" s="101" t="str">
        <f t="shared" si="201"/>
        <v/>
      </c>
      <c r="GN126" s="101" t="str">
        <f t="shared" si="202"/>
        <v/>
      </c>
      <c r="GO126" s="101" t="str">
        <f t="shared" si="203"/>
        <v/>
      </c>
      <c r="GP126" s="101" t="str">
        <f t="shared" si="204"/>
        <v/>
      </c>
      <c r="GQ126" s="101" t="str">
        <f t="shared" si="205"/>
        <v/>
      </c>
    </row>
    <row r="127" spans="175:199" ht="16.5" x14ac:dyDescent="0.2">
      <c r="FS127" s="101">
        <v>122</v>
      </c>
      <c r="FT127" s="101">
        <f t="shared" si="190"/>
        <v>37</v>
      </c>
      <c r="FU127" s="101">
        <f t="shared" si="168"/>
        <v>2</v>
      </c>
      <c r="FV127" s="14">
        <f t="shared" si="169"/>
        <v>3</v>
      </c>
      <c r="FW127" s="101" t="str">
        <f t="shared" si="191"/>
        <v>许褚专属武器-魂珠-5 1级</v>
      </c>
      <c r="FX127" s="101">
        <f t="shared" si="192"/>
        <v>5</v>
      </c>
      <c r="FY127" s="101">
        <f t="shared" si="193"/>
        <v>1</v>
      </c>
      <c r="FZ127" s="101" t="str">
        <f t="shared" si="173"/>
        <v>金币</v>
      </c>
      <c r="GA127" s="139">
        <f>IF($FY127&gt;0,IF(INDEX($EM$6:$EM$77,$FT127)&gt;=GA$3,ROUND(INDEX(EO$6:EO$77,$FT127)*INDEX(卡牌消耗!$B$8:$F$8,FV127)/5,0)*5,""),"")</f>
        <v>1495</v>
      </c>
      <c r="GB127" s="101" t="str">
        <f t="shared" si="174"/>
        <v>专属强化石2</v>
      </c>
      <c r="GC127" s="101">
        <f t="shared" si="175"/>
        <v>3</v>
      </c>
      <c r="GD127" s="101" t="str">
        <f t="shared" si="176"/>
        <v>专属强化石3</v>
      </c>
      <c r="GE127" s="101">
        <f t="shared" si="177"/>
        <v>2</v>
      </c>
      <c r="GF127" s="101">
        <f t="shared" si="194"/>
        <v>0.2</v>
      </c>
      <c r="GG127" s="101">
        <f t="shared" si="195"/>
        <v>1</v>
      </c>
      <c r="GH127" s="101">
        <f t="shared" si="196"/>
        <v>7</v>
      </c>
      <c r="GI127" s="101">
        <f t="shared" si="197"/>
        <v>0</v>
      </c>
      <c r="GJ127" s="101">
        <f t="shared" si="198"/>
        <v>1</v>
      </c>
      <c r="GK127" s="101">
        <f t="shared" si="199"/>
        <v>2</v>
      </c>
      <c r="GL127" s="101">
        <f t="shared" si="200"/>
        <v>0.1012</v>
      </c>
      <c r="GM127" s="101">
        <f t="shared" si="201"/>
        <v>1</v>
      </c>
      <c r="GN127" s="101">
        <f t="shared" si="202"/>
        <v>3</v>
      </c>
      <c r="GO127" s="101">
        <f t="shared" si="203"/>
        <v>0.40479999999999999</v>
      </c>
      <c r="GP127" s="101">
        <f t="shared" si="204"/>
        <v>1</v>
      </c>
      <c r="GQ127" s="101">
        <f t="shared" si="205"/>
        <v>7</v>
      </c>
    </row>
    <row r="128" spans="175:199" ht="16.5" x14ac:dyDescent="0.2">
      <c r="FS128" s="101">
        <v>123</v>
      </c>
      <c r="FT128" s="101">
        <f t="shared" si="190"/>
        <v>38</v>
      </c>
      <c r="FU128" s="101">
        <f t="shared" si="168"/>
        <v>2</v>
      </c>
      <c r="FV128" s="14">
        <f t="shared" si="169"/>
        <v>3</v>
      </c>
      <c r="FW128" s="101" t="str">
        <f t="shared" si="191"/>
        <v>许褚专属武器-魂珠-5 2级</v>
      </c>
      <c r="FX128" s="101">
        <f t="shared" si="192"/>
        <v>5</v>
      </c>
      <c r="FY128" s="101">
        <f t="shared" si="193"/>
        <v>2</v>
      </c>
      <c r="FZ128" s="101" t="str">
        <f t="shared" si="173"/>
        <v>金币</v>
      </c>
      <c r="GA128" s="139">
        <f>IF($FY128&gt;0,IF(INDEX($EM$6:$EM$77,$FT128)&gt;=GA$3,ROUND(INDEX(EO$6:EO$77,$FT128)*INDEX(卡牌消耗!$B$8:$F$8,FV128)/5,0)*5,""),"")</f>
        <v>1120</v>
      </c>
      <c r="GB128" s="101" t="str">
        <f t="shared" si="174"/>
        <v>专属强化石2</v>
      </c>
      <c r="GC128" s="101">
        <f t="shared" si="175"/>
        <v>3</v>
      </c>
      <c r="GD128" s="101" t="str">
        <f t="shared" si="176"/>
        <v>专属强化石3</v>
      </c>
      <c r="GE128" s="101">
        <f t="shared" si="177"/>
        <v>2</v>
      </c>
      <c r="GF128" s="101">
        <f t="shared" si="194"/>
        <v>0.1</v>
      </c>
      <c r="GG128" s="101">
        <f t="shared" si="195"/>
        <v>1</v>
      </c>
      <c r="GH128" s="101">
        <f t="shared" si="196"/>
        <v>15</v>
      </c>
      <c r="GI128" s="101">
        <f t="shared" si="197"/>
        <v>0</v>
      </c>
      <c r="GJ128" s="101">
        <f t="shared" si="198"/>
        <v>1</v>
      </c>
      <c r="GK128" s="101">
        <f t="shared" si="199"/>
        <v>3</v>
      </c>
      <c r="GL128" s="101">
        <f t="shared" si="200"/>
        <v>5.0599999999999999E-2</v>
      </c>
      <c r="GM128" s="101">
        <f t="shared" si="201"/>
        <v>1</v>
      </c>
      <c r="GN128" s="101">
        <f t="shared" si="202"/>
        <v>7</v>
      </c>
      <c r="GO128" s="101">
        <f t="shared" si="203"/>
        <v>0.2024</v>
      </c>
      <c r="GP128" s="101">
        <f t="shared" si="204"/>
        <v>1</v>
      </c>
      <c r="GQ128" s="101">
        <f t="shared" si="205"/>
        <v>15</v>
      </c>
    </row>
    <row r="129" spans="175:199" ht="16.5" x14ac:dyDescent="0.2">
      <c r="FS129" s="101">
        <v>124</v>
      </c>
      <c r="FT129" s="101">
        <f t="shared" si="190"/>
        <v>39</v>
      </c>
      <c r="FU129" s="101">
        <f t="shared" si="168"/>
        <v>2</v>
      </c>
      <c r="FV129" s="14">
        <f t="shared" si="169"/>
        <v>3</v>
      </c>
      <c r="FW129" s="101" t="str">
        <f t="shared" si="191"/>
        <v>许褚专属武器-魂珠-5 3级</v>
      </c>
      <c r="FX129" s="101">
        <f t="shared" si="192"/>
        <v>5</v>
      </c>
      <c r="FY129" s="101">
        <f t="shared" si="193"/>
        <v>3</v>
      </c>
      <c r="FZ129" s="101" t="str">
        <f t="shared" si="173"/>
        <v>金币</v>
      </c>
      <c r="GA129" s="139">
        <f>IF($FY129&gt;0,IF(INDEX($EM$6:$EM$77,$FT129)&gt;=GA$3,ROUND(INDEX(EO$6:EO$77,$FT129)*INDEX(卡牌消耗!$B$8:$F$8,FV129)/5,0)*5,""),"")</f>
        <v>1245</v>
      </c>
      <c r="GB129" s="101" t="str">
        <f t="shared" si="174"/>
        <v>专属强化石2</v>
      </c>
      <c r="GC129" s="101">
        <f t="shared" si="175"/>
        <v>3</v>
      </c>
      <c r="GD129" s="101" t="str">
        <f t="shared" si="176"/>
        <v>专属强化石3</v>
      </c>
      <c r="GE129" s="101">
        <f t="shared" si="177"/>
        <v>2</v>
      </c>
      <c r="GF129" s="101">
        <f t="shared" si="194"/>
        <v>7.0000000000000007E-2</v>
      </c>
      <c r="GG129" s="101">
        <f t="shared" si="195"/>
        <v>1</v>
      </c>
      <c r="GH129" s="101">
        <f t="shared" si="196"/>
        <v>22</v>
      </c>
      <c r="GI129" s="101">
        <f t="shared" si="197"/>
        <v>0</v>
      </c>
      <c r="GJ129" s="101">
        <f t="shared" si="198"/>
        <v>1</v>
      </c>
      <c r="GK129" s="101">
        <f t="shared" si="199"/>
        <v>5</v>
      </c>
      <c r="GL129" s="101">
        <f t="shared" si="200"/>
        <v>3.3700000000000001E-2</v>
      </c>
      <c r="GM129" s="101">
        <f t="shared" si="201"/>
        <v>1</v>
      </c>
      <c r="GN129" s="101">
        <f t="shared" si="202"/>
        <v>10</v>
      </c>
      <c r="GO129" s="101">
        <f t="shared" si="203"/>
        <v>0.13489999999999999</v>
      </c>
      <c r="GP129" s="101">
        <f t="shared" si="204"/>
        <v>1</v>
      </c>
      <c r="GQ129" s="101">
        <f t="shared" si="205"/>
        <v>22</v>
      </c>
    </row>
    <row r="130" spans="175:199" ht="16.5" x14ac:dyDescent="0.2">
      <c r="FS130" s="101">
        <v>125</v>
      </c>
      <c r="FT130" s="101">
        <f t="shared" si="190"/>
        <v>40</v>
      </c>
      <c r="FU130" s="101">
        <f t="shared" si="168"/>
        <v>2</v>
      </c>
      <c r="FV130" s="14">
        <f t="shared" si="169"/>
        <v>3</v>
      </c>
      <c r="FW130" s="101" t="str">
        <f t="shared" si="191"/>
        <v>许褚专属武器-魂珠-5 4级</v>
      </c>
      <c r="FX130" s="101">
        <f t="shared" si="192"/>
        <v>5</v>
      </c>
      <c r="FY130" s="101">
        <f t="shared" si="193"/>
        <v>4</v>
      </c>
      <c r="FZ130" s="101" t="str">
        <f t="shared" si="173"/>
        <v>金币</v>
      </c>
      <c r="GA130" s="139">
        <f>IF($FY130&gt;0,IF(INDEX($EM$6:$EM$77,$FT130)&gt;=GA$3,ROUND(INDEX(EO$6:EO$77,$FT130)*INDEX(卡牌消耗!$B$8:$F$8,FV130)/5,0)*5,""),"")</f>
        <v>1795</v>
      </c>
      <c r="GB130" s="101" t="str">
        <f t="shared" si="174"/>
        <v>专属强化石2</v>
      </c>
      <c r="GC130" s="101">
        <f t="shared" si="175"/>
        <v>5</v>
      </c>
      <c r="GD130" s="101" t="str">
        <f t="shared" si="176"/>
        <v>专属强化石3</v>
      </c>
      <c r="GE130" s="101">
        <f t="shared" si="177"/>
        <v>3</v>
      </c>
      <c r="GF130" s="101">
        <f t="shared" si="194"/>
        <v>0.06</v>
      </c>
      <c r="GG130" s="101">
        <f t="shared" si="195"/>
        <v>1</v>
      </c>
      <c r="GH130" s="101">
        <f t="shared" si="196"/>
        <v>25</v>
      </c>
      <c r="GI130" s="101">
        <f t="shared" si="197"/>
        <v>0</v>
      </c>
      <c r="GJ130" s="101">
        <f t="shared" si="198"/>
        <v>1</v>
      </c>
      <c r="GK130" s="101">
        <f t="shared" si="199"/>
        <v>6</v>
      </c>
      <c r="GL130" s="101">
        <f t="shared" si="200"/>
        <v>3.04E-2</v>
      </c>
      <c r="GM130" s="101">
        <f t="shared" si="201"/>
        <v>1</v>
      </c>
      <c r="GN130" s="101">
        <f t="shared" si="202"/>
        <v>12</v>
      </c>
      <c r="GO130" s="101">
        <f t="shared" si="203"/>
        <v>0.12139999999999999</v>
      </c>
      <c r="GP130" s="101">
        <f t="shared" si="204"/>
        <v>1</v>
      </c>
      <c r="GQ130" s="101">
        <f t="shared" si="205"/>
        <v>25</v>
      </c>
    </row>
    <row r="131" spans="175:199" ht="16.5" x14ac:dyDescent="0.2">
      <c r="FS131" s="101">
        <v>126</v>
      </c>
      <c r="FT131" s="101">
        <f t="shared" si="190"/>
        <v>41</v>
      </c>
      <c r="FU131" s="101">
        <f t="shared" si="168"/>
        <v>2</v>
      </c>
      <c r="FV131" s="14">
        <f t="shared" si="169"/>
        <v>3</v>
      </c>
      <c r="FW131" s="101" t="str">
        <f t="shared" si="191"/>
        <v>许褚专属武器-魂珠-5 5级</v>
      </c>
      <c r="FX131" s="101">
        <f t="shared" si="192"/>
        <v>5</v>
      </c>
      <c r="FY131" s="101">
        <f t="shared" si="193"/>
        <v>5</v>
      </c>
      <c r="FZ131" s="101" t="str">
        <f t="shared" si="173"/>
        <v>金币</v>
      </c>
      <c r="GA131" s="139">
        <f>IF($FY131&gt;0,IF(INDEX($EM$6:$EM$77,$FT131)&gt;=GA$3,ROUND(INDEX(EO$6:EO$77,$FT131)*INDEX(卡牌消耗!$B$8:$F$8,FV131)/5,0)*5,""),"")</f>
        <v>1825</v>
      </c>
      <c r="GB131" s="101" t="str">
        <f t="shared" si="174"/>
        <v>专属强化石2</v>
      </c>
      <c r="GC131" s="101">
        <f t="shared" si="175"/>
        <v>5</v>
      </c>
      <c r="GD131" s="101" t="str">
        <f t="shared" si="176"/>
        <v>专属强化石3</v>
      </c>
      <c r="GE131" s="101">
        <f t="shared" si="177"/>
        <v>3</v>
      </c>
      <c r="GF131" s="101">
        <f t="shared" si="194"/>
        <v>0.04</v>
      </c>
      <c r="GG131" s="101">
        <f t="shared" si="195"/>
        <v>1</v>
      </c>
      <c r="GH131" s="101">
        <f t="shared" si="196"/>
        <v>40</v>
      </c>
      <c r="GI131" s="101">
        <f t="shared" si="197"/>
        <v>0</v>
      </c>
      <c r="GJ131" s="101">
        <f t="shared" si="198"/>
        <v>1</v>
      </c>
      <c r="GK131" s="101">
        <f t="shared" si="199"/>
        <v>9</v>
      </c>
      <c r="GL131" s="101">
        <f t="shared" si="200"/>
        <v>1.9E-2</v>
      </c>
      <c r="GM131" s="101">
        <f t="shared" si="201"/>
        <v>1</v>
      </c>
      <c r="GN131" s="101">
        <f t="shared" si="202"/>
        <v>18</v>
      </c>
      <c r="GO131" s="101">
        <f t="shared" si="203"/>
        <v>7.5899999999999995E-2</v>
      </c>
      <c r="GP131" s="101">
        <f t="shared" si="204"/>
        <v>1</v>
      </c>
      <c r="GQ131" s="101">
        <f t="shared" si="205"/>
        <v>40</v>
      </c>
    </row>
    <row r="132" spans="175:199" ht="16.5" x14ac:dyDescent="0.2">
      <c r="FS132" s="101">
        <v>127</v>
      </c>
      <c r="FT132" s="101">
        <f t="shared" si="190"/>
        <v>42</v>
      </c>
      <c r="FU132" s="101">
        <f t="shared" si="168"/>
        <v>2</v>
      </c>
      <c r="FV132" s="14">
        <f t="shared" si="169"/>
        <v>3</v>
      </c>
      <c r="FW132" s="101" t="str">
        <f t="shared" si="191"/>
        <v>许褚专属武器-魂珠-5 6级</v>
      </c>
      <c r="FX132" s="101">
        <f t="shared" si="192"/>
        <v>5</v>
      </c>
      <c r="FY132" s="101">
        <f t="shared" si="193"/>
        <v>6</v>
      </c>
      <c r="FZ132" s="101" t="str">
        <f t="shared" si="173"/>
        <v>金币</v>
      </c>
      <c r="GA132" s="139">
        <f>IF($FY132&gt;0,IF(INDEX($EM$6:$EM$77,$FT132)&gt;=GA$3,ROUND(INDEX(EO$6:EO$77,$FT132)*INDEX(卡牌消耗!$B$8:$F$8,FV132)/5,0)*5,""),"")</f>
        <v>3020</v>
      </c>
      <c r="GB132" s="101" t="str">
        <f t="shared" si="174"/>
        <v>专属强化石2</v>
      </c>
      <c r="GC132" s="101">
        <f t="shared" si="175"/>
        <v>8</v>
      </c>
      <c r="GD132" s="101" t="str">
        <f t="shared" si="176"/>
        <v>专属强化石3</v>
      </c>
      <c r="GE132" s="101">
        <f t="shared" si="177"/>
        <v>5</v>
      </c>
      <c r="GF132" s="101">
        <f t="shared" si="194"/>
        <v>0.04</v>
      </c>
      <c r="GG132" s="101">
        <f t="shared" si="195"/>
        <v>1</v>
      </c>
      <c r="GH132" s="101">
        <f t="shared" si="196"/>
        <v>39</v>
      </c>
      <c r="GI132" s="101">
        <f t="shared" si="197"/>
        <v>0</v>
      </c>
      <c r="GJ132" s="101">
        <f t="shared" si="198"/>
        <v>1</v>
      </c>
      <c r="GK132" s="101">
        <f t="shared" si="199"/>
        <v>9</v>
      </c>
      <c r="GL132" s="101">
        <f t="shared" si="200"/>
        <v>1.95E-2</v>
      </c>
      <c r="GM132" s="101">
        <f t="shared" si="201"/>
        <v>1</v>
      </c>
      <c r="GN132" s="101">
        <f t="shared" si="202"/>
        <v>18</v>
      </c>
      <c r="GO132" s="101">
        <f t="shared" si="203"/>
        <v>7.7799999999999994E-2</v>
      </c>
      <c r="GP132" s="101">
        <f t="shared" si="204"/>
        <v>1</v>
      </c>
      <c r="GQ132" s="101">
        <f t="shared" si="205"/>
        <v>39</v>
      </c>
    </row>
    <row r="133" spans="175:199" ht="16.5" x14ac:dyDescent="0.2">
      <c r="FS133" s="101">
        <v>128</v>
      </c>
      <c r="FT133" s="101">
        <f t="shared" si="190"/>
        <v>43</v>
      </c>
      <c r="FU133" s="101">
        <f t="shared" si="168"/>
        <v>2</v>
      </c>
      <c r="FV133" s="14">
        <f t="shared" si="169"/>
        <v>3</v>
      </c>
      <c r="FW133" s="101" t="str">
        <f t="shared" si="191"/>
        <v>许褚专属武器-魂珠-5 7级</v>
      </c>
      <c r="FX133" s="101">
        <f t="shared" si="192"/>
        <v>5</v>
      </c>
      <c r="FY133" s="101">
        <f t="shared" si="193"/>
        <v>7</v>
      </c>
      <c r="FZ133" s="101" t="str">
        <f t="shared" si="173"/>
        <v>金币</v>
      </c>
      <c r="GA133" s="139">
        <f>IF($FY133&gt;0,IF(INDEX($EM$6:$EM$77,$FT133)&gt;=GA$3,ROUND(INDEX(EO$6:EO$77,$FT133)*INDEX(卡牌消耗!$B$8:$F$8,FV133)/5,0)*5,""),"")</f>
        <v>3025</v>
      </c>
      <c r="GB133" s="101" t="str">
        <f t="shared" si="174"/>
        <v>专属强化石2</v>
      </c>
      <c r="GC133" s="101">
        <f t="shared" si="175"/>
        <v>8</v>
      </c>
      <c r="GD133" s="101" t="str">
        <f t="shared" si="176"/>
        <v>专属强化石3</v>
      </c>
      <c r="GE133" s="101">
        <f t="shared" si="177"/>
        <v>5</v>
      </c>
      <c r="GF133" s="101">
        <f t="shared" si="194"/>
        <v>0.02</v>
      </c>
      <c r="GG133" s="101">
        <f t="shared" si="195"/>
        <v>1</v>
      </c>
      <c r="GH133" s="101">
        <f t="shared" si="196"/>
        <v>62</v>
      </c>
      <c r="GI133" s="101">
        <f t="shared" si="197"/>
        <v>0</v>
      </c>
      <c r="GJ133" s="101">
        <f t="shared" si="198"/>
        <v>1</v>
      </c>
      <c r="GK133" s="101">
        <f t="shared" si="199"/>
        <v>15</v>
      </c>
      <c r="GL133" s="101">
        <f t="shared" si="200"/>
        <v>1.2E-2</v>
      </c>
      <c r="GM133" s="101">
        <f t="shared" si="201"/>
        <v>1</v>
      </c>
      <c r="GN133" s="101">
        <f t="shared" si="202"/>
        <v>29</v>
      </c>
      <c r="GO133" s="101">
        <f t="shared" si="203"/>
        <v>4.82E-2</v>
      </c>
      <c r="GP133" s="101">
        <f t="shared" si="204"/>
        <v>1</v>
      </c>
      <c r="GQ133" s="101">
        <f t="shared" si="205"/>
        <v>62</v>
      </c>
    </row>
    <row r="134" spans="175:199" ht="16.5" x14ac:dyDescent="0.2">
      <c r="FS134" s="101">
        <v>129</v>
      </c>
      <c r="FT134" s="101">
        <f t="shared" si="190"/>
        <v>44</v>
      </c>
      <c r="FU134" s="101">
        <f t="shared" si="168"/>
        <v>2</v>
      </c>
      <c r="FV134" s="14">
        <f t="shared" si="169"/>
        <v>3</v>
      </c>
      <c r="FW134" s="101" t="str">
        <f t="shared" si="191"/>
        <v>许褚专属武器-魂珠-5 8级</v>
      </c>
      <c r="FX134" s="101">
        <f t="shared" si="192"/>
        <v>5</v>
      </c>
      <c r="FY134" s="101">
        <f t="shared" si="193"/>
        <v>8</v>
      </c>
      <c r="FZ134" s="101" t="str">
        <f t="shared" si="173"/>
        <v>金币</v>
      </c>
      <c r="GA134" s="139">
        <f>IF($FY134&gt;0,IF(INDEX($EM$6:$EM$77,$FT134)&gt;=GA$3,ROUND(INDEX(EO$6:EO$77,$FT134)*INDEX(卡牌消耗!$B$8:$F$8,FV134)/5,0)*5,""),"")</f>
        <v>4235</v>
      </c>
      <c r="GB134" s="101" t="str">
        <f t="shared" si="174"/>
        <v>专属强化石2</v>
      </c>
      <c r="GC134" s="101">
        <f t="shared" si="175"/>
        <v>11</v>
      </c>
      <c r="GD134" s="101" t="str">
        <f t="shared" si="176"/>
        <v>专属强化石3</v>
      </c>
      <c r="GE134" s="101">
        <f t="shared" si="177"/>
        <v>7</v>
      </c>
      <c r="GF134" s="101">
        <f t="shared" si="194"/>
        <v>0.02</v>
      </c>
      <c r="GG134" s="101">
        <f t="shared" si="195"/>
        <v>1</v>
      </c>
      <c r="GH134" s="101">
        <f t="shared" si="196"/>
        <v>72</v>
      </c>
      <c r="GI134" s="101">
        <f t="shared" si="197"/>
        <v>0</v>
      </c>
      <c r="GJ134" s="101">
        <f t="shared" si="198"/>
        <v>1</v>
      </c>
      <c r="GK134" s="101">
        <f t="shared" si="199"/>
        <v>17</v>
      </c>
      <c r="GL134" s="101">
        <f t="shared" si="200"/>
        <v>1.04E-2</v>
      </c>
      <c r="GM134" s="101">
        <f t="shared" si="201"/>
        <v>1</v>
      </c>
      <c r="GN134" s="101">
        <f t="shared" si="202"/>
        <v>34</v>
      </c>
      <c r="GO134" s="101">
        <f t="shared" si="203"/>
        <v>4.1700000000000001E-2</v>
      </c>
      <c r="GP134" s="101">
        <f t="shared" si="204"/>
        <v>1</v>
      </c>
      <c r="GQ134" s="101">
        <f t="shared" si="205"/>
        <v>72</v>
      </c>
    </row>
    <row r="135" spans="175:199" ht="16.5" x14ac:dyDescent="0.2">
      <c r="FS135" s="101">
        <v>130</v>
      </c>
      <c r="FT135" s="101">
        <f t="shared" si="190"/>
        <v>45</v>
      </c>
      <c r="FU135" s="101">
        <f t="shared" ref="FU135:FU198" si="206">INT((FS135-1)/80+1)</f>
        <v>2</v>
      </c>
      <c r="FV135" s="14">
        <f t="shared" ref="FV135:FV198" si="207">INDEX($FO$6:$FO$26,FU135)</f>
        <v>3</v>
      </c>
      <c r="FW135" s="101" t="str">
        <f t="shared" si="191"/>
        <v>许褚专属武器-魂珠-5 9级</v>
      </c>
      <c r="FX135" s="101">
        <f t="shared" si="192"/>
        <v>5</v>
      </c>
      <c r="FY135" s="101">
        <f t="shared" si="193"/>
        <v>9</v>
      </c>
      <c r="FZ135" s="101" t="str">
        <f t="shared" ref="FZ135:FZ198" si="208">IF($FY135&gt;0,IF(INDEX($EM$6:$EM$77,$FT135)&gt;=FZ$3,INDEX(EN$6:EN$77,$FT135),""),"")</f>
        <v>金币</v>
      </c>
      <c r="GA135" s="139">
        <f>IF($FY135&gt;0,IF(INDEX($EM$6:$EM$77,$FT135)&gt;=GA$3,ROUND(INDEX(EO$6:EO$77,$FT135)*INDEX(卡牌消耗!$B$8:$F$8,FV135)/5,0)*5,""),"")</f>
        <v>5445</v>
      </c>
      <c r="GB135" s="101" t="str">
        <f t="shared" ref="GB135:GB198" si="209">IF($FY135&gt;0,IF(INDEX($EM$6:$EM$77,$FT135)&gt;=GB$3,INDEX(EP$6:EP$77,$FT135),""),"")</f>
        <v>专属强化石2</v>
      </c>
      <c r="GC135" s="101">
        <f t="shared" ref="GC135:GC198" si="210">IF($FY135&gt;0,IF(INDEX($EM$6:$EM$77,$FT135)&gt;=GC$3,INDEX(EQ$6:EQ$77,$FT135),""),"")</f>
        <v>14</v>
      </c>
      <c r="GD135" s="101" t="str">
        <f t="shared" ref="GD135:GD198" si="211">IF($FY135&gt;0,IF(INDEX($EM$6:$EM$77,$FT135)&gt;=GD$3,INDEX(ER$6:ER$77,$FT135),""),"")</f>
        <v>专属强化石3</v>
      </c>
      <c r="GE135" s="101">
        <f t="shared" ref="GE135:GE198" si="212">IF($FY135&gt;0,IF(INDEX($EM$6:$EM$77,$FT135)&gt;=GE$3,INDEX(ES$6:ES$77,$FT135),""),"")</f>
        <v>9</v>
      </c>
      <c r="GF135" s="101">
        <f t="shared" si="194"/>
        <v>0.02</v>
      </c>
      <c r="GG135" s="101">
        <f t="shared" si="195"/>
        <v>1</v>
      </c>
      <c r="GH135" s="101">
        <f t="shared" si="196"/>
        <v>91</v>
      </c>
      <c r="GI135" s="101">
        <f t="shared" si="197"/>
        <v>0</v>
      </c>
      <c r="GJ135" s="101">
        <f t="shared" si="198"/>
        <v>1</v>
      </c>
      <c r="GK135" s="101">
        <f t="shared" si="199"/>
        <v>21</v>
      </c>
      <c r="GL135" s="101">
        <f t="shared" si="200"/>
        <v>8.3000000000000001E-3</v>
      </c>
      <c r="GM135" s="101">
        <f t="shared" si="201"/>
        <v>1</v>
      </c>
      <c r="GN135" s="101">
        <f t="shared" si="202"/>
        <v>42</v>
      </c>
      <c r="GO135" s="101">
        <f t="shared" si="203"/>
        <v>3.3099999999999997E-2</v>
      </c>
      <c r="GP135" s="101">
        <f t="shared" si="204"/>
        <v>1</v>
      </c>
      <c r="GQ135" s="101">
        <f t="shared" si="205"/>
        <v>91</v>
      </c>
    </row>
    <row r="136" spans="175:199" ht="16.5" x14ac:dyDescent="0.2">
      <c r="FS136" s="101">
        <v>131</v>
      </c>
      <c r="FT136" s="101">
        <f t="shared" si="190"/>
        <v>0</v>
      </c>
      <c r="FU136" s="101">
        <f t="shared" si="206"/>
        <v>2</v>
      </c>
      <c r="FV136" s="14">
        <f t="shared" si="207"/>
        <v>3</v>
      </c>
      <c r="FW136" s="101" t="str">
        <f t="shared" si="191"/>
        <v>许褚专属武器-魂珠-6 0级</v>
      </c>
      <c r="FX136" s="101">
        <f t="shared" si="192"/>
        <v>6</v>
      </c>
      <c r="FY136" s="101">
        <f t="shared" si="193"/>
        <v>0</v>
      </c>
      <c r="FZ136" s="101" t="str">
        <f t="shared" si="208"/>
        <v/>
      </c>
      <c r="GA136" s="139" t="str">
        <f>IF($FY136&gt;0,IF(INDEX($EM$6:$EM$77,$FT136)&gt;=GA$3,ROUND(INDEX(EO$6:EO$77,$FT136)*INDEX(卡牌消耗!$B$8:$F$8,FV136)/5,0)*5,""),"")</f>
        <v/>
      </c>
      <c r="GB136" s="101" t="str">
        <f t="shared" si="209"/>
        <v/>
      </c>
      <c r="GC136" s="101" t="str">
        <f t="shared" si="210"/>
        <v/>
      </c>
      <c r="GD136" s="101" t="str">
        <f t="shared" si="211"/>
        <v/>
      </c>
      <c r="GE136" s="101" t="str">
        <f t="shared" si="212"/>
        <v/>
      </c>
      <c r="GF136" s="101" t="str">
        <f t="shared" si="194"/>
        <v/>
      </c>
      <c r="GG136" s="101" t="str">
        <f t="shared" si="195"/>
        <v/>
      </c>
      <c r="GH136" s="101" t="str">
        <f t="shared" si="196"/>
        <v/>
      </c>
      <c r="GI136" s="101" t="str">
        <f t="shared" si="197"/>
        <v/>
      </c>
      <c r="GJ136" s="101" t="str">
        <f t="shared" si="198"/>
        <v/>
      </c>
      <c r="GK136" s="101" t="str">
        <f t="shared" si="199"/>
        <v/>
      </c>
      <c r="GL136" s="101" t="str">
        <f t="shared" si="200"/>
        <v/>
      </c>
      <c r="GM136" s="101" t="str">
        <f t="shared" si="201"/>
        <v/>
      </c>
      <c r="GN136" s="101" t="str">
        <f t="shared" si="202"/>
        <v/>
      </c>
      <c r="GO136" s="101" t="str">
        <f t="shared" si="203"/>
        <v/>
      </c>
      <c r="GP136" s="101" t="str">
        <f t="shared" si="204"/>
        <v/>
      </c>
      <c r="GQ136" s="101" t="str">
        <f t="shared" si="205"/>
        <v/>
      </c>
    </row>
    <row r="137" spans="175:199" ht="16.5" x14ac:dyDescent="0.2">
      <c r="FS137" s="101">
        <v>132</v>
      </c>
      <c r="FT137" s="101">
        <f t="shared" si="190"/>
        <v>46</v>
      </c>
      <c r="FU137" s="101">
        <f t="shared" si="206"/>
        <v>2</v>
      </c>
      <c r="FV137" s="14">
        <f t="shared" si="207"/>
        <v>3</v>
      </c>
      <c r="FW137" s="101" t="str">
        <f t="shared" si="191"/>
        <v>许褚专属武器-魂珠-6 1级</v>
      </c>
      <c r="FX137" s="101">
        <f t="shared" si="192"/>
        <v>6</v>
      </c>
      <c r="FY137" s="101">
        <f t="shared" si="193"/>
        <v>1</v>
      </c>
      <c r="FZ137" s="101" t="str">
        <f t="shared" si="208"/>
        <v>金币</v>
      </c>
      <c r="GA137" s="139">
        <f>IF($FY137&gt;0,IF(INDEX($EM$6:$EM$77,$FT137)&gt;=GA$3,ROUND(INDEX(EO$6:EO$77,$FT137)*INDEX(卡牌消耗!$B$8:$F$8,FV137)/5,0)*5,""),"")</f>
        <v>1455</v>
      </c>
      <c r="GB137" s="101" t="str">
        <f t="shared" si="209"/>
        <v>专属强化石3</v>
      </c>
      <c r="GC137" s="101">
        <f t="shared" si="210"/>
        <v>5</v>
      </c>
      <c r="GD137" s="101" t="str">
        <f t="shared" si="211"/>
        <v>专属强化石4</v>
      </c>
      <c r="GE137" s="101">
        <f t="shared" si="212"/>
        <v>1</v>
      </c>
      <c r="GF137" s="101">
        <f t="shared" si="194"/>
        <v>0.17</v>
      </c>
      <c r="GG137" s="101">
        <f t="shared" si="195"/>
        <v>1</v>
      </c>
      <c r="GH137" s="101">
        <f t="shared" si="196"/>
        <v>9</v>
      </c>
      <c r="GI137" s="101">
        <f t="shared" si="197"/>
        <v>0</v>
      </c>
      <c r="GJ137" s="101">
        <f t="shared" si="198"/>
        <v>1</v>
      </c>
      <c r="GK137" s="101">
        <f t="shared" si="199"/>
        <v>2</v>
      </c>
      <c r="GL137" s="101">
        <f t="shared" si="200"/>
        <v>8.2900000000000001E-2</v>
      </c>
      <c r="GM137" s="101">
        <f t="shared" si="201"/>
        <v>1</v>
      </c>
      <c r="GN137" s="101">
        <f t="shared" si="202"/>
        <v>4</v>
      </c>
      <c r="GO137" s="101">
        <f t="shared" si="203"/>
        <v>0.33139999999999997</v>
      </c>
      <c r="GP137" s="101">
        <f t="shared" si="204"/>
        <v>1</v>
      </c>
      <c r="GQ137" s="101">
        <f t="shared" si="205"/>
        <v>9</v>
      </c>
    </row>
    <row r="138" spans="175:199" ht="16.5" x14ac:dyDescent="0.2">
      <c r="FS138" s="101">
        <v>133</v>
      </c>
      <c r="FT138" s="101">
        <f t="shared" si="190"/>
        <v>47</v>
      </c>
      <c r="FU138" s="101">
        <f t="shared" si="206"/>
        <v>2</v>
      </c>
      <c r="FV138" s="14">
        <f t="shared" si="207"/>
        <v>3</v>
      </c>
      <c r="FW138" s="101" t="str">
        <f t="shared" si="191"/>
        <v>许褚专属武器-魂珠-6 2级</v>
      </c>
      <c r="FX138" s="101">
        <f t="shared" si="192"/>
        <v>6</v>
      </c>
      <c r="FY138" s="101">
        <f t="shared" si="193"/>
        <v>2</v>
      </c>
      <c r="FZ138" s="101" t="str">
        <f t="shared" si="208"/>
        <v>金币</v>
      </c>
      <c r="GA138" s="139">
        <f>IF($FY138&gt;0,IF(INDEX($EM$6:$EM$77,$FT138)&gt;=GA$3,ROUND(INDEX(EO$6:EO$77,$FT138)*INDEX(卡牌消耗!$B$8:$F$8,FV138)/5,0)*5,""),"")</f>
        <v>2180</v>
      </c>
      <c r="GB138" s="101" t="str">
        <f t="shared" si="209"/>
        <v>专属强化石3</v>
      </c>
      <c r="GC138" s="101">
        <f t="shared" si="210"/>
        <v>10</v>
      </c>
      <c r="GD138" s="101" t="str">
        <f t="shared" si="211"/>
        <v>专属强化石4</v>
      </c>
      <c r="GE138" s="101">
        <f t="shared" si="212"/>
        <v>2</v>
      </c>
      <c r="GF138" s="101">
        <f t="shared" si="194"/>
        <v>0.17</v>
      </c>
      <c r="GG138" s="101">
        <f t="shared" si="195"/>
        <v>1</v>
      </c>
      <c r="GH138" s="101">
        <f t="shared" si="196"/>
        <v>9</v>
      </c>
      <c r="GI138" s="101">
        <f t="shared" si="197"/>
        <v>0</v>
      </c>
      <c r="GJ138" s="101">
        <f t="shared" si="198"/>
        <v>1</v>
      </c>
      <c r="GK138" s="101">
        <f t="shared" si="199"/>
        <v>2</v>
      </c>
      <c r="GL138" s="101">
        <f t="shared" si="200"/>
        <v>8.2900000000000001E-2</v>
      </c>
      <c r="GM138" s="101">
        <f t="shared" si="201"/>
        <v>1</v>
      </c>
      <c r="GN138" s="101">
        <f t="shared" si="202"/>
        <v>4</v>
      </c>
      <c r="GO138" s="101">
        <f t="shared" si="203"/>
        <v>0.33139999999999997</v>
      </c>
      <c r="GP138" s="101">
        <f t="shared" si="204"/>
        <v>1</v>
      </c>
      <c r="GQ138" s="101">
        <f t="shared" si="205"/>
        <v>9</v>
      </c>
    </row>
    <row r="139" spans="175:199" ht="16.5" x14ac:dyDescent="0.2">
      <c r="FS139" s="101">
        <v>134</v>
      </c>
      <c r="FT139" s="101">
        <f t="shared" si="190"/>
        <v>48</v>
      </c>
      <c r="FU139" s="101">
        <f t="shared" si="206"/>
        <v>2</v>
      </c>
      <c r="FV139" s="14">
        <f t="shared" si="207"/>
        <v>3</v>
      </c>
      <c r="FW139" s="101" t="str">
        <f t="shared" si="191"/>
        <v>许褚专属武器-魂珠-6 3级</v>
      </c>
      <c r="FX139" s="101">
        <f t="shared" si="192"/>
        <v>6</v>
      </c>
      <c r="FY139" s="101">
        <f t="shared" si="193"/>
        <v>3</v>
      </c>
      <c r="FZ139" s="101" t="str">
        <f t="shared" si="208"/>
        <v>金币</v>
      </c>
      <c r="GA139" s="139">
        <f>IF($FY139&gt;0,IF(INDEX($EM$6:$EM$77,$FT139)&gt;=GA$3,ROUND(INDEX(EO$6:EO$77,$FT139)*INDEX(卡牌消耗!$B$8:$F$8,FV139)/5,0)*5,""),"")</f>
        <v>2425</v>
      </c>
      <c r="GB139" s="101" t="str">
        <f t="shared" si="209"/>
        <v>专属强化石3</v>
      </c>
      <c r="GC139" s="101">
        <f t="shared" si="210"/>
        <v>10</v>
      </c>
      <c r="GD139" s="101" t="str">
        <f t="shared" si="211"/>
        <v>专属强化石4</v>
      </c>
      <c r="GE139" s="101">
        <f t="shared" si="212"/>
        <v>2</v>
      </c>
      <c r="GF139" s="101">
        <f t="shared" si="194"/>
        <v>0.11</v>
      </c>
      <c r="GG139" s="101">
        <f t="shared" si="195"/>
        <v>1</v>
      </c>
      <c r="GH139" s="101">
        <f t="shared" si="196"/>
        <v>14</v>
      </c>
      <c r="GI139" s="101">
        <f t="shared" si="197"/>
        <v>0</v>
      </c>
      <c r="GJ139" s="101">
        <f t="shared" si="198"/>
        <v>1</v>
      </c>
      <c r="GK139" s="101">
        <f t="shared" si="199"/>
        <v>3</v>
      </c>
      <c r="GL139" s="101">
        <f t="shared" si="200"/>
        <v>5.5199999999999999E-2</v>
      </c>
      <c r="GM139" s="101">
        <f t="shared" si="201"/>
        <v>1</v>
      </c>
      <c r="GN139" s="101">
        <f t="shared" si="202"/>
        <v>6</v>
      </c>
      <c r="GO139" s="101">
        <f t="shared" si="203"/>
        <v>0.221</v>
      </c>
      <c r="GP139" s="101">
        <f t="shared" si="204"/>
        <v>1</v>
      </c>
      <c r="GQ139" s="101">
        <f t="shared" si="205"/>
        <v>14</v>
      </c>
    </row>
    <row r="140" spans="175:199" ht="16.5" x14ac:dyDescent="0.2">
      <c r="FS140" s="101">
        <v>135</v>
      </c>
      <c r="FT140" s="101">
        <f t="shared" si="190"/>
        <v>49</v>
      </c>
      <c r="FU140" s="101">
        <f t="shared" si="206"/>
        <v>2</v>
      </c>
      <c r="FV140" s="14">
        <f t="shared" si="207"/>
        <v>3</v>
      </c>
      <c r="FW140" s="101" t="str">
        <f t="shared" si="191"/>
        <v>许褚专属武器-魂珠-6 4级</v>
      </c>
      <c r="FX140" s="101">
        <f t="shared" si="192"/>
        <v>6</v>
      </c>
      <c r="FY140" s="101">
        <f t="shared" si="193"/>
        <v>4</v>
      </c>
      <c r="FZ140" s="101" t="str">
        <f t="shared" si="208"/>
        <v>金币</v>
      </c>
      <c r="GA140" s="139">
        <f>IF($FY140&gt;0,IF(INDEX($EM$6:$EM$77,$FT140)&gt;=GA$3,ROUND(INDEX(EO$6:EO$77,$FT140)*INDEX(卡牌消耗!$B$8:$F$8,FV140)/5,0)*5,""),"")</f>
        <v>3490</v>
      </c>
      <c r="GB140" s="101" t="str">
        <f t="shared" si="209"/>
        <v>专属强化石3</v>
      </c>
      <c r="GC140" s="101">
        <f t="shared" si="210"/>
        <v>15</v>
      </c>
      <c r="GD140" s="101" t="str">
        <f t="shared" si="211"/>
        <v>专属强化石4</v>
      </c>
      <c r="GE140" s="101">
        <f t="shared" si="212"/>
        <v>3</v>
      </c>
      <c r="GF140" s="101">
        <f t="shared" si="194"/>
        <v>0.1</v>
      </c>
      <c r="GG140" s="101">
        <f t="shared" si="195"/>
        <v>1</v>
      </c>
      <c r="GH140" s="101">
        <f t="shared" si="196"/>
        <v>15</v>
      </c>
      <c r="GI140" s="101">
        <f t="shared" si="197"/>
        <v>0</v>
      </c>
      <c r="GJ140" s="101">
        <f t="shared" si="198"/>
        <v>1</v>
      </c>
      <c r="GK140" s="101">
        <f t="shared" si="199"/>
        <v>4</v>
      </c>
      <c r="GL140" s="101">
        <f t="shared" si="200"/>
        <v>4.9700000000000001E-2</v>
      </c>
      <c r="GM140" s="101">
        <f t="shared" si="201"/>
        <v>1</v>
      </c>
      <c r="GN140" s="101">
        <f t="shared" si="202"/>
        <v>7</v>
      </c>
      <c r="GO140" s="101">
        <f t="shared" si="203"/>
        <v>0.19889999999999999</v>
      </c>
      <c r="GP140" s="101">
        <f t="shared" si="204"/>
        <v>1</v>
      </c>
      <c r="GQ140" s="101">
        <f t="shared" si="205"/>
        <v>15</v>
      </c>
    </row>
    <row r="141" spans="175:199" ht="16.5" x14ac:dyDescent="0.2">
      <c r="FS141" s="101">
        <v>136</v>
      </c>
      <c r="FT141" s="101">
        <f t="shared" si="190"/>
        <v>50</v>
      </c>
      <c r="FU141" s="101">
        <f t="shared" si="206"/>
        <v>2</v>
      </c>
      <c r="FV141" s="14">
        <f t="shared" si="207"/>
        <v>3</v>
      </c>
      <c r="FW141" s="101" t="str">
        <f t="shared" si="191"/>
        <v>许褚专属武器-魂珠-6 5级</v>
      </c>
      <c r="FX141" s="101">
        <f t="shared" si="192"/>
        <v>6</v>
      </c>
      <c r="FY141" s="101">
        <f t="shared" si="193"/>
        <v>5</v>
      </c>
      <c r="FZ141" s="101" t="str">
        <f t="shared" si="208"/>
        <v>金币</v>
      </c>
      <c r="GA141" s="139">
        <f>IF($FY141&gt;0,IF(INDEX($EM$6:$EM$77,$FT141)&gt;=GA$3,ROUND(INDEX(EO$6:EO$77,$FT141)*INDEX(卡牌消耗!$B$8:$F$8,FV141)/5,0)*5,""),"")</f>
        <v>3545</v>
      </c>
      <c r="GB141" s="101" t="str">
        <f t="shared" si="209"/>
        <v>专属强化石3</v>
      </c>
      <c r="GC141" s="101">
        <f t="shared" si="210"/>
        <v>15</v>
      </c>
      <c r="GD141" s="101" t="str">
        <f t="shared" si="211"/>
        <v>专属强化石4</v>
      </c>
      <c r="GE141" s="101">
        <f t="shared" si="212"/>
        <v>3</v>
      </c>
      <c r="GF141" s="101">
        <f t="shared" si="194"/>
        <v>0.06</v>
      </c>
      <c r="GG141" s="101">
        <f t="shared" si="195"/>
        <v>1</v>
      </c>
      <c r="GH141" s="101">
        <f t="shared" si="196"/>
        <v>24</v>
      </c>
      <c r="GI141" s="101">
        <f t="shared" si="197"/>
        <v>0</v>
      </c>
      <c r="GJ141" s="101">
        <f t="shared" si="198"/>
        <v>1</v>
      </c>
      <c r="GK141" s="101">
        <f t="shared" si="199"/>
        <v>6</v>
      </c>
      <c r="GL141" s="101">
        <f t="shared" si="200"/>
        <v>3.1099999999999999E-2</v>
      </c>
      <c r="GM141" s="101">
        <f t="shared" si="201"/>
        <v>1</v>
      </c>
      <c r="GN141" s="101">
        <f t="shared" si="202"/>
        <v>11</v>
      </c>
      <c r="GO141" s="101">
        <f t="shared" si="203"/>
        <v>0.12429999999999999</v>
      </c>
      <c r="GP141" s="101">
        <f t="shared" si="204"/>
        <v>1</v>
      </c>
      <c r="GQ141" s="101">
        <f t="shared" si="205"/>
        <v>24</v>
      </c>
    </row>
    <row r="142" spans="175:199" ht="16.5" x14ac:dyDescent="0.2">
      <c r="FS142" s="101">
        <v>137</v>
      </c>
      <c r="FT142" s="101">
        <f t="shared" si="190"/>
        <v>51</v>
      </c>
      <c r="FU142" s="101">
        <f t="shared" si="206"/>
        <v>2</v>
      </c>
      <c r="FV142" s="14">
        <f t="shared" si="207"/>
        <v>3</v>
      </c>
      <c r="FW142" s="101" t="str">
        <f t="shared" si="191"/>
        <v>许褚专属武器-魂珠-6 6级</v>
      </c>
      <c r="FX142" s="101">
        <f t="shared" si="192"/>
        <v>6</v>
      </c>
      <c r="FY142" s="101">
        <f t="shared" si="193"/>
        <v>6</v>
      </c>
      <c r="FZ142" s="101" t="str">
        <f t="shared" si="208"/>
        <v>金币</v>
      </c>
      <c r="GA142" s="139">
        <f>IF($FY142&gt;0,IF(INDEX($EM$6:$EM$77,$FT142)&gt;=GA$3,ROUND(INDEX(EO$6:EO$77,$FT142)*INDEX(卡牌消耗!$B$8:$F$8,FV142)/5,0)*5,""),"")</f>
        <v>4700</v>
      </c>
      <c r="GB142" s="101" t="str">
        <f t="shared" si="209"/>
        <v>专属强化石3</v>
      </c>
      <c r="GC142" s="101">
        <f t="shared" si="210"/>
        <v>20</v>
      </c>
      <c r="GD142" s="101" t="str">
        <f t="shared" si="211"/>
        <v>专属强化石4</v>
      </c>
      <c r="GE142" s="101">
        <f t="shared" si="212"/>
        <v>4</v>
      </c>
      <c r="GF142" s="101">
        <f t="shared" si="194"/>
        <v>0.05</v>
      </c>
      <c r="GG142" s="101">
        <f t="shared" si="195"/>
        <v>1</v>
      </c>
      <c r="GH142" s="101">
        <f t="shared" si="196"/>
        <v>29</v>
      </c>
      <c r="GI142" s="101">
        <f t="shared" si="197"/>
        <v>0</v>
      </c>
      <c r="GJ142" s="101">
        <f t="shared" si="198"/>
        <v>1</v>
      </c>
      <c r="GK142" s="101">
        <f t="shared" si="199"/>
        <v>7</v>
      </c>
      <c r="GL142" s="101">
        <f t="shared" si="200"/>
        <v>2.5499999999999998E-2</v>
      </c>
      <c r="GM142" s="101">
        <f t="shared" si="201"/>
        <v>1</v>
      </c>
      <c r="GN142" s="101">
        <f t="shared" si="202"/>
        <v>14</v>
      </c>
      <c r="GO142" s="101">
        <f t="shared" si="203"/>
        <v>0.10199999999999999</v>
      </c>
      <c r="GP142" s="101">
        <f t="shared" si="204"/>
        <v>1</v>
      </c>
      <c r="GQ142" s="101">
        <f t="shared" si="205"/>
        <v>29</v>
      </c>
    </row>
    <row r="143" spans="175:199" ht="16.5" x14ac:dyDescent="0.2">
      <c r="FS143" s="101">
        <v>138</v>
      </c>
      <c r="FT143" s="101">
        <f t="shared" si="190"/>
        <v>52</v>
      </c>
      <c r="FU143" s="101">
        <f t="shared" si="206"/>
        <v>2</v>
      </c>
      <c r="FV143" s="14">
        <f t="shared" si="207"/>
        <v>3</v>
      </c>
      <c r="FW143" s="101" t="str">
        <f t="shared" si="191"/>
        <v>许褚专属武器-魂珠-6 7级</v>
      </c>
      <c r="FX143" s="101">
        <f t="shared" si="192"/>
        <v>6</v>
      </c>
      <c r="FY143" s="101">
        <f t="shared" si="193"/>
        <v>7</v>
      </c>
      <c r="FZ143" s="101" t="str">
        <f t="shared" si="208"/>
        <v>金币</v>
      </c>
      <c r="GA143" s="139">
        <f>IF($FY143&gt;0,IF(INDEX($EM$6:$EM$77,$FT143)&gt;=GA$3,ROUND(INDEX(EO$6:EO$77,$FT143)*INDEX(卡牌消耗!$B$8:$F$8,FV143)/5,0)*5,""),"")</f>
        <v>5885</v>
      </c>
      <c r="GB143" s="101" t="str">
        <f t="shared" si="209"/>
        <v>专属强化石3</v>
      </c>
      <c r="GC143" s="101">
        <f t="shared" si="210"/>
        <v>25</v>
      </c>
      <c r="GD143" s="101" t="str">
        <f t="shared" si="211"/>
        <v>专属强化石4</v>
      </c>
      <c r="GE143" s="101">
        <f t="shared" si="212"/>
        <v>5</v>
      </c>
      <c r="GF143" s="101">
        <f t="shared" si="194"/>
        <v>0.04</v>
      </c>
      <c r="GG143" s="101">
        <f t="shared" si="195"/>
        <v>1</v>
      </c>
      <c r="GH143" s="101">
        <f t="shared" si="196"/>
        <v>38</v>
      </c>
      <c r="GI143" s="101">
        <f t="shared" si="197"/>
        <v>0</v>
      </c>
      <c r="GJ143" s="101">
        <f t="shared" si="198"/>
        <v>1</v>
      </c>
      <c r="GK143" s="101">
        <f t="shared" si="199"/>
        <v>9</v>
      </c>
      <c r="GL143" s="101">
        <f t="shared" si="200"/>
        <v>1.9699999999999999E-2</v>
      </c>
      <c r="GM143" s="101">
        <f t="shared" si="201"/>
        <v>1</v>
      </c>
      <c r="GN143" s="101">
        <f t="shared" si="202"/>
        <v>18</v>
      </c>
      <c r="GO143" s="101">
        <f t="shared" si="203"/>
        <v>7.8899999999999998E-2</v>
      </c>
      <c r="GP143" s="101">
        <f t="shared" si="204"/>
        <v>1</v>
      </c>
      <c r="GQ143" s="101">
        <f t="shared" si="205"/>
        <v>38</v>
      </c>
    </row>
    <row r="144" spans="175:199" ht="16.5" x14ac:dyDescent="0.2">
      <c r="FS144" s="101">
        <v>139</v>
      </c>
      <c r="FT144" s="101">
        <f t="shared" si="190"/>
        <v>53</v>
      </c>
      <c r="FU144" s="101">
        <f t="shared" si="206"/>
        <v>2</v>
      </c>
      <c r="FV144" s="14">
        <f t="shared" si="207"/>
        <v>3</v>
      </c>
      <c r="FW144" s="101" t="str">
        <f t="shared" si="191"/>
        <v>许褚专属武器-魂珠-6 8级</v>
      </c>
      <c r="FX144" s="101">
        <f t="shared" si="192"/>
        <v>6</v>
      </c>
      <c r="FY144" s="101">
        <f t="shared" si="193"/>
        <v>8</v>
      </c>
      <c r="FZ144" s="101" t="str">
        <f t="shared" si="208"/>
        <v>金币</v>
      </c>
      <c r="GA144" s="139">
        <f>IF($FY144&gt;0,IF(INDEX($EM$6:$EM$77,$FT144)&gt;=GA$3,ROUND(INDEX(EO$6:EO$77,$FT144)*INDEX(卡牌消耗!$B$8:$F$8,FV144)/5,0)*5,""),"")</f>
        <v>8235</v>
      </c>
      <c r="GB144" s="101" t="str">
        <f t="shared" si="209"/>
        <v>专属强化石3</v>
      </c>
      <c r="GC144" s="101">
        <f t="shared" si="210"/>
        <v>35</v>
      </c>
      <c r="GD144" s="101" t="str">
        <f t="shared" si="211"/>
        <v>专属强化石4</v>
      </c>
      <c r="GE144" s="101">
        <f t="shared" si="212"/>
        <v>7</v>
      </c>
      <c r="GF144" s="101">
        <f t="shared" si="194"/>
        <v>0.03</v>
      </c>
      <c r="GG144" s="101">
        <f t="shared" si="195"/>
        <v>1</v>
      </c>
      <c r="GH144" s="101">
        <f t="shared" si="196"/>
        <v>44</v>
      </c>
      <c r="GI144" s="101">
        <f t="shared" si="197"/>
        <v>0</v>
      </c>
      <c r="GJ144" s="101">
        <f t="shared" si="198"/>
        <v>1</v>
      </c>
      <c r="GK144" s="101">
        <f t="shared" si="199"/>
        <v>10</v>
      </c>
      <c r="GL144" s="101">
        <f t="shared" si="200"/>
        <v>1.7100000000000001E-2</v>
      </c>
      <c r="GM144" s="101">
        <f t="shared" si="201"/>
        <v>1</v>
      </c>
      <c r="GN144" s="101">
        <f t="shared" si="202"/>
        <v>21</v>
      </c>
      <c r="GO144" s="101">
        <f t="shared" si="203"/>
        <v>6.8199999999999997E-2</v>
      </c>
      <c r="GP144" s="101">
        <f t="shared" si="204"/>
        <v>1</v>
      </c>
      <c r="GQ144" s="101">
        <f t="shared" si="205"/>
        <v>44</v>
      </c>
    </row>
    <row r="145" spans="175:199" ht="16.5" x14ac:dyDescent="0.2">
      <c r="FS145" s="101">
        <v>140</v>
      </c>
      <c r="FT145" s="101">
        <f t="shared" si="190"/>
        <v>54</v>
      </c>
      <c r="FU145" s="101">
        <f t="shared" si="206"/>
        <v>2</v>
      </c>
      <c r="FV145" s="14">
        <f t="shared" si="207"/>
        <v>3</v>
      </c>
      <c r="FW145" s="101" t="str">
        <f t="shared" si="191"/>
        <v>许褚专属武器-魂珠-6 9级</v>
      </c>
      <c r="FX145" s="101">
        <f t="shared" si="192"/>
        <v>6</v>
      </c>
      <c r="FY145" s="101">
        <f t="shared" si="193"/>
        <v>9</v>
      </c>
      <c r="FZ145" s="101" t="str">
        <f t="shared" si="208"/>
        <v>金币</v>
      </c>
      <c r="GA145" s="139">
        <f>IF($FY145&gt;0,IF(INDEX($EM$6:$EM$77,$FT145)&gt;=GA$3,ROUND(INDEX(EO$6:EO$77,$FT145)*INDEX(卡牌消耗!$B$8:$F$8,FV145)/5,0)*5,""),"")</f>
        <v>9410</v>
      </c>
      <c r="GB145" s="101" t="str">
        <f t="shared" si="209"/>
        <v>专属强化石3</v>
      </c>
      <c r="GC145" s="101">
        <f t="shared" si="210"/>
        <v>40</v>
      </c>
      <c r="GD145" s="101" t="str">
        <f t="shared" si="211"/>
        <v>专属强化石4</v>
      </c>
      <c r="GE145" s="101">
        <f t="shared" si="212"/>
        <v>8</v>
      </c>
      <c r="GF145" s="101">
        <f t="shared" si="194"/>
        <v>0.02</v>
      </c>
      <c r="GG145" s="101">
        <f t="shared" si="195"/>
        <v>1</v>
      </c>
      <c r="GH145" s="101">
        <f t="shared" si="196"/>
        <v>62</v>
      </c>
      <c r="GI145" s="101">
        <f t="shared" si="197"/>
        <v>0</v>
      </c>
      <c r="GJ145" s="101">
        <f t="shared" si="198"/>
        <v>1</v>
      </c>
      <c r="GK145" s="101">
        <f t="shared" si="199"/>
        <v>15</v>
      </c>
      <c r="GL145" s="101">
        <f t="shared" si="200"/>
        <v>1.21E-2</v>
      </c>
      <c r="GM145" s="101">
        <f t="shared" si="201"/>
        <v>1</v>
      </c>
      <c r="GN145" s="101">
        <f t="shared" si="202"/>
        <v>29</v>
      </c>
      <c r="GO145" s="101">
        <f t="shared" si="203"/>
        <v>4.82E-2</v>
      </c>
      <c r="GP145" s="101">
        <f t="shared" si="204"/>
        <v>1</v>
      </c>
      <c r="GQ145" s="101">
        <f t="shared" si="205"/>
        <v>62</v>
      </c>
    </row>
    <row r="146" spans="175:199" ht="16.5" x14ac:dyDescent="0.2">
      <c r="FS146" s="101">
        <v>141</v>
      </c>
      <c r="FT146" s="101">
        <f t="shared" si="190"/>
        <v>0</v>
      </c>
      <c r="FU146" s="101">
        <f t="shared" si="206"/>
        <v>2</v>
      </c>
      <c r="FV146" s="14">
        <f t="shared" si="207"/>
        <v>3</v>
      </c>
      <c r="FW146" s="101" t="str">
        <f t="shared" si="191"/>
        <v>许褚专属武器-魂珠-7 0级</v>
      </c>
      <c r="FX146" s="101">
        <f t="shared" si="192"/>
        <v>7</v>
      </c>
      <c r="FY146" s="101">
        <f t="shared" si="193"/>
        <v>0</v>
      </c>
      <c r="FZ146" s="101" t="str">
        <f t="shared" si="208"/>
        <v/>
      </c>
      <c r="GA146" s="139" t="str">
        <f>IF($FY146&gt;0,IF(INDEX($EM$6:$EM$77,$FT146)&gt;=GA$3,ROUND(INDEX(EO$6:EO$77,$FT146)*INDEX(卡牌消耗!$B$8:$F$8,FV146)/5,0)*5,""),"")</f>
        <v/>
      </c>
      <c r="GB146" s="101" t="str">
        <f t="shared" si="209"/>
        <v/>
      </c>
      <c r="GC146" s="101" t="str">
        <f t="shared" si="210"/>
        <v/>
      </c>
      <c r="GD146" s="101" t="str">
        <f t="shared" si="211"/>
        <v/>
      </c>
      <c r="GE146" s="101" t="str">
        <f t="shared" si="212"/>
        <v/>
      </c>
      <c r="GF146" s="101" t="str">
        <f t="shared" si="194"/>
        <v/>
      </c>
      <c r="GG146" s="101" t="str">
        <f t="shared" si="195"/>
        <v/>
      </c>
      <c r="GH146" s="101" t="str">
        <f t="shared" si="196"/>
        <v/>
      </c>
      <c r="GI146" s="101" t="str">
        <f t="shared" si="197"/>
        <v/>
      </c>
      <c r="GJ146" s="101" t="str">
        <f t="shared" si="198"/>
        <v/>
      </c>
      <c r="GK146" s="101" t="str">
        <f t="shared" si="199"/>
        <v/>
      </c>
      <c r="GL146" s="101" t="str">
        <f t="shared" si="200"/>
        <v/>
      </c>
      <c r="GM146" s="101" t="str">
        <f t="shared" si="201"/>
        <v/>
      </c>
      <c r="GN146" s="101" t="str">
        <f t="shared" si="202"/>
        <v/>
      </c>
      <c r="GO146" s="101" t="str">
        <f t="shared" si="203"/>
        <v/>
      </c>
      <c r="GP146" s="101" t="str">
        <f t="shared" si="204"/>
        <v/>
      </c>
      <c r="GQ146" s="101" t="str">
        <f t="shared" si="205"/>
        <v/>
      </c>
    </row>
    <row r="147" spans="175:199" ht="16.5" x14ac:dyDescent="0.2">
      <c r="FS147" s="101">
        <v>142</v>
      </c>
      <c r="FT147" s="101">
        <f t="shared" si="190"/>
        <v>55</v>
      </c>
      <c r="FU147" s="101">
        <f t="shared" si="206"/>
        <v>2</v>
      </c>
      <c r="FV147" s="14">
        <f t="shared" si="207"/>
        <v>3</v>
      </c>
      <c r="FW147" s="101" t="str">
        <f t="shared" si="191"/>
        <v>许褚专属武器-魂珠-7 1级</v>
      </c>
      <c r="FX147" s="101">
        <f t="shared" si="192"/>
        <v>7</v>
      </c>
      <c r="FY147" s="101">
        <f t="shared" si="193"/>
        <v>1</v>
      </c>
      <c r="FZ147" s="101" t="str">
        <f t="shared" si="208"/>
        <v>金币</v>
      </c>
      <c r="GA147" s="139">
        <f>IF($FY147&gt;0,IF(INDEX($EM$6:$EM$77,$FT147)&gt;=GA$3,ROUND(INDEX(EO$6:EO$77,$FT147)*INDEX(卡牌消耗!$B$8:$F$8,FV147)/5,0)*5,""),"")</f>
        <v>5075</v>
      </c>
      <c r="GB147" s="101" t="str">
        <f t="shared" si="209"/>
        <v>专属强化石3</v>
      </c>
      <c r="GC147" s="101">
        <f t="shared" si="210"/>
        <v>6</v>
      </c>
      <c r="GD147" s="101" t="str">
        <f t="shared" si="211"/>
        <v>专属强化石4</v>
      </c>
      <c r="GE147" s="101">
        <f t="shared" si="212"/>
        <v>2</v>
      </c>
      <c r="GF147" s="101">
        <f t="shared" si="194"/>
        <v>0.2</v>
      </c>
      <c r="GG147" s="101">
        <f t="shared" si="195"/>
        <v>1</v>
      </c>
      <c r="GH147" s="101">
        <f t="shared" si="196"/>
        <v>8</v>
      </c>
      <c r="GI147" s="101">
        <f t="shared" si="197"/>
        <v>0</v>
      </c>
      <c r="GJ147" s="101">
        <f t="shared" si="198"/>
        <v>1</v>
      </c>
      <c r="GK147" s="101">
        <f t="shared" si="199"/>
        <v>2</v>
      </c>
      <c r="GL147" s="101">
        <f t="shared" si="200"/>
        <v>9.9400000000000002E-2</v>
      </c>
      <c r="GM147" s="101">
        <f t="shared" si="201"/>
        <v>1</v>
      </c>
      <c r="GN147" s="101">
        <f t="shared" si="202"/>
        <v>4</v>
      </c>
      <c r="GO147" s="101">
        <f t="shared" si="203"/>
        <v>0.3977</v>
      </c>
      <c r="GP147" s="101">
        <f t="shared" si="204"/>
        <v>1</v>
      </c>
      <c r="GQ147" s="101">
        <f t="shared" si="205"/>
        <v>8</v>
      </c>
    </row>
    <row r="148" spans="175:199" ht="16.5" x14ac:dyDescent="0.2">
      <c r="FS148" s="101">
        <v>143</v>
      </c>
      <c r="FT148" s="101">
        <f t="shared" si="190"/>
        <v>56</v>
      </c>
      <c r="FU148" s="101">
        <f t="shared" si="206"/>
        <v>2</v>
      </c>
      <c r="FV148" s="14">
        <f t="shared" si="207"/>
        <v>3</v>
      </c>
      <c r="FW148" s="101" t="str">
        <f t="shared" si="191"/>
        <v>许褚专属武器-魂珠-7 2级</v>
      </c>
      <c r="FX148" s="101">
        <f t="shared" si="192"/>
        <v>7</v>
      </c>
      <c r="FY148" s="101">
        <f t="shared" si="193"/>
        <v>2</v>
      </c>
      <c r="FZ148" s="101" t="str">
        <f t="shared" si="208"/>
        <v>金币</v>
      </c>
      <c r="GA148" s="139">
        <f>IF($FY148&gt;0,IF(INDEX($EM$6:$EM$77,$FT148)&gt;=GA$3,ROUND(INDEX(EO$6:EO$77,$FT148)*INDEX(卡牌消耗!$B$8:$F$8,FV148)/5,0)*5,""),"")</f>
        <v>3810</v>
      </c>
      <c r="GB148" s="101" t="str">
        <f t="shared" si="209"/>
        <v>专属强化石3</v>
      </c>
      <c r="GC148" s="101">
        <f t="shared" si="210"/>
        <v>6</v>
      </c>
      <c r="GD148" s="101" t="str">
        <f t="shared" si="211"/>
        <v>专属强化石4</v>
      </c>
      <c r="GE148" s="101">
        <f t="shared" si="212"/>
        <v>2</v>
      </c>
      <c r="GF148" s="101">
        <f t="shared" si="194"/>
        <v>0.1</v>
      </c>
      <c r="GG148" s="101">
        <f t="shared" si="195"/>
        <v>1</v>
      </c>
      <c r="GH148" s="101">
        <f t="shared" si="196"/>
        <v>15</v>
      </c>
      <c r="GI148" s="101">
        <f t="shared" si="197"/>
        <v>0</v>
      </c>
      <c r="GJ148" s="101">
        <f t="shared" si="198"/>
        <v>1</v>
      </c>
      <c r="GK148" s="101">
        <f t="shared" si="199"/>
        <v>4</v>
      </c>
      <c r="GL148" s="101">
        <f t="shared" si="200"/>
        <v>4.9700000000000001E-2</v>
      </c>
      <c r="GM148" s="101">
        <f t="shared" si="201"/>
        <v>1</v>
      </c>
      <c r="GN148" s="101">
        <f t="shared" si="202"/>
        <v>7</v>
      </c>
      <c r="GO148" s="101">
        <f t="shared" si="203"/>
        <v>0.19889999999999999</v>
      </c>
      <c r="GP148" s="101">
        <f t="shared" si="204"/>
        <v>1</v>
      </c>
      <c r="GQ148" s="101">
        <f t="shared" si="205"/>
        <v>15</v>
      </c>
    </row>
    <row r="149" spans="175:199" ht="16.5" x14ac:dyDescent="0.2">
      <c r="FS149" s="101">
        <v>144</v>
      </c>
      <c r="FT149" s="101">
        <f t="shared" si="190"/>
        <v>57</v>
      </c>
      <c r="FU149" s="101">
        <f t="shared" si="206"/>
        <v>2</v>
      </c>
      <c r="FV149" s="14">
        <f t="shared" si="207"/>
        <v>3</v>
      </c>
      <c r="FW149" s="101" t="str">
        <f t="shared" si="191"/>
        <v>许褚专属武器-魂珠-7 3级</v>
      </c>
      <c r="FX149" s="101">
        <f t="shared" si="192"/>
        <v>7</v>
      </c>
      <c r="FY149" s="101">
        <f t="shared" si="193"/>
        <v>3</v>
      </c>
      <c r="FZ149" s="101" t="str">
        <f t="shared" si="208"/>
        <v>金币</v>
      </c>
      <c r="GA149" s="139">
        <f>IF($FY149&gt;0,IF(INDEX($EM$6:$EM$77,$FT149)&gt;=GA$3,ROUND(INDEX(EO$6:EO$77,$FT149)*INDEX(卡牌消耗!$B$8:$F$8,FV149)/5,0)*5,""),"")</f>
        <v>6345</v>
      </c>
      <c r="GB149" s="101" t="str">
        <f t="shared" si="209"/>
        <v>专属强化石3</v>
      </c>
      <c r="GC149" s="101">
        <f t="shared" si="210"/>
        <v>9</v>
      </c>
      <c r="GD149" s="101" t="str">
        <f t="shared" si="211"/>
        <v>专属强化石4</v>
      </c>
      <c r="GE149" s="101">
        <f t="shared" si="212"/>
        <v>3</v>
      </c>
      <c r="GF149" s="101">
        <f t="shared" si="194"/>
        <v>0.1</v>
      </c>
      <c r="GG149" s="101">
        <f t="shared" si="195"/>
        <v>1</v>
      </c>
      <c r="GH149" s="101">
        <f t="shared" si="196"/>
        <v>15</v>
      </c>
      <c r="GI149" s="101">
        <f t="shared" si="197"/>
        <v>0</v>
      </c>
      <c r="GJ149" s="101">
        <f t="shared" si="198"/>
        <v>1</v>
      </c>
      <c r="GK149" s="101">
        <f t="shared" si="199"/>
        <v>4</v>
      </c>
      <c r="GL149" s="101">
        <f t="shared" si="200"/>
        <v>4.9700000000000001E-2</v>
      </c>
      <c r="GM149" s="101">
        <f t="shared" si="201"/>
        <v>1</v>
      </c>
      <c r="GN149" s="101">
        <f t="shared" si="202"/>
        <v>7</v>
      </c>
      <c r="GO149" s="101">
        <f t="shared" si="203"/>
        <v>0.19889999999999999</v>
      </c>
      <c r="GP149" s="101">
        <f t="shared" si="204"/>
        <v>1</v>
      </c>
      <c r="GQ149" s="101">
        <f t="shared" si="205"/>
        <v>15</v>
      </c>
    </row>
    <row r="150" spans="175:199" ht="16.5" x14ac:dyDescent="0.2">
      <c r="FS150" s="101">
        <v>145</v>
      </c>
      <c r="FT150" s="101">
        <f t="shared" ref="FT150:FT213" si="213">IF(FY150&gt;0,(FX150-1)*9+FY150,0)</f>
        <v>58</v>
      </c>
      <c r="FU150" s="101">
        <f t="shared" si="206"/>
        <v>2</v>
      </c>
      <c r="FV150" s="14">
        <f t="shared" si="207"/>
        <v>3</v>
      </c>
      <c r="FW150" s="101" t="str">
        <f t="shared" ref="FW150:FW213" si="214">INDEX($FN$6:$FN$26,FU150)&amp;"专属武器-魂珠-"&amp;FX150&amp;" "&amp;FY150&amp;"级"</f>
        <v>许褚专属武器-魂珠-7 4级</v>
      </c>
      <c r="FX150" s="101">
        <f t="shared" ref="FX150:FX213" si="215">INT((FS150-(FU150-1)*80-1)/10)+1</f>
        <v>7</v>
      </c>
      <c r="FY150" s="101">
        <f t="shared" ref="FY150:FY213" si="216">FS150-(FU150-1)*80-(FX150-1)*10-1</f>
        <v>4</v>
      </c>
      <c r="FZ150" s="101" t="str">
        <f t="shared" si="208"/>
        <v>金币</v>
      </c>
      <c r="GA150" s="139">
        <f>IF($FY150&gt;0,IF(INDEX($EM$6:$EM$77,$FT150)&gt;=GA$3,ROUND(INDEX(EO$6:EO$77,$FT150)*INDEX(卡牌消耗!$B$8:$F$8,FV150)/5,0)*5,""),"")</f>
        <v>8125</v>
      </c>
      <c r="GB150" s="101" t="str">
        <f t="shared" si="209"/>
        <v>专属强化石3</v>
      </c>
      <c r="GC150" s="101">
        <f t="shared" si="210"/>
        <v>12</v>
      </c>
      <c r="GD150" s="101" t="str">
        <f t="shared" si="211"/>
        <v>专属强化石4</v>
      </c>
      <c r="GE150" s="101">
        <f t="shared" si="212"/>
        <v>4</v>
      </c>
      <c r="GF150" s="101">
        <f t="shared" ref="GF150:GF213" si="217">IF($FY150&gt;0,INDEX(ET$6:ET$77,$FT150),"")</f>
        <v>0.08</v>
      </c>
      <c r="GG150" s="101">
        <f t="shared" ref="GG150:GG213" si="218">IF($FY150&gt;0,INDEX(EU$6:EU$77,$FT150),"")</f>
        <v>1</v>
      </c>
      <c r="GH150" s="101">
        <f t="shared" ref="GH150:GH213" si="219">IF($FY150&gt;0,INDEX(EV$6:EV$77,$FT150),"")</f>
        <v>19</v>
      </c>
      <c r="GI150" s="101">
        <f t="shared" ref="GI150:GI213" si="220">IF($FY150&gt;0,INDEX(FA$6:FA$77,$FT150),"")</f>
        <v>0</v>
      </c>
      <c r="GJ150" s="101">
        <f t="shared" ref="GJ150:GJ213" si="221">IF($FY150&gt;0,INDEX(FB$6:FB$77,$FT150),"")</f>
        <v>1</v>
      </c>
      <c r="GK150" s="101">
        <f t="shared" ref="GK150:GK213" si="222">IF($FY150&gt;0,INDEX(FC$6:FC$77,$FT150),"")</f>
        <v>4</v>
      </c>
      <c r="GL150" s="101">
        <f t="shared" ref="GL150:GL213" si="223">IF($FY150&gt;0,INDEX(FD$6:FD$77,$FT150),"")</f>
        <v>3.9800000000000002E-2</v>
      </c>
      <c r="GM150" s="101">
        <f t="shared" ref="GM150:GM213" si="224">IF($FY150&gt;0,INDEX(FE$6:FE$77,$FT150),"")</f>
        <v>1</v>
      </c>
      <c r="GN150" s="101">
        <f t="shared" ref="GN150:GN213" si="225">IF($FY150&gt;0,INDEX(FF$6:FF$77,$FT150),"")</f>
        <v>9</v>
      </c>
      <c r="GO150" s="101">
        <f t="shared" ref="GO150:GO213" si="226">IF($FY150&gt;0,INDEX(FG$6:FG$77,$FT150),"")</f>
        <v>0.15909999999999999</v>
      </c>
      <c r="GP150" s="101">
        <f t="shared" ref="GP150:GP213" si="227">IF($FY150&gt;0,INDEX(FH$6:FH$77,$FT150),"")</f>
        <v>1</v>
      </c>
      <c r="GQ150" s="101">
        <f t="shared" ref="GQ150:GQ213" si="228">IF($FY150&gt;0,INDEX(FI$6:FI$77,$FT150),"")</f>
        <v>19</v>
      </c>
    </row>
    <row r="151" spans="175:199" ht="16.5" x14ac:dyDescent="0.2">
      <c r="FS151" s="101">
        <v>146</v>
      </c>
      <c r="FT151" s="101">
        <f t="shared" si="213"/>
        <v>59</v>
      </c>
      <c r="FU151" s="101">
        <f t="shared" si="206"/>
        <v>2</v>
      </c>
      <c r="FV151" s="14">
        <f t="shared" si="207"/>
        <v>3</v>
      </c>
      <c r="FW151" s="101" t="str">
        <f t="shared" si="214"/>
        <v>许褚专属武器-魂珠-7 5级</v>
      </c>
      <c r="FX151" s="101">
        <f t="shared" si="215"/>
        <v>7</v>
      </c>
      <c r="FY151" s="101">
        <f t="shared" si="216"/>
        <v>5</v>
      </c>
      <c r="FZ151" s="101" t="str">
        <f t="shared" si="208"/>
        <v>金币</v>
      </c>
      <c r="GA151" s="139">
        <f>IF($FY151&gt;0,IF(INDEX($EM$6:$EM$77,$FT151)&gt;=GA$3,ROUND(INDEX(EO$6:EO$77,$FT151)*INDEX(卡牌消耗!$B$8:$F$8,FV151)/5,0)*5,""),"")</f>
        <v>8250</v>
      </c>
      <c r="GB151" s="101" t="str">
        <f t="shared" si="209"/>
        <v>专属强化石3</v>
      </c>
      <c r="GC151" s="101">
        <f t="shared" si="210"/>
        <v>12</v>
      </c>
      <c r="GD151" s="101" t="str">
        <f t="shared" si="211"/>
        <v>专属强化石4</v>
      </c>
      <c r="GE151" s="101">
        <f t="shared" si="212"/>
        <v>4</v>
      </c>
      <c r="GF151" s="101">
        <f t="shared" si="217"/>
        <v>0.05</v>
      </c>
      <c r="GG151" s="101">
        <f t="shared" si="218"/>
        <v>1</v>
      </c>
      <c r="GH151" s="101">
        <f t="shared" si="219"/>
        <v>30</v>
      </c>
      <c r="GI151" s="101">
        <f t="shared" si="220"/>
        <v>0</v>
      </c>
      <c r="GJ151" s="101">
        <f t="shared" si="221"/>
        <v>1</v>
      </c>
      <c r="GK151" s="101">
        <f t="shared" si="222"/>
        <v>7</v>
      </c>
      <c r="GL151" s="101">
        <f t="shared" si="223"/>
        <v>2.4899999999999999E-2</v>
      </c>
      <c r="GM151" s="101">
        <f t="shared" si="224"/>
        <v>1</v>
      </c>
      <c r="GN151" s="101">
        <f t="shared" si="225"/>
        <v>14</v>
      </c>
      <c r="GO151" s="101">
        <f t="shared" si="226"/>
        <v>9.9400000000000002E-2</v>
      </c>
      <c r="GP151" s="101">
        <f t="shared" si="227"/>
        <v>1</v>
      </c>
      <c r="GQ151" s="101">
        <f t="shared" si="228"/>
        <v>30</v>
      </c>
    </row>
    <row r="152" spans="175:199" ht="16.5" x14ac:dyDescent="0.2">
      <c r="FS152" s="101">
        <v>147</v>
      </c>
      <c r="FT152" s="101">
        <f t="shared" si="213"/>
        <v>60</v>
      </c>
      <c r="FU152" s="101">
        <f t="shared" si="206"/>
        <v>2</v>
      </c>
      <c r="FV152" s="14">
        <f t="shared" si="207"/>
        <v>3</v>
      </c>
      <c r="FW152" s="101" t="str">
        <f t="shared" si="214"/>
        <v>许褚专属武器-魂珠-7 6级</v>
      </c>
      <c r="FX152" s="101">
        <f t="shared" si="215"/>
        <v>7</v>
      </c>
      <c r="FY152" s="101">
        <f t="shared" si="216"/>
        <v>6</v>
      </c>
      <c r="FZ152" s="101" t="str">
        <f t="shared" si="208"/>
        <v>金币</v>
      </c>
      <c r="GA152" s="139">
        <f>IF($FY152&gt;0,IF(INDEX($EM$6:$EM$77,$FT152)&gt;=GA$3,ROUND(INDEX(EO$6:EO$77,$FT152)*INDEX(卡牌消耗!$B$8:$F$8,FV152)/5,0)*5,""),"")</f>
        <v>10250</v>
      </c>
      <c r="GB152" s="101" t="str">
        <f t="shared" si="209"/>
        <v>专属强化石3</v>
      </c>
      <c r="GC152" s="101">
        <f t="shared" si="210"/>
        <v>15</v>
      </c>
      <c r="GD152" s="101" t="str">
        <f t="shared" si="211"/>
        <v>专属强化石4</v>
      </c>
      <c r="GE152" s="101">
        <f t="shared" si="212"/>
        <v>5</v>
      </c>
      <c r="GF152" s="101">
        <f t="shared" si="217"/>
        <v>0.04</v>
      </c>
      <c r="GG152" s="101">
        <f t="shared" si="218"/>
        <v>1</v>
      </c>
      <c r="GH152" s="101">
        <f t="shared" si="219"/>
        <v>39</v>
      </c>
      <c r="GI152" s="101">
        <f t="shared" si="220"/>
        <v>0</v>
      </c>
      <c r="GJ152" s="101">
        <f t="shared" si="221"/>
        <v>1</v>
      </c>
      <c r="GK152" s="101">
        <f t="shared" si="222"/>
        <v>9</v>
      </c>
      <c r="GL152" s="101">
        <f t="shared" si="223"/>
        <v>1.9099999999999999E-2</v>
      </c>
      <c r="GM152" s="101">
        <f t="shared" si="224"/>
        <v>1</v>
      </c>
      <c r="GN152" s="101">
        <f t="shared" si="225"/>
        <v>18</v>
      </c>
      <c r="GO152" s="101">
        <f t="shared" si="226"/>
        <v>7.6499999999999999E-2</v>
      </c>
      <c r="GP152" s="101">
        <f t="shared" si="227"/>
        <v>1</v>
      </c>
      <c r="GQ152" s="101">
        <f t="shared" si="228"/>
        <v>39</v>
      </c>
    </row>
    <row r="153" spans="175:199" ht="16.5" x14ac:dyDescent="0.2">
      <c r="FS153" s="101">
        <v>148</v>
      </c>
      <c r="FT153" s="101">
        <f t="shared" si="213"/>
        <v>61</v>
      </c>
      <c r="FU153" s="101">
        <f t="shared" si="206"/>
        <v>2</v>
      </c>
      <c r="FV153" s="14">
        <f t="shared" si="207"/>
        <v>3</v>
      </c>
      <c r="FW153" s="101" t="str">
        <f t="shared" si="214"/>
        <v>许褚专属武器-魂珠-7 7级</v>
      </c>
      <c r="FX153" s="101">
        <f t="shared" si="215"/>
        <v>7</v>
      </c>
      <c r="FY153" s="101">
        <f t="shared" si="216"/>
        <v>7</v>
      </c>
      <c r="FZ153" s="101" t="str">
        <f t="shared" si="208"/>
        <v>金币</v>
      </c>
      <c r="GA153" s="139">
        <f>IF($FY153&gt;0,IF(INDEX($EM$6:$EM$77,$FT153)&gt;=GA$3,ROUND(INDEX(EO$6:EO$77,$FT153)*INDEX(卡牌消耗!$B$8:$F$8,FV153)/5,0)*5,""),"")</f>
        <v>14385</v>
      </c>
      <c r="GB153" s="101" t="str">
        <f t="shared" si="209"/>
        <v>专属强化石3</v>
      </c>
      <c r="GC153" s="101">
        <f t="shared" si="210"/>
        <v>21</v>
      </c>
      <c r="GD153" s="101" t="str">
        <f t="shared" si="211"/>
        <v>专属强化石4</v>
      </c>
      <c r="GE153" s="101">
        <f t="shared" si="212"/>
        <v>7</v>
      </c>
      <c r="GF153" s="101">
        <f t="shared" si="217"/>
        <v>0.03</v>
      </c>
      <c r="GG153" s="101">
        <f t="shared" si="218"/>
        <v>1</v>
      </c>
      <c r="GH153" s="101">
        <f t="shared" si="219"/>
        <v>45</v>
      </c>
      <c r="GI153" s="101">
        <f t="shared" si="220"/>
        <v>0</v>
      </c>
      <c r="GJ153" s="101">
        <f t="shared" si="221"/>
        <v>1</v>
      </c>
      <c r="GK153" s="101">
        <f t="shared" si="222"/>
        <v>11</v>
      </c>
      <c r="GL153" s="101">
        <f t="shared" si="223"/>
        <v>1.66E-2</v>
      </c>
      <c r="GM153" s="101">
        <f t="shared" si="224"/>
        <v>1</v>
      </c>
      <c r="GN153" s="101">
        <f t="shared" si="225"/>
        <v>21</v>
      </c>
      <c r="GO153" s="101">
        <f t="shared" si="226"/>
        <v>6.6299999999999998E-2</v>
      </c>
      <c r="GP153" s="101">
        <f t="shared" si="227"/>
        <v>1</v>
      </c>
      <c r="GQ153" s="101">
        <f t="shared" si="228"/>
        <v>45</v>
      </c>
    </row>
    <row r="154" spans="175:199" ht="16.5" x14ac:dyDescent="0.2">
      <c r="FS154" s="101">
        <v>149</v>
      </c>
      <c r="FT154" s="101">
        <f t="shared" si="213"/>
        <v>62</v>
      </c>
      <c r="FU154" s="101">
        <f t="shared" si="206"/>
        <v>2</v>
      </c>
      <c r="FV154" s="14">
        <f t="shared" si="207"/>
        <v>3</v>
      </c>
      <c r="FW154" s="101" t="str">
        <f t="shared" si="214"/>
        <v>许褚专属武器-魂珠-7 8级</v>
      </c>
      <c r="FX154" s="101">
        <f t="shared" si="215"/>
        <v>7</v>
      </c>
      <c r="FY154" s="101">
        <f t="shared" si="216"/>
        <v>8</v>
      </c>
      <c r="FZ154" s="101" t="str">
        <f t="shared" si="208"/>
        <v>金币</v>
      </c>
      <c r="GA154" s="139">
        <f>IF($FY154&gt;0,IF(INDEX($EM$6:$EM$77,$FT154)&gt;=GA$3,ROUND(INDEX(EO$6:EO$77,$FT154)*INDEX(卡牌消耗!$B$8:$F$8,FV154)/5,0)*5,""),"")</f>
        <v>16425</v>
      </c>
      <c r="GB154" s="101" t="str">
        <f t="shared" si="209"/>
        <v>专属强化石3</v>
      </c>
      <c r="GC154" s="101">
        <f t="shared" si="210"/>
        <v>24</v>
      </c>
      <c r="GD154" s="101" t="str">
        <f t="shared" si="211"/>
        <v>专属强化石4</v>
      </c>
      <c r="GE154" s="101">
        <f t="shared" si="212"/>
        <v>8</v>
      </c>
      <c r="GF154" s="101">
        <f t="shared" si="217"/>
        <v>0.02</v>
      </c>
      <c r="GG154" s="101">
        <f t="shared" si="218"/>
        <v>1</v>
      </c>
      <c r="GH154" s="101">
        <f t="shared" si="219"/>
        <v>64</v>
      </c>
      <c r="GI154" s="101">
        <f t="shared" si="220"/>
        <v>0</v>
      </c>
      <c r="GJ154" s="101">
        <f t="shared" si="221"/>
        <v>1</v>
      </c>
      <c r="GK154" s="101">
        <f t="shared" si="222"/>
        <v>15</v>
      </c>
      <c r="GL154" s="101">
        <f t="shared" si="223"/>
        <v>1.17E-2</v>
      </c>
      <c r="GM154" s="101">
        <f t="shared" si="224"/>
        <v>1</v>
      </c>
      <c r="GN154" s="101">
        <f t="shared" si="225"/>
        <v>30</v>
      </c>
      <c r="GO154" s="101">
        <f t="shared" si="226"/>
        <v>4.6800000000000001E-2</v>
      </c>
      <c r="GP154" s="101">
        <f t="shared" si="227"/>
        <v>1</v>
      </c>
      <c r="GQ154" s="101">
        <f t="shared" si="228"/>
        <v>64</v>
      </c>
    </row>
    <row r="155" spans="175:199" ht="16.5" x14ac:dyDescent="0.2">
      <c r="FS155" s="101">
        <v>150</v>
      </c>
      <c r="FT155" s="101">
        <f t="shared" si="213"/>
        <v>63</v>
      </c>
      <c r="FU155" s="101">
        <f t="shared" si="206"/>
        <v>2</v>
      </c>
      <c r="FV155" s="14">
        <f t="shared" si="207"/>
        <v>3</v>
      </c>
      <c r="FW155" s="101" t="str">
        <f t="shared" si="214"/>
        <v>许褚专属武器-魂珠-7 9级</v>
      </c>
      <c r="FX155" s="101">
        <f t="shared" si="215"/>
        <v>7</v>
      </c>
      <c r="FY155" s="101">
        <f t="shared" si="216"/>
        <v>9</v>
      </c>
      <c r="FZ155" s="101" t="str">
        <f t="shared" si="208"/>
        <v>金币</v>
      </c>
      <c r="GA155" s="139">
        <f>IF($FY155&gt;0,IF(INDEX($EM$6:$EM$77,$FT155)&gt;=GA$3,ROUND(INDEX(EO$6:EO$77,$FT155)*INDEX(卡牌消耗!$B$8:$F$8,FV155)/5,0)*5,""),"")</f>
        <v>20540</v>
      </c>
      <c r="GB155" s="101" t="str">
        <f t="shared" si="209"/>
        <v>专属强化石3</v>
      </c>
      <c r="GC155" s="101">
        <f t="shared" si="210"/>
        <v>30</v>
      </c>
      <c r="GD155" s="101" t="str">
        <f t="shared" si="211"/>
        <v>专属强化石4</v>
      </c>
      <c r="GE155" s="101">
        <f t="shared" si="212"/>
        <v>10</v>
      </c>
      <c r="GF155" s="101">
        <f t="shared" si="217"/>
        <v>0.02</v>
      </c>
      <c r="GG155" s="101">
        <f t="shared" si="218"/>
        <v>1</v>
      </c>
      <c r="GH155" s="101">
        <f t="shared" si="219"/>
        <v>83</v>
      </c>
      <c r="GI155" s="101">
        <f t="shared" si="220"/>
        <v>0</v>
      </c>
      <c r="GJ155" s="101">
        <f t="shared" si="221"/>
        <v>1</v>
      </c>
      <c r="GK155" s="101">
        <f t="shared" si="222"/>
        <v>19</v>
      </c>
      <c r="GL155" s="101">
        <f t="shared" si="223"/>
        <v>8.9999999999999993E-3</v>
      </c>
      <c r="GM155" s="101">
        <f t="shared" si="224"/>
        <v>1</v>
      </c>
      <c r="GN155" s="101">
        <f t="shared" si="225"/>
        <v>39</v>
      </c>
      <c r="GO155" s="101">
        <f t="shared" si="226"/>
        <v>3.6200000000000003E-2</v>
      </c>
      <c r="GP155" s="101">
        <f t="shared" si="227"/>
        <v>1</v>
      </c>
      <c r="GQ155" s="101">
        <f t="shared" si="228"/>
        <v>83</v>
      </c>
    </row>
    <row r="156" spans="175:199" ht="16.5" x14ac:dyDescent="0.2">
      <c r="FS156" s="101">
        <v>151</v>
      </c>
      <c r="FT156" s="101">
        <f t="shared" si="213"/>
        <v>0</v>
      </c>
      <c r="FU156" s="101">
        <f t="shared" si="206"/>
        <v>2</v>
      </c>
      <c r="FV156" s="14">
        <f t="shared" si="207"/>
        <v>3</v>
      </c>
      <c r="FW156" s="101" t="str">
        <f t="shared" si="214"/>
        <v>许褚专属武器-魂珠-8 0级</v>
      </c>
      <c r="FX156" s="101">
        <f t="shared" si="215"/>
        <v>8</v>
      </c>
      <c r="FY156" s="101">
        <f t="shared" si="216"/>
        <v>0</v>
      </c>
      <c r="FZ156" s="101" t="str">
        <f t="shared" si="208"/>
        <v/>
      </c>
      <c r="GA156" s="139" t="str">
        <f>IF($FY156&gt;0,IF(INDEX($EM$6:$EM$77,$FT156)&gt;=GA$3,ROUND(INDEX(EO$6:EO$77,$FT156)*INDEX(卡牌消耗!$B$8:$F$8,FV156)/5,0)*5,""),"")</f>
        <v/>
      </c>
      <c r="GB156" s="101" t="str">
        <f t="shared" si="209"/>
        <v/>
      </c>
      <c r="GC156" s="101" t="str">
        <f t="shared" si="210"/>
        <v/>
      </c>
      <c r="GD156" s="101" t="str">
        <f t="shared" si="211"/>
        <v/>
      </c>
      <c r="GE156" s="101" t="str">
        <f t="shared" si="212"/>
        <v/>
      </c>
      <c r="GF156" s="101" t="str">
        <f t="shared" si="217"/>
        <v/>
      </c>
      <c r="GG156" s="101" t="str">
        <f t="shared" si="218"/>
        <v/>
      </c>
      <c r="GH156" s="101" t="str">
        <f t="shared" si="219"/>
        <v/>
      </c>
      <c r="GI156" s="101" t="str">
        <f t="shared" si="220"/>
        <v/>
      </c>
      <c r="GJ156" s="101" t="str">
        <f t="shared" si="221"/>
        <v/>
      </c>
      <c r="GK156" s="101" t="str">
        <f t="shared" si="222"/>
        <v/>
      </c>
      <c r="GL156" s="101" t="str">
        <f t="shared" si="223"/>
        <v/>
      </c>
      <c r="GM156" s="101" t="str">
        <f t="shared" si="224"/>
        <v/>
      </c>
      <c r="GN156" s="101" t="str">
        <f t="shared" si="225"/>
        <v/>
      </c>
      <c r="GO156" s="101" t="str">
        <f t="shared" si="226"/>
        <v/>
      </c>
      <c r="GP156" s="101" t="str">
        <f t="shared" si="227"/>
        <v/>
      </c>
      <c r="GQ156" s="101" t="str">
        <f t="shared" si="228"/>
        <v/>
      </c>
    </row>
    <row r="157" spans="175:199" ht="16.5" x14ac:dyDescent="0.2">
      <c r="FS157" s="101">
        <v>152</v>
      </c>
      <c r="FT157" s="101">
        <f t="shared" si="213"/>
        <v>64</v>
      </c>
      <c r="FU157" s="101">
        <f t="shared" si="206"/>
        <v>2</v>
      </c>
      <c r="FV157" s="14">
        <f t="shared" si="207"/>
        <v>3</v>
      </c>
      <c r="FW157" s="101" t="str">
        <f t="shared" si="214"/>
        <v>许褚专属武器-魂珠-8 1级</v>
      </c>
      <c r="FX157" s="101">
        <f t="shared" si="215"/>
        <v>8</v>
      </c>
      <c r="FY157" s="101">
        <f t="shared" si="216"/>
        <v>1</v>
      </c>
      <c r="FZ157" s="101" t="str">
        <f t="shared" si="208"/>
        <v>金币</v>
      </c>
      <c r="GA157" s="139">
        <f>IF($FY157&gt;0,IF(INDEX($EM$6:$EM$77,$FT157)&gt;=GA$3,ROUND(INDEX(EO$6:EO$77,$FT157)*INDEX(卡牌消耗!$B$8:$F$8,FV157)/5,0)*5,""),"")</f>
        <v>4325</v>
      </c>
      <c r="GB157" s="101" t="str">
        <f t="shared" si="209"/>
        <v>专属强化石4</v>
      </c>
      <c r="GC157" s="101">
        <f t="shared" si="210"/>
        <v>5</v>
      </c>
      <c r="GD157" s="101" t="str">
        <f t="shared" si="211"/>
        <v/>
      </c>
      <c r="GE157" s="101" t="str">
        <f t="shared" si="212"/>
        <v/>
      </c>
      <c r="GF157" s="101">
        <f t="shared" si="217"/>
        <v>0.11</v>
      </c>
      <c r="GG157" s="101">
        <f t="shared" si="218"/>
        <v>1</v>
      </c>
      <c r="GH157" s="101">
        <f t="shared" si="219"/>
        <v>13</v>
      </c>
      <c r="GI157" s="101">
        <f t="shared" si="220"/>
        <v>0</v>
      </c>
      <c r="GJ157" s="101">
        <f t="shared" si="221"/>
        <v>1</v>
      </c>
      <c r="GK157" s="101">
        <f t="shared" si="222"/>
        <v>3</v>
      </c>
      <c r="GL157" s="101">
        <f t="shared" si="223"/>
        <v>5.6500000000000002E-2</v>
      </c>
      <c r="GM157" s="101">
        <f t="shared" si="224"/>
        <v>1</v>
      </c>
      <c r="GN157" s="101">
        <f t="shared" si="225"/>
        <v>6</v>
      </c>
      <c r="GO157" s="101">
        <f t="shared" si="226"/>
        <v>0.22600000000000001</v>
      </c>
      <c r="GP157" s="101">
        <f t="shared" si="227"/>
        <v>1</v>
      </c>
      <c r="GQ157" s="101">
        <f t="shared" si="228"/>
        <v>13</v>
      </c>
    </row>
    <row r="158" spans="175:199" ht="16.5" x14ac:dyDescent="0.2">
      <c r="FS158" s="101">
        <v>153</v>
      </c>
      <c r="FT158" s="101">
        <f t="shared" si="213"/>
        <v>65</v>
      </c>
      <c r="FU158" s="101">
        <f t="shared" si="206"/>
        <v>2</v>
      </c>
      <c r="FV158" s="14">
        <f t="shared" si="207"/>
        <v>3</v>
      </c>
      <c r="FW158" s="101" t="str">
        <f t="shared" si="214"/>
        <v>许褚专属武器-魂珠-8 2级</v>
      </c>
      <c r="FX158" s="101">
        <f t="shared" si="215"/>
        <v>8</v>
      </c>
      <c r="FY158" s="101">
        <f t="shared" si="216"/>
        <v>2</v>
      </c>
      <c r="FZ158" s="101" t="str">
        <f t="shared" si="208"/>
        <v>金币</v>
      </c>
      <c r="GA158" s="139">
        <f>IF($FY158&gt;0,IF(INDEX($EM$6:$EM$77,$FT158)&gt;=GA$3,ROUND(INDEX(EO$6:EO$77,$FT158)*INDEX(卡牌消耗!$B$8:$F$8,FV158)/5,0)*5,""),"")</f>
        <v>5190</v>
      </c>
      <c r="GB158" s="101" t="str">
        <f t="shared" si="209"/>
        <v>专属强化石4</v>
      </c>
      <c r="GC158" s="101">
        <f t="shared" si="210"/>
        <v>8</v>
      </c>
      <c r="GD158" s="101" t="str">
        <f t="shared" si="211"/>
        <v/>
      </c>
      <c r="GE158" s="101" t="str">
        <f t="shared" si="212"/>
        <v/>
      </c>
      <c r="GF158" s="101">
        <f t="shared" si="217"/>
        <v>0.09</v>
      </c>
      <c r="GG158" s="101">
        <f t="shared" si="218"/>
        <v>1</v>
      </c>
      <c r="GH158" s="101">
        <f t="shared" si="219"/>
        <v>17</v>
      </c>
      <c r="GI158" s="101">
        <f t="shared" si="220"/>
        <v>0</v>
      </c>
      <c r="GJ158" s="101">
        <f t="shared" si="221"/>
        <v>1</v>
      </c>
      <c r="GK158" s="101">
        <f t="shared" si="222"/>
        <v>4</v>
      </c>
      <c r="GL158" s="101">
        <f t="shared" si="223"/>
        <v>4.5199999999999997E-2</v>
      </c>
      <c r="GM158" s="101">
        <f t="shared" si="224"/>
        <v>1</v>
      </c>
      <c r="GN158" s="101">
        <f t="shared" si="225"/>
        <v>8</v>
      </c>
      <c r="GO158" s="101">
        <f t="shared" si="226"/>
        <v>0.18079999999999999</v>
      </c>
      <c r="GP158" s="101">
        <f t="shared" si="227"/>
        <v>1</v>
      </c>
      <c r="GQ158" s="101">
        <f t="shared" si="228"/>
        <v>17</v>
      </c>
    </row>
    <row r="159" spans="175:199" ht="16.5" x14ac:dyDescent="0.2">
      <c r="FS159" s="101">
        <v>154</v>
      </c>
      <c r="FT159" s="101">
        <f t="shared" si="213"/>
        <v>66</v>
      </c>
      <c r="FU159" s="101">
        <f t="shared" si="206"/>
        <v>2</v>
      </c>
      <c r="FV159" s="14">
        <f t="shared" si="207"/>
        <v>3</v>
      </c>
      <c r="FW159" s="101" t="str">
        <f t="shared" si="214"/>
        <v>许褚专属武器-魂珠-8 3级</v>
      </c>
      <c r="FX159" s="101">
        <f t="shared" si="215"/>
        <v>8</v>
      </c>
      <c r="FY159" s="101">
        <f t="shared" si="216"/>
        <v>3</v>
      </c>
      <c r="FZ159" s="101" t="str">
        <f t="shared" si="208"/>
        <v>金币</v>
      </c>
      <c r="GA159" s="139">
        <f>IF($FY159&gt;0,IF(INDEX($EM$6:$EM$77,$FT159)&gt;=GA$3,ROUND(INDEX(EO$6:EO$77,$FT159)*INDEX(卡牌消耗!$B$8:$F$8,FV159)/5,0)*5,""),"")</f>
        <v>7210</v>
      </c>
      <c r="GB159" s="101" t="str">
        <f t="shared" si="209"/>
        <v>专属强化石4</v>
      </c>
      <c r="GC159" s="101">
        <f t="shared" si="210"/>
        <v>10</v>
      </c>
      <c r="GD159" s="101" t="str">
        <f t="shared" si="211"/>
        <v/>
      </c>
      <c r="GE159" s="101" t="str">
        <f t="shared" si="212"/>
        <v/>
      </c>
      <c r="GF159" s="101">
        <f t="shared" si="217"/>
        <v>0.08</v>
      </c>
      <c r="GG159" s="101">
        <f t="shared" si="218"/>
        <v>1</v>
      </c>
      <c r="GH159" s="101">
        <f t="shared" si="219"/>
        <v>20</v>
      </c>
      <c r="GI159" s="101">
        <f t="shared" si="220"/>
        <v>0</v>
      </c>
      <c r="GJ159" s="101">
        <f t="shared" si="221"/>
        <v>1</v>
      </c>
      <c r="GK159" s="101">
        <f t="shared" si="222"/>
        <v>5</v>
      </c>
      <c r="GL159" s="101">
        <f t="shared" si="223"/>
        <v>3.7699999999999997E-2</v>
      </c>
      <c r="GM159" s="101">
        <f t="shared" si="224"/>
        <v>1</v>
      </c>
      <c r="GN159" s="101">
        <f t="shared" si="225"/>
        <v>9</v>
      </c>
      <c r="GO159" s="101">
        <f t="shared" si="226"/>
        <v>0.1507</v>
      </c>
      <c r="GP159" s="101">
        <f t="shared" si="227"/>
        <v>1</v>
      </c>
      <c r="GQ159" s="101">
        <f t="shared" si="228"/>
        <v>20</v>
      </c>
    </row>
    <row r="160" spans="175:199" ht="16.5" x14ac:dyDescent="0.2">
      <c r="FS160" s="101">
        <v>155</v>
      </c>
      <c r="FT160" s="101">
        <f t="shared" si="213"/>
        <v>67</v>
      </c>
      <c r="FU160" s="101">
        <f t="shared" si="206"/>
        <v>2</v>
      </c>
      <c r="FV160" s="14">
        <f t="shared" si="207"/>
        <v>3</v>
      </c>
      <c r="FW160" s="101" t="str">
        <f t="shared" si="214"/>
        <v>许褚专属武器-魂珠-8 4级</v>
      </c>
      <c r="FX160" s="101">
        <f t="shared" si="215"/>
        <v>8</v>
      </c>
      <c r="FY160" s="101">
        <f t="shared" si="216"/>
        <v>4</v>
      </c>
      <c r="FZ160" s="101" t="str">
        <f t="shared" si="208"/>
        <v>金币</v>
      </c>
      <c r="GA160" s="139">
        <f>IF($FY160&gt;0,IF(INDEX($EM$6:$EM$77,$FT160)&gt;=GA$3,ROUND(INDEX(EO$6:EO$77,$FT160)*INDEX(卡牌消耗!$B$8:$F$8,FV160)/5,0)*5,""),"")</f>
        <v>8310</v>
      </c>
      <c r="GB160" s="101" t="str">
        <f t="shared" si="209"/>
        <v>专属强化石4</v>
      </c>
      <c r="GC160" s="101">
        <f t="shared" si="210"/>
        <v>12</v>
      </c>
      <c r="GD160" s="101" t="str">
        <f t="shared" si="211"/>
        <v/>
      </c>
      <c r="GE160" s="101" t="str">
        <f t="shared" si="212"/>
        <v/>
      </c>
      <c r="GF160" s="101">
        <f t="shared" si="217"/>
        <v>0.05</v>
      </c>
      <c r="GG160" s="101">
        <f t="shared" si="218"/>
        <v>1</v>
      </c>
      <c r="GH160" s="101">
        <f t="shared" si="219"/>
        <v>28</v>
      </c>
      <c r="GI160" s="101">
        <f t="shared" si="220"/>
        <v>0</v>
      </c>
      <c r="GJ160" s="101">
        <f t="shared" si="221"/>
        <v>1</v>
      </c>
      <c r="GK160" s="101">
        <f t="shared" si="222"/>
        <v>6</v>
      </c>
      <c r="GL160" s="101">
        <f t="shared" si="223"/>
        <v>2.7099999999999999E-2</v>
      </c>
      <c r="GM160" s="101">
        <f t="shared" si="224"/>
        <v>1</v>
      </c>
      <c r="GN160" s="101">
        <f t="shared" si="225"/>
        <v>13</v>
      </c>
      <c r="GO160" s="101">
        <f t="shared" si="226"/>
        <v>0.1085</v>
      </c>
      <c r="GP160" s="101">
        <f t="shared" si="227"/>
        <v>1</v>
      </c>
      <c r="GQ160" s="101">
        <f t="shared" si="228"/>
        <v>28</v>
      </c>
    </row>
    <row r="161" spans="175:199" ht="16.5" x14ac:dyDescent="0.2">
      <c r="FS161" s="101">
        <v>156</v>
      </c>
      <c r="FT161" s="101">
        <f t="shared" si="213"/>
        <v>68</v>
      </c>
      <c r="FU161" s="101">
        <f t="shared" si="206"/>
        <v>2</v>
      </c>
      <c r="FV161" s="14">
        <f t="shared" si="207"/>
        <v>3</v>
      </c>
      <c r="FW161" s="101" t="str">
        <f t="shared" si="214"/>
        <v>许褚专属武器-魂珠-8 5级</v>
      </c>
      <c r="FX161" s="101">
        <f t="shared" si="215"/>
        <v>8</v>
      </c>
      <c r="FY161" s="101">
        <f t="shared" si="216"/>
        <v>5</v>
      </c>
      <c r="FZ161" s="101" t="str">
        <f t="shared" si="208"/>
        <v>金币</v>
      </c>
      <c r="GA161" s="139">
        <f>IF($FY161&gt;0,IF(INDEX($EM$6:$EM$77,$FT161)&gt;=GA$3,ROUND(INDEX(EO$6:EO$77,$FT161)*INDEX(卡牌消耗!$B$8:$F$8,FV161)/5,0)*5,""),"")</f>
        <v>10545</v>
      </c>
      <c r="GB161" s="101" t="str">
        <f t="shared" si="209"/>
        <v>专属强化石4</v>
      </c>
      <c r="GC161" s="101">
        <f t="shared" si="210"/>
        <v>15</v>
      </c>
      <c r="GD161" s="101" t="str">
        <f t="shared" si="211"/>
        <v/>
      </c>
      <c r="GE161" s="101" t="str">
        <f t="shared" si="212"/>
        <v/>
      </c>
      <c r="GF161" s="101">
        <f t="shared" si="217"/>
        <v>0.04</v>
      </c>
      <c r="GG161" s="101">
        <f t="shared" si="218"/>
        <v>1</v>
      </c>
      <c r="GH161" s="101">
        <f t="shared" si="219"/>
        <v>35</v>
      </c>
      <c r="GI161" s="101">
        <f t="shared" si="220"/>
        <v>0</v>
      </c>
      <c r="GJ161" s="101">
        <f t="shared" si="221"/>
        <v>1</v>
      </c>
      <c r="GK161" s="101">
        <f t="shared" si="222"/>
        <v>8</v>
      </c>
      <c r="GL161" s="101">
        <f t="shared" si="223"/>
        <v>2.12E-2</v>
      </c>
      <c r="GM161" s="101">
        <f t="shared" si="224"/>
        <v>1</v>
      </c>
      <c r="GN161" s="101">
        <f t="shared" si="225"/>
        <v>17</v>
      </c>
      <c r="GO161" s="101">
        <f t="shared" si="226"/>
        <v>8.4699999999999998E-2</v>
      </c>
      <c r="GP161" s="101">
        <f t="shared" si="227"/>
        <v>1</v>
      </c>
      <c r="GQ161" s="101">
        <f t="shared" si="228"/>
        <v>35</v>
      </c>
    </row>
    <row r="162" spans="175:199" ht="16.5" x14ac:dyDescent="0.2">
      <c r="FS162" s="101">
        <v>157</v>
      </c>
      <c r="FT162" s="101">
        <f t="shared" si="213"/>
        <v>69</v>
      </c>
      <c r="FU162" s="101">
        <f t="shared" si="206"/>
        <v>2</v>
      </c>
      <c r="FV162" s="14">
        <f t="shared" si="207"/>
        <v>3</v>
      </c>
      <c r="FW162" s="101" t="str">
        <f t="shared" si="214"/>
        <v>许褚专属武器-魂珠-8 6级</v>
      </c>
      <c r="FX162" s="101">
        <f t="shared" si="215"/>
        <v>8</v>
      </c>
      <c r="FY162" s="101">
        <f t="shared" si="216"/>
        <v>6</v>
      </c>
      <c r="FZ162" s="101" t="str">
        <f t="shared" si="208"/>
        <v>金币</v>
      </c>
      <c r="GA162" s="139">
        <f>IF($FY162&gt;0,IF(INDEX($EM$6:$EM$77,$FT162)&gt;=GA$3,ROUND(INDEX(EO$6:EO$77,$FT162)*INDEX(卡牌消耗!$B$8:$F$8,FV162)/5,0)*5,""),"")</f>
        <v>12580</v>
      </c>
      <c r="GB162" s="101" t="str">
        <f t="shared" si="209"/>
        <v>专属强化石4</v>
      </c>
      <c r="GC162" s="101">
        <f t="shared" si="210"/>
        <v>18</v>
      </c>
      <c r="GD162" s="101" t="str">
        <f t="shared" si="211"/>
        <v/>
      </c>
      <c r="GE162" s="101" t="str">
        <f t="shared" si="212"/>
        <v/>
      </c>
      <c r="GF162" s="101">
        <f t="shared" si="217"/>
        <v>0.03</v>
      </c>
      <c r="GG162" s="101">
        <f t="shared" si="218"/>
        <v>1</v>
      </c>
      <c r="GH162" s="101">
        <f t="shared" si="219"/>
        <v>48</v>
      </c>
      <c r="GI162" s="101">
        <f t="shared" si="220"/>
        <v>0</v>
      </c>
      <c r="GJ162" s="101">
        <f t="shared" si="221"/>
        <v>1</v>
      </c>
      <c r="GK162" s="101">
        <f t="shared" si="222"/>
        <v>11</v>
      </c>
      <c r="GL162" s="101">
        <f t="shared" si="223"/>
        <v>1.5599999999999999E-2</v>
      </c>
      <c r="GM162" s="101">
        <f t="shared" si="224"/>
        <v>1</v>
      </c>
      <c r="GN162" s="101">
        <f t="shared" si="225"/>
        <v>22</v>
      </c>
      <c r="GO162" s="101">
        <f t="shared" si="226"/>
        <v>6.2600000000000003E-2</v>
      </c>
      <c r="GP162" s="101">
        <f t="shared" si="227"/>
        <v>1</v>
      </c>
      <c r="GQ162" s="101">
        <f t="shared" si="228"/>
        <v>48</v>
      </c>
    </row>
    <row r="163" spans="175:199" ht="16.5" x14ac:dyDescent="0.2">
      <c r="FS163" s="101">
        <v>158</v>
      </c>
      <c r="FT163" s="101">
        <f t="shared" si="213"/>
        <v>70</v>
      </c>
      <c r="FU163" s="101">
        <f t="shared" si="206"/>
        <v>2</v>
      </c>
      <c r="FV163" s="14">
        <f t="shared" si="207"/>
        <v>3</v>
      </c>
      <c r="FW163" s="101" t="str">
        <f t="shared" si="214"/>
        <v>许褚专属武器-魂珠-8 7级</v>
      </c>
      <c r="FX163" s="101">
        <f t="shared" si="215"/>
        <v>8</v>
      </c>
      <c r="FY163" s="101">
        <f t="shared" si="216"/>
        <v>7</v>
      </c>
      <c r="FZ163" s="101" t="str">
        <f t="shared" si="208"/>
        <v>金币</v>
      </c>
      <c r="GA163" s="139">
        <f>IF($FY163&gt;0,IF(INDEX($EM$6:$EM$77,$FT163)&gt;=GA$3,ROUND(INDEX(EO$6:EO$77,$FT163)*INDEX(卡牌消耗!$B$8:$F$8,FV163)/5,0)*5,""),"")</f>
        <v>17515</v>
      </c>
      <c r="GB163" s="101" t="str">
        <f t="shared" si="209"/>
        <v>专属强化石4</v>
      </c>
      <c r="GC163" s="101">
        <f t="shared" si="210"/>
        <v>25</v>
      </c>
      <c r="GD163" s="101" t="str">
        <f t="shared" si="211"/>
        <v/>
      </c>
      <c r="GE163" s="101" t="str">
        <f t="shared" si="212"/>
        <v/>
      </c>
      <c r="GF163" s="101">
        <f t="shared" si="217"/>
        <v>0.03</v>
      </c>
      <c r="GG163" s="101">
        <f t="shared" si="218"/>
        <v>1</v>
      </c>
      <c r="GH163" s="101">
        <f t="shared" si="219"/>
        <v>56</v>
      </c>
      <c r="GI163" s="101">
        <f t="shared" si="220"/>
        <v>0</v>
      </c>
      <c r="GJ163" s="101">
        <f t="shared" si="221"/>
        <v>1</v>
      </c>
      <c r="GK163" s="101">
        <f t="shared" si="222"/>
        <v>13</v>
      </c>
      <c r="GL163" s="101">
        <f t="shared" si="223"/>
        <v>1.35E-2</v>
      </c>
      <c r="GM163" s="101">
        <f t="shared" si="224"/>
        <v>1</v>
      </c>
      <c r="GN163" s="101">
        <f t="shared" si="225"/>
        <v>26</v>
      </c>
      <c r="GO163" s="101">
        <f t="shared" si="226"/>
        <v>5.3800000000000001E-2</v>
      </c>
      <c r="GP163" s="101">
        <f t="shared" si="227"/>
        <v>1</v>
      </c>
      <c r="GQ163" s="101">
        <f t="shared" si="228"/>
        <v>56</v>
      </c>
    </row>
    <row r="164" spans="175:199" ht="16.5" x14ac:dyDescent="0.2">
      <c r="FS164" s="101">
        <v>159</v>
      </c>
      <c r="FT164" s="101">
        <f t="shared" si="213"/>
        <v>71</v>
      </c>
      <c r="FU164" s="101">
        <f t="shared" si="206"/>
        <v>2</v>
      </c>
      <c r="FV164" s="14">
        <f t="shared" si="207"/>
        <v>3</v>
      </c>
      <c r="FW164" s="101" t="str">
        <f t="shared" si="214"/>
        <v>许褚专属武器-魂珠-8 8级</v>
      </c>
      <c r="FX164" s="101">
        <f t="shared" si="215"/>
        <v>8</v>
      </c>
      <c r="FY164" s="101">
        <f t="shared" si="216"/>
        <v>8</v>
      </c>
      <c r="FZ164" s="101" t="str">
        <f t="shared" si="208"/>
        <v>金币</v>
      </c>
      <c r="GA164" s="139">
        <f>IF($FY164&gt;0,IF(INDEX($EM$6:$EM$77,$FT164)&gt;=GA$3,ROUND(INDEX(EO$6:EO$77,$FT164)*INDEX(卡牌消耗!$B$8:$F$8,FV164)/5,0)*5,""),"")</f>
        <v>21000</v>
      </c>
      <c r="GB164" s="101" t="str">
        <f t="shared" si="209"/>
        <v>专属强化石4</v>
      </c>
      <c r="GC164" s="101">
        <f t="shared" si="210"/>
        <v>30</v>
      </c>
      <c r="GD164" s="101" t="str">
        <f t="shared" si="211"/>
        <v/>
      </c>
      <c r="GE164" s="101" t="str">
        <f t="shared" si="212"/>
        <v/>
      </c>
      <c r="GF164" s="101">
        <f t="shared" si="217"/>
        <v>0.02</v>
      </c>
      <c r="GG164" s="101">
        <f t="shared" si="218"/>
        <v>1</v>
      </c>
      <c r="GH164" s="101">
        <f t="shared" si="219"/>
        <v>75</v>
      </c>
      <c r="GI164" s="101">
        <f t="shared" si="220"/>
        <v>0</v>
      </c>
      <c r="GJ164" s="101">
        <f t="shared" si="221"/>
        <v>1</v>
      </c>
      <c r="GK164" s="101">
        <f t="shared" si="222"/>
        <v>18</v>
      </c>
      <c r="GL164" s="101">
        <f t="shared" si="223"/>
        <v>0.01</v>
      </c>
      <c r="GM164" s="101">
        <f t="shared" si="224"/>
        <v>1</v>
      </c>
      <c r="GN164" s="101">
        <f t="shared" si="225"/>
        <v>35</v>
      </c>
      <c r="GO164" s="101">
        <f t="shared" si="226"/>
        <v>3.9899999999999998E-2</v>
      </c>
      <c r="GP164" s="101">
        <f t="shared" si="227"/>
        <v>1</v>
      </c>
      <c r="GQ164" s="101">
        <f t="shared" si="228"/>
        <v>75</v>
      </c>
    </row>
    <row r="165" spans="175:199" ht="16.5" x14ac:dyDescent="0.2">
      <c r="FS165" s="101">
        <v>160</v>
      </c>
      <c r="FT165" s="101">
        <f t="shared" si="213"/>
        <v>72</v>
      </c>
      <c r="FU165" s="101">
        <f t="shared" si="206"/>
        <v>2</v>
      </c>
      <c r="FV165" s="14">
        <f t="shared" si="207"/>
        <v>3</v>
      </c>
      <c r="FW165" s="101" t="str">
        <f t="shared" si="214"/>
        <v>许褚专属武器-魂珠-8 9级</v>
      </c>
      <c r="FX165" s="101">
        <f t="shared" si="215"/>
        <v>8</v>
      </c>
      <c r="FY165" s="101">
        <f t="shared" si="216"/>
        <v>9</v>
      </c>
      <c r="FZ165" s="101" t="str">
        <f t="shared" si="208"/>
        <v>金币</v>
      </c>
      <c r="GA165" s="139">
        <f>IF($FY165&gt;0,IF(INDEX($EM$6:$EM$77,$FT165)&gt;=GA$3,ROUND(INDEX(EO$6:EO$77,$FT165)*INDEX(卡牌消耗!$B$8:$F$8,FV165)/5,0)*5,""),"")</f>
        <v>21005</v>
      </c>
      <c r="GB165" s="101" t="str">
        <f t="shared" si="209"/>
        <v>专属强化石4</v>
      </c>
      <c r="GC165" s="101">
        <f t="shared" si="210"/>
        <v>30</v>
      </c>
      <c r="GD165" s="101" t="str">
        <f t="shared" si="211"/>
        <v/>
      </c>
      <c r="GE165" s="101" t="str">
        <f t="shared" si="212"/>
        <v/>
      </c>
      <c r="GF165" s="101">
        <f t="shared" si="217"/>
        <v>0.01</v>
      </c>
      <c r="GG165" s="101">
        <f t="shared" si="218"/>
        <v>1</v>
      </c>
      <c r="GH165" s="101">
        <f t="shared" si="219"/>
        <v>122</v>
      </c>
      <c r="GI165" s="101">
        <f t="shared" si="220"/>
        <v>0</v>
      </c>
      <c r="GJ165" s="101">
        <f t="shared" si="221"/>
        <v>1</v>
      </c>
      <c r="GK165" s="101">
        <f t="shared" si="222"/>
        <v>28</v>
      </c>
      <c r="GL165" s="101">
        <f t="shared" si="223"/>
        <v>6.1999999999999998E-3</v>
      </c>
      <c r="GM165" s="101">
        <f t="shared" si="224"/>
        <v>1</v>
      </c>
      <c r="GN165" s="101">
        <f t="shared" si="225"/>
        <v>57</v>
      </c>
      <c r="GO165" s="101">
        <f t="shared" si="226"/>
        <v>2.47E-2</v>
      </c>
      <c r="GP165" s="101">
        <f t="shared" si="227"/>
        <v>1</v>
      </c>
      <c r="GQ165" s="101">
        <f t="shared" si="228"/>
        <v>122</v>
      </c>
    </row>
    <row r="166" spans="175:199" ht="16.5" x14ac:dyDescent="0.2">
      <c r="FS166" s="101">
        <v>161</v>
      </c>
      <c r="FT166" s="101">
        <f t="shared" si="213"/>
        <v>0</v>
      </c>
      <c r="FU166" s="101">
        <f t="shared" si="206"/>
        <v>3</v>
      </c>
      <c r="FV166" s="14">
        <f t="shared" si="207"/>
        <v>4</v>
      </c>
      <c r="FW166" s="101" t="str">
        <f t="shared" si="214"/>
        <v>典韦专属武器-魂珠-1 0级</v>
      </c>
      <c r="FX166" s="101">
        <f t="shared" si="215"/>
        <v>1</v>
      </c>
      <c r="FY166" s="101">
        <f t="shared" si="216"/>
        <v>0</v>
      </c>
      <c r="FZ166" s="101" t="str">
        <f t="shared" si="208"/>
        <v/>
      </c>
      <c r="GA166" s="139" t="str">
        <f>IF($FY166&gt;0,IF(INDEX($EM$6:$EM$77,$FT166)&gt;=GA$3,ROUND(INDEX(EO$6:EO$77,$FT166)*INDEX(卡牌消耗!$B$8:$F$8,FV166)/5,0)*5,""),"")</f>
        <v/>
      </c>
      <c r="GB166" s="101" t="str">
        <f t="shared" si="209"/>
        <v/>
      </c>
      <c r="GC166" s="101" t="str">
        <f t="shared" si="210"/>
        <v/>
      </c>
      <c r="GD166" s="101" t="str">
        <f t="shared" si="211"/>
        <v/>
      </c>
      <c r="GE166" s="101" t="str">
        <f t="shared" si="212"/>
        <v/>
      </c>
      <c r="GF166" s="101" t="str">
        <f t="shared" si="217"/>
        <v/>
      </c>
      <c r="GG166" s="101" t="str">
        <f t="shared" si="218"/>
        <v/>
      </c>
      <c r="GH166" s="101" t="str">
        <f t="shared" si="219"/>
        <v/>
      </c>
      <c r="GI166" s="101" t="str">
        <f t="shared" si="220"/>
        <v/>
      </c>
      <c r="GJ166" s="101" t="str">
        <f t="shared" si="221"/>
        <v/>
      </c>
      <c r="GK166" s="101" t="str">
        <f t="shared" si="222"/>
        <v/>
      </c>
      <c r="GL166" s="101" t="str">
        <f t="shared" si="223"/>
        <v/>
      </c>
      <c r="GM166" s="101" t="str">
        <f t="shared" si="224"/>
        <v/>
      </c>
      <c r="GN166" s="101" t="str">
        <f t="shared" si="225"/>
        <v/>
      </c>
      <c r="GO166" s="101" t="str">
        <f t="shared" si="226"/>
        <v/>
      </c>
      <c r="GP166" s="101" t="str">
        <f t="shared" si="227"/>
        <v/>
      </c>
      <c r="GQ166" s="101" t="str">
        <f t="shared" si="228"/>
        <v/>
      </c>
    </row>
    <row r="167" spans="175:199" ht="16.5" x14ac:dyDescent="0.2">
      <c r="FS167" s="101">
        <v>162</v>
      </c>
      <c r="FT167" s="101">
        <f t="shared" si="213"/>
        <v>1</v>
      </c>
      <c r="FU167" s="101">
        <f t="shared" si="206"/>
        <v>3</v>
      </c>
      <c r="FV167" s="14">
        <f t="shared" si="207"/>
        <v>4</v>
      </c>
      <c r="FW167" s="101" t="str">
        <f t="shared" si="214"/>
        <v>典韦专属武器-魂珠-1 1级</v>
      </c>
      <c r="FX167" s="101">
        <f t="shared" si="215"/>
        <v>1</v>
      </c>
      <c r="FY167" s="101">
        <f t="shared" si="216"/>
        <v>1</v>
      </c>
      <c r="FZ167" s="101" t="str">
        <f t="shared" si="208"/>
        <v>金币</v>
      </c>
      <c r="GA167" s="139">
        <f>IF($FY167&gt;0,IF(INDEX($EM$6:$EM$77,$FT167)&gt;=GA$3,ROUND(INDEX(EO$6:EO$77,$FT167)*INDEX(卡牌消耗!$B$8:$F$8,FV167)/5,0)*5,""),"")</f>
        <v>145</v>
      </c>
      <c r="GB167" s="101" t="str">
        <f t="shared" si="209"/>
        <v>专属强化石1</v>
      </c>
      <c r="GC167" s="101">
        <f t="shared" si="210"/>
        <v>1</v>
      </c>
      <c r="GD167" s="101" t="str">
        <f t="shared" si="211"/>
        <v/>
      </c>
      <c r="GE167" s="101" t="str">
        <f t="shared" si="212"/>
        <v/>
      </c>
      <c r="GF167" s="101">
        <f t="shared" si="217"/>
        <v>0.32</v>
      </c>
      <c r="GG167" s="101">
        <f t="shared" si="218"/>
        <v>1</v>
      </c>
      <c r="GH167" s="101">
        <f t="shared" si="219"/>
        <v>5</v>
      </c>
      <c r="GI167" s="101">
        <f t="shared" si="220"/>
        <v>0</v>
      </c>
      <c r="GJ167" s="101">
        <f t="shared" si="221"/>
        <v>1</v>
      </c>
      <c r="GK167" s="101">
        <f t="shared" si="222"/>
        <v>1</v>
      </c>
      <c r="GL167" s="101">
        <f t="shared" si="223"/>
        <v>0.1595</v>
      </c>
      <c r="GM167" s="101">
        <f t="shared" si="224"/>
        <v>1</v>
      </c>
      <c r="GN167" s="101">
        <f t="shared" si="225"/>
        <v>2</v>
      </c>
      <c r="GO167" s="101">
        <f t="shared" si="226"/>
        <v>0.63819999999999999</v>
      </c>
      <c r="GP167" s="101">
        <f t="shared" si="227"/>
        <v>1</v>
      </c>
      <c r="GQ167" s="101">
        <f t="shared" si="228"/>
        <v>5</v>
      </c>
    </row>
    <row r="168" spans="175:199" ht="16.5" x14ac:dyDescent="0.2">
      <c r="FS168" s="101">
        <v>163</v>
      </c>
      <c r="FT168" s="101">
        <f t="shared" si="213"/>
        <v>2</v>
      </c>
      <c r="FU168" s="101">
        <f t="shared" si="206"/>
        <v>3</v>
      </c>
      <c r="FV168" s="14">
        <f t="shared" si="207"/>
        <v>4</v>
      </c>
      <c r="FW168" s="101" t="str">
        <f t="shared" si="214"/>
        <v>典韦专属武器-魂珠-1 2级</v>
      </c>
      <c r="FX168" s="101">
        <f t="shared" si="215"/>
        <v>1</v>
      </c>
      <c r="FY168" s="101">
        <f t="shared" si="216"/>
        <v>2</v>
      </c>
      <c r="FZ168" s="101" t="str">
        <f t="shared" si="208"/>
        <v>金币</v>
      </c>
      <c r="GA168" s="139">
        <f>IF($FY168&gt;0,IF(INDEX($EM$6:$EM$77,$FT168)&gt;=GA$3,ROUND(INDEX(EO$6:EO$77,$FT168)*INDEX(卡牌消耗!$B$8:$F$8,FV168)/5,0)*5,""),"")</f>
        <v>215</v>
      </c>
      <c r="GB168" s="101" t="str">
        <f t="shared" si="209"/>
        <v>专属强化石1</v>
      </c>
      <c r="GC168" s="101">
        <f t="shared" si="210"/>
        <v>2</v>
      </c>
      <c r="GD168" s="101" t="str">
        <f t="shared" si="211"/>
        <v/>
      </c>
      <c r="GE168" s="101" t="str">
        <f t="shared" si="212"/>
        <v/>
      </c>
      <c r="GF168" s="101">
        <f t="shared" si="217"/>
        <v>0.32</v>
      </c>
      <c r="GG168" s="101">
        <f t="shared" si="218"/>
        <v>1</v>
      </c>
      <c r="GH168" s="101">
        <f t="shared" si="219"/>
        <v>5</v>
      </c>
      <c r="GI168" s="101">
        <f t="shared" si="220"/>
        <v>0</v>
      </c>
      <c r="GJ168" s="101">
        <f t="shared" si="221"/>
        <v>1</v>
      </c>
      <c r="GK168" s="101">
        <f t="shared" si="222"/>
        <v>1</v>
      </c>
      <c r="GL168" s="101">
        <f t="shared" si="223"/>
        <v>0.1595</v>
      </c>
      <c r="GM168" s="101">
        <f t="shared" si="224"/>
        <v>1</v>
      </c>
      <c r="GN168" s="101">
        <f t="shared" si="225"/>
        <v>2</v>
      </c>
      <c r="GO168" s="101">
        <f t="shared" si="226"/>
        <v>0.63819999999999999</v>
      </c>
      <c r="GP168" s="101">
        <f t="shared" si="227"/>
        <v>1</v>
      </c>
      <c r="GQ168" s="101">
        <f t="shared" si="228"/>
        <v>5</v>
      </c>
    </row>
    <row r="169" spans="175:199" ht="16.5" x14ac:dyDescent="0.2">
      <c r="FS169" s="101">
        <v>164</v>
      </c>
      <c r="FT169" s="101">
        <f t="shared" si="213"/>
        <v>3</v>
      </c>
      <c r="FU169" s="101">
        <f t="shared" si="206"/>
        <v>3</v>
      </c>
      <c r="FV169" s="14">
        <f t="shared" si="207"/>
        <v>4</v>
      </c>
      <c r="FW169" s="101" t="str">
        <f t="shared" si="214"/>
        <v>典韦专属武器-魂珠-1 3级</v>
      </c>
      <c r="FX169" s="101">
        <f t="shared" si="215"/>
        <v>1</v>
      </c>
      <c r="FY169" s="101">
        <f t="shared" si="216"/>
        <v>3</v>
      </c>
      <c r="FZ169" s="101" t="str">
        <f t="shared" si="208"/>
        <v>金币</v>
      </c>
      <c r="GA169" s="139">
        <f>IF($FY169&gt;0,IF(INDEX($EM$6:$EM$77,$FT169)&gt;=GA$3,ROUND(INDEX(EO$6:EO$77,$FT169)*INDEX(卡牌消耗!$B$8:$F$8,FV169)/5,0)*5,""),"")</f>
        <v>355</v>
      </c>
      <c r="GB169" s="101" t="str">
        <f t="shared" si="209"/>
        <v>专属强化石1</v>
      </c>
      <c r="GC169" s="101">
        <f t="shared" si="210"/>
        <v>3</v>
      </c>
      <c r="GD169" s="101" t="str">
        <f t="shared" si="211"/>
        <v/>
      </c>
      <c r="GE169" s="101" t="str">
        <f t="shared" si="212"/>
        <v/>
      </c>
      <c r="GF169" s="101">
        <f t="shared" si="217"/>
        <v>0.32</v>
      </c>
      <c r="GG169" s="101">
        <f t="shared" si="218"/>
        <v>1</v>
      </c>
      <c r="GH169" s="101">
        <f t="shared" si="219"/>
        <v>5</v>
      </c>
      <c r="GI169" s="101">
        <f t="shared" si="220"/>
        <v>0</v>
      </c>
      <c r="GJ169" s="101">
        <f t="shared" si="221"/>
        <v>1</v>
      </c>
      <c r="GK169" s="101">
        <f t="shared" si="222"/>
        <v>1</v>
      </c>
      <c r="GL169" s="101">
        <f t="shared" si="223"/>
        <v>0.1595</v>
      </c>
      <c r="GM169" s="101">
        <f t="shared" si="224"/>
        <v>1</v>
      </c>
      <c r="GN169" s="101">
        <f t="shared" si="225"/>
        <v>2</v>
      </c>
      <c r="GO169" s="101">
        <f t="shared" si="226"/>
        <v>0.63819999999999999</v>
      </c>
      <c r="GP169" s="101">
        <f t="shared" si="227"/>
        <v>1</v>
      </c>
      <c r="GQ169" s="101">
        <f t="shared" si="228"/>
        <v>5</v>
      </c>
    </row>
    <row r="170" spans="175:199" ht="16.5" x14ac:dyDescent="0.2">
      <c r="FS170" s="101">
        <v>165</v>
      </c>
      <c r="FT170" s="101">
        <f t="shared" si="213"/>
        <v>4</v>
      </c>
      <c r="FU170" s="101">
        <f t="shared" si="206"/>
        <v>3</v>
      </c>
      <c r="FV170" s="14">
        <f t="shared" si="207"/>
        <v>4</v>
      </c>
      <c r="FW170" s="101" t="str">
        <f t="shared" si="214"/>
        <v>典韦专属武器-魂珠-1 4级</v>
      </c>
      <c r="FX170" s="101">
        <f t="shared" si="215"/>
        <v>1</v>
      </c>
      <c r="FY170" s="101">
        <f t="shared" si="216"/>
        <v>4</v>
      </c>
      <c r="FZ170" s="101" t="str">
        <f t="shared" si="208"/>
        <v>金币</v>
      </c>
      <c r="GA170" s="139">
        <f>IF($FY170&gt;0,IF(INDEX($EM$6:$EM$77,$FT170)&gt;=GA$3,ROUND(INDEX(EO$6:EO$77,$FT170)*INDEX(卡牌消耗!$B$8:$F$8,FV170)/5,0)*5,""),"")</f>
        <v>455</v>
      </c>
      <c r="GB170" s="101" t="str">
        <f t="shared" si="209"/>
        <v>专属强化石1</v>
      </c>
      <c r="GC170" s="101">
        <f t="shared" si="210"/>
        <v>4</v>
      </c>
      <c r="GD170" s="101" t="str">
        <f t="shared" si="211"/>
        <v/>
      </c>
      <c r="GE170" s="101" t="str">
        <f t="shared" si="212"/>
        <v/>
      </c>
      <c r="GF170" s="101">
        <f t="shared" si="217"/>
        <v>0.26</v>
      </c>
      <c r="GG170" s="101">
        <f t="shared" si="218"/>
        <v>1</v>
      </c>
      <c r="GH170" s="101">
        <f t="shared" si="219"/>
        <v>6</v>
      </c>
      <c r="GI170" s="101">
        <f t="shared" si="220"/>
        <v>0</v>
      </c>
      <c r="GJ170" s="101">
        <f t="shared" si="221"/>
        <v>1</v>
      </c>
      <c r="GK170" s="101">
        <f t="shared" si="222"/>
        <v>1</v>
      </c>
      <c r="GL170" s="101">
        <f t="shared" si="223"/>
        <v>0.12759999999999999</v>
      </c>
      <c r="GM170" s="101">
        <f t="shared" si="224"/>
        <v>1</v>
      </c>
      <c r="GN170" s="101">
        <f t="shared" si="225"/>
        <v>3</v>
      </c>
      <c r="GO170" s="101">
        <f t="shared" si="226"/>
        <v>0.51060000000000005</v>
      </c>
      <c r="GP170" s="101">
        <f t="shared" si="227"/>
        <v>1</v>
      </c>
      <c r="GQ170" s="101">
        <f t="shared" si="228"/>
        <v>6</v>
      </c>
    </row>
    <row r="171" spans="175:199" ht="16.5" x14ac:dyDescent="0.2">
      <c r="FS171" s="101">
        <v>166</v>
      </c>
      <c r="FT171" s="101">
        <f t="shared" si="213"/>
        <v>5</v>
      </c>
      <c r="FU171" s="101">
        <f t="shared" si="206"/>
        <v>3</v>
      </c>
      <c r="FV171" s="14">
        <f t="shared" si="207"/>
        <v>4</v>
      </c>
      <c r="FW171" s="101" t="str">
        <f t="shared" si="214"/>
        <v>典韦专属武器-魂珠-1 5级</v>
      </c>
      <c r="FX171" s="101">
        <f t="shared" si="215"/>
        <v>1</v>
      </c>
      <c r="FY171" s="101">
        <f t="shared" si="216"/>
        <v>5</v>
      </c>
      <c r="FZ171" s="101" t="str">
        <f t="shared" si="208"/>
        <v>金币</v>
      </c>
      <c r="GA171" s="139">
        <f>IF($FY171&gt;0,IF(INDEX($EM$6:$EM$77,$FT171)&gt;=GA$3,ROUND(INDEX(EO$6:EO$77,$FT171)*INDEX(卡牌消耗!$B$8:$F$8,FV171)/5,0)*5,""),"")</f>
        <v>580</v>
      </c>
      <c r="GB171" s="101" t="str">
        <f t="shared" si="209"/>
        <v>专属强化石1</v>
      </c>
      <c r="GC171" s="101">
        <f t="shared" si="210"/>
        <v>5</v>
      </c>
      <c r="GD171" s="101" t="str">
        <f t="shared" si="211"/>
        <v/>
      </c>
      <c r="GE171" s="101" t="str">
        <f t="shared" si="212"/>
        <v/>
      </c>
      <c r="GF171" s="101">
        <f t="shared" si="217"/>
        <v>0.2</v>
      </c>
      <c r="GG171" s="101">
        <f t="shared" si="218"/>
        <v>1</v>
      </c>
      <c r="GH171" s="101">
        <f t="shared" si="219"/>
        <v>8</v>
      </c>
      <c r="GI171" s="101">
        <f t="shared" si="220"/>
        <v>0</v>
      </c>
      <c r="GJ171" s="101">
        <f t="shared" si="221"/>
        <v>1</v>
      </c>
      <c r="GK171" s="101">
        <f t="shared" si="222"/>
        <v>2</v>
      </c>
      <c r="GL171" s="101">
        <f t="shared" si="223"/>
        <v>9.9699999999999997E-2</v>
      </c>
      <c r="GM171" s="101">
        <f t="shared" si="224"/>
        <v>1</v>
      </c>
      <c r="GN171" s="101">
        <f t="shared" si="225"/>
        <v>4</v>
      </c>
      <c r="GO171" s="101">
        <f t="shared" si="226"/>
        <v>0.39889999999999998</v>
      </c>
      <c r="GP171" s="101">
        <f t="shared" si="227"/>
        <v>1</v>
      </c>
      <c r="GQ171" s="101">
        <f t="shared" si="228"/>
        <v>8</v>
      </c>
    </row>
    <row r="172" spans="175:199" ht="16.5" x14ac:dyDescent="0.2">
      <c r="FS172" s="101">
        <v>167</v>
      </c>
      <c r="FT172" s="101">
        <f t="shared" si="213"/>
        <v>6</v>
      </c>
      <c r="FU172" s="101">
        <f t="shared" si="206"/>
        <v>3</v>
      </c>
      <c r="FV172" s="14">
        <f t="shared" si="207"/>
        <v>4</v>
      </c>
      <c r="FW172" s="101" t="str">
        <f t="shared" si="214"/>
        <v>典韦专属武器-魂珠-1 6级</v>
      </c>
      <c r="FX172" s="101">
        <f t="shared" si="215"/>
        <v>1</v>
      </c>
      <c r="FY172" s="101">
        <f t="shared" si="216"/>
        <v>6</v>
      </c>
      <c r="FZ172" s="101" t="str">
        <f t="shared" si="208"/>
        <v>金币</v>
      </c>
      <c r="GA172" s="139">
        <f>IF($FY172&gt;0,IF(INDEX($EM$6:$EM$77,$FT172)&gt;=GA$3,ROUND(INDEX(EO$6:EO$77,$FT172)*INDEX(卡牌消耗!$B$8:$F$8,FV172)/5,0)*5,""),"")</f>
        <v>690</v>
      </c>
      <c r="GB172" s="101" t="str">
        <f t="shared" si="209"/>
        <v>专属强化石1</v>
      </c>
      <c r="GC172" s="101">
        <f t="shared" si="210"/>
        <v>6</v>
      </c>
      <c r="GD172" s="101" t="str">
        <f t="shared" si="211"/>
        <v/>
      </c>
      <c r="GE172" s="101" t="str">
        <f t="shared" si="212"/>
        <v/>
      </c>
      <c r="GF172" s="101">
        <f t="shared" si="217"/>
        <v>0.15</v>
      </c>
      <c r="GG172" s="101">
        <f t="shared" si="218"/>
        <v>1</v>
      </c>
      <c r="GH172" s="101">
        <f t="shared" si="219"/>
        <v>10</v>
      </c>
      <c r="GI172" s="101">
        <f t="shared" si="220"/>
        <v>0</v>
      </c>
      <c r="GJ172" s="101">
        <f t="shared" si="221"/>
        <v>1</v>
      </c>
      <c r="GK172" s="101">
        <f t="shared" si="222"/>
        <v>2</v>
      </c>
      <c r="GL172" s="101">
        <f t="shared" si="223"/>
        <v>7.3599999999999999E-2</v>
      </c>
      <c r="GM172" s="101">
        <f t="shared" si="224"/>
        <v>1</v>
      </c>
      <c r="GN172" s="101">
        <f t="shared" si="225"/>
        <v>5</v>
      </c>
      <c r="GO172" s="101">
        <f t="shared" si="226"/>
        <v>0.29459999999999997</v>
      </c>
      <c r="GP172" s="101">
        <f t="shared" si="227"/>
        <v>1</v>
      </c>
      <c r="GQ172" s="101">
        <f t="shared" si="228"/>
        <v>10</v>
      </c>
    </row>
    <row r="173" spans="175:199" ht="16.5" x14ac:dyDescent="0.2">
      <c r="FS173" s="101">
        <v>168</v>
      </c>
      <c r="FT173" s="101">
        <f t="shared" si="213"/>
        <v>7</v>
      </c>
      <c r="FU173" s="101">
        <f t="shared" si="206"/>
        <v>3</v>
      </c>
      <c r="FV173" s="14">
        <f t="shared" si="207"/>
        <v>4</v>
      </c>
      <c r="FW173" s="101" t="str">
        <f t="shared" si="214"/>
        <v>典韦专属武器-魂珠-1 7级</v>
      </c>
      <c r="FX173" s="101">
        <f t="shared" si="215"/>
        <v>1</v>
      </c>
      <c r="FY173" s="101">
        <f t="shared" si="216"/>
        <v>7</v>
      </c>
      <c r="FZ173" s="101" t="str">
        <f t="shared" si="208"/>
        <v>金币</v>
      </c>
      <c r="GA173" s="139">
        <f>IF($FY173&gt;0,IF(INDEX($EM$6:$EM$77,$FT173)&gt;=GA$3,ROUND(INDEX(EO$6:EO$77,$FT173)*INDEX(卡牌消耗!$B$8:$F$8,FV173)/5,0)*5,""),"")</f>
        <v>805</v>
      </c>
      <c r="GB173" s="101" t="str">
        <f t="shared" si="209"/>
        <v>专属强化石1</v>
      </c>
      <c r="GC173" s="101">
        <f t="shared" si="210"/>
        <v>7</v>
      </c>
      <c r="GD173" s="101" t="str">
        <f t="shared" si="211"/>
        <v/>
      </c>
      <c r="GE173" s="101" t="str">
        <f t="shared" si="212"/>
        <v/>
      </c>
      <c r="GF173" s="101">
        <f t="shared" si="217"/>
        <v>0.11</v>
      </c>
      <c r="GG173" s="101">
        <f t="shared" si="218"/>
        <v>1</v>
      </c>
      <c r="GH173" s="101">
        <f t="shared" si="219"/>
        <v>14</v>
      </c>
      <c r="GI173" s="101">
        <f t="shared" si="220"/>
        <v>0</v>
      </c>
      <c r="GJ173" s="101">
        <f t="shared" si="221"/>
        <v>1</v>
      </c>
      <c r="GK173" s="101">
        <f t="shared" si="222"/>
        <v>3</v>
      </c>
      <c r="GL173" s="101">
        <f t="shared" si="223"/>
        <v>5.3199999999999997E-2</v>
      </c>
      <c r="GM173" s="101">
        <f t="shared" si="224"/>
        <v>1</v>
      </c>
      <c r="GN173" s="101">
        <f t="shared" si="225"/>
        <v>7</v>
      </c>
      <c r="GO173" s="101">
        <f t="shared" si="226"/>
        <v>0.2127</v>
      </c>
      <c r="GP173" s="101">
        <f t="shared" si="227"/>
        <v>1</v>
      </c>
      <c r="GQ173" s="101">
        <f t="shared" si="228"/>
        <v>14</v>
      </c>
    </row>
    <row r="174" spans="175:199" ht="16.5" x14ac:dyDescent="0.2">
      <c r="FS174" s="101">
        <v>169</v>
      </c>
      <c r="FT174" s="101">
        <f t="shared" si="213"/>
        <v>8</v>
      </c>
      <c r="FU174" s="101">
        <f t="shared" si="206"/>
        <v>3</v>
      </c>
      <c r="FV174" s="14">
        <f t="shared" si="207"/>
        <v>4</v>
      </c>
      <c r="FW174" s="101" t="str">
        <f t="shared" si="214"/>
        <v>典韦专属武器-魂珠-1 8级</v>
      </c>
      <c r="FX174" s="101">
        <f t="shared" si="215"/>
        <v>1</v>
      </c>
      <c r="FY174" s="101">
        <f t="shared" si="216"/>
        <v>8</v>
      </c>
      <c r="FZ174" s="101" t="str">
        <f t="shared" si="208"/>
        <v>金币</v>
      </c>
      <c r="GA174" s="139">
        <f>IF($FY174&gt;0,IF(INDEX($EM$6:$EM$77,$FT174)&gt;=GA$3,ROUND(INDEX(EO$6:EO$77,$FT174)*INDEX(卡牌消耗!$B$8:$F$8,FV174)/5,0)*5,""),"")</f>
        <v>920</v>
      </c>
      <c r="GB174" s="101" t="str">
        <f t="shared" si="209"/>
        <v>专属强化石1</v>
      </c>
      <c r="GC174" s="101">
        <f t="shared" si="210"/>
        <v>8</v>
      </c>
      <c r="GD174" s="101" t="str">
        <f t="shared" si="211"/>
        <v/>
      </c>
      <c r="GE174" s="101" t="str">
        <f t="shared" si="212"/>
        <v/>
      </c>
      <c r="GF174" s="101">
        <f t="shared" si="217"/>
        <v>0.08</v>
      </c>
      <c r="GG174" s="101">
        <f t="shared" si="218"/>
        <v>1</v>
      </c>
      <c r="GH174" s="101">
        <f t="shared" si="219"/>
        <v>20</v>
      </c>
      <c r="GI174" s="101">
        <f t="shared" si="220"/>
        <v>0</v>
      </c>
      <c r="GJ174" s="101">
        <f t="shared" si="221"/>
        <v>1</v>
      </c>
      <c r="GK174" s="101">
        <f t="shared" si="222"/>
        <v>5</v>
      </c>
      <c r="GL174" s="101">
        <f t="shared" si="223"/>
        <v>3.7499999999999999E-2</v>
      </c>
      <c r="GM174" s="101">
        <f t="shared" si="224"/>
        <v>1</v>
      </c>
      <c r="GN174" s="101">
        <f t="shared" si="225"/>
        <v>9</v>
      </c>
      <c r="GO174" s="101">
        <f t="shared" si="226"/>
        <v>0.1502</v>
      </c>
      <c r="GP174" s="101">
        <f t="shared" si="227"/>
        <v>1</v>
      </c>
      <c r="GQ174" s="101">
        <f t="shared" si="228"/>
        <v>20</v>
      </c>
    </row>
    <row r="175" spans="175:199" ht="16.5" x14ac:dyDescent="0.2">
      <c r="FS175" s="101">
        <v>170</v>
      </c>
      <c r="FT175" s="101">
        <f t="shared" si="213"/>
        <v>9</v>
      </c>
      <c r="FU175" s="101">
        <f t="shared" si="206"/>
        <v>3</v>
      </c>
      <c r="FV175" s="14">
        <f t="shared" si="207"/>
        <v>4</v>
      </c>
      <c r="FW175" s="101" t="str">
        <f t="shared" si="214"/>
        <v>典韦专属武器-魂珠-1 9级</v>
      </c>
      <c r="FX175" s="101">
        <f t="shared" si="215"/>
        <v>1</v>
      </c>
      <c r="FY175" s="101">
        <f t="shared" si="216"/>
        <v>9</v>
      </c>
      <c r="FZ175" s="101" t="str">
        <f t="shared" si="208"/>
        <v>金币</v>
      </c>
      <c r="GA175" s="139">
        <f>IF($FY175&gt;0,IF(INDEX($EM$6:$EM$77,$FT175)&gt;=GA$3,ROUND(INDEX(EO$6:EO$77,$FT175)*INDEX(卡牌消耗!$B$8:$F$8,FV175)/5,0)*5,""),"")</f>
        <v>1150</v>
      </c>
      <c r="GB175" s="101" t="str">
        <f t="shared" si="209"/>
        <v>专属强化石1</v>
      </c>
      <c r="GC175" s="101">
        <f t="shared" si="210"/>
        <v>10</v>
      </c>
      <c r="GD175" s="101" t="str">
        <f t="shared" si="211"/>
        <v/>
      </c>
      <c r="GE175" s="101" t="str">
        <f t="shared" si="212"/>
        <v/>
      </c>
      <c r="GF175" s="101">
        <f t="shared" si="217"/>
        <v>0.06</v>
      </c>
      <c r="GG175" s="101">
        <f t="shared" si="218"/>
        <v>1</v>
      </c>
      <c r="GH175" s="101">
        <f t="shared" si="219"/>
        <v>26</v>
      </c>
      <c r="GI175" s="101">
        <f t="shared" si="220"/>
        <v>0</v>
      </c>
      <c r="GJ175" s="101">
        <f t="shared" si="221"/>
        <v>1</v>
      </c>
      <c r="GK175" s="101">
        <f t="shared" si="222"/>
        <v>6</v>
      </c>
      <c r="GL175" s="101">
        <f t="shared" si="223"/>
        <v>2.9000000000000001E-2</v>
      </c>
      <c r="GM175" s="101">
        <f t="shared" si="224"/>
        <v>1</v>
      </c>
      <c r="GN175" s="101">
        <f t="shared" si="225"/>
        <v>12</v>
      </c>
      <c r="GO175" s="101">
        <f t="shared" si="226"/>
        <v>0.11600000000000001</v>
      </c>
      <c r="GP175" s="101">
        <f t="shared" si="227"/>
        <v>1</v>
      </c>
      <c r="GQ175" s="101">
        <f t="shared" si="228"/>
        <v>26</v>
      </c>
    </row>
    <row r="176" spans="175:199" ht="16.5" x14ac:dyDescent="0.2">
      <c r="FS176" s="101">
        <v>171</v>
      </c>
      <c r="FT176" s="101">
        <f t="shared" si="213"/>
        <v>0</v>
      </c>
      <c r="FU176" s="101">
        <f t="shared" si="206"/>
        <v>3</v>
      </c>
      <c r="FV176" s="14">
        <f t="shared" si="207"/>
        <v>4</v>
      </c>
      <c r="FW176" s="101" t="str">
        <f t="shared" si="214"/>
        <v>典韦专属武器-魂珠-2 0级</v>
      </c>
      <c r="FX176" s="101">
        <f t="shared" si="215"/>
        <v>2</v>
      </c>
      <c r="FY176" s="101">
        <f t="shared" si="216"/>
        <v>0</v>
      </c>
      <c r="FZ176" s="101" t="str">
        <f t="shared" si="208"/>
        <v/>
      </c>
      <c r="GA176" s="139" t="str">
        <f>IF($FY176&gt;0,IF(INDEX($EM$6:$EM$77,$FT176)&gt;=GA$3,ROUND(INDEX(EO$6:EO$77,$FT176)*INDEX(卡牌消耗!$B$8:$F$8,FV176)/5,0)*5,""),"")</f>
        <v/>
      </c>
      <c r="GB176" s="101" t="str">
        <f t="shared" si="209"/>
        <v/>
      </c>
      <c r="GC176" s="101" t="str">
        <f t="shared" si="210"/>
        <v/>
      </c>
      <c r="GD176" s="101" t="str">
        <f t="shared" si="211"/>
        <v/>
      </c>
      <c r="GE176" s="101" t="str">
        <f t="shared" si="212"/>
        <v/>
      </c>
      <c r="GF176" s="101" t="str">
        <f t="shared" si="217"/>
        <v/>
      </c>
      <c r="GG176" s="101" t="str">
        <f t="shared" si="218"/>
        <v/>
      </c>
      <c r="GH176" s="101" t="str">
        <f t="shared" si="219"/>
        <v/>
      </c>
      <c r="GI176" s="101" t="str">
        <f t="shared" si="220"/>
        <v/>
      </c>
      <c r="GJ176" s="101" t="str">
        <f t="shared" si="221"/>
        <v/>
      </c>
      <c r="GK176" s="101" t="str">
        <f t="shared" si="222"/>
        <v/>
      </c>
      <c r="GL176" s="101" t="str">
        <f t="shared" si="223"/>
        <v/>
      </c>
      <c r="GM176" s="101" t="str">
        <f t="shared" si="224"/>
        <v/>
      </c>
      <c r="GN176" s="101" t="str">
        <f t="shared" si="225"/>
        <v/>
      </c>
      <c r="GO176" s="101" t="str">
        <f t="shared" si="226"/>
        <v/>
      </c>
      <c r="GP176" s="101" t="str">
        <f t="shared" si="227"/>
        <v/>
      </c>
      <c r="GQ176" s="101" t="str">
        <f t="shared" si="228"/>
        <v/>
      </c>
    </row>
    <row r="177" spans="175:199" ht="16.5" x14ac:dyDescent="0.2">
      <c r="FS177" s="101">
        <v>172</v>
      </c>
      <c r="FT177" s="101">
        <f t="shared" si="213"/>
        <v>10</v>
      </c>
      <c r="FU177" s="101">
        <f t="shared" si="206"/>
        <v>3</v>
      </c>
      <c r="FV177" s="14">
        <f t="shared" si="207"/>
        <v>4</v>
      </c>
      <c r="FW177" s="101" t="str">
        <f t="shared" si="214"/>
        <v>典韦专属武器-魂珠-2 1级</v>
      </c>
      <c r="FX177" s="101">
        <f t="shared" si="215"/>
        <v>2</v>
      </c>
      <c r="FY177" s="101">
        <f t="shared" si="216"/>
        <v>1</v>
      </c>
      <c r="FZ177" s="101" t="str">
        <f t="shared" si="208"/>
        <v>金币</v>
      </c>
      <c r="GA177" s="139">
        <f>IF($FY177&gt;0,IF(INDEX($EM$6:$EM$77,$FT177)&gt;=GA$3,ROUND(INDEX(EO$6:EO$77,$FT177)*INDEX(卡牌消耗!$B$8:$F$8,FV177)/5,0)*5,""),"")</f>
        <v>395</v>
      </c>
      <c r="GB177" s="101" t="str">
        <f t="shared" si="209"/>
        <v>专属强化石1</v>
      </c>
      <c r="GC177" s="101">
        <f t="shared" si="210"/>
        <v>3</v>
      </c>
      <c r="GD177" s="101" t="str">
        <f t="shared" si="211"/>
        <v>专属强化石2</v>
      </c>
      <c r="GE177" s="101">
        <f t="shared" si="212"/>
        <v>1</v>
      </c>
      <c r="GF177" s="101">
        <f t="shared" si="217"/>
        <v>0.39</v>
      </c>
      <c r="GG177" s="101">
        <f t="shared" si="218"/>
        <v>1</v>
      </c>
      <c r="GH177" s="101">
        <f t="shared" si="219"/>
        <v>4</v>
      </c>
      <c r="GI177" s="101">
        <f t="shared" si="220"/>
        <v>0</v>
      </c>
      <c r="GJ177" s="101">
        <f t="shared" si="221"/>
        <v>1</v>
      </c>
      <c r="GK177" s="101">
        <f t="shared" si="222"/>
        <v>1</v>
      </c>
      <c r="GL177" s="101">
        <f t="shared" si="223"/>
        <v>0.19270000000000001</v>
      </c>
      <c r="GM177" s="101">
        <f t="shared" si="224"/>
        <v>1</v>
      </c>
      <c r="GN177" s="101">
        <f t="shared" si="225"/>
        <v>2</v>
      </c>
      <c r="GO177" s="101">
        <f t="shared" si="226"/>
        <v>0.77070000000000005</v>
      </c>
      <c r="GP177" s="101">
        <f t="shared" si="227"/>
        <v>1</v>
      </c>
      <c r="GQ177" s="101">
        <f t="shared" si="228"/>
        <v>4</v>
      </c>
    </row>
    <row r="178" spans="175:199" ht="16.5" x14ac:dyDescent="0.2">
      <c r="FS178" s="101">
        <v>173</v>
      </c>
      <c r="FT178" s="101">
        <f t="shared" si="213"/>
        <v>11</v>
      </c>
      <c r="FU178" s="101">
        <f t="shared" si="206"/>
        <v>3</v>
      </c>
      <c r="FV178" s="14">
        <f t="shared" si="207"/>
        <v>4</v>
      </c>
      <c r="FW178" s="101" t="str">
        <f t="shared" si="214"/>
        <v>典韦专属武器-魂珠-2 2级</v>
      </c>
      <c r="FX178" s="101">
        <f t="shared" si="215"/>
        <v>2</v>
      </c>
      <c r="FY178" s="101">
        <f t="shared" si="216"/>
        <v>2</v>
      </c>
      <c r="FZ178" s="101" t="str">
        <f t="shared" si="208"/>
        <v>金币</v>
      </c>
      <c r="GA178" s="139">
        <f>IF($FY178&gt;0,IF(INDEX($EM$6:$EM$77,$FT178)&gt;=GA$3,ROUND(INDEX(EO$6:EO$77,$FT178)*INDEX(卡牌消耗!$B$8:$F$8,FV178)/5,0)*5,""),"")</f>
        <v>295</v>
      </c>
      <c r="GB178" s="101" t="str">
        <f t="shared" si="209"/>
        <v>专属强化石1</v>
      </c>
      <c r="GC178" s="101">
        <f t="shared" si="210"/>
        <v>3</v>
      </c>
      <c r="GD178" s="101" t="str">
        <f t="shared" si="211"/>
        <v>专属强化石2</v>
      </c>
      <c r="GE178" s="101">
        <f t="shared" si="212"/>
        <v>1</v>
      </c>
      <c r="GF178" s="101">
        <f t="shared" si="217"/>
        <v>0.19</v>
      </c>
      <c r="GG178" s="101">
        <f t="shared" si="218"/>
        <v>1</v>
      </c>
      <c r="GH178" s="101">
        <f t="shared" si="219"/>
        <v>8</v>
      </c>
      <c r="GI178" s="101">
        <f t="shared" si="220"/>
        <v>0</v>
      </c>
      <c r="GJ178" s="101">
        <f t="shared" si="221"/>
        <v>1</v>
      </c>
      <c r="GK178" s="101">
        <f t="shared" si="222"/>
        <v>2</v>
      </c>
      <c r="GL178" s="101">
        <f t="shared" si="223"/>
        <v>9.6299999999999997E-2</v>
      </c>
      <c r="GM178" s="101">
        <f t="shared" si="224"/>
        <v>1</v>
      </c>
      <c r="GN178" s="101">
        <f t="shared" si="225"/>
        <v>4</v>
      </c>
      <c r="GO178" s="101">
        <f t="shared" si="226"/>
        <v>0.38529999999999998</v>
      </c>
      <c r="GP178" s="101">
        <f t="shared" si="227"/>
        <v>1</v>
      </c>
      <c r="GQ178" s="101">
        <f t="shared" si="228"/>
        <v>8</v>
      </c>
    </row>
    <row r="179" spans="175:199" ht="16.5" x14ac:dyDescent="0.2">
      <c r="FS179" s="101">
        <v>174</v>
      </c>
      <c r="FT179" s="101">
        <f t="shared" si="213"/>
        <v>12</v>
      </c>
      <c r="FU179" s="101">
        <f t="shared" si="206"/>
        <v>3</v>
      </c>
      <c r="FV179" s="14">
        <f t="shared" si="207"/>
        <v>4</v>
      </c>
      <c r="FW179" s="101" t="str">
        <f t="shared" si="214"/>
        <v>典韦专属武器-魂珠-2 3级</v>
      </c>
      <c r="FX179" s="101">
        <f t="shared" si="215"/>
        <v>2</v>
      </c>
      <c r="FY179" s="101">
        <f t="shared" si="216"/>
        <v>3</v>
      </c>
      <c r="FZ179" s="101" t="str">
        <f t="shared" si="208"/>
        <v>金币</v>
      </c>
      <c r="GA179" s="139">
        <f>IF($FY179&gt;0,IF(INDEX($EM$6:$EM$77,$FT179)&gt;=GA$3,ROUND(INDEX(EO$6:EO$77,$FT179)*INDEX(卡牌消耗!$B$8:$F$8,FV179)/5,0)*5,""),"")</f>
        <v>655</v>
      </c>
      <c r="GB179" s="101" t="str">
        <f t="shared" si="209"/>
        <v>专属强化石1</v>
      </c>
      <c r="GC179" s="101">
        <f t="shared" si="210"/>
        <v>6</v>
      </c>
      <c r="GD179" s="101" t="str">
        <f t="shared" si="211"/>
        <v>专属强化石2</v>
      </c>
      <c r="GE179" s="101">
        <f t="shared" si="212"/>
        <v>2</v>
      </c>
      <c r="GF179" s="101">
        <f t="shared" si="217"/>
        <v>0.26</v>
      </c>
      <c r="GG179" s="101">
        <f t="shared" si="218"/>
        <v>1</v>
      </c>
      <c r="GH179" s="101">
        <f t="shared" si="219"/>
        <v>6</v>
      </c>
      <c r="GI179" s="101">
        <f t="shared" si="220"/>
        <v>0</v>
      </c>
      <c r="GJ179" s="101">
        <f t="shared" si="221"/>
        <v>1</v>
      </c>
      <c r="GK179" s="101">
        <f t="shared" si="222"/>
        <v>1</v>
      </c>
      <c r="GL179" s="101">
        <f t="shared" si="223"/>
        <v>0.12839999999999999</v>
      </c>
      <c r="GM179" s="101">
        <f t="shared" si="224"/>
        <v>1</v>
      </c>
      <c r="GN179" s="101">
        <f t="shared" si="225"/>
        <v>3</v>
      </c>
      <c r="GO179" s="101">
        <f t="shared" si="226"/>
        <v>0.51380000000000003</v>
      </c>
      <c r="GP179" s="101">
        <f t="shared" si="227"/>
        <v>1</v>
      </c>
      <c r="GQ179" s="101">
        <f t="shared" si="228"/>
        <v>6</v>
      </c>
    </row>
    <row r="180" spans="175:199" ht="16.5" x14ac:dyDescent="0.2">
      <c r="FS180" s="101">
        <v>175</v>
      </c>
      <c r="FT180" s="101">
        <f t="shared" si="213"/>
        <v>13</v>
      </c>
      <c r="FU180" s="101">
        <f t="shared" si="206"/>
        <v>3</v>
      </c>
      <c r="FV180" s="14">
        <f t="shared" si="207"/>
        <v>4</v>
      </c>
      <c r="FW180" s="101" t="str">
        <f t="shared" si="214"/>
        <v>典韦专属武器-魂珠-2 4级</v>
      </c>
      <c r="FX180" s="101">
        <f t="shared" si="215"/>
        <v>2</v>
      </c>
      <c r="FY180" s="101">
        <f t="shared" si="216"/>
        <v>4</v>
      </c>
      <c r="FZ180" s="101" t="str">
        <f t="shared" si="208"/>
        <v>金币</v>
      </c>
      <c r="GA180" s="139">
        <f>IF($FY180&gt;0,IF(INDEX($EM$6:$EM$77,$FT180)&gt;=GA$3,ROUND(INDEX(EO$6:EO$77,$FT180)*INDEX(卡牌消耗!$B$8:$F$8,FV180)/5,0)*5,""),"")</f>
        <v>625</v>
      </c>
      <c r="GB180" s="101" t="str">
        <f t="shared" si="209"/>
        <v>专属强化石1</v>
      </c>
      <c r="GC180" s="101">
        <f t="shared" si="210"/>
        <v>6</v>
      </c>
      <c r="GD180" s="101" t="str">
        <f t="shared" si="211"/>
        <v>专属强化石2</v>
      </c>
      <c r="GE180" s="101">
        <f t="shared" si="212"/>
        <v>2</v>
      </c>
      <c r="GF180" s="101">
        <f t="shared" si="217"/>
        <v>0.15</v>
      </c>
      <c r="GG180" s="101">
        <f t="shared" si="218"/>
        <v>1</v>
      </c>
      <c r="GH180" s="101">
        <f t="shared" si="219"/>
        <v>10</v>
      </c>
      <c r="GI180" s="101">
        <f t="shared" si="220"/>
        <v>0</v>
      </c>
      <c r="GJ180" s="101">
        <f t="shared" si="221"/>
        <v>1</v>
      </c>
      <c r="GK180" s="101">
        <f t="shared" si="222"/>
        <v>2</v>
      </c>
      <c r="GL180" s="101">
        <f t="shared" si="223"/>
        <v>7.7100000000000002E-2</v>
      </c>
      <c r="GM180" s="101">
        <f t="shared" si="224"/>
        <v>1</v>
      </c>
      <c r="GN180" s="101">
        <f t="shared" si="225"/>
        <v>5</v>
      </c>
      <c r="GO180" s="101">
        <f t="shared" si="226"/>
        <v>0.30830000000000002</v>
      </c>
      <c r="GP180" s="101">
        <f t="shared" si="227"/>
        <v>1</v>
      </c>
      <c r="GQ180" s="101">
        <f t="shared" si="228"/>
        <v>10</v>
      </c>
    </row>
    <row r="181" spans="175:199" ht="16.5" x14ac:dyDescent="0.2">
      <c r="FS181" s="101">
        <v>176</v>
      </c>
      <c r="FT181" s="101">
        <f t="shared" si="213"/>
        <v>14</v>
      </c>
      <c r="FU181" s="101">
        <f t="shared" si="206"/>
        <v>3</v>
      </c>
      <c r="FV181" s="14">
        <f t="shared" si="207"/>
        <v>4</v>
      </c>
      <c r="FW181" s="101" t="str">
        <f t="shared" si="214"/>
        <v>典韦专属武器-魂珠-2 5级</v>
      </c>
      <c r="FX181" s="101">
        <f t="shared" si="215"/>
        <v>2</v>
      </c>
      <c r="FY181" s="101">
        <f t="shared" si="216"/>
        <v>5</v>
      </c>
      <c r="FZ181" s="101" t="str">
        <f t="shared" si="208"/>
        <v>金币</v>
      </c>
      <c r="GA181" s="139">
        <f>IF($FY181&gt;0,IF(INDEX($EM$6:$EM$77,$FT181)&gt;=GA$3,ROUND(INDEX(EO$6:EO$77,$FT181)*INDEX(卡牌消耗!$B$8:$F$8,FV181)/5,0)*5,""),"")</f>
        <v>955</v>
      </c>
      <c r="GB181" s="101" t="str">
        <f t="shared" si="209"/>
        <v>专属强化石1</v>
      </c>
      <c r="GC181" s="101">
        <f t="shared" si="210"/>
        <v>9</v>
      </c>
      <c r="GD181" s="101" t="str">
        <f t="shared" si="211"/>
        <v>专属强化石2</v>
      </c>
      <c r="GE181" s="101">
        <f t="shared" si="212"/>
        <v>3</v>
      </c>
      <c r="GF181" s="101">
        <f t="shared" si="217"/>
        <v>0.14000000000000001</v>
      </c>
      <c r="GG181" s="101">
        <f t="shared" si="218"/>
        <v>1</v>
      </c>
      <c r="GH181" s="101">
        <f t="shared" si="219"/>
        <v>10</v>
      </c>
      <c r="GI181" s="101">
        <f t="shared" si="220"/>
        <v>0</v>
      </c>
      <c r="GJ181" s="101">
        <f t="shared" si="221"/>
        <v>1</v>
      </c>
      <c r="GK181" s="101">
        <f t="shared" si="222"/>
        <v>2</v>
      </c>
      <c r="GL181" s="101">
        <f t="shared" si="223"/>
        <v>7.22E-2</v>
      </c>
      <c r="GM181" s="101">
        <f t="shared" si="224"/>
        <v>1</v>
      </c>
      <c r="GN181" s="101">
        <f t="shared" si="225"/>
        <v>5</v>
      </c>
      <c r="GO181" s="101">
        <f t="shared" si="226"/>
        <v>0.28899999999999998</v>
      </c>
      <c r="GP181" s="101">
        <f t="shared" si="227"/>
        <v>1</v>
      </c>
      <c r="GQ181" s="101">
        <f t="shared" si="228"/>
        <v>10</v>
      </c>
    </row>
    <row r="182" spans="175:199" ht="16.5" x14ac:dyDescent="0.2">
      <c r="FS182" s="101">
        <v>177</v>
      </c>
      <c r="FT182" s="101">
        <f t="shared" si="213"/>
        <v>15</v>
      </c>
      <c r="FU182" s="101">
        <f t="shared" si="206"/>
        <v>3</v>
      </c>
      <c r="FV182" s="14">
        <f t="shared" si="207"/>
        <v>4</v>
      </c>
      <c r="FW182" s="101" t="str">
        <f t="shared" si="214"/>
        <v>典韦专属武器-魂珠-2 6级</v>
      </c>
      <c r="FX182" s="101">
        <f t="shared" si="215"/>
        <v>2</v>
      </c>
      <c r="FY182" s="101">
        <f t="shared" si="216"/>
        <v>6</v>
      </c>
      <c r="FZ182" s="101" t="str">
        <f t="shared" si="208"/>
        <v>金币</v>
      </c>
      <c r="GA182" s="139">
        <f>IF($FY182&gt;0,IF(INDEX($EM$6:$EM$77,$FT182)&gt;=GA$3,ROUND(INDEX(EO$6:EO$77,$FT182)*INDEX(卡牌消耗!$B$8:$F$8,FV182)/5,0)*5,""),"")</f>
        <v>1270</v>
      </c>
      <c r="GB182" s="101" t="str">
        <f t="shared" si="209"/>
        <v>专属强化石1</v>
      </c>
      <c r="GC182" s="101">
        <f t="shared" si="210"/>
        <v>12</v>
      </c>
      <c r="GD182" s="101" t="str">
        <f t="shared" si="211"/>
        <v>专属强化石2</v>
      </c>
      <c r="GE182" s="101">
        <f t="shared" si="212"/>
        <v>4</v>
      </c>
      <c r="GF182" s="101">
        <f t="shared" si="217"/>
        <v>0.12</v>
      </c>
      <c r="GG182" s="101">
        <f t="shared" si="218"/>
        <v>1</v>
      </c>
      <c r="GH182" s="101">
        <f t="shared" si="219"/>
        <v>13</v>
      </c>
      <c r="GI182" s="101">
        <f t="shared" si="220"/>
        <v>0</v>
      </c>
      <c r="GJ182" s="101">
        <f t="shared" si="221"/>
        <v>1</v>
      </c>
      <c r="GK182" s="101">
        <f t="shared" si="222"/>
        <v>3</v>
      </c>
      <c r="GL182" s="101">
        <f t="shared" si="223"/>
        <v>5.9299999999999999E-2</v>
      </c>
      <c r="GM182" s="101">
        <f t="shared" si="224"/>
        <v>1</v>
      </c>
      <c r="GN182" s="101">
        <f t="shared" si="225"/>
        <v>6</v>
      </c>
      <c r="GO182" s="101">
        <f t="shared" si="226"/>
        <v>0.23710000000000001</v>
      </c>
      <c r="GP182" s="101">
        <f t="shared" si="227"/>
        <v>1</v>
      </c>
      <c r="GQ182" s="101">
        <f t="shared" si="228"/>
        <v>13</v>
      </c>
    </row>
    <row r="183" spans="175:199" ht="16.5" x14ac:dyDescent="0.2">
      <c r="FS183" s="101">
        <v>178</v>
      </c>
      <c r="FT183" s="101">
        <f t="shared" si="213"/>
        <v>16</v>
      </c>
      <c r="FU183" s="101">
        <f t="shared" si="206"/>
        <v>3</v>
      </c>
      <c r="FV183" s="14">
        <f t="shared" si="207"/>
        <v>4</v>
      </c>
      <c r="FW183" s="101" t="str">
        <f t="shared" si="214"/>
        <v>典韦专属武器-魂珠-2 7级</v>
      </c>
      <c r="FX183" s="101">
        <f t="shared" si="215"/>
        <v>2</v>
      </c>
      <c r="FY183" s="101">
        <f t="shared" si="216"/>
        <v>7</v>
      </c>
      <c r="FZ183" s="101" t="str">
        <f t="shared" si="208"/>
        <v>金币</v>
      </c>
      <c r="GA183" s="139">
        <f>IF($FY183&gt;0,IF(INDEX($EM$6:$EM$77,$FT183)&gt;=GA$3,ROUND(INDEX(EO$6:EO$77,$FT183)*INDEX(卡牌消耗!$B$8:$F$8,FV183)/5,0)*5,""),"")</f>
        <v>1590</v>
      </c>
      <c r="GB183" s="101" t="str">
        <f t="shared" si="209"/>
        <v>专属强化石1</v>
      </c>
      <c r="GC183" s="101">
        <f t="shared" si="210"/>
        <v>15</v>
      </c>
      <c r="GD183" s="101" t="str">
        <f t="shared" si="211"/>
        <v>专属强化石2</v>
      </c>
      <c r="GE183" s="101">
        <f t="shared" si="212"/>
        <v>5</v>
      </c>
      <c r="GF183" s="101">
        <f t="shared" si="217"/>
        <v>0.09</v>
      </c>
      <c r="GG183" s="101">
        <f t="shared" si="218"/>
        <v>1</v>
      </c>
      <c r="GH183" s="101">
        <f t="shared" si="219"/>
        <v>16</v>
      </c>
      <c r="GI183" s="101">
        <f t="shared" si="220"/>
        <v>0</v>
      </c>
      <c r="GJ183" s="101">
        <f t="shared" si="221"/>
        <v>1</v>
      </c>
      <c r="GK183" s="101">
        <f t="shared" si="222"/>
        <v>4</v>
      </c>
      <c r="GL183" s="101">
        <f t="shared" si="223"/>
        <v>4.5900000000000003E-2</v>
      </c>
      <c r="GM183" s="101">
        <f t="shared" si="224"/>
        <v>1</v>
      </c>
      <c r="GN183" s="101">
        <f t="shared" si="225"/>
        <v>8</v>
      </c>
      <c r="GO183" s="101">
        <f t="shared" si="226"/>
        <v>0.1835</v>
      </c>
      <c r="GP183" s="101">
        <f t="shared" si="227"/>
        <v>1</v>
      </c>
      <c r="GQ183" s="101">
        <f t="shared" si="228"/>
        <v>16</v>
      </c>
    </row>
    <row r="184" spans="175:199" ht="16.5" x14ac:dyDescent="0.2">
      <c r="FS184" s="101">
        <v>179</v>
      </c>
      <c r="FT184" s="101">
        <f t="shared" si="213"/>
        <v>17</v>
      </c>
      <c r="FU184" s="101">
        <f t="shared" si="206"/>
        <v>3</v>
      </c>
      <c r="FV184" s="14">
        <f t="shared" si="207"/>
        <v>4</v>
      </c>
      <c r="FW184" s="101" t="str">
        <f t="shared" si="214"/>
        <v>典韦专属武器-魂珠-2 8级</v>
      </c>
      <c r="FX184" s="101">
        <f t="shared" si="215"/>
        <v>2</v>
      </c>
      <c r="FY184" s="101">
        <f t="shared" si="216"/>
        <v>8</v>
      </c>
      <c r="FZ184" s="101" t="str">
        <f t="shared" si="208"/>
        <v>金币</v>
      </c>
      <c r="GA184" s="139">
        <f>IF($FY184&gt;0,IF(INDEX($EM$6:$EM$77,$FT184)&gt;=GA$3,ROUND(INDEX(EO$6:EO$77,$FT184)*INDEX(卡牌消耗!$B$8:$F$8,FV184)/5,0)*5,""),"")</f>
        <v>1905</v>
      </c>
      <c r="GB184" s="101" t="str">
        <f t="shared" si="209"/>
        <v>专属强化石1</v>
      </c>
      <c r="GC184" s="101">
        <f t="shared" si="210"/>
        <v>18</v>
      </c>
      <c r="GD184" s="101" t="str">
        <f t="shared" si="211"/>
        <v>专属强化石2</v>
      </c>
      <c r="GE184" s="101">
        <f t="shared" si="212"/>
        <v>6</v>
      </c>
      <c r="GF184" s="101">
        <f t="shared" si="217"/>
        <v>7.0000000000000007E-2</v>
      </c>
      <c r="GG184" s="101">
        <f t="shared" si="218"/>
        <v>1</v>
      </c>
      <c r="GH184" s="101">
        <f t="shared" si="219"/>
        <v>22</v>
      </c>
      <c r="GI184" s="101">
        <f t="shared" si="220"/>
        <v>0</v>
      </c>
      <c r="GJ184" s="101">
        <f t="shared" si="221"/>
        <v>1</v>
      </c>
      <c r="GK184" s="101">
        <f t="shared" si="222"/>
        <v>5</v>
      </c>
      <c r="GL184" s="101">
        <f t="shared" si="223"/>
        <v>3.4000000000000002E-2</v>
      </c>
      <c r="GM184" s="101">
        <f t="shared" si="224"/>
        <v>1</v>
      </c>
      <c r="GN184" s="101">
        <f t="shared" si="225"/>
        <v>10</v>
      </c>
      <c r="GO184" s="101">
        <f t="shared" si="226"/>
        <v>0.13600000000000001</v>
      </c>
      <c r="GP184" s="101">
        <f t="shared" si="227"/>
        <v>1</v>
      </c>
      <c r="GQ184" s="101">
        <f t="shared" si="228"/>
        <v>22</v>
      </c>
    </row>
    <row r="185" spans="175:199" ht="16.5" x14ac:dyDescent="0.2">
      <c r="FS185" s="101">
        <v>180</v>
      </c>
      <c r="FT185" s="101">
        <f t="shared" si="213"/>
        <v>18</v>
      </c>
      <c r="FU185" s="101">
        <f t="shared" si="206"/>
        <v>3</v>
      </c>
      <c r="FV185" s="14">
        <f t="shared" si="207"/>
        <v>4</v>
      </c>
      <c r="FW185" s="101" t="str">
        <f t="shared" si="214"/>
        <v>典韦专属武器-魂珠-2 9级</v>
      </c>
      <c r="FX185" s="101">
        <f t="shared" si="215"/>
        <v>2</v>
      </c>
      <c r="FY185" s="101">
        <f t="shared" si="216"/>
        <v>9</v>
      </c>
      <c r="FZ185" s="101" t="str">
        <f t="shared" si="208"/>
        <v>金币</v>
      </c>
      <c r="GA185" s="139">
        <f>IF($FY185&gt;0,IF(INDEX($EM$6:$EM$77,$FT185)&gt;=GA$3,ROUND(INDEX(EO$6:EO$77,$FT185)*INDEX(卡牌消耗!$B$8:$F$8,FV185)/5,0)*5,""),"")</f>
        <v>2540</v>
      </c>
      <c r="GB185" s="101" t="str">
        <f t="shared" si="209"/>
        <v>专属强化石1</v>
      </c>
      <c r="GC185" s="101">
        <f t="shared" si="210"/>
        <v>24</v>
      </c>
      <c r="GD185" s="101" t="str">
        <f t="shared" si="211"/>
        <v>专属强化石2</v>
      </c>
      <c r="GE185" s="101">
        <f t="shared" si="212"/>
        <v>8</v>
      </c>
      <c r="GF185" s="101">
        <f t="shared" si="217"/>
        <v>0.06</v>
      </c>
      <c r="GG185" s="101">
        <f t="shared" si="218"/>
        <v>1</v>
      </c>
      <c r="GH185" s="101">
        <f t="shared" si="219"/>
        <v>27</v>
      </c>
      <c r="GI185" s="101">
        <f t="shared" si="220"/>
        <v>0</v>
      </c>
      <c r="GJ185" s="101">
        <f t="shared" si="221"/>
        <v>1</v>
      </c>
      <c r="GK185" s="101">
        <f t="shared" si="222"/>
        <v>6</v>
      </c>
      <c r="GL185" s="101">
        <f t="shared" si="223"/>
        <v>2.8000000000000001E-2</v>
      </c>
      <c r="GM185" s="101">
        <f t="shared" si="224"/>
        <v>1</v>
      </c>
      <c r="GN185" s="101">
        <f t="shared" si="225"/>
        <v>12</v>
      </c>
      <c r="GO185" s="101">
        <f t="shared" si="226"/>
        <v>0.11210000000000001</v>
      </c>
      <c r="GP185" s="101">
        <f t="shared" si="227"/>
        <v>1</v>
      </c>
      <c r="GQ185" s="101">
        <f t="shared" si="228"/>
        <v>27</v>
      </c>
    </row>
    <row r="186" spans="175:199" ht="16.5" x14ac:dyDescent="0.2">
      <c r="FS186" s="101">
        <v>181</v>
      </c>
      <c r="FT186" s="101">
        <f t="shared" si="213"/>
        <v>0</v>
      </c>
      <c r="FU186" s="101">
        <f t="shared" si="206"/>
        <v>3</v>
      </c>
      <c r="FV186" s="14">
        <f t="shared" si="207"/>
        <v>4</v>
      </c>
      <c r="FW186" s="101" t="str">
        <f t="shared" si="214"/>
        <v>典韦专属武器-魂珠-3 0级</v>
      </c>
      <c r="FX186" s="101">
        <f t="shared" si="215"/>
        <v>3</v>
      </c>
      <c r="FY186" s="101">
        <f t="shared" si="216"/>
        <v>0</v>
      </c>
      <c r="FZ186" s="101" t="str">
        <f t="shared" si="208"/>
        <v/>
      </c>
      <c r="GA186" s="139" t="str">
        <f>IF($FY186&gt;0,IF(INDEX($EM$6:$EM$77,$FT186)&gt;=GA$3,ROUND(INDEX(EO$6:EO$77,$FT186)*INDEX(卡牌消耗!$B$8:$F$8,FV186)/5,0)*5,""),"")</f>
        <v/>
      </c>
      <c r="GB186" s="101" t="str">
        <f t="shared" si="209"/>
        <v/>
      </c>
      <c r="GC186" s="101" t="str">
        <f t="shared" si="210"/>
        <v/>
      </c>
      <c r="GD186" s="101" t="str">
        <f t="shared" si="211"/>
        <v/>
      </c>
      <c r="GE186" s="101" t="str">
        <f t="shared" si="212"/>
        <v/>
      </c>
      <c r="GF186" s="101" t="str">
        <f t="shared" si="217"/>
        <v/>
      </c>
      <c r="GG186" s="101" t="str">
        <f t="shared" si="218"/>
        <v/>
      </c>
      <c r="GH186" s="101" t="str">
        <f t="shared" si="219"/>
        <v/>
      </c>
      <c r="GI186" s="101" t="str">
        <f t="shared" si="220"/>
        <v/>
      </c>
      <c r="GJ186" s="101" t="str">
        <f t="shared" si="221"/>
        <v/>
      </c>
      <c r="GK186" s="101" t="str">
        <f t="shared" si="222"/>
        <v/>
      </c>
      <c r="GL186" s="101" t="str">
        <f t="shared" si="223"/>
        <v/>
      </c>
      <c r="GM186" s="101" t="str">
        <f t="shared" si="224"/>
        <v/>
      </c>
      <c r="GN186" s="101" t="str">
        <f t="shared" si="225"/>
        <v/>
      </c>
      <c r="GO186" s="101" t="str">
        <f t="shared" si="226"/>
        <v/>
      </c>
      <c r="GP186" s="101" t="str">
        <f t="shared" si="227"/>
        <v/>
      </c>
      <c r="GQ186" s="101" t="str">
        <f t="shared" si="228"/>
        <v/>
      </c>
    </row>
    <row r="187" spans="175:199" ht="16.5" x14ac:dyDescent="0.2">
      <c r="FS187" s="101">
        <v>182</v>
      </c>
      <c r="FT187" s="101">
        <f t="shared" si="213"/>
        <v>19</v>
      </c>
      <c r="FU187" s="101">
        <f t="shared" si="206"/>
        <v>3</v>
      </c>
      <c r="FV187" s="14">
        <f t="shared" si="207"/>
        <v>4</v>
      </c>
      <c r="FW187" s="101" t="str">
        <f t="shared" si="214"/>
        <v>典韦专属武器-魂珠-3 1级</v>
      </c>
      <c r="FX187" s="101">
        <f t="shared" si="215"/>
        <v>3</v>
      </c>
      <c r="FY187" s="101">
        <f t="shared" si="216"/>
        <v>1</v>
      </c>
      <c r="FZ187" s="101" t="str">
        <f t="shared" si="208"/>
        <v>金币</v>
      </c>
      <c r="GA187" s="139">
        <f>IF($FY187&gt;0,IF(INDEX($EM$6:$EM$77,$FT187)&gt;=GA$3,ROUND(INDEX(EO$6:EO$77,$FT187)*INDEX(卡牌消耗!$B$8:$F$8,FV187)/5,0)*5,""),"")</f>
        <v>820</v>
      </c>
      <c r="GB187" s="101" t="str">
        <f t="shared" si="209"/>
        <v>专属强化石1</v>
      </c>
      <c r="GC187" s="101">
        <f t="shared" si="210"/>
        <v>4</v>
      </c>
      <c r="GD187" s="101" t="str">
        <f t="shared" si="211"/>
        <v>专属强化石2</v>
      </c>
      <c r="GE187" s="101">
        <f t="shared" si="212"/>
        <v>2</v>
      </c>
      <c r="GF187" s="101">
        <f t="shared" si="217"/>
        <v>0.31</v>
      </c>
      <c r="GG187" s="101">
        <f t="shared" si="218"/>
        <v>1</v>
      </c>
      <c r="GH187" s="101">
        <f t="shared" si="219"/>
        <v>5</v>
      </c>
      <c r="GI187" s="101">
        <f t="shared" si="220"/>
        <v>0</v>
      </c>
      <c r="GJ187" s="101">
        <f t="shared" si="221"/>
        <v>1</v>
      </c>
      <c r="GK187" s="101">
        <f t="shared" si="222"/>
        <v>1</v>
      </c>
      <c r="GL187" s="101">
        <f t="shared" si="223"/>
        <v>0.15409999999999999</v>
      </c>
      <c r="GM187" s="101">
        <f t="shared" si="224"/>
        <v>1</v>
      </c>
      <c r="GN187" s="101">
        <f t="shared" si="225"/>
        <v>2</v>
      </c>
      <c r="GO187" s="101">
        <f t="shared" si="226"/>
        <v>0.61650000000000005</v>
      </c>
      <c r="GP187" s="101">
        <f t="shared" si="227"/>
        <v>1</v>
      </c>
      <c r="GQ187" s="101">
        <f t="shared" si="228"/>
        <v>5</v>
      </c>
    </row>
    <row r="188" spans="175:199" ht="16.5" x14ac:dyDescent="0.2">
      <c r="FS188" s="101">
        <v>183</v>
      </c>
      <c r="FT188" s="101">
        <f t="shared" si="213"/>
        <v>20</v>
      </c>
      <c r="FU188" s="101">
        <f t="shared" si="206"/>
        <v>3</v>
      </c>
      <c r="FV188" s="14">
        <f t="shared" si="207"/>
        <v>4</v>
      </c>
      <c r="FW188" s="101" t="str">
        <f t="shared" si="214"/>
        <v>典韦专属武器-魂珠-3 2级</v>
      </c>
      <c r="FX188" s="101">
        <f t="shared" si="215"/>
        <v>3</v>
      </c>
      <c r="FY188" s="101">
        <f t="shared" si="216"/>
        <v>2</v>
      </c>
      <c r="FZ188" s="101" t="str">
        <f t="shared" si="208"/>
        <v>金币</v>
      </c>
      <c r="GA188" s="139">
        <f>IF($FY188&gt;0,IF(INDEX($EM$6:$EM$77,$FT188)&gt;=GA$3,ROUND(INDEX(EO$6:EO$77,$FT188)*INDEX(卡牌消耗!$B$8:$F$8,FV188)/5,0)*5,""),"")</f>
        <v>615</v>
      </c>
      <c r="GB188" s="101" t="str">
        <f t="shared" si="209"/>
        <v>专属强化石1</v>
      </c>
      <c r="GC188" s="101">
        <f t="shared" si="210"/>
        <v>4</v>
      </c>
      <c r="GD188" s="101" t="str">
        <f t="shared" si="211"/>
        <v>专属强化石2</v>
      </c>
      <c r="GE188" s="101">
        <f t="shared" si="212"/>
        <v>2</v>
      </c>
      <c r="GF188" s="101">
        <f t="shared" si="217"/>
        <v>0.15</v>
      </c>
      <c r="GG188" s="101">
        <f t="shared" si="218"/>
        <v>1</v>
      </c>
      <c r="GH188" s="101">
        <f t="shared" si="219"/>
        <v>10</v>
      </c>
      <c r="GI188" s="101">
        <f t="shared" si="220"/>
        <v>0</v>
      </c>
      <c r="GJ188" s="101">
        <f t="shared" si="221"/>
        <v>1</v>
      </c>
      <c r="GK188" s="101">
        <f t="shared" si="222"/>
        <v>2</v>
      </c>
      <c r="GL188" s="101">
        <f t="shared" si="223"/>
        <v>7.7100000000000002E-2</v>
      </c>
      <c r="GM188" s="101">
        <f t="shared" si="224"/>
        <v>1</v>
      </c>
      <c r="GN188" s="101">
        <f t="shared" si="225"/>
        <v>5</v>
      </c>
      <c r="GO188" s="101">
        <f t="shared" si="226"/>
        <v>0.30830000000000002</v>
      </c>
      <c r="GP188" s="101">
        <f t="shared" si="227"/>
        <v>1</v>
      </c>
      <c r="GQ188" s="101">
        <f t="shared" si="228"/>
        <v>10</v>
      </c>
    </row>
    <row r="189" spans="175:199" ht="16.5" x14ac:dyDescent="0.2">
      <c r="FS189" s="101">
        <v>184</v>
      </c>
      <c r="FT189" s="101">
        <f t="shared" si="213"/>
        <v>21</v>
      </c>
      <c r="FU189" s="101">
        <f t="shared" si="206"/>
        <v>3</v>
      </c>
      <c r="FV189" s="14">
        <f t="shared" si="207"/>
        <v>4</v>
      </c>
      <c r="FW189" s="101" t="str">
        <f t="shared" si="214"/>
        <v>典韦专属武器-魂珠-3 3级</v>
      </c>
      <c r="FX189" s="101">
        <f t="shared" si="215"/>
        <v>3</v>
      </c>
      <c r="FY189" s="101">
        <f t="shared" si="216"/>
        <v>3</v>
      </c>
      <c r="FZ189" s="101" t="str">
        <f t="shared" si="208"/>
        <v>金币</v>
      </c>
      <c r="GA189" s="139">
        <f>IF($FY189&gt;0,IF(INDEX($EM$6:$EM$77,$FT189)&gt;=GA$3,ROUND(INDEX(EO$6:EO$77,$FT189)*INDEX(卡牌消耗!$B$8:$F$8,FV189)/5,0)*5,""),"")</f>
        <v>1025</v>
      </c>
      <c r="GB189" s="101" t="str">
        <f t="shared" si="209"/>
        <v>专属强化石1</v>
      </c>
      <c r="GC189" s="101">
        <f t="shared" si="210"/>
        <v>6</v>
      </c>
      <c r="GD189" s="101" t="str">
        <f t="shared" si="211"/>
        <v>专属强化石2</v>
      </c>
      <c r="GE189" s="101">
        <f t="shared" si="212"/>
        <v>3</v>
      </c>
      <c r="GF189" s="101">
        <f t="shared" si="217"/>
        <v>0.15</v>
      </c>
      <c r="GG189" s="101">
        <f t="shared" si="218"/>
        <v>1</v>
      </c>
      <c r="GH189" s="101">
        <f t="shared" si="219"/>
        <v>10</v>
      </c>
      <c r="GI189" s="101">
        <f t="shared" si="220"/>
        <v>0</v>
      </c>
      <c r="GJ189" s="101">
        <f t="shared" si="221"/>
        <v>1</v>
      </c>
      <c r="GK189" s="101">
        <f t="shared" si="222"/>
        <v>2</v>
      </c>
      <c r="GL189" s="101">
        <f t="shared" si="223"/>
        <v>7.7100000000000002E-2</v>
      </c>
      <c r="GM189" s="101">
        <f t="shared" si="224"/>
        <v>1</v>
      </c>
      <c r="GN189" s="101">
        <f t="shared" si="225"/>
        <v>5</v>
      </c>
      <c r="GO189" s="101">
        <f t="shared" si="226"/>
        <v>0.30830000000000002</v>
      </c>
      <c r="GP189" s="101">
        <f t="shared" si="227"/>
        <v>1</v>
      </c>
      <c r="GQ189" s="101">
        <f t="shared" si="228"/>
        <v>10</v>
      </c>
    </row>
    <row r="190" spans="175:199" ht="16.5" x14ac:dyDescent="0.2">
      <c r="FS190" s="101">
        <v>185</v>
      </c>
      <c r="FT190" s="101">
        <f t="shared" si="213"/>
        <v>22</v>
      </c>
      <c r="FU190" s="101">
        <f t="shared" si="206"/>
        <v>3</v>
      </c>
      <c r="FV190" s="14">
        <f t="shared" si="207"/>
        <v>4</v>
      </c>
      <c r="FW190" s="101" t="str">
        <f t="shared" si="214"/>
        <v>典韦专属武器-魂珠-3 4级</v>
      </c>
      <c r="FX190" s="101">
        <f t="shared" si="215"/>
        <v>3</v>
      </c>
      <c r="FY190" s="101">
        <f t="shared" si="216"/>
        <v>4</v>
      </c>
      <c r="FZ190" s="101" t="str">
        <f t="shared" si="208"/>
        <v>金币</v>
      </c>
      <c r="GA190" s="139">
        <f>IF($FY190&gt;0,IF(INDEX($EM$6:$EM$77,$FT190)&gt;=GA$3,ROUND(INDEX(EO$6:EO$77,$FT190)*INDEX(卡牌消耗!$B$8:$F$8,FV190)/5,0)*5,""),"")</f>
        <v>985</v>
      </c>
      <c r="GB190" s="101" t="str">
        <f t="shared" si="209"/>
        <v>专属强化石1</v>
      </c>
      <c r="GC190" s="101">
        <f t="shared" si="210"/>
        <v>6</v>
      </c>
      <c r="GD190" s="101" t="str">
        <f t="shared" si="211"/>
        <v>专属强化石2</v>
      </c>
      <c r="GE190" s="101">
        <f t="shared" si="212"/>
        <v>3</v>
      </c>
      <c r="GF190" s="101">
        <f t="shared" si="217"/>
        <v>0.09</v>
      </c>
      <c r="GG190" s="101">
        <f t="shared" si="218"/>
        <v>1</v>
      </c>
      <c r="GH190" s="101">
        <f t="shared" si="219"/>
        <v>16</v>
      </c>
      <c r="GI190" s="101">
        <f t="shared" si="220"/>
        <v>0</v>
      </c>
      <c r="GJ190" s="101">
        <f t="shared" si="221"/>
        <v>1</v>
      </c>
      <c r="GK190" s="101">
        <f t="shared" si="222"/>
        <v>4</v>
      </c>
      <c r="GL190" s="101">
        <f t="shared" si="223"/>
        <v>4.6199999999999998E-2</v>
      </c>
      <c r="GM190" s="101">
        <f t="shared" si="224"/>
        <v>1</v>
      </c>
      <c r="GN190" s="101">
        <f t="shared" si="225"/>
        <v>8</v>
      </c>
      <c r="GO190" s="101">
        <f t="shared" si="226"/>
        <v>0.185</v>
      </c>
      <c r="GP190" s="101">
        <f t="shared" si="227"/>
        <v>1</v>
      </c>
      <c r="GQ190" s="101">
        <f t="shared" si="228"/>
        <v>16</v>
      </c>
    </row>
    <row r="191" spans="175:199" ht="16.5" x14ac:dyDescent="0.2">
      <c r="FS191" s="101">
        <v>186</v>
      </c>
      <c r="FT191" s="101">
        <f t="shared" si="213"/>
        <v>23</v>
      </c>
      <c r="FU191" s="101">
        <f t="shared" si="206"/>
        <v>3</v>
      </c>
      <c r="FV191" s="14">
        <f t="shared" si="207"/>
        <v>4</v>
      </c>
      <c r="FW191" s="101" t="str">
        <f t="shared" si="214"/>
        <v>典韦专属武器-魂珠-3 5级</v>
      </c>
      <c r="FX191" s="101">
        <f t="shared" si="215"/>
        <v>3</v>
      </c>
      <c r="FY191" s="101">
        <f t="shared" si="216"/>
        <v>5</v>
      </c>
      <c r="FZ191" s="101" t="str">
        <f t="shared" si="208"/>
        <v>金币</v>
      </c>
      <c r="GA191" s="139">
        <f>IF($FY191&gt;0,IF(INDEX($EM$6:$EM$77,$FT191)&gt;=GA$3,ROUND(INDEX(EO$6:EO$77,$FT191)*INDEX(卡牌消耗!$B$8:$F$8,FV191)/5,0)*5,""),"")</f>
        <v>1330</v>
      </c>
      <c r="GB191" s="101" t="str">
        <f t="shared" si="209"/>
        <v>专属强化石1</v>
      </c>
      <c r="GC191" s="101">
        <f t="shared" si="210"/>
        <v>8</v>
      </c>
      <c r="GD191" s="101" t="str">
        <f t="shared" si="211"/>
        <v>专属强化石2</v>
      </c>
      <c r="GE191" s="101">
        <f t="shared" si="212"/>
        <v>4</v>
      </c>
      <c r="GF191" s="101">
        <f t="shared" si="217"/>
        <v>0.08</v>
      </c>
      <c r="GG191" s="101">
        <f t="shared" si="218"/>
        <v>1</v>
      </c>
      <c r="GH191" s="101">
        <f t="shared" si="219"/>
        <v>19</v>
      </c>
      <c r="GI191" s="101">
        <f t="shared" si="220"/>
        <v>0</v>
      </c>
      <c r="GJ191" s="101">
        <f t="shared" si="221"/>
        <v>1</v>
      </c>
      <c r="GK191" s="101">
        <f t="shared" si="222"/>
        <v>5</v>
      </c>
      <c r="GL191" s="101">
        <f t="shared" si="223"/>
        <v>3.85E-2</v>
      </c>
      <c r="GM191" s="101">
        <f t="shared" si="224"/>
        <v>1</v>
      </c>
      <c r="GN191" s="101">
        <f t="shared" si="225"/>
        <v>9</v>
      </c>
      <c r="GO191" s="101">
        <f t="shared" si="226"/>
        <v>0.15409999999999999</v>
      </c>
      <c r="GP191" s="101">
        <f t="shared" si="227"/>
        <v>1</v>
      </c>
      <c r="GQ191" s="101">
        <f t="shared" si="228"/>
        <v>19</v>
      </c>
    </row>
    <row r="192" spans="175:199" ht="16.5" x14ac:dyDescent="0.2">
      <c r="FS192" s="101">
        <v>187</v>
      </c>
      <c r="FT192" s="101">
        <f t="shared" si="213"/>
        <v>24</v>
      </c>
      <c r="FU192" s="101">
        <f t="shared" si="206"/>
        <v>3</v>
      </c>
      <c r="FV192" s="14">
        <f t="shared" si="207"/>
        <v>4</v>
      </c>
      <c r="FW192" s="101" t="str">
        <f t="shared" si="214"/>
        <v>典韦专属武器-魂珠-3 6级</v>
      </c>
      <c r="FX192" s="101">
        <f t="shared" si="215"/>
        <v>3</v>
      </c>
      <c r="FY192" s="101">
        <f t="shared" si="216"/>
        <v>6</v>
      </c>
      <c r="FZ192" s="101" t="str">
        <f t="shared" si="208"/>
        <v>金币</v>
      </c>
      <c r="GA192" s="139">
        <f>IF($FY192&gt;0,IF(INDEX($EM$6:$EM$77,$FT192)&gt;=GA$3,ROUND(INDEX(EO$6:EO$77,$FT192)*INDEX(卡牌消耗!$B$8:$F$8,FV192)/5,0)*5,""),"")</f>
        <v>1650</v>
      </c>
      <c r="GB192" s="101" t="str">
        <f t="shared" si="209"/>
        <v>专属强化石1</v>
      </c>
      <c r="GC192" s="101">
        <f t="shared" si="210"/>
        <v>10</v>
      </c>
      <c r="GD192" s="101" t="str">
        <f t="shared" si="211"/>
        <v>专属强化石2</v>
      </c>
      <c r="GE192" s="101">
        <f t="shared" si="212"/>
        <v>5</v>
      </c>
      <c r="GF192" s="101">
        <f t="shared" si="217"/>
        <v>0.06</v>
      </c>
      <c r="GG192" s="101">
        <f t="shared" si="218"/>
        <v>1</v>
      </c>
      <c r="GH192" s="101">
        <f t="shared" si="219"/>
        <v>25</v>
      </c>
      <c r="GI192" s="101">
        <f t="shared" si="220"/>
        <v>0</v>
      </c>
      <c r="GJ192" s="101">
        <f t="shared" si="221"/>
        <v>1</v>
      </c>
      <c r="GK192" s="101">
        <f t="shared" si="222"/>
        <v>6</v>
      </c>
      <c r="GL192" s="101">
        <f t="shared" si="223"/>
        <v>2.9600000000000001E-2</v>
      </c>
      <c r="GM192" s="101">
        <f t="shared" si="224"/>
        <v>1</v>
      </c>
      <c r="GN192" s="101">
        <f t="shared" si="225"/>
        <v>12</v>
      </c>
      <c r="GO192" s="101">
        <f t="shared" si="226"/>
        <v>0.1186</v>
      </c>
      <c r="GP192" s="101">
        <f t="shared" si="227"/>
        <v>1</v>
      </c>
      <c r="GQ192" s="101">
        <f t="shared" si="228"/>
        <v>25</v>
      </c>
    </row>
    <row r="193" spans="175:199" ht="16.5" x14ac:dyDescent="0.2">
      <c r="FS193" s="101">
        <v>188</v>
      </c>
      <c r="FT193" s="101">
        <f t="shared" si="213"/>
        <v>25</v>
      </c>
      <c r="FU193" s="101">
        <f t="shared" si="206"/>
        <v>3</v>
      </c>
      <c r="FV193" s="14">
        <f t="shared" si="207"/>
        <v>4</v>
      </c>
      <c r="FW193" s="101" t="str">
        <f t="shared" si="214"/>
        <v>典韦专属武器-魂珠-3 7级</v>
      </c>
      <c r="FX193" s="101">
        <f t="shared" si="215"/>
        <v>3</v>
      </c>
      <c r="FY193" s="101">
        <f t="shared" si="216"/>
        <v>7</v>
      </c>
      <c r="FZ193" s="101" t="str">
        <f t="shared" si="208"/>
        <v>金币</v>
      </c>
      <c r="GA193" s="139">
        <f>IF($FY193&gt;0,IF(INDEX($EM$6:$EM$77,$FT193)&gt;=GA$3,ROUND(INDEX(EO$6:EO$77,$FT193)*INDEX(卡牌消耗!$B$8:$F$8,FV193)/5,0)*5,""),"")</f>
        <v>1990</v>
      </c>
      <c r="GB193" s="101" t="str">
        <f t="shared" si="209"/>
        <v>专属强化石1</v>
      </c>
      <c r="GC193" s="101">
        <f t="shared" si="210"/>
        <v>12</v>
      </c>
      <c r="GD193" s="101" t="str">
        <f t="shared" si="211"/>
        <v>专属强化石2</v>
      </c>
      <c r="GE193" s="101">
        <f t="shared" si="212"/>
        <v>6</v>
      </c>
      <c r="GF193" s="101">
        <f t="shared" si="217"/>
        <v>0.04</v>
      </c>
      <c r="GG193" s="101">
        <f t="shared" si="218"/>
        <v>1</v>
      </c>
      <c r="GH193" s="101">
        <f t="shared" si="219"/>
        <v>34</v>
      </c>
      <c r="GI193" s="101">
        <f t="shared" si="220"/>
        <v>0</v>
      </c>
      <c r="GJ193" s="101">
        <f t="shared" si="221"/>
        <v>1</v>
      </c>
      <c r="GK193" s="101">
        <f t="shared" si="222"/>
        <v>8</v>
      </c>
      <c r="GL193" s="101">
        <f t="shared" si="223"/>
        <v>2.1999999999999999E-2</v>
      </c>
      <c r="GM193" s="101">
        <f t="shared" si="224"/>
        <v>1</v>
      </c>
      <c r="GN193" s="101">
        <f t="shared" si="225"/>
        <v>16</v>
      </c>
      <c r="GO193" s="101">
        <f t="shared" si="226"/>
        <v>8.8099999999999998E-2</v>
      </c>
      <c r="GP193" s="101">
        <f t="shared" si="227"/>
        <v>1</v>
      </c>
      <c r="GQ193" s="101">
        <f t="shared" si="228"/>
        <v>34</v>
      </c>
    </row>
    <row r="194" spans="175:199" ht="16.5" x14ac:dyDescent="0.2">
      <c r="FS194" s="101">
        <v>189</v>
      </c>
      <c r="FT194" s="101">
        <f t="shared" si="213"/>
        <v>26</v>
      </c>
      <c r="FU194" s="101">
        <f t="shared" si="206"/>
        <v>3</v>
      </c>
      <c r="FV194" s="14">
        <f t="shared" si="207"/>
        <v>4</v>
      </c>
      <c r="FW194" s="101" t="str">
        <f t="shared" si="214"/>
        <v>典韦专属武器-魂珠-3 8级</v>
      </c>
      <c r="FX194" s="101">
        <f t="shared" si="215"/>
        <v>3</v>
      </c>
      <c r="FY194" s="101">
        <f t="shared" si="216"/>
        <v>8</v>
      </c>
      <c r="FZ194" s="101" t="str">
        <f t="shared" si="208"/>
        <v>金币</v>
      </c>
      <c r="GA194" s="139">
        <f>IF($FY194&gt;0,IF(INDEX($EM$6:$EM$77,$FT194)&gt;=GA$3,ROUND(INDEX(EO$6:EO$77,$FT194)*INDEX(卡牌消耗!$B$8:$F$8,FV194)/5,0)*5,""),"")</f>
        <v>2650</v>
      </c>
      <c r="GB194" s="101" t="str">
        <f t="shared" si="209"/>
        <v>专属强化石1</v>
      </c>
      <c r="GC194" s="101">
        <f t="shared" si="210"/>
        <v>16</v>
      </c>
      <c r="GD194" s="101" t="str">
        <f t="shared" si="211"/>
        <v>专属强化石2</v>
      </c>
      <c r="GE194" s="101">
        <f t="shared" si="212"/>
        <v>8</v>
      </c>
      <c r="GF194" s="101">
        <f t="shared" si="217"/>
        <v>0.04</v>
      </c>
      <c r="GG194" s="101">
        <f t="shared" si="218"/>
        <v>1</v>
      </c>
      <c r="GH194" s="101">
        <f t="shared" si="219"/>
        <v>41</v>
      </c>
      <c r="GI194" s="101">
        <f t="shared" si="220"/>
        <v>0</v>
      </c>
      <c r="GJ194" s="101">
        <f t="shared" si="221"/>
        <v>1</v>
      </c>
      <c r="GK194" s="101">
        <f t="shared" si="222"/>
        <v>10</v>
      </c>
      <c r="GL194" s="101">
        <f t="shared" si="223"/>
        <v>1.8100000000000002E-2</v>
      </c>
      <c r="GM194" s="101">
        <f t="shared" si="224"/>
        <v>1</v>
      </c>
      <c r="GN194" s="101">
        <f t="shared" si="225"/>
        <v>19</v>
      </c>
      <c r="GO194" s="101">
        <f t="shared" si="226"/>
        <v>7.2499999999999995E-2</v>
      </c>
      <c r="GP194" s="101">
        <f t="shared" si="227"/>
        <v>1</v>
      </c>
      <c r="GQ194" s="101">
        <f t="shared" si="228"/>
        <v>41</v>
      </c>
    </row>
    <row r="195" spans="175:199" ht="16.5" x14ac:dyDescent="0.2">
      <c r="FS195" s="101">
        <v>190</v>
      </c>
      <c r="FT195" s="101">
        <f t="shared" si="213"/>
        <v>27</v>
      </c>
      <c r="FU195" s="101">
        <f t="shared" si="206"/>
        <v>3</v>
      </c>
      <c r="FV195" s="14">
        <f t="shared" si="207"/>
        <v>4</v>
      </c>
      <c r="FW195" s="101" t="str">
        <f t="shared" si="214"/>
        <v>典韦专属武器-魂珠-3 9级</v>
      </c>
      <c r="FX195" s="101">
        <f t="shared" si="215"/>
        <v>3</v>
      </c>
      <c r="FY195" s="101">
        <f t="shared" si="216"/>
        <v>9</v>
      </c>
      <c r="FZ195" s="101" t="str">
        <f t="shared" si="208"/>
        <v>金币</v>
      </c>
      <c r="GA195" s="139">
        <f>IF($FY195&gt;0,IF(INDEX($EM$6:$EM$77,$FT195)&gt;=GA$3,ROUND(INDEX(EO$6:EO$77,$FT195)*INDEX(卡牌消耗!$B$8:$F$8,FV195)/5,0)*5,""),"")</f>
        <v>3310</v>
      </c>
      <c r="GB195" s="101" t="str">
        <f t="shared" si="209"/>
        <v>专属强化石1</v>
      </c>
      <c r="GC195" s="101">
        <f t="shared" si="210"/>
        <v>20</v>
      </c>
      <c r="GD195" s="101" t="str">
        <f t="shared" si="211"/>
        <v>专属强化石2</v>
      </c>
      <c r="GE195" s="101">
        <f t="shared" si="212"/>
        <v>10</v>
      </c>
      <c r="GF195" s="101">
        <f t="shared" si="217"/>
        <v>0.03</v>
      </c>
      <c r="GG195" s="101">
        <f t="shared" si="218"/>
        <v>1</v>
      </c>
      <c r="GH195" s="101">
        <f t="shared" si="219"/>
        <v>54</v>
      </c>
      <c r="GI195" s="101">
        <f t="shared" si="220"/>
        <v>0</v>
      </c>
      <c r="GJ195" s="101">
        <f t="shared" si="221"/>
        <v>1</v>
      </c>
      <c r="GK195" s="101">
        <f t="shared" si="222"/>
        <v>12</v>
      </c>
      <c r="GL195" s="101">
        <f t="shared" si="223"/>
        <v>1.4E-2</v>
      </c>
      <c r="GM195" s="101">
        <f t="shared" si="224"/>
        <v>1</v>
      </c>
      <c r="GN195" s="101">
        <f t="shared" si="225"/>
        <v>25</v>
      </c>
      <c r="GO195" s="101">
        <f t="shared" si="226"/>
        <v>5.6000000000000001E-2</v>
      </c>
      <c r="GP195" s="101">
        <f t="shared" si="227"/>
        <v>1</v>
      </c>
      <c r="GQ195" s="101">
        <f t="shared" si="228"/>
        <v>54</v>
      </c>
    </row>
    <row r="196" spans="175:199" ht="16.5" x14ac:dyDescent="0.2">
      <c r="FS196" s="101">
        <v>191</v>
      </c>
      <c r="FT196" s="101">
        <f t="shared" si="213"/>
        <v>0</v>
      </c>
      <c r="FU196" s="101">
        <f t="shared" si="206"/>
        <v>3</v>
      </c>
      <c r="FV196" s="14">
        <f t="shared" si="207"/>
        <v>4</v>
      </c>
      <c r="FW196" s="101" t="str">
        <f t="shared" si="214"/>
        <v>典韦专属武器-魂珠-4 0级</v>
      </c>
      <c r="FX196" s="101">
        <f t="shared" si="215"/>
        <v>4</v>
      </c>
      <c r="FY196" s="101">
        <f t="shared" si="216"/>
        <v>0</v>
      </c>
      <c r="FZ196" s="101" t="str">
        <f t="shared" si="208"/>
        <v/>
      </c>
      <c r="GA196" s="139" t="str">
        <f>IF($FY196&gt;0,IF(INDEX($EM$6:$EM$77,$FT196)&gt;=GA$3,ROUND(INDEX(EO$6:EO$77,$FT196)*INDEX(卡牌消耗!$B$8:$F$8,FV196)/5,0)*5,""),"")</f>
        <v/>
      </c>
      <c r="GB196" s="101" t="str">
        <f t="shared" si="209"/>
        <v/>
      </c>
      <c r="GC196" s="101" t="str">
        <f t="shared" si="210"/>
        <v/>
      </c>
      <c r="GD196" s="101" t="str">
        <f t="shared" si="211"/>
        <v/>
      </c>
      <c r="GE196" s="101" t="str">
        <f t="shared" si="212"/>
        <v/>
      </c>
      <c r="GF196" s="101" t="str">
        <f t="shared" si="217"/>
        <v/>
      </c>
      <c r="GG196" s="101" t="str">
        <f t="shared" si="218"/>
        <v/>
      </c>
      <c r="GH196" s="101" t="str">
        <f t="shared" si="219"/>
        <v/>
      </c>
      <c r="GI196" s="101" t="str">
        <f t="shared" si="220"/>
        <v/>
      </c>
      <c r="GJ196" s="101" t="str">
        <f t="shared" si="221"/>
        <v/>
      </c>
      <c r="GK196" s="101" t="str">
        <f t="shared" si="222"/>
        <v/>
      </c>
      <c r="GL196" s="101" t="str">
        <f t="shared" si="223"/>
        <v/>
      </c>
      <c r="GM196" s="101" t="str">
        <f t="shared" si="224"/>
        <v/>
      </c>
      <c r="GN196" s="101" t="str">
        <f t="shared" si="225"/>
        <v/>
      </c>
      <c r="GO196" s="101" t="str">
        <f t="shared" si="226"/>
        <v/>
      </c>
      <c r="GP196" s="101" t="str">
        <f t="shared" si="227"/>
        <v/>
      </c>
      <c r="GQ196" s="101" t="str">
        <f t="shared" si="228"/>
        <v/>
      </c>
    </row>
    <row r="197" spans="175:199" ht="16.5" x14ac:dyDescent="0.2">
      <c r="FS197" s="101">
        <v>192</v>
      </c>
      <c r="FT197" s="101">
        <f t="shared" si="213"/>
        <v>28</v>
      </c>
      <c r="FU197" s="101">
        <f t="shared" si="206"/>
        <v>3</v>
      </c>
      <c r="FV197" s="14">
        <f t="shared" si="207"/>
        <v>4</v>
      </c>
      <c r="FW197" s="101" t="str">
        <f t="shared" si="214"/>
        <v>典韦专属武器-魂珠-4 1级</v>
      </c>
      <c r="FX197" s="101">
        <f t="shared" si="215"/>
        <v>4</v>
      </c>
      <c r="FY197" s="101">
        <f t="shared" si="216"/>
        <v>1</v>
      </c>
      <c r="FZ197" s="101" t="str">
        <f t="shared" si="208"/>
        <v>金币</v>
      </c>
      <c r="GA197" s="139">
        <f>IF($FY197&gt;0,IF(INDEX($EM$6:$EM$77,$FT197)&gt;=GA$3,ROUND(INDEX(EO$6:EO$77,$FT197)*INDEX(卡牌消耗!$B$8:$F$8,FV197)/5,0)*5,""),"")</f>
        <v>1095</v>
      </c>
      <c r="GB197" s="101" t="str">
        <f t="shared" si="209"/>
        <v>专属强化石2</v>
      </c>
      <c r="GC197" s="101">
        <f t="shared" si="210"/>
        <v>3</v>
      </c>
      <c r="GD197" s="101" t="str">
        <f t="shared" si="211"/>
        <v>专属强化石3</v>
      </c>
      <c r="GE197" s="101">
        <f t="shared" si="212"/>
        <v>1</v>
      </c>
      <c r="GF197" s="101">
        <f t="shared" si="217"/>
        <v>0.2</v>
      </c>
      <c r="GG197" s="101">
        <f t="shared" si="218"/>
        <v>1</v>
      </c>
      <c r="GH197" s="101">
        <f t="shared" si="219"/>
        <v>7</v>
      </c>
      <c r="GI197" s="101">
        <f t="shared" si="220"/>
        <v>0</v>
      </c>
      <c r="GJ197" s="101">
        <f t="shared" si="221"/>
        <v>1</v>
      </c>
      <c r="GK197" s="101">
        <f t="shared" si="222"/>
        <v>2</v>
      </c>
      <c r="GL197" s="101">
        <f t="shared" si="223"/>
        <v>0.1012</v>
      </c>
      <c r="GM197" s="101">
        <f t="shared" si="224"/>
        <v>1</v>
      </c>
      <c r="GN197" s="101">
        <f t="shared" si="225"/>
        <v>3</v>
      </c>
      <c r="GO197" s="101">
        <f t="shared" si="226"/>
        <v>0.40479999999999999</v>
      </c>
      <c r="GP197" s="101">
        <f t="shared" si="227"/>
        <v>1</v>
      </c>
      <c r="GQ197" s="101">
        <f t="shared" si="228"/>
        <v>7</v>
      </c>
    </row>
    <row r="198" spans="175:199" ht="16.5" x14ac:dyDescent="0.2">
      <c r="FS198" s="101">
        <v>193</v>
      </c>
      <c r="FT198" s="101">
        <f t="shared" si="213"/>
        <v>29</v>
      </c>
      <c r="FU198" s="101">
        <f t="shared" si="206"/>
        <v>3</v>
      </c>
      <c r="FV198" s="14">
        <f t="shared" si="207"/>
        <v>4</v>
      </c>
      <c r="FW198" s="101" t="str">
        <f t="shared" si="214"/>
        <v>典韦专属武器-魂珠-4 2级</v>
      </c>
      <c r="FX198" s="101">
        <f t="shared" si="215"/>
        <v>4</v>
      </c>
      <c r="FY198" s="101">
        <f t="shared" si="216"/>
        <v>2</v>
      </c>
      <c r="FZ198" s="101" t="str">
        <f t="shared" si="208"/>
        <v>金币</v>
      </c>
      <c r="GA198" s="139">
        <f>IF($FY198&gt;0,IF(INDEX($EM$6:$EM$77,$FT198)&gt;=GA$3,ROUND(INDEX(EO$6:EO$77,$FT198)*INDEX(卡牌消耗!$B$8:$F$8,FV198)/5,0)*5,""),"")</f>
        <v>820</v>
      </c>
      <c r="GB198" s="101" t="str">
        <f t="shared" si="209"/>
        <v>专属强化石2</v>
      </c>
      <c r="GC198" s="101">
        <f t="shared" si="210"/>
        <v>3</v>
      </c>
      <c r="GD198" s="101" t="str">
        <f t="shared" si="211"/>
        <v>专属强化石3</v>
      </c>
      <c r="GE198" s="101">
        <f t="shared" si="212"/>
        <v>1</v>
      </c>
      <c r="GF198" s="101">
        <f t="shared" si="217"/>
        <v>0.1</v>
      </c>
      <c r="GG198" s="101">
        <f t="shared" si="218"/>
        <v>1</v>
      </c>
      <c r="GH198" s="101">
        <f t="shared" si="219"/>
        <v>15</v>
      </c>
      <c r="GI198" s="101">
        <f t="shared" si="220"/>
        <v>0</v>
      </c>
      <c r="GJ198" s="101">
        <f t="shared" si="221"/>
        <v>1</v>
      </c>
      <c r="GK198" s="101">
        <f t="shared" si="222"/>
        <v>3</v>
      </c>
      <c r="GL198" s="101">
        <f t="shared" si="223"/>
        <v>5.0599999999999999E-2</v>
      </c>
      <c r="GM198" s="101">
        <f t="shared" si="224"/>
        <v>1</v>
      </c>
      <c r="GN198" s="101">
        <f t="shared" si="225"/>
        <v>7</v>
      </c>
      <c r="GO198" s="101">
        <f t="shared" si="226"/>
        <v>0.2024</v>
      </c>
      <c r="GP198" s="101">
        <f t="shared" si="227"/>
        <v>1</v>
      </c>
      <c r="GQ198" s="101">
        <f t="shared" si="228"/>
        <v>15</v>
      </c>
    </row>
    <row r="199" spans="175:199" ht="16.5" x14ac:dyDescent="0.2">
      <c r="FS199" s="101">
        <v>194</v>
      </c>
      <c r="FT199" s="101">
        <f t="shared" si="213"/>
        <v>30</v>
      </c>
      <c r="FU199" s="101">
        <f t="shared" ref="FU199:FU262" si="229">INT((FS199-1)/80+1)</f>
        <v>3</v>
      </c>
      <c r="FV199" s="14">
        <f t="shared" ref="FV199:FV262" si="230">INDEX($FO$6:$FO$26,FU199)</f>
        <v>4</v>
      </c>
      <c r="FW199" s="101" t="str">
        <f t="shared" si="214"/>
        <v>典韦专属武器-魂珠-4 3级</v>
      </c>
      <c r="FX199" s="101">
        <f t="shared" si="215"/>
        <v>4</v>
      </c>
      <c r="FY199" s="101">
        <f t="shared" si="216"/>
        <v>3</v>
      </c>
      <c r="FZ199" s="101" t="str">
        <f t="shared" ref="FZ199:FZ262" si="231">IF($FY199&gt;0,IF(INDEX($EM$6:$EM$77,$FT199)&gt;=FZ$3,INDEX(EN$6:EN$77,$FT199),""),"")</f>
        <v>金币</v>
      </c>
      <c r="GA199" s="139">
        <f>IF($FY199&gt;0,IF(INDEX($EM$6:$EM$77,$FT199)&gt;=GA$3,ROUND(INDEX(EO$6:EO$77,$FT199)*INDEX(卡牌消耗!$B$8:$F$8,FV199)/5,0)*5,""),"")</f>
        <v>910</v>
      </c>
      <c r="GB199" s="101" t="str">
        <f t="shared" ref="GB199:GB262" si="232">IF($FY199&gt;0,IF(INDEX($EM$6:$EM$77,$FT199)&gt;=GB$3,INDEX(EP$6:EP$77,$FT199),""),"")</f>
        <v>专属强化石2</v>
      </c>
      <c r="GC199" s="101">
        <f t="shared" ref="GC199:GC262" si="233">IF($FY199&gt;0,IF(INDEX($EM$6:$EM$77,$FT199)&gt;=GC$3,INDEX(EQ$6:EQ$77,$FT199),""),"")</f>
        <v>3</v>
      </c>
      <c r="GD199" s="101" t="str">
        <f t="shared" ref="GD199:GD262" si="234">IF($FY199&gt;0,IF(INDEX($EM$6:$EM$77,$FT199)&gt;=GD$3,INDEX(ER$6:ER$77,$FT199),""),"")</f>
        <v>专属强化石3</v>
      </c>
      <c r="GE199" s="101">
        <f t="shared" ref="GE199:GE262" si="235">IF($FY199&gt;0,IF(INDEX($EM$6:$EM$77,$FT199)&gt;=GE$3,INDEX(ES$6:ES$77,$FT199),""),"")</f>
        <v>1</v>
      </c>
      <c r="GF199" s="101">
        <f t="shared" si="217"/>
        <v>7.0000000000000007E-2</v>
      </c>
      <c r="GG199" s="101">
        <f t="shared" si="218"/>
        <v>1</v>
      </c>
      <c r="GH199" s="101">
        <f t="shared" si="219"/>
        <v>22</v>
      </c>
      <c r="GI199" s="101">
        <f t="shared" si="220"/>
        <v>0</v>
      </c>
      <c r="GJ199" s="101">
        <f t="shared" si="221"/>
        <v>1</v>
      </c>
      <c r="GK199" s="101">
        <f t="shared" si="222"/>
        <v>5</v>
      </c>
      <c r="GL199" s="101">
        <f t="shared" si="223"/>
        <v>3.3700000000000001E-2</v>
      </c>
      <c r="GM199" s="101">
        <f t="shared" si="224"/>
        <v>1</v>
      </c>
      <c r="GN199" s="101">
        <f t="shared" si="225"/>
        <v>10</v>
      </c>
      <c r="GO199" s="101">
        <f t="shared" si="226"/>
        <v>0.13489999999999999</v>
      </c>
      <c r="GP199" s="101">
        <f t="shared" si="227"/>
        <v>1</v>
      </c>
      <c r="GQ199" s="101">
        <f t="shared" si="228"/>
        <v>22</v>
      </c>
    </row>
    <row r="200" spans="175:199" ht="16.5" x14ac:dyDescent="0.2">
      <c r="FS200" s="101">
        <v>195</v>
      </c>
      <c r="FT200" s="101">
        <f t="shared" si="213"/>
        <v>31</v>
      </c>
      <c r="FU200" s="101">
        <f t="shared" si="229"/>
        <v>3</v>
      </c>
      <c r="FV200" s="14">
        <f t="shared" si="230"/>
        <v>4</v>
      </c>
      <c r="FW200" s="101" t="str">
        <f t="shared" si="214"/>
        <v>典韦专属武器-魂珠-4 4级</v>
      </c>
      <c r="FX200" s="101">
        <f t="shared" si="215"/>
        <v>4</v>
      </c>
      <c r="FY200" s="101">
        <f t="shared" si="216"/>
        <v>4</v>
      </c>
      <c r="FZ200" s="101" t="str">
        <f t="shared" si="231"/>
        <v>金币</v>
      </c>
      <c r="GA200" s="139">
        <f>IF($FY200&gt;0,IF(INDEX($EM$6:$EM$77,$FT200)&gt;=GA$3,ROUND(INDEX(EO$6:EO$77,$FT200)*INDEX(卡牌消耗!$B$8:$F$8,FV200)/5,0)*5,""),"")</f>
        <v>1750</v>
      </c>
      <c r="GB200" s="101" t="str">
        <f t="shared" si="232"/>
        <v>专属强化石2</v>
      </c>
      <c r="GC200" s="101">
        <f t="shared" si="233"/>
        <v>5</v>
      </c>
      <c r="GD200" s="101" t="str">
        <f t="shared" si="234"/>
        <v>专属强化石3</v>
      </c>
      <c r="GE200" s="101">
        <f t="shared" si="235"/>
        <v>2</v>
      </c>
      <c r="GF200" s="101">
        <f t="shared" si="217"/>
        <v>0.08</v>
      </c>
      <c r="GG200" s="101">
        <f t="shared" si="218"/>
        <v>1</v>
      </c>
      <c r="GH200" s="101">
        <f t="shared" si="219"/>
        <v>19</v>
      </c>
      <c r="GI200" s="101">
        <f t="shared" si="220"/>
        <v>0</v>
      </c>
      <c r="GJ200" s="101">
        <f t="shared" si="221"/>
        <v>1</v>
      </c>
      <c r="GK200" s="101">
        <f t="shared" si="222"/>
        <v>4</v>
      </c>
      <c r="GL200" s="101">
        <f t="shared" si="223"/>
        <v>4.0500000000000001E-2</v>
      </c>
      <c r="GM200" s="101">
        <f t="shared" si="224"/>
        <v>1</v>
      </c>
      <c r="GN200" s="101">
        <f t="shared" si="225"/>
        <v>9</v>
      </c>
      <c r="GO200" s="101">
        <f t="shared" si="226"/>
        <v>0.16189999999999999</v>
      </c>
      <c r="GP200" s="101">
        <f t="shared" si="227"/>
        <v>1</v>
      </c>
      <c r="GQ200" s="101">
        <f t="shared" si="228"/>
        <v>19</v>
      </c>
    </row>
    <row r="201" spans="175:199" ht="16.5" x14ac:dyDescent="0.2">
      <c r="FS201" s="101">
        <v>196</v>
      </c>
      <c r="FT201" s="101">
        <f t="shared" si="213"/>
        <v>32</v>
      </c>
      <c r="FU201" s="101">
        <f t="shared" si="229"/>
        <v>3</v>
      </c>
      <c r="FV201" s="14">
        <f t="shared" si="230"/>
        <v>4</v>
      </c>
      <c r="FW201" s="101" t="str">
        <f t="shared" si="214"/>
        <v>典韦专属武器-魂珠-4 5级</v>
      </c>
      <c r="FX201" s="101">
        <f t="shared" si="215"/>
        <v>4</v>
      </c>
      <c r="FY201" s="101">
        <f t="shared" si="216"/>
        <v>5</v>
      </c>
      <c r="FZ201" s="101" t="str">
        <f t="shared" si="231"/>
        <v>金币</v>
      </c>
      <c r="GA201" s="139">
        <f>IF($FY201&gt;0,IF(INDEX($EM$6:$EM$77,$FT201)&gt;=GA$3,ROUND(INDEX(EO$6:EO$77,$FT201)*INDEX(卡牌消耗!$B$8:$F$8,FV201)/5,0)*5,""),"")</f>
        <v>1780</v>
      </c>
      <c r="GB201" s="101" t="str">
        <f t="shared" si="232"/>
        <v>专属强化石2</v>
      </c>
      <c r="GC201" s="101">
        <f t="shared" si="233"/>
        <v>5</v>
      </c>
      <c r="GD201" s="101" t="str">
        <f t="shared" si="234"/>
        <v>专属强化石3</v>
      </c>
      <c r="GE201" s="101">
        <f t="shared" si="235"/>
        <v>2</v>
      </c>
      <c r="GF201" s="101">
        <f t="shared" si="217"/>
        <v>0.05</v>
      </c>
      <c r="GG201" s="101">
        <f t="shared" si="218"/>
        <v>1</v>
      </c>
      <c r="GH201" s="101">
        <f t="shared" si="219"/>
        <v>30</v>
      </c>
      <c r="GI201" s="101">
        <f t="shared" si="220"/>
        <v>0</v>
      </c>
      <c r="GJ201" s="101">
        <f t="shared" si="221"/>
        <v>1</v>
      </c>
      <c r="GK201" s="101">
        <f t="shared" si="222"/>
        <v>7</v>
      </c>
      <c r="GL201" s="101">
        <f t="shared" si="223"/>
        <v>2.53E-2</v>
      </c>
      <c r="GM201" s="101">
        <f t="shared" si="224"/>
        <v>1</v>
      </c>
      <c r="GN201" s="101">
        <f t="shared" si="225"/>
        <v>14</v>
      </c>
      <c r="GO201" s="101">
        <f t="shared" si="226"/>
        <v>0.1012</v>
      </c>
      <c r="GP201" s="101">
        <f t="shared" si="227"/>
        <v>1</v>
      </c>
      <c r="GQ201" s="101">
        <f t="shared" si="228"/>
        <v>30</v>
      </c>
    </row>
    <row r="202" spans="175:199" ht="16.5" x14ac:dyDescent="0.2">
      <c r="FS202" s="101">
        <v>197</v>
      </c>
      <c r="FT202" s="101">
        <f t="shared" si="213"/>
        <v>33</v>
      </c>
      <c r="FU202" s="101">
        <f t="shared" si="229"/>
        <v>3</v>
      </c>
      <c r="FV202" s="14">
        <f t="shared" si="230"/>
        <v>4</v>
      </c>
      <c r="FW202" s="101" t="str">
        <f t="shared" si="214"/>
        <v>典韦专属武器-魂珠-4 6级</v>
      </c>
      <c r="FX202" s="101">
        <f t="shared" si="215"/>
        <v>4</v>
      </c>
      <c r="FY202" s="101">
        <f t="shared" si="216"/>
        <v>6</v>
      </c>
      <c r="FZ202" s="101" t="str">
        <f t="shared" si="231"/>
        <v>金币</v>
      </c>
      <c r="GA202" s="139">
        <f>IF($FY202&gt;0,IF(INDEX($EM$6:$EM$77,$FT202)&gt;=GA$3,ROUND(INDEX(EO$6:EO$77,$FT202)*INDEX(卡牌消耗!$B$8:$F$8,FV202)/5,0)*5,""),"")</f>
        <v>1770</v>
      </c>
      <c r="GB202" s="101" t="str">
        <f t="shared" si="232"/>
        <v>专属强化石2</v>
      </c>
      <c r="GC202" s="101">
        <f t="shared" si="233"/>
        <v>5</v>
      </c>
      <c r="GD202" s="101" t="str">
        <f t="shared" si="234"/>
        <v>专属强化石3</v>
      </c>
      <c r="GE202" s="101">
        <f t="shared" si="235"/>
        <v>2</v>
      </c>
      <c r="GF202" s="101">
        <f t="shared" si="217"/>
        <v>0.03</v>
      </c>
      <c r="GG202" s="101">
        <f t="shared" si="218"/>
        <v>1</v>
      </c>
      <c r="GH202" s="101">
        <f t="shared" si="219"/>
        <v>48</v>
      </c>
      <c r="GI202" s="101">
        <f t="shared" si="220"/>
        <v>0</v>
      </c>
      <c r="GJ202" s="101">
        <f t="shared" si="221"/>
        <v>1</v>
      </c>
      <c r="GK202" s="101">
        <f t="shared" si="222"/>
        <v>11</v>
      </c>
      <c r="GL202" s="101">
        <f t="shared" si="223"/>
        <v>1.5599999999999999E-2</v>
      </c>
      <c r="GM202" s="101">
        <f t="shared" si="224"/>
        <v>1</v>
      </c>
      <c r="GN202" s="101">
        <f t="shared" si="225"/>
        <v>22</v>
      </c>
      <c r="GO202" s="101">
        <f t="shared" si="226"/>
        <v>6.2300000000000001E-2</v>
      </c>
      <c r="GP202" s="101">
        <f t="shared" si="227"/>
        <v>1</v>
      </c>
      <c r="GQ202" s="101">
        <f t="shared" si="228"/>
        <v>48</v>
      </c>
    </row>
    <row r="203" spans="175:199" ht="16.5" x14ac:dyDescent="0.2">
      <c r="FS203" s="101">
        <v>198</v>
      </c>
      <c r="FT203" s="101">
        <f t="shared" si="213"/>
        <v>34</v>
      </c>
      <c r="FU203" s="101">
        <f t="shared" si="229"/>
        <v>3</v>
      </c>
      <c r="FV203" s="14">
        <f t="shared" si="230"/>
        <v>4</v>
      </c>
      <c r="FW203" s="101" t="str">
        <f t="shared" si="214"/>
        <v>典韦专属武器-魂珠-4 7级</v>
      </c>
      <c r="FX203" s="101">
        <f t="shared" si="215"/>
        <v>4</v>
      </c>
      <c r="FY203" s="101">
        <f t="shared" si="216"/>
        <v>7</v>
      </c>
      <c r="FZ203" s="101" t="str">
        <f t="shared" si="231"/>
        <v>金币</v>
      </c>
      <c r="GA203" s="139">
        <f>IF($FY203&gt;0,IF(INDEX($EM$6:$EM$77,$FT203)&gt;=GA$3,ROUND(INDEX(EO$6:EO$77,$FT203)*INDEX(卡牌消耗!$B$8:$F$8,FV203)/5,0)*5,""),"")</f>
        <v>2660</v>
      </c>
      <c r="GB203" s="101" t="str">
        <f t="shared" si="232"/>
        <v>专属强化石2</v>
      </c>
      <c r="GC203" s="101">
        <f t="shared" si="233"/>
        <v>8</v>
      </c>
      <c r="GD203" s="101" t="str">
        <f t="shared" si="234"/>
        <v>专属强化石3</v>
      </c>
      <c r="GE203" s="101">
        <f t="shared" si="235"/>
        <v>3</v>
      </c>
      <c r="GF203" s="101">
        <f t="shared" si="217"/>
        <v>0.03</v>
      </c>
      <c r="GG203" s="101">
        <f t="shared" si="218"/>
        <v>1</v>
      </c>
      <c r="GH203" s="101">
        <f t="shared" si="219"/>
        <v>52</v>
      </c>
      <c r="GI203" s="101">
        <f t="shared" si="220"/>
        <v>0</v>
      </c>
      <c r="GJ203" s="101">
        <f t="shared" si="221"/>
        <v>1</v>
      </c>
      <c r="GK203" s="101">
        <f t="shared" si="222"/>
        <v>12</v>
      </c>
      <c r="GL203" s="101">
        <f t="shared" si="223"/>
        <v>1.4500000000000001E-2</v>
      </c>
      <c r="GM203" s="101">
        <f t="shared" si="224"/>
        <v>1</v>
      </c>
      <c r="GN203" s="101">
        <f t="shared" si="225"/>
        <v>24</v>
      </c>
      <c r="GO203" s="101">
        <f t="shared" si="226"/>
        <v>5.7799999999999997E-2</v>
      </c>
      <c r="GP203" s="101">
        <f t="shared" si="227"/>
        <v>1</v>
      </c>
      <c r="GQ203" s="101">
        <f t="shared" si="228"/>
        <v>52</v>
      </c>
    </row>
    <row r="204" spans="175:199" ht="16.5" x14ac:dyDescent="0.2">
      <c r="FS204" s="101">
        <v>199</v>
      </c>
      <c r="FT204" s="101">
        <f t="shared" si="213"/>
        <v>35</v>
      </c>
      <c r="FU204" s="101">
        <f t="shared" si="229"/>
        <v>3</v>
      </c>
      <c r="FV204" s="14">
        <f t="shared" si="230"/>
        <v>4</v>
      </c>
      <c r="FW204" s="101" t="str">
        <f t="shared" si="214"/>
        <v>典韦专属武器-魂珠-4 8级</v>
      </c>
      <c r="FX204" s="101">
        <f t="shared" si="215"/>
        <v>4</v>
      </c>
      <c r="FY204" s="101">
        <f t="shared" si="216"/>
        <v>8</v>
      </c>
      <c r="FZ204" s="101" t="str">
        <f t="shared" si="231"/>
        <v>金币</v>
      </c>
      <c r="GA204" s="139">
        <f>IF($FY204&gt;0,IF(INDEX($EM$6:$EM$77,$FT204)&gt;=GA$3,ROUND(INDEX(EO$6:EO$77,$FT204)*INDEX(卡牌消耗!$B$8:$F$8,FV204)/5,0)*5,""),"")</f>
        <v>3540</v>
      </c>
      <c r="GB204" s="101" t="str">
        <f t="shared" si="232"/>
        <v>专属强化石2</v>
      </c>
      <c r="GC204" s="101">
        <f t="shared" si="233"/>
        <v>11</v>
      </c>
      <c r="GD204" s="101" t="str">
        <f t="shared" si="234"/>
        <v>专属强化石3</v>
      </c>
      <c r="GE204" s="101">
        <f t="shared" si="235"/>
        <v>4</v>
      </c>
      <c r="GF204" s="101">
        <f t="shared" si="217"/>
        <v>0.02</v>
      </c>
      <c r="GG204" s="101">
        <f t="shared" si="218"/>
        <v>1</v>
      </c>
      <c r="GH204" s="101">
        <f t="shared" si="219"/>
        <v>63</v>
      </c>
      <c r="GI204" s="101">
        <f t="shared" si="220"/>
        <v>0</v>
      </c>
      <c r="GJ204" s="101">
        <f t="shared" si="221"/>
        <v>1</v>
      </c>
      <c r="GK204" s="101">
        <f t="shared" si="222"/>
        <v>15</v>
      </c>
      <c r="GL204" s="101">
        <f t="shared" si="223"/>
        <v>1.1900000000000001E-2</v>
      </c>
      <c r="GM204" s="101">
        <f t="shared" si="224"/>
        <v>1</v>
      </c>
      <c r="GN204" s="101">
        <f t="shared" si="225"/>
        <v>29</v>
      </c>
      <c r="GO204" s="101">
        <f t="shared" si="226"/>
        <v>4.7600000000000003E-2</v>
      </c>
      <c r="GP204" s="101">
        <f t="shared" si="227"/>
        <v>1</v>
      </c>
      <c r="GQ204" s="101">
        <f t="shared" si="228"/>
        <v>63</v>
      </c>
    </row>
    <row r="205" spans="175:199" ht="16.5" x14ac:dyDescent="0.2">
      <c r="FS205" s="101">
        <v>200</v>
      </c>
      <c r="FT205" s="101">
        <f t="shared" si="213"/>
        <v>36</v>
      </c>
      <c r="FU205" s="101">
        <f t="shared" si="229"/>
        <v>3</v>
      </c>
      <c r="FV205" s="14">
        <f t="shared" si="230"/>
        <v>4</v>
      </c>
      <c r="FW205" s="101" t="str">
        <f t="shared" si="214"/>
        <v>典韦专属武器-魂珠-4 9级</v>
      </c>
      <c r="FX205" s="101">
        <f t="shared" si="215"/>
        <v>4</v>
      </c>
      <c r="FY205" s="101">
        <f t="shared" si="216"/>
        <v>9</v>
      </c>
      <c r="FZ205" s="101" t="str">
        <f t="shared" si="231"/>
        <v>金币</v>
      </c>
      <c r="GA205" s="139">
        <f>IF($FY205&gt;0,IF(INDEX($EM$6:$EM$77,$FT205)&gt;=GA$3,ROUND(INDEX(EO$6:EO$77,$FT205)*INDEX(卡牌消耗!$B$8:$F$8,FV205)/5,0)*5,""),"")</f>
        <v>5315</v>
      </c>
      <c r="GB205" s="101" t="str">
        <f t="shared" si="232"/>
        <v>专属强化石2</v>
      </c>
      <c r="GC205" s="101">
        <f t="shared" si="233"/>
        <v>16</v>
      </c>
      <c r="GD205" s="101" t="str">
        <f t="shared" si="234"/>
        <v>专属强化石3</v>
      </c>
      <c r="GE205" s="101">
        <f t="shared" si="235"/>
        <v>6</v>
      </c>
      <c r="GF205" s="101">
        <f t="shared" si="217"/>
        <v>0.02</v>
      </c>
      <c r="GG205" s="101">
        <f t="shared" si="218"/>
        <v>1</v>
      </c>
      <c r="GH205" s="101">
        <f t="shared" si="219"/>
        <v>68</v>
      </c>
      <c r="GI205" s="101">
        <f t="shared" si="220"/>
        <v>0</v>
      </c>
      <c r="GJ205" s="101">
        <f t="shared" si="221"/>
        <v>1</v>
      </c>
      <c r="GK205" s="101">
        <f t="shared" si="222"/>
        <v>16</v>
      </c>
      <c r="GL205" s="101">
        <f t="shared" si="223"/>
        <v>1.0999999999999999E-2</v>
      </c>
      <c r="GM205" s="101">
        <f t="shared" si="224"/>
        <v>1</v>
      </c>
      <c r="GN205" s="101">
        <f t="shared" si="225"/>
        <v>32</v>
      </c>
      <c r="GO205" s="101">
        <f t="shared" si="226"/>
        <v>4.4200000000000003E-2</v>
      </c>
      <c r="GP205" s="101">
        <f t="shared" si="227"/>
        <v>1</v>
      </c>
      <c r="GQ205" s="101">
        <f t="shared" si="228"/>
        <v>68</v>
      </c>
    </row>
    <row r="206" spans="175:199" ht="16.5" x14ac:dyDescent="0.2">
      <c r="FS206" s="101">
        <v>201</v>
      </c>
      <c r="FT206" s="101">
        <f t="shared" si="213"/>
        <v>0</v>
      </c>
      <c r="FU206" s="101">
        <f t="shared" si="229"/>
        <v>3</v>
      </c>
      <c r="FV206" s="14">
        <f t="shared" si="230"/>
        <v>4</v>
      </c>
      <c r="FW206" s="101" t="str">
        <f t="shared" si="214"/>
        <v>典韦专属武器-魂珠-5 0级</v>
      </c>
      <c r="FX206" s="101">
        <f t="shared" si="215"/>
        <v>5</v>
      </c>
      <c r="FY206" s="101">
        <f t="shared" si="216"/>
        <v>0</v>
      </c>
      <c r="FZ206" s="101" t="str">
        <f t="shared" si="231"/>
        <v/>
      </c>
      <c r="GA206" s="139" t="str">
        <f>IF($FY206&gt;0,IF(INDEX($EM$6:$EM$77,$FT206)&gt;=GA$3,ROUND(INDEX(EO$6:EO$77,$FT206)*INDEX(卡牌消耗!$B$8:$F$8,FV206)/5,0)*5,""),"")</f>
        <v/>
      </c>
      <c r="GB206" s="101" t="str">
        <f t="shared" si="232"/>
        <v/>
      </c>
      <c r="GC206" s="101" t="str">
        <f t="shared" si="233"/>
        <v/>
      </c>
      <c r="GD206" s="101" t="str">
        <f t="shared" si="234"/>
        <v/>
      </c>
      <c r="GE206" s="101" t="str">
        <f t="shared" si="235"/>
        <v/>
      </c>
      <c r="GF206" s="101" t="str">
        <f t="shared" si="217"/>
        <v/>
      </c>
      <c r="GG206" s="101" t="str">
        <f t="shared" si="218"/>
        <v/>
      </c>
      <c r="GH206" s="101" t="str">
        <f t="shared" si="219"/>
        <v/>
      </c>
      <c r="GI206" s="101" t="str">
        <f t="shared" si="220"/>
        <v/>
      </c>
      <c r="GJ206" s="101" t="str">
        <f t="shared" si="221"/>
        <v/>
      </c>
      <c r="GK206" s="101" t="str">
        <f t="shared" si="222"/>
        <v/>
      </c>
      <c r="GL206" s="101" t="str">
        <f t="shared" si="223"/>
        <v/>
      </c>
      <c r="GM206" s="101" t="str">
        <f t="shared" si="224"/>
        <v/>
      </c>
      <c r="GN206" s="101" t="str">
        <f t="shared" si="225"/>
        <v/>
      </c>
      <c r="GO206" s="101" t="str">
        <f t="shared" si="226"/>
        <v/>
      </c>
      <c r="GP206" s="101" t="str">
        <f t="shared" si="227"/>
        <v/>
      </c>
      <c r="GQ206" s="101" t="str">
        <f t="shared" si="228"/>
        <v/>
      </c>
    </row>
    <row r="207" spans="175:199" ht="16.5" x14ac:dyDescent="0.2">
      <c r="FS207" s="101">
        <v>202</v>
      </c>
      <c r="FT207" s="101">
        <f t="shared" si="213"/>
        <v>37</v>
      </c>
      <c r="FU207" s="101">
        <f t="shared" si="229"/>
        <v>3</v>
      </c>
      <c r="FV207" s="14">
        <f t="shared" si="230"/>
        <v>4</v>
      </c>
      <c r="FW207" s="101" t="str">
        <f t="shared" si="214"/>
        <v>典韦专属武器-魂珠-5 1级</v>
      </c>
      <c r="FX207" s="101">
        <f t="shared" si="215"/>
        <v>5</v>
      </c>
      <c r="FY207" s="101">
        <f t="shared" si="216"/>
        <v>1</v>
      </c>
      <c r="FZ207" s="101" t="str">
        <f t="shared" si="231"/>
        <v>金币</v>
      </c>
      <c r="GA207" s="139">
        <f>IF($FY207&gt;0,IF(INDEX($EM$6:$EM$77,$FT207)&gt;=GA$3,ROUND(INDEX(EO$6:EO$77,$FT207)*INDEX(卡牌消耗!$B$8:$F$8,FV207)/5,0)*5,""),"")</f>
        <v>2245</v>
      </c>
      <c r="GB207" s="101" t="str">
        <f t="shared" si="232"/>
        <v>专属强化石2</v>
      </c>
      <c r="GC207" s="101">
        <f t="shared" si="233"/>
        <v>3</v>
      </c>
      <c r="GD207" s="101" t="str">
        <f t="shared" si="234"/>
        <v>专属强化石3</v>
      </c>
      <c r="GE207" s="101">
        <f t="shared" si="235"/>
        <v>2</v>
      </c>
      <c r="GF207" s="101">
        <f t="shared" si="217"/>
        <v>0.2</v>
      </c>
      <c r="GG207" s="101">
        <f t="shared" si="218"/>
        <v>1</v>
      </c>
      <c r="GH207" s="101">
        <f t="shared" si="219"/>
        <v>7</v>
      </c>
      <c r="GI207" s="101">
        <f t="shared" si="220"/>
        <v>0</v>
      </c>
      <c r="GJ207" s="101">
        <f t="shared" si="221"/>
        <v>1</v>
      </c>
      <c r="GK207" s="101">
        <f t="shared" si="222"/>
        <v>2</v>
      </c>
      <c r="GL207" s="101">
        <f t="shared" si="223"/>
        <v>0.1012</v>
      </c>
      <c r="GM207" s="101">
        <f t="shared" si="224"/>
        <v>1</v>
      </c>
      <c r="GN207" s="101">
        <f t="shared" si="225"/>
        <v>3</v>
      </c>
      <c r="GO207" s="101">
        <f t="shared" si="226"/>
        <v>0.40479999999999999</v>
      </c>
      <c r="GP207" s="101">
        <f t="shared" si="227"/>
        <v>1</v>
      </c>
      <c r="GQ207" s="101">
        <f t="shared" si="228"/>
        <v>7</v>
      </c>
    </row>
    <row r="208" spans="175:199" ht="16.5" x14ac:dyDescent="0.2">
      <c r="FS208" s="101">
        <v>203</v>
      </c>
      <c r="FT208" s="101">
        <f t="shared" si="213"/>
        <v>38</v>
      </c>
      <c r="FU208" s="101">
        <f t="shared" si="229"/>
        <v>3</v>
      </c>
      <c r="FV208" s="14">
        <f t="shared" si="230"/>
        <v>4</v>
      </c>
      <c r="FW208" s="101" t="str">
        <f t="shared" si="214"/>
        <v>典韦专属武器-魂珠-5 2级</v>
      </c>
      <c r="FX208" s="101">
        <f t="shared" si="215"/>
        <v>5</v>
      </c>
      <c r="FY208" s="101">
        <f t="shared" si="216"/>
        <v>2</v>
      </c>
      <c r="FZ208" s="101" t="str">
        <f t="shared" si="231"/>
        <v>金币</v>
      </c>
      <c r="GA208" s="139">
        <f>IF($FY208&gt;0,IF(INDEX($EM$6:$EM$77,$FT208)&gt;=GA$3,ROUND(INDEX(EO$6:EO$77,$FT208)*INDEX(卡牌消耗!$B$8:$F$8,FV208)/5,0)*5,""),"")</f>
        <v>1685</v>
      </c>
      <c r="GB208" s="101" t="str">
        <f t="shared" si="232"/>
        <v>专属强化石2</v>
      </c>
      <c r="GC208" s="101">
        <f t="shared" si="233"/>
        <v>3</v>
      </c>
      <c r="GD208" s="101" t="str">
        <f t="shared" si="234"/>
        <v>专属强化石3</v>
      </c>
      <c r="GE208" s="101">
        <f t="shared" si="235"/>
        <v>2</v>
      </c>
      <c r="GF208" s="101">
        <f t="shared" si="217"/>
        <v>0.1</v>
      </c>
      <c r="GG208" s="101">
        <f t="shared" si="218"/>
        <v>1</v>
      </c>
      <c r="GH208" s="101">
        <f t="shared" si="219"/>
        <v>15</v>
      </c>
      <c r="GI208" s="101">
        <f t="shared" si="220"/>
        <v>0</v>
      </c>
      <c r="GJ208" s="101">
        <f t="shared" si="221"/>
        <v>1</v>
      </c>
      <c r="GK208" s="101">
        <f t="shared" si="222"/>
        <v>3</v>
      </c>
      <c r="GL208" s="101">
        <f t="shared" si="223"/>
        <v>5.0599999999999999E-2</v>
      </c>
      <c r="GM208" s="101">
        <f t="shared" si="224"/>
        <v>1</v>
      </c>
      <c r="GN208" s="101">
        <f t="shared" si="225"/>
        <v>7</v>
      </c>
      <c r="GO208" s="101">
        <f t="shared" si="226"/>
        <v>0.2024</v>
      </c>
      <c r="GP208" s="101">
        <f t="shared" si="227"/>
        <v>1</v>
      </c>
      <c r="GQ208" s="101">
        <f t="shared" si="228"/>
        <v>15</v>
      </c>
    </row>
    <row r="209" spans="175:199" ht="16.5" x14ac:dyDescent="0.2">
      <c r="FS209" s="101">
        <v>204</v>
      </c>
      <c r="FT209" s="101">
        <f t="shared" si="213"/>
        <v>39</v>
      </c>
      <c r="FU209" s="101">
        <f t="shared" si="229"/>
        <v>3</v>
      </c>
      <c r="FV209" s="14">
        <f t="shared" si="230"/>
        <v>4</v>
      </c>
      <c r="FW209" s="101" t="str">
        <f t="shared" si="214"/>
        <v>典韦专属武器-魂珠-5 3级</v>
      </c>
      <c r="FX209" s="101">
        <f t="shared" si="215"/>
        <v>5</v>
      </c>
      <c r="FY209" s="101">
        <f t="shared" si="216"/>
        <v>3</v>
      </c>
      <c r="FZ209" s="101" t="str">
        <f t="shared" si="231"/>
        <v>金币</v>
      </c>
      <c r="GA209" s="139">
        <f>IF($FY209&gt;0,IF(INDEX($EM$6:$EM$77,$FT209)&gt;=GA$3,ROUND(INDEX(EO$6:EO$77,$FT209)*INDEX(卡牌消耗!$B$8:$F$8,FV209)/5,0)*5,""),"")</f>
        <v>1870</v>
      </c>
      <c r="GB209" s="101" t="str">
        <f t="shared" si="232"/>
        <v>专属强化石2</v>
      </c>
      <c r="GC209" s="101">
        <f t="shared" si="233"/>
        <v>3</v>
      </c>
      <c r="GD209" s="101" t="str">
        <f t="shared" si="234"/>
        <v>专属强化石3</v>
      </c>
      <c r="GE209" s="101">
        <f t="shared" si="235"/>
        <v>2</v>
      </c>
      <c r="GF209" s="101">
        <f t="shared" si="217"/>
        <v>7.0000000000000007E-2</v>
      </c>
      <c r="GG209" s="101">
        <f t="shared" si="218"/>
        <v>1</v>
      </c>
      <c r="GH209" s="101">
        <f t="shared" si="219"/>
        <v>22</v>
      </c>
      <c r="GI209" s="101">
        <f t="shared" si="220"/>
        <v>0</v>
      </c>
      <c r="GJ209" s="101">
        <f t="shared" si="221"/>
        <v>1</v>
      </c>
      <c r="GK209" s="101">
        <f t="shared" si="222"/>
        <v>5</v>
      </c>
      <c r="GL209" s="101">
        <f t="shared" si="223"/>
        <v>3.3700000000000001E-2</v>
      </c>
      <c r="GM209" s="101">
        <f t="shared" si="224"/>
        <v>1</v>
      </c>
      <c r="GN209" s="101">
        <f t="shared" si="225"/>
        <v>10</v>
      </c>
      <c r="GO209" s="101">
        <f t="shared" si="226"/>
        <v>0.13489999999999999</v>
      </c>
      <c r="GP209" s="101">
        <f t="shared" si="227"/>
        <v>1</v>
      </c>
      <c r="GQ209" s="101">
        <f t="shared" si="228"/>
        <v>22</v>
      </c>
    </row>
    <row r="210" spans="175:199" ht="16.5" x14ac:dyDescent="0.2">
      <c r="FS210" s="101">
        <v>205</v>
      </c>
      <c r="FT210" s="101">
        <f t="shared" si="213"/>
        <v>40</v>
      </c>
      <c r="FU210" s="101">
        <f t="shared" si="229"/>
        <v>3</v>
      </c>
      <c r="FV210" s="14">
        <f t="shared" si="230"/>
        <v>4</v>
      </c>
      <c r="FW210" s="101" t="str">
        <f t="shared" si="214"/>
        <v>典韦专属武器-魂珠-5 4级</v>
      </c>
      <c r="FX210" s="101">
        <f t="shared" si="215"/>
        <v>5</v>
      </c>
      <c r="FY210" s="101">
        <f t="shared" si="216"/>
        <v>4</v>
      </c>
      <c r="FZ210" s="101" t="str">
        <f t="shared" si="231"/>
        <v>金币</v>
      </c>
      <c r="GA210" s="139">
        <f>IF($FY210&gt;0,IF(INDEX($EM$6:$EM$77,$FT210)&gt;=GA$3,ROUND(INDEX(EO$6:EO$77,$FT210)*INDEX(卡牌消耗!$B$8:$F$8,FV210)/5,0)*5,""),"")</f>
        <v>2695</v>
      </c>
      <c r="GB210" s="101" t="str">
        <f t="shared" si="232"/>
        <v>专属强化石2</v>
      </c>
      <c r="GC210" s="101">
        <f t="shared" si="233"/>
        <v>5</v>
      </c>
      <c r="GD210" s="101" t="str">
        <f t="shared" si="234"/>
        <v>专属强化石3</v>
      </c>
      <c r="GE210" s="101">
        <f t="shared" si="235"/>
        <v>3</v>
      </c>
      <c r="GF210" s="101">
        <f t="shared" si="217"/>
        <v>0.06</v>
      </c>
      <c r="GG210" s="101">
        <f t="shared" si="218"/>
        <v>1</v>
      </c>
      <c r="GH210" s="101">
        <f t="shared" si="219"/>
        <v>25</v>
      </c>
      <c r="GI210" s="101">
        <f t="shared" si="220"/>
        <v>0</v>
      </c>
      <c r="GJ210" s="101">
        <f t="shared" si="221"/>
        <v>1</v>
      </c>
      <c r="GK210" s="101">
        <f t="shared" si="222"/>
        <v>6</v>
      </c>
      <c r="GL210" s="101">
        <f t="shared" si="223"/>
        <v>3.04E-2</v>
      </c>
      <c r="GM210" s="101">
        <f t="shared" si="224"/>
        <v>1</v>
      </c>
      <c r="GN210" s="101">
        <f t="shared" si="225"/>
        <v>12</v>
      </c>
      <c r="GO210" s="101">
        <f t="shared" si="226"/>
        <v>0.12139999999999999</v>
      </c>
      <c r="GP210" s="101">
        <f t="shared" si="227"/>
        <v>1</v>
      </c>
      <c r="GQ210" s="101">
        <f t="shared" si="228"/>
        <v>25</v>
      </c>
    </row>
    <row r="211" spans="175:199" ht="16.5" x14ac:dyDescent="0.2">
      <c r="FS211" s="101">
        <v>206</v>
      </c>
      <c r="FT211" s="101">
        <f t="shared" si="213"/>
        <v>41</v>
      </c>
      <c r="FU211" s="101">
        <f t="shared" si="229"/>
        <v>3</v>
      </c>
      <c r="FV211" s="14">
        <f t="shared" si="230"/>
        <v>4</v>
      </c>
      <c r="FW211" s="101" t="str">
        <f t="shared" si="214"/>
        <v>典韦专属武器-魂珠-5 5级</v>
      </c>
      <c r="FX211" s="101">
        <f t="shared" si="215"/>
        <v>5</v>
      </c>
      <c r="FY211" s="101">
        <f t="shared" si="216"/>
        <v>5</v>
      </c>
      <c r="FZ211" s="101" t="str">
        <f t="shared" si="231"/>
        <v>金币</v>
      </c>
      <c r="GA211" s="139">
        <f>IF($FY211&gt;0,IF(INDEX($EM$6:$EM$77,$FT211)&gt;=GA$3,ROUND(INDEX(EO$6:EO$77,$FT211)*INDEX(卡牌消耗!$B$8:$F$8,FV211)/5,0)*5,""),"")</f>
        <v>2735</v>
      </c>
      <c r="GB211" s="101" t="str">
        <f t="shared" si="232"/>
        <v>专属强化石2</v>
      </c>
      <c r="GC211" s="101">
        <f t="shared" si="233"/>
        <v>5</v>
      </c>
      <c r="GD211" s="101" t="str">
        <f t="shared" si="234"/>
        <v>专属强化石3</v>
      </c>
      <c r="GE211" s="101">
        <f t="shared" si="235"/>
        <v>3</v>
      </c>
      <c r="GF211" s="101">
        <f t="shared" si="217"/>
        <v>0.04</v>
      </c>
      <c r="GG211" s="101">
        <f t="shared" si="218"/>
        <v>1</v>
      </c>
      <c r="GH211" s="101">
        <f t="shared" si="219"/>
        <v>40</v>
      </c>
      <c r="GI211" s="101">
        <f t="shared" si="220"/>
        <v>0</v>
      </c>
      <c r="GJ211" s="101">
        <f t="shared" si="221"/>
        <v>1</v>
      </c>
      <c r="GK211" s="101">
        <f t="shared" si="222"/>
        <v>9</v>
      </c>
      <c r="GL211" s="101">
        <f t="shared" si="223"/>
        <v>1.9E-2</v>
      </c>
      <c r="GM211" s="101">
        <f t="shared" si="224"/>
        <v>1</v>
      </c>
      <c r="GN211" s="101">
        <f t="shared" si="225"/>
        <v>18</v>
      </c>
      <c r="GO211" s="101">
        <f t="shared" si="226"/>
        <v>7.5899999999999995E-2</v>
      </c>
      <c r="GP211" s="101">
        <f t="shared" si="227"/>
        <v>1</v>
      </c>
      <c r="GQ211" s="101">
        <f t="shared" si="228"/>
        <v>40</v>
      </c>
    </row>
    <row r="212" spans="175:199" ht="16.5" x14ac:dyDescent="0.2">
      <c r="FS212" s="101">
        <v>207</v>
      </c>
      <c r="FT212" s="101">
        <f t="shared" si="213"/>
        <v>42</v>
      </c>
      <c r="FU212" s="101">
        <f t="shared" si="229"/>
        <v>3</v>
      </c>
      <c r="FV212" s="14">
        <f t="shared" si="230"/>
        <v>4</v>
      </c>
      <c r="FW212" s="101" t="str">
        <f t="shared" si="214"/>
        <v>典韦专属武器-魂珠-5 6级</v>
      </c>
      <c r="FX212" s="101">
        <f t="shared" si="215"/>
        <v>5</v>
      </c>
      <c r="FY212" s="101">
        <f t="shared" si="216"/>
        <v>6</v>
      </c>
      <c r="FZ212" s="101" t="str">
        <f t="shared" si="231"/>
        <v>金币</v>
      </c>
      <c r="GA212" s="139">
        <f>IF($FY212&gt;0,IF(INDEX($EM$6:$EM$77,$FT212)&gt;=GA$3,ROUND(INDEX(EO$6:EO$77,$FT212)*INDEX(卡牌消耗!$B$8:$F$8,FV212)/5,0)*5,""),"")</f>
        <v>4530</v>
      </c>
      <c r="GB212" s="101" t="str">
        <f t="shared" si="232"/>
        <v>专属强化石2</v>
      </c>
      <c r="GC212" s="101">
        <f t="shared" si="233"/>
        <v>8</v>
      </c>
      <c r="GD212" s="101" t="str">
        <f t="shared" si="234"/>
        <v>专属强化石3</v>
      </c>
      <c r="GE212" s="101">
        <f t="shared" si="235"/>
        <v>5</v>
      </c>
      <c r="GF212" s="101">
        <f t="shared" si="217"/>
        <v>0.04</v>
      </c>
      <c r="GG212" s="101">
        <f t="shared" si="218"/>
        <v>1</v>
      </c>
      <c r="GH212" s="101">
        <f t="shared" si="219"/>
        <v>39</v>
      </c>
      <c r="GI212" s="101">
        <f t="shared" si="220"/>
        <v>0</v>
      </c>
      <c r="GJ212" s="101">
        <f t="shared" si="221"/>
        <v>1</v>
      </c>
      <c r="GK212" s="101">
        <f t="shared" si="222"/>
        <v>9</v>
      </c>
      <c r="GL212" s="101">
        <f t="shared" si="223"/>
        <v>1.95E-2</v>
      </c>
      <c r="GM212" s="101">
        <f t="shared" si="224"/>
        <v>1</v>
      </c>
      <c r="GN212" s="101">
        <f t="shared" si="225"/>
        <v>18</v>
      </c>
      <c r="GO212" s="101">
        <f t="shared" si="226"/>
        <v>7.7799999999999994E-2</v>
      </c>
      <c r="GP212" s="101">
        <f t="shared" si="227"/>
        <v>1</v>
      </c>
      <c r="GQ212" s="101">
        <f t="shared" si="228"/>
        <v>39</v>
      </c>
    </row>
    <row r="213" spans="175:199" ht="16.5" x14ac:dyDescent="0.2">
      <c r="FS213" s="101">
        <v>208</v>
      </c>
      <c r="FT213" s="101">
        <f t="shared" si="213"/>
        <v>43</v>
      </c>
      <c r="FU213" s="101">
        <f t="shared" si="229"/>
        <v>3</v>
      </c>
      <c r="FV213" s="14">
        <f t="shared" si="230"/>
        <v>4</v>
      </c>
      <c r="FW213" s="101" t="str">
        <f t="shared" si="214"/>
        <v>典韦专属武器-魂珠-5 7级</v>
      </c>
      <c r="FX213" s="101">
        <f t="shared" si="215"/>
        <v>5</v>
      </c>
      <c r="FY213" s="101">
        <f t="shared" si="216"/>
        <v>7</v>
      </c>
      <c r="FZ213" s="101" t="str">
        <f t="shared" si="231"/>
        <v>金币</v>
      </c>
      <c r="GA213" s="139">
        <f>IF($FY213&gt;0,IF(INDEX($EM$6:$EM$77,$FT213)&gt;=GA$3,ROUND(INDEX(EO$6:EO$77,$FT213)*INDEX(卡牌消耗!$B$8:$F$8,FV213)/5,0)*5,""),"")</f>
        <v>4540</v>
      </c>
      <c r="GB213" s="101" t="str">
        <f t="shared" si="232"/>
        <v>专属强化石2</v>
      </c>
      <c r="GC213" s="101">
        <f t="shared" si="233"/>
        <v>8</v>
      </c>
      <c r="GD213" s="101" t="str">
        <f t="shared" si="234"/>
        <v>专属强化石3</v>
      </c>
      <c r="GE213" s="101">
        <f t="shared" si="235"/>
        <v>5</v>
      </c>
      <c r="GF213" s="101">
        <f t="shared" si="217"/>
        <v>0.02</v>
      </c>
      <c r="GG213" s="101">
        <f t="shared" si="218"/>
        <v>1</v>
      </c>
      <c r="GH213" s="101">
        <f t="shared" si="219"/>
        <v>62</v>
      </c>
      <c r="GI213" s="101">
        <f t="shared" si="220"/>
        <v>0</v>
      </c>
      <c r="GJ213" s="101">
        <f t="shared" si="221"/>
        <v>1</v>
      </c>
      <c r="GK213" s="101">
        <f t="shared" si="222"/>
        <v>15</v>
      </c>
      <c r="GL213" s="101">
        <f t="shared" si="223"/>
        <v>1.2E-2</v>
      </c>
      <c r="GM213" s="101">
        <f t="shared" si="224"/>
        <v>1</v>
      </c>
      <c r="GN213" s="101">
        <f t="shared" si="225"/>
        <v>29</v>
      </c>
      <c r="GO213" s="101">
        <f t="shared" si="226"/>
        <v>4.82E-2</v>
      </c>
      <c r="GP213" s="101">
        <f t="shared" si="227"/>
        <v>1</v>
      </c>
      <c r="GQ213" s="101">
        <f t="shared" si="228"/>
        <v>62</v>
      </c>
    </row>
    <row r="214" spans="175:199" ht="16.5" x14ac:dyDescent="0.2">
      <c r="FS214" s="101">
        <v>209</v>
      </c>
      <c r="FT214" s="101">
        <f t="shared" ref="FT214:FT277" si="236">IF(FY214&gt;0,(FX214-1)*9+FY214,0)</f>
        <v>44</v>
      </c>
      <c r="FU214" s="101">
        <f t="shared" si="229"/>
        <v>3</v>
      </c>
      <c r="FV214" s="14">
        <f t="shared" si="230"/>
        <v>4</v>
      </c>
      <c r="FW214" s="101" t="str">
        <f t="shared" ref="FW214:FW277" si="237">INDEX($FN$6:$FN$26,FU214)&amp;"专属武器-魂珠-"&amp;FX214&amp;" "&amp;FY214&amp;"级"</f>
        <v>典韦专属武器-魂珠-5 8级</v>
      </c>
      <c r="FX214" s="101">
        <f t="shared" ref="FX214:FX277" si="238">INT((FS214-(FU214-1)*80-1)/10)+1</f>
        <v>5</v>
      </c>
      <c r="FY214" s="101">
        <f t="shared" ref="FY214:FY277" si="239">FS214-(FU214-1)*80-(FX214-1)*10-1</f>
        <v>8</v>
      </c>
      <c r="FZ214" s="101" t="str">
        <f t="shared" si="231"/>
        <v>金币</v>
      </c>
      <c r="GA214" s="139">
        <f>IF($FY214&gt;0,IF(INDEX($EM$6:$EM$77,$FT214)&gt;=GA$3,ROUND(INDEX(EO$6:EO$77,$FT214)*INDEX(卡牌消耗!$B$8:$F$8,FV214)/5,0)*5,""),"")</f>
        <v>6350</v>
      </c>
      <c r="GB214" s="101" t="str">
        <f t="shared" si="232"/>
        <v>专属强化石2</v>
      </c>
      <c r="GC214" s="101">
        <f t="shared" si="233"/>
        <v>11</v>
      </c>
      <c r="GD214" s="101" t="str">
        <f t="shared" si="234"/>
        <v>专属强化石3</v>
      </c>
      <c r="GE214" s="101">
        <f t="shared" si="235"/>
        <v>7</v>
      </c>
      <c r="GF214" s="101">
        <f t="shared" ref="GF214:GF277" si="240">IF($FY214&gt;0,INDEX(ET$6:ET$77,$FT214),"")</f>
        <v>0.02</v>
      </c>
      <c r="GG214" s="101">
        <f t="shared" ref="GG214:GG277" si="241">IF($FY214&gt;0,INDEX(EU$6:EU$77,$FT214),"")</f>
        <v>1</v>
      </c>
      <c r="GH214" s="101">
        <f t="shared" ref="GH214:GH277" si="242">IF($FY214&gt;0,INDEX(EV$6:EV$77,$FT214),"")</f>
        <v>72</v>
      </c>
      <c r="GI214" s="101">
        <f t="shared" ref="GI214:GI277" si="243">IF($FY214&gt;0,INDEX(FA$6:FA$77,$FT214),"")</f>
        <v>0</v>
      </c>
      <c r="GJ214" s="101">
        <f t="shared" ref="GJ214:GJ277" si="244">IF($FY214&gt;0,INDEX(FB$6:FB$77,$FT214),"")</f>
        <v>1</v>
      </c>
      <c r="GK214" s="101">
        <f t="shared" ref="GK214:GK277" si="245">IF($FY214&gt;0,INDEX(FC$6:FC$77,$FT214),"")</f>
        <v>17</v>
      </c>
      <c r="GL214" s="101">
        <f t="shared" ref="GL214:GL277" si="246">IF($FY214&gt;0,INDEX(FD$6:FD$77,$FT214),"")</f>
        <v>1.04E-2</v>
      </c>
      <c r="GM214" s="101">
        <f t="shared" ref="GM214:GM277" si="247">IF($FY214&gt;0,INDEX(FE$6:FE$77,$FT214),"")</f>
        <v>1</v>
      </c>
      <c r="GN214" s="101">
        <f t="shared" ref="GN214:GN277" si="248">IF($FY214&gt;0,INDEX(FF$6:FF$77,$FT214),"")</f>
        <v>34</v>
      </c>
      <c r="GO214" s="101">
        <f t="shared" ref="GO214:GO277" si="249">IF($FY214&gt;0,INDEX(FG$6:FG$77,$FT214),"")</f>
        <v>4.1700000000000001E-2</v>
      </c>
      <c r="GP214" s="101">
        <f t="shared" ref="GP214:GP277" si="250">IF($FY214&gt;0,INDEX(FH$6:FH$77,$FT214),"")</f>
        <v>1</v>
      </c>
      <c r="GQ214" s="101">
        <f t="shared" ref="GQ214:GQ277" si="251">IF($FY214&gt;0,INDEX(FI$6:FI$77,$FT214),"")</f>
        <v>72</v>
      </c>
    </row>
    <row r="215" spans="175:199" ht="16.5" x14ac:dyDescent="0.2">
      <c r="FS215" s="101">
        <v>210</v>
      </c>
      <c r="FT215" s="101">
        <f t="shared" si="236"/>
        <v>45</v>
      </c>
      <c r="FU215" s="101">
        <f t="shared" si="229"/>
        <v>3</v>
      </c>
      <c r="FV215" s="14">
        <f t="shared" si="230"/>
        <v>4</v>
      </c>
      <c r="FW215" s="101" t="str">
        <f t="shared" si="237"/>
        <v>典韦专属武器-魂珠-5 9级</v>
      </c>
      <c r="FX215" s="101">
        <f t="shared" si="238"/>
        <v>5</v>
      </c>
      <c r="FY215" s="101">
        <f t="shared" si="239"/>
        <v>9</v>
      </c>
      <c r="FZ215" s="101" t="str">
        <f t="shared" si="231"/>
        <v>金币</v>
      </c>
      <c r="GA215" s="139">
        <f>IF($FY215&gt;0,IF(INDEX($EM$6:$EM$77,$FT215)&gt;=GA$3,ROUND(INDEX(EO$6:EO$77,$FT215)*INDEX(卡牌消耗!$B$8:$F$8,FV215)/5,0)*5,""),"")</f>
        <v>8170</v>
      </c>
      <c r="GB215" s="101" t="str">
        <f t="shared" si="232"/>
        <v>专属强化石2</v>
      </c>
      <c r="GC215" s="101">
        <f t="shared" si="233"/>
        <v>14</v>
      </c>
      <c r="GD215" s="101" t="str">
        <f t="shared" si="234"/>
        <v>专属强化石3</v>
      </c>
      <c r="GE215" s="101">
        <f t="shared" si="235"/>
        <v>9</v>
      </c>
      <c r="GF215" s="101">
        <f t="shared" si="240"/>
        <v>0.02</v>
      </c>
      <c r="GG215" s="101">
        <f t="shared" si="241"/>
        <v>1</v>
      </c>
      <c r="GH215" s="101">
        <f t="shared" si="242"/>
        <v>91</v>
      </c>
      <c r="GI215" s="101">
        <f t="shared" si="243"/>
        <v>0</v>
      </c>
      <c r="GJ215" s="101">
        <f t="shared" si="244"/>
        <v>1</v>
      </c>
      <c r="GK215" s="101">
        <f t="shared" si="245"/>
        <v>21</v>
      </c>
      <c r="GL215" s="101">
        <f t="shared" si="246"/>
        <v>8.3000000000000001E-3</v>
      </c>
      <c r="GM215" s="101">
        <f t="shared" si="247"/>
        <v>1</v>
      </c>
      <c r="GN215" s="101">
        <f t="shared" si="248"/>
        <v>42</v>
      </c>
      <c r="GO215" s="101">
        <f t="shared" si="249"/>
        <v>3.3099999999999997E-2</v>
      </c>
      <c r="GP215" s="101">
        <f t="shared" si="250"/>
        <v>1</v>
      </c>
      <c r="GQ215" s="101">
        <f t="shared" si="251"/>
        <v>91</v>
      </c>
    </row>
    <row r="216" spans="175:199" ht="16.5" x14ac:dyDescent="0.2">
      <c r="FS216" s="101">
        <v>211</v>
      </c>
      <c r="FT216" s="101">
        <f t="shared" si="236"/>
        <v>0</v>
      </c>
      <c r="FU216" s="101">
        <f t="shared" si="229"/>
        <v>3</v>
      </c>
      <c r="FV216" s="14">
        <f t="shared" si="230"/>
        <v>4</v>
      </c>
      <c r="FW216" s="101" t="str">
        <f t="shared" si="237"/>
        <v>典韦专属武器-魂珠-6 0级</v>
      </c>
      <c r="FX216" s="101">
        <f t="shared" si="238"/>
        <v>6</v>
      </c>
      <c r="FY216" s="101">
        <f t="shared" si="239"/>
        <v>0</v>
      </c>
      <c r="FZ216" s="101" t="str">
        <f t="shared" si="231"/>
        <v/>
      </c>
      <c r="GA216" s="139" t="str">
        <f>IF($FY216&gt;0,IF(INDEX($EM$6:$EM$77,$FT216)&gt;=GA$3,ROUND(INDEX(EO$6:EO$77,$FT216)*INDEX(卡牌消耗!$B$8:$F$8,FV216)/5,0)*5,""),"")</f>
        <v/>
      </c>
      <c r="GB216" s="101" t="str">
        <f t="shared" si="232"/>
        <v/>
      </c>
      <c r="GC216" s="101" t="str">
        <f t="shared" si="233"/>
        <v/>
      </c>
      <c r="GD216" s="101" t="str">
        <f t="shared" si="234"/>
        <v/>
      </c>
      <c r="GE216" s="101" t="str">
        <f t="shared" si="235"/>
        <v/>
      </c>
      <c r="GF216" s="101" t="str">
        <f t="shared" si="240"/>
        <v/>
      </c>
      <c r="GG216" s="101" t="str">
        <f t="shared" si="241"/>
        <v/>
      </c>
      <c r="GH216" s="101" t="str">
        <f t="shared" si="242"/>
        <v/>
      </c>
      <c r="GI216" s="101" t="str">
        <f t="shared" si="243"/>
        <v/>
      </c>
      <c r="GJ216" s="101" t="str">
        <f t="shared" si="244"/>
        <v/>
      </c>
      <c r="GK216" s="101" t="str">
        <f t="shared" si="245"/>
        <v/>
      </c>
      <c r="GL216" s="101" t="str">
        <f t="shared" si="246"/>
        <v/>
      </c>
      <c r="GM216" s="101" t="str">
        <f t="shared" si="247"/>
        <v/>
      </c>
      <c r="GN216" s="101" t="str">
        <f t="shared" si="248"/>
        <v/>
      </c>
      <c r="GO216" s="101" t="str">
        <f t="shared" si="249"/>
        <v/>
      </c>
      <c r="GP216" s="101" t="str">
        <f t="shared" si="250"/>
        <v/>
      </c>
      <c r="GQ216" s="101" t="str">
        <f t="shared" si="251"/>
        <v/>
      </c>
    </row>
    <row r="217" spans="175:199" ht="16.5" x14ac:dyDescent="0.2">
      <c r="FS217" s="101">
        <v>212</v>
      </c>
      <c r="FT217" s="101">
        <f t="shared" si="236"/>
        <v>46</v>
      </c>
      <c r="FU217" s="101">
        <f t="shared" si="229"/>
        <v>3</v>
      </c>
      <c r="FV217" s="14">
        <f t="shared" si="230"/>
        <v>4</v>
      </c>
      <c r="FW217" s="101" t="str">
        <f t="shared" si="237"/>
        <v>典韦专属武器-魂珠-6 1级</v>
      </c>
      <c r="FX217" s="101">
        <f t="shared" si="238"/>
        <v>6</v>
      </c>
      <c r="FY217" s="101">
        <f t="shared" si="239"/>
        <v>1</v>
      </c>
      <c r="FZ217" s="101" t="str">
        <f t="shared" si="231"/>
        <v>金币</v>
      </c>
      <c r="GA217" s="139">
        <f>IF($FY217&gt;0,IF(INDEX($EM$6:$EM$77,$FT217)&gt;=GA$3,ROUND(INDEX(EO$6:EO$77,$FT217)*INDEX(卡牌消耗!$B$8:$F$8,FV217)/5,0)*5,""),"")</f>
        <v>2180</v>
      </c>
      <c r="GB217" s="101" t="str">
        <f t="shared" si="232"/>
        <v>专属强化石3</v>
      </c>
      <c r="GC217" s="101">
        <f t="shared" si="233"/>
        <v>5</v>
      </c>
      <c r="GD217" s="101" t="str">
        <f t="shared" si="234"/>
        <v>专属强化石4</v>
      </c>
      <c r="GE217" s="101">
        <f t="shared" si="235"/>
        <v>1</v>
      </c>
      <c r="GF217" s="101">
        <f t="shared" si="240"/>
        <v>0.17</v>
      </c>
      <c r="GG217" s="101">
        <f t="shared" si="241"/>
        <v>1</v>
      </c>
      <c r="GH217" s="101">
        <f t="shared" si="242"/>
        <v>9</v>
      </c>
      <c r="GI217" s="101">
        <f t="shared" si="243"/>
        <v>0</v>
      </c>
      <c r="GJ217" s="101">
        <f t="shared" si="244"/>
        <v>1</v>
      </c>
      <c r="GK217" s="101">
        <f t="shared" si="245"/>
        <v>2</v>
      </c>
      <c r="GL217" s="101">
        <f t="shared" si="246"/>
        <v>8.2900000000000001E-2</v>
      </c>
      <c r="GM217" s="101">
        <f t="shared" si="247"/>
        <v>1</v>
      </c>
      <c r="GN217" s="101">
        <f t="shared" si="248"/>
        <v>4</v>
      </c>
      <c r="GO217" s="101">
        <f t="shared" si="249"/>
        <v>0.33139999999999997</v>
      </c>
      <c r="GP217" s="101">
        <f t="shared" si="250"/>
        <v>1</v>
      </c>
      <c r="GQ217" s="101">
        <f t="shared" si="251"/>
        <v>9</v>
      </c>
    </row>
    <row r="218" spans="175:199" ht="16.5" x14ac:dyDescent="0.2">
      <c r="FS218" s="101">
        <v>213</v>
      </c>
      <c r="FT218" s="101">
        <f t="shared" si="236"/>
        <v>47</v>
      </c>
      <c r="FU218" s="101">
        <f t="shared" si="229"/>
        <v>3</v>
      </c>
      <c r="FV218" s="14">
        <f t="shared" si="230"/>
        <v>4</v>
      </c>
      <c r="FW218" s="101" t="str">
        <f t="shared" si="237"/>
        <v>典韦专属武器-魂珠-6 2级</v>
      </c>
      <c r="FX218" s="101">
        <f t="shared" si="238"/>
        <v>6</v>
      </c>
      <c r="FY218" s="101">
        <f t="shared" si="239"/>
        <v>2</v>
      </c>
      <c r="FZ218" s="101" t="str">
        <f t="shared" si="231"/>
        <v>金币</v>
      </c>
      <c r="GA218" s="139">
        <f>IF($FY218&gt;0,IF(INDEX($EM$6:$EM$77,$FT218)&gt;=GA$3,ROUND(INDEX(EO$6:EO$77,$FT218)*INDEX(卡牌消耗!$B$8:$F$8,FV218)/5,0)*5,""),"")</f>
        <v>3270</v>
      </c>
      <c r="GB218" s="101" t="str">
        <f t="shared" si="232"/>
        <v>专属强化石3</v>
      </c>
      <c r="GC218" s="101">
        <f t="shared" si="233"/>
        <v>10</v>
      </c>
      <c r="GD218" s="101" t="str">
        <f t="shared" si="234"/>
        <v>专属强化石4</v>
      </c>
      <c r="GE218" s="101">
        <f t="shared" si="235"/>
        <v>2</v>
      </c>
      <c r="GF218" s="101">
        <f t="shared" si="240"/>
        <v>0.17</v>
      </c>
      <c r="GG218" s="101">
        <f t="shared" si="241"/>
        <v>1</v>
      </c>
      <c r="GH218" s="101">
        <f t="shared" si="242"/>
        <v>9</v>
      </c>
      <c r="GI218" s="101">
        <f t="shared" si="243"/>
        <v>0</v>
      </c>
      <c r="GJ218" s="101">
        <f t="shared" si="244"/>
        <v>1</v>
      </c>
      <c r="GK218" s="101">
        <f t="shared" si="245"/>
        <v>2</v>
      </c>
      <c r="GL218" s="101">
        <f t="shared" si="246"/>
        <v>8.2900000000000001E-2</v>
      </c>
      <c r="GM218" s="101">
        <f t="shared" si="247"/>
        <v>1</v>
      </c>
      <c r="GN218" s="101">
        <f t="shared" si="248"/>
        <v>4</v>
      </c>
      <c r="GO218" s="101">
        <f t="shared" si="249"/>
        <v>0.33139999999999997</v>
      </c>
      <c r="GP218" s="101">
        <f t="shared" si="250"/>
        <v>1</v>
      </c>
      <c r="GQ218" s="101">
        <f t="shared" si="251"/>
        <v>9</v>
      </c>
    </row>
    <row r="219" spans="175:199" ht="16.5" x14ac:dyDescent="0.2">
      <c r="FS219" s="101">
        <v>214</v>
      </c>
      <c r="FT219" s="101">
        <f t="shared" si="236"/>
        <v>48</v>
      </c>
      <c r="FU219" s="101">
        <f t="shared" si="229"/>
        <v>3</v>
      </c>
      <c r="FV219" s="14">
        <f t="shared" si="230"/>
        <v>4</v>
      </c>
      <c r="FW219" s="101" t="str">
        <f t="shared" si="237"/>
        <v>典韦专属武器-魂珠-6 3级</v>
      </c>
      <c r="FX219" s="101">
        <f t="shared" si="238"/>
        <v>6</v>
      </c>
      <c r="FY219" s="101">
        <f t="shared" si="239"/>
        <v>3</v>
      </c>
      <c r="FZ219" s="101" t="str">
        <f t="shared" si="231"/>
        <v>金币</v>
      </c>
      <c r="GA219" s="139">
        <f>IF($FY219&gt;0,IF(INDEX($EM$6:$EM$77,$FT219)&gt;=GA$3,ROUND(INDEX(EO$6:EO$77,$FT219)*INDEX(卡牌消耗!$B$8:$F$8,FV219)/5,0)*5,""),"")</f>
        <v>3635</v>
      </c>
      <c r="GB219" s="101" t="str">
        <f t="shared" si="232"/>
        <v>专属强化石3</v>
      </c>
      <c r="GC219" s="101">
        <f t="shared" si="233"/>
        <v>10</v>
      </c>
      <c r="GD219" s="101" t="str">
        <f t="shared" si="234"/>
        <v>专属强化石4</v>
      </c>
      <c r="GE219" s="101">
        <f t="shared" si="235"/>
        <v>2</v>
      </c>
      <c r="GF219" s="101">
        <f t="shared" si="240"/>
        <v>0.11</v>
      </c>
      <c r="GG219" s="101">
        <f t="shared" si="241"/>
        <v>1</v>
      </c>
      <c r="GH219" s="101">
        <f t="shared" si="242"/>
        <v>14</v>
      </c>
      <c r="GI219" s="101">
        <f t="shared" si="243"/>
        <v>0</v>
      </c>
      <c r="GJ219" s="101">
        <f t="shared" si="244"/>
        <v>1</v>
      </c>
      <c r="GK219" s="101">
        <f t="shared" si="245"/>
        <v>3</v>
      </c>
      <c r="GL219" s="101">
        <f t="shared" si="246"/>
        <v>5.5199999999999999E-2</v>
      </c>
      <c r="GM219" s="101">
        <f t="shared" si="247"/>
        <v>1</v>
      </c>
      <c r="GN219" s="101">
        <f t="shared" si="248"/>
        <v>6</v>
      </c>
      <c r="GO219" s="101">
        <f t="shared" si="249"/>
        <v>0.221</v>
      </c>
      <c r="GP219" s="101">
        <f t="shared" si="250"/>
        <v>1</v>
      </c>
      <c r="GQ219" s="101">
        <f t="shared" si="251"/>
        <v>14</v>
      </c>
    </row>
    <row r="220" spans="175:199" ht="16.5" x14ac:dyDescent="0.2">
      <c r="FS220" s="101">
        <v>215</v>
      </c>
      <c r="FT220" s="101">
        <f t="shared" si="236"/>
        <v>49</v>
      </c>
      <c r="FU220" s="101">
        <f t="shared" si="229"/>
        <v>3</v>
      </c>
      <c r="FV220" s="14">
        <f t="shared" si="230"/>
        <v>4</v>
      </c>
      <c r="FW220" s="101" t="str">
        <f t="shared" si="237"/>
        <v>典韦专属武器-魂珠-6 4级</v>
      </c>
      <c r="FX220" s="101">
        <f t="shared" si="238"/>
        <v>6</v>
      </c>
      <c r="FY220" s="101">
        <f t="shared" si="239"/>
        <v>4</v>
      </c>
      <c r="FZ220" s="101" t="str">
        <f t="shared" si="231"/>
        <v>金币</v>
      </c>
      <c r="GA220" s="139">
        <f>IF($FY220&gt;0,IF(INDEX($EM$6:$EM$77,$FT220)&gt;=GA$3,ROUND(INDEX(EO$6:EO$77,$FT220)*INDEX(卡牌消耗!$B$8:$F$8,FV220)/5,0)*5,""),"")</f>
        <v>5235</v>
      </c>
      <c r="GB220" s="101" t="str">
        <f t="shared" si="232"/>
        <v>专属强化石3</v>
      </c>
      <c r="GC220" s="101">
        <f t="shared" si="233"/>
        <v>15</v>
      </c>
      <c r="GD220" s="101" t="str">
        <f t="shared" si="234"/>
        <v>专属强化石4</v>
      </c>
      <c r="GE220" s="101">
        <f t="shared" si="235"/>
        <v>3</v>
      </c>
      <c r="GF220" s="101">
        <f t="shared" si="240"/>
        <v>0.1</v>
      </c>
      <c r="GG220" s="101">
        <f t="shared" si="241"/>
        <v>1</v>
      </c>
      <c r="GH220" s="101">
        <f t="shared" si="242"/>
        <v>15</v>
      </c>
      <c r="GI220" s="101">
        <f t="shared" si="243"/>
        <v>0</v>
      </c>
      <c r="GJ220" s="101">
        <f t="shared" si="244"/>
        <v>1</v>
      </c>
      <c r="GK220" s="101">
        <f t="shared" si="245"/>
        <v>4</v>
      </c>
      <c r="GL220" s="101">
        <f t="shared" si="246"/>
        <v>4.9700000000000001E-2</v>
      </c>
      <c r="GM220" s="101">
        <f t="shared" si="247"/>
        <v>1</v>
      </c>
      <c r="GN220" s="101">
        <f t="shared" si="248"/>
        <v>7</v>
      </c>
      <c r="GO220" s="101">
        <f t="shared" si="249"/>
        <v>0.19889999999999999</v>
      </c>
      <c r="GP220" s="101">
        <f t="shared" si="250"/>
        <v>1</v>
      </c>
      <c r="GQ220" s="101">
        <f t="shared" si="251"/>
        <v>15</v>
      </c>
    </row>
    <row r="221" spans="175:199" ht="16.5" x14ac:dyDescent="0.2">
      <c r="FS221" s="101">
        <v>216</v>
      </c>
      <c r="FT221" s="101">
        <f t="shared" si="236"/>
        <v>50</v>
      </c>
      <c r="FU221" s="101">
        <f t="shared" si="229"/>
        <v>3</v>
      </c>
      <c r="FV221" s="14">
        <f t="shared" si="230"/>
        <v>4</v>
      </c>
      <c r="FW221" s="101" t="str">
        <f t="shared" si="237"/>
        <v>典韦专属武器-魂珠-6 5级</v>
      </c>
      <c r="FX221" s="101">
        <f t="shared" si="238"/>
        <v>6</v>
      </c>
      <c r="FY221" s="101">
        <f t="shared" si="239"/>
        <v>5</v>
      </c>
      <c r="FZ221" s="101" t="str">
        <f t="shared" si="231"/>
        <v>金币</v>
      </c>
      <c r="GA221" s="139">
        <f>IF($FY221&gt;0,IF(INDEX($EM$6:$EM$77,$FT221)&gt;=GA$3,ROUND(INDEX(EO$6:EO$77,$FT221)*INDEX(卡牌消耗!$B$8:$F$8,FV221)/5,0)*5,""),"")</f>
        <v>5315</v>
      </c>
      <c r="GB221" s="101" t="str">
        <f t="shared" si="232"/>
        <v>专属强化石3</v>
      </c>
      <c r="GC221" s="101">
        <f t="shared" si="233"/>
        <v>15</v>
      </c>
      <c r="GD221" s="101" t="str">
        <f t="shared" si="234"/>
        <v>专属强化石4</v>
      </c>
      <c r="GE221" s="101">
        <f t="shared" si="235"/>
        <v>3</v>
      </c>
      <c r="GF221" s="101">
        <f t="shared" si="240"/>
        <v>0.06</v>
      </c>
      <c r="GG221" s="101">
        <f t="shared" si="241"/>
        <v>1</v>
      </c>
      <c r="GH221" s="101">
        <f t="shared" si="242"/>
        <v>24</v>
      </c>
      <c r="GI221" s="101">
        <f t="shared" si="243"/>
        <v>0</v>
      </c>
      <c r="GJ221" s="101">
        <f t="shared" si="244"/>
        <v>1</v>
      </c>
      <c r="GK221" s="101">
        <f t="shared" si="245"/>
        <v>6</v>
      </c>
      <c r="GL221" s="101">
        <f t="shared" si="246"/>
        <v>3.1099999999999999E-2</v>
      </c>
      <c r="GM221" s="101">
        <f t="shared" si="247"/>
        <v>1</v>
      </c>
      <c r="GN221" s="101">
        <f t="shared" si="248"/>
        <v>11</v>
      </c>
      <c r="GO221" s="101">
        <f t="shared" si="249"/>
        <v>0.12429999999999999</v>
      </c>
      <c r="GP221" s="101">
        <f t="shared" si="250"/>
        <v>1</v>
      </c>
      <c r="GQ221" s="101">
        <f t="shared" si="251"/>
        <v>24</v>
      </c>
    </row>
    <row r="222" spans="175:199" ht="16.5" x14ac:dyDescent="0.2">
      <c r="FS222" s="101">
        <v>217</v>
      </c>
      <c r="FT222" s="101">
        <f t="shared" si="236"/>
        <v>51</v>
      </c>
      <c r="FU222" s="101">
        <f t="shared" si="229"/>
        <v>3</v>
      </c>
      <c r="FV222" s="14">
        <f t="shared" si="230"/>
        <v>4</v>
      </c>
      <c r="FW222" s="101" t="str">
        <f t="shared" si="237"/>
        <v>典韦专属武器-魂珠-6 6级</v>
      </c>
      <c r="FX222" s="101">
        <f t="shared" si="238"/>
        <v>6</v>
      </c>
      <c r="FY222" s="101">
        <f t="shared" si="239"/>
        <v>6</v>
      </c>
      <c r="FZ222" s="101" t="str">
        <f t="shared" si="231"/>
        <v>金币</v>
      </c>
      <c r="GA222" s="139">
        <f>IF($FY222&gt;0,IF(INDEX($EM$6:$EM$77,$FT222)&gt;=GA$3,ROUND(INDEX(EO$6:EO$77,$FT222)*INDEX(卡牌消耗!$B$8:$F$8,FV222)/5,0)*5,""),"")</f>
        <v>7045</v>
      </c>
      <c r="GB222" s="101" t="str">
        <f t="shared" si="232"/>
        <v>专属强化石3</v>
      </c>
      <c r="GC222" s="101">
        <f t="shared" si="233"/>
        <v>20</v>
      </c>
      <c r="GD222" s="101" t="str">
        <f t="shared" si="234"/>
        <v>专属强化石4</v>
      </c>
      <c r="GE222" s="101">
        <f t="shared" si="235"/>
        <v>4</v>
      </c>
      <c r="GF222" s="101">
        <f t="shared" si="240"/>
        <v>0.05</v>
      </c>
      <c r="GG222" s="101">
        <f t="shared" si="241"/>
        <v>1</v>
      </c>
      <c r="GH222" s="101">
        <f t="shared" si="242"/>
        <v>29</v>
      </c>
      <c r="GI222" s="101">
        <f t="shared" si="243"/>
        <v>0</v>
      </c>
      <c r="GJ222" s="101">
        <f t="shared" si="244"/>
        <v>1</v>
      </c>
      <c r="GK222" s="101">
        <f t="shared" si="245"/>
        <v>7</v>
      </c>
      <c r="GL222" s="101">
        <f t="shared" si="246"/>
        <v>2.5499999999999998E-2</v>
      </c>
      <c r="GM222" s="101">
        <f t="shared" si="247"/>
        <v>1</v>
      </c>
      <c r="GN222" s="101">
        <f t="shared" si="248"/>
        <v>14</v>
      </c>
      <c r="GO222" s="101">
        <f t="shared" si="249"/>
        <v>0.10199999999999999</v>
      </c>
      <c r="GP222" s="101">
        <f t="shared" si="250"/>
        <v>1</v>
      </c>
      <c r="GQ222" s="101">
        <f t="shared" si="251"/>
        <v>29</v>
      </c>
    </row>
    <row r="223" spans="175:199" ht="16.5" x14ac:dyDescent="0.2">
      <c r="FS223" s="101">
        <v>218</v>
      </c>
      <c r="FT223" s="101">
        <f t="shared" si="236"/>
        <v>52</v>
      </c>
      <c r="FU223" s="101">
        <f t="shared" si="229"/>
        <v>3</v>
      </c>
      <c r="FV223" s="14">
        <f t="shared" si="230"/>
        <v>4</v>
      </c>
      <c r="FW223" s="101" t="str">
        <f t="shared" si="237"/>
        <v>典韦专属武器-魂珠-6 7级</v>
      </c>
      <c r="FX223" s="101">
        <f t="shared" si="238"/>
        <v>6</v>
      </c>
      <c r="FY223" s="101">
        <f t="shared" si="239"/>
        <v>7</v>
      </c>
      <c r="FZ223" s="101" t="str">
        <f t="shared" si="231"/>
        <v>金币</v>
      </c>
      <c r="GA223" s="139">
        <f>IF($FY223&gt;0,IF(INDEX($EM$6:$EM$77,$FT223)&gt;=GA$3,ROUND(INDEX(EO$6:EO$77,$FT223)*INDEX(卡牌消耗!$B$8:$F$8,FV223)/5,0)*5,""),"")</f>
        <v>8830</v>
      </c>
      <c r="GB223" s="101" t="str">
        <f t="shared" si="232"/>
        <v>专属强化石3</v>
      </c>
      <c r="GC223" s="101">
        <f t="shared" si="233"/>
        <v>25</v>
      </c>
      <c r="GD223" s="101" t="str">
        <f t="shared" si="234"/>
        <v>专属强化石4</v>
      </c>
      <c r="GE223" s="101">
        <f t="shared" si="235"/>
        <v>5</v>
      </c>
      <c r="GF223" s="101">
        <f t="shared" si="240"/>
        <v>0.04</v>
      </c>
      <c r="GG223" s="101">
        <f t="shared" si="241"/>
        <v>1</v>
      </c>
      <c r="GH223" s="101">
        <f t="shared" si="242"/>
        <v>38</v>
      </c>
      <c r="GI223" s="101">
        <f t="shared" si="243"/>
        <v>0</v>
      </c>
      <c r="GJ223" s="101">
        <f t="shared" si="244"/>
        <v>1</v>
      </c>
      <c r="GK223" s="101">
        <f t="shared" si="245"/>
        <v>9</v>
      </c>
      <c r="GL223" s="101">
        <f t="shared" si="246"/>
        <v>1.9699999999999999E-2</v>
      </c>
      <c r="GM223" s="101">
        <f t="shared" si="247"/>
        <v>1</v>
      </c>
      <c r="GN223" s="101">
        <f t="shared" si="248"/>
        <v>18</v>
      </c>
      <c r="GO223" s="101">
        <f t="shared" si="249"/>
        <v>7.8899999999999998E-2</v>
      </c>
      <c r="GP223" s="101">
        <f t="shared" si="250"/>
        <v>1</v>
      </c>
      <c r="GQ223" s="101">
        <f t="shared" si="251"/>
        <v>38</v>
      </c>
    </row>
    <row r="224" spans="175:199" ht="16.5" x14ac:dyDescent="0.2">
      <c r="FS224" s="101">
        <v>219</v>
      </c>
      <c r="FT224" s="101">
        <f t="shared" si="236"/>
        <v>53</v>
      </c>
      <c r="FU224" s="101">
        <f t="shared" si="229"/>
        <v>3</v>
      </c>
      <c r="FV224" s="14">
        <f t="shared" si="230"/>
        <v>4</v>
      </c>
      <c r="FW224" s="101" t="str">
        <f t="shared" si="237"/>
        <v>典韦专属武器-魂珠-6 8级</v>
      </c>
      <c r="FX224" s="101">
        <f t="shared" si="238"/>
        <v>6</v>
      </c>
      <c r="FY224" s="101">
        <f t="shared" si="239"/>
        <v>8</v>
      </c>
      <c r="FZ224" s="101" t="str">
        <f t="shared" si="231"/>
        <v>金币</v>
      </c>
      <c r="GA224" s="139">
        <f>IF($FY224&gt;0,IF(INDEX($EM$6:$EM$77,$FT224)&gt;=GA$3,ROUND(INDEX(EO$6:EO$77,$FT224)*INDEX(卡牌消耗!$B$8:$F$8,FV224)/5,0)*5,""),"")</f>
        <v>12350</v>
      </c>
      <c r="GB224" s="101" t="str">
        <f t="shared" si="232"/>
        <v>专属强化石3</v>
      </c>
      <c r="GC224" s="101">
        <f t="shared" si="233"/>
        <v>35</v>
      </c>
      <c r="GD224" s="101" t="str">
        <f t="shared" si="234"/>
        <v>专属强化石4</v>
      </c>
      <c r="GE224" s="101">
        <f t="shared" si="235"/>
        <v>7</v>
      </c>
      <c r="GF224" s="101">
        <f t="shared" si="240"/>
        <v>0.03</v>
      </c>
      <c r="GG224" s="101">
        <f t="shared" si="241"/>
        <v>1</v>
      </c>
      <c r="GH224" s="101">
        <f t="shared" si="242"/>
        <v>44</v>
      </c>
      <c r="GI224" s="101">
        <f t="shared" si="243"/>
        <v>0</v>
      </c>
      <c r="GJ224" s="101">
        <f t="shared" si="244"/>
        <v>1</v>
      </c>
      <c r="GK224" s="101">
        <f t="shared" si="245"/>
        <v>10</v>
      </c>
      <c r="GL224" s="101">
        <f t="shared" si="246"/>
        <v>1.7100000000000001E-2</v>
      </c>
      <c r="GM224" s="101">
        <f t="shared" si="247"/>
        <v>1</v>
      </c>
      <c r="GN224" s="101">
        <f t="shared" si="248"/>
        <v>21</v>
      </c>
      <c r="GO224" s="101">
        <f t="shared" si="249"/>
        <v>6.8199999999999997E-2</v>
      </c>
      <c r="GP224" s="101">
        <f t="shared" si="250"/>
        <v>1</v>
      </c>
      <c r="GQ224" s="101">
        <f t="shared" si="251"/>
        <v>44</v>
      </c>
    </row>
    <row r="225" spans="175:199" ht="16.5" x14ac:dyDescent="0.2">
      <c r="FS225" s="101">
        <v>220</v>
      </c>
      <c r="FT225" s="101">
        <f t="shared" si="236"/>
        <v>54</v>
      </c>
      <c r="FU225" s="101">
        <f t="shared" si="229"/>
        <v>3</v>
      </c>
      <c r="FV225" s="14">
        <f t="shared" si="230"/>
        <v>4</v>
      </c>
      <c r="FW225" s="101" t="str">
        <f t="shared" si="237"/>
        <v>典韦专属武器-魂珠-6 9级</v>
      </c>
      <c r="FX225" s="101">
        <f t="shared" si="238"/>
        <v>6</v>
      </c>
      <c r="FY225" s="101">
        <f t="shared" si="239"/>
        <v>9</v>
      </c>
      <c r="FZ225" s="101" t="str">
        <f t="shared" si="231"/>
        <v>金币</v>
      </c>
      <c r="GA225" s="139">
        <f>IF($FY225&gt;0,IF(INDEX($EM$6:$EM$77,$FT225)&gt;=GA$3,ROUND(INDEX(EO$6:EO$77,$FT225)*INDEX(卡牌消耗!$B$8:$F$8,FV225)/5,0)*5,""),"")</f>
        <v>14120</v>
      </c>
      <c r="GB225" s="101" t="str">
        <f t="shared" si="232"/>
        <v>专属强化石3</v>
      </c>
      <c r="GC225" s="101">
        <f t="shared" si="233"/>
        <v>40</v>
      </c>
      <c r="GD225" s="101" t="str">
        <f t="shared" si="234"/>
        <v>专属强化石4</v>
      </c>
      <c r="GE225" s="101">
        <f t="shared" si="235"/>
        <v>8</v>
      </c>
      <c r="GF225" s="101">
        <f t="shared" si="240"/>
        <v>0.02</v>
      </c>
      <c r="GG225" s="101">
        <f t="shared" si="241"/>
        <v>1</v>
      </c>
      <c r="GH225" s="101">
        <f t="shared" si="242"/>
        <v>62</v>
      </c>
      <c r="GI225" s="101">
        <f t="shared" si="243"/>
        <v>0</v>
      </c>
      <c r="GJ225" s="101">
        <f t="shared" si="244"/>
        <v>1</v>
      </c>
      <c r="GK225" s="101">
        <f t="shared" si="245"/>
        <v>15</v>
      </c>
      <c r="GL225" s="101">
        <f t="shared" si="246"/>
        <v>1.21E-2</v>
      </c>
      <c r="GM225" s="101">
        <f t="shared" si="247"/>
        <v>1</v>
      </c>
      <c r="GN225" s="101">
        <f t="shared" si="248"/>
        <v>29</v>
      </c>
      <c r="GO225" s="101">
        <f t="shared" si="249"/>
        <v>4.82E-2</v>
      </c>
      <c r="GP225" s="101">
        <f t="shared" si="250"/>
        <v>1</v>
      </c>
      <c r="GQ225" s="101">
        <f t="shared" si="251"/>
        <v>62</v>
      </c>
    </row>
    <row r="226" spans="175:199" ht="16.5" x14ac:dyDescent="0.2">
      <c r="FS226" s="101">
        <v>221</v>
      </c>
      <c r="FT226" s="101">
        <f t="shared" si="236"/>
        <v>0</v>
      </c>
      <c r="FU226" s="101">
        <f t="shared" si="229"/>
        <v>3</v>
      </c>
      <c r="FV226" s="14">
        <f t="shared" si="230"/>
        <v>4</v>
      </c>
      <c r="FW226" s="101" t="str">
        <f t="shared" si="237"/>
        <v>典韦专属武器-魂珠-7 0级</v>
      </c>
      <c r="FX226" s="101">
        <f t="shared" si="238"/>
        <v>7</v>
      </c>
      <c r="FY226" s="101">
        <f t="shared" si="239"/>
        <v>0</v>
      </c>
      <c r="FZ226" s="101" t="str">
        <f t="shared" si="231"/>
        <v/>
      </c>
      <c r="GA226" s="139" t="str">
        <f>IF($FY226&gt;0,IF(INDEX($EM$6:$EM$77,$FT226)&gt;=GA$3,ROUND(INDEX(EO$6:EO$77,$FT226)*INDEX(卡牌消耗!$B$8:$F$8,FV226)/5,0)*5,""),"")</f>
        <v/>
      </c>
      <c r="GB226" s="101" t="str">
        <f t="shared" si="232"/>
        <v/>
      </c>
      <c r="GC226" s="101" t="str">
        <f t="shared" si="233"/>
        <v/>
      </c>
      <c r="GD226" s="101" t="str">
        <f t="shared" si="234"/>
        <v/>
      </c>
      <c r="GE226" s="101" t="str">
        <f t="shared" si="235"/>
        <v/>
      </c>
      <c r="GF226" s="101" t="str">
        <f t="shared" si="240"/>
        <v/>
      </c>
      <c r="GG226" s="101" t="str">
        <f t="shared" si="241"/>
        <v/>
      </c>
      <c r="GH226" s="101" t="str">
        <f t="shared" si="242"/>
        <v/>
      </c>
      <c r="GI226" s="101" t="str">
        <f t="shared" si="243"/>
        <v/>
      </c>
      <c r="GJ226" s="101" t="str">
        <f t="shared" si="244"/>
        <v/>
      </c>
      <c r="GK226" s="101" t="str">
        <f t="shared" si="245"/>
        <v/>
      </c>
      <c r="GL226" s="101" t="str">
        <f t="shared" si="246"/>
        <v/>
      </c>
      <c r="GM226" s="101" t="str">
        <f t="shared" si="247"/>
        <v/>
      </c>
      <c r="GN226" s="101" t="str">
        <f t="shared" si="248"/>
        <v/>
      </c>
      <c r="GO226" s="101" t="str">
        <f t="shared" si="249"/>
        <v/>
      </c>
      <c r="GP226" s="101" t="str">
        <f t="shared" si="250"/>
        <v/>
      </c>
      <c r="GQ226" s="101" t="str">
        <f t="shared" si="251"/>
        <v/>
      </c>
    </row>
    <row r="227" spans="175:199" ht="16.5" x14ac:dyDescent="0.2">
      <c r="FS227" s="101">
        <v>222</v>
      </c>
      <c r="FT227" s="101">
        <f t="shared" si="236"/>
        <v>55</v>
      </c>
      <c r="FU227" s="101">
        <f t="shared" si="229"/>
        <v>3</v>
      </c>
      <c r="FV227" s="14">
        <f t="shared" si="230"/>
        <v>4</v>
      </c>
      <c r="FW227" s="101" t="str">
        <f t="shared" si="237"/>
        <v>典韦专属武器-魂珠-7 1级</v>
      </c>
      <c r="FX227" s="101">
        <f t="shared" si="238"/>
        <v>7</v>
      </c>
      <c r="FY227" s="101">
        <f t="shared" si="239"/>
        <v>1</v>
      </c>
      <c r="FZ227" s="101" t="str">
        <f t="shared" si="231"/>
        <v>金币</v>
      </c>
      <c r="GA227" s="139">
        <f>IF($FY227&gt;0,IF(INDEX($EM$6:$EM$77,$FT227)&gt;=GA$3,ROUND(INDEX(EO$6:EO$77,$FT227)*INDEX(卡牌消耗!$B$8:$F$8,FV227)/5,0)*5,""),"")</f>
        <v>7615</v>
      </c>
      <c r="GB227" s="101" t="str">
        <f t="shared" si="232"/>
        <v>专属强化石3</v>
      </c>
      <c r="GC227" s="101">
        <f t="shared" si="233"/>
        <v>6</v>
      </c>
      <c r="GD227" s="101" t="str">
        <f t="shared" si="234"/>
        <v>专属强化石4</v>
      </c>
      <c r="GE227" s="101">
        <f t="shared" si="235"/>
        <v>2</v>
      </c>
      <c r="GF227" s="101">
        <f t="shared" si="240"/>
        <v>0.2</v>
      </c>
      <c r="GG227" s="101">
        <f t="shared" si="241"/>
        <v>1</v>
      </c>
      <c r="GH227" s="101">
        <f t="shared" si="242"/>
        <v>8</v>
      </c>
      <c r="GI227" s="101">
        <f t="shared" si="243"/>
        <v>0</v>
      </c>
      <c r="GJ227" s="101">
        <f t="shared" si="244"/>
        <v>1</v>
      </c>
      <c r="GK227" s="101">
        <f t="shared" si="245"/>
        <v>2</v>
      </c>
      <c r="GL227" s="101">
        <f t="shared" si="246"/>
        <v>9.9400000000000002E-2</v>
      </c>
      <c r="GM227" s="101">
        <f t="shared" si="247"/>
        <v>1</v>
      </c>
      <c r="GN227" s="101">
        <f t="shared" si="248"/>
        <v>4</v>
      </c>
      <c r="GO227" s="101">
        <f t="shared" si="249"/>
        <v>0.3977</v>
      </c>
      <c r="GP227" s="101">
        <f t="shared" si="250"/>
        <v>1</v>
      </c>
      <c r="GQ227" s="101">
        <f t="shared" si="251"/>
        <v>8</v>
      </c>
    </row>
    <row r="228" spans="175:199" ht="16.5" x14ac:dyDescent="0.2">
      <c r="FS228" s="101">
        <v>223</v>
      </c>
      <c r="FT228" s="101">
        <f t="shared" si="236"/>
        <v>56</v>
      </c>
      <c r="FU228" s="101">
        <f t="shared" si="229"/>
        <v>3</v>
      </c>
      <c r="FV228" s="14">
        <f t="shared" si="230"/>
        <v>4</v>
      </c>
      <c r="FW228" s="101" t="str">
        <f t="shared" si="237"/>
        <v>典韦专属武器-魂珠-7 2级</v>
      </c>
      <c r="FX228" s="101">
        <f t="shared" si="238"/>
        <v>7</v>
      </c>
      <c r="FY228" s="101">
        <f t="shared" si="239"/>
        <v>2</v>
      </c>
      <c r="FZ228" s="101" t="str">
        <f t="shared" si="231"/>
        <v>金币</v>
      </c>
      <c r="GA228" s="139">
        <f>IF($FY228&gt;0,IF(INDEX($EM$6:$EM$77,$FT228)&gt;=GA$3,ROUND(INDEX(EO$6:EO$77,$FT228)*INDEX(卡牌消耗!$B$8:$F$8,FV228)/5,0)*5,""),"")</f>
        <v>5710</v>
      </c>
      <c r="GB228" s="101" t="str">
        <f t="shared" si="232"/>
        <v>专属强化石3</v>
      </c>
      <c r="GC228" s="101">
        <f t="shared" si="233"/>
        <v>6</v>
      </c>
      <c r="GD228" s="101" t="str">
        <f t="shared" si="234"/>
        <v>专属强化石4</v>
      </c>
      <c r="GE228" s="101">
        <f t="shared" si="235"/>
        <v>2</v>
      </c>
      <c r="GF228" s="101">
        <f t="shared" si="240"/>
        <v>0.1</v>
      </c>
      <c r="GG228" s="101">
        <f t="shared" si="241"/>
        <v>1</v>
      </c>
      <c r="GH228" s="101">
        <f t="shared" si="242"/>
        <v>15</v>
      </c>
      <c r="GI228" s="101">
        <f t="shared" si="243"/>
        <v>0</v>
      </c>
      <c r="GJ228" s="101">
        <f t="shared" si="244"/>
        <v>1</v>
      </c>
      <c r="GK228" s="101">
        <f t="shared" si="245"/>
        <v>4</v>
      </c>
      <c r="GL228" s="101">
        <f t="shared" si="246"/>
        <v>4.9700000000000001E-2</v>
      </c>
      <c r="GM228" s="101">
        <f t="shared" si="247"/>
        <v>1</v>
      </c>
      <c r="GN228" s="101">
        <f t="shared" si="248"/>
        <v>7</v>
      </c>
      <c r="GO228" s="101">
        <f t="shared" si="249"/>
        <v>0.19889999999999999</v>
      </c>
      <c r="GP228" s="101">
        <f t="shared" si="250"/>
        <v>1</v>
      </c>
      <c r="GQ228" s="101">
        <f t="shared" si="251"/>
        <v>15</v>
      </c>
    </row>
    <row r="229" spans="175:199" ht="16.5" x14ac:dyDescent="0.2">
      <c r="FS229" s="101">
        <v>224</v>
      </c>
      <c r="FT229" s="101">
        <f t="shared" si="236"/>
        <v>57</v>
      </c>
      <c r="FU229" s="101">
        <f t="shared" si="229"/>
        <v>3</v>
      </c>
      <c r="FV229" s="14">
        <f t="shared" si="230"/>
        <v>4</v>
      </c>
      <c r="FW229" s="101" t="str">
        <f t="shared" si="237"/>
        <v>典韦专属武器-魂珠-7 3级</v>
      </c>
      <c r="FX229" s="101">
        <f t="shared" si="238"/>
        <v>7</v>
      </c>
      <c r="FY229" s="101">
        <f t="shared" si="239"/>
        <v>3</v>
      </c>
      <c r="FZ229" s="101" t="str">
        <f t="shared" si="231"/>
        <v>金币</v>
      </c>
      <c r="GA229" s="139">
        <f>IF($FY229&gt;0,IF(INDEX($EM$6:$EM$77,$FT229)&gt;=GA$3,ROUND(INDEX(EO$6:EO$77,$FT229)*INDEX(卡牌消耗!$B$8:$F$8,FV229)/5,0)*5,""),"")</f>
        <v>9520</v>
      </c>
      <c r="GB229" s="101" t="str">
        <f t="shared" si="232"/>
        <v>专属强化石3</v>
      </c>
      <c r="GC229" s="101">
        <f t="shared" si="233"/>
        <v>9</v>
      </c>
      <c r="GD229" s="101" t="str">
        <f t="shared" si="234"/>
        <v>专属强化石4</v>
      </c>
      <c r="GE229" s="101">
        <f t="shared" si="235"/>
        <v>3</v>
      </c>
      <c r="GF229" s="101">
        <f t="shared" si="240"/>
        <v>0.1</v>
      </c>
      <c r="GG229" s="101">
        <f t="shared" si="241"/>
        <v>1</v>
      </c>
      <c r="GH229" s="101">
        <f t="shared" si="242"/>
        <v>15</v>
      </c>
      <c r="GI229" s="101">
        <f t="shared" si="243"/>
        <v>0</v>
      </c>
      <c r="GJ229" s="101">
        <f t="shared" si="244"/>
        <v>1</v>
      </c>
      <c r="GK229" s="101">
        <f t="shared" si="245"/>
        <v>4</v>
      </c>
      <c r="GL229" s="101">
        <f t="shared" si="246"/>
        <v>4.9700000000000001E-2</v>
      </c>
      <c r="GM229" s="101">
        <f t="shared" si="247"/>
        <v>1</v>
      </c>
      <c r="GN229" s="101">
        <f t="shared" si="248"/>
        <v>7</v>
      </c>
      <c r="GO229" s="101">
        <f t="shared" si="249"/>
        <v>0.19889999999999999</v>
      </c>
      <c r="GP229" s="101">
        <f t="shared" si="250"/>
        <v>1</v>
      </c>
      <c r="GQ229" s="101">
        <f t="shared" si="251"/>
        <v>15</v>
      </c>
    </row>
    <row r="230" spans="175:199" ht="16.5" x14ac:dyDescent="0.2">
      <c r="FS230" s="101">
        <v>225</v>
      </c>
      <c r="FT230" s="101">
        <f t="shared" si="236"/>
        <v>58</v>
      </c>
      <c r="FU230" s="101">
        <f t="shared" si="229"/>
        <v>3</v>
      </c>
      <c r="FV230" s="14">
        <f t="shared" si="230"/>
        <v>4</v>
      </c>
      <c r="FW230" s="101" t="str">
        <f t="shared" si="237"/>
        <v>典韦专属武器-魂珠-7 4级</v>
      </c>
      <c r="FX230" s="101">
        <f t="shared" si="238"/>
        <v>7</v>
      </c>
      <c r="FY230" s="101">
        <f t="shared" si="239"/>
        <v>4</v>
      </c>
      <c r="FZ230" s="101" t="str">
        <f t="shared" si="231"/>
        <v>金币</v>
      </c>
      <c r="GA230" s="139">
        <f>IF($FY230&gt;0,IF(INDEX($EM$6:$EM$77,$FT230)&gt;=GA$3,ROUND(INDEX(EO$6:EO$77,$FT230)*INDEX(卡牌消耗!$B$8:$F$8,FV230)/5,0)*5,""),"")</f>
        <v>12185</v>
      </c>
      <c r="GB230" s="101" t="str">
        <f t="shared" si="232"/>
        <v>专属强化石3</v>
      </c>
      <c r="GC230" s="101">
        <f t="shared" si="233"/>
        <v>12</v>
      </c>
      <c r="GD230" s="101" t="str">
        <f t="shared" si="234"/>
        <v>专属强化石4</v>
      </c>
      <c r="GE230" s="101">
        <f t="shared" si="235"/>
        <v>4</v>
      </c>
      <c r="GF230" s="101">
        <f t="shared" si="240"/>
        <v>0.08</v>
      </c>
      <c r="GG230" s="101">
        <f t="shared" si="241"/>
        <v>1</v>
      </c>
      <c r="GH230" s="101">
        <f t="shared" si="242"/>
        <v>19</v>
      </c>
      <c r="GI230" s="101">
        <f t="shared" si="243"/>
        <v>0</v>
      </c>
      <c r="GJ230" s="101">
        <f t="shared" si="244"/>
        <v>1</v>
      </c>
      <c r="GK230" s="101">
        <f t="shared" si="245"/>
        <v>4</v>
      </c>
      <c r="GL230" s="101">
        <f t="shared" si="246"/>
        <v>3.9800000000000002E-2</v>
      </c>
      <c r="GM230" s="101">
        <f t="shared" si="247"/>
        <v>1</v>
      </c>
      <c r="GN230" s="101">
        <f t="shared" si="248"/>
        <v>9</v>
      </c>
      <c r="GO230" s="101">
        <f t="shared" si="249"/>
        <v>0.15909999999999999</v>
      </c>
      <c r="GP230" s="101">
        <f t="shared" si="250"/>
        <v>1</v>
      </c>
      <c r="GQ230" s="101">
        <f t="shared" si="251"/>
        <v>19</v>
      </c>
    </row>
    <row r="231" spans="175:199" ht="16.5" x14ac:dyDescent="0.2">
      <c r="FS231" s="101">
        <v>226</v>
      </c>
      <c r="FT231" s="101">
        <f t="shared" si="236"/>
        <v>59</v>
      </c>
      <c r="FU231" s="101">
        <f t="shared" si="229"/>
        <v>3</v>
      </c>
      <c r="FV231" s="14">
        <f t="shared" si="230"/>
        <v>4</v>
      </c>
      <c r="FW231" s="101" t="str">
        <f t="shared" si="237"/>
        <v>典韦专属武器-魂珠-7 5级</v>
      </c>
      <c r="FX231" s="101">
        <f t="shared" si="238"/>
        <v>7</v>
      </c>
      <c r="FY231" s="101">
        <f t="shared" si="239"/>
        <v>5</v>
      </c>
      <c r="FZ231" s="101" t="str">
        <f t="shared" si="231"/>
        <v>金币</v>
      </c>
      <c r="GA231" s="139">
        <f>IF($FY231&gt;0,IF(INDEX($EM$6:$EM$77,$FT231)&gt;=GA$3,ROUND(INDEX(EO$6:EO$77,$FT231)*INDEX(卡牌消耗!$B$8:$F$8,FV231)/5,0)*5,""),"")</f>
        <v>12375</v>
      </c>
      <c r="GB231" s="101" t="str">
        <f t="shared" si="232"/>
        <v>专属强化石3</v>
      </c>
      <c r="GC231" s="101">
        <f t="shared" si="233"/>
        <v>12</v>
      </c>
      <c r="GD231" s="101" t="str">
        <f t="shared" si="234"/>
        <v>专属强化石4</v>
      </c>
      <c r="GE231" s="101">
        <f t="shared" si="235"/>
        <v>4</v>
      </c>
      <c r="GF231" s="101">
        <f t="shared" si="240"/>
        <v>0.05</v>
      </c>
      <c r="GG231" s="101">
        <f t="shared" si="241"/>
        <v>1</v>
      </c>
      <c r="GH231" s="101">
        <f t="shared" si="242"/>
        <v>30</v>
      </c>
      <c r="GI231" s="101">
        <f t="shared" si="243"/>
        <v>0</v>
      </c>
      <c r="GJ231" s="101">
        <f t="shared" si="244"/>
        <v>1</v>
      </c>
      <c r="GK231" s="101">
        <f t="shared" si="245"/>
        <v>7</v>
      </c>
      <c r="GL231" s="101">
        <f t="shared" si="246"/>
        <v>2.4899999999999999E-2</v>
      </c>
      <c r="GM231" s="101">
        <f t="shared" si="247"/>
        <v>1</v>
      </c>
      <c r="GN231" s="101">
        <f t="shared" si="248"/>
        <v>14</v>
      </c>
      <c r="GO231" s="101">
        <f t="shared" si="249"/>
        <v>9.9400000000000002E-2</v>
      </c>
      <c r="GP231" s="101">
        <f t="shared" si="250"/>
        <v>1</v>
      </c>
      <c r="GQ231" s="101">
        <f t="shared" si="251"/>
        <v>30</v>
      </c>
    </row>
    <row r="232" spans="175:199" ht="16.5" x14ac:dyDescent="0.2">
      <c r="FS232" s="101">
        <v>227</v>
      </c>
      <c r="FT232" s="101">
        <f t="shared" si="236"/>
        <v>60</v>
      </c>
      <c r="FU232" s="101">
        <f t="shared" si="229"/>
        <v>3</v>
      </c>
      <c r="FV232" s="14">
        <f t="shared" si="230"/>
        <v>4</v>
      </c>
      <c r="FW232" s="101" t="str">
        <f t="shared" si="237"/>
        <v>典韦专属武器-魂珠-7 6级</v>
      </c>
      <c r="FX232" s="101">
        <f t="shared" si="238"/>
        <v>7</v>
      </c>
      <c r="FY232" s="101">
        <f t="shared" si="239"/>
        <v>6</v>
      </c>
      <c r="FZ232" s="101" t="str">
        <f t="shared" si="231"/>
        <v>金币</v>
      </c>
      <c r="GA232" s="139">
        <f>IF($FY232&gt;0,IF(INDEX($EM$6:$EM$77,$FT232)&gt;=GA$3,ROUND(INDEX(EO$6:EO$77,$FT232)*INDEX(卡牌消耗!$B$8:$F$8,FV232)/5,0)*5,""),"")</f>
        <v>15380</v>
      </c>
      <c r="GB232" s="101" t="str">
        <f t="shared" si="232"/>
        <v>专属强化石3</v>
      </c>
      <c r="GC232" s="101">
        <f t="shared" si="233"/>
        <v>15</v>
      </c>
      <c r="GD232" s="101" t="str">
        <f t="shared" si="234"/>
        <v>专属强化石4</v>
      </c>
      <c r="GE232" s="101">
        <f t="shared" si="235"/>
        <v>5</v>
      </c>
      <c r="GF232" s="101">
        <f t="shared" si="240"/>
        <v>0.04</v>
      </c>
      <c r="GG232" s="101">
        <f t="shared" si="241"/>
        <v>1</v>
      </c>
      <c r="GH232" s="101">
        <f t="shared" si="242"/>
        <v>39</v>
      </c>
      <c r="GI232" s="101">
        <f t="shared" si="243"/>
        <v>0</v>
      </c>
      <c r="GJ232" s="101">
        <f t="shared" si="244"/>
        <v>1</v>
      </c>
      <c r="GK232" s="101">
        <f t="shared" si="245"/>
        <v>9</v>
      </c>
      <c r="GL232" s="101">
        <f t="shared" si="246"/>
        <v>1.9099999999999999E-2</v>
      </c>
      <c r="GM232" s="101">
        <f t="shared" si="247"/>
        <v>1</v>
      </c>
      <c r="GN232" s="101">
        <f t="shared" si="248"/>
        <v>18</v>
      </c>
      <c r="GO232" s="101">
        <f t="shared" si="249"/>
        <v>7.6499999999999999E-2</v>
      </c>
      <c r="GP232" s="101">
        <f t="shared" si="250"/>
        <v>1</v>
      </c>
      <c r="GQ232" s="101">
        <f t="shared" si="251"/>
        <v>39</v>
      </c>
    </row>
    <row r="233" spans="175:199" ht="16.5" x14ac:dyDescent="0.2">
      <c r="FS233" s="101">
        <v>228</v>
      </c>
      <c r="FT233" s="101">
        <f t="shared" si="236"/>
        <v>61</v>
      </c>
      <c r="FU233" s="101">
        <f t="shared" si="229"/>
        <v>3</v>
      </c>
      <c r="FV233" s="14">
        <f t="shared" si="230"/>
        <v>4</v>
      </c>
      <c r="FW233" s="101" t="str">
        <f t="shared" si="237"/>
        <v>典韦专属武器-魂珠-7 7级</v>
      </c>
      <c r="FX233" s="101">
        <f t="shared" si="238"/>
        <v>7</v>
      </c>
      <c r="FY233" s="101">
        <f t="shared" si="239"/>
        <v>7</v>
      </c>
      <c r="FZ233" s="101" t="str">
        <f t="shared" si="231"/>
        <v>金币</v>
      </c>
      <c r="GA233" s="139">
        <f>IF($FY233&gt;0,IF(INDEX($EM$6:$EM$77,$FT233)&gt;=GA$3,ROUND(INDEX(EO$6:EO$77,$FT233)*INDEX(卡牌消耗!$B$8:$F$8,FV233)/5,0)*5,""),"")</f>
        <v>21580</v>
      </c>
      <c r="GB233" s="101" t="str">
        <f t="shared" si="232"/>
        <v>专属强化石3</v>
      </c>
      <c r="GC233" s="101">
        <f t="shared" si="233"/>
        <v>21</v>
      </c>
      <c r="GD233" s="101" t="str">
        <f t="shared" si="234"/>
        <v>专属强化石4</v>
      </c>
      <c r="GE233" s="101">
        <f t="shared" si="235"/>
        <v>7</v>
      </c>
      <c r="GF233" s="101">
        <f t="shared" si="240"/>
        <v>0.03</v>
      </c>
      <c r="GG233" s="101">
        <f t="shared" si="241"/>
        <v>1</v>
      </c>
      <c r="GH233" s="101">
        <f t="shared" si="242"/>
        <v>45</v>
      </c>
      <c r="GI233" s="101">
        <f t="shared" si="243"/>
        <v>0</v>
      </c>
      <c r="GJ233" s="101">
        <f t="shared" si="244"/>
        <v>1</v>
      </c>
      <c r="GK233" s="101">
        <f t="shared" si="245"/>
        <v>11</v>
      </c>
      <c r="GL233" s="101">
        <f t="shared" si="246"/>
        <v>1.66E-2</v>
      </c>
      <c r="GM233" s="101">
        <f t="shared" si="247"/>
        <v>1</v>
      </c>
      <c r="GN233" s="101">
        <f t="shared" si="248"/>
        <v>21</v>
      </c>
      <c r="GO233" s="101">
        <f t="shared" si="249"/>
        <v>6.6299999999999998E-2</v>
      </c>
      <c r="GP233" s="101">
        <f t="shared" si="250"/>
        <v>1</v>
      </c>
      <c r="GQ233" s="101">
        <f t="shared" si="251"/>
        <v>45</v>
      </c>
    </row>
    <row r="234" spans="175:199" ht="16.5" x14ac:dyDescent="0.2">
      <c r="FS234" s="101">
        <v>229</v>
      </c>
      <c r="FT234" s="101">
        <f t="shared" si="236"/>
        <v>62</v>
      </c>
      <c r="FU234" s="101">
        <f t="shared" si="229"/>
        <v>3</v>
      </c>
      <c r="FV234" s="14">
        <f t="shared" si="230"/>
        <v>4</v>
      </c>
      <c r="FW234" s="101" t="str">
        <f t="shared" si="237"/>
        <v>典韦专属武器-魂珠-7 8级</v>
      </c>
      <c r="FX234" s="101">
        <f t="shared" si="238"/>
        <v>7</v>
      </c>
      <c r="FY234" s="101">
        <f t="shared" si="239"/>
        <v>8</v>
      </c>
      <c r="FZ234" s="101" t="str">
        <f t="shared" si="231"/>
        <v>金币</v>
      </c>
      <c r="GA234" s="139">
        <f>IF($FY234&gt;0,IF(INDEX($EM$6:$EM$77,$FT234)&gt;=GA$3,ROUND(INDEX(EO$6:EO$77,$FT234)*INDEX(卡牌消耗!$B$8:$F$8,FV234)/5,0)*5,""),"")</f>
        <v>24640</v>
      </c>
      <c r="GB234" s="101" t="str">
        <f t="shared" si="232"/>
        <v>专属强化石3</v>
      </c>
      <c r="GC234" s="101">
        <f t="shared" si="233"/>
        <v>24</v>
      </c>
      <c r="GD234" s="101" t="str">
        <f t="shared" si="234"/>
        <v>专属强化石4</v>
      </c>
      <c r="GE234" s="101">
        <f t="shared" si="235"/>
        <v>8</v>
      </c>
      <c r="GF234" s="101">
        <f t="shared" si="240"/>
        <v>0.02</v>
      </c>
      <c r="GG234" s="101">
        <f t="shared" si="241"/>
        <v>1</v>
      </c>
      <c r="GH234" s="101">
        <f t="shared" si="242"/>
        <v>64</v>
      </c>
      <c r="GI234" s="101">
        <f t="shared" si="243"/>
        <v>0</v>
      </c>
      <c r="GJ234" s="101">
        <f t="shared" si="244"/>
        <v>1</v>
      </c>
      <c r="GK234" s="101">
        <f t="shared" si="245"/>
        <v>15</v>
      </c>
      <c r="GL234" s="101">
        <f t="shared" si="246"/>
        <v>1.17E-2</v>
      </c>
      <c r="GM234" s="101">
        <f t="shared" si="247"/>
        <v>1</v>
      </c>
      <c r="GN234" s="101">
        <f t="shared" si="248"/>
        <v>30</v>
      </c>
      <c r="GO234" s="101">
        <f t="shared" si="249"/>
        <v>4.6800000000000001E-2</v>
      </c>
      <c r="GP234" s="101">
        <f t="shared" si="250"/>
        <v>1</v>
      </c>
      <c r="GQ234" s="101">
        <f t="shared" si="251"/>
        <v>64</v>
      </c>
    </row>
    <row r="235" spans="175:199" ht="16.5" x14ac:dyDescent="0.2">
      <c r="FS235" s="101">
        <v>230</v>
      </c>
      <c r="FT235" s="101">
        <f t="shared" si="236"/>
        <v>63</v>
      </c>
      <c r="FU235" s="101">
        <f t="shared" si="229"/>
        <v>3</v>
      </c>
      <c r="FV235" s="14">
        <f t="shared" si="230"/>
        <v>4</v>
      </c>
      <c r="FW235" s="101" t="str">
        <f t="shared" si="237"/>
        <v>典韦专属武器-魂珠-7 9级</v>
      </c>
      <c r="FX235" s="101">
        <f t="shared" si="238"/>
        <v>7</v>
      </c>
      <c r="FY235" s="101">
        <f t="shared" si="239"/>
        <v>9</v>
      </c>
      <c r="FZ235" s="101" t="str">
        <f t="shared" si="231"/>
        <v>金币</v>
      </c>
      <c r="GA235" s="139">
        <f>IF($FY235&gt;0,IF(INDEX($EM$6:$EM$77,$FT235)&gt;=GA$3,ROUND(INDEX(EO$6:EO$77,$FT235)*INDEX(卡牌消耗!$B$8:$F$8,FV235)/5,0)*5,""),"")</f>
        <v>30810</v>
      </c>
      <c r="GB235" s="101" t="str">
        <f t="shared" si="232"/>
        <v>专属强化石3</v>
      </c>
      <c r="GC235" s="101">
        <f t="shared" si="233"/>
        <v>30</v>
      </c>
      <c r="GD235" s="101" t="str">
        <f t="shared" si="234"/>
        <v>专属强化石4</v>
      </c>
      <c r="GE235" s="101">
        <f t="shared" si="235"/>
        <v>10</v>
      </c>
      <c r="GF235" s="101">
        <f t="shared" si="240"/>
        <v>0.02</v>
      </c>
      <c r="GG235" s="101">
        <f t="shared" si="241"/>
        <v>1</v>
      </c>
      <c r="GH235" s="101">
        <f t="shared" si="242"/>
        <v>83</v>
      </c>
      <c r="GI235" s="101">
        <f t="shared" si="243"/>
        <v>0</v>
      </c>
      <c r="GJ235" s="101">
        <f t="shared" si="244"/>
        <v>1</v>
      </c>
      <c r="GK235" s="101">
        <f t="shared" si="245"/>
        <v>19</v>
      </c>
      <c r="GL235" s="101">
        <f t="shared" si="246"/>
        <v>8.9999999999999993E-3</v>
      </c>
      <c r="GM235" s="101">
        <f t="shared" si="247"/>
        <v>1</v>
      </c>
      <c r="GN235" s="101">
        <f t="shared" si="248"/>
        <v>39</v>
      </c>
      <c r="GO235" s="101">
        <f t="shared" si="249"/>
        <v>3.6200000000000003E-2</v>
      </c>
      <c r="GP235" s="101">
        <f t="shared" si="250"/>
        <v>1</v>
      </c>
      <c r="GQ235" s="101">
        <f t="shared" si="251"/>
        <v>83</v>
      </c>
    </row>
    <row r="236" spans="175:199" ht="16.5" x14ac:dyDescent="0.2">
      <c r="FS236" s="101">
        <v>231</v>
      </c>
      <c r="FT236" s="101">
        <f t="shared" si="236"/>
        <v>0</v>
      </c>
      <c r="FU236" s="101">
        <f t="shared" si="229"/>
        <v>3</v>
      </c>
      <c r="FV236" s="14">
        <f t="shared" si="230"/>
        <v>4</v>
      </c>
      <c r="FW236" s="101" t="str">
        <f t="shared" si="237"/>
        <v>典韦专属武器-魂珠-8 0级</v>
      </c>
      <c r="FX236" s="101">
        <f t="shared" si="238"/>
        <v>8</v>
      </c>
      <c r="FY236" s="101">
        <f t="shared" si="239"/>
        <v>0</v>
      </c>
      <c r="FZ236" s="101" t="str">
        <f t="shared" si="231"/>
        <v/>
      </c>
      <c r="GA236" s="139" t="str">
        <f>IF($FY236&gt;0,IF(INDEX($EM$6:$EM$77,$FT236)&gt;=GA$3,ROUND(INDEX(EO$6:EO$77,$FT236)*INDEX(卡牌消耗!$B$8:$F$8,FV236)/5,0)*5,""),"")</f>
        <v/>
      </c>
      <c r="GB236" s="101" t="str">
        <f t="shared" si="232"/>
        <v/>
      </c>
      <c r="GC236" s="101" t="str">
        <f t="shared" si="233"/>
        <v/>
      </c>
      <c r="GD236" s="101" t="str">
        <f t="shared" si="234"/>
        <v/>
      </c>
      <c r="GE236" s="101" t="str">
        <f t="shared" si="235"/>
        <v/>
      </c>
      <c r="GF236" s="101" t="str">
        <f t="shared" si="240"/>
        <v/>
      </c>
      <c r="GG236" s="101" t="str">
        <f t="shared" si="241"/>
        <v/>
      </c>
      <c r="GH236" s="101" t="str">
        <f t="shared" si="242"/>
        <v/>
      </c>
      <c r="GI236" s="101" t="str">
        <f t="shared" si="243"/>
        <v/>
      </c>
      <c r="GJ236" s="101" t="str">
        <f t="shared" si="244"/>
        <v/>
      </c>
      <c r="GK236" s="101" t="str">
        <f t="shared" si="245"/>
        <v/>
      </c>
      <c r="GL236" s="101" t="str">
        <f t="shared" si="246"/>
        <v/>
      </c>
      <c r="GM236" s="101" t="str">
        <f t="shared" si="247"/>
        <v/>
      </c>
      <c r="GN236" s="101" t="str">
        <f t="shared" si="248"/>
        <v/>
      </c>
      <c r="GO236" s="101" t="str">
        <f t="shared" si="249"/>
        <v/>
      </c>
      <c r="GP236" s="101" t="str">
        <f t="shared" si="250"/>
        <v/>
      </c>
      <c r="GQ236" s="101" t="str">
        <f t="shared" si="251"/>
        <v/>
      </c>
    </row>
    <row r="237" spans="175:199" ht="16.5" x14ac:dyDescent="0.2">
      <c r="FS237" s="101">
        <v>232</v>
      </c>
      <c r="FT237" s="101">
        <f t="shared" si="236"/>
        <v>64</v>
      </c>
      <c r="FU237" s="101">
        <f t="shared" si="229"/>
        <v>3</v>
      </c>
      <c r="FV237" s="14">
        <f t="shared" si="230"/>
        <v>4</v>
      </c>
      <c r="FW237" s="101" t="str">
        <f t="shared" si="237"/>
        <v>典韦专属武器-魂珠-8 1级</v>
      </c>
      <c r="FX237" s="101">
        <f t="shared" si="238"/>
        <v>8</v>
      </c>
      <c r="FY237" s="101">
        <f t="shared" si="239"/>
        <v>1</v>
      </c>
      <c r="FZ237" s="101" t="str">
        <f t="shared" si="231"/>
        <v>金币</v>
      </c>
      <c r="GA237" s="139">
        <f>IF($FY237&gt;0,IF(INDEX($EM$6:$EM$77,$FT237)&gt;=GA$3,ROUND(INDEX(EO$6:EO$77,$FT237)*INDEX(卡牌消耗!$B$8:$F$8,FV237)/5,0)*5,""),"")</f>
        <v>6490</v>
      </c>
      <c r="GB237" s="101" t="str">
        <f t="shared" si="232"/>
        <v>专属强化石4</v>
      </c>
      <c r="GC237" s="101">
        <f t="shared" si="233"/>
        <v>5</v>
      </c>
      <c r="GD237" s="101" t="str">
        <f t="shared" si="234"/>
        <v/>
      </c>
      <c r="GE237" s="101" t="str">
        <f t="shared" si="235"/>
        <v/>
      </c>
      <c r="GF237" s="101">
        <f t="shared" si="240"/>
        <v>0.11</v>
      </c>
      <c r="GG237" s="101">
        <f t="shared" si="241"/>
        <v>1</v>
      </c>
      <c r="GH237" s="101">
        <f t="shared" si="242"/>
        <v>13</v>
      </c>
      <c r="GI237" s="101">
        <f t="shared" si="243"/>
        <v>0</v>
      </c>
      <c r="GJ237" s="101">
        <f t="shared" si="244"/>
        <v>1</v>
      </c>
      <c r="GK237" s="101">
        <f t="shared" si="245"/>
        <v>3</v>
      </c>
      <c r="GL237" s="101">
        <f t="shared" si="246"/>
        <v>5.6500000000000002E-2</v>
      </c>
      <c r="GM237" s="101">
        <f t="shared" si="247"/>
        <v>1</v>
      </c>
      <c r="GN237" s="101">
        <f t="shared" si="248"/>
        <v>6</v>
      </c>
      <c r="GO237" s="101">
        <f t="shared" si="249"/>
        <v>0.22600000000000001</v>
      </c>
      <c r="GP237" s="101">
        <f t="shared" si="250"/>
        <v>1</v>
      </c>
      <c r="GQ237" s="101">
        <f t="shared" si="251"/>
        <v>13</v>
      </c>
    </row>
    <row r="238" spans="175:199" ht="16.5" x14ac:dyDescent="0.2">
      <c r="FS238" s="101">
        <v>233</v>
      </c>
      <c r="FT238" s="101">
        <f t="shared" si="236"/>
        <v>65</v>
      </c>
      <c r="FU238" s="101">
        <f t="shared" si="229"/>
        <v>3</v>
      </c>
      <c r="FV238" s="14">
        <f t="shared" si="230"/>
        <v>4</v>
      </c>
      <c r="FW238" s="101" t="str">
        <f t="shared" si="237"/>
        <v>典韦专属武器-魂珠-8 2级</v>
      </c>
      <c r="FX238" s="101">
        <f t="shared" si="238"/>
        <v>8</v>
      </c>
      <c r="FY238" s="101">
        <f t="shared" si="239"/>
        <v>2</v>
      </c>
      <c r="FZ238" s="101" t="str">
        <f t="shared" si="231"/>
        <v>金币</v>
      </c>
      <c r="GA238" s="139">
        <f>IF($FY238&gt;0,IF(INDEX($EM$6:$EM$77,$FT238)&gt;=GA$3,ROUND(INDEX(EO$6:EO$77,$FT238)*INDEX(卡牌消耗!$B$8:$F$8,FV238)/5,0)*5,""),"")</f>
        <v>7790</v>
      </c>
      <c r="GB238" s="101" t="str">
        <f t="shared" si="232"/>
        <v>专属强化石4</v>
      </c>
      <c r="GC238" s="101">
        <f t="shared" si="233"/>
        <v>8</v>
      </c>
      <c r="GD238" s="101" t="str">
        <f t="shared" si="234"/>
        <v/>
      </c>
      <c r="GE238" s="101" t="str">
        <f t="shared" si="235"/>
        <v/>
      </c>
      <c r="GF238" s="101">
        <f t="shared" si="240"/>
        <v>0.09</v>
      </c>
      <c r="GG238" s="101">
        <f t="shared" si="241"/>
        <v>1</v>
      </c>
      <c r="GH238" s="101">
        <f t="shared" si="242"/>
        <v>17</v>
      </c>
      <c r="GI238" s="101">
        <f t="shared" si="243"/>
        <v>0</v>
      </c>
      <c r="GJ238" s="101">
        <f t="shared" si="244"/>
        <v>1</v>
      </c>
      <c r="GK238" s="101">
        <f t="shared" si="245"/>
        <v>4</v>
      </c>
      <c r="GL238" s="101">
        <f t="shared" si="246"/>
        <v>4.5199999999999997E-2</v>
      </c>
      <c r="GM238" s="101">
        <f t="shared" si="247"/>
        <v>1</v>
      </c>
      <c r="GN238" s="101">
        <f t="shared" si="248"/>
        <v>8</v>
      </c>
      <c r="GO238" s="101">
        <f t="shared" si="249"/>
        <v>0.18079999999999999</v>
      </c>
      <c r="GP238" s="101">
        <f t="shared" si="250"/>
        <v>1</v>
      </c>
      <c r="GQ238" s="101">
        <f t="shared" si="251"/>
        <v>17</v>
      </c>
    </row>
    <row r="239" spans="175:199" ht="16.5" x14ac:dyDescent="0.2">
      <c r="FS239" s="101">
        <v>234</v>
      </c>
      <c r="FT239" s="101">
        <f t="shared" si="236"/>
        <v>66</v>
      </c>
      <c r="FU239" s="101">
        <f t="shared" si="229"/>
        <v>3</v>
      </c>
      <c r="FV239" s="14">
        <f t="shared" si="230"/>
        <v>4</v>
      </c>
      <c r="FW239" s="101" t="str">
        <f t="shared" si="237"/>
        <v>典韦专属武器-魂珠-8 3级</v>
      </c>
      <c r="FX239" s="101">
        <f t="shared" si="238"/>
        <v>8</v>
      </c>
      <c r="FY239" s="101">
        <f t="shared" si="239"/>
        <v>3</v>
      </c>
      <c r="FZ239" s="101" t="str">
        <f t="shared" si="231"/>
        <v>金币</v>
      </c>
      <c r="GA239" s="139">
        <f>IF($FY239&gt;0,IF(INDEX($EM$6:$EM$77,$FT239)&gt;=GA$3,ROUND(INDEX(EO$6:EO$77,$FT239)*INDEX(卡牌消耗!$B$8:$F$8,FV239)/5,0)*5,""),"")</f>
        <v>10820</v>
      </c>
      <c r="GB239" s="101" t="str">
        <f t="shared" si="232"/>
        <v>专属强化石4</v>
      </c>
      <c r="GC239" s="101">
        <f t="shared" si="233"/>
        <v>10</v>
      </c>
      <c r="GD239" s="101" t="str">
        <f t="shared" si="234"/>
        <v/>
      </c>
      <c r="GE239" s="101" t="str">
        <f t="shared" si="235"/>
        <v/>
      </c>
      <c r="GF239" s="101">
        <f t="shared" si="240"/>
        <v>0.08</v>
      </c>
      <c r="GG239" s="101">
        <f t="shared" si="241"/>
        <v>1</v>
      </c>
      <c r="GH239" s="101">
        <f t="shared" si="242"/>
        <v>20</v>
      </c>
      <c r="GI239" s="101">
        <f t="shared" si="243"/>
        <v>0</v>
      </c>
      <c r="GJ239" s="101">
        <f t="shared" si="244"/>
        <v>1</v>
      </c>
      <c r="GK239" s="101">
        <f t="shared" si="245"/>
        <v>5</v>
      </c>
      <c r="GL239" s="101">
        <f t="shared" si="246"/>
        <v>3.7699999999999997E-2</v>
      </c>
      <c r="GM239" s="101">
        <f t="shared" si="247"/>
        <v>1</v>
      </c>
      <c r="GN239" s="101">
        <f t="shared" si="248"/>
        <v>9</v>
      </c>
      <c r="GO239" s="101">
        <f t="shared" si="249"/>
        <v>0.1507</v>
      </c>
      <c r="GP239" s="101">
        <f t="shared" si="250"/>
        <v>1</v>
      </c>
      <c r="GQ239" s="101">
        <f t="shared" si="251"/>
        <v>20</v>
      </c>
    </row>
    <row r="240" spans="175:199" ht="16.5" x14ac:dyDescent="0.2">
      <c r="FS240" s="101">
        <v>235</v>
      </c>
      <c r="FT240" s="101">
        <f t="shared" si="236"/>
        <v>67</v>
      </c>
      <c r="FU240" s="101">
        <f t="shared" si="229"/>
        <v>3</v>
      </c>
      <c r="FV240" s="14">
        <f t="shared" si="230"/>
        <v>4</v>
      </c>
      <c r="FW240" s="101" t="str">
        <f t="shared" si="237"/>
        <v>典韦专属武器-魂珠-8 4级</v>
      </c>
      <c r="FX240" s="101">
        <f t="shared" si="238"/>
        <v>8</v>
      </c>
      <c r="FY240" s="101">
        <f t="shared" si="239"/>
        <v>4</v>
      </c>
      <c r="FZ240" s="101" t="str">
        <f t="shared" si="231"/>
        <v>金币</v>
      </c>
      <c r="GA240" s="139">
        <f>IF($FY240&gt;0,IF(INDEX($EM$6:$EM$77,$FT240)&gt;=GA$3,ROUND(INDEX(EO$6:EO$77,$FT240)*INDEX(卡牌消耗!$B$8:$F$8,FV240)/5,0)*5,""),"")</f>
        <v>12460</v>
      </c>
      <c r="GB240" s="101" t="str">
        <f t="shared" si="232"/>
        <v>专属强化石4</v>
      </c>
      <c r="GC240" s="101">
        <f t="shared" si="233"/>
        <v>12</v>
      </c>
      <c r="GD240" s="101" t="str">
        <f t="shared" si="234"/>
        <v/>
      </c>
      <c r="GE240" s="101" t="str">
        <f t="shared" si="235"/>
        <v/>
      </c>
      <c r="GF240" s="101">
        <f t="shared" si="240"/>
        <v>0.05</v>
      </c>
      <c r="GG240" s="101">
        <f t="shared" si="241"/>
        <v>1</v>
      </c>
      <c r="GH240" s="101">
        <f t="shared" si="242"/>
        <v>28</v>
      </c>
      <c r="GI240" s="101">
        <f t="shared" si="243"/>
        <v>0</v>
      </c>
      <c r="GJ240" s="101">
        <f t="shared" si="244"/>
        <v>1</v>
      </c>
      <c r="GK240" s="101">
        <f t="shared" si="245"/>
        <v>6</v>
      </c>
      <c r="GL240" s="101">
        <f t="shared" si="246"/>
        <v>2.7099999999999999E-2</v>
      </c>
      <c r="GM240" s="101">
        <f t="shared" si="247"/>
        <v>1</v>
      </c>
      <c r="GN240" s="101">
        <f t="shared" si="248"/>
        <v>13</v>
      </c>
      <c r="GO240" s="101">
        <f t="shared" si="249"/>
        <v>0.1085</v>
      </c>
      <c r="GP240" s="101">
        <f t="shared" si="250"/>
        <v>1</v>
      </c>
      <c r="GQ240" s="101">
        <f t="shared" si="251"/>
        <v>28</v>
      </c>
    </row>
    <row r="241" spans="175:199" ht="16.5" x14ac:dyDescent="0.2">
      <c r="FS241" s="101">
        <v>236</v>
      </c>
      <c r="FT241" s="101">
        <f t="shared" si="236"/>
        <v>68</v>
      </c>
      <c r="FU241" s="101">
        <f t="shared" si="229"/>
        <v>3</v>
      </c>
      <c r="FV241" s="14">
        <f t="shared" si="230"/>
        <v>4</v>
      </c>
      <c r="FW241" s="101" t="str">
        <f t="shared" si="237"/>
        <v>典韦专属武器-魂珠-8 5级</v>
      </c>
      <c r="FX241" s="101">
        <f t="shared" si="238"/>
        <v>8</v>
      </c>
      <c r="FY241" s="101">
        <f t="shared" si="239"/>
        <v>5</v>
      </c>
      <c r="FZ241" s="101" t="str">
        <f t="shared" si="231"/>
        <v>金币</v>
      </c>
      <c r="GA241" s="139">
        <f>IF($FY241&gt;0,IF(INDEX($EM$6:$EM$77,$FT241)&gt;=GA$3,ROUND(INDEX(EO$6:EO$77,$FT241)*INDEX(卡牌消耗!$B$8:$F$8,FV241)/5,0)*5,""),"")</f>
        <v>15820</v>
      </c>
      <c r="GB241" s="101" t="str">
        <f t="shared" si="232"/>
        <v>专属强化石4</v>
      </c>
      <c r="GC241" s="101">
        <f t="shared" si="233"/>
        <v>15</v>
      </c>
      <c r="GD241" s="101" t="str">
        <f t="shared" si="234"/>
        <v/>
      </c>
      <c r="GE241" s="101" t="str">
        <f t="shared" si="235"/>
        <v/>
      </c>
      <c r="GF241" s="101">
        <f t="shared" si="240"/>
        <v>0.04</v>
      </c>
      <c r="GG241" s="101">
        <f t="shared" si="241"/>
        <v>1</v>
      </c>
      <c r="GH241" s="101">
        <f t="shared" si="242"/>
        <v>35</v>
      </c>
      <c r="GI241" s="101">
        <f t="shared" si="243"/>
        <v>0</v>
      </c>
      <c r="GJ241" s="101">
        <f t="shared" si="244"/>
        <v>1</v>
      </c>
      <c r="GK241" s="101">
        <f t="shared" si="245"/>
        <v>8</v>
      </c>
      <c r="GL241" s="101">
        <f t="shared" si="246"/>
        <v>2.12E-2</v>
      </c>
      <c r="GM241" s="101">
        <f t="shared" si="247"/>
        <v>1</v>
      </c>
      <c r="GN241" s="101">
        <f t="shared" si="248"/>
        <v>17</v>
      </c>
      <c r="GO241" s="101">
        <f t="shared" si="249"/>
        <v>8.4699999999999998E-2</v>
      </c>
      <c r="GP241" s="101">
        <f t="shared" si="250"/>
        <v>1</v>
      </c>
      <c r="GQ241" s="101">
        <f t="shared" si="251"/>
        <v>35</v>
      </c>
    </row>
    <row r="242" spans="175:199" ht="16.5" x14ac:dyDescent="0.2">
      <c r="FS242" s="101">
        <v>237</v>
      </c>
      <c r="FT242" s="101">
        <f t="shared" si="236"/>
        <v>69</v>
      </c>
      <c r="FU242" s="101">
        <f t="shared" si="229"/>
        <v>3</v>
      </c>
      <c r="FV242" s="14">
        <f t="shared" si="230"/>
        <v>4</v>
      </c>
      <c r="FW242" s="101" t="str">
        <f t="shared" si="237"/>
        <v>典韦专属武器-魂珠-8 6级</v>
      </c>
      <c r="FX242" s="101">
        <f t="shared" si="238"/>
        <v>8</v>
      </c>
      <c r="FY242" s="101">
        <f t="shared" si="239"/>
        <v>6</v>
      </c>
      <c r="FZ242" s="101" t="str">
        <f t="shared" si="231"/>
        <v>金币</v>
      </c>
      <c r="GA242" s="139">
        <f>IF($FY242&gt;0,IF(INDEX($EM$6:$EM$77,$FT242)&gt;=GA$3,ROUND(INDEX(EO$6:EO$77,$FT242)*INDEX(卡牌消耗!$B$8:$F$8,FV242)/5,0)*5,""),"")</f>
        <v>18870</v>
      </c>
      <c r="GB242" s="101" t="str">
        <f t="shared" si="232"/>
        <v>专属强化石4</v>
      </c>
      <c r="GC242" s="101">
        <f t="shared" si="233"/>
        <v>18</v>
      </c>
      <c r="GD242" s="101" t="str">
        <f t="shared" si="234"/>
        <v/>
      </c>
      <c r="GE242" s="101" t="str">
        <f t="shared" si="235"/>
        <v/>
      </c>
      <c r="GF242" s="101">
        <f t="shared" si="240"/>
        <v>0.03</v>
      </c>
      <c r="GG242" s="101">
        <f t="shared" si="241"/>
        <v>1</v>
      </c>
      <c r="GH242" s="101">
        <f t="shared" si="242"/>
        <v>48</v>
      </c>
      <c r="GI242" s="101">
        <f t="shared" si="243"/>
        <v>0</v>
      </c>
      <c r="GJ242" s="101">
        <f t="shared" si="244"/>
        <v>1</v>
      </c>
      <c r="GK242" s="101">
        <f t="shared" si="245"/>
        <v>11</v>
      </c>
      <c r="GL242" s="101">
        <f t="shared" si="246"/>
        <v>1.5599999999999999E-2</v>
      </c>
      <c r="GM242" s="101">
        <f t="shared" si="247"/>
        <v>1</v>
      </c>
      <c r="GN242" s="101">
        <f t="shared" si="248"/>
        <v>22</v>
      </c>
      <c r="GO242" s="101">
        <f t="shared" si="249"/>
        <v>6.2600000000000003E-2</v>
      </c>
      <c r="GP242" s="101">
        <f t="shared" si="250"/>
        <v>1</v>
      </c>
      <c r="GQ242" s="101">
        <f t="shared" si="251"/>
        <v>48</v>
      </c>
    </row>
    <row r="243" spans="175:199" ht="16.5" x14ac:dyDescent="0.2">
      <c r="FS243" s="101">
        <v>238</v>
      </c>
      <c r="FT243" s="101">
        <f t="shared" si="236"/>
        <v>70</v>
      </c>
      <c r="FU243" s="101">
        <f t="shared" si="229"/>
        <v>3</v>
      </c>
      <c r="FV243" s="14">
        <f t="shared" si="230"/>
        <v>4</v>
      </c>
      <c r="FW243" s="101" t="str">
        <f t="shared" si="237"/>
        <v>典韦专属武器-魂珠-8 7级</v>
      </c>
      <c r="FX243" s="101">
        <f t="shared" si="238"/>
        <v>8</v>
      </c>
      <c r="FY243" s="101">
        <f t="shared" si="239"/>
        <v>7</v>
      </c>
      <c r="FZ243" s="101" t="str">
        <f t="shared" si="231"/>
        <v>金币</v>
      </c>
      <c r="GA243" s="139">
        <f>IF($FY243&gt;0,IF(INDEX($EM$6:$EM$77,$FT243)&gt;=GA$3,ROUND(INDEX(EO$6:EO$77,$FT243)*INDEX(卡牌消耗!$B$8:$F$8,FV243)/5,0)*5,""),"")</f>
        <v>26270</v>
      </c>
      <c r="GB243" s="101" t="str">
        <f t="shared" si="232"/>
        <v>专属强化石4</v>
      </c>
      <c r="GC243" s="101">
        <f t="shared" si="233"/>
        <v>25</v>
      </c>
      <c r="GD243" s="101" t="str">
        <f t="shared" si="234"/>
        <v/>
      </c>
      <c r="GE243" s="101" t="str">
        <f t="shared" si="235"/>
        <v/>
      </c>
      <c r="GF243" s="101">
        <f t="shared" si="240"/>
        <v>0.03</v>
      </c>
      <c r="GG243" s="101">
        <f t="shared" si="241"/>
        <v>1</v>
      </c>
      <c r="GH243" s="101">
        <f t="shared" si="242"/>
        <v>56</v>
      </c>
      <c r="GI243" s="101">
        <f t="shared" si="243"/>
        <v>0</v>
      </c>
      <c r="GJ243" s="101">
        <f t="shared" si="244"/>
        <v>1</v>
      </c>
      <c r="GK243" s="101">
        <f t="shared" si="245"/>
        <v>13</v>
      </c>
      <c r="GL243" s="101">
        <f t="shared" si="246"/>
        <v>1.35E-2</v>
      </c>
      <c r="GM243" s="101">
        <f t="shared" si="247"/>
        <v>1</v>
      </c>
      <c r="GN243" s="101">
        <f t="shared" si="248"/>
        <v>26</v>
      </c>
      <c r="GO243" s="101">
        <f t="shared" si="249"/>
        <v>5.3800000000000001E-2</v>
      </c>
      <c r="GP243" s="101">
        <f t="shared" si="250"/>
        <v>1</v>
      </c>
      <c r="GQ243" s="101">
        <f t="shared" si="251"/>
        <v>56</v>
      </c>
    </row>
    <row r="244" spans="175:199" ht="16.5" x14ac:dyDescent="0.2">
      <c r="FS244" s="101">
        <v>239</v>
      </c>
      <c r="FT244" s="101">
        <f t="shared" si="236"/>
        <v>71</v>
      </c>
      <c r="FU244" s="101">
        <f t="shared" si="229"/>
        <v>3</v>
      </c>
      <c r="FV244" s="14">
        <f t="shared" si="230"/>
        <v>4</v>
      </c>
      <c r="FW244" s="101" t="str">
        <f t="shared" si="237"/>
        <v>典韦专属武器-魂珠-8 8级</v>
      </c>
      <c r="FX244" s="101">
        <f t="shared" si="238"/>
        <v>8</v>
      </c>
      <c r="FY244" s="101">
        <f t="shared" si="239"/>
        <v>8</v>
      </c>
      <c r="FZ244" s="101" t="str">
        <f t="shared" si="231"/>
        <v>金币</v>
      </c>
      <c r="GA244" s="139">
        <f>IF($FY244&gt;0,IF(INDEX($EM$6:$EM$77,$FT244)&gt;=GA$3,ROUND(INDEX(EO$6:EO$77,$FT244)*INDEX(卡牌消耗!$B$8:$F$8,FV244)/5,0)*5,""),"")</f>
        <v>31495</v>
      </c>
      <c r="GB244" s="101" t="str">
        <f t="shared" si="232"/>
        <v>专属强化石4</v>
      </c>
      <c r="GC244" s="101">
        <f t="shared" si="233"/>
        <v>30</v>
      </c>
      <c r="GD244" s="101" t="str">
        <f t="shared" si="234"/>
        <v/>
      </c>
      <c r="GE244" s="101" t="str">
        <f t="shared" si="235"/>
        <v/>
      </c>
      <c r="GF244" s="101">
        <f t="shared" si="240"/>
        <v>0.02</v>
      </c>
      <c r="GG244" s="101">
        <f t="shared" si="241"/>
        <v>1</v>
      </c>
      <c r="GH244" s="101">
        <f t="shared" si="242"/>
        <v>75</v>
      </c>
      <c r="GI244" s="101">
        <f t="shared" si="243"/>
        <v>0</v>
      </c>
      <c r="GJ244" s="101">
        <f t="shared" si="244"/>
        <v>1</v>
      </c>
      <c r="GK244" s="101">
        <f t="shared" si="245"/>
        <v>18</v>
      </c>
      <c r="GL244" s="101">
        <f t="shared" si="246"/>
        <v>0.01</v>
      </c>
      <c r="GM244" s="101">
        <f t="shared" si="247"/>
        <v>1</v>
      </c>
      <c r="GN244" s="101">
        <f t="shared" si="248"/>
        <v>35</v>
      </c>
      <c r="GO244" s="101">
        <f t="shared" si="249"/>
        <v>3.9899999999999998E-2</v>
      </c>
      <c r="GP244" s="101">
        <f t="shared" si="250"/>
        <v>1</v>
      </c>
      <c r="GQ244" s="101">
        <f t="shared" si="251"/>
        <v>75</v>
      </c>
    </row>
    <row r="245" spans="175:199" ht="16.5" x14ac:dyDescent="0.2">
      <c r="FS245" s="101">
        <v>240</v>
      </c>
      <c r="FT245" s="101">
        <f t="shared" si="236"/>
        <v>72</v>
      </c>
      <c r="FU245" s="101">
        <f t="shared" si="229"/>
        <v>3</v>
      </c>
      <c r="FV245" s="14">
        <f t="shared" si="230"/>
        <v>4</v>
      </c>
      <c r="FW245" s="101" t="str">
        <f t="shared" si="237"/>
        <v>典韦专属武器-魂珠-8 9级</v>
      </c>
      <c r="FX245" s="101">
        <f t="shared" si="238"/>
        <v>8</v>
      </c>
      <c r="FY245" s="101">
        <f t="shared" si="239"/>
        <v>9</v>
      </c>
      <c r="FZ245" s="101" t="str">
        <f t="shared" si="231"/>
        <v>金币</v>
      </c>
      <c r="GA245" s="139">
        <f>IF($FY245&gt;0,IF(INDEX($EM$6:$EM$77,$FT245)&gt;=GA$3,ROUND(INDEX(EO$6:EO$77,$FT245)*INDEX(卡牌消耗!$B$8:$F$8,FV245)/5,0)*5,""),"")</f>
        <v>31510</v>
      </c>
      <c r="GB245" s="101" t="str">
        <f t="shared" si="232"/>
        <v>专属强化石4</v>
      </c>
      <c r="GC245" s="101">
        <f t="shared" si="233"/>
        <v>30</v>
      </c>
      <c r="GD245" s="101" t="str">
        <f t="shared" si="234"/>
        <v/>
      </c>
      <c r="GE245" s="101" t="str">
        <f t="shared" si="235"/>
        <v/>
      </c>
      <c r="GF245" s="101">
        <f t="shared" si="240"/>
        <v>0.01</v>
      </c>
      <c r="GG245" s="101">
        <f t="shared" si="241"/>
        <v>1</v>
      </c>
      <c r="GH245" s="101">
        <f t="shared" si="242"/>
        <v>122</v>
      </c>
      <c r="GI245" s="101">
        <f t="shared" si="243"/>
        <v>0</v>
      </c>
      <c r="GJ245" s="101">
        <f t="shared" si="244"/>
        <v>1</v>
      </c>
      <c r="GK245" s="101">
        <f t="shared" si="245"/>
        <v>28</v>
      </c>
      <c r="GL245" s="101">
        <f t="shared" si="246"/>
        <v>6.1999999999999998E-3</v>
      </c>
      <c r="GM245" s="101">
        <f t="shared" si="247"/>
        <v>1</v>
      </c>
      <c r="GN245" s="101">
        <f t="shared" si="248"/>
        <v>57</v>
      </c>
      <c r="GO245" s="101">
        <f t="shared" si="249"/>
        <v>2.47E-2</v>
      </c>
      <c r="GP245" s="101">
        <f t="shared" si="250"/>
        <v>1</v>
      </c>
      <c r="GQ245" s="101">
        <f t="shared" si="251"/>
        <v>122</v>
      </c>
    </row>
    <row r="246" spans="175:199" ht="16.5" x14ac:dyDescent="0.2">
      <c r="FS246" s="101">
        <v>241</v>
      </c>
      <c r="FT246" s="101">
        <f t="shared" si="236"/>
        <v>0</v>
      </c>
      <c r="FU246" s="101">
        <f t="shared" si="229"/>
        <v>4</v>
      </c>
      <c r="FV246" s="14">
        <f t="shared" si="230"/>
        <v>3</v>
      </c>
      <c r="FW246" s="101" t="str">
        <f t="shared" si="237"/>
        <v>李轩辕专属武器-魂珠-1 0级</v>
      </c>
      <c r="FX246" s="101">
        <f t="shared" si="238"/>
        <v>1</v>
      </c>
      <c r="FY246" s="101">
        <f t="shared" si="239"/>
        <v>0</v>
      </c>
      <c r="FZ246" s="101" t="str">
        <f t="shared" si="231"/>
        <v/>
      </c>
      <c r="GA246" s="139" t="str">
        <f>IF($FY246&gt;0,IF(INDEX($EM$6:$EM$77,$FT246)&gt;=GA$3,ROUND(INDEX(EO$6:EO$77,$FT246)*INDEX(卡牌消耗!$B$8:$F$8,FV246)/5,0)*5,""),"")</f>
        <v/>
      </c>
      <c r="GB246" s="101" t="str">
        <f t="shared" si="232"/>
        <v/>
      </c>
      <c r="GC246" s="101" t="str">
        <f t="shared" si="233"/>
        <v/>
      </c>
      <c r="GD246" s="101" t="str">
        <f t="shared" si="234"/>
        <v/>
      </c>
      <c r="GE246" s="101" t="str">
        <f t="shared" si="235"/>
        <v/>
      </c>
      <c r="GF246" s="101" t="str">
        <f t="shared" si="240"/>
        <v/>
      </c>
      <c r="GG246" s="101" t="str">
        <f t="shared" si="241"/>
        <v/>
      </c>
      <c r="GH246" s="101" t="str">
        <f t="shared" si="242"/>
        <v/>
      </c>
      <c r="GI246" s="101" t="str">
        <f t="shared" si="243"/>
        <v/>
      </c>
      <c r="GJ246" s="101" t="str">
        <f t="shared" si="244"/>
        <v/>
      </c>
      <c r="GK246" s="101" t="str">
        <f t="shared" si="245"/>
        <v/>
      </c>
      <c r="GL246" s="101" t="str">
        <f t="shared" si="246"/>
        <v/>
      </c>
      <c r="GM246" s="101" t="str">
        <f t="shared" si="247"/>
        <v/>
      </c>
      <c r="GN246" s="101" t="str">
        <f t="shared" si="248"/>
        <v/>
      </c>
      <c r="GO246" s="101" t="str">
        <f t="shared" si="249"/>
        <v/>
      </c>
      <c r="GP246" s="101" t="str">
        <f t="shared" si="250"/>
        <v/>
      </c>
      <c r="GQ246" s="101" t="str">
        <f t="shared" si="251"/>
        <v/>
      </c>
    </row>
    <row r="247" spans="175:199" ht="16.5" x14ac:dyDescent="0.2">
      <c r="FS247" s="101">
        <v>242</v>
      </c>
      <c r="FT247" s="101">
        <f t="shared" si="236"/>
        <v>1</v>
      </c>
      <c r="FU247" s="101">
        <f t="shared" si="229"/>
        <v>4</v>
      </c>
      <c r="FV247" s="14">
        <f t="shared" si="230"/>
        <v>3</v>
      </c>
      <c r="FW247" s="101" t="str">
        <f t="shared" si="237"/>
        <v>李轩辕专属武器-魂珠-1 1级</v>
      </c>
      <c r="FX247" s="101">
        <f t="shared" si="238"/>
        <v>1</v>
      </c>
      <c r="FY247" s="101">
        <f t="shared" si="239"/>
        <v>1</v>
      </c>
      <c r="FZ247" s="101" t="str">
        <f t="shared" si="231"/>
        <v>金币</v>
      </c>
      <c r="GA247" s="139">
        <f>IF($FY247&gt;0,IF(INDEX($EM$6:$EM$77,$FT247)&gt;=GA$3,ROUND(INDEX(EO$6:EO$77,$FT247)*INDEX(卡牌消耗!$B$8:$F$8,FV247)/5,0)*5,""),"")</f>
        <v>95</v>
      </c>
      <c r="GB247" s="101" t="str">
        <f t="shared" si="232"/>
        <v>专属强化石1</v>
      </c>
      <c r="GC247" s="101">
        <f t="shared" si="233"/>
        <v>1</v>
      </c>
      <c r="GD247" s="101" t="str">
        <f t="shared" si="234"/>
        <v/>
      </c>
      <c r="GE247" s="101" t="str">
        <f t="shared" si="235"/>
        <v/>
      </c>
      <c r="GF247" s="101">
        <f t="shared" si="240"/>
        <v>0.32</v>
      </c>
      <c r="GG247" s="101">
        <f t="shared" si="241"/>
        <v>1</v>
      </c>
      <c r="GH247" s="101">
        <f t="shared" si="242"/>
        <v>5</v>
      </c>
      <c r="GI247" s="101">
        <f t="shared" si="243"/>
        <v>0</v>
      </c>
      <c r="GJ247" s="101">
        <f t="shared" si="244"/>
        <v>1</v>
      </c>
      <c r="GK247" s="101">
        <f t="shared" si="245"/>
        <v>1</v>
      </c>
      <c r="GL247" s="101">
        <f t="shared" si="246"/>
        <v>0.1595</v>
      </c>
      <c r="GM247" s="101">
        <f t="shared" si="247"/>
        <v>1</v>
      </c>
      <c r="GN247" s="101">
        <f t="shared" si="248"/>
        <v>2</v>
      </c>
      <c r="GO247" s="101">
        <f t="shared" si="249"/>
        <v>0.63819999999999999</v>
      </c>
      <c r="GP247" s="101">
        <f t="shared" si="250"/>
        <v>1</v>
      </c>
      <c r="GQ247" s="101">
        <f t="shared" si="251"/>
        <v>5</v>
      </c>
    </row>
    <row r="248" spans="175:199" ht="16.5" x14ac:dyDescent="0.2">
      <c r="FS248" s="101">
        <v>243</v>
      </c>
      <c r="FT248" s="101">
        <f t="shared" si="236"/>
        <v>2</v>
      </c>
      <c r="FU248" s="101">
        <f t="shared" si="229"/>
        <v>4</v>
      </c>
      <c r="FV248" s="14">
        <f t="shared" si="230"/>
        <v>3</v>
      </c>
      <c r="FW248" s="101" t="str">
        <f t="shared" si="237"/>
        <v>李轩辕专属武器-魂珠-1 2级</v>
      </c>
      <c r="FX248" s="101">
        <f t="shared" si="238"/>
        <v>1</v>
      </c>
      <c r="FY248" s="101">
        <f t="shared" si="239"/>
        <v>2</v>
      </c>
      <c r="FZ248" s="101" t="str">
        <f t="shared" si="231"/>
        <v>金币</v>
      </c>
      <c r="GA248" s="139">
        <f>IF($FY248&gt;0,IF(INDEX($EM$6:$EM$77,$FT248)&gt;=GA$3,ROUND(INDEX(EO$6:EO$77,$FT248)*INDEX(卡牌消耗!$B$8:$F$8,FV248)/5,0)*5,""),"")</f>
        <v>140</v>
      </c>
      <c r="GB248" s="101" t="str">
        <f t="shared" si="232"/>
        <v>专属强化石1</v>
      </c>
      <c r="GC248" s="101">
        <f t="shared" si="233"/>
        <v>2</v>
      </c>
      <c r="GD248" s="101" t="str">
        <f t="shared" si="234"/>
        <v/>
      </c>
      <c r="GE248" s="101" t="str">
        <f t="shared" si="235"/>
        <v/>
      </c>
      <c r="GF248" s="101">
        <f t="shared" si="240"/>
        <v>0.32</v>
      </c>
      <c r="GG248" s="101">
        <f t="shared" si="241"/>
        <v>1</v>
      </c>
      <c r="GH248" s="101">
        <f t="shared" si="242"/>
        <v>5</v>
      </c>
      <c r="GI248" s="101">
        <f t="shared" si="243"/>
        <v>0</v>
      </c>
      <c r="GJ248" s="101">
        <f t="shared" si="244"/>
        <v>1</v>
      </c>
      <c r="GK248" s="101">
        <f t="shared" si="245"/>
        <v>1</v>
      </c>
      <c r="GL248" s="101">
        <f t="shared" si="246"/>
        <v>0.1595</v>
      </c>
      <c r="GM248" s="101">
        <f t="shared" si="247"/>
        <v>1</v>
      </c>
      <c r="GN248" s="101">
        <f t="shared" si="248"/>
        <v>2</v>
      </c>
      <c r="GO248" s="101">
        <f t="shared" si="249"/>
        <v>0.63819999999999999</v>
      </c>
      <c r="GP248" s="101">
        <f t="shared" si="250"/>
        <v>1</v>
      </c>
      <c r="GQ248" s="101">
        <f t="shared" si="251"/>
        <v>5</v>
      </c>
    </row>
    <row r="249" spans="175:199" ht="16.5" x14ac:dyDescent="0.2">
      <c r="FS249" s="101">
        <v>244</v>
      </c>
      <c r="FT249" s="101">
        <f t="shared" si="236"/>
        <v>3</v>
      </c>
      <c r="FU249" s="101">
        <f t="shared" si="229"/>
        <v>4</v>
      </c>
      <c r="FV249" s="14">
        <f t="shared" si="230"/>
        <v>3</v>
      </c>
      <c r="FW249" s="101" t="str">
        <f t="shared" si="237"/>
        <v>李轩辕专属武器-魂珠-1 3级</v>
      </c>
      <c r="FX249" s="101">
        <f t="shared" si="238"/>
        <v>1</v>
      </c>
      <c r="FY249" s="101">
        <f t="shared" si="239"/>
        <v>3</v>
      </c>
      <c r="FZ249" s="101" t="str">
        <f t="shared" si="231"/>
        <v>金币</v>
      </c>
      <c r="GA249" s="139">
        <f>IF($FY249&gt;0,IF(INDEX($EM$6:$EM$77,$FT249)&gt;=GA$3,ROUND(INDEX(EO$6:EO$77,$FT249)*INDEX(卡牌消耗!$B$8:$F$8,FV249)/5,0)*5,""),"")</f>
        <v>235</v>
      </c>
      <c r="GB249" s="101" t="str">
        <f t="shared" si="232"/>
        <v>专属强化石1</v>
      </c>
      <c r="GC249" s="101">
        <f t="shared" si="233"/>
        <v>3</v>
      </c>
      <c r="GD249" s="101" t="str">
        <f t="shared" si="234"/>
        <v/>
      </c>
      <c r="GE249" s="101" t="str">
        <f t="shared" si="235"/>
        <v/>
      </c>
      <c r="GF249" s="101">
        <f t="shared" si="240"/>
        <v>0.32</v>
      </c>
      <c r="GG249" s="101">
        <f t="shared" si="241"/>
        <v>1</v>
      </c>
      <c r="GH249" s="101">
        <f t="shared" si="242"/>
        <v>5</v>
      </c>
      <c r="GI249" s="101">
        <f t="shared" si="243"/>
        <v>0</v>
      </c>
      <c r="GJ249" s="101">
        <f t="shared" si="244"/>
        <v>1</v>
      </c>
      <c r="GK249" s="101">
        <f t="shared" si="245"/>
        <v>1</v>
      </c>
      <c r="GL249" s="101">
        <f t="shared" si="246"/>
        <v>0.1595</v>
      </c>
      <c r="GM249" s="101">
        <f t="shared" si="247"/>
        <v>1</v>
      </c>
      <c r="GN249" s="101">
        <f t="shared" si="248"/>
        <v>2</v>
      </c>
      <c r="GO249" s="101">
        <f t="shared" si="249"/>
        <v>0.63819999999999999</v>
      </c>
      <c r="GP249" s="101">
        <f t="shared" si="250"/>
        <v>1</v>
      </c>
      <c r="GQ249" s="101">
        <f t="shared" si="251"/>
        <v>5</v>
      </c>
    </row>
    <row r="250" spans="175:199" ht="16.5" x14ac:dyDescent="0.2">
      <c r="FS250" s="101">
        <v>245</v>
      </c>
      <c r="FT250" s="101">
        <f t="shared" si="236"/>
        <v>4</v>
      </c>
      <c r="FU250" s="101">
        <f t="shared" si="229"/>
        <v>4</v>
      </c>
      <c r="FV250" s="14">
        <f t="shared" si="230"/>
        <v>3</v>
      </c>
      <c r="FW250" s="101" t="str">
        <f t="shared" si="237"/>
        <v>李轩辕专属武器-魂珠-1 4级</v>
      </c>
      <c r="FX250" s="101">
        <f t="shared" si="238"/>
        <v>1</v>
      </c>
      <c r="FY250" s="101">
        <f t="shared" si="239"/>
        <v>4</v>
      </c>
      <c r="FZ250" s="101" t="str">
        <f t="shared" si="231"/>
        <v>金币</v>
      </c>
      <c r="GA250" s="139">
        <f>IF($FY250&gt;0,IF(INDEX($EM$6:$EM$77,$FT250)&gt;=GA$3,ROUND(INDEX(EO$6:EO$77,$FT250)*INDEX(卡牌消耗!$B$8:$F$8,FV250)/5,0)*5,""),"")</f>
        <v>305</v>
      </c>
      <c r="GB250" s="101" t="str">
        <f t="shared" si="232"/>
        <v>专属强化石1</v>
      </c>
      <c r="GC250" s="101">
        <f t="shared" si="233"/>
        <v>4</v>
      </c>
      <c r="GD250" s="101" t="str">
        <f t="shared" si="234"/>
        <v/>
      </c>
      <c r="GE250" s="101" t="str">
        <f t="shared" si="235"/>
        <v/>
      </c>
      <c r="GF250" s="101">
        <f t="shared" si="240"/>
        <v>0.26</v>
      </c>
      <c r="GG250" s="101">
        <f t="shared" si="241"/>
        <v>1</v>
      </c>
      <c r="GH250" s="101">
        <f t="shared" si="242"/>
        <v>6</v>
      </c>
      <c r="GI250" s="101">
        <f t="shared" si="243"/>
        <v>0</v>
      </c>
      <c r="GJ250" s="101">
        <f t="shared" si="244"/>
        <v>1</v>
      </c>
      <c r="GK250" s="101">
        <f t="shared" si="245"/>
        <v>1</v>
      </c>
      <c r="GL250" s="101">
        <f t="shared" si="246"/>
        <v>0.12759999999999999</v>
      </c>
      <c r="GM250" s="101">
        <f t="shared" si="247"/>
        <v>1</v>
      </c>
      <c r="GN250" s="101">
        <f t="shared" si="248"/>
        <v>3</v>
      </c>
      <c r="GO250" s="101">
        <f t="shared" si="249"/>
        <v>0.51060000000000005</v>
      </c>
      <c r="GP250" s="101">
        <f t="shared" si="250"/>
        <v>1</v>
      </c>
      <c r="GQ250" s="101">
        <f t="shared" si="251"/>
        <v>6</v>
      </c>
    </row>
    <row r="251" spans="175:199" ht="16.5" x14ac:dyDescent="0.2">
      <c r="FS251" s="101">
        <v>246</v>
      </c>
      <c r="FT251" s="101">
        <f t="shared" si="236"/>
        <v>5</v>
      </c>
      <c r="FU251" s="101">
        <f t="shared" si="229"/>
        <v>4</v>
      </c>
      <c r="FV251" s="14">
        <f t="shared" si="230"/>
        <v>3</v>
      </c>
      <c r="FW251" s="101" t="str">
        <f t="shared" si="237"/>
        <v>李轩辕专属武器-魂珠-1 5级</v>
      </c>
      <c r="FX251" s="101">
        <f t="shared" si="238"/>
        <v>1</v>
      </c>
      <c r="FY251" s="101">
        <f t="shared" si="239"/>
        <v>5</v>
      </c>
      <c r="FZ251" s="101" t="str">
        <f t="shared" si="231"/>
        <v>金币</v>
      </c>
      <c r="GA251" s="139">
        <f>IF($FY251&gt;0,IF(INDEX($EM$6:$EM$77,$FT251)&gt;=GA$3,ROUND(INDEX(EO$6:EO$77,$FT251)*INDEX(卡牌消耗!$B$8:$F$8,FV251)/5,0)*5,""),"")</f>
        <v>385</v>
      </c>
      <c r="GB251" s="101" t="str">
        <f t="shared" si="232"/>
        <v>专属强化石1</v>
      </c>
      <c r="GC251" s="101">
        <f t="shared" si="233"/>
        <v>5</v>
      </c>
      <c r="GD251" s="101" t="str">
        <f t="shared" si="234"/>
        <v/>
      </c>
      <c r="GE251" s="101" t="str">
        <f t="shared" si="235"/>
        <v/>
      </c>
      <c r="GF251" s="101">
        <f t="shared" si="240"/>
        <v>0.2</v>
      </c>
      <c r="GG251" s="101">
        <f t="shared" si="241"/>
        <v>1</v>
      </c>
      <c r="GH251" s="101">
        <f t="shared" si="242"/>
        <v>8</v>
      </c>
      <c r="GI251" s="101">
        <f t="shared" si="243"/>
        <v>0</v>
      </c>
      <c r="GJ251" s="101">
        <f t="shared" si="244"/>
        <v>1</v>
      </c>
      <c r="GK251" s="101">
        <f t="shared" si="245"/>
        <v>2</v>
      </c>
      <c r="GL251" s="101">
        <f t="shared" si="246"/>
        <v>9.9699999999999997E-2</v>
      </c>
      <c r="GM251" s="101">
        <f t="shared" si="247"/>
        <v>1</v>
      </c>
      <c r="GN251" s="101">
        <f t="shared" si="248"/>
        <v>4</v>
      </c>
      <c r="GO251" s="101">
        <f t="shared" si="249"/>
        <v>0.39889999999999998</v>
      </c>
      <c r="GP251" s="101">
        <f t="shared" si="250"/>
        <v>1</v>
      </c>
      <c r="GQ251" s="101">
        <f t="shared" si="251"/>
        <v>8</v>
      </c>
    </row>
    <row r="252" spans="175:199" ht="16.5" x14ac:dyDescent="0.2">
      <c r="FS252" s="101">
        <v>247</v>
      </c>
      <c r="FT252" s="101">
        <f t="shared" si="236"/>
        <v>6</v>
      </c>
      <c r="FU252" s="101">
        <f t="shared" si="229"/>
        <v>4</v>
      </c>
      <c r="FV252" s="14">
        <f t="shared" si="230"/>
        <v>3</v>
      </c>
      <c r="FW252" s="101" t="str">
        <f t="shared" si="237"/>
        <v>李轩辕专属武器-魂珠-1 6级</v>
      </c>
      <c r="FX252" s="101">
        <f t="shared" si="238"/>
        <v>1</v>
      </c>
      <c r="FY252" s="101">
        <f t="shared" si="239"/>
        <v>6</v>
      </c>
      <c r="FZ252" s="101" t="str">
        <f t="shared" si="231"/>
        <v>金币</v>
      </c>
      <c r="GA252" s="139">
        <f>IF($FY252&gt;0,IF(INDEX($EM$6:$EM$77,$FT252)&gt;=GA$3,ROUND(INDEX(EO$6:EO$77,$FT252)*INDEX(卡牌消耗!$B$8:$F$8,FV252)/5,0)*5,""),"")</f>
        <v>460</v>
      </c>
      <c r="GB252" s="101" t="str">
        <f t="shared" si="232"/>
        <v>专属强化石1</v>
      </c>
      <c r="GC252" s="101">
        <f t="shared" si="233"/>
        <v>6</v>
      </c>
      <c r="GD252" s="101" t="str">
        <f t="shared" si="234"/>
        <v/>
      </c>
      <c r="GE252" s="101" t="str">
        <f t="shared" si="235"/>
        <v/>
      </c>
      <c r="GF252" s="101">
        <f t="shared" si="240"/>
        <v>0.15</v>
      </c>
      <c r="GG252" s="101">
        <f t="shared" si="241"/>
        <v>1</v>
      </c>
      <c r="GH252" s="101">
        <f t="shared" si="242"/>
        <v>10</v>
      </c>
      <c r="GI252" s="101">
        <f t="shared" si="243"/>
        <v>0</v>
      </c>
      <c r="GJ252" s="101">
        <f t="shared" si="244"/>
        <v>1</v>
      </c>
      <c r="GK252" s="101">
        <f t="shared" si="245"/>
        <v>2</v>
      </c>
      <c r="GL252" s="101">
        <f t="shared" si="246"/>
        <v>7.3599999999999999E-2</v>
      </c>
      <c r="GM252" s="101">
        <f t="shared" si="247"/>
        <v>1</v>
      </c>
      <c r="GN252" s="101">
        <f t="shared" si="248"/>
        <v>5</v>
      </c>
      <c r="GO252" s="101">
        <f t="shared" si="249"/>
        <v>0.29459999999999997</v>
      </c>
      <c r="GP252" s="101">
        <f t="shared" si="250"/>
        <v>1</v>
      </c>
      <c r="GQ252" s="101">
        <f t="shared" si="251"/>
        <v>10</v>
      </c>
    </row>
    <row r="253" spans="175:199" ht="16.5" x14ac:dyDescent="0.2">
      <c r="FS253" s="101">
        <v>248</v>
      </c>
      <c r="FT253" s="101">
        <f t="shared" si="236"/>
        <v>7</v>
      </c>
      <c r="FU253" s="101">
        <f t="shared" si="229"/>
        <v>4</v>
      </c>
      <c r="FV253" s="14">
        <f t="shared" si="230"/>
        <v>3</v>
      </c>
      <c r="FW253" s="101" t="str">
        <f t="shared" si="237"/>
        <v>李轩辕专属武器-魂珠-1 7级</v>
      </c>
      <c r="FX253" s="101">
        <f t="shared" si="238"/>
        <v>1</v>
      </c>
      <c r="FY253" s="101">
        <f t="shared" si="239"/>
        <v>7</v>
      </c>
      <c r="FZ253" s="101" t="str">
        <f t="shared" si="231"/>
        <v>金币</v>
      </c>
      <c r="GA253" s="139">
        <f>IF($FY253&gt;0,IF(INDEX($EM$6:$EM$77,$FT253)&gt;=GA$3,ROUND(INDEX(EO$6:EO$77,$FT253)*INDEX(卡牌消耗!$B$8:$F$8,FV253)/5,0)*5,""),"")</f>
        <v>535</v>
      </c>
      <c r="GB253" s="101" t="str">
        <f t="shared" si="232"/>
        <v>专属强化石1</v>
      </c>
      <c r="GC253" s="101">
        <f t="shared" si="233"/>
        <v>7</v>
      </c>
      <c r="GD253" s="101" t="str">
        <f t="shared" si="234"/>
        <v/>
      </c>
      <c r="GE253" s="101" t="str">
        <f t="shared" si="235"/>
        <v/>
      </c>
      <c r="GF253" s="101">
        <f t="shared" si="240"/>
        <v>0.11</v>
      </c>
      <c r="GG253" s="101">
        <f t="shared" si="241"/>
        <v>1</v>
      </c>
      <c r="GH253" s="101">
        <f t="shared" si="242"/>
        <v>14</v>
      </c>
      <c r="GI253" s="101">
        <f t="shared" si="243"/>
        <v>0</v>
      </c>
      <c r="GJ253" s="101">
        <f t="shared" si="244"/>
        <v>1</v>
      </c>
      <c r="GK253" s="101">
        <f t="shared" si="245"/>
        <v>3</v>
      </c>
      <c r="GL253" s="101">
        <f t="shared" si="246"/>
        <v>5.3199999999999997E-2</v>
      </c>
      <c r="GM253" s="101">
        <f t="shared" si="247"/>
        <v>1</v>
      </c>
      <c r="GN253" s="101">
        <f t="shared" si="248"/>
        <v>7</v>
      </c>
      <c r="GO253" s="101">
        <f t="shared" si="249"/>
        <v>0.2127</v>
      </c>
      <c r="GP253" s="101">
        <f t="shared" si="250"/>
        <v>1</v>
      </c>
      <c r="GQ253" s="101">
        <f t="shared" si="251"/>
        <v>14</v>
      </c>
    </row>
    <row r="254" spans="175:199" ht="16.5" x14ac:dyDescent="0.2">
      <c r="FS254" s="101">
        <v>249</v>
      </c>
      <c r="FT254" s="101">
        <f t="shared" si="236"/>
        <v>8</v>
      </c>
      <c r="FU254" s="101">
        <f t="shared" si="229"/>
        <v>4</v>
      </c>
      <c r="FV254" s="14">
        <f t="shared" si="230"/>
        <v>3</v>
      </c>
      <c r="FW254" s="101" t="str">
        <f t="shared" si="237"/>
        <v>李轩辕专属武器-魂珠-1 8级</v>
      </c>
      <c r="FX254" s="101">
        <f t="shared" si="238"/>
        <v>1</v>
      </c>
      <c r="FY254" s="101">
        <f t="shared" si="239"/>
        <v>8</v>
      </c>
      <c r="FZ254" s="101" t="str">
        <f t="shared" si="231"/>
        <v>金币</v>
      </c>
      <c r="GA254" s="139">
        <f>IF($FY254&gt;0,IF(INDEX($EM$6:$EM$77,$FT254)&gt;=GA$3,ROUND(INDEX(EO$6:EO$77,$FT254)*INDEX(卡牌消耗!$B$8:$F$8,FV254)/5,0)*5,""),"")</f>
        <v>615</v>
      </c>
      <c r="GB254" s="101" t="str">
        <f t="shared" si="232"/>
        <v>专属强化石1</v>
      </c>
      <c r="GC254" s="101">
        <f t="shared" si="233"/>
        <v>8</v>
      </c>
      <c r="GD254" s="101" t="str">
        <f t="shared" si="234"/>
        <v/>
      </c>
      <c r="GE254" s="101" t="str">
        <f t="shared" si="235"/>
        <v/>
      </c>
      <c r="GF254" s="101">
        <f t="shared" si="240"/>
        <v>0.08</v>
      </c>
      <c r="GG254" s="101">
        <f t="shared" si="241"/>
        <v>1</v>
      </c>
      <c r="GH254" s="101">
        <f t="shared" si="242"/>
        <v>20</v>
      </c>
      <c r="GI254" s="101">
        <f t="shared" si="243"/>
        <v>0</v>
      </c>
      <c r="GJ254" s="101">
        <f t="shared" si="244"/>
        <v>1</v>
      </c>
      <c r="GK254" s="101">
        <f t="shared" si="245"/>
        <v>5</v>
      </c>
      <c r="GL254" s="101">
        <f t="shared" si="246"/>
        <v>3.7499999999999999E-2</v>
      </c>
      <c r="GM254" s="101">
        <f t="shared" si="247"/>
        <v>1</v>
      </c>
      <c r="GN254" s="101">
        <f t="shared" si="248"/>
        <v>9</v>
      </c>
      <c r="GO254" s="101">
        <f t="shared" si="249"/>
        <v>0.1502</v>
      </c>
      <c r="GP254" s="101">
        <f t="shared" si="250"/>
        <v>1</v>
      </c>
      <c r="GQ254" s="101">
        <f t="shared" si="251"/>
        <v>20</v>
      </c>
    </row>
    <row r="255" spans="175:199" ht="16.5" x14ac:dyDescent="0.2">
      <c r="FS255" s="101">
        <v>250</v>
      </c>
      <c r="FT255" s="101">
        <f t="shared" si="236"/>
        <v>9</v>
      </c>
      <c r="FU255" s="101">
        <f t="shared" si="229"/>
        <v>4</v>
      </c>
      <c r="FV255" s="14">
        <f t="shared" si="230"/>
        <v>3</v>
      </c>
      <c r="FW255" s="101" t="str">
        <f t="shared" si="237"/>
        <v>李轩辕专属武器-魂珠-1 9级</v>
      </c>
      <c r="FX255" s="101">
        <f t="shared" si="238"/>
        <v>1</v>
      </c>
      <c r="FY255" s="101">
        <f t="shared" si="239"/>
        <v>9</v>
      </c>
      <c r="FZ255" s="101" t="str">
        <f t="shared" si="231"/>
        <v>金币</v>
      </c>
      <c r="GA255" s="139">
        <f>IF($FY255&gt;0,IF(INDEX($EM$6:$EM$77,$FT255)&gt;=GA$3,ROUND(INDEX(EO$6:EO$77,$FT255)*INDEX(卡牌消耗!$B$8:$F$8,FV255)/5,0)*5,""),"")</f>
        <v>765</v>
      </c>
      <c r="GB255" s="101" t="str">
        <f t="shared" si="232"/>
        <v>专属强化石1</v>
      </c>
      <c r="GC255" s="101">
        <f t="shared" si="233"/>
        <v>10</v>
      </c>
      <c r="GD255" s="101" t="str">
        <f t="shared" si="234"/>
        <v/>
      </c>
      <c r="GE255" s="101" t="str">
        <f t="shared" si="235"/>
        <v/>
      </c>
      <c r="GF255" s="101">
        <f t="shared" si="240"/>
        <v>0.06</v>
      </c>
      <c r="GG255" s="101">
        <f t="shared" si="241"/>
        <v>1</v>
      </c>
      <c r="GH255" s="101">
        <f t="shared" si="242"/>
        <v>26</v>
      </c>
      <c r="GI255" s="101">
        <f t="shared" si="243"/>
        <v>0</v>
      </c>
      <c r="GJ255" s="101">
        <f t="shared" si="244"/>
        <v>1</v>
      </c>
      <c r="GK255" s="101">
        <f t="shared" si="245"/>
        <v>6</v>
      </c>
      <c r="GL255" s="101">
        <f t="shared" si="246"/>
        <v>2.9000000000000001E-2</v>
      </c>
      <c r="GM255" s="101">
        <f t="shared" si="247"/>
        <v>1</v>
      </c>
      <c r="GN255" s="101">
        <f t="shared" si="248"/>
        <v>12</v>
      </c>
      <c r="GO255" s="101">
        <f t="shared" si="249"/>
        <v>0.11600000000000001</v>
      </c>
      <c r="GP255" s="101">
        <f t="shared" si="250"/>
        <v>1</v>
      </c>
      <c r="GQ255" s="101">
        <f t="shared" si="251"/>
        <v>26</v>
      </c>
    </row>
    <row r="256" spans="175:199" ht="16.5" x14ac:dyDescent="0.2">
      <c r="FS256" s="101">
        <v>251</v>
      </c>
      <c r="FT256" s="101">
        <f t="shared" si="236"/>
        <v>0</v>
      </c>
      <c r="FU256" s="101">
        <f t="shared" si="229"/>
        <v>4</v>
      </c>
      <c r="FV256" s="14">
        <f t="shared" si="230"/>
        <v>3</v>
      </c>
      <c r="FW256" s="101" t="str">
        <f t="shared" si="237"/>
        <v>李轩辕专属武器-魂珠-2 0级</v>
      </c>
      <c r="FX256" s="101">
        <f t="shared" si="238"/>
        <v>2</v>
      </c>
      <c r="FY256" s="101">
        <f t="shared" si="239"/>
        <v>0</v>
      </c>
      <c r="FZ256" s="101" t="str">
        <f t="shared" si="231"/>
        <v/>
      </c>
      <c r="GA256" s="139" t="str">
        <f>IF($FY256&gt;0,IF(INDEX($EM$6:$EM$77,$FT256)&gt;=GA$3,ROUND(INDEX(EO$6:EO$77,$FT256)*INDEX(卡牌消耗!$B$8:$F$8,FV256)/5,0)*5,""),"")</f>
        <v/>
      </c>
      <c r="GB256" s="101" t="str">
        <f t="shared" si="232"/>
        <v/>
      </c>
      <c r="GC256" s="101" t="str">
        <f t="shared" si="233"/>
        <v/>
      </c>
      <c r="GD256" s="101" t="str">
        <f t="shared" si="234"/>
        <v/>
      </c>
      <c r="GE256" s="101" t="str">
        <f t="shared" si="235"/>
        <v/>
      </c>
      <c r="GF256" s="101" t="str">
        <f t="shared" si="240"/>
        <v/>
      </c>
      <c r="GG256" s="101" t="str">
        <f t="shared" si="241"/>
        <v/>
      </c>
      <c r="GH256" s="101" t="str">
        <f t="shared" si="242"/>
        <v/>
      </c>
      <c r="GI256" s="101" t="str">
        <f t="shared" si="243"/>
        <v/>
      </c>
      <c r="GJ256" s="101" t="str">
        <f t="shared" si="244"/>
        <v/>
      </c>
      <c r="GK256" s="101" t="str">
        <f t="shared" si="245"/>
        <v/>
      </c>
      <c r="GL256" s="101" t="str">
        <f t="shared" si="246"/>
        <v/>
      </c>
      <c r="GM256" s="101" t="str">
        <f t="shared" si="247"/>
        <v/>
      </c>
      <c r="GN256" s="101" t="str">
        <f t="shared" si="248"/>
        <v/>
      </c>
      <c r="GO256" s="101" t="str">
        <f t="shared" si="249"/>
        <v/>
      </c>
      <c r="GP256" s="101" t="str">
        <f t="shared" si="250"/>
        <v/>
      </c>
      <c r="GQ256" s="101" t="str">
        <f t="shared" si="251"/>
        <v/>
      </c>
    </row>
    <row r="257" spans="175:199" ht="16.5" x14ac:dyDescent="0.2">
      <c r="FS257" s="101">
        <v>252</v>
      </c>
      <c r="FT257" s="101">
        <f t="shared" si="236"/>
        <v>10</v>
      </c>
      <c r="FU257" s="101">
        <f t="shared" si="229"/>
        <v>4</v>
      </c>
      <c r="FV257" s="14">
        <f t="shared" si="230"/>
        <v>3</v>
      </c>
      <c r="FW257" s="101" t="str">
        <f t="shared" si="237"/>
        <v>李轩辕专属武器-魂珠-2 1级</v>
      </c>
      <c r="FX257" s="101">
        <f t="shared" si="238"/>
        <v>2</v>
      </c>
      <c r="FY257" s="101">
        <f t="shared" si="239"/>
        <v>1</v>
      </c>
      <c r="FZ257" s="101" t="str">
        <f t="shared" si="231"/>
        <v>金币</v>
      </c>
      <c r="GA257" s="139">
        <f>IF($FY257&gt;0,IF(INDEX($EM$6:$EM$77,$FT257)&gt;=GA$3,ROUND(INDEX(EO$6:EO$77,$FT257)*INDEX(卡牌消耗!$B$8:$F$8,FV257)/5,0)*5,""),"")</f>
        <v>260</v>
      </c>
      <c r="GB257" s="101" t="str">
        <f t="shared" si="232"/>
        <v>专属强化石1</v>
      </c>
      <c r="GC257" s="101">
        <f t="shared" si="233"/>
        <v>3</v>
      </c>
      <c r="GD257" s="101" t="str">
        <f t="shared" si="234"/>
        <v>专属强化石2</v>
      </c>
      <c r="GE257" s="101">
        <f t="shared" si="235"/>
        <v>1</v>
      </c>
      <c r="GF257" s="101">
        <f t="shared" si="240"/>
        <v>0.39</v>
      </c>
      <c r="GG257" s="101">
        <f t="shared" si="241"/>
        <v>1</v>
      </c>
      <c r="GH257" s="101">
        <f t="shared" si="242"/>
        <v>4</v>
      </c>
      <c r="GI257" s="101">
        <f t="shared" si="243"/>
        <v>0</v>
      </c>
      <c r="GJ257" s="101">
        <f t="shared" si="244"/>
        <v>1</v>
      </c>
      <c r="GK257" s="101">
        <f t="shared" si="245"/>
        <v>1</v>
      </c>
      <c r="GL257" s="101">
        <f t="shared" si="246"/>
        <v>0.19270000000000001</v>
      </c>
      <c r="GM257" s="101">
        <f t="shared" si="247"/>
        <v>1</v>
      </c>
      <c r="GN257" s="101">
        <f t="shared" si="248"/>
        <v>2</v>
      </c>
      <c r="GO257" s="101">
        <f t="shared" si="249"/>
        <v>0.77070000000000005</v>
      </c>
      <c r="GP257" s="101">
        <f t="shared" si="250"/>
        <v>1</v>
      </c>
      <c r="GQ257" s="101">
        <f t="shared" si="251"/>
        <v>4</v>
      </c>
    </row>
    <row r="258" spans="175:199" ht="16.5" x14ac:dyDescent="0.2">
      <c r="FS258" s="101">
        <v>253</v>
      </c>
      <c r="FT258" s="101">
        <f t="shared" si="236"/>
        <v>11</v>
      </c>
      <c r="FU258" s="101">
        <f t="shared" si="229"/>
        <v>4</v>
      </c>
      <c r="FV258" s="14">
        <f t="shared" si="230"/>
        <v>3</v>
      </c>
      <c r="FW258" s="101" t="str">
        <f t="shared" si="237"/>
        <v>李轩辕专属武器-魂珠-2 2级</v>
      </c>
      <c r="FX258" s="101">
        <f t="shared" si="238"/>
        <v>2</v>
      </c>
      <c r="FY258" s="101">
        <f t="shared" si="239"/>
        <v>2</v>
      </c>
      <c r="FZ258" s="101" t="str">
        <f t="shared" si="231"/>
        <v>金币</v>
      </c>
      <c r="GA258" s="139">
        <f>IF($FY258&gt;0,IF(INDEX($EM$6:$EM$77,$FT258)&gt;=GA$3,ROUND(INDEX(EO$6:EO$77,$FT258)*INDEX(卡牌消耗!$B$8:$F$8,FV258)/5,0)*5,""),"")</f>
        <v>195</v>
      </c>
      <c r="GB258" s="101" t="str">
        <f t="shared" si="232"/>
        <v>专属强化石1</v>
      </c>
      <c r="GC258" s="101">
        <f t="shared" si="233"/>
        <v>3</v>
      </c>
      <c r="GD258" s="101" t="str">
        <f t="shared" si="234"/>
        <v>专属强化石2</v>
      </c>
      <c r="GE258" s="101">
        <f t="shared" si="235"/>
        <v>1</v>
      </c>
      <c r="GF258" s="101">
        <f t="shared" si="240"/>
        <v>0.19</v>
      </c>
      <c r="GG258" s="101">
        <f t="shared" si="241"/>
        <v>1</v>
      </c>
      <c r="GH258" s="101">
        <f t="shared" si="242"/>
        <v>8</v>
      </c>
      <c r="GI258" s="101">
        <f t="shared" si="243"/>
        <v>0</v>
      </c>
      <c r="GJ258" s="101">
        <f t="shared" si="244"/>
        <v>1</v>
      </c>
      <c r="GK258" s="101">
        <f t="shared" si="245"/>
        <v>2</v>
      </c>
      <c r="GL258" s="101">
        <f t="shared" si="246"/>
        <v>9.6299999999999997E-2</v>
      </c>
      <c r="GM258" s="101">
        <f t="shared" si="247"/>
        <v>1</v>
      </c>
      <c r="GN258" s="101">
        <f t="shared" si="248"/>
        <v>4</v>
      </c>
      <c r="GO258" s="101">
        <f t="shared" si="249"/>
        <v>0.38529999999999998</v>
      </c>
      <c r="GP258" s="101">
        <f t="shared" si="250"/>
        <v>1</v>
      </c>
      <c r="GQ258" s="101">
        <f t="shared" si="251"/>
        <v>8</v>
      </c>
    </row>
    <row r="259" spans="175:199" ht="16.5" x14ac:dyDescent="0.2">
      <c r="FS259" s="101">
        <v>254</v>
      </c>
      <c r="FT259" s="101">
        <f t="shared" si="236"/>
        <v>12</v>
      </c>
      <c r="FU259" s="101">
        <f t="shared" si="229"/>
        <v>4</v>
      </c>
      <c r="FV259" s="14">
        <f t="shared" si="230"/>
        <v>3</v>
      </c>
      <c r="FW259" s="101" t="str">
        <f t="shared" si="237"/>
        <v>李轩辕专属武器-魂珠-2 3级</v>
      </c>
      <c r="FX259" s="101">
        <f t="shared" si="238"/>
        <v>2</v>
      </c>
      <c r="FY259" s="101">
        <f t="shared" si="239"/>
        <v>3</v>
      </c>
      <c r="FZ259" s="101" t="str">
        <f t="shared" si="231"/>
        <v>金币</v>
      </c>
      <c r="GA259" s="139">
        <f>IF($FY259&gt;0,IF(INDEX($EM$6:$EM$77,$FT259)&gt;=GA$3,ROUND(INDEX(EO$6:EO$77,$FT259)*INDEX(卡牌消耗!$B$8:$F$8,FV259)/5,0)*5,""),"")</f>
        <v>435</v>
      </c>
      <c r="GB259" s="101" t="str">
        <f t="shared" si="232"/>
        <v>专属强化石1</v>
      </c>
      <c r="GC259" s="101">
        <f t="shared" si="233"/>
        <v>6</v>
      </c>
      <c r="GD259" s="101" t="str">
        <f t="shared" si="234"/>
        <v>专属强化石2</v>
      </c>
      <c r="GE259" s="101">
        <f t="shared" si="235"/>
        <v>2</v>
      </c>
      <c r="GF259" s="101">
        <f t="shared" si="240"/>
        <v>0.26</v>
      </c>
      <c r="GG259" s="101">
        <f t="shared" si="241"/>
        <v>1</v>
      </c>
      <c r="GH259" s="101">
        <f t="shared" si="242"/>
        <v>6</v>
      </c>
      <c r="GI259" s="101">
        <f t="shared" si="243"/>
        <v>0</v>
      </c>
      <c r="GJ259" s="101">
        <f t="shared" si="244"/>
        <v>1</v>
      </c>
      <c r="GK259" s="101">
        <f t="shared" si="245"/>
        <v>1</v>
      </c>
      <c r="GL259" s="101">
        <f t="shared" si="246"/>
        <v>0.12839999999999999</v>
      </c>
      <c r="GM259" s="101">
        <f t="shared" si="247"/>
        <v>1</v>
      </c>
      <c r="GN259" s="101">
        <f t="shared" si="248"/>
        <v>3</v>
      </c>
      <c r="GO259" s="101">
        <f t="shared" si="249"/>
        <v>0.51380000000000003</v>
      </c>
      <c r="GP259" s="101">
        <f t="shared" si="250"/>
        <v>1</v>
      </c>
      <c r="GQ259" s="101">
        <f t="shared" si="251"/>
        <v>6</v>
      </c>
    </row>
    <row r="260" spans="175:199" ht="16.5" x14ac:dyDescent="0.2">
      <c r="FS260" s="101">
        <v>255</v>
      </c>
      <c r="FT260" s="101">
        <f t="shared" si="236"/>
        <v>13</v>
      </c>
      <c r="FU260" s="101">
        <f t="shared" si="229"/>
        <v>4</v>
      </c>
      <c r="FV260" s="14">
        <f t="shared" si="230"/>
        <v>3</v>
      </c>
      <c r="FW260" s="101" t="str">
        <f t="shared" si="237"/>
        <v>李轩辕专属武器-魂珠-2 4级</v>
      </c>
      <c r="FX260" s="101">
        <f t="shared" si="238"/>
        <v>2</v>
      </c>
      <c r="FY260" s="101">
        <f t="shared" si="239"/>
        <v>4</v>
      </c>
      <c r="FZ260" s="101" t="str">
        <f t="shared" si="231"/>
        <v>金币</v>
      </c>
      <c r="GA260" s="139">
        <f>IF($FY260&gt;0,IF(INDEX($EM$6:$EM$77,$FT260)&gt;=GA$3,ROUND(INDEX(EO$6:EO$77,$FT260)*INDEX(卡牌消耗!$B$8:$F$8,FV260)/5,0)*5,""),"")</f>
        <v>420</v>
      </c>
      <c r="GB260" s="101" t="str">
        <f t="shared" si="232"/>
        <v>专属强化石1</v>
      </c>
      <c r="GC260" s="101">
        <f t="shared" si="233"/>
        <v>6</v>
      </c>
      <c r="GD260" s="101" t="str">
        <f t="shared" si="234"/>
        <v>专属强化石2</v>
      </c>
      <c r="GE260" s="101">
        <f t="shared" si="235"/>
        <v>2</v>
      </c>
      <c r="GF260" s="101">
        <f t="shared" si="240"/>
        <v>0.15</v>
      </c>
      <c r="GG260" s="101">
        <f t="shared" si="241"/>
        <v>1</v>
      </c>
      <c r="GH260" s="101">
        <f t="shared" si="242"/>
        <v>10</v>
      </c>
      <c r="GI260" s="101">
        <f t="shared" si="243"/>
        <v>0</v>
      </c>
      <c r="GJ260" s="101">
        <f t="shared" si="244"/>
        <v>1</v>
      </c>
      <c r="GK260" s="101">
        <f t="shared" si="245"/>
        <v>2</v>
      </c>
      <c r="GL260" s="101">
        <f t="shared" si="246"/>
        <v>7.7100000000000002E-2</v>
      </c>
      <c r="GM260" s="101">
        <f t="shared" si="247"/>
        <v>1</v>
      </c>
      <c r="GN260" s="101">
        <f t="shared" si="248"/>
        <v>5</v>
      </c>
      <c r="GO260" s="101">
        <f t="shared" si="249"/>
        <v>0.30830000000000002</v>
      </c>
      <c r="GP260" s="101">
        <f t="shared" si="250"/>
        <v>1</v>
      </c>
      <c r="GQ260" s="101">
        <f t="shared" si="251"/>
        <v>10</v>
      </c>
    </row>
    <row r="261" spans="175:199" ht="16.5" x14ac:dyDescent="0.2">
      <c r="FS261" s="101">
        <v>256</v>
      </c>
      <c r="FT261" s="101">
        <f t="shared" si="236"/>
        <v>14</v>
      </c>
      <c r="FU261" s="101">
        <f t="shared" si="229"/>
        <v>4</v>
      </c>
      <c r="FV261" s="14">
        <f t="shared" si="230"/>
        <v>3</v>
      </c>
      <c r="FW261" s="101" t="str">
        <f t="shared" si="237"/>
        <v>李轩辕专属武器-魂珠-2 5级</v>
      </c>
      <c r="FX261" s="101">
        <f t="shared" si="238"/>
        <v>2</v>
      </c>
      <c r="FY261" s="101">
        <f t="shared" si="239"/>
        <v>5</v>
      </c>
      <c r="FZ261" s="101" t="str">
        <f t="shared" si="231"/>
        <v>金币</v>
      </c>
      <c r="GA261" s="139">
        <f>IF($FY261&gt;0,IF(INDEX($EM$6:$EM$77,$FT261)&gt;=GA$3,ROUND(INDEX(EO$6:EO$77,$FT261)*INDEX(卡牌消耗!$B$8:$F$8,FV261)/5,0)*5,""),"")</f>
        <v>635</v>
      </c>
      <c r="GB261" s="101" t="str">
        <f t="shared" si="232"/>
        <v>专属强化石1</v>
      </c>
      <c r="GC261" s="101">
        <f t="shared" si="233"/>
        <v>9</v>
      </c>
      <c r="GD261" s="101" t="str">
        <f t="shared" si="234"/>
        <v>专属强化石2</v>
      </c>
      <c r="GE261" s="101">
        <f t="shared" si="235"/>
        <v>3</v>
      </c>
      <c r="GF261" s="101">
        <f t="shared" si="240"/>
        <v>0.14000000000000001</v>
      </c>
      <c r="GG261" s="101">
        <f t="shared" si="241"/>
        <v>1</v>
      </c>
      <c r="GH261" s="101">
        <f t="shared" si="242"/>
        <v>10</v>
      </c>
      <c r="GI261" s="101">
        <f t="shared" si="243"/>
        <v>0</v>
      </c>
      <c r="GJ261" s="101">
        <f t="shared" si="244"/>
        <v>1</v>
      </c>
      <c r="GK261" s="101">
        <f t="shared" si="245"/>
        <v>2</v>
      </c>
      <c r="GL261" s="101">
        <f t="shared" si="246"/>
        <v>7.22E-2</v>
      </c>
      <c r="GM261" s="101">
        <f t="shared" si="247"/>
        <v>1</v>
      </c>
      <c r="GN261" s="101">
        <f t="shared" si="248"/>
        <v>5</v>
      </c>
      <c r="GO261" s="101">
        <f t="shared" si="249"/>
        <v>0.28899999999999998</v>
      </c>
      <c r="GP261" s="101">
        <f t="shared" si="250"/>
        <v>1</v>
      </c>
      <c r="GQ261" s="101">
        <f t="shared" si="251"/>
        <v>10</v>
      </c>
    </row>
    <row r="262" spans="175:199" ht="16.5" x14ac:dyDescent="0.2">
      <c r="FS262" s="101">
        <v>257</v>
      </c>
      <c r="FT262" s="101">
        <f t="shared" si="236"/>
        <v>15</v>
      </c>
      <c r="FU262" s="101">
        <f t="shared" si="229"/>
        <v>4</v>
      </c>
      <c r="FV262" s="14">
        <f t="shared" si="230"/>
        <v>3</v>
      </c>
      <c r="FW262" s="101" t="str">
        <f t="shared" si="237"/>
        <v>李轩辕专属武器-魂珠-2 6级</v>
      </c>
      <c r="FX262" s="101">
        <f t="shared" si="238"/>
        <v>2</v>
      </c>
      <c r="FY262" s="101">
        <f t="shared" si="239"/>
        <v>6</v>
      </c>
      <c r="FZ262" s="101" t="str">
        <f t="shared" si="231"/>
        <v>金币</v>
      </c>
      <c r="GA262" s="139">
        <f>IF($FY262&gt;0,IF(INDEX($EM$6:$EM$77,$FT262)&gt;=GA$3,ROUND(INDEX(EO$6:EO$77,$FT262)*INDEX(卡牌消耗!$B$8:$F$8,FV262)/5,0)*5,""),"")</f>
        <v>845</v>
      </c>
      <c r="GB262" s="101" t="str">
        <f t="shared" si="232"/>
        <v>专属强化石1</v>
      </c>
      <c r="GC262" s="101">
        <f t="shared" si="233"/>
        <v>12</v>
      </c>
      <c r="GD262" s="101" t="str">
        <f t="shared" si="234"/>
        <v>专属强化石2</v>
      </c>
      <c r="GE262" s="101">
        <f t="shared" si="235"/>
        <v>4</v>
      </c>
      <c r="GF262" s="101">
        <f t="shared" si="240"/>
        <v>0.12</v>
      </c>
      <c r="GG262" s="101">
        <f t="shared" si="241"/>
        <v>1</v>
      </c>
      <c r="GH262" s="101">
        <f t="shared" si="242"/>
        <v>13</v>
      </c>
      <c r="GI262" s="101">
        <f t="shared" si="243"/>
        <v>0</v>
      </c>
      <c r="GJ262" s="101">
        <f t="shared" si="244"/>
        <v>1</v>
      </c>
      <c r="GK262" s="101">
        <f t="shared" si="245"/>
        <v>3</v>
      </c>
      <c r="GL262" s="101">
        <f t="shared" si="246"/>
        <v>5.9299999999999999E-2</v>
      </c>
      <c r="GM262" s="101">
        <f t="shared" si="247"/>
        <v>1</v>
      </c>
      <c r="GN262" s="101">
        <f t="shared" si="248"/>
        <v>6</v>
      </c>
      <c r="GO262" s="101">
        <f t="shared" si="249"/>
        <v>0.23710000000000001</v>
      </c>
      <c r="GP262" s="101">
        <f t="shared" si="250"/>
        <v>1</v>
      </c>
      <c r="GQ262" s="101">
        <f t="shared" si="251"/>
        <v>13</v>
      </c>
    </row>
    <row r="263" spans="175:199" ht="16.5" x14ac:dyDescent="0.2">
      <c r="FS263" s="101">
        <v>258</v>
      </c>
      <c r="FT263" s="101">
        <f t="shared" si="236"/>
        <v>16</v>
      </c>
      <c r="FU263" s="101">
        <f t="shared" ref="FU263:FU326" si="252">INT((FS263-1)/80+1)</f>
        <v>4</v>
      </c>
      <c r="FV263" s="14">
        <f t="shared" ref="FV263:FV326" si="253">INDEX($FO$6:$FO$26,FU263)</f>
        <v>3</v>
      </c>
      <c r="FW263" s="101" t="str">
        <f t="shared" si="237"/>
        <v>李轩辕专属武器-魂珠-2 7级</v>
      </c>
      <c r="FX263" s="101">
        <f t="shared" si="238"/>
        <v>2</v>
      </c>
      <c r="FY263" s="101">
        <f t="shared" si="239"/>
        <v>7</v>
      </c>
      <c r="FZ263" s="101" t="str">
        <f t="shared" ref="FZ263:FZ326" si="254">IF($FY263&gt;0,IF(INDEX($EM$6:$EM$77,$FT263)&gt;=FZ$3,INDEX(EN$6:EN$77,$FT263),""),"")</f>
        <v>金币</v>
      </c>
      <c r="GA263" s="139">
        <f>IF($FY263&gt;0,IF(INDEX($EM$6:$EM$77,$FT263)&gt;=GA$3,ROUND(INDEX(EO$6:EO$77,$FT263)*INDEX(卡牌消耗!$B$8:$F$8,FV263)/5,0)*5,""),"")</f>
        <v>1060</v>
      </c>
      <c r="GB263" s="101" t="str">
        <f t="shared" ref="GB263:GB326" si="255">IF($FY263&gt;0,IF(INDEX($EM$6:$EM$77,$FT263)&gt;=GB$3,INDEX(EP$6:EP$77,$FT263),""),"")</f>
        <v>专属强化石1</v>
      </c>
      <c r="GC263" s="101">
        <f t="shared" ref="GC263:GC326" si="256">IF($FY263&gt;0,IF(INDEX($EM$6:$EM$77,$FT263)&gt;=GC$3,INDEX(EQ$6:EQ$77,$FT263),""),"")</f>
        <v>15</v>
      </c>
      <c r="GD263" s="101" t="str">
        <f t="shared" ref="GD263:GD326" si="257">IF($FY263&gt;0,IF(INDEX($EM$6:$EM$77,$FT263)&gt;=GD$3,INDEX(ER$6:ER$77,$FT263),""),"")</f>
        <v>专属强化石2</v>
      </c>
      <c r="GE263" s="101">
        <f t="shared" ref="GE263:GE326" si="258">IF($FY263&gt;0,IF(INDEX($EM$6:$EM$77,$FT263)&gt;=GE$3,INDEX(ES$6:ES$77,$FT263),""),"")</f>
        <v>5</v>
      </c>
      <c r="GF263" s="101">
        <f t="shared" si="240"/>
        <v>0.09</v>
      </c>
      <c r="GG263" s="101">
        <f t="shared" si="241"/>
        <v>1</v>
      </c>
      <c r="GH263" s="101">
        <f t="shared" si="242"/>
        <v>16</v>
      </c>
      <c r="GI263" s="101">
        <f t="shared" si="243"/>
        <v>0</v>
      </c>
      <c r="GJ263" s="101">
        <f t="shared" si="244"/>
        <v>1</v>
      </c>
      <c r="GK263" s="101">
        <f t="shared" si="245"/>
        <v>4</v>
      </c>
      <c r="GL263" s="101">
        <f t="shared" si="246"/>
        <v>4.5900000000000003E-2</v>
      </c>
      <c r="GM263" s="101">
        <f t="shared" si="247"/>
        <v>1</v>
      </c>
      <c r="GN263" s="101">
        <f t="shared" si="248"/>
        <v>8</v>
      </c>
      <c r="GO263" s="101">
        <f t="shared" si="249"/>
        <v>0.1835</v>
      </c>
      <c r="GP263" s="101">
        <f t="shared" si="250"/>
        <v>1</v>
      </c>
      <c r="GQ263" s="101">
        <f t="shared" si="251"/>
        <v>16</v>
      </c>
    </row>
    <row r="264" spans="175:199" ht="16.5" x14ac:dyDescent="0.2">
      <c r="FS264" s="101">
        <v>259</v>
      </c>
      <c r="FT264" s="101">
        <f t="shared" si="236"/>
        <v>17</v>
      </c>
      <c r="FU264" s="101">
        <f t="shared" si="252"/>
        <v>4</v>
      </c>
      <c r="FV264" s="14">
        <f t="shared" si="253"/>
        <v>3</v>
      </c>
      <c r="FW264" s="101" t="str">
        <f t="shared" si="237"/>
        <v>李轩辕专属武器-魂珠-2 8级</v>
      </c>
      <c r="FX264" s="101">
        <f t="shared" si="238"/>
        <v>2</v>
      </c>
      <c r="FY264" s="101">
        <f t="shared" si="239"/>
        <v>8</v>
      </c>
      <c r="FZ264" s="101" t="str">
        <f t="shared" si="254"/>
        <v>金币</v>
      </c>
      <c r="GA264" s="139">
        <f>IF($FY264&gt;0,IF(INDEX($EM$6:$EM$77,$FT264)&gt;=GA$3,ROUND(INDEX(EO$6:EO$77,$FT264)*INDEX(卡牌消耗!$B$8:$F$8,FV264)/5,0)*5,""),"")</f>
        <v>1270</v>
      </c>
      <c r="GB264" s="101" t="str">
        <f t="shared" si="255"/>
        <v>专属强化石1</v>
      </c>
      <c r="GC264" s="101">
        <f t="shared" si="256"/>
        <v>18</v>
      </c>
      <c r="GD264" s="101" t="str">
        <f t="shared" si="257"/>
        <v>专属强化石2</v>
      </c>
      <c r="GE264" s="101">
        <f t="shared" si="258"/>
        <v>6</v>
      </c>
      <c r="GF264" s="101">
        <f t="shared" si="240"/>
        <v>7.0000000000000007E-2</v>
      </c>
      <c r="GG264" s="101">
        <f t="shared" si="241"/>
        <v>1</v>
      </c>
      <c r="GH264" s="101">
        <f t="shared" si="242"/>
        <v>22</v>
      </c>
      <c r="GI264" s="101">
        <f t="shared" si="243"/>
        <v>0</v>
      </c>
      <c r="GJ264" s="101">
        <f t="shared" si="244"/>
        <v>1</v>
      </c>
      <c r="GK264" s="101">
        <f t="shared" si="245"/>
        <v>5</v>
      </c>
      <c r="GL264" s="101">
        <f t="shared" si="246"/>
        <v>3.4000000000000002E-2</v>
      </c>
      <c r="GM264" s="101">
        <f t="shared" si="247"/>
        <v>1</v>
      </c>
      <c r="GN264" s="101">
        <f t="shared" si="248"/>
        <v>10</v>
      </c>
      <c r="GO264" s="101">
        <f t="shared" si="249"/>
        <v>0.13600000000000001</v>
      </c>
      <c r="GP264" s="101">
        <f t="shared" si="250"/>
        <v>1</v>
      </c>
      <c r="GQ264" s="101">
        <f t="shared" si="251"/>
        <v>22</v>
      </c>
    </row>
    <row r="265" spans="175:199" ht="16.5" x14ac:dyDescent="0.2">
      <c r="FS265" s="101">
        <v>260</v>
      </c>
      <c r="FT265" s="101">
        <f t="shared" si="236"/>
        <v>18</v>
      </c>
      <c r="FU265" s="101">
        <f t="shared" si="252"/>
        <v>4</v>
      </c>
      <c r="FV265" s="14">
        <f t="shared" si="253"/>
        <v>3</v>
      </c>
      <c r="FW265" s="101" t="str">
        <f t="shared" si="237"/>
        <v>李轩辕专属武器-魂珠-2 9级</v>
      </c>
      <c r="FX265" s="101">
        <f t="shared" si="238"/>
        <v>2</v>
      </c>
      <c r="FY265" s="101">
        <f t="shared" si="239"/>
        <v>9</v>
      </c>
      <c r="FZ265" s="101" t="str">
        <f t="shared" si="254"/>
        <v>金币</v>
      </c>
      <c r="GA265" s="139">
        <f>IF($FY265&gt;0,IF(INDEX($EM$6:$EM$77,$FT265)&gt;=GA$3,ROUND(INDEX(EO$6:EO$77,$FT265)*INDEX(卡牌消耗!$B$8:$F$8,FV265)/5,0)*5,""),"")</f>
        <v>1695</v>
      </c>
      <c r="GB265" s="101" t="str">
        <f t="shared" si="255"/>
        <v>专属强化石1</v>
      </c>
      <c r="GC265" s="101">
        <f t="shared" si="256"/>
        <v>24</v>
      </c>
      <c r="GD265" s="101" t="str">
        <f t="shared" si="257"/>
        <v>专属强化石2</v>
      </c>
      <c r="GE265" s="101">
        <f t="shared" si="258"/>
        <v>8</v>
      </c>
      <c r="GF265" s="101">
        <f t="shared" si="240"/>
        <v>0.06</v>
      </c>
      <c r="GG265" s="101">
        <f t="shared" si="241"/>
        <v>1</v>
      </c>
      <c r="GH265" s="101">
        <f t="shared" si="242"/>
        <v>27</v>
      </c>
      <c r="GI265" s="101">
        <f t="shared" si="243"/>
        <v>0</v>
      </c>
      <c r="GJ265" s="101">
        <f t="shared" si="244"/>
        <v>1</v>
      </c>
      <c r="GK265" s="101">
        <f t="shared" si="245"/>
        <v>6</v>
      </c>
      <c r="GL265" s="101">
        <f t="shared" si="246"/>
        <v>2.8000000000000001E-2</v>
      </c>
      <c r="GM265" s="101">
        <f t="shared" si="247"/>
        <v>1</v>
      </c>
      <c r="GN265" s="101">
        <f t="shared" si="248"/>
        <v>12</v>
      </c>
      <c r="GO265" s="101">
        <f t="shared" si="249"/>
        <v>0.11210000000000001</v>
      </c>
      <c r="GP265" s="101">
        <f t="shared" si="250"/>
        <v>1</v>
      </c>
      <c r="GQ265" s="101">
        <f t="shared" si="251"/>
        <v>27</v>
      </c>
    </row>
    <row r="266" spans="175:199" ht="16.5" x14ac:dyDescent="0.2">
      <c r="FS266" s="101">
        <v>261</v>
      </c>
      <c r="FT266" s="101">
        <f t="shared" si="236"/>
        <v>0</v>
      </c>
      <c r="FU266" s="101">
        <f t="shared" si="252"/>
        <v>4</v>
      </c>
      <c r="FV266" s="14">
        <f t="shared" si="253"/>
        <v>3</v>
      </c>
      <c r="FW266" s="101" t="str">
        <f t="shared" si="237"/>
        <v>李轩辕专属武器-魂珠-3 0级</v>
      </c>
      <c r="FX266" s="101">
        <f t="shared" si="238"/>
        <v>3</v>
      </c>
      <c r="FY266" s="101">
        <f t="shared" si="239"/>
        <v>0</v>
      </c>
      <c r="FZ266" s="101" t="str">
        <f t="shared" si="254"/>
        <v/>
      </c>
      <c r="GA266" s="139" t="str">
        <f>IF($FY266&gt;0,IF(INDEX($EM$6:$EM$77,$FT266)&gt;=GA$3,ROUND(INDEX(EO$6:EO$77,$FT266)*INDEX(卡牌消耗!$B$8:$F$8,FV266)/5,0)*5,""),"")</f>
        <v/>
      </c>
      <c r="GB266" s="101" t="str">
        <f t="shared" si="255"/>
        <v/>
      </c>
      <c r="GC266" s="101" t="str">
        <f t="shared" si="256"/>
        <v/>
      </c>
      <c r="GD266" s="101" t="str">
        <f t="shared" si="257"/>
        <v/>
      </c>
      <c r="GE266" s="101" t="str">
        <f t="shared" si="258"/>
        <v/>
      </c>
      <c r="GF266" s="101" t="str">
        <f t="shared" si="240"/>
        <v/>
      </c>
      <c r="GG266" s="101" t="str">
        <f t="shared" si="241"/>
        <v/>
      </c>
      <c r="GH266" s="101" t="str">
        <f t="shared" si="242"/>
        <v/>
      </c>
      <c r="GI266" s="101" t="str">
        <f t="shared" si="243"/>
        <v/>
      </c>
      <c r="GJ266" s="101" t="str">
        <f t="shared" si="244"/>
        <v/>
      </c>
      <c r="GK266" s="101" t="str">
        <f t="shared" si="245"/>
        <v/>
      </c>
      <c r="GL266" s="101" t="str">
        <f t="shared" si="246"/>
        <v/>
      </c>
      <c r="GM266" s="101" t="str">
        <f t="shared" si="247"/>
        <v/>
      </c>
      <c r="GN266" s="101" t="str">
        <f t="shared" si="248"/>
        <v/>
      </c>
      <c r="GO266" s="101" t="str">
        <f t="shared" si="249"/>
        <v/>
      </c>
      <c r="GP266" s="101" t="str">
        <f t="shared" si="250"/>
        <v/>
      </c>
      <c r="GQ266" s="101" t="str">
        <f t="shared" si="251"/>
        <v/>
      </c>
    </row>
    <row r="267" spans="175:199" ht="16.5" x14ac:dyDescent="0.2">
      <c r="FS267" s="101">
        <v>262</v>
      </c>
      <c r="FT267" s="101">
        <f t="shared" si="236"/>
        <v>19</v>
      </c>
      <c r="FU267" s="101">
        <f t="shared" si="252"/>
        <v>4</v>
      </c>
      <c r="FV267" s="14">
        <f t="shared" si="253"/>
        <v>3</v>
      </c>
      <c r="FW267" s="101" t="str">
        <f t="shared" si="237"/>
        <v>李轩辕专属武器-魂珠-3 1级</v>
      </c>
      <c r="FX267" s="101">
        <f t="shared" si="238"/>
        <v>3</v>
      </c>
      <c r="FY267" s="101">
        <f t="shared" si="239"/>
        <v>1</v>
      </c>
      <c r="FZ267" s="101" t="str">
        <f t="shared" si="254"/>
        <v>金币</v>
      </c>
      <c r="GA267" s="139">
        <f>IF($FY267&gt;0,IF(INDEX($EM$6:$EM$77,$FT267)&gt;=GA$3,ROUND(INDEX(EO$6:EO$77,$FT267)*INDEX(卡牌消耗!$B$8:$F$8,FV267)/5,0)*5,""),"")</f>
        <v>545</v>
      </c>
      <c r="GB267" s="101" t="str">
        <f t="shared" si="255"/>
        <v>专属强化石1</v>
      </c>
      <c r="GC267" s="101">
        <f t="shared" si="256"/>
        <v>4</v>
      </c>
      <c r="GD267" s="101" t="str">
        <f t="shared" si="257"/>
        <v>专属强化石2</v>
      </c>
      <c r="GE267" s="101">
        <f t="shared" si="258"/>
        <v>2</v>
      </c>
      <c r="GF267" s="101">
        <f t="shared" si="240"/>
        <v>0.31</v>
      </c>
      <c r="GG267" s="101">
        <f t="shared" si="241"/>
        <v>1</v>
      </c>
      <c r="GH267" s="101">
        <f t="shared" si="242"/>
        <v>5</v>
      </c>
      <c r="GI267" s="101">
        <f t="shared" si="243"/>
        <v>0</v>
      </c>
      <c r="GJ267" s="101">
        <f t="shared" si="244"/>
        <v>1</v>
      </c>
      <c r="GK267" s="101">
        <f t="shared" si="245"/>
        <v>1</v>
      </c>
      <c r="GL267" s="101">
        <f t="shared" si="246"/>
        <v>0.15409999999999999</v>
      </c>
      <c r="GM267" s="101">
        <f t="shared" si="247"/>
        <v>1</v>
      </c>
      <c r="GN267" s="101">
        <f t="shared" si="248"/>
        <v>2</v>
      </c>
      <c r="GO267" s="101">
        <f t="shared" si="249"/>
        <v>0.61650000000000005</v>
      </c>
      <c r="GP267" s="101">
        <f t="shared" si="250"/>
        <v>1</v>
      </c>
      <c r="GQ267" s="101">
        <f t="shared" si="251"/>
        <v>5</v>
      </c>
    </row>
    <row r="268" spans="175:199" ht="16.5" x14ac:dyDescent="0.2">
      <c r="FS268" s="101">
        <v>263</v>
      </c>
      <c r="FT268" s="101">
        <f t="shared" si="236"/>
        <v>20</v>
      </c>
      <c r="FU268" s="101">
        <f t="shared" si="252"/>
        <v>4</v>
      </c>
      <c r="FV268" s="14">
        <f t="shared" si="253"/>
        <v>3</v>
      </c>
      <c r="FW268" s="101" t="str">
        <f t="shared" si="237"/>
        <v>李轩辕专属武器-魂珠-3 2级</v>
      </c>
      <c r="FX268" s="101">
        <f t="shared" si="238"/>
        <v>3</v>
      </c>
      <c r="FY268" s="101">
        <f t="shared" si="239"/>
        <v>2</v>
      </c>
      <c r="FZ268" s="101" t="str">
        <f t="shared" si="254"/>
        <v>金币</v>
      </c>
      <c r="GA268" s="139">
        <f>IF($FY268&gt;0,IF(INDEX($EM$6:$EM$77,$FT268)&gt;=GA$3,ROUND(INDEX(EO$6:EO$77,$FT268)*INDEX(卡牌消耗!$B$8:$F$8,FV268)/5,0)*5,""),"")</f>
        <v>410</v>
      </c>
      <c r="GB268" s="101" t="str">
        <f t="shared" si="255"/>
        <v>专属强化石1</v>
      </c>
      <c r="GC268" s="101">
        <f t="shared" si="256"/>
        <v>4</v>
      </c>
      <c r="GD268" s="101" t="str">
        <f t="shared" si="257"/>
        <v>专属强化石2</v>
      </c>
      <c r="GE268" s="101">
        <f t="shared" si="258"/>
        <v>2</v>
      </c>
      <c r="GF268" s="101">
        <f t="shared" si="240"/>
        <v>0.15</v>
      </c>
      <c r="GG268" s="101">
        <f t="shared" si="241"/>
        <v>1</v>
      </c>
      <c r="GH268" s="101">
        <f t="shared" si="242"/>
        <v>10</v>
      </c>
      <c r="GI268" s="101">
        <f t="shared" si="243"/>
        <v>0</v>
      </c>
      <c r="GJ268" s="101">
        <f t="shared" si="244"/>
        <v>1</v>
      </c>
      <c r="GK268" s="101">
        <f t="shared" si="245"/>
        <v>2</v>
      </c>
      <c r="GL268" s="101">
        <f t="shared" si="246"/>
        <v>7.7100000000000002E-2</v>
      </c>
      <c r="GM268" s="101">
        <f t="shared" si="247"/>
        <v>1</v>
      </c>
      <c r="GN268" s="101">
        <f t="shared" si="248"/>
        <v>5</v>
      </c>
      <c r="GO268" s="101">
        <f t="shared" si="249"/>
        <v>0.30830000000000002</v>
      </c>
      <c r="GP268" s="101">
        <f t="shared" si="250"/>
        <v>1</v>
      </c>
      <c r="GQ268" s="101">
        <f t="shared" si="251"/>
        <v>10</v>
      </c>
    </row>
    <row r="269" spans="175:199" ht="16.5" x14ac:dyDescent="0.2">
      <c r="FS269" s="101">
        <v>264</v>
      </c>
      <c r="FT269" s="101">
        <f t="shared" si="236"/>
        <v>21</v>
      </c>
      <c r="FU269" s="101">
        <f t="shared" si="252"/>
        <v>4</v>
      </c>
      <c r="FV269" s="14">
        <f t="shared" si="253"/>
        <v>3</v>
      </c>
      <c r="FW269" s="101" t="str">
        <f t="shared" si="237"/>
        <v>李轩辕专属武器-魂珠-3 3级</v>
      </c>
      <c r="FX269" s="101">
        <f t="shared" si="238"/>
        <v>3</v>
      </c>
      <c r="FY269" s="101">
        <f t="shared" si="239"/>
        <v>3</v>
      </c>
      <c r="FZ269" s="101" t="str">
        <f t="shared" si="254"/>
        <v>金币</v>
      </c>
      <c r="GA269" s="139">
        <f>IF($FY269&gt;0,IF(INDEX($EM$6:$EM$77,$FT269)&gt;=GA$3,ROUND(INDEX(EO$6:EO$77,$FT269)*INDEX(卡牌消耗!$B$8:$F$8,FV269)/5,0)*5,""),"")</f>
        <v>680</v>
      </c>
      <c r="GB269" s="101" t="str">
        <f t="shared" si="255"/>
        <v>专属强化石1</v>
      </c>
      <c r="GC269" s="101">
        <f t="shared" si="256"/>
        <v>6</v>
      </c>
      <c r="GD269" s="101" t="str">
        <f t="shared" si="257"/>
        <v>专属强化石2</v>
      </c>
      <c r="GE269" s="101">
        <f t="shared" si="258"/>
        <v>3</v>
      </c>
      <c r="GF269" s="101">
        <f t="shared" si="240"/>
        <v>0.15</v>
      </c>
      <c r="GG269" s="101">
        <f t="shared" si="241"/>
        <v>1</v>
      </c>
      <c r="GH269" s="101">
        <f t="shared" si="242"/>
        <v>10</v>
      </c>
      <c r="GI269" s="101">
        <f t="shared" si="243"/>
        <v>0</v>
      </c>
      <c r="GJ269" s="101">
        <f t="shared" si="244"/>
        <v>1</v>
      </c>
      <c r="GK269" s="101">
        <f t="shared" si="245"/>
        <v>2</v>
      </c>
      <c r="GL269" s="101">
        <f t="shared" si="246"/>
        <v>7.7100000000000002E-2</v>
      </c>
      <c r="GM269" s="101">
        <f t="shared" si="247"/>
        <v>1</v>
      </c>
      <c r="GN269" s="101">
        <f t="shared" si="248"/>
        <v>5</v>
      </c>
      <c r="GO269" s="101">
        <f t="shared" si="249"/>
        <v>0.30830000000000002</v>
      </c>
      <c r="GP269" s="101">
        <f t="shared" si="250"/>
        <v>1</v>
      </c>
      <c r="GQ269" s="101">
        <f t="shared" si="251"/>
        <v>10</v>
      </c>
    </row>
    <row r="270" spans="175:199" ht="16.5" x14ac:dyDescent="0.2">
      <c r="FS270" s="101">
        <v>265</v>
      </c>
      <c r="FT270" s="101">
        <f t="shared" si="236"/>
        <v>22</v>
      </c>
      <c r="FU270" s="101">
        <f t="shared" si="252"/>
        <v>4</v>
      </c>
      <c r="FV270" s="14">
        <f t="shared" si="253"/>
        <v>3</v>
      </c>
      <c r="FW270" s="101" t="str">
        <f t="shared" si="237"/>
        <v>李轩辕专属武器-魂珠-3 4级</v>
      </c>
      <c r="FX270" s="101">
        <f t="shared" si="238"/>
        <v>3</v>
      </c>
      <c r="FY270" s="101">
        <f t="shared" si="239"/>
        <v>4</v>
      </c>
      <c r="FZ270" s="101" t="str">
        <f t="shared" si="254"/>
        <v>金币</v>
      </c>
      <c r="GA270" s="139">
        <f>IF($FY270&gt;0,IF(INDEX($EM$6:$EM$77,$FT270)&gt;=GA$3,ROUND(INDEX(EO$6:EO$77,$FT270)*INDEX(卡牌消耗!$B$8:$F$8,FV270)/5,0)*5,""),"")</f>
        <v>655</v>
      </c>
      <c r="GB270" s="101" t="str">
        <f t="shared" si="255"/>
        <v>专属强化石1</v>
      </c>
      <c r="GC270" s="101">
        <f t="shared" si="256"/>
        <v>6</v>
      </c>
      <c r="GD270" s="101" t="str">
        <f t="shared" si="257"/>
        <v>专属强化石2</v>
      </c>
      <c r="GE270" s="101">
        <f t="shared" si="258"/>
        <v>3</v>
      </c>
      <c r="GF270" s="101">
        <f t="shared" si="240"/>
        <v>0.09</v>
      </c>
      <c r="GG270" s="101">
        <f t="shared" si="241"/>
        <v>1</v>
      </c>
      <c r="GH270" s="101">
        <f t="shared" si="242"/>
        <v>16</v>
      </c>
      <c r="GI270" s="101">
        <f t="shared" si="243"/>
        <v>0</v>
      </c>
      <c r="GJ270" s="101">
        <f t="shared" si="244"/>
        <v>1</v>
      </c>
      <c r="GK270" s="101">
        <f t="shared" si="245"/>
        <v>4</v>
      </c>
      <c r="GL270" s="101">
        <f t="shared" si="246"/>
        <v>4.6199999999999998E-2</v>
      </c>
      <c r="GM270" s="101">
        <f t="shared" si="247"/>
        <v>1</v>
      </c>
      <c r="GN270" s="101">
        <f t="shared" si="248"/>
        <v>8</v>
      </c>
      <c r="GO270" s="101">
        <f t="shared" si="249"/>
        <v>0.185</v>
      </c>
      <c r="GP270" s="101">
        <f t="shared" si="250"/>
        <v>1</v>
      </c>
      <c r="GQ270" s="101">
        <f t="shared" si="251"/>
        <v>16</v>
      </c>
    </row>
    <row r="271" spans="175:199" ht="16.5" x14ac:dyDescent="0.2">
      <c r="FS271" s="101">
        <v>266</v>
      </c>
      <c r="FT271" s="101">
        <f t="shared" si="236"/>
        <v>23</v>
      </c>
      <c r="FU271" s="101">
        <f t="shared" si="252"/>
        <v>4</v>
      </c>
      <c r="FV271" s="14">
        <f t="shared" si="253"/>
        <v>3</v>
      </c>
      <c r="FW271" s="101" t="str">
        <f t="shared" si="237"/>
        <v>李轩辕专属武器-魂珠-3 5级</v>
      </c>
      <c r="FX271" s="101">
        <f t="shared" si="238"/>
        <v>3</v>
      </c>
      <c r="FY271" s="101">
        <f t="shared" si="239"/>
        <v>5</v>
      </c>
      <c r="FZ271" s="101" t="str">
        <f t="shared" si="254"/>
        <v>金币</v>
      </c>
      <c r="GA271" s="139">
        <f>IF($FY271&gt;0,IF(INDEX($EM$6:$EM$77,$FT271)&gt;=GA$3,ROUND(INDEX(EO$6:EO$77,$FT271)*INDEX(卡牌消耗!$B$8:$F$8,FV271)/5,0)*5,""),"")</f>
        <v>885</v>
      </c>
      <c r="GB271" s="101" t="str">
        <f t="shared" si="255"/>
        <v>专属强化石1</v>
      </c>
      <c r="GC271" s="101">
        <f t="shared" si="256"/>
        <v>8</v>
      </c>
      <c r="GD271" s="101" t="str">
        <f t="shared" si="257"/>
        <v>专属强化石2</v>
      </c>
      <c r="GE271" s="101">
        <f t="shared" si="258"/>
        <v>4</v>
      </c>
      <c r="GF271" s="101">
        <f t="shared" si="240"/>
        <v>0.08</v>
      </c>
      <c r="GG271" s="101">
        <f t="shared" si="241"/>
        <v>1</v>
      </c>
      <c r="GH271" s="101">
        <f t="shared" si="242"/>
        <v>19</v>
      </c>
      <c r="GI271" s="101">
        <f t="shared" si="243"/>
        <v>0</v>
      </c>
      <c r="GJ271" s="101">
        <f t="shared" si="244"/>
        <v>1</v>
      </c>
      <c r="GK271" s="101">
        <f t="shared" si="245"/>
        <v>5</v>
      </c>
      <c r="GL271" s="101">
        <f t="shared" si="246"/>
        <v>3.85E-2</v>
      </c>
      <c r="GM271" s="101">
        <f t="shared" si="247"/>
        <v>1</v>
      </c>
      <c r="GN271" s="101">
        <f t="shared" si="248"/>
        <v>9</v>
      </c>
      <c r="GO271" s="101">
        <f t="shared" si="249"/>
        <v>0.15409999999999999</v>
      </c>
      <c r="GP271" s="101">
        <f t="shared" si="250"/>
        <v>1</v>
      </c>
      <c r="GQ271" s="101">
        <f t="shared" si="251"/>
        <v>19</v>
      </c>
    </row>
    <row r="272" spans="175:199" ht="16.5" x14ac:dyDescent="0.2">
      <c r="FS272" s="101">
        <v>267</v>
      </c>
      <c r="FT272" s="101">
        <f t="shared" si="236"/>
        <v>24</v>
      </c>
      <c r="FU272" s="101">
        <f t="shared" si="252"/>
        <v>4</v>
      </c>
      <c r="FV272" s="14">
        <f t="shared" si="253"/>
        <v>3</v>
      </c>
      <c r="FW272" s="101" t="str">
        <f t="shared" si="237"/>
        <v>李轩辕专属武器-魂珠-3 6级</v>
      </c>
      <c r="FX272" s="101">
        <f t="shared" si="238"/>
        <v>3</v>
      </c>
      <c r="FY272" s="101">
        <f t="shared" si="239"/>
        <v>6</v>
      </c>
      <c r="FZ272" s="101" t="str">
        <f t="shared" si="254"/>
        <v>金币</v>
      </c>
      <c r="GA272" s="139">
        <f>IF($FY272&gt;0,IF(INDEX($EM$6:$EM$77,$FT272)&gt;=GA$3,ROUND(INDEX(EO$6:EO$77,$FT272)*INDEX(卡牌消耗!$B$8:$F$8,FV272)/5,0)*5,""),"")</f>
        <v>1100</v>
      </c>
      <c r="GB272" s="101" t="str">
        <f t="shared" si="255"/>
        <v>专属强化石1</v>
      </c>
      <c r="GC272" s="101">
        <f t="shared" si="256"/>
        <v>10</v>
      </c>
      <c r="GD272" s="101" t="str">
        <f t="shared" si="257"/>
        <v>专属强化石2</v>
      </c>
      <c r="GE272" s="101">
        <f t="shared" si="258"/>
        <v>5</v>
      </c>
      <c r="GF272" s="101">
        <f t="shared" si="240"/>
        <v>0.06</v>
      </c>
      <c r="GG272" s="101">
        <f t="shared" si="241"/>
        <v>1</v>
      </c>
      <c r="GH272" s="101">
        <f t="shared" si="242"/>
        <v>25</v>
      </c>
      <c r="GI272" s="101">
        <f t="shared" si="243"/>
        <v>0</v>
      </c>
      <c r="GJ272" s="101">
        <f t="shared" si="244"/>
        <v>1</v>
      </c>
      <c r="GK272" s="101">
        <f t="shared" si="245"/>
        <v>6</v>
      </c>
      <c r="GL272" s="101">
        <f t="shared" si="246"/>
        <v>2.9600000000000001E-2</v>
      </c>
      <c r="GM272" s="101">
        <f t="shared" si="247"/>
        <v>1</v>
      </c>
      <c r="GN272" s="101">
        <f t="shared" si="248"/>
        <v>12</v>
      </c>
      <c r="GO272" s="101">
        <f t="shared" si="249"/>
        <v>0.1186</v>
      </c>
      <c r="GP272" s="101">
        <f t="shared" si="250"/>
        <v>1</v>
      </c>
      <c r="GQ272" s="101">
        <f t="shared" si="251"/>
        <v>25</v>
      </c>
    </row>
    <row r="273" spans="175:199" ht="16.5" x14ac:dyDescent="0.2">
      <c r="FS273" s="101">
        <v>268</v>
      </c>
      <c r="FT273" s="101">
        <f t="shared" si="236"/>
        <v>25</v>
      </c>
      <c r="FU273" s="101">
        <f t="shared" si="252"/>
        <v>4</v>
      </c>
      <c r="FV273" s="14">
        <f t="shared" si="253"/>
        <v>3</v>
      </c>
      <c r="FW273" s="101" t="str">
        <f t="shared" si="237"/>
        <v>李轩辕专属武器-魂珠-3 7级</v>
      </c>
      <c r="FX273" s="101">
        <f t="shared" si="238"/>
        <v>3</v>
      </c>
      <c r="FY273" s="101">
        <f t="shared" si="239"/>
        <v>7</v>
      </c>
      <c r="FZ273" s="101" t="str">
        <f t="shared" si="254"/>
        <v>金币</v>
      </c>
      <c r="GA273" s="139">
        <f>IF($FY273&gt;0,IF(INDEX($EM$6:$EM$77,$FT273)&gt;=GA$3,ROUND(INDEX(EO$6:EO$77,$FT273)*INDEX(卡牌消耗!$B$8:$F$8,FV273)/5,0)*5,""),"")</f>
        <v>1325</v>
      </c>
      <c r="GB273" s="101" t="str">
        <f t="shared" si="255"/>
        <v>专属强化石1</v>
      </c>
      <c r="GC273" s="101">
        <f t="shared" si="256"/>
        <v>12</v>
      </c>
      <c r="GD273" s="101" t="str">
        <f t="shared" si="257"/>
        <v>专属强化石2</v>
      </c>
      <c r="GE273" s="101">
        <f t="shared" si="258"/>
        <v>6</v>
      </c>
      <c r="GF273" s="101">
        <f t="shared" si="240"/>
        <v>0.04</v>
      </c>
      <c r="GG273" s="101">
        <f t="shared" si="241"/>
        <v>1</v>
      </c>
      <c r="GH273" s="101">
        <f t="shared" si="242"/>
        <v>34</v>
      </c>
      <c r="GI273" s="101">
        <f t="shared" si="243"/>
        <v>0</v>
      </c>
      <c r="GJ273" s="101">
        <f t="shared" si="244"/>
        <v>1</v>
      </c>
      <c r="GK273" s="101">
        <f t="shared" si="245"/>
        <v>8</v>
      </c>
      <c r="GL273" s="101">
        <f t="shared" si="246"/>
        <v>2.1999999999999999E-2</v>
      </c>
      <c r="GM273" s="101">
        <f t="shared" si="247"/>
        <v>1</v>
      </c>
      <c r="GN273" s="101">
        <f t="shared" si="248"/>
        <v>16</v>
      </c>
      <c r="GO273" s="101">
        <f t="shared" si="249"/>
        <v>8.8099999999999998E-2</v>
      </c>
      <c r="GP273" s="101">
        <f t="shared" si="250"/>
        <v>1</v>
      </c>
      <c r="GQ273" s="101">
        <f t="shared" si="251"/>
        <v>34</v>
      </c>
    </row>
    <row r="274" spans="175:199" ht="16.5" x14ac:dyDescent="0.2">
      <c r="FS274" s="101">
        <v>269</v>
      </c>
      <c r="FT274" s="101">
        <f t="shared" si="236"/>
        <v>26</v>
      </c>
      <c r="FU274" s="101">
        <f t="shared" si="252"/>
        <v>4</v>
      </c>
      <c r="FV274" s="14">
        <f t="shared" si="253"/>
        <v>3</v>
      </c>
      <c r="FW274" s="101" t="str">
        <f t="shared" si="237"/>
        <v>李轩辕专属武器-魂珠-3 8级</v>
      </c>
      <c r="FX274" s="101">
        <f t="shared" si="238"/>
        <v>3</v>
      </c>
      <c r="FY274" s="101">
        <f t="shared" si="239"/>
        <v>8</v>
      </c>
      <c r="FZ274" s="101" t="str">
        <f t="shared" si="254"/>
        <v>金币</v>
      </c>
      <c r="GA274" s="139">
        <f>IF($FY274&gt;0,IF(INDEX($EM$6:$EM$77,$FT274)&gt;=GA$3,ROUND(INDEX(EO$6:EO$77,$FT274)*INDEX(卡牌消耗!$B$8:$F$8,FV274)/5,0)*5,""),"")</f>
        <v>1765</v>
      </c>
      <c r="GB274" s="101" t="str">
        <f t="shared" si="255"/>
        <v>专属强化石1</v>
      </c>
      <c r="GC274" s="101">
        <f t="shared" si="256"/>
        <v>16</v>
      </c>
      <c r="GD274" s="101" t="str">
        <f t="shared" si="257"/>
        <v>专属强化石2</v>
      </c>
      <c r="GE274" s="101">
        <f t="shared" si="258"/>
        <v>8</v>
      </c>
      <c r="GF274" s="101">
        <f t="shared" si="240"/>
        <v>0.04</v>
      </c>
      <c r="GG274" s="101">
        <f t="shared" si="241"/>
        <v>1</v>
      </c>
      <c r="GH274" s="101">
        <f t="shared" si="242"/>
        <v>41</v>
      </c>
      <c r="GI274" s="101">
        <f t="shared" si="243"/>
        <v>0</v>
      </c>
      <c r="GJ274" s="101">
        <f t="shared" si="244"/>
        <v>1</v>
      </c>
      <c r="GK274" s="101">
        <f t="shared" si="245"/>
        <v>10</v>
      </c>
      <c r="GL274" s="101">
        <f t="shared" si="246"/>
        <v>1.8100000000000002E-2</v>
      </c>
      <c r="GM274" s="101">
        <f t="shared" si="247"/>
        <v>1</v>
      </c>
      <c r="GN274" s="101">
        <f t="shared" si="248"/>
        <v>19</v>
      </c>
      <c r="GO274" s="101">
        <f t="shared" si="249"/>
        <v>7.2499999999999995E-2</v>
      </c>
      <c r="GP274" s="101">
        <f t="shared" si="250"/>
        <v>1</v>
      </c>
      <c r="GQ274" s="101">
        <f t="shared" si="251"/>
        <v>41</v>
      </c>
    </row>
    <row r="275" spans="175:199" ht="16.5" x14ac:dyDescent="0.2">
      <c r="FS275" s="101">
        <v>270</v>
      </c>
      <c r="FT275" s="101">
        <f t="shared" si="236"/>
        <v>27</v>
      </c>
      <c r="FU275" s="101">
        <f t="shared" si="252"/>
        <v>4</v>
      </c>
      <c r="FV275" s="14">
        <f t="shared" si="253"/>
        <v>3</v>
      </c>
      <c r="FW275" s="101" t="str">
        <f t="shared" si="237"/>
        <v>李轩辕专属武器-魂珠-3 9级</v>
      </c>
      <c r="FX275" s="101">
        <f t="shared" si="238"/>
        <v>3</v>
      </c>
      <c r="FY275" s="101">
        <f t="shared" si="239"/>
        <v>9</v>
      </c>
      <c r="FZ275" s="101" t="str">
        <f t="shared" si="254"/>
        <v>金币</v>
      </c>
      <c r="GA275" s="139">
        <f>IF($FY275&gt;0,IF(INDEX($EM$6:$EM$77,$FT275)&gt;=GA$3,ROUND(INDEX(EO$6:EO$77,$FT275)*INDEX(卡牌消耗!$B$8:$F$8,FV275)/5,0)*5,""),"")</f>
        <v>2205</v>
      </c>
      <c r="GB275" s="101" t="str">
        <f t="shared" si="255"/>
        <v>专属强化石1</v>
      </c>
      <c r="GC275" s="101">
        <f t="shared" si="256"/>
        <v>20</v>
      </c>
      <c r="GD275" s="101" t="str">
        <f t="shared" si="257"/>
        <v>专属强化石2</v>
      </c>
      <c r="GE275" s="101">
        <f t="shared" si="258"/>
        <v>10</v>
      </c>
      <c r="GF275" s="101">
        <f t="shared" si="240"/>
        <v>0.03</v>
      </c>
      <c r="GG275" s="101">
        <f t="shared" si="241"/>
        <v>1</v>
      </c>
      <c r="GH275" s="101">
        <f t="shared" si="242"/>
        <v>54</v>
      </c>
      <c r="GI275" s="101">
        <f t="shared" si="243"/>
        <v>0</v>
      </c>
      <c r="GJ275" s="101">
        <f t="shared" si="244"/>
        <v>1</v>
      </c>
      <c r="GK275" s="101">
        <f t="shared" si="245"/>
        <v>12</v>
      </c>
      <c r="GL275" s="101">
        <f t="shared" si="246"/>
        <v>1.4E-2</v>
      </c>
      <c r="GM275" s="101">
        <f t="shared" si="247"/>
        <v>1</v>
      </c>
      <c r="GN275" s="101">
        <f t="shared" si="248"/>
        <v>25</v>
      </c>
      <c r="GO275" s="101">
        <f t="shared" si="249"/>
        <v>5.6000000000000001E-2</v>
      </c>
      <c r="GP275" s="101">
        <f t="shared" si="250"/>
        <v>1</v>
      </c>
      <c r="GQ275" s="101">
        <f t="shared" si="251"/>
        <v>54</v>
      </c>
    </row>
    <row r="276" spans="175:199" ht="16.5" x14ac:dyDescent="0.2">
      <c r="FS276" s="101">
        <v>271</v>
      </c>
      <c r="FT276" s="101">
        <f t="shared" si="236"/>
        <v>0</v>
      </c>
      <c r="FU276" s="101">
        <f t="shared" si="252"/>
        <v>4</v>
      </c>
      <c r="FV276" s="14">
        <f t="shared" si="253"/>
        <v>3</v>
      </c>
      <c r="FW276" s="101" t="str">
        <f t="shared" si="237"/>
        <v>李轩辕专属武器-魂珠-4 0级</v>
      </c>
      <c r="FX276" s="101">
        <f t="shared" si="238"/>
        <v>4</v>
      </c>
      <c r="FY276" s="101">
        <f t="shared" si="239"/>
        <v>0</v>
      </c>
      <c r="FZ276" s="101" t="str">
        <f t="shared" si="254"/>
        <v/>
      </c>
      <c r="GA276" s="139" t="str">
        <f>IF($FY276&gt;0,IF(INDEX($EM$6:$EM$77,$FT276)&gt;=GA$3,ROUND(INDEX(EO$6:EO$77,$FT276)*INDEX(卡牌消耗!$B$8:$F$8,FV276)/5,0)*5,""),"")</f>
        <v/>
      </c>
      <c r="GB276" s="101" t="str">
        <f t="shared" si="255"/>
        <v/>
      </c>
      <c r="GC276" s="101" t="str">
        <f t="shared" si="256"/>
        <v/>
      </c>
      <c r="GD276" s="101" t="str">
        <f t="shared" si="257"/>
        <v/>
      </c>
      <c r="GE276" s="101" t="str">
        <f t="shared" si="258"/>
        <v/>
      </c>
      <c r="GF276" s="101" t="str">
        <f t="shared" si="240"/>
        <v/>
      </c>
      <c r="GG276" s="101" t="str">
        <f t="shared" si="241"/>
        <v/>
      </c>
      <c r="GH276" s="101" t="str">
        <f t="shared" si="242"/>
        <v/>
      </c>
      <c r="GI276" s="101" t="str">
        <f t="shared" si="243"/>
        <v/>
      </c>
      <c r="GJ276" s="101" t="str">
        <f t="shared" si="244"/>
        <v/>
      </c>
      <c r="GK276" s="101" t="str">
        <f t="shared" si="245"/>
        <v/>
      </c>
      <c r="GL276" s="101" t="str">
        <f t="shared" si="246"/>
        <v/>
      </c>
      <c r="GM276" s="101" t="str">
        <f t="shared" si="247"/>
        <v/>
      </c>
      <c r="GN276" s="101" t="str">
        <f t="shared" si="248"/>
        <v/>
      </c>
      <c r="GO276" s="101" t="str">
        <f t="shared" si="249"/>
        <v/>
      </c>
      <c r="GP276" s="101" t="str">
        <f t="shared" si="250"/>
        <v/>
      </c>
      <c r="GQ276" s="101" t="str">
        <f t="shared" si="251"/>
        <v/>
      </c>
    </row>
    <row r="277" spans="175:199" ht="16.5" x14ac:dyDescent="0.2">
      <c r="FS277" s="101">
        <v>272</v>
      </c>
      <c r="FT277" s="101">
        <f t="shared" si="236"/>
        <v>28</v>
      </c>
      <c r="FU277" s="101">
        <f t="shared" si="252"/>
        <v>4</v>
      </c>
      <c r="FV277" s="14">
        <f t="shared" si="253"/>
        <v>3</v>
      </c>
      <c r="FW277" s="101" t="str">
        <f t="shared" si="237"/>
        <v>李轩辕专属武器-魂珠-4 1级</v>
      </c>
      <c r="FX277" s="101">
        <f t="shared" si="238"/>
        <v>4</v>
      </c>
      <c r="FY277" s="101">
        <f t="shared" si="239"/>
        <v>1</v>
      </c>
      <c r="FZ277" s="101" t="str">
        <f t="shared" si="254"/>
        <v>金币</v>
      </c>
      <c r="GA277" s="139">
        <f>IF($FY277&gt;0,IF(INDEX($EM$6:$EM$77,$FT277)&gt;=GA$3,ROUND(INDEX(EO$6:EO$77,$FT277)*INDEX(卡牌消耗!$B$8:$F$8,FV277)/5,0)*5,""),"")</f>
        <v>730</v>
      </c>
      <c r="GB277" s="101" t="str">
        <f t="shared" si="255"/>
        <v>专属强化石2</v>
      </c>
      <c r="GC277" s="101">
        <f t="shared" si="256"/>
        <v>3</v>
      </c>
      <c r="GD277" s="101" t="str">
        <f t="shared" si="257"/>
        <v>专属强化石3</v>
      </c>
      <c r="GE277" s="101">
        <f t="shared" si="258"/>
        <v>1</v>
      </c>
      <c r="GF277" s="101">
        <f t="shared" si="240"/>
        <v>0.2</v>
      </c>
      <c r="GG277" s="101">
        <f t="shared" si="241"/>
        <v>1</v>
      </c>
      <c r="GH277" s="101">
        <f t="shared" si="242"/>
        <v>7</v>
      </c>
      <c r="GI277" s="101">
        <f t="shared" si="243"/>
        <v>0</v>
      </c>
      <c r="GJ277" s="101">
        <f t="shared" si="244"/>
        <v>1</v>
      </c>
      <c r="GK277" s="101">
        <f t="shared" si="245"/>
        <v>2</v>
      </c>
      <c r="GL277" s="101">
        <f t="shared" si="246"/>
        <v>0.1012</v>
      </c>
      <c r="GM277" s="101">
        <f t="shared" si="247"/>
        <v>1</v>
      </c>
      <c r="GN277" s="101">
        <f t="shared" si="248"/>
        <v>3</v>
      </c>
      <c r="GO277" s="101">
        <f t="shared" si="249"/>
        <v>0.40479999999999999</v>
      </c>
      <c r="GP277" s="101">
        <f t="shared" si="250"/>
        <v>1</v>
      </c>
      <c r="GQ277" s="101">
        <f t="shared" si="251"/>
        <v>7</v>
      </c>
    </row>
    <row r="278" spans="175:199" ht="16.5" x14ac:dyDescent="0.2">
      <c r="FS278" s="101">
        <v>273</v>
      </c>
      <c r="FT278" s="101">
        <f t="shared" ref="FT278:FT341" si="259">IF(FY278&gt;0,(FX278-1)*9+FY278,0)</f>
        <v>29</v>
      </c>
      <c r="FU278" s="101">
        <f t="shared" si="252"/>
        <v>4</v>
      </c>
      <c r="FV278" s="14">
        <f t="shared" si="253"/>
        <v>3</v>
      </c>
      <c r="FW278" s="101" t="str">
        <f t="shared" ref="FW278:FW341" si="260">INDEX($FN$6:$FN$26,FU278)&amp;"专属武器-魂珠-"&amp;FX278&amp;" "&amp;FY278&amp;"级"</f>
        <v>李轩辕专属武器-魂珠-4 2级</v>
      </c>
      <c r="FX278" s="101">
        <f t="shared" ref="FX278:FX341" si="261">INT((FS278-(FU278-1)*80-1)/10)+1</f>
        <v>4</v>
      </c>
      <c r="FY278" s="101">
        <f t="shared" ref="FY278:FY341" si="262">FS278-(FU278-1)*80-(FX278-1)*10-1</f>
        <v>2</v>
      </c>
      <c r="FZ278" s="101" t="str">
        <f t="shared" si="254"/>
        <v>金币</v>
      </c>
      <c r="GA278" s="139">
        <f>IF($FY278&gt;0,IF(INDEX($EM$6:$EM$77,$FT278)&gt;=GA$3,ROUND(INDEX(EO$6:EO$77,$FT278)*INDEX(卡牌消耗!$B$8:$F$8,FV278)/5,0)*5,""),"")</f>
        <v>545</v>
      </c>
      <c r="GB278" s="101" t="str">
        <f t="shared" si="255"/>
        <v>专属强化石2</v>
      </c>
      <c r="GC278" s="101">
        <f t="shared" si="256"/>
        <v>3</v>
      </c>
      <c r="GD278" s="101" t="str">
        <f t="shared" si="257"/>
        <v>专属强化石3</v>
      </c>
      <c r="GE278" s="101">
        <f t="shared" si="258"/>
        <v>1</v>
      </c>
      <c r="GF278" s="101">
        <f t="shared" ref="GF278:GF341" si="263">IF($FY278&gt;0,INDEX(ET$6:ET$77,$FT278),"")</f>
        <v>0.1</v>
      </c>
      <c r="GG278" s="101">
        <f t="shared" ref="GG278:GG341" si="264">IF($FY278&gt;0,INDEX(EU$6:EU$77,$FT278),"")</f>
        <v>1</v>
      </c>
      <c r="GH278" s="101">
        <f t="shared" ref="GH278:GH341" si="265">IF($FY278&gt;0,INDEX(EV$6:EV$77,$FT278),"")</f>
        <v>15</v>
      </c>
      <c r="GI278" s="101">
        <f t="shared" ref="GI278:GI341" si="266">IF($FY278&gt;0,INDEX(FA$6:FA$77,$FT278),"")</f>
        <v>0</v>
      </c>
      <c r="GJ278" s="101">
        <f t="shared" ref="GJ278:GJ341" si="267">IF($FY278&gt;0,INDEX(FB$6:FB$77,$FT278),"")</f>
        <v>1</v>
      </c>
      <c r="GK278" s="101">
        <f t="shared" ref="GK278:GK341" si="268">IF($FY278&gt;0,INDEX(FC$6:FC$77,$FT278),"")</f>
        <v>3</v>
      </c>
      <c r="GL278" s="101">
        <f t="shared" ref="GL278:GL341" si="269">IF($FY278&gt;0,INDEX(FD$6:FD$77,$FT278),"")</f>
        <v>5.0599999999999999E-2</v>
      </c>
      <c r="GM278" s="101">
        <f t="shared" ref="GM278:GM341" si="270">IF($FY278&gt;0,INDEX(FE$6:FE$77,$FT278),"")</f>
        <v>1</v>
      </c>
      <c r="GN278" s="101">
        <f t="shared" ref="GN278:GN341" si="271">IF($FY278&gt;0,INDEX(FF$6:FF$77,$FT278),"")</f>
        <v>7</v>
      </c>
      <c r="GO278" s="101">
        <f t="shared" ref="GO278:GO341" si="272">IF($FY278&gt;0,INDEX(FG$6:FG$77,$FT278),"")</f>
        <v>0.2024</v>
      </c>
      <c r="GP278" s="101">
        <f t="shared" ref="GP278:GP341" si="273">IF($FY278&gt;0,INDEX(FH$6:FH$77,$FT278),"")</f>
        <v>1</v>
      </c>
      <c r="GQ278" s="101">
        <f t="shared" ref="GQ278:GQ341" si="274">IF($FY278&gt;0,INDEX(FI$6:FI$77,$FT278),"")</f>
        <v>15</v>
      </c>
    </row>
    <row r="279" spans="175:199" ht="16.5" x14ac:dyDescent="0.2">
      <c r="FS279" s="101">
        <v>274</v>
      </c>
      <c r="FT279" s="101">
        <f t="shared" si="259"/>
        <v>30</v>
      </c>
      <c r="FU279" s="101">
        <f t="shared" si="252"/>
        <v>4</v>
      </c>
      <c r="FV279" s="14">
        <f t="shared" si="253"/>
        <v>3</v>
      </c>
      <c r="FW279" s="101" t="str">
        <f t="shared" si="260"/>
        <v>李轩辕专属武器-魂珠-4 3级</v>
      </c>
      <c r="FX279" s="101">
        <f t="shared" si="261"/>
        <v>4</v>
      </c>
      <c r="FY279" s="101">
        <f t="shared" si="262"/>
        <v>3</v>
      </c>
      <c r="FZ279" s="101" t="str">
        <f t="shared" si="254"/>
        <v>金币</v>
      </c>
      <c r="GA279" s="139">
        <f>IF($FY279&gt;0,IF(INDEX($EM$6:$EM$77,$FT279)&gt;=GA$3,ROUND(INDEX(EO$6:EO$77,$FT279)*INDEX(卡牌消耗!$B$8:$F$8,FV279)/5,0)*5,""),"")</f>
        <v>610</v>
      </c>
      <c r="GB279" s="101" t="str">
        <f t="shared" si="255"/>
        <v>专属强化石2</v>
      </c>
      <c r="GC279" s="101">
        <f t="shared" si="256"/>
        <v>3</v>
      </c>
      <c r="GD279" s="101" t="str">
        <f t="shared" si="257"/>
        <v>专属强化石3</v>
      </c>
      <c r="GE279" s="101">
        <f t="shared" si="258"/>
        <v>1</v>
      </c>
      <c r="GF279" s="101">
        <f t="shared" si="263"/>
        <v>7.0000000000000007E-2</v>
      </c>
      <c r="GG279" s="101">
        <f t="shared" si="264"/>
        <v>1</v>
      </c>
      <c r="GH279" s="101">
        <f t="shared" si="265"/>
        <v>22</v>
      </c>
      <c r="GI279" s="101">
        <f t="shared" si="266"/>
        <v>0</v>
      </c>
      <c r="GJ279" s="101">
        <f t="shared" si="267"/>
        <v>1</v>
      </c>
      <c r="GK279" s="101">
        <f t="shared" si="268"/>
        <v>5</v>
      </c>
      <c r="GL279" s="101">
        <f t="shared" si="269"/>
        <v>3.3700000000000001E-2</v>
      </c>
      <c r="GM279" s="101">
        <f t="shared" si="270"/>
        <v>1</v>
      </c>
      <c r="GN279" s="101">
        <f t="shared" si="271"/>
        <v>10</v>
      </c>
      <c r="GO279" s="101">
        <f t="shared" si="272"/>
        <v>0.13489999999999999</v>
      </c>
      <c r="GP279" s="101">
        <f t="shared" si="273"/>
        <v>1</v>
      </c>
      <c r="GQ279" s="101">
        <f t="shared" si="274"/>
        <v>22</v>
      </c>
    </row>
    <row r="280" spans="175:199" ht="16.5" x14ac:dyDescent="0.2">
      <c r="FS280" s="101">
        <v>275</v>
      </c>
      <c r="FT280" s="101">
        <f t="shared" si="259"/>
        <v>31</v>
      </c>
      <c r="FU280" s="101">
        <f t="shared" si="252"/>
        <v>4</v>
      </c>
      <c r="FV280" s="14">
        <f t="shared" si="253"/>
        <v>3</v>
      </c>
      <c r="FW280" s="101" t="str">
        <f t="shared" si="260"/>
        <v>李轩辕专属武器-魂珠-4 4级</v>
      </c>
      <c r="FX280" s="101">
        <f t="shared" si="261"/>
        <v>4</v>
      </c>
      <c r="FY280" s="101">
        <f t="shared" si="262"/>
        <v>4</v>
      </c>
      <c r="FZ280" s="101" t="str">
        <f t="shared" si="254"/>
        <v>金币</v>
      </c>
      <c r="GA280" s="139">
        <f>IF($FY280&gt;0,IF(INDEX($EM$6:$EM$77,$FT280)&gt;=GA$3,ROUND(INDEX(EO$6:EO$77,$FT280)*INDEX(卡牌消耗!$B$8:$F$8,FV280)/5,0)*5,""),"")</f>
        <v>1165</v>
      </c>
      <c r="GB280" s="101" t="str">
        <f t="shared" si="255"/>
        <v>专属强化石2</v>
      </c>
      <c r="GC280" s="101">
        <f t="shared" si="256"/>
        <v>5</v>
      </c>
      <c r="GD280" s="101" t="str">
        <f t="shared" si="257"/>
        <v>专属强化石3</v>
      </c>
      <c r="GE280" s="101">
        <f t="shared" si="258"/>
        <v>2</v>
      </c>
      <c r="GF280" s="101">
        <f t="shared" si="263"/>
        <v>0.08</v>
      </c>
      <c r="GG280" s="101">
        <f t="shared" si="264"/>
        <v>1</v>
      </c>
      <c r="GH280" s="101">
        <f t="shared" si="265"/>
        <v>19</v>
      </c>
      <c r="GI280" s="101">
        <f t="shared" si="266"/>
        <v>0</v>
      </c>
      <c r="GJ280" s="101">
        <f t="shared" si="267"/>
        <v>1</v>
      </c>
      <c r="GK280" s="101">
        <f t="shared" si="268"/>
        <v>4</v>
      </c>
      <c r="GL280" s="101">
        <f t="shared" si="269"/>
        <v>4.0500000000000001E-2</v>
      </c>
      <c r="GM280" s="101">
        <f t="shared" si="270"/>
        <v>1</v>
      </c>
      <c r="GN280" s="101">
        <f t="shared" si="271"/>
        <v>9</v>
      </c>
      <c r="GO280" s="101">
        <f t="shared" si="272"/>
        <v>0.16189999999999999</v>
      </c>
      <c r="GP280" s="101">
        <f t="shared" si="273"/>
        <v>1</v>
      </c>
      <c r="GQ280" s="101">
        <f t="shared" si="274"/>
        <v>19</v>
      </c>
    </row>
    <row r="281" spans="175:199" ht="16.5" x14ac:dyDescent="0.2">
      <c r="FS281" s="101">
        <v>276</v>
      </c>
      <c r="FT281" s="101">
        <f t="shared" si="259"/>
        <v>32</v>
      </c>
      <c r="FU281" s="101">
        <f t="shared" si="252"/>
        <v>4</v>
      </c>
      <c r="FV281" s="14">
        <f t="shared" si="253"/>
        <v>3</v>
      </c>
      <c r="FW281" s="101" t="str">
        <f t="shared" si="260"/>
        <v>李轩辕专属武器-魂珠-4 5级</v>
      </c>
      <c r="FX281" s="101">
        <f t="shared" si="261"/>
        <v>4</v>
      </c>
      <c r="FY281" s="101">
        <f t="shared" si="262"/>
        <v>5</v>
      </c>
      <c r="FZ281" s="101" t="str">
        <f t="shared" si="254"/>
        <v>金币</v>
      </c>
      <c r="GA281" s="139">
        <f>IF($FY281&gt;0,IF(INDEX($EM$6:$EM$77,$FT281)&gt;=GA$3,ROUND(INDEX(EO$6:EO$77,$FT281)*INDEX(卡牌消耗!$B$8:$F$8,FV281)/5,0)*5,""),"")</f>
        <v>1185</v>
      </c>
      <c r="GB281" s="101" t="str">
        <f t="shared" si="255"/>
        <v>专属强化石2</v>
      </c>
      <c r="GC281" s="101">
        <f t="shared" si="256"/>
        <v>5</v>
      </c>
      <c r="GD281" s="101" t="str">
        <f t="shared" si="257"/>
        <v>专属强化石3</v>
      </c>
      <c r="GE281" s="101">
        <f t="shared" si="258"/>
        <v>2</v>
      </c>
      <c r="GF281" s="101">
        <f t="shared" si="263"/>
        <v>0.05</v>
      </c>
      <c r="GG281" s="101">
        <f t="shared" si="264"/>
        <v>1</v>
      </c>
      <c r="GH281" s="101">
        <f t="shared" si="265"/>
        <v>30</v>
      </c>
      <c r="GI281" s="101">
        <f t="shared" si="266"/>
        <v>0</v>
      </c>
      <c r="GJ281" s="101">
        <f t="shared" si="267"/>
        <v>1</v>
      </c>
      <c r="GK281" s="101">
        <f t="shared" si="268"/>
        <v>7</v>
      </c>
      <c r="GL281" s="101">
        <f t="shared" si="269"/>
        <v>2.53E-2</v>
      </c>
      <c r="GM281" s="101">
        <f t="shared" si="270"/>
        <v>1</v>
      </c>
      <c r="GN281" s="101">
        <f t="shared" si="271"/>
        <v>14</v>
      </c>
      <c r="GO281" s="101">
        <f t="shared" si="272"/>
        <v>0.1012</v>
      </c>
      <c r="GP281" s="101">
        <f t="shared" si="273"/>
        <v>1</v>
      </c>
      <c r="GQ281" s="101">
        <f t="shared" si="274"/>
        <v>30</v>
      </c>
    </row>
    <row r="282" spans="175:199" ht="16.5" x14ac:dyDescent="0.2">
      <c r="FS282" s="101">
        <v>277</v>
      </c>
      <c r="FT282" s="101">
        <f t="shared" si="259"/>
        <v>33</v>
      </c>
      <c r="FU282" s="101">
        <f t="shared" si="252"/>
        <v>4</v>
      </c>
      <c r="FV282" s="14">
        <f t="shared" si="253"/>
        <v>3</v>
      </c>
      <c r="FW282" s="101" t="str">
        <f t="shared" si="260"/>
        <v>李轩辕专属武器-魂珠-4 6级</v>
      </c>
      <c r="FX282" s="101">
        <f t="shared" si="261"/>
        <v>4</v>
      </c>
      <c r="FY282" s="101">
        <f t="shared" si="262"/>
        <v>6</v>
      </c>
      <c r="FZ282" s="101" t="str">
        <f t="shared" si="254"/>
        <v>金币</v>
      </c>
      <c r="GA282" s="139">
        <f>IF($FY282&gt;0,IF(INDEX($EM$6:$EM$77,$FT282)&gt;=GA$3,ROUND(INDEX(EO$6:EO$77,$FT282)*INDEX(卡牌消耗!$B$8:$F$8,FV282)/5,0)*5,""),"")</f>
        <v>1180</v>
      </c>
      <c r="GB282" s="101" t="str">
        <f t="shared" si="255"/>
        <v>专属强化石2</v>
      </c>
      <c r="GC282" s="101">
        <f t="shared" si="256"/>
        <v>5</v>
      </c>
      <c r="GD282" s="101" t="str">
        <f t="shared" si="257"/>
        <v>专属强化石3</v>
      </c>
      <c r="GE282" s="101">
        <f t="shared" si="258"/>
        <v>2</v>
      </c>
      <c r="GF282" s="101">
        <f t="shared" si="263"/>
        <v>0.03</v>
      </c>
      <c r="GG282" s="101">
        <f t="shared" si="264"/>
        <v>1</v>
      </c>
      <c r="GH282" s="101">
        <f t="shared" si="265"/>
        <v>48</v>
      </c>
      <c r="GI282" s="101">
        <f t="shared" si="266"/>
        <v>0</v>
      </c>
      <c r="GJ282" s="101">
        <f t="shared" si="267"/>
        <v>1</v>
      </c>
      <c r="GK282" s="101">
        <f t="shared" si="268"/>
        <v>11</v>
      </c>
      <c r="GL282" s="101">
        <f t="shared" si="269"/>
        <v>1.5599999999999999E-2</v>
      </c>
      <c r="GM282" s="101">
        <f t="shared" si="270"/>
        <v>1</v>
      </c>
      <c r="GN282" s="101">
        <f t="shared" si="271"/>
        <v>22</v>
      </c>
      <c r="GO282" s="101">
        <f t="shared" si="272"/>
        <v>6.2300000000000001E-2</v>
      </c>
      <c r="GP282" s="101">
        <f t="shared" si="273"/>
        <v>1</v>
      </c>
      <c r="GQ282" s="101">
        <f t="shared" si="274"/>
        <v>48</v>
      </c>
    </row>
    <row r="283" spans="175:199" ht="16.5" x14ac:dyDescent="0.2">
      <c r="FS283" s="101">
        <v>278</v>
      </c>
      <c r="FT283" s="101">
        <f t="shared" si="259"/>
        <v>34</v>
      </c>
      <c r="FU283" s="101">
        <f t="shared" si="252"/>
        <v>4</v>
      </c>
      <c r="FV283" s="14">
        <f t="shared" si="253"/>
        <v>3</v>
      </c>
      <c r="FW283" s="101" t="str">
        <f t="shared" si="260"/>
        <v>李轩辕专属武器-魂珠-4 7级</v>
      </c>
      <c r="FX283" s="101">
        <f t="shared" si="261"/>
        <v>4</v>
      </c>
      <c r="FY283" s="101">
        <f t="shared" si="262"/>
        <v>7</v>
      </c>
      <c r="FZ283" s="101" t="str">
        <f t="shared" si="254"/>
        <v>金币</v>
      </c>
      <c r="GA283" s="139">
        <f>IF($FY283&gt;0,IF(INDEX($EM$6:$EM$77,$FT283)&gt;=GA$3,ROUND(INDEX(EO$6:EO$77,$FT283)*INDEX(卡牌消耗!$B$8:$F$8,FV283)/5,0)*5,""),"")</f>
        <v>1770</v>
      </c>
      <c r="GB283" s="101" t="str">
        <f t="shared" si="255"/>
        <v>专属强化石2</v>
      </c>
      <c r="GC283" s="101">
        <f t="shared" si="256"/>
        <v>8</v>
      </c>
      <c r="GD283" s="101" t="str">
        <f t="shared" si="257"/>
        <v>专属强化石3</v>
      </c>
      <c r="GE283" s="101">
        <f t="shared" si="258"/>
        <v>3</v>
      </c>
      <c r="GF283" s="101">
        <f t="shared" si="263"/>
        <v>0.03</v>
      </c>
      <c r="GG283" s="101">
        <f t="shared" si="264"/>
        <v>1</v>
      </c>
      <c r="GH283" s="101">
        <f t="shared" si="265"/>
        <v>52</v>
      </c>
      <c r="GI283" s="101">
        <f t="shared" si="266"/>
        <v>0</v>
      </c>
      <c r="GJ283" s="101">
        <f t="shared" si="267"/>
        <v>1</v>
      </c>
      <c r="GK283" s="101">
        <f t="shared" si="268"/>
        <v>12</v>
      </c>
      <c r="GL283" s="101">
        <f t="shared" si="269"/>
        <v>1.4500000000000001E-2</v>
      </c>
      <c r="GM283" s="101">
        <f t="shared" si="270"/>
        <v>1</v>
      </c>
      <c r="GN283" s="101">
        <f t="shared" si="271"/>
        <v>24</v>
      </c>
      <c r="GO283" s="101">
        <f t="shared" si="272"/>
        <v>5.7799999999999997E-2</v>
      </c>
      <c r="GP283" s="101">
        <f t="shared" si="273"/>
        <v>1</v>
      </c>
      <c r="GQ283" s="101">
        <f t="shared" si="274"/>
        <v>52</v>
      </c>
    </row>
    <row r="284" spans="175:199" ht="16.5" x14ac:dyDescent="0.2">
      <c r="FS284" s="101">
        <v>279</v>
      </c>
      <c r="FT284" s="101">
        <f t="shared" si="259"/>
        <v>35</v>
      </c>
      <c r="FU284" s="101">
        <f t="shared" si="252"/>
        <v>4</v>
      </c>
      <c r="FV284" s="14">
        <f t="shared" si="253"/>
        <v>3</v>
      </c>
      <c r="FW284" s="101" t="str">
        <f t="shared" si="260"/>
        <v>李轩辕专属武器-魂珠-4 8级</v>
      </c>
      <c r="FX284" s="101">
        <f t="shared" si="261"/>
        <v>4</v>
      </c>
      <c r="FY284" s="101">
        <f t="shared" si="262"/>
        <v>8</v>
      </c>
      <c r="FZ284" s="101" t="str">
        <f t="shared" si="254"/>
        <v>金币</v>
      </c>
      <c r="GA284" s="139">
        <f>IF($FY284&gt;0,IF(INDEX($EM$6:$EM$77,$FT284)&gt;=GA$3,ROUND(INDEX(EO$6:EO$77,$FT284)*INDEX(卡牌消耗!$B$8:$F$8,FV284)/5,0)*5,""),"")</f>
        <v>2360</v>
      </c>
      <c r="GB284" s="101" t="str">
        <f t="shared" si="255"/>
        <v>专属强化石2</v>
      </c>
      <c r="GC284" s="101">
        <f t="shared" si="256"/>
        <v>11</v>
      </c>
      <c r="GD284" s="101" t="str">
        <f t="shared" si="257"/>
        <v>专属强化石3</v>
      </c>
      <c r="GE284" s="101">
        <f t="shared" si="258"/>
        <v>4</v>
      </c>
      <c r="GF284" s="101">
        <f t="shared" si="263"/>
        <v>0.02</v>
      </c>
      <c r="GG284" s="101">
        <f t="shared" si="264"/>
        <v>1</v>
      </c>
      <c r="GH284" s="101">
        <f t="shared" si="265"/>
        <v>63</v>
      </c>
      <c r="GI284" s="101">
        <f t="shared" si="266"/>
        <v>0</v>
      </c>
      <c r="GJ284" s="101">
        <f t="shared" si="267"/>
        <v>1</v>
      </c>
      <c r="GK284" s="101">
        <f t="shared" si="268"/>
        <v>15</v>
      </c>
      <c r="GL284" s="101">
        <f t="shared" si="269"/>
        <v>1.1900000000000001E-2</v>
      </c>
      <c r="GM284" s="101">
        <f t="shared" si="270"/>
        <v>1</v>
      </c>
      <c r="GN284" s="101">
        <f t="shared" si="271"/>
        <v>29</v>
      </c>
      <c r="GO284" s="101">
        <f t="shared" si="272"/>
        <v>4.7600000000000003E-2</v>
      </c>
      <c r="GP284" s="101">
        <f t="shared" si="273"/>
        <v>1</v>
      </c>
      <c r="GQ284" s="101">
        <f t="shared" si="274"/>
        <v>63</v>
      </c>
    </row>
    <row r="285" spans="175:199" ht="16.5" x14ac:dyDescent="0.2">
      <c r="FS285" s="101">
        <v>280</v>
      </c>
      <c r="FT285" s="101">
        <f t="shared" si="259"/>
        <v>36</v>
      </c>
      <c r="FU285" s="101">
        <f t="shared" si="252"/>
        <v>4</v>
      </c>
      <c r="FV285" s="14">
        <f t="shared" si="253"/>
        <v>3</v>
      </c>
      <c r="FW285" s="101" t="str">
        <f t="shared" si="260"/>
        <v>李轩辕专属武器-魂珠-4 9级</v>
      </c>
      <c r="FX285" s="101">
        <f t="shared" si="261"/>
        <v>4</v>
      </c>
      <c r="FY285" s="101">
        <f t="shared" si="262"/>
        <v>9</v>
      </c>
      <c r="FZ285" s="101" t="str">
        <f t="shared" si="254"/>
        <v>金币</v>
      </c>
      <c r="GA285" s="139">
        <f>IF($FY285&gt;0,IF(INDEX($EM$6:$EM$77,$FT285)&gt;=GA$3,ROUND(INDEX(EO$6:EO$77,$FT285)*INDEX(卡牌消耗!$B$8:$F$8,FV285)/5,0)*5,""),"")</f>
        <v>3540</v>
      </c>
      <c r="GB285" s="101" t="str">
        <f t="shared" si="255"/>
        <v>专属强化石2</v>
      </c>
      <c r="GC285" s="101">
        <f t="shared" si="256"/>
        <v>16</v>
      </c>
      <c r="GD285" s="101" t="str">
        <f t="shared" si="257"/>
        <v>专属强化石3</v>
      </c>
      <c r="GE285" s="101">
        <f t="shared" si="258"/>
        <v>6</v>
      </c>
      <c r="GF285" s="101">
        <f t="shared" si="263"/>
        <v>0.02</v>
      </c>
      <c r="GG285" s="101">
        <f t="shared" si="264"/>
        <v>1</v>
      </c>
      <c r="GH285" s="101">
        <f t="shared" si="265"/>
        <v>68</v>
      </c>
      <c r="GI285" s="101">
        <f t="shared" si="266"/>
        <v>0</v>
      </c>
      <c r="GJ285" s="101">
        <f t="shared" si="267"/>
        <v>1</v>
      </c>
      <c r="GK285" s="101">
        <f t="shared" si="268"/>
        <v>16</v>
      </c>
      <c r="GL285" s="101">
        <f t="shared" si="269"/>
        <v>1.0999999999999999E-2</v>
      </c>
      <c r="GM285" s="101">
        <f t="shared" si="270"/>
        <v>1</v>
      </c>
      <c r="GN285" s="101">
        <f t="shared" si="271"/>
        <v>32</v>
      </c>
      <c r="GO285" s="101">
        <f t="shared" si="272"/>
        <v>4.4200000000000003E-2</v>
      </c>
      <c r="GP285" s="101">
        <f t="shared" si="273"/>
        <v>1</v>
      </c>
      <c r="GQ285" s="101">
        <f t="shared" si="274"/>
        <v>68</v>
      </c>
    </row>
    <row r="286" spans="175:199" ht="16.5" x14ac:dyDescent="0.2">
      <c r="FS286" s="101">
        <v>281</v>
      </c>
      <c r="FT286" s="101">
        <f t="shared" si="259"/>
        <v>0</v>
      </c>
      <c r="FU286" s="101">
        <f t="shared" si="252"/>
        <v>4</v>
      </c>
      <c r="FV286" s="14">
        <f t="shared" si="253"/>
        <v>3</v>
      </c>
      <c r="FW286" s="101" t="str">
        <f t="shared" si="260"/>
        <v>李轩辕专属武器-魂珠-5 0级</v>
      </c>
      <c r="FX286" s="101">
        <f t="shared" si="261"/>
        <v>5</v>
      </c>
      <c r="FY286" s="101">
        <f t="shared" si="262"/>
        <v>0</v>
      </c>
      <c r="FZ286" s="101" t="str">
        <f t="shared" si="254"/>
        <v/>
      </c>
      <c r="GA286" s="139" t="str">
        <f>IF($FY286&gt;0,IF(INDEX($EM$6:$EM$77,$FT286)&gt;=GA$3,ROUND(INDEX(EO$6:EO$77,$FT286)*INDEX(卡牌消耗!$B$8:$F$8,FV286)/5,0)*5,""),"")</f>
        <v/>
      </c>
      <c r="GB286" s="101" t="str">
        <f t="shared" si="255"/>
        <v/>
      </c>
      <c r="GC286" s="101" t="str">
        <f t="shared" si="256"/>
        <v/>
      </c>
      <c r="GD286" s="101" t="str">
        <f t="shared" si="257"/>
        <v/>
      </c>
      <c r="GE286" s="101" t="str">
        <f t="shared" si="258"/>
        <v/>
      </c>
      <c r="GF286" s="101" t="str">
        <f t="shared" si="263"/>
        <v/>
      </c>
      <c r="GG286" s="101" t="str">
        <f t="shared" si="264"/>
        <v/>
      </c>
      <c r="GH286" s="101" t="str">
        <f t="shared" si="265"/>
        <v/>
      </c>
      <c r="GI286" s="101" t="str">
        <f t="shared" si="266"/>
        <v/>
      </c>
      <c r="GJ286" s="101" t="str">
        <f t="shared" si="267"/>
        <v/>
      </c>
      <c r="GK286" s="101" t="str">
        <f t="shared" si="268"/>
        <v/>
      </c>
      <c r="GL286" s="101" t="str">
        <f t="shared" si="269"/>
        <v/>
      </c>
      <c r="GM286" s="101" t="str">
        <f t="shared" si="270"/>
        <v/>
      </c>
      <c r="GN286" s="101" t="str">
        <f t="shared" si="271"/>
        <v/>
      </c>
      <c r="GO286" s="101" t="str">
        <f t="shared" si="272"/>
        <v/>
      </c>
      <c r="GP286" s="101" t="str">
        <f t="shared" si="273"/>
        <v/>
      </c>
      <c r="GQ286" s="101" t="str">
        <f t="shared" si="274"/>
        <v/>
      </c>
    </row>
    <row r="287" spans="175:199" ht="16.5" x14ac:dyDescent="0.2">
      <c r="FS287" s="101">
        <v>282</v>
      </c>
      <c r="FT287" s="101">
        <f t="shared" si="259"/>
        <v>37</v>
      </c>
      <c r="FU287" s="101">
        <f t="shared" si="252"/>
        <v>4</v>
      </c>
      <c r="FV287" s="14">
        <f t="shared" si="253"/>
        <v>3</v>
      </c>
      <c r="FW287" s="101" t="str">
        <f t="shared" si="260"/>
        <v>李轩辕专属武器-魂珠-5 1级</v>
      </c>
      <c r="FX287" s="101">
        <f t="shared" si="261"/>
        <v>5</v>
      </c>
      <c r="FY287" s="101">
        <f t="shared" si="262"/>
        <v>1</v>
      </c>
      <c r="FZ287" s="101" t="str">
        <f t="shared" si="254"/>
        <v>金币</v>
      </c>
      <c r="GA287" s="139">
        <f>IF($FY287&gt;0,IF(INDEX($EM$6:$EM$77,$FT287)&gt;=GA$3,ROUND(INDEX(EO$6:EO$77,$FT287)*INDEX(卡牌消耗!$B$8:$F$8,FV287)/5,0)*5,""),"")</f>
        <v>1495</v>
      </c>
      <c r="GB287" s="101" t="str">
        <f t="shared" si="255"/>
        <v>专属强化石2</v>
      </c>
      <c r="GC287" s="101">
        <f t="shared" si="256"/>
        <v>3</v>
      </c>
      <c r="GD287" s="101" t="str">
        <f t="shared" si="257"/>
        <v>专属强化石3</v>
      </c>
      <c r="GE287" s="101">
        <f t="shared" si="258"/>
        <v>2</v>
      </c>
      <c r="GF287" s="101">
        <f t="shared" si="263"/>
        <v>0.2</v>
      </c>
      <c r="GG287" s="101">
        <f t="shared" si="264"/>
        <v>1</v>
      </c>
      <c r="GH287" s="101">
        <f t="shared" si="265"/>
        <v>7</v>
      </c>
      <c r="GI287" s="101">
        <f t="shared" si="266"/>
        <v>0</v>
      </c>
      <c r="GJ287" s="101">
        <f t="shared" si="267"/>
        <v>1</v>
      </c>
      <c r="GK287" s="101">
        <f t="shared" si="268"/>
        <v>2</v>
      </c>
      <c r="GL287" s="101">
        <f t="shared" si="269"/>
        <v>0.1012</v>
      </c>
      <c r="GM287" s="101">
        <f t="shared" si="270"/>
        <v>1</v>
      </c>
      <c r="GN287" s="101">
        <f t="shared" si="271"/>
        <v>3</v>
      </c>
      <c r="GO287" s="101">
        <f t="shared" si="272"/>
        <v>0.40479999999999999</v>
      </c>
      <c r="GP287" s="101">
        <f t="shared" si="273"/>
        <v>1</v>
      </c>
      <c r="GQ287" s="101">
        <f t="shared" si="274"/>
        <v>7</v>
      </c>
    </row>
    <row r="288" spans="175:199" ht="16.5" x14ac:dyDescent="0.2">
      <c r="FS288" s="101">
        <v>283</v>
      </c>
      <c r="FT288" s="101">
        <f t="shared" si="259"/>
        <v>38</v>
      </c>
      <c r="FU288" s="101">
        <f t="shared" si="252"/>
        <v>4</v>
      </c>
      <c r="FV288" s="14">
        <f t="shared" si="253"/>
        <v>3</v>
      </c>
      <c r="FW288" s="101" t="str">
        <f t="shared" si="260"/>
        <v>李轩辕专属武器-魂珠-5 2级</v>
      </c>
      <c r="FX288" s="101">
        <f t="shared" si="261"/>
        <v>5</v>
      </c>
      <c r="FY288" s="101">
        <f t="shared" si="262"/>
        <v>2</v>
      </c>
      <c r="FZ288" s="101" t="str">
        <f t="shared" si="254"/>
        <v>金币</v>
      </c>
      <c r="GA288" s="139">
        <f>IF($FY288&gt;0,IF(INDEX($EM$6:$EM$77,$FT288)&gt;=GA$3,ROUND(INDEX(EO$6:EO$77,$FT288)*INDEX(卡牌消耗!$B$8:$F$8,FV288)/5,0)*5,""),"")</f>
        <v>1120</v>
      </c>
      <c r="GB288" s="101" t="str">
        <f t="shared" si="255"/>
        <v>专属强化石2</v>
      </c>
      <c r="GC288" s="101">
        <f t="shared" si="256"/>
        <v>3</v>
      </c>
      <c r="GD288" s="101" t="str">
        <f t="shared" si="257"/>
        <v>专属强化石3</v>
      </c>
      <c r="GE288" s="101">
        <f t="shared" si="258"/>
        <v>2</v>
      </c>
      <c r="GF288" s="101">
        <f t="shared" si="263"/>
        <v>0.1</v>
      </c>
      <c r="GG288" s="101">
        <f t="shared" si="264"/>
        <v>1</v>
      </c>
      <c r="GH288" s="101">
        <f t="shared" si="265"/>
        <v>15</v>
      </c>
      <c r="GI288" s="101">
        <f t="shared" si="266"/>
        <v>0</v>
      </c>
      <c r="GJ288" s="101">
        <f t="shared" si="267"/>
        <v>1</v>
      </c>
      <c r="GK288" s="101">
        <f t="shared" si="268"/>
        <v>3</v>
      </c>
      <c r="GL288" s="101">
        <f t="shared" si="269"/>
        <v>5.0599999999999999E-2</v>
      </c>
      <c r="GM288" s="101">
        <f t="shared" si="270"/>
        <v>1</v>
      </c>
      <c r="GN288" s="101">
        <f t="shared" si="271"/>
        <v>7</v>
      </c>
      <c r="GO288" s="101">
        <f t="shared" si="272"/>
        <v>0.2024</v>
      </c>
      <c r="GP288" s="101">
        <f t="shared" si="273"/>
        <v>1</v>
      </c>
      <c r="GQ288" s="101">
        <f t="shared" si="274"/>
        <v>15</v>
      </c>
    </row>
    <row r="289" spans="175:199" ht="16.5" x14ac:dyDescent="0.2">
      <c r="FS289" s="101">
        <v>284</v>
      </c>
      <c r="FT289" s="101">
        <f t="shared" si="259"/>
        <v>39</v>
      </c>
      <c r="FU289" s="101">
        <f t="shared" si="252"/>
        <v>4</v>
      </c>
      <c r="FV289" s="14">
        <f t="shared" si="253"/>
        <v>3</v>
      </c>
      <c r="FW289" s="101" t="str">
        <f t="shared" si="260"/>
        <v>李轩辕专属武器-魂珠-5 3级</v>
      </c>
      <c r="FX289" s="101">
        <f t="shared" si="261"/>
        <v>5</v>
      </c>
      <c r="FY289" s="101">
        <f t="shared" si="262"/>
        <v>3</v>
      </c>
      <c r="FZ289" s="101" t="str">
        <f t="shared" si="254"/>
        <v>金币</v>
      </c>
      <c r="GA289" s="139">
        <f>IF($FY289&gt;0,IF(INDEX($EM$6:$EM$77,$FT289)&gt;=GA$3,ROUND(INDEX(EO$6:EO$77,$FT289)*INDEX(卡牌消耗!$B$8:$F$8,FV289)/5,0)*5,""),"")</f>
        <v>1245</v>
      </c>
      <c r="GB289" s="101" t="str">
        <f t="shared" si="255"/>
        <v>专属强化石2</v>
      </c>
      <c r="GC289" s="101">
        <f t="shared" si="256"/>
        <v>3</v>
      </c>
      <c r="GD289" s="101" t="str">
        <f t="shared" si="257"/>
        <v>专属强化石3</v>
      </c>
      <c r="GE289" s="101">
        <f t="shared" si="258"/>
        <v>2</v>
      </c>
      <c r="GF289" s="101">
        <f t="shared" si="263"/>
        <v>7.0000000000000007E-2</v>
      </c>
      <c r="GG289" s="101">
        <f t="shared" si="264"/>
        <v>1</v>
      </c>
      <c r="GH289" s="101">
        <f t="shared" si="265"/>
        <v>22</v>
      </c>
      <c r="GI289" s="101">
        <f t="shared" si="266"/>
        <v>0</v>
      </c>
      <c r="GJ289" s="101">
        <f t="shared" si="267"/>
        <v>1</v>
      </c>
      <c r="GK289" s="101">
        <f t="shared" si="268"/>
        <v>5</v>
      </c>
      <c r="GL289" s="101">
        <f t="shared" si="269"/>
        <v>3.3700000000000001E-2</v>
      </c>
      <c r="GM289" s="101">
        <f t="shared" si="270"/>
        <v>1</v>
      </c>
      <c r="GN289" s="101">
        <f t="shared" si="271"/>
        <v>10</v>
      </c>
      <c r="GO289" s="101">
        <f t="shared" si="272"/>
        <v>0.13489999999999999</v>
      </c>
      <c r="GP289" s="101">
        <f t="shared" si="273"/>
        <v>1</v>
      </c>
      <c r="GQ289" s="101">
        <f t="shared" si="274"/>
        <v>22</v>
      </c>
    </row>
    <row r="290" spans="175:199" ht="16.5" x14ac:dyDescent="0.2">
      <c r="FS290" s="101">
        <v>285</v>
      </c>
      <c r="FT290" s="101">
        <f t="shared" si="259"/>
        <v>40</v>
      </c>
      <c r="FU290" s="101">
        <f t="shared" si="252"/>
        <v>4</v>
      </c>
      <c r="FV290" s="14">
        <f t="shared" si="253"/>
        <v>3</v>
      </c>
      <c r="FW290" s="101" t="str">
        <f t="shared" si="260"/>
        <v>李轩辕专属武器-魂珠-5 4级</v>
      </c>
      <c r="FX290" s="101">
        <f t="shared" si="261"/>
        <v>5</v>
      </c>
      <c r="FY290" s="101">
        <f t="shared" si="262"/>
        <v>4</v>
      </c>
      <c r="FZ290" s="101" t="str">
        <f t="shared" si="254"/>
        <v>金币</v>
      </c>
      <c r="GA290" s="139">
        <f>IF($FY290&gt;0,IF(INDEX($EM$6:$EM$77,$FT290)&gt;=GA$3,ROUND(INDEX(EO$6:EO$77,$FT290)*INDEX(卡牌消耗!$B$8:$F$8,FV290)/5,0)*5,""),"")</f>
        <v>1795</v>
      </c>
      <c r="GB290" s="101" t="str">
        <f t="shared" si="255"/>
        <v>专属强化石2</v>
      </c>
      <c r="GC290" s="101">
        <f t="shared" si="256"/>
        <v>5</v>
      </c>
      <c r="GD290" s="101" t="str">
        <f t="shared" si="257"/>
        <v>专属强化石3</v>
      </c>
      <c r="GE290" s="101">
        <f t="shared" si="258"/>
        <v>3</v>
      </c>
      <c r="GF290" s="101">
        <f t="shared" si="263"/>
        <v>0.06</v>
      </c>
      <c r="GG290" s="101">
        <f t="shared" si="264"/>
        <v>1</v>
      </c>
      <c r="GH290" s="101">
        <f t="shared" si="265"/>
        <v>25</v>
      </c>
      <c r="GI290" s="101">
        <f t="shared" si="266"/>
        <v>0</v>
      </c>
      <c r="GJ290" s="101">
        <f t="shared" si="267"/>
        <v>1</v>
      </c>
      <c r="GK290" s="101">
        <f t="shared" si="268"/>
        <v>6</v>
      </c>
      <c r="GL290" s="101">
        <f t="shared" si="269"/>
        <v>3.04E-2</v>
      </c>
      <c r="GM290" s="101">
        <f t="shared" si="270"/>
        <v>1</v>
      </c>
      <c r="GN290" s="101">
        <f t="shared" si="271"/>
        <v>12</v>
      </c>
      <c r="GO290" s="101">
        <f t="shared" si="272"/>
        <v>0.12139999999999999</v>
      </c>
      <c r="GP290" s="101">
        <f t="shared" si="273"/>
        <v>1</v>
      </c>
      <c r="GQ290" s="101">
        <f t="shared" si="274"/>
        <v>25</v>
      </c>
    </row>
    <row r="291" spans="175:199" ht="16.5" x14ac:dyDescent="0.2">
      <c r="FS291" s="101">
        <v>286</v>
      </c>
      <c r="FT291" s="101">
        <f t="shared" si="259"/>
        <v>41</v>
      </c>
      <c r="FU291" s="101">
        <f t="shared" si="252"/>
        <v>4</v>
      </c>
      <c r="FV291" s="14">
        <f t="shared" si="253"/>
        <v>3</v>
      </c>
      <c r="FW291" s="101" t="str">
        <f t="shared" si="260"/>
        <v>李轩辕专属武器-魂珠-5 5级</v>
      </c>
      <c r="FX291" s="101">
        <f t="shared" si="261"/>
        <v>5</v>
      </c>
      <c r="FY291" s="101">
        <f t="shared" si="262"/>
        <v>5</v>
      </c>
      <c r="FZ291" s="101" t="str">
        <f t="shared" si="254"/>
        <v>金币</v>
      </c>
      <c r="GA291" s="139">
        <f>IF($FY291&gt;0,IF(INDEX($EM$6:$EM$77,$FT291)&gt;=GA$3,ROUND(INDEX(EO$6:EO$77,$FT291)*INDEX(卡牌消耗!$B$8:$F$8,FV291)/5,0)*5,""),"")</f>
        <v>1825</v>
      </c>
      <c r="GB291" s="101" t="str">
        <f t="shared" si="255"/>
        <v>专属强化石2</v>
      </c>
      <c r="GC291" s="101">
        <f t="shared" si="256"/>
        <v>5</v>
      </c>
      <c r="GD291" s="101" t="str">
        <f t="shared" si="257"/>
        <v>专属强化石3</v>
      </c>
      <c r="GE291" s="101">
        <f t="shared" si="258"/>
        <v>3</v>
      </c>
      <c r="GF291" s="101">
        <f t="shared" si="263"/>
        <v>0.04</v>
      </c>
      <c r="GG291" s="101">
        <f t="shared" si="264"/>
        <v>1</v>
      </c>
      <c r="GH291" s="101">
        <f t="shared" si="265"/>
        <v>40</v>
      </c>
      <c r="GI291" s="101">
        <f t="shared" si="266"/>
        <v>0</v>
      </c>
      <c r="GJ291" s="101">
        <f t="shared" si="267"/>
        <v>1</v>
      </c>
      <c r="GK291" s="101">
        <f t="shared" si="268"/>
        <v>9</v>
      </c>
      <c r="GL291" s="101">
        <f t="shared" si="269"/>
        <v>1.9E-2</v>
      </c>
      <c r="GM291" s="101">
        <f t="shared" si="270"/>
        <v>1</v>
      </c>
      <c r="GN291" s="101">
        <f t="shared" si="271"/>
        <v>18</v>
      </c>
      <c r="GO291" s="101">
        <f t="shared" si="272"/>
        <v>7.5899999999999995E-2</v>
      </c>
      <c r="GP291" s="101">
        <f t="shared" si="273"/>
        <v>1</v>
      </c>
      <c r="GQ291" s="101">
        <f t="shared" si="274"/>
        <v>40</v>
      </c>
    </row>
    <row r="292" spans="175:199" ht="16.5" x14ac:dyDescent="0.2">
      <c r="FS292" s="101">
        <v>287</v>
      </c>
      <c r="FT292" s="101">
        <f t="shared" si="259"/>
        <v>42</v>
      </c>
      <c r="FU292" s="101">
        <f t="shared" si="252"/>
        <v>4</v>
      </c>
      <c r="FV292" s="14">
        <f t="shared" si="253"/>
        <v>3</v>
      </c>
      <c r="FW292" s="101" t="str">
        <f t="shared" si="260"/>
        <v>李轩辕专属武器-魂珠-5 6级</v>
      </c>
      <c r="FX292" s="101">
        <f t="shared" si="261"/>
        <v>5</v>
      </c>
      <c r="FY292" s="101">
        <f t="shared" si="262"/>
        <v>6</v>
      </c>
      <c r="FZ292" s="101" t="str">
        <f t="shared" si="254"/>
        <v>金币</v>
      </c>
      <c r="GA292" s="139">
        <f>IF($FY292&gt;0,IF(INDEX($EM$6:$EM$77,$FT292)&gt;=GA$3,ROUND(INDEX(EO$6:EO$77,$FT292)*INDEX(卡牌消耗!$B$8:$F$8,FV292)/5,0)*5,""),"")</f>
        <v>3020</v>
      </c>
      <c r="GB292" s="101" t="str">
        <f t="shared" si="255"/>
        <v>专属强化石2</v>
      </c>
      <c r="GC292" s="101">
        <f t="shared" si="256"/>
        <v>8</v>
      </c>
      <c r="GD292" s="101" t="str">
        <f t="shared" si="257"/>
        <v>专属强化石3</v>
      </c>
      <c r="GE292" s="101">
        <f t="shared" si="258"/>
        <v>5</v>
      </c>
      <c r="GF292" s="101">
        <f t="shared" si="263"/>
        <v>0.04</v>
      </c>
      <c r="GG292" s="101">
        <f t="shared" si="264"/>
        <v>1</v>
      </c>
      <c r="GH292" s="101">
        <f t="shared" si="265"/>
        <v>39</v>
      </c>
      <c r="GI292" s="101">
        <f t="shared" si="266"/>
        <v>0</v>
      </c>
      <c r="GJ292" s="101">
        <f t="shared" si="267"/>
        <v>1</v>
      </c>
      <c r="GK292" s="101">
        <f t="shared" si="268"/>
        <v>9</v>
      </c>
      <c r="GL292" s="101">
        <f t="shared" si="269"/>
        <v>1.95E-2</v>
      </c>
      <c r="GM292" s="101">
        <f t="shared" si="270"/>
        <v>1</v>
      </c>
      <c r="GN292" s="101">
        <f t="shared" si="271"/>
        <v>18</v>
      </c>
      <c r="GO292" s="101">
        <f t="shared" si="272"/>
        <v>7.7799999999999994E-2</v>
      </c>
      <c r="GP292" s="101">
        <f t="shared" si="273"/>
        <v>1</v>
      </c>
      <c r="GQ292" s="101">
        <f t="shared" si="274"/>
        <v>39</v>
      </c>
    </row>
    <row r="293" spans="175:199" ht="16.5" x14ac:dyDescent="0.2">
      <c r="FS293" s="101">
        <v>288</v>
      </c>
      <c r="FT293" s="101">
        <f t="shared" si="259"/>
        <v>43</v>
      </c>
      <c r="FU293" s="101">
        <f t="shared" si="252"/>
        <v>4</v>
      </c>
      <c r="FV293" s="14">
        <f t="shared" si="253"/>
        <v>3</v>
      </c>
      <c r="FW293" s="101" t="str">
        <f t="shared" si="260"/>
        <v>李轩辕专属武器-魂珠-5 7级</v>
      </c>
      <c r="FX293" s="101">
        <f t="shared" si="261"/>
        <v>5</v>
      </c>
      <c r="FY293" s="101">
        <f t="shared" si="262"/>
        <v>7</v>
      </c>
      <c r="FZ293" s="101" t="str">
        <f t="shared" si="254"/>
        <v>金币</v>
      </c>
      <c r="GA293" s="139">
        <f>IF($FY293&gt;0,IF(INDEX($EM$6:$EM$77,$FT293)&gt;=GA$3,ROUND(INDEX(EO$6:EO$77,$FT293)*INDEX(卡牌消耗!$B$8:$F$8,FV293)/5,0)*5,""),"")</f>
        <v>3025</v>
      </c>
      <c r="GB293" s="101" t="str">
        <f t="shared" si="255"/>
        <v>专属强化石2</v>
      </c>
      <c r="GC293" s="101">
        <f t="shared" si="256"/>
        <v>8</v>
      </c>
      <c r="GD293" s="101" t="str">
        <f t="shared" si="257"/>
        <v>专属强化石3</v>
      </c>
      <c r="GE293" s="101">
        <f t="shared" si="258"/>
        <v>5</v>
      </c>
      <c r="GF293" s="101">
        <f t="shared" si="263"/>
        <v>0.02</v>
      </c>
      <c r="GG293" s="101">
        <f t="shared" si="264"/>
        <v>1</v>
      </c>
      <c r="GH293" s="101">
        <f t="shared" si="265"/>
        <v>62</v>
      </c>
      <c r="GI293" s="101">
        <f t="shared" si="266"/>
        <v>0</v>
      </c>
      <c r="GJ293" s="101">
        <f t="shared" si="267"/>
        <v>1</v>
      </c>
      <c r="GK293" s="101">
        <f t="shared" si="268"/>
        <v>15</v>
      </c>
      <c r="GL293" s="101">
        <f t="shared" si="269"/>
        <v>1.2E-2</v>
      </c>
      <c r="GM293" s="101">
        <f t="shared" si="270"/>
        <v>1</v>
      </c>
      <c r="GN293" s="101">
        <f t="shared" si="271"/>
        <v>29</v>
      </c>
      <c r="GO293" s="101">
        <f t="shared" si="272"/>
        <v>4.82E-2</v>
      </c>
      <c r="GP293" s="101">
        <f t="shared" si="273"/>
        <v>1</v>
      </c>
      <c r="GQ293" s="101">
        <f t="shared" si="274"/>
        <v>62</v>
      </c>
    </row>
    <row r="294" spans="175:199" ht="16.5" x14ac:dyDescent="0.2">
      <c r="FS294" s="101">
        <v>289</v>
      </c>
      <c r="FT294" s="101">
        <f t="shared" si="259"/>
        <v>44</v>
      </c>
      <c r="FU294" s="101">
        <f t="shared" si="252"/>
        <v>4</v>
      </c>
      <c r="FV294" s="14">
        <f t="shared" si="253"/>
        <v>3</v>
      </c>
      <c r="FW294" s="101" t="str">
        <f t="shared" si="260"/>
        <v>李轩辕专属武器-魂珠-5 8级</v>
      </c>
      <c r="FX294" s="101">
        <f t="shared" si="261"/>
        <v>5</v>
      </c>
      <c r="FY294" s="101">
        <f t="shared" si="262"/>
        <v>8</v>
      </c>
      <c r="FZ294" s="101" t="str">
        <f t="shared" si="254"/>
        <v>金币</v>
      </c>
      <c r="GA294" s="139">
        <f>IF($FY294&gt;0,IF(INDEX($EM$6:$EM$77,$FT294)&gt;=GA$3,ROUND(INDEX(EO$6:EO$77,$FT294)*INDEX(卡牌消耗!$B$8:$F$8,FV294)/5,0)*5,""),"")</f>
        <v>4235</v>
      </c>
      <c r="GB294" s="101" t="str">
        <f t="shared" si="255"/>
        <v>专属强化石2</v>
      </c>
      <c r="GC294" s="101">
        <f t="shared" si="256"/>
        <v>11</v>
      </c>
      <c r="GD294" s="101" t="str">
        <f t="shared" si="257"/>
        <v>专属强化石3</v>
      </c>
      <c r="GE294" s="101">
        <f t="shared" si="258"/>
        <v>7</v>
      </c>
      <c r="GF294" s="101">
        <f t="shared" si="263"/>
        <v>0.02</v>
      </c>
      <c r="GG294" s="101">
        <f t="shared" si="264"/>
        <v>1</v>
      </c>
      <c r="GH294" s="101">
        <f t="shared" si="265"/>
        <v>72</v>
      </c>
      <c r="GI294" s="101">
        <f t="shared" si="266"/>
        <v>0</v>
      </c>
      <c r="GJ294" s="101">
        <f t="shared" si="267"/>
        <v>1</v>
      </c>
      <c r="GK294" s="101">
        <f t="shared" si="268"/>
        <v>17</v>
      </c>
      <c r="GL294" s="101">
        <f t="shared" si="269"/>
        <v>1.04E-2</v>
      </c>
      <c r="GM294" s="101">
        <f t="shared" si="270"/>
        <v>1</v>
      </c>
      <c r="GN294" s="101">
        <f t="shared" si="271"/>
        <v>34</v>
      </c>
      <c r="GO294" s="101">
        <f t="shared" si="272"/>
        <v>4.1700000000000001E-2</v>
      </c>
      <c r="GP294" s="101">
        <f t="shared" si="273"/>
        <v>1</v>
      </c>
      <c r="GQ294" s="101">
        <f t="shared" si="274"/>
        <v>72</v>
      </c>
    </row>
    <row r="295" spans="175:199" ht="16.5" x14ac:dyDescent="0.2">
      <c r="FS295" s="101">
        <v>290</v>
      </c>
      <c r="FT295" s="101">
        <f t="shared" si="259"/>
        <v>45</v>
      </c>
      <c r="FU295" s="101">
        <f t="shared" si="252"/>
        <v>4</v>
      </c>
      <c r="FV295" s="14">
        <f t="shared" si="253"/>
        <v>3</v>
      </c>
      <c r="FW295" s="101" t="str">
        <f t="shared" si="260"/>
        <v>李轩辕专属武器-魂珠-5 9级</v>
      </c>
      <c r="FX295" s="101">
        <f t="shared" si="261"/>
        <v>5</v>
      </c>
      <c r="FY295" s="101">
        <f t="shared" si="262"/>
        <v>9</v>
      </c>
      <c r="FZ295" s="101" t="str">
        <f t="shared" si="254"/>
        <v>金币</v>
      </c>
      <c r="GA295" s="139">
        <f>IF($FY295&gt;0,IF(INDEX($EM$6:$EM$77,$FT295)&gt;=GA$3,ROUND(INDEX(EO$6:EO$77,$FT295)*INDEX(卡牌消耗!$B$8:$F$8,FV295)/5,0)*5,""),"")</f>
        <v>5445</v>
      </c>
      <c r="GB295" s="101" t="str">
        <f t="shared" si="255"/>
        <v>专属强化石2</v>
      </c>
      <c r="GC295" s="101">
        <f t="shared" si="256"/>
        <v>14</v>
      </c>
      <c r="GD295" s="101" t="str">
        <f t="shared" si="257"/>
        <v>专属强化石3</v>
      </c>
      <c r="GE295" s="101">
        <f t="shared" si="258"/>
        <v>9</v>
      </c>
      <c r="GF295" s="101">
        <f t="shared" si="263"/>
        <v>0.02</v>
      </c>
      <c r="GG295" s="101">
        <f t="shared" si="264"/>
        <v>1</v>
      </c>
      <c r="GH295" s="101">
        <f t="shared" si="265"/>
        <v>91</v>
      </c>
      <c r="GI295" s="101">
        <f t="shared" si="266"/>
        <v>0</v>
      </c>
      <c r="GJ295" s="101">
        <f t="shared" si="267"/>
        <v>1</v>
      </c>
      <c r="GK295" s="101">
        <f t="shared" si="268"/>
        <v>21</v>
      </c>
      <c r="GL295" s="101">
        <f t="shared" si="269"/>
        <v>8.3000000000000001E-3</v>
      </c>
      <c r="GM295" s="101">
        <f t="shared" si="270"/>
        <v>1</v>
      </c>
      <c r="GN295" s="101">
        <f t="shared" si="271"/>
        <v>42</v>
      </c>
      <c r="GO295" s="101">
        <f t="shared" si="272"/>
        <v>3.3099999999999997E-2</v>
      </c>
      <c r="GP295" s="101">
        <f t="shared" si="273"/>
        <v>1</v>
      </c>
      <c r="GQ295" s="101">
        <f t="shared" si="274"/>
        <v>91</v>
      </c>
    </row>
    <row r="296" spans="175:199" ht="16.5" x14ac:dyDescent="0.2">
      <c r="FS296" s="101">
        <v>291</v>
      </c>
      <c r="FT296" s="101">
        <f t="shared" si="259"/>
        <v>0</v>
      </c>
      <c r="FU296" s="101">
        <f t="shared" si="252"/>
        <v>4</v>
      </c>
      <c r="FV296" s="14">
        <f t="shared" si="253"/>
        <v>3</v>
      </c>
      <c r="FW296" s="101" t="str">
        <f t="shared" si="260"/>
        <v>李轩辕专属武器-魂珠-6 0级</v>
      </c>
      <c r="FX296" s="101">
        <f t="shared" si="261"/>
        <v>6</v>
      </c>
      <c r="FY296" s="101">
        <f t="shared" si="262"/>
        <v>0</v>
      </c>
      <c r="FZ296" s="101" t="str">
        <f t="shared" si="254"/>
        <v/>
      </c>
      <c r="GA296" s="139" t="str">
        <f>IF($FY296&gt;0,IF(INDEX($EM$6:$EM$77,$FT296)&gt;=GA$3,ROUND(INDEX(EO$6:EO$77,$FT296)*INDEX(卡牌消耗!$B$8:$F$8,FV296)/5,0)*5,""),"")</f>
        <v/>
      </c>
      <c r="GB296" s="101" t="str">
        <f t="shared" si="255"/>
        <v/>
      </c>
      <c r="GC296" s="101" t="str">
        <f t="shared" si="256"/>
        <v/>
      </c>
      <c r="GD296" s="101" t="str">
        <f t="shared" si="257"/>
        <v/>
      </c>
      <c r="GE296" s="101" t="str">
        <f t="shared" si="258"/>
        <v/>
      </c>
      <c r="GF296" s="101" t="str">
        <f t="shared" si="263"/>
        <v/>
      </c>
      <c r="GG296" s="101" t="str">
        <f t="shared" si="264"/>
        <v/>
      </c>
      <c r="GH296" s="101" t="str">
        <f t="shared" si="265"/>
        <v/>
      </c>
      <c r="GI296" s="101" t="str">
        <f t="shared" si="266"/>
        <v/>
      </c>
      <c r="GJ296" s="101" t="str">
        <f t="shared" si="267"/>
        <v/>
      </c>
      <c r="GK296" s="101" t="str">
        <f t="shared" si="268"/>
        <v/>
      </c>
      <c r="GL296" s="101" t="str">
        <f t="shared" si="269"/>
        <v/>
      </c>
      <c r="GM296" s="101" t="str">
        <f t="shared" si="270"/>
        <v/>
      </c>
      <c r="GN296" s="101" t="str">
        <f t="shared" si="271"/>
        <v/>
      </c>
      <c r="GO296" s="101" t="str">
        <f t="shared" si="272"/>
        <v/>
      </c>
      <c r="GP296" s="101" t="str">
        <f t="shared" si="273"/>
        <v/>
      </c>
      <c r="GQ296" s="101" t="str">
        <f t="shared" si="274"/>
        <v/>
      </c>
    </row>
    <row r="297" spans="175:199" ht="16.5" x14ac:dyDescent="0.2">
      <c r="FS297" s="101">
        <v>292</v>
      </c>
      <c r="FT297" s="101">
        <f t="shared" si="259"/>
        <v>46</v>
      </c>
      <c r="FU297" s="101">
        <f t="shared" si="252"/>
        <v>4</v>
      </c>
      <c r="FV297" s="14">
        <f t="shared" si="253"/>
        <v>3</v>
      </c>
      <c r="FW297" s="101" t="str">
        <f t="shared" si="260"/>
        <v>李轩辕专属武器-魂珠-6 1级</v>
      </c>
      <c r="FX297" s="101">
        <f t="shared" si="261"/>
        <v>6</v>
      </c>
      <c r="FY297" s="101">
        <f t="shared" si="262"/>
        <v>1</v>
      </c>
      <c r="FZ297" s="101" t="str">
        <f t="shared" si="254"/>
        <v>金币</v>
      </c>
      <c r="GA297" s="139">
        <f>IF($FY297&gt;0,IF(INDEX($EM$6:$EM$77,$FT297)&gt;=GA$3,ROUND(INDEX(EO$6:EO$77,$FT297)*INDEX(卡牌消耗!$B$8:$F$8,FV297)/5,0)*5,""),"")</f>
        <v>1455</v>
      </c>
      <c r="GB297" s="101" t="str">
        <f t="shared" si="255"/>
        <v>专属强化石3</v>
      </c>
      <c r="GC297" s="101">
        <f t="shared" si="256"/>
        <v>5</v>
      </c>
      <c r="GD297" s="101" t="str">
        <f t="shared" si="257"/>
        <v>专属强化石4</v>
      </c>
      <c r="GE297" s="101">
        <f t="shared" si="258"/>
        <v>1</v>
      </c>
      <c r="GF297" s="101">
        <f t="shared" si="263"/>
        <v>0.17</v>
      </c>
      <c r="GG297" s="101">
        <f t="shared" si="264"/>
        <v>1</v>
      </c>
      <c r="GH297" s="101">
        <f t="shared" si="265"/>
        <v>9</v>
      </c>
      <c r="GI297" s="101">
        <f t="shared" si="266"/>
        <v>0</v>
      </c>
      <c r="GJ297" s="101">
        <f t="shared" si="267"/>
        <v>1</v>
      </c>
      <c r="GK297" s="101">
        <f t="shared" si="268"/>
        <v>2</v>
      </c>
      <c r="GL297" s="101">
        <f t="shared" si="269"/>
        <v>8.2900000000000001E-2</v>
      </c>
      <c r="GM297" s="101">
        <f t="shared" si="270"/>
        <v>1</v>
      </c>
      <c r="GN297" s="101">
        <f t="shared" si="271"/>
        <v>4</v>
      </c>
      <c r="GO297" s="101">
        <f t="shared" si="272"/>
        <v>0.33139999999999997</v>
      </c>
      <c r="GP297" s="101">
        <f t="shared" si="273"/>
        <v>1</v>
      </c>
      <c r="GQ297" s="101">
        <f t="shared" si="274"/>
        <v>9</v>
      </c>
    </row>
    <row r="298" spans="175:199" ht="16.5" x14ac:dyDescent="0.2">
      <c r="FS298" s="101">
        <v>293</v>
      </c>
      <c r="FT298" s="101">
        <f t="shared" si="259"/>
        <v>47</v>
      </c>
      <c r="FU298" s="101">
        <f t="shared" si="252"/>
        <v>4</v>
      </c>
      <c r="FV298" s="14">
        <f t="shared" si="253"/>
        <v>3</v>
      </c>
      <c r="FW298" s="101" t="str">
        <f t="shared" si="260"/>
        <v>李轩辕专属武器-魂珠-6 2级</v>
      </c>
      <c r="FX298" s="101">
        <f t="shared" si="261"/>
        <v>6</v>
      </c>
      <c r="FY298" s="101">
        <f t="shared" si="262"/>
        <v>2</v>
      </c>
      <c r="FZ298" s="101" t="str">
        <f t="shared" si="254"/>
        <v>金币</v>
      </c>
      <c r="GA298" s="139">
        <f>IF($FY298&gt;0,IF(INDEX($EM$6:$EM$77,$FT298)&gt;=GA$3,ROUND(INDEX(EO$6:EO$77,$FT298)*INDEX(卡牌消耗!$B$8:$F$8,FV298)/5,0)*5,""),"")</f>
        <v>2180</v>
      </c>
      <c r="GB298" s="101" t="str">
        <f t="shared" si="255"/>
        <v>专属强化石3</v>
      </c>
      <c r="GC298" s="101">
        <f t="shared" si="256"/>
        <v>10</v>
      </c>
      <c r="GD298" s="101" t="str">
        <f t="shared" si="257"/>
        <v>专属强化石4</v>
      </c>
      <c r="GE298" s="101">
        <f t="shared" si="258"/>
        <v>2</v>
      </c>
      <c r="GF298" s="101">
        <f t="shared" si="263"/>
        <v>0.17</v>
      </c>
      <c r="GG298" s="101">
        <f t="shared" si="264"/>
        <v>1</v>
      </c>
      <c r="GH298" s="101">
        <f t="shared" si="265"/>
        <v>9</v>
      </c>
      <c r="GI298" s="101">
        <f t="shared" si="266"/>
        <v>0</v>
      </c>
      <c r="GJ298" s="101">
        <f t="shared" si="267"/>
        <v>1</v>
      </c>
      <c r="GK298" s="101">
        <f t="shared" si="268"/>
        <v>2</v>
      </c>
      <c r="GL298" s="101">
        <f t="shared" si="269"/>
        <v>8.2900000000000001E-2</v>
      </c>
      <c r="GM298" s="101">
        <f t="shared" si="270"/>
        <v>1</v>
      </c>
      <c r="GN298" s="101">
        <f t="shared" si="271"/>
        <v>4</v>
      </c>
      <c r="GO298" s="101">
        <f t="shared" si="272"/>
        <v>0.33139999999999997</v>
      </c>
      <c r="GP298" s="101">
        <f t="shared" si="273"/>
        <v>1</v>
      </c>
      <c r="GQ298" s="101">
        <f t="shared" si="274"/>
        <v>9</v>
      </c>
    </row>
    <row r="299" spans="175:199" ht="16.5" x14ac:dyDescent="0.2">
      <c r="FS299" s="101">
        <v>294</v>
      </c>
      <c r="FT299" s="101">
        <f t="shared" si="259"/>
        <v>48</v>
      </c>
      <c r="FU299" s="101">
        <f t="shared" si="252"/>
        <v>4</v>
      </c>
      <c r="FV299" s="14">
        <f t="shared" si="253"/>
        <v>3</v>
      </c>
      <c r="FW299" s="101" t="str">
        <f t="shared" si="260"/>
        <v>李轩辕专属武器-魂珠-6 3级</v>
      </c>
      <c r="FX299" s="101">
        <f t="shared" si="261"/>
        <v>6</v>
      </c>
      <c r="FY299" s="101">
        <f t="shared" si="262"/>
        <v>3</v>
      </c>
      <c r="FZ299" s="101" t="str">
        <f t="shared" si="254"/>
        <v>金币</v>
      </c>
      <c r="GA299" s="139">
        <f>IF($FY299&gt;0,IF(INDEX($EM$6:$EM$77,$FT299)&gt;=GA$3,ROUND(INDEX(EO$6:EO$77,$FT299)*INDEX(卡牌消耗!$B$8:$F$8,FV299)/5,0)*5,""),"")</f>
        <v>2425</v>
      </c>
      <c r="GB299" s="101" t="str">
        <f t="shared" si="255"/>
        <v>专属强化石3</v>
      </c>
      <c r="GC299" s="101">
        <f t="shared" si="256"/>
        <v>10</v>
      </c>
      <c r="GD299" s="101" t="str">
        <f t="shared" si="257"/>
        <v>专属强化石4</v>
      </c>
      <c r="GE299" s="101">
        <f t="shared" si="258"/>
        <v>2</v>
      </c>
      <c r="GF299" s="101">
        <f t="shared" si="263"/>
        <v>0.11</v>
      </c>
      <c r="GG299" s="101">
        <f t="shared" si="264"/>
        <v>1</v>
      </c>
      <c r="GH299" s="101">
        <f t="shared" si="265"/>
        <v>14</v>
      </c>
      <c r="GI299" s="101">
        <f t="shared" si="266"/>
        <v>0</v>
      </c>
      <c r="GJ299" s="101">
        <f t="shared" si="267"/>
        <v>1</v>
      </c>
      <c r="GK299" s="101">
        <f t="shared" si="268"/>
        <v>3</v>
      </c>
      <c r="GL299" s="101">
        <f t="shared" si="269"/>
        <v>5.5199999999999999E-2</v>
      </c>
      <c r="GM299" s="101">
        <f t="shared" si="270"/>
        <v>1</v>
      </c>
      <c r="GN299" s="101">
        <f t="shared" si="271"/>
        <v>6</v>
      </c>
      <c r="GO299" s="101">
        <f t="shared" si="272"/>
        <v>0.221</v>
      </c>
      <c r="GP299" s="101">
        <f t="shared" si="273"/>
        <v>1</v>
      </c>
      <c r="GQ299" s="101">
        <f t="shared" si="274"/>
        <v>14</v>
      </c>
    </row>
    <row r="300" spans="175:199" ht="16.5" x14ac:dyDescent="0.2">
      <c r="FS300" s="101">
        <v>295</v>
      </c>
      <c r="FT300" s="101">
        <f t="shared" si="259"/>
        <v>49</v>
      </c>
      <c r="FU300" s="101">
        <f t="shared" si="252"/>
        <v>4</v>
      </c>
      <c r="FV300" s="14">
        <f t="shared" si="253"/>
        <v>3</v>
      </c>
      <c r="FW300" s="101" t="str">
        <f t="shared" si="260"/>
        <v>李轩辕专属武器-魂珠-6 4级</v>
      </c>
      <c r="FX300" s="101">
        <f t="shared" si="261"/>
        <v>6</v>
      </c>
      <c r="FY300" s="101">
        <f t="shared" si="262"/>
        <v>4</v>
      </c>
      <c r="FZ300" s="101" t="str">
        <f t="shared" si="254"/>
        <v>金币</v>
      </c>
      <c r="GA300" s="139">
        <f>IF($FY300&gt;0,IF(INDEX($EM$6:$EM$77,$FT300)&gt;=GA$3,ROUND(INDEX(EO$6:EO$77,$FT300)*INDEX(卡牌消耗!$B$8:$F$8,FV300)/5,0)*5,""),"")</f>
        <v>3490</v>
      </c>
      <c r="GB300" s="101" t="str">
        <f t="shared" si="255"/>
        <v>专属强化石3</v>
      </c>
      <c r="GC300" s="101">
        <f t="shared" si="256"/>
        <v>15</v>
      </c>
      <c r="GD300" s="101" t="str">
        <f t="shared" si="257"/>
        <v>专属强化石4</v>
      </c>
      <c r="GE300" s="101">
        <f t="shared" si="258"/>
        <v>3</v>
      </c>
      <c r="GF300" s="101">
        <f t="shared" si="263"/>
        <v>0.1</v>
      </c>
      <c r="GG300" s="101">
        <f t="shared" si="264"/>
        <v>1</v>
      </c>
      <c r="GH300" s="101">
        <f t="shared" si="265"/>
        <v>15</v>
      </c>
      <c r="GI300" s="101">
        <f t="shared" si="266"/>
        <v>0</v>
      </c>
      <c r="GJ300" s="101">
        <f t="shared" si="267"/>
        <v>1</v>
      </c>
      <c r="GK300" s="101">
        <f t="shared" si="268"/>
        <v>4</v>
      </c>
      <c r="GL300" s="101">
        <f t="shared" si="269"/>
        <v>4.9700000000000001E-2</v>
      </c>
      <c r="GM300" s="101">
        <f t="shared" si="270"/>
        <v>1</v>
      </c>
      <c r="GN300" s="101">
        <f t="shared" si="271"/>
        <v>7</v>
      </c>
      <c r="GO300" s="101">
        <f t="shared" si="272"/>
        <v>0.19889999999999999</v>
      </c>
      <c r="GP300" s="101">
        <f t="shared" si="273"/>
        <v>1</v>
      </c>
      <c r="GQ300" s="101">
        <f t="shared" si="274"/>
        <v>15</v>
      </c>
    </row>
    <row r="301" spans="175:199" ht="16.5" x14ac:dyDescent="0.2">
      <c r="FS301" s="101">
        <v>296</v>
      </c>
      <c r="FT301" s="101">
        <f t="shared" si="259"/>
        <v>50</v>
      </c>
      <c r="FU301" s="101">
        <f t="shared" si="252"/>
        <v>4</v>
      </c>
      <c r="FV301" s="14">
        <f t="shared" si="253"/>
        <v>3</v>
      </c>
      <c r="FW301" s="101" t="str">
        <f t="shared" si="260"/>
        <v>李轩辕专属武器-魂珠-6 5级</v>
      </c>
      <c r="FX301" s="101">
        <f t="shared" si="261"/>
        <v>6</v>
      </c>
      <c r="FY301" s="101">
        <f t="shared" si="262"/>
        <v>5</v>
      </c>
      <c r="FZ301" s="101" t="str">
        <f t="shared" si="254"/>
        <v>金币</v>
      </c>
      <c r="GA301" s="139">
        <f>IF($FY301&gt;0,IF(INDEX($EM$6:$EM$77,$FT301)&gt;=GA$3,ROUND(INDEX(EO$6:EO$77,$FT301)*INDEX(卡牌消耗!$B$8:$F$8,FV301)/5,0)*5,""),"")</f>
        <v>3545</v>
      </c>
      <c r="GB301" s="101" t="str">
        <f t="shared" si="255"/>
        <v>专属强化石3</v>
      </c>
      <c r="GC301" s="101">
        <f t="shared" si="256"/>
        <v>15</v>
      </c>
      <c r="GD301" s="101" t="str">
        <f t="shared" si="257"/>
        <v>专属强化石4</v>
      </c>
      <c r="GE301" s="101">
        <f t="shared" si="258"/>
        <v>3</v>
      </c>
      <c r="GF301" s="101">
        <f t="shared" si="263"/>
        <v>0.06</v>
      </c>
      <c r="GG301" s="101">
        <f t="shared" si="264"/>
        <v>1</v>
      </c>
      <c r="GH301" s="101">
        <f t="shared" si="265"/>
        <v>24</v>
      </c>
      <c r="GI301" s="101">
        <f t="shared" si="266"/>
        <v>0</v>
      </c>
      <c r="GJ301" s="101">
        <f t="shared" si="267"/>
        <v>1</v>
      </c>
      <c r="GK301" s="101">
        <f t="shared" si="268"/>
        <v>6</v>
      </c>
      <c r="GL301" s="101">
        <f t="shared" si="269"/>
        <v>3.1099999999999999E-2</v>
      </c>
      <c r="GM301" s="101">
        <f t="shared" si="270"/>
        <v>1</v>
      </c>
      <c r="GN301" s="101">
        <f t="shared" si="271"/>
        <v>11</v>
      </c>
      <c r="GO301" s="101">
        <f t="shared" si="272"/>
        <v>0.12429999999999999</v>
      </c>
      <c r="GP301" s="101">
        <f t="shared" si="273"/>
        <v>1</v>
      </c>
      <c r="GQ301" s="101">
        <f t="shared" si="274"/>
        <v>24</v>
      </c>
    </row>
    <row r="302" spans="175:199" ht="16.5" x14ac:dyDescent="0.2">
      <c r="FS302" s="101">
        <v>297</v>
      </c>
      <c r="FT302" s="101">
        <f t="shared" si="259"/>
        <v>51</v>
      </c>
      <c r="FU302" s="101">
        <f t="shared" si="252"/>
        <v>4</v>
      </c>
      <c r="FV302" s="14">
        <f t="shared" si="253"/>
        <v>3</v>
      </c>
      <c r="FW302" s="101" t="str">
        <f t="shared" si="260"/>
        <v>李轩辕专属武器-魂珠-6 6级</v>
      </c>
      <c r="FX302" s="101">
        <f t="shared" si="261"/>
        <v>6</v>
      </c>
      <c r="FY302" s="101">
        <f t="shared" si="262"/>
        <v>6</v>
      </c>
      <c r="FZ302" s="101" t="str">
        <f t="shared" si="254"/>
        <v>金币</v>
      </c>
      <c r="GA302" s="139">
        <f>IF($FY302&gt;0,IF(INDEX($EM$6:$EM$77,$FT302)&gt;=GA$3,ROUND(INDEX(EO$6:EO$77,$FT302)*INDEX(卡牌消耗!$B$8:$F$8,FV302)/5,0)*5,""),"")</f>
        <v>4700</v>
      </c>
      <c r="GB302" s="101" t="str">
        <f t="shared" si="255"/>
        <v>专属强化石3</v>
      </c>
      <c r="GC302" s="101">
        <f t="shared" si="256"/>
        <v>20</v>
      </c>
      <c r="GD302" s="101" t="str">
        <f t="shared" si="257"/>
        <v>专属强化石4</v>
      </c>
      <c r="GE302" s="101">
        <f t="shared" si="258"/>
        <v>4</v>
      </c>
      <c r="GF302" s="101">
        <f t="shared" si="263"/>
        <v>0.05</v>
      </c>
      <c r="GG302" s="101">
        <f t="shared" si="264"/>
        <v>1</v>
      </c>
      <c r="GH302" s="101">
        <f t="shared" si="265"/>
        <v>29</v>
      </c>
      <c r="GI302" s="101">
        <f t="shared" si="266"/>
        <v>0</v>
      </c>
      <c r="GJ302" s="101">
        <f t="shared" si="267"/>
        <v>1</v>
      </c>
      <c r="GK302" s="101">
        <f t="shared" si="268"/>
        <v>7</v>
      </c>
      <c r="GL302" s="101">
        <f t="shared" si="269"/>
        <v>2.5499999999999998E-2</v>
      </c>
      <c r="GM302" s="101">
        <f t="shared" si="270"/>
        <v>1</v>
      </c>
      <c r="GN302" s="101">
        <f t="shared" si="271"/>
        <v>14</v>
      </c>
      <c r="GO302" s="101">
        <f t="shared" si="272"/>
        <v>0.10199999999999999</v>
      </c>
      <c r="GP302" s="101">
        <f t="shared" si="273"/>
        <v>1</v>
      </c>
      <c r="GQ302" s="101">
        <f t="shared" si="274"/>
        <v>29</v>
      </c>
    </row>
    <row r="303" spans="175:199" ht="16.5" x14ac:dyDescent="0.2">
      <c r="FS303" s="101">
        <v>298</v>
      </c>
      <c r="FT303" s="101">
        <f t="shared" si="259"/>
        <v>52</v>
      </c>
      <c r="FU303" s="101">
        <f t="shared" si="252"/>
        <v>4</v>
      </c>
      <c r="FV303" s="14">
        <f t="shared" si="253"/>
        <v>3</v>
      </c>
      <c r="FW303" s="101" t="str">
        <f t="shared" si="260"/>
        <v>李轩辕专属武器-魂珠-6 7级</v>
      </c>
      <c r="FX303" s="101">
        <f t="shared" si="261"/>
        <v>6</v>
      </c>
      <c r="FY303" s="101">
        <f t="shared" si="262"/>
        <v>7</v>
      </c>
      <c r="FZ303" s="101" t="str">
        <f t="shared" si="254"/>
        <v>金币</v>
      </c>
      <c r="GA303" s="139">
        <f>IF($FY303&gt;0,IF(INDEX($EM$6:$EM$77,$FT303)&gt;=GA$3,ROUND(INDEX(EO$6:EO$77,$FT303)*INDEX(卡牌消耗!$B$8:$F$8,FV303)/5,0)*5,""),"")</f>
        <v>5885</v>
      </c>
      <c r="GB303" s="101" t="str">
        <f t="shared" si="255"/>
        <v>专属强化石3</v>
      </c>
      <c r="GC303" s="101">
        <f t="shared" si="256"/>
        <v>25</v>
      </c>
      <c r="GD303" s="101" t="str">
        <f t="shared" si="257"/>
        <v>专属强化石4</v>
      </c>
      <c r="GE303" s="101">
        <f t="shared" si="258"/>
        <v>5</v>
      </c>
      <c r="GF303" s="101">
        <f t="shared" si="263"/>
        <v>0.04</v>
      </c>
      <c r="GG303" s="101">
        <f t="shared" si="264"/>
        <v>1</v>
      </c>
      <c r="GH303" s="101">
        <f t="shared" si="265"/>
        <v>38</v>
      </c>
      <c r="GI303" s="101">
        <f t="shared" si="266"/>
        <v>0</v>
      </c>
      <c r="GJ303" s="101">
        <f t="shared" si="267"/>
        <v>1</v>
      </c>
      <c r="GK303" s="101">
        <f t="shared" si="268"/>
        <v>9</v>
      </c>
      <c r="GL303" s="101">
        <f t="shared" si="269"/>
        <v>1.9699999999999999E-2</v>
      </c>
      <c r="GM303" s="101">
        <f t="shared" si="270"/>
        <v>1</v>
      </c>
      <c r="GN303" s="101">
        <f t="shared" si="271"/>
        <v>18</v>
      </c>
      <c r="GO303" s="101">
        <f t="shared" si="272"/>
        <v>7.8899999999999998E-2</v>
      </c>
      <c r="GP303" s="101">
        <f t="shared" si="273"/>
        <v>1</v>
      </c>
      <c r="GQ303" s="101">
        <f t="shared" si="274"/>
        <v>38</v>
      </c>
    </row>
    <row r="304" spans="175:199" ht="16.5" x14ac:dyDescent="0.2">
      <c r="FS304" s="101">
        <v>299</v>
      </c>
      <c r="FT304" s="101">
        <f t="shared" si="259"/>
        <v>53</v>
      </c>
      <c r="FU304" s="101">
        <f t="shared" si="252"/>
        <v>4</v>
      </c>
      <c r="FV304" s="14">
        <f t="shared" si="253"/>
        <v>3</v>
      </c>
      <c r="FW304" s="101" t="str">
        <f t="shared" si="260"/>
        <v>李轩辕专属武器-魂珠-6 8级</v>
      </c>
      <c r="FX304" s="101">
        <f t="shared" si="261"/>
        <v>6</v>
      </c>
      <c r="FY304" s="101">
        <f t="shared" si="262"/>
        <v>8</v>
      </c>
      <c r="FZ304" s="101" t="str">
        <f t="shared" si="254"/>
        <v>金币</v>
      </c>
      <c r="GA304" s="139">
        <f>IF($FY304&gt;0,IF(INDEX($EM$6:$EM$77,$FT304)&gt;=GA$3,ROUND(INDEX(EO$6:EO$77,$FT304)*INDEX(卡牌消耗!$B$8:$F$8,FV304)/5,0)*5,""),"")</f>
        <v>8235</v>
      </c>
      <c r="GB304" s="101" t="str">
        <f t="shared" si="255"/>
        <v>专属强化石3</v>
      </c>
      <c r="GC304" s="101">
        <f t="shared" si="256"/>
        <v>35</v>
      </c>
      <c r="GD304" s="101" t="str">
        <f t="shared" si="257"/>
        <v>专属强化石4</v>
      </c>
      <c r="GE304" s="101">
        <f t="shared" si="258"/>
        <v>7</v>
      </c>
      <c r="GF304" s="101">
        <f t="shared" si="263"/>
        <v>0.03</v>
      </c>
      <c r="GG304" s="101">
        <f t="shared" si="264"/>
        <v>1</v>
      </c>
      <c r="GH304" s="101">
        <f t="shared" si="265"/>
        <v>44</v>
      </c>
      <c r="GI304" s="101">
        <f t="shared" si="266"/>
        <v>0</v>
      </c>
      <c r="GJ304" s="101">
        <f t="shared" si="267"/>
        <v>1</v>
      </c>
      <c r="GK304" s="101">
        <f t="shared" si="268"/>
        <v>10</v>
      </c>
      <c r="GL304" s="101">
        <f t="shared" si="269"/>
        <v>1.7100000000000001E-2</v>
      </c>
      <c r="GM304" s="101">
        <f t="shared" si="270"/>
        <v>1</v>
      </c>
      <c r="GN304" s="101">
        <f t="shared" si="271"/>
        <v>21</v>
      </c>
      <c r="GO304" s="101">
        <f t="shared" si="272"/>
        <v>6.8199999999999997E-2</v>
      </c>
      <c r="GP304" s="101">
        <f t="shared" si="273"/>
        <v>1</v>
      </c>
      <c r="GQ304" s="101">
        <f t="shared" si="274"/>
        <v>44</v>
      </c>
    </row>
    <row r="305" spans="175:199" ht="16.5" x14ac:dyDescent="0.2">
      <c r="FS305" s="101">
        <v>300</v>
      </c>
      <c r="FT305" s="101">
        <f t="shared" si="259"/>
        <v>54</v>
      </c>
      <c r="FU305" s="101">
        <f t="shared" si="252"/>
        <v>4</v>
      </c>
      <c r="FV305" s="14">
        <f t="shared" si="253"/>
        <v>3</v>
      </c>
      <c r="FW305" s="101" t="str">
        <f t="shared" si="260"/>
        <v>李轩辕专属武器-魂珠-6 9级</v>
      </c>
      <c r="FX305" s="101">
        <f t="shared" si="261"/>
        <v>6</v>
      </c>
      <c r="FY305" s="101">
        <f t="shared" si="262"/>
        <v>9</v>
      </c>
      <c r="FZ305" s="101" t="str">
        <f t="shared" si="254"/>
        <v>金币</v>
      </c>
      <c r="GA305" s="139">
        <f>IF($FY305&gt;0,IF(INDEX($EM$6:$EM$77,$FT305)&gt;=GA$3,ROUND(INDEX(EO$6:EO$77,$FT305)*INDEX(卡牌消耗!$B$8:$F$8,FV305)/5,0)*5,""),"")</f>
        <v>9410</v>
      </c>
      <c r="GB305" s="101" t="str">
        <f t="shared" si="255"/>
        <v>专属强化石3</v>
      </c>
      <c r="GC305" s="101">
        <f t="shared" si="256"/>
        <v>40</v>
      </c>
      <c r="GD305" s="101" t="str">
        <f t="shared" si="257"/>
        <v>专属强化石4</v>
      </c>
      <c r="GE305" s="101">
        <f t="shared" si="258"/>
        <v>8</v>
      </c>
      <c r="GF305" s="101">
        <f t="shared" si="263"/>
        <v>0.02</v>
      </c>
      <c r="GG305" s="101">
        <f t="shared" si="264"/>
        <v>1</v>
      </c>
      <c r="GH305" s="101">
        <f t="shared" si="265"/>
        <v>62</v>
      </c>
      <c r="GI305" s="101">
        <f t="shared" si="266"/>
        <v>0</v>
      </c>
      <c r="GJ305" s="101">
        <f t="shared" si="267"/>
        <v>1</v>
      </c>
      <c r="GK305" s="101">
        <f t="shared" si="268"/>
        <v>15</v>
      </c>
      <c r="GL305" s="101">
        <f t="shared" si="269"/>
        <v>1.21E-2</v>
      </c>
      <c r="GM305" s="101">
        <f t="shared" si="270"/>
        <v>1</v>
      </c>
      <c r="GN305" s="101">
        <f t="shared" si="271"/>
        <v>29</v>
      </c>
      <c r="GO305" s="101">
        <f t="shared" si="272"/>
        <v>4.82E-2</v>
      </c>
      <c r="GP305" s="101">
        <f t="shared" si="273"/>
        <v>1</v>
      </c>
      <c r="GQ305" s="101">
        <f t="shared" si="274"/>
        <v>62</v>
      </c>
    </row>
    <row r="306" spans="175:199" ht="16.5" x14ac:dyDescent="0.2">
      <c r="FS306" s="101">
        <v>301</v>
      </c>
      <c r="FT306" s="101">
        <f t="shared" si="259"/>
        <v>0</v>
      </c>
      <c r="FU306" s="101">
        <f t="shared" si="252"/>
        <v>4</v>
      </c>
      <c r="FV306" s="14">
        <f t="shared" si="253"/>
        <v>3</v>
      </c>
      <c r="FW306" s="101" t="str">
        <f t="shared" si="260"/>
        <v>李轩辕专属武器-魂珠-7 0级</v>
      </c>
      <c r="FX306" s="101">
        <f t="shared" si="261"/>
        <v>7</v>
      </c>
      <c r="FY306" s="101">
        <f t="shared" si="262"/>
        <v>0</v>
      </c>
      <c r="FZ306" s="101" t="str">
        <f t="shared" si="254"/>
        <v/>
      </c>
      <c r="GA306" s="139" t="str">
        <f>IF($FY306&gt;0,IF(INDEX($EM$6:$EM$77,$FT306)&gt;=GA$3,ROUND(INDEX(EO$6:EO$77,$FT306)*INDEX(卡牌消耗!$B$8:$F$8,FV306)/5,0)*5,""),"")</f>
        <v/>
      </c>
      <c r="GB306" s="101" t="str">
        <f t="shared" si="255"/>
        <v/>
      </c>
      <c r="GC306" s="101" t="str">
        <f t="shared" si="256"/>
        <v/>
      </c>
      <c r="GD306" s="101" t="str">
        <f t="shared" si="257"/>
        <v/>
      </c>
      <c r="GE306" s="101" t="str">
        <f t="shared" si="258"/>
        <v/>
      </c>
      <c r="GF306" s="101" t="str">
        <f t="shared" si="263"/>
        <v/>
      </c>
      <c r="GG306" s="101" t="str">
        <f t="shared" si="264"/>
        <v/>
      </c>
      <c r="GH306" s="101" t="str">
        <f t="shared" si="265"/>
        <v/>
      </c>
      <c r="GI306" s="101" t="str">
        <f t="shared" si="266"/>
        <v/>
      </c>
      <c r="GJ306" s="101" t="str">
        <f t="shared" si="267"/>
        <v/>
      </c>
      <c r="GK306" s="101" t="str">
        <f t="shared" si="268"/>
        <v/>
      </c>
      <c r="GL306" s="101" t="str">
        <f t="shared" si="269"/>
        <v/>
      </c>
      <c r="GM306" s="101" t="str">
        <f t="shared" si="270"/>
        <v/>
      </c>
      <c r="GN306" s="101" t="str">
        <f t="shared" si="271"/>
        <v/>
      </c>
      <c r="GO306" s="101" t="str">
        <f t="shared" si="272"/>
        <v/>
      </c>
      <c r="GP306" s="101" t="str">
        <f t="shared" si="273"/>
        <v/>
      </c>
      <c r="GQ306" s="101" t="str">
        <f t="shared" si="274"/>
        <v/>
      </c>
    </row>
    <row r="307" spans="175:199" ht="16.5" x14ac:dyDescent="0.2">
      <c r="FS307" s="101">
        <v>302</v>
      </c>
      <c r="FT307" s="101">
        <f t="shared" si="259"/>
        <v>55</v>
      </c>
      <c r="FU307" s="101">
        <f t="shared" si="252"/>
        <v>4</v>
      </c>
      <c r="FV307" s="14">
        <f t="shared" si="253"/>
        <v>3</v>
      </c>
      <c r="FW307" s="101" t="str">
        <f t="shared" si="260"/>
        <v>李轩辕专属武器-魂珠-7 1级</v>
      </c>
      <c r="FX307" s="101">
        <f t="shared" si="261"/>
        <v>7</v>
      </c>
      <c r="FY307" s="101">
        <f t="shared" si="262"/>
        <v>1</v>
      </c>
      <c r="FZ307" s="101" t="str">
        <f t="shared" si="254"/>
        <v>金币</v>
      </c>
      <c r="GA307" s="139">
        <f>IF($FY307&gt;0,IF(INDEX($EM$6:$EM$77,$FT307)&gt;=GA$3,ROUND(INDEX(EO$6:EO$77,$FT307)*INDEX(卡牌消耗!$B$8:$F$8,FV307)/5,0)*5,""),"")</f>
        <v>5075</v>
      </c>
      <c r="GB307" s="101" t="str">
        <f t="shared" si="255"/>
        <v>专属强化石3</v>
      </c>
      <c r="GC307" s="101">
        <f t="shared" si="256"/>
        <v>6</v>
      </c>
      <c r="GD307" s="101" t="str">
        <f t="shared" si="257"/>
        <v>专属强化石4</v>
      </c>
      <c r="GE307" s="101">
        <f t="shared" si="258"/>
        <v>2</v>
      </c>
      <c r="GF307" s="101">
        <f t="shared" si="263"/>
        <v>0.2</v>
      </c>
      <c r="GG307" s="101">
        <f t="shared" si="264"/>
        <v>1</v>
      </c>
      <c r="GH307" s="101">
        <f t="shared" si="265"/>
        <v>8</v>
      </c>
      <c r="GI307" s="101">
        <f t="shared" si="266"/>
        <v>0</v>
      </c>
      <c r="GJ307" s="101">
        <f t="shared" si="267"/>
        <v>1</v>
      </c>
      <c r="GK307" s="101">
        <f t="shared" si="268"/>
        <v>2</v>
      </c>
      <c r="GL307" s="101">
        <f t="shared" si="269"/>
        <v>9.9400000000000002E-2</v>
      </c>
      <c r="GM307" s="101">
        <f t="shared" si="270"/>
        <v>1</v>
      </c>
      <c r="GN307" s="101">
        <f t="shared" si="271"/>
        <v>4</v>
      </c>
      <c r="GO307" s="101">
        <f t="shared" si="272"/>
        <v>0.3977</v>
      </c>
      <c r="GP307" s="101">
        <f t="shared" si="273"/>
        <v>1</v>
      </c>
      <c r="GQ307" s="101">
        <f t="shared" si="274"/>
        <v>8</v>
      </c>
    </row>
    <row r="308" spans="175:199" ht="16.5" x14ac:dyDescent="0.2">
      <c r="FS308" s="101">
        <v>303</v>
      </c>
      <c r="FT308" s="101">
        <f t="shared" si="259"/>
        <v>56</v>
      </c>
      <c r="FU308" s="101">
        <f t="shared" si="252"/>
        <v>4</v>
      </c>
      <c r="FV308" s="14">
        <f t="shared" si="253"/>
        <v>3</v>
      </c>
      <c r="FW308" s="101" t="str">
        <f t="shared" si="260"/>
        <v>李轩辕专属武器-魂珠-7 2级</v>
      </c>
      <c r="FX308" s="101">
        <f t="shared" si="261"/>
        <v>7</v>
      </c>
      <c r="FY308" s="101">
        <f t="shared" si="262"/>
        <v>2</v>
      </c>
      <c r="FZ308" s="101" t="str">
        <f t="shared" si="254"/>
        <v>金币</v>
      </c>
      <c r="GA308" s="139">
        <f>IF($FY308&gt;0,IF(INDEX($EM$6:$EM$77,$FT308)&gt;=GA$3,ROUND(INDEX(EO$6:EO$77,$FT308)*INDEX(卡牌消耗!$B$8:$F$8,FV308)/5,0)*5,""),"")</f>
        <v>3810</v>
      </c>
      <c r="GB308" s="101" t="str">
        <f t="shared" si="255"/>
        <v>专属强化石3</v>
      </c>
      <c r="GC308" s="101">
        <f t="shared" si="256"/>
        <v>6</v>
      </c>
      <c r="GD308" s="101" t="str">
        <f t="shared" si="257"/>
        <v>专属强化石4</v>
      </c>
      <c r="GE308" s="101">
        <f t="shared" si="258"/>
        <v>2</v>
      </c>
      <c r="GF308" s="101">
        <f t="shared" si="263"/>
        <v>0.1</v>
      </c>
      <c r="GG308" s="101">
        <f t="shared" si="264"/>
        <v>1</v>
      </c>
      <c r="GH308" s="101">
        <f t="shared" si="265"/>
        <v>15</v>
      </c>
      <c r="GI308" s="101">
        <f t="shared" si="266"/>
        <v>0</v>
      </c>
      <c r="GJ308" s="101">
        <f t="shared" si="267"/>
        <v>1</v>
      </c>
      <c r="GK308" s="101">
        <f t="shared" si="268"/>
        <v>4</v>
      </c>
      <c r="GL308" s="101">
        <f t="shared" si="269"/>
        <v>4.9700000000000001E-2</v>
      </c>
      <c r="GM308" s="101">
        <f t="shared" si="270"/>
        <v>1</v>
      </c>
      <c r="GN308" s="101">
        <f t="shared" si="271"/>
        <v>7</v>
      </c>
      <c r="GO308" s="101">
        <f t="shared" si="272"/>
        <v>0.19889999999999999</v>
      </c>
      <c r="GP308" s="101">
        <f t="shared" si="273"/>
        <v>1</v>
      </c>
      <c r="GQ308" s="101">
        <f t="shared" si="274"/>
        <v>15</v>
      </c>
    </row>
    <row r="309" spans="175:199" ht="16.5" x14ac:dyDescent="0.2">
      <c r="FS309" s="101">
        <v>304</v>
      </c>
      <c r="FT309" s="101">
        <f t="shared" si="259"/>
        <v>57</v>
      </c>
      <c r="FU309" s="101">
        <f t="shared" si="252"/>
        <v>4</v>
      </c>
      <c r="FV309" s="14">
        <f t="shared" si="253"/>
        <v>3</v>
      </c>
      <c r="FW309" s="101" t="str">
        <f t="shared" si="260"/>
        <v>李轩辕专属武器-魂珠-7 3级</v>
      </c>
      <c r="FX309" s="101">
        <f t="shared" si="261"/>
        <v>7</v>
      </c>
      <c r="FY309" s="101">
        <f t="shared" si="262"/>
        <v>3</v>
      </c>
      <c r="FZ309" s="101" t="str">
        <f t="shared" si="254"/>
        <v>金币</v>
      </c>
      <c r="GA309" s="139">
        <f>IF($FY309&gt;0,IF(INDEX($EM$6:$EM$77,$FT309)&gt;=GA$3,ROUND(INDEX(EO$6:EO$77,$FT309)*INDEX(卡牌消耗!$B$8:$F$8,FV309)/5,0)*5,""),"")</f>
        <v>6345</v>
      </c>
      <c r="GB309" s="101" t="str">
        <f t="shared" si="255"/>
        <v>专属强化石3</v>
      </c>
      <c r="GC309" s="101">
        <f t="shared" si="256"/>
        <v>9</v>
      </c>
      <c r="GD309" s="101" t="str">
        <f t="shared" si="257"/>
        <v>专属强化石4</v>
      </c>
      <c r="GE309" s="101">
        <f t="shared" si="258"/>
        <v>3</v>
      </c>
      <c r="GF309" s="101">
        <f t="shared" si="263"/>
        <v>0.1</v>
      </c>
      <c r="GG309" s="101">
        <f t="shared" si="264"/>
        <v>1</v>
      </c>
      <c r="GH309" s="101">
        <f t="shared" si="265"/>
        <v>15</v>
      </c>
      <c r="GI309" s="101">
        <f t="shared" si="266"/>
        <v>0</v>
      </c>
      <c r="GJ309" s="101">
        <f t="shared" si="267"/>
        <v>1</v>
      </c>
      <c r="GK309" s="101">
        <f t="shared" si="268"/>
        <v>4</v>
      </c>
      <c r="GL309" s="101">
        <f t="shared" si="269"/>
        <v>4.9700000000000001E-2</v>
      </c>
      <c r="GM309" s="101">
        <f t="shared" si="270"/>
        <v>1</v>
      </c>
      <c r="GN309" s="101">
        <f t="shared" si="271"/>
        <v>7</v>
      </c>
      <c r="GO309" s="101">
        <f t="shared" si="272"/>
        <v>0.19889999999999999</v>
      </c>
      <c r="GP309" s="101">
        <f t="shared" si="273"/>
        <v>1</v>
      </c>
      <c r="GQ309" s="101">
        <f t="shared" si="274"/>
        <v>15</v>
      </c>
    </row>
    <row r="310" spans="175:199" ht="16.5" x14ac:dyDescent="0.2">
      <c r="FS310" s="101">
        <v>305</v>
      </c>
      <c r="FT310" s="101">
        <f t="shared" si="259"/>
        <v>58</v>
      </c>
      <c r="FU310" s="101">
        <f t="shared" si="252"/>
        <v>4</v>
      </c>
      <c r="FV310" s="14">
        <f t="shared" si="253"/>
        <v>3</v>
      </c>
      <c r="FW310" s="101" t="str">
        <f t="shared" si="260"/>
        <v>李轩辕专属武器-魂珠-7 4级</v>
      </c>
      <c r="FX310" s="101">
        <f t="shared" si="261"/>
        <v>7</v>
      </c>
      <c r="FY310" s="101">
        <f t="shared" si="262"/>
        <v>4</v>
      </c>
      <c r="FZ310" s="101" t="str">
        <f t="shared" si="254"/>
        <v>金币</v>
      </c>
      <c r="GA310" s="139">
        <f>IF($FY310&gt;0,IF(INDEX($EM$6:$EM$77,$FT310)&gt;=GA$3,ROUND(INDEX(EO$6:EO$77,$FT310)*INDEX(卡牌消耗!$B$8:$F$8,FV310)/5,0)*5,""),"")</f>
        <v>8125</v>
      </c>
      <c r="GB310" s="101" t="str">
        <f t="shared" si="255"/>
        <v>专属强化石3</v>
      </c>
      <c r="GC310" s="101">
        <f t="shared" si="256"/>
        <v>12</v>
      </c>
      <c r="GD310" s="101" t="str">
        <f t="shared" si="257"/>
        <v>专属强化石4</v>
      </c>
      <c r="GE310" s="101">
        <f t="shared" si="258"/>
        <v>4</v>
      </c>
      <c r="GF310" s="101">
        <f t="shared" si="263"/>
        <v>0.08</v>
      </c>
      <c r="GG310" s="101">
        <f t="shared" si="264"/>
        <v>1</v>
      </c>
      <c r="GH310" s="101">
        <f t="shared" si="265"/>
        <v>19</v>
      </c>
      <c r="GI310" s="101">
        <f t="shared" si="266"/>
        <v>0</v>
      </c>
      <c r="GJ310" s="101">
        <f t="shared" si="267"/>
        <v>1</v>
      </c>
      <c r="GK310" s="101">
        <f t="shared" si="268"/>
        <v>4</v>
      </c>
      <c r="GL310" s="101">
        <f t="shared" si="269"/>
        <v>3.9800000000000002E-2</v>
      </c>
      <c r="GM310" s="101">
        <f t="shared" si="270"/>
        <v>1</v>
      </c>
      <c r="GN310" s="101">
        <f t="shared" si="271"/>
        <v>9</v>
      </c>
      <c r="GO310" s="101">
        <f t="shared" si="272"/>
        <v>0.15909999999999999</v>
      </c>
      <c r="GP310" s="101">
        <f t="shared" si="273"/>
        <v>1</v>
      </c>
      <c r="GQ310" s="101">
        <f t="shared" si="274"/>
        <v>19</v>
      </c>
    </row>
    <row r="311" spans="175:199" ht="16.5" x14ac:dyDescent="0.2">
      <c r="FS311" s="101">
        <v>306</v>
      </c>
      <c r="FT311" s="101">
        <f t="shared" si="259"/>
        <v>59</v>
      </c>
      <c r="FU311" s="101">
        <f t="shared" si="252"/>
        <v>4</v>
      </c>
      <c r="FV311" s="14">
        <f t="shared" si="253"/>
        <v>3</v>
      </c>
      <c r="FW311" s="101" t="str">
        <f t="shared" si="260"/>
        <v>李轩辕专属武器-魂珠-7 5级</v>
      </c>
      <c r="FX311" s="101">
        <f t="shared" si="261"/>
        <v>7</v>
      </c>
      <c r="FY311" s="101">
        <f t="shared" si="262"/>
        <v>5</v>
      </c>
      <c r="FZ311" s="101" t="str">
        <f t="shared" si="254"/>
        <v>金币</v>
      </c>
      <c r="GA311" s="139">
        <f>IF($FY311&gt;0,IF(INDEX($EM$6:$EM$77,$FT311)&gt;=GA$3,ROUND(INDEX(EO$6:EO$77,$FT311)*INDEX(卡牌消耗!$B$8:$F$8,FV311)/5,0)*5,""),"")</f>
        <v>8250</v>
      </c>
      <c r="GB311" s="101" t="str">
        <f t="shared" si="255"/>
        <v>专属强化石3</v>
      </c>
      <c r="GC311" s="101">
        <f t="shared" si="256"/>
        <v>12</v>
      </c>
      <c r="GD311" s="101" t="str">
        <f t="shared" si="257"/>
        <v>专属强化石4</v>
      </c>
      <c r="GE311" s="101">
        <f t="shared" si="258"/>
        <v>4</v>
      </c>
      <c r="GF311" s="101">
        <f t="shared" si="263"/>
        <v>0.05</v>
      </c>
      <c r="GG311" s="101">
        <f t="shared" si="264"/>
        <v>1</v>
      </c>
      <c r="GH311" s="101">
        <f t="shared" si="265"/>
        <v>30</v>
      </c>
      <c r="GI311" s="101">
        <f t="shared" si="266"/>
        <v>0</v>
      </c>
      <c r="GJ311" s="101">
        <f t="shared" si="267"/>
        <v>1</v>
      </c>
      <c r="GK311" s="101">
        <f t="shared" si="268"/>
        <v>7</v>
      </c>
      <c r="GL311" s="101">
        <f t="shared" si="269"/>
        <v>2.4899999999999999E-2</v>
      </c>
      <c r="GM311" s="101">
        <f t="shared" si="270"/>
        <v>1</v>
      </c>
      <c r="GN311" s="101">
        <f t="shared" si="271"/>
        <v>14</v>
      </c>
      <c r="GO311" s="101">
        <f t="shared" si="272"/>
        <v>9.9400000000000002E-2</v>
      </c>
      <c r="GP311" s="101">
        <f t="shared" si="273"/>
        <v>1</v>
      </c>
      <c r="GQ311" s="101">
        <f t="shared" si="274"/>
        <v>30</v>
      </c>
    </row>
    <row r="312" spans="175:199" ht="16.5" x14ac:dyDescent="0.2">
      <c r="FS312" s="101">
        <v>307</v>
      </c>
      <c r="FT312" s="101">
        <f t="shared" si="259"/>
        <v>60</v>
      </c>
      <c r="FU312" s="101">
        <f t="shared" si="252"/>
        <v>4</v>
      </c>
      <c r="FV312" s="14">
        <f t="shared" si="253"/>
        <v>3</v>
      </c>
      <c r="FW312" s="101" t="str">
        <f t="shared" si="260"/>
        <v>李轩辕专属武器-魂珠-7 6级</v>
      </c>
      <c r="FX312" s="101">
        <f t="shared" si="261"/>
        <v>7</v>
      </c>
      <c r="FY312" s="101">
        <f t="shared" si="262"/>
        <v>6</v>
      </c>
      <c r="FZ312" s="101" t="str">
        <f t="shared" si="254"/>
        <v>金币</v>
      </c>
      <c r="GA312" s="139">
        <f>IF($FY312&gt;0,IF(INDEX($EM$6:$EM$77,$FT312)&gt;=GA$3,ROUND(INDEX(EO$6:EO$77,$FT312)*INDEX(卡牌消耗!$B$8:$F$8,FV312)/5,0)*5,""),"")</f>
        <v>10250</v>
      </c>
      <c r="GB312" s="101" t="str">
        <f t="shared" si="255"/>
        <v>专属强化石3</v>
      </c>
      <c r="GC312" s="101">
        <f t="shared" si="256"/>
        <v>15</v>
      </c>
      <c r="GD312" s="101" t="str">
        <f t="shared" si="257"/>
        <v>专属强化石4</v>
      </c>
      <c r="GE312" s="101">
        <f t="shared" si="258"/>
        <v>5</v>
      </c>
      <c r="GF312" s="101">
        <f t="shared" si="263"/>
        <v>0.04</v>
      </c>
      <c r="GG312" s="101">
        <f t="shared" si="264"/>
        <v>1</v>
      </c>
      <c r="GH312" s="101">
        <f t="shared" si="265"/>
        <v>39</v>
      </c>
      <c r="GI312" s="101">
        <f t="shared" si="266"/>
        <v>0</v>
      </c>
      <c r="GJ312" s="101">
        <f t="shared" si="267"/>
        <v>1</v>
      </c>
      <c r="GK312" s="101">
        <f t="shared" si="268"/>
        <v>9</v>
      </c>
      <c r="GL312" s="101">
        <f t="shared" si="269"/>
        <v>1.9099999999999999E-2</v>
      </c>
      <c r="GM312" s="101">
        <f t="shared" si="270"/>
        <v>1</v>
      </c>
      <c r="GN312" s="101">
        <f t="shared" si="271"/>
        <v>18</v>
      </c>
      <c r="GO312" s="101">
        <f t="shared" si="272"/>
        <v>7.6499999999999999E-2</v>
      </c>
      <c r="GP312" s="101">
        <f t="shared" si="273"/>
        <v>1</v>
      </c>
      <c r="GQ312" s="101">
        <f t="shared" si="274"/>
        <v>39</v>
      </c>
    </row>
    <row r="313" spans="175:199" ht="16.5" x14ac:dyDescent="0.2">
      <c r="FS313" s="101">
        <v>308</v>
      </c>
      <c r="FT313" s="101">
        <f t="shared" si="259"/>
        <v>61</v>
      </c>
      <c r="FU313" s="101">
        <f t="shared" si="252"/>
        <v>4</v>
      </c>
      <c r="FV313" s="14">
        <f t="shared" si="253"/>
        <v>3</v>
      </c>
      <c r="FW313" s="101" t="str">
        <f t="shared" si="260"/>
        <v>李轩辕专属武器-魂珠-7 7级</v>
      </c>
      <c r="FX313" s="101">
        <f t="shared" si="261"/>
        <v>7</v>
      </c>
      <c r="FY313" s="101">
        <f t="shared" si="262"/>
        <v>7</v>
      </c>
      <c r="FZ313" s="101" t="str">
        <f t="shared" si="254"/>
        <v>金币</v>
      </c>
      <c r="GA313" s="139">
        <f>IF($FY313&gt;0,IF(INDEX($EM$6:$EM$77,$FT313)&gt;=GA$3,ROUND(INDEX(EO$6:EO$77,$FT313)*INDEX(卡牌消耗!$B$8:$F$8,FV313)/5,0)*5,""),"")</f>
        <v>14385</v>
      </c>
      <c r="GB313" s="101" t="str">
        <f t="shared" si="255"/>
        <v>专属强化石3</v>
      </c>
      <c r="GC313" s="101">
        <f t="shared" si="256"/>
        <v>21</v>
      </c>
      <c r="GD313" s="101" t="str">
        <f t="shared" si="257"/>
        <v>专属强化石4</v>
      </c>
      <c r="GE313" s="101">
        <f t="shared" si="258"/>
        <v>7</v>
      </c>
      <c r="GF313" s="101">
        <f t="shared" si="263"/>
        <v>0.03</v>
      </c>
      <c r="GG313" s="101">
        <f t="shared" si="264"/>
        <v>1</v>
      </c>
      <c r="GH313" s="101">
        <f t="shared" si="265"/>
        <v>45</v>
      </c>
      <c r="GI313" s="101">
        <f t="shared" si="266"/>
        <v>0</v>
      </c>
      <c r="GJ313" s="101">
        <f t="shared" si="267"/>
        <v>1</v>
      </c>
      <c r="GK313" s="101">
        <f t="shared" si="268"/>
        <v>11</v>
      </c>
      <c r="GL313" s="101">
        <f t="shared" si="269"/>
        <v>1.66E-2</v>
      </c>
      <c r="GM313" s="101">
        <f t="shared" si="270"/>
        <v>1</v>
      </c>
      <c r="GN313" s="101">
        <f t="shared" si="271"/>
        <v>21</v>
      </c>
      <c r="GO313" s="101">
        <f t="shared" si="272"/>
        <v>6.6299999999999998E-2</v>
      </c>
      <c r="GP313" s="101">
        <f t="shared" si="273"/>
        <v>1</v>
      </c>
      <c r="GQ313" s="101">
        <f t="shared" si="274"/>
        <v>45</v>
      </c>
    </row>
    <row r="314" spans="175:199" ht="16.5" x14ac:dyDescent="0.2">
      <c r="FS314" s="101">
        <v>309</v>
      </c>
      <c r="FT314" s="101">
        <f t="shared" si="259"/>
        <v>62</v>
      </c>
      <c r="FU314" s="101">
        <f t="shared" si="252"/>
        <v>4</v>
      </c>
      <c r="FV314" s="14">
        <f t="shared" si="253"/>
        <v>3</v>
      </c>
      <c r="FW314" s="101" t="str">
        <f t="shared" si="260"/>
        <v>李轩辕专属武器-魂珠-7 8级</v>
      </c>
      <c r="FX314" s="101">
        <f t="shared" si="261"/>
        <v>7</v>
      </c>
      <c r="FY314" s="101">
        <f t="shared" si="262"/>
        <v>8</v>
      </c>
      <c r="FZ314" s="101" t="str">
        <f t="shared" si="254"/>
        <v>金币</v>
      </c>
      <c r="GA314" s="139">
        <f>IF($FY314&gt;0,IF(INDEX($EM$6:$EM$77,$FT314)&gt;=GA$3,ROUND(INDEX(EO$6:EO$77,$FT314)*INDEX(卡牌消耗!$B$8:$F$8,FV314)/5,0)*5,""),"")</f>
        <v>16425</v>
      </c>
      <c r="GB314" s="101" t="str">
        <f t="shared" si="255"/>
        <v>专属强化石3</v>
      </c>
      <c r="GC314" s="101">
        <f t="shared" si="256"/>
        <v>24</v>
      </c>
      <c r="GD314" s="101" t="str">
        <f t="shared" si="257"/>
        <v>专属强化石4</v>
      </c>
      <c r="GE314" s="101">
        <f t="shared" si="258"/>
        <v>8</v>
      </c>
      <c r="GF314" s="101">
        <f t="shared" si="263"/>
        <v>0.02</v>
      </c>
      <c r="GG314" s="101">
        <f t="shared" si="264"/>
        <v>1</v>
      </c>
      <c r="GH314" s="101">
        <f t="shared" si="265"/>
        <v>64</v>
      </c>
      <c r="GI314" s="101">
        <f t="shared" si="266"/>
        <v>0</v>
      </c>
      <c r="GJ314" s="101">
        <f t="shared" si="267"/>
        <v>1</v>
      </c>
      <c r="GK314" s="101">
        <f t="shared" si="268"/>
        <v>15</v>
      </c>
      <c r="GL314" s="101">
        <f t="shared" si="269"/>
        <v>1.17E-2</v>
      </c>
      <c r="GM314" s="101">
        <f t="shared" si="270"/>
        <v>1</v>
      </c>
      <c r="GN314" s="101">
        <f t="shared" si="271"/>
        <v>30</v>
      </c>
      <c r="GO314" s="101">
        <f t="shared" si="272"/>
        <v>4.6800000000000001E-2</v>
      </c>
      <c r="GP314" s="101">
        <f t="shared" si="273"/>
        <v>1</v>
      </c>
      <c r="GQ314" s="101">
        <f t="shared" si="274"/>
        <v>64</v>
      </c>
    </row>
    <row r="315" spans="175:199" ht="16.5" x14ac:dyDescent="0.2">
      <c r="FS315" s="101">
        <v>310</v>
      </c>
      <c r="FT315" s="101">
        <f t="shared" si="259"/>
        <v>63</v>
      </c>
      <c r="FU315" s="101">
        <f t="shared" si="252"/>
        <v>4</v>
      </c>
      <c r="FV315" s="14">
        <f t="shared" si="253"/>
        <v>3</v>
      </c>
      <c r="FW315" s="101" t="str">
        <f t="shared" si="260"/>
        <v>李轩辕专属武器-魂珠-7 9级</v>
      </c>
      <c r="FX315" s="101">
        <f t="shared" si="261"/>
        <v>7</v>
      </c>
      <c r="FY315" s="101">
        <f t="shared" si="262"/>
        <v>9</v>
      </c>
      <c r="FZ315" s="101" t="str">
        <f t="shared" si="254"/>
        <v>金币</v>
      </c>
      <c r="GA315" s="139">
        <f>IF($FY315&gt;0,IF(INDEX($EM$6:$EM$77,$FT315)&gt;=GA$3,ROUND(INDEX(EO$6:EO$77,$FT315)*INDEX(卡牌消耗!$B$8:$F$8,FV315)/5,0)*5,""),"")</f>
        <v>20540</v>
      </c>
      <c r="GB315" s="101" t="str">
        <f t="shared" si="255"/>
        <v>专属强化石3</v>
      </c>
      <c r="GC315" s="101">
        <f t="shared" si="256"/>
        <v>30</v>
      </c>
      <c r="GD315" s="101" t="str">
        <f t="shared" si="257"/>
        <v>专属强化石4</v>
      </c>
      <c r="GE315" s="101">
        <f t="shared" si="258"/>
        <v>10</v>
      </c>
      <c r="GF315" s="101">
        <f t="shared" si="263"/>
        <v>0.02</v>
      </c>
      <c r="GG315" s="101">
        <f t="shared" si="264"/>
        <v>1</v>
      </c>
      <c r="GH315" s="101">
        <f t="shared" si="265"/>
        <v>83</v>
      </c>
      <c r="GI315" s="101">
        <f t="shared" si="266"/>
        <v>0</v>
      </c>
      <c r="GJ315" s="101">
        <f t="shared" si="267"/>
        <v>1</v>
      </c>
      <c r="GK315" s="101">
        <f t="shared" si="268"/>
        <v>19</v>
      </c>
      <c r="GL315" s="101">
        <f t="shared" si="269"/>
        <v>8.9999999999999993E-3</v>
      </c>
      <c r="GM315" s="101">
        <f t="shared" si="270"/>
        <v>1</v>
      </c>
      <c r="GN315" s="101">
        <f t="shared" si="271"/>
        <v>39</v>
      </c>
      <c r="GO315" s="101">
        <f t="shared" si="272"/>
        <v>3.6200000000000003E-2</v>
      </c>
      <c r="GP315" s="101">
        <f t="shared" si="273"/>
        <v>1</v>
      </c>
      <c r="GQ315" s="101">
        <f t="shared" si="274"/>
        <v>83</v>
      </c>
    </row>
    <row r="316" spans="175:199" ht="16.5" x14ac:dyDescent="0.2">
      <c r="FS316" s="101">
        <v>311</v>
      </c>
      <c r="FT316" s="101">
        <f t="shared" si="259"/>
        <v>0</v>
      </c>
      <c r="FU316" s="101">
        <f t="shared" si="252"/>
        <v>4</v>
      </c>
      <c r="FV316" s="14">
        <f t="shared" si="253"/>
        <v>3</v>
      </c>
      <c r="FW316" s="101" t="str">
        <f t="shared" si="260"/>
        <v>李轩辕专属武器-魂珠-8 0级</v>
      </c>
      <c r="FX316" s="101">
        <f t="shared" si="261"/>
        <v>8</v>
      </c>
      <c r="FY316" s="101">
        <f t="shared" si="262"/>
        <v>0</v>
      </c>
      <c r="FZ316" s="101" t="str">
        <f t="shared" si="254"/>
        <v/>
      </c>
      <c r="GA316" s="139" t="str">
        <f>IF($FY316&gt;0,IF(INDEX($EM$6:$EM$77,$FT316)&gt;=GA$3,ROUND(INDEX(EO$6:EO$77,$FT316)*INDEX(卡牌消耗!$B$8:$F$8,FV316)/5,0)*5,""),"")</f>
        <v/>
      </c>
      <c r="GB316" s="101" t="str">
        <f t="shared" si="255"/>
        <v/>
      </c>
      <c r="GC316" s="101" t="str">
        <f t="shared" si="256"/>
        <v/>
      </c>
      <c r="GD316" s="101" t="str">
        <f t="shared" si="257"/>
        <v/>
      </c>
      <c r="GE316" s="101" t="str">
        <f t="shared" si="258"/>
        <v/>
      </c>
      <c r="GF316" s="101" t="str">
        <f t="shared" si="263"/>
        <v/>
      </c>
      <c r="GG316" s="101" t="str">
        <f t="shared" si="264"/>
        <v/>
      </c>
      <c r="GH316" s="101" t="str">
        <f t="shared" si="265"/>
        <v/>
      </c>
      <c r="GI316" s="101" t="str">
        <f t="shared" si="266"/>
        <v/>
      </c>
      <c r="GJ316" s="101" t="str">
        <f t="shared" si="267"/>
        <v/>
      </c>
      <c r="GK316" s="101" t="str">
        <f t="shared" si="268"/>
        <v/>
      </c>
      <c r="GL316" s="101" t="str">
        <f t="shared" si="269"/>
        <v/>
      </c>
      <c r="GM316" s="101" t="str">
        <f t="shared" si="270"/>
        <v/>
      </c>
      <c r="GN316" s="101" t="str">
        <f t="shared" si="271"/>
        <v/>
      </c>
      <c r="GO316" s="101" t="str">
        <f t="shared" si="272"/>
        <v/>
      </c>
      <c r="GP316" s="101" t="str">
        <f t="shared" si="273"/>
        <v/>
      </c>
      <c r="GQ316" s="101" t="str">
        <f t="shared" si="274"/>
        <v/>
      </c>
    </row>
    <row r="317" spans="175:199" ht="16.5" x14ac:dyDescent="0.2">
      <c r="FS317" s="101">
        <v>312</v>
      </c>
      <c r="FT317" s="101">
        <f t="shared" si="259"/>
        <v>64</v>
      </c>
      <c r="FU317" s="101">
        <f t="shared" si="252"/>
        <v>4</v>
      </c>
      <c r="FV317" s="14">
        <f t="shared" si="253"/>
        <v>3</v>
      </c>
      <c r="FW317" s="101" t="str">
        <f t="shared" si="260"/>
        <v>李轩辕专属武器-魂珠-8 1级</v>
      </c>
      <c r="FX317" s="101">
        <f t="shared" si="261"/>
        <v>8</v>
      </c>
      <c r="FY317" s="101">
        <f t="shared" si="262"/>
        <v>1</v>
      </c>
      <c r="FZ317" s="101" t="str">
        <f t="shared" si="254"/>
        <v>金币</v>
      </c>
      <c r="GA317" s="139">
        <f>IF($FY317&gt;0,IF(INDEX($EM$6:$EM$77,$FT317)&gt;=GA$3,ROUND(INDEX(EO$6:EO$77,$FT317)*INDEX(卡牌消耗!$B$8:$F$8,FV317)/5,0)*5,""),"")</f>
        <v>4325</v>
      </c>
      <c r="GB317" s="101" t="str">
        <f t="shared" si="255"/>
        <v>专属强化石4</v>
      </c>
      <c r="GC317" s="101">
        <f t="shared" si="256"/>
        <v>5</v>
      </c>
      <c r="GD317" s="101" t="str">
        <f t="shared" si="257"/>
        <v/>
      </c>
      <c r="GE317" s="101" t="str">
        <f t="shared" si="258"/>
        <v/>
      </c>
      <c r="GF317" s="101">
        <f t="shared" si="263"/>
        <v>0.11</v>
      </c>
      <c r="GG317" s="101">
        <f t="shared" si="264"/>
        <v>1</v>
      </c>
      <c r="GH317" s="101">
        <f t="shared" si="265"/>
        <v>13</v>
      </c>
      <c r="GI317" s="101">
        <f t="shared" si="266"/>
        <v>0</v>
      </c>
      <c r="GJ317" s="101">
        <f t="shared" si="267"/>
        <v>1</v>
      </c>
      <c r="GK317" s="101">
        <f t="shared" si="268"/>
        <v>3</v>
      </c>
      <c r="GL317" s="101">
        <f t="shared" si="269"/>
        <v>5.6500000000000002E-2</v>
      </c>
      <c r="GM317" s="101">
        <f t="shared" si="270"/>
        <v>1</v>
      </c>
      <c r="GN317" s="101">
        <f t="shared" si="271"/>
        <v>6</v>
      </c>
      <c r="GO317" s="101">
        <f t="shared" si="272"/>
        <v>0.22600000000000001</v>
      </c>
      <c r="GP317" s="101">
        <f t="shared" si="273"/>
        <v>1</v>
      </c>
      <c r="GQ317" s="101">
        <f t="shared" si="274"/>
        <v>13</v>
      </c>
    </row>
    <row r="318" spans="175:199" ht="16.5" x14ac:dyDescent="0.2">
      <c r="FS318" s="101">
        <v>313</v>
      </c>
      <c r="FT318" s="101">
        <f t="shared" si="259"/>
        <v>65</v>
      </c>
      <c r="FU318" s="101">
        <f t="shared" si="252"/>
        <v>4</v>
      </c>
      <c r="FV318" s="14">
        <f t="shared" si="253"/>
        <v>3</v>
      </c>
      <c r="FW318" s="101" t="str">
        <f t="shared" si="260"/>
        <v>李轩辕专属武器-魂珠-8 2级</v>
      </c>
      <c r="FX318" s="101">
        <f t="shared" si="261"/>
        <v>8</v>
      </c>
      <c r="FY318" s="101">
        <f t="shared" si="262"/>
        <v>2</v>
      </c>
      <c r="FZ318" s="101" t="str">
        <f t="shared" si="254"/>
        <v>金币</v>
      </c>
      <c r="GA318" s="139">
        <f>IF($FY318&gt;0,IF(INDEX($EM$6:$EM$77,$FT318)&gt;=GA$3,ROUND(INDEX(EO$6:EO$77,$FT318)*INDEX(卡牌消耗!$B$8:$F$8,FV318)/5,0)*5,""),"")</f>
        <v>5190</v>
      </c>
      <c r="GB318" s="101" t="str">
        <f t="shared" si="255"/>
        <v>专属强化石4</v>
      </c>
      <c r="GC318" s="101">
        <f t="shared" si="256"/>
        <v>8</v>
      </c>
      <c r="GD318" s="101" t="str">
        <f t="shared" si="257"/>
        <v/>
      </c>
      <c r="GE318" s="101" t="str">
        <f t="shared" si="258"/>
        <v/>
      </c>
      <c r="GF318" s="101">
        <f t="shared" si="263"/>
        <v>0.09</v>
      </c>
      <c r="GG318" s="101">
        <f t="shared" si="264"/>
        <v>1</v>
      </c>
      <c r="GH318" s="101">
        <f t="shared" si="265"/>
        <v>17</v>
      </c>
      <c r="GI318" s="101">
        <f t="shared" si="266"/>
        <v>0</v>
      </c>
      <c r="GJ318" s="101">
        <f t="shared" si="267"/>
        <v>1</v>
      </c>
      <c r="GK318" s="101">
        <f t="shared" si="268"/>
        <v>4</v>
      </c>
      <c r="GL318" s="101">
        <f t="shared" si="269"/>
        <v>4.5199999999999997E-2</v>
      </c>
      <c r="GM318" s="101">
        <f t="shared" si="270"/>
        <v>1</v>
      </c>
      <c r="GN318" s="101">
        <f t="shared" si="271"/>
        <v>8</v>
      </c>
      <c r="GO318" s="101">
        <f t="shared" si="272"/>
        <v>0.18079999999999999</v>
      </c>
      <c r="GP318" s="101">
        <f t="shared" si="273"/>
        <v>1</v>
      </c>
      <c r="GQ318" s="101">
        <f t="shared" si="274"/>
        <v>17</v>
      </c>
    </row>
    <row r="319" spans="175:199" ht="16.5" x14ac:dyDescent="0.2">
      <c r="FS319" s="101">
        <v>314</v>
      </c>
      <c r="FT319" s="101">
        <f t="shared" si="259"/>
        <v>66</v>
      </c>
      <c r="FU319" s="101">
        <f t="shared" si="252"/>
        <v>4</v>
      </c>
      <c r="FV319" s="14">
        <f t="shared" si="253"/>
        <v>3</v>
      </c>
      <c r="FW319" s="101" t="str">
        <f t="shared" si="260"/>
        <v>李轩辕专属武器-魂珠-8 3级</v>
      </c>
      <c r="FX319" s="101">
        <f t="shared" si="261"/>
        <v>8</v>
      </c>
      <c r="FY319" s="101">
        <f t="shared" si="262"/>
        <v>3</v>
      </c>
      <c r="FZ319" s="101" t="str">
        <f t="shared" si="254"/>
        <v>金币</v>
      </c>
      <c r="GA319" s="139">
        <f>IF($FY319&gt;0,IF(INDEX($EM$6:$EM$77,$FT319)&gt;=GA$3,ROUND(INDEX(EO$6:EO$77,$FT319)*INDEX(卡牌消耗!$B$8:$F$8,FV319)/5,0)*5,""),"")</f>
        <v>7210</v>
      </c>
      <c r="GB319" s="101" t="str">
        <f t="shared" si="255"/>
        <v>专属强化石4</v>
      </c>
      <c r="GC319" s="101">
        <f t="shared" si="256"/>
        <v>10</v>
      </c>
      <c r="GD319" s="101" t="str">
        <f t="shared" si="257"/>
        <v/>
      </c>
      <c r="GE319" s="101" t="str">
        <f t="shared" si="258"/>
        <v/>
      </c>
      <c r="GF319" s="101">
        <f t="shared" si="263"/>
        <v>0.08</v>
      </c>
      <c r="GG319" s="101">
        <f t="shared" si="264"/>
        <v>1</v>
      </c>
      <c r="GH319" s="101">
        <f t="shared" si="265"/>
        <v>20</v>
      </c>
      <c r="GI319" s="101">
        <f t="shared" si="266"/>
        <v>0</v>
      </c>
      <c r="GJ319" s="101">
        <f t="shared" si="267"/>
        <v>1</v>
      </c>
      <c r="GK319" s="101">
        <f t="shared" si="268"/>
        <v>5</v>
      </c>
      <c r="GL319" s="101">
        <f t="shared" si="269"/>
        <v>3.7699999999999997E-2</v>
      </c>
      <c r="GM319" s="101">
        <f t="shared" si="270"/>
        <v>1</v>
      </c>
      <c r="GN319" s="101">
        <f t="shared" si="271"/>
        <v>9</v>
      </c>
      <c r="GO319" s="101">
        <f t="shared" si="272"/>
        <v>0.1507</v>
      </c>
      <c r="GP319" s="101">
        <f t="shared" si="273"/>
        <v>1</v>
      </c>
      <c r="GQ319" s="101">
        <f t="shared" si="274"/>
        <v>20</v>
      </c>
    </row>
    <row r="320" spans="175:199" ht="16.5" x14ac:dyDescent="0.2">
      <c r="FS320" s="101">
        <v>315</v>
      </c>
      <c r="FT320" s="101">
        <f t="shared" si="259"/>
        <v>67</v>
      </c>
      <c r="FU320" s="101">
        <f t="shared" si="252"/>
        <v>4</v>
      </c>
      <c r="FV320" s="14">
        <f t="shared" si="253"/>
        <v>3</v>
      </c>
      <c r="FW320" s="101" t="str">
        <f t="shared" si="260"/>
        <v>李轩辕专属武器-魂珠-8 4级</v>
      </c>
      <c r="FX320" s="101">
        <f t="shared" si="261"/>
        <v>8</v>
      </c>
      <c r="FY320" s="101">
        <f t="shared" si="262"/>
        <v>4</v>
      </c>
      <c r="FZ320" s="101" t="str">
        <f t="shared" si="254"/>
        <v>金币</v>
      </c>
      <c r="GA320" s="139">
        <f>IF($FY320&gt;0,IF(INDEX($EM$6:$EM$77,$FT320)&gt;=GA$3,ROUND(INDEX(EO$6:EO$77,$FT320)*INDEX(卡牌消耗!$B$8:$F$8,FV320)/5,0)*5,""),"")</f>
        <v>8310</v>
      </c>
      <c r="GB320" s="101" t="str">
        <f t="shared" si="255"/>
        <v>专属强化石4</v>
      </c>
      <c r="GC320" s="101">
        <f t="shared" si="256"/>
        <v>12</v>
      </c>
      <c r="GD320" s="101" t="str">
        <f t="shared" si="257"/>
        <v/>
      </c>
      <c r="GE320" s="101" t="str">
        <f t="shared" si="258"/>
        <v/>
      </c>
      <c r="GF320" s="101">
        <f t="shared" si="263"/>
        <v>0.05</v>
      </c>
      <c r="GG320" s="101">
        <f t="shared" si="264"/>
        <v>1</v>
      </c>
      <c r="GH320" s="101">
        <f t="shared" si="265"/>
        <v>28</v>
      </c>
      <c r="GI320" s="101">
        <f t="shared" si="266"/>
        <v>0</v>
      </c>
      <c r="GJ320" s="101">
        <f t="shared" si="267"/>
        <v>1</v>
      </c>
      <c r="GK320" s="101">
        <f t="shared" si="268"/>
        <v>6</v>
      </c>
      <c r="GL320" s="101">
        <f t="shared" si="269"/>
        <v>2.7099999999999999E-2</v>
      </c>
      <c r="GM320" s="101">
        <f t="shared" si="270"/>
        <v>1</v>
      </c>
      <c r="GN320" s="101">
        <f t="shared" si="271"/>
        <v>13</v>
      </c>
      <c r="GO320" s="101">
        <f t="shared" si="272"/>
        <v>0.1085</v>
      </c>
      <c r="GP320" s="101">
        <f t="shared" si="273"/>
        <v>1</v>
      </c>
      <c r="GQ320" s="101">
        <f t="shared" si="274"/>
        <v>28</v>
      </c>
    </row>
    <row r="321" spans="175:199" ht="16.5" x14ac:dyDescent="0.2">
      <c r="FS321" s="101">
        <v>316</v>
      </c>
      <c r="FT321" s="101">
        <f t="shared" si="259"/>
        <v>68</v>
      </c>
      <c r="FU321" s="101">
        <f t="shared" si="252"/>
        <v>4</v>
      </c>
      <c r="FV321" s="14">
        <f t="shared" si="253"/>
        <v>3</v>
      </c>
      <c r="FW321" s="101" t="str">
        <f t="shared" si="260"/>
        <v>李轩辕专属武器-魂珠-8 5级</v>
      </c>
      <c r="FX321" s="101">
        <f t="shared" si="261"/>
        <v>8</v>
      </c>
      <c r="FY321" s="101">
        <f t="shared" si="262"/>
        <v>5</v>
      </c>
      <c r="FZ321" s="101" t="str">
        <f t="shared" si="254"/>
        <v>金币</v>
      </c>
      <c r="GA321" s="139">
        <f>IF($FY321&gt;0,IF(INDEX($EM$6:$EM$77,$FT321)&gt;=GA$3,ROUND(INDEX(EO$6:EO$77,$FT321)*INDEX(卡牌消耗!$B$8:$F$8,FV321)/5,0)*5,""),"")</f>
        <v>10545</v>
      </c>
      <c r="GB321" s="101" t="str">
        <f t="shared" si="255"/>
        <v>专属强化石4</v>
      </c>
      <c r="GC321" s="101">
        <f t="shared" si="256"/>
        <v>15</v>
      </c>
      <c r="GD321" s="101" t="str">
        <f t="shared" si="257"/>
        <v/>
      </c>
      <c r="GE321" s="101" t="str">
        <f t="shared" si="258"/>
        <v/>
      </c>
      <c r="GF321" s="101">
        <f t="shared" si="263"/>
        <v>0.04</v>
      </c>
      <c r="GG321" s="101">
        <f t="shared" si="264"/>
        <v>1</v>
      </c>
      <c r="GH321" s="101">
        <f t="shared" si="265"/>
        <v>35</v>
      </c>
      <c r="GI321" s="101">
        <f t="shared" si="266"/>
        <v>0</v>
      </c>
      <c r="GJ321" s="101">
        <f t="shared" si="267"/>
        <v>1</v>
      </c>
      <c r="GK321" s="101">
        <f t="shared" si="268"/>
        <v>8</v>
      </c>
      <c r="GL321" s="101">
        <f t="shared" si="269"/>
        <v>2.12E-2</v>
      </c>
      <c r="GM321" s="101">
        <f t="shared" si="270"/>
        <v>1</v>
      </c>
      <c r="GN321" s="101">
        <f t="shared" si="271"/>
        <v>17</v>
      </c>
      <c r="GO321" s="101">
        <f t="shared" si="272"/>
        <v>8.4699999999999998E-2</v>
      </c>
      <c r="GP321" s="101">
        <f t="shared" si="273"/>
        <v>1</v>
      </c>
      <c r="GQ321" s="101">
        <f t="shared" si="274"/>
        <v>35</v>
      </c>
    </row>
    <row r="322" spans="175:199" ht="16.5" x14ac:dyDescent="0.2">
      <c r="FS322" s="101">
        <v>317</v>
      </c>
      <c r="FT322" s="101">
        <f t="shared" si="259"/>
        <v>69</v>
      </c>
      <c r="FU322" s="101">
        <f t="shared" si="252"/>
        <v>4</v>
      </c>
      <c r="FV322" s="14">
        <f t="shared" si="253"/>
        <v>3</v>
      </c>
      <c r="FW322" s="101" t="str">
        <f t="shared" si="260"/>
        <v>李轩辕专属武器-魂珠-8 6级</v>
      </c>
      <c r="FX322" s="101">
        <f t="shared" si="261"/>
        <v>8</v>
      </c>
      <c r="FY322" s="101">
        <f t="shared" si="262"/>
        <v>6</v>
      </c>
      <c r="FZ322" s="101" t="str">
        <f t="shared" si="254"/>
        <v>金币</v>
      </c>
      <c r="GA322" s="139">
        <f>IF($FY322&gt;0,IF(INDEX($EM$6:$EM$77,$FT322)&gt;=GA$3,ROUND(INDEX(EO$6:EO$77,$FT322)*INDEX(卡牌消耗!$B$8:$F$8,FV322)/5,0)*5,""),"")</f>
        <v>12580</v>
      </c>
      <c r="GB322" s="101" t="str">
        <f t="shared" si="255"/>
        <v>专属强化石4</v>
      </c>
      <c r="GC322" s="101">
        <f t="shared" si="256"/>
        <v>18</v>
      </c>
      <c r="GD322" s="101" t="str">
        <f t="shared" si="257"/>
        <v/>
      </c>
      <c r="GE322" s="101" t="str">
        <f t="shared" si="258"/>
        <v/>
      </c>
      <c r="GF322" s="101">
        <f t="shared" si="263"/>
        <v>0.03</v>
      </c>
      <c r="GG322" s="101">
        <f t="shared" si="264"/>
        <v>1</v>
      </c>
      <c r="GH322" s="101">
        <f t="shared" si="265"/>
        <v>48</v>
      </c>
      <c r="GI322" s="101">
        <f t="shared" si="266"/>
        <v>0</v>
      </c>
      <c r="GJ322" s="101">
        <f t="shared" si="267"/>
        <v>1</v>
      </c>
      <c r="GK322" s="101">
        <f t="shared" si="268"/>
        <v>11</v>
      </c>
      <c r="GL322" s="101">
        <f t="shared" si="269"/>
        <v>1.5599999999999999E-2</v>
      </c>
      <c r="GM322" s="101">
        <f t="shared" si="270"/>
        <v>1</v>
      </c>
      <c r="GN322" s="101">
        <f t="shared" si="271"/>
        <v>22</v>
      </c>
      <c r="GO322" s="101">
        <f t="shared" si="272"/>
        <v>6.2600000000000003E-2</v>
      </c>
      <c r="GP322" s="101">
        <f t="shared" si="273"/>
        <v>1</v>
      </c>
      <c r="GQ322" s="101">
        <f t="shared" si="274"/>
        <v>48</v>
      </c>
    </row>
    <row r="323" spans="175:199" ht="16.5" x14ac:dyDescent="0.2">
      <c r="FS323" s="101">
        <v>318</v>
      </c>
      <c r="FT323" s="101">
        <f t="shared" si="259"/>
        <v>70</v>
      </c>
      <c r="FU323" s="101">
        <f t="shared" si="252"/>
        <v>4</v>
      </c>
      <c r="FV323" s="14">
        <f t="shared" si="253"/>
        <v>3</v>
      </c>
      <c r="FW323" s="101" t="str">
        <f t="shared" si="260"/>
        <v>李轩辕专属武器-魂珠-8 7级</v>
      </c>
      <c r="FX323" s="101">
        <f t="shared" si="261"/>
        <v>8</v>
      </c>
      <c r="FY323" s="101">
        <f t="shared" si="262"/>
        <v>7</v>
      </c>
      <c r="FZ323" s="101" t="str">
        <f t="shared" si="254"/>
        <v>金币</v>
      </c>
      <c r="GA323" s="139">
        <f>IF($FY323&gt;0,IF(INDEX($EM$6:$EM$77,$FT323)&gt;=GA$3,ROUND(INDEX(EO$6:EO$77,$FT323)*INDEX(卡牌消耗!$B$8:$F$8,FV323)/5,0)*5,""),"")</f>
        <v>17515</v>
      </c>
      <c r="GB323" s="101" t="str">
        <f t="shared" si="255"/>
        <v>专属强化石4</v>
      </c>
      <c r="GC323" s="101">
        <f t="shared" si="256"/>
        <v>25</v>
      </c>
      <c r="GD323" s="101" t="str">
        <f t="shared" si="257"/>
        <v/>
      </c>
      <c r="GE323" s="101" t="str">
        <f t="shared" si="258"/>
        <v/>
      </c>
      <c r="GF323" s="101">
        <f t="shared" si="263"/>
        <v>0.03</v>
      </c>
      <c r="GG323" s="101">
        <f t="shared" si="264"/>
        <v>1</v>
      </c>
      <c r="GH323" s="101">
        <f t="shared" si="265"/>
        <v>56</v>
      </c>
      <c r="GI323" s="101">
        <f t="shared" si="266"/>
        <v>0</v>
      </c>
      <c r="GJ323" s="101">
        <f t="shared" si="267"/>
        <v>1</v>
      </c>
      <c r="GK323" s="101">
        <f t="shared" si="268"/>
        <v>13</v>
      </c>
      <c r="GL323" s="101">
        <f t="shared" si="269"/>
        <v>1.35E-2</v>
      </c>
      <c r="GM323" s="101">
        <f t="shared" si="270"/>
        <v>1</v>
      </c>
      <c r="GN323" s="101">
        <f t="shared" si="271"/>
        <v>26</v>
      </c>
      <c r="GO323" s="101">
        <f t="shared" si="272"/>
        <v>5.3800000000000001E-2</v>
      </c>
      <c r="GP323" s="101">
        <f t="shared" si="273"/>
        <v>1</v>
      </c>
      <c r="GQ323" s="101">
        <f t="shared" si="274"/>
        <v>56</v>
      </c>
    </row>
    <row r="324" spans="175:199" ht="16.5" x14ac:dyDescent="0.2">
      <c r="FS324" s="101">
        <v>319</v>
      </c>
      <c r="FT324" s="101">
        <f t="shared" si="259"/>
        <v>71</v>
      </c>
      <c r="FU324" s="101">
        <f t="shared" si="252"/>
        <v>4</v>
      </c>
      <c r="FV324" s="14">
        <f t="shared" si="253"/>
        <v>3</v>
      </c>
      <c r="FW324" s="101" t="str">
        <f t="shared" si="260"/>
        <v>李轩辕专属武器-魂珠-8 8级</v>
      </c>
      <c r="FX324" s="101">
        <f t="shared" si="261"/>
        <v>8</v>
      </c>
      <c r="FY324" s="101">
        <f t="shared" si="262"/>
        <v>8</v>
      </c>
      <c r="FZ324" s="101" t="str">
        <f t="shared" si="254"/>
        <v>金币</v>
      </c>
      <c r="GA324" s="139">
        <f>IF($FY324&gt;0,IF(INDEX($EM$6:$EM$77,$FT324)&gt;=GA$3,ROUND(INDEX(EO$6:EO$77,$FT324)*INDEX(卡牌消耗!$B$8:$F$8,FV324)/5,0)*5,""),"")</f>
        <v>21000</v>
      </c>
      <c r="GB324" s="101" t="str">
        <f t="shared" si="255"/>
        <v>专属强化石4</v>
      </c>
      <c r="GC324" s="101">
        <f t="shared" si="256"/>
        <v>30</v>
      </c>
      <c r="GD324" s="101" t="str">
        <f t="shared" si="257"/>
        <v/>
      </c>
      <c r="GE324" s="101" t="str">
        <f t="shared" si="258"/>
        <v/>
      </c>
      <c r="GF324" s="101">
        <f t="shared" si="263"/>
        <v>0.02</v>
      </c>
      <c r="GG324" s="101">
        <f t="shared" si="264"/>
        <v>1</v>
      </c>
      <c r="GH324" s="101">
        <f t="shared" si="265"/>
        <v>75</v>
      </c>
      <c r="GI324" s="101">
        <f t="shared" si="266"/>
        <v>0</v>
      </c>
      <c r="GJ324" s="101">
        <f t="shared" si="267"/>
        <v>1</v>
      </c>
      <c r="GK324" s="101">
        <f t="shared" si="268"/>
        <v>18</v>
      </c>
      <c r="GL324" s="101">
        <f t="shared" si="269"/>
        <v>0.01</v>
      </c>
      <c r="GM324" s="101">
        <f t="shared" si="270"/>
        <v>1</v>
      </c>
      <c r="GN324" s="101">
        <f t="shared" si="271"/>
        <v>35</v>
      </c>
      <c r="GO324" s="101">
        <f t="shared" si="272"/>
        <v>3.9899999999999998E-2</v>
      </c>
      <c r="GP324" s="101">
        <f t="shared" si="273"/>
        <v>1</v>
      </c>
      <c r="GQ324" s="101">
        <f t="shared" si="274"/>
        <v>75</v>
      </c>
    </row>
    <row r="325" spans="175:199" ht="16.5" x14ac:dyDescent="0.2">
      <c r="FS325" s="101">
        <v>320</v>
      </c>
      <c r="FT325" s="101">
        <f t="shared" si="259"/>
        <v>72</v>
      </c>
      <c r="FU325" s="101">
        <f t="shared" si="252"/>
        <v>4</v>
      </c>
      <c r="FV325" s="14">
        <f t="shared" si="253"/>
        <v>3</v>
      </c>
      <c r="FW325" s="101" t="str">
        <f t="shared" si="260"/>
        <v>李轩辕专属武器-魂珠-8 9级</v>
      </c>
      <c r="FX325" s="101">
        <f t="shared" si="261"/>
        <v>8</v>
      </c>
      <c r="FY325" s="101">
        <f t="shared" si="262"/>
        <v>9</v>
      </c>
      <c r="FZ325" s="101" t="str">
        <f t="shared" si="254"/>
        <v>金币</v>
      </c>
      <c r="GA325" s="139">
        <f>IF($FY325&gt;0,IF(INDEX($EM$6:$EM$77,$FT325)&gt;=GA$3,ROUND(INDEX(EO$6:EO$77,$FT325)*INDEX(卡牌消耗!$B$8:$F$8,FV325)/5,0)*5,""),"")</f>
        <v>21005</v>
      </c>
      <c r="GB325" s="101" t="str">
        <f t="shared" si="255"/>
        <v>专属强化石4</v>
      </c>
      <c r="GC325" s="101">
        <f t="shared" si="256"/>
        <v>30</v>
      </c>
      <c r="GD325" s="101" t="str">
        <f t="shared" si="257"/>
        <v/>
      </c>
      <c r="GE325" s="101" t="str">
        <f t="shared" si="258"/>
        <v/>
      </c>
      <c r="GF325" s="101">
        <f t="shared" si="263"/>
        <v>0.01</v>
      </c>
      <c r="GG325" s="101">
        <f t="shared" si="264"/>
        <v>1</v>
      </c>
      <c r="GH325" s="101">
        <f t="shared" si="265"/>
        <v>122</v>
      </c>
      <c r="GI325" s="101">
        <f t="shared" si="266"/>
        <v>0</v>
      </c>
      <c r="GJ325" s="101">
        <f t="shared" si="267"/>
        <v>1</v>
      </c>
      <c r="GK325" s="101">
        <f t="shared" si="268"/>
        <v>28</v>
      </c>
      <c r="GL325" s="101">
        <f t="shared" si="269"/>
        <v>6.1999999999999998E-3</v>
      </c>
      <c r="GM325" s="101">
        <f t="shared" si="270"/>
        <v>1</v>
      </c>
      <c r="GN325" s="101">
        <f t="shared" si="271"/>
        <v>57</v>
      </c>
      <c r="GO325" s="101">
        <f t="shared" si="272"/>
        <v>2.47E-2</v>
      </c>
      <c r="GP325" s="101">
        <f t="shared" si="273"/>
        <v>1</v>
      </c>
      <c r="GQ325" s="101">
        <f t="shared" si="274"/>
        <v>122</v>
      </c>
    </row>
    <row r="326" spans="175:199" ht="16.5" x14ac:dyDescent="0.2">
      <c r="FS326" s="101">
        <v>321</v>
      </c>
      <c r="FT326" s="101">
        <f t="shared" si="259"/>
        <v>0</v>
      </c>
      <c r="FU326" s="101">
        <f t="shared" si="252"/>
        <v>5</v>
      </c>
      <c r="FV326" s="14">
        <f t="shared" si="253"/>
        <v>5</v>
      </c>
      <c r="FW326" s="101" t="str">
        <f t="shared" si="260"/>
        <v>项羽专属武器-魂珠-1 0级</v>
      </c>
      <c r="FX326" s="101">
        <f t="shared" si="261"/>
        <v>1</v>
      </c>
      <c r="FY326" s="101">
        <f t="shared" si="262"/>
        <v>0</v>
      </c>
      <c r="FZ326" s="101" t="str">
        <f t="shared" si="254"/>
        <v/>
      </c>
      <c r="GA326" s="139" t="str">
        <f>IF($FY326&gt;0,IF(INDEX($EM$6:$EM$77,$FT326)&gt;=GA$3,ROUND(INDEX(EO$6:EO$77,$FT326)*INDEX(卡牌消耗!$B$8:$F$8,FV326)/5,0)*5,""),"")</f>
        <v/>
      </c>
      <c r="GB326" s="101" t="str">
        <f t="shared" si="255"/>
        <v/>
      </c>
      <c r="GC326" s="101" t="str">
        <f t="shared" si="256"/>
        <v/>
      </c>
      <c r="GD326" s="101" t="str">
        <f t="shared" si="257"/>
        <v/>
      </c>
      <c r="GE326" s="101" t="str">
        <f t="shared" si="258"/>
        <v/>
      </c>
      <c r="GF326" s="101" t="str">
        <f t="shared" si="263"/>
        <v/>
      </c>
      <c r="GG326" s="101" t="str">
        <f t="shared" si="264"/>
        <v/>
      </c>
      <c r="GH326" s="101" t="str">
        <f t="shared" si="265"/>
        <v/>
      </c>
      <c r="GI326" s="101" t="str">
        <f t="shared" si="266"/>
        <v/>
      </c>
      <c r="GJ326" s="101" t="str">
        <f t="shared" si="267"/>
        <v/>
      </c>
      <c r="GK326" s="101" t="str">
        <f t="shared" si="268"/>
        <v/>
      </c>
      <c r="GL326" s="101" t="str">
        <f t="shared" si="269"/>
        <v/>
      </c>
      <c r="GM326" s="101" t="str">
        <f t="shared" si="270"/>
        <v/>
      </c>
      <c r="GN326" s="101" t="str">
        <f t="shared" si="271"/>
        <v/>
      </c>
      <c r="GO326" s="101" t="str">
        <f t="shared" si="272"/>
        <v/>
      </c>
      <c r="GP326" s="101" t="str">
        <f t="shared" si="273"/>
        <v/>
      </c>
      <c r="GQ326" s="101" t="str">
        <f t="shared" si="274"/>
        <v/>
      </c>
    </row>
    <row r="327" spans="175:199" ht="16.5" x14ac:dyDescent="0.2">
      <c r="FS327" s="101">
        <v>322</v>
      </c>
      <c r="FT327" s="101">
        <f t="shared" si="259"/>
        <v>1</v>
      </c>
      <c r="FU327" s="101">
        <f t="shared" ref="FU327:FU390" si="275">INT((FS327-1)/80+1)</f>
        <v>5</v>
      </c>
      <c r="FV327" s="14">
        <f t="shared" ref="FV327:FV390" si="276">INDEX($FO$6:$FO$26,FU327)</f>
        <v>5</v>
      </c>
      <c r="FW327" s="101" t="str">
        <f t="shared" si="260"/>
        <v>项羽专属武器-魂珠-1 1级</v>
      </c>
      <c r="FX327" s="101">
        <f t="shared" si="261"/>
        <v>1</v>
      </c>
      <c r="FY327" s="101">
        <f t="shared" si="262"/>
        <v>1</v>
      </c>
      <c r="FZ327" s="101" t="str">
        <f t="shared" ref="FZ327:FZ390" si="277">IF($FY327&gt;0,IF(INDEX($EM$6:$EM$77,$FT327)&gt;=FZ$3,INDEX(EN$6:EN$77,$FT327),""),"")</f>
        <v>金币</v>
      </c>
      <c r="GA327" s="139">
        <f>IF($FY327&gt;0,IF(INDEX($EM$6:$EM$77,$FT327)&gt;=GA$3,ROUND(INDEX(EO$6:EO$77,$FT327)*INDEX(卡牌消耗!$B$8:$F$8,FV327)/5,0)*5,""),"")</f>
        <v>190</v>
      </c>
      <c r="GB327" s="101" t="str">
        <f t="shared" ref="GB327:GB390" si="278">IF($FY327&gt;0,IF(INDEX($EM$6:$EM$77,$FT327)&gt;=GB$3,INDEX(EP$6:EP$77,$FT327),""),"")</f>
        <v>专属强化石1</v>
      </c>
      <c r="GC327" s="101">
        <f t="shared" ref="GC327:GC390" si="279">IF($FY327&gt;0,IF(INDEX($EM$6:$EM$77,$FT327)&gt;=GC$3,INDEX(EQ$6:EQ$77,$FT327),""),"")</f>
        <v>1</v>
      </c>
      <c r="GD327" s="101" t="str">
        <f t="shared" ref="GD327:GD390" si="280">IF($FY327&gt;0,IF(INDEX($EM$6:$EM$77,$FT327)&gt;=GD$3,INDEX(ER$6:ER$77,$FT327),""),"")</f>
        <v/>
      </c>
      <c r="GE327" s="101" t="str">
        <f t="shared" ref="GE327:GE390" si="281">IF($FY327&gt;0,IF(INDEX($EM$6:$EM$77,$FT327)&gt;=GE$3,INDEX(ES$6:ES$77,$FT327),""),"")</f>
        <v/>
      </c>
      <c r="GF327" s="101">
        <f t="shared" si="263"/>
        <v>0.32</v>
      </c>
      <c r="GG327" s="101">
        <f t="shared" si="264"/>
        <v>1</v>
      </c>
      <c r="GH327" s="101">
        <f t="shared" si="265"/>
        <v>5</v>
      </c>
      <c r="GI327" s="101">
        <f t="shared" si="266"/>
        <v>0</v>
      </c>
      <c r="GJ327" s="101">
        <f t="shared" si="267"/>
        <v>1</v>
      </c>
      <c r="GK327" s="101">
        <f t="shared" si="268"/>
        <v>1</v>
      </c>
      <c r="GL327" s="101">
        <f t="shared" si="269"/>
        <v>0.1595</v>
      </c>
      <c r="GM327" s="101">
        <f t="shared" si="270"/>
        <v>1</v>
      </c>
      <c r="GN327" s="101">
        <f t="shared" si="271"/>
        <v>2</v>
      </c>
      <c r="GO327" s="101">
        <f t="shared" si="272"/>
        <v>0.63819999999999999</v>
      </c>
      <c r="GP327" s="101">
        <f t="shared" si="273"/>
        <v>1</v>
      </c>
      <c r="GQ327" s="101">
        <f t="shared" si="274"/>
        <v>5</v>
      </c>
    </row>
    <row r="328" spans="175:199" ht="16.5" x14ac:dyDescent="0.2">
      <c r="FS328" s="101">
        <v>323</v>
      </c>
      <c r="FT328" s="101">
        <f t="shared" si="259"/>
        <v>2</v>
      </c>
      <c r="FU328" s="101">
        <f t="shared" si="275"/>
        <v>5</v>
      </c>
      <c r="FV328" s="14">
        <f t="shared" si="276"/>
        <v>5</v>
      </c>
      <c r="FW328" s="101" t="str">
        <f t="shared" si="260"/>
        <v>项羽专属武器-魂珠-1 2级</v>
      </c>
      <c r="FX328" s="101">
        <f t="shared" si="261"/>
        <v>1</v>
      </c>
      <c r="FY328" s="101">
        <f t="shared" si="262"/>
        <v>2</v>
      </c>
      <c r="FZ328" s="101" t="str">
        <f t="shared" si="277"/>
        <v>金币</v>
      </c>
      <c r="GA328" s="139">
        <f>IF($FY328&gt;0,IF(INDEX($EM$6:$EM$77,$FT328)&gt;=GA$3,ROUND(INDEX(EO$6:EO$77,$FT328)*INDEX(卡牌消耗!$B$8:$F$8,FV328)/5,0)*5,""),"")</f>
        <v>285</v>
      </c>
      <c r="GB328" s="101" t="str">
        <f t="shared" si="278"/>
        <v>专属强化石1</v>
      </c>
      <c r="GC328" s="101">
        <f t="shared" si="279"/>
        <v>2</v>
      </c>
      <c r="GD328" s="101" t="str">
        <f t="shared" si="280"/>
        <v/>
      </c>
      <c r="GE328" s="101" t="str">
        <f t="shared" si="281"/>
        <v/>
      </c>
      <c r="GF328" s="101">
        <f t="shared" si="263"/>
        <v>0.32</v>
      </c>
      <c r="GG328" s="101">
        <f t="shared" si="264"/>
        <v>1</v>
      </c>
      <c r="GH328" s="101">
        <f t="shared" si="265"/>
        <v>5</v>
      </c>
      <c r="GI328" s="101">
        <f t="shared" si="266"/>
        <v>0</v>
      </c>
      <c r="GJ328" s="101">
        <f t="shared" si="267"/>
        <v>1</v>
      </c>
      <c r="GK328" s="101">
        <f t="shared" si="268"/>
        <v>1</v>
      </c>
      <c r="GL328" s="101">
        <f t="shared" si="269"/>
        <v>0.1595</v>
      </c>
      <c r="GM328" s="101">
        <f t="shared" si="270"/>
        <v>1</v>
      </c>
      <c r="GN328" s="101">
        <f t="shared" si="271"/>
        <v>2</v>
      </c>
      <c r="GO328" s="101">
        <f t="shared" si="272"/>
        <v>0.63819999999999999</v>
      </c>
      <c r="GP328" s="101">
        <f t="shared" si="273"/>
        <v>1</v>
      </c>
      <c r="GQ328" s="101">
        <f t="shared" si="274"/>
        <v>5</v>
      </c>
    </row>
    <row r="329" spans="175:199" ht="16.5" x14ac:dyDescent="0.2">
      <c r="FS329" s="101">
        <v>324</v>
      </c>
      <c r="FT329" s="101">
        <f t="shared" si="259"/>
        <v>3</v>
      </c>
      <c r="FU329" s="101">
        <f t="shared" si="275"/>
        <v>5</v>
      </c>
      <c r="FV329" s="14">
        <f t="shared" si="276"/>
        <v>5</v>
      </c>
      <c r="FW329" s="101" t="str">
        <f t="shared" si="260"/>
        <v>项羽专属武器-魂珠-1 3级</v>
      </c>
      <c r="FX329" s="101">
        <f t="shared" si="261"/>
        <v>1</v>
      </c>
      <c r="FY329" s="101">
        <f t="shared" si="262"/>
        <v>3</v>
      </c>
      <c r="FZ329" s="101" t="str">
        <f t="shared" si="277"/>
        <v>金币</v>
      </c>
      <c r="GA329" s="139">
        <f>IF($FY329&gt;0,IF(INDEX($EM$6:$EM$77,$FT329)&gt;=GA$3,ROUND(INDEX(EO$6:EO$77,$FT329)*INDEX(卡牌消耗!$B$8:$F$8,FV329)/5,0)*5,""),"")</f>
        <v>475</v>
      </c>
      <c r="GB329" s="101" t="str">
        <f t="shared" si="278"/>
        <v>专属强化石1</v>
      </c>
      <c r="GC329" s="101">
        <f t="shared" si="279"/>
        <v>3</v>
      </c>
      <c r="GD329" s="101" t="str">
        <f t="shared" si="280"/>
        <v/>
      </c>
      <c r="GE329" s="101" t="str">
        <f t="shared" si="281"/>
        <v/>
      </c>
      <c r="GF329" s="101">
        <f t="shared" si="263"/>
        <v>0.32</v>
      </c>
      <c r="GG329" s="101">
        <f t="shared" si="264"/>
        <v>1</v>
      </c>
      <c r="GH329" s="101">
        <f t="shared" si="265"/>
        <v>5</v>
      </c>
      <c r="GI329" s="101">
        <f t="shared" si="266"/>
        <v>0</v>
      </c>
      <c r="GJ329" s="101">
        <f t="shared" si="267"/>
        <v>1</v>
      </c>
      <c r="GK329" s="101">
        <f t="shared" si="268"/>
        <v>1</v>
      </c>
      <c r="GL329" s="101">
        <f t="shared" si="269"/>
        <v>0.1595</v>
      </c>
      <c r="GM329" s="101">
        <f t="shared" si="270"/>
        <v>1</v>
      </c>
      <c r="GN329" s="101">
        <f t="shared" si="271"/>
        <v>2</v>
      </c>
      <c r="GO329" s="101">
        <f t="shared" si="272"/>
        <v>0.63819999999999999</v>
      </c>
      <c r="GP329" s="101">
        <f t="shared" si="273"/>
        <v>1</v>
      </c>
      <c r="GQ329" s="101">
        <f t="shared" si="274"/>
        <v>5</v>
      </c>
    </row>
    <row r="330" spans="175:199" ht="16.5" x14ac:dyDescent="0.2">
      <c r="FS330" s="101">
        <v>325</v>
      </c>
      <c r="FT330" s="101">
        <f t="shared" si="259"/>
        <v>4</v>
      </c>
      <c r="FU330" s="101">
        <f t="shared" si="275"/>
        <v>5</v>
      </c>
      <c r="FV330" s="14">
        <f t="shared" si="276"/>
        <v>5</v>
      </c>
      <c r="FW330" s="101" t="str">
        <f t="shared" si="260"/>
        <v>项羽专属武器-魂珠-1 4级</v>
      </c>
      <c r="FX330" s="101">
        <f t="shared" si="261"/>
        <v>1</v>
      </c>
      <c r="FY330" s="101">
        <f t="shared" si="262"/>
        <v>4</v>
      </c>
      <c r="FZ330" s="101" t="str">
        <f t="shared" si="277"/>
        <v>金币</v>
      </c>
      <c r="GA330" s="139">
        <f>IF($FY330&gt;0,IF(INDEX($EM$6:$EM$77,$FT330)&gt;=GA$3,ROUND(INDEX(EO$6:EO$77,$FT330)*INDEX(卡牌消耗!$B$8:$F$8,FV330)/5,0)*5,""),"")</f>
        <v>605</v>
      </c>
      <c r="GB330" s="101" t="str">
        <f t="shared" si="278"/>
        <v>专属强化石1</v>
      </c>
      <c r="GC330" s="101">
        <f t="shared" si="279"/>
        <v>4</v>
      </c>
      <c r="GD330" s="101" t="str">
        <f t="shared" si="280"/>
        <v/>
      </c>
      <c r="GE330" s="101" t="str">
        <f t="shared" si="281"/>
        <v/>
      </c>
      <c r="GF330" s="101">
        <f t="shared" si="263"/>
        <v>0.26</v>
      </c>
      <c r="GG330" s="101">
        <f t="shared" si="264"/>
        <v>1</v>
      </c>
      <c r="GH330" s="101">
        <f t="shared" si="265"/>
        <v>6</v>
      </c>
      <c r="GI330" s="101">
        <f t="shared" si="266"/>
        <v>0</v>
      </c>
      <c r="GJ330" s="101">
        <f t="shared" si="267"/>
        <v>1</v>
      </c>
      <c r="GK330" s="101">
        <f t="shared" si="268"/>
        <v>1</v>
      </c>
      <c r="GL330" s="101">
        <f t="shared" si="269"/>
        <v>0.12759999999999999</v>
      </c>
      <c r="GM330" s="101">
        <f t="shared" si="270"/>
        <v>1</v>
      </c>
      <c r="GN330" s="101">
        <f t="shared" si="271"/>
        <v>3</v>
      </c>
      <c r="GO330" s="101">
        <f t="shared" si="272"/>
        <v>0.51060000000000005</v>
      </c>
      <c r="GP330" s="101">
        <f t="shared" si="273"/>
        <v>1</v>
      </c>
      <c r="GQ330" s="101">
        <f t="shared" si="274"/>
        <v>6</v>
      </c>
    </row>
    <row r="331" spans="175:199" ht="16.5" x14ac:dyDescent="0.2">
      <c r="FS331" s="101">
        <v>326</v>
      </c>
      <c r="FT331" s="101">
        <f t="shared" si="259"/>
        <v>5</v>
      </c>
      <c r="FU331" s="101">
        <f t="shared" si="275"/>
        <v>5</v>
      </c>
      <c r="FV331" s="14">
        <f t="shared" si="276"/>
        <v>5</v>
      </c>
      <c r="FW331" s="101" t="str">
        <f t="shared" si="260"/>
        <v>项羽专属武器-魂珠-1 5级</v>
      </c>
      <c r="FX331" s="101">
        <f t="shared" si="261"/>
        <v>1</v>
      </c>
      <c r="FY331" s="101">
        <f t="shared" si="262"/>
        <v>5</v>
      </c>
      <c r="FZ331" s="101" t="str">
        <f t="shared" si="277"/>
        <v>金币</v>
      </c>
      <c r="GA331" s="139">
        <f>IF($FY331&gt;0,IF(INDEX($EM$6:$EM$77,$FT331)&gt;=GA$3,ROUND(INDEX(EO$6:EO$77,$FT331)*INDEX(卡牌消耗!$B$8:$F$8,FV331)/5,0)*5,""),"")</f>
        <v>770</v>
      </c>
      <c r="GB331" s="101" t="str">
        <f t="shared" si="278"/>
        <v>专属强化石1</v>
      </c>
      <c r="GC331" s="101">
        <f t="shared" si="279"/>
        <v>5</v>
      </c>
      <c r="GD331" s="101" t="str">
        <f t="shared" si="280"/>
        <v/>
      </c>
      <c r="GE331" s="101" t="str">
        <f t="shared" si="281"/>
        <v/>
      </c>
      <c r="GF331" s="101">
        <f t="shared" si="263"/>
        <v>0.2</v>
      </c>
      <c r="GG331" s="101">
        <f t="shared" si="264"/>
        <v>1</v>
      </c>
      <c r="GH331" s="101">
        <f t="shared" si="265"/>
        <v>8</v>
      </c>
      <c r="GI331" s="101">
        <f t="shared" si="266"/>
        <v>0</v>
      </c>
      <c r="GJ331" s="101">
        <f t="shared" si="267"/>
        <v>1</v>
      </c>
      <c r="GK331" s="101">
        <f t="shared" si="268"/>
        <v>2</v>
      </c>
      <c r="GL331" s="101">
        <f t="shared" si="269"/>
        <v>9.9699999999999997E-2</v>
      </c>
      <c r="GM331" s="101">
        <f t="shared" si="270"/>
        <v>1</v>
      </c>
      <c r="GN331" s="101">
        <f t="shared" si="271"/>
        <v>4</v>
      </c>
      <c r="GO331" s="101">
        <f t="shared" si="272"/>
        <v>0.39889999999999998</v>
      </c>
      <c r="GP331" s="101">
        <f t="shared" si="273"/>
        <v>1</v>
      </c>
      <c r="GQ331" s="101">
        <f t="shared" si="274"/>
        <v>8</v>
      </c>
    </row>
    <row r="332" spans="175:199" ht="16.5" x14ac:dyDescent="0.2">
      <c r="FS332" s="101">
        <v>327</v>
      </c>
      <c r="FT332" s="101">
        <f t="shared" si="259"/>
        <v>6</v>
      </c>
      <c r="FU332" s="101">
        <f t="shared" si="275"/>
        <v>5</v>
      </c>
      <c r="FV332" s="14">
        <f t="shared" si="276"/>
        <v>5</v>
      </c>
      <c r="FW332" s="101" t="str">
        <f t="shared" si="260"/>
        <v>项羽专属武器-魂珠-1 6级</v>
      </c>
      <c r="FX332" s="101">
        <f t="shared" si="261"/>
        <v>1</v>
      </c>
      <c r="FY332" s="101">
        <f t="shared" si="262"/>
        <v>6</v>
      </c>
      <c r="FZ332" s="101" t="str">
        <f t="shared" si="277"/>
        <v>金币</v>
      </c>
      <c r="GA332" s="139">
        <f>IF($FY332&gt;0,IF(INDEX($EM$6:$EM$77,$FT332)&gt;=GA$3,ROUND(INDEX(EO$6:EO$77,$FT332)*INDEX(卡牌消耗!$B$8:$F$8,FV332)/5,0)*5,""),"")</f>
        <v>920</v>
      </c>
      <c r="GB332" s="101" t="str">
        <f t="shared" si="278"/>
        <v>专属强化石1</v>
      </c>
      <c r="GC332" s="101">
        <f t="shared" si="279"/>
        <v>6</v>
      </c>
      <c r="GD332" s="101" t="str">
        <f t="shared" si="280"/>
        <v/>
      </c>
      <c r="GE332" s="101" t="str">
        <f t="shared" si="281"/>
        <v/>
      </c>
      <c r="GF332" s="101">
        <f t="shared" si="263"/>
        <v>0.15</v>
      </c>
      <c r="GG332" s="101">
        <f t="shared" si="264"/>
        <v>1</v>
      </c>
      <c r="GH332" s="101">
        <f t="shared" si="265"/>
        <v>10</v>
      </c>
      <c r="GI332" s="101">
        <f t="shared" si="266"/>
        <v>0</v>
      </c>
      <c r="GJ332" s="101">
        <f t="shared" si="267"/>
        <v>1</v>
      </c>
      <c r="GK332" s="101">
        <f t="shared" si="268"/>
        <v>2</v>
      </c>
      <c r="GL332" s="101">
        <f t="shared" si="269"/>
        <v>7.3599999999999999E-2</v>
      </c>
      <c r="GM332" s="101">
        <f t="shared" si="270"/>
        <v>1</v>
      </c>
      <c r="GN332" s="101">
        <f t="shared" si="271"/>
        <v>5</v>
      </c>
      <c r="GO332" s="101">
        <f t="shared" si="272"/>
        <v>0.29459999999999997</v>
      </c>
      <c r="GP332" s="101">
        <f t="shared" si="273"/>
        <v>1</v>
      </c>
      <c r="GQ332" s="101">
        <f t="shared" si="274"/>
        <v>10</v>
      </c>
    </row>
    <row r="333" spans="175:199" ht="16.5" x14ac:dyDescent="0.2">
      <c r="FS333" s="101">
        <v>328</v>
      </c>
      <c r="FT333" s="101">
        <f t="shared" si="259"/>
        <v>7</v>
      </c>
      <c r="FU333" s="101">
        <f t="shared" si="275"/>
        <v>5</v>
      </c>
      <c r="FV333" s="14">
        <f t="shared" si="276"/>
        <v>5</v>
      </c>
      <c r="FW333" s="101" t="str">
        <f t="shared" si="260"/>
        <v>项羽专属武器-魂珠-1 7级</v>
      </c>
      <c r="FX333" s="101">
        <f t="shared" si="261"/>
        <v>1</v>
      </c>
      <c r="FY333" s="101">
        <f t="shared" si="262"/>
        <v>7</v>
      </c>
      <c r="FZ333" s="101" t="str">
        <f t="shared" si="277"/>
        <v>金币</v>
      </c>
      <c r="GA333" s="139">
        <f>IF($FY333&gt;0,IF(INDEX($EM$6:$EM$77,$FT333)&gt;=GA$3,ROUND(INDEX(EO$6:EO$77,$FT333)*INDEX(卡牌消耗!$B$8:$F$8,FV333)/5,0)*5,""),"")</f>
        <v>1070</v>
      </c>
      <c r="GB333" s="101" t="str">
        <f t="shared" si="278"/>
        <v>专属强化石1</v>
      </c>
      <c r="GC333" s="101">
        <f t="shared" si="279"/>
        <v>7</v>
      </c>
      <c r="GD333" s="101" t="str">
        <f t="shared" si="280"/>
        <v/>
      </c>
      <c r="GE333" s="101" t="str">
        <f t="shared" si="281"/>
        <v/>
      </c>
      <c r="GF333" s="101">
        <f t="shared" si="263"/>
        <v>0.11</v>
      </c>
      <c r="GG333" s="101">
        <f t="shared" si="264"/>
        <v>1</v>
      </c>
      <c r="GH333" s="101">
        <f t="shared" si="265"/>
        <v>14</v>
      </c>
      <c r="GI333" s="101">
        <f t="shared" si="266"/>
        <v>0</v>
      </c>
      <c r="GJ333" s="101">
        <f t="shared" si="267"/>
        <v>1</v>
      </c>
      <c r="GK333" s="101">
        <f t="shared" si="268"/>
        <v>3</v>
      </c>
      <c r="GL333" s="101">
        <f t="shared" si="269"/>
        <v>5.3199999999999997E-2</v>
      </c>
      <c r="GM333" s="101">
        <f t="shared" si="270"/>
        <v>1</v>
      </c>
      <c r="GN333" s="101">
        <f t="shared" si="271"/>
        <v>7</v>
      </c>
      <c r="GO333" s="101">
        <f t="shared" si="272"/>
        <v>0.2127</v>
      </c>
      <c r="GP333" s="101">
        <f t="shared" si="273"/>
        <v>1</v>
      </c>
      <c r="GQ333" s="101">
        <f t="shared" si="274"/>
        <v>14</v>
      </c>
    </row>
    <row r="334" spans="175:199" ht="16.5" x14ac:dyDescent="0.2">
      <c r="FS334" s="101">
        <v>329</v>
      </c>
      <c r="FT334" s="101">
        <f t="shared" si="259"/>
        <v>8</v>
      </c>
      <c r="FU334" s="101">
        <f t="shared" si="275"/>
        <v>5</v>
      </c>
      <c r="FV334" s="14">
        <f t="shared" si="276"/>
        <v>5</v>
      </c>
      <c r="FW334" s="101" t="str">
        <f t="shared" si="260"/>
        <v>项羽专属武器-魂珠-1 8级</v>
      </c>
      <c r="FX334" s="101">
        <f t="shared" si="261"/>
        <v>1</v>
      </c>
      <c r="FY334" s="101">
        <f t="shared" si="262"/>
        <v>8</v>
      </c>
      <c r="FZ334" s="101" t="str">
        <f t="shared" si="277"/>
        <v>金币</v>
      </c>
      <c r="GA334" s="139">
        <f>IF($FY334&gt;0,IF(INDEX($EM$6:$EM$77,$FT334)&gt;=GA$3,ROUND(INDEX(EO$6:EO$77,$FT334)*INDEX(卡牌消耗!$B$8:$F$8,FV334)/5,0)*5,""),"")</f>
        <v>1225</v>
      </c>
      <c r="GB334" s="101" t="str">
        <f t="shared" si="278"/>
        <v>专属强化石1</v>
      </c>
      <c r="GC334" s="101">
        <f t="shared" si="279"/>
        <v>8</v>
      </c>
      <c r="GD334" s="101" t="str">
        <f t="shared" si="280"/>
        <v/>
      </c>
      <c r="GE334" s="101" t="str">
        <f t="shared" si="281"/>
        <v/>
      </c>
      <c r="GF334" s="101">
        <f t="shared" si="263"/>
        <v>0.08</v>
      </c>
      <c r="GG334" s="101">
        <f t="shared" si="264"/>
        <v>1</v>
      </c>
      <c r="GH334" s="101">
        <f t="shared" si="265"/>
        <v>20</v>
      </c>
      <c r="GI334" s="101">
        <f t="shared" si="266"/>
        <v>0</v>
      </c>
      <c r="GJ334" s="101">
        <f t="shared" si="267"/>
        <v>1</v>
      </c>
      <c r="GK334" s="101">
        <f t="shared" si="268"/>
        <v>5</v>
      </c>
      <c r="GL334" s="101">
        <f t="shared" si="269"/>
        <v>3.7499999999999999E-2</v>
      </c>
      <c r="GM334" s="101">
        <f t="shared" si="270"/>
        <v>1</v>
      </c>
      <c r="GN334" s="101">
        <f t="shared" si="271"/>
        <v>9</v>
      </c>
      <c r="GO334" s="101">
        <f t="shared" si="272"/>
        <v>0.1502</v>
      </c>
      <c r="GP334" s="101">
        <f t="shared" si="273"/>
        <v>1</v>
      </c>
      <c r="GQ334" s="101">
        <f t="shared" si="274"/>
        <v>20</v>
      </c>
    </row>
    <row r="335" spans="175:199" ht="16.5" x14ac:dyDescent="0.2">
      <c r="FS335" s="101">
        <v>330</v>
      </c>
      <c r="FT335" s="101">
        <f t="shared" si="259"/>
        <v>9</v>
      </c>
      <c r="FU335" s="101">
        <f t="shared" si="275"/>
        <v>5</v>
      </c>
      <c r="FV335" s="14">
        <f t="shared" si="276"/>
        <v>5</v>
      </c>
      <c r="FW335" s="101" t="str">
        <f t="shared" si="260"/>
        <v>项羽专属武器-魂珠-1 9级</v>
      </c>
      <c r="FX335" s="101">
        <f t="shared" si="261"/>
        <v>1</v>
      </c>
      <c r="FY335" s="101">
        <f t="shared" si="262"/>
        <v>9</v>
      </c>
      <c r="FZ335" s="101" t="str">
        <f t="shared" si="277"/>
        <v>金币</v>
      </c>
      <c r="GA335" s="139">
        <f>IF($FY335&gt;0,IF(INDEX($EM$6:$EM$77,$FT335)&gt;=GA$3,ROUND(INDEX(EO$6:EO$77,$FT335)*INDEX(卡牌消耗!$B$8:$F$8,FV335)/5,0)*5,""),"")</f>
        <v>1530</v>
      </c>
      <c r="GB335" s="101" t="str">
        <f t="shared" si="278"/>
        <v>专属强化石1</v>
      </c>
      <c r="GC335" s="101">
        <f t="shared" si="279"/>
        <v>10</v>
      </c>
      <c r="GD335" s="101" t="str">
        <f t="shared" si="280"/>
        <v/>
      </c>
      <c r="GE335" s="101" t="str">
        <f t="shared" si="281"/>
        <v/>
      </c>
      <c r="GF335" s="101">
        <f t="shared" si="263"/>
        <v>0.06</v>
      </c>
      <c r="GG335" s="101">
        <f t="shared" si="264"/>
        <v>1</v>
      </c>
      <c r="GH335" s="101">
        <f t="shared" si="265"/>
        <v>26</v>
      </c>
      <c r="GI335" s="101">
        <f t="shared" si="266"/>
        <v>0</v>
      </c>
      <c r="GJ335" s="101">
        <f t="shared" si="267"/>
        <v>1</v>
      </c>
      <c r="GK335" s="101">
        <f t="shared" si="268"/>
        <v>6</v>
      </c>
      <c r="GL335" s="101">
        <f t="shared" si="269"/>
        <v>2.9000000000000001E-2</v>
      </c>
      <c r="GM335" s="101">
        <f t="shared" si="270"/>
        <v>1</v>
      </c>
      <c r="GN335" s="101">
        <f t="shared" si="271"/>
        <v>12</v>
      </c>
      <c r="GO335" s="101">
        <f t="shared" si="272"/>
        <v>0.11600000000000001</v>
      </c>
      <c r="GP335" s="101">
        <f t="shared" si="273"/>
        <v>1</v>
      </c>
      <c r="GQ335" s="101">
        <f t="shared" si="274"/>
        <v>26</v>
      </c>
    </row>
    <row r="336" spans="175:199" ht="16.5" x14ac:dyDescent="0.2">
      <c r="FS336" s="101">
        <v>331</v>
      </c>
      <c r="FT336" s="101">
        <f t="shared" si="259"/>
        <v>0</v>
      </c>
      <c r="FU336" s="101">
        <f t="shared" si="275"/>
        <v>5</v>
      </c>
      <c r="FV336" s="14">
        <f t="shared" si="276"/>
        <v>5</v>
      </c>
      <c r="FW336" s="101" t="str">
        <f t="shared" si="260"/>
        <v>项羽专属武器-魂珠-2 0级</v>
      </c>
      <c r="FX336" s="101">
        <f t="shared" si="261"/>
        <v>2</v>
      </c>
      <c r="FY336" s="101">
        <f t="shared" si="262"/>
        <v>0</v>
      </c>
      <c r="FZ336" s="101" t="str">
        <f t="shared" si="277"/>
        <v/>
      </c>
      <c r="GA336" s="139" t="str">
        <f>IF($FY336&gt;0,IF(INDEX($EM$6:$EM$77,$FT336)&gt;=GA$3,ROUND(INDEX(EO$6:EO$77,$FT336)*INDEX(卡牌消耗!$B$8:$F$8,FV336)/5,0)*5,""),"")</f>
        <v/>
      </c>
      <c r="GB336" s="101" t="str">
        <f t="shared" si="278"/>
        <v/>
      </c>
      <c r="GC336" s="101" t="str">
        <f t="shared" si="279"/>
        <v/>
      </c>
      <c r="GD336" s="101" t="str">
        <f t="shared" si="280"/>
        <v/>
      </c>
      <c r="GE336" s="101" t="str">
        <f t="shared" si="281"/>
        <v/>
      </c>
      <c r="GF336" s="101" t="str">
        <f t="shared" si="263"/>
        <v/>
      </c>
      <c r="GG336" s="101" t="str">
        <f t="shared" si="264"/>
        <v/>
      </c>
      <c r="GH336" s="101" t="str">
        <f t="shared" si="265"/>
        <v/>
      </c>
      <c r="GI336" s="101" t="str">
        <f t="shared" si="266"/>
        <v/>
      </c>
      <c r="GJ336" s="101" t="str">
        <f t="shared" si="267"/>
        <v/>
      </c>
      <c r="GK336" s="101" t="str">
        <f t="shared" si="268"/>
        <v/>
      </c>
      <c r="GL336" s="101" t="str">
        <f t="shared" si="269"/>
        <v/>
      </c>
      <c r="GM336" s="101" t="str">
        <f t="shared" si="270"/>
        <v/>
      </c>
      <c r="GN336" s="101" t="str">
        <f t="shared" si="271"/>
        <v/>
      </c>
      <c r="GO336" s="101" t="str">
        <f t="shared" si="272"/>
        <v/>
      </c>
      <c r="GP336" s="101" t="str">
        <f t="shared" si="273"/>
        <v/>
      </c>
      <c r="GQ336" s="101" t="str">
        <f t="shared" si="274"/>
        <v/>
      </c>
    </row>
    <row r="337" spans="175:199" ht="16.5" x14ac:dyDescent="0.2">
      <c r="FS337" s="101">
        <v>332</v>
      </c>
      <c r="FT337" s="101">
        <f t="shared" si="259"/>
        <v>10</v>
      </c>
      <c r="FU337" s="101">
        <f t="shared" si="275"/>
        <v>5</v>
      </c>
      <c r="FV337" s="14">
        <f t="shared" si="276"/>
        <v>5</v>
      </c>
      <c r="FW337" s="101" t="str">
        <f t="shared" si="260"/>
        <v>项羽专属武器-魂珠-2 1级</v>
      </c>
      <c r="FX337" s="101">
        <f t="shared" si="261"/>
        <v>2</v>
      </c>
      <c r="FY337" s="101">
        <f t="shared" si="262"/>
        <v>1</v>
      </c>
      <c r="FZ337" s="101" t="str">
        <f t="shared" si="277"/>
        <v>金币</v>
      </c>
      <c r="GA337" s="139">
        <f>IF($FY337&gt;0,IF(INDEX($EM$6:$EM$77,$FT337)&gt;=GA$3,ROUND(INDEX(EO$6:EO$77,$FT337)*INDEX(卡牌消耗!$B$8:$F$8,FV337)/5,0)*5,""),"")</f>
        <v>525</v>
      </c>
      <c r="GB337" s="101" t="str">
        <f t="shared" si="278"/>
        <v>专属强化石1</v>
      </c>
      <c r="GC337" s="101">
        <f t="shared" si="279"/>
        <v>3</v>
      </c>
      <c r="GD337" s="101" t="str">
        <f t="shared" si="280"/>
        <v>专属强化石2</v>
      </c>
      <c r="GE337" s="101">
        <f t="shared" si="281"/>
        <v>1</v>
      </c>
      <c r="GF337" s="101">
        <f t="shared" si="263"/>
        <v>0.39</v>
      </c>
      <c r="GG337" s="101">
        <f t="shared" si="264"/>
        <v>1</v>
      </c>
      <c r="GH337" s="101">
        <f t="shared" si="265"/>
        <v>4</v>
      </c>
      <c r="GI337" s="101">
        <f t="shared" si="266"/>
        <v>0</v>
      </c>
      <c r="GJ337" s="101">
        <f t="shared" si="267"/>
        <v>1</v>
      </c>
      <c r="GK337" s="101">
        <f t="shared" si="268"/>
        <v>1</v>
      </c>
      <c r="GL337" s="101">
        <f t="shared" si="269"/>
        <v>0.19270000000000001</v>
      </c>
      <c r="GM337" s="101">
        <f t="shared" si="270"/>
        <v>1</v>
      </c>
      <c r="GN337" s="101">
        <f t="shared" si="271"/>
        <v>2</v>
      </c>
      <c r="GO337" s="101">
        <f t="shared" si="272"/>
        <v>0.77070000000000005</v>
      </c>
      <c r="GP337" s="101">
        <f t="shared" si="273"/>
        <v>1</v>
      </c>
      <c r="GQ337" s="101">
        <f t="shared" si="274"/>
        <v>4</v>
      </c>
    </row>
    <row r="338" spans="175:199" ht="16.5" x14ac:dyDescent="0.2">
      <c r="FS338" s="101">
        <v>333</v>
      </c>
      <c r="FT338" s="101">
        <f t="shared" si="259"/>
        <v>11</v>
      </c>
      <c r="FU338" s="101">
        <f t="shared" si="275"/>
        <v>5</v>
      </c>
      <c r="FV338" s="14">
        <f t="shared" si="276"/>
        <v>5</v>
      </c>
      <c r="FW338" s="101" t="str">
        <f t="shared" si="260"/>
        <v>项羽专属武器-魂珠-2 2级</v>
      </c>
      <c r="FX338" s="101">
        <f t="shared" si="261"/>
        <v>2</v>
      </c>
      <c r="FY338" s="101">
        <f t="shared" si="262"/>
        <v>2</v>
      </c>
      <c r="FZ338" s="101" t="str">
        <f t="shared" si="277"/>
        <v>金币</v>
      </c>
      <c r="GA338" s="139">
        <f>IF($FY338&gt;0,IF(INDEX($EM$6:$EM$77,$FT338)&gt;=GA$3,ROUND(INDEX(EO$6:EO$77,$FT338)*INDEX(卡牌消耗!$B$8:$F$8,FV338)/5,0)*5,""),"")</f>
        <v>390</v>
      </c>
      <c r="GB338" s="101" t="str">
        <f t="shared" si="278"/>
        <v>专属强化石1</v>
      </c>
      <c r="GC338" s="101">
        <f t="shared" si="279"/>
        <v>3</v>
      </c>
      <c r="GD338" s="101" t="str">
        <f t="shared" si="280"/>
        <v>专属强化石2</v>
      </c>
      <c r="GE338" s="101">
        <f t="shared" si="281"/>
        <v>1</v>
      </c>
      <c r="GF338" s="101">
        <f t="shared" si="263"/>
        <v>0.19</v>
      </c>
      <c r="GG338" s="101">
        <f t="shared" si="264"/>
        <v>1</v>
      </c>
      <c r="GH338" s="101">
        <f t="shared" si="265"/>
        <v>8</v>
      </c>
      <c r="GI338" s="101">
        <f t="shared" si="266"/>
        <v>0</v>
      </c>
      <c r="GJ338" s="101">
        <f t="shared" si="267"/>
        <v>1</v>
      </c>
      <c r="GK338" s="101">
        <f t="shared" si="268"/>
        <v>2</v>
      </c>
      <c r="GL338" s="101">
        <f t="shared" si="269"/>
        <v>9.6299999999999997E-2</v>
      </c>
      <c r="GM338" s="101">
        <f t="shared" si="270"/>
        <v>1</v>
      </c>
      <c r="GN338" s="101">
        <f t="shared" si="271"/>
        <v>4</v>
      </c>
      <c r="GO338" s="101">
        <f t="shared" si="272"/>
        <v>0.38529999999999998</v>
      </c>
      <c r="GP338" s="101">
        <f t="shared" si="273"/>
        <v>1</v>
      </c>
      <c r="GQ338" s="101">
        <f t="shared" si="274"/>
        <v>8</v>
      </c>
    </row>
    <row r="339" spans="175:199" ht="16.5" x14ac:dyDescent="0.2">
      <c r="FS339" s="101">
        <v>334</v>
      </c>
      <c r="FT339" s="101">
        <f t="shared" si="259"/>
        <v>12</v>
      </c>
      <c r="FU339" s="101">
        <f t="shared" si="275"/>
        <v>5</v>
      </c>
      <c r="FV339" s="14">
        <f t="shared" si="276"/>
        <v>5</v>
      </c>
      <c r="FW339" s="101" t="str">
        <f t="shared" si="260"/>
        <v>项羽专属武器-魂珠-2 3级</v>
      </c>
      <c r="FX339" s="101">
        <f t="shared" si="261"/>
        <v>2</v>
      </c>
      <c r="FY339" s="101">
        <f t="shared" si="262"/>
        <v>3</v>
      </c>
      <c r="FZ339" s="101" t="str">
        <f t="shared" si="277"/>
        <v>金币</v>
      </c>
      <c r="GA339" s="139">
        <f>IF($FY339&gt;0,IF(INDEX($EM$6:$EM$77,$FT339)&gt;=GA$3,ROUND(INDEX(EO$6:EO$77,$FT339)*INDEX(卡牌消耗!$B$8:$F$8,FV339)/5,0)*5,""),"")</f>
        <v>870</v>
      </c>
      <c r="GB339" s="101" t="str">
        <f t="shared" si="278"/>
        <v>专属强化石1</v>
      </c>
      <c r="GC339" s="101">
        <f t="shared" si="279"/>
        <v>6</v>
      </c>
      <c r="GD339" s="101" t="str">
        <f t="shared" si="280"/>
        <v>专属强化石2</v>
      </c>
      <c r="GE339" s="101">
        <f t="shared" si="281"/>
        <v>2</v>
      </c>
      <c r="GF339" s="101">
        <f t="shared" si="263"/>
        <v>0.26</v>
      </c>
      <c r="GG339" s="101">
        <f t="shared" si="264"/>
        <v>1</v>
      </c>
      <c r="GH339" s="101">
        <f t="shared" si="265"/>
        <v>6</v>
      </c>
      <c r="GI339" s="101">
        <f t="shared" si="266"/>
        <v>0</v>
      </c>
      <c r="GJ339" s="101">
        <f t="shared" si="267"/>
        <v>1</v>
      </c>
      <c r="GK339" s="101">
        <f t="shared" si="268"/>
        <v>1</v>
      </c>
      <c r="GL339" s="101">
        <f t="shared" si="269"/>
        <v>0.12839999999999999</v>
      </c>
      <c r="GM339" s="101">
        <f t="shared" si="270"/>
        <v>1</v>
      </c>
      <c r="GN339" s="101">
        <f t="shared" si="271"/>
        <v>3</v>
      </c>
      <c r="GO339" s="101">
        <f t="shared" si="272"/>
        <v>0.51380000000000003</v>
      </c>
      <c r="GP339" s="101">
        <f t="shared" si="273"/>
        <v>1</v>
      </c>
      <c r="GQ339" s="101">
        <f t="shared" si="274"/>
        <v>6</v>
      </c>
    </row>
    <row r="340" spans="175:199" ht="16.5" x14ac:dyDescent="0.2">
      <c r="FS340" s="101">
        <v>335</v>
      </c>
      <c r="FT340" s="101">
        <f t="shared" si="259"/>
        <v>13</v>
      </c>
      <c r="FU340" s="101">
        <f t="shared" si="275"/>
        <v>5</v>
      </c>
      <c r="FV340" s="14">
        <f t="shared" si="276"/>
        <v>5</v>
      </c>
      <c r="FW340" s="101" t="str">
        <f t="shared" si="260"/>
        <v>项羽专属武器-魂珠-2 4级</v>
      </c>
      <c r="FX340" s="101">
        <f t="shared" si="261"/>
        <v>2</v>
      </c>
      <c r="FY340" s="101">
        <f t="shared" si="262"/>
        <v>4</v>
      </c>
      <c r="FZ340" s="101" t="str">
        <f t="shared" si="277"/>
        <v>金币</v>
      </c>
      <c r="GA340" s="139">
        <f>IF($FY340&gt;0,IF(INDEX($EM$6:$EM$77,$FT340)&gt;=GA$3,ROUND(INDEX(EO$6:EO$77,$FT340)*INDEX(卡牌消耗!$B$8:$F$8,FV340)/5,0)*5,""),"")</f>
        <v>835</v>
      </c>
      <c r="GB340" s="101" t="str">
        <f t="shared" si="278"/>
        <v>专属强化石1</v>
      </c>
      <c r="GC340" s="101">
        <f t="shared" si="279"/>
        <v>6</v>
      </c>
      <c r="GD340" s="101" t="str">
        <f t="shared" si="280"/>
        <v>专属强化石2</v>
      </c>
      <c r="GE340" s="101">
        <f t="shared" si="281"/>
        <v>2</v>
      </c>
      <c r="GF340" s="101">
        <f t="shared" si="263"/>
        <v>0.15</v>
      </c>
      <c r="GG340" s="101">
        <f t="shared" si="264"/>
        <v>1</v>
      </c>
      <c r="GH340" s="101">
        <f t="shared" si="265"/>
        <v>10</v>
      </c>
      <c r="GI340" s="101">
        <f t="shared" si="266"/>
        <v>0</v>
      </c>
      <c r="GJ340" s="101">
        <f t="shared" si="267"/>
        <v>1</v>
      </c>
      <c r="GK340" s="101">
        <f t="shared" si="268"/>
        <v>2</v>
      </c>
      <c r="GL340" s="101">
        <f t="shared" si="269"/>
        <v>7.7100000000000002E-2</v>
      </c>
      <c r="GM340" s="101">
        <f t="shared" si="270"/>
        <v>1</v>
      </c>
      <c r="GN340" s="101">
        <f t="shared" si="271"/>
        <v>5</v>
      </c>
      <c r="GO340" s="101">
        <f t="shared" si="272"/>
        <v>0.30830000000000002</v>
      </c>
      <c r="GP340" s="101">
        <f t="shared" si="273"/>
        <v>1</v>
      </c>
      <c r="GQ340" s="101">
        <f t="shared" si="274"/>
        <v>10</v>
      </c>
    </row>
    <row r="341" spans="175:199" ht="16.5" x14ac:dyDescent="0.2">
      <c r="FS341" s="101">
        <v>336</v>
      </c>
      <c r="FT341" s="101">
        <f t="shared" si="259"/>
        <v>14</v>
      </c>
      <c r="FU341" s="101">
        <f t="shared" si="275"/>
        <v>5</v>
      </c>
      <c r="FV341" s="14">
        <f t="shared" si="276"/>
        <v>5</v>
      </c>
      <c r="FW341" s="101" t="str">
        <f t="shared" si="260"/>
        <v>项羽专属武器-魂珠-2 5级</v>
      </c>
      <c r="FX341" s="101">
        <f t="shared" si="261"/>
        <v>2</v>
      </c>
      <c r="FY341" s="101">
        <f t="shared" si="262"/>
        <v>5</v>
      </c>
      <c r="FZ341" s="101" t="str">
        <f t="shared" si="277"/>
        <v>金币</v>
      </c>
      <c r="GA341" s="139">
        <f>IF($FY341&gt;0,IF(INDEX($EM$6:$EM$77,$FT341)&gt;=GA$3,ROUND(INDEX(EO$6:EO$77,$FT341)*INDEX(卡牌消耗!$B$8:$F$8,FV341)/5,0)*5,""),"")</f>
        <v>1275</v>
      </c>
      <c r="GB341" s="101" t="str">
        <f t="shared" si="278"/>
        <v>专属强化石1</v>
      </c>
      <c r="GC341" s="101">
        <f t="shared" si="279"/>
        <v>9</v>
      </c>
      <c r="GD341" s="101" t="str">
        <f t="shared" si="280"/>
        <v>专属强化石2</v>
      </c>
      <c r="GE341" s="101">
        <f t="shared" si="281"/>
        <v>3</v>
      </c>
      <c r="GF341" s="101">
        <f t="shared" si="263"/>
        <v>0.14000000000000001</v>
      </c>
      <c r="GG341" s="101">
        <f t="shared" si="264"/>
        <v>1</v>
      </c>
      <c r="GH341" s="101">
        <f t="shared" si="265"/>
        <v>10</v>
      </c>
      <c r="GI341" s="101">
        <f t="shared" si="266"/>
        <v>0</v>
      </c>
      <c r="GJ341" s="101">
        <f t="shared" si="267"/>
        <v>1</v>
      </c>
      <c r="GK341" s="101">
        <f t="shared" si="268"/>
        <v>2</v>
      </c>
      <c r="GL341" s="101">
        <f t="shared" si="269"/>
        <v>7.22E-2</v>
      </c>
      <c r="GM341" s="101">
        <f t="shared" si="270"/>
        <v>1</v>
      </c>
      <c r="GN341" s="101">
        <f t="shared" si="271"/>
        <v>5</v>
      </c>
      <c r="GO341" s="101">
        <f t="shared" si="272"/>
        <v>0.28899999999999998</v>
      </c>
      <c r="GP341" s="101">
        <f t="shared" si="273"/>
        <v>1</v>
      </c>
      <c r="GQ341" s="101">
        <f t="shared" si="274"/>
        <v>10</v>
      </c>
    </row>
    <row r="342" spans="175:199" ht="16.5" x14ac:dyDescent="0.2">
      <c r="FS342" s="101">
        <v>337</v>
      </c>
      <c r="FT342" s="101">
        <f t="shared" ref="FT342:FT405" si="282">IF(FY342&gt;0,(FX342-1)*9+FY342,0)</f>
        <v>15</v>
      </c>
      <c r="FU342" s="101">
        <f t="shared" si="275"/>
        <v>5</v>
      </c>
      <c r="FV342" s="14">
        <f t="shared" si="276"/>
        <v>5</v>
      </c>
      <c r="FW342" s="101" t="str">
        <f t="shared" ref="FW342:FW405" si="283">INDEX($FN$6:$FN$26,FU342)&amp;"专属武器-魂珠-"&amp;FX342&amp;" "&amp;FY342&amp;"级"</f>
        <v>项羽专属武器-魂珠-2 6级</v>
      </c>
      <c r="FX342" s="101">
        <f t="shared" ref="FX342:FX405" si="284">INT((FS342-(FU342-1)*80-1)/10)+1</f>
        <v>2</v>
      </c>
      <c r="FY342" s="101">
        <f t="shared" ref="FY342:FY405" si="285">FS342-(FU342-1)*80-(FX342-1)*10-1</f>
        <v>6</v>
      </c>
      <c r="FZ342" s="101" t="str">
        <f t="shared" si="277"/>
        <v>金币</v>
      </c>
      <c r="GA342" s="139">
        <f>IF($FY342&gt;0,IF(INDEX($EM$6:$EM$77,$FT342)&gt;=GA$3,ROUND(INDEX(EO$6:EO$77,$FT342)*INDEX(卡牌消耗!$B$8:$F$8,FV342)/5,0)*5,""),"")</f>
        <v>1690</v>
      </c>
      <c r="GB342" s="101" t="str">
        <f t="shared" si="278"/>
        <v>专属强化石1</v>
      </c>
      <c r="GC342" s="101">
        <f t="shared" si="279"/>
        <v>12</v>
      </c>
      <c r="GD342" s="101" t="str">
        <f t="shared" si="280"/>
        <v>专属强化石2</v>
      </c>
      <c r="GE342" s="101">
        <f t="shared" si="281"/>
        <v>4</v>
      </c>
      <c r="GF342" s="101">
        <f t="shared" ref="GF342:GF405" si="286">IF($FY342&gt;0,INDEX(ET$6:ET$77,$FT342),"")</f>
        <v>0.12</v>
      </c>
      <c r="GG342" s="101">
        <f t="shared" ref="GG342:GG405" si="287">IF($FY342&gt;0,INDEX(EU$6:EU$77,$FT342),"")</f>
        <v>1</v>
      </c>
      <c r="GH342" s="101">
        <f t="shared" ref="GH342:GH405" si="288">IF($FY342&gt;0,INDEX(EV$6:EV$77,$FT342),"")</f>
        <v>13</v>
      </c>
      <c r="GI342" s="101">
        <f t="shared" ref="GI342:GI405" si="289">IF($FY342&gt;0,INDEX(FA$6:FA$77,$FT342),"")</f>
        <v>0</v>
      </c>
      <c r="GJ342" s="101">
        <f t="shared" ref="GJ342:GJ405" si="290">IF($FY342&gt;0,INDEX(FB$6:FB$77,$FT342),"")</f>
        <v>1</v>
      </c>
      <c r="GK342" s="101">
        <f t="shared" ref="GK342:GK405" si="291">IF($FY342&gt;0,INDEX(FC$6:FC$77,$FT342),"")</f>
        <v>3</v>
      </c>
      <c r="GL342" s="101">
        <f t="shared" ref="GL342:GL405" si="292">IF($FY342&gt;0,INDEX(FD$6:FD$77,$FT342),"")</f>
        <v>5.9299999999999999E-2</v>
      </c>
      <c r="GM342" s="101">
        <f t="shared" ref="GM342:GM405" si="293">IF($FY342&gt;0,INDEX(FE$6:FE$77,$FT342),"")</f>
        <v>1</v>
      </c>
      <c r="GN342" s="101">
        <f t="shared" ref="GN342:GN405" si="294">IF($FY342&gt;0,INDEX(FF$6:FF$77,$FT342),"")</f>
        <v>6</v>
      </c>
      <c r="GO342" s="101">
        <f t="shared" ref="GO342:GO405" si="295">IF($FY342&gt;0,INDEX(FG$6:FG$77,$FT342),"")</f>
        <v>0.23710000000000001</v>
      </c>
      <c r="GP342" s="101">
        <f t="shared" ref="GP342:GP405" si="296">IF($FY342&gt;0,INDEX(FH$6:FH$77,$FT342),"")</f>
        <v>1</v>
      </c>
      <c r="GQ342" s="101">
        <f t="shared" ref="GQ342:GQ405" si="297">IF($FY342&gt;0,INDEX(FI$6:FI$77,$FT342),"")</f>
        <v>13</v>
      </c>
    </row>
    <row r="343" spans="175:199" ht="16.5" x14ac:dyDescent="0.2">
      <c r="FS343" s="101">
        <v>338</v>
      </c>
      <c r="FT343" s="101">
        <f t="shared" si="282"/>
        <v>16</v>
      </c>
      <c r="FU343" s="101">
        <f t="shared" si="275"/>
        <v>5</v>
      </c>
      <c r="FV343" s="14">
        <f t="shared" si="276"/>
        <v>5</v>
      </c>
      <c r="FW343" s="101" t="str">
        <f t="shared" si="283"/>
        <v>项羽专属武器-魂珠-2 7级</v>
      </c>
      <c r="FX343" s="101">
        <f t="shared" si="284"/>
        <v>2</v>
      </c>
      <c r="FY343" s="101">
        <f t="shared" si="285"/>
        <v>7</v>
      </c>
      <c r="FZ343" s="101" t="str">
        <f t="shared" si="277"/>
        <v>金币</v>
      </c>
      <c r="GA343" s="139">
        <f>IF($FY343&gt;0,IF(INDEX($EM$6:$EM$77,$FT343)&gt;=GA$3,ROUND(INDEX(EO$6:EO$77,$FT343)*INDEX(卡牌消耗!$B$8:$F$8,FV343)/5,0)*5,""),"")</f>
        <v>2120</v>
      </c>
      <c r="GB343" s="101" t="str">
        <f t="shared" si="278"/>
        <v>专属强化石1</v>
      </c>
      <c r="GC343" s="101">
        <f t="shared" si="279"/>
        <v>15</v>
      </c>
      <c r="GD343" s="101" t="str">
        <f t="shared" si="280"/>
        <v>专属强化石2</v>
      </c>
      <c r="GE343" s="101">
        <f t="shared" si="281"/>
        <v>5</v>
      </c>
      <c r="GF343" s="101">
        <f t="shared" si="286"/>
        <v>0.09</v>
      </c>
      <c r="GG343" s="101">
        <f t="shared" si="287"/>
        <v>1</v>
      </c>
      <c r="GH343" s="101">
        <f t="shared" si="288"/>
        <v>16</v>
      </c>
      <c r="GI343" s="101">
        <f t="shared" si="289"/>
        <v>0</v>
      </c>
      <c r="GJ343" s="101">
        <f t="shared" si="290"/>
        <v>1</v>
      </c>
      <c r="GK343" s="101">
        <f t="shared" si="291"/>
        <v>4</v>
      </c>
      <c r="GL343" s="101">
        <f t="shared" si="292"/>
        <v>4.5900000000000003E-2</v>
      </c>
      <c r="GM343" s="101">
        <f t="shared" si="293"/>
        <v>1</v>
      </c>
      <c r="GN343" s="101">
        <f t="shared" si="294"/>
        <v>8</v>
      </c>
      <c r="GO343" s="101">
        <f t="shared" si="295"/>
        <v>0.1835</v>
      </c>
      <c r="GP343" s="101">
        <f t="shared" si="296"/>
        <v>1</v>
      </c>
      <c r="GQ343" s="101">
        <f t="shared" si="297"/>
        <v>16</v>
      </c>
    </row>
    <row r="344" spans="175:199" ht="16.5" x14ac:dyDescent="0.2">
      <c r="FS344" s="101">
        <v>339</v>
      </c>
      <c r="FT344" s="101">
        <f t="shared" si="282"/>
        <v>17</v>
      </c>
      <c r="FU344" s="101">
        <f t="shared" si="275"/>
        <v>5</v>
      </c>
      <c r="FV344" s="14">
        <f t="shared" si="276"/>
        <v>5</v>
      </c>
      <c r="FW344" s="101" t="str">
        <f t="shared" si="283"/>
        <v>项羽专属武器-魂珠-2 8级</v>
      </c>
      <c r="FX344" s="101">
        <f t="shared" si="284"/>
        <v>2</v>
      </c>
      <c r="FY344" s="101">
        <f t="shared" si="285"/>
        <v>8</v>
      </c>
      <c r="FZ344" s="101" t="str">
        <f t="shared" si="277"/>
        <v>金币</v>
      </c>
      <c r="GA344" s="139">
        <f>IF($FY344&gt;0,IF(INDEX($EM$6:$EM$77,$FT344)&gt;=GA$3,ROUND(INDEX(EO$6:EO$77,$FT344)*INDEX(卡牌消耗!$B$8:$F$8,FV344)/5,0)*5,""),"")</f>
        <v>2540</v>
      </c>
      <c r="GB344" s="101" t="str">
        <f t="shared" si="278"/>
        <v>专属强化石1</v>
      </c>
      <c r="GC344" s="101">
        <f t="shared" si="279"/>
        <v>18</v>
      </c>
      <c r="GD344" s="101" t="str">
        <f t="shared" si="280"/>
        <v>专属强化石2</v>
      </c>
      <c r="GE344" s="101">
        <f t="shared" si="281"/>
        <v>6</v>
      </c>
      <c r="GF344" s="101">
        <f t="shared" si="286"/>
        <v>7.0000000000000007E-2</v>
      </c>
      <c r="GG344" s="101">
        <f t="shared" si="287"/>
        <v>1</v>
      </c>
      <c r="GH344" s="101">
        <f t="shared" si="288"/>
        <v>22</v>
      </c>
      <c r="GI344" s="101">
        <f t="shared" si="289"/>
        <v>0</v>
      </c>
      <c r="GJ344" s="101">
        <f t="shared" si="290"/>
        <v>1</v>
      </c>
      <c r="GK344" s="101">
        <f t="shared" si="291"/>
        <v>5</v>
      </c>
      <c r="GL344" s="101">
        <f t="shared" si="292"/>
        <v>3.4000000000000002E-2</v>
      </c>
      <c r="GM344" s="101">
        <f t="shared" si="293"/>
        <v>1</v>
      </c>
      <c r="GN344" s="101">
        <f t="shared" si="294"/>
        <v>10</v>
      </c>
      <c r="GO344" s="101">
        <f t="shared" si="295"/>
        <v>0.13600000000000001</v>
      </c>
      <c r="GP344" s="101">
        <f t="shared" si="296"/>
        <v>1</v>
      </c>
      <c r="GQ344" s="101">
        <f t="shared" si="297"/>
        <v>22</v>
      </c>
    </row>
    <row r="345" spans="175:199" ht="16.5" x14ac:dyDescent="0.2">
      <c r="FS345" s="101">
        <v>340</v>
      </c>
      <c r="FT345" s="101">
        <f t="shared" si="282"/>
        <v>18</v>
      </c>
      <c r="FU345" s="101">
        <f t="shared" si="275"/>
        <v>5</v>
      </c>
      <c r="FV345" s="14">
        <f t="shared" si="276"/>
        <v>5</v>
      </c>
      <c r="FW345" s="101" t="str">
        <f t="shared" si="283"/>
        <v>项羽专属武器-魂珠-2 9级</v>
      </c>
      <c r="FX345" s="101">
        <f t="shared" si="284"/>
        <v>2</v>
      </c>
      <c r="FY345" s="101">
        <f t="shared" si="285"/>
        <v>9</v>
      </c>
      <c r="FZ345" s="101" t="str">
        <f t="shared" si="277"/>
        <v>金币</v>
      </c>
      <c r="GA345" s="139">
        <f>IF($FY345&gt;0,IF(INDEX($EM$6:$EM$77,$FT345)&gt;=GA$3,ROUND(INDEX(EO$6:EO$77,$FT345)*INDEX(卡牌消耗!$B$8:$F$8,FV345)/5,0)*5,""),"")</f>
        <v>3385</v>
      </c>
      <c r="GB345" s="101" t="str">
        <f t="shared" si="278"/>
        <v>专属强化石1</v>
      </c>
      <c r="GC345" s="101">
        <f t="shared" si="279"/>
        <v>24</v>
      </c>
      <c r="GD345" s="101" t="str">
        <f t="shared" si="280"/>
        <v>专属强化石2</v>
      </c>
      <c r="GE345" s="101">
        <f t="shared" si="281"/>
        <v>8</v>
      </c>
      <c r="GF345" s="101">
        <f t="shared" si="286"/>
        <v>0.06</v>
      </c>
      <c r="GG345" s="101">
        <f t="shared" si="287"/>
        <v>1</v>
      </c>
      <c r="GH345" s="101">
        <f t="shared" si="288"/>
        <v>27</v>
      </c>
      <c r="GI345" s="101">
        <f t="shared" si="289"/>
        <v>0</v>
      </c>
      <c r="GJ345" s="101">
        <f t="shared" si="290"/>
        <v>1</v>
      </c>
      <c r="GK345" s="101">
        <f t="shared" si="291"/>
        <v>6</v>
      </c>
      <c r="GL345" s="101">
        <f t="shared" si="292"/>
        <v>2.8000000000000001E-2</v>
      </c>
      <c r="GM345" s="101">
        <f t="shared" si="293"/>
        <v>1</v>
      </c>
      <c r="GN345" s="101">
        <f t="shared" si="294"/>
        <v>12</v>
      </c>
      <c r="GO345" s="101">
        <f t="shared" si="295"/>
        <v>0.11210000000000001</v>
      </c>
      <c r="GP345" s="101">
        <f t="shared" si="296"/>
        <v>1</v>
      </c>
      <c r="GQ345" s="101">
        <f t="shared" si="297"/>
        <v>27</v>
      </c>
    </row>
    <row r="346" spans="175:199" ht="16.5" x14ac:dyDescent="0.2">
      <c r="FS346" s="101">
        <v>341</v>
      </c>
      <c r="FT346" s="101">
        <f t="shared" si="282"/>
        <v>0</v>
      </c>
      <c r="FU346" s="101">
        <f t="shared" si="275"/>
        <v>5</v>
      </c>
      <c r="FV346" s="14">
        <f t="shared" si="276"/>
        <v>5</v>
      </c>
      <c r="FW346" s="101" t="str">
        <f t="shared" si="283"/>
        <v>项羽专属武器-魂珠-3 0级</v>
      </c>
      <c r="FX346" s="101">
        <f t="shared" si="284"/>
        <v>3</v>
      </c>
      <c r="FY346" s="101">
        <f t="shared" si="285"/>
        <v>0</v>
      </c>
      <c r="FZ346" s="101" t="str">
        <f t="shared" si="277"/>
        <v/>
      </c>
      <c r="GA346" s="139" t="str">
        <f>IF($FY346&gt;0,IF(INDEX($EM$6:$EM$77,$FT346)&gt;=GA$3,ROUND(INDEX(EO$6:EO$77,$FT346)*INDEX(卡牌消耗!$B$8:$F$8,FV346)/5,0)*5,""),"")</f>
        <v/>
      </c>
      <c r="GB346" s="101" t="str">
        <f t="shared" si="278"/>
        <v/>
      </c>
      <c r="GC346" s="101" t="str">
        <f t="shared" si="279"/>
        <v/>
      </c>
      <c r="GD346" s="101" t="str">
        <f t="shared" si="280"/>
        <v/>
      </c>
      <c r="GE346" s="101" t="str">
        <f t="shared" si="281"/>
        <v/>
      </c>
      <c r="GF346" s="101" t="str">
        <f t="shared" si="286"/>
        <v/>
      </c>
      <c r="GG346" s="101" t="str">
        <f t="shared" si="287"/>
        <v/>
      </c>
      <c r="GH346" s="101" t="str">
        <f t="shared" si="288"/>
        <v/>
      </c>
      <c r="GI346" s="101" t="str">
        <f t="shared" si="289"/>
        <v/>
      </c>
      <c r="GJ346" s="101" t="str">
        <f t="shared" si="290"/>
        <v/>
      </c>
      <c r="GK346" s="101" t="str">
        <f t="shared" si="291"/>
        <v/>
      </c>
      <c r="GL346" s="101" t="str">
        <f t="shared" si="292"/>
        <v/>
      </c>
      <c r="GM346" s="101" t="str">
        <f t="shared" si="293"/>
        <v/>
      </c>
      <c r="GN346" s="101" t="str">
        <f t="shared" si="294"/>
        <v/>
      </c>
      <c r="GO346" s="101" t="str">
        <f t="shared" si="295"/>
        <v/>
      </c>
      <c r="GP346" s="101" t="str">
        <f t="shared" si="296"/>
        <v/>
      </c>
      <c r="GQ346" s="101" t="str">
        <f t="shared" si="297"/>
        <v/>
      </c>
    </row>
    <row r="347" spans="175:199" ht="16.5" x14ac:dyDescent="0.2">
      <c r="FS347" s="101">
        <v>342</v>
      </c>
      <c r="FT347" s="101">
        <f t="shared" si="282"/>
        <v>19</v>
      </c>
      <c r="FU347" s="101">
        <f t="shared" si="275"/>
        <v>5</v>
      </c>
      <c r="FV347" s="14">
        <f t="shared" si="276"/>
        <v>5</v>
      </c>
      <c r="FW347" s="101" t="str">
        <f t="shared" si="283"/>
        <v>项羽专属武器-魂珠-3 1级</v>
      </c>
      <c r="FX347" s="101">
        <f t="shared" si="284"/>
        <v>3</v>
      </c>
      <c r="FY347" s="101">
        <f t="shared" si="285"/>
        <v>1</v>
      </c>
      <c r="FZ347" s="101" t="str">
        <f t="shared" si="277"/>
        <v>金币</v>
      </c>
      <c r="GA347" s="139">
        <f>IF($FY347&gt;0,IF(INDEX($EM$6:$EM$77,$FT347)&gt;=GA$3,ROUND(INDEX(EO$6:EO$77,$FT347)*INDEX(卡牌消耗!$B$8:$F$8,FV347)/5,0)*5,""),"")</f>
        <v>1090</v>
      </c>
      <c r="GB347" s="101" t="str">
        <f t="shared" si="278"/>
        <v>专属强化石1</v>
      </c>
      <c r="GC347" s="101">
        <f t="shared" si="279"/>
        <v>4</v>
      </c>
      <c r="GD347" s="101" t="str">
        <f t="shared" si="280"/>
        <v>专属强化石2</v>
      </c>
      <c r="GE347" s="101">
        <f t="shared" si="281"/>
        <v>2</v>
      </c>
      <c r="GF347" s="101">
        <f t="shared" si="286"/>
        <v>0.31</v>
      </c>
      <c r="GG347" s="101">
        <f t="shared" si="287"/>
        <v>1</v>
      </c>
      <c r="GH347" s="101">
        <f t="shared" si="288"/>
        <v>5</v>
      </c>
      <c r="GI347" s="101">
        <f t="shared" si="289"/>
        <v>0</v>
      </c>
      <c r="GJ347" s="101">
        <f t="shared" si="290"/>
        <v>1</v>
      </c>
      <c r="GK347" s="101">
        <f t="shared" si="291"/>
        <v>1</v>
      </c>
      <c r="GL347" s="101">
        <f t="shared" si="292"/>
        <v>0.15409999999999999</v>
      </c>
      <c r="GM347" s="101">
        <f t="shared" si="293"/>
        <v>1</v>
      </c>
      <c r="GN347" s="101">
        <f t="shared" si="294"/>
        <v>2</v>
      </c>
      <c r="GO347" s="101">
        <f t="shared" si="295"/>
        <v>0.61650000000000005</v>
      </c>
      <c r="GP347" s="101">
        <f t="shared" si="296"/>
        <v>1</v>
      </c>
      <c r="GQ347" s="101">
        <f t="shared" si="297"/>
        <v>5</v>
      </c>
    </row>
    <row r="348" spans="175:199" ht="16.5" x14ac:dyDescent="0.2">
      <c r="FS348" s="101">
        <v>343</v>
      </c>
      <c r="FT348" s="101">
        <f t="shared" si="282"/>
        <v>20</v>
      </c>
      <c r="FU348" s="101">
        <f t="shared" si="275"/>
        <v>5</v>
      </c>
      <c r="FV348" s="14">
        <f t="shared" si="276"/>
        <v>5</v>
      </c>
      <c r="FW348" s="101" t="str">
        <f t="shared" si="283"/>
        <v>项羽专属武器-魂珠-3 2级</v>
      </c>
      <c r="FX348" s="101">
        <f t="shared" si="284"/>
        <v>3</v>
      </c>
      <c r="FY348" s="101">
        <f t="shared" si="285"/>
        <v>2</v>
      </c>
      <c r="FZ348" s="101" t="str">
        <f t="shared" si="277"/>
        <v>金币</v>
      </c>
      <c r="GA348" s="139">
        <f>IF($FY348&gt;0,IF(INDEX($EM$6:$EM$77,$FT348)&gt;=GA$3,ROUND(INDEX(EO$6:EO$77,$FT348)*INDEX(卡牌消耗!$B$8:$F$8,FV348)/5,0)*5,""),"")</f>
        <v>820</v>
      </c>
      <c r="GB348" s="101" t="str">
        <f t="shared" si="278"/>
        <v>专属强化石1</v>
      </c>
      <c r="GC348" s="101">
        <f t="shared" si="279"/>
        <v>4</v>
      </c>
      <c r="GD348" s="101" t="str">
        <f t="shared" si="280"/>
        <v>专属强化石2</v>
      </c>
      <c r="GE348" s="101">
        <f t="shared" si="281"/>
        <v>2</v>
      </c>
      <c r="GF348" s="101">
        <f t="shared" si="286"/>
        <v>0.15</v>
      </c>
      <c r="GG348" s="101">
        <f t="shared" si="287"/>
        <v>1</v>
      </c>
      <c r="GH348" s="101">
        <f t="shared" si="288"/>
        <v>10</v>
      </c>
      <c r="GI348" s="101">
        <f t="shared" si="289"/>
        <v>0</v>
      </c>
      <c r="GJ348" s="101">
        <f t="shared" si="290"/>
        <v>1</v>
      </c>
      <c r="GK348" s="101">
        <f t="shared" si="291"/>
        <v>2</v>
      </c>
      <c r="GL348" s="101">
        <f t="shared" si="292"/>
        <v>7.7100000000000002E-2</v>
      </c>
      <c r="GM348" s="101">
        <f t="shared" si="293"/>
        <v>1</v>
      </c>
      <c r="GN348" s="101">
        <f t="shared" si="294"/>
        <v>5</v>
      </c>
      <c r="GO348" s="101">
        <f t="shared" si="295"/>
        <v>0.30830000000000002</v>
      </c>
      <c r="GP348" s="101">
        <f t="shared" si="296"/>
        <v>1</v>
      </c>
      <c r="GQ348" s="101">
        <f t="shared" si="297"/>
        <v>10</v>
      </c>
    </row>
    <row r="349" spans="175:199" ht="16.5" x14ac:dyDescent="0.2">
      <c r="FS349" s="101">
        <v>344</v>
      </c>
      <c r="FT349" s="101">
        <f t="shared" si="282"/>
        <v>21</v>
      </c>
      <c r="FU349" s="101">
        <f t="shared" si="275"/>
        <v>5</v>
      </c>
      <c r="FV349" s="14">
        <f t="shared" si="276"/>
        <v>5</v>
      </c>
      <c r="FW349" s="101" t="str">
        <f t="shared" si="283"/>
        <v>项羽专属武器-魂珠-3 3级</v>
      </c>
      <c r="FX349" s="101">
        <f t="shared" si="284"/>
        <v>3</v>
      </c>
      <c r="FY349" s="101">
        <f t="shared" si="285"/>
        <v>3</v>
      </c>
      <c r="FZ349" s="101" t="str">
        <f t="shared" si="277"/>
        <v>金币</v>
      </c>
      <c r="GA349" s="139">
        <f>IF($FY349&gt;0,IF(INDEX($EM$6:$EM$77,$FT349)&gt;=GA$3,ROUND(INDEX(EO$6:EO$77,$FT349)*INDEX(卡牌消耗!$B$8:$F$8,FV349)/5,0)*5,""),"")</f>
        <v>1365</v>
      </c>
      <c r="GB349" s="101" t="str">
        <f t="shared" si="278"/>
        <v>专属强化石1</v>
      </c>
      <c r="GC349" s="101">
        <f t="shared" si="279"/>
        <v>6</v>
      </c>
      <c r="GD349" s="101" t="str">
        <f t="shared" si="280"/>
        <v>专属强化石2</v>
      </c>
      <c r="GE349" s="101">
        <f t="shared" si="281"/>
        <v>3</v>
      </c>
      <c r="GF349" s="101">
        <f t="shared" si="286"/>
        <v>0.15</v>
      </c>
      <c r="GG349" s="101">
        <f t="shared" si="287"/>
        <v>1</v>
      </c>
      <c r="GH349" s="101">
        <f t="shared" si="288"/>
        <v>10</v>
      </c>
      <c r="GI349" s="101">
        <f t="shared" si="289"/>
        <v>0</v>
      </c>
      <c r="GJ349" s="101">
        <f t="shared" si="290"/>
        <v>1</v>
      </c>
      <c r="GK349" s="101">
        <f t="shared" si="291"/>
        <v>2</v>
      </c>
      <c r="GL349" s="101">
        <f t="shared" si="292"/>
        <v>7.7100000000000002E-2</v>
      </c>
      <c r="GM349" s="101">
        <f t="shared" si="293"/>
        <v>1</v>
      </c>
      <c r="GN349" s="101">
        <f t="shared" si="294"/>
        <v>5</v>
      </c>
      <c r="GO349" s="101">
        <f t="shared" si="295"/>
        <v>0.30830000000000002</v>
      </c>
      <c r="GP349" s="101">
        <f t="shared" si="296"/>
        <v>1</v>
      </c>
      <c r="GQ349" s="101">
        <f t="shared" si="297"/>
        <v>10</v>
      </c>
    </row>
    <row r="350" spans="175:199" ht="16.5" x14ac:dyDescent="0.2">
      <c r="FS350" s="101">
        <v>345</v>
      </c>
      <c r="FT350" s="101">
        <f t="shared" si="282"/>
        <v>22</v>
      </c>
      <c r="FU350" s="101">
        <f t="shared" si="275"/>
        <v>5</v>
      </c>
      <c r="FV350" s="14">
        <f t="shared" si="276"/>
        <v>5</v>
      </c>
      <c r="FW350" s="101" t="str">
        <f t="shared" si="283"/>
        <v>项羽专属武器-魂珠-3 4级</v>
      </c>
      <c r="FX350" s="101">
        <f t="shared" si="284"/>
        <v>3</v>
      </c>
      <c r="FY350" s="101">
        <f t="shared" si="285"/>
        <v>4</v>
      </c>
      <c r="FZ350" s="101" t="str">
        <f t="shared" si="277"/>
        <v>金币</v>
      </c>
      <c r="GA350" s="139">
        <f>IF($FY350&gt;0,IF(INDEX($EM$6:$EM$77,$FT350)&gt;=GA$3,ROUND(INDEX(EO$6:EO$77,$FT350)*INDEX(卡牌消耗!$B$8:$F$8,FV350)/5,0)*5,""),"")</f>
        <v>1310</v>
      </c>
      <c r="GB350" s="101" t="str">
        <f t="shared" si="278"/>
        <v>专属强化石1</v>
      </c>
      <c r="GC350" s="101">
        <f t="shared" si="279"/>
        <v>6</v>
      </c>
      <c r="GD350" s="101" t="str">
        <f t="shared" si="280"/>
        <v>专属强化石2</v>
      </c>
      <c r="GE350" s="101">
        <f t="shared" si="281"/>
        <v>3</v>
      </c>
      <c r="GF350" s="101">
        <f t="shared" si="286"/>
        <v>0.09</v>
      </c>
      <c r="GG350" s="101">
        <f t="shared" si="287"/>
        <v>1</v>
      </c>
      <c r="GH350" s="101">
        <f t="shared" si="288"/>
        <v>16</v>
      </c>
      <c r="GI350" s="101">
        <f t="shared" si="289"/>
        <v>0</v>
      </c>
      <c r="GJ350" s="101">
        <f t="shared" si="290"/>
        <v>1</v>
      </c>
      <c r="GK350" s="101">
        <f t="shared" si="291"/>
        <v>4</v>
      </c>
      <c r="GL350" s="101">
        <f t="shared" si="292"/>
        <v>4.6199999999999998E-2</v>
      </c>
      <c r="GM350" s="101">
        <f t="shared" si="293"/>
        <v>1</v>
      </c>
      <c r="GN350" s="101">
        <f t="shared" si="294"/>
        <v>8</v>
      </c>
      <c r="GO350" s="101">
        <f t="shared" si="295"/>
        <v>0.185</v>
      </c>
      <c r="GP350" s="101">
        <f t="shared" si="296"/>
        <v>1</v>
      </c>
      <c r="GQ350" s="101">
        <f t="shared" si="297"/>
        <v>16</v>
      </c>
    </row>
    <row r="351" spans="175:199" ht="16.5" x14ac:dyDescent="0.2">
      <c r="FS351" s="101">
        <v>346</v>
      </c>
      <c r="FT351" s="101">
        <f t="shared" si="282"/>
        <v>23</v>
      </c>
      <c r="FU351" s="101">
        <f t="shared" si="275"/>
        <v>5</v>
      </c>
      <c r="FV351" s="14">
        <f t="shared" si="276"/>
        <v>5</v>
      </c>
      <c r="FW351" s="101" t="str">
        <f t="shared" si="283"/>
        <v>项羽专属武器-魂珠-3 5级</v>
      </c>
      <c r="FX351" s="101">
        <f t="shared" si="284"/>
        <v>3</v>
      </c>
      <c r="FY351" s="101">
        <f t="shared" si="285"/>
        <v>5</v>
      </c>
      <c r="FZ351" s="101" t="str">
        <f t="shared" si="277"/>
        <v>金币</v>
      </c>
      <c r="GA351" s="139">
        <f>IF($FY351&gt;0,IF(INDEX($EM$6:$EM$77,$FT351)&gt;=GA$3,ROUND(INDEX(EO$6:EO$77,$FT351)*INDEX(卡牌消耗!$B$8:$F$8,FV351)/5,0)*5,""),"")</f>
        <v>1770</v>
      </c>
      <c r="GB351" s="101" t="str">
        <f t="shared" si="278"/>
        <v>专属强化石1</v>
      </c>
      <c r="GC351" s="101">
        <f t="shared" si="279"/>
        <v>8</v>
      </c>
      <c r="GD351" s="101" t="str">
        <f t="shared" si="280"/>
        <v>专属强化石2</v>
      </c>
      <c r="GE351" s="101">
        <f t="shared" si="281"/>
        <v>4</v>
      </c>
      <c r="GF351" s="101">
        <f t="shared" si="286"/>
        <v>0.08</v>
      </c>
      <c r="GG351" s="101">
        <f t="shared" si="287"/>
        <v>1</v>
      </c>
      <c r="GH351" s="101">
        <f t="shared" si="288"/>
        <v>19</v>
      </c>
      <c r="GI351" s="101">
        <f t="shared" si="289"/>
        <v>0</v>
      </c>
      <c r="GJ351" s="101">
        <f t="shared" si="290"/>
        <v>1</v>
      </c>
      <c r="GK351" s="101">
        <f t="shared" si="291"/>
        <v>5</v>
      </c>
      <c r="GL351" s="101">
        <f t="shared" si="292"/>
        <v>3.85E-2</v>
      </c>
      <c r="GM351" s="101">
        <f t="shared" si="293"/>
        <v>1</v>
      </c>
      <c r="GN351" s="101">
        <f t="shared" si="294"/>
        <v>9</v>
      </c>
      <c r="GO351" s="101">
        <f t="shared" si="295"/>
        <v>0.15409999999999999</v>
      </c>
      <c r="GP351" s="101">
        <f t="shared" si="296"/>
        <v>1</v>
      </c>
      <c r="GQ351" s="101">
        <f t="shared" si="297"/>
        <v>19</v>
      </c>
    </row>
    <row r="352" spans="175:199" ht="16.5" x14ac:dyDescent="0.2">
      <c r="FS352" s="101">
        <v>347</v>
      </c>
      <c r="FT352" s="101">
        <f t="shared" si="282"/>
        <v>24</v>
      </c>
      <c r="FU352" s="101">
        <f t="shared" si="275"/>
        <v>5</v>
      </c>
      <c r="FV352" s="14">
        <f t="shared" si="276"/>
        <v>5</v>
      </c>
      <c r="FW352" s="101" t="str">
        <f t="shared" si="283"/>
        <v>项羽专属武器-魂珠-3 6级</v>
      </c>
      <c r="FX352" s="101">
        <f t="shared" si="284"/>
        <v>3</v>
      </c>
      <c r="FY352" s="101">
        <f t="shared" si="285"/>
        <v>6</v>
      </c>
      <c r="FZ352" s="101" t="str">
        <f t="shared" si="277"/>
        <v>金币</v>
      </c>
      <c r="GA352" s="139">
        <f>IF($FY352&gt;0,IF(INDEX($EM$6:$EM$77,$FT352)&gt;=GA$3,ROUND(INDEX(EO$6:EO$77,$FT352)*INDEX(卡牌消耗!$B$8:$F$8,FV352)/5,0)*5,""),"")</f>
        <v>2200</v>
      </c>
      <c r="GB352" s="101" t="str">
        <f t="shared" si="278"/>
        <v>专属强化石1</v>
      </c>
      <c r="GC352" s="101">
        <f t="shared" si="279"/>
        <v>10</v>
      </c>
      <c r="GD352" s="101" t="str">
        <f t="shared" si="280"/>
        <v>专属强化石2</v>
      </c>
      <c r="GE352" s="101">
        <f t="shared" si="281"/>
        <v>5</v>
      </c>
      <c r="GF352" s="101">
        <f t="shared" si="286"/>
        <v>0.06</v>
      </c>
      <c r="GG352" s="101">
        <f t="shared" si="287"/>
        <v>1</v>
      </c>
      <c r="GH352" s="101">
        <f t="shared" si="288"/>
        <v>25</v>
      </c>
      <c r="GI352" s="101">
        <f t="shared" si="289"/>
        <v>0</v>
      </c>
      <c r="GJ352" s="101">
        <f t="shared" si="290"/>
        <v>1</v>
      </c>
      <c r="GK352" s="101">
        <f t="shared" si="291"/>
        <v>6</v>
      </c>
      <c r="GL352" s="101">
        <f t="shared" si="292"/>
        <v>2.9600000000000001E-2</v>
      </c>
      <c r="GM352" s="101">
        <f t="shared" si="293"/>
        <v>1</v>
      </c>
      <c r="GN352" s="101">
        <f t="shared" si="294"/>
        <v>12</v>
      </c>
      <c r="GO352" s="101">
        <f t="shared" si="295"/>
        <v>0.1186</v>
      </c>
      <c r="GP352" s="101">
        <f t="shared" si="296"/>
        <v>1</v>
      </c>
      <c r="GQ352" s="101">
        <f t="shared" si="297"/>
        <v>25</v>
      </c>
    </row>
    <row r="353" spans="175:199" ht="16.5" x14ac:dyDescent="0.2">
      <c r="FS353" s="101">
        <v>348</v>
      </c>
      <c r="FT353" s="101">
        <f t="shared" si="282"/>
        <v>25</v>
      </c>
      <c r="FU353" s="101">
        <f t="shared" si="275"/>
        <v>5</v>
      </c>
      <c r="FV353" s="14">
        <f t="shared" si="276"/>
        <v>5</v>
      </c>
      <c r="FW353" s="101" t="str">
        <f t="shared" si="283"/>
        <v>项羽专属武器-魂珠-3 7级</v>
      </c>
      <c r="FX353" s="101">
        <f t="shared" si="284"/>
        <v>3</v>
      </c>
      <c r="FY353" s="101">
        <f t="shared" si="285"/>
        <v>7</v>
      </c>
      <c r="FZ353" s="101" t="str">
        <f t="shared" si="277"/>
        <v>金币</v>
      </c>
      <c r="GA353" s="139">
        <f>IF($FY353&gt;0,IF(INDEX($EM$6:$EM$77,$FT353)&gt;=GA$3,ROUND(INDEX(EO$6:EO$77,$FT353)*INDEX(卡牌消耗!$B$8:$F$8,FV353)/5,0)*5,""),"")</f>
        <v>2650</v>
      </c>
      <c r="GB353" s="101" t="str">
        <f t="shared" si="278"/>
        <v>专属强化石1</v>
      </c>
      <c r="GC353" s="101">
        <f t="shared" si="279"/>
        <v>12</v>
      </c>
      <c r="GD353" s="101" t="str">
        <f t="shared" si="280"/>
        <v>专属强化石2</v>
      </c>
      <c r="GE353" s="101">
        <f t="shared" si="281"/>
        <v>6</v>
      </c>
      <c r="GF353" s="101">
        <f t="shared" si="286"/>
        <v>0.04</v>
      </c>
      <c r="GG353" s="101">
        <f t="shared" si="287"/>
        <v>1</v>
      </c>
      <c r="GH353" s="101">
        <f t="shared" si="288"/>
        <v>34</v>
      </c>
      <c r="GI353" s="101">
        <f t="shared" si="289"/>
        <v>0</v>
      </c>
      <c r="GJ353" s="101">
        <f t="shared" si="290"/>
        <v>1</v>
      </c>
      <c r="GK353" s="101">
        <f t="shared" si="291"/>
        <v>8</v>
      </c>
      <c r="GL353" s="101">
        <f t="shared" si="292"/>
        <v>2.1999999999999999E-2</v>
      </c>
      <c r="GM353" s="101">
        <f t="shared" si="293"/>
        <v>1</v>
      </c>
      <c r="GN353" s="101">
        <f t="shared" si="294"/>
        <v>16</v>
      </c>
      <c r="GO353" s="101">
        <f t="shared" si="295"/>
        <v>8.8099999999999998E-2</v>
      </c>
      <c r="GP353" s="101">
        <f t="shared" si="296"/>
        <v>1</v>
      </c>
      <c r="GQ353" s="101">
        <f t="shared" si="297"/>
        <v>34</v>
      </c>
    </row>
    <row r="354" spans="175:199" ht="16.5" x14ac:dyDescent="0.2">
      <c r="FS354" s="101">
        <v>349</v>
      </c>
      <c r="FT354" s="101">
        <f t="shared" si="282"/>
        <v>26</v>
      </c>
      <c r="FU354" s="101">
        <f t="shared" si="275"/>
        <v>5</v>
      </c>
      <c r="FV354" s="14">
        <f t="shared" si="276"/>
        <v>5</v>
      </c>
      <c r="FW354" s="101" t="str">
        <f t="shared" si="283"/>
        <v>项羽专属武器-魂珠-3 8级</v>
      </c>
      <c r="FX354" s="101">
        <f t="shared" si="284"/>
        <v>3</v>
      </c>
      <c r="FY354" s="101">
        <f t="shared" si="285"/>
        <v>8</v>
      </c>
      <c r="FZ354" s="101" t="str">
        <f t="shared" si="277"/>
        <v>金币</v>
      </c>
      <c r="GA354" s="139">
        <f>IF($FY354&gt;0,IF(INDEX($EM$6:$EM$77,$FT354)&gt;=GA$3,ROUND(INDEX(EO$6:EO$77,$FT354)*INDEX(卡牌消耗!$B$8:$F$8,FV354)/5,0)*5,""),"")</f>
        <v>3530</v>
      </c>
      <c r="GB354" s="101" t="str">
        <f t="shared" si="278"/>
        <v>专属强化石1</v>
      </c>
      <c r="GC354" s="101">
        <f t="shared" si="279"/>
        <v>16</v>
      </c>
      <c r="GD354" s="101" t="str">
        <f t="shared" si="280"/>
        <v>专属强化石2</v>
      </c>
      <c r="GE354" s="101">
        <f t="shared" si="281"/>
        <v>8</v>
      </c>
      <c r="GF354" s="101">
        <f t="shared" si="286"/>
        <v>0.04</v>
      </c>
      <c r="GG354" s="101">
        <f t="shared" si="287"/>
        <v>1</v>
      </c>
      <c r="GH354" s="101">
        <f t="shared" si="288"/>
        <v>41</v>
      </c>
      <c r="GI354" s="101">
        <f t="shared" si="289"/>
        <v>0</v>
      </c>
      <c r="GJ354" s="101">
        <f t="shared" si="290"/>
        <v>1</v>
      </c>
      <c r="GK354" s="101">
        <f t="shared" si="291"/>
        <v>10</v>
      </c>
      <c r="GL354" s="101">
        <f t="shared" si="292"/>
        <v>1.8100000000000002E-2</v>
      </c>
      <c r="GM354" s="101">
        <f t="shared" si="293"/>
        <v>1</v>
      </c>
      <c r="GN354" s="101">
        <f t="shared" si="294"/>
        <v>19</v>
      </c>
      <c r="GO354" s="101">
        <f t="shared" si="295"/>
        <v>7.2499999999999995E-2</v>
      </c>
      <c r="GP354" s="101">
        <f t="shared" si="296"/>
        <v>1</v>
      </c>
      <c r="GQ354" s="101">
        <f t="shared" si="297"/>
        <v>41</v>
      </c>
    </row>
    <row r="355" spans="175:199" ht="16.5" x14ac:dyDescent="0.2">
      <c r="FS355" s="101">
        <v>350</v>
      </c>
      <c r="FT355" s="101">
        <f t="shared" si="282"/>
        <v>27</v>
      </c>
      <c r="FU355" s="101">
        <f t="shared" si="275"/>
        <v>5</v>
      </c>
      <c r="FV355" s="14">
        <f t="shared" si="276"/>
        <v>5</v>
      </c>
      <c r="FW355" s="101" t="str">
        <f t="shared" si="283"/>
        <v>项羽专属武器-魂珠-3 9级</v>
      </c>
      <c r="FX355" s="101">
        <f t="shared" si="284"/>
        <v>3</v>
      </c>
      <c r="FY355" s="101">
        <f t="shared" si="285"/>
        <v>9</v>
      </c>
      <c r="FZ355" s="101" t="str">
        <f t="shared" si="277"/>
        <v>金币</v>
      </c>
      <c r="GA355" s="139">
        <f>IF($FY355&gt;0,IF(INDEX($EM$6:$EM$77,$FT355)&gt;=GA$3,ROUND(INDEX(EO$6:EO$77,$FT355)*INDEX(卡牌消耗!$B$8:$F$8,FV355)/5,0)*5,""),"")</f>
        <v>4415</v>
      </c>
      <c r="GB355" s="101" t="str">
        <f t="shared" si="278"/>
        <v>专属强化石1</v>
      </c>
      <c r="GC355" s="101">
        <f t="shared" si="279"/>
        <v>20</v>
      </c>
      <c r="GD355" s="101" t="str">
        <f t="shared" si="280"/>
        <v>专属强化石2</v>
      </c>
      <c r="GE355" s="101">
        <f t="shared" si="281"/>
        <v>10</v>
      </c>
      <c r="GF355" s="101">
        <f t="shared" si="286"/>
        <v>0.03</v>
      </c>
      <c r="GG355" s="101">
        <f t="shared" si="287"/>
        <v>1</v>
      </c>
      <c r="GH355" s="101">
        <f t="shared" si="288"/>
        <v>54</v>
      </c>
      <c r="GI355" s="101">
        <f t="shared" si="289"/>
        <v>0</v>
      </c>
      <c r="GJ355" s="101">
        <f t="shared" si="290"/>
        <v>1</v>
      </c>
      <c r="GK355" s="101">
        <f t="shared" si="291"/>
        <v>12</v>
      </c>
      <c r="GL355" s="101">
        <f t="shared" si="292"/>
        <v>1.4E-2</v>
      </c>
      <c r="GM355" s="101">
        <f t="shared" si="293"/>
        <v>1</v>
      </c>
      <c r="GN355" s="101">
        <f t="shared" si="294"/>
        <v>25</v>
      </c>
      <c r="GO355" s="101">
        <f t="shared" si="295"/>
        <v>5.6000000000000001E-2</v>
      </c>
      <c r="GP355" s="101">
        <f t="shared" si="296"/>
        <v>1</v>
      </c>
      <c r="GQ355" s="101">
        <f t="shared" si="297"/>
        <v>54</v>
      </c>
    </row>
    <row r="356" spans="175:199" ht="16.5" x14ac:dyDescent="0.2">
      <c r="FS356" s="101">
        <v>351</v>
      </c>
      <c r="FT356" s="101">
        <f t="shared" si="282"/>
        <v>0</v>
      </c>
      <c r="FU356" s="101">
        <f t="shared" si="275"/>
        <v>5</v>
      </c>
      <c r="FV356" s="14">
        <f t="shared" si="276"/>
        <v>5</v>
      </c>
      <c r="FW356" s="101" t="str">
        <f t="shared" si="283"/>
        <v>项羽专属武器-魂珠-4 0级</v>
      </c>
      <c r="FX356" s="101">
        <f t="shared" si="284"/>
        <v>4</v>
      </c>
      <c r="FY356" s="101">
        <f t="shared" si="285"/>
        <v>0</v>
      </c>
      <c r="FZ356" s="101" t="str">
        <f t="shared" si="277"/>
        <v/>
      </c>
      <c r="GA356" s="139" t="str">
        <f>IF($FY356&gt;0,IF(INDEX($EM$6:$EM$77,$FT356)&gt;=GA$3,ROUND(INDEX(EO$6:EO$77,$FT356)*INDEX(卡牌消耗!$B$8:$F$8,FV356)/5,0)*5,""),"")</f>
        <v/>
      </c>
      <c r="GB356" s="101" t="str">
        <f t="shared" si="278"/>
        <v/>
      </c>
      <c r="GC356" s="101" t="str">
        <f t="shared" si="279"/>
        <v/>
      </c>
      <c r="GD356" s="101" t="str">
        <f t="shared" si="280"/>
        <v/>
      </c>
      <c r="GE356" s="101" t="str">
        <f t="shared" si="281"/>
        <v/>
      </c>
      <c r="GF356" s="101" t="str">
        <f t="shared" si="286"/>
        <v/>
      </c>
      <c r="GG356" s="101" t="str">
        <f t="shared" si="287"/>
        <v/>
      </c>
      <c r="GH356" s="101" t="str">
        <f t="shared" si="288"/>
        <v/>
      </c>
      <c r="GI356" s="101" t="str">
        <f t="shared" si="289"/>
        <v/>
      </c>
      <c r="GJ356" s="101" t="str">
        <f t="shared" si="290"/>
        <v/>
      </c>
      <c r="GK356" s="101" t="str">
        <f t="shared" si="291"/>
        <v/>
      </c>
      <c r="GL356" s="101" t="str">
        <f t="shared" si="292"/>
        <v/>
      </c>
      <c r="GM356" s="101" t="str">
        <f t="shared" si="293"/>
        <v/>
      </c>
      <c r="GN356" s="101" t="str">
        <f t="shared" si="294"/>
        <v/>
      </c>
      <c r="GO356" s="101" t="str">
        <f t="shared" si="295"/>
        <v/>
      </c>
      <c r="GP356" s="101" t="str">
        <f t="shared" si="296"/>
        <v/>
      </c>
      <c r="GQ356" s="101" t="str">
        <f t="shared" si="297"/>
        <v/>
      </c>
    </row>
    <row r="357" spans="175:199" ht="16.5" x14ac:dyDescent="0.2">
      <c r="FS357" s="101">
        <v>352</v>
      </c>
      <c r="FT357" s="101">
        <f t="shared" si="282"/>
        <v>28</v>
      </c>
      <c r="FU357" s="101">
        <f t="shared" si="275"/>
        <v>5</v>
      </c>
      <c r="FV357" s="14">
        <f t="shared" si="276"/>
        <v>5</v>
      </c>
      <c r="FW357" s="101" t="str">
        <f t="shared" si="283"/>
        <v>项羽专属武器-魂珠-4 1级</v>
      </c>
      <c r="FX357" s="101">
        <f t="shared" si="284"/>
        <v>4</v>
      </c>
      <c r="FY357" s="101">
        <f t="shared" si="285"/>
        <v>1</v>
      </c>
      <c r="FZ357" s="101" t="str">
        <f t="shared" si="277"/>
        <v>金币</v>
      </c>
      <c r="GA357" s="139">
        <f>IF($FY357&gt;0,IF(INDEX($EM$6:$EM$77,$FT357)&gt;=GA$3,ROUND(INDEX(EO$6:EO$77,$FT357)*INDEX(卡牌消耗!$B$8:$F$8,FV357)/5,0)*5,""),"")</f>
        <v>1460</v>
      </c>
      <c r="GB357" s="101" t="str">
        <f t="shared" si="278"/>
        <v>专属强化石2</v>
      </c>
      <c r="GC357" s="101">
        <f t="shared" si="279"/>
        <v>3</v>
      </c>
      <c r="GD357" s="101" t="str">
        <f t="shared" si="280"/>
        <v>专属强化石3</v>
      </c>
      <c r="GE357" s="101">
        <f t="shared" si="281"/>
        <v>1</v>
      </c>
      <c r="GF357" s="101">
        <f t="shared" si="286"/>
        <v>0.2</v>
      </c>
      <c r="GG357" s="101">
        <f t="shared" si="287"/>
        <v>1</v>
      </c>
      <c r="GH357" s="101">
        <f t="shared" si="288"/>
        <v>7</v>
      </c>
      <c r="GI357" s="101">
        <f t="shared" si="289"/>
        <v>0</v>
      </c>
      <c r="GJ357" s="101">
        <f t="shared" si="290"/>
        <v>1</v>
      </c>
      <c r="GK357" s="101">
        <f t="shared" si="291"/>
        <v>2</v>
      </c>
      <c r="GL357" s="101">
        <f t="shared" si="292"/>
        <v>0.1012</v>
      </c>
      <c r="GM357" s="101">
        <f t="shared" si="293"/>
        <v>1</v>
      </c>
      <c r="GN357" s="101">
        <f t="shared" si="294"/>
        <v>3</v>
      </c>
      <c r="GO357" s="101">
        <f t="shared" si="295"/>
        <v>0.40479999999999999</v>
      </c>
      <c r="GP357" s="101">
        <f t="shared" si="296"/>
        <v>1</v>
      </c>
      <c r="GQ357" s="101">
        <f t="shared" si="297"/>
        <v>7</v>
      </c>
    </row>
    <row r="358" spans="175:199" ht="16.5" x14ac:dyDescent="0.2">
      <c r="FS358" s="101">
        <v>353</v>
      </c>
      <c r="FT358" s="101">
        <f t="shared" si="282"/>
        <v>29</v>
      </c>
      <c r="FU358" s="101">
        <f t="shared" si="275"/>
        <v>5</v>
      </c>
      <c r="FV358" s="14">
        <f t="shared" si="276"/>
        <v>5</v>
      </c>
      <c r="FW358" s="101" t="str">
        <f t="shared" si="283"/>
        <v>项羽专属武器-魂珠-4 2级</v>
      </c>
      <c r="FX358" s="101">
        <f t="shared" si="284"/>
        <v>4</v>
      </c>
      <c r="FY358" s="101">
        <f t="shared" si="285"/>
        <v>2</v>
      </c>
      <c r="FZ358" s="101" t="str">
        <f t="shared" si="277"/>
        <v>金币</v>
      </c>
      <c r="GA358" s="139">
        <f>IF($FY358&gt;0,IF(INDEX($EM$6:$EM$77,$FT358)&gt;=GA$3,ROUND(INDEX(EO$6:EO$77,$FT358)*INDEX(卡牌消耗!$B$8:$F$8,FV358)/5,0)*5,""),"")</f>
        <v>1095</v>
      </c>
      <c r="GB358" s="101" t="str">
        <f t="shared" si="278"/>
        <v>专属强化石2</v>
      </c>
      <c r="GC358" s="101">
        <f t="shared" si="279"/>
        <v>3</v>
      </c>
      <c r="GD358" s="101" t="str">
        <f t="shared" si="280"/>
        <v>专属强化石3</v>
      </c>
      <c r="GE358" s="101">
        <f t="shared" si="281"/>
        <v>1</v>
      </c>
      <c r="GF358" s="101">
        <f t="shared" si="286"/>
        <v>0.1</v>
      </c>
      <c r="GG358" s="101">
        <f t="shared" si="287"/>
        <v>1</v>
      </c>
      <c r="GH358" s="101">
        <f t="shared" si="288"/>
        <v>15</v>
      </c>
      <c r="GI358" s="101">
        <f t="shared" si="289"/>
        <v>0</v>
      </c>
      <c r="GJ358" s="101">
        <f t="shared" si="290"/>
        <v>1</v>
      </c>
      <c r="GK358" s="101">
        <f t="shared" si="291"/>
        <v>3</v>
      </c>
      <c r="GL358" s="101">
        <f t="shared" si="292"/>
        <v>5.0599999999999999E-2</v>
      </c>
      <c r="GM358" s="101">
        <f t="shared" si="293"/>
        <v>1</v>
      </c>
      <c r="GN358" s="101">
        <f t="shared" si="294"/>
        <v>7</v>
      </c>
      <c r="GO358" s="101">
        <f t="shared" si="295"/>
        <v>0.2024</v>
      </c>
      <c r="GP358" s="101">
        <f t="shared" si="296"/>
        <v>1</v>
      </c>
      <c r="GQ358" s="101">
        <f t="shared" si="297"/>
        <v>15</v>
      </c>
    </row>
    <row r="359" spans="175:199" ht="16.5" x14ac:dyDescent="0.2">
      <c r="FS359" s="101">
        <v>354</v>
      </c>
      <c r="FT359" s="101">
        <f t="shared" si="282"/>
        <v>30</v>
      </c>
      <c r="FU359" s="101">
        <f t="shared" si="275"/>
        <v>5</v>
      </c>
      <c r="FV359" s="14">
        <f t="shared" si="276"/>
        <v>5</v>
      </c>
      <c r="FW359" s="101" t="str">
        <f t="shared" si="283"/>
        <v>项羽专属武器-魂珠-4 3级</v>
      </c>
      <c r="FX359" s="101">
        <f t="shared" si="284"/>
        <v>4</v>
      </c>
      <c r="FY359" s="101">
        <f t="shared" si="285"/>
        <v>3</v>
      </c>
      <c r="FZ359" s="101" t="str">
        <f t="shared" si="277"/>
        <v>金币</v>
      </c>
      <c r="GA359" s="139">
        <f>IF($FY359&gt;0,IF(INDEX($EM$6:$EM$77,$FT359)&gt;=GA$3,ROUND(INDEX(EO$6:EO$77,$FT359)*INDEX(卡牌消耗!$B$8:$F$8,FV359)/5,0)*5,""),"")</f>
        <v>1215</v>
      </c>
      <c r="GB359" s="101" t="str">
        <f t="shared" si="278"/>
        <v>专属强化石2</v>
      </c>
      <c r="GC359" s="101">
        <f t="shared" si="279"/>
        <v>3</v>
      </c>
      <c r="GD359" s="101" t="str">
        <f t="shared" si="280"/>
        <v>专属强化石3</v>
      </c>
      <c r="GE359" s="101">
        <f t="shared" si="281"/>
        <v>1</v>
      </c>
      <c r="GF359" s="101">
        <f t="shared" si="286"/>
        <v>7.0000000000000007E-2</v>
      </c>
      <c r="GG359" s="101">
        <f t="shared" si="287"/>
        <v>1</v>
      </c>
      <c r="GH359" s="101">
        <f t="shared" si="288"/>
        <v>22</v>
      </c>
      <c r="GI359" s="101">
        <f t="shared" si="289"/>
        <v>0</v>
      </c>
      <c r="GJ359" s="101">
        <f t="shared" si="290"/>
        <v>1</v>
      </c>
      <c r="GK359" s="101">
        <f t="shared" si="291"/>
        <v>5</v>
      </c>
      <c r="GL359" s="101">
        <f t="shared" si="292"/>
        <v>3.3700000000000001E-2</v>
      </c>
      <c r="GM359" s="101">
        <f t="shared" si="293"/>
        <v>1</v>
      </c>
      <c r="GN359" s="101">
        <f t="shared" si="294"/>
        <v>10</v>
      </c>
      <c r="GO359" s="101">
        <f t="shared" si="295"/>
        <v>0.13489999999999999</v>
      </c>
      <c r="GP359" s="101">
        <f t="shared" si="296"/>
        <v>1</v>
      </c>
      <c r="GQ359" s="101">
        <f t="shared" si="297"/>
        <v>22</v>
      </c>
    </row>
    <row r="360" spans="175:199" ht="16.5" x14ac:dyDescent="0.2">
      <c r="FS360" s="101">
        <v>355</v>
      </c>
      <c r="FT360" s="101">
        <f t="shared" si="282"/>
        <v>31</v>
      </c>
      <c r="FU360" s="101">
        <f t="shared" si="275"/>
        <v>5</v>
      </c>
      <c r="FV360" s="14">
        <f t="shared" si="276"/>
        <v>5</v>
      </c>
      <c r="FW360" s="101" t="str">
        <f t="shared" si="283"/>
        <v>项羽专属武器-魂珠-4 4级</v>
      </c>
      <c r="FX360" s="101">
        <f t="shared" si="284"/>
        <v>4</v>
      </c>
      <c r="FY360" s="101">
        <f t="shared" si="285"/>
        <v>4</v>
      </c>
      <c r="FZ360" s="101" t="str">
        <f t="shared" si="277"/>
        <v>金币</v>
      </c>
      <c r="GA360" s="139">
        <f>IF($FY360&gt;0,IF(INDEX($EM$6:$EM$77,$FT360)&gt;=GA$3,ROUND(INDEX(EO$6:EO$77,$FT360)*INDEX(卡牌消耗!$B$8:$F$8,FV360)/5,0)*5,""),"")</f>
        <v>2335</v>
      </c>
      <c r="GB360" s="101" t="str">
        <f t="shared" si="278"/>
        <v>专属强化石2</v>
      </c>
      <c r="GC360" s="101">
        <f t="shared" si="279"/>
        <v>5</v>
      </c>
      <c r="GD360" s="101" t="str">
        <f t="shared" si="280"/>
        <v>专属强化石3</v>
      </c>
      <c r="GE360" s="101">
        <f t="shared" si="281"/>
        <v>2</v>
      </c>
      <c r="GF360" s="101">
        <f t="shared" si="286"/>
        <v>0.08</v>
      </c>
      <c r="GG360" s="101">
        <f t="shared" si="287"/>
        <v>1</v>
      </c>
      <c r="GH360" s="101">
        <f t="shared" si="288"/>
        <v>19</v>
      </c>
      <c r="GI360" s="101">
        <f t="shared" si="289"/>
        <v>0</v>
      </c>
      <c r="GJ360" s="101">
        <f t="shared" si="290"/>
        <v>1</v>
      </c>
      <c r="GK360" s="101">
        <f t="shared" si="291"/>
        <v>4</v>
      </c>
      <c r="GL360" s="101">
        <f t="shared" si="292"/>
        <v>4.0500000000000001E-2</v>
      </c>
      <c r="GM360" s="101">
        <f t="shared" si="293"/>
        <v>1</v>
      </c>
      <c r="GN360" s="101">
        <f t="shared" si="294"/>
        <v>9</v>
      </c>
      <c r="GO360" s="101">
        <f t="shared" si="295"/>
        <v>0.16189999999999999</v>
      </c>
      <c r="GP360" s="101">
        <f t="shared" si="296"/>
        <v>1</v>
      </c>
      <c r="GQ360" s="101">
        <f t="shared" si="297"/>
        <v>19</v>
      </c>
    </row>
    <row r="361" spans="175:199" ht="16.5" x14ac:dyDescent="0.2">
      <c r="FS361" s="101">
        <v>356</v>
      </c>
      <c r="FT361" s="101">
        <f t="shared" si="282"/>
        <v>32</v>
      </c>
      <c r="FU361" s="101">
        <f t="shared" si="275"/>
        <v>5</v>
      </c>
      <c r="FV361" s="14">
        <f t="shared" si="276"/>
        <v>5</v>
      </c>
      <c r="FW361" s="101" t="str">
        <f t="shared" si="283"/>
        <v>项羽专属武器-魂珠-4 5级</v>
      </c>
      <c r="FX361" s="101">
        <f t="shared" si="284"/>
        <v>4</v>
      </c>
      <c r="FY361" s="101">
        <f t="shared" si="285"/>
        <v>5</v>
      </c>
      <c r="FZ361" s="101" t="str">
        <f t="shared" si="277"/>
        <v>金币</v>
      </c>
      <c r="GA361" s="139">
        <f>IF($FY361&gt;0,IF(INDEX($EM$6:$EM$77,$FT361)&gt;=GA$3,ROUND(INDEX(EO$6:EO$77,$FT361)*INDEX(卡牌消耗!$B$8:$F$8,FV361)/5,0)*5,""),"")</f>
        <v>2370</v>
      </c>
      <c r="GB361" s="101" t="str">
        <f t="shared" si="278"/>
        <v>专属强化石2</v>
      </c>
      <c r="GC361" s="101">
        <f t="shared" si="279"/>
        <v>5</v>
      </c>
      <c r="GD361" s="101" t="str">
        <f t="shared" si="280"/>
        <v>专属强化石3</v>
      </c>
      <c r="GE361" s="101">
        <f t="shared" si="281"/>
        <v>2</v>
      </c>
      <c r="GF361" s="101">
        <f t="shared" si="286"/>
        <v>0.05</v>
      </c>
      <c r="GG361" s="101">
        <f t="shared" si="287"/>
        <v>1</v>
      </c>
      <c r="GH361" s="101">
        <f t="shared" si="288"/>
        <v>30</v>
      </c>
      <c r="GI361" s="101">
        <f t="shared" si="289"/>
        <v>0</v>
      </c>
      <c r="GJ361" s="101">
        <f t="shared" si="290"/>
        <v>1</v>
      </c>
      <c r="GK361" s="101">
        <f t="shared" si="291"/>
        <v>7</v>
      </c>
      <c r="GL361" s="101">
        <f t="shared" si="292"/>
        <v>2.53E-2</v>
      </c>
      <c r="GM361" s="101">
        <f t="shared" si="293"/>
        <v>1</v>
      </c>
      <c r="GN361" s="101">
        <f t="shared" si="294"/>
        <v>14</v>
      </c>
      <c r="GO361" s="101">
        <f t="shared" si="295"/>
        <v>0.1012</v>
      </c>
      <c r="GP361" s="101">
        <f t="shared" si="296"/>
        <v>1</v>
      </c>
      <c r="GQ361" s="101">
        <f t="shared" si="297"/>
        <v>30</v>
      </c>
    </row>
    <row r="362" spans="175:199" ht="16.5" x14ac:dyDescent="0.2">
      <c r="FS362" s="101">
        <v>357</v>
      </c>
      <c r="FT362" s="101">
        <f t="shared" si="282"/>
        <v>33</v>
      </c>
      <c r="FU362" s="101">
        <f t="shared" si="275"/>
        <v>5</v>
      </c>
      <c r="FV362" s="14">
        <f t="shared" si="276"/>
        <v>5</v>
      </c>
      <c r="FW362" s="101" t="str">
        <f t="shared" si="283"/>
        <v>项羽专属武器-魂珠-4 6级</v>
      </c>
      <c r="FX362" s="101">
        <f t="shared" si="284"/>
        <v>4</v>
      </c>
      <c r="FY362" s="101">
        <f t="shared" si="285"/>
        <v>6</v>
      </c>
      <c r="FZ362" s="101" t="str">
        <f t="shared" si="277"/>
        <v>金币</v>
      </c>
      <c r="GA362" s="139">
        <f>IF($FY362&gt;0,IF(INDEX($EM$6:$EM$77,$FT362)&gt;=GA$3,ROUND(INDEX(EO$6:EO$77,$FT362)*INDEX(卡牌消耗!$B$8:$F$8,FV362)/5,0)*5,""),"")</f>
        <v>2360</v>
      </c>
      <c r="GB362" s="101" t="str">
        <f t="shared" si="278"/>
        <v>专属强化石2</v>
      </c>
      <c r="GC362" s="101">
        <f t="shared" si="279"/>
        <v>5</v>
      </c>
      <c r="GD362" s="101" t="str">
        <f t="shared" si="280"/>
        <v>专属强化石3</v>
      </c>
      <c r="GE362" s="101">
        <f t="shared" si="281"/>
        <v>2</v>
      </c>
      <c r="GF362" s="101">
        <f t="shared" si="286"/>
        <v>0.03</v>
      </c>
      <c r="GG362" s="101">
        <f t="shared" si="287"/>
        <v>1</v>
      </c>
      <c r="GH362" s="101">
        <f t="shared" si="288"/>
        <v>48</v>
      </c>
      <c r="GI362" s="101">
        <f t="shared" si="289"/>
        <v>0</v>
      </c>
      <c r="GJ362" s="101">
        <f t="shared" si="290"/>
        <v>1</v>
      </c>
      <c r="GK362" s="101">
        <f t="shared" si="291"/>
        <v>11</v>
      </c>
      <c r="GL362" s="101">
        <f t="shared" si="292"/>
        <v>1.5599999999999999E-2</v>
      </c>
      <c r="GM362" s="101">
        <f t="shared" si="293"/>
        <v>1</v>
      </c>
      <c r="GN362" s="101">
        <f t="shared" si="294"/>
        <v>22</v>
      </c>
      <c r="GO362" s="101">
        <f t="shared" si="295"/>
        <v>6.2300000000000001E-2</v>
      </c>
      <c r="GP362" s="101">
        <f t="shared" si="296"/>
        <v>1</v>
      </c>
      <c r="GQ362" s="101">
        <f t="shared" si="297"/>
        <v>48</v>
      </c>
    </row>
    <row r="363" spans="175:199" ht="16.5" x14ac:dyDescent="0.2">
      <c r="FS363" s="101">
        <v>358</v>
      </c>
      <c r="FT363" s="101">
        <f t="shared" si="282"/>
        <v>34</v>
      </c>
      <c r="FU363" s="101">
        <f t="shared" si="275"/>
        <v>5</v>
      </c>
      <c r="FV363" s="14">
        <f t="shared" si="276"/>
        <v>5</v>
      </c>
      <c r="FW363" s="101" t="str">
        <f t="shared" si="283"/>
        <v>项羽专属武器-魂珠-4 7级</v>
      </c>
      <c r="FX363" s="101">
        <f t="shared" si="284"/>
        <v>4</v>
      </c>
      <c r="FY363" s="101">
        <f t="shared" si="285"/>
        <v>7</v>
      </c>
      <c r="FZ363" s="101" t="str">
        <f t="shared" si="277"/>
        <v>金币</v>
      </c>
      <c r="GA363" s="139">
        <f>IF($FY363&gt;0,IF(INDEX($EM$6:$EM$77,$FT363)&gt;=GA$3,ROUND(INDEX(EO$6:EO$77,$FT363)*INDEX(卡牌消耗!$B$8:$F$8,FV363)/5,0)*5,""),"")</f>
        <v>3545</v>
      </c>
      <c r="GB363" s="101" t="str">
        <f t="shared" si="278"/>
        <v>专属强化石2</v>
      </c>
      <c r="GC363" s="101">
        <f t="shared" si="279"/>
        <v>8</v>
      </c>
      <c r="GD363" s="101" t="str">
        <f t="shared" si="280"/>
        <v>专属强化石3</v>
      </c>
      <c r="GE363" s="101">
        <f t="shared" si="281"/>
        <v>3</v>
      </c>
      <c r="GF363" s="101">
        <f t="shared" si="286"/>
        <v>0.03</v>
      </c>
      <c r="GG363" s="101">
        <f t="shared" si="287"/>
        <v>1</v>
      </c>
      <c r="GH363" s="101">
        <f t="shared" si="288"/>
        <v>52</v>
      </c>
      <c r="GI363" s="101">
        <f t="shared" si="289"/>
        <v>0</v>
      </c>
      <c r="GJ363" s="101">
        <f t="shared" si="290"/>
        <v>1</v>
      </c>
      <c r="GK363" s="101">
        <f t="shared" si="291"/>
        <v>12</v>
      </c>
      <c r="GL363" s="101">
        <f t="shared" si="292"/>
        <v>1.4500000000000001E-2</v>
      </c>
      <c r="GM363" s="101">
        <f t="shared" si="293"/>
        <v>1</v>
      </c>
      <c r="GN363" s="101">
        <f t="shared" si="294"/>
        <v>24</v>
      </c>
      <c r="GO363" s="101">
        <f t="shared" si="295"/>
        <v>5.7799999999999997E-2</v>
      </c>
      <c r="GP363" s="101">
        <f t="shared" si="296"/>
        <v>1</v>
      </c>
      <c r="GQ363" s="101">
        <f t="shared" si="297"/>
        <v>52</v>
      </c>
    </row>
    <row r="364" spans="175:199" ht="16.5" x14ac:dyDescent="0.2">
      <c r="FS364" s="101">
        <v>359</v>
      </c>
      <c r="FT364" s="101">
        <f t="shared" si="282"/>
        <v>35</v>
      </c>
      <c r="FU364" s="101">
        <f t="shared" si="275"/>
        <v>5</v>
      </c>
      <c r="FV364" s="14">
        <f t="shared" si="276"/>
        <v>5</v>
      </c>
      <c r="FW364" s="101" t="str">
        <f t="shared" si="283"/>
        <v>项羽专属武器-魂珠-4 8级</v>
      </c>
      <c r="FX364" s="101">
        <f t="shared" si="284"/>
        <v>4</v>
      </c>
      <c r="FY364" s="101">
        <f t="shared" si="285"/>
        <v>8</v>
      </c>
      <c r="FZ364" s="101" t="str">
        <f t="shared" si="277"/>
        <v>金币</v>
      </c>
      <c r="GA364" s="139">
        <f>IF($FY364&gt;0,IF(INDEX($EM$6:$EM$77,$FT364)&gt;=GA$3,ROUND(INDEX(EO$6:EO$77,$FT364)*INDEX(卡牌消耗!$B$8:$F$8,FV364)/5,0)*5,""),"")</f>
        <v>4720</v>
      </c>
      <c r="GB364" s="101" t="str">
        <f t="shared" si="278"/>
        <v>专属强化石2</v>
      </c>
      <c r="GC364" s="101">
        <f t="shared" si="279"/>
        <v>11</v>
      </c>
      <c r="GD364" s="101" t="str">
        <f t="shared" si="280"/>
        <v>专属强化石3</v>
      </c>
      <c r="GE364" s="101">
        <f t="shared" si="281"/>
        <v>4</v>
      </c>
      <c r="GF364" s="101">
        <f t="shared" si="286"/>
        <v>0.02</v>
      </c>
      <c r="GG364" s="101">
        <f t="shared" si="287"/>
        <v>1</v>
      </c>
      <c r="GH364" s="101">
        <f t="shared" si="288"/>
        <v>63</v>
      </c>
      <c r="GI364" s="101">
        <f t="shared" si="289"/>
        <v>0</v>
      </c>
      <c r="GJ364" s="101">
        <f t="shared" si="290"/>
        <v>1</v>
      </c>
      <c r="GK364" s="101">
        <f t="shared" si="291"/>
        <v>15</v>
      </c>
      <c r="GL364" s="101">
        <f t="shared" si="292"/>
        <v>1.1900000000000001E-2</v>
      </c>
      <c r="GM364" s="101">
        <f t="shared" si="293"/>
        <v>1</v>
      </c>
      <c r="GN364" s="101">
        <f t="shared" si="294"/>
        <v>29</v>
      </c>
      <c r="GO364" s="101">
        <f t="shared" si="295"/>
        <v>4.7600000000000003E-2</v>
      </c>
      <c r="GP364" s="101">
        <f t="shared" si="296"/>
        <v>1</v>
      </c>
      <c r="GQ364" s="101">
        <f t="shared" si="297"/>
        <v>63</v>
      </c>
    </row>
    <row r="365" spans="175:199" ht="16.5" x14ac:dyDescent="0.2">
      <c r="FS365" s="101">
        <v>360</v>
      </c>
      <c r="FT365" s="101">
        <f t="shared" si="282"/>
        <v>36</v>
      </c>
      <c r="FU365" s="101">
        <f t="shared" si="275"/>
        <v>5</v>
      </c>
      <c r="FV365" s="14">
        <f t="shared" si="276"/>
        <v>5</v>
      </c>
      <c r="FW365" s="101" t="str">
        <f t="shared" si="283"/>
        <v>项羽专属武器-魂珠-4 9级</v>
      </c>
      <c r="FX365" s="101">
        <f t="shared" si="284"/>
        <v>4</v>
      </c>
      <c r="FY365" s="101">
        <f t="shared" si="285"/>
        <v>9</v>
      </c>
      <c r="FZ365" s="101" t="str">
        <f t="shared" si="277"/>
        <v>金币</v>
      </c>
      <c r="GA365" s="139">
        <f>IF($FY365&gt;0,IF(INDEX($EM$6:$EM$77,$FT365)&gt;=GA$3,ROUND(INDEX(EO$6:EO$77,$FT365)*INDEX(卡牌消耗!$B$8:$F$8,FV365)/5,0)*5,""),"")</f>
        <v>7085</v>
      </c>
      <c r="GB365" s="101" t="str">
        <f t="shared" si="278"/>
        <v>专属强化石2</v>
      </c>
      <c r="GC365" s="101">
        <f t="shared" si="279"/>
        <v>16</v>
      </c>
      <c r="GD365" s="101" t="str">
        <f t="shared" si="280"/>
        <v>专属强化石3</v>
      </c>
      <c r="GE365" s="101">
        <f t="shared" si="281"/>
        <v>6</v>
      </c>
      <c r="GF365" s="101">
        <f t="shared" si="286"/>
        <v>0.02</v>
      </c>
      <c r="GG365" s="101">
        <f t="shared" si="287"/>
        <v>1</v>
      </c>
      <c r="GH365" s="101">
        <f t="shared" si="288"/>
        <v>68</v>
      </c>
      <c r="GI365" s="101">
        <f t="shared" si="289"/>
        <v>0</v>
      </c>
      <c r="GJ365" s="101">
        <f t="shared" si="290"/>
        <v>1</v>
      </c>
      <c r="GK365" s="101">
        <f t="shared" si="291"/>
        <v>16</v>
      </c>
      <c r="GL365" s="101">
        <f t="shared" si="292"/>
        <v>1.0999999999999999E-2</v>
      </c>
      <c r="GM365" s="101">
        <f t="shared" si="293"/>
        <v>1</v>
      </c>
      <c r="GN365" s="101">
        <f t="shared" si="294"/>
        <v>32</v>
      </c>
      <c r="GO365" s="101">
        <f t="shared" si="295"/>
        <v>4.4200000000000003E-2</v>
      </c>
      <c r="GP365" s="101">
        <f t="shared" si="296"/>
        <v>1</v>
      </c>
      <c r="GQ365" s="101">
        <f t="shared" si="297"/>
        <v>68</v>
      </c>
    </row>
    <row r="366" spans="175:199" ht="16.5" x14ac:dyDescent="0.2">
      <c r="FS366" s="101">
        <v>361</v>
      </c>
      <c r="FT366" s="101">
        <f t="shared" si="282"/>
        <v>0</v>
      </c>
      <c r="FU366" s="101">
        <f t="shared" si="275"/>
        <v>5</v>
      </c>
      <c r="FV366" s="14">
        <f t="shared" si="276"/>
        <v>5</v>
      </c>
      <c r="FW366" s="101" t="str">
        <f t="shared" si="283"/>
        <v>项羽专属武器-魂珠-5 0级</v>
      </c>
      <c r="FX366" s="101">
        <f t="shared" si="284"/>
        <v>5</v>
      </c>
      <c r="FY366" s="101">
        <f t="shared" si="285"/>
        <v>0</v>
      </c>
      <c r="FZ366" s="101" t="str">
        <f t="shared" si="277"/>
        <v/>
      </c>
      <c r="GA366" s="139" t="str">
        <f>IF($FY366&gt;0,IF(INDEX($EM$6:$EM$77,$FT366)&gt;=GA$3,ROUND(INDEX(EO$6:EO$77,$FT366)*INDEX(卡牌消耗!$B$8:$F$8,FV366)/5,0)*5,""),"")</f>
        <v/>
      </c>
      <c r="GB366" s="101" t="str">
        <f t="shared" si="278"/>
        <v/>
      </c>
      <c r="GC366" s="101" t="str">
        <f t="shared" si="279"/>
        <v/>
      </c>
      <c r="GD366" s="101" t="str">
        <f t="shared" si="280"/>
        <v/>
      </c>
      <c r="GE366" s="101" t="str">
        <f t="shared" si="281"/>
        <v/>
      </c>
      <c r="GF366" s="101" t="str">
        <f t="shared" si="286"/>
        <v/>
      </c>
      <c r="GG366" s="101" t="str">
        <f t="shared" si="287"/>
        <v/>
      </c>
      <c r="GH366" s="101" t="str">
        <f t="shared" si="288"/>
        <v/>
      </c>
      <c r="GI366" s="101" t="str">
        <f t="shared" si="289"/>
        <v/>
      </c>
      <c r="GJ366" s="101" t="str">
        <f t="shared" si="290"/>
        <v/>
      </c>
      <c r="GK366" s="101" t="str">
        <f t="shared" si="291"/>
        <v/>
      </c>
      <c r="GL366" s="101" t="str">
        <f t="shared" si="292"/>
        <v/>
      </c>
      <c r="GM366" s="101" t="str">
        <f t="shared" si="293"/>
        <v/>
      </c>
      <c r="GN366" s="101" t="str">
        <f t="shared" si="294"/>
        <v/>
      </c>
      <c r="GO366" s="101" t="str">
        <f t="shared" si="295"/>
        <v/>
      </c>
      <c r="GP366" s="101" t="str">
        <f t="shared" si="296"/>
        <v/>
      </c>
      <c r="GQ366" s="101" t="str">
        <f t="shared" si="297"/>
        <v/>
      </c>
    </row>
    <row r="367" spans="175:199" ht="16.5" x14ac:dyDescent="0.2">
      <c r="FS367" s="101">
        <v>362</v>
      </c>
      <c r="FT367" s="101">
        <f t="shared" si="282"/>
        <v>37</v>
      </c>
      <c r="FU367" s="101">
        <f t="shared" si="275"/>
        <v>5</v>
      </c>
      <c r="FV367" s="14">
        <f t="shared" si="276"/>
        <v>5</v>
      </c>
      <c r="FW367" s="101" t="str">
        <f t="shared" si="283"/>
        <v>项羽专属武器-魂珠-5 1级</v>
      </c>
      <c r="FX367" s="101">
        <f t="shared" si="284"/>
        <v>5</v>
      </c>
      <c r="FY367" s="101">
        <f t="shared" si="285"/>
        <v>1</v>
      </c>
      <c r="FZ367" s="101" t="str">
        <f t="shared" si="277"/>
        <v>金币</v>
      </c>
      <c r="GA367" s="139">
        <f>IF($FY367&gt;0,IF(INDEX($EM$6:$EM$77,$FT367)&gt;=GA$3,ROUND(INDEX(EO$6:EO$77,$FT367)*INDEX(卡牌消耗!$B$8:$F$8,FV367)/5,0)*5,""),"")</f>
        <v>2990</v>
      </c>
      <c r="GB367" s="101" t="str">
        <f t="shared" si="278"/>
        <v>专属强化石2</v>
      </c>
      <c r="GC367" s="101">
        <f t="shared" si="279"/>
        <v>3</v>
      </c>
      <c r="GD367" s="101" t="str">
        <f t="shared" si="280"/>
        <v>专属强化石3</v>
      </c>
      <c r="GE367" s="101">
        <f t="shared" si="281"/>
        <v>2</v>
      </c>
      <c r="GF367" s="101">
        <f t="shared" si="286"/>
        <v>0.2</v>
      </c>
      <c r="GG367" s="101">
        <f t="shared" si="287"/>
        <v>1</v>
      </c>
      <c r="GH367" s="101">
        <f t="shared" si="288"/>
        <v>7</v>
      </c>
      <c r="GI367" s="101">
        <f t="shared" si="289"/>
        <v>0</v>
      </c>
      <c r="GJ367" s="101">
        <f t="shared" si="290"/>
        <v>1</v>
      </c>
      <c r="GK367" s="101">
        <f t="shared" si="291"/>
        <v>2</v>
      </c>
      <c r="GL367" s="101">
        <f t="shared" si="292"/>
        <v>0.1012</v>
      </c>
      <c r="GM367" s="101">
        <f t="shared" si="293"/>
        <v>1</v>
      </c>
      <c r="GN367" s="101">
        <f t="shared" si="294"/>
        <v>3</v>
      </c>
      <c r="GO367" s="101">
        <f t="shared" si="295"/>
        <v>0.40479999999999999</v>
      </c>
      <c r="GP367" s="101">
        <f t="shared" si="296"/>
        <v>1</v>
      </c>
      <c r="GQ367" s="101">
        <f t="shared" si="297"/>
        <v>7</v>
      </c>
    </row>
    <row r="368" spans="175:199" ht="16.5" x14ac:dyDescent="0.2">
      <c r="FS368" s="101">
        <v>363</v>
      </c>
      <c r="FT368" s="101">
        <f t="shared" si="282"/>
        <v>38</v>
      </c>
      <c r="FU368" s="101">
        <f t="shared" si="275"/>
        <v>5</v>
      </c>
      <c r="FV368" s="14">
        <f t="shared" si="276"/>
        <v>5</v>
      </c>
      <c r="FW368" s="101" t="str">
        <f t="shared" si="283"/>
        <v>项羽专属武器-魂珠-5 2级</v>
      </c>
      <c r="FX368" s="101">
        <f t="shared" si="284"/>
        <v>5</v>
      </c>
      <c r="FY368" s="101">
        <f t="shared" si="285"/>
        <v>2</v>
      </c>
      <c r="FZ368" s="101" t="str">
        <f t="shared" si="277"/>
        <v>金币</v>
      </c>
      <c r="GA368" s="139">
        <f>IF($FY368&gt;0,IF(INDEX($EM$6:$EM$77,$FT368)&gt;=GA$3,ROUND(INDEX(EO$6:EO$77,$FT368)*INDEX(卡牌消耗!$B$8:$F$8,FV368)/5,0)*5,""),"")</f>
        <v>2245</v>
      </c>
      <c r="GB368" s="101" t="str">
        <f t="shared" si="278"/>
        <v>专属强化石2</v>
      </c>
      <c r="GC368" s="101">
        <f t="shared" si="279"/>
        <v>3</v>
      </c>
      <c r="GD368" s="101" t="str">
        <f t="shared" si="280"/>
        <v>专属强化石3</v>
      </c>
      <c r="GE368" s="101">
        <f t="shared" si="281"/>
        <v>2</v>
      </c>
      <c r="GF368" s="101">
        <f t="shared" si="286"/>
        <v>0.1</v>
      </c>
      <c r="GG368" s="101">
        <f t="shared" si="287"/>
        <v>1</v>
      </c>
      <c r="GH368" s="101">
        <f t="shared" si="288"/>
        <v>15</v>
      </c>
      <c r="GI368" s="101">
        <f t="shared" si="289"/>
        <v>0</v>
      </c>
      <c r="GJ368" s="101">
        <f t="shared" si="290"/>
        <v>1</v>
      </c>
      <c r="GK368" s="101">
        <f t="shared" si="291"/>
        <v>3</v>
      </c>
      <c r="GL368" s="101">
        <f t="shared" si="292"/>
        <v>5.0599999999999999E-2</v>
      </c>
      <c r="GM368" s="101">
        <f t="shared" si="293"/>
        <v>1</v>
      </c>
      <c r="GN368" s="101">
        <f t="shared" si="294"/>
        <v>7</v>
      </c>
      <c r="GO368" s="101">
        <f t="shared" si="295"/>
        <v>0.2024</v>
      </c>
      <c r="GP368" s="101">
        <f t="shared" si="296"/>
        <v>1</v>
      </c>
      <c r="GQ368" s="101">
        <f t="shared" si="297"/>
        <v>15</v>
      </c>
    </row>
    <row r="369" spans="175:199" ht="16.5" x14ac:dyDescent="0.2">
      <c r="FS369" s="101">
        <v>364</v>
      </c>
      <c r="FT369" s="101">
        <f t="shared" si="282"/>
        <v>39</v>
      </c>
      <c r="FU369" s="101">
        <f t="shared" si="275"/>
        <v>5</v>
      </c>
      <c r="FV369" s="14">
        <f t="shared" si="276"/>
        <v>5</v>
      </c>
      <c r="FW369" s="101" t="str">
        <f t="shared" si="283"/>
        <v>项羽专属武器-魂珠-5 3级</v>
      </c>
      <c r="FX369" s="101">
        <f t="shared" si="284"/>
        <v>5</v>
      </c>
      <c r="FY369" s="101">
        <f t="shared" si="285"/>
        <v>3</v>
      </c>
      <c r="FZ369" s="101" t="str">
        <f t="shared" si="277"/>
        <v>金币</v>
      </c>
      <c r="GA369" s="139">
        <f>IF($FY369&gt;0,IF(INDEX($EM$6:$EM$77,$FT369)&gt;=GA$3,ROUND(INDEX(EO$6:EO$77,$FT369)*INDEX(卡牌消耗!$B$8:$F$8,FV369)/5,0)*5,""),"")</f>
        <v>2490</v>
      </c>
      <c r="GB369" s="101" t="str">
        <f t="shared" si="278"/>
        <v>专属强化石2</v>
      </c>
      <c r="GC369" s="101">
        <f t="shared" si="279"/>
        <v>3</v>
      </c>
      <c r="GD369" s="101" t="str">
        <f t="shared" si="280"/>
        <v>专属强化石3</v>
      </c>
      <c r="GE369" s="101">
        <f t="shared" si="281"/>
        <v>2</v>
      </c>
      <c r="GF369" s="101">
        <f t="shared" si="286"/>
        <v>7.0000000000000007E-2</v>
      </c>
      <c r="GG369" s="101">
        <f t="shared" si="287"/>
        <v>1</v>
      </c>
      <c r="GH369" s="101">
        <f t="shared" si="288"/>
        <v>22</v>
      </c>
      <c r="GI369" s="101">
        <f t="shared" si="289"/>
        <v>0</v>
      </c>
      <c r="GJ369" s="101">
        <f t="shared" si="290"/>
        <v>1</v>
      </c>
      <c r="GK369" s="101">
        <f t="shared" si="291"/>
        <v>5</v>
      </c>
      <c r="GL369" s="101">
        <f t="shared" si="292"/>
        <v>3.3700000000000001E-2</v>
      </c>
      <c r="GM369" s="101">
        <f t="shared" si="293"/>
        <v>1</v>
      </c>
      <c r="GN369" s="101">
        <f t="shared" si="294"/>
        <v>10</v>
      </c>
      <c r="GO369" s="101">
        <f t="shared" si="295"/>
        <v>0.13489999999999999</v>
      </c>
      <c r="GP369" s="101">
        <f t="shared" si="296"/>
        <v>1</v>
      </c>
      <c r="GQ369" s="101">
        <f t="shared" si="297"/>
        <v>22</v>
      </c>
    </row>
    <row r="370" spans="175:199" ht="16.5" x14ac:dyDescent="0.2">
      <c r="FS370" s="101">
        <v>365</v>
      </c>
      <c r="FT370" s="101">
        <f t="shared" si="282"/>
        <v>40</v>
      </c>
      <c r="FU370" s="101">
        <f t="shared" si="275"/>
        <v>5</v>
      </c>
      <c r="FV370" s="14">
        <f t="shared" si="276"/>
        <v>5</v>
      </c>
      <c r="FW370" s="101" t="str">
        <f t="shared" si="283"/>
        <v>项羽专属武器-魂珠-5 4级</v>
      </c>
      <c r="FX370" s="101">
        <f t="shared" si="284"/>
        <v>5</v>
      </c>
      <c r="FY370" s="101">
        <f t="shared" si="285"/>
        <v>4</v>
      </c>
      <c r="FZ370" s="101" t="str">
        <f t="shared" si="277"/>
        <v>金币</v>
      </c>
      <c r="GA370" s="139">
        <f>IF($FY370&gt;0,IF(INDEX($EM$6:$EM$77,$FT370)&gt;=GA$3,ROUND(INDEX(EO$6:EO$77,$FT370)*INDEX(卡牌消耗!$B$8:$F$8,FV370)/5,0)*5,""),"")</f>
        <v>3590</v>
      </c>
      <c r="GB370" s="101" t="str">
        <f t="shared" si="278"/>
        <v>专属强化石2</v>
      </c>
      <c r="GC370" s="101">
        <f t="shared" si="279"/>
        <v>5</v>
      </c>
      <c r="GD370" s="101" t="str">
        <f t="shared" si="280"/>
        <v>专属强化石3</v>
      </c>
      <c r="GE370" s="101">
        <f t="shared" si="281"/>
        <v>3</v>
      </c>
      <c r="GF370" s="101">
        <f t="shared" si="286"/>
        <v>0.06</v>
      </c>
      <c r="GG370" s="101">
        <f t="shared" si="287"/>
        <v>1</v>
      </c>
      <c r="GH370" s="101">
        <f t="shared" si="288"/>
        <v>25</v>
      </c>
      <c r="GI370" s="101">
        <f t="shared" si="289"/>
        <v>0</v>
      </c>
      <c r="GJ370" s="101">
        <f t="shared" si="290"/>
        <v>1</v>
      </c>
      <c r="GK370" s="101">
        <f t="shared" si="291"/>
        <v>6</v>
      </c>
      <c r="GL370" s="101">
        <f t="shared" si="292"/>
        <v>3.04E-2</v>
      </c>
      <c r="GM370" s="101">
        <f t="shared" si="293"/>
        <v>1</v>
      </c>
      <c r="GN370" s="101">
        <f t="shared" si="294"/>
        <v>12</v>
      </c>
      <c r="GO370" s="101">
        <f t="shared" si="295"/>
        <v>0.12139999999999999</v>
      </c>
      <c r="GP370" s="101">
        <f t="shared" si="296"/>
        <v>1</v>
      </c>
      <c r="GQ370" s="101">
        <f t="shared" si="297"/>
        <v>25</v>
      </c>
    </row>
    <row r="371" spans="175:199" ht="16.5" x14ac:dyDescent="0.2">
      <c r="FS371" s="101">
        <v>366</v>
      </c>
      <c r="FT371" s="101">
        <f t="shared" si="282"/>
        <v>41</v>
      </c>
      <c r="FU371" s="101">
        <f t="shared" si="275"/>
        <v>5</v>
      </c>
      <c r="FV371" s="14">
        <f t="shared" si="276"/>
        <v>5</v>
      </c>
      <c r="FW371" s="101" t="str">
        <f t="shared" si="283"/>
        <v>项羽专属武器-魂珠-5 5级</v>
      </c>
      <c r="FX371" s="101">
        <f t="shared" si="284"/>
        <v>5</v>
      </c>
      <c r="FY371" s="101">
        <f t="shared" si="285"/>
        <v>5</v>
      </c>
      <c r="FZ371" s="101" t="str">
        <f t="shared" si="277"/>
        <v>金币</v>
      </c>
      <c r="GA371" s="139">
        <f>IF($FY371&gt;0,IF(INDEX($EM$6:$EM$77,$FT371)&gt;=GA$3,ROUND(INDEX(EO$6:EO$77,$FT371)*INDEX(卡牌消耗!$B$8:$F$8,FV371)/5,0)*5,""),"")</f>
        <v>3645</v>
      </c>
      <c r="GB371" s="101" t="str">
        <f t="shared" si="278"/>
        <v>专属强化石2</v>
      </c>
      <c r="GC371" s="101">
        <f t="shared" si="279"/>
        <v>5</v>
      </c>
      <c r="GD371" s="101" t="str">
        <f t="shared" si="280"/>
        <v>专属强化石3</v>
      </c>
      <c r="GE371" s="101">
        <f t="shared" si="281"/>
        <v>3</v>
      </c>
      <c r="GF371" s="101">
        <f t="shared" si="286"/>
        <v>0.04</v>
      </c>
      <c r="GG371" s="101">
        <f t="shared" si="287"/>
        <v>1</v>
      </c>
      <c r="GH371" s="101">
        <f t="shared" si="288"/>
        <v>40</v>
      </c>
      <c r="GI371" s="101">
        <f t="shared" si="289"/>
        <v>0</v>
      </c>
      <c r="GJ371" s="101">
        <f t="shared" si="290"/>
        <v>1</v>
      </c>
      <c r="GK371" s="101">
        <f t="shared" si="291"/>
        <v>9</v>
      </c>
      <c r="GL371" s="101">
        <f t="shared" si="292"/>
        <v>1.9E-2</v>
      </c>
      <c r="GM371" s="101">
        <f t="shared" si="293"/>
        <v>1</v>
      </c>
      <c r="GN371" s="101">
        <f t="shared" si="294"/>
        <v>18</v>
      </c>
      <c r="GO371" s="101">
        <f t="shared" si="295"/>
        <v>7.5899999999999995E-2</v>
      </c>
      <c r="GP371" s="101">
        <f t="shared" si="296"/>
        <v>1</v>
      </c>
      <c r="GQ371" s="101">
        <f t="shared" si="297"/>
        <v>40</v>
      </c>
    </row>
    <row r="372" spans="175:199" ht="16.5" x14ac:dyDescent="0.2">
      <c r="FS372" s="101">
        <v>367</v>
      </c>
      <c r="FT372" s="101">
        <f t="shared" si="282"/>
        <v>42</v>
      </c>
      <c r="FU372" s="101">
        <f t="shared" si="275"/>
        <v>5</v>
      </c>
      <c r="FV372" s="14">
        <f t="shared" si="276"/>
        <v>5</v>
      </c>
      <c r="FW372" s="101" t="str">
        <f t="shared" si="283"/>
        <v>项羽专属武器-魂珠-5 6级</v>
      </c>
      <c r="FX372" s="101">
        <f t="shared" si="284"/>
        <v>5</v>
      </c>
      <c r="FY372" s="101">
        <f t="shared" si="285"/>
        <v>6</v>
      </c>
      <c r="FZ372" s="101" t="str">
        <f t="shared" si="277"/>
        <v>金币</v>
      </c>
      <c r="GA372" s="139">
        <f>IF($FY372&gt;0,IF(INDEX($EM$6:$EM$77,$FT372)&gt;=GA$3,ROUND(INDEX(EO$6:EO$77,$FT372)*INDEX(卡牌消耗!$B$8:$F$8,FV372)/5,0)*5,""),"")</f>
        <v>6040</v>
      </c>
      <c r="GB372" s="101" t="str">
        <f t="shared" si="278"/>
        <v>专属强化石2</v>
      </c>
      <c r="GC372" s="101">
        <f t="shared" si="279"/>
        <v>8</v>
      </c>
      <c r="GD372" s="101" t="str">
        <f t="shared" si="280"/>
        <v>专属强化石3</v>
      </c>
      <c r="GE372" s="101">
        <f t="shared" si="281"/>
        <v>5</v>
      </c>
      <c r="GF372" s="101">
        <f t="shared" si="286"/>
        <v>0.04</v>
      </c>
      <c r="GG372" s="101">
        <f t="shared" si="287"/>
        <v>1</v>
      </c>
      <c r="GH372" s="101">
        <f t="shared" si="288"/>
        <v>39</v>
      </c>
      <c r="GI372" s="101">
        <f t="shared" si="289"/>
        <v>0</v>
      </c>
      <c r="GJ372" s="101">
        <f t="shared" si="290"/>
        <v>1</v>
      </c>
      <c r="GK372" s="101">
        <f t="shared" si="291"/>
        <v>9</v>
      </c>
      <c r="GL372" s="101">
        <f t="shared" si="292"/>
        <v>1.95E-2</v>
      </c>
      <c r="GM372" s="101">
        <f t="shared" si="293"/>
        <v>1</v>
      </c>
      <c r="GN372" s="101">
        <f t="shared" si="294"/>
        <v>18</v>
      </c>
      <c r="GO372" s="101">
        <f t="shared" si="295"/>
        <v>7.7799999999999994E-2</v>
      </c>
      <c r="GP372" s="101">
        <f t="shared" si="296"/>
        <v>1</v>
      </c>
      <c r="GQ372" s="101">
        <f t="shared" si="297"/>
        <v>39</v>
      </c>
    </row>
    <row r="373" spans="175:199" ht="16.5" x14ac:dyDescent="0.2">
      <c r="FS373" s="101">
        <v>368</v>
      </c>
      <c r="FT373" s="101">
        <f t="shared" si="282"/>
        <v>43</v>
      </c>
      <c r="FU373" s="101">
        <f t="shared" si="275"/>
        <v>5</v>
      </c>
      <c r="FV373" s="14">
        <f t="shared" si="276"/>
        <v>5</v>
      </c>
      <c r="FW373" s="101" t="str">
        <f t="shared" si="283"/>
        <v>项羽专属武器-魂珠-5 7级</v>
      </c>
      <c r="FX373" s="101">
        <f t="shared" si="284"/>
        <v>5</v>
      </c>
      <c r="FY373" s="101">
        <f t="shared" si="285"/>
        <v>7</v>
      </c>
      <c r="FZ373" s="101" t="str">
        <f t="shared" si="277"/>
        <v>金币</v>
      </c>
      <c r="GA373" s="139">
        <f>IF($FY373&gt;0,IF(INDEX($EM$6:$EM$77,$FT373)&gt;=GA$3,ROUND(INDEX(EO$6:EO$77,$FT373)*INDEX(卡牌消耗!$B$8:$F$8,FV373)/5,0)*5,""),"")</f>
        <v>6055</v>
      </c>
      <c r="GB373" s="101" t="str">
        <f t="shared" si="278"/>
        <v>专属强化石2</v>
      </c>
      <c r="GC373" s="101">
        <f t="shared" si="279"/>
        <v>8</v>
      </c>
      <c r="GD373" s="101" t="str">
        <f t="shared" si="280"/>
        <v>专属强化石3</v>
      </c>
      <c r="GE373" s="101">
        <f t="shared" si="281"/>
        <v>5</v>
      </c>
      <c r="GF373" s="101">
        <f t="shared" si="286"/>
        <v>0.02</v>
      </c>
      <c r="GG373" s="101">
        <f t="shared" si="287"/>
        <v>1</v>
      </c>
      <c r="GH373" s="101">
        <f t="shared" si="288"/>
        <v>62</v>
      </c>
      <c r="GI373" s="101">
        <f t="shared" si="289"/>
        <v>0</v>
      </c>
      <c r="GJ373" s="101">
        <f t="shared" si="290"/>
        <v>1</v>
      </c>
      <c r="GK373" s="101">
        <f t="shared" si="291"/>
        <v>15</v>
      </c>
      <c r="GL373" s="101">
        <f t="shared" si="292"/>
        <v>1.2E-2</v>
      </c>
      <c r="GM373" s="101">
        <f t="shared" si="293"/>
        <v>1</v>
      </c>
      <c r="GN373" s="101">
        <f t="shared" si="294"/>
        <v>29</v>
      </c>
      <c r="GO373" s="101">
        <f t="shared" si="295"/>
        <v>4.82E-2</v>
      </c>
      <c r="GP373" s="101">
        <f t="shared" si="296"/>
        <v>1</v>
      </c>
      <c r="GQ373" s="101">
        <f t="shared" si="297"/>
        <v>62</v>
      </c>
    </row>
    <row r="374" spans="175:199" ht="16.5" x14ac:dyDescent="0.2">
      <c r="FS374" s="101">
        <v>369</v>
      </c>
      <c r="FT374" s="101">
        <f t="shared" si="282"/>
        <v>44</v>
      </c>
      <c r="FU374" s="101">
        <f t="shared" si="275"/>
        <v>5</v>
      </c>
      <c r="FV374" s="14">
        <f t="shared" si="276"/>
        <v>5</v>
      </c>
      <c r="FW374" s="101" t="str">
        <f t="shared" si="283"/>
        <v>项羽专属武器-魂珠-5 8级</v>
      </c>
      <c r="FX374" s="101">
        <f t="shared" si="284"/>
        <v>5</v>
      </c>
      <c r="FY374" s="101">
        <f t="shared" si="285"/>
        <v>8</v>
      </c>
      <c r="FZ374" s="101" t="str">
        <f t="shared" si="277"/>
        <v>金币</v>
      </c>
      <c r="GA374" s="139">
        <f>IF($FY374&gt;0,IF(INDEX($EM$6:$EM$77,$FT374)&gt;=GA$3,ROUND(INDEX(EO$6:EO$77,$FT374)*INDEX(卡牌消耗!$B$8:$F$8,FV374)/5,0)*5,""),"")</f>
        <v>8470</v>
      </c>
      <c r="GB374" s="101" t="str">
        <f t="shared" si="278"/>
        <v>专属强化石2</v>
      </c>
      <c r="GC374" s="101">
        <f t="shared" si="279"/>
        <v>11</v>
      </c>
      <c r="GD374" s="101" t="str">
        <f t="shared" si="280"/>
        <v>专属强化石3</v>
      </c>
      <c r="GE374" s="101">
        <f t="shared" si="281"/>
        <v>7</v>
      </c>
      <c r="GF374" s="101">
        <f t="shared" si="286"/>
        <v>0.02</v>
      </c>
      <c r="GG374" s="101">
        <f t="shared" si="287"/>
        <v>1</v>
      </c>
      <c r="GH374" s="101">
        <f t="shared" si="288"/>
        <v>72</v>
      </c>
      <c r="GI374" s="101">
        <f t="shared" si="289"/>
        <v>0</v>
      </c>
      <c r="GJ374" s="101">
        <f t="shared" si="290"/>
        <v>1</v>
      </c>
      <c r="GK374" s="101">
        <f t="shared" si="291"/>
        <v>17</v>
      </c>
      <c r="GL374" s="101">
        <f t="shared" si="292"/>
        <v>1.04E-2</v>
      </c>
      <c r="GM374" s="101">
        <f t="shared" si="293"/>
        <v>1</v>
      </c>
      <c r="GN374" s="101">
        <f t="shared" si="294"/>
        <v>34</v>
      </c>
      <c r="GO374" s="101">
        <f t="shared" si="295"/>
        <v>4.1700000000000001E-2</v>
      </c>
      <c r="GP374" s="101">
        <f t="shared" si="296"/>
        <v>1</v>
      </c>
      <c r="GQ374" s="101">
        <f t="shared" si="297"/>
        <v>72</v>
      </c>
    </row>
    <row r="375" spans="175:199" ht="16.5" x14ac:dyDescent="0.2">
      <c r="FS375" s="101">
        <v>370</v>
      </c>
      <c r="FT375" s="101">
        <f t="shared" si="282"/>
        <v>45</v>
      </c>
      <c r="FU375" s="101">
        <f t="shared" si="275"/>
        <v>5</v>
      </c>
      <c r="FV375" s="14">
        <f t="shared" si="276"/>
        <v>5</v>
      </c>
      <c r="FW375" s="101" t="str">
        <f t="shared" si="283"/>
        <v>项羽专属武器-魂珠-5 9级</v>
      </c>
      <c r="FX375" s="101">
        <f t="shared" si="284"/>
        <v>5</v>
      </c>
      <c r="FY375" s="101">
        <f t="shared" si="285"/>
        <v>9</v>
      </c>
      <c r="FZ375" s="101" t="str">
        <f t="shared" si="277"/>
        <v>金币</v>
      </c>
      <c r="GA375" s="139">
        <f>IF($FY375&gt;0,IF(INDEX($EM$6:$EM$77,$FT375)&gt;=GA$3,ROUND(INDEX(EO$6:EO$77,$FT375)*INDEX(卡牌消耗!$B$8:$F$8,FV375)/5,0)*5,""),"")</f>
        <v>10890</v>
      </c>
      <c r="GB375" s="101" t="str">
        <f t="shared" si="278"/>
        <v>专属强化石2</v>
      </c>
      <c r="GC375" s="101">
        <f t="shared" si="279"/>
        <v>14</v>
      </c>
      <c r="GD375" s="101" t="str">
        <f t="shared" si="280"/>
        <v>专属强化石3</v>
      </c>
      <c r="GE375" s="101">
        <f t="shared" si="281"/>
        <v>9</v>
      </c>
      <c r="GF375" s="101">
        <f t="shared" si="286"/>
        <v>0.02</v>
      </c>
      <c r="GG375" s="101">
        <f t="shared" si="287"/>
        <v>1</v>
      </c>
      <c r="GH375" s="101">
        <f t="shared" si="288"/>
        <v>91</v>
      </c>
      <c r="GI375" s="101">
        <f t="shared" si="289"/>
        <v>0</v>
      </c>
      <c r="GJ375" s="101">
        <f t="shared" si="290"/>
        <v>1</v>
      </c>
      <c r="GK375" s="101">
        <f t="shared" si="291"/>
        <v>21</v>
      </c>
      <c r="GL375" s="101">
        <f t="shared" si="292"/>
        <v>8.3000000000000001E-3</v>
      </c>
      <c r="GM375" s="101">
        <f t="shared" si="293"/>
        <v>1</v>
      </c>
      <c r="GN375" s="101">
        <f t="shared" si="294"/>
        <v>42</v>
      </c>
      <c r="GO375" s="101">
        <f t="shared" si="295"/>
        <v>3.3099999999999997E-2</v>
      </c>
      <c r="GP375" s="101">
        <f t="shared" si="296"/>
        <v>1</v>
      </c>
      <c r="GQ375" s="101">
        <f t="shared" si="297"/>
        <v>91</v>
      </c>
    </row>
    <row r="376" spans="175:199" ht="16.5" x14ac:dyDescent="0.2">
      <c r="FS376" s="101">
        <v>371</v>
      </c>
      <c r="FT376" s="101">
        <f t="shared" si="282"/>
        <v>0</v>
      </c>
      <c r="FU376" s="101">
        <f t="shared" si="275"/>
        <v>5</v>
      </c>
      <c r="FV376" s="14">
        <f t="shared" si="276"/>
        <v>5</v>
      </c>
      <c r="FW376" s="101" t="str">
        <f t="shared" si="283"/>
        <v>项羽专属武器-魂珠-6 0级</v>
      </c>
      <c r="FX376" s="101">
        <f t="shared" si="284"/>
        <v>6</v>
      </c>
      <c r="FY376" s="101">
        <f t="shared" si="285"/>
        <v>0</v>
      </c>
      <c r="FZ376" s="101" t="str">
        <f t="shared" si="277"/>
        <v/>
      </c>
      <c r="GA376" s="139" t="str">
        <f>IF($FY376&gt;0,IF(INDEX($EM$6:$EM$77,$FT376)&gt;=GA$3,ROUND(INDEX(EO$6:EO$77,$FT376)*INDEX(卡牌消耗!$B$8:$F$8,FV376)/5,0)*5,""),"")</f>
        <v/>
      </c>
      <c r="GB376" s="101" t="str">
        <f t="shared" si="278"/>
        <v/>
      </c>
      <c r="GC376" s="101" t="str">
        <f t="shared" si="279"/>
        <v/>
      </c>
      <c r="GD376" s="101" t="str">
        <f t="shared" si="280"/>
        <v/>
      </c>
      <c r="GE376" s="101" t="str">
        <f t="shared" si="281"/>
        <v/>
      </c>
      <c r="GF376" s="101" t="str">
        <f t="shared" si="286"/>
        <v/>
      </c>
      <c r="GG376" s="101" t="str">
        <f t="shared" si="287"/>
        <v/>
      </c>
      <c r="GH376" s="101" t="str">
        <f t="shared" si="288"/>
        <v/>
      </c>
      <c r="GI376" s="101" t="str">
        <f t="shared" si="289"/>
        <v/>
      </c>
      <c r="GJ376" s="101" t="str">
        <f t="shared" si="290"/>
        <v/>
      </c>
      <c r="GK376" s="101" t="str">
        <f t="shared" si="291"/>
        <v/>
      </c>
      <c r="GL376" s="101" t="str">
        <f t="shared" si="292"/>
        <v/>
      </c>
      <c r="GM376" s="101" t="str">
        <f t="shared" si="293"/>
        <v/>
      </c>
      <c r="GN376" s="101" t="str">
        <f t="shared" si="294"/>
        <v/>
      </c>
      <c r="GO376" s="101" t="str">
        <f t="shared" si="295"/>
        <v/>
      </c>
      <c r="GP376" s="101" t="str">
        <f t="shared" si="296"/>
        <v/>
      </c>
      <c r="GQ376" s="101" t="str">
        <f t="shared" si="297"/>
        <v/>
      </c>
    </row>
    <row r="377" spans="175:199" ht="16.5" x14ac:dyDescent="0.2">
      <c r="FS377" s="101">
        <v>372</v>
      </c>
      <c r="FT377" s="101">
        <f t="shared" si="282"/>
        <v>46</v>
      </c>
      <c r="FU377" s="101">
        <f t="shared" si="275"/>
        <v>5</v>
      </c>
      <c r="FV377" s="14">
        <f t="shared" si="276"/>
        <v>5</v>
      </c>
      <c r="FW377" s="101" t="str">
        <f t="shared" si="283"/>
        <v>项羽专属武器-魂珠-6 1级</v>
      </c>
      <c r="FX377" s="101">
        <f t="shared" si="284"/>
        <v>6</v>
      </c>
      <c r="FY377" s="101">
        <f t="shared" si="285"/>
        <v>1</v>
      </c>
      <c r="FZ377" s="101" t="str">
        <f t="shared" si="277"/>
        <v>金币</v>
      </c>
      <c r="GA377" s="139">
        <f>IF($FY377&gt;0,IF(INDEX($EM$6:$EM$77,$FT377)&gt;=GA$3,ROUND(INDEX(EO$6:EO$77,$FT377)*INDEX(卡牌消耗!$B$8:$F$8,FV377)/5,0)*5,""),"")</f>
        <v>2910</v>
      </c>
      <c r="GB377" s="101" t="str">
        <f t="shared" si="278"/>
        <v>专属强化石3</v>
      </c>
      <c r="GC377" s="101">
        <f t="shared" si="279"/>
        <v>5</v>
      </c>
      <c r="GD377" s="101" t="str">
        <f t="shared" si="280"/>
        <v>专属强化石4</v>
      </c>
      <c r="GE377" s="101">
        <f t="shared" si="281"/>
        <v>1</v>
      </c>
      <c r="GF377" s="101">
        <f t="shared" si="286"/>
        <v>0.17</v>
      </c>
      <c r="GG377" s="101">
        <f t="shared" si="287"/>
        <v>1</v>
      </c>
      <c r="GH377" s="101">
        <f t="shared" si="288"/>
        <v>9</v>
      </c>
      <c r="GI377" s="101">
        <f t="shared" si="289"/>
        <v>0</v>
      </c>
      <c r="GJ377" s="101">
        <f t="shared" si="290"/>
        <v>1</v>
      </c>
      <c r="GK377" s="101">
        <f t="shared" si="291"/>
        <v>2</v>
      </c>
      <c r="GL377" s="101">
        <f t="shared" si="292"/>
        <v>8.2900000000000001E-2</v>
      </c>
      <c r="GM377" s="101">
        <f t="shared" si="293"/>
        <v>1</v>
      </c>
      <c r="GN377" s="101">
        <f t="shared" si="294"/>
        <v>4</v>
      </c>
      <c r="GO377" s="101">
        <f t="shared" si="295"/>
        <v>0.33139999999999997</v>
      </c>
      <c r="GP377" s="101">
        <f t="shared" si="296"/>
        <v>1</v>
      </c>
      <c r="GQ377" s="101">
        <f t="shared" si="297"/>
        <v>9</v>
      </c>
    </row>
    <row r="378" spans="175:199" ht="16.5" x14ac:dyDescent="0.2">
      <c r="FS378" s="101">
        <v>373</v>
      </c>
      <c r="FT378" s="101">
        <f t="shared" si="282"/>
        <v>47</v>
      </c>
      <c r="FU378" s="101">
        <f t="shared" si="275"/>
        <v>5</v>
      </c>
      <c r="FV378" s="14">
        <f t="shared" si="276"/>
        <v>5</v>
      </c>
      <c r="FW378" s="101" t="str">
        <f t="shared" si="283"/>
        <v>项羽专属武器-魂珠-6 2级</v>
      </c>
      <c r="FX378" s="101">
        <f t="shared" si="284"/>
        <v>6</v>
      </c>
      <c r="FY378" s="101">
        <f t="shared" si="285"/>
        <v>2</v>
      </c>
      <c r="FZ378" s="101" t="str">
        <f t="shared" si="277"/>
        <v>金币</v>
      </c>
      <c r="GA378" s="139">
        <f>IF($FY378&gt;0,IF(INDEX($EM$6:$EM$77,$FT378)&gt;=GA$3,ROUND(INDEX(EO$6:EO$77,$FT378)*INDEX(卡牌消耗!$B$8:$F$8,FV378)/5,0)*5,""),"")</f>
        <v>4360</v>
      </c>
      <c r="GB378" s="101" t="str">
        <f t="shared" si="278"/>
        <v>专属强化石3</v>
      </c>
      <c r="GC378" s="101">
        <f t="shared" si="279"/>
        <v>10</v>
      </c>
      <c r="GD378" s="101" t="str">
        <f t="shared" si="280"/>
        <v>专属强化石4</v>
      </c>
      <c r="GE378" s="101">
        <f t="shared" si="281"/>
        <v>2</v>
      </c>
      <c r="GF378" s="101">
        <f t="shared" si="286"/>
        <v>0.17</v>
      </c>
      <c r="GG378" s="101">
        <f t="shared" si="287"/>
        <v>1</v>
      </c>
      <c r="GH378" s="101">
        <f t="shared" si="288"/>
        <v>9</v>
      </c>
      <c r="GI378" s="101">
        <f t="shared" si="289"/>
        <v>0</v>
      </c>
      <c r="GJ378" s="101">
        <f t="shared" si="290"/>
        <v>1</v>
      </c>
      <c r="GK378" s="101">
        <f t="shared" si="291"/>
        <v>2</v>
      </c>
      <c r="GL378" s="101">
        <f t="shared" si="292"/>
        <v>8.2900000000000001E-2</v>
      </c>
      <c r="GM378" s="101">
        <f t="shared" si="293"/>
        <v>1</v>
      </c>
      <c r="GN378" s="101">
        <f t="shared" si="294"/>
        <v>4</v>
      </c>
      <c r="GO378" s="101">
        <f t="shared" si="295"/>
        <v>0.33139999999999997</v>
      </c>
      <c r="GP378" s="101">
        <f t="shared" si="296"/>
        <v>1</v>
      </c>
      <c r="GQ378" s="101">
        <f t="shared" si="297"/>
        <v>9</v>
      </c>
    </row>
    <row r="379" spans="175:199" ht="16.5" x14ac:dyDescent="0.2">
      <c r="FS379" s="101">
        <v>374</v>
      </c>
      <c r="FT379" s="101">
        <f t="shared" si="282"/>
        <v>48</v>
      </c>
      <c r="FU379" s="101">
        <f t="shared" si="275"/>
        <v>5</v>
      </c>
      <c r="FV379" s="14">
        <f t="shared" si="276"/>
        <v>5</v>
      </c>
      <c r="FW379" s="101" t="str">
        <f t="shared" si="283"/>
        <v>项羽专属武器-魂珠-6 3级</v>
      </c>
      <c r="FX379" s="101">
        <f t="shared" si="284"/>
        <v>6</v>
      </c>
      <c r="FY379" s="101">
        <f t="shared" si="285"/>
        <v>3</v>
      </c>
      <c r="FZ379" s="101" t="str">
        <f t="shared" si="277"/>
        <v>金币</v>
      </c>
      <c r="GA379" s="139">
        <f>IF($FY379&gt;0,IF(INDEX($EM$6:$EM$77,$FT379)&gt;=GA$3,ROUND(INDEX(EO$6:EO$77,$FT379)*INDEX(卡牌消耗!$B$8:$F$8,FV379)/5,0)*5,""),"")</f>
        <v>4845</v>
      </c>
      <c r="GB379" s="101" t="str">
        <f t="shared" si="278"/>
        <v>专属强化石3</v>
      </c>
      <c r="GC379" s="101">
        <f t="shared" si="279"/>
        <v>10</v>
      </c>
      <c r="GD379" s="101" t="str">
        <f t="shared" si="280"/>
        <v>专属强化石4</v>
      </c>
      <c r="GE379" s="101">
        <f t="shared" si="281"/>
        <v>2</v>
      </c>
      <c r="GF379" s="101">
        <f t="shared" si="286"/>
        <v>0.11</v>
      </c>
      <c r="GG379" s="101">
        <f t="shared" si="287"/>
        <v>1</v>
      </c>
      <c r="GH379" s="101">
        <f t="shared" si="288"/>
        <v>14</v>
      </c>
      <c r="GI379" s="101">
        <f t="shared" si="289"/>
        <v>0</v>
      </c>
      <c r="GJ379" s="101">
        <f t="shared" si="290"/>
        <v>1</v>
      </c>
      <c r="GK379" s="101">
        <f t="shared" si="291"/>
        <v>3</v>
      </c>
      <c r="GL379" s="101">
        <f t="shared" si="292"/>
        <v>5.5199999999999999E-2</v>
      </c>
      <c r="GM379" s="101">
        <f t="shared" si="293"/>
        <v>1</v>
      </c>
      <c r="GN379" s="101">
        <f t="shared" si="294"/>
        <v>6</v>
      </c>
      <c r="GO379" s="101">
        <f t="shared" si="295"/>
        <v>0.221</v>
      </c>
      <c r="GP379" s="101">
        <f t="shared" si="296"/>
        <v>1</v>
      </c>
      <c r="GQ379" s="101">
        <f t="shared" si="297"/>
        <v>14</v>
      </c>
    </row>
    <row r="380" spans="175:199" ht="16.5" x14ac:dyDescent="0.2">
      <c r="FS380" s="101">
        <v>375</v>
      </c>
      <c r="FT380" s="101">
        <f t="shared" si="282"/>
        <v>49</v>
      </c>
      <c r="FU380" s="101">
        <f t="shared" si="275"/>
        <v>5</v>
      </c>
      <c r="FV380" s="14">
        <f t="shared" si="276"/>
        <v>5</v>
      </c>
      <c r="FW380" s="101" t="str">
        <f t="shared" si="283"/>
        <v>项羽专属武器-魂珠-6 4级</v>
      </c>
      <c r="FX380" s="101">
        <f t="shared" si="284"/>
        <v>6</v>
      </c>
      <c r="FY380" s="101">
        <f t="shared" si="285"/>
        <v>4</v>
      </c>
      <c r="FZ380" s="101" t="str">
        <f t="shared" si="277"/>
        <v>金币</v>
      </c>
      <c r="GA380" s="139">
        <f>IF($FY380&gt;0,IF(INDEX($EM$6:$EM$77,$FT380)&gt;=GA$3,ROUND(INDEX(EO$6:EO$77,$FT380)*INDEX(卡牌消耗!$B$8:$F$8,FV380)/5,0)*5,""),"")</f>
        <v>6980</v>
      </c>
      <c r="GB380" s="101" t="str">
        <f t="shared" si="278"/>
        <v>专属强化石3</v>
      </c>
      <c r="GC380" s="101">
        <f t="shared" si="279"/>
        <v>15</v>
      </c>
      <c r="GD380" s="101" t="str">
        <f t="shared" si="280"/>
        <v>专属强化石4</v>
      </c>
      <c r="GE380" s="101">
        <f t="shared" si="281"/>
        <v>3</v>
      </c>
      <c r="GF380" s="101">
        <f t="shared" si="286"/>
        <v>0.1</v>
      </c>
      <c r="GG380" s="101">
        <f t="shared" si="287"/>
        <v>1</v>
      </c>
      <c r="GH380" s="101">
        <f t="shared" si="288"/>
        <v>15</v>
      </c>
      <c r="GI380" s="101">
        <f t="shared" si="289"/>
        <v>0</v>
      </c>
      <c r="GJ380" s="101">
        <f t="shared" si="290"/>
        <v>1</v>
      </c>
      <c r="GK380" s="101">
        <f t="shared" si="291"/>
        <v>4</v>
      </c>
      <c r="GL380" s="101">
        <f t="shared" si="292"/>
        <v>4.9700000000000001E-2</v>
      </c>
      <c r="GM380" s="101">
        <f t="shared" si="293"/>
        <v>1</v>
      </c>
      <c r="GN380" s="101">
        <f t="shared" si="294"/>
        <v>7</v>
      </c>
      <c r="GO380" s="101">
        <f t="shared" si="295"/>
        <v>0.19889999999999999</v>
      </c>
      <c r="GP380" s="101">
        <f t="shared" si="296"/>
        <v>1</v>
      </c>
      <c r="GQ380" s="101">
        <f t="shared" si="297"/>
        <v>15</v>
      </c>
    </row>
    <row r="381" spans="175:199" ht="16.5" x14ac:dyDescent="0.2">
      <c r="FS381" s="101">
        <v>376</v>
      </c>
      <c r="FT381" s="101">
        <f t="shared" si="282"/>
        <v>50</v>
      </c>
      <c r="FU381" s="101">
        <f t="shared" si="275"/>
        <v>5</v>
      </c>
      <c r="FV381" s="14">
        <f t="shared" si="276"/>
        <v>5</v>
      </c>
      <c r="FW381" s="101" t="str">
        <f t="shared" si="283"/>
        <v>项羽专属武器-魂珠-6 5级</v>
      </c>
      <c r="FX381" s="101">
        <f t="shared" si="284"/>
        <v>6</v>
      </c>
      <c r="FY381" s="101">
        <f t="shared" si="285"/>
        <v>5</v>
      </c>
      <c r="FZ381" s="101" t="str">
        <f t="shared" si="277"/>
        <v>金币</v>
      </c>
      <c r="GA381" s="139">
        <f>IF($FY381&gt;0,IF(INDEX($EM$6:$EM$77,$FT381)&gt;=GA$3,ROUND(INDEX(EO$6:EO$77,$FT381)*INDEX(卡牌消耗!$B$8:$F$8,FV381)/5,0)*5,""),"")</f>
        <v>7090</v>
      </c>
      <c r="GB381" s="101" t="str">
        <f t="shared" si="278"/>
        <v>专属强化石3</v>
      </c>
      <c r="GC381" s="101">
        <f t="shared" si="279"/>
        <v>15</v>
      </c>
      <c r="GD381" s="101" t="str">
        <f t="shared" si="280"/>
        <v>专属强化石4</v>
      </c>
      <c r="GE381" s="101">
        <f t="shared" si="281"/>
        <v>3</v>
      </c>
      <c r="GF381" s="101">
        <f t="shared" si="286"/>
        <v>0.06</v>
      </c>
      <c r="GG381" s="101">
        <f t="shared" si="287"/>
        <v>1</v>
      </c>
      <c r="GH381" s="101">
        <f t="shared" si="288"/>
        <v>24</v>
      </c>
      <c r="GI381" s="101">
        <f t="shared" si="289"/>
        <v>0</v>
      </c>
      <c r="GJ381" s="101">
        <f t="shared" si="290"/>
        <v>1</v>
      </c>
      <c r="GK381" s="101">
        <f t="shared" si="291"/>
        <v>6</v>
      </c>
      <c r="GL381" s="101">
        <f t="shared" si="292"/>
        <v>3.1099999999999999E-2</v>
      </c>
      <c r="GM381" s="101">
        <f t="shared" si="293"/>
        <v>1</v>
      </c>
      <c r="GN381" s="101">
        <f t="shared" si="294"/>
        <v>11</v>
      </c>
      <c r="GO381" s="101">
        <f t="shared" si="295"/>
        <v>0.12429999999999999</v>
      </c>
      <c r="GP381" s="101">
        <f t="shared" si="296"/>
        <v>1</v>
      </c>
      <c r="GQ381" s="101">
        <f t="shared" si="297"/>
        <v>24</v>
      </c>
    </row>
    <row r="382" spans="175:199" ht="16.5" x14ac:dyDescent="0.2">
      <c r="FS382" s="101">
        <v>377</v>
      </c>
      <c r="FT382" s="101">
        <f t="shared" si="282"/>
        <v>51</v>
      </c>
      <c r="FU382" s="101">
        <f t="shared" si="275"/>
        <v>5</v>
      </c>
      <c r="FV382" s="14">
        <f t="shared" si="276"/>
        <v>5</v>
      </c>
      <c r="FW382" s="101" t="str">
        <f t="shared" si="283"/>
        <v>项羽专属武器-魂珠-6 6级</v>
      </c>
      <c r="FX382" s="101">
        <f t="shared" si="284"/>
        <v>6</v>
      </c>
      <c r="FY382" s="101">
        <f t="shared" si="285"/>
        <v>6</v>
      </c>
      <c r="FZ382" s="101" t="str">
        <f t="shared" si="277"/>
        <v>金币</v>
      </c>
      <c r="GA382" s="139">
        <f>IF($FY382&gt;0,IF(INDEX($EM$6:$EM$77,$FT382)&gt;=GA$3,ROUND(INDEX(EO$6:EO$77,$FT382)*INDEX(卡牌消耗!$B$8:$F$8,FV382)/5,0)*5,""),"")</f>
        <v>9395</v>
      </c>
      <c r="GB382" s="101" t="str">
        <f t="shared" si="278"/>
        <v>专属强化石3</v>
      </c>
      <c r="GC382" s="101">
        <f t="shared" si="279"/>
        <v>20</v>
      </c>
      <c r="GD382" s="101" t="str">
        <f t="shared" si="280"/>
        <v>专属强化石4</v>
      </c>
      <c r="GE382" s="101">
        <f t="shared" si="281"/>
        <v>4</v>
      </c>
      <c r="GF382" s="101">
        <f t="shared" si="286"/>
        <v>0.05</v>
      </c>
      <c r="GG382" s="101">
        <f t="shared" si="287"/>
        <v>1</v>
      </c>
      <c r="GH382" s="101">
        <f t="shared" si="288"/>
        <v>29</v>
      </c>
      <c r="GI382" s="101">
        <f t="shared" si="289"/>
        <v>0</v>
      </c>
      <c r="GJ382" s="101">
        <f t="shared" si="290"/>
        <v>1</v>
      </c>
      <c r="GK382" s="101">
        <f t="shared" si="291"/>
        <v>7</v>
      </c>
      <c r="GL382" s="101">
        <f t="shared" si="292"/>
        <v>2.5499999999999998E-2</v>
      </c>
      <c r="GM382" s="101">
        <f t="shared" si="293"/>
        <v>1</v>
      </c>
      <c r="GN382" s="101">
        <f t="shared" si="294"/>
        <v>14</v>
      </c>
      <c r="GO382" s="101">
        <f t="shared" si="295"/>
        <v>0.10199999999999999</v>
      </c>
      <c r="GP382" s="101">
        <f t="shared" si="296"/>
        <v>1</v>
      </c>
      <c r="GQ382" s="101">
        <f t="shared" si="297"/>
        <v>29</v>
      </c>
    </row>
    <row r="383" spans="175:199" ht="16.5" x14ac:dyDescent="0.2">
      <c r="FS383" s="101">
        <v>378</v>
      </c>
      <c r="FT383" s="101">
        <f t="shared" si="282"/>
        <v>52</v>
      </c>
      <c r="FU383" s="101">
        <f t="shared" si="275"/>
        <v>5</v>
      </c>
      <c r="FV383" s="14">
        <f t="shared" si="276"/>
        <v>5</v>
      </c>
      <c r="FW383" s="101" t="str">
        <f t="shared" si="283"/>
        <v>项羽专属武器-魂珠-6 7级</v>
      </c>
      <c r="FX383" s="101">
        <f t="shared" si="284"/>
        <v>6</v>
      </c>
      <c r="FY383" s="101">
        <f t="shared" si="285"/>
        <v>7</v>
      </c>
      <c r="FZ383" s="101" t="str">
        <f t="shared" si="277"/>
        <v>金币</v>
      </c>
      <c r="GA383" s="139">
        <f>IF($FY383&gt;0,IF(INDEX($EM$6:$EM$77,$FT383)&gt;=GA$3,ROUND(INDEX(EO$6:EO$77,$FT383)*INDEX(卡牌消耗!$B$8:$F$8,FV383)/5,0)*5,""),"")</f>
        <v>11770</v>
      </c>
      <c r="GB383" s="101" t="str">
        <f t="shared" si="278"/>
        <v>专属强化石3</v>
      </c>
      <c r="GC383" s="101">
        <f t="shared" si="279"/>
        <v>25</v>
      </c>
      <c r="GD383" s="101" t="str">
        <f t="shared" si="280"/>
        <v>专属强化石4</v>
      </c>
      <c r="GE383" s="101">
        <f t="shared" si="281"/>
        <v>5</v>
      </c>
      <c r="GF383" s="101">
        <f t="shared" si="286"/>
        <v>0.04</v>
      </c>
      <c r="GG383" s="101">
        <f t="shared" si="287"/>
        <v>1</v>
      </c>
      <c r="GH383" s="101">
        <f t="shared" si="288"/>
        <v>38</v>
      </c>
      <c r="GI383" s="101">
        <f t="shared" si="289"/>
        <v>0</v>
      </c>
      <c r="GJ383" s="101">
        <f t="shared" si="290"/>
        <v>1</v>
      </c>
      <c r="GK383" s="101">
        <f t="shared" si="291"/>
        <v>9</v>
      </c>
      <c r="GL383" s="101">
        <f t="shared" si="292"/>
        <v>1.9699999999999999E-2</v>
      </c>
      <c r="GM383" s="101">
        <f t="shared" si="293"/>
        <v>1</v>
      </c>
      <c r="GN383" s="101">
        <f t="shared" si="294"/>
        <v>18</v>
      </c>
      <c r="GO383" s="101">
        <f t="shared" si="295"/>
        <v>7.8899999999999998E-2</v>
      </c>
      <c r="GP383" s="101">
        <f t="shared" si="296"/>
        <v>1</v>
      </c>
      <c r="GQ383" s="101">
        <f t="shared" si="297"/>
        <v>38</v>
      </c>
    </row>
    <row r="384" spans="175:199" ht="16.5" x14ac:dyDescent="0.2">
      <c r="FS384" s="101">
        <v>379</v>
      </c>
      <c r="FT384" s="101">
        <f t="shared" si="282"/>
        <v>53</v>
      </c>
      <c r="FU384" s="101">
        <f t="shared" si="275"/>
        <v>5</v>
      </c>
      <c r="FV384" s="14">
        <f t="shared" si="276"/>
        <v>5</v>
      </c>
      <c r="FW384" s="101" t="str">
        <f t="shared" si="283"/>
        <v>项羽专属武器-魂珠-6 8级</v>
      </c>
      <c r="FX384" s="101">
        <f t="shared" si="284"/>
        <v>6</v>
      </c>
      <c r="FY384" s="101">
        <f t="shared" si="285"/>
        <v>8</v>
      </c>
      <c r="FZ384" s="101" t="str">
        <f t="shared" si="277"/>
        <v>金币</v>
      </c>
      <c r="GA384" s="139">
        <f>IF($FY384&gt;0,IF(INDEX($EM$6:$EM$77,$FT384)&gt;=GA$3,ROUND(INDEX(EO$6:EO$77,$FT384)*INDEX(卡牌消耗!$B$8:$F$8,FV384)/5,0)*5,""),"")</f>
        <v>16465</v>
      </c>
      <c r="GB384" s="101" t="str">
        <f t="shared" si="278"/>
        <v>专属强化石3</v>
      </c>
      <c r="GC384" s="101">
        <f t="shared" si="279"/>
        <v>35</v>
      </c>
      <c r="GD384" s="101" t="str">
        <f t="shared" si="280"/>
        <v>专属强化石4</v>
      </c>
      <c r="GE384" s="101">
        <f t="shared" si="281"/>
        <v>7</v>
      </c>
      <c r="GF384" s="101">
        <f t="shared" si="286"/>
        <v>0.03</v>
      </c>
      <c r="GG384" s="101">
        <f t="shared" si="287"/>
        <v>1</v>
      </c>
      <c r="GH384" s="101">
        <f t="shared" si="288"/>
        <v>44</v>
      </c>
      <c r="GI384" s="101">
        <f t="shared" si="289"/>
        <v>0</v>
      </c>
      <c r="GJ384" s="101">
        <f t="shared" si="290"/>
        <v>1</v>
      </c>
      <c r="GK384" s="101">
        <f t="shared" si="291"/>
        <v>10</v>
      </c>
      <c r="GL384" s="101">
        <f t="shared" si="292"/>
        <v>1.7100000000000001E-2</v>
      </c>
      <c r="GM384" s="101">
        <f t="shared" si="293"/>
        <v>1</v>
      </c>
      <c r="GN384" s="101">
        <f t="shared" si="294"/>
        <v>21</v>
      </c>
      <c r="GO384" s="101">
        <f t="shared" si="295"/>
        <v>6.8199999999999997E-2</v>
      </c>
      <c r="GP384" s="101">
        <f t="shared" si="296"/>
        <v>1</v>
      </c>
      <c r="GQ384" s="101">
        <f t="shared" si="297"/>
        <v>44</v>
      </c>
    </row>
    <row r="385" spans="175:199" ht="16.5" x14ac:dyDescent="0.2">
      <c r="FS385" s="101">
        <v>380</v>
      </c>
      <c r="FT385" s="101">
        <f t="shared" si="282"/>
        <v>54</v>
      </c>
      <c r="FU385" s="101">
        <f t="shared" si="275"/>
        <v>5</v>
      </c>
      <c r="FV385" s="14">
        <f t="shared" si="276"/>
        <v>5</v>
      </c>
      <c r="FW385" s="101" t="str">
        <f t="shared" si="283"/>
        <v>项羽专属武器-魂珠-6 9级</v>
      </c>
      <c r="FX385" s="101">
        <f t="shared" si="284"/>
        <v>6</v>
      </c>
      <c r="FY385" s="101">
        <f t="shared" si="285"/>
        <v>9</v>
      </c>
      <c r="FZ385" s="101" t="str">
        <f t="shared" si="277"/>
        <v>金币</v>
      </c>
      <c r="GA385" s="139">
        <f>IF($FY385&gt;0,IF(INDEX($EM$6:$EM$77,$FT385)&gt;=GA$3,ROUND(INDEX(EO$6:EO$77,$FT385)*INDEX(卡牌消耗!$B$8:$F$8,FV385)/5,0)*5,""),"")</f>
        <v>18825</v>
      </c>
      <c r="GB385" s="101" t="str">
        <f t="shared" si="278"/>
        <v>专属强化石3</v>
      </c>
      <c r="GC385" s="101">
        <f t="shared" si="279"/>
        <v>40</v>
      </c>
      <c r="GD385" s="101" t="str">
        <f t="shared" si="280"/>
        <v>专属强化石4</v>
      </c>
      <c r="GE385" s="101">
        <f t="shared" si="281"/>
        <v>8</v>
      </c>
      <c r="GF385" s="101">
        <f t="shared" si="286"/>
        <v>0.02</v>
      </c>
      <c r="GG385" s="101">
        <f t="shared" si="287"/>
        <v>1</v>
      </c>
      <c r="GH385" s="101">
        <f t="shared" si="288"/>
        <v>62</v>
      </c>
      <c r="GI385" s="101">
        <f t="shared" si="289"/>
        <v>0</v>
      </c>
      <c r="GJ385" s="101">
        <f t="shared" si="290"/>
        <v>1</v>
      </c>
      <c r="GK385" s="101">
        <f t="shared" si="291"/>
        <v>15</v>
      </c>
      <c r="GL385" s="101">
        <f t="shared" si="292"/>
        <v>1.21E-2</v>
      </c>
      <c r="GM385" s="101">
        <f t="shared" si="293"/>
        <v>1</v>
      </c>
      <c r="GN385" s="101">
        <f t="shared" si="294"/>
        <v>29</v>
      </c>
      <c r="GO385" s="101">
        <f t="shared" si="295"/>
        <v>4.82E-2</v>
      </c>
      <c r="GP385" s="101">
        <f t="shared" si="296"/>
        <v>1</v>
      </c>
      <c r="GQ385" s="101">
        <f t="shared" si="297"/>
        <v>62</v>
      </c>
    </row>
    <row r="386" spans="175:199" ht="16.5" x14ac:dyDescent="0.2">
      <c r="FS386" s="101">
        <v>381</v>
      </c>
      <c r="FT386" s="101">
        <f t="shared" si="282"/>
        <v>0</v>
      </c>
      <c r="FU386" s="101">
        <f t="shared" si="275"/>
        <v>5</v>
      </c>
      <c r="FV386" s="14">
        <f t="shared" si="276"/>
        <v>5</v>
      </c>
      <c r="FW386" s="101" t="str">
        <f t="shared" si="283"/>
        <v>项羽专属武器-魂珠-7 0级</v>
      </c>
      <c r="FX386" s="101">
        <f t="shared" si="284"/>
        <v>7</v>
      </c>
      <c r="FY386" s="101">
        <f t="shared" si="285"/>
        <v>0</v>
      </c>
      <c r="FZ386" s="101" t="str">
        <f t="shared" si="277"/>
        <v/>
      </c>
      <c r="GA386" s="139" t="str">
        <f>IF($FY386&gt;0,IF(INDEX($EM$6:$EM$77,$FT386)&gt;=GA$3,ROUND(INDEX(EO$6:EO$77,$FT386)*INDEX(卡牌消耗!$B$8:$F$8,FV386)/5,0)*5,""),"")</f>
        <v/>
      </c>
      <c r="GB386" s="101" t="str">
        <f t="shared" si="278"/>
        <v/>
      </c>
      <c r="GC386" s="101" t="str">
        <f t="shared" si="279"/>
        <v/>
      </c>
      <c r="GD386" s="101" t="str">
        <f t="shared" si="280"/>
        <v/>
      </c>
      <c r="GE386" s="101" t="str">
        <f t="shared" si="281"/>
        <v/>
      </c>
      <c r="GF386" s="101" t="str">
        <f t="shared" si="286"/>
        <v/>
      </c>
      <c r="GG386" s="101" t="str">
        <f t="shared" si="287"/>
        <v/>
      </c>
      <c r="GH386" s="101" t="str">
        <f t="shared" si="288"/>
        <v/>
      </c>
      <c r="GI386" s="101" t="str">
        <f t="shared" si="289"/>
        <v/>
      </c>
      <c r="GJ386" s="101" t="str">
        <f t="shared" si="290"/>
        <v/>
      </c>
      <c r="GK386" s="101" t="str">
        <f t="shared" si="291"/>
        <v/>
      </c>
      <c r="GL386" s="101" t="str">
        <f t="shared" si="292"/>
        <v/>
      </c>
      <c r="GM386" s="101" t="str">
        <f t="shared" si="293"/>
        <v/>
      </c>
      <c r="GN386" s="101" t="str">
        <f t="shared" si="294"/>
        <v/>
      </c>
      <c r="GO386" s="101" t="str">
        <f t="shared" si="295"/>
        <v/>
      </c>
      <c r="GP386" s="101" t="str">
        <f t="shared" si="296"/>
        <v/>
      </c>
      <c r="GQ386" s="101" t="str">
        <f t="shared" si="297"/>
        <v/>
      </c>
    </row>
    <row r="387" spans="175:199" ht="16.5" x14ac:dyDescent="0.2">
      <c r="FS387" s="101">
        <v>382</v>
      </c>
      <c r="FT387" s="101">
        <f t="shared" si="282"/>
        <v>55</v>
      </c>
      <c r="FU387" s="101">
        <f t="shared" si="275"/>
        <v>5</v>
      </c>
      <c r="FV387" s="14">
        <f t="shared" si="276"/>
        <v>5</v>
      </c>
      <c r="FW387" s="101" t="str">
        <f t="shared" si="283"/>
        <v>项羽专属武器-魂珠-7 1级</v>
      </c>
      <c r="FX387" s="101">
        <f t="shared" si="284"/>
        <v>7</v>
      </c>
      <c r="FY387" s="101">
        <f t="shared" si="285"/>
        <v>1</v>
      </c>
      <c r="FZ387" s="101" t="str">
        <f t="shared" si="277"/>
        <v>金币</v>
      </c>
      <c r="GA387" s="139">
        <f>IF($FY387&gt;0,IF(INDEX($EM$6:$EM$77,$FT387)&gt;=GA$3,ROUND(INDEX(EO$6:EO$77,$FT387)*INDEX(卡牌消耗!$B$8:$F$8,FV387)/5,0)*5,""),"")</f>
        <v>10155</v>
      </c>
      <c r="GB387" s="101" t="str">
        <f t="shared" si="278"/>
        <v>专属强化石3</v>
      </c>
      <c r="GC387" s="101">
        <f t="shared" si="279"/>
        <v>6</v>
      </c>
      <c r="GD387" s="101" t="str">
        <f t="shared" si="280"/>
        <v>专属强化石4</v>
      </c>
      <c r="GE387" s="101">
        <f t="shared" si="281"/>
        <v>2</v>
      </c>
      <c r="GF387" s="101">
        <f t="shared" si="286"/>
        <v>0.2</v>
      </c>
      <c r="GG387" s="101">
        <f t="shared" si="287"/>
        <v>1</v>
      </c>
      <c r="GH387" s="101">
        <f t="shared" si="288"/>
        <v>8</v>
      </c>
      <c r="GI387" s="101">
        <f t="shared" si="289"/>
        <v>0</v>
      </c>
      <c r="GJ387" s="101">
        <f t="shared" si="290"/>
        <v>1</v>
      </c>
      <c r="GK387" s="101">
        <f t="shared" si="291"/>
        <v>2</v>
      </c>
      <c r="GL387" s="101">
        <f t="shared" si="292"/>
        <v>9.9400000000000002E-2</v>
      </c>
      <c r="GM387" s="101">
        <f t="shared" si="293"/>
        <v>1</v>
      </c>
      <c r="GN387" s="101">
        <f t="shared" si="294"/>
        <v>4</v>
      </c>
      <c r="GO387" s="101">
        <f t="shared" si="295"/>
        <v>0.3977</v>
      </c>
      <c r="GP387" s="101">
        <f t="shared" si="296"/>
        <v>1</v>
      </c>
      <c r="GQ387" s="101">
        <f t="shared" si="297"/>
        <v>8</v>
      </c>
    </row>
    <row r="388" spans="175:199" ht="16.5" x14ac:dyDescent="0.2">
      <c r="FS388" s="101">
        <v>383</v>
      </c>
      <c r="FT388" s="101">
        <f t="shared" si="282"/>
        <v>56</v>
      </c>
      <c r="FU388" s="101">
        <f t="shared" si="275"/>
        <v>5</v>
      </c>
      <c r="FV388" s="14">
        <f t="shared" si="276"/>
        <v>5</v>
      </c>
      <c r="FW388" s="101" t="str">
        <f t="shared" si="283"/>
        <v>项羽专属武器-魂珠-7 2级</v>
      </c>
      <c r="FX388" s="101">
        <f t="shared" si="284"/>
        <v>7</v>
      </c>
      <c r="FY388" s="101">
        <f t="shared" si="285"/>
        <v>2</v>
      </c>
      <c r="FZ388" s="101" t="str">
        <f t="shared" si="277"/>
        <v>金币</v>
      </c>
      <c r="GA388" s="139">
        <f>IF($FY388&gt;0,IF(INDEX($EM$6:$EM$77,$FT388)&gt;=GA$3,ROUND(INDEX(EO$6:EO$77,$FT388)*INDEX(卡牌消耗!$B$8:$F$8,FV388)/5,0)*5,""),"")</f>
        <v>7615</v>
      </c>
      <c r="GB388" s="101" t="str">
        <f t="shared" si="278"/>
        <v>专属强化石3</v>
      </c>
      <c r="GC388" s="101">
        <f t="shared" si="279"/>
        <v>6</v>
      </c>
      <c r="GD388" s="101" t="str">
        <f t="shared" si="280"/>
        <v>专属强化石4</v>
      </c>
      <c r="GE388" s="101">
        <f t="shared" si="281"/>
        <v>2</v>
      </c>
      <c r="GF388" s="101">
        <f t="shared" si="286"/>
        <v>0.1</v>
      </c>
      <c r="GG388" s="101">
        <f t="shared" si="287"/>
        <v>1</v>
      </c>
      <c r="GH388" s="101">
        <f t="shared" si="288"/>
        <v>15</v>
      </c>
      <c r="GI388" s="101">
        <f t="shared" si="289"/>
        <v>0</v>
      </c>
      <c r="GJ388" s="101">
        <f t="shared" si="290"/>
        <v>1</v>
      </c>
      <c r="GK388" s="101">
        <f t="shared" si="291"/>
        <v>4</v>
      </c>
      <c r="GL388" s="101">
        <f t="shared" si="292"/>
        <v>4.9700000000000001E-2</v>
      </c>
      <c r="GM388" s="101">
        <f t="shared" si="293"/>
        <v>1</v>
      </c>
      <c r="GN388" s="101">
        <f t="shared" si="294"/>
        <v>7</v>
      </c>
      <c r="GO388" s="101">
        <f t="shared" si="295"/>
        <v>0.19889999999999999</v>
      </c>
      <c r="GP388" s="101">
        <f t="shared" si="296"/>
        <v>1</v>
      </c>
      <c r="GQ388" s="101">
        <f t="shared" si="297"/>
        <v>15</v>
      </c>
    </row>
    <row r="389" spans="175:199" ht="16.5" x14ac:dyDescent="0.2">
      <c r="FS389" s="101">
        <v>384</v>
      </c>
      <c r="FT389" s="101">
        <f t="shared" si="282"/>
        <v>57</v>
      </c>
      <c r="FU389" s="101">
        <f t="shared" si="275"/>
        <v>5</v>
      </c>
      <c r="FV389" s="14">
        <f t="shared" si="276"/>
        <v>5</v>
      </c>
      <c r="FW389" s="101" t="str">
        <f t="shared" si="283"/>
        <v>项羽专属武器-魂珠-7 3级</v>
      </c>
      <c r="FX389" s="101">
        <f t="shared" si="284"/>
        <v>7</v>
      </c>
      <c r="FY389" s="101">
        <f t="shared" si="285"/>
        <v>3</v>
      </c>
      <c r="FZ389" s="101" t="str">
        <f t="shared" si="277"/>
        <v>金币</v>
      </c>
      <c r="GA389" s="139">
        <f>IF($FY389&gt;0,IF(INDEX($EM$6:$EM$77,$FT389)&gt;=GA$3,ROUND(INDEX(EO$6:EO$77,$FT389)*INDEX(卡牌消耗!$B$8:$F$8,FV389)/5,0)*5,""),"")</f>
        <v>12690</v>
      </c>
      <c r="GB389" s="101" t="str">
        <f t="shared" si="278"/>
        <v>专属强化石3</v>
      </c>
      <c r="GC389" s="101">
        <f t="shared" si="279"/>
        <v>9</v>
      </c>
      <c r="GD389" s="101" t="str">
        <f t="shared" si="280"/>
        <v>专属强化石4</v>
      </c>
      <c r="GE389" s="101">
        <f t="shared" si="281"/>
        <v>3</v>
      </c>
      <c r="GF389" s="101">
        <f t="shared" si="286"/>
        <v>0.1</v>
      </c>
      <c r="GG389" s="101">
        <f t="shared" si="287"/>
        <v>1</v>
      </c>
      <c r="GH389" s="101">
        <f t="shared" si="288"/>
        <v>15</v>
      </c>
      <c r="GI389" s="101">
        <f t="shared" si="289"/>
        <v>0</v>
      </c>
      <c r="GJ389" s="101">
        <f t="shared" si="290"/>
        <v>1</v>
      </c>
      <c r="GK389" s="101">
        <f t="shared" si="291"/>
        <v>4</v>
      </c>
      <c r="GL389" s="101">
        <f t="shared" si="292"/>
        <v>4.9700000000000001E-2</v>
      </c>
      <c r="GM389" s="101">
        <f t="shared" si="293"/>
        <v>1</v>
      </c>
      <c r="GN389" s="101">
        <f t="shared" si="294"/>
        <v>7</v>
      </c>
      <c r="GO389" s="101">
        <f t="shared" si="295"/>
        <v>0.19889999999999999</v>
      </c>
      <c r="GP389" s="101">
        <f t="shared" si="296"/>
        <v>1</v>
      </c>
      <c r="GQ389" s="101">
        <f t="shared" si="297"/>
        <v>15</v>
      </c>
    </row>
    <row r="390" spans="175:199" ht="16.5" x14ac:dyDescent="0.2">
      <c r="FS390" s="101">
        <v>385</v>
      </c>
      <c r="FT390" s="101">
        <f t="shared" si="282"/>
        <v>58</v>
      </c>
      <c r="FU390" s="101">
        <f t="shared" si="275"/>
        <v>5</v>
      </c>
      <c r="FV390" s="14">
        <f t="shared" si="276"/>
        <v>5</v>
      </c>
      <c r="FW390" s="101" t="str">
        <f t="shared" si="283"/>
        <v>项羽专属武器-魂珠-7 4级</v>
      </c>
      <c r="FX390" s="101">
        <f t="shared" si="284"/>
        <v>7</v>
      </c>
      <c r="FY390" s="101">
        <f t="shared" si="285"/>
        <v>4</v>
      </c>
      <c r="FZ390" s="101" t="str">
        <f t="shared" si="277"/>
        <v>金币</v>
      </c>
      <c r="GA390" s="139">
        <f>IF($FY390&gt;0,IF(INDEX($EM$6:$EM$77,$FT390)&gt;=GA$3,ROUND(INDEX(EO$6:EO$77,$FT390)*INDEX(卡牌消耗!$B$8:$F$8,FV390)/5,0)*5,""),"")</f>
        <v>16245</v>
      </c>
      <c r="GB390" s="101" t="str">
        <f t="shared" si="278"/>
        <v>专属强化石3</v>
      </c>
      <c r="GC390" s="101">
        <f t="shared" si="279"/>
        <v>12</v>
      </c>
      <c r="GD390" s="101" t="str">
        <f t="shared" si="280"/>
        <v>专属强化石4</v>
      </c>
      <c r="GE390" s="101">
        <f t="shared" si="281"/>
        <v>4</v>
      </c>
      <c r="GF390" s="101">
        <f t="shared" si="286"/>
        <v>0.08</v>
      </c>
      <c r="GG390" s="101">
        <f t="shared" si="287"/>
        <v>1</v>
      </c>
      <c r="GH390" s="101">
        <f t="shared" si="288"/>
        <v>19</v>
      </c>
      <c r="GI390" s="101">
        <f t="shared" si="289"/>
        <v>0</v>
      </c>
      <c r="GJ390" s="101">
        <f t="shared" si="290"/>
        <v>1</v>
      </c>
      <c r="GK390" s="101">
        <f t="shared" si="291"/>
        <v>4</v>
      </c>
      <c r="GL390" s="101">
        <f t="shared" si="292"/>
        <v>3.9800000000000002E-2</v>
      </c>
      <c r="GM390" s="101">
        <f t="shared" si="293"/>
        <v>1</v>
      </c>
      <c r="GN390" s="101">
        <f t="shared" si="294"/>
        <v>9</v>
      </c>
      <c r="GO390" s="101">
        <f t="shared" si="295"/>
        <v>0.15909999999999999</v>
      </c>
      <c r="GP390" s="101">
        <f t="shared" si="296"/>
        <v>1</v>
      </c>
      <c r="GQ390" s="101">
        <f t="shared" si="297"/>
        <v>19</v>
      </c>
    </row>
    <row r="391" spans="175:199" ht="16.5" x14ac:dyDescent="0.2">
      <c r="FS391" s="101">
        <v>386</v>
      </c>
      <c r="FT391" s="101">
        <f t="shared" si="282"/>
        <v>59</v>
      </c>
      <c r="FU391" s="101">
        <f t="shared" ref="FU391:FU454" si="298">INT((FS391-1)/80+1)</f>
        <v>5</v>
      </c>
      <c r="FV391" s="14">
        <f t="shared" ref="FV391:FV454" si="299">INDEX($FO$6:$FO$26,FU391)</f>
        <v>5</v>
      </c>
      <c r="FW391" s="101" t="str">
        <f t="shared" si="283"/>
        <v>项羽专属武器-魂珠-7 5级</v>
      </c>
      <c r="FX391" s="101">
        <f t="shared" si="284"/>
        <v>7</v>
      </c>
      <c r="FY391" s="101">
        <f t="shared" si="285"/>
        <v>5</v>
      </c>
      <c r="FZ391" s="101" t="str">
        <f t="shared" ref="FZ391:FZ454" si="300">IF($FY391&gt;0,IF(INDEX($EM$6:$EM$77,$FT391)&gt;=FZ$3,INDEX(EN$6:EN$77,$FT391),""),"")</f>
        <v>金币</v>
      </c>
      <c r="GA391" s="139">
        <f>IF($FY391&gt;0,IF(INDEX($EM$6:$EM$77,$FT391)&gt;=GA$3,ROUND(INDEX(EO$6:EO$77,$FT391)*INDEX(卡牌消耗!$B$8:$F$8,FV391)/5,0)*5,""),"")</f>
        <v>16500</v>
      </c>
      <c r="GB391" s="101" t="str">
        <f t="shared" ref="GB391:GB454" si="301">IF($FY391&gt;0,IF(INDEX($EM$6:$EM$77,$FT391)&gt;=GB$3,INDEX(EP$6:EP$77,$FT391),""),"")</f>
        <v>专属强化石3</v>
      </c>
      <c r="GC391" s="101">
        <f t="shared" ref="GC391:GC454" si="302">IF($FY391&gt;0,IF(INDEX($EM$6:$EM$77,$FT391)&gt;=GC$3,INDEX(EQ$6:EQ$77,$FT391),""),"")</f>
        <v>12</v>
      </c>
      <c r="GD391" s="101" t="str">
        <f t="shared" ref="GD391:GD454" si="303">IF($FY391&gt;0,IF(INDEX($EM$6:$EM$77,$FT391)&gt;=GD$3,INDEX(ER$6:ER$77,$FT391),""),"")</f>
        <v>专属强化石4</v>
      </c>
      <c r="GE391" s="101">
        <f t="shared" ref="GE391:GE454" si="304">IF($FY391&gt;0,IF(INDEX($EM$6:$EM$77,$FT391)&gt;=GE$3,INDEX(ES$6:ES$77,$FT391),""),"")</f>
        <v>4</v>
      </c>
      <c r="GF391" s="101">
        <f t="shared" si="286"/>
        <v>0.05</v>
      </c>
      <c r="GG391" s="101">
        <f t="shared" si="287"/>
        <v>1</v>
      </c>
      <c r="GH391" s="101">
        <f t="shared" si="288"/>
        <v>30</v>
      </c>
      <c r="GI391" s="101">
        <f t="shared" si="289"/>
        <v>0</v>
      </c>
      <c r="GJ391" s="101">
        <f t="shared" si="290"/>
        <v>1</v>
      </c>
      <c r="GK391" s="101">
        <f t="shared" si="291"/>
        <v>7</v>
      </c>
      <c r="GL391" s="101">
        <f t="shared" si="292"/>
        <v>2.4899999999999999E-2</v>
      </c>
      <c r="GM391" s="101">
        <f t="shared" si="293"/>
        <v>1</v>
      </c>
      <c r="GN391" s="101">
        <f t="shared" si="294"/>
        <v>14</v>
      </c>
      <c r="GO391" s="101">
        <f t="shared" si="295"/>
        <v>9.9400000000000002E-2</v>
      </c>
      <c r="GP391" s="101">
        <f t="shared" si="296"/>
        <v>1</v>
      </c>
      <c r="GQ391" s="101">
        <f t="shared" si="297"/>
        <v>30</v>
      </c>
    </row>
    <row r="392" spans="175:199" ht="16.5" x14ac:dyDescent="0.2">
      <c r="FS392" s="101">
        <v>387</v>
      </c>
      <c r="FT392" s="101">
        <f t="shared" si="282"/>
        <v>60</v>
      </c>
      <c r="FU392" s="101">
        <f t="shared" si="298"/>
        <v>5</v>
      </c>
      <c r="FV392" s="14">
        <f t="shared" si="299"/>
        <v>5</v>
      </c>
      <c r="FW392" s="101" t="str">
        <f t="shared" si="283"/>
        <v>项羽专属武器-魂珠-7 6级</v>
      </c>
      <c r="FX392" s="101">
        <f t="shared" si="284"/>
        <v>7</v>
      </c>
      <c r="FY392" s="101">
        <f t="shared" si="285"/>
        <v>6</v>
      </c>
      <c r="FZ392" s="101" t="str">
        <f t="shared" si="300"/>
        <v>金币</v>
      </c>
      <c r="GA392" s="139">
        <f>IF($FY392&gt;0,IF(INDEX($EM$6:$EM$77,$FT392)&gt;=GA$3,ROUND(INDEX(EO$6:EO$77,$FT392)*INDEX(卡牌消耗!$B$8:$F$8,FV392)/5,0)*5,""),"")</f>
        <v>20505</v>
      </c>
      <c r="GB392" s="101" t="str">
        <f t="shared" si="301"/>
        <v>专属强化石3</v>
      </c>
      <c r="GC392" s="101">
        <f t="shared" si="302"/>
        <v>15</v>
      </c>
      <c r="GD392" s="101" t="str">
        <f t="shared" si="303"/>
        <v>专属强化石4</v>
      </c>
      <c r="GE392" s="101">
        <f t="shared" si="304"/>
        <v>5</v>
      </c>
      <c r="GF392" s="101">
        <f t="shared" si="286"/>
        <v>0.04</v>
      </c>
      <c r="GG392" s="101">
        <f t="shared" si="287"/>
        <v>1</v>
      </c>
      <c r="GH392" s="101">
        <f t="shared" si="288"/>
        <v>39</v>
      </c>
      <c r="GI392" s="101">
        <f t="shared" si="289"/>
        <v>0</v>
      </c>
      <c r="GJ392" s="101">
        <f t="shared" si="290"/>
        <v>1</v>
      </c>
      <c r="GK392" s="101">
        <f t="shared" si="291"/>
        <v>9</v>
      </c>
      <c r="GL392" s="101">
        <f t="shared" si="292"/>
        <v>1.9099999999999999E-2</v>
      </c>
      <c r="GM392" s="101">
        <f t="shared" si="293"/>
        <v>1</v>
      </c>
      <c r="GN392" s="101">
        <f t="shared" si="294"/>
        <v>18</v>
      </c>
      <c r="GO392" s="101">
        <f t="shared" si="295"/>
        <v>7.6499999999999999E-2</v>
      </c>
      <c r="GP392" s="101">
        <f t="shared" si="296"/>
        <v>1</v>
      </c>
      <c r="GQ392" s="101">
        <f t="shared" si="297"/>
        <v>39</v>
      </c>
    </row>
    <row r="393" spans="175:199" ht="16.5" x14ac:dyDescent="0.2">
      <c r="FS393" s="101">
        <v>388</v>
      </c>
      <c r="FT393" s="101">
        <f t="shared" si="282"/>
        <v>61</v>
      </c>
      <c r="FU393" s="101">
        <f t="shared" si="298"/>
        <v>5</v>
      </c>
      <c r="FV393" s="14">
        <f t="shared" si="299"/>
        <v>5</v>
      </c>
      <c r="FW393" s="101" t="str">
        <f t="shared" si="283"/>
        <v>项羽专属武器-魂珠-7 7级</v>
      </c>
      <c r="FX393" s="101">
        <f t="shared" si="284"/>
        <v>7</v>
      </c>
      <c r="FY393" s="101">
        <f t="shared" si="285"/>
        <v>7</v>
      </c>
      <c r="FZ393" s="101" t="str">
        <f t="shared" si="300"/>
        <v>金币</v>
      </c>
      <c r="GA393" s="139">
        <f>IF($FY393&gt;0,IF(INDEX($EM$6:$EM$77,$FT393)&gt;=GA$3,ROUND(INDEX(EO$6:EO$77,$FT393)*INDEX(卡牌消耗!$B$8:$F$8,FV393)/5,0)*5,""),"")</f>
        <v>28770</v>
      </c>
      <c r="GB393" s="101" t="str">
        <f t="shared" si="301"/>
        <v>专属强化石3</v>
      </c>
      <c r="GC393" s="101">
        <f t="shared" si="302"/>
        <v>21</v>
      </c>
      <c r="GD393" s="101" t="str">
        <f t="shared" si="303"/>
        <v>专属强化石4</v>
      </c>
      <c r="GE393" s="101">
        <f t="shared" si="304"/>
        <v>7</v>
      </c>
      <c r="GF393" s="101">
        <f t="shared" si="286"/>
        <v>0.03</v>
      </c>
      <c r="GG393" s="101">
        <f t="shared" si="287"/>
        <v>1</v>
      </c>
      <c r="GH393" s="101">
        <f t="shared" si="288"/>
        <v>45</v>
      </c>
      <c r="GI393" s="101">
        <f t="shared" si="289"/>
        <v>0</v>
      </c>
      <c r="GJ393" s="101">
        <f t="shared" si="290"/>
        <v>1</v>
      </c>
      <c r="GK393" s="101">
        <f t="shared" si="291"/>
        <v>11</v>
      </c>
      <c r="GL393" s="101">
        <f t="shared" si="292"/>
        <v>1.66E-2</v>
      </c>
      <c r="GM393" s="101">
        <f t="shared" si="293"/>
        <v>1</v>
      </c>
      <c r="GN393" s="101">
        <f t="shared" si="294"/>
        <v>21</v>
      </c>
      <c r="GO393" s="101">
        <f t="shared" si="295"/>
        <v>6.6299999999999998E-2</v>
      </c>
      <c r="GP393" s="101">
        <f t="shared" si="296"/>
        <v>1</v>
      </c>
      <c r="GQ393" s="101">
        <f t="shared" si="297"/>
        <v>45</v>
      </c>
    </row>
    <row r="394" spans="175:199" ht="16.5" x14ac:dyDescent="0.2">
      <c r="FS394" s="101">
        <v>389</v>
      </c>
      <c r="FT394" s="101">
        <f t="shared" si="282"/>
        <v>62</v>
      </c>
      <c r="FU394" s="101">
        <f t="shared" si="298"/>
        <v>5</v>
      </c>
      <c r="FV394" s="14">
        <f t="shared" si="299"/>
        <v>5</v>
      </c>
      <c r="FW394" s="101" t="str">
        <f t="shared" si="283"/>
        <v>项羽专属武器-魂珠-7 8级</v>
      </c>
      <c r="FX394" s="101">
        <f t="shared" si="284"/>
        <v>7</v>
      </c>
      <c r="FY394" s="101">
        <f t="shared" si="285"/>
        <v>8</v>
      </c>
      <c r="FZ394" s="101" t="str">
        <f t="shared" si="300"/>
        <v>金币</v>
      </c>
      <c r="GA394" s="139">
        <f>IF($FY394&gt;0,IF(INDEX($EM$6:$EM$77,$FT394)&gt;=GA$3,ROUND(INDEX(EO$6:EO$77,$FT394)*INDEX(卡牌消耗!$B$8:$F$8,FV394)/5,0)*5,""),"")</f>
        <v>32850</v>
      </c>
      <c r="GB394" s="101" t="str">
        <f t="shared" si="301"/>
        <v>专属强化石3</v>
      </c>
      <c r="GC394" s="101">
        <f t="shared" si="302"/>
        <v>24</v>
      </c>
      <c r="GD394" s="101" t="str">
        <f t="shared" si="303"/>
        <v>专属强化石4</v>
      </c>
      <c r="GE394" s="101">
        <f t="shared" si="304"/>
        <v>8</v>
      </c>
      <c r="GF394" s="101">
        <f t="shared" si="286"/>
        <v>0.02</v>
      </c>
      <c r="GG394" s="101">
        <f t="shared" si="287"/>
        <v>1</v>
      </c>
      <c r="GH394" s="101">
        <f t="shared" si="288"/>
        <v>64</v>
      </c>
      <c r="GI394" s="101">
        <f t="shared" si="289"/>
        <v>0</v>
      </c>
      <c r="GJ394" s="101">
        <f t="shared" si="290"/>
        <v>1</v>
      </c>
      <c r="GK394" s="101">
        <f t="shared" si="291"/>
        <v>15</v>
      </c>
      <c r="GL394" s="101">
        <f t="shared" si="292"/>
        <v>1.17E-2</v>
      </c>
      <c r="GM394" s="101">
        <f t="shared" si="293"/>
        <v>1</v>
      </c>
      <c r="GN394" s="101">
        <f t="shared" si="294"/>
        <v>30</v>
      </c>
      <c r="GO394" s="101">
        <f t="shared" si="295"/>
        <v>4.6800000000000001E-2</v>
      </c>
      <c r="GP394" s="101">
        <f t="shared" si="296"/>
        <v>1</v>
      </c>
      <c r="GQ394" s="101">
        <f t="shared" si="297"/>
        <v>64</v>
      </c>
    </row>
    <row r="395" spans="175:199" ht="16.5" x14ac:dyDescent="0.2">
      <c r="FS395" s="101">
        <v>390</v>
      </c>
      <c r="FT395" s="101">
        <f t="shared" si="282"/>
        <v>63</v>
      </c>
      <c r="FU395" s="101">
        <f t="shared" si="298"/>
        <v>5</v>
      </c>
      <c r="FV395" s="14">
        <f t="shared" si="299"/>
        <v>5</v>
      </c>
      <c r="FW395" s="101" t="str">
        <f t="shared" si="283"/>
        <v>项羽专属武器-魂珠-7 9级</v>
      </c>
      <c r="FX395" s="101">
        <f t="shared" si="284"/>
        <v>7</v>
      </c>
      <c r="FY395" s="101">
        <f t="shared" si="285"/>
        <v>9</v>
      </c>
      <c r="FZ395" s="101" t="str">
        <f t="shared" si="300"/>
        <v>金币</v>
      </c>
      <c r="GA395" s="139">
        <f>IF($FY395&gt;0,IF(INDEX($EM$6:$EM$77,$FT395)&gt;=GA$3,ROUND(INDEX(EO$6:EO$77,$FT395)*INDEX(卡牌消耗!$B$8:$F$8,FV395)/5,0)*5,""),"")</f>
        <v>41080</v>
      </c>
      <c r="GB395" s="101" t="str">
        <f t="shared" si="301"/>
        <v>专属强化石3</v>
      </c>
      <c r="GC395" s="101">
        <f t="shared" si="302"/>
        <v>30</v>
      </c>
      <c r="GD395" s="101" t="str">
        <f t="shared" si="303"/>
        <v>专属强化石4</v>
      </c>
      <c r="GE395" s="101">
        <f t="shared" si="304"/>
        <v>10</v>
      </c>
      <c r="GF395" s="101">
        <f t="shared" si="286"/>
        <v>0.02</v>
      </c>
      <c r="GG395" s="101">
        <f t="shared" si="287"/>
        <v>1</v>
      </c>
      <c r="GH395" s="101">
        <f t="shared" si="288"/>
        <v>83</v>
      </c>
      <c r="GI395" s="101">
        <f t="shared" si="289"/>
        <v>0</v>
      </c>
      <c r="GJ395" s="101">
        <f t="shared" si="290"/>
        <v>1</v>
      </c>
      <c r="GK395" s="101">
        <f t="shared" si="291"/>
        <v>19</v>
      </c>
      <c r="GL395" s="101">
        <f t="shared" si="292"/>
        <v>8.9999999999999993E-3</v>
      </c>
      <c r="GM395" s="101">
        <f t="shared" si="293"/>
        <v>1</v>
      </c>
      <c r="GN395" s="101">
        <f t="shared" si="294"/>
        <v>39</v>
      </c>
      <c r="GO395" s="101">
        <f t="shared" si="295"/>
        <v>3.6200000000000003E-2</v>
      </c>
      <c r="GP395" s="101">
        <f t="shared" si="296"/>
        <v>1</v>
      </c>
      <c r="GQ395" s="101">
        <f t="shared" si="297"/>
        <v>83</v>
      </c>
    </row>
    <row r="396" spans="175:199" ht="16.5" x14ac:dyDescent="0.2">
      <c r="FS396" s="101">
        <v>391</v>
      </c>
      <c r="FT396" s="101">
        <f t="shared" si="282"/>
        <v>0</v>
      </c>
      <c r="FU396" s="101">
        <f t="shared" si="298"/>
        <v>5</v>
      </c>
      <c r="FV396" s="14">
        <f t="shared" si="299"/>
        <v>5</v>
      </c>
      <c r="FW396" s="101" t="str">
        <f t="shared" si="283"/>
        <v>项羽专属武器-魂珠-8 0级</v>
      </c>
      <c r="FX396" s="101">
        <f t="shared" si="284"/>
        <v>8</v>
      </c>
      <c r="FY396" s="101">
        <f t="shared" si="285"/>
        <v>0</v>
      </c>
      <c r="FZ396" s="101" t="str">
        <f t="shared" si="300"/>
        <v/>
      </c>
      <c r="GA396" s="139" t="str">
        <f>IF($FY396&gt;0,IF(INDEX($EM$6:$EM$77,$FT396)&gt;=GA$3,ROUND(INDEX(EO$6:EO$77,$FT396)*INDEX(卡牌消耗!$B$8:$F$8,FV396)/5,0)*5,""),"")</f>
        <v/>
      </c>
      <c r="GB396" s="101" t="str">
        <f t="shared" si="301"/>
        <v/>
      </c>
      <c r="GC396" s="101" t="str">
        <f t="shared" si="302"/>
        <v/>
      </c>
      <c r="GD396" s="101" t="str">
        <f t="shared" si="303"/>
        <v/>
      </c>
      <c r="GE396" s="101" t="str">
        <f t="shared" si="304"/>
        <v/>
      </c>
      <c r="GF396" s="101" t="str">
        <f t="shared" si="286"/>
        <v/>
      </c>
      <c r="GG396" s="101" t="str">
        <f t="shared" si="287"/>
        <v/>
      </c>
      <c r="GH396" s="101" t="str">
        <f t="shared" si="288"/>
        <v/>
      </c>
      <c r="GI396" s="101" t="str">
        <f t="shared" si="289"/>
        <v/>
      </c>
      <c r="GJ396" s="101" t="str">
        <f t="shared" si="290"/>
        <v/>
      </c>
      <c r="GK396" s="101" t="str">
        <f t="shared" si="291"/>
        <v/>
      </c>
      <c r="GL396" s="101" t="str">
        <f t="shared" si="292"/>
        <v/>
      </c>
      <c r="GM396" s="101" t="str">
        <f t="shared" si="293"/>
        <v/>
      </c>
      <c r="GN396" s="101" t="str">
        <f t="shared" si="294"/>
        <v/>
      </c>
      <c r="GO396" s="101" t="str">
        <f t="shared" si="295"/>
        <v/>
      </c>
      <c r="GP396" s="101" t="str">
        <f t="shared" si="296"/>
        <v/>
      </c>
      <c r="GQ396" s="101" t="str">
        <f t="shared" si="297"/>
        <v/>
      </c>
    </row>
    <row r="397" spans="175:199" ht="16.5" x14ac:dyDescent="0.2">
      <c r="FS397" s="101">
        <v>392</v>
      </c>
      <c r="FT397" s="101">
        <f t="shared" si="282"/>
        <v>64</v>
      </c>
      <c r="FU397" s="101">
        <f t="shared" si="298"/>
        <v>5</v>
      </c>
      <c r="FV397" s="14">
        <f t="shared" si="299"/>
        <v>5</v>
      </c>
      <c r="FW397" s="101" t="str">
        <f t="shared" si="283"/>
        <v>项羽专属武器-魂珠-8 1级</v>
      </c>
      <c r="FX397" s="101">
        <f t="shared" si="284"/>
        <v>8</v>
      </c>
      <c r="FY397" s="101">
        <f t="shared" si="285"/>
        <v>1</v>
      </c>
      <c r="FZ397" s="101" t="str">
        <f t="shared" si="300"/>
        <v>金币</v>
      </c>
      <c r="GA397" s="139">
        <f>IF($FY397&gt;0,IF(INDEX($EM$6:$EM$77,$FT397)&gt;=GA$3,ROUND(INDEX(EO$6:EO$77,$FT397)*INDEX(卡牌消耗!$B$8:$F$8,FV397)/5,0)*5,""),"")</f>
        <v>8655</v>
      </c>
      <c r="GB397" s="101" t="str">
        <f t="shared" si="301"/>
        <v>专属强化石4</v>
      </c>
      <c r="GC397" s="101">
        <f t="shared" si="302"/>
        <v>5</v>
      </c>
      <c r="GD397" s="101" t="str">
        <f t="shared" si="303"/>
        <v/>
      </c>
      <c r="GE397" s="101" t="str">
        <f t="shared" si="304"/>
        <v/>
      </c>
      <c r="GF397" s="101">
        <f t="shared" si="286"/>
        <v>0.11</v>
      </c>
      <c r="GG397" s="101">
        <f t="shared" si="287"/>
        <v>1</v>
      </c>
      <c r="GH397" s="101">
        <f t="shared" si="288"/>
        <v>13</v>
      </c>
      <c r="GI397" s="101">
        <f t="shared" si="289"/>
        <v>0</v>
      </c>
      <c r="GJ397" s="101">
        <f t="shared" si="290"/>
        <v>1</v>
      </c>
      <c r="GK397" s="101">
        <f t="shared" si="291"/>
        <v>3</v>
      </c>
      <c r="GL397" s="101">
        <f t="shared" si="292"/>
        <v>5.6500000000000002E-2</v>
      </c>
      <c r="GM397" s="101">
        <f t="shared" si="293"/>
        <v>1</v>
      </c>
      <c r="GN397" s="101">
        <f t="shared" si="294"/>
        <v>6</v>
      </c>
      <c r="GO397" s="101">
        <f t="shared" si="295"/>
        <v>0.22600000000000001</v>
      </c>
      <c r="GP397" s="101">
        <f t="shared" si="296"/>
        <v>1</v>
      </c>
      <c r="GQ397" s="101">
        <f t="shared" si="297"/>
        <v>13</v>
      </c>
    </row>
    <row r="398" spans="175:199" ht="16.5" x14ac:dyDescent="0.2">
      <c r="FS398" s="101">
        <v>393</v>
      </c>
      <c r="FT398" s="101">
        <f t="shared" si="282"/>
        <v>65</v>
      </c>
      <c r="FU398" s="101">
        <f t="shared" si="298"/>
        <v>5</v>
      </c>
      <c r="FV398" s="14">
        <f t="shared" si="299"/>
        <v>5</v>
      </c>
      <c r="FW398" s="101" t="str">
        <f t="shared" si="283"/>
        <v>项羽专属武器-魂珠-8 2级</v>
      </c>
      <c r="FX398" s="101">
        <f t="shared" si="284"/>
        <v>8</v>
      </c>
      <c r="FY398" s="101">
        <f t="shared" si="285"/>
        <v>2</v>
      </c>
      <c r="FZ398" s="101" t="str">
        <f t="shared" si="300"/>
        <v>金币</v>
      </c>
      <c r="GA398" s="139">
        <f>IF($FY398&gt;0,IF(INDEX($EM$6:$EM$77,$FT398)&gt;=GA$3,ROUND(INDEX(EO$6:EO$77,$FT398)*INDEX(卡牌消耗!$B$8:$F$8,FV398)/5,0)*5,""),"")</f>
        <v>10385</v>
      </c>
      <c r="GB398" s="101" t="str">
        <f t="shared" si="301"/>
        <v>专属强化石4</v>
      </c>
      <c r="GC398" s="101">
        <f t="shared" si="302"/>
        <v>8</v>
      </c>
      <c r="GD398" s="101" t="str">
        <f t="shared" si="303"/>
        <v/>
      </c>
      <c r="GE398" s="101" t="str">
        <f t="shared" si="304"/>
        <v/>
      </c>
      <c r="GF398" s="101">
        <f t="shared" si="286"/>
        <v>0.09</v>
      </c>
      <c r="GG398" s="101">
        <f t="shared" si="287"/>
        <v>1</v>
      </c>
      <c r="GH398" s="101">
        <f t="shared" si="288"/>
        <v>17</v>
      </c>
      <c r="GI398" s="101">
        <f t="shared" si="289"/>
        <v>0</v>
      </c>
      <c r="GJ398" s="101">
        <f t="shared" si="290"/>
        <v>1</v>
      </c>
      <c r="GK398" s="101">
        <f t="shared" si="291"/>
        <v>4</v>
      </c>
      <c r="GL398" s="101">
        <f t="shared" si="292"/>
        <v>4.5199999999999997E-2</v>
      </c>
      <c r="GM398" s="101">
        <f t="shared" si="293"/>
        <v>1</v>
      </c>
      <c r="GN398" s="101">
        <f t="shared" si="294"/>
        <v>8</v>
      </c>
      <c r="GO398" s="101">
        <f t="shared" si="295"/>
        <v>0.18079999999999999</v>
      </c>
      <c r="GP398" s="101">
        <f t="shared" si="296"/>
        <v>1</v>
      </c>
      <c r="GQ398" s="101">
        <f t="shared" si="297"/>
        <v>17</v>
      </c>
    </row>
    <row r="399" spans="175:199" ht="16.5" x14ac:dyDescent="0.2">
      <c r="FS399" s="101">
        <v>394</v>
      </c>
      <c r="FT399" s="101">
        <f t="shared" si="282"/>
        <v>66</v>
      </c>
      <c r="FU399" s="101">
        <f t="shared" si="298"/>
        <v>5</v>
      </c>
      <c r="FV399" s="14">
        <f t="shared" si="299"/>
        <v>5</v>
      </c>
      <c r="FW399" s="101" t="str">
        <f t="shared" si="283"/>
        <v>项羽专属武器-魂珠-8 3级</v>
      </c>
      <c r="FX399" s="101">
        <f t="shared" si="284"/>
        <v>8</v>
      </c>
      <c r="FY399" s="101">
        <f t="shared" si="285"/>
        <v>3</v>
      </c>
      <c r="FZ399" s="101" t="str">
        <f t="shared" si="300"/>
        <v>金币</v>
      </c>
      <c r="GA399" s="139">
        <f>IF($FY399&gt;0,IF(INDEX($EM$6:$EM$77,$FT399)&gt;=GA$3,ROUND(INDEX(EO$6:EO$77,$FT399)*INDEX(卡牌消耗!$B$8:$F$8,FV399)/5,0)*5,""),"")</f>
        <v>14425</v>
      </c>
      <c r="GB399" s="101" t="str">
        <f t="shared" si="301"/>
        <v>专属强化石4</v>
      </c>
      <c r="GC399" s="101">
        <f t="shared" si="302"/>
        <v>10</v>
      </c>
      <c r="GD399" s="101" t="str">
        <f t="shared" si="303"/>
        <v/>
      </c>
      <c r="GE399" s="101" t="str">
        <f t="shared" si="304"/>
        <v/>
      </c>
      <c r="GF399" s="101">
        <f t="shared" si="286"/>
        <v>0.08</v>
      </c>
      <c r="GG399" s="101">
        <f t="shared" si="287"/>
        <v>1</v>
      </c>
      <c r="GH399" s="101">
        <f t="shared" si="288"/>
        <v>20</v>
      </c>
      <c r="GI399" s="101">
        <f t="shared" si="289"/>
        <v>0</v>
      </c>
      <c r="GJ399" s="101">
        <f t="shared" si="290"/>
        <v>1</v>
      </c>
      <c r="GK399" s="101">
        <f t="shared" si="291"/>
        <v>5</v>
      </c>
      <c r="GL399" s="101">
        <f t="shared" si="292"/>
        <v>3.7699999999999997E-2</v>
      </c>
      <c r="GM399" s="101">
        <f t="shared" si="293"/>
        <v>1</v>
      </c>
      <c r="GN399" s="101">
        <f t="shared" si="294"/>
        <v>9</v>
      </c>
      <c r="GO399" s="101">
        <f t="shared" si="295"/>
        <v>0.1507</v>
      </c>
      <c r="GP399" s="101">
        <f t="shared" si="296"/>
        <v>1</v>
      </c>
      <c r="GQ399" s="101">
        <f t="shared" si="297"/>
        <v>20</v>
      </c>
    </row>
    <row r="400" spans="175:199" ht="16.5" x14ac:dyDescent="0.2">
      <c r="FS400" s="101">
        <v>395</v>
      </c>
      <c r="FT400" s="101">
        <f t="shared" si="282"/>
        <v>67</v>
      </c>
      <c r="FU400" s="101">
        <f t="shared" si="298"/>
        <v>5</v>
      </c>
      <c r="FV400" s="14">
        <f t="shared" si="299"/>
        <v>5</v>
      </c>
      <c r="FW400" s="101" t="str">
        <f t="shared" si="283"/>
        <v>项羽专属武器-魂珠-8 4级</v>
      </c>
      <c r="FX400" s="101">
        <f t="shared" si="284"/>
        <v>8</v>
      </c>
      <c r="FY400" s="101">
        <f t="shared" si="285"/>
        <v>4</v>
      </c>
      <c r="FZ400" s="101" t="str">
        <f t="shared" si="300"/>
        <v>金币</v>
      </c>
      <c r="GA400" s="139">
        <f>IF($FY400&gt;0,IF(INDEX($EM$6:$EM$77,$FT400)&gt;=GA$3,ROUND(INDEX(EO$6:EO$77,$FT400)*INDEX(卡牌消耗!$B$8:$F$8,FV400)/5,0)*5,""),"")</f>
        <v>16615</v>
      </c>
      <c r="GB400" s="101" t="str">
        <f t="shared" si="301"/>
        <v>专属强化石4</v>
      </c>
      <c r="GC400" s="101">
        <f t="shared" si="302"/>
        <v>12</v>
      </c>
      <c r="GD400" s="101" t="str">
        <f t="shared" si="303"/>
        <v/>
      </c>
      <c r="GE400" s="101" t="str">
        <f t="shared" si="304"/>
        <v/>
      </c>
      <c r="GF400" s="101">
        <f t="shared" si="286"/>
        <v>0.05</v>
      </c>
      <c r="GG400" s="101">
        <f t="shared" si="287"/>
        <v>1</v>
      </c>
      <c r="GH400" s="101">
        <f t="shared" si="288"/>
        <v>28</v>
      </c>
      <c r="GI400" s="101">
        <f t="shared" si="289"/>
        <v>0</v>
      </c>
      <c r="GJ400" s="101">
        <f t="shared" si="290"/>
        <v>1</v>
      </c>
      <c r="GK400" s="101">
        <f t="shared" si="291"/>
        <v>6</v>
      </c>
      <c r="GL400" s="101">
        <f t="shared" si="292"/>
        <v>2.7099999999999999E-2</v>
      </c>
      <c r="GM400" s="101">
        <f t="shared" si="293"/>
        <v>1</v>
      </c>
      <c r="GN400" s="101">
        <f t="shared" si="294"/>
        <v>13</v>
      </c>
      <c r="GO400" s="101">
        <f t="shared" si="295"/>
        <v>0.1085</v>
      </c>
      <c r="GP400" s="101">
        <f t="shared" si="296"/>
        <v>1</v>
      </c>
      <c r="GQ400" s="101">
        <f t="shared" si="297"/>
        <v>28</v>
      </c>
    </row>
    <row r="401" spans="175:199" ht="16.5" x14ac:dyDescent="0.2">
      <c r="FS401" s="101">
        <v>396</v>
      </c>
      <c r="FT401" s="101">
        <f t="shared" si="282"/>
        <v>68</v>
      </c>
      <c r="FU401" s="101">
        <f t="shared" si="298"/>
        <v>5</v>
      </c>
      <c r="FV401" s="14">
        <f t="shared" si="299"/>
        <v>5</v>
      </c>
      <c r="FW401" s="101" t="str">
        <f t="shared" si="283"/>
        <v>项羽专属武器-魂珠-8 5级</v>
      </c>
      <c r="FX401" s="101">
        <f t="shared" si="284"/>
        <v>8</v>
      </c>
      <c r="FY401" s="101">
        <f t="shared" si="285"/>
        <v>5</v>
      </c>
      <c r="FZ401" s="101" t="str">
        <f t="shared" si="300"/>
        <v>金币</v>
      </c>
      <c r="GA401" s="139">
        <f>IF($FY401&gt;0,IF(INDEX($EM$6:$EM$77,$FT401)&gt;=GA$3,ROUND(INDEX(EO$6:EO$77,$FT401)*INDEX(卡牌消耗!$B$8:$F$8,FV401)/5,0)*5,""),"")</f>
        <v>21095</v>
      </c>
      <c r="GB401" s="101" t="str">
        <f t="shared" si="301"/>
        <v>专属强化石4</v>
      </c>
      <c r="GC401" s="101">
        <f t="shared" si="302"/>
        <v>15</v>
      </c>
      <c r="GD401" s="101" t="str">
        <f t="shared" si="303"/>
        <v/>
      </c>
      <c r="GE401" s="101" t="str">
        <f t="shared" si="304"/>
        <v/>
      </c>
      <c r="GF401" s="101">
        <f t="shared" si="286"/>
        <v>0.04</v>
      </c>
      <c r="GG401" s="101">
        <f t="shared" si="287"/>
        <v>1</v>
      </c>
      <c r="GH401" s="101">
        <f t="shared" si="288"/>
        <v>35</v>
      </c>
      <c r="GI401" s="101">
        <f t="shared" si="289"/>
        <v>0</v>
      </c>
      <c r="GJ401" s="101">
        <f t="shared" si="290"/>
        <v>1</v>
      </c>
      <c r="GK401" s="101">
        <f t="shared" si="291"/>
        <v>8</v>
      </c>
      <c r="GL401" s="101">
        <f t="shared" si="292"/>
        <v>2.12E-2</v>
      </c>
      <c r="GM401" s="101">
        <f t="shared" si="293"/>
        <v>1</v>
      </c>
      <c r="GN401" s="101">
        <f t="shared" si="294"/>
        <v>17</v>
      </c>
      <c r="GO401" s="101">
        <f t="shared" si="295"/>
        <v>8.4699999999999998E-2</v>
      </c>
      <c r="GP401" s="101">
        <f t="shared" si="296"/>
        <v>1</v>
      </c>
      <c r="GQ401" s="101">
        <f t="shared" si="297"/>
        <v>35</v>
      </c>
    </row>
    <row r="402" spans="175:199" ht="16.5" x14ac:dyDescent="0.2">
      <c r="FS402" s="101">
        <v>397</v>
      </c>
      <c r="FT402" s="101">
        <f t="shared" si="282"/>
        <v>69</v>
      </c>
      <c r="FU402" s="101">
        <f t="shared" si="298"/>
        <v>5</v>
      </c>
      <c r="FV402" s="14">
        <f t="shared" si="299"/>
        <v>5</v>
      </c>
      <c r="FW402" s="101" t="str">
        <f t="shared" si="283"/>
        <v>项羽专属武器-魂珠-8 6级</v>
      </c>
      <c r="FX402" s="101">
        <f t="shared" si="284"/>
        <v>8</v>
      </c>
      <c r="FY402" s="101">
        <f t="shared" si="285"/>
        <v>6</v>
      </c>
      <c r="FZ402" s="101" t="str">
        <f t="shared" si="300"/>
        <v>金币</v>
      </c>
      <c r="GA402" s="139">
        <f>IF($FY402&gt;0,IF(INDEX($EM$6:$EM$77,$FT402)&gt;=GA$3,ROUND(INDEX(EO$6:EO$77,$FT402)*INDEX(卡牌消耗!$B$8:$F$8,FV402)/5,0)*5,""),"")</f>
        <v>25160</v>
      </c>
      <c r="GB402" s="101" t="str">
        <f t="shared" si="301"/>
        <v>专属强化石4</v>
      </c>
      <c r="GC402" s="101">
        <f t="shared" si="302"/>
        <v>18</v>
      </c>
      <c r="GD402" s="101" t="str">
        <f t="shared" si="303"/>
        <v/>
      </c>
      <c r="GE402" s="101" t="str">
        <f t="shared" si="304"/>
        <v/>
      </c>
      <c r="GF402" s="101">
        <f t="shared" si="286"/>
        <v>0.03</v>
      </c>
      <c r="GG402" s="101">
        <f t="shared" si="287"/>
        <v>1</v>
      </c>
      <c r="GH402" s="101">
        <f t="shared" si="288"/>
        <v>48</v>
      </c>
      <c r="GI402" s="101">
        <f t="shared" si="289"/>
        <v>0</v>
      </c>
      <c r="GJ402" s="101">
        <f t="shared" si="290"/>
        <v>1</v>
      </c>
      <c r="GK402" s="101">
        <f t="shared" si="291"/>
        <v>11</v>
      </c>
      <c r="GL402" s="101">
        <f t="shared" si="292"/>
        <v>1.5599999999999999E-2</v>
      </c>
      <c r="GM402" s="101">
        <f t="shared" si="293"/>
        <v>1</v>
      </c>
      <c r="GN402" s="101">
        <f t="shared" si="294"/>
        <v>22</v>
      </c>
      <c r="GO402" s="101">
        <f t="shared" si="295"/>
        <v>6.2600000000000003E-2</v>
      </c>
      <c r="GP402" s="101">
        <f t="shared" si="296"/>
        <v>1</v>
      </c>
      <c r="GQ402" s="101">
        <f t="shared" si="297"/>
        <v>48</v>
      </c>
    </row>
    <row r="403" spans="175:199" ht="16.5" x14ac:dyDescent="0.2">
      <c r="FS403" s="101">
        <v>398</v>
      </c>
      <c r="FT403" s="101">
        <f t="shared" si="282"/>
        <v>70</v>
      </c>
      <c r="FU403" s="101">
        <f t="shared" si="298"/>
        <v>5</v>
      </c>
      <c r="FV403" s="14">
        <f t="shared" si="299"/>
        <v>5</v>
      </c>
      <c r="FW403" s="101" t="str">
        <f t="shared" si="283"/>
        <v>项羽专属武器-魂珠-8 7级</v>
      </c>
      <c r="FX403" s="101">
        <f t="shared" si="284"/>
        <v>8</v>
      </c>
      <c r="FY403" s="101">
        <f t="shared" si="285"/>
        <v>7</v>
      </c>
      <c r="FZ403" s="101" t="str">
        <f t="shared" si="300"/>
        <v>金币</v>
      </c>
      <c r="GA403" s="139">
        <f>IF($FY403&gt;0,IF(INDEX($EM$6:$EM$77,$FT403)&gt;=GA$3,ROUND(INDEX(EO$6:EO$77,$FT403)*INDEX(卡牌消耗!$B$8:$F$8,FV403)/5,0)*5,""),"")</f>
        <v>35030</v>
      </c>
      <c r="GB403" s="101" t="str">
        <f t="shared" si="301"/>
        <v>专属强化石4</v>
      </c>
      <c r="GC403" s="101">
        <f t="shared" si="302"/>
        <v>25</v>
      </c>
      <c r="GD403" s="101" t="str">
        <f t="shared" si="303"/>
        <v/>
      </c>
      <c r="GE403" s="101" t="str">
        <f t="shared" si="304"/>
        <v/>
      </c>
      <c r="GF403" s="101">
        <f t="shared" si="286"/>
        <v>0.03</v>
      </c>
      <c r="GG403" s="101">
        <f t="shared" si="287"/>
        <v>1</v>
      </c>
      <c r="GH403" s="101">
        <f t="shared" si="288"/>
        <v>56</v>
      </c>
      <c r="GI403" s="101">
        <f t="shared" si="289"/>
        <v>0</v>
      </c>
      <c r="GJ403" s="101">
        <f t="shared" si="290"/>
        <v>1</v>
      </c>
      <c r="GK403" s="101">
        <f t="shared" si="291"/>
        <v>13</v>
      </c>
      <c r="GL403" s="101">
        <f t="shared" si="292"/>
        <v>1.35E-2</v>
      </c>
      <c r="GM403" s="101">
        <f t="shared" si="293"/>
        <v>1</v>
      </c>
      <c r="GN403" s="101">
        <f t="shared" si="294"/>
        <v>26</v>
      </c>
      <c r="GO403" s="101">
        <f t="shared" si="295"/>
        <v>5.3800000000000001E-2</v>
      </c>
      <c r="GP403" s="101">
        <f t="shared" si="296"/>
        <v>1</v>
      </c>
      <c r="GQ403" s="101">
        <f t="shared" si="297"/>
        <v>56</v>
      </c>
    </row>
    <row r="404" spans="175:199" ht="16.5" x14ac:dyDescent="0.2">
      <c r="FS404" s="101">
        <v>399</v>
      </c>
      <c r="FT404" s="101">
        <f t="shared" si="282"/>
        <v>71</v>
      </c>
      <c r="FU404" s="101">
        <f t="shared" si="298"/>
        <v>5</v>
      </c>
      <c r="FV404" s="14">
        <f t="shared" si="299"/>
        <v>5</v>
      </c>
      <c r="FW404" s="101" t="str">
        <f t="shared" si="283"/>
        <v>项羽专属武器-魂珠-8 8级</v>
      </c>
      <c r="FX404" s="101">
        <f t="shared" si="284"/>
        <v>8</v>
      </c>
      <c r="FY404" s="101">
        <f t="shared" si="285"/>
        <v>8</v>
      </c>
      <c r="FZ404" s="101" t="str">
        <f t="shared" si="300"/>
        <v>金币</v>
      </c>
      <c r="GA404" s="139">
        <f>IF($FY404&gt;0,IF(INDEX($EM$6:$EM$77,$FT404)&gt;=GA$3,ROUND(INDEX(EO$6:EO$77,$FT404)*INDEX(卡牌消耗!$B$8:$F$8,FV404)/5,0)*5,""),"")</f>
        <v>41995</v>
      </c>
      <c r="GB404" s="101" t="str">
        <f t="shared" si="301"/>
        <v>专属强化石4</v>
      </c>
      <c r="GC404" s="101">
        <f t="shared" si="302"/>
        <v>30</v>
      </c>
      <c r="GD404" s="101" t="str">
        <f t="shared" si="303"/>
        <v/>
      </c>
      <c r="GE404" s="101" t="str">
        <f t="shared" si="304"/>
        <v/>
      </c>
      <c r="GF404" s="101">
        <f t="shared" si="286"/>
        <v>0.02</v>
      </c>
      <c r="GG404" s="101">
        <f t="shared" si="287"/>
        <v>1</v>
      </c>
      <c r="GH404" s="101">
        <f t="shared" si="288"/>
        <v>75</v>
      </c>
      <c r="GI404" s="101">
        <f t="shared" si="289"/>
        <v>0</v>
      </c>
      <c r="GJ404" s="101">
        <f t="shared" si="290"/>
        <v>1</v>
      </c>
      <c r="GK404" s="101">
        <f t="shared" si="291"/>
        <v>18</v>
      </c>
      <c r="GL404" s="101">
        <f t="shared" si="292"/>
        <v>0.01</v>
      </c>
      <c r="GM404" s="101">
        <f t="shared" si="293"/>
        <v>1</v>
      </c>
      <c r="GN404" s="101">
        <f t="shared" si="294"/>
        <v>35</v>
      </c>
      <c r="GO404" s="101">
        <f t="shared" si="295"/>
        <v>3.9899999999999998E-2</v>
      </c>
      <c r="GP404" s="101">
        <f t="shared" si="296"/>
        <v>1</v>
      </c>
      <c r="GQ404" s="101">
        <f t="shared" si="297"/>
        <v>75</v>
      </c>
    </row>
    <row r="405" spans="175:199" ht="16.5" x14ac:dyDescent="0.2">
      <c r="FS405" s="101">
        <v>400</v>
      </c>
      <c r="FT405" s="101">
        <f t="shared" si="282"/>
        <v>72</v>
      </c>
      <c r="FU405" s="101">
        <f t="shared" si="298"/>
        <v>5</v>
      </c>
      <c r="FV405" s="14">
        <f t="shared" si="299"/>
        <v>5</v>
      </c>
      <c r="FW405" s="101" t="str">
        <f t="shared" si="283"/>
        <v>项羽专属武器-魂珠-8 9级</v>
      </c>
      <c r="FX405" s="101">
        <f t="shared" si="284"/>
        <v>8</v>
      </c>
      <c r="FY405" s="101">
        <f t="shared" si="285"/>
        <v>9</v>
      </c>
      <c r="FZ405" s="101" t="str">
        <f t="shared" si="300"/>
        <v>金币</v>
      </c>
      <c r="GA405" s="139">
        <f>IF($FY405&gt;0,IF(INDEX($EM$6:$EM$77,$FT405)&gt;=GA$3,ROUND(INDEX(EO$6:EO$77,$FT405)*INDEX(卡牌消耗!$B$8:$F$8,FV405)/5,0)*5,""),"")</f>
        <v>42010</v>
      </c>
      <c r="GB405" s="101" t="str">
        <f t="shared" si="301"/>
        <v>专属强化石4</v>
      </c>
      <c r="GC405" s="101">
        <f t="shared" si="302"/>
        <v>30</v>
      </c>
      <c r="GD405" s="101" t="str">
        <f t="shared" si="303"/>
        <v/>
      </c>
      <c r="GE405" s="101" t="str">
        <f t="shared" si="304"/>
        <v/>
      </c>
      <c r="GF405" s="101">
        <f t="shared" si="286"/>
        <v>0.01</v>
      </c>
      <c r="GG405" s="101">
        <f t="shared" si="287"/>
        <v>1</v>
      </c>
      <c r="GH405" s="101">
        <f t="shared" si="288"/>
        <v>122</v>
      </c>
      <c r="GI405" s="101">
        <f t="shared" si="289"/>
        <v>0</v>
      </c>
      <c r="GJ405" s="101">
        <f t="shared" si="290"/>
        <v>1</v>
      </c>
      <c r="GK405" s="101">
        <f t="shared" si="291"/>
        <v>28</v>
      </c>
      <c r="GL405" s="101">
        <f t="shared" si="292"/>
        <v>6.1999999999999998E-3</v>
      </c>
      <c r="GM405" s="101">
        <f t="shared" si="293"/>
        <v>1</v>
      </c>
      <c r="GN405" s="101">
        <f t="shared" si="294"/>
        <v>57</v>
      </c>
      <c r="GO405" s="101">
        <f t="shared" si="295"/>
        <v>2.47E-2</v>
      </c>
      <c r="GP405" s="101">
        <f t="shared" si="296"/>
        <v>1</v>
      </c>
      <c r="GQ405" s="101">
        <f t="shared" si="297"/>
        <v>122</v>
      </c>
    </row>
    <row r="406" spans="175:199" ht="16.5" x14ac:dyDescent="0.2">
      <c r="FS406" s="101">
        <v>401</v>
      </c>
      <c r="FT406" s="101">
        <f t="shared" ref="FT406:FT469" si="305">IF(FY406&gt;0,(FX406-1)*9+FY406,0)</f>
        <v>0</v>
      </c>
      <c r="FU406" s="101">
        <f t="shared" si="298"/>
        <v>6</v>
      </c>
      <c r="FV406" s="14">
        <f t="shared" si="299"/>
        <v>4</v>
      </c>
      <c r="FW406" s="101" t="str">
        <f t="shared" ref="FW406:FW469" si="306">INDEX($FN$6:$FN$26,FU406)&amp;"专属武器-魂珠-"&amp;FX406&amp;" "&amp;FY406&amp;"级"</f>
        <v>天使缇娜专属武器-魂珠-1 0级</v>
      </c>
      <c r="FX406" s="101">
        <f t="shared" ref="FX406:FX469" si="307">INT((FS406-(FU406-1)*80-1)/10)+1</f>
        <v>1</v>
      </c>
      <c r="FY406" s="101">
        <f t="shared" ref="FY406:FY469" si="308">FS406-(FU406-1)*80-(FX406-1)*10-1</f>
        <v>0</v>
      </c>
      <c r="FZ406" s="101" t="str">
        <f t="shared" si="300"/>
        <v/>
      </c>
      <c r="GA406" s="139" t="str">
        <f>IF($FY406&gt;0,IF(INDEX($EM$6:$EM$77,$FT406)&gt;=GA$3,ROUND(INDEX(EO$6:EO$77,$FT406)*INDEX(卡牌消耗!$B$8:$F$8,FV406)/5,0)*5,""),"")</f>
        <v/>
      </c>
      <c r="GB406" s="101" t="str">
        <f t="shared" si="301"/>
        <v/>
      </c>
      <c r="GC406" s="101" t="str">
        <f t="shared" si="302"/>
        <v/>
      </c>
      <c r="GD406" s="101" t="str">
        <f t="shared" si="303"/>
        <v/>
      </c>
      <c r="GE406" s="101" t="str">
        <f t="shared" si="304"/>
        <v/>
      </c>
      <c r="GF406" s="101" t="str">
        <f t="shared" ref="GF406:GF469" si="309">IF($FY406&gt;0,INDEX(ET$6:ET$77,$FT406),"")</f>
        <v/>
      </c>
      <c r="GG406" s="101" t="str">
        <f t="shared" ref="GG406:GG469" si="310">IF($FY406&gt;0,INDEX(EU$6:EU$77,$FT406),"")</f>
        <v/>
      </c>
      <c r="GH406" s="101" t="str">
        <f t="shared" ref="GH406:GH469" si="311">IF($FY406&gt;0,INDEX(EV$6:EV$77,$FT406),"")</f>
        <v/>
      </c>
      <c r="GI406" s="101" t="str">
        <f t="shared" ref="GI406:GI469" si="312">IF($FY406&gt;0,INDEX(FA$6:FA$77,$FT406),"")</f>
        <v/>
      </c>
      <c r="GJ406" s="101" t="str">
        <f t="shared" ref="GJ406:GJ469" si="313">IF($FY406&gt;0,INDEX(FB$6:FB$77,$FT406),"")</f>
        <v/>
      </c>
      <c r="GK406" s="101" t="str">
        <f t="shared" ref="GK406:GK469" si="314">IF($FY406&gt;0,INDEX(FC$6:FC$77,$FT406),"")</f>
        <v/>
      </c>
      <c r="GL406" s="101" t="str">
        <f t="shared" ref="GL406:GL469" si="315">IF($FY406&gt;0,INDEX(FD$6:FD$77,$FT406),"")</f>
        <v/>
      </c>
      <c r="GM406" s="101" t="str">
        <f t="shared" ref="GM406:GM469" si="316">IF($FY406&gt;0,INDEX(FE$6:FE$77,$FT406),"")</f>
        <v/>
      </c>
      <c r="GN406" s="101" t="str">
        <f t="shared" ref="GN406:GN469" si="317">IF($FY406&gt;0,INDEX(FF$6:FF$77,$FT406),"")</f>
        <v/>
      </c>
      <c r="GO406" s="101" t="str">
        <f t="shared" ref="GO406:GO469" si="318">IF($FY406&gt;0,INDEX(FG$6:FG$77,$FT406),"")</f>
        <v/>
      </c>
      <c r="GP406" s="101" t="str">
        <f t="shared" ref="GP406:GP469" si="319">IF($FY406&gt;0,INDEX(FH$6:FH$77,$FT406),"")</f>
        <v/>
      </c>
      <c r="GQ406" s="101" t="str">
        <f t="shared" ref="GQ406:GQ469" si="320">IF($FY406&gt;0,INDEX(FI$6:FI$77,$FT406),"")</f>
        <v/>
      </c>
    </row>
    <row r="407" spans="175:199" ht="16.5" x14ac:dyDescent="0.2">
      <c r="FS407" s="101">
        <v>402</v>
      </c>
      <c r="FT407" s="101">
        <f t="shared" si="305"/>
        <v>1</v>
      </c>
      <c r="FU407" s="101">
        <f t="shared" si="298"/>
        <v>6</v>
      </c>
      <c r="FV407" s="14">
        <f t="shared" si="299"/>
        <v>4</v>
      </c>
      <c r="FW407" s="101" t="str">
        <f t="shared" si="306"/>
        <v>天使缇娜专属武器-魂珠-1 1级</v>
      </c>
      <c r="FX407" s="101">
        <f t="shared" si="307"/>
        <v>1</v>
      </c>
      <c r="FY407" s="101">
        <f t="shared" si="308"/>
        <v>1</v>
      </c>
      <c r="FZ407" s="101" t="str">
        <f t="shared" si="300"/>
        <v>金币</v>
      </c>
      <c r="GA407" s="139">
        <f>IF($FY407&gt;0,IF(INDEX($EM$6:$EM$77,$FT407)&gt;=GA$3,ROUND(INDEX(EO$6:EO$77,$FT407)*INDEX(卡牌消耗!$B$8:$F$8,FV407)/5,0)*5,""),"")</f>
        <v>145</v>
      </c>
      <c r="GB407" s="101" t="str">
        <f t="shared" si="301"/>
        <v>专属强化石1</v>
      </c>
      <c r="GC407" s="101">
        <f t="shared" si="302"/>
        <v>1</v>
      </c>
      <c r="GD407" s="101" t="str">
        <f t="shared" si="303"/>
        <v/>
      </c>
      <c r="GE407" s="101" t="str">
        <f t="shared" si="304"/>
        <v/>
      </c>
      <c r="GF407" s="101">
        <f t="shared" si="309"/>
        <v>0.32</v>
      </c>
      <c r="GG407" s="101">
        <f t="shared" si="310"/>
        <v>1</v>
      </c>
      <c r="GH407" s="101">
        <f t="shared" si="311"/>
        <v>5</v>
      </c>
      <c r="GI407" s="101">
        <f t="shared" si="312"/>
        <v>0</v>
      </c>
      <c r="GJ407" s="101">
        <f t="shared" si="313"/>
        <v>1</v>
      </c>
      <c r="GK407" s="101">
        <f t="shared" si="314"/>
        <v>1</v>
      </c>
      <c r="GL407" s="101">
        <f t="shared" si="315"/>
        <v>0.1595</v>
      </c>
      <c r="GM407" s="101">
        <f t="shared" si="316"/>
        <v>1</v>
      </c>
      <c r="GN407" s="101">
        <f t="shared" si="317"/>
        <v>2</v>
      </c>
      <c r="GO407" s="101">
        <f t="shared" si="318"/>
        <v>0.63819999999999999</v>
      </c>
      <c r="GP407" s="101">
        <f t="shared" si="319"/>
        <v>1</v>
      </c>
      <c r="GQ407" s="101">
        <f t="shared" si="320"/>
        <v>5</v>
      </c>
    </row>
    <row r="408" spans="175:199" ht="16.5" x14ac:dyDescent="0.2">
      <c r="FS408" s="101">
        <v>403</v>
      </c>
      <c r="FT408" s="101">
        <f t="shared" si="305"/>
        <v>2</v>
      </c>
      <c r="FU408" s="101">
        <f t="shared" si="298"/>
        <v>6</v>
      </c>
      <c r="FV408" s="14">
        <f t="shared" si="299"/>
        <v>4</v>
      </c>
      <c r="FW408" s="101" t="str">
        <f t="shared" si="306"/>
        <v>天使缇娜专属武器-魂珠-1 2级</v>
      </c>
      <c r="FX408" s="101">
        <f t="shared" si="307"/>
        <v>1</v>
      </c>
      <c r="FY408" s="101">
        <f t="shared" si="308"/>
        <v>2</v>
      </c>
      <c r="FZ408" s="101" t="str">
        <f t="shared" si="300"/>
        <v>金币</v>
      </c>
      <c r="GA408" s="139">
        <f>IF($FY408&gt;0,IF(INDEX($EM$6:$EM$77,$FT408)&gt;=GA$3,ROUND(INDEX(EO$6:EO$77,$FT408)*INDEX(卡牌消耗!$B$8:$F$8,FV408)/5,0)*5,""),"")</f>
        <v>215</v>
      </c>
      <c r="GB408" s="101" t="str">
        <f t="shared" si="301"/>
        <v>专属强化石1</v>
      </c>
      <c r="GC408" s="101">
        <f t="shared" si="302"/>
        <v>2</v>
      </c>
      <c r="GD408" s="101" t="str">
        <f t="shared" si="303"/>
        <v/>
      </c>
      <c r="GE408" s="101" t="str">
        <f t="shared" si="304"/>
        <v/>
      </c>
      <c r="GF408" s="101">
        <f t="shared" si="309"/>
        <v>0.32</v>
      </c>
      <c r="GG408" s="101">
        <f t="shared" si="310"/>
        <v>1</v>
      </c>
      <c r="GH408" s="101">
        <f t="shared" si="311"/>
        <v>5</v>
      </c>
      <c r="GI408" s="101">
        <f t="shared" si="312"/>
        <v>0</v>
      </c>
      <c r="GJ408" s="101">
        <f t="shared" si="313"/>
        <v>1</v>
      </c>
      <c r="GK408" s="101">
        <f t="shared" si="314"/>
        <v>1</v>
      </c>
      <c r="GL408" s="101">
        <f t="shared" si="315"/>
        <v>0.1595</v>
      </c>
      <c r="GM408" s="101">
        <f t="shared" si="316"/>
        <v>1</v>
      </c>
      <c r="GN408" s="101">
        <f t="shared" si="317"/>
        <v>2</v>
      </c>
      <c r="GO408" s="101">
        <f t="shared" si="318"/>
        <v>0.63819999999999999</v>
      </c>
      <c r="GP408" s="101">
        <f t="shared" si="319"/>
        <v>1</v>
      </c>
      <c r="GQ408" s="101">
        <f t="shared" si="320"/>
        <v>5</v>
      </c>
    </row>
    <row r="409" spans="175:199" ht="16.5" x14ac:dyDescent="0.2">
      <c r="FS409" s="101">
        <v>404</v>
      </c>
      <c r="FT409" s="101">
        <f t="shared" si="305"/>
        <v>3</v>
      </c>
      <c r="FU409" s="101">
        <f t="shared" si="298"/>
        <v>6</v>
      </c>
      <c r="FV409" s="14">
        <f t="shared" si="299"/>
        <v>4</v>
      </c>
      <c r="FW409" s="101" t="str">
        <f t="shared" si="306"/>
        <v>天使缇娜专属武器-魂珠-1 3级</v>
      </c>
      <c r="FX409" s="101">
        <f t="shared" si="307"/>
        <v>1</v>
      </c>
      <c r="FY409" s="101">
        <f t="shared" si="308"/>
        <v>3</v>
      </c>
      <c r="FZ409" s="101" t="str">
        <f t="shared" si="300"/>
        <v>金币</v>
      </c>
      <c r="GA409" s="139">
        <f>IF($FY409&gt;0,IF(INDEX($EM$6:$EM$77,$FT409)&gt;=GA$3,ROUND(INDEX(EO$6:EO$77,$FT409)*INDEX(卡牌消耗!$B$8:$F$8,FV409)/5,0)*5,""),"")</f>
        <v>355</v>
      </c>
      <c r="GB409" s="101" t="str">
        <f t="shared" si="301"/>
        <v>专属强化石1</v>
      </c>
      <c r="GC409" s="101">
        <f t="shared" si="302"/>
        <v>3</v>
      </c>
      <c r="GD409" s="101" t="str">
        <f t="shared" si="303"/>
        <v/>
      </c>
      <c r="GE409" s="101" t="str">
        <f t="shared" si="304"/>
        <v/>
      </c>
      <c r="GF409" s="101">
        <f t="shared" si="309"/>
        <v>0.32</v>
      </c>
      <c r="GG409" s="101">
        <f t="shared" si="310"/>
        <v>1</v>
      </c>
      <c r="GH409" s="101">
        <f t="shared" si="311"/>
        <v>5</v>
      </c>
      <c r="GI409" s="101">
        <f t="shared" si="312"/>
        <v>0</v>
      </c>
      <c r="GJ409" s="101">
        <f t="shared" si="313"/>
        <v>1</v>
      </c>
      <c r="GK409" s="101">
        <f t="shared" si="314"/>
        <v>1</v>
      </c>
      <c r="GL409" s="101">
        <f t="shared" si="315"/>
        <v>0.1595</v>
      </c>
      <c r="GM409" s="101">
        <f t="shared" si="316"/>
        <v>1</v>
      </c>
      <c r="GN409" s="101">
        <f t="shared" si="317"/>
        <v>2</v>
      </c>
      <c r="GO409" s="101">
        <f t="shared" si="318"/>
        <v>0.63819999999999999</v>
      </c>
      <c r="GP409" s="101">
        <f t="shared" si="319"/>
        <v>1</v>
      </c>
      <c r="GQ409" s="101">
        <f t="shared" si="320"/>
        <v>5</v>
      </c>
    </row>
    <row r="410" spans="175:199" ht="16.5" x14ac:dyDescent="0.2">
      <c r="FS410" s="101">
        <v>405</v>
      </c>
      <c r="FT410" s="101">
        <f t="shared" si="305"/>
        <v>4</v>
      </c>
      <c r="FU410" s="101">
        <f t="shared" si="298"/>
        <v>6</v>
      </c>
      <c r="FV410" s="14">
        <f t="shared" si="299"/>
        <v>4</v>
      </c>
      <c r="FW410" s="101" t="str">
        <f t="shared" si="306"/>
        <v>天使缇娜专属武器-魂珠-1 4级</v>
      </c>
      <c r="FX410" s="101">
        <f t="shared" si="307"/>
        <v>1</v>
      </c>
      <c r="FY410" s="101">
        <f t="shared" si="308"/>
        <v>4</v>
      </c>
      <c r="FZ410" s="101" t="str">
        <f t="shared" si="300"/>
        <v>金币</v>
      </c>
      <c r="GA410" s="139">
        <f>IF($FY410&gt;0,IF(INDEX($EM$6:$EM$77,$FT410)&gt;=GA$3,ROUND(INDEX(EO$6:EO$77,$FT410)*INDEX(卡牌消耗!$B$8:$F$8,FV410)/5,0)*5,""),"")</f>
        <v>455</v>
      </c>
      <c r="GB410" s="101" t="str">
        <f t="shared" si="301"/>
        <v>专属强化石1</v>
      </c>
      <c r="GC410" s="101">
        <f t="shared" si="302"/>
        <v>4</v>
      </c>
      <c r="GD410" s="101" t="str">
        <f t="shared" si="303"/>
        <v/>
      </c>
      <c r="GE410" s="101" t="str">
        <f t="shared" si="304"/>
        <v/>
      </c>
      <c r="GF410" s="101">
        <f t="shared" si="309"/>
        <v>0.26</v>
      </c>
      <c r="GG410" s="101">
        <f t="shared" si="310"/>
        <v>1</v>
      </c>
      <c r="GH410" s="101">
        <f t="shared" si="311"/>
        <v>6</v>
      </c>
      <c r="GI410" s="101">
        <f t="shared" si="312"/>
        <v>0</v>
      </c>
      <c r="GJ410" s="101">
        <f t="shared" si="313"/>
        <v>1</v>
      </c>
      <c r="GK410" s="101">
        <f t="shared" si="314"/>
        <v>1</v>
      </c>
      <c r="GL410" s="101">
        <f t="shared" si="315"/>
        <v>0.12759999999999999</v>
      </c>
      <c r="GM410" s="101">
        <f t="shared" si="316"/>
        <v>1</v>
      </c>
      <c r="GN410" s="101">
        <f t="shared" si="317"/>
        <v>3</v>
      </c>
      <c r="GO410" s="101">
        <f t="shared" si="318"/>
        <v>0.51060000000000005</v>
      </c>
      <c r="GP410" s="101">
        <f t="shared" si="319"/>
        <v>1</v>
      </c>
      <c r="GQ410" s="101">
        <f t="shared" si="320"/>
        <v>6</v>
      </c>
    </row>
    <row r="411" spans="175:199" ht="16.5" x14ac:dyDescent="0.2">
      <c r="FS411" s="101">
        <v>406</v>
      </c>
      <c r="FT411" s="101">
        <f t="shared" si="305"/>
        <v>5</v>
      </c>
      <c r="FU411" s="101">
        <f t="shared" si="298"/>
        <v>6</v>
      </c>
      <c r="FV411" s="14">
        <f t="shared" si="299"/>
        <v>4</v>
      </c>
      <c r="FW411" s="101" t="str">
        <f t="shared" si="306"/>
        <v>天使缇娜专属武器-魂珠-1 5级</v>
      </c>
      <c r="FX411" s="101">
        <f t="shared" si="307"/>
        <v>1</v>
      </c>
      <c r="FY411" s="101">
        <f t="shared" si="308"/>
        <v>5</v>
      </c>
      <c r="FZ411" s="101" t="str">
        <f t="shared" si="300"/>
        <v>金币</v>
      </c>
      <c r="GA411" s="139">
        <f>IF($FY411&gt;0,IF(INDEX($EM$6:$EM$77,$FT411)&gt;=GA$3,ROUND(INDEX(EO$6:EO$77,$FT411)*INDEX(卡牌消耗!$B$8:$F$8,FV411)/5,0)*5,""),"")</f>
        <v>580</v>
      </c>
      <c r="GB411" s="101" t="str">
        <f t="shared" si="301"/>
        <v>专属强化石1</v>
      </c>
      <c r="GC411" s="101">
        <f t="shared" si="302"/>
        <v>5</v>
      </c>
      <c r="GD411" s="101" t="str">
        <f t="shared" si="303"/>
        <v/>
      </c>
      <c r="GE411" s="101" t="str">
        <f t="shared" si="304"/>
        <v/>
      </c>
      <c r="GF411" s="101">
        <f t="shared" si="309"/>
        <v>0.2</v>
      </c>
      <c r="GG411" s="101">
        <f t="shared" si="310"/>
        <v>1</v>
      </c>
      <c r="GH411" s="101">
        <f t="shared" si="311"/>
        <v>8</v>
      </c>
      <c r="GI411" s="101">
        <f t="shared" si="312"/>
        <v>0</v>
      </c>
      <c r="GJ411" s="101">
        <f t="shared" si="313"/>
        <v>1</v>
      </c>
      <c r="GK411" s="101">
        <f t="shared" si="314"/>
        <v>2</v>
      </c>
      <c r="GL411" s="101">
        <f t="shared" si="315"/>
        <v>9.9699999999999997E-2</v>
      </c>
      <c r="GM411" s="101">
        <f t="shared" si="316"/>
        <v>1</v>
      </c>
      <c r="GN411" s="101">
        <f t="shared" si="317"/>
        <v>4</v>
      </c>
      <c r="GO411" s="101">
        <f t="shared" si="318"/>
        <v>0.39889999999999998</v>
      </c>
      <c r="GP411" s="101">
        <f t="shared" si="319"/>
        <v>1</v>
      </c>
      <c r="GQ411" s="101">
        <f t="shared" si="320"/>
        <v>8</v>
      </c>
    </row>
    <row r="412" spans="175:199" ht="16.5" x14ac:dyDescent="0.2">
      <c r="FS412" s="101">
        <v>407</v>
      </c>
      <c r="FT412" s="101">
        <f t="shared" si="305"/>
        <v>6</v>
      </c>
      <c r="FU412" s="101">
        <f t="shared" si="298"/>
        <v>6</v>
      </c>
      <c r="FV412" s="14">
        <f t="shared" si="299"/>
        <v>4</v>
      </c>
      <c r="FW412" s="101" t="str">
        <f t="shared" si="306"/>
        <v>天使缇娜专属武器-魂珠-1 6级</v>
      </c>
      <c r="FX412" s="101">
        <f t="shared" si="307"/>
        <v>1</v>
      </c>
      <c r="FY412" s="101">
        <f t="shared" si="308"/>
        <v>6</v>
      </c>
      <c r="FZ412" s="101" t="str">
        <f t="shared" si="300"/>
        <v>金币</v>
      </c>
      <c r="GA412" s="139">
        <f>IF($FY412&gt;0,IF(INDEX($EM$6:$EM$77,$FT412)&gt;=GA$3,ROUND(INDEX(EO$6:EO$77,$FT412)*INDEX(卡牌消耗!$B$8:$F$8,FV412)/5,0)*5,""),"")</f>
        <v>690</v>
      </c>
      <c r="GB412" s="101" t="str">
        <f t="shared" si="301"/>
        <v>专属强化石1</v>
      </c>
      <c r="GC412" s="101">
        <f t="shared" si="302"/>
        <v>6</v>
      </c>
      <c r="GD412" s="101" t="str">
        <f t="shared" si="303"/>
        <v/>
      </c>
      <c r="GE412" s="101" t="str">
        <f t="shared" si="304"/>
        <v/>
      </c>
      <c r="GF412" s="101">
        <f t="shared" si="309"/>
        <v>0.15</v>
      </c>
      <c r="GG412" s="101">
        <f t="shared" si="310"/>
        <v>1</v>
      </c>
      <c r="GH412" s="101">
        <f t="shared" si="311"/>
        <v>10</v>
      </c>
      <c r="GI412" s="101">
        <f t="shared" si="312"/>
        <v>0</v>
      </c>
      <c r="GJ412" s="101">
        <f t="shared" si="313"/>
        <v>1</v>
      </c>
      <c r="GK412" s="101">
        <f t="shared" si="314"/>
        <v>2</v>
      </c>
      <c r="GL412" s="101">
        <f t="shared" si="315"/>
        <v>7.3599999999999999E-2</v>
      </c>
      <c r="GM412" s="101">
        <f t="shared" si="316"/>
        <v>1</v>
      </c>
      <c r="GN412" s="101">
        <f t="shared" si="317"/>
        <v>5</v>
      </c>
      <c r="GO412" s="101">
        <f t="shared" si="318"/>
        <v>0.29459999999999997</v>
      </c>
      <c r="GP412" s="101">
        <f t="shared" si="319"/>
        <v>1</v>
      </c>
      <c r="GQ412" s="101">
        <f t="shared" si="320"/>
        <v>10</v>
      </c>
    </row>
    <row r="413" spans="175:199" ht="16.5" x14ac:dyDescent="0.2">
      <c r="FS413" s="101">
        <v>408</v>
      </c>
      <c r="FT413" s="101">
        <f t="shared" si="305"/>
        <v>7</v>
      </c>
      <c r="FU413" s="101">
        <f t="shared" si="298"/>
        <v>6</v>
      </c>
      <c r="FV413" s="14">
        <f t="shared" si="299"/>
        <v>4</v>
      </c>
      <c r="FW413" s="101" t="str">
        <f t="shared" si="306"/>
        <v>天使缇娜专属武器-魂珠-1 7级</v>
      </c>
      <c r="FX413" s="101">
        <f t="shared" si="307"/>
        <v>1</v>
      </c>
      <c r="FY413" s="101">
        <f t="shared" si="308"/>
        <v>7</v>
      </c>
      <c r="FZ413" s="101" t="str">
        <f t="shared" si="300"/>
        <v>金币</v>
      </c>
      <c r="GA413" s="139">
        <f>IF($FY413&gt;0,IF(INDEX($EM$6:$EM$77,$FT413)&gt;=GA$3,ROUND(INDEX(EO$6:EO$77,$FT413)*INDEX(卡牌消耗!$B$8:$F$8,FV413)/5,0)*5,""),"")</f>
        <v>805</v>
      </c>
      <c r="GB413" s="101" t="str">
        <f t="shared" si="301"/>
        <v>专属强化石1</v>
      </c>
      <c r="GC413" s="101">
        <f t="shared" si="302"/>
        <v>7</v>
      </c>
      <c r="GD413" s="101" t="str">
        <f t="shared" si="303"/>
        <v/>
      </c>
      <c r="GE413" s="101" t="str">
        <f t="shared" si="304"/>
        <v/>
      </c>
      <c r="GF413" s="101">
        <f t="shared" si="309"/>
        <v>0.11</v>
      </c>
      <c r="GG413" s="101">
        <f t="shared" si="310"/>
        <v>1</v>
      </c>
      <c r="GH413" s="101">
        <f t="shared" si="311"/>
        <v>14</v>
      </c>
      <c r="GI413" s="101">
        <f t="shared" si="312"/>
        <v>0</v>
      </c>
      <c r="GJ413" s="101">
        <f t="shared" si="313"/>
        <v>1</v>
      </c>
      <c r="GK413" s="101">
        <f t="shared" si="314"/>
        <v>3</v>
      </c>
      <c r="GL413" s="101">
        <f t="shared" si="315"/>
        <v>5.3199999999999997E-2</v>
      </c>
      <c r="GM413" s="101">
        <f t="shared" si="316"/>
        <v>1</v>
      </c>
      <c r="GN413" s="101">
        <f t="shared" si="317"/>
        <v>7</v>
      </c>
      <c r="GO413" s="101">
        <f t="shared" si="318"/>
        <v>0.2127</v>
      </c>
      <c r="GP413" s="101">
        <f t="shared" si="319"/>
        <v>1</v>
      </c>
      <c r="GQ413" s="101">
        <f t="shared" si="320"/>
        <v>14</v>
      </c>
    </row>
    <row r="414" spans="175:199" ht="16.5" x14ac:dyDescent="0.2">
      <c r="FS414" s="101">
        <v>409</v>
      </c>
      <c r="FT414" s="101">
        <f t="shared" si="305"/>
        <v>8</v>
      </c>
      <c r="FU414" s="101">
        <f t="shared" si="298"/>
        <v>6</v>
      </c>
      <c r="FV414" s="14">
        <f t="shared" si="299"/>
        <v>4</v>
      </c>
      <c r="FW414" s="101" t="str">
        <f t="shared" si="306"/>
        <v>天使缇娜专属武器-魂珠-1 8级</v>
      </c>
      <c r="FX414" s="101">
        <f t="shared" si="307"/>
        <v>1</v>
      </c>
      <c r="FY414" s="101">
        <f t="shared" si="308"/>
        <v>8</v>
      </c>
      <c r="FZ414" s="101" t="str">
        <f t="shared" si="300"/>
        <v>金币</v>
      </c>
      <c r="GA414" s="139">
        <f>IF($FY414&gt;0,IF(INDEX($EM$6:$EM$77,$FT414)&gt;=GA$3,ROUND(INDEX(EO$6:EO$77,$FT414)*INDEX(卡牌消耗!$B$8:$F$8,FV414)/5,0)*5,""),"")</f>
        <v>920</v>
      </c>
      <c r="GB414" s="101" t="str">
        <f t="shared" si="301"/>
        <v>专属强化石1</v>
      </c>
      <c r="GC414" s="101">
        <f t="shared" si="302"/>
        <v>8</v>
      </c>
      <c r="GD414" s="101" t="str">
        <f t="shared" si="303"/>
        <v/>
      </c>
      <c r="GE414" s="101" t="str">
        <f t="shared" si="304"/>
        <v/>
      </c>
      <c r="GF414" s="101">
        <f t="shared" si="309"/>
        <v>0.08</v>
      </c>
      <c r="GG414" s="101">
        <f t="shared" si="310"/>
        <v>1</v>
      </c>
      <c r="GH414" s="101">
        <f t="shared" si="311"/>
        <v>20</v>
      </c>
      <c r="GI414" s="101">
        <f t="shared" si="312"/>
        <v>0</v>
      </c>
      <c r="GJ414" s="101">
        <f t="shared" si="313"/>
        <v>1</v>
      </c>
      <c r="GK414" s="101">
        <f t="shared" si="314"/>
        <v>5</v>
      </c>
      <c r="GL414" s="101">
        <f t="shared" si="315"/>
        <v>3.7499999999999999E-2</v>
      </c>
      <c r="GM414" s="101">
        <f t="shared" si="316"/>
        <v>1</v>
      </c>
      <c r="GN414" s="101">
        <f t="shared" si="317"/>
        <v>9</v>
      </c>
      <c r="GO414" s="101">
        <f t="shared" si="318"/>
        <v>0.1502</v>
      </c>
      <c r="GP414" s="101">
        <f t="shared" si="319"/>
        <v>1</v>
      </c>
      <c r="GQ414" s="101">
        <f t="shared" si="320"/>
        <v>20</v>
      </c>
    </row>
    <row r="415" spans="175:199" ht="16.5" x14ac:dyDescent="0.2">
      <c r="FS415" s="101">
        <v>410</v>
      </c>
      <c r="FT415" s="101">
        <f t="shared" si="305"/>
        <v>9</v>
      </c>
      <c r="FU415" s="101">
        <f t="shared" si="298"/>
        <v>6</v>
      </c>
      <c r="FV415" s="14">
        <f t="shared" si="299"/>
        <v>4</v>
      </c>
      <c r="FW415" s="101" t="str">
        <f t="shared" si="306"/>
        <v>天使缇娜专属武器-魂珠-1 9级</v>
      </c>
      <c r="FX415" s="101">
        <f t="shared" si="307"/>
        <v>1</v>
      </c>
      <c r="FY415" s="101">
        <f t="shared" si="308"/>
        <v>9</v>
      </c>
      <c r="FZ415" s="101" t="str">
        <f t="shared" si="300"/>
        <v>金币</v>
      </c>
      <c r="GA415" s="139">
        <f>IF($FY415&gt;0,IF(INDEX($EM$6:$EM$77,$FT415)&gt;=GA$3,ROUND(INDEX(EO$6:EO$77,$FT415)*INDEX(卡牌消耗!$B$8:$F$8,FV415)/5,0)*5,""),"")</f>
        <v>1150</v>
      </c>
      <c r="GB415" s="101" t="str">
        <f t="shared" si="301"/>
        <v>专属强化石1</v>
      </c>
      <c r="GC415" s="101">
        <f t="shared" si="302"/>
        <v>10</v>
      </c>
      <c r="GD415" s="101" t="str">
        <f t="shared" si="303"/>
        <v/>
      </c>
      <c r="GE415" s="101" t="str">
        <f t="shared" si="304"/>
        <v/>
      </c>
      <c r="GF415" s="101">
        <f t="shared" si="309"/>
        <v>0.06</v>
      </c>
      <c r="GG415" s="101">
        <f t="shared" si="310"/>
        <v>1</v>
      </c>
      <c r="GH415" s="101">
        <f t="shared" si="311"/>
        <v>26</v>
      </c>
      <c r="GI415" s="101">
        <f t="shared" si="312"/>
        <v>0</v>
      </c>
      <c r="GJ415" s="101">
        <f t="shared" si="313"/>
        <v>1</v>
      </c>
      <c r="GK415" s="101">
        <f t="shared" si="314"/>
        <v>6</v>
      </c>
      <c r="GL415" s="101">
        <f t="shared" si="315"/>
        <v>2.9000000000000001E-2</v>
      </c>
      <c r="GM415" s="101">
        <f t="shared" si="316"/>
        <v>1</v>
      </c>
      <c r="GN415" s="101">
        <f t="shared" si="317"/>
        <v>12</v>
      </c>
      <c r="GO415" s="101">
        <f t="shared" si="318"/>
        <v>0.11600000000000001</v>
      </c>
      <c r="GP415" s="101">
        <f t="shared" si="319"/>
        <v>1</v>
      </c>
      <c r="GQ415" s="101">
        <f t="shared" si="320"/>
        <v>26</v>
      </c>
    </row>
    <row r="416" spans="175:199" ht="16.5" x14ac:dyDescent="0.2">
      <c r="FS416" s="101">
        <v>411</v>
      </c>
      <c r="FT416" s="101">
        <f t="shared" si="305"/>
        <v>0</v>
      </c>
      <c r="FU416" s="101">
        <f t="shared" si="298"/>
        <v>6</v>
      </c>
      <c r="FV416" s="14">
        <f t="shared" si="299"/>
        <v>4</v>
      </c>
      <c r="FW416" s="101" t="str">
        <f t="shared" si="306"/>
        <v>天使缇娜专属武器-魂珠-2 0级</v>
      </c>
      <c r="FX416" s="101">
        <f t="shared" si="307"/>
        <v>2</v>
      </c>
      <c r="FY416" s="101">
        <f t="shared" si="308"/>
        <v>0</v>
      </c>
      <c r="FZ416" s="101" t="str">
        <f t="shared" si="300"/>
        <v/>
      </c>
      <c r="GA416" s="139" t="str">
        <f>IF($FY416&gt;0,IF(INDEX($EM$6:$EM$77,$FT416)&gt;=GA$3,ROUND(INDEX(EO$6:EO$77,$FT416)*INDEX(卡牌消耗!$B$8:$F$8,FV416)/5,0)*5,""),"")</f>
        <v/>
      </c>
      <c r="GB416" s="101" t="str">
        <f t="shared" si="301"/>
        <v/>
      </c>
      <c r="GC416" s="101" t="str">
        <f t="shared" si="302"/>
        <v/>
      </c>
      <c r="GD416" s="101" t="str">
        <f t="shared" si="303"/>
        <v/>
      </c>
      <c r="GE416" s="101" t="str">
        <f t="shared" si="304"/>
        <v/>
      </c>
      <c r="GF416" s="101" t="str">
        <f t="shared" si="309"/>
        <v/>
      </c>
      <c r="GG416" s="101" t="str">
        <f t="shared" si="310"/>
        <v/>
      </c>
      <c r="GH416" s="101" t="str">
        <f t="shared" si="311"/>
        <v/>
      </c>
      <c r="GI416" s="101" t="str">
        <f t="shared" si="312"/>
        <v/>
      </c>
      <c r="GJ416" s="101" t="str">
        <f t="shared" si="313"/>
        <v/>
      </c>
      <c r="GK416" s="101" t="str">
        <f t="shared" si="314"/>
        <v/>
      </c>
      <c r="GL416" s="101" t="str">
        <f t="shared" si="315"/>
        <v/>
      </c>
      <c r="GM416" s="101" t="str">
        <f t="shared" si="316"/>
        <v/>
      </c>
      <c r="GN416" s="101" t="str">
        <f t="shared" si="317"/>
        <v/>
      </c>
      <c r="GO416" s="101" t="str">
        <f t="shared" si="318"/>
        <v/>
      </c>
      <c r="GP416" s="101" t="str">
        <f t="shared" si="319"/>
        <v/>
      </c>
      <c r="GQ416" s="101" t="str">
        <f t="shared" si="320"/>
        <v/>
      </c>
    </row>
    <row r="417" spans="175:199" ht="16.5" x14ac:dyDescent="0.2">
      <c r="FS417" s="101">
        <v>412</v>
      </c>
      <c r="FT417" s="101">
        <f t="shared" si="305"/>
        <v>10</v>
      </c>
      <c r="FU417" s="101">
        <f t="shared" si="298"/>
        <v>6</v>
      </c>
      <c r="FV417" s="14">
        <f t="shared" si="299"/>
        <v>4</v>
      </c>
      <c r="FW417" s="101" t="str">
        <f t="shared" si="306"/>
        <v>天使缇娜专属武器-魂珠-2 1级</v>
      </c>
      <c r="FX417" s="101">
        <f t="shared" si="307"/>
        <v>2</v>
      </c>
      <c r="FY417" s="101">
        <f t="shared" si="308"/>
        <v>1</v>
      </c>
      <c r="FZ417" s="101" t="str">
        <f t="shared" si="300"/>
        <v>金币</v>
      </c>
      <c r="GA417" s="139">
        <f>IF($FY417&gt;0,IF(INDEX($EM$6:$EM$77,$FT417)&gt;=GA$3,ROUND(INDEX(EO$6:EO$77,$FT417)*INDEX(卡牌消耗!$B$8:$F$8,FV417)/5,0)*5,""),"")</f>
        <v>395</v>
      </c>
      <c r="GB417" s="101" t="str">
        <f t="shared" si="301"/>
        <v>专属强化石1</v>
      </c>
      <c r="GC417" s="101">
        <f t="shared" si="302"/>
        <v>3</v>
      </c>
      <c r="GD417" s="101" t="str">
        <f t="shared" si="303"/>
        <v>专属强化石2</v>
      </c>
      <c r="GE417" s="101">
        <f t="shared" si="304"/>
        <v>1</v>
      </c>
      <c r="GF417" s="101">
        <f t="shared" si="309"/>
        <v>0.39</v>
      </c>
      <c r="GG417" s="101">
        <f t="shared" si="310"/>
        <v>1</v>
      </c>
      <c r="GH417" s="101">
        <f t="shared" si="311"/>
        <v>4</v>
      </c>
      <c r="GI417" s="101">
        <f t="shared" si="312"/>
        <v>0</v>
      </c>
      <c r="GJ417" s="101">
        <f t="shared" si="313"/>
        <v>1</v>
      </c>
      <c r="GK417" s="101">
        <f t="shared" si="314"/>
        <v>1</v>
      </c>
      <c r="GL417" s="101">
        <f t="shared" si="315"/>
        <v>0.19270000000000001</v>
      </c>
      <c r="GM417" s="101">
        <f t="shared" si="316"/>
        <v>1</v>
      </c>
      <c r="GN417" s="101">
        <f t="shared" si="317"/>
        <v>2</v>
      </c>
      <c r="GO417" s="101">
        <f t="shared" si="318"/>
        <v>0.77070000000000005</v>
      </c>
      <c r="GP417" s="101">
        <f t="shared" si="319"/>
        <v>1</v>
      </c>
      <c r="GQ417" s="101">
        <f t="shared" si="320"/>
        <v>4</v>
      </c>
    </row>
    <row r="418" spans="175:199" ht="16.5" x14ac:dyDescent="0.2">
      <c r="FS418" s="101">
        <v>413</v>
      </c>
      <c r="FT418" s="101">
        <f t="shared" si="305"/>
        <v>11</v>
      </c>
      <c r="FU418" s="101">
        <f t="shared" si="298"/>
        <v>6</v>
      </c>
      <c r="FV418" s="14">
        <f t="shared" si="299"/>
        <v>4</v>
      </c>
      <c r="FW418" s="101" t="str">
        <f t="shared" si="306"/>
        <v>天使缇娜专属武器-魂珠-2 2级</v>
      </c>
      <c r="FX418" s="101">
        <f t="shared" si="307"/>
        <v>2</v>
      </c>
      <c r="FY418" s="101">
        <f t="shared" si="308"/>
        <v>2</v>
      </c>
      <c r="FZ418" s="101" t="str">
        <f t="shared" si="300"/>
        <v>金币</v>
      </c>
      <c r="GA418" s="139">
        <f>IF($FY418&gt;0,IF(INDEX($EM$6:$EM$77,$FT418)&gt;=GA$3,ROUND(INDEX(EO$6:EO$77,$FT418)*INDEX(卡牌消耗!$B$8:$F$8,FV418)/5,0)*5,""),"")</f>
        <v>295</v>
      </c>
      <c r="GB418" s="101" t="str">
        <f t="shared" si="301"/>
        <v>专属强化石1</v>
      </c>
      <c r="GC418" s="101">
        <f t="shared" si="302"/>
        <v>3</v>
      </c>
      <c r="GD418" s="101" t="str">
        <f t="shared" si="303"/>
        <v>专属强化石2</v>
      </c>
      <c r="GE418" s="101">
        <f t="shared" si="304"/>
        <v>1</v>
      </c>
      <c r="GF418" s="101">
        <f t="shared" si="309"/>
        <v>0.19</v>
      </c>
      <c r="GG418" s="101">
        <f t="shared" si="310"/>
        <v>1</v>
      </c>
      <c r="GH418" s="101">
        <f t="shared" si="311"/>
        <v>8</v>
      </c>
      <c r="GI418" s="101">
        <f t="shared" si="312"/>
        <v>0</v>
      </c>
      <c r="GJ418" s="101">
        <f t="shared" si="313"/>
        <v>1</v>
      </c>
      <c r="GK418" s="101">
        <f t="shared" si="314"/>
        <v>2</v>
      </c>
      <c r="GL418" s="101">
        <f t="shared" si="315"/>
        <v>9.6299999999999997E-2</v>
      </c>
      <c r="GM418" s="101">
        <f t="shared" si="316"/>
        <v>1</v>
      </c>
      <c r="GN418" s="101">
        <f t="shared" si="317"/>
        <v>4</v>
      </c>
      <c r="GO418" s="101">
        <f t="shared" si="318"/>
        <v>0.38529999999999998</v>
      </c>
      <c r="GP418" s="101">
        <f t="shared" si="319"/>
        <v>1</v>
      </c>
      <c r="GQ418" s="101">
        <f t="shared" si="320"/>
        <v>8</v>
      </c>
    </row>
    <row r="419" spans="175:199" ht="16.5" x14ac:dyDescent="0.2">
      <c r="FS419" s="101">
        <v>414</v>
      </c>
      <c r="FT419" s="101">
        <f t="shared" si="305"/>
        <v>12</v>
      </c>
      <c r="FU419" s="101">
        <f t="shared" si="298"/>
        <v>6</v>
      </c>
      <c r="FV419" s="14">
        <f t="shared" si="299"/>
        <v>4</v>
      </c>
      <c r="FW419" s="101" t="str">
        <f t="shared" si="306"/>
        <v>天使缇娜专属武器-魂珠-2 3级</v>
      </c>
      <c r="FX419" s="101">
        <f t="shared" si="307"/>
        <v>2</v>
      </c>
      <c r="FY419" s="101">
        <f t="shared" si="308"/>
        <v>3</v>
      </c>
      <c r="FZ419" s="101" t="str">
        <f t="shared" si="300"/>
        <v>金币</v>
      </c>
      <c r="GA419" s="139">
        <f>IF($FY419&gt;0,IF(INDEX($EM$6:$EM$77,$FT419)&gt;=GA$3,ROUND(INDEX(EO$6:EO$77,$FT419)*INDEX(卡牌消耗!$B$8:$F$8,FV419)/5,0)*5,""),"")</f>
        <v>655</v>
      </c>
      <c r="GB419" s="101" t="str">
        <f t="shared" si="301"/>
        <v>专属强化石1</v>
      </c>
      <c r="GC419" s="101">
        <f t="shared" si="302"/>
        <v>6</v>
      </c>
      <c r="GD419" s="101" t="str">
        <f t="shared" si="303"/>
        <v>专属强化石2</v>
      </c>
      <c r="GE419" s="101">
        <f t="shared" si="304"/>
        <v>2</v>
      </c>
      <c r="GF419" s="101">
        <f t="shared" si="309"/>
        <v>0.26</v>
      </c>
      <c r="GG419" s="101">
        <f t="shared" si="310"/>
        <v>1</v>
      </c>
      <c r="GH419" s="101">
        <f t="shared" si="311"/>
        <v>6</v>
      </c>
      <c r="GI419" s="101">
        <f t="shared" si="312"/>
        <v>0</v>
      </c>
      <c r="GJ419" s="101">
        <f t="shared" si="313"/>
        <v>1</v>
      </c>
      <c r="GK419" s="101">
        <f t="shared" si="314"/>
        <v>1</v>
      </c>
      <c r="GL419" s="101">
        <f t="shared" si="315"/>
        <v>0.12839999999999999</v>
      </c>
      <c r="GM419" s="101">
        <f t="shared" si="316"/>
        <v>1</v>
      </c>
      <c r="GN419" s="101">
        <f t="shared" si="317"/>
        <v>3</v>
      </c>
      <c r="GO419" s="101">
        <f t="shared" si="318"/>
        <v>0.51380000000000003</v>
      </c>
      <c r="GP419" s="101">
        <f t="shared" si="319"/>
        <v>1</v>
      </c>
      <c r="GQ419" s="101">
        <f t="shared" si="320"/>
        <v>6</v>
      </c>
    </row>
    <row r="420" spans="175:199" ht="16.5" x14ac:dyDescent="0.2">
      <c r="FS420" s="101">
        <v>415</v>
      </c>
      <c r="FT420" s="101">
        <f t="shared" si="305"/>
        <v>13</v>
      </c>
      <c r="FU420" s="101">
        <f t="shared" si="298"/>
        <v>6</v>
      </c>
      <c r="FV420" s="14">
        <f t="shared" si="299"/>
        <v>4</v>
      </c>
      <c r="FW420" s="101" t="str">
        <f t="shared" si="306"/>
        <v>天使缇娜专属武器-魂珠-2 4级</v>
      </c>
      <c r="FX420" s="101">
        <f t="shared" si="307"/>
        <v>2</v>
      </c>
      <c r="FY420" s="101">
        <f t="shared" si="308"/>
        <v>4</v>
      </c>
      <c r="FZ420" s="101" t="str">
        <f t="shared" si="300"/>
        <v>金币</v>
      </c>
      <c r="GA420" s="139">
        <f>IF($FY420&gt;0,IF(INDEX($EM$6:$EM$77,$FT420)&gt;=GA$3,ROUND(INDEX(EO$6:EO$77,$FT420)*INDEX(卡牌消耗!$B$8:$F$8,FV420)/5,0)*5,""),"")</f>
        <v>625</v>
      </c>
      <c r="GB420" s="101" t="str">
        <f t="shared" si="301"/>
        <v>专属强化石1</v>
      </c>
      <c r="GC420" s="101">
        <f t="shared" si="302"/>
        <v>6</v>
      </c>
      <c r="GD420" s="101" t="str">
        <f t="shared" si="303"/>
        <v>专属强化石2</v>
      </c>
      <c r="GE420" s="101">
        <f t="shared" si="304"/>
        <v>2</v>
      </c>
      <c r="GF420" s="101">
        <f t="shared" si="309"/>
        <v>0.15</v>
      </c>
      <c r="GG420" s="101">
        <f t="shared" si="310"/>
        <v>1</v>
      </c>
      <c r="GH420" s="101">
        <f t="shared" si="311"/>
        <v>10</v>
      </c>
      <c r="GI420" s="101">
        <f t="shared" si="312"/>
        <v>0</v>
      </c>
      <c r="GJ420" s="101">
        <f t="shared" si="313"/>
        <v>1</v>
      </c>
      <c r="GK420" s="101">
        <f t="shared" si="314"/>
        <v>2</v>
      </c>
      <c r="GL420" s="101">
        <f t="shared" si="315"/>
        <v>7.7100000000000002E-2</v>
      </c>
      <c r="GM420" s="101">
        <f t="shared" si="316"/>
        <v>1</v>
      </c>
      <c r="GN420" s="101">
        <f t="shared" si="317"/>
        <v>5</v>
      </c>
      <c r="GO420" s="101">
        <f t="shared" si="318"/>
        <v>0.30830000000000002</v>
      </c>
      <c r="GP420" s="101">
        <f t="shared" si="319"/>
        <v>1</v>
      </c>
      <c r="GQ420" s="101">
        <f t="shared" si="320"/>
        <v>10</v>
      </c>
    </row>
    <row r="421" spans="175:199" ht="16.5" x14ac:dyDescent="0.2">
      <c r="FS421" s="101">
        <v>416</v>
      </c>
      <c r="FT421" s="101">
        <f t="shared" si="305"/>
        <v>14</v>
      </c>
      <c r="FU421" s="101">
        <f t="shared" si="298"/>
        <v>6</v>
      </c>
      <c r="FV421" s="14">
        <f t="shared" si="299"/>
        <v>4</v>
      </c>
      <c r="FW421" s="101" t="str">
        <f t="shared" si="306"/>
        <v>天使缇娜专属武器-魂珠-2 5级</v>
      </c>
      <c r="FX421" s="101">
        <f t="shared" si="307"/>
        <v>2</v>
      </c>
      <c r="FY421" s="101">
        <f t="shared" si="308"/>
        <v>5</v>
      </c>
      <c r="FZ421" s="101" t="str">
        <f t="shared" si="300"/>
        <v>金币</v>
      </c>
      <c r="GA421" s="139">
        <f>IF($FY421&gt;0,IF(INDEX($EM$6:$EM$77,$FT421)&gt;=GA$3,ROUND(INDEX(EO$6:EO$77,$FT421)*INDEX(卡牌消耗!$B$8:$F$8,FV421)/5,0)*5,""),"")</f>
        <v>955</v>
      </c>
      <c r="GB421" s="101" t="str">
        <f t="shared" si="301"/>
        <v>专属强化石1</v>
      </c>
      <c r="GC421" s="101">
        <f t="shared" si="302"/>
        <v>9</v>
      </c>
      <c r="GD421" s="101" t="str">
        <f t="shared" si="303"/>
        <v>专属强化石2</v>
      </c>
      <c r="GE421" s="101">
        <f t="shared" si="304"/>
        <v>3</v>
      </c>
      <c r="GF421" s="101">
        <f t="shared" si="309"/>
        <v>0.14000000000000001</v>
      </c>
      <c r="GG421" s="101">
        <f t="shared" si="310"/>
        <v>1</v>
      </c>
      <c r="GH421" s="101">
        <f t="shared" si="311"/>
        <v>10</v>
      </c>
      <c r="GI421" s="101">
        <f t="shared" si="312"/>
        <v>0</v>
      </c>
      <c r="GJ421" s="101">
        <f t="shared" si="313"/>
        <v>1</v>
      </c>
      <c r="GK421" s="101">
        <f t="shared" si="314"/>
        <v>2</v>
      </c>
      <c r="GL421" s="101">
        <f t="shared" si="315"/>
        <v>7.22E-2</v>
      </c>
      <c r="GM421" s="101">
        <f t="shared" si="316"/>
        <v>1</v>
      </c>
      <c r="GN421" s="101">
        <f t="shared" si="317"/>
        <v>5</v>
      </c>
      <c r="GO421" s="101">
        <f t="shared" si="318"/>
        <v>0.28899999999999998</v>
      </c>
      <c r="GP421" s="101">
        <f t="shared" si="319"/>
        <v>1</v>
      </c>
      <c r="GQ421" s="101">
        <f t="shared" si="320"/>
        <v>10</v>
      </c>
    </row>
    <row r="422" spans="175:199" ht="16.5" x14ac:dyDescent="0.2">
      <c r="FS422" s="101">
        <v>417</v>
      </c>
      <c r="FT422" s="101">
        <f t="shared" si="305"/>
        <v>15</v>
      </c>
      <c r="FU422" s="101">
        <f t="shared" si="298"/>
        <v>6</v>
      </c>
      <c r="FV422" s="14">
        <f t="shared" si="299"/>
        <v>4</v>
      </c>
      <c r="FW422" s="101" t="str">
        <f t="shared" si="306"/>
        <v>天使缇娜专属武器-魂珠-2 6级</v>
      </c>
      <c r="FX422" s="101">
        <f t="shared" si="307"/>
        <v>2</v>
      </c>
      <c r="FY422" s="101">
        <f t="shared" si="308"/>
        <v>6</v>
      </c>
      <c r="FZ422" s="101" t="str">
        <f t="shared" si="300"/>
        <v>金币</v>
      </c>
      <c r="GA422" s="139">
        <f>IF($FY422&gt;0,IF(INDEX($EM$6:$EM$77,$FT422)&gt;=GA$3,ROUND(INDEX(EO$6:EO$77,$FT422)*INDEX(卡牌消耗!$B$8:$F$8,FV422)/5,0)*5,""),"")</f>
        <v>1270</v>
      </c>
      <c r="GB422" s="101" t="str">
        <f t="shared" si="301"/>
        <v>专属强化石1</v>
      </c>
      <c r="GC422" s="101">
        <f t="shared" si="302"/>
        <v>12</v>
      </c>
      <c r="GD422" s="101" t="str">
        <f t="shared" si="303"/>
        <v>专属强化石2</v>
      </c>
      <c r="GE422" s="101">
        <f t="shared" si="304"/>
        <v>4</v>
      </c>
      <c r="GF422" s="101">
        <f t="shared" si="309"/>
        <v>0.12</v>
      </c>
      <c r="GG422" s="101">
        <f t="shared" si="310"/>
        <v>1</v>
      </c>
      <c r="GH422" s="101">
        <f t="shared" si="311"/>
        <v>13</v>
      </c>
      <c r="GI422" s="101">
        <f t="shared" si="312"/>
        <v>0</v>
      </c>
      <c r="GJ422" s="101">
        <f t="shared" si="313"/>
        <v>1</v>
      </c>
      <c r="GK422" s="101">
        <f t="shared" si="314"/>
        <v>3</v>
      </c>
      <c r="GL422" s="101">
        <f t="shared" si="315"/>
        <v>5.9299999999999999E-2</v>
      </c>
      <c r="GM422" s="101">
        <f t="shared" si="316"/>
        <v>1</v>
      </c>
      <c r="GN422" s="101">
        <f t="shared" si="317"/>
        <v>6</v>
      </c>
      <c r="GO422" s="101">
        <f t="shared" si="318"/>
        <v>0.23710000000000001</v>
      </c>
      <c r="GP422" s="101">
        <f t="shared" si="319"/>
        <v>1</v>
      </c>
      <c r="GQ422" s="101">
        <f t="shared" si="320"/>
        <v>13</v>
      </c>
    </row>
    <row r="423" spans="175:199" ht="16.5" x14ac:dyDescent="0.2">
      <c r="FS423" s="101">
        <v>418</v>
      </c>
      <c r="FT423" s="101">
        <f t="shared" si="305"/>
        <v>16</v>
      </c>
      <c r="FU423" s="101">
        <f t="shared" si="298"/>
        <v>6</v>
      </c>
      <c r="FV423" s="14">
        <f t="shared" si="299"/>
        <v>4</v>
      </c>
      <c r="FW423" s="101" t="str">
        <f t="shared" si="306"/>
        <v>天使缇娜专属武器-魂珠-2 7级</v>
      </c>
      <c r="FX423" s="101">
        <f t="shared" si="307"/>
        <v>2</v>
      </c>
      <c r="FY423" s="101">
        <f t="shared" si="308"/>
        <v>7</v>
      </c>
      <c r="FZ423" s="101" t="str">
        <f t="shared" si="300"/>
        <v>金币</v>
      </c>
      <c r="GA423" s="139">
        <f>IF($FY423&gt;0,IF(INDEX($EM$6:$EM$77,$FT423)&gt;=GA$3,ROUND(INDEX(EO$6:EO$77,$FT423)*INDEX(卡牌消耗!$B$8:$F$8,FV423)/5,0)*5,""),"")</f>
        <v>1590</v>
      </c>
      <c r="GB423" s="101" t="str">
        <f t="shared" si="301"/>
        <v>专属强化石1</v>
      </c>
      <c r="GC423" s="101">
        <f t="shared" si="302"/>
        <v>15</v>
      </c>
      <c r="GD423" s="101" t="str">
        <f t="shared" si="303"/>
        <v>专属强化石2</v>
      </c>
      <c r="GE423" s="101">
        <f t="shared" si="304"/>
        <v>5</v>
      </c>
      <c r="GF423" s="101">
        <f t="shared" si="309"/>
        <v>0.09</v>
      </c>
      <c r="GG423" s="101">
        <f t="shared" si="310"/>
        <v>1</v>
      </c>
      <c r="GH423" s="101">
        <f t="shared" si="311"/>
        <v>16</v>
      </c>
      <c r="GI423" s="101">
        <f t="shared" si="312"/>
        <v>0</v>
      </c>
      <c r="GJ423" s="101">
        <f t="shared" si="313"/>
        <v>1</v>
      </c>
      <c r="GK423" s="101">
        <f t="shared" si="314"/>
        <v>4</v>
      </c>
      <c r="GL423" s="101">
        <f t="shared" si="315"/>
        <v>4.5900000000000003E-2</v>
      </c>
      <c r="GM423" s="101">
        <f t="shared" si="316"/>
        <v>1</v>
      </c>
      <c r="GN423" s="101">
        <f t="shared" si="317"/>
        <v>8</v>
      </c>
      <c r="GO423" s="101">
        <f t="shared" si="318"/>
        <v>0.1835</v>
      </c>
      <c r="GP423" s="101">
        <f t="shared" si="319"/>
        <v>1</v>
      </c>
      <c r="GQ423" s="101">
        <f t="shared" si="320"/>
        <v>16</v>
      </c>
    </row>
    <row r="424" spans="175:199" ht="16.5" x14ac:dyDescent="0.2">
      <c r="FS424" s="101">
        <v>419</v>
      </c>
      <c r="FT424" s="101">
        <f t="shared" si="305"/>
        <v>17</v>
      </c>
      <c r="FU424" s="101">
        <f t="shared" si="298"/>
        <v>6</v>
      </c>
      <c r="FV424" s="14">
        <f t="shared" si="299"/>
        <v>4</v>
      </c>
      <c r="FW424" s="101" t="str">
        <f t="shared" si="306"/>
        <v>天使缇娜专属武器-魂珠-2 8级</v>
      </c>
      <c r="FX424" s="101">
        <f t="shared" si="307"/>
        <v>2</v>
      </c>
      <c r="FY424" s="101">
        <f t="shared" si="308"/>
        <v>8</v>
      </c>
      <c r="FZ424" s="101" t="str">
        <f t="shared" si="300"/>
        <v>金币</v>
      </c>
      <c r="GA424" s="139">
        <f>IF($FY424&gt;0,IF(INDEX($EM$6:$EM$77,$FT424)&gt;=GA$3,ROUND(INDEX(EO$6:EO$77,$FT424)*INDEX(卡牌消耗!$B$8:$F$8,FV424)/5,0)*5,""),"")</f>
        <v>1905</v>
      </c>
      <c r="GB424" s="101" t="str">
        <f t="shared" si="301"/>
        <v>专属强化石1</v>
      </c>
      <c r="GC424" s="101">
        <f t="shared" si="302"/>
        <v>18</v>
      </c>
      <c r="GD424" s="101" t="str">
        <f t="shared" si="303"/>
        <v>专属强化石2</v>
      </c>
      <c r="GE424" s="101">
        <f t="shared" si="304"/>
        <v>6</v>
      </c>
      <c r="GF424" s="101">
        <f t="shared" si="309"/>
        <v>7.0000000000000007E-2</v>
      </c>
      <c r="GG424" s="101">
        <f t="shared" si="310"/>
        <v>1</v>
      </c>
      <c r="GH424" s="101">
        <f t="shared" si="311"/>
        <v>22</v>
      </c>
      <c r="GI424" s="101">
        <f t="shared" si="312"/>
        <v>0</v>
      </c>
      <c r="GJ424" s="101">
        <f t="shared" si="313"/>
        <v>1</v>
      </c>
      <c r="GK424" s="101">
        <f t="shared" si="314"/>
        <v>5</v>
      </c>
      <c r="GL424" s="101">
        <f t="shared" si="315"/>
        <v>3.4000000000000002E-2</v>
      </c>
      <c r="GM424" s="101">
        <f t="shared" si="316"/>
        <v>1</v>
      </c>
      <c r="GN424" s="101">
        <f t="shared" si="317"/>
        <v>10</v>
      </c>
      <c r="GO424" s="101">
        <f t="shared" si="318"/>
        <v>0.13600000000000001</v>
      </c>
      <c r="GP424" s="101">
        <f t="shared" si="319"/>
        <v>1</v>
      </c>
      <c r="GQ424" s="101">
        <f t="shared" si="320"/>
        <v>22</v>
      </c>
    </row>
    <row r="425" spans="175:199" ht="16.5" x14ac:dyDescent="0.2">
      <c r="FS425" s="101">
        <v>420</v>
      </c>
      <c r="FT425" s="101">
        <f t="shared" si="305"/>
        <v>18</v>
      </c>
      <c r="FU425" s="101">
        <f t="shared" si="298"/>
        <v>6</v>
      </c>
      <c r="FV425" s="14">
        <f t="shared" si="299"/>
        <v>4</v>
      </c>
      <c r="FW425" s="101" t="str">
        <f t="shared" si="306"/>
        <v>天使缇娜专属武器-魂珠-2 9级</v>
      </c>
      <c r="FX425" s="101">
        <f t="shared" si="307"/>
        <v>2</v>
      </c>
      <c r="FY425" s="101">
        <f t="shared" si="308"/>
        <v>9</v>
      </c>
      <c r="FZ425" s="101" t="str">
        <f t="shared" si="300"/>
        <v>金币</v>
      </c>
      <c r="GA425" s="139">
        <f>IF($FY425&gt;0,IF(INDEX($EM$6:$EM$77,$FT425)&gt;=GA$3,ROUND(INDEX(EO$6:EO$77,$FT425)*INDEX(卡牌消耗!$B$8:$F$8,FV425)/5,0)*5,""),"")</f>
        <v>2540</v>
      </c>
      <c r="GB425" s="101" t="str">
        <f t="shared" si="301"/>
        <v>专属强化石1</v>
      </c>
      <c r="GC425" s="101">
        <f t="shared" si="302"/>
        <v>24</v>
      </c>
      <c r="GD425" s="101" t="str">
        <f t="shared" si="303"/>
        <v>专属强化石2</v>
      </c>
      <c r="GE425" s="101">
        <f t="shared" si="304"/>
        <v>8</v>
      </c>
      <c r="GF425" s="101">
        <f t="shared" si="309"/>
        <v>0.06</v>
      </c>
      <c r="GG425" s="101">
        <f t="shared" si="310"/>
        <v>1</v>
      </c>
      <c r="GH425" s="101">
        <f t="shared" si="311"/>
        <v>27</v>
      </c>
      <c r="GI425" s="101">
        <f t="shared" si="312"/>
        <v>0</v>
      </c>
      <c r="GJ425" s="101">
        <f t="shared" si="313"/>
        <v>1</v>
      </c>
      <c r="GK425" s="101">
        <f t="shared" si="314"/>
        <v>6</v>
      </c>
      <c r="GL425" s="101">
        <f t="shared" si="315"/>
        <v>2.8000000000000001E-2</v>
      </c>
      <c r="GM425" s="101">
        <f t="shared" si="316"/>
        <v>1</v>
      </c>
      <c r="GN425" s="101">
        <f t="shared" si="317"/>
        <v>12</v>
      </c>
      <c r="GO425" s="101">
        <f t="shared" si="318"/>
        <v>0.11210000000000001</v>
      </c>
      <c r="GP425" s="101">
        <f t="shared" si="319"/>
        <v>1</v>
      </c>
      <c r="GQ425" s="101">
        <f t="shared" si="320"/>
        <v>27</v>
      </c>
    </row>
    <row r="426" spans="175:199" ht="16.5" x14ac:dyDescent="0.2">
      <c r="FS426" s="101">
        <v>421</v>
      </c>
      <c r="FT426" s="101">
        <f t="shared" si="305"/>
        <v>0</v>
      </c>
      <c r="FU426" s="101">
        <f t="shared" si="298"/>
        <v>6</v>
      </c>
      <c r="FV426" s="14">
        <f t="shared" si="299"/>
        <v>4</v>
      </c>
      <c r="FW426" s="101" t="str">
        <f t="shared" si="306"/>
        <v>天使缇娜专属武器-魂珠-3 0级</v>
      </c>
      <c r="FX426" s="101">
        <f t="shared" si="307"/>
        <v>3</v>
      </c>
      <c r="FY426" s="101">
        <f t="shared" si="308"/>
        <v>0</v>
      </c>
      <c r="FZ426" s="101" t="str">
        <f t="shared" si="300"/>
        <v/>
      </c>
      <c r="GA426" s="139" t="str">
        <f>IF($FY426&gt;0,IF(INDEX($EM$6:$EM$77,$FT426)&gt;=GA$3,ROUND(INDEX(EO$6:EO$77,$FT426)*INDEX(卡牌消耗!$B$8:$F$8,FV426)/5,0)*5,""),"")</f>
        <v/>
      </c>
      <c r="GB426" s="101" t="str">
        <f t="shared" si="301"/>
        <v/>
      </c>
      <c r="GC426" s="101" t="str">
        <f t="shared" si="302"/>
        <v/>
      </c>
      <c r="GD426" s="101" t="str">
        <f t="shared" si="303"/>
        <v/>
      </c>
      <c r="GE426" s="101" t="str">
        <f t="shared" si="304"/>
        <v/>
      </c>
      <c r="GF426" s="101" t="str">
        <f t="shared" si="309"/>
        <v/>
      </c>
      <c r="GG426" s="101" t="str">
        <f t="shared" si="310"/>
        <v/>
      </c>
      <c r="GH426" s="101" t="str">
        <f t="shared" si="311"/>
        <v/>
      </c>
      <c r="GI426" s="101" t="str">
        <f t="shared" si="312"/>
        <v/>
      </c>
      <c r="GJ426" s="101" t="str">
        <f t="shared" si="313"/>
        <v/>
      </c>
      <c r="GK426" s="101" t="str">
        <f t="shared" si="314"/>
        <v/>
      </c>
      <c r="GL426" s="101" t="str">
        <f t="shared" si="315"/>
        <v/>
      </c>
      <c r="GM426" s="101" t="str">
        <f t="shared" si="316"/>
        <v/>
      </c>
      <c r="GN426" s="101" t="str">
        <f t="shared" si="317"/>
        <v/>
      </c>
      <c r="GO426" s="101" t="str">
        <f t="shared" si="318"/>
        <v/>
      </c>
      <c r="GP426" s="101" t="str">
        <f t="shared" si="319"/>
        <v/>
      </c>
      <c r="GQ426" s="101" t="str">
        <f t="shared" si="320"/>
        <v/>
      </c>
    </row>
    <row r="427" spans="175:199" ht="16.5" x14ac:dyDescent="0.2">
      <c r="FS427" s="101">
        <v>422</v>
      </c>
      <c r="FT427" s="101">
        <f t="shared" si="305"/>
        <v>19</v>
      </c>
      <c r="FU427" s="101">
        <f t="shared" si="298"/>
        <v>6</v>
      </c>
      <c r="FV427" s="14">
        <f t="shared" si="299"/>
        <v>4</v>
      </c>
      <c r="FW427" s="101" t="str">
        <f t="shared" si="306"/>
        <v>天使缇娜专属武器-魂珠-3 1级</v>
      </c>
      <c r="FX427" s="101">
        <f t="shared" si="307"/>
        <v>3</v>
      </c>
      <c r="FY427" s="101">
        <f t="shared" si="308"/>
        <v>1</v>
      </c>
      <c r="FZ427" s="101" t="str">
        <f t="shared" si="300"/>
        <v>金币</v>
      </c>
      <c r="GA427" s="139">
        <f>IF($FY427&gt;0,IF(INDEX($EM$6:$EM$77,$FT427)&gt;=GA$3,ROUND(INDEX(EO$6:EO$77,$FT427)*INDEX(卡牌消耗!$B$8:$F$8,FV427)/5,0)*5,""),"")</f>
        <v>820</v>
      </c>
      <c r="GB427" s="101" t="str">
        <f t="shared" si="301"/>
        <v>专属强化石1</v>
      </c>
      <c r="GC427" s="101">
        <f t="shared" si="302"/>
        <v>4</v>
      </c>
      <c r="GD427" s="101" t="str">
        <f t="shared" si="303"/>
        <v>专属强化石2</v>
      </c>
      <c r="GE427" s="101">
        <f t="shared" si="304"/>
        <v>2</v>
      </c>
      <c r="GF427" s="101">
        <f t="shared" si="309"/>
        <v>0.31</v>
      </c>
      <c r="GG427" s="101">
        <f t="shared" si="310"/>
        <v>1</v>
      </c>
      <c r="GH427" s="101">
        <f t="shared" si="311"/>
        <v>5</v>
      </c>
      <c r="GI427" s="101">
        <f t="shared" si="312"/>
        <v>0</v>
      </c>
      <c r="GJ427" s="101">
        <f t="shared" si="313"/>
        <v>1</v>
      </c>
      <c r="GK427" s="101">
        <f t="shared" si="314"/>
        <v>1</v>
      </c>
      <c r="GL427" s="101">
        <f t="shared" si="315"/>
        <v>0.15409999999999999</v>
      </c>
      <c r="GM427" s="101">
        <f t="shared" si="316"/>
        <v>1</v>
      </c>
      <c r="GN427" s="101">
        <f t="shared" si="317"/>
        <v>2</v>
      </c>
      <c r="GO427" s="101">
        <f t="shared" si="318"/>
        <v>0.61650000000000005</v>
      </c>
      <c r="GP427" s="101">
        <f t="shared" si="319"/>
        <v>1</v>
      </c>
      <c r="GQ427" s="101">
        <f t="shared" si="320"/>
        <v>5</v>
      </c>
    </row>
    <row r="428" spans="175:199" ht="16.5" x14ac:dyDescent="0.2">
      <c r="FS428" s="101">
        <v>423</v>
      </c>
      <c r="FT428" s="101">
        <f t="shared" si="305"/>
        <v>20</v>
      </c>
      <c r="FU428" s="101">
        <f t="shared" si="298"/>
        <v>6</v>
      </c>
      <c r="FV428" s="14">
        <f t="shared" si="299"/>
        <v>4</v>
      </c>
      <c r="FW428" s="101" t="str">
        <f t="shared" si="306"/>
        <v>天使缇娜专属武器-魂珠-3 2级</v>
      </c>
      <c r="FX428" s="101">
        <f t="shared" si="307"/>
        <v>3</v>
      </c>
      <c r="FY428" s="101">
        <f t="shared" si="308"/>
        <v>2</v>
      </c>
      <c r="FZ428" s="101" t="str">
        <f t="shared" si="300"/>
        <v>金币</v>
      </c>
      <c r="GA428" s="139">
        <f>IF($FY428&gt;0,IF(INDEX($EM$6:$EM$77,$FT428)&gt;=GA$3,ROUND(INDEX(EO$6:EO$77,$FT428)*INDEX(卡牌消耗!$B$8:$F$8,FV428)/5,0)*5,""),"")</f>
        <v>615</v>
      </c>
      <c r="GB428" s="101" t="str">
        <f t="shared" si="301"/>
        <v>专属强化石1</v>
      </c>
      <c r="GC428" s="101">
        <f t="shared" si="302"/>
        <v>4</v>
      </c>
      <c r="GD428" s="101" t="str">
        <f t="shared" si="303"/>
        <v>专属强化石2</v>
      </c>
      <c r="GE428" s="101">
        <f t="shared" si="304"/>
        <v>2</v>
      </c>
      <c r="GF428" s="101">
        <f t="shared" si="309"/>
        <v>0.15</v>
      </c>
      <c r="GG428" s="101">
        <f t="shared" si="310"/>
        <v>1</v>
      </c>
      <c r="GH428" s="101">
        <f t="shared" si="311"/>
        <v>10</v>
      </c>
      <c r="GI428" s="101">
        <f t="shared" si="312"/>
        <v>0</v>
      </c>
      <c r="GJ428" s="101">
        <f t="shared" si="313"/>
        <v>1</v>
      </c>
      <c r="GK428" s="101">
        <f t="shared" si="314"/>
        <v>2</v>
      </c>
      <c r="GL428" s="101">
        <f t="shared" si="315"/>
        <v>7.7100000000000002E-2</v>
      </c>
      <c r="GM428" s="101">
        <f t="shared" si="316"/>
        <v>1</v>
      </c>
      <c r="GN428" s="101">
        <f t="shared" si="317"/>
        <v>5</v>
      </c>
      <c r="GO428" s="101">
        <f t="shared" si="318"/>
        <v>0.30830000000000002</v>
      </c>
      <c r="GP428" s="101">
        <f t="shared" si="319"/>
        <v>1</v>
      </c>
      <c r="GQ428" s="101">
        <f t="shared" si="320"/>
        <v>10</v>
      </c>
    </row>
    <row r="429" spans="175:199" ht="16.5" x14ac:dyDescent="0.2">
      <c r="FS429" s="101">
        <v>424</v>
      </c>
      <c r="FT429" s="101">
        <f t="shared" si="305"/>
        <v>21</v>
      </c>
      <c r="FU429" s="101">
        <f t="shared" si="298"/>
        <v>6</v>
      </c>
      <c r="FV429" s="14">
        <f t="shared" si="299"/>
        <v>4</v>
      </c>
      <c r="FW429" s="101" t="str">
        <f t="shared" si="306"/>
        <v>天使缇娜专属武器-魂珠-3 3级</v>
      </c>
      <c r="FX429" s="101">
        <f t="shared" si="307"/>
        <v>3</v>
      </c>
      <c r="FY429" s="101">
        <f t="shared" si="308"/>
        <v>3</v>
      </c>
      <c r="FZ429" s="101" t="str">
        <f t="shared" si="300"/>
        <v>金币</v>
      </c>
      <c r="GA429" s="139">
        <f>IF($FY429&gt;0,IF(INDEX($EM$6:$EM$77,$FT429)&gt;=GA$3,ROUND(INDEX(EO$6:EO$77,$FT429)*INDEX(卡牌消耗!$B$8:$F$8,FV429)/5,0)*5,""),"")</f>
        <v>1025</v>
      </c>
      <c r="GB429" s="101" t="str">
        <f t="shared" si="301"/>
        <v>专属强化石1</v>
      </c>
      <c r="GC429" s="101">
        <f t="shared" si="302"/>
        <v>6</v>
      </c>
      <c r="GD429" s="101" t="str">
        <f t="shared" si="303"/>
        <v>专属强化石2</v>
      </c>
      <c r="GE429" s="101">
        <f t="shared" si="304"/>
        <v>3</v>
      </c>
      <c r="GF429" s="101">
        <f t="shared" si="309"/>
        <v>0.15</v>
      </c>
      <c r="GG429" s="101">
        <f t="shared" si="310"/>
        <v>1</v>
      </c>
      <c r="GH429" s="101">
        <f t="shared" si="311"/>
        <v>10</v>
      </c>
      <c r="GI429" s="101">
        <f t="shared" si="312"/>
        <v>0</v>
      </c>
      <c r="GJ429" s="101">
        <f t="shared" si="313"/>
        <v>1</v>
      </c>
      <c r="GK429" s="101">
        <f t="shared" si="314"/>
        <v>2</v>
      </c>
      <c r="GL429" s="101">
        <f t="shared" si="315"/>
        <v>7.7100000000000002E-2</v>
      </c>
      <c r="GM429" s="101">
        <f t="shared" si="316"/>
        <v>1</v>
      </c>
      <c r="GN429" s="101">
        <f t="shared" si="317"/>
        <v>5</v>
      </c>
      <c r="GO429" s="101">
        <f t="shared" si="318"/>
        <v>0.30830000000000002</v>
      </c>
      <c r="GP429" s="101">
        <f t="shared" si="319"/>
        <v>1</v>
      </c>
      <c r="GQ429" s="101">
        <f t="shared" si="320"/>
        <v>10</v>
      </c>
    </row>
    <row r="430" spans="175:199" ht="16.5" x14ac:dyDescent="0.2">
      <c r="FS430" s="101">
        <v>425</v>
      </c>
      <c r="FT430" s="101">
        <f t="shared" si="305"/>
        <v>22</v>
      </c>
      <c r="FU430" s="101">
        <f t="shared" si="298"/>
        <v>6</v>
      </c>
      <c r="FV430" s="14">
        <f t="shared" si="299"/>
        <v>4</v>
      </c>
      <c r="FW430" s="101" t="str">
        <f t="shared" si="306"/>
        <v>天使缇娜专属武器-魂珠-3 4级</v>
      </c>
      <c r="FX430" s="101">
        <f t="shared" si="307"/>
        <v>3</v>
      </c>
      <c r="FY430" s="101">
        <f t="shared" si="308"/>
        <v>4</v>
      </c>
      <c r="FZ430" s="101" t="str">
        <f t="shared" si="300"/>
        <v>金币</v>
      </c>
      <c r="GA430" s="139">
        <f>IF($FY430&gt;0,IF(INDEX($EM$6:$EM$77,$FT430)&gt;=GA$3,ROUND(INDEX(EO$6:EO$77,$FT430)*INDEX(卡牌消耗!$B$8:$F$8,FV430)/5,0)*5,""),"")</f>
        <v>985</v>
      </c>
      <c r="GB430" s="101" t="str">
        <f t="shared" si="301"/>
        <v>专属强化石1</v>
      </c>
      <c r="GC430" s="101">
        <f t="shared" si="302"/>
        <v>6</v>
      </c>
      <c r="GD430" s="101" t="str">
        <f t="shared" si="303"/>
        <v>专属强化石2</v>
      </c>
      <c r="GE430" s="101">
        <f t="shared" si="304"/>
        <v>3</v>
      </c>
      <c r="GF430" s="101">
        <f t="shared" si="309"/>
        <v>0.09</v>
      </c>
      <c r="GG430" s="101">
        <f t="shared" si="310"/>
        <v>1</v>
      </c>
      <c r="GH430" s="101">
        <f t="shared" si="311"/>
        <v>16</v>
      </c>
      <c r="GI430" s="101">
        <f t="shared" si="312"/>
        <v>0</v>
      </c>
      <c r="GJ430" s="101">
        <f t="shared" si="313"/>
        <v>1</v>
      </c>
      <c r="GK430" s="101">
        <f t="shared" si="314"/>
        <v>4</v>
      </c>
      <c r="GL430" s="101">
        <f t="shared" si="315"/>
        <v>4.6199999999999998E-2</v>
      </c>
      <c r="GM430" s="101">
        <f t="shared" si="316"/>
        <v>1</v>
      </c>
      <c r="GN430" s="101">
        <f t="shared" si="317"/>
        <v>8</v>
      </c>
      <c r="GO430" s="101">
        <f t="shared" si="318"/>
        <v>0.185</v>
      </c>
      <c r="GP430" s="101">
        <f t="shared" si="319"/>
        <v>1</v>
      </c>
      <c r="GQ430" s="101">
        <f t="shared" si="320"/>
        <v>16</v>
      </c>
    </row>
    <row r="431" spans="175:199" ht="16.5" x14ac:dyDescent="0.2">
      <c r="FS431" s="101">
        <v>426</v>
      </c>
      <c r="FT431" s="101">
        <f t="shared" si="305"/>
        <v>23</v>
      </c>
      <c r="FU431" s="101">
        <f t="shared" si="298"/>
        <v>6</v>
      </c>
      <c r="FV431" s="14">
        <f t="shared" si="299"/>
        <v>4</v>
      </c>
      <c r="FW431" s="101" t="str">
        <f t="shared" si="306"/>
        <v>天使缇娜专属武器-魂珠-3 5级</v>
      </c>
      <c r="FX431" s="101">
        <f t="shared" si="307"/>
        <v>3</v>
      </c>
      <c r="FY431" s="101">
        <f t="shared" si="308"/>
        <v>5</v>
      </c>
      <c r="FZ431" s="101" t="str">
        <f t="shared" si="300"/>
        <v>金币</v>
      </c>
      <c r="GA431" s="139">
        <f>IF($FY431&gt;0,IF(INDEX($EM$6:$EM$77,$FT431)&gt;=GA$3,ROUND(INDEX(EO$6:EO$77,$FT431)*INDEX(卡牌消耗!$B$8:$F$8,FV431)/5,0)*5,""),"")</f>
        <v>1330</v>
      </c>
      <c r="GB431" s="101" t="str">
        <f t="shared" si="301"/>
        <v>专属强化石1</v>
      </c>
      <c r="GC431" s="101">
        <f t="shared" si="302"/>
        <v>8</v>
      </c>
      <c r="GD431" s="101" t="str">
        <f t="shared" si="303"/>
        <v>专属强化石2</v>
      </c>
      <c r="GE431" s="101">
        <f t="shared" si="304"/>
        <v>4</v>
      </c>
      <c r="GF431" s="101">
        <f t="shared" si="309"/>
        <v>0.08</v>
      </c>
      <c r="GG431" s="101">
        <f t="shared" si="310"/>
        <v>1</v>
      </c>
      <c r="GH431" s="101">
        <f t="shared" si="311"/>
        <v>19</v>
      </c>
      <c r="GI431" s="101">
        <f t="shared" si="312"/>
        <v>0</v>
      </c>
      <c r="GJ431" s="101">
        <f t="shared" si="313"/>
        <v>1</v>
      </c>
      <c r="GK431" s="101">
        <f t="shared" si="314"/>
        <v>5</v>
      </c>
      <c r="GL431" s="101">
        <f t="shared" si="315"/>
        <v>3.85E-2</v>
      </c>
      <c r="GM431" s="101">
        <f t="shared" si="316"/>
        <v>1</v>
      </c>
      <c r="GN431" s="101">
        <f t="shared" si="317"/>
        <v>9</v>
      </c>
      <c r="GO431" s="101">
        <f t="shared" si="318"/>
        <v>0.15409999999999999</v>
      </c>
      <c r="GP431" s="101">
        <f t="shared" si="319"/>
        <v>1</v>
      </c>
      <c r="GQ431" s="101">
        <f t="shared" si="320"/>
        <v>19</v>
      </c>
    </row>
    <row r="432" spans="175:199" ht="16.5" x14ac:dyDescent="0.2">
      <c r="FS432" s="101">
        <v>427</v>
      </c>
      <c r="FT432" s="101">
        <f t="shared" si="305"/>
        <v>24</v>
      </c>
      <c r="FU432" s="101">
        <f t="shared" si="298"/>
        <v>6</v>
      </c>
      <c r="FV432" s="14">
        <f t="shared" si="299"/>
        <v>4</v>
      </c>
      <c r="FW432" s="101" t="str">
        <f t="shared" si="306"/>
        <v>天使缇娜专属武器-魂珠-3 6级</v>
      </c>
      <c r="FX432" s="101">
        <f t="shared" si="307"/>
        <v>3</v>
      </c>
      <c r="FY432" s="101">
        <f t="shared" si="308"/>
        <v>6</v>
      </c>
      <c r="FZ432" s="101" t="str">
        <f t="shared" si="300"/>
        <v>金币</v>
      </c>
      <c r="GA432" s="139">
        <f>IF($FY432&gt;0,IF(INDEX($EM$6:$EM$77,$FT432)&gt;=GA$3,ROUND(INDEX(EO$6:EO$77,$FT432)*INDEX(卡牌消耗!$B$8:$F$8,FV432)/5,0)*5,""),"")</f>
        <v>1650</v>
      </c>
      <c r="GB432" s="101" t="str">
        <f t="shared" si="301"/>
        <v>专属强化石1</v>
      </c>
      <c r="GC432" s="101">
        <f t="shared" si="302"/>
        <v>10</v>
      </c>
      <c r="GD432" s="101" t="str">
        <f t="shared" si="303"/>
        <v>专属强化石2</v>
      </c>
      <c r="GE432" s="101">
        <f t="shared" si="304"/>
        <v>5</v>
      </c>
      <c r="GF432" s="101">
        <f t="shared" si="309"/>
        <v>0.06</v>
      </c>
      <c r="GG432" s="101">
        <f t="shared" si="310"/>
        <v>1</v>
      </c>
      <c r="GH432" s="101">
        <f t="shared" si="311"/>
        <v>25</v>
      </c>
      <c r="GI432" s="101">
        <f t="shared" si="312"/>
        <v>0</v>
      </c>
      <c r="GJ432" s="101">
        <f t="shared" si="313"/>
        <v>1</v>
      </c>
      <c r="GK432" s="101">
        <f t="shared" si="314"/>
        <v>6</v>
      </c>
      <c r="GL432" s="101">
        <f t="shared" si="315"/>
        <v>2.9600000000000001E-2</v>
      </c>
      <c r="GM432" s="101">
        <f t="shared" si="316"/>
        <v>1</v>
      </c>
      <c r="GN432" s="101">
        <f t="shared" si="317"/>
        <v>12</v>
      </c>
      <c r="GO432" s="101">
        <f t="shared" si="318"/>
        <v>0.1186</v>
      </c>
      <c r="GP432" s="101">
        <f t="shared" si="319"/>
        <v>1</v>
      </c>
      <c r="GQ432" s="101">
        <f t="shared" si="320"/>
        <v>25</v>
      </c>
    </row>
    <row r="433" spans="175:199" ht="16.5" x14ac:dyDescent="0.2">
      <c r="FS433" s="101">
        <v>428</v>
      </c>
      <c r="FT433" s="101">
        <f t="shared" si="305"/>
        <v>25</v>
      </c>
      <c r="FU433" s="101">
        <f t="shared" si="298"/>
        <v>6</v>
      </c>
      <c r="FV433" s="14">
        <f t="shared" si="299"/>
        <v>4</v>
      </c>
      <c r="FW433" s="101" t="str">
        <f t="shared" si="306"/>
        <v>天使缇娜专属武器-魂珠-3 7级</v>
      </c>
      <c r="FX433" s="101">
        <f t="shared" si="307"/>
        <v>3</v>
      </c>
      <c r="FY433" s="101">
        <f t="shared" si="308"/>
        <v>7</v>
      </c>
      <c r="FZ433" s="101" t="str">
        <f t="shared" si="300"/>
        <v>金币</v>
      </c>
      <c r="GA433" s="139">
        <f>IF($FY433&gt;0,IF(INDEX($EM$6:$EM$77,$FT433)&gt;=GA$3,ROUND(INDEX(EO$6:EO$77,$FT433)*INDEX(卡牌消耗!$B$8:$F$8,FV433)/5,0)*5,""),"")</f>
        <v>1990</v>
      </c>
      <c r="GB433" s="101" t="str">
        <f t="shared" si="301"/>
        <v>专属强化石1</v>
      </c>
      <c r="GC433" s="101">
        <f t="shared" si="302"/>
        <v>12</v>
      </c>
      <c r="GD433" s="101" t="str">
        <f t="shared" si="303"/>
        <v>专属强化石2</v>
      </c>
      <c r="GE433" s="101">
        <f t="shared" si="304"/>
        <v>6</v>
      </c>
      <c r="GF433" s="101">
        <f t="shared" si="309"/>
        <v>0.04</v>
      </c>
      <c r="GG433" s="101">
        <f t="shared" si="310"/>
        <v>1</v>
      </c>
      <c r="GH433" s="101">
        <f t="shared" si="311"/>
        <v>34</v>
      </c>
      <c r="GI433" s="101">
        <f t="shared" si="312"/>
        <v>0</v>
      </c>
      <c r="GJ433" s="101">
        <f t="shared" si="313"/>
        <v>1</v>
      </c>
      <c r="GK433" s="101">
        <f t="shared" si="314"/>
        <v>8</v>
      </c>
      <c r="GL433" s="101">
        <f t="shared" si="315"/>
        <v>2.1999999999999999E-2</v>
      </c>
      <c r="GM433" s="101">
        <f t="shared" si="316"/>
        <v>1</v>
      </c>
      <c r="GN433" s="101">
        <f t="shared" si="317"/>
        <v>16</v>
      </c>
      <c r="GO433" s="101">
        <f t="shared" si="318"/>
        <v>8.8099999999999998E-2</v>
      </c>
      <c r="GP433" s="101">
        <f t="shared" si="319"/>
        <v>1</v>
      </c>
      <c r="GQ433" s="101">
        <f t="shared" si="320"/>
        <v>34</v>
      </c>
    </row>
    <row r="434" spans="175:199" ht="16.5" x14ac:dyDescent="0.2">
      <c r="FS434" s="101">
        <v>429</v>
      </c>
      <c r="FT434" s="101">
        <f t="shared" si="305"/>
        <v>26</v>
      </c>
      <c r="FU434" s="101">
        <f t="shared" si="298"/>
        <v>6</v>
      </c>
      <c r="FV434" s="14">
        <f t="shared" si="299"/>
        <v>4</v>
      </c>
      <c r="FW434" s="101" t="str">
        <f t="shared" si="306"/>
        <v>天使缇娜专属武器-魂珠-3 8级</v>
      </c>
      <c r="FX434" s="101">
        <f t="shared" si="307"/>
        <v>3</v>
      </c>
      <c r="FY434" s="101">
        <f t="shared" si="308"/>
        <v>8</v>
      </c>
      <c r="FZ434" s="101" t="str">
        <f t="shared" si="300"/>
        <v>金币</v>
      </c>
      <c r="GA434" s="139">
        <f>IF($FY434&gt;0,IF(INDEX($EM$6:$EM$77,$FT434)&gt;=GA$3,ROUND(INDEX(EO$6:EO$77,$FT434)*INDEX(卡牌消耗!$B$8:$F$8,FV434)/5,0)*5,""),"")</f>
        <v>2650</v>
      </c>
      <c r="GB434" s="101" t="str">
        <f t="shared" si="301"/>
        <v>专属强化石1</v>
      </c>
      <c r="GC434" s="101">
        <f t="shared" si="302"/>
        <v>16</v>
      </c>
      <c r="GD434" s="101" t="str">
        <f t="shared" si="303"/>
        <v>专属强化石2</v>
      </c>
      <c r="GE434" s="101">
        <f t="shared" si="304"/>
        <v>8</v>
      </c>
      <c r="GF434" s="101">
        <f t="shared" si="309"/>
        <v>0.04</v>
      </c>
      <c r="GG434" s="101">
        <f t="shared" si="310"/>
        <v>1</v>
      </c>
      <c r="GH434" s="101">
        <f t="shared" si="311"/>
        <v>41</v>
      </c>
      <c r="GI434" s="101">
        <f t="shared" si="312"/>
        <v>0</v>
      </c>
      <c r="GJ434" s="101">
        <f t="shared" si="313"/>
        <v>1</v>
      </c>
      <c r="GK434" s="101">
        <f t="shared" si="314"/>
        <v>10</v>
      </c>
      <c r="GL434" s="101">
        <f t="shared" si="315"/>
        <v>1.8100000000000002E-2</v>
      </c>
      <c r="GM434" s="101">
        <f t="shared" si="316"/>
        <v>1</v>
      </c>
      <c r="GN434" s="101">
        <f t="shared" si="317"/>
        <v>19</v>
      </c>
      <c r="GO434" s="101">
        <f t="shared" si="318"/>
        <v>7.2499999999999995E-2</v>
      </c>
      <c r="GP434" s="101">
        <f t="shared" si="319"/>
        <v>1</v>
      </c>
      <c r="GQ434" s="101">
        <f t="shared" si="320"/>
        <v>41</v>
      </c>
    </row>
    <row r="435" spans="175:199" ht="16.5" x14ac:dyDescent="0.2">
      <c r="FS435" s="101">
        <v>430</v>
      </c>
      <c r="FT435" s="101">
        <f t="shared" si="305"/>
        <v>27</v>
      </c>
      <c r="FU435" s="101">
        <f t="shared" si="298"/>
        <v>6</v>
      </c>
      <c r="FV435" s="14">
        <f t="shared" si="299"/>
        <v>4</v>
      </c>
      <c r="FW435" s="101" t="str">
        <f t="shared" si="306"/>
        <v>天使缇娜专属武器-魂珠-3 9级</v>
      </c>
      <c r="FX435" s="101">
        <f t="shared" si="307"/>
        <v>3</v>
      </c>
      <c r="FY435" s="101">
        <f t="shared" si="308"/>
        <v>9</v>
      </c>
      <c r="FZ435" s="101" t="str">
        <f t="shared" si="300"/>
        <v>金币</v>
      </c>
      <c r="GA435" s="139">
        <f>IF($FY435&gt;0,IF(INDEX($EM$6:$EM$77,$FT435)&gt;=GA$3,ROUND(INDEX(EO$6:EO$77,$FT435)*INDEX(卡牌消耗!$B$8:$F$8,FV435)/5,0)*5,""),"")</f>
        <v>3310</v>
      </c>
      <c r="GB435" s="101" t="str">
        <f t="shared" si="301"/>
        <v>专属强化石1</v>
      </c>
      <c r="GC435" s="101">
        <f t="shared" si="302"/>
        <v>20</v>
      </c>
      <c r="GD435" s="101" t="str">
        <f t="shared" si="303"/>
        <v>专属强化石2</v>
      </c>
      <c r="GE435" s="101">
        <f t="shared" si="304"/>
        <v>10</v>
      </c>
      <c r="GF435" s="101">
        <f t="shared" si="309"/>
        <v>0.03</v>
      </c>
      <c r="GG435" s="101">
        <f t="shared" si="310"/>
        <v>1</v>
      </c>
      <c r="GH435" s="101">
        <f t="shared" si="311"/>
        <v>54</v>
      </c>
      <c r="GI435" s="101">
        <f t="shared" si="312"/>
        <v>0</v>
      </c>
      <c r="GJ435" s="101">
        <f t="shared" si="313"/>
        <v>1</v>
      </c>
      <c r="GK435" s="101">
        <f t="shared" si="314"/>
        <v>12</v>
      </c>
      <c r="GL435" s="101">
        <f t="shared" si="315"/>
        <v>1.4E-2</v>
      </c>
      <c r="GM435" s="101">
        <f t="shared" si="316"/>
        <v>1</v>
      </c>
      <c r="GN435" s="101">
        <f t="shared" si="317"/>
        <v>25</v>
      </c>
      <c r="GO435" s="101">
        <f t="shared" si="318"/>
        <v>5.6000000000000001E-2</v>
      </c>
      <c r="GP435" s="101">
        <f t="shared" si="319"/>
        <v>1</v>
      </c>
      <c r="GQ435" s="101">
        <f t="shared" si="320"/>
        <v>54</v>
      </c>
    </row>
    <row r="436" spans="175:199" ht="16.5" x14ac:dyDescent="0.2">
      <c r="FS436" s="101">
        <v>431</v>
      </c>
      <c r="FT436" s="101">
        <f t="shared" si="305"/>
        <v>0</v>
      </c>
      <c r="FU436" s="101">
        <f t="shared" si="298"/>
        <v>6</v>
      </c>
      <c r="FV436" s="14">
        <f t="shared" si="299"/>
        <v>4</v>
      </c>
      <c r="FW436" s="101" t="str">
        <f t="shared" si="306"/>
        <v>天使缇娜专属武器-魂珠-4 0级</v>
      </c>
      <c r="FX436" s="101">
        <f t="shared" si="307"/>
        <v>4</v>
      </c>
      <c r="FY436" s="101">
        <f t="shared" si="308"/>
        <v>0</v>
      </c>
      <c r="FZ436" s="101" t="str">
        <f t="shared" si="300"/>
        <v/>
      </c>
      <c r="GA436" s="139" t="str">
        <f>IF($FY436&gt;0,IF(INDEX($EM$6:$EM$77,$FT436)&gt;=GA$3,ROUND(INDEX(EO$6:EO$77,$FT436)*INDEX(卡牌消耗!$B$8:$F$8,FV436)/5,0)*5,""),"")</f>
        <v/>
      </c>
      <c r="GB436" s="101" t="str">
        <f t="shared" si="301"/>
        <v/>
      </c>
      <c r="GC436" s="101" t="str">
        <f t="shared" si="302"/>
        <v/>
      </c>
      <c r="GD436" s="101" t="str">
        <f t="shared" si="303"/>
        <v/>
      </c>
      <c r="GE436" s="101" t="str">
        <f t="shared" si="304"/>
        <v/>
      </c>
      <c r="GF436" s="101" t="str">
        <f t="shared" si="309"/>
        <v/>
      </c>
      <c r="GG436" s="101" t="str">
        <f t="shared" si="310"/>
        <v/>
      </c>
      <c r="GH436" s="101" t="str">
        <f t="shared" si="311"/>
        <v/>
      </c>
      <c r="GI436" s="101" t="str">
        <f t="shared" si="312"/>
        <v/>
      </c>
      <c r="GJ436" s="101" t="str">
        <f t="shared" si="313"/>
        <v/>
      </c>
      <c r="GK436" s="101" t="str">
        <f t="shared" si="314"/>
        <v/>
      </c>
      <c r="GL436" s="101" t="str">
        <f t="shared" si="315"/>
        <v/>
      </c>
      <c r="GM436" s="101" t="str">
        <f t="shared" si="316"/>
        <v/>
      </c>
      <c r="GN436" s="101" t="str">
        <f t="shared" si="317"/>
        <v/>
      </c>
      <c r="GO436" s="101" t="str">
        <f t="shared" si="318"/>
        <v/>
      </c>
      <c r="GP436" s="101" t="str">
        <f t="shared" si="319"/>
        <v/>
      </c>
      <c r="GQ436" s="101" t="str">
        <f t="shared" si="320"/>
        <v/>
      </c>
    </row>
    <row r="437" spans="175:199" ht="16.5" x14ac:dyDescent="0.2">
      <c r="FS437" s="101">
        <v>432</v>
      </c>
      <c r="FT437" s="101">
        <f t="shared" si="305"/>
        <v>28</v>
      </c>
      <c r="FU437" s="101">
        <f t="shared" si="298"/>
        <v>6</v>
      </c>
      <c r="FV437" s="14">
        <f t="shared" si="299"/>
        <v>4</v>
      </c>
      <c r="FW437" s="101" t="str">
        <f t="shared" si="306"/>
        <v>天使缇娜专属武器-魂珠-4 1级</v>
      </c>
      <c r="FX437" s="101">
        <f t="shared" si="307"/>
        <v>4</v>
      </c>
      <c r="FY437" s="101">
        <f t="shared" si="308"/>
        <v>1</v>
      </c>
      <c r="FZ437" s="101" t="str">
        <f t="shared" si="300"/>
        <v>金币</v>
      </c>
      <c r="GA437" s="139">
        <f>IF($FY437&gt;0,IF(INDEX($EM$6:$EM$77,$FT437)&gt;=GA$3,ROUND(INDEX(EO$6:EO$77,$FT437)*INDEX(卡牌消耗!$B$8:$F$8,FV437)/5,0)*5,""),"")</f>
        <v>1095</v>
      </c>
      <c r="GB437" s="101" t="str">
        <f t="shared" si="301"/>
        <v>专属强化石2</v>
      </c>
      <c r="GC437" s="101">
        <f t="shared" si="302"/>
        <v>3</v>
      </c>
      <c r="GD437" s="101" t="str">
        <f t="shared" si="303"/>
        <v>专属强化石3</v>
      </c>
      <c r="GE437" s="101">
        <f t="shared" si="304"/>
        <v>1</v>
      </c>
      <c r="GF437" s="101">
        <f t="shared" si="309"/>
        <v>0.2</v>
      </c>
      <c r="GG437" s="101">
        <f t="shared" si="310"/>
        <v>1</v>
      </c>
      <c r="GH437" s="101">
        <f t="shared" si="311"/>
        <v>7</v>
      </c>
      <c r="GI437" s="101">
        <f t="shared" si="312"/>
        <v>0</v>
      </c>
      <c r="GJ437" s="101">
        <f t="shared" si="313"/>
        <v>1</v>
      </c>
      <c r="GK437" s="101">
        <f t="shared" si="314"/>
        <v>2</v>
      </c>
      <c r="GL437" s="101">
        <f t="shared" si="315"/>
        <v>0.1012</v>
      </c>
      <c r="GM437" s="101">
        <f t="shared" si="316"/>
        <v>1</v>
      </c>
      <c r="GN437" s="101">
        <f t="shared" si="317"/>
        <v>3</v>
      </c>
      <c r="GO437" s="101">
        <f t="shared" si="318"/>
        <v>0.40479999999999999</v>
      </c>
      <c r="GP437" s="101">
        <f t="shared" si="319"/>
        <v>1</v>
      </c>
      <c r="GQ437" s="101">
        <f t="shared" si="320"/>
        <v>7</v>
      </c>
    </row>
    <row r="438" spans="175:199" ht="16.5" x14ac:dyDescent="0.2">
      <c r="FS438" s="101">
        <v>433</v>
      </c>
      <c r="FT438" s="101">
        <f t="shared" si="305"/>
        <v>29</v>
      </c>
      <c r="FU438" s="101">
        <f t="shared" si="298"/>
        <v>6</v>
      </c>
      <c r="FV438" s="14">
        <f t="shared" si="299"/>
        <v>4</v>
      </c>
      <c r="FW438" s="101" t="str">
        <f t="shared" si="306"/>
        <v>天使缇娜专属武器-魂珠-4 2级</v>
      </c>
      <c r="FX438" s="101">
        <f t="shared" si="307"/>
        <v>4</v>
      </c>
      <c r="FY438" s="101">
        <f t="shared" si="308"/>
        <v>2</v>
      </c>
      <c r="FZ438" s="101" t="str">
        <f t="shared" si="300"/>
        <v>金币</v>
      </c>
      <c r="GA438" s="139">
        <f>IF($FY438&gt;0,IF(INDEX($EM$6:$EM$77,$FT438)&gt;=GA$3,ROUND(INDEX(EO$6:EO$77,$FT438)*INDEX(卡牌消耗!$B$8:$F$8,FV438)/5,0)*5,""),"")</f>
        <v>820</v>
      </c>
      <c r="GB438" s="101" t="str">
        <f t="shared" si="301"/>
        <v>专属强化石2</v>
      </c>
      <c r="GC438" s="101">
        <f t="shared" si="302"/>
        <v>3</v>
      </c>
      <c r="GD438" s="101" t="str">
        <f t="shared" si="303"/>
        <v>专属强化石3</v>
      </c>
      <c r="GE438" s="101">
        <f t="shared" si="304"/>
        <v>1</v>
      </c>
      <c r="GF438" s="101">
        <f t="shared" si="309"/>
        <v>0.1</v>
      </c>
      <c r="GG438" s="101">
        <f t="shared" si="310"/>
        <v>1</v>
      </c>
      <c r="GH438" s="101">
        <f t="shared" si="311"/>
        <v>15</v>
      </c>
      <c r="GI438" s="101">
        <f t="shared" si="312"/>
        <v>0</v>
      </c>
      <c r="GJ438" s="101">
        <f t="shared" si="313"/>
        <v>1</v>
      </c>
      <c r="GK438" s="101">
        <f t="shared" si="314"/>
        <v>3</v>
      </c>
      <c r="GL438" s="101">
        <f t="shared" si="315"/>
        <v>5.0599999999999999E-2</v>
      </c>
      <c r="GM438" s="101">
        <f t="shared" si="316"/>
        <v>1</v>
      </c>
      <c r="GN438" s="101">
        <f t="shared" si="317"/>
        <v>7</v>
      </c>
      <c r="GO438" s="101">
        <f t="shared" si="318"/>
        <v>0.2024</v>
      </c>
      <c r="GP438" s="101">
        <f t="shared" si="319"/>
        <v>1</v>
      </c>
      <c r="GQ438" s="101">
        <f t="shared" si="320"/>
        <v>15</v>
      </c>
    </row>
    <row r="439" spans="175:199" ht="16.5" x14ac:dyDescent="0.2">
      <c r="FS439" s="101">
        <v>434</v>
      </c>
      <c r="FT439" s="101">
        <f t="shared" si="305"/>
        <v>30</v>
      </c>
      <c r="FU439" s="101">
        <f t="shared" si="298"/>
        <v>6</v>
      </c>
      <c r="FV439" s="14">
        <f t="shared" si="299"/>
        <v>4</v>
      </c>
      <c r="FW439" s="101" t="str">
        <f t="shared" si="306"/>
        <v>天使缇娜专属武器-魂珠-4 3级</v>
      </c>
      <c r="FX439" s="101">
        <f t="shared" si="307"/>
        <v>4</v>
      </c>
      <c r="FY439" s="101">
        <f t="shared" si="308"/>
        <v>3</v>
      </c>
      <c r="FZ439" s="101" t="str">
        <f t="shared" si="300"/>
        <v>金币</v>
      </c>
      <c r="GA439" s="139">
        <f>IF($FY439&gt;0,IF(INDEX($EM$6:$EM$77,$FT439)&gt;=GA$3,ROUND(INDEX(EO$6:EO$77,$FT439)*INDEX(卡牌消耗!$B$8:$F$8,FV439)/5,0)*5,""),"")</f>
        <v>910</v>
      </c>
      <c r="GB439" s="101" t="str">
        <f t="shared" si="301"/>
        <v>专属强化石2</v>
      </c>
      <c r="GC439" s="101">
        <f t="shared" si="302"/>
        <v>3</v>
      </c>
      <c r="GD439" s="101" t="str">
        <f t="shared" si="303"/>
        <v>专属强化石3</v>
      </c>
      <c r="GE439" s="101">
        <f t="shared" si="304"/>
        <v>1</v>
      </c>
      <c r="GF439" s="101">
        <f t="shared" si="309"/>
        <v>7.0000000000000007E-2</v>
      </c>
      <c r="GG439" s="101">
        <f t="shared" si="310"/>
        <v>1</v>
      </c>
      <c r="GH439" s="101">
        <f t="shared" si="311"/>
        <v>22</v>
      </c>
      <c r="GI439" s="101">
        <f t="shared" si="312"/>
        <v>0</v>
      </c>
      <c r="GJ439" s="101">
        <f t="shared" si="313"/>
        <v>1</v>
      </c>
      <c r="GK439" s="101">
        <f t="shared" si="314"/>
        <v>5</v>
      </c>
      <c r="GL439" s="101">
        <f t="shared" si="315"/>
        <v>3.3700000000000001E-2</v>
      </c>
      <c r="GM439" s="101">
        <f t="shared" si="316"/>
        <v>1</v>
      </c>
      <c r="GN439" s="101">
        <f t="shared" si="317"/>
        <v>10</v>
      </c>
      <c r="GO439" s="101">
        <f t="shared" si="318"/>
        <v>0.13489999999999999</v>
      </c>
      <c r="GP439" s="101">
        <f t="shared" si="319"/>
        <v>1</v>
      </c>
      <c r="GQ439" s="101">
        <f t="shared" si="320"/>
        <v>22</v>
      </c>
    </row>
    <row r="440" spans="175:199" ht="16.5" x14ac:dyDescent="0.2">
      <c r="FS440" s="101">
        <v>435</v>
      </c>
      <c r="FT440" s="101">
        <f t="shared" si="305"/>
        <v>31</v>
      </c>
      <c r="FU440" s="101">
        <f t="shared" si="298"/>
        <v>6</v>
      </c>
      <c r="FV440" s="14">
        <f t="shared" si="299"/>
        <v>4</v>
      </c>
      <c r="FW440" s="101" t="str">
        <f t="shared" si="306"/>
        <v>天使缇娜专属武器-魂珠-4 4级</v>
      </c>
      <c r="FX440" s="101">
        <f t="shared" si="307"/>
        <v>4</v>
      </c>
      <c r="FY440" s="101">
        <f t="shared" si="308"/>
        <v>4</v>
      </c>
      <c r="FZ440" s="101" t="str">
        <f t="shared" si="300"/>
        <v>金币</v>
      </c>
      <c r="GA440" s="139">
        <f>IF($FY440&gt;0,IF(INDEX($EM$6:$EM$77,$FT440)&gt;=GA$3,ROUND(INDEX(EO$6:EO$77,$FT440)*INDEX(卡牌消耗!$B$8:$F$8,FV440)/5,0)*5,""),"")</f>
        <v>1750</v>
      </c>
      <c r="GB440" s="101" t="str">
        <f t="shared" si="301"/>
        <v>专属强化石2</v>
      </c>
      <c r="GC440" s="101">
        <f t="shared" si="302"/>
        <v>5</v>
      </c>
      <c r="GD440" s="101" t="str">
        <f t="shared" si="303"/>
        <v>专属强化石3</v>
      </c>
      <c r="GE440" s="101">
        <f t="shared" si="304"/>
        <v>2</v>
      </c>
      <c r="GF440" s="101">
        <f t="shared" si="309"/>
        <v>0.08</v>
      </c>
      <c r="GG440" s="101">
        <f t="shared" si="310"/>
        <v>1</v>
      </c>
      <c r="GH440" s="101">
        <f t="shared" si="311"/>
        <v>19</v>
      </c>
      <c r="GI440" s="101">
        <f t="shared" si="312"/>
        <v>0</v>
      </c>
      <c r="GJ440" s="101">
        <f t="shared" si="313"/>
        <v>1</v>
      </c>
      <c r="GK440" s="101">
        <f t="shared" si="314"/>
        <v>4</v>
      </c>
      <c r="GL440" s="101">
        <f t="shared" si="315"/>
        <v>4.0500000000000001E-2</v>
      </c>
      <c r="GM440" s="101">
        <f t="shared" si="316"/>
        <v>1</v>
      </c>
      <c r="GN440" s="101">
        <f t="shared" si="317"/>
        <v>9</v>
      </c>
      <c r="GO440" s="101">
        <f t="shared" si="318"/>
        <v>0.16189999999999999</v>
      </c>
      <c r="GP440" s="101">
        <f t="shared" si="319"/>
        <v>1</v>
      </c>
      <c r="GQ440" s="101">
        <f t="shared" si="320"/>
        <v>19</v>
      </c>
    </row>
    <row r="441" spans="175:199" ht="16.5" x14ac:dyDescent="0.2">
      <c r="FS441" s="101">
        <v>436</v>
      </c>
      <c r="FT441" s="101">
        <f t="shared" si="305"/>
        <v>32</v>
      </c>
      <c r="FU441" s="101">
        <f t="shared" si="298"/>
        <v>6</v>
      </c>
      <c r="FV441" s="14">
        <f t="shared" si="299"/>
        <v>4</v>
      </c>
      <c r="FW441" s="101" t="str">
        <f t="shared" si="306"/>
        <v>天使缇娜专属武器-魂珠-4 5级</v>
      </c>
      <c r="FX441" s="101">
        <f t="shared" si="307"/>
        <v>4</v>
      </c>
      <c r="FY441" s="101">
        <f t="shared" si="308"/>
        <v>5</v>
      </c>
      <c r="FZ441" s="101" t="str">
        <f t="shared" si="300"/>
        <v>金币</v>
      </c>
      <c r="GA441" s="139">
        <f>IF($FY441&gt;0,IF(INDEX($EM$6:$EM$77,$FT441)&gt;=GA$3,ROUND(INDEX(EO$6:EO$77,$FT441)*INDEX(卡牌消耗!$B$8:$F$8,FV441)/5,0)*5,""),"")</f>
        <v>1780</v>
      </c>
      <c r="GB441" s="101" t="str">
        <f t="shared" si="301"/>
        <v>专属强化石2</v>
      </c>
      <c r="GC441" s="101">
        <f t="shared" si="302"/>
        <v>5</v>
      </c>
      <c r="GD441" s="101" t="str">
        <f t="shared" si="303"/>
        <v>专属强化石3</v>
      </c>
      <c r="GE441" s="101">
        <f t="shared" si="304"/>
        <v>2</v>
      </c>
      <c r="GF441" s="101">
        <f t="shared" si="309"/>
        <v>0.05</v>
      </c>
      <c r="GG441" s="101">
        <f t="shared" si="310"/>
        <v>1</v>
      </c>
      <c r="GH441" s="101">
        <f t="shared" si="311"/>
        <v>30</v>
      </c>
      <c r="GI441" s="101">
        <f t="shared" si="312"/>
        <v>0</v>
      </c>
      <c r="GJ441" s="101">
        <f t="shared" si="313"/>
        <v>1</v>
      </c>
      <c r="GK441" s="101">
        <f t="shared" si="314"/>
        <v>7</v>
      </c>
      <c r="GL441" s="101">
        <f t="shared" si="315"/>
        <v>2.53E-2</v>
      </c>
      <c r="GM441" s="101">
        <f t="shared" si="316"/>
        <v>1</v>
      </c>
      <c r="GN441" s="101">
        <f t="shared" si="317"/>
        <v>14</v>
      </c>
      <c r="GO441" s="101">
        <f t="shared" si="318"/>
        <v>0.1012</v>
      </c>
      <c r="GP441" s="101">
        <f t="shared" si="319"/>
        <v>1</v>
      </c>
      <c r="GQ441" s="101">
        <f t="shared" si="320"/>
        <v>30</v>
      </c>
    </row>
    <row r="442" spans="175:199" ht="16.5" x14ac:dyDescent="0.2">
      <c r="FS442" s="101">
        <v>437</v>
      </c>
      <c r="FT442" s="101">
        <f t="shared" si="305"/>
        <v>33</v>
      </c>
      <c r="FU442" s="101">
        <f t="shared" si="298"/>
        <v>6</v>
      </c>
      <c r="FV442" s="14">
        <f t="shared" si="299"/>
        <v>4</v>
      </c>
      <c r="FW442" s="101" t="str">
        <f t="shared" si="306"/>
        <v>天使缇娜专属武器-魂珠-4 6级</v>
      </c>
      <c r="FX442" s="101">
        <f t="shared" si="307"/>
        <v>4</v>
      </c>
      <c r="FY442" s="101">
        <f t="shared" si="308"/>
        <v>6</v>
      </c>
      <c r="FZ442" s="101" t="str">
        <f t="shared" si="300"/>
        <v>金币</v>
      </c>
      <c r="GA442" s="139">
        <f>IF($FY442&gt;0,IF(INDEX($EM$6:$EM$77,$FT442)&gt;=GA$3,ROUND(INDEX(EO$6:EO$77,$FT442)*INDEX(卡牌消耗!$B$8:$F$8,FV442)/5,0)*5,""),"")</f>
        <v>1770</v>
      </c>
      <c r="GB442" s="101" t="str">
        <f t="shared" si="301"/>
        <v>专属强化石2</v>
      </c>
      <c r="GC442" s="101">
        <f t="shared" si="302"/>
        <v>5</v>
      </c>
      <c r="GD442" s="101" t="str">
        <f t="shared" si="303"/>
        <v>专属强化石3</v>
      </c>
      <c r="GE442" s="101">
        <f t="shared" si="304"/>
        <v>2</v>
      </c>
      <c r="GF442" s="101">
        <f t="shared" si="309"/>
        <v>0.03</v>
      </c>
      <c r="GG442" s="101">
        <f t="shared" si="310"/>
        <v>1</v>
      </c>
      <c r="GH442" s="101">
        <f t="shared" si="311"/>
        <v>48</v>
      </c>
      <c r="GI442" s="101">
        <f t="shared" si="312"/>
        <v>0</v>
      </c>
      <c r="GJ442" s="101">
        <f t="shared" si="313"/>
        <v>1</v>
      </c>
      <c r="GK442" s="101">
        <f t="shared" si="314"/>
        <v>11</v>
      </c>
      <c r="GL442" s="101">
        <f t="shared" si="315"/>
        <v>1.5599999999999999E-2</v>
      </c>
      <c r="GM442" s="101">
        <f t="shared" si="316"/>
        <v>1</v>
      </c>
      <c r="GN442" s="101">
        <f t="shared" si="317"/>
        <v>22</v>
      </c>
      <c r="GO442" s="101">
        <f t="shared" si="318"/>
        <v>6.2300000000000001E-2</v>
      </c>
      <c r="GP442" s="101">
        <f t="shared" si="319"/>
        <v>1</v>
      </c>
      <c r="GQ442" s="101">
        <f t="shared" si="320"/>
        <v>48</v>
      </c>
    </row>
    <row r="443" spans="175:199" ht="16.5" x14ac:dyDescent="0.2">
      <c r="FS443" s="101">
        <v>438</v>
      </c>
      <c r="FT443" s="101">
        <f t="shared" si="305"/>
        <v>34</v>
      </c>
      <c r="FU443" s="101">
        <f t="shared" si="298"/>
        <v>6</v>
      </c>
      <c r="FV443" s="14">
        <f t="shared" si="299"/>
        <v>4</v>
      </c>
      <c r="FW443" s="101" t="str">
        <f t="shared" si="306"/>
        <v>天使缇娜专属武器-魂珠-4 7级</v>
      </c>
      <c r="FX443" s="101">
        <f t="shared" si="307"/>
        <v>4</v>
      </c>
      <c r="FY443" s="101">
        <f t="shared" si="308"/>
        <v>7</v>
      </c>
      <c r="FZ443" s="101" t="str">
        <f t="shared" si="300"/>
        <v>金币</v>
      </c>
      <c r="GA443" s="139">
        <f>IF($FY443&gt;0,IF(INDEX($EM$6:$EM$77,$FT443)&gt;=GA$3,ROUND(INDEX(EO$6:EO$77,$FT443)*INDEX(卡牌消耗!$B$8:$F$8,FV443)/5,0)*5,""),"")</f>
        <v>2660</v>
      </c>
      <c r="GB443" s="101" t="str">
        <f t="shared" si="301"/>
        <v>专属强化石2</v>
      </c>
      <c r="GC443" s="101">
        <f t="shared" si="302"/>
        <v>8</v>
      </c>
      <c r="GD443" s="101" t="str">
        <f t="shared" si="303"/>
        <v>专属强化石3</v>
      </c>
      <c r="GE443" s="101">
        <f t="shared" si="304"/>
        <v>3</v>
      </c>
      <c r="GF443" s="101">
        <f t="shared" si="309"/>
        <v>0.03</v>
      </c>
      <c r="GG443" s="101">
        <f t="shared" si="310"/>
        <v>1</v>
      </c>
      <c r="GH443" s="101">
        <f t="shared" si="311"/>
        <v>52</v>
      </c>
      <c r="GI443" s="101">
        <f t="shared" si="312"/>
        <v>0</v>
      </c>
      <c r="GJ443" s="101">
        <f t="shared" si="313"/>
        <v>1</v>
      </c>
      <c r="GK443" s="101">
        <f t="shared" si="314"/>
        <v>12</v>
      </c>
      <c r="GL443" s="101">
        <f t="shared" si="315"/>
        <v>1.4500000000000001E-2</v>
      </c>
      <c r="GM443" s="101">
        <f t="shared" si="316"/>
        <v>1</v>
      </c>
      <c r="GN443" s="101">
        <f t="shared" si="317"/>
        <v>24</v>
      </c>
      <c r="GO443" s="101">
        <f t="shared" si="318"/>
        <v>5.7799999999999997E-2</v>
      </c>
      <c r="GP443" s="101">
        <f t="shared" si="319"/>
        <v>1</v>
      </c>
      <c r="GQ443" s="101">
        <f t="shared" si="320"/>
        <v>52</v>
      </c>
    </row>
    <row r="444" spans="175:199" ht="16.5" x14ac:dyDescent="0.2">
      <c r="FS444" s="101">
        <v>439</v>
      </c>
      <c r="FT444" s="101">
        <f t="shared" si="305"/>
        <v>35</v>
      </c>
      <c r="FU444" s="101">
        <f t="shared" si="298"/>
        <v>6</v>
      </c>
      <c r="FV444" s="14">
        <f t="shared" si="299"/>
        <v>4</v>
      </c>
      <c r="FW444" s="101" t="str">
        <f t="shared" si="306"/>
        <v>天使缇娜专属武器-魂珠-4 8级</v>
      </c>
      <c r="FX444" s="101">
        <f t="shared" si="307"/>
        <v>4</v>
      </c>
      <c r="FY444" s="101">
        <f t="shared" si="308"/>
        <v>8</v>
      </c>
      <c r="FZ444" s="101" t="str">
        <f t="shared" si="300"/>
        <v>金币</v>
      </c>
      <c r="GA444" s="139">
        <f>IF($FY444&gt;0,IF(INDEX($EM$6:$EM$77,$FT444)&gt;=GA$3,ROUND(INDEX(EO$6:EO$77,$FT444)*INDEX(卡牌消耗!$B$8:$F$8,FV444)/5,0)*5,""),"")</f>
        <v>3540</v>
      </c>
      <c r="GB444" s="101" t="str">
        <f t="shared" si="301"/>
        <v>专属强化石2</v>
      </c>
      <c r="GC444" s="101">
        <f t="shared" si="302"/>
        <v>11</v>
      </c>
      <c r="GD444" s="101" t="str">
        <f t="shared" si="303"/>
        <v>专属强化石3</v>
      </c>
      <c r="GE444" s="101">
        <f t="shared" si="304"/>
        <v>4</v>
      </c>
      <c r="GF444" s="101">
        <f t="shared" si="309"/>
        <v>0.02</v>
      </c>
      <c r="GG444" s="101">
        <f t="shared" si="310"/>
        <v>1</v>
      </c>
      <c r="GH444" s="101">
        <f t="shared" si="311"/>
        <v>63</v>
      </c>
      <c r="GI444" s="101">
        <f t="shared" si="312"/>
        <v>0</v>
      </c>
      <c r="GJ444" s="101">
        <f t="shared" si="313"/>
        <v>1</v>
      </c>
      <c r="GK444" s="101">
        <f t="shared" si="314"/>
        <v>15</v>
      </c>
      <c r="GL444" s="101">
        <f t="shared" si="315"/>
        <v>1.1900000000000001E-2</v>
      </c>
      <c r="GM444" s="101">
        <f t="shared" si="316"/>
        <v>1</v>
      </c>
      <c r="GN444" s="101">
        <f t="shared" si="317"/>
        <v>29</v>
      </c>
      <c r="GO444" s="101">
        <f t="shared" si="318"/>
        <v>4.7600000000000003E-2</v>
      </c>
      <c r="GP444" s="101">
        <f t="shared" si="319"/>
        <v>1</v>
      </c>
      <c r="GQ444" s="101">
        <f t="shared" si="320"/>
        <v>63</v>
      </c>
    </row>
    <row r="445" spans="175:199" ht="16.5" x14ac:dyDescent="0.2">
      <c r="FS445" s="101">
        <v>440</v>
      </c>
      <c r="FT445" s="101">
        <f t="shared" si="305"/>
        <v>36</v>
      </c>
      <c r="FU445" s="101">
        <f t="shared" si="298"/>
        <v>6</v>
      </c>
      <c r="FV445" s="14">
        <f t="shared" si="299"/>
        <v>4</v>
      </c>
      <c r="FW445" s="101" t="str">
        <f t="shared" si="306"/>
        <v>天使缇娜专属武器-魂珠-4 9级</v>
      </c>
      <c r="FX445" s="101">
        <f t="shared" si="307"/>
        <v>4</v>
      </c>
      <c r="FY445" s="101">
        <f t="shared" si="308"/>
        <v>9</v>
      </c>
      <c r="FZ445" s="101" t="str">
        <f t="shared" si="300"/>
        <v>金币</v>
      </c>
      <c r="GA445" s="139">
        <f>IF($FY445&gt;0,IF(INDEX($EM$6:$EM$77,$FT445)&gt;=GA$3,ROUND(INDEX(EO$6:EO$77,$FT445)*INDEX(卡牌消耗!$B$8:$F$8,FV445)/5,0)*5,""),"")</f>
        <v>5315</v>
      </c>
      <c r="GB445" s="101" t="str">
        <f t="shared" si="301"/>
        <v>专属强化石2</v>
      </c>
      <c r="GC445" s="101">
        <f t="shared" si="302"/>
        <v>16</v>
      </c>
      <c r="GD445" s="101" t="str">
        <f t="shared" si="303"/>
        <v>专属强化石3</v>
      </c>
      <c r="GE445" s="101">
        <f t="shared" si="304"/>
        <v>6</v>
      </c>
      <c r="GF445" s="101">
        <f t="shared" si="309"/>
        <v>0.02</v>
      </c>
      <c r="GG445" s="101">
        <f t="shared" si="310"/>
        <v>1</v>
      </c>
      <c r="GH445" s="101">
        <f t="shared" si="311"/>
        <v>68</v>
      </c>
      <c r="GI445" s="101">
        <f t="shared" si="312"/>
        <v>0</v>
      </c>
      <c r="GJ445" s="101">
        <f t="shared" si="313"/>
        <v>1</v>
      </c>
      <c r="GK445" s="101">
        <f t="shared" si="314"/>
        <v>16</v>
      </c>
      <c r="GL445" s="101">
        <f t="shared" si="315"/>
        <v>1.0999999999999999E-2</v>
      </c>
      <c r="GM445" s="101">
        <f t="shared" si="316"/>
        <v>1</v>
      </c>
      <c r="GN445" s="101">
        <f t="shared" si="317"/>
        <v>32</v>
      </c>
      <c r="GO445" s="101">
        <f t="shared" si="318"/>
        <v>4.4200000000000003E-2</v>
      </c>
      <c r="GP445" s="101">
        <f t="shared" si="319"/>
        <v>1</v>
      </c>
      <c r="GQ445" s="101">
        <f t="shared" si="320"/>
        <v>68</v>
      </c>
    </row>
    <row r="446" spans="175:199" ht="16.5" x14ac:dyDescent="0.2">
      <c r="FS446" s="101">
        <v>441</v>
      </c>
      <c r="FT446" s="101">
        <f t="shared" si="305"/>
        <v>0</v>
      </c>
      <c r="FU446" s="101">
        <f t="shared" si="298"/>
        <v>6</v>
      </c>
      <c r="FV446" s="14">
        <f t="shared" si="299"/>
        <v>4</v>
      </c>
      <c r="FW446" s="101" t="str">
        <f t="shared" si="306"/>
        <v>天使缇娜专属武器-魂珠-5 0级</v>
      </c>
      <c r="FX446" s="101">
        <f t="shared" si="307"/>
        <v>5</v>
      </c>
      <c r="FY446" s="101">
        <f t="shared" si="308"/>
        <v>0</v>
      </c>
      <c r="FZ446" s="101" t="str">
        <f t="shared" si="300"/>
        <v/>
      </c>
      <c r="GA446" s="139" t="str">
        <f>IF($FY446&gt;0,IF(INDEX($EM$6:$EM$77,$FT446)&gt;=GA$3,ROUND(INDEX(EO$6:EO$77,$FT446)*INDEX(卡牌消耗!$B$8:$F$8,FV446)/5,0)*5,""),"")</f>
        <v/>
      </c>
      <c r="GB446" s="101" t="str">
        <f t="shared" si="301"/>
        <v/>
      </c>
      <c r="GC446" s="101" t="str">
        <f t="shared" si="302"/>
        <v/>
      </c>
      <c r="GD446" s="101" t="str">
        <f t="shared" si="303"/>
        <v/>
      </c>
      <c r="GE446" s="101" t="str">
        <f t="shared" si="304"/>
        <v/>
      </c>
      <c r="GF446" s="101" t="str">
        <f t="shared" si="309"/>
        <v/>
      </c>
      <c r="GG446" s="101" t="str">
        <f t="shared" si="310"/>
        <v/>
      </c>
      <c r="GH446" s="101" t="str">
        <f t="shared" si="311"/>
        <v/>
      </c>
      <c r="GI446" s="101" t="str">
        <f t="shared" si="312"/>
        <v/>
      </c>
      <c r="GJ446" s="101" t="str">
        <f t="shared" si="313"/>
        <v/>
      </c>
      <c r="GK446" s="101" t="str">
        <f t="shared" si="314"/>
        <v/>
      </c>
      <c r="GL446" s="101" t="str">
        <f t="shared" si="315"/>
        <v/>
      </c>
      <c r="GM446" s="101" t="str">
        <f t="shared" si="316"/>
        <v/>
      </c>
      <c r="GN446" s="101" t="str">
        <f t="shared" si="317"/>
        <v/>
      </c>
      <c r="GO446" s="101" t="str">
        <f t="shared" si="318"/>
        <v/>
      </c>
      <c r="GP446" s="101" t="str">
        <f t="shared" si="319"/>
        <v/>
      </c>
      <c r="GQ446" s="101" t="str">
        <f t="shared" si="320"/>
        <v/>
      </c>
    </row>
    <row r="447" spans="175:199" ht="16.5" x14ac:dyDescent="0.2">
      <c r="FS447" s="101">
        <v>442</v>
      </c>
      <c r="FT447" s="101">
        <f t="shared" si="305"/>
        <v>37</v>
      </c>
      <c r="FU447" s="101">
        <f t="shared" si="298"/>
        <v>6</v>
      </c>
      <c r="FV447" s="14">
        <f t="shared" si="299"/>
        <v>4</v>
      </c>
      <c r="FW447" s="101" t="str">
        <f t="shared" si="306"/>
        <v>天使缇娜专属武器-魂珠-5 1级</v>
      </c>
      <c r="FX447" s="101">
        <f t="shared" si="307"/>
        <v>5</v>
      </c>
      <c r="FY447" s="101">
        <f t="shared" si="308"/>
        <v>1</v>
      </c>
      <c r="FZ447" s="101" t="str">
        <f t="shared" si="300"/>
        <v>金币</v>
      </c>
      <c r="GA447" s="139">
        <f>IF($FY447&gt;0,IF(INDEX($EM$6:$EM$77,$FT447)&gt;=GA$3,ROUND(INDEX(EO$6:EO$77,$FT447)*INDEX(卡牌消耗!$B$8:$F$8,FV447)/5,0)*5,""),"")</f>
        <v>2245</v>
      </c>
      <c r="GB447" s="101" t="str">
        <f t="shared" si="301"/>
        <v>专属强化石2</v>
      </c>
      <c r="GC447" s="101">
        <f t="shared" si="302"/>
        <v>3</v>
      </c>
      <c r="GD447" s="101" t="str">
        <f t="shared" si="303"/>
        <v>专属强化石3</v>
      </c>
      <c r="GE447" s="101">
        <f t="shared" si="304"/>
        <v>2</v>
      </c>
      <c r="GF447" s="101">
        <f t="shared" si="309"/>
        <v>0.2</v>
      </c>
      <c r="GG447" s="101">
        <f t="shared" si="310"/>
        <v>1</v>
      </c>
      <c r="GH447" s="101">
        <f t="shared" si="311"/>
        <v>7</v>
      </c>
      <c r="GI447" s="101">
        <f t="shared" si="312"/>
        <v>0</v>
      </c>
      <c r="GJ447" s="101">
        <f t="shared" si="313"/>
        <v>1</v>
      </c>
      <c r="GK447" s="101">
        <f t="shared" si="314"/>
        <v>2</v>
      </c>
      <c r="GL447" s="101">
        <f t="shared" si="315"/>
        <v>0.1012</v>
      </c>
      <c r="GM447" s="101">
        <f t="shared" si="316"/>
        <v>1</v>
      </c>
      <c r="GN447" s="101">
        <f t="shared" si="317"/>
        <v>3</v>
      </c>
      <c r="GO447" s="101">
        <f t="shared" si="318"/>
        <v>0.40479999999999999</v>
      </c>
      <c r="GP447" s="101">
        <f t="shared" si="319"/>
        <v>1</v>
      </c>
      <c r="GQ447" s="101">
        <f t="shared" si="320"/>
        <v>7</v>
      </c>
    </row>
    <row r="448" spans="175:199" ht="16.5" x14ac:dyDescent="0.2">
      <c r="FS448" s="101">
        <v>443</v>
      </c>
      <c r="FT448" s="101">
        <f t="shared" si="305"/>
        <v>38</v>
      </c>
      <c r="FU448" s="101">
        <f t="shared" si="298"/>
        <v>6</v>
      </c>
      <c r="FV448" s="14">
        <f t="shared" si="299"/>
        <v>4</v>
      </c>
      <c r="FW448" s="101" t="str">
        <f t="shared" si="306"/>
        <v>天使缇娜专属武器-魂珠-5 2级</v>
      </c>
      <c r="FX448" s="101">
        <f t="shared" si="307"/>
        <v>5</v>
      </c>
      <c r="FY448" s="101">
        <f t="shared" si="308"/>
        <v>2</v>
      </c>
      <c r="FZ448" s="101" t="str">
        <f t="shared" si="300"/>
        <v>金币</v>
      </c>
      <c r="GA448" s="139">
        <f>IF($FY448&gt;0,IF(INDEX($EM$6:$EM$77,$FT448)&gt;=GA$3,ROUND(INDEX(EO$6:EO$77,$FT448)*INDEX(卡牌消耗!$B$8:$F$8,FV448)/5,0)*5,""),"")</f>
        <v>1685</v>
      </c>
      <c r="GB448" s="101" t="str">
        <f t="shared" si="301"/>
        <v>专属强化石2</v>
      </c>
      <c r="GC448" s="101">
        <f t="shared" si="302"/>
        <v>3</v>
      </c>
      <c r="GD448" s="101" t="str">
        <f t="shared" si="303"/>
        <v>专属强化石3</v>
      </c>
      <c r="GE448" s="101">
        <f t="shared" si="304"/>
        <v>2</v>
      </c>
      <c r="GF448" s="101">
        <f t="shared" si="309"/>
        <v>0.1</v>
      </c>
      <c r="GG448" s="101">
        <f t="shared" si="310"/>
        <v>1</v>
      </c>
      <c r="GH448" s="101">
        <f t="shared" si="311"/>
        <v>15</v>
      </c>
      <c r="GI448" s="101">
        <f t="shared" si="312"/>
        <v>0</v>
      </c>
      <c r="GJ448" s="101">
        <f t="shared" si="313"/>
        <v>1</v>
      </c>
      <c r="GK448" s="101">
        <f t="shared" si="314"/>
        <v>3</v>
      </c>
      <c r="GL448" s="101">
        <f t="shared" si="315"/>
        <v>5.0599999999999999E-2</v>
      </c>
      <c r="GM448" s="101">
        <f t="shared" si="316"/>
        <v>1</v>
      </c>
      <c r="GN448" s="101">
        <f t="shared" si="317"/>
        <v>7</v>
      </c>
      <c r="GO448" s="101">
        <f t="shared" si="318"/>
        <v>0.2024</v>
      </c>
      <c r="GP448" s="101">
        <f t="shared" si="319"/>
        <v>1</v>
      </c>
      <c r="GQ448" s="101">
        <f t="shared" si="320"/>
        <v>15</v>
      </c>
    </row>
    <row r="449" spans="175:199" ht="16.5" x14ac:dyDescent="0.2">
      <c r="FS449" s="101">
        <v>444</v>
      </c>
      <c r="FT449" s="101">
        <f t="shared" si="305"/>
        <v>39</v>
      </c>
      <c r="FU449" s="101">
        <f t="shared" si="298"/>
        <v>6</v>
      </c>
      <c r="FV449" s="14">
        <f t="shared" si="299"/>
        <v>4</v>
      </c>
      <c r="FW449" s="101" t="str">
        <f t="shared" si="306"/>
        <v>天使缇娜专属武器-魂珠-5 3级</v>
      </c>
      <c r="FX449" s="101">
        <f t="shared" si="307"/>
        <v>5</v>
      </c>
      <c r="FY449" s="101">
        <f t="shared" si="308"/>
        <v>3</v>
      </c>
      <c r="FZ449" s="101" t="str">
        <f t="shared" si="300"/>
        <v>金币</v>
      </c>
      <c r="GA449" s="139">
        <f>IF($FY449&gt;0,IF(INDEX($EM$6:$EM$77,$FT449)&gt;=GA$3,ROUND(INDEX(EO$6:EO$77,$FT449)*INDEX(卡牌消耗!$B$8:$F$8,FV449)/5,0)*5,""),"")</f>
        <v>1870</v>
      </c>
      <c r="GB449" s="101" t="str">
        <f t="shared" si="301"/>
        <v>专属强化石2</v>
      </c>
      <c r="GC449" s="101">
        <f t="shared" si="302"/>
        <v>3</v>
      </c>
      <c r="GD449" s="101" t="str">
        <f t="shared" si="303"/>
        <v>专属强化石3</v>
      </c>
      <c r="GE449" s="101">
        <f t="shared" si="304"/>
        <v>2</v>
      </c>
      <c r="GF449" s="101">
        <f t="shared" si="309"/>
        <v>7.0000000000000007E-2</v>
      </c>
      <c r="GG449" s="101">
        <f t="shared" si="310"/>
        <v>1</v>
      </c>
      <c r="GH449" s="101">
        <f t="shared" si="311"/>
        <v>22</v>
      </c>
      <c r="GI449" s="101">
        <f t="shared" si="312"/>
        <v>0</v>
      </c>
      <c r="GJ449" s="101">
        <f t="shared" si="313"/>
        <v>1</v>
      </c>
      <c r="GK449" s="101">
        <f t="shared" si="314"/>
        <v>5</v>
      </c>
      <c r="GL449" s="101">
        <f t="shared" si="315"/>
        <v>3.3700000000000001E-2</v>
      </c>
      <c r="GM449" s="101">
        <f t="shared" si="316"/>
        <v>1</v>
      </c>
      <c r="GN449" s="101">
        <f t="shared" si="317"/>
        <v>10</v>
      </c>
      <c r="GO449" s="101">
        <f t="shared" si="318"/>
        <v>0.13489999999999999</v>
      </c>
      <c r="GP449" s="101">
        <f t="shared" si="319"/>
        <v>1</v>
      </c>
      <c r="GQ449" s="101">
        <f t="shared" si="320"/>
        <v>22</v>
      </c>
    </row>
    <row r="450" spans="175:199" ht="16.5" x14ac:dyDescent="0.2">
      <c r="FS450" s="101">
        <v>445</v>
      </c>
      <c r="FT450" s="101">
        <f t="shared" si="305"/>
        <v>40</v>
      </c>
      <c r="FU450" s="101">
        <f t="shared" si="298"/>
        <v>6</v>
      </c>
      <c r="FV450" s="14">
        <f t="shared" si="299"/>
        <v>4</v>
      </c>
      <c r="FW450" s="101" t="str">
        <f t="shared" si="306"/>
        <v>天使缇娜专属武器-魂珠-5 4级</v>
      </c>
      <c r="FX450" s="101">
        <f t="shared" si="307"/>
        <v>5</v>
      </c>
      <c r="FY450" s="101">
        <f t="shared" si="308"/>
        <v>4</v>
      </c>
      <c r="FZ450" s="101" t="str">
        <f t="shared" si="300"/>
        <v>金币</v>
      </c>
      <c r="GA450" s="139">
        <f>IF($FY450&gt;0,IF(INDEX($EM$6:$EM$77,$FT450)&gt;=GA$3,ROUND(INDEX(EO$6:EO$77,$FT450)*INDEX(卡牌消耗!$B$8:$F$8,FV450)/5,0)*5,""),"")</f>
        <v>2695</v>
      </c>
      <c r="GB450" s="101" t="str">
        <f t="shared" si="301"/>
        <v>专属强化石2</v>
      </c>
      <c r="GC450" s="101">
        <f t="shared" si="302"/>
        <v>5</v>
      </c>
      <c r="GD450" s="101" t="str">
        <f t="shared" si="303"/>
        <v>专属强化石3</v>
      </c>
      <c r="GE450" s="101">
        <f t="shared" si="304"/>
        <v>3</v>
      </c>
      <c r="GF450" s="101">
        <f t="shared" si="309"/>
        <v>0.06</v>
      </c>
      <c r="GG450" s="101">
        <f t="shared" si="310"/>
        <v>1</v>
      </c>
      <c r="GH450" s="101">
        <f t="shared" si="311"/>
        <v>25</v>
      </c>
      <c r="GI450" s="101">
        <f t="shared" si="312"/>
        <v>0</v>
      </c>
      <c r="GJ450" s="101">
        <f t="shared" si="313"/>
        <v>1</v>
      </c>
      <c r="GK450" s="101">
        <f t="shared" si="314"/>
        <v>6</v>
      </c>
      <c r="GL450" s="101">
        <f t="shared" si="315"/>
        <v>3.04E-2</v>
      </c>
      <c r="GM450" s="101">
        <f t="shared" si="316"/>
        <v>1</v>
      </c>
      <c r="GN450" s="101">
        <f t="shared" si="317"/>
        <v>12</v>
      </c>
      <c r="GO450" s="101">
        <f t="shared" si="318"/>
        <v>0.12139999999999999</v>
      </c>
      <c r="GP450" s="101">
        <f t="shared" si="319"/>
        <v>1</v>
      </c>
      <c r="GQ450" s="101">
        <f t="shared" si="320"/>
        <v>25</v>
      </c>
    </row>
    <row r="451" spans="175:199" ht="16.5" x14ac:dyDescent="0.2">
      <c r="FS451" s="101">
        <v>446</v>
      </c>
      <c r="FT451" s="101">
        <f t="shared" si="305"/>
        <v>41</v>
      </c>
      <c r="FU451" s="101">
        <f t="shared" si="298"/>
        <v>6</v>
      </c>
      <c r="FV451" s="14">
        <f t="shared" si="299"/>
        <v>4</v>
      </c>
      <c r="FW451" s="101" t="str">
        <f t="shared" si="306"/>
        <v>天使缇娜专属武器-魂珠-5 5级</v>
      </c>
      <c r="FX451" s="101">
        <f t="shared" si="307"/>
        <v>5</v>
      </c>
      <c r="FY451" s="101">
        <f t="shared" si="308"/>
        <v>5</v>
      </c>
      <c r="FZ451" s="101" t="str">
        <f t="shared" si="300"/>
        <v>金币</v>
      </c>
      <c r="GA451" s="139">
        <f>IF($FY451&gt;0,IF(INDEX($EM$6:$EM$77,$FT451)&gt;=GA$3,ROUND(INDEX(EO$6:EO$77,$FT451)*INDEX(卡牌消耗!$B$8:$F$8,FV451)/5,0)*5,""),"")</f>
        <v>2735</v>
      </c>
      <c r="GB451" s="101" t="str">
        <f t="shared" si="301"/>
        <v>专属强化石2</v>
      </c>
      <c r="GC451" s="101">
        <f t="shared" si="302"/>
        <v>5</v>
      </c>
      <c r="GD451" s="101" t="str">
        <f t="shared" si="303"/>
        <v>专属强化石3</v>
      </c>
      <c r="GE451" s="101">
        <f t="shared" si="304"/>
        <v>3</v>
      </c>
      <c r="GF451" s="101">
        <f t="shared" si="309"/>
        <v>0.04</v>
      </c>
      <c r="GG451" s="101">
        <f t="shared" si="310"/>
        <v>1</v>
      </c>
      <c r="GH451" s="101">
        <f t="shared" si="311"/>
        <v>40</v>
      </c>
      <c r="GI451" s="101">
        <f t="shared" si="312"/>
        <v>0</v>
      </c>
      <c r="GJ451" s="101">
        <f t="shared" si="313"/>
        <v>1</v>
      </c>
      <c r="GK451" s="101">
        <f t="shared" si="314"/>
        <v>9</v>
      </c>
      <c r="GL451" s="101">
        <f t="shared" si="315"/>
        <v>1.9E-2</v>
      </c>
      <c r="GM451" s="101">
        <f t="shared" si="316"/>
        <v>1</v>
      </c>
      <c r="GN451" s="101">
        <f t="shared" si="317"/>
        <v>18</v>
      </c>
      <c r="GO451" s="101">
        <f t="shared" si="318"/>
        <v>7.5899999999999995E-2</v>
      </c>
      <c r="GP451" s="101">
        <f t="shared" si="319"/>
        <v>1</v>
      </c>
      <c r="GQ451" s="101">
        <f t="shared" si="320"/>
        <v>40</v>
      </c>
    </row>
    <row r="452" spans="175:199" ht="16.5" x14ac:dyDescent="0.2">
      <c r="FS452" s="101">
        <v>447</v>
      </c>
      <c r="FT452" s="101">
        <f t="shared" si="305"/>
        <v>42</v>
      </c>
      <c r="FU452" s="101">
        <f t="shared" si="298"/>
        <v>6</v>
      </c>
      <c r="FV452" s="14">
        <f t="shared" si="299"/>
        <v>4</v>
      </c>
      <c r="FW452" s="101" t="str">
        <f t="shared" si="306"/>
        <v>天使缇娜专属武器-魂珠-5 6级</v>
      </c>
      <c r="FX452" s="101">
        <f t="shared" si="307"/>
        <v>5</v>
      </c>
      <c r="FY452" s="101">
        <f t="shared" si="308"/>
        <v>6</v>
      </c>
      <c r="FZ452" s="101" t="str">
        <f t="shared" si="300"/>
        <v>金币</v>
      </c>
      <c r="GA452" s="139">
        <f>IF($FY452&gt;0,IF(INDEX($EM$6:$EM$77,$FT452)&gt;=GA$3,ROUND(INDEX(EO$6:EO$77,$FT452)*INDEX(卡牌消耗!$B$8:$F$8,FV452)/5,0)*5,""),"")</f>
        <v>4530</v>
      </c>
      <c r="GB452" s="101" t="str">
        <f t="shared" si="301"/>
        <v>专属强化石2</v>
      </c>
      <c r="GC452" s="101">
        <f t="shared" si="302"/>
        <v>8</v>
      </c>
      <c r="GD452" s="101" t="str">
        <f t="shared" si="303"/>
        <v>专属强化石3</v>
      </c>
      <c r="GE452" s="101">
        <f t="shared" si="304"/>
        <v>5</v>
      </c>
      <c r="GF452" s="101">
        <f t="shared" si="309"/>
        <v>0.04</v>
      </c>
      <c r="GG452" s="101">
        <f t="shared" si="310"/>
        <v>1</v>
      </c>
      <c r="GH452" s="101">
        <f t="shared" si="311"/>
        <v>39</v>
      </c>
      <c r="GI452" s="101">
        <f t="shared" si="312"/>
        <v>0</v>
      </c>
      <c r="GJ452" s="101">
        <f t="shared" si="313"/>
        <v>1</v>
      </c>
      <c r="GK452" s="101">
        <f t="shared" si="314"/>
        <v>9</v>
      </c>
      <c r="GL452" s="101">
        <f t="shared" si="315"/>
        <v>1.95E-2</v>
      </c>
      <c r="GM452" s="101">
        <f t="shared" si="316"/>
        <v>1</v>
      </c>
      <c r="GN452" s="101">
        <f t="shared" si="317"/>
        <v>18</v>
      </c>
      <c r="GO452" s="101">
        <f t="shared" si="318"/>
        <v>7.7799999999999994E-2</v>
      </c>
      <c r="GP452" s="101">
        <f t="shared" si="319"/>
        <v>1</v>
      </c>
      <c r="GQ452" s="101">
        <f t="shared" si="320"/>
        <v>39</v>
      </c>
    </row>
    <row r="453" spans="175:199" ht="16.5" x14ac:dyDescent="0.2">
      <c r="FS453" s="101">
        <v>448</v>
      </c>
      <c r="FT453" s="101">
        <f t="shared" si="305"/>
        <v>43</v>
      </c>
      <c r="FU453" s="101">
        <f t="shared" si="298"/>
        <v>6</v>
      </c>
      <c r="FV453" s="14">
        <f t="shared" si="299"/>
        <v>4</v>
      </c>
      <c r="FW453" s="101" t="str">
        <f t="shared" si="306"/>
        <v>天使缇娜专属武器-魂珠-5 7级</v>
      </c>
      <c r="FX453" s="101">
        <f t="shared" si="307"/>
        <v>5</v>
      </c>
      <c r="FY453" s="101">
        <f t="shared" si="308"/>
        <v>7</v>
      </c>
      <c r="FZ453" s="101" t="str">
        <f t="shared" si="300"/>
        <v>金币</v>
      </c>
      <c r="GA453" s="139">
        <f>IF($FY453&gt;0,IF(INDEX($EM$6:$EM$77,$FT453)&gt;=GA$3,ROUND(INDEX(EO$6:EO$77,$FT453)*INDEX(卡牌消耗!$B$8:$F$8,FV453)/5,0)*5,""),"")</f>
        <v>4540</v>
      </c>
      <c r="GB453" s="101" t="str">
        <f t="shared" si="301"/>
        <v>专属强化石2</v>
      </c>
      <c r="GC453" s="101">
        <f t="shared" si="302"/>
        <v>8</v>
      </c>
      <c r="GD453" s="101" t="str">
        <f t="shared" si="303"/>
        <v>专属强化石3</v>
      </c>
      <c r="GE453" s="101">
        <f t="shared" si="304"/>
        <v>5</v>
      </c>
      <c r="GF453" s="101">
        <f t="shared" si="309"/>
        <v>0.02</v>
      </c>
      <c r="GG453" s="101">
        <f t="shared" si="310"/>
        <v>1</v>
      </c>
      <c r="GH453" s="101">
        <f t="shared" si="311"/>
        <v>62</v>
      </c>
      <c r="GI453" s="101">
        <f t="shared" si="312"/>
        <v>0</v>
      </c>
      <c r="GJ453" s="101">
        <f t="shared" si="313"/>
        <v>1</v>
      </c>
      <c r="GK453" s="101">
        <f t="shared" si="314"/>
        <v>15</v>
      </c>
      <c r="GL453" s="101">
        <f t="shared" si="315"/>
        <v>1.2E-2</v>
      </c>
      <c r="GM453" s="101">
        <f t="shared" si="316"/>
        <v>1</v>
      </c>
      <c r="GN453" s="101">
        <f t="shared" si="317"/>
        <v>29</v>
      </c>
      <c r="GO453" s="101">
        <f t="shared" si="318"/>
        <v>4.82E-2</v>
      </c>
      <c r="GP453" s="101">
        <f t="shared" si="319"/>
        <v>1</v>
      </c>
      <c r="GQ453" s="101">
        <f t="shared" si="320"/>
        <v>62</v>
      </c>
    </row>
    <row r="454" spans="175:199" ht="16.5" x14ac:dyDescent="0.2">
      <c r="FS454" s="101">
        <v>449</v>
      </c>
      <c r="FT454" s="101">
        <f t="shared" si="305"/>
        <v>44</v>
      </c>
      <c r="FU454" s="101">
        <f t="shared" si="298"/>
        <v>6</v>
      </c>
      <c r="FV454" s="14">
        <f t="shared" si="299"/>
        <v>4</v>
      </c>
      <c r="FW454" s="101" t="str">
        <f t="shared" si="306"/>
        <v>天使缇娜专属武器-魂珠-5 8级</v>
      </c>
      <c r="FX454" s="101">
        <f t="shared" si="307"/>
        <v>5</v>
      </c>
      <c r="FY454" s="101">
        <f t="shared" si="308"/>
        <v>8</v>
      </c>
      <c r="FZ454" s="101" t="str">
        <f t="shared" si="300"/>
        <v>金币</v>
      </c>
      <c r="GA454" s="139">
        <f>IF($FY454&gt;0,IF(INDEX($EM$6:$EM$77,$FT454)&gt;=GA$3,ROUND(INDEX(EO$6:EO$77,$FT454)*INDEX(卡牌消耗!$B$8:$F$8,FV454)/5,0)*5,""),"")</f>
        <v>6350</v>
      </c>
      <c r="GB454" s="101" t="str">
        <f t="shared" si="301"/>
        <v>专属强化石2</v>
      </c>
      <c r="GC454" s="101">
        <f t="shared" si="302"/>
        <v>11</v>
      </c>
      <c r="GD454" s="101" t="str">
        <f t="shared" si="303"/>
        <v>专属强化石3</v>
      </c>
      <c r="GE454" s="101">
        <f t="shared" si="304"/>
        <v>7</v>
      </c>
      <c r="GF454" s="101">
        <f t="shared" si="309"/>
        <v>0.02</v>
      </c>
      <c r="GG454" s="101">
        <f t="shared" si="310"/>
        <v>1</v>
      </c>
      <c r="GH454" s="101">
        <f t="shared" si="311"/>
        <v>72</v>
      </c>
      <c r="GI454" s="101">
        <f t="shared" si="312"/>
        <v>0</v>
      </c>
      <c r="GJ454" s="101">
        <f t="shared" si="313"/>
        <v>1</v>
      </c>
      <c r="GK454" s="101">
        <f t="shared" si="314"/>
        <v>17</v>
      </c>
      <c r="GL454" s="101">
        <f t="shared" si="315"/>
        <v>1.04E-2</v>
      </c>
      <c r="GM454" s="101">
        <f t="shared" si="316"/>
        <v>1</v>
      </c>
      <c r="GN454" s="101">
        <f t="shared" si="317"/>
        <v>34</v>
      </c>
      <c r="GO454" s="101">
        <f t="shared" si="318"/>
        <v>4.1700000000000001E-2</v>
      </c>
      <c r="GP454" s="101">
        <f t="shared" si="319"/>
        <v>1</v>
      </c>
      <c r="GQ454" s="101">
        <f t="shared" si="320"/>
        <v>72</v>
      </c>
    </row>
    <row r="455" spans="175:199" ht="16.5" x14ac:dyDescent="0.2">
      <c r="FS455" s="101">
        <v>450</v>
      </c>
      <c r="FT455" s="101">
        <f t="shared" si="305"/>
        <v>45</v>
      </c>
      <c r="FU455" s="101">
        <f t="shared" ref="FU455:FU518" si="321">INT((FS455-1)/80+1)</f>
        <v>6</v>
      </c>
      <c r="FV455" s="14">
        <f t="shared" ref="FV455:FV518" si="322">INDEX($FO$6:$FO$26,FU455)</f>
        <v>4</v>
      </c>
      <c r="FW455" s="101" t="str">
        <f t="shared" si="306"/>
        <v>天使缇娜专属武器-魂珠-5 9级</v>
      </c>
      <c r="FX455" s="101">
        <f t="shared" si="307"/>
        <v>5</v>
      </c>
      <c r="FY455" s="101">
        <f t="shared" si="308"/>
        <v>9</v>
      </c>
      <c r="FZ455" s="101" t="str">
        <f t="shared" ref="FZ455:FZ518" si="323">IF($FY455&gt;0,IF(INDEX($EM$6:$EM$77,$FT455)&gt;=FZ$3,INDEX(EN$6:EN$77,$FT455),""),"")</f>
        <v>金币</v>
      </c>
      <c r="GA455" s="139">
        <f>IF($FY455&gt;0,IF(INDEX($EM$6:$EM$77,$FT455)&gt;=GA$3,ROUND(INDEX(EO$6:EO$77,$FT455)*INDEX(卡牌消耗!$B$8:$F$8,FV455)/5,0)*5,""),"")</f>
        <v>8170</v>
      </c>
      <c r="GB455" s="101" t="str">
        <f t="shared" ref="GB455:GB518" si="324">IF($FY455&gt;0,IF(INDEX($EM$6:$EM$77,$FT455)&gt;=GB$3,INDEX(EP$6:EP$77,$FT455),""),"")</f>
        <v>专属强化石2</v>
      </c>
      <c r="GC455" s="101">
        <f t="shared" ref="GC455:GC518" si="325">IF($FY455&gt;0,IF(INDEX($EM$6:$EM$77,$FT455)&gt;=GC$3,INDEX(EQ$6:EQ$77,$FT455),""),"")</f>
        <v>14</v>
      </c>
      <c r="GD455" s="101" t="str">
        <f t="shared" ref="GD455:GD518" si="326">IF($FY455&gt;0,IF(INDEX($EM$6:$EM$77,$FT455)&gt;=GD$3,INDEX(ER$6:ER$77,$FT455),""),"")</f>
        <v>专属强化石3</v>
      </c>
      <c r="GE455" s="101">
        <f t="shared" ref="GE455:GE518" si="327">IF($FY455&gt;0,IF(INDEX($EM$6:$EM$77,$FT455)&gt;=GE$3,INDEX(ES$6:ES$77,$FT455),""),"")</f>
        <v>9</v>
      </c>
      <c r="GF455" s="101">
        <f t="shared" si="309"/>
        <v>0.02</v>
      </c>
      <c r="GG455" s="101">
        <f t="shared" si="310"/>
        <v>1</v>
      </c>
      <c r="GH455" s="101">
        <f t="shared" si="311"/>
        <v>91</v>
      </c>
      <c r="GI455" s="101">
        <f t="shared" si="312"/>
        <v>0</v>
      </c>
      <c r="GJ455" s="101">
        <f t="shared" si="313"/>
        <v>1</v>
      </c>
      <c r="GK455" s="101">
        <f t="shared" si="314"/>
        <v>21</v>
      </c>
      <c r="GL455" s="101">
        <f t="shared" si="315"/>
        <v>8.3000000000000001E-3</v>
      </c>
      <c r="GM455" s="101">
        <f t="shared" si="316"/>
        <v>1</v>
      </c>
      <c r="GN455" s="101">
        <f t="shared" si="317"/>
        <v>42</v>
      </c>
      <c r="GO455" s="101">
        <f t="shared" si="318"/>
        <v>3.3099999999999997E-2</v>
      </c>
      <c r="GP455" s="101">
        <f t="shared" si="319"/>
        <v>1</v>
      </c>
      <c r="GQ455" s="101">
        <f t="shared" si="320"/>
        <v>91</v>
      </c>
    </row>
    <row r="456" spans="175:199" ht="16.5" x14ac:dyDescent="0.2">
      <c r="FS456" s="101">
        <v>451</v>
      </c>
      <c r="FT456" s="101">
        <f t="shared" si="305"/>
        <v>0</v>
      </c>
      <c r="FU456" s="101">
        <f t="shared" si="321"/>
        <v>6</v>
      </c>
      <c r="FV456" s="14">
        <f t="shared" si="322"/>
        <v>4</v>
      </c>
      <c r="FW456" s="101" t="str">
        <f t="shared" si="306"/>
        <v>天使缇娜专属武器-魂珠-6 0级</v>
      </c>
      <c r="FX456" s="101">
        <f t="shared" si="307"/>
        <v>6</v>
      </c>
      <c r="FY456" s="101">
        <f t="shared" si="308"/>
        <v>0</v>
      </c>
      <c r="FZ456" s="101" t="str">
        <f t="shared" si="323"/>
        <v/>
      </c>
      <c r="GA456" s="139" t="str">
        <f>IF($FY456&gt;0,IF(INDEX($EM$6:$EM$77,$FT456)&gt;=GA$3,ROUND(INDEX(EO$6:EO$77,$FT456)*INDEX(卡牌消耗!$B$8:$F$8,FV456)/5,0)*5,""),"")</f>
        <v/>
      </c>
      <c r="GB456" s="101" t="str">
        <f t="shared" si="324"/>
        <v/>
      </c>
      <c r="GC456" s="101" t="str">
        <f t="shared" si="325"/>
        <v/>
      </c>
      <c r="GD456" s="101" t="str">
        <f t="shared" si="326"/>
        <v/>
      </c>
      <c r="GE456" s="101" t="str">
        <f t="shared" si="327"/>
        <v/>
      </c>
      <c r="GF456" s="101" t="str">
        <f t="shared" si="309"/>
        <v/>
      </c>
      <c r="GG456" s="101" t="str">
        <f t="shared" si="310"/>
        <v/>
      </c>
      <c r="GH456" s="101" t="str">
        <f t="shared" si="311"/>
        <v/>
      </c>
      <c r="GI456" s="101" t="str">
        <f t="shared" si="312"/>
        <v/>
      </c>
      <c r="GJ456" s="101" t="str">
        <f t="shared" si="313"/>
        <v/>
      </c>
      <c r="GK456" s="101" t="str">
        <f t="shared" si="314"/>
        <v/>
      </c>
      <c r="GL456" s="101" t="str">
        <f t="shared" si="315"/>
        <v/>
      </c>
      <c r="GM456" s="101" t="str">
        <f t="shared" si="316"/>
        <v/>
      </c>
      <c r="GN456" s="101" t="str">
        <f t="shared" si="317"/>
        <v/>
      </c>
      <c r="GO456" s="101" t="str">
        <f t="shared" si="318"/>
        <v/>
      </c>
      <c r="GP456" s="101" t="str">
        <f t="shared" si="319"/>
        <v/>
      </c>
      <c r="GQ456" s="101" t="str">
        <f t="shared" si="320"/>
        <v/>
      </c>
    </row>
    <row r="457" spans="175:199" ht="16.5" x14ac:dyDescent="0.2">
      <c r="FS457" s="101">
        <v>452</v>
      </c>
      <c r="FT457" s="101">
        <f t="shared" si="305"/>
        <v>46</v>
      </c>
      <c r="FU457" s="101">
        <f t="shared" si="321"/>
        <v>6</v>
      </c>
      <c r="FV457" s="14">
        <f t="shared" si="322"/>
        <v>4</v>
      </c>
      <c r="FW457" s="101" t="str">
        <f t="shared" si="306"/>
        <v>天使缇娜专属武器-魂珠-6 1级</v>
      </c>
      <c r="FX457" s="101">
        <f t="shared" si="307"/>
        <v>6</v>
      </c>
      <c r="FY457" s="101">
        <f t="shared" si="308"/>
        <v>1</v>
      </c>
      <c r="FZ457" s="101" t="str">
        <f t="shared" si="323"/>
        <v>金币</v>
      </c>
      <c r="GA457" s="139">
        <f>IF($FY457&gt;0,IF(INDEX($EM$6:$EM$77,$FT457)&gt;=GA$3,ROUND(INDEX(EO$6:EO$77,$FT457)*INDEX(卡牌消耗!$B$8:$F$8,FV457)/5,0)*5,""),"")</f>
        <v>2180</v>
      </c>
      <c r="GB457" s="101" t="str">
        <f t="shared" si="324"/>
        <v>专属强化石3</v>
      </c>
      <c r="GC457" s="101">
        <f t="shared" si="325"/>
        <v>5</v>
      </c>
      <c r="GD457" s="101" t="str">
        <f t="shared" si="326"/>
        <v>专属强化石4</v>
      </c>
      <c r="GE457" s="101">
        <f t="shared" si="327"/>
        <v>1</v>
      </c>
      <c r="GF457" s="101">
        <f t="shared" si="309"/>
        <v>0.17</v>
      </c>
      <c r="GG457" s="101">
        <f t="shared" si="310"/>
        <v>1</v>
      </c>
      <c r="GH457" s="101">
        <f t="shared" si="311"/>
        <v>9</v>
      </c>
      <c r="GI457" s="101">
        <f t="shared" si="312"/>
        <v>0</v>
      </c>
      <c r="GJ457" s="101">
        <f t="shared" si="313"/>
        <v>1</v>
      </c>
      <c r="GK457" s="101">
        <f t="shared" si="314"/>
        <v>2</v>
      </c>
      <c r="GL457" s="101">
        <f t="shared" si="315"/>
        <v>8.2900000000000001E-2</v>
      </c>
      <c r="GM457" s="101">
        <f t="shared" si="316"/>
        <v>1</v>
      </c>
      <c r="GN457" s="101">
        <f t="shared" si="317"/>
        <v>4</v>
      </c>
      <c r="GO457" s="101">
        <f t="shared" si="318"/>
        <v>0.33139999999999997</v>
      </c>
      <c r="GP457" s="101">
        <f t="shared" si="319"/>
        <v>1</v>
      </c>
      <c r="GQ457" s="101">
        <f t="shared" si="320"/>
        <v>9</v>
      </c>
    </row>
    <row r="458" spans="175:199" ht="16.5" x14ac:dyDescent="0.2">
      <c r="FS458" s="101">
        <v>453</v>
      </c>
      <c r="FT458" s="101">
        <f t="shared" si="305"/>
        <v>47</v>
      </c>
      <c r="FU458" s="101">
        <f t="shared" si="321"/>
        <v>6</v>
      </c>
      <c r="FV458" s="14">
        <f t="shared" si="322"/>
        <v>4</v>
      </c>
      <c r="FW458" s="101" t="str">
        <f t="shared" si="306"/>
        <v>天使缇娜专属武器-魂珠-6 2级</v>
      </c>
      <c r="FX458" s="101">
        <f t="shared" si="307"/>
        <v>6</v>
      </c>
      <c r="FY458" s="101">
        <f t="shared" si="308"/>
        <v>2</v>
      </c>
      <c r="FZ458" s="101" t="str">
        <f t="shared" si="323"/>
        <v>金币</v>
      </c>
      <c r="GA458" s="139">
        <f>IF($FY458&gt;0,IF(INDEX($EM$6:$EM$77,$FT458)&gt;=GA$3,ROUND(INDEX(EO$6:EO$77,$FT458)*INDEX(卡牌消耗!$B$8:$F$8,FV458)/5,0)*5,""),"")</f>
        <v>3270</v>
      </c>
      <c r="GB458" s="101" t="str">
        <f t="shared" si="324"/>
        <v>专属强化石3</v>
      </c>
      <c r="GC458" s="101">
        <f t="shared" si="325"/>
        <v>10</v>
      </c>
      <c r="GD458" s="101" t="str">
        <f t="shared" si="326"/>
        <v>专属强化石4</v>
      </c>
      <c r="GE458" s="101">
        <f t="shared" si="327"/>
        <v>2</v>
      </c>
      <c r="GF458" s="101">
        <f t="shared" si="309"/>
        <v>0.17</v>
      </c>
      <c r="GG458" s="101">
        <f t="shared" si="310"/>
        <v>1</v>
      </c>
      <c r="GH458" s="101">
        <f t="shared" si="311"/>
        <v>9</v>
      </c>
      <c r="GI458" s="101">
        <f t="shared" si="312"/>
        <v>0</v>
      </c>
      <c r="GJ458" s="101">
        <f t="shared" si="313"/>
        <v>1</v>
      </c>
      <c r="GK458" s="101">
        <f t="shared" si="314"/>
        <v>2</v>
      </c>
      <c r="GL458" s="101">
        <f t="shared" si="315"/>
        <v>8.2900000000000001E-2</v>
      </c>
      <c r="GM458" s="101">
        <f t="shared" si="316"/>
        <v>1</v>
      </c>
      <c r="GN458" s="101">
        <f t="shared" si="317"/>
        <v>4</v>
      </c>
      <c r="GO458" s="101">
        <f t="shared" si="318"/>
        <v>0.33139999999999997</v>
      </c>
      <c r="GP458" s="101">
        <f t="shared" si="319"/>
        <v>1</v>
      </c>
      <c r="GQ458" s="101">
        <f t="shared" si="320"/>
        <v>9</v>
      </c>
    </row>
    <row r="459" spans="175:199" ht="16.5" x14ac:dyDescent="0.2">
      <c r="FS459" s="101">
        <v>454</v>
      </c>
      <c r="FT459" s="101">
        <f t="shared" si="305"/>
        <v>48</v>
      </c>
      <c r="FU459" s="101">
        <f t="shared" si="321"/>
        <v>6</v>
      </c>
      <c r="FV459" s="14">
        <f t="shared" si="322"/>
        <v>4</v>
      </c>
      <c r="FW459" s="101" t="str">
        <f t="shared" si="306"/>
        <v>天使缇娜专属武器-魂珠-6 3级</v>
      </c>
      <c r="FX459" s="101">
        <f t="shared" si="307"/>
        <v>6</v>
      </c>
      <c r="FY459" s="101">
        <f t="shared" si="308"/>
        <v>3</v>
      </c>
      <c r="FZ459" s="101" t="str">
        <f t="shared" si="323"/>
        <v>金币</v>
      </c>
      <c r="GA459" s="139">
        <f>IF($FY459&gt;0,IF(INDEX($EM$6:$EM$77,$FT459)&gt;=GA$3,ROUND(INDEX(EO$6:EO$77,$FT459)*INDEX(卡牌消耗!$B$8:$F$8,FV459)/5,0)*5,""),"")</f>
        <v>3635</v>
      </c>
      <c r="GB459" s="101" t="str">
        <f t="shared" si="324"/>
        <v>专属强化石3</v>
      </c>
      <c r="GC459" s="101">
        <f t="shared" si="325"/>
        <v>10</v>
      </c>
      <c r="GD459" s="101" t="str">
        <f t="shared" si="326"/>
        <v>专属强化石4</v>
      </c>
      <c r="GE459" s="101">
        <f t="shared" si="327"/>
        <v>2</v>
      </c>
      <c r="GF459" s="101">
        <f t="shared" si="309"/>
        <v>0.11</v>
      </c>
      <c r="GG459" s="101">
        <f t="shared" si="310"/>
        <v>1</v>
      </c>
      <c r="GH459" s="101">
        <f t="shared" si="311"/>
        <v>14</v>
      </c>
      <c r="GI459" s="101">
        <f t="shared" si="312"/>
        <v>0</v>
      </c>
      <c r="GJ459" s="101">
        <f t="shared" si="313"/>
        <v>1</v>
      </c>
      <c r="GK459" s="101">
        <f t="shared" si="314"/>
        <v>3</v>
      </c>
      <c r="GL459" s="101">
        <f t="shared" si="315"/>
        <v>5.5199999999999999E-2</v>
      </c>
      <c r="GM459" s="101">
        <f t="shared" si="316"/>
        <v>1</v>
      </c>
      <c r="GN459" s="101">
        <f t="shared" si="317"/>
        <v>6</v>
      </c>
      <c r="GO459" s="101">
        <f t="shared" si="318"/>
        <v>0.221</v>
      </c>
      <c r="GP459" s="101">
        <f t="shared" si="319"/>
        <v>1</v>
      </c>
      <c r="GQ459" s="101">
        <f t="shared" si="320"/>
        <v>14</v>
      </c>
    </row>
    <row r="460" spans="175:199" ht="16.5" x14ac:dyDescent="0.2">
      <c r="FS460" s="101">
        <v>455</v>
      </c>
      <c r="FT460" s="101">
        <f t="shared" si="305"/>
        <v>49</v>
      </c>
      <c r="FU460" s="101">
        <f t="shared" si="321"/>
        <v>6</v>
      </c>
      <c r="FV460" s="14">
        <f t="shared" si="322"/>
        <v>4</v>
      </c>
      <c r="FW460" s="101" t="str">
        <f t="shared" si="306"/>
        <v>天使缇娜专属武器-魂珠-6 4级</v>
      </c>
      <c r="FX460" s="101">
        <f t="shared" si="307"/>
        <v>6</v>
      </c>
      <c r="FY460" s="101">
        <f t="shared" si="308"/>
        <v>4</v>
      </c>
      <c r="FZ460" s="101" t="str">
        <f t="shared" si="323"/>
        <v>金币</v>
      </c>
      <c r="GA460" s="139">
        <f>IF($FY460&gt;0,IF(INDEX($EM$6:$EM$77,$FT460)&gt;=GA$3,ROUND(INDEX(EO$6:EO$77,$FT460)*INDEX(卡牌消耗!$B$8:$F$8,FV460)/5,0)*5,""),"")</f>
        <v>5235</v>
      </c>
      <c r="GB460" s="101" t="str">
        <f t="shared" si="324"/>
        <v>专属强化石3</v>
      </c>
      <c r="GC460" s="101">
        <f t="shared" si="325"/>
        <v>15</v>
      </c>
      <c r="GD460" s="101" t="str">
        <f t="shared" si="326"/>
        <v>专属强化石4</v>
      </c>
      <c r="GE460" s="101">
        <f t="shared" si="327"/>
        <v>3</v>
      </c>
      <c r="GF460" s="101">
        <f t="shared" si="309"/>
        <v>0.1</v>
      </c>
      <c r="GG460" s="101">
        <f t="shared" si="310"/>
        <v>1</v>
      </c>
      <c r="GH460" s="101">
        <f t="shared" si="311"/>
        <v>15</v>
      </c>
      <c r="GI460" s="101">
        <f t="shared" si="312"/>
        <v>0</v>
      </c>
      <c r="GJ460" s="101">
        <f t="shared" si="313"/>
        <v>1</v>
      </c>
      <c r="GK460" s="101">
        <f t="shared" si="314"/>
        <v>4</v>
      </c>
      <c r="GL460" s="101">
        <f t="shared" si="315"/>
        <v>4.9700000000000001E-2</v>
      </c>
      <c r="GM460" s="101">
        <f t="shared" si="316"/>
        <v>1</v>
      </c>
      <c r="GN460" s="101">
        <f t="shared" si="317"/>
        <v>7</v>
      </c>
      <c r="GO460" s="101">
        <f t="shared" si="318"/>
        <v>0.19889999999999999</v>
      </c>
      <c r="GP460" s="101">
        <f t="shared" si="319"/>
        <v>1</v>
      </c>
      <c r="GQ460" s="101">
        <f t="shared" si="320"/>
        <v>15</v>
      </c>
    </row>
    <row r="461" spans="175:199" ht="16.5" x14ac:dyDescent="0.2">
      <c r="FS461" s="101">
        <v>456</v>
      </c>
      <c r="FT461" s="101">
        <f t="shared" si="305"/>
        <v>50</v>
      </c>
      <c r="FU461" s="101">
        <f t="shared" si="321"/>
        <v>6</v>
      </c>
      <c r="FV461" s="14">
        <f t="shared" si="322"/>
        <v>4</v>
      </c>
      <c r="FW461" s="101" t="str">
        <f t="shared" si="306"/>
        <v>天使缇娜专属武器-魂珠-6 5级</v>
      </c>
      <c r="FX461" s="101">
        <f t="shared" si="307"/>
        <v>6</v>
      </c>
      <c r="FY461" s="101">
        <f t="shared" si="308"/>
        <v>5</v>
      </c>
      <c r="FZ461" s="101" t="str">
        <f t="shared" si="323"/>
        <v>金币</v>
      </c>
      <c r="GA461" s="139">
        <f>IF($FY461&gt;0,IF(INDEX($EM$6:$EM$77,$FT461)&gt;=GA$3,ROUND(INDEX(EO$6:EO$77,$FT461)*INDEX(卡牌消耗!$B$8:$F$8,FV461)/5,0)*5,""),"")</f>
        <v>5315</v>
      </c>
      <c r="GB461" s="101" t="str">
        <f t="shared" si="324"/>
        <v>专属强化石3</v>
      </c>
      <c r="GC461" s="101">
        <f t="shared" si="325"/>
        <v>15</v>
      </c>
      <c r="GD461" s="101" t="str">
        <f t="shared" si="326"/>
        <v>专属强化石4</v>
      </c>
      <c r="GE461" s="101">
        <f t="shared" si="327"/>
        <v>3</v>
      </c>
      <c r="GF461" s="101">
        <f t="shared" si="309"/>
        <v>0.06</v>
      </c>
      <c r="GG461" s="101">
        <f t="shared" si="310"/>
        <v>1</v>
      </c>
      <c r="GH461" s="101">
        <f t="shared" si="311"/>
        <v>24</v>
      </c>
      <c r="GI461" s="101">
        <f t="shared" si="312"/>
        <v>0</v>
      </c>
      <c r="GJ461" s="101">
        <f t="shared" si="313"/>
        <v>1</v>
      </c>
      <c r="GK461" s="101">
        <f t="shared" si="314"/>
        <v>6</v>
      </c>
      <c r="GL461" s="101">
        <f t="shared" si="315"/>
        <v>3.1099999999999999E-2</v>
      </c>
      <c r="GM461" s="101">
        <f t="shared" si="316"/>
        <v>1</v>
      </c>
      <c r="GN461" s="101">
        <f t="shared" si="317"/>
        <v>11</v>
      </c>
      <c r="GO461" s="101">
        <f t="shared" si="318"/>
        <v>0.12429999999999999</v>
      </c>
      <c r="GP461" s="101">
        <f t="shared" si="319"/>
        <v>1</v>
      </c>
      <c r="GQ461" s="101">
        <f t="shared" si="320"/>
        <v>24</v>
      </c>
    </row>
    <row r="462" spans="175:199" ht="16.5" x14ac:dyDescent="0.2">
      <c r="FS462" s="101">
        <v>457</v>
      </c>
      <c r="FT462" s="101">
        <f t="shared" si="305"/>
        <v>51</v>
      </c>
      <c r="FU462" s="101">
        <f t="shared" si="321"/>
        <v>6</v>
      </c>
      <c r="FV462" s="14">
        <f t="shared" si="322"/>
        <v>4</v>
      </c>
      <c r="FW462" s="101" t="str">
        <f t="shared" si="306"/>
        <v>天使缇娜专属武器-魂珠-6 6级</v>
      </c>
      <c r="FX462" s="101">
        <f t="shared" si="307"/>
        <v>6</v>
      </c>
      <c r="FY462" s="101">
        <f t="shared" si="308"/>
        <v>6</v>
      </c>
      <c r="FZ462" s="101" t="str">
        <f t="shared" si="323"/>
        <v>金币</v>
      </c>
      <c r="GA462" s="139">
        <f>IF($FY462&gt;0,IF(INDEX($EM$6:$EM$77,$FT462)&gt;=GA$3,ROUND(INDEX(EO$6:EO$77,$FT462)*INDEX(卡牌消耗!$B$8:$F$8,FV462)/5,0)*5,""),"")</f>
        <v>7045</v>
      </c>
      <c r="GB462" s="101" t="str">
        <f t="shared" si="324"/>
        <v>专属强化石3</v>
      </c>
      <c r="GC462" s="101">
        <f t="shared" si="325"/>
        <v>20</v>
      </c>
      <c r="GD462" s="101" t="str">
        <f t="shared" si="326"/>
        <v>专属强化石4</v>
      </c>
      <c r="GE462" s="101">
        <f t="shared" si="327"/>
        <v>4</v>
      </c>
      <c r="GF462" s="101">
        <f t="shared" si="309"/>
        <v>0.05</v>
      </c>
      <c r="GG462" s="101">
        <f t="shared" si="310"/>
        <v>1</v>
      </c>
      <c r="GH462" s="101">
        <f t="shared" si="311"/>
        <v>29</v>
      </c>
      <c r="GI462" s="101">
        <f t="shared" si="312"/>
        <v>0</v>
      </c>
      <c r="GJ462" s="101">
        <f t="shared" si="313"/>
        <v>1</v>
      </c>
      <c r="GK462" s="101">
        <f t="shared" si="314"/>
        <v>7</v>
      </c>
      <c r="GL462" s="101">
        <f t="shared" si="315"/>
        <v>2.5499999999999998E-2</v>
      </c>
      <c r="GM462" s="101">
        <f t="shared" si="316"/>
        <v>1</v>
      </c>
      <c r="GN462" s="101">
        <f t="shared" si="317"/>
        <v>14</v>
      </c>
      <c r="GO462" s="101">
        <f t="shared" si="318"/>
        <v>0.10199999999999999</v>
      </c>
      <c r="GP462" s="101">
        <f t="shared" si="319"/>
        <v>1</v>
      </c>
      <c r="GQ462" s="101">
        <f t="shared" si="320"/>
        <v>29</v>
      </c>
    </row>
    <row r="463" spans="175:199" ht="16.5" x14ac:dyDescent="0.2">
      <c r="FS463" s="101">
        <v>458</v>
      </c>
      <c r="FT463" s="101">
        <f t="shared" si="305"/>
        <v>52</v>
      </c>
      <c r="FU463" s="101">
        <f t="shared" si="321"/>
        <v>6</v>
      </c>
      <c r="FV463" s="14">
        <f t="shared" si="322"/>
        <v>4</v>
      </c>
      <c r="FW463" s="101" t="str">
        <f t="shared" si="306"/>
        <v>天使缇娜专属武器-魂珠-6 7级</v>
      </c>
      <c r="FX463" s="101">
        <f t="shared" si="307"/>
        <v>6</v>
      </c>
      <c r="FY463" s="101">
        <f t="shared" si="308"/>
        <v>7</v>
      </c>
      <c r="FZ463" s="101" t="str">
        <f t="shared" si="323"/>
        <v>金币</v>
      </c>
      <c r="GA463" s="139">
        <f>IF($FY463&gt;0,IF(INDEX($EM$6:$EM$77,$FT463)&gt;=GA$3,ROUND(INDEX(EO$6:EO$77,$FT463)*INDEX(卡牌消耗!$B$8:$F$8,FV463)/5,0)*5,""),"")</f>
        <v>8830</v>
      </c>
      <c r="GB463" s="101" t="str">
        <f t="shared" si="324"/>
        <v>专属强化石3</v>
      </c>
      <c r="GC463" s="101">
        <f t="shared" si="325"/>
        <v>25</v>
      </c>
      <c r="GD463" s="101" t="str">
        <f t="shared" si="326"/>
        <v>专属强化石4</v>
      </c>
      <c r="GE463" s="101">
        <f t="shared" si="327"/>
        <v>5</v>
      </c>
      <c r="GF463" s="101">
        <f t="shared" si="309"/>
        <v>0.04</v>
      </c>
      <c r="GG463" s="101">
        <f t="shared" si="310"/>
        <v>1</v>
      </c>
      <c r="GH463" s="101">
        <f t="shared" si="311"/>
        <v>38</v>
      </c>
      <c r="GI463" s="101">
        <f t="shared" si="312"/>
        <v>0</v>
      </c>
      <c r="GJ463" s="101">
        <f t="shared" si="313"/>
        <v>1</v>
      </c>
      <c r="GK463" s="101">
        <f t="shared" si="314"/>
        <v>9</v>
      </c>
      <c r="GL463" s="101">
        <f t="shared" si="315"/>
        <v>1.9699999999999999E-2</v>
      </c>
      <c r="GM463" s="101">
        <f t="shared" si="316"/>
        <v>1</v>
      </c>
      <c r="GN463" s="101">
        <f t="shared" si="317"/>
        <v>18</v>
      </c>
      <c r="GO463" s="101">
        <f t="shared" si="318"/>
        <v>7.8899999999999998E-2</v>
      </c>
      <c r="GP463" s="101">
        <f t="shared" si="319"/>
        <v>1</v>
      </c>
      <c r="GQ463" s="101">
        <f t="shared" si="320"/>
        <v>38</v>
      </c>
    </row>
    <row r="464" spans="175:199" ht="16.5" x14ac:dyDescent="0.2">
      <c r="FS464" s="101">
        <v>459</v>
      </c>
      <c r="FT464" s="101">
        <f t="shared" si="305"/>
        <v>53</v>
      </c>
      <c r="FU464" s="101">
        <f t="shared" si="321"/>
        <v>6</v>
      </c>
      <c r="FV464" s="14">
        <f t="shared" si="322"/>
        <v>4</v>
      </c>
      <c r="FW464" s="101" t="str">
        <f t="shared" si="306"/>
        <v>天使缇娜专属武器-魂珠-6 8级</v>
      </c>
      <c r="FX464" s="101">
        <f t="shared" si="307"/>
        <v>6</v>
      </c>
      <c r="FY464" s="101">
        <f t="shared" si="308"/>
        <v>8</v>
      </c>
      <c r="FZ464" s="101" t="str">
        <f t="shared" si="323"/>
        <v>金币</v>
      </c>
      <c r="GA464" s="139">
        <f>IF($FY464&gt;0,IF(INDEX($EM$6:$EM$77,$FT464)&gt;=GA$3,ROUND(INDEX(EO$6:EO$77,$FT464)*INDEX(卡牌消耗!$B$8:$F$8,FV464)/5,0)*5,""),"")</f>
        <v>12350</v>
      </c>
      <c r="GB464" s="101" t="str">
        <f t="shared" si="324"/>
        <v>专属强化石3</v>
      </c>
      <c r="GC464" s="101">
        <f t="shared" si="325"/>
        <v>35</v>
      </c>
      <c r="GD464" s="101" t="str">
        <f t="shared" si="326"/>
        <v>专属强化石4</v>
      </c>
      <c r="GE464" s="101">
        <f t="shared" si="327"/>
        <v>7</v>
      </c>
      <c r="GF464" s="101">
        <f t="shared" si="309"/>
        <v>0.03</v>
      </c>
      <c r="GG464" s="101">
        <f t="shared" si="310"/>
        <v>1</v>
      </c>
      <c r="GH464" s="101">
        <f t="shared" si="311"/>
        <v>44</v>
      </c>
      <c r="GI464" s="101">
        <f t="shared" si="312"/>
        <v>0</v>
      </c>
      <c r="GJ464" s="101">
        <f t="shared" si="313"/>
        <v>1</v>
      </c>
      <c r="GK464" s="101">
        <f t="shared" si="314"/>
        <v>10</v>
      </c>
      <c r="GL464" s="101">
        <f t="shared" si="315"/>
        <v>1.7100000000000001E-2</v>
      </c>
      <c r="GM464" s="101">
        <f t="shared" si="316"/>
        <v>1</v>
      </c>
      <c r="GN464" s="101">
        <f t="shared" si="317"/>
        <v>21</v>
      </c>
      <c r="GO464" s="101">
        <f t="shared" si="318"/>
        <v>6.8199999999999997E-2</v>
      </c>
      <c r="GP464" s="101">
        <f t="shared" si="319"/>
        <v>1</v>
      </c>
      <c r="GQ464" s="101">
        <f t="shared" si="320"/>
        <v>44</v>
      </c>
    </row>
    <row r="465" spans="175:199" ht="16.5" x14ac:dyDescent="0.2">
      <c r="FS465" s="101">
        <v>460</v>
      </c>
      <c r="FT465" s="101">
        <f t="shared" si="305"/>
        <v>54</v>
      </c>
      <c r="FU465" s="101">
        <f t="shared" si="321"/>
        <v>6</v>
      </c>
      <c r="FV465" s="14">
        <f t="shared" si="322"/>
        <v>4</v>
      </c>
      <c r="FW465" s="101" t="str">
        <f t="shared" si="306"/>
        <v>天使缇娜专属武器-魂珠-6 9级</v>
      </c>
      <c r="FX465" s="101">
        <f t="shared" si="307"/>
        <v>6</v>
      </c>
      <c r="FY465" s="101">
        <f t="shared" si="308"/>
        <v>9</v>
      </c>
      <c r="FZ465" s="101" t="str">
        <f t="shared" si="323"/>
        <v>金币</v>
      </c>
      <c r="GA465" s="139">
        <f>IF($FY465&gt;0,IF(INDEX($EM$6:$EM$77,$FT465)&gt;=GA$3,ROUND(INDEX(EO$6:EO$77,$FT465)*INDEX(卡牌消耗!$B$8:$F$8,FV465)/5,0)*5,""),"")</f>
        <v>14120</v>
      </c>
      <c r="GB465" s="101" t="str">
        <f t="shared" si="324"/>
        <v>专属强化石3</v>
      </c>
      <c r="GC465" s="101">
        <f t="shared" si="325"/>
        <v>40</v>
      </c>
      <c r="GD465" s="101" t="str">
        <f t="shared" si="326"/>
        <v>专属强化石4</v>
      </c>
      <c r="GE465" s="101">
        <f t="shared" si="327"/>
        <v>8</v>
      </c>
      <c r="GF465" s="101">
        <f t="shared" si="309"/>
        <v>0.02</v>
      </c>
      <c r="GG465" s="101">
        <f t="shared" si="310"/>
        <v>1</v>
      </c>
      <c r="GH465" s="101">
        <f t="shared" si="311"/>
        <v>62</v>
      </c>
      <c r="GI465" s="101">
        <f t="shared" si="312"/>
        <v>0</v>
      </c>
      <c r="GJ465" s="101">
        <f t="shared" si="313"/>
        <v>1</v>
      </c>
      <c r="GK465" s="101">
        <f t="shared" si="314"/>
        <v>15</v>
      </c>
      <c r="GL465" s="101">
        <f t="shared" si="315"/>
        <v>1.21E-2</v>
      </c>
      <c r="GM465" s="101">
        <f t="shared" si="316"/>
        <v>1</v>
      </c>
      <c r="GN465" s="101">
        <f t="shared" si="317"/>
        <v>29</v>
      </c>
      <c r="GO465" s="101">
        <f t="shared" si="318"/>
        <v>4.82E-2</v>
      </c>
      <c r="GP465" s="101">
        <f t="shared" si="319"/>
        <v>1</v>
      </c>
      <c r="GQ465" s="101">
        <f t="shared" si="320"/>
        <v>62</v>
      </c>
    </row>
    <row r="466" spans="175:199" ht="16.5" x14ac:dyDescent="0.2">
      <c r="FS466" s="101">
        <v>461</v>
      </c>
      <c r="FT466" s="101">
        <f t="shared" si="305"/>
        <v>0</v>
      </c>
      <c r="FU466" s="101">
        <f t="shared" si="321"/>
        <v>6</v>
      </c>
      <c r="FV466" s="14">
        <f t="shared" si="322"/>
        <v>4</v>
      </c>
      <c r="FW466" s="101" t="str">
        <f t="shared" si="306"/>
        <v>天使缇娜专属武器-魂珠-7 0级</v>
      </c>
      <c r="FX466" s="101">
        <f t="shared" si="307"/>
        <v>7</v>
      </c>
      <c r="FY466" s="101">
        <f t="shared" si="308"/>
        <v>0</v>
      </c>
      <c r="FZ466" s="101" t="str">
        <f t="shared" si="323"/>
        <v/>
      </c>
      <c r="GA466" s="139" t="str">
        <f>IF($FY466&gt;0,IF(INDEX($EM$6:$EM$77,$FT466)&gt;=GA$3,ROUND(INDEX(EO$6:EO$77,$FT466)*INDEX(卡牌消耗!$B$8:$F$8,FV466)/5,0)*5,""),"")</f>
        <v/>
      </c>
      <c r="GB466" s="101" t="str">
        <f t="shared" si="324"/>
        <v/>
      </c>
      <c r="GC466" s="101" t="str">
        <f t="shared" si="325"/>
        <v/>
      </c>
      <c r="GD466" s="101" t="str">
        <f t="shared" si="326"/>
        <v/>
      </c>
      <c r="GE466" s="101" t="str">
        <f t="shared" si="327"/>
        <v/>
      </c>
      <c r="GF466" s="101" t="str">
        <f t="shared" si="309"/>
        <v/>
      </c>
      <c r="GG466" s="101" t="str">
        <f t="shared" si="310"/>
        <v/>
      </c>
      <c r="GH466" s="101" t="str">
        <f t="shared" si="311"/>
        <v/>
      </c>
      <c r="GI466" s="101" t="str">
        <f t="shared" si="312"/>
        <v/>
      </c>
      <c r="GJ466" s="101" t="str">
        <f t="shared" si="313"/>
        <v/>
      </c>
      <c r="GK466" s="101" t="str">
        <f t="shared" si="314"/>
        <v/>
      </c>
      <c r="GL466" s="101" t="str">
        <f t="shared" si="315"/>
        <v/>
      </c>
      <c r="GM466" s="101" t="str">
        <f t="shared" si="316"/>
        <v/>
      </c>
      <c r="GN466" s="101" t="str">
        <f t="shared" si="317"/>
        <v/>
      </c>
      <c r="GO466" s="101" t="str">
        <f t="shared" si="318"/>
        <v/>
      </c>
      <c r="GP466" s="101" t="str">
        <f t="shared" si="319"/>
        <v/>
      </c>
      <c r="GQ466" s="101" t="str">
        <f t="shared" si="320"/>
        <v/>
      </c>
    </row>
    <row r="467" spans="175:199" ht="16.5" x14ac:dyDescent="0.2">
      <c r="FS467" s="101">
        <v>462</v>
      </c>
      <c r="FT467" s="101">
        <f t="shared" si="305"/>
        <v>55</v>
      </c>
      <c r="FU467" s="101">
        <f t="shared" si="321"/>
        <v>6</v>
      </c>
      <c r="FV467" s="14">
        <f t="shared" si="322"/>
        <v>4</v>
      </c>
      <c r="FW467" s="101" t="str">
        <f t="shared" si="306"/>
        <v>天使缇娜专属武器-魂珠-7 1级</v>
      </c>
      <c r="FX467" s="101">
        <f t="shared" si="307"/>
        <v>7</v>
      </c>
      <c r="FY467" s="101">
        <f t="shared" si="308"/>
        <v>1</v>
      </c>
      <c r="FZ467" s="101" t="str">
        <f t="shared" si="323"/>
        <v>金币</v>
      </c>
      <c r="GA467" s="139">
        <f>IF($FY467&gt;0,IF(INDEX($EM$6:$EM$77,$FT467)&gt;=GA$3,ROUND(INDEX(EO$6:EO$77,$FT467)*INDEX(卡牌消耗!$B$8:$F$8,FV467)/5,0)*5,""),"")</f>
        <v>7615</v>
      </c>
      <c r="GB467" s="101" t="str">
        <f t="shared" si="324"/>
        <v>专属强化石3</v>
      </c>
      <c r="GC467" s="101">
        <f t="shared" si="325"/>
        <v>6</v>
      </c>
      <c r="GD467" s="101" t="str">
        <f t="shared" si="326"/>
        <v>专属强化石4</v>
      </c>
      <c r="GE467" s="101">
        <f t="shared" si="327"/>
        <v>2</v>
      </c>
      <c r="GF467" s="101">
        <f t="shared" si="309"/>
        <v>0.2</v>
      </c>
      <c r="GG467" s="101">
        <f t="shared" si="310"/>
        <v>1</v>
      </c>
      <c r="GH467" s="101">
        <f t="shared" si="311"/>
        <v>8</v>
      </c>
      <c r="GI467" s="101">
        <f t="shared" si="312"/>
        <v>0</v>
      </c>
      <c r="GJ467" s="101">
        <f t="shared" si="313"/>
        <v>1</v>
      </c>
      <c r="GK467" s="101">
        <f t="shared" si="314"/>
        <v>2</v>
      </c>
      <c r="GL467" s="101">
        <f t="shared" si="315"/>
        <v>9.9400000000000002E-2</v>
      </c>
      <c r="GM467" s="101">
        <f t="shared" si="316"/>
        <v>1</v>
      </c>
      <c r="GN467" s="101">
        <f t="shared" si="317"/>
        <v>4</v>
      </c>
      <c r="GO467" s="101">
        <f t="shared" si="318"/>
        <v>0.3977</v>
      </c>
      <c r="GP467" s="101">
        <f t="shared" si="319"/>
        <v>1</v>
      </c>
      <c r="GQ467" s="101">
        <f t="shared" si="320"/>
        <v>8</v>
      </c>
    </row>
    <row r="468" spans="175:199" ht="16.5" x14ac:dyDescent="0.2">
      <c r="FS468" s="101">
        <v>463</v>
      </c>
      <c r="FT468" s="101">
        <f t="shared" si="305"/>
        <v>56</v>
      </c>
      <c r="FU468" s="101">
        <f t="shared" si="321"/>
        <v>6</v>
      </c>
      <c r="FV468" s="14">
        <f t="shared" si="322"/>
        <v>4</v>
      </c>
      <c r="FW468" s="101" t="str">
        <f t="shared" si="306"/>
        <v>天使缇娜专属武器-魂珠-7 2级</v>
      </c>
      <c r="FX468" s="101">
        <f t="shared" si="307"/>
        <v>7</v>
      </c>
      <c r="FY468" s="101">
        <f t="shared" si="308"/>
        <v>2</v>
      </c>
      <c r="FZ468" s="101" t="str">
        <f t="shared" si="323"/>
        <v>金币</v>
      </c>
      <c r="GA468" s="139">
        <f>IF($FY468&gt;0,IF(INDEX($EM$6:$EM$77,$FT468)&gt;=GA$3,ROUND(INDEX(EO$6:EO$77,$FT468)*INDEX(卡牌消耗!$B$8:$F$8,FV468)/5,0)*5,""),"")</f>
        <v>5710</v>
      </c>
      <c r="GB468" s="101" t="str">
        <f t="shared" si="324"/>
        <v>专属强化石3</v>
      </c>
      <c r="GC468" s="101">
        <f t="shared" si="325"/>
        <v>6</v>
      </c>
      <c r="GD468" s="101" t="str">
        <f t="shared" si="326"/>
        <v>专属强化石4</v>
      </c>
      <c r="GE468" s="101">
        <f t="shared" si="327"/>
        <v>2</v>
      </c>
      <c r="GF468" s="101">
        <f t="shared" si="309"/>
        <v>0.1</v>
      </c>
      <c r="GG468" s="101">
        <f t="shared" si="310"/>
        <v>1</v>
      </c>
      <c r="GH468" s="101">
        <f t="shared" si="311"/>
        <v>15</v>
      </c>
      <c r="GI468" s="101">
        <f t="shared" si="312"/>
        <v>0</v>
      </c>
      <c r="GJ468" s="101">
        <f t="shared" si="313"/>
        <v>1</v>
      </c>
      <c r="GK468" s="101">
        <f t="shared" si="314"/>
        <v>4</v>
      </c>
      <c r="GL468" s="101">
        <f t="shared" si="315"/>
        <v>4.9700000000000001E-2</v>
      </c>
      <c r="GM468" s="101">
        <f t="shared" si="316"/>
        <v>1</v>
      </c>
      <c r="GN468" s="101">
        <f t="shared" si="317"/>
        <v>7</v>
      </c>
      <c r="GO468" s="101">
        <f t="shared" si="318"/>
        <v>0.19889999999999999</v>
      </c>
      <c r="GP468" s="101">
        <f t="shared" si="319"/>
        <v>1</v>
      </c>
      <c r="GQ468" s="101">
        <f t="shared" si="320"/>
        <v>15</v>
      </c>
    </row>
    <row r="469" spans="175:199" ht="16.5" x14ac:dyDescent="0.2">
      <c r="FS469" s="101">
        <v>464</v>
      </c>
      <c r="FT469" s="101">
        <f t="shared" si="305"/>
        <v>57</v>
      </c>
      <c r="FU469" s="101">
        <f t="shared" si="321"/>
        <v>6</v>
      </c>
      <c r="FV469" s="14">
        <f t="shared" si="322"/>
        <v>4</v>
      </c>
      <c r="FW469" s="101" t="str">
        <f t="shared" si="306"/>
        <v>天使缇娜专属武器-魂珠-7 3级</v>
      </c>
      <c r="FX469" s="101">
        <f t="shared" si="307"/>
        <v>7</v>
      </c>
      <c r="FY469" s="101">
        <f t="shared" si="308"/>
        <v>3</v>
      </c>
      <c r="FZ469" s="101" t="str">
        <f t="shared" si="323"/>
        <v>金币</v>
      </c>
      <c r="GA469" s="139">
        <f>IF($FY469&gt;0,IF(INDEX($EM$6:$EM$77,$FT469)&gt;=GA$3,ROUND(INDEX(EO$6:EO$77,$FT469)*INDEX(卡牌消耗!$B$8:$F$8,FV469)/5,0)*5,""),"")</f>
        <v>9520</v>
      </c>
      <c r="GB469" s="101" t="str">
        <f t="shared" si="324"/>
        <v>专属强化石3</v>
      </c>
      <c r="GC469" s="101">
        <f t="shared" si="325"/>
        <v>9</v>
      </c>
      <c r="GD469" s="101" t="str">
        <f t="shared" si="326"/>
        <v>专属强化石4</v>
      </c>
      <c r="GE469" s="101">
        <f t="shared" si="327"/>
        <v>3</v>
      </c>
      <c r="GF469" s="101">
        <f t="shared" si="309"/>
        <v>0.1</v>
      </c>
      <c r="GG469" s="101">
        <f t="shared" si="310"/>
        <v>1</v>
      </c>
      <c r="GH469" s="101">
        <f t="shared" si="311"/>
        <v>15</v>
      </c>
      <c r="GI469" s="101">
        <f t="shared" si="312"/>
        <v>0</v>
      </c>
      <c r="GJ469" s="101">
        <f t="shared" si="313"/>
        <v>1</v>
      </c>
      <c r="GK469" s="101">
        <f t="shared" si="314"/>
        <v>4</v>
      </c>
      <c r="GL469" s="101">
        <f t="shared" si="315"/>
        <v>4.9700000000000001E-2</v>
      </c>
      <c r="GM469" s="101">
        <f t="shared" si="316"/>
        <v>1</v>
      </c>
      <c r="GN469" s="101">
        <f t="shared" si="317"/>
        <v>7</v>
      </c>
      <c r="GO469" s="101">
        <f t="shared" si="318"/>
        <v>0.19889999999999999</v>
      </c>
      <c r="GP469" s="101">
        <f t="shared" si="319"/>
        <v>1</v>
      </c>
      <c r="GQ469" s="101">
        <f t="shared" si="320"/>
        <v>15</v>
      </c>
    </row>
    <row r="470" spans="175:199" ht="16.5" x14ac:dyDescent="0.2">
      <c r="FS470" s="101">
        <v>465</v>
      </c>
      <c r="FT470" s="101">
        <f t="shared" ref="FT470:FT533" si="328">IF(FY470&gt;0,(FX470-1)*9+FY470,0)</f>
        <v>58</v>
      </c>
      <c r="FU470" s="101">
        <f t="shared" si="321"/>
        <v>6</v>
      </c>
      <c r="FV470" s="14">
        <f t="shared" si="322"/>
        <v>4</v>
      </c>
      <c r="FW470" s="101" t="str">
        <f t="shared" ref="FW470:FW533" si="329">INDEX($FN$6:$FN$26,FU470)&amp;"专属武器-魂珠-"&amp;FX470&amp;" "&amp;FY470&amp;"级"</f>
        <v>天使缇娜专属武器-魂珠-7 4级</v>
      </c>
      <c r="FX470" s="101">
        <f t="shared" ref="FX470:FX533" si="330">INT((FS470-(FU470-1)*80-1)/10)+1</f>
        <v>7</v>
      </c>
      <c r="FY470" s="101">
        <f t="shared" ref="FY470:FY533" si="331">FS470-(FU470-1)*80-(FX470-1)*10-1</f>
        <v>4</v>
      </c>
      <c r="FZ470" s="101" t="str">
        <f t="shared" si="323"/>
        <v>金币</v>
      </c>
      <c r="GA470" s="139">
        <f>IF($FY470&gt;0,IF(INDEX($EM$6:$EM$77,$FT470)&gt;=GA$3,ROUND(INDEX(EO$6:EO$77,$FT470)*INDEX(卡牌消耗!$B$8:$F$8,FV470)/5,0)*5,""),"")</f>
        <v>12185</v>
      </c>
      <c r="GB470" s="101" t="str">
        <f t="shared" si="324"/>
        <v>专属强化石3</v>
      </c>
      <c r="GC470" s="101">
        <f t="shared" si="325"/>
        <v>12</v>
      </c>
      <c r="GD470" s="101" t="str">
        <f t="shared" si="326"/>
        <v>专属强化石4</v>
      </c>
      <c r="GE470" s="101">
        <f t="shared" si="327"/>
        <v>4</v>
      </c>
      <c r="GF470" s="101">
        <f t="shared" ref="GF470:GF533" si="332">IF($FY470&gt;0,INDEX(ET$6:ET$77,$FT470),"")</f>
        <v>0.08</v>
      </c>
      <c r="GG470" s="101">
        <f t="shared" ref="GG470:GG533" si="333">IF($FY470&gt;0,INDEX(EU$6:EU$77,$FT470),"")</f>
        <v>1</v>
      </c>
      <c r="GH470" s="101">
        <f t="shared" ref="GH470:GH533" si="334">IF($FY470&gt;0,INDEX(EV$6:EV$77,$FT470),"")</f>
        <v>19</v>
      </c>
      <c r="GI470" s="101">
        <f t="shared" ref="GI470:GI533" si="335">IF($FY470&gt;0,INDEX(FA$6:FA$77,$FT470),"")</f>
        <v>0</v>
      </c>
      <c r="GJ470" s="101">
        <f t="shared" ref="GJ470:GJ533" si="336">IF($FY470&gt;0,INDEX(FB$6:FB$77,$FT470),"")</f>
        <v>1</v>
      </c>
      <c r="GK470" s="101">
        <f t="shared" ref="GK470:GK533" si="337">IF($FY470&gt;0,INDEX(FC$6:FC$77,$FT470),"")</f>
        <v>4</v>
      </c>
      <c r="GL470" s="101">
        <f t="shared" ref="GL470:GL533" si="338">IF($FY470&gt;0,INDEX(FD$6:FD$77,$FT470),"")</f>
        <v>3.9800000000000002E-2</v>
      </c>
      <c r="GM470" s="101">
        <f t="shared" ref="GM470:GM533" si="339">IF($FY470&gt;0,INDEX(FE$6:FE$77,$FT470),"")</f>
        <v>1</v>
      </c>
      <c r="GN470" s="101">
        <f t="shared" ref="GN470:GN533" si="340">IF($FY470&gt;0,INDEX(FF$6:FF$77,$FT470),"")</f>
        <v>9</v>
      </c>
      <c r="GO470" s="101">
        <f t="shared" ref="GO470:GO533" si="341">IF($FY470&gt;0,INDEX(FG$6:FG$77,$FT470),"")</f>
        <v>0.15909999999999999</v>
      </c>
      <c r="GP470" s="101">
        <f t="shared" ref="GP470:GP533" si="342">IF($FY470&gt;0,INDEX(FH$6:FH$77,$FT470),"")</f>
        <v>1</v>
      </c>
      <c r="GQ470" s="101">
        <f t="shared" ref="GQ470:GQ533" si="343">IF($FY470&gt;0,INDEX(FI$6:FI$77,$FT470),"")</f>
        <v>19</v>
      </c>
    </row>
    <row r="471" spans="175:199" ht="16.5" x14ac:dyDescent="0.2">
      <c r="FS471" s="101">
        <v>466</v>
      </c>
      <c r="FT471" s="101">
        <f t="shared" si="328"/>
        <v>59</v>
      </c>
      <c r="FU471" s="101">
        <f t="shared" si="321"/>
        <v>6</v>
      </c>
      <c r="FV471" s="14">
        <f t="shared" si="322"/>
        <v>4</v>
      </c>
      <c r="FW471" s="101" t="str">
        <f t="shared" si="329"/>
        <v>天使缇娜专属武器-魂珠-7 5级</v>
      </c>
      <c r="FX471" s="101">
        <f t="shared" si="330"/>
        <v>7</v>
      </c>
      <c r="FY471" s="101">
        <f t="shared" si="331"/>
        <v>5</v>
      </c>
      <c r="FZ471" s="101" t="str">
        <f t="shared" si="323"/>
        <v>金币</v>
      </c>
      <c r="GA471" s="139">
        <f>IF($FY471&gt;0,IF(INDEX($EM$6:$EM$77,$FT471)&gt;=GA$3,ROUND(INDEX(EO$6:EO$77,$FT471)*INDEX(卡牌消耗!$B$8:$F$8,FV471)/5,0)*5,""),"")</f>
        <v>12375</v>
      </c>
      <c r="GB471" s="101" t="str">
        <f t="shared" si="324"/>
        <v>专属强化石3</v>
      </c>
      <c r="GC471" s="101">
        <f t="shared" si="325"/>
        <v>12</v>
      </c>
      <c r="GD471" s="101" t="str">
        <f t="shared" si="326"/>
        <v>专属强化石4</v>
      </c>
      <c r="GE471" s="101">
        <f t="shared" si="327"/>
        <v>4</v>
      </c>
      <c r="GF471" s="101">
        <f t="shared" si="332"/>
        <v>0.05</v>
      </c>
      <c r="GG471" s="101">
        <f t="shared" si="333"/>
        <v>1</v>
      </c>
      <c r="GH471" s="101">
        <f t="shared" si="334"/>
        <v>30</v>
      </c>
      <c r="GI471" s="101">
        <f t="shared" si="335"/>
        <v>0</v>
      </c>
      <c r="GJ471" s="101">
        <f t="shared" si="336"/>
        <v>1</v>
      </c>
      <c r="GK471" s="101">
        <f t="shared" si="337"/>
        <v>7</v>
      </c>
      <c r="GL471" s="101">
        <f t="shared" si="338"/>
        <v>2.4899999999999999E-2</v>
      </c>
      <c r="GM471" s="101">
        <f t="shared" si="339"/>
        <v>1</v>
      </c>
      <c r="GN471" s="101">
        <f t="shared" si="340"/>
        <v>14</v>
      </c>
      <c r="GO471" s="101">
        <f t="shared" si="341"/>
        <v>9.9400000000000002E-2</v>
      </c>
      <c r="GP471" s="101">
        <f t="shared" si="342"/>
        <v>1</v>
      </c>
      <c r="GQ471" s="101">
        <f t="shared" si="343"/>
        <v>30</v>
      </c>
    </row>
    <row r="472" spans="175:199" ht="16.5" x14ac:dyDescent="0.2">
      <c r="FS472" s="101">
        <v>467</v>
      </c>
      <c r="FT472" s="101">
        <f t="shared" si="328"/>
        <v>60</v>
      </c>
      <c r="FU472" s="101">
        <f t="shared" si="321"/>
        <v>6</v>
      </c>
      <c r="FV472" s="14">
        <f t="shared" si="322"/>
        <v>4</v>
      </c>
      <c r="FW472" s="101" t="str">
        <f t="shared" si="329"/>
        <v>天使缇娜专属武器-魂珠-7 6级</v>
      </c>
      <c r="FX472" s="101">
        <f t="shared" si="330"/>
        <v>7</v>
      </c>
      <c r="FY472" s="101">
        <f t="shared" si="331"/>
        <v>6</v>
      </c>
      <c r="FZ472" s="101" t="str">
        <f t="shared" si="323"/>
        <v>金币</v>
      </c>
      <c r="GA472" s="139">
        <f>IF($FY472&gt;0,IF(INDEX($EM$6:$EM$77,$FT472)&gt;=GA$3,ROUND(INDEX(EO$6:EO$77,$FT472)*INDEX(卡牌消耗!$B$8:$F$8,FV472)/5,0)*5,""),"")</f>
        <v>15380</v>
      </c>
      <c r="GB472" s="101" t="str">
        <f t="shared" si="324"/>
        <v>专属强化石3</v>
      </c>
      <c r="GC472" s="101">
        <f t="shared" si="325"/>
        <v>15</v>
      </c>
      <c r="GD472" s="101" t="str">
        <f t="shared" si="326"/>
        <v>专属强化石4</v>
      </c>
      <c r="GE472" s="101">
        <f t="shared" si="327"/>
        <v>5</v>
      </c>
      <c r="GF472" s="101">
        <f t="shared" si="332"/>
        <v>0.04</v>
      </c>
      <c r="GG472" s="101">
        <f t="shared" si="333"/>
        <v>1</v>
      </c>
      <c r="GH472" s="101">
        <f t="shared" si="334"/>
        <v>39</v>
      </c>
      <c r="GI472" s="101">
        <f t="shared" si="335"/>
        <v>0</v>
      </c>
      <c r="GJ472" s="101">
        <f t="shared" si="336"/>
        <v>1</v>
      </c>
      <c r="GK472" s="101">
        <f t="shared" si="337"/>
        <v>9</v>
      </c>
      <c r="GL472" s="101">
        <f t="shared" si="338"/>
        <v>1.9099999999999999E-2</v>
      </c>
      <c r="GM472" s="101">
        <f t="shared" si="339"/>
        <v>1</v>
      </c>
      <c r="GN472" s="101">
        <f t="shared" si="340"/>
        <v>18</v>
      </c>
      <c r="GO472" s="101">
        <f t="shared" si="341"/>
        <v>7.6499999999999999E-2</v>
      </c>
      <c r="GP472" s="101">
        <f t="shared" si="342"/>
        <v>1</v>
      </c>
      <c r="GQ472" s="101">
        <f t="shared" si="343"/>
        <v>39</v>
      </c>
    </row>
    <row r="473" spans="175:199" ht="16.5" x14ac:dyDescent="0.2">
      <c r="FS473" s="101">
        <v>468</v>
      </c>
      <c r="FT473" s="101">
        <f t="shared" si="328"/>
        <v>61</v>
      </c>
      <c r="FU473" s="101">
        <f t="shared" si="321"/>
        <v>6</v>
      </c>
      <c r="FV473" s="14">
        <f t="shared" si="322"/>
        <v>4</v>
      </c>
      <c r="FW473" s="101" t="str">
        <f t="shared" si="329"/>
        <v>天使缇娜专属武器-魂珠-7 7级</v>
      </c>
      <c r="FX473" s="101">
        <f t="shared" si="330"/>
        <v>7</v>
      </c>
      <c r="FY473" s="101">
        <f t="shared" si="331"/>
        <v>7</v>
      </c>
      <c r="FZ473" s="101" t="str">
        <f t="shared" si="323"/>
        <v>金币</v>
      </c>
      <c r="GA473" s="139">
        <f>IF($FY473&gt;0,IF(INDEX($EM$6:$EM$77,$FT473)&gt;=GA$3,ROUND(INDEX(EO$6:EO$77,$FT473)*INDEX(卡牌消耗!$B$8:$F$8,FV473)/5,0)*5,""),"")</f>
        <v>21580</v>
      </c>
      <c r="GB473" s="101" t="str">
        <f t="shared" si="324"/>
        <v>专属强化石3</v>
      </c>
      <c r="GC473" s="101">
        <f t="shared" si="325"/>
        <v>21</v>
      </c>
      <c r="GD473" s="101" t="str">
        <f t="shared" si="326"/>
        <v>专属强化石4</v>
      </c>
      <c r="GE473" s="101">
        <f t="shared" si="327"/>
        <v>7</v>
      </c>
      <c r="GF473" s="101">
        <f t="shared" si="332"/>
        <v>0.03</v>
      </c>
      <c r="GG473" s="101">
        <f t="shared" si="333"/>
        <v>1</v>
      </c>
      <c r="GH473" s="101">
        <f t="shared" si="334"/>
        <v>45</v>
      </c>
      <c r="GI473" s="101">
        <f t="shared" si="335"/>
        <v>0</v>
      </c>
      <c r="GJ473" s="101">
        <f t="shared" si="336"/>
        <v>1</v>
      </c>
      <c r="GK473" s="101">
        <f t="shared" si="337"/>
        <v>11</v>
      </c>
      <c r="GL473" s="101">
        <f t="shared" si="338"/>
        <v>1.66E-2</v>
      </c>
      <c r="GM473" s="101">
        <f t="shared" si="339"/>
        <v>1</v>
      </c>
      <c r="GN473" s="101">
        <f t="shared" si="340"/>
        <v>21</v>
      </c>
      <c r="GO473" s="101">
        <f t="shared" si="341"/>
        <v>6.6299999999999998E-2</v>
      </c>
      <c r="GP473" s="101">
        <f t="shared" si="342"/>
        <v>1</v>
      </c>
      <c r="GQ473" s="101">
        <f t="shared" si="343"/>
        <v>45</v>
      </c>
    </row>
    <row r="474" spans="175:199" ht="16.5" x14ac:dyDescent="0.2">
      <c r="FS474" s="101">
        <v>469</v>
      </c>
      <c r="FT474" s="101">
        <f t="shared" si="328"/>
        <v>62</v>
      </c>
      <c r="FU474" s="101">
        <f t="shared" si="321"/>
        <v>6</v>
      </c>
      <c r="FV474" s="14">
        <f t="shared" si="322"/>
        <v>4</v>
      </c>
      <c r="FW474" s="101" t="str">
        <f t="shared" si="329"/>
        <v>天使缇娜专属武器-魂珠-7 8级</v>
      </c>
      <c r="FX474" s="101">
        <f t="shared" si="330"/>
        <v>7</v>
      </c>
      <c r="FY474" s="101">
        <f t="shared" si="331"/>
        <v>8</v>
      </c>
      <c r="FZ474" s="101" t="str">
        <f t="shared" si="323"/>
        <v>金币</v>
      </c>
      <c r="GA474" s="139">
        <f>IF($FY474&gt;0,IF(INDEX($EM$6:$EM$77,$FT474)&gt;=GA$3,ROUND(INDEX(EO$6:EO$77,$FT474)*INDEX(卡牌消耗!$B$8:$F$8,FV474)/5,0)*5,""),"")</f>
        <v>24640</v>
      </c>
      <c r="GB474" s="101" t="str">
        <f t="shared" si="324"/>
        <v>专属强化石3</v>
      </c>
      <c r="GC474" s="101">
        <f t="shared" si="325"/>
        <v>24</v>
      </c>
      <c r="GD474" s="101" t="str">
        <f t="shared" si="326"/>
        <v>专属强化石4</v>
      </c>
      <c r="GE474" s="101">
        <f t="shared" si="327"/>
        <v>8</v>
      </c>
      <c r="GF474" s="101">
        <f t="shared" si="332"/>
        <v>0.02</v>
      </c>
      <c r="GG474" s="101">
        <f t="shared" si="333"/>
        <v>1</v>
      </c>
      <c r="GH474" s="101">
        <f t="shared" si="334"/>
        <v>64</v>
      </c>
      <c r="GI474" s="101">
        <f t="shared" si="335"/>
        <v>0</v>
      </c>
      <c r="GJ474" s="101">
        <f t="shared" si="336"/>
        <v>1</v>
      </c>
      <c r="GK474" s="101">
        <f t="shared" si="337"/>
        <v>15</v>
      </c>
      <c r="GL474" s="101">
        <f t="shared" si="338"/>
        <v>1.17E-2</v>
      </c>
      <c r="GM474" s="101">
        <f t="shared" si="339"/>
        <v>1</v>
      </c>
      <c r="GN474" s="101">
        <f t="shared" si="340"/>
        <v>30</v>
      </c>
      <c r="GO474" s="101">
        <f t="shared" si="341"/>
        <v>4.6800000000000001E-2</v>
      </c>
      <c r="GP474" s="101">
        <f t="shared" si="342"/>
        <v>1</v>
      </c>
      <c r="GQ474" s="101">
        <f t="shared" si="343"/>
        <v>64</v>
      </c>
    </row>
    <row r="475" spans="175:199" ht="16.5" x14ac:dyDescent="0.2">
      <c r="FS475" s="101">
        <v>470</v>
      </c>
      <c r="FT475" s="101">
        <f t="shared" si="328"/>
        <v>63</v>
      </c>
      <c r="FU475" s="101">
        <f t="shared" si="321"/>
        <v>6</v>
      </c>
      <c r="FV475" s="14">
        <f t="shared" si="322"/>
        <v>4</v>
      </c>
      <c r="FW475" s="101" t="str">
        <f t="shared" si="329"/>
        <v>天使缇娜专属武器-魂珠-7 9级</v>
      </c>
      <c r="FX475" s="101">
        <f t="shared" si="330"/>
        <v>7</v>
      </c>
      <c r="FY475" s="101">
        <f t="shared" si="331"/>
        <v>9</v>
      </c>
      <c r="FZ475" s="101" t="str">
        <f t="shared" si="323"/>
        <v>金币</v>
      </c>
      <c r="GA475" s="139">
        <f>IF($FY475&gt;0,IF(INDEX($EM$6:$EM$77,$FT475)&gt;=GA$3,ROUND(INDEX(EO$6:EO$77,$FT475)*INDEX(卡牌消耗!$B$8:$F$8,FV475)/5,0)*5,""),"")</f>
        <v>30810</v>
      </c>
      <c r="GB475" s="101" t="str">
        <f t="shared" si="324"/>
        <v>专属强化石3</v>
      </c>
      <c r="GC475" s="101">
        <f t="shared" si="325"/>
        <v>30</v>
      </c>
      <c r="GD475" s="101" t="str">
        <f t="shared" si="326"/>
        <v>专属强化石4</v>
      </c>
      <c r="GE475" s="101">
        <f t="shared" si="327"/>
        <v>10</v>
      </c>
      <c r="GF475" s="101">
        <f t="shared" si="332"/>
        <v>0.02</v>
      </c>
      <c r="GG475" s="101">
        <f t="shared" si="333"/>
        <v>1</v>
      </c>
      <c r="GH475" s="101">
        <f t="shared" si="334"/>
        <v>83</v>
      </c>
      <c r="GI475" s="101">
        <f t="shared" si="335"/>
        <v>0</v>
      </c>
      <c r="GJ475" s="101">
        <f t="shared" si="336"/>
        <v>1</v>
      </c>
      <c r="GK475" s="101">
        <f t="shared" si="337"/>
        <v>19</v>
      </c>
      <c r="GL475" s="101">
        <f t="shared" si="338"/>
        <v>8.9999999999999993E-3</v>
      </c>
      <c r="GM475" s="101">
        <f t="shared" si="339"/>
        <v>1</v>
      </c>
      <c r="GN475" s="101">
        <f t="shared" si="340"/>
        <v>39</v>
      </c>
      <c r="GO475" s="101">
        <f t="shared" si="341"/>
        <v>3.6200000000000003E-2</v>
      </c>
      <c r="GP475" s="101">
        <f t="shared" si="342"/>
        <v>1</v>
      </c>
      <c r="GQ475" s="101">
        <f t="shared" si="343"/>
        <v>83</v>
      </c>
    </row>
    <row r="476" spans="175:199" ht="16.5" x14ac:dyDescent="0.2">
      <c r="FS476" s="101">
        <v>471</v>
      </c>
      <c r="FT476" s="101">
        <f t="shared" si="328"/>
        <v>0</v>
      </c>
      <c r="FU476" s="101">
        <f t="shared" si="321"/>
        <v>6</v>
      </c>
      <c r="FV476" s="14">
        <f t="shared" si="322"/>
        <v>4</v>
      </c>
      <c r="FW476" s="101" t="str">
        <f t="shared" si="329"/>
        <v>天使缇娜专属武器-魂珠-8 0级</v>
      </c>
      <c r="FX476" s="101">
        <f t="shared" si="330"/>
        <v>8</v>
      </c>
      <c r="FY476" s="101">
        <f t="shared" si="331"/>
        <v>0</v>
      </c>
      <c r="FZ476" s="101" t="str">
        <f t="shared" si="323"/>
        <v/>
      </c>
      <c r="GA476" s="139" t="str">
        <f>IF($FY476&gt;0,IF(INDEX($EM$6:$EM$77,$FT476)&gt;=GA$3,ROUND(INDEX(EO$6:EO$77,$FT476)*INDEX(卡牌消耗!$B$8:$F$8,FV476)/5,0)*5,""),"")</f>
        <v/>
      </c>
      <c r="GB476" s="101" t="str">
        <f t="shared" si="324"/>
        <v/>
      </c>
      <c r="GC476" s="101" t="str">
        <f t="shared" si="325"/>
        <v/>
      </c>
      <c r="GD476" s="101" t="str">
        <f t="shared" si="326"/>
        <v/>
      </c>
      <c r="GE476" s="101" t="str">
        <f t="shared" si="327"/>
        <v/>
      </c>
      <c r="GF476" s="101" t="str">
        <f t="shared" si="332"/>
        <v/>
      </c>
      <c r="GG476" s="101" t="str">
        <f t="shared" si="333"/>
        <v/>
      </c>
      <c r="GH476" s="101" t="str">
        <f t="shared" si="334"/>
        <v/>
      </c>
      <c r="GI476" s="101" t="str">
        <f t="shared" si="335"/>
        <v/>
      </c>
      <c r="GJ476" s="101" t="str">
        <f t="shared" si="336"/>
        <v/>
      </c>
      <c r="GK476" s="101" t="str">
        <f t="shared" si="337"/>
        <v/>
      </c>
      <c r="GL476" s="101" t="str">
        <f t="shared" si="338"/>
        <v/>
      </c>
      <c r="GM476" s="101" t="str">
        <f t="shared" si="339"/>
        <v/>
      </c>
      <c r="GN476" s="101" t="str">
        <f t="shared" si="340"/>
        <v/>
      </c>
      <c r="GO476" s="101" t="str">
        <f t="shared" si="341"/>
        <v/>
      </c>
      <c r="GP476" s="101" t="str">
        <f t="shared" si="342"/>
        <v/>
      </c>
      <c r="GQ476" s="101" t="str">
        <f t="shared" si="343"/>
        <v/>
      </c>
    </row>
    <row r="477" spans="175:199" ht="16.5" x14ac:dyDescent="0.2">
      <c r="FS477" s="101">
        <v>472</v>
      </c>
      <c r="FT477" s="101">
        <f t="shared" si="328"/>
        <v>64</v>
      </c>
      <c r="FU477" s="101">
        <f t="shared" si="321"/>
        <v>6</v>
      </c>
      <c r="FV477" s="14">
        <f t="shared" si="322"/>
        <v>4</v>
      </c>
      <c r="FW477" s="101" t="str">
        <f t="shared" si="329"/>
        <v>天使缇娜专属武器-魂珠-8 1级</v>
      </c>
      <c r="FX477" s="101">
        <f t="shared" si="330"/>
        <v>8</v>
      </c>
      <c r="FY477" s="101">
        <f t="shared" si="331"/>
        <v>1</v>
      </c>
      <c r="FZ477" s="101" t="str">
        <f t="shared" si="323"/>
        <v>金币</v>
      </c>
      <c r="GA477" s="139">
        <f>IF($FY477&gt;0,IF(INDEX($EM$6:$EM$77,$FT477)&gt;=GA$3,ROUND(INDEX(EO$6:EO$77,$FT477)*INDEX(卡牌消耗!$B$8:$F$8,FV477)/5,0)*5,""),"")</f>
        <v>6490</v>
      </c>
      <c r="GB477" s="101" t="str">
        <f t="shared" si="324"/>
        <v>专属强化石4</v>
      </c>
      <c r="GC477" s="101">
        <f t="shared" si="325"/>
        <v>5</v>
      </c>
      <c r="GD477" s="101" t="str">
        <f t="shared" si="326"/>
        <v/>
      </c>
      <c r="GE477" s="101" t="str">
        <f t="shared" si="327"/>
        <v/>
      </c>
      <c r="GF477" s="101">
        <f t="shared" si="332"/>
        <v>0.11</v>
      </c>
      <c r="GG477" s="101">
        <f t="shared" si="333"/>
        <v>1</v>
      </c>
      <c r="GH477" s="101">
        <f t="shared" si="334"/>
        <v>13</v>
      </c>
      <c r="GI477" s="101">
        <f t="shared" si="335"/>
        <v>0</v>
      </c>
      <c r="GJ477" s="101">
        <f t="shared" si="336"/>
        <v>1</v>
      </c>
      <c r="GK477" s="101">
        <f t="shared" si="337"/>
        <v>3</v>
      </c>
      <c r="GL477" s="101">
        <f t="shared" si="338"/>
        <v>5.6500000000000002E-2</v>
      </c>
      <c r="GM477" s="101">
        <f t="shared" si="339"/>
        <v>1</v>
      </c>
      <c r="GN477" s="101">
        <f t="shared" si="340"/>
        <v>6</v>
      </c>
      <c r="GO477" s="101">
        <f t="shared" si="341"/>
        <v>0.22600000000000001</v>
      </c>
      <c r="GP477" s="101">
        <f t="shared" si="342"/>
        <v>1</v>
      </c>
      <c r="GQ477" s="101">
        <f t="shared" si="343"/>
        <v>13</v>
      </c>
    </row>
    <row r="478" spans="175:199" ht="16.5" x14ac:dyDescent="0.2">
      <c r="FS478" s="101">
        <v>473</v>
      </c>
      <c r="FT478" s="101">
        <f t="shared" si="328"/>
        <v>65</v>
      </c>
      <c r="FU478" s="101">
        <f t="shared" si="321"/>
        <v>6</v>
      </c>
      <c r="FV478" s="14">
        <f t="shared" si="322"/>
        <v>4</v>
      </c>
      <c r="FW478" s="101" t="str">
        <f t="shared" si="329"/>
        <v>天使缇娜专属武器-魂珠-8 2级</v>
      </c>
      <c r="FX478" s="101">
        <f t="shared" si="330"/>
        <v>8</v>
      </c>
      <c r="FY478" s="101">
        <f t="shared" si="331"/>
        <v>2</v>
      </c>
      <c r="FZ478" s="101" t="str">
        <f t="shared" si="323"/>
        <v>金币</v>
      </c>
      <c r="GA478" s="139">
        <f>IF($FY478&gt;0,IF(INDEX($EM$6:$EM$77,$FT478)&gt;=GA$3,ROUND(INDEX(EO$6:EO$77,$FT478)*INDEX(卡牌消耗!$B$8:$F$8,FV478)/5,0)*5,""),"")</f>
        <v>7790</v>
      </c>
      <c r="GB478" s="101" t="str">
        <f t="shared" si="324"/>
        <v>专属强化石4</v>
      </c>
      <c r="GC478" s="101">
        <f t="shared" si="325"/>
        <v>8</v>
      </c>
      <c r="GD478" s="101" t="str">
        <f t="shared" si="326"/>
        <v/>
      </c>
      <c r="GE478" s="101" t="str">
        <f t="shared" si="327"/>
        <v/>
      </c>
      <c r="GF478" s="101">
        <f t="shared" si="332"/>
        <v>0.09</v>
      </c>
      <c r="GG478" s="101">
        <f t="shared" si="333"/>
        <v>1</v>
      </c>
      <c r="GH478" s="101">
        <f t="shared" si="334"/>
        <v>17</v>
      </c>
      <c r="GI478" s="101">
        <f t="shared" si="335"/>
        <v>0</v>
      </c>
      <c r="GJ478" s="101">
        <f t="shared" si="336"/>
        <v>1</v>
      </c>
      <c r="GK478" s="101">
        <f t="shared" si="337"/>
        <v>4</v>
      </c>
      <c r="GL478" s="101">
        <f t="shared" si="338"/>
        <v>4.5199999999999997E-2</v>
      </c>
      <c r="GM478" s="101">
        <f t="shared" si="339"/>
        <v>1</v>
      </c>
      <c r="GN478" s="101">
        <f t="shared" si="340"/>
        <v>8</v>
      </c>
      <c r="GO478" s="101">
        <f t="shared" si="341"/>
        <v>0.18079999999999999</v>
      </c>
      <c r="GP478" s="101">
        <f t="shared" si="342"/>
        <v>1</v>
      </c>
      <c r="GQ478" s="101">
        <f t="shared" si="343"/>
        <v>17</v>
      </c>
    </row>
    <row r="479" spans="175:199" ht="16.5" x14ac:dyDescent="0.2">
      <c r="FS479" s="101">
        <v>474</v>
      </c>
      <c r="FT479" s="101">
        <f t="shared" si="328"/>
        <v>66</v>
      </c>
      <c r="FU479" s="101">
        <f t="shared" si="321"/>
        <v>6</v>
      </c>
      <c r="FV479" s="14">
        <f t="shared" si="322"/>
        <v>4</v>
      </c>
      <c r="FW479" s="101" t="str">
        <f t="shared" si="329"/>
        <v>天使缇娜专属武器-魂珠-8 3级</v>
      </c>
      <c r="FX479" s="101">
        <f t="shared" si="330"/>
        <v>8</v>
      </c>
      <c r="FY479" s="101">
        <f t="shared" si="331"/>
        <v>3</v>
      </c>
      <c r="FZ479" s="101" t="str">
        <f t="shared" si="323"/>
        <v>金币</v>
      </c>
      <c r="GA479" s="139">
        <f>IF($FY479&gt;0,IF(INDEX($EM$6:$EM$77,$FT479)&gt;=GA$3,ROUND(INDEX(EO$6:EO$77,$FT479)*INDEX(卡牌消耗!$B$8:$F$8,FV479)/5,0)*5,""),"")</f>
        <v>10820</v>
      </c>
      <c r="GB479" s="101" t="str">
        <f t="shared" si="324"/>
        <v>专属强化石4</v>
      </c>
      <c r="GC479" s="101">
        <f t="shared" si="325"/>
        <v>10</v>
      </c>
      <c r="GD479" s="101" t="str">
        <f t="shared" si="326"/>
        <v/>
      </c>
      <c r="GE479" s="101" t="str">
        <f t="shared" si="327"/>
        <v/>
      </c>
      <c r="GF479" s="101">
        <f t="shared" si="332"/>
        <v>0.08</v>
      </c>
      <c r="GG479" s="101">
        <f t="shared" si="333"/>
        <v>1</v>
      </c>
      <c r="GH479" s="101">
        <f t="shared" si="334"/>
        <v>20</v>
      </c>
      <c r="GI479" s="101">
        <f t="shared" si="335"/>
        <v>0</v>
      </c>
      <c r="GJ479" s="101">
        <f t="shared" si="336"/>
        <v>1</v>
      </c>
      <c r="GK479" s="101">
        <f t="shared" si="337"/>
        <v>5</v>
      </c>
      <c r="GL479" s="101">
        <f t="shared" si="338"/>
        <v>3.7699999999999997E-2</v>
      </c>
      <c r="GM479" s="101">
        <f t="shared" si="339"/>
        <v>1</v>
      </c>
      <c r="GN479" s="101">
        <f t="shared" si="340"/>
        <v>9</v>
      </c>
      <c r="GO479" s="101">
        <f t="shared" si="341"/>
        <v>0.1507</v>
      </c>
      <c r="GP479" s="101">
        <f t="shared" si="342"/>
        <v>1</v>
      </c>
      <c r="GQ479" s="101">
        <f t="shared" si="343"/>
        <v>20</v>
      </c>
    </row>
    <row r="480" spans="175:199" ht="16.5" x14ac:dyDescent="0.2">
      <c r="FS480" s="101">
        <v>475</v>
      </c>
      <c r="FT480" s="101">
        <f t="shared" si="328"/>
        <v>67</v>
      </c>
      <c r="FU480" s="101">
        <f t="shared" si="321"/>
        <v>6</v>
      </c>
      <c r="FV480" s="14">
        <f t="shared" si="322"/>
        <v>4</v>
      </c>
      <c r="FW480" s="101" t="str">
        <f t="shared" si="329"/>
        <v>天使缇娜专属武器-魂珠-8 4级</v>
      </c>
      <c r="FX480" s="101">
        <f t="shared" si="330"/>
        <v>8</v>
      </c>
      <c r="FY480" s="101">
        <f t="shared" si="331"/>
        <v>4</v>
      </c>
      <c r="FZ480" s="101" t="str">
        <f t="shared" si="323"/>
        <v>金币</v>
      </c>
      <c r="GA480" s="139">
        <f>IF($FY480&gt;0,IF(INDEX($EM$6:$EM$77,$FT480)&gt;=GA$3,ROUND(INDEX(EO$6:EO$77,$FT480)*INDEX(卡牌消耗!$B$8:$F$8,FV480)/5,0)*5,""),"")</f>
        <v>12460</v>
      </c>
      <c r="GB480" s="101" t="str">
        <f t="shared" si="324"/>
        <v>专属强化石4</v>
      </c>
      <c r="GC480" s="101">
        <f t="shared" si="325"/>
        <v>12</v>
      </c>
      <c r="GD480" s="101" t="str">
        <f t="shared" si="326"/>
        <v/>
      </c>
      <c r="GE480" s="101" t="str">
        <f t="shared" si="327"/>
        <v/>
      </c>
      <c r="GF480" s="101">
        <f t="shared" si="332"/>
        <v>0.05</v>
      </c>
      <c r="GG480" s="101">
        <f t="shared" si="333"/>
        <v>1</v>
      </c>
      <c r="GH480" s="101">
        <f t="shared" si="334"/>
        <v>28</v>
      </c>
      <c r="GI480" s="101">
        <f t="shared" si="335"/>
        <v>0</v>
      </c>
      <c r="GJ480" s="101">
        <f t="shared" si="336"/>
        <v>1</v>
      </c>
      <c r="GK480" s="101">
        <f t="shared" si="337"/>
        <v>6</v>
      </c>
      <c r="GL480" s="101">
        <f t="shared" si="338"/>
        <v>2.7099999999999999E-2</v>
      </c>
      <c r="GM480" s="101">
        <f t="shared" si="339"/>
        <v>1</v>
      </c>
      <c r="GN480" s="101">
        <f t="shared" si="340"/>
        <v>13</v>
      </c>
      <c r="GO480" s="101">
        <f t="shared" si="341"/>
        <v>0.1085</v>
      </c>
      <c r="GP480" s="101">
        <f t="shared" si="342"/>
        <v>1</v>
      </c>
      <c r="GQ480" s="101">
        <f t="shared" si="343"/>
        <v>28</v>
      </c>
    </row>
    <row r="481" spans="175:199" ht="16.5" x14ac:dyDescent="0.2">
      <c r="FS481" s="101">
        <v>476</v>
      </c>
      <c r="FT481" s="101">
        <f t="shared" si="328"/>
        <v>68</v>
      </c>
      <c r="FU481" s="101">
        <f t="shared" si="321"/>
        <v>6</v>
      </c>
      <c r="FV481" s="14">
        <f t="shared" si="322"/>
        <v>4</v>
      </c>
      <c r="FW481" s="101" t="str">
        <f t="shared" si="329"/>
        <v>天使缇娜专属武器-魂珠-8 5级</v>
      </c>
      <c r="FX481" s="101">
        <f t="shared" si="330"/>
        <v>8</v>
      </c>
      <c r="FY481" s="101">
        <f t="shared" si="331"/>
        <v>5</v>
      </c>
      <c r="FZ481" s="101" t="str">
        <f t="shared" si="323"/>
        <v>金币</v>
      </c>
      <c r="GA481" s="139">
        <f>IF($FY481&gt;0,IF(INDEX($EM$6:$EM$77,$FT481)&gt;=GA$3,ROUND(INDEX(EO$6:EO$77,$FT481)*INDEX(卡牌消耗!$B$8:$F$8,FV481)/5,0)*5,""),"")</f>
        <v>15820</v>
      </c>
      <c r="GB481" s="101" t="str">
        <f t="shared" si="324"/>
        <v>专属强化石4</v>
      </c>
      <c r="GC481" s="101">
        <f t="shared" si="325"/>
        <v>15</v>
      </c>
      <c r="GD481" s="101" t="str">
        <f t="shared" si="326"/>
        <v/>
      </c>
      <c r="GE481" s="101" t="str">
        <f t="shared" si="327"/>
        <v/>
      </c>
      <c r="GF481" s="101">
        <f t="shared" si="332"/>
        <v>0.04</v>
      </c>
      <c r="GG481" s="101">
        <f t="shared" si="333"/>
        <v>1</v>
      </c>
      <c r="GH481" s="101">
        <f t="shared" si="334"/>
        <v>35</v>
      </c>
      <c r="GI481" s="101">
        <f t="shared" si="335"/>
        <v>0</v>
      </c>
      <c r="GJ481" s="101">
        <f t="shared" si="336"/>
        <v>1</v>
      </c>
      <c r="GK481" s="101">
        <f t="shared" si="337"/>
        <v>8</v>
      </c>
      <c r="GL481" s="101">
        <f t="shared" si="338"/>
        <v>2.12E-2</v>
      </c>
      <c r="GM481" s="101">
        <f t="shared" si="339"/>
        <v>1</v>
      </c>
      <c r="GN481" s="101">
        <f t="shared" si="340"/>
        <v>17</v>
      </c>
      <c r="GO481" s="101">
        <f t="shared" si="341"/>
        <v>8.4699999999999998E-2</v>
      </c>
      <c r="GP481" s="101">
        <f t="shared" si="342"/>
        <v>1</v>
      </c>
      <c r="GQ481" s="101">
        <f t="shared" si="343"/>
        <v>35</v>
      </c>
    </row>
    <row r="482" spans="175:199" ht="16.5" x14ac:dyDescent="0.2">
      <c r="FS482" s="101">
        <v>477</v>
      </c>
      <c r="FT482" s="101">
        <f t="shared" si="328"/>
        <v>69</v>
      </c>
      <c r="FU482" s="101">
        <f t="shared" si="321"/>
        <v>6</v>
      </c>
      <c r="FV482" s="14">
        <f t="shared" si="322"/>
        <v>4</v>
      </c>
      <c r="FW482" s="101" t="str">
        <f t="shared" si="329"/>
        <v>天使缇娜专属武器-魂珠-8 6级</v>
      </c>
      <c r="FX482" s="101">
        <f t="shared" si="330"/>
        <v>8</v>
      </c>
      <c r="FY482" s="101">
        <f t="shared" si="331"/>
        <v>6</v>
      </c>
      <c r="FZ482" s="101" t="str">
        <f t="shared" si="323"/>
        <v>金币</v>
      </c>
      <c r="GA482" s="139">
        <f>IF($FY482&gt;0,IF(INDEX($EM$6:$EM$77,$FT482)&gt;=GA$3,ROUND(INDEX(EO$6:EO$77,$FT482)*INDEX(卡牌消耗!$B$8:$F$8,FV482)/5,0)*5,""),"")</f>
        <v>18870</v>
      </c>
      <c r="GB482" s="101" t="str">
        <f t="shared" si="324"/>
        <v>专属强化石4</v>
      </c>
      <c r="GC482" s="101">
        <f t="shared" si="325"/>
        <v>18</v>
      </c>
      <c r="GD482" s="101" t="str">
        <f t="shared" si="326"/>
        <v/>
      </c>
      <c r="GE482" s="101" t="str">
        <f t="shared" si="327"/>
        <v/>
      </c>
      <c r="GF482" s="101">
        <f t="shared" si="332"/>
        <v>0.03</v>
      </c>
      <c r="GG482" s="101">
        <f t="shared" si="333"/>
        <v>1</v>
      </c>
      <c r="GH482" s="101">
        <f t="shared" si="334"/>
        <v>48</v>
      </c>
      <c r="GI482" s="101">
        <f t="shared" si="335"/>
        <v>0</v>
      </c>
      <c r="GJ482" s="101">
        <f t="shared" si="336"/>
        <v>1</v>
      </c>
      <c r="GK482" s="101">
        <f t="shared" si="337"/>
        <v>11</v>
      </c>
      <c r="GL482" s="101">
        <f t="shared" si="338"/>
        <v>1.5599999999999999E-2</v>
      </c>
      <c r="GM482" s="101">
        <f t="shared" si="339"/>
        <v>1</v>
      </c>
      <c r="GN482" s="101">
        <f t="shared" si="340"/>
        <v>22</v>
      </c>
      <c r="GO482" s="101">
        <f t="shared" si="341"/>
        <v>6.2600000000000003E-2</v>
      </c>
      <c r="GP482" s="101">
        <f t="shared" si="342"/>
        <v>1</v>
      </c>
      <c r="GQ482" s="101">
        <f t="shared" si="343"/>
        <v>48</v>
      </c>
    </row>
    <row r="483" spans="175:199" ht="16.5" x14ac:dyDescent="0.2">
      <c r="FS483" s="101">
        <v>478</v>
      </c>
      <c r="FT483" s="101">
        <f t="shared" si="328"/>
        <v>70</v>
      </c>
      <c r="FU483" s="101">
        <f t="shared" si="321"/>
        <v>6</v>
      </c>
      <c r="FV483" s="14">
        <f t="shared" si="322"/>
        <v>4</v>
      </c>
      <c r="FW483" s="101" t="str">
        <f t="shared" si="329"/>
        <v>天使缇娜专属武器-魂珠-8 7级</v>
      </c>
      <c r="FX483" s="101">
        <f t="shared" si="330"/>
        <v>8</v>
      </c>
      <c r="FY483" s="101">
        <f t="shared" si="331"/>
        <v>7</v>
      </c>
      <c r="FZ483" s="101" t="str">
        <f t="shared" si="323"/>
        <v>金币</v>
      </c>
      <c r="GA483" s="139">
        <f>IF($FY483&gt;0,IF(INDEX($EM$6:$EM$77,$FT483)&gt;=GA$3,ROUND(INDEX(EO$6:EO$77,$FT483)*INDEX(卡牌消耗!$B$8:$F$8,FV483)/5,0)*5,""),"")</f>
        <v>26270</v>
      </c>
      <c r="GB483" s="101" t="str">
        <f t="shared" si="324"/>
        <v>专属强化石4</v>
      </c>
      <c r="GC483" s="101">
        <f t="shared" si="325"/>
        <v>25</v>
      </c>
      <c r="GD483" s="101" t="str">
        <f t="shared" si="326"/>
        <v/>
      </c>
      <c r="GE483" s="101" t="str">
        <f t="shared" si="327"/>
        <v/>
      </c>
      <c r="GF483" s="101">
        <f t="shared" si="332"/>
        <v>0.03</v>
      </c>
      <c r="GG483" s="101">
        <f t="shared" si="333"/>
        <v>1</v>
      </c>
      <c r="GH483" s="101">
        <f t="shared" si="334"/>
        <v>56</v>
      </c>
      <c r="GI483" s="101">
        <f t="shared" si="335"/>
        <v>0</v>
      </c>
      <c r="GJ483" s="101">
        <f t="shared" si="336"/>
        <v>1</v>
      </c>
      <c r="GK483" s="101">
        <f t="shared" si="337"/>
        <v>13</v>
      </c>
      <c r="GL483" s="101">
        <f t="shared" si="338"/>
        <v>1.35E-2</v>
      </c>
      <c r="GM483" s="101">
        <f t="shared" si="339"/>
        <v>1</v>
      </c>
      <c r="GN483" s="101">
        <f t="shared" si="340"/>
        <v>26</v>
      </c>
      <c r="GO483" s="101">
        <f t="shared" si="341"/>
        <v>5.3800000000000001E-2</v>
      </c>
      <c r="GP483" s="101">
        <f t="shared" si="342"/>
        <v>1</v>
      </c>
      <c r="GQ483" s="101">
        <f t="shared" si="343"/>
        <v>56</v>
      </c>
    </row>
    <row r="484" spans="175:199" ht="16.5" x14ac:dyDescent="0.2">
      <c r="FS484" s="101">
        <v>479</v>
      </c>
      <c r="FT484" s="101">
        <f t="shared" si="328"/>
        <v>71</v>
      </c>
      <c r="FU484" s="101">
        <f t="shared" si="321"/>
        <v>6</v>
      </c>
      <c r="FV484" s="14">
        <f t="shared" si="322"/>
        <v>4</v>
      </c>
      <c r="FW484" s="101" t="str">
        <f t="shared" si="329"/>
        <v>天使缇娜专属武器-魂珠-8 8级</v>
      </c>
      <c r="FX484" s="101">
        <f t="shared" si="330"/>
        <v>8</v>
      </c>
      <c r="FY484" s="101">
        <f t="shared" si="331"/>
        <v>8</v>
      </c>
      <c r="FZ484" s="101" t="str">
        <f t="shared" si="323"/>
        <v>金币</v>
      </c>
      <c r="GA484" s="139">
        <f>IF($FY484&gt;0,IF(INDEX($EM$6:$EM$77,$FT484)&gt;=GA$3,ROUND(INDEX(EO$6:EO$77,$FT484)*INDEX(卡牌消耗!$B$8:$F$8,FV484)/5,0)*5,""),"")</f>
        <v>31495</v>
      </c>
      <c r="GB484" s="101" t="str">
        <f t="shared" si="324"/>
        <v>专属强化石4</v>
      </c>
      <c r="GC484" s="101">
        <f t="shared" si="325"/>
        <v>30</v>
      </c>
      <c r="GD484" s="101" t="str">
        <f t="shared" si="326"/>
        <v/>
      </c>
      <c r="GE484" s="101" t="str">
        <f t="shared" si="327"/>
        <v/>
      </c>
      <c r="GF484" s="101">
        <f t="shared" si="332"/>
        <v>0.02</v>
      </c>
      <c r="GG484" s="101">
        <f t="shared" si="333"/>
        <v>1</v>
      </c>
      <c r="GH484" s="101">
        <f t="shared" si="334"/>
        <v>75</v>
      </c>
      <c r="GI484" s="101">
        <f t="shared" si="335"/>
        <v>0</v>
      </c>
      <c r="GJ484" s="101">
        <f t="shared" si="336"/>
        <v>1</v>
      </c>
      <c r="GK484" s="101">
        <f t="shared" si="337"/>
        <v>18</v>
      </c>
      <c r="GL484" s="101">
        <f t="shared" si="338"/>
        <v>0.01</v>
      </c>
      <c r="GM484" s="101">
        <f t="shared" si="339"/>
        <v>1</v>
      </c>
      <c r="GN484" s="101">
        <f t="shared" si="340"/>
        <v>35</v>
      </c>
      <c r="GO484" s="101">
        <f t="shared" si="341"/>
        <v>3.9899999999999998E-2</v>
      </c>
      <c r="GP484" s="101">
        <f t="shared" si="342"/>
        <v>1</v>
      </c>
      <c r="GQ484" s="101">
        <f t="shared" si="343"/>
        <v>75</v>
      </c>
    </row>
    <row r="485" spans="175:199" ht="16.5" x14ac:dyDescent="0.2">
      <c r="FS485" s="101">
        <v>480</v>
      </c>
      <c r="FT485" s="101">
        <f t="shared" si="328"/>
        <v>72</v>
      </c>
      <c r="FU485" s="101">
        <f t="shared" si="321"/>
        <v>6</v>
      </c>
      <c r="FV485" s="14">
        <f t="shared" si="322"/>
        <v>4</v>
      </c>
      <c r="FW485" s="101" t="str">
        <f t="shared" si="329"/>
        <v>天使缇娜专属武器-魂珠-8 9级</v>
      </c>
      <c r="FX485" s="101">
        <f t="shared" si="330"/>
        <v>8</v>
      </c>
      <c r="FY485" s="101">
        <f t="shared" si="331"/>
        <v>9</v>
      </c>
      <c r="FZ485" s="101" t="str">
        <f t="shared" si="323"/>
        <v>金币</v>
      </c>
      <c r="GA485" s="139">
        <f>IF($FY485&gt;0,IF(INDEX($EM$6:$EM$77,$FT485)&gt;=GA$3,ROUND(INDEX(EO$6:EO$77,$FT485)*INDEX(卡牌消耗!$B$8:$F$8,FV485)/5,0)*5,""),"")</f>
        <v>31510</v>
      </c>
      <c r="GB485" s="101" t="str">
        <f t="shared" si="324"/>
        <v>专属强化石4</v>
      </c>
      <c r="GC485" s="101">
        <f t="shared" si="325"/>
        <v>30</v>
      </c>
      <c r="GD485" s="101" t="str">
        <f t="shared" si="326"/>
        <v/>
      </c>
      <c r="GE485" s="101" t="str">
        <f t="shared" si="327"/>
        <v/>
      </c>
      <c r="GF485" s="101">
        <f t="shared" si="332"/>
        <v>0.01</v>
      </c>
      <c r="GG485" s="101">
        <f t="shared" si="333"/>
        <v>1</v>
      </c>
      <c r="GH485" s="101">
        <f t="shared" si="334"/>
        <v>122</v>
      </c>
      <c r="GI485" s="101">
        <f t="shared" si="335"/>
        <v>0</v>
      </c>
      <c r="GJ485" s="101">
        <f t="shared" si="336"/>
        <v>1</v>
      </c>
      <c r="GK485" s="101">
        <f t="shared" si="337"/>
        <v>28</v>
      </c>
      <c r="GL485" s="101">
        <f t="shared" si="338"/>
        <v>6.1999999999999998E-3</v>
      </c>
      <c r="GM485" s="101">
        <f t="shared" si="339"/>
        <v>1</v>
      </c>
      <c r="GN485" s="101">
        <f t="shared" si="340"/>
        <v>57</v>
      </c>
      <c r="GO485" s="101">
        <f t="shared" si="341"/>
        <v>2.47E-2</v>
      </c>
      <c r="GP485" s="101">
        <f t="shared" si="342"/>
        <v>1</v>
      </c>
      <c r="GQ485" s="101">
        <f t="shared" si="343"/>
        <v>122</v>
      </c>
    </row>
    <row r="486" spans="175:199" ht="16.5" x14ac:dyDescent="0.2">
      <c r="FS486" s="101">
        <v>481</v>
      </c>
      <c r="FT486" s="101">
        <f t="shared" si="328"/>
        <v>0</v>
      </c>
      <c r="FU486" s="101">
        <f t="shared" si="321"/>
        <v>7</v>
      </c>
      <c r="FV486" s="14">
        <f t="shared" si="322"/>
        <v>4</v>
      </c>
      <c r="FW486" s="101" t="str">
        <f t="shared" si="329"/>
        <v>夏侯渊专属武器-魂珠-1 0级</v>
      </c>
      <c r="FX486" s="101">
        <f t="shared" si="330"/>
        <v>1</v>
      </c>
      <c r="FY486" s="101">
        <f t="shared" si="331"/>
        <v>0</v>
      </c>
      <c r="FZ486" s="101" t="str">
        <f t="shared" si="323"/>
        <v/>
      </c>
      <c r="GA486" s="139" t="str">
        <f>IF($FY486&gt;0,IF(INDEX($EM$6:$EM$77,$FT486)&gt;=GA$3,ROUND(INDEX(EO$6:EO$77,$FT486)*INDEX(卡牌消耗!$B$8:$F$8,FV486)/5,0)*5,""),"")</f>
        <v/>
      </c>
      <c r="GB486" s="101" t="str">
        <f t="shared" si="324"/>
        <v/>
      </c>
      <c r="GC486" s="101" t="str">
        <f t="shared" si="325"/>
        <v/>
      </c>
      <c r="GD486" s="101" t="str">
        <f t="shared" si="326"/>
        <v/>
      </c>
      <c r="GE486" s="101" t="str">
        <f t="shared" si="327"/>
        <v/>
      </c>
      <c r="GF486" s="101" t="str">
        <f t="shared" si="332"/>
        <v/>
      </c>
      <c r="GG486" s="101" t="str">
        <f t="shared" si="333"/>
        <v/>
      </c>
      <c r="GH486" s="101" t="str">
        <f t="shared" si="334"/>
        <v/>
      </c>
      <c r="GI486" s="101" t="str">
        <f t="shared" si="335"/>
        <v/>
      </c>
      <c r="GJ486" s="101" t="str">
        <f t="shared" si="336"/>
        <v/>
      </c>
      <c r="GK486" s="101" t="str">
        <f t="shared" si="337"/>
        <v/>
      </c>
      <c r="GL486" s="101" t="str">
        <f t="shared" si="338"/>
        <v/>
      </c>
      <c r="GM486" s="101" t="str">
        <f t="shared" si="339"/>
        <v/>
      </c>
      <c r="GN486" s="101" t="str">
        <f t="shared" si="340"/>
        <v/>
      </c>
      <c r="GO486" s="101" t="str">
        <f t="shared" si="341"/>
        <v/>
      </c>
      <c r="GP486" s="101" t="str">
        <f t="shared" si="342"/>
        <v/>
      </c>
      <c r="GQ486" s="101" t="str">
        <f t="shared" si="343"/>
        <v/>
      </c>
    </row>
    <row r="487" spans="175:199" ht="16.5" x14ac:dyDescent="0.2">
      <c r="FS487" s="101">
        <v>482</v>
      </c>
      <c r="FT487" s="101">
        <f t="shared" si="328"/>
        <v>1</v>
      </c>
      <c r="FU487" s="101">
        <f t="shared" si="321"/>
        <v>7</v>
      </c>
      <c r="FV487" s="14">
        <f t="shared" si="322"/>
        <v>4</v>
      </c>
      <c r="FW487" s="101" t="str">
        <f t="shared" si="329"/>
        <v>夏侯渊专属武器-魂珠-1 1级</v>
      </c>
      <c r="FX487" s="101">
        <f t="shared" si="330"/>
        <v>1</v>
      </c>
      <c r="FY487" s="101">
        <f t="shared" si="331"/>
        <v>1</v>
      </c>
      <c r="FZ487" s="101" t="str">
        <f t="shared" si="323"/>
        <v>金币</v>
      </c>
      <c r="GA487" s="139">
        <f>IF($FY487&gt;0,IF(INDEX($EM$6:$EM$77,$FT487)&gt;=GA$3,ROUND(INDEX(EO$6:EO$77,$FT487)*INDEX(卡牌消耗!$B$8:$F$8,FV487)/5,0)*5,""),"")</f>
        <v>145</v>
      </c>
      <c r="GB487" s="101" t="str">
        <f t="shared" si="324"/>
        <v>专属强化石1</v>
      </c>
      <c r="GC487" s="101">
        <f t="shared" si="325"/>
        <v>1</v>
      </c>
      <c r="GD487" s="101" t="str">
        <f t="shared" si="326"/>
        <v/>
      </c>
      <c r="GE487" s="101" t="str">
        <f t="shared" si="327"/>
        <v/>
      </c>
      <c r="GF487" s="101">
        <f t="shared" si="332"/>
        <v>0.32</v>
      </c>
      <c r="GG487" s="101">
        <f t="shared" si="333"/>
        <v>1</v>
      </c>
      <c r="GH487" s="101">
        <f t="shared" si="334"/>
        <v>5</v>
      </c>
      <c r="GI487" s="101">
        <f t="shared" si="335"/>
        <v>0</v>
      </c>
      <c r="GJ487" s="101">
        <f t="shared" si="336"/>
        <v>1</v>
      </c>
      <c r="GK487" s="101">
        <f t="shared" si="337"/>
        <v>1</v>
      </c>
      <c r="GL487" s="101">
        <f t="shared" si="338"/>
        <v>0.1595</v>
      </c>
      <c r="GM487" s="101">
        <f t="shared" si="339"/>
        <v>1</v>
      </c>
      <c r="GN487" s="101">
        <f t="shared" si="340"/>
        <v>2</v>
      </c>
      <c r="GO487" s="101">
        <f t="shared" si="341"/>
        <v>0.63819999999999999</v>
      </c>
      <c r="GP487" s="101">
        <f t="shared" si="342"/>
        <v>1</v>
      </c>
      <c r="GQ487" s="101">
        <f t="shared" si="343"/>
        <v>5</v>
      </c>
    </row>
    <row r="488" spans="175:199" ht="16.5" x14ac:dyDescent="0.2">
      <c r="FS488" s="101">
        <v>483</v>
      </c>
      <c r="FT488" s="101">
        <f t="shared" si="328"/>
        <v>2</v>
      </c>
      <c r="FU488" s="101">
        <f t="shared" si="321"/>
        <v>7</v>
      </c>
      <c r="FV488" s="14">
        <f t="shared" si="322"/>
        <v>4</v>
      </c>
      <c r="FW488" s="101" t="str">
        <f t="shared" si="329"/>
        <v>夏侯渊专属武器-魂珠-1 2级</v>
      </c>
      <c r="FX488" s="101">
        <f t="shared" si="330"/>
        <v>1</v>
      </c>
      <c r="FY488" s="101">
        <f t="shared" si="331"/>
        <v>2</v>
      </c>
      <c r="FZ488" s="101" t="str">
        <f t="shared" si="323"/>
        <v>金币</v>
      </c>
      <c r="GA488" s="139">
        <f>IF($FY488&gt;0,IF(INDEX($EM$6:$EM$77,$FT488)&gt;=GA$3,ROUND(INDEX(EO$6:EO$77,$FT488)*INDEX(卡牌消耗!$B$8:$F$8,FV488)/5,0)*5,""),"")</f>
        <v>215</v>
      </c>
      <c r="GB488" s="101" t="str">
        <f t="shared" si="324"/>
        <v>专属强化石1</v>
      </c>
      <c r="GC488" s="101">
        <f t="shared" si="325"/>
        <v>2</v>
      </c>
      <c r="GD488" s="101" t="str">
        <f t="shared" si="326"/>
        <v/>
      </c>
      <c r="GE488" s="101" t="str">
        <f t="shared" si="327"/>
        <v/>
      </c>
      <c r="GF488" s="101">
        <f t="shared" si="332"/>
        <v>0.32</v>
      </c>
      <c r="GG488" s="101">
        <f t="shared" si="333"/>
        <v>1</v>
      </c>
      <c r="GH488" s="101">
        <f t="shared" si="334"/>
        <v>5</v>
      </c>
      <c r="GI488" s="101">
        <f t="shared" si="335"/>
        <v>0</v>
      </c>
      <c r="GJ488" s="101">
        <f t="shared" si="336"/>
        <v>1</v>
      </c>
      <c r="GK488" s="101">
        <f t="shared" si="337"/>
        <v>1</v>
      </c>
      <c r="GL488" s="101">
        <f t="shared" si="338"/>
        <v>0.1595</v>
      </c>
      <c r="GM488" s="101">
        <f t="shared" si="339"/>
        <v>1</v>
      </c>
      <c r="GN488" s="101">
        <f t="shared" si="340"/>
        <v>2</v>
      </c>
      <c r="GO488" s="101">
        <f t="shared" si="341"/>
        <v>0.63819999999999999</v>
      </c>
      <c r="GP488" s="101">
        <f t="shared" si="342"/>
        <v>1</v>
      </c>
      <c r="GQ488" s="101">
        <f t="shared" si="343"/>
        <v>5</v>
      </c>
    </row>
    <row r="489" spans="175:199" ht="16.5" x14ac:dyDescent="0.2">
      <c r="FS489" s="101">
        <v>484</v>
      </c>
      <c r="FT489" s="101">
        <f t="shared" si="328"/>
        <v>3</v>
      </c>
      <c r="FU489" s="101">
        <f t="shared" si="321"/>
        <v>7</v>
      </c>
      <c r="FV489" s="14">
        <f t="shared" si="322"/>
        <v>4</v>
      </c>
      <c r="FW489" s="101" t="str">
        <f t="shared" si="329"/>
        <v>夏侯渊专属武器-魂珠-1 3级</v>
      </c>
      <c r="FX489" s="101">
        <f t="shared" si="330"/>
        <v>1</v>
      </c>
      <c r="FY489" s="101">
        <f t="shared" si="331"/>
        <v>3</v>
      </c>
      <c r="FZ489" s="101" t="str">
        <f t="shared" si="323"/>
        <v>金币</v>
      </c>
      <c r="GA489" s="139">
        <f>IF($FY489&gt;0,IF(INDEX($EM$6:$EM$77,$FT489)&gt;=GA$3,ROUND(INDEX(EO$6:EO$77,$FT489)*INDEX(卡牌消耗!$B$8:$F$8,FV489)/5,0)*5,""),"")</f>
        <v>355</v>
      </c>
      <c r="GB489" s="101" t="str">
        <f t="shared" si="324"/>
        <v>专属强化石1</v>
      </c>
      <c r="GC489" s="101">
        <f t="shared" si="325"/>
        <v>3</v>
      </c>
      <c r="GD489" s="101" t="str">
        <f t="shared" si="326"/>
        <v/>
      </c>
      <c r="GE489" s="101" t="str">
        <f t="shared" si="327"/>
        <v/>
      </c>
      <c r="GF489" s="101">
        <f t="shared" si="332"/>
        <v>0.32</v>
      </c>
      <c r="GG489" s="101">
        <f t="shared" si="333"/>
        <v>1</v>
      </c>
      <c r="GH489" s="101">
        <f t="shared" si="334"/>
        <v>5</v>
      </c>
      <c r="GI489" s="101">
        <f t="shared" si="335"/>
        <v>0</v>
      </c>
      <c r="GJ489" s="101">
        <f t="shared" si="336"/>
        <v>1</v>
      </c>
      <c r="GK489" s="101">
        <f t="shared" si="337"/>
        <v>1</v>
      </c>
      <c r="GL489" s="101">
        <f t="shared" si="338"/>
        <v>0.1595</v>
      </c>
      <c r="GM489" s="101">
        <f t="shared" si="339"/>
        <v>1</v>
      </c>
      <c r="GN489" s="101">
        <f t="shared" si="340"/>
        <v>2</v>
      </c>
      <c r="GO489" s="101">
        <f t="shared" si="341"/>
        <v>0.63819999999999999</v>
      </c>
      <c r="GP489" s="101">
        <f t="shared" si="342"/>
        <v>1</v>
      </c>
      <c r="GQ489" s="101">
        <f t="shared" si="343"/>
        <v>5</v>
      </c>
    </row>
    <row r="490" spans="175:199" ht="16.5" x14ac:dyDescent="0.2">
      <c r="FS490" s="101">
        <v>485</v>
      </c>
      <c r="FT490" s="101">
        <f t="shared" si="328"/>
        <v>4</v>
      </c>
      <c r="FU490" s="101">
        <f t="shared" si="321"/>
        <v>7</v>
      </c>
      <c r="FV490" s="14">
        <f t="shared" si="322"/>
        <v>4</v>
      </c>
      <c r="FW490" s="101" t="str">
        <f t="shared" si="329"/>
        <v>夏侯渊专属武器-魂珠-1 4级</v>
      </c>
      <c r="FX490" s="101">
        <f t="shared" si="330"/>
        <v>1</v>
      </c>
      <c r="FY490" s="101">
        <f t="shared" si="331"/>
        <v>4</v>
      </c>
      <c r="FZ490" s="101" t="str">
        <f t="shared" si="323"/>
        <v>金币</v>
      </c>
      <c r="GA490" s="139">
        <f>IF($FY490&gt;0,IF(INDEX($EM$6:$EM$77,$FT490)&gt;=GA$3,ROUND(INDEX(EO$6:EO$77,$FT490)*INDEX(卡牌消耗!$B$8:$F$8,FV490)/5,0)*5,""),"")</f>
        <v>455</v>
      </c>
      <c r="GB490" s="101" t="str">
        <f t="shared" si="324"/>
        <v>专属强化石1</v>
      </c>
      <c r="GC490" s="101">
        <f t="shared" si="325"/>
        <v>4</v>
      </c>
      <c r="GD490" s="101" t="str">
        <f t="shared" si="326"/>
        <v/>
      </c>
      <c r="GE490" s="101" t="str">
        <f t="shared" si="327"/>
        <v/>
      </c>
      <c r="GF490" s="101">
        <f t="shared" si="332"/>
        <v>0.26</v>
      </c>
      <c r="GG490" s="101">
        <f t="shared" si="333"/>
        <v>1</v>
      </c>
      <c r="GH490" s="101">
        <f t="shared" si="334"/>
        <v>6</v>
      </c>
      <c r="GI490" s="101">
        <f t="shared" si="335"/>
        <v>0</v>
      </c>
      <c r="GJ490" s="101">
        <f t="shared" si="336"/>
        <v>1</v>
      </c>
      <c r="GK490" s="101">
        <f t="shared" si="337"/>
        <v>1</v>
      </c>
      <c r="GL490" s="101">
        <f t="shared" si="338"/>
        <v>0.12759999999999999</v>
      </c>
      <c r="GM490" s="101">
        <f t="shared" si="339"/>
        <v>1</v>
      </c>
      <c r="GN490" s="101">
        <f t="shared" si="340"/>
        <v>3</v>
      </c>
      <c r="GO490" s="101">
        <f t="shared" si="341"/>
        <v>0.51060000000000005</v>
      </c>
      <c r="GP490" s="101">
        <f t="shared" si="342"/>
        <v>1</v>
      </c>
      <c r="GQ490" s="101">
        <f t="shared" si="343"/>
        <v>6</v>
      </c>
    </row>
    <row r="491" spans="175:199" ht="16.5" x14ac:dyDescent="0.2">
      <c r="FS491" s="101">
        <v>486</v>
      </c>
      <c r="FT491" s="101">
        <f t="shared" si="328"/>
        <v>5</v>
      </c>
      <c r="FU491" s="101">
        <f t="shared" si="321"/>
        <v>7</v>
      </c>
      <c r="FV491" s="14">
        <f t="shared" si="322"/>
        <v>4</v>
      </c>
      <c r="FW491" s="101" t="str">
        <f t="shared" si="329"/>
        <v>夏侯渊专属武器-魂珠-1 5级</v>
      </c>
      <c r="FX491" s="101">
        <f t="shared" si="330"/>
        <v>1</v>
      </c>
      <c r="FY491" s="101">
        <f t="shared" si="331"/>
        <v>5</v>
      </c>
      <c r="FZ491" s="101" t="str">
        <f t="shared" si="323"/>
        <v>金币</v>
      </c>
      <c r="GA491" s="139">
        <f>IF($FY491&gt;0,IF(INDEX($EM$6:$EM$77,$FT491)&gt;=GA$3,ROUND(INDEX(EO$6:EO$77,$FT491)*INDEX(卡牌消耗!$B$8:$F$8,FV491)/5,0)*5,""),"")</f>
        <v>580</v>
      </c>
      <c r="GB491" s="101" t="str">
        <f t="shared" si="324"/>
        <v>专属强化石1</v>
      </c>
      <c r="GC491" s="101">
        <f t="shared" si="325"/>
        <v>5</v>
      </c>
      <c r="GD491" s="101" t="str">
        <f t="shared" si="326"/>
        <v/>
      </c>
      <c r="GE491" s="101" t="str">
        <f t="shared" si="327"/>
        <v/>
      </c>
      <c r="GF491" s="101">
        <f t="shared" si="332"/>
        <v>0.2</v>
      </c>
      <c r="GG491" s="101">
        <f t="shared" si="333"/>
        <v>1</v>
      </c>
      <c r="GH491" s="101">
        <f t="shared" si="334"/>
        <v>8</v>
      </c>
      <c r="GI491" s="101">
        <f t="shared" si="335"/>
        <v>0</v>
      </c>
      <c r="GJ491" s="101">
        <f t="shared" si="336"/>
        <v>1</v>
      </c>
      <c r="GK491" s="101">
        <f t="shared" si="337"/>
        <v>2</v>
      </c>
      <c r="GL491" s="101">
        <f t="shared" si="338"/>
        <v>9.9699999999999997E-2</v>
      </c>
      <c r="GM491" s="101">
        <f t="shared" si="339"/>
        <v>1</v>
      </c>
      <c r="GN491" s="101">
        <f t="shared" si="340"/>
        <v>4</v>
      </c>
      <c r="GO491" s="101">
        <f t="shared" si="341"/>
        <v>0.39889999999999998</v>
      </c>
      <c r="GP491" s="101">
        <f t="shared" si="342"/>
        <v>1</v>
      </c>
      <c r="GQ491" s="101">
        <f t="shared" si="343"/>
        <v>8</v>
      </c>
    </row>
    <row r="492" spans="175:199" ht="16.5" x14ac:dyDescent="0.2">
      <c r="FS492" s="101">
        <v>487</v>
      </c>
      <c r="FT492" s="101">
        <f t="shared" si="328"/>
        <v>6</v>
      </c>
      <c r="FU492" s="101">
        <f t="shared" si="321"/>
        <v>7</v>
      </c>
      <c r="FV492" s="14">
        <f t="shared" si="322"/>
        <v>4</v>
      </c>
      <c r="FW492" s="101" t="str">
        <f t="shared" si="329"/>
        <v>夏侯渊专属武器-魂珠-1 6级</v>
      </c>
      <c r="FX492" s="101">
        <f t="shared" si="330"/>
        <v>1</v>
      </c>
      <c r="FY492" s="101">
        <f t="shared" si="331"/>
        <v>6</v>
      </c>
      <c r="FZ492" s="101" t="str">
        <f t="shared" si="323"/>
        <v>金币</v>
      </c>
      <c r="GA492" s="139">
        <f>IF($FY492&gt;0,IF(INDEX($EM$6:$EM$77,$FT492)&gt;=GA$3,ROUND(INDEX(EO$6:EO$77,$FT492)*INDEX(卡牌消耗!$B$8:$F$8,FV492)/5,0)*5,""),"")</f>
        <v>690</v>
      </c>
      <c r="GB492" s="101" t="str">
        <f t="shared" si="324"/>
        <v>专属强化石1</v>
      </c>
      <c r="GC492" s="101">
        <f t="shared" si="325"/>
        <v>6</v>
      </c>
      <c r="GD492" s="101" t="str">
        <f t="shared" si="326"/>
        <v/>
      </c>
      <c r="GE492" s="101" t="str">
        <f t="shared" si="327"/>
        <v/>
      </c>
      <c r="GF492" s="101">
        <f t="shared" si="332"/>
        <v>0.15</v>
      </c>
      <c r="GG492" s="101">
        <f t="shared" si="333"/>
        <v>1</v>
      </c>
      <c r="GH492" s="101">
        <f t="shared" si="334"/>
        <v>10</v>
      </c>
      <c r="GI492" s="101">
        <f t="shared" si="335"/>
        <v>0</v>
      </c>
      <c r="GJ492" s="101">
        <f t="shared" si="336"/>
        <v>1</v>
      </c>
      <c r="GK492" s="101">
        <f t="shared" si="337"/>
        <v>2</v>
      </c>
      <c r="GL492" s="101">
        <f t="shared" si="338"/>
        <v>7.3599999999999999E-2</v>
      </c>
      <c r="GM492" s="101">
        <f t="shared" si="339"/>
        <v>1</v>
      </c>
      <c r="GN492" s="101">
        <f t="shared" si="340"/>
        <v>5</v>
      </c>
      <c r="GO492" s="101">
        <f t="shared" si="341"/>
        <v>0.29459999999999997</v>
      </c>
      <c r="GP492" s="101">
        <f t="shared" si="342"/>
        <v>1</v>
      </c>
      <c r="GQ492" s="101">
        <f t="shared" si="343"/>
        <v>10</v>
      </c>
    </row>
    <row r="493" spans="175:199" ht="16.5" x14ac:dyDescent="0.2">
      <c r="FS493" s="101">
        <v>488</v>
      </c>
      <c r="FT493" s="101">
        <f t="shared" si="328"/>
        <v>7</v>
      </c>
      <c r="FU493" s="101">
        <f t="shared" si="321"/>
        <v>7</v>
      </c>
      <c r="FV493" s="14">
        <f t="shared" si="322"/>
        <v>4</v>
      </c>
      <c r="FW493" s="101" t="str">
        <f t="shared" si="329"/>
        <v>夏侯渊专属武器-魂珠-1 7级</v>
      </c>
      <c r="FX493" s="101">
        <f t="shared" si="330"/>
        <v>1</v>
      </c>
      <c r="FY493" s="101">
        <f t="shared" si="331"/>
        <v>7</v>
      </c>
      <c r="FZ493" s="101" t="str">
        <f t="shared" si="323"/>
        <v>金币</v>
      </c>
      <c r="GA493" s="139">
        <f>IF($FY493&gt;0,IF(INDEX($EM$6:$EM$77,$FT493)&gt;=GA$3,ROUND(INDEX(EO$6:EO$77,$FT493)*INDEX(卡牌消耗!$B$8:$F$8,FV493)/5,0)*5,""),"")</f>
        <v>805</v>
      </c>
      <c r="GB493" s="101" t="str">
        <f t="shared" si="324"/>
        <v>专属强化石1</v>
      </c>
      <c r="GC493" s="101">
        <f t="shared" si="325"/>
        <v>7</v>
      </c>
      <c r="GD493" s="101" t="str">
        <f t="shared" si="326"/>
        <v/>
      </c>
      <c r="GE493" s="101" t="str">
        <f t="shared" si="327"/>
        <v/>
      </c>
      <c r="GF493" s="101">
        <f t="shared" si="332"/>
        <v>0.11</v>
      </c>
      <c r="GG493" s="101">
        <f t="shared" si="333"/>
        <v>1</v>
      </c>
      <c r="GH493" s="101">
        <f t="shared" si="334"/>
        <v>14</v>
      </c>
      <c r="GI493" s="101">
        <f t="shared" si="335"/>
        <v>0</v>
      </c>
      <c r="GJ493" s="101">
        <f t="shared" si="336"/>
        <v>1</v>
      </c>
      <c r="GK493" s="101">
        <f t="shared" si="337"/>
        <v>3</v>
      </c>
      <c r="GL493" s="101">
        <f t="shared" si="338"/>
        <v>5.3199999999999997E-2</v>
      </c>
      <c r="GM493" s="101">
        <f t="shared" si="339"/>
        <v>1</v>
      </c>
      <c r="GN493" s="101">
        <f t="shared" si="340"/>
        <v>7</v>
      </c>
      <c r="GO493" s="101">
        <f t="shared" si="341"/>
        <v>0.2127</v>
      </c>
      <c r="GP493" s="101">
        <f t="shared" si="342"/>
        <v>1</v>
      </c>
      <c r="GQ493" s="101">
        <f t="shared" si="343"/>
        <v>14</v>
      </c>
    </row>
    <row r="494" spans="175:199" ht="16.5" x14ac:dyDescent="0.2">
      <c r="FS494" s="101">
        <v>489</v>
      </c>
      <c r="FT494" s="101">
        <f t="shared" si="328"/>
        <v>8</v>
      </c>
      <c r="FU494" s="101">
        <f t="shared" si="321"/>
        <v>7</v>
      </c>
      <c r="FV494" s="14">
        <f t="shared" si="322"/>
        <v>4</v>
      </c>
      <c r="FW494" s="101" t="str">
        <f t="shared" si="329"/>
        <v>夏侯渊专属武器-魂珠-1 8级</v>
      </c>
      <c r="FX494" s="101">
        <f t="shared" si="330"/>
        <v>1</v>
      </c>
      <c r="FY494" s="101">
        <f t="shared" si="331"/>
        <v>8</v>
      </c>
      <c r="FZ494" s="101" t="str">
        <f t="shared" si="323"/>
        <v>金币</v>
      </c>
      <c r="GA494" s="139">
        <f>IF($FY494&gt;0,IF(INDEX($EM$6:$EM$77,$FT494)&gt;=GA$3,ROUND(INDEX(EO$6:EO$77,$FT494)*INDEX(卡牌消耗!$B$8:$F$8,FV494)/5,0)*5,""),"")</f>
        <v>920</v>
      </c>
      <c r="GB494" s="101" t="str">
        <f t="shared" si="324"/>
        <v>专属强化石1</v>
      </c>
      <c r="GC494" s="101">
        <f t="shared" si="325"/>
        <v>8</v>
      </c>
      <c r="GD494" s="101" t="str">
        <f t="shared" si="326"/>
        <v/>
      </c>
      <c r="GE494" s="101" t="str">
        <f t="shared" si="327"/>
        <v/>
      </c>
      <c r="GF494" s="101">
        <f t="shared" si="332"/>
        <v>0.08</v>
      </c>
      <c r="GG494" s="101">
        <f t="shared" si="333"/>
        <v>1</v>
      </c>
      <c r="GH494" s="101">
        <f t="shared" si="334"/>
        <v>20</v>
      </c>
      <c r="GI494" s="101">
        <f t="shared" si="335"/>
        <v>0</v>
      </c>
      <c r="GJ494" s="101">
        <f t="shared" si="336"/>
        <v>1</v>
      </c>
      <c r="GK494" s="101">
        <f t="shared" si="337"/>
        <v>5</v>
      </c>
      <c r="GL494" s="101">
        <f t="shared" si="338"/>
        <v>3.7499999999999999E-2</v>
      </c>
      <c r="GM494" s="101">
        <f t="shared" si="339"/>
        <v>1</v>
      </c>
      <c r="GN494" s="101">
        <f t="shared" si="340"/>
        <v>9</v>
      </c>
      <c r="GO494" s="101">
        <f t="shared" si="341"/>
        <v>0.1502</v>
      </c>
      <c r="GP494" s="101">
        <f t="shared" si="342"/>
        <v>1</v>
      </c>
      <c r="GQ494" s="101">
        <f t="shared" si="343"/>
        <v>20</v>
      </c>
    </row>
    <row r="495" spans="175:199" ht="16.5" x14ac:dyDescent="0.2">
      <c r="FS495" s="101">
        <v>490</v>
      </c>
      <c r="FT495" s="101">
        <f t="shared" si="328"/>
        <v>9</v>
      </c>
      <c r="FU495" s="101">
        <f t="shared" si="321"/>
        <v>7</v>
      </c>
      <c r="FV495" s="14">
        <f t="shared" si="322"/>
        <v>4</v>
      </c>
      <c r="FW495" s="101" t="str">
        <f t="shared" si="329"/>
        <v>夏侯渊专属武器-魂珠-1 9级</v>
      </c>
      <c r="FX495" s="101">
        <f t="shared" si="330"/>
        <v>1</v>
      </c>
      <c r="FY495" s="101">
        <f t="shared" si="331"/>
        <v>9</v>
      </c>
      <c r="FZ495" s="101" t="str">
        <f t="shared" si="323"/>
        <v>金币</v>
      </c>
      <c r="GA495" s="139">
        <f>IF($FY495&gt;0,IF(INDEX($EM$6:$EM$77,$FT495)&gt;=GA$3,ROUND(INDEX(EO$6:EO$77,$FT495)*INDEX(卡牌消耗!$B$8:$F$8,FV495)/5,0)*5,""),"")</f>
        <v>1150</v>
      </c>
      <c r="GB495" s="101" t="str">
        <f t="shared" si="324"/>
        <v>专属强化石1</v>
      </c>
      <c r="GC495" s="101">
        <f t="shared" si="325"/>
        <v>10</v>
      </c>
      <c r="GD495" s="101" t="str">
        <f t="shared" si="326"/>
        <v/>
      </c>
      <c r="GE495" s="101" t="str">
        <f t="shared" si="327"/>
        <v/>
      </c>
      <c r="GF495" s="101">
        <f t="shared" si="332"/>
        <v>0.06</v>
      </c>
      <c r="GG495" s="101">
        <f t="shared" si="333"/>
        <v>1</v>
      </c>
      <c r="GH495" s="101">
        <f t="shared" si="334"/>
        <v>26</v>
      </c>
      <c r="GI495" s="101">
        <f t="shared" si="335"/>
        <v>0</v>
      </c>
      <c r="GJ495" s="101">
        <f t="shared" si="336"/>
        <v>1</v>
      </c>
      <c r="GK495" s="101">
        <f t="shared" si="337"/>
        <v>6</v>
      </c>
      <c r="GL495" s="101">
        <f t="shared" si="338"/>
        <v>2.9000000000000001E-2</v>
      </c>
      <c r="GM495" s="101">
        <f t="shared" si="339"/>
        <v>1</v>
      </c>
      <c r="GN495" s="101">
        <f t="shared" si="340"/>
        <v>12</v>
      </c>
      <c r="GO495" s="101">
        <f t="shared" si="341"/>
        <v>0.11600000000000001</v>
      </c>
      <c r="GP495" s="101">
        <f t="shared" si="342"/>
        <v>1</v>
      </c>
      <c r="GQ495" s="101">
        <f t="shared" si="343"/>
        <v>26</v>
      </c>
    </row>
    <row r="496" spans="175:199" ht="16.5" x14ac:dyDescent="0.2">
      <c r="FS496" s="101">
        <v>491</v>
      </c>
      <c r="FT496" s="101">
        <f t="shared" si="328"/>
        <v>0</v>
      </c>
      <c r="FU496" s="101">
        <f t="shared" si="321"/>
        <v>7</v>
      </c>
      <c r="FV496" s="14">
        <f t="shared" si="322"/>
        <v>4</v>
      </c>
      <c r="FW496" s="101" t="str">
        <f t="shared" si="329"/>
        <v>夏侯渊专属武器-魂珠-2 0级</v>
      </c>
      <c r="FX496" s="101">
        <f t="shared" si="330"/>
        <v>2</v>
      </c>
      <c r="FY496" s="101">
        <f t="shared" si="331"/>
        <v>0</v>
      </c>
      <c r="FZ496" s="101" t="str">
        <f t="shared" si="323"/>
        <v/>
      </c>
      <c r="GA496" s="139" t="str">
        <f>IF($FY496&gt;0,IF(INDEX($EM$6:$EM$77,$FT496)&gt;=GA$3,ROUND(INDEX(EO$6:EO$77,$FT496)*INDEX(卡牌消耗!$B$8:$F$8,FV496)/5,0)*5,""),"")</f>
        <v/>
      </c>
      <c r="GB496" s="101" t="str">
        <f t="shared" si="324"/>
        <v/>
      </c>
      <c r="GC496" s="101" t="str">
        <f t="shared" si="325"/>
        <v/>
      </c>
      <c r="GD496" s="101" t="str">
        <f t="shared" si="326"/>
        <v/>
      </c>
      <c r="GE496" s="101" t="str">
        <f t="shared" si="327"/>
        <v/>
      </c>
      <c r="GF496" s="101" t="str">
        <f t="shared" si="332"/>
        <v/>
      </c>
      <c r="GG496" s="101" t="str">
        <f t="shared" si="333"/>
        <v/>
      </c>
      <c r="GH496" s="101" t="str">
        <f t="shared" si="334"/>
        <v/>
      </c>
      <c r="GI496" s="101" t="str">
        <f t="shared" si="335"/>
        <v/>
      </c>
      <c r="GJ496" s="101" t="str">
        <f t="shared" si="336"/>
        <v/>
      </c>
      <c r="GK496" s="101" t="str">
        <f t="shared" si="337"/>
        <v/>
      </c>
      <c r="GL496" s="101" t="str">
        <f t="shared" si="338"/>
        <v/>
      </c>
      <c r="GM496" s="101" t="str">
        <f t="shared" si="339"/>
        <v/>
      </c>
      <c r="GN496" s="101" t="str">
        <f t="shared" si="340"/>
        <v/>
      </c>
      <c r="GO496" s="101" t="str">
        <f t="shared" si="341"/>
        <v/>
      </c>
      <c r="GP496" s="101" t="str">
        <f t="shared" si="342"/>
        <v/>
      </c>
      <c r="GQ496" s="101" t="str">
        <f t="shared" si="343"/>
        <v/>
      </c>
    </row>
    <row r="497" spans="175:199" ht="16.5" x14ac:dyDescent="0.2">
      <c r="FS497" s="101">
        <v>492</v>
      </c>
      <c r="FT497" s="101">
        <f t="shared" si="328"/>
        <v>10</v>
      </c>
      <c r="FU497" s="101">
        <f t="shared" si="321"/>
        <v>7</v>
      </c>
      <c r="FV497" s="14">
        <f t="shared" si="322"/>
        <v>4</v>
      </c>
      <c r="FW497" s="101" t="str">
        <f t="shared" si="329"/>
        <v>夏侯渊专属武器-魂珠-2 1级</v>
      </c>
      <c r="FX497" s="101">
        <f t="shared" si="330"/>
        <v>2</v>
      </c>
      <c r="FY497" s="101">
        <f t="shared" si="331"/>
        <v>1</v>
      </c>
      <c r="FZ497" s="101" t="str">
        <f t="shared" si="323"/>
        <v>金币</v>
      </c>
      <c r="GA497" s="139">
        <f>IF($FY497&gt;0,IF(INDEX($EM$6:$EM$77,$FT497)&gt;=GA$3,ROUND(INDEX(EO$6:EO$77,$FT497)*INDEX(卡牌消耗!$B$8:$F$8,FV497)/5,0)*5,""),"")</f>
        <v>395</v>
      </c>
      <c r="GB497" s="101" t="str">
        <f t="shared" si="324"/>
        <v>专属强化石1</v>
      </c>
      <c r="GC497" s="101">
        <f t="shared" si="325"/>
        <v>3</v>
      </c>
      <c r="GD497" s="101" t="str">
        <f t="shared" si="326"/>
        <v>专属强化石2</v>
      </c>
      <c r="GE497" s="101">
        <f t="shared" si="327"/>
        <v>1</v>
      </c>
      <c r="GF497" s="101">
        <f t="shared" si="332"/>
        <v>0.39</v>
      </c>
      <c r="GG497" s="101">
        <f t="shared" si="333"/>
        <v>1</v>
      </c>
      <c r="GH497" s="101">
        <f t="shared" si="334"/>
        <v>4</v>
      </c>
      <c r="GI497" s="101">
        <f t="shared" si="335"/>
        <v>0</v>
      </c>
      <c r="GJ497" s="101">
        <f t="shared" si="336"/>
        <v>1</v>
      </c>
      <c r="GK497" s="101">
        <f t="shared" si="337"/>
        <v>1</v>
      </c>
      <c r="GL497" s="101">
        <f t="shared" si="338"/>
        <v>0.19270000000000001</v>
      </c>
      <c r="GM497" s="101">
        <f t="shared" si="339"/>
        <v>1</v>
      </c>
      <c r="GN497" s="101">
        <f t="shared" si="340"/>
        <v>2</v>
      </c>
      <c r="GO497" s="101">
        <f t="shared" si="341"/>
        <v>0.77070000000000005</v>
      </c>
      <c r="GP497" s="101">
        <f t="shared" si="342"/>
        <v>1</v>
      </c>
      <c r="GQ497" s="101">
        <f t="shared" si="343"/>
        <v>4</v>
      </c>
    </row>
    <row r="498" spans="175:199" ht="16.5" x14ac:dyDescent="0.2">
      <c r="FS498" s="101">
        <v>493</v>
      </c>
      <c r="FT498" s="101">
        <f t="shared" si="328"/>
        <v>11</v>
      </c>
      <c r="FU498" s="101">
        <f t="shared" si="321"/>
        <v>7</v>
      </c>
      <c r="FV498" s="14">
        <f t="shared" si="322"/>
        <v>4</v>
      </c>
      <c r="FW498" s="101" t="str">
        <f t="shared" si="329"/>
        <v>夏侯渊专属武器-魂珠-2 2级</v>
      </c>
      <c r="FX498" s="101">
        <f t="shared" si="330"/>
        <v>2</v>
      </c>
      <c r="FY498" s="101">
        <f t="shared" si="331"/>
        <v>2</v>
      </c>
      <c r="FZ498" s="101" t="str">
        <f t="shared" si="323"/>
        <v>金币</v>
      </c>
      <c r="GA498" s="139">
        <f>IF($FY498&gt;0,IF(INDEX($EM$6:$EM$77,$FT498)&gt;=GA$3,ROUND(INDEX(EO$6:EO$77,$FT498)*INDEX(卡牌消耗!$B$8:$F$8,FV498)/5,0)*5,""),"")</f>
        <v>295</v>
      </c>
      <c r="GB498" s="101" t="str">
        <f t="shared" si="324"/>
        <v>专属强化石1</v>
      </c>
      <c r="GC498" s="101">
        <f t="shared" si="325"/>
        <v>3</v>
      </c>
      <c r="GD498" s="101" t="str">
        <f t="shared" si="326"/>
        <v>专属强化石2</v>
      </c>
      <c r="GE498" s="101">
        <f t="shared" si="327"/>
        <v>1</v>
      </c>
      <c r="GF498" s="101">
        <f t="shared" si="332"/>
        <v>0.19</v>
      </c>
      <c r="GG498" s="101">
        <f t="shared" si="333"/>
        <v>1</v>
      </c>
      <c r="GH498" s="101">
        <f t="shared" si="334"/>
        <v>8</v>
      </c>
      <c r="GI498" s="101">
        <f t="shared" si="335"/>
        <v>0</v>
      </c>
      <c r="GJ498" s="101">
        <f t="shared" si="336"/>
        <v>1</v>
      </c>
      <c r="GK498" s="101">
        <f t="shared" si="337"/>
        <v>2</v>
      </c>
      <c r="GL498" s="101">
        <f t="shared" si="338"/>
        <v>9.6299999999999997E-2</v>
      </c>
      <c r="GM498" s="101">
        <f t="shared" si="339"/>
        <v>1</v>
      </c>
      <c r="GN498" s="101">
        <f t="shared" si="340"/>
        <v>4</v>
      </c>
      <c r="GO498" s="101">
        <f t="shared" si="341"/>
        <v>0.38529999999999998</v>
      </c>
      <c r="GP498" s="101">
        <f t="shared" si="342"/>
        <v>1</v>
      </c>
      <c r="GQ498" s="101">
        <f t="shared" si="343"/>
        <v>8</v>
      </c>
    </row>
    <row r="499" spans="175:199" ht="16.5" x14ac:dyDescent="0.2">
      <c r="FS499" s="101">
        <v>494</v>
      </c>
      <c r="FT499" s="101">
        <f t="shared" si="328"/>
        <v>12</v>
      </c>
      <c r="FU499" s="101">
        <f t="shared" si="321"/>
        <v>7</v>
      </c>
      <c r="FV499" s="14">
        <f t="shared" si="322"/>
        <v>4</v>
      </c>
      <c r="FW499" s="101" t="str">
        <f t="shared" si="329"/>
        <v>夏侯渊专属武器-魂珠-2 3级</v>
      </c>
      <c r="FX499" s="101">
        <f t="shared" si="330"/>
        <v>2</v>
      </c>
      <c r="FY499" s="101">
        <f t="shared" si="331"/>
        <v>3</v>
      </c>
      <c r="FZ499" s="101" t="str">
        <f t="shared" si="323"/>
        <v>金币</v>
      </c>
      <c r="GA499" s="139">
        <f>IF($FY499&gt;0,IF(INDEX($EM$6:$EM$77,$FT499)&gt;=GA$3,ROUND(INDEX(EO$6:EO$77,$FT499)*INDEX(卡牌消耗!$B$8:$F$8,FV499)/5,0)*5,""),"")</f>
        <v>655</v>
      </c>
      <c r="GB499" s="101" t="str">
        <f t="shared" si="324"/>
        <v>专属强化石1</v>
      </c>
      <c r="GC499" s="101">
        <f t="shared" si="325"/>
        <v>6</v>
      </c>
      <c r="GD499" s="101" t="str">
        <f t="shared" si="326"/>
        <v>专属强化石2</v>
      </c>
      <c r="GE499" s="101">
        <f t="shared" si="327"/>
        <v>2</v>
      </c>
      <c r="GF499" s="101">
        <f t="shared" si="332"/>
        <v>0.26</v>
      </c>
      <c r="GG499" s="101">
        <f t="shared" si="333"/>
        <v>1</v>
      </c>
      <c r="GH499" s="101">
        <f t="shared" si="334"/>
        <v>6</v>
      </c>
      <c r="GI499" s="101">
        <f t="shared" si="335"/>
        <v>0</v>
      </c>
      <c r="GJ499" s="101">
        <f t="shared" si="336"/>
        <v>1</v>
      </c>
      <c r="GK499" s="101">
        <f t="shared" si="337"/>
        <v>1</v>
      </c>
      <c r="GL499" s="101">
        <f t="shared" si="338"/>
        <v>0.12839999999999999</v>
      </c>
      <c r="GM499" s="101">
        <f t="shared" si="339"/>
        <v>1</v>
      </c>
      <c r="GN499" s="101">
        <f t="shared" si="340"/>
        <v>3</v>
      </c>
      <c r="GO499" s="101">
        <f t="shared" si="341"/>
        <v>0.51380000000000003</v>
      </c>
      <c r="GP499" s="101">
        <f t="shared" si="342"/>
        <v>1</v>
      </c>
      <c r="GQ499" s="101">
        <f t="shared" si="343"/>
        <v>6</v>
      </c>
    </row>
    <row r="500" spans="175:199" ht="16.5" x14ac:dyDescent="0.2">
      <c r="FS500" s="101">
        <v>495</v>
      </c>
      <c r="FT500" s="101">
        <f t="shared" si="328"/>
        <v>13</v>
      </c>
      <c r="FU500" s="101">
        <f t="shared" si="321"/>
        <v>7</v>
      </c>
      <c r="FV500" s="14">
        <f t="shared" si="322"/>
        <v>4</v>
      </c>
      <c r="FW500" s="101" t="str">
        <f t="shared" si="329"/>
        <v>夏侯渊专属武器-魂珠-2 4级</v>
      </c>
      <c r="FX500" s="101">
        <f t="shared" si="330"/>
        <v>2</v>
      </c>
      <c r="FY500" s="101">
        <f t="shared" si="331"/>
        <v>4</v>
      </c>
      <c r="FZ500" s="101" t="str">
        <f t="shared" si="323"/>
        <v>金币</v>
      </c>
      <c r="GA500" s="139">
        <f>IF($FY500&gt;0,IF(INDEX($EM$6:$EM$77,$FT500)&gt;=GA$3,ROUND(INDEX(EO$6:EO$77,$FT500)*INDEX(卡牌消耗!$B$8:$F$8,FV500)/5,0)*5,""),"")</f>
        <v>625</v>
      </c>
      <c r="GB500" s="101" t="str">
        <f t="shared" si="324"/>
        <v>专属强化石1</v>
      </c>
      <c r="GC500" s="101">
        <f t="shared" si="325"/>
        <v>6</v>
      </c>
      <c r="GD500" s="101" t="str">
        <f t="shared" si="326"/>
        <v>专属强化石2</v>
      </c>
      <c r="GE500" s="101">
        <f t="shared" si="327"/>
        <v>2</v>
      </c>
      <c r="GF500" s="101">
        <f t="shared" si="332"/>
        <v>0.15</v>
      </c>
      <c r="GG500" s="101">
        <f t="shared" si="333"/>
        <v>1</v>
      </c>
      <c r="GH500" s="101">
        <f t="shared" si="334"/>
        <v>10</v>
      </c>
      <c r="GI500" s="101">
        <f t="shared" si="335"/>
        <v>0</v>
      </c>
      <c r="GJ500" s="101">
        <f t="shared" si="336"/>
        <v>1</v>
      </c>
      <c r="GK500" s="101">
        <f t="shared" si="337"/>
        <v>2</v>
      </c>
      <c r="GL500" s="101">
        <f t="shared" si="338"/>
        <v>7.7100000000000002E-2</v>
      </c>
      <c r="GM500" s="101">
        <f t="shared" si="339"/>
        <v>1</v>
      </c>
      <c r="GN500" s="101">
        <f t="shared" si="340"/>
        <v>5</v>
      </c>
      <c r="GO500" s="101">
        <f t="shared" si="341"/>
        <v>0.30830000000000002</v>
      </c>
      <c r="GP500" s="101">
        <f t="shared" si="342"/>
        <v>1</v>
      </c>
      <c r="GQ500" s="101">
        <f t="shared" si="343"/>
        <v>10</v>
      </c>
    </row>
    <row r="501" spans="175:199" ht="16.5" x14ac:dyDescent="0.2">
      <c r="FS501" s="101">
        <v>496</v>
      </c>
      <c r="FT501" s="101">
        <f t="shared" si="328"/>
        <v>14</v>
      </c>
      <c r="FU501" s="101">
        <f t="shared" si="321"/>
        <v>7</v>
      </c>
      <c r="FV501" s="14">
        <f t="shared" si="322"/>
        <v>4</v>
      </c>
      <c r="FW501" s="101" t="str">
        <f t="shared" si="329"/>
        <v>夏侯渊专属武器-魂珠-2 5级</v>
      </c>
      <c r="FX501" s="101">
        <f t="shared" si="330"/>
        <v>2</v>
      </c>
      <c r="FY501" s="101">
        <f t="shared" si="331"/>
        <v>5</v>
      </c>
      <c r="FZ501" s="101" t="str">
        <f t="shared" si="323"/>
        <v>金币</v>
      </c>
      <c r="GA501" s="139">
        <f>IF($FY501&gt;0,IF(INDEX($EM$6:$EM$77,$FT501)&gt;=GA$3,ROUND(INDEX(EO$6:EO$77,$FT501)*INDEX(卡牌消耗!$B$8:$F$8,FV501)/5,0)*5,""),"")</f>
        <v>955</v>
      </c>
      <c r="GB501" s="101" t="str">
        <f t="shared" si="324"/>
        <v>专属强化石1</v>
      </c>
      <c r="GC501" s="101">
        <f t="shared" si="325"/>
        <v>9</v>
      </c>
      <c r="GD501" s="101" t="str">
        <f t="shared" si="326"/>
        <v>专属强化石2</v>
      </c>
      <c r="GE501" s="101">
        <f t="shared" si="327"/>
        <v>3</v>
      </c>
      <c r="GF501" s="101">
        <f t="shared" si="332"/>
        <v>0.14000000000000001</v>
      </c>
      <c r="GG501" s="101">
        <f t="shared" si="333"/>
        <v>1</v>
      </c>
      <c r="GH501" s="101">
        <f t="shared" si="334"/>
        <v>10</v>
      </c>
      <c r="GI501" s="101">
        <f t="shared" si="335"/>
        <v>0</v>
      </c>
      <c r="GJ501" s="101">
        <f t="shared" si="336"/>
        <v>1</v>
      </c>
      <c r="GK501" s="101">
        <f t="shared" si="337"/>
        <v>2</v>
      </c>
      <c r="GL501" s="101">
        <f t="shared" si="338"/>
        <v>7.22E-2</v>
      </c>
      <c r="GM501" s="101">
        <f t="shared" si="339"/>
        <v>1</v>
      </c>
      <c r="GN501" s="101">
        <f t="shared" si="340"/>
        <v>5</v>
      </c>
      <c r="GO501" s="101">
        <f t="shared" si="341"/>
        <v>0.28899999999999998</v>
      </c>
      <c r="GP501" s="101">
        <f t="shared" si="342"/>
        <v>1</v>
      </c>
      <c r="GQ501" s="101">
        <f t="shared" si="343"/>
        <v>10</v>
      </c>
    </row>
    <row r="502" spans="175:199" ht="16.5" x14ac:dyDescent="0.2">
      <c r="FS502" s="101">
        <v>497</v>
      </c>
      <c r="FT502" s="101">
        <f t="shared" si="328"/>
        <v>15</v>
      </c>
      <c r="FU502" s="101">
        <f t="shared" si="321"/>
        <v>7</v>
      </c>
      <c r="FV502" s="14">
        <f t="shared" si="322"/>
        <v>4</v>
      </c>
      <c r="FW502" s="101" t="str">
        <f t="shared" si="329"/>
        <v>夏侯渊专属武器-魂珠-2 6级</v>
      </c>
      <c r="FX502" s="101">
        <f t="shared" si="330"/>
        <v>2</v>
      </c>
      <c r="FY502" s="101">
        <f t="shared" si="331"/>
        <v>6</v>
      </c>
      <c r="FZ502" s="101" t="str">
        <f t="shared" si="323"/>
        <v>金币</v>
      </c>
      <c r="GA502" s="139">
        <f>IF($FY502&gt;0,IF(INDEX($EM$6:$EM$77,$FT502)&gt;=GA$3,ROUND(INDEX(EO$6:EO$77,$FT502)*INDEX(卡牌消耗!$B$8:$F$8,FV502)/5,0)*5,""),"")</f>
        <v>1270</v>
      </c>
      <c r="GB502" s="101" t="str">
        <f t="shared" si="324"/>
        <v>专属强化石1</v>
      </c>
      <c r="GC502" s="101">
        <f t="shared" si="325"/>
        <v>12</v>
      </c>
      <c r="GD502" s="101" t="str">
        <f t="shared" si="326"/>
        <v>专属强化石2</v>
      </c>
      <c r="GE502" s="101">
        <f t="shared" si="327"/>
        <v>4</v>
      </c>
      <c r="GF502" s="101">
        <f t="shared" si="332"/>
        <v>0.12</v>
      </c>
      <c r="GG502" s="101">
        <f t="shared" si="333"/>
        <v>1</v>
      </c>
      <c r="GH502" s="101">
        <f t="shared" si="334"/>
        <v>13</v>
      </c>
      <c r="GI502" s="101">
        <f t="shared" si="335"/>
        <v>0</v>
      </c>
      <c r="GJ502" s="101">
        <f t="shared" si="336"/>
        <v>1</v>
      </c>
      <c r="GK502" s="101">
        <f t="shared" si="337"/>
        <v>3</v>
      </c>
      <c r="GL502" s="101">
        <f t="shared" si="338"/>
        <v>5.9299999999999999E-2</v>
      </c>
      <c r="GM502" s="101">
        <f t="shared" si="339"/>
        <v>1</v>
      </c>
      <c r="GN502" s="101">
        <f t="shared" si="340"/>
        <v>6</v>
      </c>
      <c r="GO502" s="101">
        <f t="shared" si="341"/>
        <v>0.23710000000000001</v>
      </c>
      <c r="GP502" s="101">
        <f t="shared" si="342"/>
        <v>1</v>
      </c>
      <c r="GQ502" s="101">
        <f t="shared" si="343"/>
        <v>13</v>
      </c>
    </row>
    <row r="503" spans="175:199" ht="16.5" x14ac:dyDescent="0.2">
      <c r="FS503" s="101">
        <v>498</v>
      </c>
      <c r="FT503" s="101">
        <f t="shared" si="328"/>
        <v>16</v>
      </c>
      <c r="FU503" s="101">
        <f t="shared" si="321"/>
        <v>7</v>
      </c>
      <c r="FV503" s="14">
        <f t="shared" si="322"/>
        <v>4</v>
      </c>
      <c r="FW503" s="101" t="str">
        <f t="shared" si="329"/>
        <v>夏侯渊专属武器-魂珠-2 7级</v>
      </c>
      <c r="FX503" s="101">
        <f t="shared" si="330"/>
        <v>2</v>
      </c>
      <c r="FY503" s="101">
        <f t="shared" si="331"/>
        <v>7</v>
      </c>
      <c r="FZ503" s="101" t="str">
        <f t="shared" si="323"/>
        <v>金币</v>
      </c>
      <c r="GA503" s="139">
        <f>IF($FY503&gt;0,IF(INDEX($EM$6:$EM$77,$FT503)&gt;=GA$3,ROUND(INDEX(EO$6:EO$77,$FT503)*INDEX(卡牌消耗!$B$8:$F$8,FV503)/5,0)*5,""),"")</f>
        <v>1590</v>
      </c>
      <c r="GB503" s="101" t="str">
        <f t="shared" si="324"/>
        <v>专属强化石1</v>
      </c>
      <c r="GC503" s="101">
        <f t="shared" si="325"/>
        <v>15</v>
      </c>
      <c r="GD503" s="101" t="str">
        <f t="shared" si="326"/>
        <v>专属强化石2</v>
      </c>
      <c r="GE503" s="101">
        <f t="shared" si="327"/>
        <v>5</v>
      </c>
      <c r="GF503" s="101">
        <f t="shared" si="332"/>
        <v>0.09</v>
      </c>
      <c r="GG503" s="101">
        <f t="shared" si="333"/>
        <v>1</v>
      </c>
      <c r="GH503" s="101">
        <f t="shared" si="334"/>
        <v>16</v>
      </c>
      <c r="GI503" s="101">
        <f t="shared" si="335"/>
        <v>0</v>
      </c>
      <c r="GJ503" s="101">
        <f t="shared" si="336"/>
        <v>1</v>
      </c>
      <c r="GK503" s="101">
        <f t="shared" si="337"/>
        <v>4</v>
      </c>
      <c r="GL503" s="101">
        <f t="shared" si="338"/>
        <v>4.5900000000000003E-2</v>
      </c>
      <c r="GM503" s="101">
        <f t="shared" si="339"/>
        <v>1</v>
      </c>
      <c r="GN503" s="101">
        <f t="shared" si="340"/>
        <v>8</v>
      </c>
      <c r="GO503" s="101">
        <f t="shared" si="341"/>
        <v>0.1835</v>
      </c>
      <c r="GP503" s="101">
        <f t="shared" si="342"/>
        <v>1</v>
      </c>
      <c r="GQ503" s="101">
        <f t="shared" si="343"/>
        <v>16</v>
      </c>
    </row>
    <row r="504" spans="175:199" ht="16.5" x14ac:dyDescent="0.2">
      <c r="FS504" s="101">
        <v>499</v>
      </c>
      <c r="FT504" s="101">
        <f t="shared" si="328"/>
        <v>17</v>
      </c>
      <c r="FU504" s="101">
        <f t="shared" si="321"/>
        <v>7</v>
      </c>
      <c r="FV504" s="14">
        <f t="shared" si="322"/>
        <v>4</v>
      </c>
      <c r="FW504" s="101" t="str">
        <f t="shared" si="329"/>
        <v>夏侯渊专属武器-魂珠-2 8级</v>
      </c>
      <c r="FX504" s="101">
        <f t="shared" si="330"/>
        <v>2</v>
      </c>
      <c r="FY504" s="101">
        <f t="shared" si="331"/>
        <v>8</v>
      </c>
      <c r="FZ504" s="101" t="str">
        <f t="shared" si="323"/>
        <v>金币</v>
      </c>
      <c r="GA504" s="139">
        <f>IF($FY504&gt;0,IF(INDEX($EM$6:$EM$77,$FT504)&gt;=GA$3,ROUND(INDEX(EO$6:EO$77,$FT504)*INDEX(卡牌消耗!$B$8:$F$8,FV504)/5,0)*5,""),"")</f>
        <v>1905</v>
      </c>
      <c r="GB504" s="101" t="str">
        <f t="shared" si="324"/>
        <v>专属强化石1</v>
      </c>
      <c r="GC504" s="101">
        <f t="shared" si="325"/>
        <v>18</v>
      </c>
      <c r="GD504" s="101" t="str">
        <f t="shared" si="326"/>
        <v>专属强化石2</v>
      </c>
      <c r="GE504" s="101">
        <f t="shared" si="327"/>
        <v>6</v>
      </c>
      <c r="GF504" s="101">
        <f t="shared" si="332"/>
        <v>7.0000000000000007E-2</v>
      </c>
      <c r="GG504" s="101">
        <f t="shared" si="333"/>
        <v>1</v>
      </c>
      <c r="GH504" s="101">
        <f t="shared" si="334"/>
        <v>22</v>
      </c>
      <c r="GI504" s="101">
        <f t="shared" si="335"/>
        <v>0</v>
      </c>
      <c r="GJ504" s="101">
        <f t="shared" si="336"/>
        <v>1</v>
      </c>
      <c r="GK504" s="101">
        <f t="shared" si="337"/>
        <v>5</v>
      </c>
      <c r="GL504" s="101">
        <f t="shared" si="338"/>
        <v>3.4000000000000002E-2</v>
      </c>
      <c r="GM504" s="101">
        <f t="shared" si="339"/>
        <v>1</v>
      </c>
      <c r="GN504" s="101">
        <f t="shared" si="340"/>
        <v>10</v>
      </c>
      <c r="GO504" s="101">
        <f t="shared" si="341"/>
        <v>0.13600000000000001</v>
      </c>
      <c r="GP504" s="101">
        <f t="shared" si="342"/>
        <v>1</v>
      </c>
      <c r="GQ504" s="101">
        <f t="shared" si="343"/>
        <v>22</v>
      </c>
    </row>
    <row r="505" spans="175:199" ht="16.5" x14ac:dyDescent="0.2">
      <c r="FS505" s="101">
        <v>500</v>
      </c>
      <c r="FT505" s="101">
        <f t="shared" si="328"/>
        <v>18</v>
      </c>
      <c r="FU505" s="101">
        <f t="shared" si="321"/>
        <v>7</v>
      </c>
      <c r="FV505" s="14">
        <f t="shared" si="322"/>
        <v>4</v>
      </c>
      <c r="FW505" s="101" t="str">
        <f t="shared" si="329"/>
        <v>夏侯渊专属武器-魂珠-2 9级</v>
      </c>
      <c r="FX505" s="101">
        <f t="shared" si="330"/>
        <v>2</v>
      </c>
      <c r="FY505" s="101">
        <f t="shared" si="331"/>
        <v>9</v>
      </c>
      <c r="FZ505" s="101" t="str">
        <f t="shared" si="323"/>
        <v>金币</v>
      </c>
      <c r="GA505" s="139">
        <f>IF($FY505&gt;0,IF(INDEX($EM$6:$EM$77,$FT505)&gt;=GA$3,ROUND(INDEX(EO$6:EO$77,$FT505)*INDEX(卡牌消耗!$B$8:$F$8,FV505)/5,0)*5,""),"")</f>
        <v>2540</v>
      </c>
      <c r="GB505" s="101" t="str">
        <f t="shared" si="324"/>
        <v>专属强化石1</v>
      </c>
      <c r="GC505" s="101">
        <f t="shared" si="325"/>
        <v>24</v>
      </c>
      <c r="GD505" s="101" t="str">
        <f t="shared" si="326"/>
        <v>专属强化石2</v>
      </c>
      <c r="GE505" s="101">
        <f t="shared" si="327"/>
        <v>8</v>
      </c>
      <c r="GF505" s="101">
        <f t="shared" si="332"/>
        <v>0.06</v>
      </c>
      <c r="GG505" s="101">
        <f t="shared" si="333"/>
        <v>1</v>
      </c>
      <c r="GH505" s="101">
        <f t="shared" si="334"/>
        <v>27</v>
      </c>
      <c r="GI505" s="101">
        <f t="shared" si="335"/>
        <v>0</v>
      </c>
      <c r="GJ505" s="101">
        <f t="shared" si="336"/>
        <v>1</v>
      </c>
      <c r="GK505" s="101">
        <f t="shared" si="337"/>
        <v>6</v>
      </c>
      <c r="GL505" s="101">
        <f t="shared" si="338"/>
        <v>2.8000000000000001E-2</v>
      </c>
      <c r="GM505" s="101">
        <f t="shared" si="339"/>
        <v>1</v>
      </c>
      <c r="GN505" s="101">
        <f t="shared" si="340"/>
        <v>12</v>
      </c>
      <c r="GO505" s="101">
        <f t="shared" si="341"/>
        <v>0.11210000000000001</v>
      </c>
      <c r="GP505" s="101">
        <f t="shared" si="342"/>
        <v>1</v>
      </c>
      <c r="GQ505" s="101">
        <f t="shared" si="343"/>
        <v>27</v>
      </c>
    </row>
    <row r="506" spans="175:199" ht="16.5" x14ac:dyDescent="0.2">
      <c r="FS506" s="101">
        <v>501</v>
      </c>
      <c r="FT506" s="101">
        <f t="shared" si="328"/>
        <v>0</v>
      </c>
      <c r="FU506" s="101">
        <f t="shared" si="321"/>
        <v>7</v>
      </c>
      <c r="FV506" s="14">
        <f t="shared" si="322"/>
        <v>4</v>
      </c>
      <c r="FW506" s="101" t="str">
        <f t="shared" si="329"/>
        <v>夏侯渊专属武器-魂珠-3 0级</v>
      </c>
      <c r="FX506" s="101">
        <f t="shared" si="330"/>
        <v>3</v>
      </c>
      <c r="FY506" s="101">
        <f t="shared" si="331"/>
        <v>0</v>
      </c>
      <c r="FZ506" s="101" t="str">
        <f t="shared" si="323"/>
        <v/>
      </c>
      <c r="GA506" s="139" t="str">
        <f>IF($FY506&gt;0,IF(INDEX($EM$6:$EM$77,$FT506)&gt;=GA$3,ROUND(INDEX(EO$6:EO$77,$FT506)*INDEX(卡牌消耗!$B$8:$F$8,FV506)/5,0)*5,""),"")</f>
        <v/>
      </c>
      <c r="GB506" s="101" t="str">
        <f t="shared" si="324"/>
        <v/>
      </c>
      <c r="GC506" s="101" t="str">
        <f t="shared" si="325"/>
        <v/>
      </c>
      <c r="GD506" s="101" t="str">
        <f t="shared" si="326"/>
        <v/>
      </c>
      <c r="GE506" s="101" t="str">
        <f t="shared" si="327"/>
        <v/>
      </c>
      <c r="GF506" s="101" t="str">
        <f t="shared" si="332"/>
        <v/>
      </c>
      <c r="GG506" s="101" t="str">
        <f t="shared" si="333"/>
        <v/>
      </c>
      <c r="GH506" s="101" t="str">
        <f t="shared" si="334"/>
        <v/>
      </c>
      <c r="GI506" s="101" t="str">
        <f t="shared" si="335"/>
        <v/>
      </c>
      <c r="GJ506" s="101" t="str">
        <f t="shared" si="336"/>
        <v/>
      </c>
      <c r="GK506" s="101" t="str">
        <f t="shared" si="337"/>
        <v/>
      </c>
      <c r="GL506" s="101" t="str">
        <f t="shared" si="338"/>
        <v/>
      </c>
      <c r="GM506" s="101" t="str">
        <f t="shared" si="339"/>
        <v/>
      </c>
      <c r="GN506" s="101" t="str">
        <f t="shared" si="340"/>
        <v/>
      </c>
      <c r="GO506" s="101" t="str">
        <f t="shared" si="341"/>
        <v/>
      </c>
      <c r="GP506" s="101" t="str">
        <f t="shared" si="342"/>
        <v/>
      </c>
      <c r="GQ506" s="101" t="str">
        <f t="shared" si="343"/>
        <v/>
      </c>
    </row>
    <row r="507" spans="175:199" ht="16.5" x14ac:dyDescent="0.2">
      <c r="FS507" s="101">
        <v>502</v>
      </c>
      <c r="FT507" s="101">
        <f t="shared" si="328"/>
        <v>19</v>
      </c>
      <c r="FU507" s="101">
        <f t="shared" si="321"/>
        <v>7</v>
      </c>
      <c r="FV507" s="14">
        <f t="shared" si="322"/>
        <v>4</v>
      </c>
      <c r="FW507" s="101" t="str">
        <f t="shared" si="329"/>
        <v>夏侯渊专属武器-魂珠-3 1级</v>
      </c>
      <c r="FX507" s="101">
        <f t="shared" si="330"/>
        <v>3</v>
      </c>
      <c r="FY507" s="101">
        <f t="shared" si="331"/>
        <v>1</v>
      </c>
      <c r="FZ507" s="101" t="str">
        <f t="shared" si="323"/>
        <v>金币</v>
      </c>
      <c r="GA507" s="139">
        <f>IF($FY507&gt;0,IF(INDEX($EM$6:$EM$77,$FT507)&gt;=GA$3,ROUND(INDEX(EO$6:EO$77,$FT507)*INDEX(卡牌消耗!$B$8:$F$8,FV507)/5,0)*5,""),"")</f>
        <v>820</v>
      </c>
      <c r="GB507" s="101" t="str">
        <f t="shared" si="324"/>
        <v>专属强化石1</v>
      </c>
      <c r="GC507" s="101">
        <f t="shared" si="325"/>
        <v>4</v>
      </c>
      <c r="GD507" s="101" t="str">
        <f t="shared" si="326"/>
        <v>专属强化石2</v>
      </c>
      <c r="GE507" s="101">
        <f t="shared" si="327"/>
        <v>2</v>
      </c>
      <c r="GF507" s="101">
        <f t="shared" si="332"/>
        <v>0.31</v>
      </c>
      <c r="GG507" s="101">
        <f t="shared" si="333"/>
        <v>1</v>
      </c>
      <c r="GH507" s="101">
        <f t="shared" si="334"/>
        <v>5</v>
      </c>
      <c r="GI507" s="101">
        <f t="shared" si="335"/>
        <v>0</v>
      </c>
      <c r="GJ507" s="101">
        <f t="shared" si="336"/>
        <v>1</v>
      </c>
      <c r="GK507" s="101">
        <f t="shared" si="337"/>
        <v>1</v>
      </c>
      <c r="GL507" s="101">
        <f t="shared" si="338"/>
        <v>0.15409999999999999</v>
      </c>
      <c r="GM507" s="101">
        <f t="shared" si="339"/>
        <v>1</v>
      </c>
      <c r="GN507" s="101">
        <f t="shared" si="340"/>
        <v>2</v>
      </c>
      <c r="GO507" s="101">
        <f t="shared" si="341"/>
        <v>0.61650000000000005</v>
      </c>
      <c r="GP507" s="101">
        <f t="shared" si="342"/>
        <v>1</v>
      </c>
      <c r="GQ507" s="101">
        <f t="shared" si="343"/>
        <v>5</v>
      </c>
    </row>
    <row r="508" spans="175:199" ht="16.5" x14ac:dyDescent="0.2">
      <c r="FS508" s="101">
        <v>503</v>
      </c>
      <c r="FT508" s="101">
        <f t="shared" si="328"/>
        <v>20</v>
      </c>
      <c r="FU508" s="101">
        <f t="shared" si="321"/>
        <v>7</v>
      </c>
      <c r="FV508" s="14">
        <f t="shared" si="322"/>
        <v>4</v>
      </c>
      <c r="FW508" s="101" t="str">
        <f t="shared" si="329"/>
        <v>夏侯渊专属武器-魂珠-3 2级</v>
      </c>
      <c r="FX508" s="101">
        <f t="shared" si="330"/>
        <v>3</v>
      </c>
      <c r="FY508" s="101">
        <f t="shared" si="331"/>
        <v>2</v>
      </c>
      <c r="FZ508" s="101" t="str">
        <f t="shared" si="323"/>
        <v>金币</v>
      </c>
      <c r="GA508" s="139">
        <f>IF($FY508&gt;0,IF(INDEX($EM$6:$EM$77,$FT508)&gt;=GA$3,ROUND(INDEX(EO$6:EO$77,$FT508)*INDEX(卡牌消耗!$B$8:$F$8,FV508)/5,0)*5,""),"")</f>
        <v>615</v>
      </c>
      <c r="GB508" s="101" t="str">
        <f t="shared" si="324"/>
        <v>专属强化石1</v>
      </c>
      <c r="GC508" s="101">
        <f t="shared" si="325"/>
        <v>4</v>
      </c>
      <c r="GD508" s="101" t="str">
        <f t="shared" si="326"/>
        <v>专属强化石2</v>
      </c>
      <c r="GE508" s="101">
        <f t="shared" si="327"/>
        <v>2</v>
      </c>
      <c r="GF508" s="101">
        <f t="shared" si="332"/>
        <v>0.15</v>
      </c>
      <c r="GG508" s="101">
        <f t="shared" si="333"/>
        <v>1</v>
      </c>
      <c r="GH508" s="101">
        <f t="shared" si="334"/>
        <v>10</v>
      </c>
      <c r="GI508" s="101">
        <f t="shared" si="335"/>
        <v>0</v>
      </c>
      <c r="GJ508" s="101">
        <f t="shared" si="336"/>
        <v>1</v>
      </c>
      <c r="GK508" s="101">
        <f t="shared" si="337"/>
        <v>2</v>
      </c>
      <c r="GL508" s="101">
        <f t="shared" si="338"/>
        <v>7.7100000000000002E-2</v>
      </c>
      <c r="GM508" s="101">
        <f t="shared" si="339"/>
        <v>1</v>
      </c>
      <c r="GN508" s="101">
        <f t="shared" si="340"/>
        <v>5</v>
      </c>
      <c r="GO508" s="101">
        <f t="shared" si="341"/>
        <v>0.30830000000000002</v>
      </c>
      <c r="GP508" s="101">
        <f t="shared" si="342"/>
        <v>1</v>
      </c>
      <c r="GQ508" s="101">
        <f t="shared" si="343"/>
        <v>10</v>
      </c>
    </row>
    <row r="509" spans="175:199" ht="16.5" x14ac:dyDescent="0.2">
      <c r="FS509" s="101">
        <v>504</v>
      </c>
      <c r="FT509" s="101">
        <f t="shared" si="328"/>
        <v>21</v>
      </c>
      <c r="FU509" s="101">
        <f t="shared" si="321"/>
        <v>7</v>
      </c>
      <c r="FV509" s="14">
        <f t="shared" si="322"/>
        <v>4</v>
      </c>
      <c r="FW509" s="101" t="str">
        <f t="shared" si="329"/>
        <v>夏侯渊专属武器-魂珠-3 3级</v>
      </c>
      <c r="FX509" s="101">
        <f t="shared" si="330"/>
        <v>3</v>
      </c>
      <c r="FY509" s="101">
        <f t="shared" si="331"/>
        <v>3</v>
      </c>
      <c r="FZ509" s="101" t="str">
        <f t="shared" si="323"/>
        <v>金币</v>
      </c>
      <c r="GA509" s="139">
        <f>IF($FY509&gt;0,IF(INDEX($EM$6:$EM$77,$FT509)&gt;=GA$3,ROUND(INDEX(EO$6:EO$77,$FT509)*INDEX(卡牌消耗!$B$8:$F$8,FV509)/5,0)*5,""),"")</f>
        <v>1025</v>
      </c>
      <c r="GB509" s="101" t="str">
        <f t="shared" si="324"/>
        <v>专属强化石1</v>
      </c>
      <c r="GC509" s="101">
        <f t="shared" si="325"/>
        <v>6</v>
      </c>
      <c r="GD509" s="101" t="str">
        <f t="shared" si="326"/>
        <v>专属强化石2</v>
      </c>
      <c r="GE509" s="101">
        <f t="shared" si="327"/>
        <v>3</v>
      </c>
      <c r="GF509" s="101">
        <f t="shared" si="332"/>
        <v>0.15</v>
      </c>
      <c r="GG509" s="101">
        <f t="shared" si="333"/>
        <v>1</v>
      </c>
      <c r="GH509" s="101">
        <f t="shared" si="334"/>
        <v>10</v>
      </c>
      <c r="GI509" s="101">
        <f t="shared" si="335"/>
        <v>0</v>
      </c>
      <c r="GJ509" s="101">
        <f t="shared" si="336"/>
        <v>1</v>
      </c>
      <c r="GK509" s="101">
        <f t="shared" si="337"/>
        <v>2</v>
      </c>
      <c r="GL509" s="101">
        <f t="shared" si="338"/>
        <v>7.7100000000000002E-2</v>
      </c>
      <c r="GM509" s="101">
        <f t="shared" si="339"/>
        <v>1</v>
      </c>
      <c r="GN509" s="101">
        <f t="shared" si="340"/>
        <v>5</v>
      </c>
      <c r="GO509" s="101">
        <f t="shared" si="341"/>
        <v>0.30830000000000002</v>
      </c>
      <c r="GP509" s="101">
        <f t="shared" si="342"/>
        <v>1</v>
      </c>
      <c r="GQ509" s="101">
        <f t="shared" si="343"/>
        <v>10</v>
      </c>
    </row>
    <row r="510" spans="175:199" ht="16.5" x14ac:dyDescent="0.2">
      <c r="FS510" s="101">
        <v>505</v>
      </c>
      <c r="FT510" s="101">
        <f t="shared" si="328"/>
        <v>22</v>
      </c>
      <c r="FU510" s="101">
        <f t="shared" si="321"/>
        <v>7</v>
      </c>
      <c r="FV510" s="14">
        <f t="shared" si="322"/>
        <v>4</v>
      </c>
      <c r="FW510" s="101" t="str">
        <f t="shared" si="329"/>
        <v>夏侯渊专属武器-魂珠-3 4级</v>
      </c>
      <c r="FX510" s="101">
        <f t="shared" si="330"/>
        <v>3</v>
      </c>
      <c r="FY510" s="101">
        <f t="shared" si="331"/>
        <v>4</v>
      </c>
      <c r="FZ510" s="101" t="str">
        <f t="shared" si="323"/>
        <v>金币</v>
      </c>
      <c r="GA510" s="139">
        <f>IF($FY510&gt;0,IF(INDEX($EM$6:$EM$77,$FT510)&gt;=GA$3,ROUND(INDEX(EO$6:EO$77,$FT510)*INDEX(卡牌消耗!$B$8:$F$8,FV510)/5,0)*5,""),"")</f>
        <v>985</v>
      </c>
      <c r="GB510" s="101" t="str">
        <f t="shared" si="324"/>
        <v>专属强化石1</v>
      </c>
      <c r="GC510" s="101">
        <f t="shared" si="325"/>
        <v>6</v>
      </c>
      <c r="GD510" s="101" t="str">
        <f t="shared" si="326"/>
        <v>专属强化石2</v>
      </c>
      <c r="GE510" s="101">
        <f t="shared" si="327"/>
        <v>3</v>
      </c>
      <c r="GF510" s="101">
        <f t="shared" si="332"/>
        <v>0.09</v>
      </c>
      <c r="GG510" s="101">
        <f t="shared" si="333"/>
        <v>1</v>
      </c>
      <c r="GH510" s="101">
        <f t="shared" si="334"/>
        <v>16</v>
      </c>
      <c r="GI510" s="101">
        <f t="shared" si="335"/>
        <v>0</v>
      </c>
      <c r="GJ510" s="101">
        <f t="shared" si="336"/>
        <v>1</v>
      </c>
      <c r="GK510" s="101">
        <f t="shared" si="337"/>
        <v>4</v>
      </c>
      <c r="GL510" s="101">
        <f t="shared" si="338"/>
        <v>4.6199999999999998E-2</v>
      </c>
      <c r="GM510" s="101">
        <f t="shared" si="339"/>
        <v>1</v>
      </c>
      <c r="GN510" s="101">
        <f t="shared" si="340"/>
        <v>8</v>
      </c>
      <c r="GO510" s="101">
        <f t="shared" si="341"/>
        <v>0.185</v>
      </c>
      <c r="GP510" s="101">
        <f t="shared" si="342"/>
        <v>1</v>
      </c>
      <c r="GQ510" s="101">
        <f t="shared" si="343"/>
        <v>16</v>
      </c>
    </row>
    <row r="511" spans="175:199" ht="16.5" x14ac:dyDescent="0.2">
      <c r="FS511" s="101">
        <v>506</v>
      </c>
      <c r="FT511" s="101">
        <f t="shared" si="328"/>
        <v>23</v>
      </c>
      <c r="FU511" s="101">
        <f t="shared" si="321"/>
        <v>7</v>
      </c>
      <c r="FV511" s="14">
        <f t="shared" si="322"/>
        <v>4</v>
      </c>
      <c r="FW511" s="101" t="str">
        <f t="shared" si="329"/>
        <v>夏侯渊专属武器-魂珠-3 5级</v>
      </c>
      <c r="FX511" s="101">
        <f t="shared" si="330"/>
        <v>3</v>
      </c>
      <c r="FY511" s="101">
        <f t="shared" si="331"/>
        <v>5</v>
      </c>
      <c r="FZ511" s="101" t="str">
        <f t="shared" si="323"/>
        <v>金币</v>
      </c>
      <c r="GA511" s="139">
        <f>IF($FY511&gt;0,IF(INDEX($EM$6:$EM$77,$FT511)&gt;=GA$3,ROUND(INDEX(EO$6:EO$77,$FT511)*INDEX(卡牌消耗!$B$8:$F$8,FV511)/5,0)*5,""),"")</f>
        <v>1330</v>
      </c>
      <c r="GB511" s="101" t="str">
        <f t="shared" si="324"/>
        <v>专属强化石1</v>
      </c>
      <c r="GC511" s="101">
        <f t="shared" si="325"/>
        <v>8</v>
      </c>
      <c r="GD511" s="101" t="str">
        <f t="shared" si="326"/>
        <v>专属强化石2</v>
      </c>
      <c r="GE511" s="101">
        <f t="shared" si="327"/>
        <v>4</v>
      </c>
      <c r="GF511" s="101">
        <f t="shared" si="332"/>
        <v>0.08</v>
      </c>
      <c r="GG511" s="101">
        <f t="shared" si="333"/>
        <v>1</v>
      </c>
      <c r="GH511" s="101">
        <f t="shared" si="334"/>
        <v>19</v>
      </c>
      <c r="GI511" s="101">
        <f t="shared" si="335"/>
        <v>0</v>
      </c>
      <c r="GJ511" s="101">
        <f t="shared" si="336"/>
        <v>1</v>
      </c>
      <c r="GK511" s="101">
        <f t="shared" si="337"/>
        <v>5</v>
      </c>
      <c r="GL511" s="101">
        <f t="shared" si="338"/>
        <v>3.85E-2</v>
      </c>
      <c r="GM511" s="101">
        <f t="shared" si="339"/>
        <v>1</v>
      </c>
      <c r="GN511" s="101">
        <f t="shared" si="340"/>
        <v>9</v>
      </c>
      <c r="GO511" s="101">
        <f t="shared" si="341"/>
        <v>0.15409999999999999</v>
      </c>
      <c r="GP511" s="101">
        <f t="shared" si="342"/>
        <v>1</v>
      </c>
      <c r="GQ511" s="101">
        <f t="shared" si="343"/>
        <v>19</v>
      </c>
    </row>
    <row r="512" spans="175:199" ht="16.5" x14ac:dyDescent="0.2">
      <c r="FS512" s="101">
        <v>507</v>
      </c>
      <c r="FT512" s="101">
        <f t="shared" si="328"/>
        <v>24</v>
      </c>
      <c r="FU512" s="101">
        <f t="shared" si="321"/>
        <v>7</v>
      </c>
      <c r="FV512" s="14">
        <f t="shared" si="322"/>
        <v>4</v>
      </c>
      <c r="FW512" s="101" t="str">
        <f t="shared" si="329"/>
        <v>夏侯渊专属武器-魂珠-3 6级</v>
      </c>
      <c r="FX512" s="101">
        <f t="shared" si="330"/>
        <v>3</v>
      </c>
      <c r="FY512" s="101">
        <f t="shared" si="331"/>
        <v>6</v>
      </c>
      <c r="FZ512" s="101" t="str">
        <f t="shared" si="323"/>
        <v>金币</v>
      </c>
      <c r="GA512" s="139">
        <f>IF($FY512&gt;0,IF(INDEX($EM$6:$EM$77,$FT512)&gt;=GA$3,ROUND(INDEX(EO$6:EO$77,$FT512)*INDEX(卡牌消耗!$B$8:$F$8,FV512)/5,0)*5,""),"")</f>
        <v>1650</v>
      </c>
      <c r="GB512" s="101" t="str">
        <f t="shared" si="324"/>
        <v>专属强化石1</v>
      </c>
      <c r="GC512" s="101">
        <f t="shared" si="325"/>
        <v>10</v>
      </c>
      <c r="GD512" s="101" t="str">
        <f t="shared" si="326"/>
        <v>专属强化石2</v>
      </c>
      <c r="GE512" s="101">
        <f t="shared" si="327"/>
        <v>5</v>
      </c>
      <c r="GF512" s="101">
        <f t="shared" si="332"/>
        <v>0.06</v>
      </c>
      <c r="GG512" s="101">
        <f t="shared" si="333"/>
        <v>1</v>
      </c>
      <c r="GH512" s="101">
        <f t="shared" si="334"/>
        <v>25</v>
      </c>
      <c r="GI512" s="101">
        <f t="shared" si="335"/>
        <v>0</v>
      </c>
      <c r="GJ512" s="101">
        <f t="shared" si="336"/>
        <v>1</v>
      </c>
      <c r="GK512" s="101">
        <f t="shared" si="337"/>
        <v>6</v>
      </c>
      <c r="GL512" s="101">
        <f t="shared" si="338"/>
        <v>2.9600000000000001E-2</v>
      </c>
      <c r="GM512" s="101">
        <f t="shared" si="339"/>
        <v>1</v>
      </c>
      <c r="GN512" s="101">
        <f t="shared" si="340"/>
        <v>12</v>
      </c>
      <c r="GO512" s="101">
        <f t="shared" si="341"/>
        <v>0.1186</v>
      </c>
      <c r="GP512" s="101">
        <f t="shared" si="342"/>
        <v>1</v>
      </c>
      <c r="GQ512" s="101">
        <f t="shared" si="343"/>
        <v>25</v>
      </c>
    </row>
    <row r="513" spans="175:199" ht="16.5" x14ac:dyDescent="0.2">
      <c r="FS513" s="101">
        <v>508</v>
      </c>
      <c r="FT513" s="101">
        <f t="shared" si="328"/>
        <v>25</v>
      </c>
      <c r="FU513" s="101">
        <f t="shared" si="321"/>
        <v>7</v>
      </c>
      <c r="FV513" s="14">
        <f t="shared" si="322"/>
        <v>4</v>
      </c>
      <c r="FW513" s="101" t="str">
        <f t="shared" si="329"/>
        <v>夏侯渊专属武器-魂珠-3 7级</v>
      </c>
      <c r="FX513" s="101">
        <f t="shared" si="330"/>
        <v>3</v>
      </c>
      <c r="FY513" s="101">
        <f t="shared" si="331"/>
        <v>7</v>
      </c>
      <c r="FZ513" s="101" t="str">
        <f t="shared" si="323"/>
        <v>金币</v>
      </c>
      <c r="GA513" s="139">
        <f>IF($FY513&gt;0,IF(INDEX($EM$6:$EM$77,$FT513)&gt;=GA$3,ROUND(INDEX(EO$6:EO$77,$FT513)*INDEX(卡牌消耗!$B$8:$F$8,FV513)/5,0)*5,""),"")</f>
        <v>1990</v>
      </c>
      <c r="GB513" s="101" t="str">
        <f t="shared" si="324"/>
        <v>专属强化石1</v>
      </c>
      <c r="GC513" s="101">
        <f t="shared" si="325"/>
        <v>12</v>
      </c>
      <c r="GD513" s="101" t="str">
        <f t="shared" si="326"/>
        <v>专属强化石2</v>
      </c>
      <c r="GE513" s="101">
        <f t="shared" si="327"/>
        <v>6</v>
      </c>
      <c r="GF513" s="101">
        <f t="shared" si="332"/>
        <v>0.04</v>
      </c>
      <c r="GG513" s="101">
        <f t="shared" si="333"/>
        <v>1</v>
      </c>
      <c r="GH513" s="101">
        <f t="shared" si="334"/>
        <v>34</v>
      </c>
      <c r="GI513" s="101">
        <f t="shared" si="335"/>
        <v>0</v>
      </c>
      <c r="GJ513" s="101">
        <f t="shared" si="336"/>
        <v>1</v>
      </c>
      <c r="GK513" s="101">
        <f t="shared" si="337"/>
        <v>8</v>
      </c>
      <c r="GL513" s="101">
        <f t="shared" si="338"/>
        <v>2.1999999999999999E-2</v>
      </c>
      <c r="GM513" s="101">
        <f t="shared" si="339"/>
        <v>1</v>
      </c>
      <c r="GN513" s="101">
        <f t="shared" si="340"/>
        <v>16</v>
      </c>
      <c r="GO513" s="101">
        <f t="shared" si="341"/>
        <v>8.8099999999999998E-2</v>
      </c>
      <c r="GP513" s="101">
        <f t="shared" si="342"/>
        <v>1</v>
      </c>
      <c r="GQ513" s="101">
        <f t="shared" si="343"/>
        <v>34</v>
      </c>
    </row>
    <row r="514" spans="175:199" ht="16.5" x14ac:dyDescent="0.2">
      <c r="FS514" s="101">
        <v>509</v>
      </c>
      <c r="FT514" s="101">
        <f t="shared" si="328"/>
        <v>26</v>
      </c>
      <c r="FU514" s="101">
        <f t="shared" si="321"/>
        <v>7</v>
      </c>
      <c r="FV514" s="14">
        <f t="shared" si="322"/>
        <v>4</v>
      </c>
      <c r="FW514" s="101" t="str">
        <f t="shared" si="329"/>
        <v>夏侯渊专属武器-魂珠-3 8级</v>
      </c>
      <c r="FX514" s="101">
        <f t="shared" si="330"/>
        <v>3</v>
      </c>
      <c r="FY514" s="101">
        <f t="shared" si="331"/>
        <v>8</v>
      </c>
      <c r="FZ514" s="101" t="str">
        <f t="shared" si="323"/>
        <v>金币</v>
      </c>
      <c r="GA514" s="139">
        <f>IF($FY514&gt;0,IF(INDEX($EM$6:$EM$77,$FT514)&gt;=GA$3,ROUND(INDEX(EO$6:EO$77,$FT514)*INDEX(卡牌消耗!$B$8:$F$8,FV514)/5,0)*5,""),"")</f>
        <v>2650</v>
      </c>
      <c r="GB514" s="101" t="str">
        <f t="shared" si="324"/>
        <v>专属强化石1</v>
      </c>
      <c r="GC514" s="101">
        <f t="shared" si="325"/>
        <v>16</v>
      </c>
      <c r="GD514" s="101" t="str">
        <f t="shared" si="326"/>
        <v>专属强化石2</v>
      </c>
      <c r="GE514" s="101">
        <f t="shared" si="327"/>
        <v>8</v>
      </c>
      <c r="GF514" s="101">
        <f t="shared" si="332"/>
        <v>0.04</v>
      </c>
      <c r="GG514" s="101">
        <f t="shared" si="333"/>
        <v>1</v>
      </c>
      <c r="GH514" s="101">
        <f t="shared" si="334"/>
        <v>41</v>
      </c>
      <c r="GI514" s="101">
        <f t="shared" si="335"/>
        <v>0</v>
      </c>
      <c r="GJ514" s="101">
        <f t="shared" si="336"/>
        <v>1</v>
      </c>
      <c r="GK514" s="101">
        <f t="shared" si="337"/>
        <v>10</v>
      </c>
      <c r="GL514" s="101">
        <f t="shared" si="338"/>
        <v>1.8100000000000002E-2</v>
      </c>
      <c r="GM514" s="101">
        <f t="shared" si="339"/>
        <v>1</v>
      </c>
      <c r="GN514" s="101">
        <f t="shared" si="340"/>
        <v>19</v>
      </c>
      <c r="GO514" s="101">
        <f t="shared" si="341"/>
        <v>7.2499999999999995E-2</v>
      </c>
      <c r="GP514" s="101">
        <f t="shared" si="342"/>
        <v>1</v>
      </c>
      <c r="GQ514" s="101">
        <f t="shared" si="343"/>
        <v>41</v>
      </c>
    </row>
    <row r="515" spans="175:199" ht="16.5" x14ac:dyDescent="0.2">
      <c r="FS515" s="101">
        <v>510</v>
      </c>
      <c r="FT515" s="101">
        <f t="shared" si="328"/>
        <v>27</v>
      </c>
      <c r="FU515" s="101">
        <f t="shared" si="321"/>
        <v>7</v>
      </c>
      <c r="FV515" s="14">
        <f t="shared" si="322"/>
        <v>4</v>
      </c>
      <c r="FW515" s="101" t="str">
        <f t="shared" si="329"/>
        <v>夏侯渊专属武器-魂珠-3 9级</v>
      </c>
      <c r="FX515" s="101">
        <f t="shared" si="330"/>
        <v>3</v>
      </c>
      <c r="FY515" s="101">
        <f t="shared" si="331"/>
        <v>9</v>
      </c>
      <c r="FZ515" s="101" t="str">
        <f t="shared" si="323"/>
        <v>金币</v>
      </c>
      <c r="GA515" s="139">
        <f>IF($FY515&gt;0,IF(INDEX($EM$6:$EM$77,$FT515)&gt;=GA$3,ROUND(INDEX(EO$6:EO$77,$FT515)*INDEX(卡牌消耗!$B$8:$F$8,FV515)/5,0)*5,""),"")</f>
        <v>3310</v>
      </c>
      <c r="GB515" s="101" t="str">
        <f t="shared" si="324"/>
        <v>专属强化石1</v>
      </c>
      <c r="GC515" s="101">
        <f t="shared" si="325"/>
        <v>20</v>
      </c>
      <c r="GD515" s="101" t="str">
        <f t="shared" si="326"/>
        <v>专属强化石2</v>
      </c>
      <c r="GE515" s="101">
        <f t="shared" si="327"/>
        <v>10</v>
      </c>
      <c r="GF515" s="101">
        <f t="shared" si="332"/>
        <v>0.03</v>
      </c>
      <c r="GG515" s="101">
        <f t="shared" si="333"/>
        <v>1</v>
      </c>
      <c r="GH515" s="101">
        <f t="shared" si="334"/>
        <v>54</v>
      </c>
      <c r="GI515" s="101">
        <f t="shared" si="335"/>
        <v>0</v>
      </c>
      <c r="GJ515" s="101">
        <f t="shared" si="336"/>
        <v>1</v>
      </c>
      <c r="GK515" s="101">
        <f t="shared" si="337"/>
        <v>12</v>
      </c>
      <c r="GL515" s="101">
        <f t="shared" si="338"/>
        <v>1.4E-2</v>
      </c>
      <c r="GM515" s="101">
        <f t="shared" si="339"/>
        <v>1</v>
      </c>
      <c r="GN515" s="101">
        <f t="shared" si="340"/>
        <v>25</v>
      </c>
      <c r="GO515" s="101">
        <f t="shared" si="341"/>
        <v>5.6000000000000001E-2</v>
      </c>
      <c r="GP515" s="101">
        <f t="shared" si="342"/>
        <v>1</v>
      </c>
      <c r="GQ515" s="101">
        <f t="shared" si="343"/>
        <v>54</v>
      </c>
    </row>
    <row r="516" spans="175:199" ht="16.5" x14ac:dyDescent="0.2">
      <c r="FS516" s="101">
        <v>511</v>
      </c>
      <c r="FT516" s="101">
        <f t="shared" si="328"/>
        <v>0</v>
      </c>
      <c r="FU516" s="101">
        <f t="shared" si="321"/>
        <v>7</v>
      </c>
      <c r="FV516" s="14">
        <f t="shared" si="322"/>
        <v>4</v>
      </c>
      <c r="FW516" s="101" t="str">
        <f t="shared" si="329"/>
        <v>夏侯渊专属武器-魂珠-4 0级</v>
      </c>
      <c r="FX516" s="101">
        <f t="shared" si="330"/>
        <v>4</v>
      </c>
      <c r="FY516" s="101">
        <f t="shared" si="331"/>
        <v>0</v>
      </c>
      <c r="FZ516" s="101" t="str">
        <f t="shared" si="323"/>
        <v/>
      </c>
      <c r="GA516" s="139" t="str">
        <f>IF($FY516&gt;0,IF(INDEX($EM$6:$EM$77,$FT516)&gt;=GA$3,ROUND(INDEX(EO$6:EO$77,$FT516)*INDEX(卡牌消耗!$B$8:$F$8,FV516)/5,0)*5,""),"")</f>
        <v/>
      </c>
      <c r="GB516" s="101" t="str">
        <f t="shared" si="324"/>
        <v/>
      </c>
      <c r="GC516" s="101" t="str">
        <f t="shared" si="325"/>
        <v/>
      </c>
      <c r="GD516" s="101" t="str">
        <f t="shared" si="326"/>
        <v/>
      </c>
      <c r="GE516" s="101" t="str">
        <f t="shared" si="327"/>
        <v/>
      </c>
      <c r="GF516" s="101" t="str">
        <f t="shared" si="332"/>
        <v/>
      </c>
      <c r="GG516" s="101" t="str">
        <f t="shared" si="333"/>
        <v/>
      </c>
      <c r="GH516" s="101" t="str">
        <f t="shared" si="334"/>
        <v/>
      </c>
      <c r="GI516" s="101" t="str">
        <f t="shared" si="335"/>
        <v/>
      </c>
      <c r="GJ516" s="101" t="str">
        <f t="shared" si="336"/>
        <v/>
      </c>
      <c r="GK516" s="101" t="str">
        <f t="shared" si="337"/>
        <v/>
      </c>
      <c r="GL516" s="101" t="str">
        <f t="shared" si="338"/>
        <v/>
      </c>
      <c r="GM516" s="101" t="str">
        <f t="shared" si="339"/>
        <v/>
      </c>
      <c r="GN516" s="101" t="str">
        <f t="shared" si="340"/>
        <v/>
      </c>
      <c r="GO516" s="101" t="str">
        <f t="shared" si="341"/>
        <v/>
      </c>
      <c r="GP516" s="101" t="str">
        <f t="shared" si="342"/>
        <v/>
      </c>
      <c r="GQ516" s="101" t="str">
        <f t="shared" si="343"/>
        <v/>
      </c>
    </row>
    <row r="517" spans="175:199" ht="16.5" x14ac:dyDescent="0.2">
      <c r="FS517" s="101">
        <v>512</v>
      </c>
      <c r="FT517" s="101">
        <f t="shared" si="328"/>
        <v>28</v>
      </c>
      <c r="FU517" s="101">
        <f t="shared" si="321"/>
        <v>7</v>
      </c>
      <c r="FV517" s="14">
        <f t="shared" si="322"/>
        <v>4</v>
      </c>
      <c r="FW517" s="101" t="str">
        <f t="shared" si="329"/>
        <v>夏侯渊专属武器-魂珠-4 1级</v>
      </c>
      <c r="FX517" s="101">
        <f t="shared" si="330"/>
        <v>4</v>
      </c>
      <c r="FY517" s="101">
        <f t="shared" si="331"/>
        <v>1</v>
      </c>
      <c r="FZ517" s="101" t="str">
        <f t="shared" si="323"/>
        <v>金币</v>
      </c>
      <c r="GA517" s="139">
        <f>IF($FY517&gt;0,IF(INDEX($EM$6:$EM$77,$FT517)&gt;=GA$3,ROUND(INDEX(EO$6:EO$77,$FT517)*INDEX(卡牌消耗!$B$8:$F$8,FV517)/5,0)*5,""),"")</f>
        <v>1095</v>
      </c>
      <c r="GB517" s="101" t="str">
        <f t="shared" si="324"/>
        <v>专属强化石2</v>
      </c>
      <c r="GC517" s="101">
        <f t="shared" si="325"/>
        <v>3</v>
      </c>
      <c r="GD517" s="101" t="str">
        <f t="shared" si="326"/>
        <v>专属强化石3</v>
      </c>
      <c r="GE517" s="101">
        <f t="shared" si="327"/>
        <v>1</v>
      </c>
      <c r="GF517" s="101">
        <f t="shared" si="332"/>
        <v>0.2</v>
      </c>
      <c r="GG517" s="101">
        <f t="shared" si="333"/>
        <v>1</v>
      </c>
      <c r="GH517" s="101">
        <f t="shared" si="334"/>
        <v>7</v>
      </c>
      <c r="GI517" s="101">
        <f t="shared" si="335"/>
        <v>0</v>
      </c>
      <c r="GJ517" s="101">
        <f t="shared" si="336"/>
        <v>1</v>
      </c>
      <c r="GK517" s="101">
        <f t="shared" si="337"/>
        <v>2</v>
      </c>
      <c r="GL517" s="101">
        <f t="shared" si="338"/>
        <v>0.1012</v>
      </c>
      <c r="GM517" s="101">
        <f t="shared" si="339"/>
        <v>1</v>
      </c>
      <c r="GN517" s="101">
        <f t="shared" si="340"/>
        <v>3</v>
      </c>
      <c r="GO517" s="101">
        <f t="shared" si="341"/>
        <v>0.40479999999999999</v>
      </c>
      <c r="GP517" s="101">
        <f t="shared" si="342"/>
        <v>1</v>
      </c>
      <c r="GQ517" s="101">
        <f t="shared" si="343"/>
        <v>7</v>
      </c>
    </row>
    <row r="518" spans="175:199" ht="16.5" x14ac:dyDescent="0.2">
      <c r="FS518" s="101">
        <v>513</v>
      </c>
      <c r="FT518" s="101">
        <f t="shared" si="328"/>
        <v>29</v>
      </c>
      <c r="FU518" s="101">
        <f t="shared" si="321"/>
        <v>7</v>
      </c>
      <c r="FV518" s="14">
        <f t="shared" si="322"/>
        <v>4</v>
      </c>
      <c r="FW518" s="101" t="str">
        <f t="shared" si="329"/>
        <v>夏侯渊专属武器-魂珠-4 2级</v>
      </c>
      <c r="FX518" s="101">
        <f t="shared" si="330"/>
        <v>4</v>
      </c>
      <c r="FY518" s="101">
        <f t="shared" si="331"/>
        <v>2</v>
      </c>
      <c r="FZ518" s="101" t="str">
        <f t="shared" si="323"/>
        <v>金币</v>
      </c>
      <c r="GA518" s="139">
        <f>IF($FY518&gt;0,IF(INDEX($EM$6:$EM$77,$FT518)&gt;=GA$3,ROUND(INDEX(EO$6:EO$77,$FT518)*INDEX(卡牌消耗!$B$8:$F$8,FV518)/5,0)*5,""),"")</f>
        <v>820</v>
      </c>
      <c r="GB518" s="101" t="str">
        <f t="shared" si="324"/>
        <v>专属强化石2</v>
      </c>
      <c r="GC518" s="101">
        <f t="shared" si="325"/>
        <v>3</v>
      </c>
      <c r="GD518" s="101" t="str">
        <f t="shared" si="326"/>
        <v>专属强化石3</v>
      </c>
      <c r="GE518" s="101">
        <f t="shared" si="327"/>
        <v>1</v>
      </c>
      <c r="GF518" s="101">
        <f t="shared" si="332"/>
        <v>0.1</v>
      </c>
      <c r="GG518" s="101">
        <f t="shared" si="333"/>
        <v>1</v>
      </c>
      <c r="GH518" s="101">
        <f t="shared" si="334"/>
        <v>15</v>
      </c>
      <c r="GI518" s="101">
        <f t="shared" si="335"/>
        <v>0</v>
      </c>
      <c r="GJ518" s="101">
        <f t="shared" si="336"/>
        <v>1</v>
      </c>
      <c r="GK518" s="101">
        <f t="shared" si="337"/>
        <v>3</v>
      </c>
      <c r="GL518" s="101">
        <f t="shared" si="338"/>
        <v>5.0599999999999999E-2</v>
      </c>
      <c r="GM518" s="101">
        <f t="shared" si="339"/>
        <v>1</v>
      </c>
      <c r="GN518" s="101">
        <f t="shared" si="340"/>
        <v>7</v>
      </c>
      <c r="GO518" s="101">
        <f t="shared" si="341"/>
        <v>0.2024</v>
      </c>
      <c r="GP518" s="101">
        <f t="shared" si="342"/>
        <v>1</v>
      </c>
      <c r="GQ518" s="101">
        <f t="shared" si="343"/>
        <v>15</v>
      </c>
    </row>
    <row r="519" spans="175:199" ht="16.5" x14ac:dyDescent="0.2">
      <c r="FS519" s="101">
        <v>514</v>
      </c>
      <c r="FT519" s="101">
        <f t="shared" si="328"/>
        <v>30</v>
      </c>
      <c r="FU519" s="101">
        <f t="shared" ref="FU519:FU582" si="344">INT((FS519-1)/80+1)</f>
        <v>7</v>
      </c>
      <c r="FV519" s="14">
        <f t="shared" ref="FV519:FV582" si="345">INDEX($FO$6:$FO$26,FU519)</f>
        <v>4</v>
      </c>
      <c r="FW519" s="101" t="str">
        <f t="shared" si="329"/>
        <v>夏侯渊专属武器-魂珠-4 3级</v>
      </c>
      <c r="FX519" s="101">
        <f t="shared" si="330"/>
        <v>4</v>
      </c>
      <c r="FY519" s="101">
        <f t="shared" si="331"/>
        <v>3</v>
      </c>
      <c r="FZ519" s="101" t="str">
        <f t="shared" ref="FZ519:FZ582" si="346">IF($FY519&gt;0,IF(INDEX($EM$6:$EM$77,$FT519)&gt;=FZ$3,INDEX(EN$6:EN$77,$FT519),""),"")</f>
        <v>金币</v>
      </c>
      <c r="GA519" s="139">
        <f>IF($FY519&gt;0,IF(INDEX($EM$6:$EM$77,$FT519)&gt;=GA$3,ROUND(INDEX(EO$6:EO$77,$FT519)*INDEX(卡牌消耗!$B$8:$F$8,FV519)/5,0)*5,""),"")</f>
        <v>910</v>
      </c>
      <c r="GB519" s="101" t="str">
        <f t="shared" ref="GB519:GB582" si="347">IF($FY519&gt;0,IF(INDEX($EM$6:$EM$77,$FT519)&gt;=GB$3,INDEX(EP$6:EP$77,$FT519),""),"")</f>
        <v>专属强化石2</v>
      </c>
      <c r="GC519" s="101">
        <f t="shared" ref="GC519:GC582" si="348">IF($FY519&gt;0,IF(INDEX($EM$6:$EM$77,$FT519)&gt;=GC$3,INDEX(EQ$6:EQ$77,$FT519),""),"")</f>
        <v>3</v>
      </c>
      <c r="GD519" s="101" t="str">
        <f t="shared" ref="GD519:GD582" si="349">IF($FY519&gt;0,IF(INDEX($EM$6:$EM$77,$FT519)&gt;=GD$3,INDEX(ER$6:ER$77,$FT519),""),"")</f>
        <v>专属强化石3</v>
      </c>
      <c r="GE519" s="101">
        <f t="shared" ref="GE519:GE582" si="350">IF($FY519&gt;0,IF(INDEX($EM$6:$EM$77,$FT519)&gt;=GE$3,INDEX(ES$6:ES$77,$FT519),""),"")</f>
        <v>1</v>
      </c>
      <c r="GF519" s="101">
        <f t="shared" si="332"/>
        <v>7.0000000000000007E-2</v>
      </c>
      <c r="GG519" s="101">
        <f t="shared" si="333"/>
        <v>1</v>
      </c>
      <c r="GH519" s="101">
        <f t="shared" si="334"/>
        <v>22</v>
      </c>
      <c r="GI519" s="101">
        <f t="shared" si="335"/>
        <v>0</v>
      </c>
      <c r="GJ519" s="101">
        <f t="shared" si="336"/>
        <v>1</v>
      </c>
      <c r="GK519" s="101">
        <f t="shared" si="337"/>
        <v>5</v>
      </c>
      <c r="GL519" s="101">
        <f t="shared" si="338"/>
        <v>3.3700000000000001E-2</v>
      </c>
      <c r="GM519" s="101">
        <f t="shared" si="339"/>
        <v>1</v>
      </c>
      <c r="GN519" s="101">
        <f t="shared" si="340"/>
        <v>10</v>
      </c>
      <c r="GO519" s="101">
        <f t="shared" si="341"/>
        <v>0.13489999999999999</v>
      </c>
      <c r="GP519" s="101">
        <f t="shared" si="342"/>
        <v>1</v>
      </c>
      <c r="GQ519" s="101">
        <f t="shared" si="343"/>
        <v>22</v>
      </c>
    </row>
    <row r="520" spans="175:199" ht="16.5" x14ac:dyDescent="0.2">
      <c r="FS520" s="101">
        <v>515</v>
      </c>
      <c r="FT520" s="101">
        <f t="shared" si="328"/>
        <v>31</v>
      </c>
      <c r="FU520" s="101">
        <f t="shared" si="344"/>
        <v>7</v>
      </c>
      <c r="FV520" s="14">
        <f t="shared" si="345"/>
        <v>4</v>
      </c>
      <c r="FW520" s="101" t="str">
        <f t="shared" si="329"/>
        <v>夏侯渊专属武器-魂珠-4 4级</v>
      </c>
      <c r="FX520" s="101">
        <f t="shared" si="330"/>
        <v>4</v>
      </c>
      <c r="FY520" s="101">
        <f t="shared" si="331"/>
        <v>4</v>
      </c>
      <c r="FZ520" s="101" t="str">
        <f t="shared" si="346"/>
        <v>金币</v>
      </c>
      <c r="GA520" s="139">
        <f>IF($FY520&gt;0,IF(INDEX($EM$6:$EM$77,$FT520)&gt;=GA$3,ROUND(INDEX(EO$6:EO$77,$FT520)*INDEX(卡牌消耗!$B$8:$F$8,FV520)/5,0)*5,""),"")</f>
        <v>1750</v>
      </c>
      <c r="GB520" s="101" t="str">
        <f t="shared" si="347"/>
        <v>专属强化石2</v>
      </c>
      <c r="GC520" s="101">
        <f t="shared" si="348"/>
        <v>5</v>
      </c>
      <c r="GD520" s="101" t="str">
        <f t="shared" si="349"/>
        <v>专属强化石3</v>
      </c>
      <c r="GE520" s="101">
        <f t="shared" si="350"/>
        <v>2</v>
      </c>
      <c r="GF520" s="101">
        <f t="shared" si="332"/>
        <v>0.08</v>
      </c>
      <c r="GG520" s="101">
        <f t="shared" si="333"/>
        <v>1</v>
      </c>
      <c r="GH520" s="101">
        <f t="shared" si="334"/>
        <v>19</v>
      </c>
      <c r="GI520" s="101">
        <f t="shared" si="335"/>
        <v>0</v>
      </c>
      <c r="GJ520" s="101">
        <f t="shared" si="336"/>
        <v>1</v>
      </c>
      <c r="GK520" s="101">
        <f t="shared" si="337"/>
        <v>4</v>
      </c>
      <c r="GL520" s="101">
        <f t="shared" si="338"/>
        <v>4.0500000000000001E-2</v>
      </c>
      <c r="GM520" s="101">
        <f t="shared" si="339"/>
        <v>1</v>
      </c>
      <c r="GN520" s="101">
        <f t="shared" si="340"/>
        <v>9</v>
      </c>
      <c r="GO520" s="101">
        <f t="shared" si="341"/>
        <v>0.16189999999999999</v>
      </c>
      <c r="GP520" s="101">
        <f t="shared" si="342"/>
        <v>1</v>
      </c>
      <c r="GQ520" s="101">
        <f t="shared" si="343"/>
        <v>19</v>
      </c>
    </row>
    <row r="521" spans="175:199" ht="16.5" x14ac:dyDescent="0.2">
      <c r="FS521" s="101">
        <v>516</v>
      </c>
      <c r="FT521" s="101">
        <f t="shared" si="328"/>
        <v>32</v>
      </c>
      <c r="FU521" s="101">
        <f t="shared" si="344"/>
        <v>7</v>
      </c>
      <c r="FV521" s="14">
        <f t="shared" si="345"/>
        <v>4</v>
      </c>
      <c r="FW521" s="101" t="str">
        <f t="shared" si="329"/>
        <v>夏侯渊专属武器-魂珠-4 5级</v>
      </c>
      <c r="FX521" s="101">
        <f t="shared" si="330"/>
        <v>4</v>
      </c>
      <c r="FY521" s="101">
        <f t="shared" si="331"/>
        <v>5</v>
      </c>
      <c r="FZ521" s="101" t="str">
        <f t="shared" si="346"/>
        <v>金币</v>
      </c>
      <c r="GA521" s="139">
        <f>IF($FY521&gt;0,IF(INDEX($EM$6:$EM$77,$FT521)&gt;=GA$3,ROUND(INDEX(EO$6:EO$77,$FT521)*INDEX(卡牌消耗!$B$8:$F$8,FV521)/5,0)*5,""),"")</f>
        <v>1780</v>
      </c>
      <c r="GB521" s="101" t="str">
        <f t="shared" si="347"/>
        <v>专属强化石2</v>
      </c>
      <c r="GC521" s="101">
        <f t="shared" si="348"/>
        <v>5</v>
      </c>
      <c r="GD521" s="101" t="str">
        <f t="shared" si="349"/>
        <v>专属强化石3</v>
      </c>
      <c r="GE521" s="101">
        <f t="shared" si="350"/>
        <v>2</v>
      </c>
      <c r="GF521" s="101">
        <f t="shared" si="332"/>
        <v>0.05</v>
      </c>
      <c r="GG521" s="101">
        <f t="shared" si="333"/>
        <v>1</v>
      </c>
      <c r="GH521" s="101">
        <f t="shared" si="334"/>
        <v>30</v>
      </c>
      <c r="GI521" s="101">
        <f t="shared" si="335"/>
        <v>0</v>
      </c>
      <c r="GJ521" s="101">
        <f t="shared" si="336"/>
        <v>1</v>
      </c>
      <c r="GK521" s="101">
        <f t="shared" si="337"/>
        <v>7</v>
      </c>
      <c r="GL521" s="101">
        <f t="shared" si="338"/>
        <v>2.53E-2</v>
      </c>
      <c r="GM521" s="101">
        <f t="shared" si="339"/>
        <v>1</v>
      </c>
      <c r="GN521" s="101">
        <f t="shared" si="340"/>
        <v>14</v>
      </c>
      <c r="GO521" s="101">
        <f t="shared" si="341"/>
        <v>0.1012</v>
      </c>
      <c r="GP521" s="101">
        <f t="shared" si="342"/>
        <v>1</v>
      </c>
      <c r="GQ521" s="101">
        <f t="shared" si="343"/>
        <v>30</v>
      </c>
    </row>
    <row r="522" spans="175:199" ht="16.5" x14ac:dyDescent="0.2">
      <c r="FS522" s="101">
        <v>517</v>
      </c>
      <c r="FT522" s="101">
        <f t="shared" si="328"/>
        <v>33</v>
      </c>
      <c r="FU522" s="101">
        <f t="shared" si="344"/>
        <v>7</v>
      </c>
      <c r="FV522" s="14">
        <f t="shared" si="345"/>
        <v>4</v>
      </c>
      <c r="FW522" s="101" t="str">
        <f t="shared" si="329"/>
        <v>夏侯渊专属武器-魂珠-4 6级</v>
      </c>
      <c r="FX522" s="101">
        <f t="shared" si="330"/>
        <v>4</v>
      </c>
      <c r="FY522" s="101">
        <f t="shared" si="331"/>
        <v>6</v>
      </c>
      <c r="FZ522" s="101" t="str">
        <f t="shared" si="346"/>
        <v>金币</v>
      </c>
      <c r="GA522" s="139">
        <f>IF($FY522&gt;0,IF(INDEX($EM$6:$EM$77,$FT522)&gt;=GA$3,ROUND(INDEX(EO$6:EO$77,$FT522)*INDEX(卡牌消耗!$B$8:$F$8,FV522)/5,0)*5,""),"")</f>
        <v>1770</v>
      </c>
      <c r="GB522" s="101" t="str">
        <f t="shared" si="347"/>
        <v>专属强化石2</v>
      </c>
      <c r="GC522" s="101">
        <f t="shared" si="348"/>
        <v>5</v>
      </c>
      <c r="GD522" s="101" t="str">
        <f t="shared" si="349"/>
        <v>专属强化石3</v>
      </c>
      <c r="GE522" s="101">
        <f t="shared" si="350"/>
        <v>2</v>
      </c>
      <c r="GF522" s="101">
        <f t="shared" si="332"/>
        <v>0.03</v>
      </c>
      <c r="GG522" s="101">
        <f t="shared" si="333"/>
        <v>1</v>
      </c>
      <c r="GH522" s="101">
        <f t="shared" si="334"/>
        <v>48</v>
      </c>
      <c r="GI522" s="101">
        <f t="shared" si="335"/>
        <v>0</v>
      </c>
      <c r="GJ522" s="101">
        <f t="shared" si="336"/>
        <v>1</v>
      </c>
      <c r="GK522" s="101">
        <f t="shared" si="337"/>
        <v>11</v>
      </c>
      <c r="GL522" s="101">
        <f t="shared" si="338"/>
        <v>1.5599999999999999E-2</v>
      </c>
      <c r="GM522" s="101">
        <f t="shared" si="339"/>
        <v>1</v>
      </c>
      <c r="GN522" s="101">
        <f t="shared" si="340"/>
        <v>22</v>
      </c>
      <c r="GO522" s="101">
        <f t="shared" si="341"/>
        <v>6.2300000000000001E-2</v>
      </c>
      <c r="GP522" s="101">
        <f t="shared" si="342"/>
        <v>1</v>
      </c>
      <c r="GQ522" s="101">
        <f t="shared" si="343"/>
        <v>48</v>
      </c>
    </row>
    <row r="523" spans="175:199" ht="16.5" x14ac:dyDescent="0.2">
      <c r="FS523" s="101">
        <v>518</v>
      </c>
      <c r="FT523" s="101">
        <f t="shared" si="328"/>
        <v>34</v>
      </c>
      <c r="FU523" s="101">
        <f t="shared" si="344"/>
        <v>7</v>
      </c>
      <c r="FV523" s="14">
        <f t="shared" si="345"/>
        <v>4</v>
      </c>
      <c r="FW523" s="101" t="str">
        <f t="shared" si="329"/>
        <v>夏侯渊专属武器-魂珠-4 7级</v>
      </c>
      <c r="FX523" s="101">
        <f t="shared" si="330"/>
        <v>4</v>
      </c>
      <c r="FY523" s="101">
        <f t="shared" si="331"/>
        <v>7</v>
      </c>
      <c r="FZ523" s="101" t="str">
        <f t="shared" si="346"/>
        <v>金币</v>
      </c>
      <c r="GA523" s="139">
        <f>IF($FY523&gt;0,IF(INDEX($EM$6:$EM$77,$FT523)&gt;=GA$3,ROUND(INDEX(EO$6:EO$77,$FT523)*INDEX(卡牌消耗!$B$8:$F$8,FV523)/5,0)*5,""),"")</f>
        <v>2660</v>
      </c>
      <c r="GB523" s="101" t="str">
        <f t="shared" si="347"/>
        <v>专属强化石2</v>
      </c>
      <c r="GC523" s="101">
        <f t="shared" si="348"/>
        <v>8</v>
      </c>
      <c r="GD523" s="101" t="str">
        <f t="shared" si="349"/>
        <v>专属强化石3</v>
      </c>
      <c r="GE523" s="101">
        <f t="shared" si="350"/>
        <v>3</v>
      </c>
      <c r="GF523" s="101">
        <f t="shared" si="332"/>
        <v>0.03</v>
      </c>
      <c r="GG523" s="101">
        <f t="shared" si="333"/>
        <v>1</v>
      </c>
      <c r="GH523" s="101">
        <f t="shared" si="334"/>
        <v>52</v>
      </c>
      <c r="GI523" s="101">
        <f t="shared" si="335"/>
        <v>0</v>
      </c>
      <c r="GJ523" s="101">
        <f t="shared" si="336"/>
        <v>1</v>
      </c>
      <c r="GK523" s="101">
        <f t="shared" si="337"/>
        <v>12</v>
      </c>
      <c r="GL523" s="101">
        <f t="shared" si="338"/>
        <v>1.4500000000000001E-2</v>
      </c>
      <c r="GM523" s="101">
        <f t="shared" si="339"/>
        <v>1</v>
      </c>
      <c r="GN523" s="101">
        <f t="shared" si="340"/>
        <v>24</v>
      </c>
      <c r="GO523" s="101">
        <f t="shared" si="341"/>
        <v>5.7799999999999997E-2</v>
      </c>
      <c r="GP523" s="101">
        <f t="shared" si="342"/>
        <v>1</v>
      </c>
      <c r="GQ523" s="101">
        <f t="shared" si="343"/>
        <v>52</v>
      </c>
    </row>
    <row r="524" spans="175:199" ht="16.5" x14ac:dyDescent="0.2">
      <c r="FS524" s="101">
        <v>519</v>
      </c>
      <c r="FT524" s="101">
        <f t="shared" si="328"/>
        <v>35</v>
      </c>
      <c r="FU524" s="101">
        <f t="shared" si="344"/>
        <v>7</v>
      </c>
      <c r="FV524" s="14">
        <f t="shared" si="345"/>
        <v>4</v>
      </c>
      <c r="FW524" s="101" t="str">
        <f t="shared" si="329"/>
        <v>夏侯渊专属武器-魂珠-4 8级</v>
      </c>
      <c r="FX524" s="101">
        <f t="shared" si="330"/>
        <v>4</v>
      </c>
      <c r="FY524" s="101">
        <f t="shared" si="331"/>
        <v>8</v>
      </c>
      <c r="FZ524" s="101" t="str">
        <f t="shared" si="346"/>
        <v>金币</v>
      </c>
      <c r="GA524" s="139">
        <f>IF($FY524&gt;0,IF(INDEX($EM$6:$EM$77,$FT524)&gt;=GA$3,ROUND(INDEX(EO$6:EO$77,$FT524)*INDEX(卡牌消耗!$B$8:$F$8,FV524)/5,0)*5,""),"")</f>
        <v>3540</v>
      </c>
      <c r="GB524" s="101" t="str">
        <f t="shared" si="347"/>
        <v>专属强化石2</v>
      </c>
      <c r="GC524" s="101">
        <f t="shared" si="348"/>
        <v>11</v>
      </c>
      <c r="GD524" s="101" t="str">
        <f t="shared" si="349"/>
        <v>专属强化石3</v>
      </c>
      <c r="GE524" s="101">
        <f t="shared" si="350"/>
        <v>4</v>
      </c>
      <c r="GF524" s="101">
        <f t="shared" si="332"/>
        <v>0.02</v>
      </c>
      <c r="GG524" s="101">
        <f t="shared" si="333"/>
        <v>1</v>
      </c>
      <c r="GH524" s="101">
        <f t="shared" si="334"/>
        <v>63</v>
      </c>
      <c r="GI524" s="101">
        <f t="shared" si="335"/>
        <v>0</v>
      </c>
      <c r="GJ524" s="101">
        <f t="shared" si="336"/>
        <v>1</v>
      </c>
      <c r="GK524" s="101">
        <f t="shared" si="337"/>
        <v>15</v>
      </c>
      <c r="GL524" s="101">
        <f t="shared" si="338"/>
        <v>1.1900000000000001E-2</v>
      </c>
      <c r="GM524" s="101">
        <f t="shared" si="339"/>
        <v>1</v>
      </c>
      <c r="GN524" s="101">
        <f t="shared" si="340"/>
        <v>29</v>
      </c>
      <c r="GO524" s="101">
        <f t="shared" si="341"/>
        <v>4.7600000000000003E-2</v>
      </c>
      <c r="GP524" s="101">
        <f t="shared" si="342"/>
        <v>1</v>
      </c>
      <c r="GQ524" s="101">
        <f t="shared" si="343"/>
        <v>63</v>
      </c>
    </row>
    <row r="525" spans="175:199" ht="16.5" x14ac:dyDescent="0.2">
      <c r="FS525" s="101">
        <v>520</v>
      </c>
      <c r="FT525" s="101">
        <f t="shared" si="328"/>
        <v>36</v>
      </c>
      <c r="FU525" s="101">
        <f t="shared" si="344"/>
        <v>7</v>
      </c>
      <c r="FV525" s="14">
        <f t="shared" si="345"/>
        <v>4</v>
      </c>
      <c r="FW525" s="101" t="str">
        <f t="shared" si="329"/>
        <v>夏侯渊专属武器-魂珠-4 9级</v>
      </c>
      <c r="FX525" s="101">
        <f t="shared" si="330"/>
        <v>4</v>
      </c>
      <c r="FY525" s="101">
        <f t="shared" si="331"/>
        <v>9</v>
      </c>
      <c r="FZ525" s="101" t="str">
        <f t="shared" si="346"/>
        <v>金币</v>
      </c>
      <c r="GA525" s="139">
        <f>IF($FY525&gt;0,IF(INDEX($EM$6:$EM$77,$FT525)&gt;=GA$3,ROUND(INDEX(EO$6:EO$77,$FT525)*INDEX(卡牌消耗!$B$8:$F$8,FV525)/5,0)*5,""),"")</f>
        <v>5315</v>
      </c>
      <c r="GB525" s="101" t="str">
        <f t="shared" si="347"/>
        <v>专属强化石2</v>
      </c>
      <c r="GC525" s="101">
        <f t="shared" si="348"/>
        <v>16</v>
      </c>
      <c r="GD525" s="101" t="str">
        <f t="shared" si="349"/>
        <v>专属强化石3</v>
      </c>
      <c r="GE525" s="101">
        <f t="shared" si="350"/>
        <v>6</v>
      </c>
      <c r="GF525" s="101">
        <f t="shared" si="332"/>
        <v>0.02</v>
      </c>
      <c r="GG525" s="101">
        <f t="shared" si="333"/>
        <v>1</v>
      </c>
      <c r="GH525" s="101">
        <f t="shared" si="334"/>
        <v>68</v>
      </c>
      <c r="GI525" s="101">
        <f t="shared" si="335"/>
        <v>0</v>
      </c>
      <c r="GJ525" s="101">
        <f t="shared" si="336"/>
        <v>1</v>
      </c>
      <c r="GK525" s="101">
        <f t="shared" si="337"/>
        <v>16</v>
      </c>
      <c r="GL525" s="101">
        <f t="shared" si="338"/>
        <v>1.0999999999999999E-2</v>
      </c>
      <c r="GM525" s="101">
        <f t="shared" si="339"/>
        <v>1</v>
      </c>
      <c r="GN525" s="101">
        <f t="shared" si="340"/>
        <v>32</v>
      </c>
      <c r="GO525" s="101">
        <f t="shared" si="341"/>
        <v>4.4200000000000003E-2</v>
      </c>
      <c r="GP525" s="101">
        <f t="shared" si="342"/>
        <v>1</v>
      </c>
      <c r="GQ525" s="101">
        <f t="shared" si="343"/>
        <v>68</v>
      </c>
    </row>
    <row r="526" spans="175:199" ht="16.5" x14ac:dyDescent="0.2">
      <c r="FS526" s="101">
        <v>521</v>
      </c>
      <c r="FT526" s="101">
        <f t="shared" si="328"/>
        <v>0</v>
      </c>
      <c r="FU526" s="101">
        <f t="shared" si="344"/>
        <v>7</v>
      </c>
      <c r="FV526" s="14">
        <f t="shared" si="345"/>
        <v>4</v>
      </c>
      <c r="FW526" s="101" t="str">
        <f t="shared" si="329"/>
        <v>夏侯渊专属武器-魂珠-5 0级</v>
      </c>
      <c r="FX526" s="101">
        <f t="shared" si="330"/>
        <v>5</v>
      </c>
      <c r="FY526" s="101">
        <f t="shared" si="331"/>
        <v>0</v>
      </c>
      <c r="FZ526" s="101" t="str">
        <f t="shared" si="346"/>
        <v/>
      </c>
      <c r="GA526" s="139" t="str">
        <f>IF($FY526&gt;0,IF(INDEX($EM$6:$EM$77,$FT526)&gt;=GA$3,ROUND(INDEX(EO$6:EO$77,$FT526)*INDEX(卡牌消耗!$B$8:$F$8,FV526)/5,0)*5,""),"")</f>
        <v/>
      </c>
      <c r="GB526" s="101" t="str">
        <f t="shared" si="347"/>
        <v/>
      </c>
      <c r="GC526" s="101" t="str">
        <f t="shared" si="348"/>
        <v/>
      </c>
      <c r="GD526" s="101" t="str">
        <f t="shared" si="349"/>
        <v/>
      </c>
      <c r="GE526" s="101" t="str">
        <f t="shared" si="350"/>
        <v/>
      </c>
      <c r="GF526" s="101" t="str">
        <f t="shared" si="332"/>
        <v/>
      </c>
      <c r="GG526" s="101" t="str">
        <f t="shared" si="333"/>
        <v/>
      </c>
      <c r="GH526" s="101" t="str">
        <f t="shared" si="334"/>
        <v/>
      </c>
      <c r="GI526" s="101" t="str">
        <f t="shared" si="335"/>
        <v/>
      </c>
      <c r="GJ526" s="101" t="str">
        <f t="shared" si="336"/>
        <v/>
      </c>
      <c r="GK526" s="101" t="str">
        <f t="shared" si="337"/>
        <v/>
      </c>
      <c r="GL526" s="101" t="str">
        <f t="shared" si="338"/>
        <v/>
      </c>
      <c r="GM526" s="101" t="str">
        <f t="shared" si="339"/>
        <v/>
      </c>
      <c r="GN526" s="101" t="str">
        <f t="shared" si="340"/>
        <v/>
      </c>
      <c r="GO526" s="101" t="str">
        <f t="shared" si="341"/>
        <v/>
      </c>
      <c r="GP526" s="101" t="str">
        <f t="shared" si="342"/>
        <v/>
      </c>
      <c r="GQ526" s="101" t="str">
        <f t="shared" si="343"/>
        <v/>
      </c>
    </row>
    <row r="527" spans="175:199" ht="16.5" x14ac:dyDescent="0.2">
      <c r="FS527" s="101">
        <v>522</v>
      </c>
      <c r="FT527" s="101">
        <f t="shared" si="328"/>
        <v>37</v>
      </c>
      <c r="FU527" s="101">
        <f t="shared" si="344"/>
        <v>7</v>
      </c>
      <c r="FV527" s="14">
        <f t="shared" si="345"/>
        <v>4</v>
      </c>
      <c r="FW527" s="101" t="str">
        <f t="shared" si="329"/>
        <v>夏侯渊专属武器-魂珠-5 1级</v>
      </c>
      <c r="FX527" s="101">
        <f t="shared" si="330"/>
        <v>5</v>
      </c>
      <c r="FY527" s="101">
        <f t="shared" si="331"/>
        <v>1</v>
      </c>
      <c r="FZ527" s="101" t="str">
        <f t="shared" si="346"/>
        <v>金币</v>
      </c>
      <c r="GA527" s="139">
        <f>IF($FY527&gt;0,IF(INDEX($EM$6:$EM$77,$FT527)&gt;=GA$3,ROUND(INDEX(EO$6:EO$77,$FT527)*INDEX(卡牌消耗!$B$8:$F$8,FV527)/5,0)*5,""),"")</f>
        <v>2245</v>
      </c>
      <c r="GB527" s="101" t="str">
        <f t="shared" si="347"/>
        <v>专属强化石2</v>
      </c>
      <c r="GC527" s="101">
        <f t="shared" si="348"/>
        <v>3</v>
      </c>
      <c r="GD527" s="101" t="str">
        <f t="shared" si="349"/>
        <v>专属强化石3</v>
      </c>
      <c r="GE527" s="101">
        <f t="shared" si="350"/>
        <v>2</v>
      </c>
      <c r="GF527" s="101">
        <f t="shared" si="332"/>
        <v>0.2</v>
      </c>
      <c r="GG527" s="101">
        <f t="shared" si="333"/>
        <v>1</v>
      </c>
      <c r="GH527" s="101">
        <f t="shared" si="334"/>
        <v>7</v>
      </c>
      <c r="GI527" s="101">
        <f t="shared" si="335"/>
        <v>0</v>
      </c>
      <c r="GJ527" s="101">
        <f t="shared" si="336"/>
        <v>1</v>
      </c>
      <c r="GK527" s="101">
        <f t="shared" si="337"/>
        <v>2</v>
      </c>
      <c r="GL527" s="101">
        <f t="shared" si="338"/>
        <v>0.1012</v>
      </c>
      <c r="GM527" s="101">
        <f t="shared" si="339"/>
        <v>1</v>
      </c>
      <c r="GN527" s="101">
        <f t="shared" si="340"/>
        <v>3</v>
      </c>
      <c r="GO527" s="101">
        <f t="shared" si="341"/>
        <v>0.40479999999999999</v>
      </c>
      <c r="GP527" s="101">
        <f t="shared" si="342"/>
        <v>1</v>
      </c>
      <c r="GQ527" s="101">
        <f t="shared" si="343"/>
        <v>7</v>
      </c>
    </row>
    <row r="528" spans="175:199" ht="16.5" x14ac:dyDescent="0.2">
      <c r="FS528" s="101">
        <v>523</v>
      </c>
      <c r="FT528" s="101">
        <f t="shared" si="328"/>
        <v>38</v>
      </c>
      <c r="FU528" s="101">
        <f t="shared" si="344"/>
        <v>7</v>
      </c>
      <c r="FV528" s="14">
        <f t="shared" si="345"/>
        <v>4</v>
      </c>
      <c r="FW528" s="101" t="str">
        <f t="shared" si="329"/>
        <v>夏侯渊专属武器-魂珠-5 2级</v>
      </c>
      <c r="FX528" s="101">
        <f t="shared" si="330"/>
        <v>5</v>
      </c>
      <c r="FY528" s="101">
        <f t="shared" si="331"/>
        <v>2</v>
      </c>
      <c r="FZ528" s="101" t="str">
        <f t="shared" si="346"/>
        <v>金币</v>
      </c>
      <c r="GA528" s="139">
        <f>IF($FY528&gt;0,IF(INDEX($EM$6:$EM$77,$FT528)&gt;=GA$3,ROUND(INDEX(EO$6:EO$77,$FT528)*INDEX(卡牌消耗!$B$8:$F$8,FV528)/5,0)*5,""),"")</f>
        <v>1685</v>
      </c>
      <c r="GB528" s="101" t="str">
        <f t="shared" si="347"/>
        <v>专属强化石2</v>
      </c>
      <c r="GC528" s="101">
        <f t="shared" si="348"/>
        <v>3</v>
      </c>
      <c r="GD528" s="101" t="str">
        <f t="shared" si="349"/>
        <v>专属强化石3</v>
      </c>
      <c r="GE528" s="101">
        <f t="shared" si="350"/>
        <v>2</v>
      </c>
      <c r="GF528" s="101">
        <f t="shared" si="332"/>
        <v>0.1</v>
      </c>
      <c r="GG528" s="101">
        <f t="shared" si="333"/>
        <v>1</v>
      </c>
      <c r="GH528" s="101">
        <f t="shared" si="334"/>
        <v>15</v>
      </c>
      <c r="GI528" s="101">
        <f t="shared" si="335"/>
        <v>0</v>
      </c>
      <c r="GJ528" s="101">
        <f t="shared" si="336"/>
        <v>1</v>
      </c>
      <c r="GK528" s="101">
        <f t="shared" si="337"/>
        <v>3</v>
      </c>
      <c r="GL528" s="101">
        <f t="shared" si="338"/>
        <v>5.0599999999999999E-2</v>
      </c>
      <c r="GM528" s="101">
        <f t="shared" si="339"/>
        <v>1</v>
      </c>
      <c r="GN528" s="101">
        <f t="shared" si="340"/>
        <v>7</v>
      </c>
      <c r="GO528" s="101">
        <f t="shared" si="341"/>
        <v>0.2024</v>
      </c>
      <c r="GP528" s="101">
        <f t="shared" si="342"/>
        <v>1</v>
      </c>
      <c r="GQ528" s="101">
        <f t="shared" si="343"/>
        <v>15</v>
      </c>
    </row>
    <row r="529" spans="175:199" ht="16.5" x14ac:dyDescent="0.2">
      <c r="FS529" s="101">
        <v>524</v>
      </c>
      <c r="FT529" s="101">
        <f t="shared" si="328"/>
        <v>39</v>
      </c>
      <c r="FU529" s="101">
        <f t="shared" si="344"/>
        <v>7</v>
      </c>
      <c r="FV529" s="14">
        <f t="shared" si="345"/>
        <v>4</v>
      </c>
      <c r="FW529" s="101" t="str">
        <f t="shared" si="329"/>
        <v>夏侯渊专属武器-魂珠-5 3级</v>
      </c>
      <c r="FX529" s="101">
        <f t="shared" si="330"/>
        <v>5</v>
      </c>
      <c r="FY529" s="101">
        <f t="shared" si="331"/>
        <v>3</v>
      </c>
      <c r="FZ529" s="101" t="str">
        <f t="shared" si="346"/>
        <v>金币</v>
      </c>
      <c r="GA529" s="139">
        <f>IF($FY529&gt;0,IF(INDEX($EM$6:$EM$77,$FT529)&gt;=GA$3,ROUND(INDEX(EO$6:EO$77,$FT529)*INDEX(卡牌消耗!$B$8:$F$8,FV529)/5,0)*5,""),"")</f>
        <v>1870</v>
      </c>
      <c r="GB529" s="101" t="str">
        <f t="shared" si="347"/>
        <v>专属强化石2</v>
      </c>
      <c r="GC529" s="101">
        <f t="shared" si="348"/>
        <v>3</v>
      </c>
      <c r="GD529" s="101" t="str">
        <f t="shared" si="349"/>
        <v>专属强化石3</v>
      </c>
      <c r="GE529" s="101">
        <f t="shared" si="350"/>
        <v>2</v>
      </c>
      <c r="GF529" s="101">
        <f t="shared" si="332"/>
        <v>7.0000000000000007E-2</v>
      </c>
      <c r="GG529" s="101">
        <f t="shared" si="333"/>
        <v>1</v>
      </c>
      <c r="GH529" s="101">
        <f t="shared" si="334"/>
        <v>22</v>
      </c>
      <c r="GI529" s="101">
        <f t="shared" si="335"/>
        <v>0</v>
      </c>
      <c r="GJ529" s="101">
        <f t="shared" si="336"/>
        <v>1</v>
      </c>
      <c r="GK529" s="101">
        <f t="shared" si="337"/>
        <v>5</v>
      </c>
      <c r="GL529" s="101">
        <f t="shared" si="338"/>
        <v>3.3700000000000001E-2</v>
      </c>
      <c r="GM529" s="101">
        <f t="shared" si="339"/>
        <v>1</v>
      </c>
      <c r="GN529" s="101">
        <f t="shared" si="340"/>
        <v>10</v>
      </c>
      <c r="GO529" s="101">
        <f t="shared" si="341"/>
        <v>0.13489999999999999</v>
      </c>
      <c r="GP529" s="101">
        <f t="shared" si="342"/>
        <v>1</v>
      </c>
      <c r="GQ529" s="101">
        <f t="shared" si="343"/>
        <v>22</v>
      </c>
    </row>
    <row r="530" spans="175:199" ht="16.5" x14ac:dyDescent="0.2">
      <c r="FS530" s="101">
        <v>525</v>
      </c>
      <c r="FT530" s="101">
        <f t="shared" si="328"/>
        <v>40</v>
      </c>
      <c r="FU530" s="101">
        <f t="shared" si="344"/>
        <v>7</v>
      </c>
      <c r="FV530" s="14">
        <f t="shared" si="345"/>
        <v>4</v>
      </c>
      <c r="FW530" s="101" t="str">
        <f t="shared" si="329"/>
        <v>夏侯渊专属武器-魂珠-5 4级</v>
      </c>
      <c r="FX530" s="101">
        <f t="shared" si="330"/>
        <v>5</v>
      </c>
      <c r="FY530" s="101">
        <f t="shared" si="331"/>
        <v>4</v>
      </c>
      <c r="FZ530" s="101" t="str">
        <f t="shared" si="346"/>
        <v>金币</v>
      </c>
      <c r="GA530" s="139">
        <f>IF($FY530&gt;0,IF(INDEX($EM$6:$EM$77,$FT530)&gt;=GA$3,ROUND(INDEX(EO$6:EO$77,$FT530)*INDEX(卡牌消耗!$B$8:$F$8,FV530)/5,0)*5,""),"")</f>
        <v>2695</v>
      </c>
      <c r="GB530" s="101" t="str">
        <f t="shared" si="347"/>
        <v>专属强化石2</v>
      </c>
      <c r="GC530" s="101">
        <f t="shared" si="348"/>
        <v>5</v>
      </c>
      <c r="GD530" s="101" t="str">
        <f t="shared" si="349"/>
        <v>专属强化石3</v>
      </c>
      <c r="GE530" s="101">
        <f t="shared" si="350"/>
        <v>3</v>
      </c>
      <c r="GF530" s="101">
        <f t="shared" si="332"/>
        <v>0.06</v>
      </c>
      <c r="GG530" s="101">
        <f t="shared" si="333"/>
        <v>1</v>
      </c>
      <c r="GH530" s="101">
        <f t="shared" si="334"/>
        <v>25</v>
      </c>
      <c r="GI530" s="101">
        <f t="shared" si="335"/>
        <v>0</v>
      </c>
      <c r="GJ530" s="101">
        <f t="shared" si="336"/>
        <v>1</v>
      </c>
      <c r="GK530" s="101">
        <f t="shared" si="337"/>
        <v>6</v>
      </c>
      <c r="GL530" s="101">
        <f t="shared" si="338"/>
        <v>3.04E-2</v>
      </c>
      <c r="GM530" s="101">
        <f t="shared" si="339"/>
        <v>1</v>
      </c>
      <c r="GN530" s="101">
        <f t="shared" si="340"/>
        <v>12</v>
      </c>
      <c r="GO530" s="101">
        <f t="shared" si="341"/>
        <v>0.12139999999999999</v>
      </c>
      <c r="GP530" s="101">
        <f t="shared" si="342"/>
        <v>1</v>
      </c>
      <c r="GQ530" s="101">
        <f t="shared" si="343"/>
        <v>25</v>
      </c>
    </row>
    <row r="531" spans="175:199" ht="16.5" x14ac:dyDescent="0.2">
      <c r="FS531" s="101">
        <v>526</v>
      </c>
      <c r="FT531" s="101">
        <f t="shared" si="328"/>
        <v>41</v>
      </c>
      <c r="FU531" s="101">
        <f t="shared" si="344"/>
        <v>7</v>
      </c>
      <c r="FV531" s="14">
        <f t="shared" si="345"/>
        <v>4</v>
      </c>
      <c r="FW531" s="101" t="str">
        <f t="shared" si="329"/>
        <v>夏侯渊专属武器-魂珠-5 5级</v>
      </c>
      <c r="FX531" s="101">
        <f t="shared" si="330"/>
        <v>5</v>
      </c>
      <c r="FY531" s="101">
        <f t="shared" si="331"/>
        <v>5</v>
      </c>
      <c r="FZ531" s="101" t="str">
        <f t="shared" si="346"/>
        <v>金币</v>
      </c>
      <c r="GA531" s="139">
        <f>IF($FY531&gt;0,IF(INDEX($EM$6:$EM$77,$FT531)&gt;=GA$3,ROUND(INDEX(EO$6:EO$77,$FT531)*INDEX(卡牌消耗!$B$8:$F$8,FV531)/5,0)*5,""),"")</f>
        <v>2735</v>
      </c>
      <c r="GB531" s="101" t="str">
        <f t="shared" si="347"/>
        <v>专属强化石2</v>
      </c>
      <c r="GC531" s="101">
        <f t="shared" si="348"/>
        <v>5</v>
      </c>
      <c r="GD531" s="101" t="str">
        <f t="shared" si="349"/>
        <v>专属强化石3</v>
      </c>
      <c r="GE531" s="101">
        <f t="shared" si="350"/>
        <v>3</v>
      </c>
      <c r="GF531" s="101">
        <f t="shared" si="332"/>
        <v>0.04</v>
      </c>
      <c r="GG531" s="101">
        <f t="shared" si="333"/>
        <v>1</v>
      </c>
      <c r="GH531" s="101">
        <f t="shared" si="334"/>
        <v>40</v>
      </c>
      <c r="GI531" s="101">
        <f t="shared" si="335"/>
        <v>0</v>
      </c>
      <c r="GJ531" s="101">
        <f t="shared" si="336"/>
        <v>1</v>
      </c>
      <c r="GK531" s="101">
        <f t="shared" si="337"/>
        <v>9</v>
      </c>
      <c r="GL531" s="101">
        <f t="shared" si="338"/>
        <v>1.9E-2</v>
      </c>
      <c r="GM531" s="101">
        <f t="shared" si="339"/>
        <v>1</v>
      </c>
      <c r="GN531" s="101">
        <f t="shared" si="340"/>
        <v>18</v>
      </c>
      <c r="GO531" s="101">
        <f t="shared" si="341"/>
        <v>7.5899999999999995E-2</v>
      </c>
      <c r="GP531" s="101">
        <f t="shared" si="342"/>
        <v>1</v>
      </c>
      <c r="GQ531" s="101">
        <f t="shared" si="343"/>
        <v>40</v>
      </c>
    </row>
    <row r="532" spans="175:199" ht="16.5" x14ac:dyDescent="0.2">
      <c r="FS532" s="101">
        <v>527</v>
      </c>
      <c r="FT532" s="101">
        <f t="shared" si="328"/>
        <v>42</v>
      </c>
      <c r="FU532" s="101">
        <f t="shared" si="344"/>
        <v>7</v>
      </c>
      <c r="FV532" s="14">
        <f t="shared" si="345"/>
        <v>4</v>
      </c>
      <c r="FW532" s="101" t="str">
        <f t="shared" si="329"/>
        <v>夏侯渊专属武器-魂珠-5 6级</v>
      </c>
      <c r="FX532" s="101">
        <f t="shared" si="330"/>
        <v>5</v>
      </c>
      <c r="FY532" s="101">
        <f t="shared" si="331"/>
        <v>6</v>
      </c>
      <c r="FZ532" s="101" t="str">
        <f t="shared" si="346"/>
        <v>金币</v>
      </c>
      <c r="GA532" s="139">
        <f>IF($FY532&gt;0,IF(INDEX($EM$6:$EM$77,$FT532)&gt;=GA$3,ROUND(INDEX(EO$6:EO$77,$FT532)*INDEX(卡牌消耗!$B$8:$F$8,FV532)/5,0)*5,""),"")</f>
        <v>4530</v>
      </c>
      <c r="GB532" s="101" t="str">
        <f t="shared" si="347"/>
        <v>专属强化石2</v>
      </c>
      <c r="GC532" s="101">
        <f t="shared" si="348"/>
        <v>8</v>
      </c>
      <c r="GD532" s="101" t="str">
        <f t="shared" si="349"/>
        <v>专属强化石3</v>
      </c>
      <c r="GE532" s="101">
        <f t="shared" si="350"/>
        <v>5</v>
      </c>
      <c r="GF532" s="101">
        <f t="shared" si="332"/>
        <v>0.04</v>
      </c>
      <c r="GG532" s="101">
        <f t="shared" si="333"/>
        <v>1</v>
      </c>
      <c r="GH532" s="101">
        <f t="shared" si="334"/>
        <v>39</v>
      </c>
      <c r="GI532" s="101">
        <f t="shared" si="335"/>
        <v>0</v>
      </c>
      <c r="GJ532" s="101">
        <f t="shared" si="336"/>
        <v>1</v>
      </c>
      <c r="GK532" s="101">
        <f t="shared" si="337"/>
        <v>9</v>
      </c>
      <c r="GL532" s="101">
        <f t="shared" si="338"/>
        <v>1.95E-2</v>
      </c>
      <c r="GM532" s="101">
        <f t="shared" si="339"/>
        <v>1</v>
      </c>
      <c r="GN532" s="101">
        <f t="shared" si="340"/>
        <v>18</v>
      </c>
      <c r="GO532" s="101">
        <f t="shared" si="341"/>
        <v>7.7799999999999994E-2</v>
      </c>
      <c r="GP532" s="101">
        <f t="shared" si="342"/>
        <v>1</v>
      </c>
      <c r="GQ532" s="101">
        <f t="shared" si="343"/>
        <v>39</v>
      </c>
    </row>
    <row r="533" spans="175:199" ht="16.5" x14ac:dyDescent="0.2">
      <c r="FS533" s="101">
        <v>528</v>
      </c>
      <c r="FT533" s="101">
        <f t="shared" si="328"/>
        <v>43</v>
      </c>
      <c r="FU533" s="101">
        <f t="shared" si="344"/>
        <v>7</v>
      </c>
      <c r="FV533" s="14">
        <f t="shared" si="345"/>
        <v>4</v>
      </c>
      <c r="FW533" s="101" t="str">
        <f t="shared" si="329"/>
        <v>夏侯渊专属武器-魂珠-5 7级</v>
      </c>
      <c r="FX533" s="101">
        <f t="shared" si="330"/>
        <v>5</v>
      </c>
      <c r="FY533" s="101">
        <f t="shared" si="331"/>
        <v>7</v>
      </c>
      <c r="FZ533" s="101" t="str">
        <f t="shared" si="346"/>
        <v>金币</v>
      </c>
      <c r="GA533" s="139">
        <f>IF($FY533&gt;0,IF(INDEX($EM$6:$EM$77,$FT533)&gt;=GA$3,ROUND(INDEX(EO$6:EO$77,$FT533)*INDEX(卡牌消耗!$B$8:$F$8,FV533)/5,0)*5,""),"")</f>
        <v>4540</v>
      </c>
      <c r="GB533" s="101" t="str">
        <f t="shared" si="347"/>
        <v>专属强化石2</v>
      </c>
      <c r="GC533" s="101">
        <f t="shared" si="348"/>
        <v>8</v>
      </c>
      <c r="GD533" s="101" t="str">
        <f t="shared" si="349"/>
        <v>专属强化石3</v>
      </c>
      <c r="GE533" s="101">
        <f t="shared" si="350"/>
        <v>5</v>
      </c>
      <c r="GF533" s="101">
        <f t="shared" si="332"/>
        <v>0.02</v>
      </c>
      <c r="GG533" s="101">
        <f t="shared" si="333"/>
        <v>1</v>
      </c>
      <c r="GH533" s="101">
        <f t="shared" si="334"/>
        <v>62</v>
      </c>
      <c r="GI533" s="101">
        <f t="shared" si="335"/>
        <v>0</v>
      </c>
      <c r="GJ533" s="101">
        <f t="shared" si="336"/>
        <v>1</v>
      </c>
      <c r="GK533" s="101">
        <f t="shared" si="337"/>
        <v>15</v>
      </c>
      <c r="GL533" s="101">
        <f t="shared" si="338"/>
        <v>1.2E-2</v>
      </c>
      <c r="GM533" s="101">
        <f t="shared" si="339"/>
        <v>1</v>
      </c>
      <c r="GN533" s="101">
        <f t="shared" si="340"/>
        <v>29</v>
      </c>
      <c r="GO533" s="101">
        <f t="shared" si="341"/>
        <v>4.82E-2</v>
      </c>
      <c r="GP533" s="101">
        <f t="shared" si="342"/>
        <v>1</v>
      </c>
      <c r="GQ533" s="101">
        <f t="shared" si="343"/>
        <v>62</v>
      </c>
    </row>
    <row r="534" spans="175:199" ht="16.5" x14ac:dyDescent="0.2">
      <c r="FS534" s="101">
        <v>529</v>
      </c>
      <c r="FT534" s="101">
        <f t="shared" ref="FT534:FT597" si="351">IF(FY534&gt;0,(FX534-1)*9+FY534,0)</f>
        <v>44</v>
      </c>
      <c r="FU534" s="101">
        <f t="shared" si="344"/>
        <v>7</v>
      </c>
      <c r="FV534" s="14">
        <f t="shared" si="345"/>
        <v>4</v>
      </c>
      <c r="FW534" s="101" t="str">
        <f t="shared" ref="FW534:FW597" si="352">INDEX($FN$6:$FN$26,FU534)&amp;"专属武器-魂珠-"&amp;FX534&amp;" "&amp;FY534&amp;"级"</f>
        <v>夏侯渊专属武器-魂珠-5 8级</v>
      </c>
      <c r="FX534" s="101">
        <f t="shared" ref="FX534:FX597" si="353">INT((FS534-(FU534-1)*80-1)/10)+1</f>
        <v>5</v>
      </c>
      <c r="FY534" s="101">
        <f t="shared" ref="FY534:FY597" si="354">FS534-(FU534-1)*80-(FX534-1)*10-1</f>
        <v>8</v>
      </c>
      <c r="FZ534" s="101" t="str">
        <f t="shared" si="346"/>
        <v>金币</v>
      </c>
      <c r="GA534" s="139">
        <f>IF($FY534&gt;0,IF(INDEX($EM$6:$EM$77,$FT534)&gt;=GA$3,ROUND(INDEX(EO$6:EO$77,$FT534)*INDEX(卡牌消耗!$B$8:$F$8,FV534)/5,0)*5,""),"")</f>
        <v>6350</v>
      </c>
      <c r="GB534" s="101" t="str">
        <f t="shared" si="347"/>
        <v>专属强化石2</v>
      </c>
      <c r="GC534" s="101">
        <f t="shared" si="348"/>
        <v>11</v>
      </c>
      <c r="GD534" s="101" t="str">
        <f t="shared" si="349"/>
        <v>专属强化石3</v>
      </c>
      <c r="GE534" s="101">
        <f t="shared" si="350"/>
        <v>7</v>
      </c>
      <c r="GF534" s="101">
        <f t="shared" ref="GF534:GF597" si="355">IF($FY534&gt;0,INDEX(ET$6:ET$77,$FT534),"")</f>
        <v>0.02</v>
      </c>
      <c r="GG534" s="101">
        <f t="shared" ref="GG534:GG597" si="356">IF($FY534&gt;0,INDEX(EU$6:EU$77,$FT534),"")</f>
        <v>1</v>
      </c>
      <c r="GH534" s="101">
        <f t="shared" ref="GH534:GH597" si="357">IF($FY534&gt;0,INDEX(EV$6:EV$77,$FT534),"")</f>
        <v>72</v>
      </c>
      <c r="GI534" s="101">
        <f t="shared" ref="GI534:GI597" si="358">IF($FY534&gt;0,INDEX(FA$6:FA$77,$FT534),"")</f>
        <v>0</v>
      </c>
      <c r="GJ534" s="101">
        <f t="shared" ref="GJ534:GJ597" si="359">IF($FY534&gt;0,INDEX(FB$6:FB$77,$FT534),"")</f>
        <v>1</v>
      </c>
      <c r="GK534" s="101">
        <f t="shared" ref="GK534:GK597" si="360">IF($FY534&gt;0,INDEX(FC$6:FC$77,$FT534),"")</f>
        <v>17</v>
      </c>
      <c r="GL534" s="101">
        <f t="shared" ref="GL534:GL597" si="361">IF($FY534&gt;0,INDEX(FD$6:FD$77,$FT534),"")</f>
        <v>1.04E-2</v>
      </c>
      <c r="GM534" s="101">
        <f t="shared" ref="GM534:GM597" si="362">IF($FY534&gt;0,INDEX(FE$6:FE$77,$FT534),"")</f>
        <v>1</v>
      </c>
      <c r="GN534" s="101">
        <f t="shared" ref="GN534:GN597" si="363">IF($FY534&gt;0,INDEX(FF$6:FF$77,$FT534),"")</f>
        <v>34</v>
      </c>
      <c r="GO534" s="101">
        <f t="shared" ref="GO534:GO597" si="364">IF($FY534&gt;0,INDEX(FG$6:FG$77,$FT534),"")</f>
        <v>4.1700000000000001E-2</v>
      </c>
      <c r="GP534" s="101">
        <f t="shared" ref="GP534:GP597" si="365">IF($FY534&gt;0,INDEX(FH$6:FH$77,$FT534),"")</f>
        <v>1</v>
      </c>
      <c r="GQ534" s="101">
        <f t="shared" ref="GQ534:GQ597" si="366">IF($FY534&gt;0,INDEX(FI$6:FI$77,$FT534),"")</f>
        <v>72</v>
      </c>
    </row>
    <row r="535" spans="175:199" ht="16.5" x14ac:dyDescent="0.2">
      <c r="FS535" s="101">
        <v>530</v>
      </c>
      <c r="FT535" s="101">
        <f t="shared" si="351"/>
        <v>45</v>
      </c>
      <c r="FU535" s="101">
        <f t="shared" si="344"/>
        <v>7</v>
      </c>
      <c r="FV535" s="14">
        <f t="shared" si="345"/>
        <v>4</v>
      </c>
      <c r="FW535" s="101" t="str">
        <f t="shared" si="352"/>
        <v>夏侯渊专属武器-魂珠-5 9级</v>
      </c>
      <c r="FX535" s="101">
        <f t="shared" si="353"/>
        <v>5</v>
      </c>
      <c r="FY535" s="101">
        <f t="shared" si="354"/>
        <v>9</v>
      </c>
      <c r="FZ535" s="101" t="str">
        <f t="shared" si="346"/>
        <v>金币</v>
      </c>
      <c r="GA535" s="139">
        <f>IF($FY535&gt;0,IF(INDEX($EM$6:$EM$77,$FT535)&gt;=GA$3,ROUND(INDEX(EO$6:EO$77,$FT535)*INDEX(卡牌消耗!$B$8:$F$8,FV535)/5,0)*5,""),"")</f>
        <v>8170</v>
      </c>
      <c r="GB535" s="101" t="str">
        <f t="shared" si="347"/>
        <v>专属强化石2</v>
      </c>
      <c r="GC535" s="101">
        <f t="shared" si="348"/>
        <v>14</v>
      </c>
      <c r="GD535" s="101" t="str">
        <f t="shared" si="349"/>
        <v>专属强化石3</v>
      </c>
      <c r="GE535" s="101">
        <f t="shared" si="350"/>
        <v>9</v>
      </c>
      <c r="GF535" s="101">
        <f t="shared" si="355"/>
        <v>0.02</v>
      </c>
      <c r="GG535" s="101">
        <f t="shared" si="356"/>
        <v>1</v>
      </c>
      <c r="GH535" s="101">
        <f t="shared" si="357"/>
        <v>91</v>
      </c>
      <c r="GI535" s="101">
        <f t="shared" si="358"/>
        <v>0</v>
      </c>
      <c r="GJ535" s="101">
        <f t="shared" si="359"/>
        <v>1</v>
      </c>
      <c r="GK535" s="101">
        <f t="shared" si="360"/>
        <v>21</v>
      </c>
      <c r="GL535" s="101">
        <f t="shared" si="361"/>
        <v>8.3000000000000001E-3</v>
      </c>
      <c r="GM535" s="101">
        <f t="shared" si="362"/>
        <v>1</v>
      </c>
      <c r="GN535" s="101">
        <f t="shared" si="363"/>
        <v>42</v>
      </c>
      <c r="GO535" s="101">
        <f t="shared" si="364"/>
        <v>3.3099999999999997E-2</v>
      </c>
      <c r="GP535" s="101">
        <f t="shared" si="365"/>
        <v>1</v>
      </c>
      <c r="GQ535" s="101">
        <f t="shared" si="366"/>
        <v>91</v>
      </c>
    </row>
    <row r="536" spans="175:199" ht="16.5" x14ac:dyDescent="0.2">
      <c r="FS536" s="101">
        <v>531</v>
      </c>
      <c r="FT536" s="101">
        <f t="shared" si="351"/>
        <v>0</v>
      </c>
      <c r="FU536" s="101">
        <f t="shared" si="344"/>
        <v>7</v>
      </c>
      <c r="FV536" s="14">
        <f t="shared" si="345"/>
        <v>4</v>
      </c>
      <c r="FW536" s="101" t="str">
        <f t="shared" si="352"/>
        <v>夏侯渊专属武器-魂珠-6 0级</v>
      </c>
      <c r="FX536" s="101">
        <f t="shared" si="353"/>
        <v>6</v>
      </c>
      <c r="FY536" s="101">
        <f t="shared" si="354"/>
        <v>0</v>
      </c>
      <c r="FZ536" s="101" t="str">
        <f t="shared" si="346"/>
        <v/>
      </c>
      <c r="GA536" s="139" t="str">
        <f>IF($FY536&gt;0,IF(INDEX($EM$6:$EM$77,$FT536)&gt;=GA$3,ROUND(INDEX(EO$6:EO$77,$FT536)*INDEX(卡牌消耗!$B$8:$F$8,FV536)/5,0)*5,""),"")</f>
        <v/>
      </c>
      <c r="GB536" s="101" t="str">
        <f t="shared" si="347"/>
        <v/>
      </c>
      <c r="GC536" s="101" t="str">
        <f t="shared" si="348"/>
        <v/>
      </c>
      <c r="GD536" s="101" t="str">
        <f t="shared" si="349"/>
        <v/>
      </c>
      <c r="GE536" s="101" t="str">
        <f t="shared" si="350"/>
        <v/>
      </c>
      <c r="GF536" s="101" t="str">
        <f t="shared" si="355"/>
        <v/>
      </c>
      <c r="GG536" s="101" t="str">
        <f t="shared" si="356"/>
        <v/>
      </c>
      <c r="GH536" s="101" t="str">
        <f t="shared" si="357"/>
        <v/>
      </c>
      <c r="GI536" s="101" t="str">
        <f t="shared" si="358"/>
        <v/>
      </c>
      <c r="GJ536" s="101" t="str">
        <f t="shared" si="359"/>
        <v/>
      </c>
      <c r="GK536" s="101" t="str">
        <f t="shared" si="360"/>
        <v/>
      </c>
      <c r="GL536" s="101" t="str">
        <f t="shared" si="361"/>
        <v/>
      </c>
      <c r="GM536" s="101" t="str">
        <f t="shared" si="362"/>
        <v/>
      </c>
      <c r="GN536" s="101" t="str">
        <f t="shared" si="363"/>
        <v/>
      </c>
      <c r="GO536" s="101" t="str">
        <f t="shared" si="364"/>
        <v/>
      </c>
      <c r="GP536" s="101" t="str">
        <f t="shared" si="365"/>
        <v/>
      </c>
      <c r="GQ536" s="101" t="str">
        <f t="shared" si="366"/>
        <v/>
      </c>
    </row>
    <row r="537" spans="175:199" ht="16.5" x14ac:dyDescent="0.2">
      <c r="FS537" s="101">
        <v>532</v>
      </c>
      <c r="FT537" s="101">
        <f t="shared" si="351"/>
        <v>46</v>
      </c>
      <c r="FU537" s="101">
        <f t="shared" si="344"/>
        <v>7</v>
      </c>
      <c r="FV537" s="14">
        <f t="shared" si="345"/>
        <v>4</v>
      </c>
      <c r="FW537" s="101" t="str">
        <f t="shared" si="352"/>
        <v>夏侯渊专属武器-魂珠-6 1级</v>
      </c>
      <c r="FX537" s="101">
        <f t="shared" si="353"/>
        <v>6</v>
      </c>
      <c r="FY537" s="101">
        <f t="shared" si="354"/>
        <v>1</v>
      </c>
      <c r="FZ537" s="101" t="str">
        <f t="shared" si="346"/>
        <v>金币</v>
      </c>
      <c r="GA537" s="139">
        <f>IF($FY537&gt;0,IF(INDEX($EM$6:$EM$77,$FT537)&gt;=GA$3,ROUND(INDEX(EO$6:EO$77,$FT537)*INDEX(卡牌消耗!$B$8:$F$8,FV537)/5,0)*5,""),"")</f>
        <v>2180</v>
      </c>
      <c r="GB537" s="101" t="str">
        <f t="shared" si="347"/>
        <v>专属强化石3</v>
      </c>
      <c r="GC537" s="101">
        <f t="shared" si="348"/>
        <v>5</v>
      </c>
      <c r="GD537" s="101" t="str">
        <f t="shared" si="349"/>
        <v>专属强化石4</v>
      </c>
      <c r="GE537" s="101">
        <f t="shared" si="350"/>
        <v>1</v>
      </c>
      <c r="GF537" s="101">
        <f t="shared" si="355"/>
        <v>0.17</v>
      </c>
      <c r="GG537" s="101">
        <f t="shared" si="356"/>
        <v>1</v>
      </c>
      <c r="GH537" s="101">
        <f t="shared" si="357"/>
        <v>9</v>
      </c>
      <c r="GI537" s="101">
        <f t="shared" si="358"/>
        <v>0</v>
      </c>
      <c r="GJ537" s="101">
        <f t="shared" si="359"/>
        <v>1</v>
      </c>
      <c r="GK537" s="101">
        <f t="shared" si="360"/>
        <v>2</v>
      </c>
      <c r="GL537" s="101">
        <f t="shared" si="361"/>
        <v>8.2900000000000001E-2</v>
      </c>
      <c r="GM537" s="101">
        <f t="shared" si="362"/>
        <v>1</v>
      </c>
      <c r="GN537" s="101">
        <f t="shared" si="363"/>
        <v>4</v>
      </c>
      <c r="GO537" s="101">
        <f t="shared" si="364"/>
        <v>0.33139999999999997</v>
      </c>
      <c r="GP537" s="101">
        <f t="shared" si="365"/>
        <v>1</v>
      </c>
      <c r="GQ537" s="101">
        <f t="shared" si="366"/>
        <v>9</v>
      </c>
    </row>
    <row r="538" spans="175:199" ht="16.5" x14ac:dyDescent="0.2">
      <c r="FS538" s="101">
        <v>533</v>
      </c>
      <c r="FT538" s="101">
        <f t="shared" si="351"/>
        <v>47</v>
      </c>
      <c r="FU538" s="101">
        <f t="shared" si="344"/>
        <v>7</v>
      </c>
      <c r="FV538" s="14">
        <f t="shared" si="345"/>
        <v>4</v>
      </c>
      <c r="FW538" s="101" t="str">
        <f t="shared" si="352"/>
        <v>夏侯渊专属武器-魂珠-6 2级</v>
      </c>
      <c r="FX538" s="101">
        <f t="shared" si="353"/>
        <v>6</v>
      </c>
      <c r="FY538" s="101">
        <f t="shared" si="354"/>
        <v>2</v>
      </c>
      <c r="FZ538" s="101" t="str">
        <f t="shared" si="346"/>
        <v>金币</v>
      </c>
      <c r="GA538" s="139">
        <f>IF($FY538&gt;0,IF(INDEX($EM$6:$EM$77,$FT538)&gt;=GA$3,ROUND(INDEX(EO$6:EO$77,$FT538)*INDEX(卡牌消耗!$B$8:$F$8,FV538)/5,0)*5,""),"")</f>
        <v>3270</v>
      </c>
      <c r="GB538" s="101" t="str">
        <f t="shared" si="347"/>
        <v>专属强化石3</v>
      </c>
      <c r="GC538" s="101">
        <f t="shared" si="348"/>
        <v>10</v>
      </c>
      <c r="GD538" s="101" t="str">
        <f t="shared" si="349"/>
        <v>专属强化石4</v>
      </c>
      <c r="GE538" s="101">
        <f t="shared" si="350"/>
        <v>2</v>
      </c>
      <c r="GF538" s="101">
        <f t="shared" si="355"/>
        <v>0.17</v>
      </c>
      <c r="GG538" s="101">
        <f t="shared" si="356"/>
        <v>1</v>
      </c>
      <c r="GH538" s="101">
        <f t="shared" si="357"/>
        <v>9</v>
      </c>
      <c r="GI538" s="101">
        <f t="shared" si="358"/>
        <v>0</v>
      </c>
      <c r="GJ538" s="101">
        <f t="shared" si="359"/>
        <v>1</v>
      </c>
      <c r="GK538" s="101">
        <f t="shared" si="360"/>
        <v>2</v>
      </c>
      <c r="GL538" s="101">
        <f t="shared" si="361"/>
        <v>8.2900000000000001E-2</v>
      </c>
      <c r="GM538" s="101">
        <f t="shared" si="362"/>
        <v>1</v>
      </c>
      <c r="GN538" s="101">
        <f t="shared" si="363"/>
        <v>4</v>
      </c>
      <c r="GO538" s="101">
        <f t="shared" si="364"/>
        <v>0.33139999999999997</v>
      </c>
      <c r="GP538" s="101">
        <f t="shared" si="365"/>
        <v>1</v>
      </c>
      <c r="GQ538" s="101">
        <f t="shared" si="366"/>
        <v>9</v>
      </c>
    </row>
    <row r="539" spans="175:199" ht="16.5" x14ac:dyDescent="0.2">
      <c r="FS539" s="101">
        <v>534</v>
      </c>
      <c r="FT539" s="101">
        <f t="shared" si="351"/>
        <v>48</v>
      </c>
      <c r="FU539" s="101">
        <f t="shared" si="344"/>
        <v>7</v>
      </c>
      <c r="FV539" s="14">
        <f t="shared" si="345"/>
        <v>4</v>
      </c>
      <c r="FW539" s="101" t="str">
        <f t="shared" si="352"/>
        <v>夏侯渊专属武器-魂珠-6 3级</v>
      </c>
      <c r="FX539" s="101">
        <f t="shared" si="353"/>
        <v>6</v>
      </c>
      <c r="FY539" s="101">
        <f t="shared" si="354"/>
        <v>3</v>
      </c>
      <c r="FZ539" s="101" t="str">
        <f t="shared" si="346"/>
        <v>金币</v>
      </c>
      <c r="GA539" s="139">
        <f>IF($FY539&gt;0,IF(INDEX($EM$6:$EM$77,$FT539)&gt;=GA$3,ROUND(INDEX(EO$6:EO$77,$FT539)*INDEX(卡牌消耗!$B$8:$F$8,FV539)/5,0)*5,""),"")</f>
        <v>3635</v>
      </c>
      <c r="GB539" s="101" t="str">
        <f t="shared" si="347"/>
        <v>专属强化石3</v>
      </c>
      <c r="GC539" s="101">
        <f t="shared" si="348"/>
        <v>10</v>
      </c>
      <c r="GD539" s="101" t="str">
        <f t="shared" si="349"/>
        <v>专属强化石4</v>
      </c>
      <c r="GE539" s="101">
        <f t="shared" si="350"/>
        <v>2</v>
      </c>
      <c r="GF539" s="101">
        <f t="shared" si="355"/>
        <v>0.11</v>
      </c>
      <c r="GG539" s="101">
        <f t="shared" si="356"/>
        <v>1</v>
      </c>
      <c r="GH539" s="101">
        <f t="shared" si="357"/>
        <v>14</v>
      </c>
      <c r="GI539" s="101">
        <f t="shared" si="358"/>
        <v>0</v>
      </c>
      <c r="GJ539" s="101">
        <f t="shared" si="359"/>
        <v>1</v>
      </c>
      <c r="GK539" s="101">
        <f t="shared" si="360"/>
        <v>3</v>
      </c>
      <c r="GL539" s="101">
        <f t="shared" si="361"/>
        <v>5.5199999999999999E-2</v>
      </c>
      <c r="GM539" s="101">
        <f t="shared" si="362"/>
        <v>1</v>
      </c>
      <c r="GN539" s="101">
        <f t="shared" si="363"/>
        <v>6</v>
      </c>
      <c r="GO539" s="101">
        <f t="shared" si="364"/>
        <v>0.221</v>
      </c>
      <c r="GP539" s="101">
        <f t="shared" si="365"/>
        <v>1</v>
      </c>
      <c r="GQ539" s="101">
        <f t="shared" si="366"/>
        <v>14</v>
      </c>
    </row>
    <row r="540" spans="175:199" ht="16.5" x14ac:dyDescent="0.2">
      <c r="FS540" s="101">
        <v>535</v>
      </c>
      <c r="FT540" s="101">
        <f t="shared" si="351"/>
        <v>49</v>
      </c>
      <c r="FU540" s="101">
        <f t="shared" si="344"/>
        <v>7</v>
      </c>
      <c r="FV540" s="14">
        <f t="shared" si="345"/>
        <v>4</v>
      </c>
      <c r="FW540" s="101" t="str">
        <f t="shared" si="352"/>
        <v>夏侯渊专属武器-魂珠-6 4级</v>
      </c>
      <c r="FX540" s="101">
        <f t="shared" si="353"/>
        <v>6</v>
      </c>
      <c r="FY540" s="101">
        <f t="shared" si="354"/>
        <v>4</v>
      </c>
      <c r="FZ540" s="101" t="str">
        <f t="shared" si="346"/>
        <v>金币</v>
      </c>
      <c r="GA540" s="139">
        <f>IF($FY540&gt;0,IF(INDEX($EM$6:$EM$77,$FT540)&gt;=GA$3,ROUND(INDEX(EO$6:EO$77,$FT540)*INDEX(卡牌消耗!$B$8:$F$8,FV540)/5,0)*5,""),"")</f>
        <v>5235</v>
      </c>
      <c r="GB540" s="101" t="str">
        <f t="shared" si="347"/>
        <v>专属强化石3</v>
      </c>
      <c r="GC540" s="101">
        <f t="shared" si="348"/>
        <v>15</v>
      </c>
      <c r="GD540" s="101" t="str">
        <f t="shared" si="349"/>
        <v>专属强化石4</v>
      </c>
      <c r="GE540" s="101">
        <f t="shared" si="350"/>
        <v>3</v>
      </c>
      <c r="GF540" s="101">
        <f t="shared" si="355"/>
        <v>0.1</v>
      </c>
      <c r="GG540" s="101">
        <f t="shared" si="356"/>
        <v>1</v>
      </c>
      <c r="GH540" s="101">
        <f t="shared" si="357"/>
        <v>15</v>
      </c>
      <c r="GI540" s="101">
        <f t="shared" si="358"/>
        <v>0</v>
      </c>
      <c r="GJ540" s="101">
        <f t="shared" si="359"/>
        <v>1</v>
      </c>
      <c r="GK540" s="101">
        <f t="shared" si="360"/>
        <v>4</v>
      </c>
      <c r="GL540" s="101">
        <f t="shared" si="361"/>
        <v>4.9700000000000001E-2</v>
      </c>
      <c r="GM540" s="101">
        <f t="shared" si="362"/>
        <v>1</v>
      </c>
      <c r="GN540" s="101">
        <f t="shared" si="363"/>
        <v>7</v>
      </c>
      <c r="GO540" s="101">
        <f t="shared" si="364"/>
        <v>0.19889999999999999</v>
      </c>
      <c r="GP540" s="101">
        <f t="shared" si="365"/>
        <v>1</v>
      </c>
      <c r="GQ540" s="101">
        <f t="shared" si="366"/>
        <v>15</v>
      </c>
    </row>
    <row r="541" spans="175:199" ht="16.5" x14ac:dyDescent="0.2">
      <c r="FS541" s="101">
        <v>536</v>
      </c>
      <c r="FT541" s="101">
        <f t="shared" si="351"/>
        <v>50</v>
      </c>
      <c r="FU541" s="101">
        <f t="shared" si="344"/>
        <v>7</v>
      </c>
      <c r="FV541" s="14">
        <f t="shared" si="345"/>
        <v>4</v>
      </c>
      <c r="FW541" s="101" t="str">
        <f t="shared" si="352"/>
        <v>夏侯渊专属武器-魂珠-6 5级</v>
      </c>
      <c r="FX541" s="101">
        <f t="shared" si="353"/>
        <v>6</v>
      </c>
      <c r="FY541" s="101">
        <f t="shared" si="354"/>
        <v>5</v>
      </c>
      <c r="FZ541" s="101" t="str">
        <f t="shared" si="346"/>
        <v>金币</v>
      </c>
      <c r="GA541" s="139">
        <f>IF($FY541&gt;0,IF(INDEX($EM$6:$EM$77,$FT541)&gt;=GA$3,ROUND(INDEX(EO$6:EO$77,$FT541)*INDEX(卡牌消耗!$B$8:$F$8,FV541)/5,0)*5,""),"")</f>
        <v>5315</v>
      </c>
      <c r="GB541" s="101" t="str">
        <f t="shared" si="347"/>
        <v>专属强化石3</v>
      </c>
      <c r="GC541" s="101">
        <f t="shared" si="348"/>
        <v>15</v>
      </c>
      <c r="GD541" s="101" t="str">
        <f t="shared" si="349"/>
        <v>专属强化石4</v>
      </c>
      <c r="GE541" s="101">
        <f t="shared" si="350"/>
        <v>3</v>
      </c>
      <c r="GF541" s="101">
        <f t="shared" si="355"/>
        <v>0.06</v>
      </c>
      <c r="GG541" s="101">
        <f t="shared" si="356"/>
        <v>1</v>
      </c>
      <c r="GH541" s="101">
        <f t="shared" si="357"/>
        <v>24</v>
      </c>
      <c r="GI541" s="101">
        <f t="shared" si="358"/>
        <v>0</v>
      </c>
      <c r="GJ541" s="101">
        <f t="shared" si="359"/>
        <v>1</v>
      </c>
      <c r="GK541" s="101">
        <f t="shared" si="360"/>
        <v>6</v>
      </c>
      <c r="GL541" s="101">
        <f t="shared" si="361"/>
        <v>3.1099999999999999E-2</v>
      </c>
      <c r="GM541" s="101">
        <f t="shared" si="362"/>
        <v>1</v>
      </c>
      <c r="GN541" s="101">
        <f t="shared" si="363"/>
        <v>11</v>
      </c>
      <c r="GO541" s="101">
        <f t="shared" si="364"/>
        <v>0.12429999999999999</v>
      </c>
      <c r="GP541" s="101">
        <f t="shared" si="365"/>
        <v>1</v>
      </c>
      <c r="GQ541" s="101">
        <f t="shared" si="366"/>
        <v>24</v>
      </c>
    </row>
    <row r="542" spans="175:199" ht="16.5" x14ac:dyDescent="0.2">
      <c r="FS542" s="101">
        <v>537</v>
      </c>
      <c r="FT542" s="101">
        <f t="shared" si="351"/>
        <v>51</v>
      </c>
      <c r="FU542" s="101">
        <f t="shared" si="344"/>
        <v>7</v>
      </c>
      <c r="FV542" s="14">
        <f t="shared" si="345"/>
        <v>4</v>
      </c>
      <c r="FW542" s="101" t="str">
        <f t="shared" si="352"/>
        <v>夏侯渊专属武器-魂珠-6 6级</v>
      </c>
      <c r="FX542" s="101">
        <f t="shared" si="353"/>
        <v>6</v>
      </c>
      <c r="FY542" s="101">
        <f t="shared" si="354"/>
        <v>6</v>
      </c>
      <c r="FZ542" s="101" t="str">
        <f t="shared" si="346"/>
        <v>金币</v>
      </c>
      <c r="GA542" s="139">
        <f>IF($FY542&gt;0,IF(INDEX($EM$6:$EM$77,$FT542)&gt;=GA$3,ROUND(INDEX(EO$6:EO$77,$FT542)*INDEX(卡牌消耗!$B$8:$F$8,FV542)/5,0)*5,""),"")</f>
        <v>7045</v>
      </c>
      <c r="GB542" s="101" t="str">
        <f t="shared" si="347"/>
        <v>专属强化石3</v>
      </c>
      <c r="GC542" s="101">
        <f t="shared" si="348"/>
        <v>20</v>
      </c>
      <c r="GD542" s="101" t="str">
        <f t="shared" si="349"/>
        <v>专属强化石4</v>
      </c>
      <c r="GE542" s="101">
        <f t="shared" si="350"/>
        <v>4</v>
      </c>
      <c r="GF542" s="101">
        <f t="shared" si="355"/>
        <v>0.05</v>
      </c>
      <c r="GG542" s="101">
        <f t="shared" si="356"/>
        <v>1</v>
      </c>
      <c r="GH542" s="101">
        <f t="shared" si="357"/>
        <v>29</v>
      </c>
      <c r="GI542" s="101">
        <f t="shared" si="358"/>
        <v>0</v>
      </c>
      <c r="GJ542" s="101">
        <f t="shared" si="359"/>
        <v>1</v>
      </c>
      <c r="GK542" s="101">
        <f t="shared" si="360"/>
        <v>7</v>
      </c>
      <c r="GL542" s="101">
        <f t="shared" si="361"/>
        <v>2.5499999999999998E-2</v>
      </c>
      <c r="GM542" s="101">
        <f t="shared" si="362"/>
        <v>1</v>
      </c>
      <c r="GN542" s="101">
        <f t="shared" si="363"/>
        <v>14</v>
      </c>
      <c r="GO542" s="101">
        <f t="shared" si="364"/>
        <v>0.10199999999999999</v>
      </c>
      <c r="GP542" s="101">
        <f t="shared" si="365"/>
        <v>1</v>
      </c>
      <c r="GQ542" s="101">
        <f t="shared" si="366"/>
        <v>29</v>
      </c>
    </row>
    <row r="543" spans="175:199" ht="16.5" x14ac:dyDescent="0.2">
      <c r="FS543" s="101">
        <v>538</v>
      </c>
      <c r="FT543" s="101">
        <f t="shared" si="351"/>
        <v>52</v>
      </c>
      <c r="FU543" s="101">
        <f t="shared" si="344"/>
        <v>7</v>
      </c>
      <c r="FV543" s="14">
        <f t="shared" si="345"/>
        <v>4</v>
      </c>
      <c r="FW543" s="101" t="str">
        <f t="shared" si="352"/>
        <v>夏侯渊专属武器-魂珠-6 7级</v>
      </c>
      <c r="FX543" s="101">
        <f t="shared" si="353"/>
        <v>6</v>
      </c>
      <c r="FY543" s="101">
        <f t="shared" si="354"/>
        <v>7</v>
      </c>
      <c r="FZ543" s="101" t="str">
        <f t="shared" si="346"/>
        <v>金币</v>
      </c>
      <c r="GA543" s="139">
        <f>IF($FY543&gt;0,IF(INDEX($EM$6:$EM$77,$FT543)&gt;=GA$3,ROUND(INDEX(EO$6:EO$77,$FT543)*INDEX(卡牌消耗!$B$8:$F$8,FV543)/5,0)*5,""),"")</f>
        <v>8830</v>
      </c>
      <c r="GB543" s="101" t="str">
        <f t="shared" si="347"/>
        <v>专属强化石3</v>
      </c>
      <c r="GC543" s="101">
        <f t="shared" si="348"/>
        <v>25</v>
      </c>
      <c r="GD543" s="101" t="str">
        <f t="shared" si="349"/>
        <v>专属强化石4</v>
      </c>
      <c r="GE543" s="101">
        <f t="shared" si="350"/>
        <v>5</v>
      </c>
      <c r="GF543" s="101">
        <f t="shared" si="355"/>
        <v>0.04</v>
      </c>
      <c r="GG543" s="101">
        <f t="shared" si="356"/>
        <v>1</v>
      </c>
      <c r="GH543" s="101">
        <f t="shared" si="357"/>
        <v>38</v>
      </c>
      <c r="GI543" s="101">
        <f t="shared" si="358"/>
        <v>0</v>
      </c>
      <c r="GJ543" s="101">
        <f t="shared" si="359"/>
        <v>1</v>
      </c>
      <c r="GK543" s="101">
        <f t="shared" si="360"/>
        <v>9</v>
      </c>
      <c r="GL543" s="101">
        <f t="shared" si="361"/>
        <v>1.9699999999999999E-2</v>
      </c>
      <c r="GM543" s="101">
        <f t="shared" si="362"/>
        <v>1</v>
      </c>
      <c r="GN543" s="101">
        <f t="shared" si="363"/>
        <v>18</v>
      </c>
      <c r="GO543" s="101">
        <f t="shared" si="364"/>
        <v>7.8899999999999998E-2</v>
      </c>
      <c r="GP543" s="101">
        <f t="shared" si="365"/>
        <v>1</v>
      </c>
      <c r="GQ543" s="101">
        <f t="shared" si="366"/>
        <v>38</v>
      </c>
    </row>
    <row r="544" spans="175:199" ht="16.5" x14ac:dyDescent="0.2">
      <c r="FS544" s="101">
        <v>539</v>
      </c>
      <c r="FT544" s="101">
        <f t="shared" si="351"/>
        <v>53</v>
      </c>
      <c r="FU544" s="101">
        <f t="shared" si="344"/>
        <v>7</v>
      </c>
      <c r="FV544" s="14">
        <f t="shared" si="345"/>
        <v>4</v>
      </c>
      <c r="FW544" s="101" t="str">
        <f t="shared" si="352"/>
        <v>夏侯渊专属武器-魂珠-6 8级</v>
      </c>
      <c r="FX544" s="101">
        <f t="shared" si="353"/>
        <v>6</v>
      </c>
      <c r="FY544" s="101">
        <f t="shared" si="354"/>
        <v>8</v>
      </c>
      <c r="FZ544" s="101" t="str">
        <f t="shared" si="346"/>
        <v>金币</v>
      </c>
      <c r="GA544" s="139">
        <f>IF($FY544&gt;0,IF(INDEX($EM$6:$EM$77,$FT544)&gt;=GA$3,ROUND(INDEX(EO$6:EO$77,$FT544)*INDEX(卡牌消耗!$B$8:$F$8,FV544)/5,0)*5,""),"")</f>
        <v>12350</v>
      </c>
      <c r="GB544" s="101" t="str">
        <f t="shared" si="347"/>
        <v>专属强化石3</v>
      </c>
      <c r="GC544" s="101">
        <f t="shared" si="348"/>
        <v>35</v>
      </c>
      <c r="GD544" s="101" t="str">
        <f t="shared" si="349"/>
        <v>专属强化石4</v>
      </c>
      <c r="GE544" s="101">
        <f t="shared" si="350"/>
        <v>7</v>
      </c>
      <c r="GF544" s="101">
        <f t="shared" si="355"/>
        <v>0.03</v>
      </c>
      <c r="GG544" s="101">
        <f t="shared" si="356"/>
        <v>1</v>
      </c>
      <c r="GH544" s="101">
        <f t="shared" si="357"/>
        <v>44</v>
      </c>
      <c r="GI544" s="101">
        <f t="shared" si="358"/>
        <v>0</v>
      </c>
      <c r="GJ544" s="101">
        <f t="shared" si="359"/>
        <v>1</v>
      </c>
      <c r="GK544" s="101">
        <f t="shared" si="360"/>
        <v>10</v>
      </c>
      <c r="GL544" s="101">
        <f t="shared" si="361"/>
        <v>1.7100000000000001E-2</v>
      </c>
      <c r="GM544" s="101">
        <f t="shared" si="362"/>
        <v>1</v>
      </c>
      <c r="GN544" s="101">
        <f t="shared" si="363"/>
        <v>21</v>
      </c>
      <c r="GO544" s="101">
        <f t="shared" si="364"/>
        <v>6.8199999999999997E-2</v>
      </c>
      <c r="GP544" s="101">
        <f t="shared" si="365"/>
        <v>1</v>
      </c>
      <c r="GQ544" s="101">
        <f t="shared" si="366"/>
        <v>44</v>
      </c>
    </row>
    <row r="545" spans="175:199" ht="16.5" x14ac:dyDescent="0.2">
      <c r="FS545" s="101">
        <v>540</v>
      </c>
      <c r="FT545" s="101">
        <f t="shared" si="351"/>
        <v>54</v>
      </c>
      <c r="FU545" s="101">
        <f t="shared" si="344"/>
        <v>7</v>
      </c>
      <c r="FV545" s="14">
        <f t="shared" si="345"/>
        <v>4</v>
      </c>
      <c r="FW545" s="101" t="str">
        <f t="shared" si="352"/>
        <v>夏侯渊专属武器-魂珠-6 9级</v>
      </c>
      <c r="FX545" s="101">
        <f t="shared" si="353"/>
        <v>6</v>
      </c>
      <c r="FY545" s="101">
        <f t="shared" si="354"/>
        <v>9</v>
      </c>
      <c r="FZ545" s="101" t="str">
        <f t="shared" si="346"/>
        <v>金币</v>
      </c>
      <c r="GA545" s="139">
        <f>IF($FY545&gt;0,IF(INDEX($EM$6:$EM$77,$FT545)&gt;=GA$3,ROUND(INDEX(EO$6:EO$77,$FT545)*INDEX(卡牌消耗!$B$8:$F$8,FV545)/5,0)*5,""),"")</f>
        <v>14120</v>
      </c>
      <c r="GB545" s="101" t="str">
        <f t="shared" si="347"/>
        <v>专属强化石3</v>
      </c>
      <c r="GC545" s="101">
        <f t="shared" si="348"/>
        <v>40</v>
      </c>
      <c r="GD545" s="101" t="str">
        <f t="shared" si="349"/>
        <v>专属强化石4</v>
      </c>
      <c r="GE545" s="101">
        <f t="shared" si="350"/>
        <v>8</v>
      </c>
      <c r="GF545" s="101">
        <f t="shared" si="355"/>
        <v>0.02</v>
      </c>
      <c r="GG545" s="101">
        <f t="shared" si="356"/>
        <v>1</v>
      </c>
      <c r="GH545" s="101">
        <f t="shared" si="357"/>
        <v>62</v>
      </c>
      <c r="GI545" s="101">
        <f t="shared" si="358"/>
        <v>0</v>
      </c>
      <c r="GJ545" s="101">
        <f t="shared" si="359"/>
        <v>1</v>
      </c>
      <c r="GK545" s="101">
        <f t="shared" si="360"/>
        <v>15</v>
      </c>
      <c r="GL545" s="101">
        <f t="shared" si="361"/>
        <v>1.21E-2</v>
      </c>
      <c r="GM545" s="101">
        <f t="shared" si="362"/>
        <v>1</v>
      </c>
      <c r="GN545" s="101">
        <f t="shared" si="363"/>
        <v>29</v>
      </c>
      <c r="GO545" s="101">
        <f t="shared" si="364"/>
        <v>4.82E-2</v>
      </c>
      <c r="GP545" s="101">
        <f t="shared" si="365"/>
        <v>1</v>
      </c>
      <c r="GQ545" s="101">
        <f t="shared" si="366"/>
        <v>62</v>
      </c>
    </row>
    <row r="546" spans="175:199" ht="16.5" x14ac:dyDescent="0.2">
      <c r="FS546" s="101">
        <v>541</v>
      </c>
      <c r="FT546" s="101">
        <f t="shared" si="351"/>
        <v>0</v>
      </c>
      <c r="FU546" s="101">
        <f t="shared" si="344"/>
        <v>7</v>
      </c>
      <c r="FV546" s="14">
        <f t="shared" si="345"/>
        <v>4</v>
      </c>
      <c r="FW546" s="101" t="str">
        <f t="shared" si="352"/>
        <v>夏侯渊专属武器-魂珠-7 0级</v>
      </c>
      <c r="FX546" s="101">
        <f t="shared" si="353"/>
        <v>7</v>
      </c>
      <c r="FY546" s="101">
        <f t="shared" si="354"/>
        <v>0</v>
      </c>
      <c r="FZ546" s="101" t="str">
        <f t="shared" si="346"/>
        <v/>
      </c>
      <c r="GA546" s="139" t="str">
        <f>IF($FY546&gt;0,IF(INDEX($EM$6:$EM$77,$FT546)&gt;=GA$3,ROUND(INDEX(EO$6:EO$77,$FT546)*INDEX(卡牌消耗!$B$8:$F$8,FV546)/5,0)*5,""),"")</f>
        <v/>
      </c>
      <c r="GB546" s="101" t="str">
        <f t="shared" si="347"/>
        <v/>
      </c>
      <c r="GC546" s="101" t="str">
        <f t="shared" si="348"/>
        <v/>
      </c>
      <c r="GD546" s="101" t="str">
        <f t="shared" si="349"/>
        <v/>
      </c>
      <c r="GE546" s="101" t="str">
        <f t="shared" si="350"/>
        <v/>
      </c>
      <c r="GF546" s="101" t="str">
        <f t="shared" si="355"/>
        <v/>
      </c>
      <c r="GG546" s="101" t="str">
        <f t="shared" si="356"/>
        <v/>
      </c>
      <c r="GH546" s="101" t="str">
        <f t="shared" si="357"/>
        <v/>
      </c>
      <c r="GI546" s="101" t="str">
        <f t="shared" si="358"/>
        <v/>
      </c>
      <c r="GJ546" s="101" t="str">
        <f t="shared" si="359"/>
        <v/>
      </c>
      <c r="GK546" s="101" t="str">
        <f t="shared" si="360"/>
        <v/>
      </c>
      <c r="GL546" s="101" t="str">
        <f t="shared" si="361"/>
        <v/>
      </c>
      <c r="GM546" s="101" t="str">
        <f t="shared" si="362"/>
        <v/>
      </c>
      <c r="GN546" s="101" t="str">
        <f t="shared" si="363"/>
        <v/>
      </c>
      <c r="GO546" s="101" t="str">
        <f t="shared" si="364"/>
        <v/>
      </c>
      <c r="GP546" s="101" t="str">
        <f t="shared" si="365"/>
        <v/>
      </c>
      <c r="GQ546" s="101" t="str">
        <f t="shared" si="366"/>
        <v/>
      </c>
    </row>
    <row r="547" spans="175:199" ht="16.5" x14ac:dyDescent="0.2">
      <c r="FS547" s="101">
        <v>542</v>
      </c>
      <c r="FT547" s="101">
        <f t="shared" si="351"/>
        <v>55</v>
      </c>
      <c r="FU547" s="101">
        <f t="shared" si="344"/>
        <v>7</v>
      </c>
      <c r="FV547" s="14">
        <f t="shared" si="345"/>
        <v>4</v>
      </c>
      <c r="FW547" s="101" t="str">
        <f t="shared" si="352"/>
        <v>夏侯渊专属武器-魂珠-7 1级</v>
      </c>
      <c r="FX547" s="101">
        <f t="shared" si="353"/>
        <v>7</v>
      </c>
      <c r="FY547" s="101">
        <f t="shared" si="354"/>
        <v>1</v>
      </c>
      <c r="FZ547" s="101" t="str">
        <f t="shared" si="346"/>
        <v>金币</v>
      </c>
      <c r="GA547" s="139">
        <f>IF($FY547&gt;0,IF(INDEX($EM$6:$EM$77,$FT547)&gt;=GA$3,ROUND(INDEX(EO$6:EO$77,$FT547)*INDEX(卡牌消耗!$B$8:$F$8,FV547)/5,0)*5,""),"")</f>
        <v>7615</v>
      </c>
      <c r="GB547" s="101" t="str">
        <f t="shared" si="347"/>
        <v>专属强化石3</v>
      </c>
      <c r="GC547" s="101">
        <f t="shared" si="348"/>
        <v>6</v>
      </c>
      <c r="GD547" s="101" t="str">
        <f t="shared" si="349"/>
        <v>专属强化石4</v>
      </c>
      <c r="GE547" s="101">
        <f t="shared" si="350"/>
        <v>2</v>
      </c>
      <c r="GF547" s="101">
        <f t="shared" si="355"/>
        <v>0.2</v>
      </c>
      <c r="GG547" s="101">
        <f t="shared" si="356"/>
        <v>1</v>
      </c>
      <c r="GH547" s="101">
        <f t="shared" si="357"/>
        <v>8</v>
      </c>
      <c r="GI547" s="101">
        <f t="shared" si="358"/>
        <v>0</v>
      </c>
      <c r="GJ547" s="101">
        <f t="shared" si="359"/>
        <v>1</v>
      </c>
      <c r="GK547" s="101">
        <f t="shared" si="360"/>
        <v>2</v>
      </c>
      <c r="GL547" s="101">
        <f t="shared" si="361"/>
        <v>9.9400000000000002E-2</v>
      </c>
      <c r="GM547" s="101">
        <f t="shared" si="362"/>
        <v>1</v>
      </c>
      <c r="GN547" s="101">
        <f t="shared" si="363"/>
        <v>4</v>
      </c>
      <c r="GO547" s="101">
        <f t="shared" si="364"/>
        <v>0.3977</v>
      </c>
      <c r="GP547" s="101">
        <f t="shared" si="365"/>
        <v>1</v>
      </c>
      <c r="GQ547" s="101">
        <f t="shared" si="366"/>
        <v>8</v>
      </c>
    </row>
    <row r="548" spans="175:199" ht="16.5" x14ac:dyDescent="0.2">
      <c r="FS548" s="101">
        <v>543</v>
      </c>
      <c r="FT548" s="101">
        <f t="shared" si="351"/>
        <v>56</v>
      </c>
      <c r="FU548" s="101">
        <f t="shared" si="344"/>
        <v>7</v>
      </c>
      <c r="FV548" s="14">
        <f t="shared" si="345"/>
        <v>4</v>
      </c>
      <c r="FW548" s="101" t="str">
        <f t="shared" si="352"/>
        <v>夏侯渊专属武器-魂珠-7 2级</v>
      </c>
      <c r="FX548" s="101">
        <f t="shared" si="353"/>
        <v>7</v>
      </c>
      <c r="FY548" s="101">
        <f t="shared" si="354"/>
        <v>2</v>
      </c>
      <c r="FZ548" s="101" t="str">
        <f t="shared" si="346"/>
        <v>金币</v>
      </c>
      <c r="GA548" s="139">
        <f>IF($FY548&gt;0,IF(INDEX($EM$6:$EM$77,$FT548)&gt;=GA$3,ROUND(INDEX(EO$6:EO$77,$FT548)*INDEX(卡牌消耗!$B$8:$F$8,FV548)/5,0)*5,""),"")</f>
        <v>5710</v>
      </c>
      <c r="GB548" s="101" t="str">
        <f t="shared" si="347"/>
        <v>专属强化石3</v>
      </c>
      <c r="GC548" s="101">
        <f t="shared" si="348"/>
        <v>6</v>
      </c>
      <c r="GD548" s="101" t="str">
        <f t="shared" si="349"/>
        <v>专属强化石4</v>
      </c>
      <c r="GE548" s="101">
        <f t="shared" si="350"/>
        <v>2</v>
      </c>
      <c r="GF548" s="101">
        <f t="shared" si="355"/>
        <v>0.1</v>
      </c>
      <c r="GG548" s="101">
        <f t="shared" si="356"/>
        <v>1</v>
      </c>
      <c r="GH548" s="101">
        <f t="shared" si="357"/>
        <v>15</v>
      </c>
      <c r="GI548" s="101">
        <f t="shared" si="358"/>
        <v>0</v>
      </c>
      <c r="GJ548" s="101">
        <f t="shared" si="359"/>
        <v>1</v>
      </c>
      <c r="GK548" s="101">
        <f t="shared" si="360"/>
        <v>4</v>
      </c>
      <c r="GL548" s="101">
        <f t="shared" si="361"/>
        <v>4.9700000000000001E-2</v>
      </c>
      <c r="GM548" s="101">
        <f t="shared" si="362"/>
        <v>1</v>
      </c>
      <c r="GN548" s="101">
        <f t="shared" si="363"/>
        <v>7</v>
      </c>
      <c r="GO548" s="101">
        <f t="shared" si="364"/>
        <v>0.19889999999999999</v>
      </c>
      <c r="GP548" s="101">
        <f t="shared" si="365"/>
        <v>1</v>
      </c>
      <c r="GQ548" s="101">
        <f t="shared" si="366"/>
        <v>15</v>
      </c>
    </row>
    <row r="549" spans="175:199" ht="16.5" x14ac:dyDescent="0.2">
      <c r="FS549" s="101">
        <v>544</v>
      </c>
      <c r="FT549" s="101">
        <f t="shared" si="351"/>
        <v>57</v>
      </c>
      <c r="FU549" s="101">
        <f t="shared" si="344"/>
        <v>7</v>
      </c>
      <c r="FV549" s="14">
        <f t="shared" si="345"/>
        <v>4</v>
      </c>
      <c r="FW549" s="101" t="str">
        <f t="shared" si="352"/>
        <v>夏侯渊专属武器-魂珠-7 3级</v>
      </c>
      <c r="FX549" s="101">
        <f t="shared" si="353"/>
        <v>7</v>
      </c>
      <c r="FY549" s="101">
        <f t="shared" si="354"/>
        <v>3</v>
      </c>
      <c r="FZ549" s="101" t="str">
        <f t="shared" si="346"/>
        <v>金币</v>
      </c>
      <c r="GA549" s="139">
        <f>IF($FY549&gt;0,IF(INDEX($EM$6:$EM$77,$FT549)&gt;=GA$3,ROUND(INDEX(EO$6:EO$77,$FT549)*INDEX(卡牌消耗!$B$8:$F$8,FV549)/5,0)*5,""),"")</f>
        <v>9520</v>
      </c>
      <c r="GB549" s="101" t="str">
        <f t="shared" si="347"/>
        <v>专属强化石3</v>
      </c>
      <c r="GC549" s="101">
        <f t="shared" si="348"/>
        <v>9</v>
      </c>
      <c r="GD549" s="101" t="str">
        <f t="shared" si="349"/>
        <v>专属强化石4</v>
      </c>
      <c r="GE549" s="101">
        <f t="shared" si="350"/>
        <v>3</v>
      </c>
      <c r="GF549" s="101">
        <f t="shared" si="355"/>
        <v>0.1</v>
      </c>
      <c r="GG549" s="101">
        <f t="shared" si="356"/>
        <v>1</v>
      </c>
      <c r="GH549" s="101">
        <f t="shared" si="357"/>
        <v>15</v>
      </c>
      <c r="GI549" s="101">
        <f t="shared" si="358"/>
        <v>0</v>
      </c>
      <c r="GJ549" s="101">
        <f t="shared" si="359"/>
        <v>1</v>
      </c>
      <c r="GK549" s="101">
        <f t="shared" si="360"/>
        <v>4</v>
      </c>
      <c r="GL549" s="101">
        <f t="shared" si="361"/>
        <v>4.9700000000000001E-2</v>
      </c>
      <c r="GM549" s="101">
        <f t="shared" si="362"/>
        <v>1</v>
      </c>
      <c r="GN549" s="101">
        <f t="shared" si="363"/>
        <v>7</v>
      </c>
      <c r="GO549" s="101">
        <f t="shared" si="364"/>
        <v>0.19889999999999999</v>
      </c>
      <c r="GP549" s="101">
        <f t="shared" si="365"/>
        <v>1</v>
      </c>
      <c r="GQ549" s="101">
        <f t="shared" si="366"/>
        <v>15</v>
      </c>
    </row>
    <row r="550" spans="175:199" ht="16.5" x14ac:dyDescent="0.2">
      <c r="FS550" s="101">
        <v>545</v>
      </c>
      <c r="FT550" s="101">
        <f t="shared" si="351"/>
        <v>58</v>
      </c>
      <c r="FU550" s="101">
        <f t="shared" si="344"/>
        <v>7</v>
      </c>
      <c r="FV550" s="14">
        <f t="shared" si="345"/>
        <v>4</v>
      </c>
      <c r="FW550" s="101" t="str">
        <f t="shared" si="352"/>
        <v>夏侯渊专属武器-魂珠-7 4级</v>
      </c>
      <c r="FX550" s="101">
        <f t="shared" si="353"/>
        <v>7</v>
      </c>
      <c r="FY550" s="101">
        <f t="shared" si="354"/>
        <v>4</v>
      </c>
      <c r="FZ550" s="101" t="str">
        <f t="shared" si="346"/>
        <v>金币</v>
      </c>
      <c r="GA550" s="139">
        <f>IF($FY550&gt;0,IF(INDEX($EM$6:$EM$77,$FT550)&gt;=GA$3,ROUND(INDEX(EO$6:EO$77,$FT550)*INDEX(卡牌消耗!$B$8:$F$8,FV550)/5,0)*5,""),"")</f>
        <v>12185</v>
      </c>
      <c r="GB550" s="101" t="str">
        <f t="shared" si="347"/>
        <v>专属强化石3</v>
      </c>
      <c r="GC550" s="101">
        <f t="shared" si="348"/>
        <v>12</v>
      </c>
      <c r="GD550" s="101" t="str">
        <f t="shared" si="349"/>
        <v>专属强化石4</v>
      </c>
      <c r="GE550" s="101">
        <f t="shared" si="350"/>
        <v>4</v>
      </c>
      <c r="GF550" s="101">
        <f t="shared" si="355"/>
        <v>0.08</v>
      </c>
      <c r="GG550" s="101">
        <f t="shared" si="356"/>
        <v>1</v>
      </c>
      <c r="GH550" s="101">
        <f t="shared" si="357"/>
        <v>19</v>
      </c>
      <c r="GI550" s="101">
        <f t="shared" si="358"/>
        <v>0</v>
      </c>
      <c r="GJ550" s="101">
        <f t="shared" si="359"/>
        <v>1</v>
      </c>
      <c r="GK550" s="101">
        <f t="shared" si="360"/>
        <v>4</v>
      </c>
      <c r="GL550" s="101">
        <f t="shared" si="361"/>
        <v>3.9800000000000002E-2</v>
      </c>
      <c r="GM550" s="101">
        <f t="shared" si="362"/>
        <v>1</v>
      </c>
      <c r="GN550" s="101">
        <f t="shared" si="363"/>
        <v>9</v>
      </c>
      <c r="GO550" s="101">
        <f t="shared" si="364"/>
        <v>0.15909999999999999</v>
      </c>
      <c r="GP550" s="101">
        <f t="shared" si="365"/>
        <v>1</v>
      </c>
      <c r="GQ550" s="101">
        <f t="shared" si="366"/>
        <v>19</v>
      </c>
    </row>
    <row r="551" spans="175:199" ht="16.5" x14ac:dyDescent="0.2">
      <c r="FS551" s="101">
        <v>546</v>
      </c>
      <c r="FT551" s="101">
        <f t="shared" si="351"/>
        <v>59</v>
      </c>
      <c r="FU551" s="101">
        <f t="shared" si="344"/>
        <v>7</v>
      </c>
      <c r="FV551" s="14">
        <f t="shared" si="345"/>
        <v>4</v>
      </c>
      <c r="FW551" s="101" t="str">
        <f t="shared" si="352"/>
        <v>夏侯渊专属武器-魂珠-7 5级</v>
      </c>
      <c r="FX551" s="101">
        <f t="shared" si="353"/>
        <v>7</v>
      </c>
      <c r="FY551" s="101">
        <f t="shared" si="354"/>
        <v>5</v>
      </c>
      <c r="FZ551" s="101" t="str">
        <f t="shared" si="346"/>
        <v>金币</v>
      </c>
      <c r="GA551" s="139">
        <f>IF($FY551&gt;0,IF(INDEX($EM$6:$EM$77,$FT551)&gt;=GA$3,ROUND(INDEX(EO$6:EO$77,$FT551)*INDEX(卡牌消耗!$B$8:$F$8,FV551)/5,0)*5,""),"")</f>
        <v>12375</v>
      </c>
      <c r="GB551" s="101" t="str">
        <f t="shared" si="347"/>
        <v>专属强化石3</v>
      </c>
      <c r="GC551" s="101">
        <f t="shared" si="348"/>
        <v>12</v>
      </c>
      <c r="GD551" s="101" t="str">
        <f t="shared" si="349"/>
        <v>专属强化石4</v>
      </c>
      <c r="GE551" s="101">
        <f t="shared" si="350"/>
        <v>4</v>
      </c>
      <c r="GF551" s="101">
        <f t="shared" si="355"/>
        <v>0.05</v>
      </c>
      <c r="GG551" s="101">
        <f t="shared" si="356"/>
        <v>1</v>
      </c>
      <c r="GH551" s="101">
        <f t="shared" si="357"/>
        <v>30</v>
      </c>
      <c r="GI551" s="101">
        <f t="shared" si="358"/>
        <v>0</v>
      </c>
      <c r="GJ551" s="101">
        <f t="shared" si="359"/>
        <v>1</v>
      </c>
      <c r="GK551" s="101">
        <f t="shared" si="360"/>
        <v>7</v>
      </c>
      <c r="GL551" s="101">
        <f t="shared" si="361"/>
        <v>2.4899999999999999E-2</v>
      </c>
      <c r="GM551" s="101">
        <f t="shared" si="362"/>
        <v>1</v>
      </c>
      <c r="GN551" s="101">
        <f t="shared" si="363"/>
        <v>14</v>
      </c>
      <c r="GO551" s="101">
        <f t="shared" si="364"/>
        <v>9.9400000000000002E-2</v>
      </c>
      <c r="GP551" s="101">
        <f t="shared" si="365"/>
        <v>1</v>
      </c>
      <c r="GQ551" s="101">
        <f t="shared" si="366"/>
        <v>30</v>
      </c>
    </row>
    <row r="552" spans="175:199" ht="16.5" x14ac:dyDescent="0.2">
      <c r="FS552" s="101">
        <v>547</v>
      </c>
      <c r="FT552" s="101">
        <f t="shared" si="351"/>
        <v>60</v>
      </c>
      <c r="FU552" s="101">
        <f t="shared" si="344"/>
        <v>7</v>
      </c>
      <c r="FV552" s="14">
        <f t="shared" si="345"/>
        <v>4</v>
      </c>
      <c r="FW552" s="101" t="str">
        <f t="shared" si="352"/>
        <v>夏侯渊专属武器-魂珠-7 6级</v>
      </c>
      <c r="FX552" s="101">
        <f t="shared" si="353"/>
        <v>7</v>
      </c>
      <c r="FY552" s="101">
        <f t="shared" si="354"/>
        <v>6</v>
      </c>
      <c r="FZ552" s="101" t="str">
        <f t="shared" si="346"/>
        <v>金币</v>
      </c>
      <c r="GA552" s="139">
        <f>IF($FY552&gt;0,IF(INDEX($EM$6:$EM$77,$FT552)&gt;=GA$3,ROUND(INDEX(EO$6:EO$77,$FT552)*INDEX(卡牌消耗!$B$8:$F$8,FV552)/5,0)*5,""),"")</f>
        <v>15380</v>
      </c>
      <c r="GB552" s="101" t="str">
        <f t="shared" si="347"/>
        <v>专属强化石3</v>
      </c>
      <c r="GC552" s="101">
        <f t="shared" si="348"/>
        <v>15</v>
      </c>
      <c r="GD552" s="101" t="str">
        <f t="shared" si="349"/>
        <v>专属强化石4</v>
      </c>
      <c r="GE552" s="101">
        <f t="shared" si="350"/>
        <v>5</v>
      </c>
      <c r="GF552" s="101">
        <f t="shared" si="355"/>
        <v>0.04</v>
      </c>
      <c r="GG552" s="101">
        <f t="shared" si="356"/>
        <v>1</v>
      </c>
      <c r="GH552" s="101">
        <f t="shared" si="357"/>
        <v>39</v>
      </c>
      <c r="GI552" s="101">
        <f t="shared" si="358"/>
        <v>0</v>
      </c>
      <c r="GJ552" s="101">
        <f t="shared" si="359"/>
        <v>1</v>
      </c>
      <c r="GK552" s="101">
        <f t="shared" si="360"/>
        <v>9</v>
      </c>
      <c r="GL552" s="101">
        <f t="shared" si="361"/>
        <v>1.9099999999999999E-2</v>
      </c>
      <c r="GM552" s="101">
        <f t="shared" si="362"/>
        <v>1</v>
      </c>
      <c r="GN552" s="101">
        <f t="shared" si="363"/>
        <v>18</v>
      </c>
      <c r="GO552" s="101">
        <f t="shared" si="364"/>
        <v>7.6499999999999999E-2</v>
      </c>
      <c r="GP552" s="101">
        <f t="shared" si="365"/>
        <v>1</v>
      </c>
      <c r="GQ552" s="101">
        <f t="shared" si="366"/>
        <v>39</v>
      </c>
    </row>
    <row r="553" spans="175:199" ht="16.5" x14ac:dyDescent="0.2">
      <c r="FS553" s="101">
        <v>548</v>
      </c>
      <c r="FT553" s="101">
        <f t="shared" si="351"/>
        <v>61</v>
      </c>
      <c r="FU553" s="101">
        <f t="shared" si="344"/>
        <v>7</v>
      </c>
      <c r="FV553" s="14">
        <f t="shared" si="345"/>
        <v>4</v>
      </c>
      <c r="FW553" s="101" t="str">
        <f t="shared" si="352"/>
        <v>夏侯渊专属武器-魂珠-7 7级</v>
      </c>
      <c r="FX553" s="101">
        <f t="shared" si="353"/>
        <v>7</v>
      </c>
      <c r="FY553" s="101">
        <f t="shared" si="354"/>
        <v>7</v>
      </c>
      <c r="FZ553" s="101" t="str">
        <f t="shared" si="346"/>
        <v>金币</v>
      </c>
      <c r="GA553" s="139">
        <f>IF($FY553&gt;0,IF(INDEX($EM$6:$EM$77,$FT553)&gt;=GA$3,ROUND(INDEX(EO$6:EO$77,$FT553)*INDEX(卡牌消耗!$B$8:$F$8,FV553)/5,0)*5,""),"")</f>
        <v>21580</v>
      </c>
      <c r="GB553" s="101" t="str">
        <f t="shared" si="347"/>
        <v>专属强化石3</v>
      </c>
      <c r="GC553" s="101">
        <f t="shared" si="348"/>
        <v>21</v>
      </c>
      <c r="GD553" s="101" t="str">
        <f t="shared" si="349"/>
        <v>专属强化石4</v>
      </c>
      <c r="GE553" s="101">
        <f t="shared" si="350"/>
        <v>7</v>
      </c>
      <c r="GF553" s="101">
        <f t="shared" si="355"/>
        <v>0.03</v>
      </c>
      <c r="GG553" s="101">
        <f t="shared" si="356"/>
        <v>1</v>
      </c>
      <c r="GH553" s="101">
        <f t="shared" si="357"/>
        <v>45</v>
      </c>
      <c r="GI553" s="101">
        <f t="shared" si="358"/>
        <v>0</v>
      </c>
      <c r="GJ553" s="101">
        <f t="shared" si="359"/>
        <v>1</v>
      </c>
      <c r="GK553" s="101">
        <f t="shared" si="360"/>
        <v>11</v>
      </c>
      <c r="GL553" s="101">
        <f t="shared" si="361"/>
        <v>1.66E-2</v>
      </c>
      <c r="GM553" s="101">
        <f t="shared" si="362"/>
        <v>1</v>
      </c>
      <c r="GN553" s="101">
        <f t="shared" si="363"/>
        <v>21</v>
      </c>
      <c r="GO553" s="101">
        <f t="shared" si="364"/>
        <v>6.6299999999999998E-2</v>
      </c>
      <c r="GP553" s="101">
        <f t="shared" si="365"/>
        <v>1</v>
      </c>
      <c r="GQ553" s="101">
        <f t="shared" si="366"/>
        <v>45</v>
      </c>
    </row>
    <row r="554" spans="175:199" ht="16.5" x14ac:dyDescent="0.2">
      <c r="FS554" s="101">
        <v>549</v>
      </c>
      <c r="FT554" s="101">
        <f t="shared" si="351"/>
        <v>62</v>
      </c>
      <c r="FU554" s="101">
        <f t="shared" si="344"/>
        <v>7</v>
      </c>
      <c r="FV554" s="14">
        <f t="shared" si="345"/>
        <v>4</v>
      </c>
      <c r="FW554" s="101" t="str">
        <f t="shared" si="352"/>
        <v>夏侯渊专属武器-魂珠-7 8级</v>
      </c>
      <c r="FX554" s="101">
        <f t="shared" si="353"/>
        <v>7</v>
      </c>
      <c r="FY554" s="101">
        <f t="shared" si="354"/>
        <v>8</v>
      </c>
      <c r="FZ554" s="101" t="str">
        <f t="shared" si="346"/>
        <v>金币</v>
      </c>
      <c r="GA554" s="139">
        <f>IF($FY554&gt;0,IF(INDEX($EM$6:$EM$77,$FT554)&gt;=GA$3,ROUND(INDEX(EO$6:EO$77,$FT554)*INDEX(卡牌消耗!$B$8:$F$8,FV554)/5,0)*5,""),"")</f>
        <v>24640</v>
      </c>
      <c r="GB554" s="101" t="str">
        <f t="shared" si="347"/>
        <v>专属强化石3</v>
      </c>
      <c r="GC554" s="101">
        <f t="shared" si="348"/>
        <v>24</v>
      </c>
      <c r="GD554" s="101" t="str">
        <f t="shared" si="349"/>
        <v>专属强化石4</v>
      </c>
      <c r="GE554" s="101">
        <f t="shared" si="350"/>
        <v>8</v>
      </c>
      <c r="GF554" s="101">
        <f t="shared" si="355"/>
        <v>0.02</v>
      </c>
      <c r="GG554" s="101">
        <f t="shared" si="356"/>
        <v>1</v>
      </c>
      <c r="GH554" s="101">
        <f t="shared" si="357"/>
        <v>64</v>
      </c>
      <c r="GI554" s="101">
        <f t="shared" si="358"/>
        <v>0</v>
      </c>
      <c r="GJ554" s="101">
        <f t="shared" si="359"/>
        <v>1</v>
      </c>
      <c r="GK554" s="101">
        <f t="shared" si="360"/>
        <v>15</v>
      </c>
      <c r="GL554" s="101">
        <f t="shared" si="361"/>
        <v>1.17E-2</v>
      </c>
      <c r="GM554" s="101">
        <f t="shared" si="362"/>
        <v>1</v>
      </c>
      <c r="GN554" s="101">
        <f t="shared" si="363"/>
        <v>30</v>
      </c>
      <c r="GO554" s="101">
        <f t="shared" si="364"/>
        <v>4.6800000000000001E-2</v>
      </c>
      <c r="GP554" s="101">
        <f t="shared" si="365"/>
        <v>1</v>
      </c>
      <c r="GQ554" s="101">
        <f t="shared" si="366"/>
        <v>64</v>
      </c>
    </row>
    <row r="555" spans="175:199" ht="16.5" x14ac:dyDescent="0.2">
      <c r="FS555" s="101">
        <v>550</v>
      </c>
      <c r="FT555" s="101">
        <f t="shared" si="351"/>
        <v>63</v>
      </c>
      <c r="FU555" s="101">
        <f t="shared" si="344"/>
        <v>7</v>
      </c>
      <c r="FV555" s="14">
        <f t="shared" si="345"/>
        <v>4</v>
      </c>
      <c r="FW555" s="101" t="str">
        <f t="shared" si="352"/>
        <v>夏侯渊专属武器-魂珠-7 9级</v>
      </c>
      <c r="FX555" s="101">
        <f t="shared" si="353"/>
        <v>7</v>
      </c>
      <c r="FY555" s="101">
        <f t="shared" si="354"/>
        <v>9</v>
      </c>
      <c r="FZ555" s="101" t="str">
        <f t="shared" si="346"/>
        <v>金币</v>
      </c>
      <c r="GA555" s="139">
        <f>IF($FY555&gt;0,IF(INDEX($EM$6:$EM$77,$FT555)&gt;=GA$3,ROUND(INDEX(EO$6:EO$77,$FT555)*INDEX(卡牌消耗!$B$8:$F$8,FV555)/5,0)*5,""),"")</f>
        <v>30810</v>
      </c>
      <c r="GB555" s="101" t="str">
        <f t="shared" si="347"/>
        <v>专属强化石3</v>
      </c>
      <c r="GC555" s="101">
        <f t="shared" si="348"/>
        <v>30</v>
      </c>
      <c r="GD555" s="101" t="str">
        <f t="shared" si="349"/>
        <v>专属强化石4</v>
      </c>
      <c r="GE555" s="101">
        <f t="shared" si="350"/>
        <v>10</v>
      </c>
      <c r="GF555" s="101">
        <f t="shared" si="355"/>
        <v>0.02</v>
      </c>
      <c r="GG555" s="101">
        <f t="shared" si="356"/>
        <v>1</v>
      </c>
      <c r="GH555" s="101">
        <f t="shared" si="357"/>
        <v>83</v>
      </c>
      <c r="GI555" s="101">
        <f t="shared" si="358"/>
        <v>0</v>
      </c>
      <c r="GJ555" s="101">
        <f t="shared" si="359"/>
        <v>1</v>
      </c>
      <c r="GK555" s="101">
        <f t="shared" si="360"/>
        <v>19</v>
      </c>
      <c r="GL555" s="101">
        <f t="shared" si="361"/>
        <v>8.9999999999999993E-3</v>
      </c>
      <c r="GM555" s="101">
        <f t="shared" si="362"/>
        <v>1</v>
      </c>
      <c r="GN555" s="101">
        <f t="shared" si="363"/>
        <v>39</v>
      </c>
      <c r="GO555" s="101">
        <f t="shared" si="364"/>
        <v>3.6200000000000003E-2</v>
      </c>
      <c r="GP555" s="101">
        <f t="shared" si="365"/>
        <v>1</v>
      </c>
      <c r="GQ555" s="101">
        <f t="shared" si="366"/>
        <v>83</v>
      </c>
    </row>
    <row r="556" spans="175:199" ht="16.5" x14ac:dyDescent="0.2">
      <c r="FS556" s="101">
        <v>551</v>
      </c>
      <c r="FT556" s="101">
        <f t="shared" si="351"/>
        <v>0</v>
      </c>
      <c r="FU556" s="101">
        <f t="shared" si="344"/>
        <v>7</v>
      </c>
      <c r="FV556" s="14">
        <f t="shared" si="345"/>
        <v>4</v>
      </c>
      <c r="FW556" s="101" t="str">
        <f t="shared" si="352"/>
        <v>夏侯渊专属武器-魂珠-8 0级</v>
      </c>
      <c r="FX556" s="101">
        <f t="shared" si="353"/>
        <v>8</v>
      </c>
      <c r="FY556" s="101">
        <f t="shared" si="354"/>
        <v>0</v>
      </c>
      <c r="FZ556" s="101" t="str">
        <f t="shared" si="346"/>
        <v/>
      </c>
      <c r="GA556" s="139" t="str">
        <f>IF($FY556&gt;0,IF(INDEX($EM$6:$EM$77,$FT556)&gt;=GA$3,ROUND(INDEX(EO$6:EO$77,$FT556)*INDEX(卡牌消耗!$B$8:$F$8,FV556)/5,0)*5,""),"")</f>
        <v/>
      </c>
      <c r="GB556" s="101" t="str">
        <f t="shared" si="347"/>
        <v/>
      </c>
      <c r="GC556" s="101" t="str">
        <f t="shared" si="348"/>
        <v/>
      </c>
      <c r="GD556" s="101" t="str">
        <f t="shared" si="349"/>
        <v/>
      </c>
      <c r="GE556" s="101" t="str">
        <f t="shared" si="350"/>
        <v/>
      </c>
      <c r="GF556" s="101" t="str">
        <f t="shared" si="355"/>
        <v/>
      </c>
      <c r="GG556" s="101" t="str">
        <f t="shared" si="356"/>
        <v/>
      </c>
      <c r="GH556" s="101" t="str">
        <f t="shared" si="357"/>
        <v/>
      </c>
      <c r="GI556" s="101" t="str">
        <f t="shared" si="358"/>
        <v/>
      </c>
      <c r="GJ556" s="101" t="str">
        <f t="shared" si="359"/>
        <v/>
      </c>
      <c r="GK556" s="101" t="str">
        <f t="shared" si="360"/>
        <v/>
      </c>
      <c r="GL556" s="101" t="str">
        <f t="shared" si="361"/>
        <v/>
      </c>
      <c r="GM556" s="101" t="str">
        <f t="shared" si="362"/>
        <v/>
      </c>
      <c r="GN556" s="101" t="str">
        <f t="shared" si="363"/>
        <v/>
      </c>
      <c r="GO556" s="101" t="str">
        <f t="shared" si="364"/>
        <v/>
      </c>
      <c r="GP556" s="101" t="str">
        <f t="shared" si="365"/>
        <v/>
      </c>
      <c r="GQ556" s="101" t="str">
        <f t="shared" si="366"/>
        <v/>
      </c>
    </row>
    <row r="557" spans="175:199" ht="16.5" x14ac:dyDescent="0.2">
      <c r="FS557" s="101">
        <v>552</v>
      </c>
      <c r="FT557" s="101">
        <f t="shared" si="351"/>
        <v>64</v>
      </c>
      <c r="FU557" s="101">
        <f t="shared" si="344"/>
        <v>7</v>
      </c>
      <c r="FV557" s="14">
        <f t="shared" si="345"/>
        <v>4</v>
      </c>
      <c r="FW557" s="101" t="str">
        <f t="shared" si="352"/>
        <v>夏侯渊专属武器-魂珠-8 1级</v>
      </c>
      <c r="FX557" s="101">
        <f t="shared" si="353"/>
        <v>8</v>
      </c>
      <c r="FY557" s="101">
        <f t="shared" si="354"/>
        <v>1</v>
      </c>
      <c r="FZ557" s="101" t="str">
        <f t="shared" si="346"/>
        <v>金币</v>
      </c>
      <c r="GA557" s="139">
        <f>IF($FY557&gt;0,IF(INDEX($EM$6:$EM$77,$FT557)&gt;=GA$3,ROUND(INDEX(EO$6:EO$77,$FT557)*INDEX(卡牌消耗!$B$8:$F$8,FV557)/5,0)*5,""),"")</f>
        <v>6490</v>
      </c>
      <c r="GB557" s="101" t="str">
        <f t="shared" si="347"/>
        <v>专属强化石4</v>
      </c>
      <c r="GC557" s="101">
        <f t="shared" si="348"/>
        <v>5</v>
      </c>
      <c r="GD557" s="101" t="str">
        <f t="shared" si="349"/>
        <v/>
      </c>
      <c r="GE557" s="101" t="str">
        <f t="shared" si="350"/>
        <v/>
      </c>
      <c r="GF557" s="101">
        <f t="shared" si="355"/>
        <v>0.11</v>
      </c>
      <c r="GG557" s="101">
        <f t="shared" si="356"/>
        <v>1</v>
      </c>
      <c r="GH557" s="101">
        <f t="shared" si="357"/>
        <v>13</v>
      </c>
      <c r="GI557" s="101">
        <f t="shared" si="358"/>
        <v>0</v>
      </c>
      <c r="GJ557" s="101">
        <f t="shared" si="359"/>
        <v>1</v>
      </c>
      <c r="GK557" s="101">
        <f t="shared" si="360"/>
        <v>3</v>
      </c>
      <c r="GL557" s="101">
        <f t="shared" si="361"/>
        <v>5.6500000000000002E-2</v>
      </c>
      <c r="GM557" s="101">
        <f t="shared" si="362"/>
        <v>1</v>
      </c>
      <c r="GN557" s="101">
        <f t="shared" si="363"/>
        <v>6</v>
      </c>
      <c r="GO557" s="101">
        <f t="shared" si="364"/>
        <v>0.22600000000000001</v>
      </c>
      <c r="GP557" s="101">
        <f t="shared" si="365"/>
        <v>1</v>
      </c>
      <c r="GQ557" s="101">
        <f t="shared" si="366"/>
        <v>13</v>
      </c>
    </row>
    <row r="558" spans="175:199" ht="16.5" x14ac:dyDescent="0.2">
      <c r="FS558" s="101">
        <v>553</v>
      </c>
      <c r="FT558" s="101">
        <f t="shared" si="351"/>
        <v>65</v>
      </c>
      <c r="FU558" s="101">
        <f t="shared" si="344"/>
        <v>7</v>
      </c>
      <c r="FV558" s="14">
        <f t="shared" si="345"/>
        <v>4</v>
      </c>
      <c r="FW558" s="101" t="str">
        <f t="shared" si="352"/>
        <v>夏侯渊专属武器-魂珠-8 2级</v>
      </c>
      <c r="FX558" s="101">
        <f t="shared" si="353"/>
        <v>8</v>
      </c>
      <c r="FY558" s="101">
        <f t="shared" si="354"/>
        <v>2</v>
      </c>
      <c r="FZ558" s="101" t="str">
        <f t="shared" si="346"/>
        <v>金币</v>
      </c>
      <c r="GA558" s="139">
        <f>IF($FY558&gt;0,IF(INDEX($EM$6:$EM$77,$FT558)&gt;=GA$3,ROUND(INDEX(EO$6:EO$77,$FT558)*INDEX(卡牌消耗!$B$8:$F$8,FV558)/5,0)*5,""),"")</f>
        <v>7790</v>
      </c>
      <c r="GB558" s="101" t="str">
        <f t="shared" si="347"/>
        <v>专属强化石4</v>
      </c>
      <c r="GC558" s="101">
        <f t="shared" si="348"/>
        <v>8</v>
      </c>
      <c r="GD558" s="101" t="str">
        <f t="shared" si="349"/>
        <v/>
      </c>
      <c r="GE558" s="101" t="str">
        <f t="shared" si="350"/>
        <v/>
      </c>
      <c r="GF558" s="101">
        <f t="shared" si="355"/>
        <v>0.09</v>
      </c>
      <c r="GG558" s="101">
        <f t="shared" si="356"/>
        <v>1</v>
      </c>
      <c r="GH558" s="101">
        <f t="shared" si="357"/>
        <v>17</v>
      </c>
      <c r="GI558" s="101">
        <f t="shared" si="358"/>
        <v>0</v>
      </c>
      <c r="GJ558" s="101">
        <f t="shared" si="359"/>
        <v>1</v>
      </c>
      <c r="GK558" s="101">
        <f t="shared" si="360"/>
        <v>4</v>
      </c>
      <c r="GL558" s="101">
        <f t="shared" si="361"/>
        <v>4.5199999999999997E-2</v>
      </c>
      <c r="GM558" s="101">
        <f t="shared" si="362"/>
        <v>1</v>
      </c>
      <c r="GN558" s="101">
        <f t="shared" si="363"/>
        <v>8</v>
      </c>
      <c r="GO558" s="101">
        <f t="shared" si="364"/>
        <v>0.18079999999999999</v>
      </c>
      <c r="GP558" s="101">
        <f t="shared" si="365"/>
        <v>1</v>
      </c>
      <c r="GQ558" s="101">
        <f t="shared" si="366"/>
        <v>17</v>
      </c>
    </row>
    <row r="559" spans="175:199" ht="16.5" x14ac:dyDescent="0.2">
      <c r="FS559" s="101">
        <v>554</v>
      </c>
      <c r="FT559" s="101">
        <f t="shared" si="351"/>
        <v>66</v>
      </c>
      <c r="FU559" s="101">
        <f t="shared" si="344"/>
        <v>7</v>
      </c>
      <c r="FV559" s="14">
        <f t="shared" si="345"/>
        <v>4</v>
      </c>
      <c r="FW559" s="101" t="str">
        <f t="shared" si="352"/>
        <v>夏侯渊专属武器-魂珠-8 3级</v>
      </c>
      <c r="FX559" s="101">
        <f t="shared" si="353"/>
        <v>8</v>
      </c>
      <c r="FY559" s="101">
        <f t="shared" si="354"/>
        <v>3</v>
      </c>
      <c r="FZ559" s="101" t="str">
        <f t="shared" si="346"/>
        <v>金币</v>
      </c>
      <c r="GA559" s="139">
        <f>IF($FY559&gt;0,IF(INDEX($EM$6:$EM$77,$FT559)&gt;=GA$3,ROUND(INDEX(EO$6:EO$77,$FT559)*INDEX(卡牌消耗!$B$8:$F$8,FV559)/5,0)*5,""),"")</f>
        <v>10820</v>
      </c>
      <c r="GB559" s="101" t="str">
        <f t="shared" si="347"/>
        <v>专属强化石4</v>
      </c>
      <c r="GC559" s="101">
        <f t="shared" si="348"/>
        <v>10</v>
      </c>
      <c r="GD559" s="101" t="str">
        <f t="shared" si="349"/>
        <v/>
      </c>
      <c r="GE559" s="101" t="str">
        <f t="shared" si="350"/>
        <v/>
      </c>
      <c r="GF559" s="101">
        <f t="shared" si="355"/>
        <v>0.08</v>
      </c>
      <c r="GG559" s="101">
        <f t="shared" si="356"/>
        <v>1</v>
      </c>
      <c r="GH559" s="101">
        <f t="shared" si="357"/>
        <v>20</v>
      </c>
      <c r="GI559" s="101">
        <f t="shared" si="358"/>
        <v>0</v>
      </c>
      <c r="GJ559" s="101">
        <f t="shared" si="359"/>
        <v>1</v>
      </c>
      <c r="GK559" s="101">
        <f t="shared" si="360"/>
        <v>5</v>
      </c>
      <c r="GL559" s="101">
        <f t="shared" si="361"/>
        <v>3.7699999999999997E-2</v>
      </c>
      <c r="GM559" s="101">
        <f t="shared" si="362"/>
        <v>1</v>
      </c>
      <c r="GN559" s="101">
        <f t="shared" si="363"/>
        <v>9</v>
      </c>
      <c r="GO559" s="101">
        <f t="shared" si="364"/>
        <v>0.1507</v>
      </c>
      <c r="GP559" s="101">
        <f t="shared" si="365"/>
        <v>1</v>
      </c>
      <c r="GQ559" s="101">
        <f t="shared" si="366"/>
        <v>20</v>
      </c>
    </row>
    <row r="560" spans="175:199" ht="16.5" x14ac:dyDescent="0.2">
      <c r="FS560" s="101">
        <v>555</v>
      </c>
      <c r="FT560" s="101">
        <f t="shared" si="351"/>
        <v>67</v>
      </c>
      <c r="FU560" s="101">
        <f t="shared" si="344"/>
        <v>7</v>
      </c>
      <c r="FV560" s="14">
        <f t="shared" si="345"/>
        <v>4</v>
      </c>
      <c r="FW560" s="101" t="str">
        <f t="shared" si="352"/>
        <v>夏侯渊专属武器-魂珠-8 4级</v>
      </c>
      <c r="FX560" s="101">
        <f t="shared" si="353"/>
        <v>8</v>
      </c>
      <c r="FY560" s="101">
        <f t="shared" si="354"/>
        <v>4</v>
      </c>
      <c r="FZ560" s="101" t="str">
        <f t="shared" si="346"/>
        <v>金币</v>
      </c>
      <c r="GA560" s="139">
        <f>IF($FY560&gt;0,IF(INDEX($EM$6:$EM$77,$FT560)&gt;=GA$3,ROUND(INDEX(EO$6:EO$77,$FT560)*INDEX(卡牌消耗!$B$8:$F$8,FV560)/5,0)*5,""),"")</f>
        <v>12460</v>
      </c>
      <c r="GB560" s="101" t="str">
        <f t="shared" si="347"/>
        <v>专属强化石4</v>
      </c>
      <c r="GC560" s="101">
        <f t="shared" si="348"/>
        <v>12</v>
      </c>
      <c r="GD560" s="101" t="str">
        <f t="shared" si="349"/>
        <v/>
      </c>
      <c r="GE560" s="101" t="str">
        <f t="shared" si="350"/>
        <v/>
      </c>
      <c r="GF560" s="101">
        <f t="shared" si="355"/>
        <v>0.05</v>
      </c>
      <c r="GG560" s="101">
        <f t="shared" si="356"/>
        <v>1</v>
      </c>
      <c r="GH560" s="101">
        <f t="shared" si="357"/>
        <v>28</v>
      </c>
      <c r="GI560" s="101">
        <f t="shared" si="358"/>
        <v>0</v>
      </c>
      <c r="GJ560" s="101">
        <f t="shared" si="359"/>
        <v>1</v>
      </c>
      <c r="GK560" s="101">
        <f t="shared" si="360"/>
        <v>6</v>
      </c>
      <c r="GL560" s="101">
        <f t="shared" si="361"/>
        <v>2.7099999999999999E-2</v>
      </c>
      <c r="GM560" s="101">
        <f t="shared" si="362"/>
        <v>1</v>
      </c>
      <c r="GN560" s="101">
        <f t="shared" si="363"/>
        <v>13</v>
      </c>
      <c r="GO560" s="101">
        <f t="shared" si="364"/>
        <v>0.1085</v>
      </c>
      <c r="GP560" s="101">
        <f t="shared" si="365"/>
        <v>1</v>
      </c>
      <c r="GQ560" s="101">
        <f t="shared" si="366"/>
        <v>28</v>
      </c>
    </row>
    <row r="561" spans="175:199" ht="16.5" x14ac:dyDescent="0.2">
      <c r="FS561" s="101">
        <v>556</v>
      </c>
      <c r="FT561" s="101">
        <f t="shared" si="351"/>
        <v>68</v>
      </c>
      <c r="FU561" s="101">
        <f t="shared" si="344"/>
        <v>7</v>
      </c>
      <c r="FV561" s="14">
        <f t="shared" si="345"/>
        <v>4</v>
      </c>
      <c r="FW561" s="101" t="str">
        <f t="shared" si="352"/>
        <v>夏侯渊专属武器-魂珠-8 5级</v>
      </c>
      <c r="FX561" s="101">
        <f t="shared" si="353"/>
        <v>8</v>
      </c>
      <c r="FY561" s="101">
        <f t="shared" si="354"/>
        <v>5</v>
      </c>
      <c r="FZ561" s="101" t="str">
        <f t="shared" si="346"/>
        <v>金币</v>
      </c>
      <c r="GA561" s="139">
        <f>IF($FY561&gt;0,IF(INDEX($EM$6:$EM$77,$FT561)&gt;=GA$3,ROUND(INDEX(EO$6:EO$77,$FT561)*INDEX(卡牌消耗!$B$8:$F$8,FV561)/5,0)*5,""),"")</f>
        <v>15820</v>
      </c>
      <c r="GB561" s="101" t="str">
        <f t="shared" si="347"/>
        <v>专属强化石4</v>
      </c>
      <c r="GC561" s="101">
        <f t="shared" si="348"/>
        <v>15</v>
      </c>
      <c r="GD561" s="101" t="str">
        <f t="shared" si="349"/>
        <v/>
      </c>
      <c r="GE561" s="101" t="str">
        <f t="shared" si="350"/>
        <v/>
      </c>
      <c r="GF561" s="101">
        <f t="shared" si="355"/>
        <v>0.04</v>
      </c>
      <c r="GG561" s="101">
        <f t="shared" si="356"/>
        <v>1</v>
      </c>
      <c r="GH561" s="101">
        <f t="shared" si="357"/>
        <v>35</v>
      </c>
      <c r="GI561" s="101">
        <f t="shared" si="358"/>
        <v>0</v>
      </c>
      <c r="GJ561" s="101">
        <f t="shared" si="359"/>
        <v>1</v>
      </c>
      <c r="GK561" s="101">
        <f t="shared" si="360"/>
        <v>8</v>
      </c>
      <c r="GL561" s="101">
        <f t="shared" si="361"/>
        <v>2.12E-2</v>
      </c>
      <c r="GM561" s="101">
        <f t="shared" si="362"/>
        <v>1</v>
      </c>
      <c r="GN561" s="101">
        <f t="shared" si="363"/>
        <v>17</v>
      </c>
      <c r="GO561" s="101">
        <f t="shared" si="364"/>
        <v>8.4699999999999998E-2</v>
      </c>
      <c r="GP561" s="101">
        <f t="shared" si="365"/>
        <v>1</v>
      </c>
      <c r="GQ561" s="101">
        <f t="shared" si="366"/>
        <v>35</v>
      </c>
    </row>
    <row r="562" spans="175:199" ht="16.5" x14ac:dyDescent="0.2">
      <c r="FS562" s="101">
        <v>557</v>
      </c>
      <c r="FT562" s="101">
        <f t="shared" si="351"/>
        <v>69</v>
      </c>
      <c r="FU562" s="101">
        <f t="shared" si="344"/>
        <v>7</v>
      </c>
      <c r="FV562" s="14">
        <f t="shared" si="345"/>
        <v>4</v>
      </c>
      <c r="FW562" s="101" t="str">
        <f t="shared" si="352"/>
        <v>夏侯渊专属武器-魂珠-8 6级</v>
      </c>
      <c r="FX562" s="101">
        <f t="shared" si="353"/>
        <v>8</v>
      </c>
      <c r="FY562" s="101">
        <f t="shared" si="354"/>
        <v>6</v>
      </c>
      <c r="FZ562" s="101" t="str">
        <f t="shared" si="346"/>
        <v>金币</v>
      </c>
      <c r="GA562" s="139">
        <f>IF($FY562&gt;0,IF(INDEX($EM$6:$EM$77,$FT562)&gt;=GA$3,ROUND(INDEX(EO$6:EO$77,$FT562)*INDEX(卡牌消耗!$B$8:$F$8,FV562)/5,0)*5,""),"")</f>
        <v>18870</v>
      </c>
      <c r="GB562" s="101" t="str">
        <f t="shared" si="347"/>
        <v>专属强化石4</v>
      </c>
      <c r="GC562" s="101">
        <f t="shared" si="348"/>
        <v>18</v>
      </c>
      <c r="GD562" s="101" t="str">
        <f t="shared" si="349"/>
        <v/>
      </c>
      <c r="GE562" s="101" t="str">
        <f t="shared" si="350"/>
        <v/>
      </c>
      <c r="GF562" s="101">
        <f t="shared" si="355"/>
        <v>0.03</v>
      </c>
      <c r="GG562" s="101">
        <f t="shared" si="356"/>
        <v>1</v>
      </c>
      <c r="GH562" s="101">
        <f t="shared" si="357"/>
        <v>48</v>
      </c>
      <c r="GI562" s="101">
        <f t="shared" si="358"/>
        <v>0</v>
      </c>
      <c r="GJ562" s="101">
        <f t="shared" si="359"/>
        <v>1</v>
      </c>
      <c r="GK562" s="101">
        <f t="shared" si="360"/>
        <v>11</v>
      </c>
      <c r="GL562" s="101">
        <f t="shared" si="361"/>
        <v>1.5599999999999999E-2</v>
      </c>
      <c r="GM562" s="101">
        <f t="shared" si="362"/>
        <v>1</v>
      </c>
      <c r="GN562" s="101">
        <f t="shared" si="363"/>
        <v>22</v>
      </c>
      <c r="GO562" s="101">
        <f t="shared" si="364"/>
        <v>6.2600000000000003E-2</v>
      </c>
      <c r="GP562" s="101">
        <f t="shared" si="365"/>
        <v>1</v>
      </c>
      <c r="GQ562" s="101">
        <f t="shared" si="366"/>
        <v>48</v>
      </c>
    </row>
    <row r="563" spans="175:199" ht="16.5" x14ac:dyDescent="0.2">
      <c r="FS563" s="101">
        <v>558</v>
      </c>
      <c r="FT563" s="101">
        <f t="shared" si="351"/>
        <v>70</v>
      </c>
      <c r="FU563" s="101">
        <f t="shared" si="344"/>
        <v>7</v>
      </c>
      <c r="FV563" s="14">
        <f t="shared" si="345"/>
        <v>4</v>
      </c>
      <c r="FW563" s="101" t="str">
        <f t="shared" si="352"/>
        <v>夏侯渊专属武器-魂珠-8 7级</v>
      </c>
      <c r="FX563" s="101">
        <f t="shared" si="353"/>
        <v>8</v>
      </c>
      <c r="FY563" s="101">
        <f t="shared" si="354"/>
        <v>7</v>
      </c>
      <c r="FZ563" s="101" t="str">
        <f t="shared" si="346"/>
        <v>金币</v>
      </c>
      <c r="GA563" s="139">
        <f>IF($FY563&gt;0,IF(INDEX($EM$6:$EM$77,$FT563)&gt;=GA$3,ROUND(INDEX(EO$6:EO$77,$FT563)*INDEX(卡牌消耗!$B$8:$F$8,FV563)/5,0)*5,""),"")</f>
        <v>26270</v>
      </c>
      <c r="GB563" s="101" t="str">
        <f t="shared" si="347"/>
        <v>专属强化石4</v>
      </c>
      <c r="GC563" s="101">
        <f t="shared" si="348"/>
        <v>25</v>
      </c>
      <c r="GD563" s="101" t="str">
        <f t="shared" si="349"/>
        <v/>
      </c>
      <c r="GE563" s="101" t="str">
        <f t="shared" si="350"/>
        <v/>
      </c>
      <c r="GF563" s="101">
        <f t="shared" si="355"/>
        <v>0.03</v>
      </c>
      <c r="GG563" s="101">
        <f t="shared" si="356"/>
        <v>1</v>
      </c>
      <c r="GH563" s="101">
        <f t="shared" si="357"/>
        <v>56</v>
      </c>
      <c r="GI563" s="101">
        <f t="shared" si="358"/>
        <v>0</v>
      </c>
      <c r="GJ563" s="101">
        <f t="shared" si="359"/>
        <v>1</v>
      </c>
      <c r="GK563" s="101">
        <f t="shared" si="360"/>
        <v>13</v>
      </c>
      <c r="GL563" s="101">
        <f t="shared" si="361"/>
        <v>1.35E-2</v>
      </c>
      <c r="GM563" s="101">
        <f t="shared" si="362"/>
        <v>1</v>
      </c>
      <c r="GN563" s="101">
        <f t="shared" si="363"/>
        <v>26</v>
      </c>
      <c r="GO563" s="101">
        <f t="shared" si="364"/>
        <v>5.3800000000000001E-2</v>
      </c>
      <c r="GP563" s="101">
        <f t="shared" si="365"/>
        <v>1</v>
      </c>
      <c r="GQ563" s="101">
        <f t="shared" si="366"/>
        <v>56</v>
      </c>
    </row>
    <row r="564" spans="175:199" ht="16.5" x14ac:dyDescent="0.2">
      <c r="FS564" s="101">
        <v>559</v>
      </c>
      <c r="FT564" s="101">
        <f t="shared" si="351"/>
        <v>71</v>
      </c>
      <c r="FU564" s="101">
        <f t="shared" si="344"/>
        <v>7</v>
      </c>
      <c r="FV564" s="14">
        <f t="shared" si="345"/>
        <v>4</v>
      </c>
      <c r="FW564" s="101" t="str">
        <f t="shared" si="352"/>
        <v>夏侯渊专属武器-魂珠-8 8级</v>
      </c>
      <c r="FX564" s="101">
        <f t="shared" si="353"/>
        <v>8</v>
      </c>
      <c r="FY564" s="101">
        <f t="shared" si="354"/>
        <v>8</v>
      </c>
      <c r="FZ564" s="101" t="str">
        <f t="shared" si="346"/>
        <v>金币</v>
      </c>
      <c r="GA564" s="139">
        <f>IF($FY564&gt;0,IF(INDEX($EM$6:$EM$77,$FT564)&gt;=GA$3,ROUND(INDEX(EO$6:EO$77,$FT564)*INDEX(卡牌消耗!$B$8:$F$8,FV564)/5,0)*5,""),"")</f>
        <v>31495</v>
      </c>
      <c r="GB564" s="101" t="str">
        <f t="shared" si="347"/>
        <v>专属强化石4</v>
      </c>
      <c r="GC564" s="101">
        <f t="shared" si="348"/>
        <v>30</v>
      </c>
      <c r="GD564" s="101" t="str">
        <f t="shared" si="349"/>
        <v/>
      </c>
      <c r="GE564" s="101" t="str">
        <f t="shared" si="350"/>
        <v/>
      </c>
      <c r="GF564" s="101">
        <f t="shared" si="355"/>
        <v>0.02</v>
      </c>
      <c r="GG564" s="101">
        <f t="shared" si="356"/>
        <v>1</v>
      </c>
      <c r="GH564" s="101">
        <f t="shared" si="357"/>
        <v>75</v>
      </c>
      <c r="GI564" s="101">
        <f t="shared" si="358"/>
        <v>0</v>
      </c>
      <c r="GJ564" s="101">
        <f t="shared" si="359"/>
        <v>1</v>
      </c>
      <c r="GK564" s="101">
        <f t="shared" si="360"/>
        <v>18</v>
      </c>
      <c r="GL564" s="101">
        <f t="shared" si="361"/>
        <v>0.01</v>
      </c>
      <c r="GM564" s="101">
        <f t="shared" si="362"/>
        <v>1</v>
      </c>
      <c r="GN564" s="101">
        <f t="shared" si="363"/>
        <v>35</v>
      </c>
      <c r="GO564" s="101">
        <f t="shared" si="364"/>
        <v>3.9899999999999998E-2</v>
      </c>
      <c r="GP564" s="101">
        <f t="shared" si="365"/>
        <v>1</v>
      </c>
      <c r="GQ564" s="101">
        <f t="shared" si="366"/>
        <v>75</v>
      </c>
    </row>
    <row r="565" spans="175:199" ht="16.5" x14ac:dyDescent="0.2">
      <c r="FS565" s="101">
        <v>560</v>
      </c>
      <c r="FT565" s="101">
        <f t="shared" si="351"/>
        <v>72</v>
      </c>
      <c r="FU565" s="101">
        <f t="shared" si="344"/>
        <v>7</v>
      </c>
      <c r="FV565" s="14">
        <f t="shared" si="345"/>
        <v>4</v>
      </c>
      <c r="FW565" s="101" t="str">
        <f t="shared" si="352"/>
        <v>夏侯渊专属武器-魂珠-8 9级</v>
      </c>
      <c r="FX565" s="101">
        <f t="shared" si="353"/>
        <v>8</v>
      </c>
      <c r="FY565" s="101">
        <f t="shared" si="354"/>
        <v>9</v>
      </c>
      <c r="FZ565" s="101" t="str">
        <f t="shared" si="346"/>
        <v>金币</v>
      </c>
      <c r="GA565" s="139">
        <f>IF($FY565&gt;0,IF(INDEX($EM$6:$EM$77,$FT565)&gt;=GA$3,ROUND(INDEX(EO$6:EO$77,$FT565)*INDEX(卡牌消耗!$B$8:$F$8,FV565)/5,0)*5,""),"")</f>
        <v>31510</v>
      </c>
      <c r="GB565" s="101" t="str">
        <f t="shared" si="347"/>
        <v>专属强化石4</v>
      </c>
      <c r="GC565" s="101">
        <f t="shared" si="348"/>
        <v>30</v>
      </c>
      <c r="GD565" s="101" t="str">
        <f t="shared" si="349"/>
        <v/>
      </c>
      <c r="GE565" s="101" t="str">
        <f t="shared" si="350"/>
        <v/>
      </c>
      <c r="GF565" s="101">
        <f t="shared" si="355"/>
        <v>0.01</v>
      </c>
      <c r="GG565" s="101">
        <f t="shared" si="356"/>
        <v>1</v>
      </c>
      <c r="GH565" s="101">
        <f t="shared" si="357"/>
        <v>122</v>
      </c>
      <c r="GI565" s="101">
        <f t="shared" si="358"/>
        <v>0</v>
      </c>
      <c r="GJ565" s="101">
        <f t="shared" si="359"/>
        <v>1</v>
      </c>
      <c r="GK565" s="101">
        <f t="shared" si="360"/>
        <v>28</v>
      </c>
      <c r="GL565" s="101">
        <f t="shared" si="361"/>
        <v>6.1999999999999998E-3</v>
      </c>
      <c r="GM565" s="101">
        <f t="shared" si="362"/>
        <v>1</v>
      </c>
      <c r="GN565" s="101">
        <f t="shared" si="363"/>
        <v>57</v>
      </c>
      <c r="GO565" s="101">
        <f t="shared" si="364"/>
        <v>2.47E-2</v>
      </c>
      <c r="GP565" s="101">
        <f t="shared" si="365"/>
        <v>1</v>
      </c>
      <c r="GQ565" s="101">
        <f t="shared" si="366"/>
        <v>122</v>
      </c>
    </row>
    <row r="566" spans="175:199" ht="16.5" x14ac:dyDescent="0.2">
      <c r="FS566" s="101">
        <v>561</v>
      </c>
      <c r="FT566" s="101">
        <f t="shared" si="351"/>
        <v>0</v>
      </c>
      <c r="FU566" s="101">
        <f t="shared" si="344"/>
        <v>8</v>
      </c>
      <c r="FV566" s="14">
        <f t="shared" si="345"/>
        <v>3</v>
      </c>
      <c r="FW566" s="101" t="str">
        <f t="shared" si="352"/>
        <v>徐晃专属武器-魂珠-1 0级</v>
      </c>
      <c r="FX566" s="101">
        <f t="shared" si="353"/>
        <v>1</v>
      </c>
      <c r="FY566" s="101">
        <f t="shared" si="354"/>
        <v>0</v>
      </c>
      <c r="FZ566" s="101" t="str">
        <f t="shared" si="346"/>
        <v/>
      </c>
      <c r="GA566" s="139" t="str">
        <f>IF($FY566&gt;0,IF(INDEX($EM$6:$EM$77,$FT566)&gt;=GA$3,ROUND(INDEX(EO$6:EO$77,$FT566)*INDEX(卡牌消耗!$B$8:$F$8,FV566)/5,0)*5,""),"")</f>
        <v/>
      </c>
      <c r="GB566" s="101" t="str">
        <f t="shared" si="347"/>
        <v/>
      </c>
      <c r="GC566" s="101" t="str">
        <f t="shared" si="348"/>
        <v/>
      </c>
      <c r="GD566" s="101" t="str">
        <f t="shared" si="349"/>
        <v/>
      </c>
      <c r="GE566" s="101" t="str">
        <f t="shared" si="350"/>
        <v/>
      </c>
      <c r="GF566" s="101" t="str">
        <f t="shared" si="355"/>
        <v/>
      </c>
      <c r="GG566" s="101" t="str">
        <f t="shared" si="356"/>
        <v/>
      </c>
      <c r="GH566" s="101" t="str">
        <f t="shared" si="357"/>
        <v/>
      </c>
      <c r="GI566" s="101" t="str">
        <f t="shared" si="358"/>
        <v/>
      </c>
      <c r="GJ566" s="101" t="str">
        <f t="shared" si="359"/>
        <v/>
      </c>
      <c r="GK566" s="101" t="str">
        <f t="shared" si="360"/>
        <v/>
      </c>
      <c r="GL566" s="101" t="str">
        <f t="shared" si="361"/>
        <v/>
      </c>
      <c r="GM566" s="101" t="str">
        <f t="shared" si="362"/>
        <v/>
      </c>
      <c r="GN566" s="101" t="str">
        <f t="shared" si="363"/>
        <v/>
      </c>
      <c r="GO566" s="101" t="str">
        <f t="shared" si="364"/>
        <v/>
      </c>
      <c r="GP566" s="101" t="str">
        <f t="shared" si="365"/>
        <v/>
      </c>
      <c r="GQ566" s="101" t="str">
        <f t="shared" si="366"/>
        <v/>
      </c>
    </row>
    <row r="567" spans="175:199" ht="16.5" x14ac:dyDescent="0.2">
      <c r="FS567" s="101">
        <v>562</v>
      </c>
      <c r="FT567" s="101">
        <f t="shared" si="351"/>
        <v>1</v>
      </c>
      <c r="FU567" s="101">
        <f t="shared" si="344"/>
        <v>8</v>
      </c>
      <c r="FV567" s="14">
        <f t="shared" si="345"/>
        <v>3</v>
      </c>
      <c r="FW567" s="101" t="str">
        <f t="shared" si="352"/>
        <v>徐晃专属武器-魂珠-1 1级</v>
      </c>
      <c r="FX567" s="101">
        <f t="shared" si="353"/>
        <v>1</v>
      </c>
      <c r="FY567" s="101">
        <f t="shared" si="354"/>
        <v>1</v>
      </c>
      <c r="FZ567" s="101" t="str">
        <f t="shared" si="346"/>
        <v>金币</v>
      </c>
      <c r="GA567" s="139">
        <f>IF($FY567&gt;0,IF(INDEX($EM$6:$EM$77,$FT567)&gt;=GA$3,ROUND(INDEX(EO$6:EO$77,$FT567)*INDEX(卡牌消耗!$B$8:$F$8,FV567)/5,0)*5,""),"")</f>
        <v>95</v>
      </c>
      <c r="GB567" s="101" t="str">
        <f t="shared" si="347"/>
        <v>专属强化石1</v>
      </c>
      <c r="GC567" s="101">
        <f t="shared" si="348"/>
        <v>1</v>
      </c>
      <c r="GD567" s="101" t="str">
        <f t="shared" si="349"/>
        <v/>
      </c>
      <c r="GE567" s="101" t="str">
        <f t="shared" si="350"/>
        <v/>
      </c>
      <c r="GF567" s="101">
        <f t="shared" si="355"/>
        <v>0.32</v>
      </c>
      <c r="GG567" s="101">
        <f t="shared" si="356"/>
        <v>1</v>
      </c>
      <c r="GH567" s="101">
        <f t="shared" si="357"/>
        <v>5</v>
      </c>
      <c r="GI567" s="101">
        <f t="shared" si="358"/>
        <v>0</v>
      </c>
      <c r="GJ567" s="101">
        <f t="shared" si="359"/>
        <v>1</v>
      </c>
      <c r="GK567" s="101">
        <f t="shared" si="360"/>
        <v>1</v>
      </c>
      <c r="GL567" s="101">
        <f t="shared" si="361"/>
        <v>0.1595</v>
      </c>
      <c r="GM567" s="101">
        <f t="shared" si="362"/>
        <v>1</v>
      </c>
      <c r="GN567" s="101">
        <f t="shared" si="363"/>
        <v>2</v>
      </c>
      <c r="GO567" s="101">
        <f t="shared" si="364"/>
        <v>0.63819999999999999</v>
      </c>
      <c r="GP567" s="101">
        <f t="shared" si="365"/>
        <v>1</v>
      </c>
      <c r="GQ567" s="101">
        <f t="shared" si="366"/>
        <v>5</v>
      </c>
    </row>
    <row r="568" spans="175:199" ht="16.5" x14ac:dyDescent="0.2">
      <c r="FS568" s="101">
        <v>563</v>
      </c>
      <c r="FT568" s="101">
        <f t="shared" si="351"/>
        <v>2</v>
      </c>
      <c r="FU568" s="101">
        <f t="shared" si="344"/>
        <v>8</v>
      </c>
      <c r="FV568" s="14">
        <f t="shared" si="345"/>
        <v>3</v>
      </c>
      <c r="FW568" s="101" t="str">
        <f t="shared" si="352"/>
        <v>徐晃专属武器-魂珠-1 2级</v>
      </c>
      <c r="FX568" s="101">
        <f t="shared" si="353"/>
        <v>1</v>
      </c>
      <c r="FY568" s="101">
        <f t="shared" si="354"/>
        <v>2</v>
      </c>
      <c r="FZ568" s="101" t="str">
        <f t="shared" si="346"/>
        <v>金币</v>
      </c>
      <c r="GA568" s="139">
        <f>IF($FY568&gt;0,IF(INDEX($EM$6:$EM$77,$FT568)&gt;=GA$3,ROUND(INDEX(EO$6:EO$77,$FT568)*INDEX(卡牌消耗!$B$8:$F$8,FV568)/5,0)*5,""),"")</f>
        <v>140</v>
      </c>
      <c r="GB568" s="101" t="str">
        <f t="shared" si="347"/>
        <v>专属强化石1</v>
      </c>
      <c r="GC568" s="101">
        <f t="shared" si="348"/>
        <v>2</v>
      </c>
      <c r="GD568" s="101" t="str">
        <f t="shared" si="349"/>
        <v/>
      </c>
      <c r="GE568" s="101" t="str">
        <f t="shared" si="350"/>
        <v/>
      </c>
      <c r="GF568" s="101">
        <f t="shared" si="355"/>
        <v>0.32</v>
      </c>
      <c r="GG568" s="101">
        <f t="shared" si="356"/>
        <v>1</v>
      </c>
      <c r="GH568" s="101">
        <f t="shared" si="357"/>
        <v>5</v>
      </c>
      <c r="GI568" s="101">
        <f t="shared" si="358"/>
        <v>0</v>
      </c>
      <c r="GJ568" s="101">
        <f t="shared" si="359"/>
        <v>1</v>
      </c>
      <c r="GK568" s="101">
        <f t="shared" si="360"/>
        <v>1</v>
      </c>
      <c r="GL568" s="101">
        <f t="shared" si="361"/>
        <v>0.1595</v>
      </c>
      <c r="GM568" s="101">
        <f t="shared" si="362"/>
        <v>1</v>
      </c>
      <c r="GN568" s="101">
        <f t="shared" si="363"/>
        <v>2</v>
      </c>
      <c r="GO568" s="101">
        <f t="shared" si="364"/>
        <v>0.63819999999999999</v>
      </c>
      <c r="GP568" s="101">
        <f t="shared" si="365"/>
        <v>1</v>
      </c>
      <c r="GQ568" s="101">
        <f t="shared" si="366"/>
        <v>5</v>
      </c>
    </row>
    <row r="569" spans="175:199" ht="16.5" x14ac:dyDescent="0.2">
      <c r="FS569" s="101">
        <v>564</v>
      </c>
      <c r="FT569" s="101">
        <f t="shared" si="351"/>
        <v>3</v>
      </c>
      <c r="FU569" s="101">
        <f t="shared" si="344"/>
        <v>8</v>
      </c>
      <c r="FV569" s="14">
        <f t="shared" si="345"/>
        <v>3</v>
      </c>
      <c r="FW569" s="101" t="str">
        <f t="shared" si="352"/>
        <v>徐晃专属武器-魂珠-1 3级</v>
      </c>
      <c r="FX569" s="101">
        <f t="shared" si="353"/>
        <v>1</v>
      </c>
      <c r="FY569" s="101">
        <f t="shared" si="354"/>
        <v>3</v>
      </c>
      <c r="FZ569" s="101" t="str">
        <f t="shared" si="346"/>
        <v>金币</v>
      </c>
      <c r="GA569" s="139">
        <f>IF($FY569&gt;0,IF(INDEX($EM$6:$EM$77,$FT569)&gt;=GA$3,ROUND(INDEX(EO$6:EO$77,$FT569)*INDEX(卡牌消耗!$B$8:$F$8,FV569)/5,0)*5,""),"")</f>
        <v>235</v>
      </c>
      <c r="GB569" s="101" t="str">
        <f t="shared" si="347"/>
        <v>专属强化石1</v>
      </c>
      <c r="GC569" s="101">
        <f t="shared" si="348"/>
        <v>3</v>
      </c>
      <c r="GD569" s="101" t="str">
        <f t="shared" si="349"/>
        <v/>
      </c>
      <c r="GE569" s="101" t="str">
        <f t="shared" si="350"/>
        <v/>
      </c>
      <c r="GF569" s="101">
        <f t="shared" si="355"/>
        <v>0.32</v>
      </c>
      <c r="GG569" s="101">
        <f t="shared" si="356"/>
        <v>1</v>
      </c>
      <c r="GH569" s="101">
        <f t="shared" si="357"/>
        <v>5</v>
      </c>
      <c r="GI569" s="101">
        <f t="shared" si="358"/>
        <v>0</v>
      </c>
      <c r="GJ569" s="101">
        <f t="shared" si="359"/>
        <v>1</v>
      </c>
      <c r="GK569" s="101">
        <f t="shared" si="360"/>
        <v>1</v>
      </c>
      <c r="GL569" s="101">
        <f t="shared" si="361"/>
        <v>0.1595</v>
      </c>
      <c r="GM569" s="101">
        <f t="shared" si="362"/>
        <v>1</v>
      </c>
      <c r="GN569" s="101">
        <f t="shared" si="363"/>
        <v>2</v>
      </c>
      <c r="GO569" s="101">
        <f t="shared" si="364"/>
        <v>0.63819999999999999</v>
      </c>
      <c r="GP569" s="101">
        <f t="shared" si="365"/>
        <v>1</v>
      </c>
      <c r="GQ569" s="101">
        <f t="shared" si="366"/>
        <v>5</v>
      </c>
    </row>
    <row r="570" spans="175:199" ht="16.5" x14ac:dyDescent="0.2">
      <c r="FS570" s="101">
        <v>565</v>
      </c>
      <c r="FT570" s="101">
        <f t="shared" si="351"/>
        <v>4</v>
      </c>
      <c r="FU570" s="101">
        <f t="shared" si="344"/>
        <v>8</v>
      </c>
      <c r="FV570" s="14">
        <f t="shared" si="345"/>
        <v>3</v>
      </c>
      <c r="FW570" s="101" t="str">
        <f t="shared" si="352"/>
        <v>徐晃专属武器-魂珠-1 4级</v>
      </c>
      <c r="FX570" s="101">
        <f t="shared" si="353"/>
        <v>1</v>
      </c>
      <c r="FY570" s="101">
        <f t="shared" si="354"/>
        <v>4</v>
      </c>
      <c r="FZ570" s="101" t="str">
        <f t="shared" si="346"/>
        <v>金币</v>
      </c>
      <c r="GA570" s="139">
        <f>IF($FY570&gt;0,IF(INDEX($EM$6:$EM$77,$FT570)&gt;=GA$3,ROUND(INDEX(EO$6:EO$77,$FT570)*INDEX(卡牌消耗!$B$8:$F$8,FV570)/5,0)*5,""),"")</f>
        <v>305</v>
      </c>
      <c r="GB570" s="101" t="str">
        <f t="shared" si="347"/>
        <v>专属强化石1</v>
      </c>
      <c r="GC570" s="101">
        <f t="shared" si="348"/>
        <v>4</v>
      </c>
      <c r="GD570" s="101" t="str">
        <f t="shared" si="349"/>
        <v/>
      </c>
      <c r="GE570" s="101" t="str">
        <f t="shared" si="350"/>
        <v/>
      </c>
      <c r="GF570" s="101">
        <f t="shared" si="355"/>
        <v>0.26</v>
      </c>
      <c r="GG570" s="101">
        <f t="shared" si="356"/>
        <v>1</v>
      </c>
      <c r="GH570" s="101">
        <f t="shared" si="357"/>
        <v>6</v>
      </c>
      <c r="GI570" s="101">
        <f t="shared" si="358"/>
        <v>0</v>
      </c>
      <c r="GJ570" s="101">
        <f t="shared" si="359"/>
        <v>1</v>
      </c>
      <c r="GK570" s="101">
        <f t="shared" si="360"/>
        <v>1</v>
      </c>
      <c r="GL570" s="101">
        <f t="shared" si="361"/>
        <v>0.12759999999999999</v>
      </c>
      <c r="GM570" s="101">
        <f t="shared" si="362"/>
        <v>1</v>
      </c>
      <c r="GN570" s="101">
        <f t="shared" si="363"/>
        <v>3</v>
      </c>
      <c r="GO570" s="101">
        <f t="shared" si="364"/>
        <v>0.51060000000000005</v>
      </c>
      <c r="GP570" s="101">
        <f t="shared" si="365"/>
        <v>1</v>
      </c>
      <c r="GQ570" s="101">
        <f t="shared" si="366"/>
        <v>6</v>
      </c>
    </row>
    <row r="571" spans="175:199" ht="16.5" x14ac:dyDescent="0.2">
      <c r="FS571" s="101">
        <v>566</v>
      </c>
      <c r="FT571" s="101">
        <f t="shared" si="351"/>
        <v>5</v>
      </c>
      <c r="FU571" s="101">
        <f t="shared" si="344"/>
        <v>8</v>
      </c>
      <c r="FV571" s="14">
        <f t="shared" si="345"/>
        <v>3</v>
      </c>
      <c r="FW571" s="101" t="str">
        <f t="shared" si="352"/>
        <v>徐晃专属武器-魂珠-1 5级</v>
      </c>
      <c r="FX571" s="101">
        <f t="shared" si="353"/>
        <v>1</v>
      </c>
      <c r="FY571" s="101">
        <f t="shared" si="354"/>
        <v>5</v>
      </c>
      <c r="FZ571" s="101" t="str">
        <f t="shared" si="346"/>
        <v>金币</v>
      </c>
      <c r="GA571" s="139">
        <f>IF($FY571&gt;0,IF(INDEX($EM$6:$EM$77,$FT571)&gt;=GA$3,ROUND(INDEX(EO$6:EO$77,$FT571)*INDEX(卡牌消耗!$B$8:$F$8,FV571)/5,0)*5,""),"")</f>
        <v>385</v>
      </c>
      <c r="GB571" s="101" t="str">
        <f t="shared" si="347"/>
        <v>专属强化石1</v>
      </c>
      <c r="GC571" s="101">
        <f t="shared" si="348"/>
        <v>5</v>
      </c>
      <c r="GD571" s="101" t="str">
        <f t="shared" si="349"/>
        <v/>
      </c>
      <c r="GE571" s="101" t="str">
        <f t="shared" si="350"/>
        <v/>
      </c>
      <c r="GF571" s="101">
        <f t="shared" si="355"/>
        <v>0.2</v>
      </c>
      <c r="GG571" s="101">
        <f t="shared" si="356"/>
        <v>1</v>
      </c>
      <c r="GH571" s="101">
        <f t="shared" si="357"/>
        <v>8</v>
      </c>
      <c r="GI571" s="101">
        <f t="shared" si="358"/>
        <v>0</v>
      </c>
      <c r="GJ571" s="101">
        <f t="shared" si="359"/>
        <v>1</v>
      </c>
      <c r="GK571" s="101">
        <f t="shared" si="360"/>
        <v>2</v>
      </c>
      <c r="GL571" s="101">
        <f t="shared" si="361"/>
        <v>9.9699999999999997E-2</v>
      </c>
      <c r="GM571" s="101">
        <f t="shared" si="362"/>
        <v>1</v>
      </c>
      <c r="GN571" s="101">
        <f t="shared" si="363"/>
        <v>4</v>
      </c>
      <c r="GO571" s="101">
        <f t="shared" si="364"/>
        <v>0.39889999999999998</v>
      </c>
      <c r="GP571" s="101">
        <f t="shared" si="365"/>
        <v>1</v>
      </c>
      <c r="GQ571" s="101">
        <f t="shared" si="366"/>
        <v>8</v>
      </c>
    </row>
    <row r="572" spans="175:199" ht="16.5" x14ac:dyDescent="0.2">
      <c r="FS572" s="101">
        <v>567</v>
      </c>
      <c r="FT572" s="101">
        <f t="shared" si="351"/>
        <v>6</v>
      </c>
      <c r="FU572" s="101">
        <f t="shared" si="344"/>
        <v>8</v>
      </c>
      <c r="FV572" s="14">
        <f t="shared" si="345"/>
        <v>3</v>
      </c>
      <c r="FW572" s="101" t="str">
        <f t="shared" si="352"/>
        <v>徐晃专属武器-魂珠-1 6级</v>
      </c>
      <c r="FX572" s="101">
        <f t="shared" si="353"/>
        <v>1</v>
      </c>
      <c r="FY572" s="101">
        <f t="shared" si="354"/>
        <v>6</v>
      </c>
      <c r="FZ572" s="101" t="str">
        <f t="shared" si="346"/>
        <v>金币</v>
      </c>
      <c r="GA572" s="139">
        <f>IF($FY572&gt;0,IF(INDEX($EM$6:$EM$77,$FT572)&gt;=GA$3,ROUND(INDEX(EO$6:EO$77,$FT572)*INDEX(卡牌消耗!$B$8:$F$8,FV572)/5,0)*5,""),"")</f>
        <v>460</v>
      </c>
      <c r="GB572" s="101" t="str">
        <f t="shared" si="347"/>
        <v>专属强化石1</v>
      </c>
      <c r="GC572" s="101">
        <f t="shared" si="348"/>
        <v>6</v>
      </c>
      <c r="GD572" s="101" t="str">
        <f t="shared" si="349"/>
        <v/>
      </c>
      <c r="GE572" s="101" t="str">
        <f t="shared" si="350"/>
        <v/>
      </c>
      <c r="GF572" s="101">
        <f t="shared" si="355"/>
        <v>0.15</v>
      </c>
      <c r="GG572" s="101">
        <f t="shared" si="356"/>
        <v>1</v>
      </c>
      <c r="GH572" s="101">
        <f t="shared" si="357"/>
        <v>10</v>
      </c>
      <c r="GI572" s="101">
        <f t="shared" si="358"/>
        <v>0</v>
      </c>
      <c r="GJ572" s="101">
        <f t="shared" si="359"/>
        <v>1</v>
      </c>
      <c r="GK572" s="101">
        <f t="shared" si="360"/>
        <v>2</v>
      </c>
      <c r="GL572" s="101">
        <f t="shared" si="361"/>
        <v>7.3599999999999999E-2</v>
      </c>
      <c r="GM572" s="101">
        <f t="shared" si="362"/>
        <v>1</v>
      </c>
      <c r="GN572" s="101">
        <f t="shared" si="363"/>
        <v>5</v>
      </c>
      <c r="GO572" s="101">
        <f t="shared" si="364"/>
        <v>0.29459999999999997</v>
      </c>
      <c r="GP572" s="101">
        <f t="shared" si="365"/>
        <v>1</v>
      </c>
      <c r="GQ572" s="101">
        <f t="shared" si="366"/>
        <v>10</v>
      </c>
    </row>
    <row r="573" spans="175:199" ht="16.5" x14ac:dyDescent="0.2">
      <c r="FS573" s="101">
        <v>568</v>
      </c>
      <c r="FT573" s="101">
        <f t="shared" si="351"/>
        <v>7</v>
      </c>
      <c r="FU573" s="101">
        <f t="shared" si="344"/>
        <v>8</v>
      </c>
      <c r="FV573" s="14">
        <f t="shared" si="345"/>
        <v>3</v>
      </c>
      <c r="FW573" s="101" t="str">
        <f t="shared" si="352"/>
        <v>徐晃专属武器-魂珠-1 7级</v>
      </c>
      <c r="FX573" s="101">
        <f t="shared" si="353"/>
        <v>1</v>
      </c>
      <c r="FY573" s="101">
        <f t="shared" si="354"/>
        <v>7</v>
      </c>
      <c r="FZ573" s="101" t="str">
        <f t="shared" si="346"/>
        <v>金币</v>
      </c>
      <c r="GA573" s="139">
        <f>IF($FY573&gt;0,IF(INDEX($EM$6:$EM$77,$FT573)&gt;=GA$3,ROUND(INDEX(EO$6:EO$77,$FT573)*INDEX(卡牌消耗!$B$8:$F$8,FV573)/5,0)*5,""),"")</f>
        <v>535</v>
      </c>
      <c r="GB573" s="101" t="str">
        <f t="shared" si="347"/>
        <v>专属强化石1</v>
      </c>
      <c r="GC573" s="101">
        <f t="shared" si="348"/>
        <v>7</v>
      </c>
      <c r="GD573" s="101" t="str">
        <f t="shared" si="349"/>
        <v/>
      </c>
      <c r="GE573" s="101" t="str">
        <f t="shared" si="350"/>
        <v/>
      </c>
      <c r="GF573" s="101">
        <f t="shared" si="355"/>
        <v>0.11</v>
      </c>
      <c r="GG573" s="101">
        <f t="shared" si="356"/>
        <v>1</v>
      </c>
      <c r="GH573" s="101">
        <f t="shared" si="357"/>
        <v>14</v>
      </c>
      <c r="GI573" s="101">
        <f t="shared" si="358"/>
        <v>0</v>
      </c>
      <c r="GJ573" s="101">
        <f t="shared" si="359"/>
        <v>1</v>
      </c>
      <c r="GK573" s="101">
        <f t="shared" si="360"/>
        <v>3</v>
      </c>
      <c r="GL573" s="101">
        <f t="shared" si="361"/>
        <v>5.3199999999999997E-2</v>
      </c>
      <c r="GM573" s="101">
        <f t="shared" si="362"/>
        <v>1</v>
      </c>
      <c r="GN573" s="101">
        <f t="shared" si="363"/>
        <v>7</v>
      </c>
      <c r="GO573" s="101">
        <f t="shared" si="364"/>
        <v>0.2127</v>
      </c>
      <c r="GP573" s="101">
        <f t="shared" si="365"/>
        <v>1</v>
      </c>
      <c r="GQ573" s="101">
        <f t="shared" si="366"/>
        <v>14</v>
      </c>
    </row>
    <row r="574" spans="175:199" ht="16.5" x14ac:dyDescent="0.2">
      <c r="FS574" s="101">
        <v>569</v>
      </c>
      <c r="FT574" s="101">
        <f t="shared" si="351"/>
        <v>8</v>
      </c>
      <c r="FU574" s="101">
        <f t="shared" si="344"/>
        <v>8</v>
      </c>
      <c r="FV574" s="14">
        <f t="shared" si="345"/>
        <v>3</v>
      </c>
      <c r="FW574" s="101" t="str">
        <f t="shared" si="352"/>
        <v>徐晃专属武器-魂珠-1 8级</v>
      </c>
      <c r="FX574" s="101">
        <f t="shared" si="353"/>
        <v>1</v>
      </c>
      <c r="FY574" s="101">
        <f t="shared" si="354"/>
        <v>8</v>
      </c>
      <c r="FZ574" s="101" t="str">
        <f t="shared" si="346"/>
        <v>金币</v>
      </c>
      <c r="GA574" s="139">
        <f>IF($FY574&gt;0,IF(INDEX($EM$6:$EM$77,$FT574)&gt;=GA$3,ROUND(INDEX(EO$6:EO$77,$FT574)*INDEX(卡牌消耗!$B$8:$F$8,FV574)/5,0)*5,""),"")</f>
        <v>615</v>
      </c>
      <c r="GB574" s="101" t="str">
        <f t="shared" si="347"/>
        <v>专属强化石1</v>
      </c>
      <c r="GC574" s="101">
        <f t="shared" si="348"/>
        <v>8</v>
      </c>
      <c r="GD574" s="101" t="str">
        <f t="shared" si="349"/>
        <v/>
      </c>
      <c r="GE574" s="101" t="str">
        <f t="shared" si="350"/>
        <v/>
      </c>
      <c r="GF574" s="101">
        <f t="shared" si="355"/>
        <v>0.08</v>
      </c>
      <c r="GG574" s="101">
        <f t="shared" si="356"/>
        <v>1</v>
      </c>
      <c r="GH574" s="101">
        <f t="shared" si="357"/>
        <v>20</v>
      </c>
      <c r="GI574" s="101">
        <f t="shared" si="358"/>
        <v>0</v>
      </c>
      <c r="GJ574" s="101">
        <f t="shared" si="359"/>
        <v>1</v>
      </c>
      <c r="GK574" s="101">
        <f t="shared" si="360"/>
        <v>5</v>
      </c>
      <c r="GL574" s="101">
        <f t="shared" si="361"/>
        <v>3.7499999999999999E-2</v>
      </c>
      <c r="GM574" s="101">
        <f t="shared" si="362"/>
        <v>1</v>
      </c>
      <c r="GN574" s="101">
        <f t="shared" si="363"/>
        <v>9</v>
      </c>
      <c r="GO574" s="101">
        <f t="shared" si="364"/>
        <v>0.1502</v>
      </c>
      <c r="GP574" s="101">
        <f t="shared" si="365"/>
        <v>1</v>
      </c>
      <c r="GQ574" s="101">
        <f t="shared" si="366"/>
        <v>20</v>
      </c>
    </row>
    <row r="575" spans="175:199" ht="16.5" x14ac:dyDescent="0.2">
      <c r="FS575" s="101">
        <v>570</v>
      </c>
      <c r="FT575" s="101">
        <f t="shared" si="351"/>
        <v>9</v>
      </c>
      <c r="FU575" s="101">
        <f t="shared" si="344"/>
        <v>8</v>
      </c>
      <c r="FV575" s="14">
        <f t="shared" si="345"/>
        <v>3</v>
      </c>
      <c r="FW575" s="101" t="str">
        <f t="shared" si="352"/>
        <v>徐晃专属武器-魂珠-1 9级</v>
      </c>
      <c r="FX575" s="101">
        <f t="shared" si="353"/>
        <v>1</v>
      </c>
      <c r="FY575" s="101">
        <f t="shared" si="354"/>
        <v>9</v>
      </c>
      <c r="FZ575" s="101" t="str">
        <f t="shared" si="346"/>
        <v>金币</v>
      </c>
      <c r="GA575" s="139">
        <f>IF($FY575&gt;0,IF(INDEX($EM$6:$EM$77,$FT575)&gt;=GA$3,ROUND(INDEX(EO$6:EO$77,$FT575)*INDEX(卡牌消耗!$B$8:$F$8,FV575)/5,0)*5,""),"")</f>
        <v>765</v>
      </c>
      <c r="GB575" s="101" t="str">
        <f t="shared" si="347"/>
        <v>专属强化石1</v>
      </c>
      <c r="GC575" s="101">
        <f t="shared" si="348"/>
        <v>10</v>
      </c>
      <c r="GD575" s="101" t="str">
        <f t="shared" si="349"/>
        <v/>
      </c>
      <c r="GE575" s="101" t="str">
        <f t="shared" si="350"/>
        <v/>
      </c>
      <c r="GF575" s="101">
        <f t="shared" si="355"/>
        <v>0.06</v>
      </c>
      <c r="GG575" s="101">
        <f t="shared" si="356"/>
        <v>1</v>
      </c>
      <c r="GH575" s="101">
        <f t="shared" si="357"/>
        <v>26</v>
      </c>
      <c r="GI575" s="101">
        <f t="shared" si="358"/>
        <v>0</v>
      </c>
      <c r="GJ575" s="101">
        <f t="shared" si="359"/>
        <v>1</v>
      </c>
      <c r="GK575" s="101">
        <f t="shared" si="360"/>
        <v>6</v>
      </c>
      <c r="GL575" s="101">
        <f t="shared" si="361"/>
        <v>2.9000000000000001E-2</v>
      </c>
      <c r="GM575" s="101">
        <f t="shared" si="362"/>
        <v>1</v>
      </c>
      <c r="GN575" s="101">
        <f t="shared" si="363"/>
        <v>12</v>
      </c>
      <c r="GO575" s="101">
        <f t="shared" si="364"/>
        <v>0.11600000000000001</v>
      </c>
      <c r="GP575" s="101">
        <f t="shared" si="365"/>
        <v>1</v>
      </c>
      <c r="GQ575" s="101">
        <f t="shared" si="366"/>
        <v>26</v>
      </c>
    </row>
    <row r="576" spans="175:199" ht="16.5" x14ac:dyDescent="0.2">
      <c r="FS576" s="101">
        <v>571</v>
      </c>
      <c r="FT576" s="101">
        <f t="shared" si="351"/>
        <v>0</v>
      </c>
      <c r="FU576" s="101">
        <f t="shared" si="344"/>
        <v>8</v>
      </c>
      <c r="FV576" s="14">
        <f t="shared" si="345"/>
        <v>3</v>
      </c>
      <c r="FW576" s="101" t="str">
        <f t="shared" si="352"/>
        <v>徐晃专属武器-魂珠-2 0级</v>
      </c>
      <c r="FX576" s="101">
        <f t="shared" si="353"/>
        <v>2</v>
      </c>
      <c r="FY576" s="101">
        <f t="shared" si="354"/>
        <v>0</v>
      </c>
      <c r="FZ576" s="101" t="str">
        <f t="shared" si="346"/>
        <v/>
      </c>
      <c r="GA576" s="139" t="str">
        <f>IF($FY576&gt;0,IF(INDEX($EM$6:$EM$77,$FT576)&gt;=GA$3,ROUND(INDEX(EO$6:EO$77,$FT576)*INDEX(卡牌消耗!$B$8:$F$8,FV576)/5,0)*5,""),"")</f>
        <v/>
      </c>
      <c r="GB576" s="101" t="str">
        <f t="shared" si="347"/>
        <v/>
      </c>
      <c r="GC576" s="101" t="str">
        <f t="shared" si="348"/>
        <v/>
      </c>
      <c r="GD576" s="101" t="str">
        <f t="shared" si="349"/>
        <v/>
      </c>
      <c r="GE576" s="101" t="str">
        <f t="shared" si="350"/>
        <v/>
      </c>
      <c r="GF576" s="101" t="str">
        <f t="shared" si="355"/>
        <v/>
      </c>
      <c r="GG576" s="101" t="str">
        <f t="shared" si="356"/>
        <v/>
      </c>
      <c r="GH576" s="101" t="str">
        <f t="shared" si="357"/>
        <v/>
      </c>
      <c r="GI576" s="101" t="str">
        <f t="shared" si="358"/>
        <v/>
      </c>
      <c r="GJ576" s="101" t="str">
        <f t="shared" si="359"/>
        <v/>
      </c>
      <c r="GK576" s="101" t="str">
        <f t="shared" si="360"/>
        <v/>
      </c>
      <c r="GL576" s="101" t="str">
        <f t="shared" si="361"/>
        <v/>
      </c>
      <c r="GM576" s="101" t="str">
        <f t="shared" si="362"/>
        <v/>
      </c>
      <c r="GN576" s="101" t="str">
        <f t="shared" si="363"/>
        <v/>
      </c>
      <c r="GO576" s="101" t="str">
        <f t="shared" si="364"/>
        <v/>
      </c>
      <c r="GP576" s="101" t="str">
        <f t="shared" si="365"/>
        <v/>
      </c>
      <c r="GQ576" s="101" t="str">
        <f t="shared" si="366"/>
        <v/>
      </c>
    </row>
    <row r="577" spans="175:199" ht="16.5" x14ac:dyDescent="0.2">
      <c r="FS577" s="101">
        <v>572</v>
      </c>
      <c r="FT577" s="101">
        <f t="shared" si="351"/>
        <v>10</v>
      </c>
      <c r="FU577" s="101">
        <f t="shared" si="344"/>
        <v>8</v>
      </c>
      <c r="FV577" s="14">
        <f t="shared" si="345"/>
        <v>3</v>
      </c>
      <c r="FW577" s="101" t="str">
        <f t="shared" si="352"/>
        <v>徐晃专属武器-魂珠-2 1级</v>
      </c>
      <c r="FX577" s="101">
        <f t="shared" si="353"/>
        <v>2</v>
      </c>
      <c r="FY577" s="101">
        <f t="shared" si="354"/>
        <v>1</v>
      </c>
      <c r="FZ577" s="101" t="str">
        <f t="shared" si="346"/>
        <v>金币</v>
      </c>
      <c r="GA577" s="139">
        <f>IF($FY577&gt;0,IF(INDEX($EM$6:$EM$77,$FT577)&gt;=GA$3,ROUND(INDEX(EO$6:EO$77,$FT577)*INDEX(卡牌消耗!$B$8:$F$8,FV577)/5,0)*5,""),"")</f>
        <v>260</v>
      </c>
      <c r="GB577" s="101" t="str">
        <f t="shared" si="347"/>
        <v>专属强化石1</v>
      </c>
      <c r="GC577" s="101">
        <f t="shared" si="348"/>
        <v>3</v>
      </c>
      <c r="GD577" s="101" t="str">
        <f t="shared" si="349"/>
        <v>专属强化石2</v>
      </c>
      <c r="GE577" s="101">
        <f t="shared" si="350"/>
        <v>1</v>
      </c>
      <c r="GF577" s="101">
        <f t="shared" si="355"/>
        <v>0.39</v>
      </c>
      <c r="GG577" s="101">
        <f t="shared" si="356"/>
        <v>1</v>
      </c>
      <c r="GH577" s="101">
        <f t="shared" si="357"/>
        <v>4</v>
      </c>
      <c r="GI577" s="101">
        <f t="shared" si="358"/>
        <v>0</v>
      </c>
      <c r="GJ577" s="101">
        <f t="shared" si="359"/>
        <v>1</v>
      </c>
      <c r="GK577" s="101">
        <f t="shared" si="360"/>
        <v>1</v>
      </c>
      <c r="GL577" s="101">
        <f t="shared" si="361"/>
        <v>0.19270000000000001</v>
      </c>
      <c r="GM577" s="101">
        <f t="shared" si="362"/>
        <v>1</v>
      </c>
      <c r="GN577" s="101">
        <f t="shared" si="363"/>
        <v>2</v>
      </c>
      <c r="GO577" s="101">
        <f t="shared" si="364"/>
        <v>0.77070000000000005</v>
      </c>
      <c r="GP577" s="101">
        <f t="shared" si="365"/>
        <v>1</v>
      </c>
      <c r="GQ577" s="101">
        <f t="shared" si="366"/>
        <v>4</v>
      </c>
    </row>
    <row r="578" spans="175:199" ht="16.5" x14ac:dyDescent="0.2">
      <c r="FS578" s="101">
        <v>573</v>
      </c>
      <c r="FT578" s="101">
        <f t="shared" si="351"/>
        <v>11</v>
      </c>
      <c r="FU578" s="101">
        <f t="shared" si="344"/>
        <v>8</v>
      </c>
      <c r="FV578" s="14">
        <f t="shared" si="345"/>
        <v>3</v>
      </c>
      <c r="FW578" s="101" t="str">
        <f t="shared" si="352"/>
        <v>徐晃专属武器-魂珠-2 2级</v>
      </c>
      <c r="FX578" s="101">
        <f t="shared" si="353"/>
        <v>2</v>
      </c>
      <c r="FY578" s="101">
        <f t="shared" si="354"/>
        <v>2</v>
      </c>
      <c r="FZ578" s="101" t="str">
        <f t="shared" si="346"/>
        <v>金币</v>
      </c>
      <c r="GA578" s="139">
        <f>IF($FY578&gt;0,IF(INDEX($EM$6:$EM$77,$FT578)&gt;=GA$3,ROUND(INDEX(EO$6:EO$77,$FT578)*INDEX(卡牌消耗!$B$8:$F$8,FV578)/5,0)*5,""),"")</f>
        <v>195</v>
      </c>
      <c r="GB578" s="101" t="str">
        <f t="shared" si="347"/>
        <v>专属强化石1</v>
      </c>
      <c r="GC578" s="101">
        <f t="shared" si="348"/>
        <v>3</v>
      </c>
      <c r="GD578" s="101" t="str">
        <f t="shared" si="349"/>
        <v>专属强化石2</v>
      </c>
      <c r="GE578" s="101">
        <f t="shared" si="350"/>
        <v>1</v>
      </c>
      <c r="GF578" s="101">
        <f t="shared" si="355"/>
        <v>0.19</v>
      </c>
      <c r="GG578" s="101">
        <f t="shared" si="356"/>
        <v>1</v>
      </c>
      <c r="GH578" s="101">
        <f t="shared" si="357"/>
        <v>8</v>
      </c>
      <c r="GI578" s="101">
        <f t="shared" si="358"/>
        <v>0</v>
      </c>
      <c r="GJ578" s="101">
        <f t="shared" si="359"/>
        <v>1</v>
      </c>
      <c r="GK578" s="101">
        <f t="shared" si="360"/>
        <v>2</v>
      </c>
      <c r="GL578" s="101">
        <f t="shared" si="361"/>
        <v>9.6299999999999997E-2</v>
      </c>
      <c r="GM578" s="101">
        <f t="shared" si="362"/>
        <v>1</v>
      </c>
      <c r="GN578" s="101">
        <f t="shared" si="363"/>
        <v>4</v>
      </c>
      <c r="GO578" s="101">
        <f t="shared" si="364"/>
        <v>0.38529999999999998</v>
      </c>
      <c r="GP578" s="101">
        <f t="shared" si="365"/>
        <v>1</v>
      </c>
      <c r="GQ578" s="101">
        <f t="shared" si="366"/>
        <v>8</v>
      </c>
    </row>
    <row r="579" spans="175:199" ht="16.5" x14ac:dyDescent="0.2">
      <c r="FS579" s="101">
        <v>574</v>
      </c>
      <c r="FT579" s="101">
        <f t="shared" si="351"/>
        <v>12</v>
      </c>
      <c r="FU579" s="101">
        <f t="shared" si="344"/>
        <v>8</v>
      </c>
      <c r="FV579" s="14">
        <f t="shared" si="345"/>
        <v>3</v>
      </c>
      <c r="FW579" s="101" t="str">
        <f t="shared" si="352"/>
        <v>徐晃专属武器-魂珠-2 3级</v>
      </c>
      <c r="FX579" s="101">
        <f t="shared" si="353"/>
        <v>2</v>
      </c>
      <c r="FY579" s="101">
        <f t="shared" si="354"/>
        <v>3</v>
      </c>
      <c r="FZ579" s="101" t="str">
        <f t="shared" si="346"/>
        <v>金币</v>
      </c>
      <c r="GA579" s="139">
        <f>IF($FY579&gt;0,IF(INDEX($EM$6:$EM$77,$FT579)&gt;=GA$3,ROUND(INDEX(EO$6:EO$77,$FT579)*INDEX(卡牌消耗!$B$8:$F$8,FV579)/5,0)*5,""),"")</f>
        <v>435</v>
      </c>
      <c r="GB579" s="101" t="str">
        <f t="shared" si="347"/>
        <v>专属强化石1</v>
      </c>
      <c r="GC579" s="101">
        <f t="shared" si="348"/>
        <v>6</v>
      </c>
      <c r="GD579" s="101" t="str">
        <f t="shared" si="349"/>
        <v>专属强化石2</v>
      </c>
      <c r="GE579" s="101">
        <f t="shared" si="350"/>
        <v>2</v>
      </c>
      <c r="GF579" s="101">
        <f t="shared" si="355"/>
        <v>0.26</v>
      </c>
      <c r="GG579" s="101">
        <f t="shared" si="356"/>
        <v>1</v>
      </c>
      <c r="GH579" s="101">
        <f t="shared" si="357"/>
        <v>6</v>
      </c>
      <c r="GI579" s="101">
        <f t="shared" si="358"/>
        <v>0</v>
      </c>
      <c r="GJ579" s="101">
        <f t="shared" si="359"/>
        <v>1</v>
      </c>
      <c r="GK579" s="101">
        <f t="shared" si="360"/>
        <v>1</v>
      </c>
      <c r="GL579" s="101">
        <f t="shared" si="361"/>
        <v>0.12839999999999999</v>
      </c>
      <c r="GM579" s="101">
        <f t="shared" si="362"/>
        <v>1</v>
      </c>
      <c r="GN579" s="101">
        <f t="shared" si="363"/>
        <v>3</v>
      </c>
      <c r="GO579" s="101">
        <f t="shared" si="364"/>
        <v>0.51380000000000003</v>
      </c>
      <c r="GP579" s="101">
        <f t="shared" si="365"/>
        <v>1</v>
      </c>
      <c r="GQ579" s="101">
        <f t="shared" si="366"/>
        <v>6</v>
      </c>
    </row>
    <row r="580" spans="175:199" ht="16.5" x14ac:dyDescent="0.2">
      <c r="FS580" s="101">
        <v>575</v>
      </c>
      <c r="FT580" s="101">
        <f t="shared" si="351"/>
        <v>13</v>
      </c>
      <c r="FU580" s="101">
        <f t="shared" si="344"/>
        <v>8</v>
      </c>
      <c r="FV580" s="14">
        <f t="shared" si="345"/>
        <v>3</v>
      </c>
      <c r="FW580" s="101" t="str">
        <f t="shared" si="352"/>
        <v>徐晃专属武器-魂珠-2 4级</v>
      </c>
      <c r="FX580" s="101">
        <f t="shared" si="353"/>
        <v>2</v>
      </c>
      <c r="FY580" s="101">
        <f t="shared" si="354"/>
        <v>4</v>
      </c>
      <c r="FZ580" s="101" t="str">
        <f t="shared" si="346"/>
        <v>金币</v>
      </c>
      <c r="GA580" s="139">
        <f>IF($FY580&gt;0,IF(INDEX($EM$6:$EM$77,$FT580)&gt;=GA$3,ROUND(INDEX(EO$6:EO$77,$FT580)*INDEX(卡牌消耗!$B$8:$F$8,FV580)/5,0)*5,""),"")</f>
        <v>420</v>
      </c>
      <c r="GB580" s="101" t="str">
        <f t="shared" si="347"/>
        <v>专属强化石1</v>
      </c>
      <c r="GC580" s="101">
        <f t="shared" si="348"/>
        <v>6</v>
      </c>
      <c r="GD580" s="101" t="str">
        <f t="shared" si="349"/>
        <v>专属强化石2</v>
      </c>
      <c r="GE580" s="101">
        <f t="shared" si="350"/>
        <v>2</v>
      </c>
      <c r="GF580" s="101">
        <f t="shared" si="355"/>
        <v>0.15</v>
      </c>
      <c r="GG580" s="101">
        <f t="shared" si="356"/>
        <v>1</v>
      </c>
      <c r="GH580" s="101">
        <f t="shared" si="357"/>
        <v>10</v>
      </c>
      <c r="GI580" s="101">
        <f t="shared" si="358"/>
        <v>0</v>
      </c>
      <c r="GJ580" s="101">
        <f t="shared" si="359"/>
        <v>1</v>
      </c>
      <c r="GK580" s="101">
        <f t="shared" si="360"/>
        <v>2</v>
      </c>
      <c r="GL580" s="101">
        <f t="shared" si="361"/>
        <v>7.7100000000000002E-2</v>
      </c>
      <c r="GM580" s="101">
        <f t="shared" si="362"/>
        <v>1</v>
      </c>
      <c r="GN580" s="101">
        <f t="shared" si="363"/>
        <v>5</v>
      </c>
      <c r="GO580" s="101">
        <f t="shared" si="364"/>
        <v>0.30830000000000002</v>
      </c>
      <c r="GP580" s="101">
        <f t="shared" si="365"/>
        <v>1</v>
      </c>
      <c r="GQ580" s="101">
        <f t="shared" si="366"/>
        <v>10</v>
      </c>
    </row>
    <row r="581" spans="175:199" ht="16.5" x14ac:dyDescent="0.2">
      <c r="FS581" s="101">
        <v>576</v>
      </c>
      <c r="FT581" s="101">
        <f t="shared" si="351"/>
        <v>14</v>
      </c>
      <c r="FU581" s="101">
        <f t="shared" si="344"/>
        <v>8</v>
      </c>
      <c r="FV581" s="14">
        <f t="shared" si="345"/>
        <v>3</v>
      </c>
      <c r="FW581" s="101" t="str">
        <f t="shared" si="352"/>
        <v>徐晃专属武器-魂珠-2 5级</v>
      </c>
      <c r="FX581" s="101">
        <f t="shared" si="353"/>
        <v>2</v>
      </c>
      <c r="FY581" s="101">
        <f t="shared" si="354"/>
        <v>5</v>
      </c>
      <c r="FZ581" s="101" t="str">
        <f t="shared" si="346"/>
        <v>金币</v>
      </c>
      <c r="GA581" s="139">
        <f>IF($FY581&gt;0,IF(INDEX($EM$6:$EM$77,$FT581)&gt;=GA$3,ROUND(INDEX(EO$6:EO$77,$FT581)*INDEX(卡牌消耗!$B$8:$F$8,FV581)/5,0)*5,""),"")</f>
        <v>635</v>
      </c>
      <c r="GB581" s="101" t="str">
        <f t="shared" si="347"/>
        <v>专属强化石1</v>
      </c>
      <c r="GC581" s="101">
        <f t="shared" si="348"/>
        <v>9</v>
      </c>
      <c r="GD581" s="101" t="str">
        <f t="shared" si="349"/>
        <v>专属强化石2</v>
      </c>
      <c r="GE581" s="101">
        <f t="shared" si="350"/>
        <v>3</v>
      </c>
      <c r="GF581" s="101">
        <f t="shared" si="355"/>
        <v>0.14000000000000001</v>
      </c>
      <c r="GG581" s="101">
        <f t="shared" si="356"/>
        <v>1</v>
      </c>
      <c r="GH581" s="101">
        <f t="shared" si="357"/>
        <v>10</v>
      </c>
      <c r="GI581" s="101">
        <f t="shared" si="358"/>
        <v>0</v>
      </c>
      <c r="GJ581" s="101">
        <f t="shared" si="359"/>
        <v>1</v>
      </c>
      <c r="GK581" s="101">
        <f t="shared" si="360"/>
        <v>2</v>
      </c>
      <c r="GL581" s="101">
        <f t="shared" si="361"/>
        <v>7.22E-2</v>
      </c>
      <c r="GM581" s="101">
        <f t="shared" si="362"/>
        <v>1</v>
      </c>
      <c r="GN581" s="101">
        <f t="shared" si="363"/>
        <v>5</v>
      </c>
      <c r="GO581" s="101">
        <f t="shared" si="364"/>
        <v>0.28899999999999998</v>
      </c>
      <c r="GP581" s="101">
        <f t="shared" si="365"/>
        <v>1</v>
      </c>
      <c r="GQ581" s="101">
        <f t="shared" si="366"/>
        <v>10</v>
      </c>
    </row>
    <row r="582" spans="175:199" ht="16.5" x14ac:dyDescent="0.2">
      <c r="FS582" s="101">
        <v>577</v>
      </c>
      <c r="FT582" s="101">
        <f t="shared" si="351"/>
        <v>15</v>
      </c>
      <c r="FU582" s="101">
        <f t="shared" si="344"/>
        <v>8</v>
      </c>
      <c r="FV582" s="14">
        <f t="shared" si="345"/>
        <v>3</v>
      </c>
      <c r="FW582" s="101" t="str">
        <f t="shared" si="352"/>
        <v>徐晃专属武器-魂珠-2 6级</v>
      </c>
      <c r="FX582" s="101">
        <f t="shared" si="353"/>
        <v>2</v>
      </c>
      <c r="FY582" s="101">
        <f t="shared" si="354"/>
        <v>6</v>
      </c>
      <c r="FZ582" s="101" t="str">
        <f t="shared" si="346"/>
        <v>金币</v>
      </c>
      <c r="GA582" s="139">
        <f>IF($FY582&gt;0,IF(INDEX($EM$6:$EM$77,$FT582)&gt;=GA$3,ROUND(INDEX(EO$6:EO$77,$FT582)*INDEX(卡牌消耗!$B$8:$F$8,FV582)/5,0)*5,""),"")</f>
        <v>845</v>
      </c>
      <c r="GB582" s="101" t="str">
        <f t="shared" si="347"/>
        <v>专属强化石1</v>
      </c>
      <c r="GC582" s="101">
        <f t="shared" si="348"/>
        <v>12</v>
      </c>
      <c r="GD582" s="101" t="str">
        <f t="shared" si="349"/>
        <v>专属强化石2</v>
      </c>
      <c r="GE582" s="101">
        <f t="shared" si="350"/>
        <v>4</v>
      </c>
      <c r="GF582" s="101">
        <f t="shared" si="355"/>
        <v>0.12</v>
      </c>
      <c r="GG582" s="101">
        <f t="shared" si="356"/>
        <v>1</v>
      </c>
      <c r="GH582" s="101">
        <f t="shared" si="357"/>
        <v>13</v>
      </c>
      <c r="GI582" s="101">
        <f t="shared" si="358"/>
        <v>0</v>
      </c>
      <c r="GJ582" s="101">
        <f t="shared" si="359"/>
        <v>1</v>
      </c>
      <c r="GK582" s="101">
        <f t="shared" si="360"/>
        <v>3</v>
      </c>
      <c r="GL582" s="101">
        <f t="shared" si="361"/>
        <v>5.9299999999999999E-2</v>
      </c>
      <c r="GM582" s="101">
        <f t="shared" si="362"/>
        <v>1</v>
      </c>
      <c r="GN582" s="101">
        <f t="shared" si="363"/>
        <v>6</v>
      </c>
      <c r="GO582" s="101">
        <f t="shared" si="364"/>
        <v>0.23710000000000001</v>
      </c>
      <c r="GP582" s="101">
        <f t="shared" si="365"/>
        <v>1</v>
      </c>
      <c r="GQ582" s="101">
        <f t="shared" si="366"/>
        <v>13</v>
      </c>
    </row>
    <row r="583" spans="175:199" ht="16.5" x14ac:dyDescent="0.2">
      <c r="FS583" s="101">
        <v>578</v>
      </c>
      <c r="FT583" s="101">
        <f t="shared" si="351"/>
        <v>16</v>
      </c>
      <c r="FU583" s="101">
        <f t="shared" ref="FU583:FU646" si="367">INT((FS583-1)/80+1)</f>
        <v>8</v>
      </c>
      <c r="FV583" s="14">
        <f t="shared" ref="FV583:FV646" si="368">INDEX($FO$6:$FO$26,FU583)</f>
        <v>3</v>
      </c>
      <c r="FW583" s="101" t="str">
        <f t="shared" si="352"/>
        <v>徐晃专属武器-魂珠-2 7级</v>
      </c>
      <c r="FX583" s="101">
        <f t="shared" si="353"/>
        <v>2</v>
      </c>
      <c r="FY583" s="101">
        <f t="shared" si="354"/>
        <v>7</v>
      </c>
      <c r="FZ583" s="101" t="str">
        <f t="shared" ref="FZ583:FZ646" si="369">IF($FY583&gt;0,IF(INDEX($EM$6:$EM$77,$FT583)&gt;=FZ$3,INDEX(EN$6:EN$77,$FT583),""),"")</f>
        <v>金币</v>
      </c>
      <c r="GA583" s="139">
        <f>IF($FY583&gt;0,IF(INDEX($EM$6:$EM$77,$FT583)&gt;=GA$3,ROUND(INDEX(EO$6:EO$77,$FT583)*INDEX(卡牌消耗!$B$8:$F$8,FV583)/5,0)*5,""),"")</f>
        <v>1060</v>
      </c>
      <c r="GB583" s="101" t="str">
        <f t="shared" ref="GB583:GB646" si="370">IF($FY583&gt;0,IF(INDEX($EM$6:$EM$77,$FT583)&gt;=GB$3,INDEX(EP$6:EP$77,$FT583),""),"")</f>
        <v>专属强化石1</v>
      </c>
      <c r="GC583" s="101">
        <f t="shared" ref="GC583:GC646" si="371">IF($FY583&gt;0,IF(INDEX($EM$6:$EM$77,$FT583)&gt;=GC$3,INDEX(EQ$6:EQ$77,$FT583),""),"")</f>
        <v>15</v>
      </c>
      <c r="GD583" s="101" t="str">
        <f t="shared" ref="GD583:GD646" si="372">IF($FY583&gt;0,IF(INDEX($EM$6:$EM$77,$FT583)&gt;=GD$3,INDEX(ER$6:ER$77,$FT583),""),"")</f>
        <v>专属强化石2</v>
      </c>
      <c r="GE583" s="101">
        <f t="shared" ref="GE583:GE646" si="373">IF($FY583&gt;0,IF(INDEX($EM$6:$EM$77,$FT583)&gt;=GE$3,INDEX(ES$6:ES$77,$FT583),""),"")</f>
        <v>5</v>
      </c>
      <c r="GF583" s="101">
        <f t="shared" si="355"/>
        <v>0.09</v>
      </c>
      <c r="GG583" s="101">
        <f t="shared" si="356"/>
        <v>1</v>
      </c>
      <c r="GH583" s="101">
        <f t="shared" si="357"/>
        <v>16</v>
      </c>
      <c r="GI583" s="101">
        <f t="shared" si="358"/>
        <v>0</v>
      </c>
      <c r="GJ583" s="101">
        <f t="shared" si="359"/>
        <v>1</v>
      </c>
      <c r="GK583" s="101">
        <f t="shared" si="360"/>
        <v>4</v>
      </c>
      <c r="GL583" s="101">
        <f t="shared" si="361"/>
        <v>4.5900000000000003E-2</v>
      </c>
      <c r="GM583" s="101">
        <f t="shared" si="362"/>
        <v>1</v>
      </c>
      <c r="GN583" s="101">
        <f t="shared" si="363"/>
        <v>8</v>
      </c>
      <c r="GO583" s="101">
        <f t="shared" si="364"/>
        <v>0.1835</v>
      </c>
      <c r="GP583" s="101">
        <f t="shared" si="365"/>
        <v>1</v>
      </c>
      <c r="GQ583" s="101">
        <f t="shared" si="366"/>
        <v>16</v>
      </c>
    </row>
    <row r="584" spans="175:199" ht="16.5" x14ac:dyDescent="0.2">
      <c r="FS584" s="101">
        <v>579</v>
      </c>
      <c r="FT584" s="101">
        <f t="shared" si="351"/>
        <v>17</v>
      </c>
      <c r="FU584" s="101">
        <f t="shared" si="367"/>
        <v>8</v>
      </c>
      <c r="FV584" s="14">
        <f t="shared" si="368"/>
        <v>3</v>
      </c>
      <c r="FW584" s="101" t="str">
        <f t="shared" si="352"/>
        <v>徐晃专属武器-魂珠-2 8级</v>
      </c>
      <c r="FX584" s="101">
        <f t="shared" si="353"/>
        <v>2</v>
      </c>
      <c r="FY584" s="101">
        <f t="shared" si="354"/>
        <v>8</v>
      </c>
      <c r="FZ584" s="101" t="str">
        <f t="shared" si="369"/>
        <v>金币</v>
      </c>
      <c r="GA584" s="139">
        <f>IF($FY584&gt;0,IF(INDEX($EM$6:$EM$77,$FT584)&gt;=GA$3,ROUND(INDEX(EO$6:EO$77,$FT584)*INDEX(卡牌消耗!$B$8:$F$8,FV584)/5,0)*5,""),"")</f>
        <v>1270</v>
      </c>
      <c r="GB584" s="101" t="str">
        <f t="shared" si="370"/>
        <v>专属强化石1</v>
      </c>
      <c r="GC584" s="101">
        <f t="shared" si="371"/>
        <v>18</v>
      </c>
      <c r="GD584" s="101" t="str">
        <f t="shared" si="372"/>
        <v>专属强化石2</v>
      </c>
      <c r="GE584" s="101">
        <f t="shared" si="373"/>
        <v>6</v>
      </c>
      <c r="GF584" s="101">
        <f t="shared" si="355"/>
        <v>7.0000000000000007E-2</v>
      </c>
      <c r="GG584" s="101">
        <f t="shared" si="356"/>
        <v>1</v>
      </c>
      <c r="GH584" s="101">
        <f t="shared" si="357"/>
        <v>22</v>
      </c>
      <c r="GI584" s="101">
        <f t="shared" si="358"/>
        <v>0</v>
      </c>
      <c r="GJ584" s="101">
        <f t="shared" si="359"/>
        <v>1</v>
      </c>
      <c r="GK584" s="101">
        <f t="shared" si="360"/>
        <v>5</v>
      </c>
      <c r="GL584" s="101">
        <f t="shared" si="361"/>
        <v>3.4000000000000002E-2</v>
      </c>
      <c r="GM584" s="101">
        <f t="shared" si="362"/>
        <v>1</v>
      </c>
      <c r="GN584" s="101">
        <f t="shared" si="363"/>
        <v>10</v>
      </c>
      <c r="GO584" s="101">
        <f t="shared" si="364"/>
        <v>0.13600000000000001</v>
      </c>
      <c r="GP584" s="101">
        <f t="shared" si="365"/>
        <v>1</v>
      </c>
      <c r="GQ584" s="101">
        <f t="shared" si="366"/>
        <v>22</v>
      </c>
    </row>
    <row r="585" spans="175:199" ht="16.5" x14ac:dyDescent="0.2">
      <c r="FS585" s="101">
        <v>580</v>
      </c>
      <c r="FT585" s="101">
        <f t="shared" si="351"/>
        <v>18</v>
      </c>
      <c r="FU585" s="101">
        <f t="shared" si="367"/>
        <v>8</v>
      </c>
      <c r="FV585" s="14">
        <f t="shared" si="368"/>
        <v>3</v>
      </c>
      <c r="FW585" s="101" t="str">
        <f t="shared" si="352"/>
        <v>徐晃专属武器-魂珠-2 9级</v>
      </c>
      <c r="FX585" s="101">
        <f t="shared" si="353"/>
        <v>2</v>
      </c>
      <c r="FY585" s="101">
        <f t="shared" si="354"/>
        <v>9</v>
      </c>
      <c r="FZ585" s="101" t="str">
        <f t="shared" si="369"/>
        <v>金币</v>
      </c>
      <c r="GA585" s="139">
        <f>IF($FY585&gt;0,IF(INDEX($EM$6:$EM$77,$FT585)&gt;=GA$3,ROUND(INDEX(EO$6:EO$77,$FT585)*INDEX(卡牌消耗!$B$8:$F$8,FV585)/5,0)*5,""),"")</f>
        <v>1695</v>
      </c>
      <c r="GB585" s="101" t="str">
        <f t="shared" si="370"/>
        <v>专属强化石1</v>
      </c>
      <c r="GC585" s="101">
        <f t="shared" si="371"/>
        <v>24</v>
      </c>
      <c r="GD585" s="101" t="str">
        <f t="shared" si="372"/>
        <v>专属强化石2</v>
      </c>
      <c r="GE585" s="101">
        <f t="shared" si="373"/>
        <v>8</v>
      </c>
      <c r="GF585" s="101">
        <f t="shared" si="355"/>
        <v>0.06</v>
      </c>
      <c r="GG585" s="101">
        <f t="shared" si="356"/>
        <v>1</v>
      </c>
      <c r="GH585" s="101">
        <f t="shared" si="357"/>
        <v>27</v>
      </c>
      <c r="GI585" s="101">
        <f t="shared" si="358"/>
        <v>0</v>
      </c>
      <c r="GJ585" s="101">
        <f t="shared" si="359"/>
        <v>1</v>
      </c>
      <c r="GK585" s="101">
        <f t="shared" si="360"/>
        <v>6</v>
      </c>
      <c r="GL585" s="101">
        <f t="shared" si="361"/>
        <v>2.8000000000000001E-2</v>
      </c>
      <c r="GM585" s="101">
        <f t="shared" si="362"/>
        <v>1</v>
      </c>
      <c r="GN585" s="101">
        <f t="shared" si="363"/>
        <v>12</v>
      </c>
      <c r="GO585" s="101">
        <f t="shared" si="364"/>
        <v>0.11210000000000001</v>
      </c>
      <c r="GP585" s="101">
        <f t="shared" si="365"/>
        <v>1</v>
      </c>
      <c r="GQ585" s="101">
        <f t="shared" si="366"/>
        <v>27</v>
      </c>
    </row>
    <row r="586" spans="175:199" ht="16.5" x14ac:dyDescent="0.2">
      <c r="FS586" s="101">
        <v>581</v>
      </c>
      <c r="FT586" s="101">
        <f t="shared" si="351"/>
        <v>0</v>
      </c>
      <c r="FU586" s="101">
        <f t="shared" si="367"/>
        <v>8</v>
      </c>
      <c r="FV586" s="14">
        <f t="shared" si="368"/>
        <v>3</v>
      </c>
      <c r="FW586" s="101" t="str">
        <f t="shared" si="352"/>
        <v>徐晃专属武器-魂珠-3 0级</v>
      </c>
      <c r="FX586" s="101">
        <f t="shared" si="353"/>
        <v>3</v>
      </c>
      <c r="FY586" s="101">
        <f t="shared" si="354"/>
        <v>0</v>
      </c>
      <c r="FZ586" s="101" t="str">
        <f t="shared" si="369"/>
        <v/>
      </c>
      <c r="GA586" s="139" t="str">
        <f>IF($FY586&gt;0,IF(INDEX($EM$6:$EM$77,$FT586)&gt;=GA$3,ROUND(INDEX(EO$6:EO$77,$FT586)*INDEX(卡牌消耗!$B$8:$F$8,FV586)/5,0)*5,""),"")</f>
        <v/>
      </c>
      <c r="GB586" s="101" t="str">
        <f t="shared" si="370"/>
        <v/>
      </c>
      <c r="GC586" s="101" t="str">
        <f t="shared" si="371"/>
        <v/>
      </c>
      <c r="GD586" s="101" t="str">
        <f t="shared" si="372"/>
        <v/>
      </c>
      <c r="GE586" s="101" t="str">
        <f t="shared" si="373"/>
        <v/>
      </c>
      <c r="GF586" s="101" t="str">
        <f t="shared" si="355"/>
        <v/>
      </c>
      <c r="GG586" s="101" t="str">
        <f t="shared" si="356"/>
        <v/>
      </c>
      <c r="GH586" s="101" t="str">
        <f t="shared" si="357"/>
        <v/>
      </c>
      <c r="GI586" s="101" t="str">
        <f t="shared" si="358"/>
        <v/>
      </c>
      <c r="GJ586" s="101" t="str">
        <f t="shared" si="359"/>
        <v/>
      </c>
      <c r="GK586" s="101" t="str">
        <f t="shared" si="360"/>
        <v/>
      </c>
      <c r="GL586" s="101" t="str">
        <f t="shared" si="361"/>
        <v/>
      </c>
      <c r="GM586" s="101" t="str">
        <f t="shared" si="362"/>
        <v/>
      </c>
      <c r="GN586" s="101" t="str">
        <f t="shared" si="363"/>
        <v/>
      </c>
      <c r="GO586" s="101" t="str">
        <f t="shared" si="364"/>
        <v/>
      </c>
      <c r="GP586" s="101" t="str">
        <f t="shared" si="365"/>
        <v/>
      </c>
      <c r="GQ586" s="101" t="str">
        <f t="shared" si="366"/>
        <v/>
      </c>
    </row>
    <row r="587" spans="175:199" ht="16.5" x14ac:dyDescent="0.2">
      <c r="FS587" s="101">
        <v>582</v>
      </c>
      <c r="FT587" s="101">
        <f t="shared" si="351"/>
        <v>19</v>
      </c>
      <c r="FU587" s="101">
        <f t="shared" si="367"/>
        <v>8</v>
      </c>
      <c r="FV587" s="14">
        <f t="shared" si="368"/>
        <v>3</v>
      </c>
      <c r="FW587" s="101" t="str">
        <f t="shared" si="352"/>
        <v>徐晃专属武器-魂珠-3 1级</v>
      </c>
      <c r="FX587" s="101">
        <f t="shared" si="353"/>
        <v>3</v>
      </c>
      <c r="FY587" s="101">
        <f t="shared" si="354"/>
        <v>1</v>
      </c>
      <c r="FZ587" s="101" t="str">
        <f t="shared" si="369"/>
        <v>金币</v>
      </c>
      <c r="GA587" s="139">
        <f>IF($FY587&gt;0,IF(INDEX($EM$6:$EM$77,$FT587)&gt;=GA$3,ROUND(INDEX(EO$6:EO$77,$FT587)*INDEX(卡牌消耗!$B$8:$F$8,FV587)/5,0)*5,""),"")</f>
        <v>545</v>
      </c>
      <c r="GB587" s="101" t="str">
        <f t="shared" si="370"/>
        <v>专属强化石1</v>
      </c>
      <c r="GC587" s="101">
        <f t="shared" si="371"/>
        <v>4</v>
      </c>
      <c r="GD587" s="101" t="str">
        <f t="shared" si="372"/>
        <v>专属强化石2</v>
      </c>
      <c r="GE587" s="101">
        <f t="shared" si="373"/>
        <v>2</v>
      </c>
      <c r="GF587" s="101">
        <f t="shared" si="355"/>
        <v>0.31</v>
      </c>
      <c r="GG587" s="101">
        <f t="shared" si="356"/>
        <v>1</v>
      </c>
      <c r="GH587" s="101">
        <f t="shared" si="357"/>
        <v>5</v>
      </c>
      <c r="GI587" s="101">
        <f t="shared" si="358"/>
        <v>0</v>
      </c>
      <c r="GJ587" s="101">
        <f t="shared" si="359"/>
        <v>1</v>
      </c>
      <c r="GK587" s="101">
        <f t="shared" si="360"/>
        <v>1</v>
      </c>
      <c r="GL587" s="101">
        <f t="shared" si="361"/>
        <v>0.15409999999999999</v>
      </c>
      <c r="GM587" s="101">
        <f t="shared" si="362"/>
        <v>1</v>
      </c>
      <c r="GN587" s="101">
        <f t="shared" si="363"/>
        <v>2</v>
      </c>
      <c r="GO587" s="101">
        <f t="shared" si="364"/>
        <v>0.61650000000000005</v>
      </c>
      <c r="GP587" s="101">
        <f t="shared" si="365"/>
        <v>1</v>
      </c>
      <c r="GQ587" s="101">
        <f t="shared" si="366"/>
        <v>5</v>
      </c>
    </row>
    <row r="588" spans="175:199" ht="16.5" x14ac:dyDescent="0.2">
      <c r="FS588" s="101">
        <v>583</v>
      </c>
      <c r="FT588" s="101">
        <f t="shared" si="351"/>
        <v>20</v>
      </c>
      <c r="FU588" s="101">
        <f t="shared" si="367"/>
        <v>8</v>
      </c>
      <c r="FV588" s="14">
        <f t="shared" si="368"/>
        <v>3</v>
      </c>
      <c r="FW588" s="101" t="str">
        <f t="shared" si="352"/>
        <v>徐晃专属武器-魂珠-3 2级</v>
      </c>
      <c r="FX588" s="101">
        <f t="shared" si="353"/>
        <v>3</v>
      </c>
      <c r="FY588" s="101">
        <f t="shared" si="354"/>
        <v>2</v>
      </c>
      <c r="FZ588" s="101" t="str">
        <f t="shared" si="369"/>
        <v>金币</v>
      </c>
      <c r="GA588" s="139">
        <f>IF($FY588&gt;0,IF(INDEX($EM$6:$EM$77,$FT588)&gt;=GA$3,ROUND(INDEX(EO$6:EO$77,$FT588)*INDEX(卡牌消耗!$B$8:$F$8,FV588)/5,0)*5,""),"")</f>
        <v>410</v>
      </c>
      <c r="GB588" s="101" t="str">
        <f t="shared" si="370"/>
        <v>专属强化石1</v>
      </c>
      <c r="GC588" s="101">
        <f t="shared" si="371"/>
        <v>4</v>
      </c>
      <c r="GD588" s="101" t="str">
        <f t="shared" si="372"/>
        <v>专属强化石2</v>
      </c>
      <c r="GE588" s="101">
        <f t="shared" si="373"/>
        <v>2</v>
      </c>
      <c r="GF588" s="101">
        <f t="shared" si="355"/>
        <v>0.15</v>
      </c>
      <c r="GG588" s="101">
        <f t="shared" si="356"/>
        <v>1</v>
      </c>
      <c r="GH588" s="101">
        <f t="shared" si="357"/>
        <v>10</v>
      </c>
      <c r="GI588" s="101">
        <f t="shared" si="358"/>
        <v>0</v>
      </c>
      <c r="GJ588" s="101">
        <f t="shared" si="359"/>
        <v>1</v>
      </c>
      <c r="GK588" s="101">
        <f t="shared" si="360"/>
        <v>2</v>
      </c>
      <c r="GL588" s="101">
        <f t="shared" si="361"/>
        <v>7.7100000000000002E-2</v>
      </c>
      <c r="GM588" s="101">
        <f t="shared" si="362"/>
        <v>1</v>
      </c>
      <c r="GN588" s="101">
        <f t="shared" si="363"/>
        <v>5</v>
      </c>
      <c r="GO588" s="101">
        <f t="shared" si="364"/>
        <v>0.30830000000000002</v>
      </c>
      <c r="GP588" s="101">
        <f t="shared" si="365"/>
        <v>1</v>
      </c>
      <c r="GQ588" s="101">
        <f t="shared" si="366"/>
        <v>10</v>
      </c>
    </row>
    <row r="589" spans="175:199" ht="16.5" x14ac:dyDescent="0.2">
      <c r="FS589" s="101">
        <v>584</v>
      </c>
      <c r="FT589" s="101">
        <f t="shared" si="351"/>
        <v>21</v>
      </c>
      <c r="FU589" s="101">
        <f t="shared" si="367"/>
        <v>8</v>
      </c>
      <c r="FV589" s="14">
        <f t="shared" si="368"/>
        <v>3</v>
      </c>
      <c r="FW589" s="101" t="str">
        <f t="shared" si="352"/>
        <v>徐晃专属武器-魂珠-3 3级</v>
      </c>
      <c r="FX589" s="101">
        <f t="shared" si="353"/>
        <v>3</v>
      </c>
      <c r="FY589" s="101">
        <f t="shared" si="354"/>
        <v>3</v>
      </c>
      <c r="FZ589" s="101" t="str">
        <f t="shared" si="369"/>
        <v>金币</v>
      </c>
      <c r="GA589" s="139">
        <f>IF($FY589&gt;0,IF(INDEX($EM$6:$EM$77,$FT589)&gt;=GA$3,ROUND(INDEX(EO$6:EO$77,$FT589)*INDEX(卡牌消耗!$B$8:$F$8,FV589)/5,0)*5,""),"")</f>
        <v>680</v>
      </c>
      <c r="GB589" s="101" t="str">
        <f t="shared" si="370"/>
        <v>专属强化石1</v>
      </c>
      <c r="GC589" s="101">
        <f t="shared" si="371"/>
        <v>6</v>
      </c>
      <c r="GD589" s="101" t="str">
        <f t="shared" si="372"/>
        <v>专属强化石2</v>
      </c>
      <c r="GE589" s="101">
        <f t="shared" si="373"/>
        <v>3</v>
      </c>
      <c r="GF589" s="101">
        <f t="shared" si="355"/>
        <v>0.15</v>
      </c>
      <c r="GG589" s="101">
        <f t="shared" si="356"/>
        <v>1</v>
      </c>
      <c r="GH589" s="101">
        <f t="shared" si="357"/>
        <v>10</v>
      </c>
      <c r="GI589" s="101">
        <f t="shared" si="358"/>
        <v>0</v>
      </c>
      <c r="GJ589" s="101">
        <f t="shared" si="359"/>
        <v>1</v>
      </c>
      <c r="GK589" s="101">
        <f t="shared" si="360"/>
        <v>2</v>
      </c>
      <c r="GL589" s="101">
        <f t="shared" si="361"/>
        <v>7.7100000000000002E-2</v>
      </c>
      <c r="GM589" s="101">
        <f t="shared" si="362"/>
        <v>1</v>
      </c>
      <c r="GN589" s="101">
        <f t="shared" si="363"/>
        <v>5</v>
      </c>
      <c r="GO589" s="101">
        <f t="shared" si="364"/>
        <v>0.30830000000000002</v>
      </c>
      <c r="GP589" s="101">
        <f t="shared" si="365"/>
        <v>1</v>
      </c>
      <c r="GQ589" s="101">
        <f t="shared" si="366"/>
        <v>10</v>
      </c>
    </row>
    <row r="590" spans="175:199" ht="16.5" x14ac:dyDescent="0.2">
      <c r="FS590" s="101">
        <v>585</v>
      </c>
      <c r="FT590" s="101">
        <f t="shared" si="351"/>
        <v>22</v>
      </c>
      <c r="FU590" s="101">
        <f t="shared" si="367"/>
        <v>8</v>
      </c>
      <c r="FV590" s="14">
        <f t="shared" si="368"/>
        <v>3</v>
      </c>
      <c r="FW590" s="101" t="str">
        <f t="shared" si="352"/>
        <v>徐晃专属武器-魂珠-3 4级</v>
      </c>
      <c r="FX590" s="101">
        <f t="shared" si="353"/>
        <v>3</v>
      </c>
      <c r="FY590" s="101">
        <f t="shared" si="354"/>
        <v>4</v>
      </c>
      <c r="FZ590" s="101" t="str">
        <f t="shared" si="369"/>
        <v>金币</v>
      </c>
      <c r="GA590" s="139">
        <f>IF($FY590&gt;0,IF(INDEX($EM$6:$EM$77,$FT590)&gt;=GA$3,ROUND(INDEX(EO$6:EO$77,$FT590)*INDEX(卡牌消耗!$B$8:$F$8,FV590)/5,0)*5,""),"")</f>
        <v>655</v>
      </c>
      <c r="GB590" s="101" t="str">
        <f t="shared" si="370"/>
        <v>专属强化石1</v>
      </c>
      <c r="GC590" s="101">
        <f t="shared" si="371"/>
        <v>6</v>
      </c>
      <c r="GD590" s="101" t="str">
        <f t="shared" si="372"/>
        <v>专属强化石2</v>
      </c>
      <c r="GE590" s="101">
        <f t="shared" si="373"/>
        <v>3</v>
      </c>
      <c r="GF590" s="101">
        <f t="shared" si="355"/>
        <v>0.09</v>
      </c>
      <c r="GG590" s="101">
        <f t="shared" si="356"/>
        <v>1</v>
      </c>
      <c r="GH590" s="101">
        <f t="shared" si="357"/>
        <v>16</v>
      </c>
      <c r="GI590" s="101">
        <f t="shared" si="358"/>
        <v>0</v>
      </c>
      <c r="GJ590" s="101">
        <f t="shared" si="359"/>
        <v>1</v>
      </c>
      <c r="GK590" s="101">
        <f t="shared" si="360"/>
        <v>4</v>
      </c>
      <c r="GL590" s="101">
        <f t="shared" si="361"/>
        <v>4.6199999999999998E-2</v>
      </c>
      <c r="GM590" s="101">
        <f t="shared" si="362"/>
        <v>1</v>
      </c>
      <c r="GN590" s="101">
        <f t="shared" si="363"/>
        <v>8</v>
      </c>
      <c r="GO590" s="101">
        <f t="shared" si="364"/>
        <v>0.185</v>
      </c>
      <c r="GP590" s="101">
        <f t="shared" si="365"/>
        <v>1</v>
      </c>
      <c r="GQ590" s="101">
        <f t="shared" si="366"/>
        <v>16</v>
      </c>
    </row>
    <row r="591" spans="175:199" ht="16.5" x14ac:dyDescent="0.2">
      <c r="FS591" s="101">
        <v>586</v>
      </c>
      <c r="FT591" s="101">
        <f t="shared" si="351"/>
        <v>23</v>
      </c>
      <c r="FU591" s="101">
        <f t="shared" si="367"/>
        <v>8</v>
      </c>
      <c r="FV591" s="14">
        <f t="shared" si="368"/>
        <v>3</v>
      </c>
      <c r="FW591" s="101" t="str">
        <f t="shared" si="352"/>
        <v>徐晃专属武器-魂珠-3 5级</v>
      </c>
      <c r="FX591" s="101">
        <f t="shared" si="353"/>
        <v>3</v>
      </c>
      <c r="FY591" s="101">
        <f t="shared" si="354"/>
        <v>5</v>
      </c>
      <c r="FZ591" s="101" t="str">
        <f t="shared" si="369"/>
        <v>金币</v>
      </c>
      <c r="GA591" s="139">
        <f>IF($FY591&gt;0,IF(INDEX($EM$6:$EM$77,$FT591)&gt;=GA$3,ROUND(INDEX(EO$6:EO$77,$FT591)*INDEX(卡牌消耗!$B$8:$F$8,FV591)/5,0)*5,""),"")</f>
        <v>885</v>
      </c>
      <c r="GB591" s="101" t="str">
        <f t="shared" si="370"/>
        <v>专属强化石1</v>
      </c>
      <c r="GC591" s="101">
        <f t="shared" si="371"/>
        <v>8</v>
      </c>
      <c r="GD591" s="101" t="str">
        <f t="shared" si="372"/>
        <v>专属强化石2</v>
      </c>
      <c r="GE591" s="101">
        <f t="shared" si="373"/>
        <v>4</v>
      </c>
      <c r="GF591" s="101">
        <f t="shared" si="355"/>
        <v>0.08</v>
      </c>
      <c r="GG591" s="101">
        <f t="shared" si="356"/>
        <v>1</v>
      </c>
      <c r="GH591" s="101">
        <f t="shared" si="357"/>
        <v>19</v>
      </c>
      <c r="GI591" s="101">
        <f t="shared" si="358"/>
        <v>0</v>
      </c>
      <c r="GJ591" s="101">
        <f t="shared" si="359"/>
        <v>1</v>
      </c>
      <c r="GK591" s="101">
        <f t="shared" si="360"/>
        <v>5</v>
      </c>
      <c r="GL591" s="101">
        <f t="shared" si="361"/>
        <v>3.85E-2</v>
      </c>
      <c r="GM591" s="101">
        <f t="shared" si="362"/>
        <v>1</v>
      </c>
      <c r="GN591" s="101">
        <f t="shared" si="363"/>
        <v>9</v>
      </c>
      <c r="GO591" s="101">
        <f t="shared" si="364"/>
        <v>0.15409999999999999</v>
      </c>
      <c r="GP591" s="101">
        <f t="shared" si="365"/>
        <v>1</v>
      </c>
      <c r="GQ591" s="101">
        <f t="shared" si="366"/>
        <v>19</v>
      </c>
    </row>
    <row r="592" spans="175:199" ht="16.5" x14ac:dyDescent="0.2">
      <c r="FS592" s="101">
        <v>587</v>
      </c>
      <c r="FT592" s="101">
        <f t="shared" si="351"/>
        <v>24</v>
      </c>
      <c r="FU592" s="101">
        <f t="shared" si="367"/>
        <v>8</v>
      </c>
      <c r="FV592" s="14">
        <f t="shared" si="368"/>
        <v>3</v>
      </c>
      <c r="FW592" s="101" t="str">
        <f t="shared" si="352"/>
        <v>徐晃专属武器-魂珠-3 6级</v>
      </c>
      <c r="FX592" s="101">
        <f t="shared" si="353"/>
        <v>3</v>
      </c>
      <c r="FY592" s="101">
        <f t="shared" si="354"/>
        <v>6</v>
      </c>
      <c r="FZ592" s="101" t="str">
        <f t="shared" si="369"/>
        <v>金币</v>
      </c>
      <c r="GA592" s="139">
        <f>IF($FY592&gt;0,IF(INDEX($EM$6:$EM$77,$FT592)&gt;=GA$3,ROUND(INDEX(EO$6:EO$77,$FT592)*INDEX(卡牌消耗!$B$8:$F$8,FV592)/5,0)*5,""),"")</f>
        <v>1100</v>
      </c>
      <c r="GB592" s="101" t="str">
        <f t="shared" si="370"/>
        <v>专属强化石1</v>
      </c>
      <c r="GC592" s="101">
        <f t="shared" si="371"/>
        <v>10</v>
      </c>
      <c r="GD592" s="101" t="str">
        <f t="shared" si="372"/>
        <v>专属强化石2</v>
      </c>
      <c r="GE592" s="101">
        <f t="shared" si="373"/>
        <v>5</v>
      </c>
      <c r="GF592" s="101">
        <f t="shared" si="355"/>
        <v>0.06</v>
      </c>
      <c r="GG592" s="101">
        <f t="shared" si="356"/>
        <v>1</v>
      </c>
      <c r="GH592" s="101">
        <f t="shared" si="357"/>
        <v>25</v>
      </c>
      <c r="GI592" s="101">
        <f t="shared" si="358"/>
        <v>0</v>
      </c>
      <c r="GJ592" s="101">
        <f t="shared" si="359"/>
        <v>1</v>
      </c>
      <c r="GK592" s="101">
        <f t="shared" si="360"/>
        <v>6</v>
      </c>
      <c r="GL592" s="101">
        <f t="shared" si="361"/>
        <v>2.9600000000000001E-2</v>
      </c>
      <c r="GM592" s="101">
        <f t="shared" si="362"/>
        <v>1</v>
      </c>
      <c r="GN592" s="101">
        <f t="shared" si="363"/>
        <v>12</v>
      </c>
      <c r="GO592" s="101">
        <f t="shared" si="364"/>
        <v>0.1186</v>
      </c>
      <c r="GP592" s="101">
        <f t="shared" si="365"/>
        <v>1</v>
      </c>
      <c r="GQ592" s="101">
        <f t="shared" si="366"/>
        <v>25</v>
      </c>
    </row>
    <row r="593" spans="175:199" ht="16.5" x14ac:dyDescent="0.2">
      <c r="FS593" s="101">
        <v>588</v>
      </c>
      <c r="FT593" s="101">
        <f t="shared" si="351"/>
        <v>25</v>
      </c>
      <c r="FU593" s="101">
        <f t="shared" si="367"/>
        <v>8</v>
      </c>
      <c r="FV593" s="14">
        <f t="shared" si="368"/>
        <v>3</v>
      </c>
      <c r="FW593" s="101" t="str">
        <f t="shared" si="352"/>
        <v>徐晃专属武器-魂珠-3 7级</v>
      </c>
      <c r="FX593" s="101">
        <f t="shared" si="353"/>
        <v>3</v>
      </c>
      <c r="FY593" s="101">
        <f t="shared" si="354"/>
        <v>7</v>
      </c>
      <c r="FZ593" s="101" t="str">
        <f t="shared" si="369"/>
        <v>金币</v>
      </c>
      <c r="GA593" s="139">
        <f>IF($FY593&gt;0,IF(INDEX($EM$6:$EM$77,$FT593)&gt;=GA$3,ROUND(INDEX(EO$6:EO$77,$FT593)*INDEX(卡牌消耗!$B$8:$F$8,FV593)/5,0)*5,""),"")</f>
        <v>1325</v>
      </c>
      <c r="GB593" s="101" t="str">
        <f t="shared" si="370"/>
        <v>专属强化石1</v>
      </c>
      <c r="GC593" s="101">
        <f t="shared" si="371"/>
        <v>12</v>
      </c>
      <c r="GD593" s="101" t="str">
        <f t="shared" si="372"/>
        <v>专属强化石2</v>
      </c>
      <c r="GE593" s="101">
        <f t="shared" si="373"/>
        <v>6</v>
      </c>
      <c r="GF593" s="101">
        <f t="shared" si="355"/>
        <v>0.04</v>
      </c>
      <c r="GG593" s="101">
        <f t="shared" si="356"/>
        <v>1</v>
      </c>
      <c r="GH593" s="101">
        <f t="shared" si="357"/>
        <v>34</v>
      </c>
      <c r="GI593" s="101">
        <f t="shared" si="358"/>
        <v>0</v>
      </c>
      <c r="GJ593" s="101">
        <f t="shared" si="359"/>
        <v>1</v>
      </c>
      <c r="GK593" s="101">
        <f t="shared" si="360"/>
        <v>8</v>
      </c>
      <c r="GL593" s="101">
        <f t="shared" si="361"/>
        <v>2.1999999999999999E-2</v>
      </c>
      <c r="GM593" s="101">
        <f t="shared" si="362"/>
        <v>1</v>
      </c>
      <c r="GN593" s="101">
        <f t="shared" si="363"/>
        <v>16</v>
      </c>
      <c r="GO593" s="101">
        <f t="shared" si="364"/>
        <v>8.8099999999999998E-2</v>
      </c>
      <c r="GP593" s="101">
        <f t="shared" si="365"/>
        <v>1</v>
      </c>
      <c r="GQ593" s="101">
        <f t="shared" si="366"/>
        <v>34</v>
      </c>
    </row>
    <row r="594" spans="175:199" ht="16.5" x14ac:dyDescent="0.2">
      <c r="FS594" s="101">
        <v>589</v>
      </c>
      <c r="FT594" s="101">
        <f t="shared" si="351"/>
        <v>26</v>
      </c>
      <c r="FU594" s="101">
        <f t="shared" si="367"/>
        <v>8</v>
      </c>
      <c r="FV594" s="14">
        <f t="shared" si="368"/>
        <v>3</v>
      </c>
      <c r="FW594" s="101" t="str">
        <f t="shared" si="352"/>
        <v>徐晃专属武器-魂珠-3 8级</v>
      </c>
      <c r="FX594" s="101">
        <f t="shared" si="353"/>
        <v>3</v>
      </c>
      <c r="FY594" s="101">
        <f t="shared" si="354"/>
        <v>8</v>
      </c>
      <c r="FZ594" s="101" t="str">
        <f t="shared" si="369"/>
        <v>金币</v>
      </c>
      <c r="GA594" s="139">
        <f>IF($FY594&gt;0,IF(INDEX($EM$6:$EM$77,$FT594)&gt;=GA$3,ROUND(INDEX(EO$6:EO$77,$FT594)*INDEX(卡牌消耗!$B$8:$F$8,FV594)/5,0)*5,""),"")</f>
        <v>1765</v>
      </c>
      <c r="GB594" s="101" t="str">
        <f t="shared" si="370"/>
        <v>专属强化石1</v>
      </c>
      <c r="GC594" s="101">
        <f t="shared" si="371"/>
        <v>16</v>
      </c>
      <c r="GD594" s="101" t="str">
        <f t="shared" si="372"/>
        <v>专属强化石2</v>
      </c>
      <c r="GE594" s="101">
        <f t="shared" si="373"/>
        <v>8</v>
      </c>
      <c r="GF594" s="101">
        <f t="shared" si="355"/>
        <v>0.04</v>
      </c>
      <c r="GG594" s="101">
        <f t="shared" si="356"/>
        <v>1</v>
      </c>
      <c r="GH594" s="101">
        <f t="shared" si="357"/>
        <v>41</v>
      </c>
      <c r="GI594" s="101">
        <f t="shared" si="358"/>
        <v>0</v>
      </c>
      <c r="GJ594" s="101">
        <f t="shared" si="359"/>
        <v>1</v>
      </c>
      <c r="GK594" s="101">
        <f t="shared" si="360"/>
        <v>10</v>
      </c>
      <c r="GL594" s="101">
        <f t="shared" si="361"/>
        <v>1.8100000000000002E-2</v>
      </c>
      <c r="GM594" s="101">
        <f t="shared" si="362"/>
        <v>1</v>
      </c>
      <c r="GN594" s="101">
        <f t="shared" si="363"/>
        <v>19</v>
      </c>
      <c r="GO594" s="101">
        <f t="shared" si="364"/>
        <v>7.2499999999999995E-2</v>
      </c>
      <c r="GP594" s="101">
        <f t="shared" si="365"/>
        <v>1</v>
      </c>
      <c r="GQ594" s="101">
        <f t="shared" si="366"/>
        <v>41</v>
      </c>
    </row>
    <row r="595" spans="175:199" ht="16.5" x14ac:dyDescent="0.2">
      <c r="FS595" s="101">
        <v>590</v>
      </c>
      <c r="FT595" s="101">
        <f t="shared" si="351"/>
        <v>27</v>
      </c>
      <c r="FU595" s="101">
        <f t="shared" si="367"/>
        <v>8</v>
      </c>
      <c r="FV595" s="14">
        <f t="shared" si="368"/>
        <v>3</v>
      </c>
      <c r="FW595" s="101" t="str">
        <f t="shared" si="352"/>
        <v>徐晃专属武器-魂珠-3 9级</v>
      </c>
      <c r="FX595" s="101">
        <f t="shared" si="353"/>
        <v>3</v>
      </c>
      <c r="FY595" s="101">
        <f t="shared" si="354"/>
        <v>9</v>
      </c>
      <c r="FZ595" s="101" t="str">
        <f t="shared" si="369"/>
        <v>金币</v>
      </c>
      <c r="GA595" s="139">
        <f>IF($FY595&gt;0,IF(INDEX($EM$6:$EM$77,$FT595)&gt;=GA$3,ROUND(INDEX(EO$6:EO$77,$FT595)*INDEX(卡牌消耗!$B$8:$F$8,FV595)/5,0)*5,""),"")</f>
        <v>2205</v>
      </c>
      <c r="GB595" s="101" t="str">
        <f t="shared" si="370"/>
        <v>专属强化石1</v>
      </c>
      <c r="GC595" s="101">
        <f t="shared" si="371"/>
        <v>20</v>
      </c>
      <c r="GD595" s="101" t="str">
        <f t="shared" si="372"/>
        <v>专属强化石2</v>
      </c>
      <c r="GE595" s="101">
        <f t="shared" si="373"/>
        <v>10</v>
      </c>
      <c r="GF595" s="101">
        <f t="shared" si="355"/>
        <v>0.03</v>
      </c>
      <c r="GG595" s="101">
        <f t="shared" si="356"/>
        <v>1</v>
      </c>
      <c r="GH595" s="101">
        <f t="shared" si="357"/>
        <v>54</v>
      </c>
      <c r="GI595" s="101">
        <f t="shared" si="358"/>
        <v>0</v>
      </c>
      <c r="GJ595" s="101">
        <f t="shared" si="359"/>
        <v>1</v>
      </c>
      <c r="GK595" s="101">
        <f t="shared" si="360"/>
        <v>12</v>
      </c>
      <c r="GL595" s="101">
        <f t="shared" si="361"/>
        <v>1.4E-2</v>
      </c>
      <c r="GM595" s="101">
        <f t="shared" si="362"/>
        <v>1</v>
      </c>
      <c r="GN595" s="101">
        <f t="shared" si="363"/>
        <v>25</v>
      </c>
      <c r="GO595" s="101">
        <f t="shared" si="364"/>
        <v>5.6000000000000001E-2</v>
      </c>
      <c r="GP595" s="101">
        <f t="shared" si="365"/>
        <v>1</v>
      </c>
      <c r="GQ595" s="101">
        <f t="shared" si="366"/>
        <v>54</v>
      </c>
    </row>
    <row r="596" spans="175:199" ht="16.5" x14ac:dyDescent="0.2">
      <c r="FS596" s="101">
        <v>591</v>
      </c>
      <c r="FT596" s="101">
        <f t="shared" si="351"/>
        <v>0</v>
      </c>
      <c r="FU596" s="101">
        <f t="shared" si="367"/>
        <v>8</v>
      </c>
      <c r="FV596" s="14">
        <f t="shared" si="368"/>
        <v>3</v>
      </c>
      <c r="FW596" s="101" t="str">
        <f t="shared" si="352"/>
        <v>徐晃专属武器-魂珠-4 0级</v>
      </c>
      <c r="FX596" s="101">
        <f t="shared" si="353"/>
        <v>4</v>
      </c>
      <c r="FY596" s="101">
        <f t="shared" si="354"/>
        <v>0</v>
      </c>
      <c r="FZ596" s="101" t="str">
        <f t="shared" si="369"/>
        <v/>
      </c>
      <c r="GA596" s="139" t="str">
        <f>IF($FY596&gt;0,IF(INDEX($EM$6:$EM$77,$FT596)&gt;=GA$3,ROUND(INDEX(EO$6:EO$77,$FT596)*INDEX(卡牌消耗!$B$8:$F$8,FV596)/5,0)*5,""),"")</f>
        <v/>
      </c>
      <c r="GB596" s="101" t="str">
        <f t="shared" si="370"/>
        <v/>
      </c>
      <c r="GC596" s="101" t="str">
        <f t="shared" si="371"/>
        <v/>
      </c>
      <c r="GD596" s="101" t="str">
        <f t="shared" si="372"/>
        <v/>
      </c>
      <c r="GE596" s="101" t="str">
        <f t="shared" si="373"/>
        <v/>
      </c>
      <c r="GF596" s="101" t="str">
        <f t="shared" si="355"/>
        <v/>
      </c>
      <c r="GG596" s="101" t="str">
        <f t="shared" si="356"/>
        <v/>
      </c>
      <c r="GH596" s="101" t="str">
        <f t="shared" si="357"/>
        <v/>
      </c>
      <c r="GI596" s="101" t="str">
        <f t="shared" si="358"/>
        <v/>
      </c>
      <c r="GJ596" s="101" t="str">
        <f t="shared" si="359"/>
        <v/>
      </c>
      <c r="GK596" s="101" t="str">
        <f t="shared" si="360"/>
        <v/>
      </c>
      <c r="GL596" s="101" t="str">
        <f t="shared" si="361"/>
        <v/>
      </c>
      <c r="GM596" s="101" t="str">
        <f t="shared" si="362"/>
        <v/>
      </c>
      <c r="GN596" s="101" t="str">
        <f t="shared" si="363"/>
        <v/>
      </c>
      <c r="GO596" s="101" t="str">
        <f t="shared" si="364"/>
        <v/>
      </c>
      <c r="GP596" s="101" t="str">
        <f t="shared" si="365"/>
        <v/>
      </c>
      <c r="GQ596" s="101" t="str">
        <f t="shared" si="366"/>
        <v/>
      </c>
    </row>
    <row r="597" spans="175:199" ht="16.5" x14ac:dyDescent="0.2">
      <c r="FS597" s="101">
        <v>592</v>
      </c>
      <c r="FT597" s="101">
        <f t="shared" si="351"/>
        <v>28</v>
      </c>
      <c r="FU597" s="101">
        <f t="shared" si="367"/>
        <v>8</v>
      </c>
      <c r="FV597" s="14">
        <f t="shared" si="368"/>
        <v>3</v>
      </c>
      <c r="FW597" s="101" t="str">
        <f t="shared" si="352"/>
        <v>徐晃专属武器-魂珠-4 1级</v>
      </c>
      <c r="FX597" s="101">
        <f t="shared" si="353"/>
        <v>4</v>
      </c>
      <c r="FY597" s="101">
        <f t="shared" si="354"/>
        <v>1</v>
      </c>
      <c r="FZ597" s="101" t="str">
        <f t="shared" si="369"/>
        <v>金币</v>
      </c>
      <c r="GA597" s="139">
        <f>IF($FY597&gt;0,IF(INDEX($EM$6:$EM$77,$FT597)&gt;=GA$3,ROUND(INDEX(EO$6:EO$77,$FT597)*INDEX(卡牌消耗!$B$8:$F$8,FV597)/5,0)*5,""),"")</f>
        <v>730</v>
      </c>
      <c r="GB597" s="101" t="str">
        <f t="shared" si="370"/>
        <v>专属强化石2</v>
      </c>
      <c r="GC597" s="101">
        <f t="shared" si="371"/>
        <v>3</v>
      </c>
      <c r="GD597" s="101" t="str">
        <f t="shared" si="372"/>
        <v>专属强化石3</v>
      </c>
      <c r="GE597" s="101">
        <f t="shared" si="373"/>
        <v>1</v>
      </c>
      <c r="GF597" s="101">
        <f t="shared" si="355"/>
        <v>0.2</v>
      </c>
      <c r="GG597" s="101">
        <f t="shared" si="356"/>
        <v>1</v>
      </c>
      <c r="GH597" s="101">
        <f t="shared" si="357"/>
        <v>7</v>
      </c>
      <c r="GI597" s="101">
        <f t="shared" si="358"/>
        <v>0</v>
      </c>
      <c r="GJ597" s="101">
        <f t="shared" si="359"/>
        <v>1</v>
      </c>
      <c r="GK597" s="101">
        <f t="shared" si="360"/>
        <v>2</v>
      </c>
      <c r="GL597" s="101">
        <f t="shared" si="361"/>
        <v>0.1012</v>
      </c>
      <c r="GM597" s="101">
        <f t="shared" si="362"/>
        <v>1</v>
      </c>
      <c r="GN597" s="101">
        <f t="shared" si="363"/>
        <v>3</v>
      </c>
      <c r="GO597" s="101">
        <f t="shared" si="364"/>
        <v>0.40479999999999999</v>
      </c>
      <c r="GP597" s="101">
        <f t="shared" si="365"/>
        <v>1</v>
      </c>
      <c r="GQ597" s="101">
        <f t="shared" si="366"/>
        <v>7</v>
      </c>
    </row>
    <row r="598" spans="175:199" ht="16.5" x14ac:dyDescent="0.2">
      <c r="FS598" s="101">
        <v>593</v>
      </c>
      <c r="FT598" s="101">
        <f t="shared" ref="FT598:FT661" si="374">IF(FY598&gt;0,(FX598-1)*9+FY598,0)</f>
        <v>29</v>
      </c>
      <c r="FU598" s="101">
        <f t="shared" si="367"/>
        <v>8</v>
      </c>
      <c r="FV598" s="14">
        <f t="shared" si="368"/>
        <v>3</v>
      </c>
      <c r="FW598" s="101" t="str">
        <f t="shared" ref="FW598:FW661" si="375">INDEX($FN$6:$FN$26,FU598)&amp;"专属武器-魂珠-"&amp;FX598&amp;" "&amp;FY598&amp;"级"</f>
        <v>徐晃专属武器-魂珠-4 2级</v>
      </c>
      <c r="FX598" s="101">
        <f t="shared" ref="FX598:FX661" si="376">INT((FS598-(FU598-1)*80-1)/10)+1</f>
        <v>4</v>
      </c>
      <c r="FY598" s="101">
        <f t="shared" ref="FY598:FY661" si="377">FS598-(FU598-1)*80-(FX598-1)*10-1</f>
        <v>2</v>
      </c>
      <c r="FZ598" s="101" t="str">
        <f t="shared" si="369"/>
        <v>金币</v>
      </c>
      <c r="GA598" s="139">
        <f>IF($FY598&gt;0,IF(INDEX($EM$6:$EM$77,$FT598)&gt;=GA$3,ROUND(INDEX(EO$6:EO$77,$FT598)*INDEX(卡牌消耗!$B$8:$F$8,FV598)/5,0)*5,""),"")</f>
        <v>545</v>
      </c>
      <c r="GB598" s="101" t="str">
        <f t="shared" si="370"/>
        <v>专属强化石2</v>
      </c>
      <c r="GC598" s="101">
        <f t="shared" si="371"/>
        <v>3</v>
      </c>
      <c r="GD598" s="101" t="str">
        <f t="shared" si="372"/>
        <v>专属强化石3</v>
      </c>
      <c r="GE598" s="101">
        <f t="shared" si="373"/>
        <v>1</v>
      </c>
      <c r="GF598" s="101">
        <f t="shared" ref="GF598:GF661" si="378">IF($FY598&gt;0,INDEX(ET$6:ET$77,$FT598),"")</f>
        <v>0.1</v>
      </c>
      <c r="GG598" s="101">
        <f t="shared" ref="GG598:GG661" si="379">IF($FY598&gt;0,INDEX(EU$6:EU$77,$FT598),"")</f>
        <v>1</v>
      </c>
      <c r="GH598" s="101">
        <f t="shared" ref="GH598:GH661" si="380">IF($FY598&gt;0,INDEX(EV$6:EV$77,$FT598),"")</f>
        <v>15</v>
      </c>
      <c r="GI598" s="101">
        <f t="shared" ref="GI598:GI661" si="381">IF($FY598&gt;0,INDEX(FA$6:FA$77,$FT598),"")</f>
        <v>0</v>
      </c>
      <c r="GJ598" s="101">
        <f t="shared" ref="GJ598:GJ661" si="382">IF($FY598&gt;0,INDEX(FB$6:FB$77,$FT598),"")</f>
        <v>1</v>
      </c>
      <c r="GK598" s="101">
        <f t="shared" ref="GK598:GK661" si="383">IF($FY598&gt;0,INDEX(FC$6:FC$77,$FT598),"")</f>
        <v>3</v>
      </c>
      <c r="GL598" s="101">
        <f t="shared" ref="GL598:GL661" si="384">IF($FY598&gt;0,INDEX(FD$6:FD$77,$FT598),"")</f>
        <v>5.0599999999999999E-2</v>
      </c>
      <c r="GM598" s="101">
        <f t="shared" ref="GM598:GM661" si="385">IF($FY598&gt;0,INDEX(FE$6:FE$77,$FT598),"")</f>
        <v>1</v>
      </c>
      <c r="GN598" s="101">
        <f t="shared" ref="GN598:GN661" si="386">IF($FY598&gt;0,INDEX(FF$6:FF$77,$FT598),"")</f>
        <v>7</v>
      </c>
      <c r="GO598" s="101">
        <f t="shared" ref="GO598:GO661" si="387">IF($FY598&gt;0,INDEX(FG$6:FG$77,$FT598),"")</f>
        <v>0.2024</v>
      </c>
      <c r="GP598" s="101">
        <f t="shared" ref="GP598:GP661" si="388">IF($FY598&gt;0,INDEX(FH$6:FH$77,$FT598),"")</f>
        <v>1</v>
      </c>
      <c r="GQ598" s="101">
        <f t="shared" ref="GQ598:GQ661" si="389">IF($FY598&gt;0,INDEX(FI$6:FI$77,$FT598),"")</f>
        <v>15</v>
      </c>
    </row>
    <row r="599" spans="175:199" ht="16.5" x14ac:dyDescent="0.2">
      <c r="FS599" s="101">
        <v>594</v>
      </c>
      <c r="FT599" s="101">
        <f t="shared" si="374"/>
        <v>30</v>
      </c>
      <c r="FU599" s="101">
        <f t="shared" si="367"/>
        <v>8</v>
      </c>
      <c r="FV599" s="14">
        <f t="shared" si="368"/>
        <v>3</v>
      </c>
      <c r="FW599" s="101" t="str">
        <f t="shared" si="375"/>
        <v>徐晃专属武器-魂珠-4 3级</v>
      </c>
      <c r="FX599" s="101">
        <f t="shared" si="376"/>
        <v>4</v>
      </c>
      <c r="FY599" s="101">
        <f t="shared" si="377"/>
        <v>3</v>
      </c>
      <c r="FZ599" s="101" t="str">
        <f t="shared" si="369"/>
        <v>金币</v>
      </c>
      <c r="GA599" s="139">
        <f>IF($FY599&gt;0,IF(INDEX($EM$6:$EM$77,$FT599)&gt;=GA$3,ROUND(INDEX(EO$6:EO$77,$FT599)*INDEX(卡牌消耗!$B$8:$F$8,FV599)/5,0)*5,""),"")</f>
        <v>610</v>
      </c>
      <c r="GB599" s="101" t="str">
        <f t="shared" si="370"/>
        <v>专属强化石2</v>
      </c>
      <c r="GC599" s="101">
        <f t="shared" si="371"/>
        <v>3</v>
      </c>
      <c r="GD599" s="101" t="str">
        <f t="shared" si="372"/>
        <v>专属强化石3</v>
      </c>
      <c r="GE599" s="101">
        <f t="shared" si="373"/>
        <v>1</v>
      </c>
      <c r="GF599" s="101">
        <f t="shared" si="378"/>
        <v>7.0000000000000007E-2</v>
      </c>
      <c r="GG599" s="101">
        <f t="shared" si="379"/>
        <v>1</v>
      </c>
      <c r="GH599" s="101">
        <f t="shared" si="380"/>
        <v>22</v>
      </c>
      <c r="GI599" s="101">
        <f t="shared" si="381"/>
        <v>0</v>
      </c>
      <c r="GJ599" s="101">
        <f t="shared" si="382"/>
        <v>1</v>
      </c>
      <c r="GK599" s="101">
        <f t="shared" si="383"/>
        <v>5</v>
      </c>
      <c r="GL599" s="101">
        <f t="shared" si="384"/>
        <v>3.3700000000000001E-2</v>
      </c>
      <c r="GM599" s="101">
        <f t="shared" si="385"/>
        <v>1</v>
      </c>
      <c r="GN599" s="101">
        <f t="shared" si="386"/>
        <v>10</v>
      </c>
      <c r="GO599" s="101">
        <f t="shared" si="387"/>
        <v>0.13489999999999999</v>
      </c>
      <c r="GP599" s="101">
        <f t="shared" si="388"/>
        <v>1</v>
      </c>
      <c r="GQ599" s="101">
        <f t="shared" si="389"/>
        <v>22</v>
      </c>
    </row>
    <row r="600" spans="175:199" ht="16.5" x14ac:dyDescent="0.2">
      <c r="FS600" s="101">
        <v>595</v>
      </c>
      <c r="FT600" s="101">
        <f t="shared" si="374"/>
        <v>31</v>
      </c>
      <c r="FU600" s="101">
        <f t="shared" si="367"/>
        <v>8</v>
      </c>
      <c r="FV600" s="14">
        <f t="shared" si="368"/>
        <v>3</v>
      </c>
      <c r="FW600" s="101" t="str">
        <f t="shared" si="375"/>
        <v>徐晃专属武器-魂珠-4 4级</v>
      </c>
      <c r="FX600" s="101">
        <f t="shared" si="376"/>
        <v>4</v>
      </c>
      <c r="FY600" s="101">
        <f t="shared" si="377"/>
        <v>4</v>
      </c>
      <c r="FZ600" s="101" t="str">
        <f t="shared" si="369"/>
        <v>金币</v>
      </c>
      <c r="GA600" s="139">
        <f>IF($FY600&gt;0,IF(INDEX($EM$6:$EM$77,$FT600)&gt;=GA$3,ROUND(INDEX(EO$6:EO$77,$FT600)*INDEX(卡牌消耗!$B$8:$F$8,FV600)/5,0)*5,""),"")</f>
        <v>1165</v>
      </c>
      <c r="GB600" s="101" t="str">
        <f t="shared" si="370"/>
        <v>专属强化石2</v>
      </c>
      <c r="GC600" s="101">
        <f t="shared" si="371"/>
        <v>5</v>
      </c>
      <c r="GD600" s="101" t="str">
        <f t="shared" si="372"/>
        <v>专属强化石3</v>
      </c>
      <c r="GE600" s="101">
        <f t="shared" si="373"/>
        <v>2</v>
      </c>
      <c r="GF600" s="101">
        <f t="shared" si="378"/>
        <v>0.08</v>
      </c>
      <c r="GG600" s="101">
        <f t="shared" si="379"/>
        <v>1</v>
      </c>
      <c r="GH600" s="101">
        <f t="shared" si="380"/>
        <v>19</v>
      </c>
      <c r="GI600" s="101">
        <f t="shared" si="381"/>
        <v>0</v>
      </c>
      <c r="GJ600" s="101">
        <f t="shared" si="382"/>
        <v>1</v>
      </c>
      <c r="GK600" s="101">
        <f t="shared" si="383"/>
        <v>4</v>
      </c>
      <c r="GL600" s="101">
        <f t="shared" si="384"/>
        <v>4.0500000000000001E-2</v>
      </c>
      <c r="GM600" s="101">
        <f t="shared" si="385"/>
        <v>1</v>
      </c>
      <c r="GN600" s="101">
        <f t="shared" si="386"/>
        <v>9</v>
      </c>
      <c r="GO600" s="101">
        <f t="shared" si="387"/>
        <v>0.16189999999999999</v>
      </c>
      <c r="GP600" s="101">
        <f t="shared" si="388"/>
        <v>1</v>
      </c>
      <c r="GQ600" s="101">
        <f t="shared" si="389"/>
        <v>19</v>
      </c>
    </row>
    <row r="601" spans="175:199" ht="16.5" x14ac:dyDescent="0.2">
      <c r="FS601" s="101">
        <v>596</v>
      </c>
      <c r="FT601" s="101">
        <f t="shared" si="374"/>
        <v>32</v>
      </c>
      <c r="FU601" s="101">
        <f t="shared" si="367"/>
        <v>8</v>
      </c>
      <c r="FV601" s="14">
        <f t="shared" si="368"/>
        <v>3</v>
      </c>
      <c r="FW601" s="101" t="str">
        <f t="shared" si="375"/>
        <v>徐晃专属武器-魂珠-4 5级</v>
      </c>
      <c r="FX601" s="101">
        <f t="shared" si="376"/>
        <v>4</v>
      </c>
      <c r="FY601" s="101">
        <f t="shared" si="377"/>
        <v>5</v>
      </c>
      <c r="FZ601" s="101" t="str">
        <f t="shared" si="369"/>
        <v>金币</v>
      </c>
      <c r="GA601" s="139">
        <f>IF($FY601&gt;0,IF(INDEX($EM$6:$EM$77,$FT601)&gt;=GA$3,ROUND(INDEX(EO$6:EO$77,$FT601)*INDEX(卡牌消耗!$B$8:$F$8,FV601)/5,0)*5,""),"")</f>
        <v>1185</v>
      </c>
      <c r="GB601" s="101" t="str">
        <f t="shared" si="370"/>
        <v>专属强化石2</v>
      </c>
      <c r="GC601" s="101">
        <f t="shared" si="371"/>
        <v>5</v>
      </c>
      <c r="GD601" s="101" t="str">
        <f t="shared" si="372"/>
        <v>专属强化石3</v>
      </c>
      <c r="GE601" s="101">
        <f t="shared" si="373"/>
        <v>2</v>
      </c>
      <c r="GF601" s="101">
        <f t="shared" si="378"/>
        <v>0.05</v>
      </c>
      <c r="GG601" s="101">
        <f t="shared" si="379"/>
        <v>1</v>
      </c>
      <c r="GH601" s="101">
        <f t="shared" si="380"/>
        <v>30</v>
      </c>
      <c r="GI601" s="101">
        <f t="shared" si="381"/>
        <v>0</v>
      </c>
      <c r="GJ601" s="101">
        <f t="shared" si="382"/>
        <v>1</v>
      </c>
      <c r="GK601" s="101">
        <f t="shared" si="383"/>
        <v>7</v>
      </c>
      <c r="GL601" s="101">
        <f t="shared" si="384"/>
        <v>2.53E-2</v>
      </c>
      <c r="GM601" s="101">
        <f t="shared" si="385"/>
        <v>1</v>
      </c>
      <c r="GN601" s="101">
        <f t="shared" si="386"/>
        <v>14</v>
      </c>
      <c r="GO601" s="101">
        <f t="shared" si="387"/>
        <v>0.1012</v>
      </c>
      <c r="GP601" s="101">
        <f t="shared" si="388"/>
        <v>1</v>
      </c>
      <c r="GQ601" s="101">
        <f t="shared" si="389"/>
        <v>30</v>
      </c>
    </row>
    <row r="602" spans="175:199" ht="16.5" x14ac:dyDescent="0.2">
      <c r="FS602" s="101">
        <v>597</v>
      </c>
      <c r="FT602" s="101">
        <f t="shared" si="374"/>
        <v>33</v>
      </c>
      <c r="FU602" s="101">
        <f t="shared" si="367"/>
        <v>8</v>
      </c>
      <c r="FV602" s="14">
        <f t="shared" si="368"/>
        <v>3</v>
      </c>
      <c r="FW602" s="101" t="str">
        <f t="shared" si="375"/>
        <v>徐晃专属武器-魂珠-4 6级</v>
      </c>
      <c r="FX602" s="101">
        <f t="shared" si="376"/>
        <v>4</v>
      </c>
      <c r="FY602" s="101">
        <f t="shared" si="377"/>
        <v>6</v>
      </c>
      <c r="FZ602" s="101" t="str">
        <f t="shared" si="369"/>
        <v>金币</v>
      </c>
      <c r="GA602" s="139">
        <f>IF($FY602&gt;0,IF(INDEX($EM$6:$EM$77,$FT602)&gt;=GA$3,ROUND(INDEX(EO$6:EO$77,$FT602)*INDEX(卡牌消耗!$B$8:$F$8,FV602)/5,0)*5,""),"")</f>
        <v>1180</v>
      </c>
      <c r="GB602" s="101" t="str">
        <f t="shared" si="370"/>
        <v>专属强化石2</v>
      </c>
      <c r="GC602" s="101">
        <f t="shared" si="371"/>
        <v>5</v>
      </c>
      <c r="GD602" s="101" t="str">
        <f t="shared" si="372"/>
        <v>专属强化石3</v>
      </c>
      <c r="GE602" s="101">
        <f t="shared" si="373"/>
        <v>2</v>
      </c>
      <c r="GF602" s="101">
        <f t="shared" si="378"/>
        <v>0.03</v>
      </c>
      <c r="GG602" s="101">
        <f t="shared" si="379"/>
        <v>1</v>
      </c>
      <c r="GH602" s="101">
        <f t="shared" si="380"/>
        <v>48</v>
      </c>
      <c r="GI602" s="101">
        <f t="shared" si="381"/>
        <v>0</v>
      </c>
      <c r="GJ602" s="101">
        <f t="shared" si="382"/>
        <v>1</v>
      </c>
      <c r="GK602" s="101">
        <f t="shared" si="383"/>
        <v>11</v>
      </c>
      <c r="GL602" s="101">
        <f t="shared" si="384"/>
        <v>1.5599999999999999E-2</v>
      </c>
      <c r="GM602" s="101">
        <f t="shared" si="385"/>
        <v>1</v>
      </c>
      <c r="GN602" s="101">
        <f t="shared" si="386"/>
        <v>22</v>
      </c>
      <c r="GO602" s="101">
        <f t="shared" si="387"/>
        <v>6.2300000000000001E-2</v>
      </c>
      <c r="GP602" s="101">
        <f t="shared" si="388"/>
        <v>1</v>
      </c>
      <c r="GQ602" s="101">
        <f t="shared" si="389"/>
        <v>48</v>
      </c>
    </row>
    <row r="603" spans="175:199" ht="16.5" x14ac:dyDescent="0.2">
      <c r="FS603" s="101">
        <v>598</v>
      </c>
      <c r="FT603" s="101">
        <f t="shared" si="374"/>
        <v>34</v>
      </c>
      <c r="FU603" s="101">
        <f t="shared" si="367"/>
        <v>8</v>
      </c>
      <c r="FV603" s="14">
        <f t="shared" si="368"/>
        <v>3</v>
      </c>
      <c r="FW603" s="101" t="str">
        <f t="shared" si="375"/>
        <v>徐晃专属武器-魂珠-4 7级</v>
      </c>
      <c r="FX603" s="101">
        <f t="shared" si="376"/>
        <v>4</v>
      </c>
      <c r="FY603" s="101">
        <f t="shared" si="377"/>
        <v>7</v>
      </c>
      <c r="FZ603" s="101" t="str">
        <f t="shared" si="369"/>
        <v>金币</v>
      </c>
      <c r="GA603" s="139">
        <f>IF($FY603&gt;0,IF(INDEX($EM$6:$EM$77,$FT603)&gt;=GA$3,ROUND(INDEX(EO$6:EO$77,$FT603)*INDEX(卡牌消耗!$B$8:$F$8,FV603)/5,0)*5,""),"")</f>
        <v>1770</v>
      </c>
      <c r="GB603" s="101" t="str">
        <f t="shared" si="370"/>
        <v>专属强化石2</v>
      </c>
      <c r="GC603" s="101">
        <f t="shared" si="371"/>
        <v>8</v>
      </c>
      <c r="GD603" s="101" t="str">
        <f t="shared" si="372"/>
        <v>专属强化石3</v>
      </c>
      <c r="GE603" s="101">
        <f t="shared" si="373"/>
        <v>3</v>
      </c>
      <c r="GF603" s="101">
        <f t="shared" si="378"/>
        <v>0.03</v>
      </c>
      <c r="GG603" s="101">
        <f t="shared" si="379"/>
        <v>1</v>
      </c>
      <c r="GH603" s="101">
        <f t="shared" si="380"/>
        <v>52</v>
      </c>
      <c r="GI603" s="101">
        <f t="shared" si="381"/>
        <v>0</v>
      </c>
      <c r="GJ603" s="101">
        <f t="shared" si="382"/>
        <v>1</v>
      </c>
      <c r="GK603" s="101">
        <f t="shared" si="383"/>
        <v>12</v>
      </c>
      <c r="GL603" s="101">
        <f t="shared" si="384"/>
        <v>1.4500000000000001E-2</v>
      </c>
      <c r="GM603" s="101">
        <f t="shared" si="385"/>
        <v>1</v>
      </c>
      <c r="GN603" s="101">
        <f t="shared" si="386"/>
        <v>24</v>
      </c>
      <c r="GO603" s="101">
        <f t="shared" si="387"/>
        <v>5.7799999999999997E-2</v>
      </c>
      <c r="GP603" s="101">
        <f t="shared" si="388"/>
        <v>1</v>
      </c>
      <c r="GQ603" s="101">
        <f t="shared" si="389"/>
        <v>52</v>
      </c>
    </row>
    <row r="604" spans="175:199" ht="16.5" x14ac:dyDescent="0.2">
      <c r="FS604" s="101">
        <v>599</v>
      </c>
      <c r="FT604" s="101">
        <f t="shared" si="374"/>
        <v>35</v>
      </c>
      <c r="FU604" s="101">
        <f t="shared" si="367"/>
        <v>8</v>
      </c>
      <c r="FV604" s="14">
        <f t="shared" si="368"/>
        <v>3</v>
      </c>
      <c r="FW604" s="101" t="str">
        <f t="shared" si="375"/>
        <v>徐晃专属武器-魂珠-4 8级</v>
      </c>
      <c r="FX604" s="101">
        <f t="shared" si="376"/>
        <v>4</v>
      </c>
      <c r="FY604" s="101">
        <f t="shared" si="377"/>
        <v>8</v>
      </c>
      <c r="FZ604" s="101" t="str">
        <f t="shared" si="369"/>
        <v>金币</v>
      </c>
      <c r="GA604" s="139">
        <f>IF($FY604&gt;0,IF(INDEX($EM$6:$EM$77,$FT604)&gt;=GA$3,ROUND(INDEX(EO$6:EO$77,$FT604)*INDEX(卡牌消耗!$B$8:$F$8,FV604)/5,0)*5,""),"")</f>
        <v>2360</v>
      </c>
      <c r="GB604" s="101" t="str">
        <f t="shared" si="370"/>
        <v>专属强化石2</v>
      </c>
      <c r="GC604" s="101">
        <f t="shared" si="371"/>
        <v>11</v>
      </c>
      <c r="GD604" s="101" t="str">
        <f t="shared" si="372"/>
        <v>专属强化石3</v>
      </c>
      <c r="GE604" s="101">
        <f t="shared" si="373"/>
        <v>4</v>
      </c>
      <c r="GF604" s="101">
        <f t="shared" si="378"/>
        <v>0.02</v>
      </c>
      <c r="GG604" s="101">
        <f t="shared" si="379"/>
        <v>1</v>
      </c>
      <c r="GH604" s="101">
        <f t="shared" si="380"/>
        <v>63</v>
      </c>
      <c r="GI604" s="101">
        <f t="shared" si="381"/>
        <v>0</v>
      </c>
      <c r="GJ604" s="101">
        <f t="shared" si="382"/>
        <v>1</v>
      </c>
      <c r="GK604" s="101">
        <f t="shared" si="383"/>
        <v>15</v>
      </c>
      <c r="GL604" s="101">
        <f t="shared" si="384"/>
        <v>1.1900000000000001E-2</v>
      </c>
      <c r="GM604" s="101">
        <f t="shared" si="385"/>
        <v>1</v>
      </c>
      <c r="GN604" s="101">
        <f t="shared" si="386"/>
        <v>29</v>
      </c>
      <c r="GO604" s="101">
        <f t="shared" si="387"/>
        <v>4.7600000000000003E-2</v>
      </c>
      <c r="GP604" s="101">
        <f t="shared" si="388"/>
        <v>1</v>
      </c>
      <c r="GQ604" s="101">
        <f t="shared" si="389"/>
        <v>63</v>
      </c>
    </row>
    <row r="605" spans="175:199" ht="16.5" x14ac:dyDescent="0.2">
      <c r="FS605" s="101">
        <v>600</v>
      </c>
      <c r="FT605" s="101">
        <f t="shared" si="374"/>
        <v>36</v>
      </c>
      <c r="FU605" s="101">
        <f t="shared" si="367"/>
        <v>8</v>
      </c>
      <c r="FV605" s="14">
        <f t="shared" si="368"/>
        <v>3</v>
      </c>
      <c r="FW605" s="101" t="str">
        <f t="shared" si="375"/>
        <v>徐晃专属武器-魂珠-4 9级</v>
      </c>
      <c r="FX605" s="101">
        <f t="shared" si="376"/>
        <v>4</v>
      </c>
      <c r="FY605" s="101">
        <f t="shared" si="377"/>
        <v>9</v>
      </c>
      <c r="FZ605" s="101" t="str">
        <f t="shared" si="369"/>
        <v>金币</v>
      </c>
      <c r="GA605" s="139">
        <f>IF($FY605&gt;0,IF(INDEX($EM$6:$EM$77,$FT605)&gt;=GA$3,ROUND(INDEX(EO$6:EO$77,$FT605)*INDEX(卡牌消耗!$B$8:$F$8,FV605)/5,0)*5,""),"")</f>
        <v>3540</v>
      </c>
      <c r="GB605" s="101" t="str">
        <f t="shared" si="370"/>
        <v>专属强化石2</v>
      </c>
      <c r="GC605" s="101">
        <f t="shared" si="371"/>
        <v>16</v>
      </c>
      <c r="GD605" s="101" t="str">
        <f t="shared" si="372"/>
        <v>专属强化石3</v>
      </c>
      <c r="GE605" s="101">
        <f t="shared" si="373"/>
        <v>6</v>
      </c>
      <c r="GF605" s="101">
        <f t="shared" si="378"/>
        <v>0.02</v>
      </c>
      <c r="GG605" s="101">
        <f t="shared" si="379"/>
        <v>1</v>
      </c>
      <c r="GH605" s="101">
        <f t="shared" si="380"/>
        <v>68</v>
      </c>
      <c r="GI605" s="101">
        <f t="shared" si="381"/>
        <v>0</v>
      </c>
      <c r="GJ605" s="101">
        <f t="shared" si="382"/>
        <v>1</v>
      </c>
      <c r="GK605" s="101">
        <f t="shared" si="383"/>
        <v>16</v>
      </c>
      <c r="GL605" s="101">
        <f t="shared" si="384"/>
        <v>1.0999999999999999E-2</v>
      </c>
      <c r="GM605" s="101">
        <f t="shared" si="385"/>
        <v>1</v>
      </c>
      <c r="GN605" s="101">
        <f t="shared" si="386"/>
        <v>32</v>
      </c>
      <c r="GO605" s="101">
        <f t="shared" si="387"/>
        <v>4.4200000000000003E-2</v>
      </c>
      <c r="GP605" s="101">
        <f t="shared" si="388"/>
        <v>1</v>
      </c>
      <c r="GQ605" s="101">
        <f t="shared" si="389"/>
        <v>68</v>
      </c>
    </row>
    <row r="606" spans="175:199" ht="16.5" x14ac:dyDescent="0.2">
      <c r="FS606" s="101">
        <v>601</v>
      </c>
      <c r="FT606" s="101">
        <f t="shared" si="374"/>
        <v>0</v>
      </c>
      <c r="FU606" s="101">
        <f t="shared" si="367"/>
        <v>8</v>
      </c>
      <c r="FV606" s="14">
        <f t="shared" si="368"/>
        <v>3</v>
      </c>
      <c r="FW606" s="101" t="str">
        <f t="shared" si="375"/>
        <v>徐晃专属武器-魂珠-5 0级</v>
      </c>
      <c r="FX606" s="101">
        <f t="shared" si="376"/>
        <v>5</v>
      </c>
      <c r="FY606" s="101">
        <f t="shared" si="377"/>
        <v>0</v>
      </c>
      <c r="FZ606" s="101" t="str">
        <f t="shared" si="369"/>
        <v/>
      </c>
      <c r="GA606" s="139" t="str">
        <f>IF($FY606&gt;0,IF(INDEX($EM$6:$EM$77,$FT606)&gt;=GA$3,ROUND(INDEX(EO$6:EO$77,$FT606)*INDEX(卡牌消耗!$B$8:$F$8,FV606)/5,0)*5,""),"")</f>
        <v/>
      </c>
      <c r="GB606" s="101" t="str">
        <f t="shared" si="370"/>
        <v/>
      </c>
      <c r="GC606" s="101" t="str">
        <f t="shared" si="371"/>
        <v/>
      </c>
      <c r="GD606" s="101" t="str">
        <f t="shared" si="372"/>
        <v/>
      </c>
      <c r="GE606" s="101" t="str">
        <f t="shared" si="373"/>
        <v/>
      </c>
      <c r="GF606" s="101" t="str">
        <f t="shared" si="378"/>
        <v/>
      </c>
      <c r="GG606" s="101" t="str">
        <f t="shared" si="379"/>
        <v/>
      </c>
      <c r="GH606" s="101" t="str">
        <f t="shared" si="380"/>
        <v/>
      </c>
      <c r="GI606" s="101" t="str">
        <f t="shared" si="381"/>
        <v/>
      </c>
      <c r="GJ606" s="101" t="str">
        <f t="shared" si="382"/>
        <v/>
      </c>
      <c r="GK606" s="101" t="str">
        <f t="shared" si="383"/>
        <v/>
      </c>
      <c r="GL606" s="101" t="str">
        <f t="shared" si="384"/>
        <v/>
      </c>
      <c r="GM606" s="101" t="str">
        <f t="shared" si="385"/>
        <v/>
      </c>
      <c r="GN606" s="101" t="str">
        <f t="shared" si="386"/>
        <v/>
      </c>
      <c r="GO606" s="101" t="str">
        <f t="shared" si="387"/>
        <v/>
      </c>
      <c r="GP606" s="101" t="str">
        <f t="shared" si="388"/>
        <v/>
      </c>
      <c r="GQ606" s="101" t="str">
        <f t="shared" si="389"/>
        <v/>
      </c>
    </row>
    <row r="607" spans="175:199" ht="16.5" x14ac:dyDescent="0.2">
      <c r="FS607" s="101">
        <v>602</v>
      </c>
      <c r="FT607" s="101">
        <f t="shared" si="374"/>
        <v>37</v>
      </c>
      <c r="FU607" s="101">
        <f t="shared" si="367"/>
        <v>8</v>
      </c>
      <c r="FV607" s="14">
        <f t="shared" si="368"/>
        <v>3</v>
      </c>
      <c r="FW607" s="101" t="str">
        <f t="shared" si="375"/>
        <v>徐晃专属武器-魂珠-5 1级</v>
      </c>
      <c r="FX607" s="101">
        <f t="shared" si="376"/>
        <v>5</v>
      </c>
      <c r="FY607" s="101">
        <f t="shared" si="377"/>
        <v>1</v>
      </c>
      <c r="FZ607" s="101" t="str">
        <f t="shared" si="369"/>
        <v>金币</v>
      </c>
      <c r="GA607" s="139">
        <f>IF($FY607&gt;0,IF(INDEX($EM$6:$EM$77,$FT607)&gt;=GA$3,ROUND(INDEX(EO$6:EO$77,$FT607)*INDEX(卡牌消耗!$B$8:$F$8,FV607)/5,0)*5,""),"")</f>
        <v>1495</v>
      </c>
      <c r="GB607" s="101" t="str">
        <f t="shared" si="370"/>
        <v>专属强化石2</v>
      </c>
      <c r="GC607" s="101">
        <f t="shared" si="371"/>
        <v>3</v>
      </c>
      <c r="GD607" s="101" t="str">
        <f t="shared" si="372"/>
        <v>专属强化石3</v>
      </c>
      <c r="GE607" s="101">
        <f t="shared" si="373"/>
        <v>2</v>
      </c>
      <c r="GF607" s="101">
        <f t="shared" si="378"/>
        <v>0.2</v>
      </c>
      <c r="GG607" s="101">
        <f t="shared" si="379"/>
        <v>1</v>
      </c>
      <c r="GH607" s="101">
        <f t="shared" si="380"/>
        <v>7</v>
      </c>
      <c r="GI607" s="101">
        <f t="shared" si="381"/>
        <v>0</v>
      </c>
      <c r="GJ607" s="101">
        <f t="shared" si="382"/>
        <v>1</v>
      </c>
      <c r="GK607" s="101">
        <f t="shared" si="383"/>
        <v>2</v>
      </c>
      <c r="GL607" s="101">
        <f t="shared" si="384"/>
        <v>0.1012</v>
      </c>
      <c r="GM607" s="101">
        <f t="shared" si="385"/>
        <v>1</v>
      </c>
      <c r="GN607" s="101">
        <f t="shared" si="386"/>
        <v>3</v>
      </c>
      <c r="GO607" s="101">
        <f t="shared" si="387"/>
        <v>0.40479999999999999</v>
      </c>
      <c r="GP607" s="101">
        <f t="shared" si="388"/>
        <v>1</v>
      </c>
      <c r="GQ607" s="101">
        <f t="shared" si="389"/>
        <v>7</v>
      </c>
    </row>
    <row r="608" spans="175:199" ht="16.5" x14ac:dyDescent="0.2">
      <c r="FS608" s="101">
        <v>603</v>
      </c>
      <c r="FT608" s="101">
        <f t="shared" si="374"/>
        <v>38</v>
      </c>
      <c r="FU608" s="101">
        <f t="shared" si="367"/>
        <v>8</v>
      </c>
      <c r="FV608" s="14">
        <f t="shared" si="368"/>
        <v>3</v>
      </c>
      <c r="FW608" s="101" t="str">
        <f t="shared" si="375"/>
        <v>徐晃专属武器-魂珠-5 2级</v>
      </c>
      <c r="FX608" s="101">
        <f t="shared" si="376"/>
        <v>5</v>
      </c>
      <c r="FY608" s="101">
        <f t="shared" si="377"/>
        <v>2</v>
      </c>
      <c r="FZ608" s="101" t="str">
        <f t="shared" si="369"/>
        <v>金币</v>
      </c>
      <c r="GA608" s="139">
        <f>IF($FY608&gt;0,IF(INDEX($EM$6:$EM$77,$FT608)&gt;=GA$3,ROUND(INDEX(EO$6:EO$77,$FT608)*INDEX(卡牌消耗!$B$8:$F$8,FV608)/5,0)*5,""),"")</f>
        <v>1120</v>
      </c>
      <c r="GB608" s="101" t="str">
        <f t="shared" si="370"/>
        <v>专属强化石2</v>
      </c>
      <c r="GC608" s="101">
        <f t="shared" si="371"/>
        <v>3</v>
      </c>
      <c r="GD608" s="101" t="str">
        <f t="shared" si="372"/>
        <v>专属强化石3</v>
      </c>
      <c r="GE608" s="101">
        <f t="shared" si="373"/>
        <v>2</v>
      </c>
      <c r="GF608" s="101">
        <f t="shared" si="378"/>
        <v>0.1</v>
      </c>
      <c r="GG608" s="101">
        <f t="shared" si="379"/>
        <v>1</v>
      </c>
      <c r="GH608" s="101">
        <f t="shared" si="380"/>
        <v>15</v>
      </c>
      <c r="GI608" s="101">
        <f t="shared" si="381"/>
        <v>0</v>
      </c>
      <c r="GJ608" s="101">
        <f t="shared" si="382"/>
        <v>1</v>
      </c>
      <c r="GK608" s="101">
        <f t="shared" si="383"/>
        <v>3</v>
      </c>
      <c r="GL608" s="101">
        <f t="shared" si="384"/>
        <v>5.0599999999999999E-2</v>
      </c>
      <c r="GM608" s="101">
        <f t="shared" si="385"/>
        <v>1</v>
      </c>
      <c r="GN608" s="101">
        <f t="shared" si="386"/>
        <v>7</v>
      </c>
      <c r="GO608" s="101">
        <f t="shared" si="387"/>
        <v>0.2024</v>
      </c>
      <c r="GP608" s="101">
        <f t="shared" si="388"/>
        <v>1</v>
      </c>
      <c r="GQ608" s="101">
        <f t="shared" si="389"/>
        <v>15</v>
      </c>
    </row>
    <row r="609" spans="175:199" ht="16.5" x14ac:dyDescent="0.2">
      <c r="FS609" s="101">
        <v>604</v>
      </c>
      <c r="FT609" s="101">
        <f t="shared" si="374"/>
        <v>39</v>
      </c>
      <c r="FU609" s="101">
        <f t="shared" si="367"/>
        <v>8</v>
      </c>
      <c r="FV609" s="14">
        <f t="shared" si="368"/>
        <v>3</v>
      </c>
      <c r="FW609" s="101" t="str">
        <f t="shared" si="375"/>
        <v>徐晃专属武器-魂珠-5 3级</v>
      </c>
      <c r="FX609" s="101">
        <f t="shared" si="376"/>
        <v>5</v>
      </c>
      <c r="FY609" s="101">
        <f t="shared" si="377"/>
        <v>3</v>
      </c>
      <c r="FZ609" s="101" t="str">
        <f t="shared" si="369"/>
        <v>金币</v>
      </c>
      <c r="GA609" s="139">
        <f>IF($FY609&gt;0,IF(INDEX($EM$6:$EM$77,$FT609)&gt;=GA$3,ROUND(INDEX(EO$6:EO$77,$FT609)*INDEX(卡牌消耗!$B$8:$F$8,FV609)/5,0)*5,""),"")</f>
        <v>1245</v>
      </c>
      <c r="GB609" s="101" t="str">
        <f t="shared" si="370"/>
        <v>专属强化石2</v>
      </c>
      <c r="GC609" s="101">
        <f t="shared" si="371"/>
        <v>3</v>
      </c>
      <c r="GD609" s="101" t="str">
        <f t="shared" si="372"/>
        <v>专属强化石3</v>
      </c>
      <c r="GE609" s="101">
        <f t="shared" si="373"/>
        <v>2</v>
      </c>
      <c r="GF609" s="101">
        <f t="shared" si="378"/>
        <v>7.0000000000000007E-2</v>
      </c>
      <c r="GG609" s="101">
        <f t="shared" si="379"/>
        <v>1</v>
      </c>
      <c r="GH609" s="101">
        <f t="shared" si="380"/>
        <v>22</v>
      </c>
      <c r="GI609" s="101">
        <f t="shared" si="381"/>
        <v>0</v>
      </c>
      <c r="GJ609" s="101">
        <f t="shared" si="382"/>
        <v>1</v>
      </c>
      <c r="GK609" s="101">
        <f t="shared" si="383"/>
        <v>5</v>
      </c>
      <c r="GL609" s="101">
        <f t="shared" si="384"/>
        <v>3.3700000000000001E-2</v>
      </c>
      <c r="GM609" s="101">
        <f t="shared" si="385"/>
        <v>1</v>
      </c>
      <c r="GN609" s="101">
        <f t="shared" si="386"/>
        <v>10</v>
      </c>
      <c r="GO609" s="101">
        <f t="shared" si="387"/>
        <v>0.13489999999999999</v>
      </c>
      <c r="GP609" s="101">
        <f t="shared" si="388"/>
        <v>1</v>
      </c>
      <c r="GQ609" s="101">
        <f t="shared" si="389"/>
        <v>22</v>
      </c>
    </row>
    <row r="610" spans="175:199" ht="16.5" x14ac:dyDescent="0.2">
      <c r="FS610" s="101">
        <v>605</v>
      </c>
      <c r="FT610" s="101">
        <f t="shared" si="374"/>
        <v>40</v>
      </c>
      <c r="FU610" s="101">
        <f t="shared" si="367"/>
        <v>8</v>
      </c>
      <c r="FV610" s="14">
        <f t="shared" si="368"/>
        <v>3</v>
      </c>
      <c r="FW610" s="101" t="str">
        <f t="shared" si="375"/>
        <v>徐晃专属武器-魂珠-5 4级</v>
      </c>
      <c r="FX610" s="101">
        <f t="shared" si="376"/>
        <v>5</v>
      </c>
      <c r="FY610" s="101">
        <f t="shared" si="377"/>
        <v>4</v>
      </c>
      <c r="FZ610" s="101" t="str">
        <f t="shared" si="369"/>
        <v>金币</v>
      </c>
      <c r="GA610" s="139">
        <f>IF($FY610&gt;0,IF(INDEX($EM$6:$EM$77,$FT610)&gt;=GA$3,ROUND(INDEX(EO$6:EO$77,$FT610)*INDEX(卡牌消耗!$B$8:$F$8,FV610)/5,0)*5,""),"")</f>
        <v>1795</v>
      </c>
      <c r="GB610" s="101" t="str">
        <f t="shared" si="370"/>
        <v>专属强化石2</v>
      </c>
      <c r="GC610" s="101">
        <f t="shared" si="371"/>
        <v>5</v>
      </c>
      <c r="GD610" s="101" t="str">
        <f t="shared" si="372"/>
        <v>专属强化石3</v>
      </c>
      <c r="GE610" s="101">
        <f t="shared" si="373"/>
        <v>3</v>
      </c>
      <c r="GF610" s="101">
        <f t="shared" si="378"/>
        <v>0.06</v>
      </c>
      <c r="GG610" s="101">
        <f t="shared" si="379"/>
        <v>1</v>
      </c>
      <c r="GH610" s="101">
        <f t="shared" si="380"/>
        <v>25</v>
      </c>
      <c r="GI610" s="101">
        <f t="shared" si="381"/>
        <v>0</v>
      </c>
      <c r="GJ610" s="101">
        <f t="shared" si="382"/>
        <v>1</v>
      </c>
      <c r="GK610" s="101">
        <f t="shared" si="383"/>
        <v>6</v>
      </c>
      <c r="GL610" s="101">
        <f t="shared" si="384"/>
        <v>3.04E-2</v>
      </c>
      <c r="GM610" s="101">
        <f t="shared" si="385"/>
        <v>1</v>
      </c>
      <c r="GN610" s="101">
        <f t="shared" si="386"/>
        <v>12</v>
      </c>
      <c r="GO610" s="101">
        <f t="shared" si="387"/>
        <v>0.12139999999999999</v>
      </c>
      <c r="GP610" s="101">
        <f t="shared" si="388"/>
        <v>1</v>
      </c>
      <c r="GQ610" s="101">
        <f t="shared" si="389"/>
        <v>25</v>
      </c>
    </row>
    <row r="611" spans="175:199" ht="16.5" x14ac:dyDescent="0.2">
      <c r="FS611" s="101">
        <v>606</v>
      </c>
      <c r="FT611" s="101">
        <f t="shared" si="374"/>
        <v>41</v>
      </c>
      <c r="FU611" s="101">
        <f t="shared" si="367"/>
        <v>8</v>
      </c>
      <c r="FV611" s="14">
        <f t="shared" si="368"/>
        <v>3</v>
      </c>
      <c r="FW611" s="101" t="str">
        <f t="shared" si="375"/>
        <v>徐晃专属武器-魂珠-5 5级</v>
      </c>
      <c r="FX611" s="101">
        <f t="shared" si="376"/>
        <v>5</v>
      </c>
      <c r="FY611" s="101">
        <f t="shared" si="377"/>
        <v>5</v>
      </c>
      <c r="FZ611" s="101" t="str">
        <f t="shared" si="369"/>
        <v>金币</v>
      </c>
      <c r="GA611" s="139">
        <f>IF($FY611&gt;0,IF(INDEX($EM$6:$EM$77,$FT611)&gt;=GA$3,ROUND(INDEX(EO$6:EO$77,$FT611)*INDEX(卡牌消耗!$B$8:$F$8,FV611)/5,0)*5,""),"")</f>
        <v>1825</v>
      </c>
      <c r="GB611" s="101" t="str">
        <f t="shared" si="370"/>
        <v>专属强化石2</v>
      </c>
      <c r="GC611" s="101">
        <f t="shared" si="371"/>
        <v>5</v>
      </c>
      <c r="GD611" s="101" t="str">
        <f t="shared" si="372"/>
        <v>专属强化石3</v>
      </c>
      <c r="GE611" s="101">
        <f t="shared" si="373"/>
        <v>3</v>
      </c>
      <c r="GF611" s="101">
        <f t="shared" si="378"/>
        <v>0.04</v>
      </c>
      <c r="GG611" s="101">
        <f t="shared" si="379"/>
        <v>1</v>
      </c>
      <c r="GH611" s="101">
        <f t="shared" si="380"/>
        <v>40</v>
      </c>
      <c r="GI611" s="101">
        <f t="shared" si="381"/>
        <v>0</v>
      </c>
      <c r="GJ611" s="101">
        <f t="shared" si="382"/>
        <v>1</v>
      </c>
      <c r="GK611" s="101">
        <f t="shared" si="383"/>
        <v>9</v>
      </c>
      <c r="GL611" s="101">
        <f t="shared" si="384"/>
        <v>1.9E-2</v>
      </c>
      <c r="GM611" s="101">
        <f t="shared" si="385"/>
        <v>1</v>
      </c>
      <c r="GN611" s="101">
        <f t="shared" si="386"/>
        <v>18</v>
      </c>
      <c r="GO611" s="101">
        <f t="shared" si="387"/>
        <v>7.5899999999999995E-2</v>
      </c>
      <c r="GP611" s="101">
        <f t="shared" si="388"/>
        <v>1</v>
      </c>
      <c r="GQ611" s="101">
        <f t="shared" si="389"/>
        <v>40</v>
      </c>
    </row>
    <row r="612" spans="175:199" ht="16.5" x14ac:dyDescent="0.2">
      <c r="FS612" s="101">
        <v>607</v>
      </c>
      <c r="FT612" s="101">
        <f t="shared" si="374"/>
        <v>42</v>
      </c>
      <c r="FU612" s="101">
        <f t="shared" si="367"/>
        <v>8</v>
      </c>
      <c r="FV612" s="14">
        <f t="shared" si="368"/>
        <v>3</v>
      </c>
      <c r="FW612" s="101" t="str">
        <f t="shared" si="375"/>
        <v>徐晃专属武器-魂珠-5 6级</v>
      </c>
      <c r="FX612" s="101">
        <f t="shared" si="376"/>
        <v>5</v>
      </c>
      <c r="FY612" s="101">
        <f t="shared" si="377"/>
        <v>6</v>
      </c>
      <c r="FZ612" s="101" t="str">
        <f t="shared" si="369"/>
        <v>金币</v>
      </c>
      <c r="GA612" s="139">
        <f>IF($FY612&gt;0,IF(INDEX($EM$6:$EM$77,$FT612)&gt;=GA$3,ROUND(INDEX(EO$6:EO$77,$FT612)*INDEX(卡牌消耗!$B$8:$F$8,FV612)/5,0)*5,""),"")</f>
        <v>3020</v>
      </c>
      <c r="GB612" s="101" t="str">
        <f t="shared" si="370"/>
        <v>专属强化石2</v>
      </c>
      <c r="GC612" s="101">
        <f t="shared" si="371"/>
        <v>8</v>
      </c>
      <c r="GD612" s="101" t="str">
        <f t="shared" si="372"/>
        <v>专属强化石3</v>
      </c>
      <c r="GE612" s="101">
        <f t="shared" si="373"/>
        <v>5</v>
      </c>
      <c r="GF612" s="101">
        <f t="shared" si="378"/>
        <v>0.04</v>
      </c>
      <c r="GG612" s="101">
        <f t="shared" si="379"/>
        <v>1</v>
      </c>
      <c r="GH612" s="101">
        <f t="shared" si="380"/>
        <v>39</v>
      </c>
      <c r="GI612" s="101">
        <f t="shared" si="381"/>
        <v>0</v>
      </c>
      <c r="GJ612" s="101">
        <f t="shared" si="382"/>
        <v>1</v>
      </c>
      <c r="GK612" s="101">
        <f t="shared" si="383"/>
        <v>9</v>
      </c>
      <c r="GL612" s="101">
        <f t="shared" si="384"/>
        <v>1.95E-2</v>
      </c>
      <c r="GM612" s="101">
        <f t="shared" si="385"/>
        <v>1</v>
      </c>
      <c r="GN612" s="101">
        <f t="shared" si="386"/>
        <v>18</v>
      </c>
      <c r="GO612" s="101">
        <f t="shared" si="387"/>
        <v>7.7799999999999994E-2</v>
      </c>
      <c r="GP612" s="101">
        <f t="shared" si="388"/>
        <v>1</v>
      </c>
      <c r="GQ612" s="101">
        <f t="shared" si="389"/>
        <v>39</v>
      </c>
    </row>
    <row r="613" spans="175:199" ht="16.5" x14ac:dyDescent="0.2">
      <c r="FS613" s="101">
        <v>608</v>
      </c>
      <c r="FT613" s="101">
        <f t="shared" si="374"/>
        <v>43</v>
      </c>
      <c r="FU613" s="101">
        <f t="shared" si="367"/>
        <v>8</v>
      </c>
      <c r="FV613" s="14">
        <f t="shared" si="368"/>
        <v>3</v>
      </c>
      <c r="FW613" s="101" t="str">
        <f t="shared" si="375"/>
        <v>徐晃专属武器-魂珠-5 7级</v>
      </c>
      <c r="FX613" s="101">
        <f t="shared" si="376"/>
        <v>5</v>
      </c>
      <c r="FY613" s="101">
        <f t="shared" si="377"/>
        <v>7</v>
      </c>
      <c r="FZ613" s="101" t="str">
        <f t="shared" si="369"/>
        <v>金币</v>
      </c>
      <c r="GA613" s="139">
        <f>IF($FY613&gt;0,IF(INDEX($EM$6:$EM$77,$FT613)&gt;=GA$3,ROUND(INDEX(EO$6:EO$77,$FT613)*INDEX(卡牌消耗!$B$8:$F$8,FV613)/5,0)*5,""),"")</f>
        <v>3025</v>
      </c>
      <c r="GB613" s="101" t="str">
        <f t="shared" si="370"/>
        <v>专属强化石2</v>
      </c>
      <c r="GC613" s="101">
        <f t="shared" si="371"/>
        <v>8</v>
      </c>
      <c r="GD613" s="101" t="str">
        <f t="shared" si="372"/>
        <v>专属强化石3</v>
      </c>
      <c r="GE613" s="101">
        <f t="shared" si="373"/>
        <v>5</v>
      </c>
      <c r="GF613" s="101">
        <f t="shared" si="378"/>
        <v>0.02</v>
      </c>
      <c r="GG613" s="101">
        <f t="shared" si="379"/>
        <v>1</v>
      </c>
      <c r="GH613" s="101">
        <f t="shared" si="380"/>
        <v>62</v>
      </c>
      <c r="GI613" s="101">
        <f t="shared" si="381"/>
        <v>0</v>
      </c>
      <c r="GJ613" s="101">
        <f t="shared" si="382"/>
        <v>1</v>
      </c>
      <c r="GK613" s="101">
        <f t="shared" si="383"/>
        <v>15</v>
      </c>
      <c r="GL613" s="101">
        <f t="shared" si="384"/>
        <v>1.2E-2</v>
      </c>
      <c r="GM613" s="101">
        <f t="shared" si="385"/>
        <v>1</v>
      </c>
      <c r="GN613" s="101">
        <f t="shared" si="386"/>
        <v>29</v>
      </c>
      <c r="GO613" s="101">
        <f t="shared" si="387"/>
        <v>4.82E-2</v>
      </c>
      <c r="GP613" s="101">
        <f t="shared" si="388"/>
        <v>1</v>
      </c>
      <c r="GQ613" s="101">
        <f t="shared" si="389"/>
        <v>62</v>
      </c>
    </row>
    <row r="614" spans="175:199" ht="16.5" x14ac:dyDescent="0.2">
      <c r="FS614" s="101">
        <v>609</v>
      </c>
      <c r="FT614" s="101">
        <f t="shared" si="374"/>
        <v>44</v>
      </c>
      <c r="FU614" s="101">
        <f t="shared" si="367"/>
        <v>8</v>
      </c>
      <c r="FV614" s="14">
        <f t="shared" si="368"/>
        <v>3</v>
      </c>
      <c r="FW614" s="101" t="str">
        <f t="shared" si="375"/>
        <v>徐晃专属武器-魂珠-5 8级</v>
      </c>
      <c r="FX614" s="101">
        <f t="shared" si="376"/>
        <v>5</v>
      </c>
      <c r="FY614" s="101">
        <f t="shared" si="377"/>
        <v>8</v>
      </c>
      <c r="FZ614" s="101" t="str">
        <f t="shared" si="369"/>
        <v>金币</v>
      </c>
      <c r="GA614" s="139">
        <f>IF($FY614&gt;0,IF(INDEX($EM$6:$EM$77,$FT614)&gt;=GA$3,ROUND(INDEX(EO$6:EO$77,$FT614)*INDEX(卡牌消耗!$B$8:$F$8,FV614)/5,0)*5,""),"")</f>
        <v>4235</v>
      </c>
      <c r="GB614" s="101" t="str">
        <f t="shared" si="370"/>
        <v>专属强化石2</v>
      </c>
      <c r="GC614" s="101">
        <f t="shared" si="371"/>
        <v>11</v>
      </c>
      <c r="GD614" s="101" t="str">
        <f t="shared" si="372"/>
        <v>专属强化石3</v>
      </c>
      <c r="GE614" s="101">
        <f t="shared" si="373"/>
        <v>7</v>
      </c>
      <c r="GF614" s="101">
        <f t="shared" si="378"/>
        <v>0.02</v>
      </c>
      <c r="GG614" s="101">
        <f t="shared" si="379"/>
        <v>1</v>
      </c>
      <c r="GH614" s="101">
        <f t="shared" si="380"/>
        <v>72</v>
      </c>
      <c r="GI614" s="101">
        <f t="shared" si="381"/>
        <v>0</v>
      </c>
      <c r="GJ614" s="101">
        <f t="shared" si="382"/>
        <v>1</v>
      </c>
      <c r="GK614" s="101">
        <f t="shared" si="383"/>
        <v>17</v>
      </c>
      <c r="GL614" s="101">
        <f t="shared" si="384"/>
        <v>1.04E-2</v>
      </c>
      <c r="GM614" s="101">
        <f t="shared" si="385"/>
        <v>1</v>
      </c>
      <c r="GN614" s="101">
        <f t="shared" si="386"/>
        <v>34</v>
      </c>
      <c r="GO614" s="101">
        <f t="shared" si="387"/>
        <v>4.1700000000000001E-2</v>
      </c>
      <c r="GP614" s="101">
        <f t="shared" si="388"/>
        <v>1</v>
      </c>
      <c r="GQ614" s="101">
        <f t="shared" si="389"/>
        <v>72</v>
      </c>
    </row>
    <row r="615" spans="175:199" ht="16.5" x14ac:dyDescent="0.2">
      <c r="FS615" s="101">
        <v>610</v>
      </c>
      <c r="FT615" s="101">
        <f t="shared" si="374"/>
        <v>45</v>
      </c>
      <c r="FU615" s="101">
        <f t="shared" si="367"/>
        <v>8</v>
      </c>
      <c r="FV615" s="14">
        <f t="shared" si="368"/>
        <v>3</v>
      </c>
      <c r="FW615" s="101" t="str">
        <f t="shared" si="375"/>
        <v>徐晃专属武器-魂珠-5 9级</v>
      </c>
      <c r="FX615" s="101">
        <f t="shared" si="376"/>
        <v>5</v>
      </c>
      <c r="FY615" s="101">
        <f t="shared" si="377"/>
        <v>9</v>
      </c>
      <c r="FZ615" s="101" t="str">
        <f t="shared" si="369"/>
        <v>金币</v>
      </c>
      <c r="GA615" s="139">
        <f>IF($FY615&gt;0,IF(INDEX($EM$6:$EM$77,$FT615)&gt;=GA$3,ROUND(INDEX(EO$6:EO$77,$FT615)*INDEX(卡牌消耗!$B$8:$F$8,FV615)/5,0)*5,""),"")</f>
        <v>5445</v>
      </c>
      <c r="GB615" s="101" t="str">
        <f t="shared" si="370"/>
        <v>专属强化石2</v>
      </c>
      <c r="GC615" s="101">
        <f t="shared" si="371"/>
        <v>14</v>
      </c>
      <c r="GD615" s="101" t="str">
        <f t="shared" si="372"/>
        <v>专属强化石3</v>
      </c>
      <c r="GE615" s="101">
        <f t="shared" si="373"/>
        <v>9</v>
      </c>
      <c r="GF615" s="101">
        <f t="shared" si="378"/>
        <v>0.02</v>
      </c>
      <c r="GG615" s="101">
        <f t="shared" si="379"/>
        <v>1</v>
      </c>
      <c r="GH615" s="101">
        <f t="shared" si="380"/>
        <v>91</v>
      </c>
      <c r="GI615" s="101">
        <f t="shared" si="381"/>
        <v>0</v>
      </c>
      <c r="GJ615" s="101">
        <f t="shared" si="382"/>
        <v>1</v>
      </c>
      <c r="GK615" s="101">
        <f t="shared" si="383"/>
        <v>21</v>
      </c>
      <c r="GL615" s="101">
        <f t="shared" si="384"/>
        <v>8.3000000000000001E-3</v>
      </c>
      <c r="GM615" s="101">
        <f t="shared" si="385"/>
        <v>1</v>
      </c>
      <c r="GN615" s="101">
        <f t="shared" si="386"/>
        <v>42</v>
      </c>
      <c r="GO615" s="101">
        <f t="shared" si="387"/>
        <v>3.3099999999999997E-2</v>
      </c>
      <c r="GP615" s="101">
        <f t="shared" si="388"/>
        <v>1</v>
      </c>
      <c r="GQ615" s="101">
        <f t="shared" si="389"/>
        <v>91</v>
      </c>
    </row>
    <row r="616" spans="175:199" ht="16.5" x14ac:dyDescent="0.2">
      <c r="FS616" s="101">
        <v>611</v>
      </c>
      <c r="FT616" s="101">
        <f t="shared" si="374"/>
        <v>0</v>
      </c>
      <c r="FU616" s="101">
        <f t="shared" si="367"/>
        <v>8</v>
      </c>
      <c r="FV616" s="14">
        <f t="shared" si="368"/>
        <v>3</v>
      </c>
      <c r="FW616" s="101" t="str">
        <f t="shared" si="375"/>
        <v>徐晃专属武器-魂珠-6 0级</v>
      </c>
      <c r="FX616" s="101">
        <f t="shared" si="376"/>
        <v>6</v>
      </c>
      <c r="FY616" s="101">
        <f t="shared" si="377"/>
        <v>0</v>
      </c>
      <c r="FZ616" s="101" t="str">
        <f t="shared" si="369"/>
        <v/>
      </c>
      <c r="GA616" s="139" t="str">
        <f>IF($FY616&gt;0,IF(INDEX($EM$6:$EM$77,$FT616)&gt;=GA$3,ROUND(INDEX(EO$6:EO$77,$FT616)*INDEX(卡牌消耗!$B$8:$F$8,FV616)/5,0)*5,""),"")</f>
        <v/>
      </c>
      <c r="GB616" s="101" t="str">
        <f t="shared" si="370"/>
        <v/>
      </c>
      <c r="GC616" s="101" t="str">
        <f t="shared" si="371"/>
        <v/>
      </c>
      <c r="GD616" s="101" t="str">
        <f t="shared" si="372"/>
        <v/>
      </c>
      <c r="GE616" s="101" t="str">
        <f t="shared" si="373"/>
        <v/>
      </c>
      <c r="GF616" s="101" t="str">
        <f t="shared" si="378"/>
        <v/>
      </c>
      <c r="GG616" s="101" t="str">
        <f t="shared" si="379"/>
        <v/>
      </c>
      <c r="GH616" s="101" t="str">
        <f t="shared" si="380"/>
        <v/>
      </c>
      <c r="GI616" s="101" t="str">
        <f t="shared" si="381"/>
        <v/>
      </c>
      <c r="GJ616" s="101" t="str">
        <f t="shared" si="382"/>
        <v/>
      </c>
      <c r="GK616" s="101" t="str">
        <f t="shared" si="383"/>
        <v/>
      </c>
      <c r="GL616" s="101" t="str">
        <f t="shared" si="384"/>
        <v/>
      </c>
      <c r="GM616" s="101" t="str">
        <f t="shared" si="385"/>
        <v/>
      </c>
      <c r="GN616" s="101" t="str">
        <f t="shared" si="386"/>
        <v/>
      </c>
      <c r="GO616" s="101" t="str">
        <f t="shared" si="387"/>
        <v/>
      </c>
      <c r="GP616" s="101" t="str">
        <f t="shared" si="388"/>
        <v/>
      </c>
      <c r="GQ616" s="101" t="str">
        <f t="shared" si="389"/>
        <v/>
      </c>
    </row>
    <row r="617" spans="175:199" ht="16.5" x14ac:dyDescent="0.2">
      <c r="FS617" s="101">
        <v>612</v>
      </c>
      <c r="FT617" s="101">
        <f t="shared" si="374"/>
        <v>46</v>
      </c>
      <c r="FU617" s="101">
        <f t="shared" si="367"/>
        <v>8</v>
      </c>
      <c r="FV617" s="14">
        <f t="shared" si="368"/>
        <v>3</v>
      </c>
      <c r="FW617" s="101" t="str">
        <f t="shared" si="375"/>
        <v>徐晃专属武器-魂珠-6 1级</v>
      </c>
      <c r="FX617" s="101">
        <f t="shared" si="376"/>
        <v>6</v>
      </c>
      <c r="FY617" s="101">
        <f t="shared" si="377"/>
        <v>1</v>
      </c>
      <c r="FZ617" s="101" t="str">
        <f t="shared" si="369"/>
        <v>金币</v>
      </c>
      <c r="GA617" s="139">
        <f>IF($FY617&gt;0,IF(INDEX($EM$6:$EM$77,$FT617)&gt;=GA$3,ROUND(INDEX(EO$6:EO$77,$FT617)*INDEX(卡牌消耗!$B$8:$F$8,FV617)/5,0)*5,""),"")</f>
        <v>1455</v>
      </c>
      <c r="GB617" s="101" t="str">
        <f t="shared" si="370"/>
        <v>专属强化石3</v>
      </c>
      <c r="GC617" s="101">
        <f t="shared" si="371"/>
        <v>5</v>
      </c>
      <c r="GD617" s="101" t="str">
        <f t="shared" si="372"/>
        <v>专属强化石4</v>
      </c>
      <c r="GE617" s="101">
        <f t="shared" si="373"/>
        <v>1</v>
      </c>
      <c r="GF617" s="101">
        <f t="shared" si="378"/>
        <v>0.17</v>
      </c>
      <c r="GG617" s="101">
        <f t="shared" si="379"/>
        <v>1</v>
      </c>
      <c r="GH617" s="101">
        <f t="shared" si="380"/>
        <v>9</v>
      </c>
      <c r="GI617" s="101">
        <f t="shared" si="381"/>
        <v>0</v>
      </c>
      <c r="GJ617" s="101">
        <f t="shared" si="382"/>
        <v>1</v>
      </c>
      <c r="GK617" s="101">
        <f t="shared" si="383"/>
        <v>2</v>
      </c>
      <c r="GL617" s="101">
        <f t="shared" si="384"/>
        <v>8.2900000000000001E-2</v>
      </c>
      <c r="GM617" s="101">
        <f t="shared" si="385"/>
        <v>1</v>
      </c>
      <c r="GN617" s="101">
        <f t="shared" si="386"/>
        <v>4</v>
      </c>
      <c r="GO617" s="101">
        <f t="shared" si="387"/>
        <v>0.33139999999999997</v>
      </c>
      <c r="GP617" s="101">
        <f t="shared" si="388"/>
        <v>1</v>
      </c>
      <c r="GQ617" s="101">
        <f t="shared" si="389"/>
        <v>9</v>
      </c>
    </row>
    <row r="618" spans="175:199" ht="16.5" x14ac:dyDescent="0.2">
      <c r="FS618" s="101">
        <v>613</v>
      </c>
      <c r="FT618" s="101">
        <f t="shared" si="374"/>
        <v>47</v>
      </c>
      <c r="FU618" s="101">
        <f t="shared" si="367"/>
        <v>8</v>
      </c>
      <c r="FV618" s="14">
        <f t="shared" si="368"/>
        <v>3</v>
      </c>
      <c r="FW618" s="101" t="str">
        <f t="shared" si="375"/>
        <v>徐晃专属武器-魂珠-6 2级</v>
      </c>
      <c r="FX618" s="101">
        <f t="shared" si="376"/>
        <v>6</v>
      </c>
      <c r="FY618" s="101">
        <f t="shared" si="377"/>
        <v>2</v>
      </c>
      <c r="FZ618" s="101" t="str">
        <f t="shared" si="369"/>
        <v>金币</v>
      </c>
      <c r="GA618" s="139">
        <f>IF($FY618&gt;0,IF(INDEX($EM$6:$EM$77,$FT618)&gt;=GA$3,ROUND(INDEX(EO$6:EO$77,$FT618)*INDEX(卡牌消耗!$B$8:$F$8,FV618)/5,0)*5,""),"")</f>
        <v>2180</v>
      </c>
      <c r="GB618" s="101" t="str">
        <f t="shared" si="370"/>
        <v>专属强化石3</v>
      </c>
      <c r="GC618" s="101">
        <f t="shared" si="371"/>
        <v>10</v>
      </c>
      <c r="GD618" s="101" t="str">
        <f t="shared" si="372"/>
        <v>专属强化石4</v>
      </c>
      <c r="GE618" s="101">
        <f t="shared" si="373"/>
        <v>2</v>
      </c>
      <c r="GF618" s="101">
        <f t="shared" si="378"/>
        <v>0.17</v>
      </c>
      <c r="GG618" s="101">
        <f t="shared" si="379"/>
        <v>1</v>
      </c>
      <c r="GH618" s="101">
        <f t="shared" si="380"/>
        <v>9</v>
      </c>
      <c r="GI618" s="101">
        <f t="shared" si="381"/>
        <v>0</v>
      </c>
      <c r="GJ618" s="101">
        <f t="shared" si="382"/>
        <v>1</v>
      </c>
      <c r="GK618" s="101">
        <f t="shared" si="383"/>
        <v>2</v>
      </c>
      <c r="GL618" s="101">
        <f t="shared" si="384"/>
        <v>8.2900000000000001E-2</v>
      </c>
      <c r="GM618" s="101">
        <f t="shared" si="385"/>
        <v>1</v>
      </c>
      <c r="GN618" s="101">
        <f t="shared" si="386"/>
        <v>4</v>
      </c>
      <c r="GO618" s="101">
        <f t="shared" si="387"/>
        <v>0.33139999999999997</v>
      </c>
      <c r="GP618" s="101">
        <f t="shared" si="388"/>
        <v>1</v>
      </c>
      <c r="GQ618" s="101">
        <f t="shared" si="389"/>
        <v>9</v>
      </c>
    </row>
    <row r="619" spans="175:199" ht="16.5" x14ac:dyDescent="0.2">
      <c r="FS619" s="101">
        <v>614</v>
      </c>
      <c r="FT619" s="101">
        <f t="shared" si="374"/>
        <v>48</v>
      </c>
      <c r="FU619" s="101">
        <f t="shared" si="367"/>
        <v>8</v>
      </c>
      <c r="FV619" s="14">
        <f t="shared" si="368"/>
        <v>3</v>
      </c>
      <c r="FW619" s="101" t="str">
        <f t="shared" si="375"/>
        <v>徐晃专属武器-魂珠-6 3级</v>
      </c>
      <c r="FX619" s="101">
        <f t="shared" si="376"/>
        <v>6</v>
      </c>
      <c r="FY619" s="101">
        <f t="shared" si="377"/>
        <v>3</v>
      </c>
      <c r="FZ619" s="101" t="str">
        <f t="shared" si="369"/>
        <v>金币</v>
      </c>
      <c r="GA619" s="139">
        <f>IF($FY619&gt;0,IF(INDEX($EM$6:$EM$77,$FT619)&gt;=GA$3,ROUND(INDEX(EO$6:EO$77,$FT619)*INDEX(卡牌消耗!$B$8:$F$8,FV619)/5,0)*5,""),"")</f>
        <v>2425</v>
      </c>
      <c r="GB619" s="101" t="str">
        <f t="shared" si="370"/>
        <v>专属强化石3</v>
      </c>
      <c r="GC619" s="101">
        <f t="shared" si="371"/>
        <v>10</v>
      </c>
      <c r="GD619" s="101" t="str">
        <f t="shared" si="372"/>
        <v>专属强化石4</v>
      </c>
      <c r="GE619" s="101">
        <f t="shared" si="373"/>
        <v>2</v>
      </c>
      <c r="GF619" s="101">
        <f t="shared" si="378"/>
        <v>0.11</v>
      </c>
      <c r="GG619" s="101">
        <f t="shared" si="379"/>
        <v>1</v>
      </c>
      <c r="GH619" s="101">
        <f t="shared" si="380"/>
        <v>14</v>
      </c>
      <c r="GI619" s="101">
        <f t="shared" si="381"/>
        <v>0</v>
      </c>
      <c r="GJ619" s="101">
        <f t="shared" si="382"/>
        <v>1</v>
      </c>
      <c r="GK619" s="101">
        <f t="shared" si="383"/>
        <v>3</v>
      </c>
      <c r="GL619" s="101">
        <f t="shared" si="384"/>
        <v>5.5199999999999999E-2</v>
      </c>
      <c r="GM619" s="101">
        <f t="shared" si="385"/>
        <v>1</v>
      </c>
      <c r="GN619" s="101">
        <f t="shared" si="386"/>
        <v>6</v>
      </c>
      <c r="GO619" s="101">
        <f t="shared" si="387"/>
        <v>0.221</v>
      </c>
      <c r="GP619" s="101">
        <f t="shared" si="388"/>
        <v>1</v>
      </c>
      <c r="GQ619" s="101">
        <f t="shared" si="389"/>
        <v>14</v>
      </c>
    </row>
    <row r="620" spans="175:199" ht="16.5" x14ac:dyDescent="0.2">
      <c r="FS620" s="101">
        <v>615</v>
      </c>
      <c r="FT620" s="101">
        <f t="shared" si="374"/>
        <v>49</v>
      </c>
      <c r="FU620" s="101">
        <f t="shared" si="367"/>
        <v>8</v>
      </c>
      <c r="FV620" s="14">
        <f t="shared" si="368"/>
        <v>3</v>
      </c>
      <c r="FW620" s="101" t="str">
        <f t="shared" si="375"/>
        <v>徐晃专属武器-魂珠-6 4级</v>
      </c>
      <c r="FX620" s="101">
        <f t="shared" si="376"/>
        <v>6</v>
      </c>
      <c r="FY620" s="101">
        <f t="shared" si="377"/>
        <v>4</v>
      </c>
      <c r="FZ620" s="101" t="str">
        <f t="shared" si="369"/>
        <v>金币</v>
      </c>
      <c r="GA620" s="139">
        <f>IF($FY620&gt;0,IF(INDEX($EM$6:$EM$77,$FT620)&gt;=GA$3,ROUND(INDEX(EO$6:EO$77,$FT620)*INDEX(卡牌消耗!$B$8:$F$8,FV620)/5,0)*5,""),"")</f>
        <v>3490</v>
      </c>
      <c r="GB620" s="101" t="str">
        <f t="shared" si="370"/>
        <v>专属强化石3</v>
      </c>
      <c r="GC620" s="101">
        <f t="shared" si="371"/>
        <v>15</v>
      </c>
      <c r="GD620" s="101" t="str">
        <f t="shared" si="372"/>
        <v>专属强化石4</v>
      </c>
      <c r="GE620" s="101">
        <f t="shared" si="373"/>
        <v>3</v>
      </c>
      <c r="GF620" s="101">
        <f t="shared" si="378"/>
        <v>0.1</v>
      </c>
      <c r="GG620" s="101">
        <f t="shared" si="379"/>
        <v>1</v>
      </c>
      <c r="GH620" s="101">
        <f t="shared" si="380"/>
        <v>15</v>
      </c>
      <c r="GI620" s="101">
        <f t="shared" si="381"/>
        <v>0</v>
      </c>
      <c r="GJ620" s="101">
        <f t="shared" si="382"/>
        <v>1</v>
      </c>
      <c r="GK620" s="101">
        <f t="shared" si="383"/>
        <v>4</v>
      </c>
      <c r="GL620" s="101">
        <f t="shared" si="384"/>
        <v>4.9700000000000001E-2</v>
      </c>
      <c r="GM620" s="101">
        <f t="shared" si="385"/>
        <v>1</v>
      </c>
      <c r="GN620" s="101">
        <f t="shared" si="386"/>
        <v>7</v>
      </c>
      <c r="GO620" s="101">
        <f t="shared" si="387"/>
        <v>0.19889999999999999</v>
      </c>
      <c r="GP620" s="101">
        <f t="shared" si="388"/>
        <v>1</v>
      </c>
      <c r="GQ620" s="101">
        <f t="shared" si="389"/>
        <v>15</v>
      </c>
    </row>
    <row r="621" spans="175:199" ht="16.5" x14ac:dyDescent="0.2">
      <c r="FS621" s="101">
        <v>616</v>
      </c>
      <c r="FT621" s="101">
        <f t="shared" si="374"/>
        <v>50</v>
      </c>
      <c r="FU621" s="101">
        <f t="shared" si="367"/>
        <v>8</v>
      </c>
      <c r="FV621" s="14">
        <f t="shared" si="368"/>
        <v>3</v>
      </c>
      <c r="FW621" s="101" t="str">
        <f t="shared" si="375"/>
        <v>徐晃专属武器-魂珠-6 5级</v>
      </c>
      <c r="FX621" s="101">
        <f t="shared" si="376"/>
        <v>6</v>
      </c>
      <c r="FY621" s="101">
        <f t="shared" si="377"/>
        <v>5</v>
      </c>
      <c r="FZ621" s="101" t="str">
        <f t="shared" si="369"/>
        <v>金币</v>
      </c>
      <c r="GA621" s="139">
        <f>IF($FY621&gt;0,IF(INDEX($EM$6:$EM$77,$FT621)&gt;=GA$3,ROUND(INDEX(EO$6:EO$77,$FT621)*INDEX(卡牌消耗!$B$8:$F$8,FV621)/5,0)*5,""),"")</f>
        <v>3545</v>
      </c>
      <c r="GB621" s="101" t="str">
        <f t="shared" si="370"/>
        <v>专属强化石3</v>
      </c>
      <c r="GC621" s="101">
        <f t="shared" si="371"/>
        <v>15</v>
      </c>
      <c r="GD621" s="101" t="str">
        <f t="shared" si="372"/>
        <v>专属强化石4</v>
      </c>
      <c r="GE621" s="101">
        <f t="shared" si="373"/>
        <v>3</v>
      </c>
      <c r="GF621" s="101">
        <f t="shared" si="378"/>
        <v>0.06</v>
      </c>
      <c r="GG621" s="101">
        <f t="shared" si="379"/>
        <v>1</v>
      </c>
      <c r="GH621" s="101">
        <f t="shared" si="380"/>
        <v>24</v>
      </c>
      <c r="GI621" s="101">
        <f t="shared" si="381"/>
        <v>0</v>
      </c>
      <c r="GJ621" s="101">
        <f t="shared" si="382"/>
        <v>1</v>
      </c>
      <c r="GK621" s="101">
        <f t="shared" si="383"/>
        <v>6</v>
      </c>
      <c r="GL621" s="101">
        <f t="shared" si="384"/>
        <v>3.1099999999999999E-2</v>
      </c>
      <c r="GM621" s="101">
        <f t="shared" si="385"/>
        <v>1</v>
      </c>
      <c r="GN621" s="101">
        <f t="shared" si="386"/>
        <v>11</v>
      </c>
      <c r="GO621" s="101">
        <f t="shared" si="387"/>
        <v>0.12429999999999999</v>
      </c>
      <c r="GP621" s="101">
        <f t="shared" si="388"/>
        <v>1</v>
      </c>
      <c r="GQ621" s="101">
        <f t="shared" si="389"/>
        <v>24</v>
      </c>
    </row>
    <row r="622" spans="175:199" ht="16.5" x14ac:dyDescent="0.2">
      <c r="FS622" s="101">
        <v>617</v>
      </c>
      <c r="FT622" s="101">
        <f t="shared" si="374"/>
        <v>51</v>
      </c>
      <c r="FU622" s="101">
        <f t="shared" si="367"/>
        <v>8</v>
      </c>
      <c r="FV622" s="14">
        <f t="shared" si="368"/>
        <v>3</v>
      </c>
      <c r="FW622" s="101" t="str">
        <f t="shared" si="375"/>
        <v>徐晃专属武器-魂珠-6 6级</v>
      </c>
      <c r="FX622" s="101">
        <f t="shared" si="376"/>
        <v>6</v>
      </c>
      <c r="FY622" s="101">
        <f t="shared" si="377"/>
        <v>6</v>
      </c>
      <c r="FZ622" s="101" t="str">
        <f t="shared" si="369"/>
        <v>金币</v>
      </c>
      <c r="GA622" s="139">
        <f>IF($FY622&gt;0,IF(INDEX($EM$6:$EM$77,$FT622)&gt;=GA$3,ROUND(INDEX(EO$6:EO$77,$FT622)*INDEX(卡牌消耗!$B$8:$F$8,FV622)/5,0)*5,""),"")</f>
        <v>4700</v>
      </c>
      <c r="GB622" s="101" t="str">
        <f t="shared" si="370"/>
        <v>专属强化石3</v>
      </c>
      <c r="GC622" s="101">
        <f t="shared" si="371"/>
        <v>20</v>
      </c>
      <c r="GD622" s="101" t="str">
        <f t="shared" si="372"/>
        <v>专属强化石4</v>
      </c>
      <c r="GE622" s="101">
        <f t="shared" si="373"/>
        <v>4</v>
      </c>
      <c r="GF622" s="101">
        <f t="shared" si="378"/>
        <v>0.05</v>
      </c>
      <c r="GG622" s="101">
        <f t="shared" si="379"/>
        <v>1</v>
      </c>
      <c r="GH622" s="101">
        <f t="shared" si="380"/>
        <v>29</v>
      </c>
      <c r="GI622" s="101">
        <f t="shared" si="381"/>
        <v>0</v>
      </c>
      <c r="GJ622" s="101">
        <f t="shared" si="382"/>
        <v>1</v>
      </c>
      <c r="GK622" s="101">
        <f t="shared" si="383"/>
        <v>7</v>
      </c>
      <c r="GL622" s="101">
        <f t="shared" si="384"/>
        <v>2.5499999999999998E-2</v>
      </c>
      <c r="GM622" s="101">
        <f t="shared" si="385"/>
        <v>1</v>
      </c>
      <c r="GN622" s="101">
        <f t="shared" si="386"/>
        <v>14</v>
      </c>
      <c r="GO622" s="101">
        <f t="shared" si="387"/>
        <v>0.10199999999999999</v>
      </c>
      <c r="GP622" s="101">
        <f t="shared" si="388"/>
        <v>1</v>
      </c>
      <c r="GQ622" s="101">
        <f t="shared" si="389"/>
        <v>29</v>
      </c>
    </row>
    <row r="623" spans="175:199" ht="16.5" x14ac:dyDescent="0.2">
      <c r="FS623" s="101">
        <v>618</v>
      </c>
      <c r="FT623" s="101">
        <f t="shared" si="374"/>
        <v>52</v>
      </c>
      <c r="FU623" s="101">
        <f t="shared" si="367"/>
        <v>8</v>
      </c>
      <c r="FV623" s="14">
        <f t="shared" si="368"/>
        <v>3</v>
      </c>
      <c r="FW623" s="101" t="str">
        <f t="shared" si="375"/>
        <v>徐晃专属武器-魂珠-6 7级</v>
      </c>
      <c r="FX623" s="101">
        <f t="shared" si="376"/>
        <v>6</v>
      </c>
      <c r="FY623" s="101">
        <f t="shared" si="377"/>
        <v>7</v>
      </c>
      <c r="FZ623" s="101" t="str">
        <f t="shared" si="369"/>
        <v>金币</v>
      </c>
      <c r="GA623" s="139">
        <f>IF($FY623&gt;0,IF(INDEX($EM$6:$EM$77,$FT623)&gt;=GA$3,ROUND(INDEX(EO$6:EO$77,$FT623)*INDEX(卡牌消耗!$B$8:$F$8,FV623)/5,0)*5,""),"")</f>
        <v>5885</v>
      </c>
      <c r="GB623" s="101" t="str">
        <f t="shared" si="370"/>
        <v>专属强化石3</v>
      </c>
      <c r="GC623" s="101">
        <f t="shared" si="371"/>
        <v>25</v>
      </c>
      <c r="GD623" s="101" t="str">
        <f t="shared" si="372"/>
        <v>专属强化石4</v>
      </c>
      <c r="GE623" s="101">
        <f t="shared" si="373"/>
        <v>5</v>
      </c>
      <c r="GF623" s="101">
        <f t="shared" si="378"/>
        <v>0.04</v>
      </c>
      <c r="GG623" s="101">
        <f t="shared" si="379"/>
        <v>1</v>
      </c>
      <c r="GH623" s="101">
        <f t="shared" si="380"/>
        <v>38</v>
      </c>
      <c r="GI623" s="101">
        <f t="shared" si="381"/>
        <v>0</v>
      </c>
      <c r="GJ623" s="101">
        <f t="shared" si="382"/>
        <v>1</v>
      </c>
      <c r="GK623" s="101">
        <f t="shared" si="383"/>
        <v>9</v>
      </c>
      <c r="GL623" s="101">
        <f t="shared" si="384"/>
        <v>1.9699999999999999E-2</v>
      </c>
      <c r="GM623" s="101">
        <f t="shared" si="385"/>
        <v>1</v>
      </c>
      <c r="GN623" s="101">
        <f t="shared" si="386"/>
        <v>18</v>
      </c>
      <c r="GO623" s="101">
        <f t="shared" si="387"/>
        <v>7.8899999999999998E-2</v>
      </c>
      <c r="GP623" s="101">
        <f t="shared" si="388"/>
        <v>1</v>
      </c>
      <c r="GQ623" s="101">
        <f t="shared" si="389"/>
        <v>38</v>
      </c>
    </row>
    <row r="624" spans="175:199" ht="16.5" x14ac:dyDescent="0.2">
      <c r="FS624" s="101">
        <v>619</v>
      </c>
      <c r="FT624" s="101">
        <f t="shared" si="374"/>
        <v>53</v>
      </c>
      <c r="FU624" s="101">
        <f t="shared" si="367"/>
        <v>8</v>
      </c>
      <c r="FV624" s="14">
        <f t="shared" si="368"/>
        <v>3</v>
      </c>
      <c r="FW624" s="101" t="str">
        <f t="shared" si="375"/>
        <v>徐晃专属武器-魂珠-6 8级</v>
      </c>
      <c r="FX624" s="101">
        <f t="shared" si="376"/>
        <v>6</v>
      </c>
      <c r="FY624" s="101">
        <f t="shared" si="377"/>
        <v>8</v>
      </c>
      <c r="FZ624" s="101" t="str">
        <f t="shared" si="369"/>
        <v>金币</v>
      </c>
      <c r="GA624" s="139">
        <f>IF($FY624&gt;0,IF(INDEX($EM$6:$EM$77,$FT624)&gt;=GA$3,ROUND(INDEX(EO$6:EO$77,$FT624)*INDEX(卡牌消耗!$B$8:$F$8,FV624)/5,0)*5,""),"")</f>
        <v>8235</v>
      </c>
      <c r="GB624" s="101" t="str">
        <f t="shared" si="370"/>
        <v>专属强化石3</v>
      </c>
      <c r="GC624" s="101">
        <f t="shared" si="371"/>
        <v>35</v>
      </c>
      <c r="GD624" s="101" t="str">
        <f t="shared" si="372"/>
        <v>专属强化石4</v>
      </c>
      <c r="GE624" s="101">
        <f t="shared" si="373"/>
        <v>7</v>
      </c>
      <c r="GF624" s="101">
        <f t="shared" si="378"/>
        <v>0.03</v>
      </c>
      <c r="GG624" s="101">
        <f t="shared" si="379"/>
        <v>1</v>
      </c>
      <c r="GH624" s="101">
        <f t="shared" si="380"/>
        <v>44</v>
      </c>
      <c r="GI624" s="101">
        <f t="shared" si="381"/>
        <v>0</v>
      </c>
      <c r="GJ624" s="101">
        <f t="shared" si="382"/>
        <v>1</v>
      </c>
      <c r="GK624" s="101">
        <f t="shared" si="383"/>
        <v>10</v>
      </c>
      <c r="GL624" s="101">
        <f t="shared" si="384"/>
        <v>1.7100000000000001E-2</v>
      </c>
      <c r="GM624" s="101">
        <f t="shared" si="385"/>
        <v>1</v>
      </c>
      <c r="GN624" s="101">
        <f t="shared" si="386"/>
        <v>21</v>
      </c>
      <c r="GO624" s="101">
        <f t="shared" si="387"/>
        <v>6.8199999999999997E-2</v>
      </c>
      <c r="GP624" s="101">
        <f t="shared" si="388"/>
        <v>1</v>
      </c>
      <c r="GQ624" s="101">
        <f t="shared" si="389"/>
        <v>44</v>
      </c>
    </row>
    <row r="625" spans="175:199" ht="16.5" x14ac:dyDescent="0.2">
      <c r="FS625" s="101">
        <v>620</v>
      </c>
      <c r="FT625" s="101">
        <f t="shared" si="374"/>
        <v>54</v>
      </c>
      <c r="FU625" s="101">
        <f t="shared" si="367"/>
        <v>8</v>
      </c>
      <c r="FV625" s="14">
        <f t="shared" si="368"/>
        <v>3</v>
      </c>
      <c r="FW625" s="101" t="str">
        <f t="shared" si="375"/>
        <v>徐晃专属武器-魂珠-6 9级</v>
      </c>
      <c r="FX625" s="101">
        <f t="shared" si="376"/>
        <v>6</v>
      </c>
      <c r="FY625" s="101">
        <f t="shared" si="377"/>
        <v>9</v>
      </c>
      <c r="FZ625" s="101" t="str">
        <f t="shared" si="369"/>
        <v>金币</v>
      </c>
      <c r="GA625" s="139">
        <f>IF($FY625&gt;0,IF(INDEX($EM$6:$EM$77,$FT625)&gt;=GA$3,ROUND(INDEX(EO$6:EO$77,$FT625)*INDEX(卡牌消耗!$B$8:$F$8,FV625)/5,0)*5,""),"")</f>
        <v>9410</v>
      </c>
      <c r="GB625" s="101" t="str">
        <f t="shared" si="370"/>
        <v>专属强化石3</v>
      </c>
      <c r="GC625" s="101">
        <f t="shared" si="371"/>
        <v>40</v>
      </c>
      <c r="GD625" s="101" t="str">
        <f t="shared" si="372"/>
        <v>专属强化石4</v>
      </c>
      <c r="GE625" s="101">
        <f t="shared" si="373"/>
        <v>8</v>
      </c>
      <c r="GF625" s="101">
        <f t="shared" si="378"/>
        <v>0.02</v>
      </c>
      <c r="GG625" s="101">
        <f t="shared" si="379"/>
        <v>1</v>
      </c>
      <c r="GH625" s="101">
        <f t="shared" si="380"/>
        <v>62</v>
      </c>
      <c r="GI625" s="101">
        <f t="shared" si="381"/>
        <v>0</v>
      </c>
      <c r="GJ625" s="101">
        <f t="shared" si="382"/>
        <v>1</v>
      </c>
      <c r="GK625" s="101">
        <f t="shared" si="383"/>
        <v>15</v>
      </c>
      <c r="GL625" s="101">
        <f t="shared" si="384"/>
        <v>1.21E-2</v>
      </c>
      <c r="GM625" s="101">
        <f t="shared" si="385"/>
        <v>1</v>
      </c>
      <c r="GN625" s="101">
        <f t="shared" si="386"/>
        <v>29</v>
      </c>
      <c r="GO625" s="101">
        <f t="shared" si="387"/>
        <v>4.82E-2</v>
      </c>
      <c r="GP625" s="101">
        <f t="shared" si="388"/>
        <v>1</v>
      </c>
      <c r="GQ625" s="101">
        <f t="shared" si="389"/>
        <v>62</v>
      </c>
    </row>
    <row r="626" spans="175:199" ht="16.5" x14ac:dyDescent="0.2">
      <c r="FS626" s="101">
        <v>621</v>
      </c>
      <c r="FT626" s="101">
        <f t="shared" si="374"/>
        <v>0</v>
      </c>
      <c r="FU626" s="101">
        <f t="shared" si="367"/>
        <v>8</v>
      </c>
      <c r="FV626" s="14">
        <f t="shared" si="368"/>
        <v>3</v>
      </c>
      <c r="FW626" s="101" t="str">
        <f t="shared" si="375"/>
        <v>徐晃专属武器-魂珠-7 0级</v>
      </c>
      <c r="FX626" s="101">
        <f t="shared" si="376"/>
        <v>7</v>
      </c>
      <c r="FY626" s="101">
        <f t="shared" si="377"/>
        <v>0</v>
      </c>
      <c r="FZ626" s="101" t="str">
        <f t="shared" si="369"/>
        <v/>
      </c>
      <c r="GA626" s="139" t="str">
        <f>IF($FY626&gt;0,IF(INDEX($EM$6:$EM$77,$FT626)&gt;=GA$3,ROUND(INDEX(EO$6:EO$77,$FT626)*INDEX(卡牌消耗!$B$8:$F$8,FV626)/5,0)*5,""),"")</f>
        <v/>
      </c>
      <c r="GB626" s="101" t="str">
        <f t="shared" si="370"/>
        <v/>
      </c>
      <c r="GC626" s="101" t="str">
        <f t="shared" si="371"/>
        <v/>
      </c>
      <c r="GD626" s="101" t="str">
        <f t="shared" si="372"/>
        <v/>
      </c>
      <c r="GE626" s="101" t="str">
        <f t="shared" si="373"/>
        <v/>
      </c>
      <c r="GF626" s="101" t="str">
        <f t="shared" si="378"/>
        <v/>
      </c>
      <c r="GG626" s="101" t="str">
        <f t="shared" si="379"/>
        <v/>
      </c>
      <c r="GH626" s="101" t="str">
        <f t="shared" si="380"/>
        <v/>
      </c>
      <c r="GI626" s="101" t="str">
        <f t="shared" si="381"/>
        <v/>
      </c>
      <c r="GJ626" s="101" t="str">
        <f t="shared" si="382"/>
        <v/>
      </c>
      <c r="GK626" s="101" t="str">
        <f t="shared" si="383"/>
        <v/>
      </c>
      <c r="GL626" s="101" t="str">
        <f t="shared" si="384"/>
        <v/>
      </c>
      <c r="GM626" s="101" t="str">
        <f t="shared" si="385"/>
        <v/>
      </c>
      <c r="GN626" s="101" t="str">
        <f t="shared" si="386"/>
        <v/>
      </c>
      <c r="GO626" s="101" t="str">
        <f t="shared" si="387"/>
        <v/>
      </c>
      <c r="GP626" s="101" t="str">
        <f t="shared" si="388"/>
        <v/>
      </c>
      <c r="GQ626" s="101" t="str">
        <f t="shared" si="389"/>
        <v/>
      </c>
    </row>
    <row r="627" spans="175:199" ht="16.5" x14ac:dyDescent="0.2">
      <c r="FS627" s="101">
        <v>622</v>
      </c>
      <c r="FT627" s="101">
        <f t="shared" si="374"/>
        <v>55</v>
      </c>
      <c r="FU627" s="101">
        <f t="shared" si="367"/>
        <v>8</v>
      </c>
      <c r="FV627" s="14">
        <f t="shared" si="368"/>
        <v>3</v>
      </c>
      <c r="FW627" s="101" t="str">
        <f t="shared" si="375"/>
        <v>徐晃专属武器-魂珠-7 1级</v>
      </c>
      <c r="FX627" s="101">
        <f t="shared" si="376"/>
        <v>7</v>
      </c>
      <c r="FY627" s="101">
        <f t="shared" si="377"/>
        <v>1</v>
      </c>
      <c r="FZ627" s="101" t="str">
        <f t="shared" si="369"/>
        <v>金币</v>
      </c>
      <c r="GA627" s="139">
        <f>IF($FY627&gt;0,IF(INDEX($EM$6:$EM$77,$FT627)&gt;=GA$3,ROUND(INDEX(EO$6:EO$77,$FT627)*INDEX(卡牌消耗!$B$8:$F$8,FV627)/5,0)*5,""),"")</f>
        <v>5075</v>
      </c>
      <c r="GB627" s="101" t="str">
        <f t="shared" si="370"/>
        <v>专属强化石3</v>
      </c>
      <c r="GC627" s="101">
        <f t="shared" si="371"/>
        <v>6</v>
      </c>
      <c r="GD627" s="101" t="str">
        <f t="shared" si="372"/>
        <v>专属强化石4</v>
      </c>
      <c r="GE627" s="101">
        <f t="shared" si="373"/>
        <v>2</v>
      </c>
      <c r="GF627" s="101">
        <f t="shared" si="378"/>
        <v>0.2</v>
      </c>
      <c r="GG627" s="101">
        <f t="shared" si="379"/>
        <v>1</v>
      </c>
      <c r="GH627" s="101">
        <f t="shared" si="380"/>
        <v>8</v>
      </c>
      <c r="GI627" s="101">
        <f t="shared" si="381"/>
        <v>0</v>
      </c>
      <c r="GJ627" s="101">
        <f t="shared" si="382"/>
        <v>1</v>
      </c>
      <c r="GK627" s="101">
        <f t="shared" si="383"/>
        <v>2</v>
      </c>
      <c r="GL627" s="101">
        <f t="shared" si="384"/>
        <v>9.9400000000000002E-2</v>
      </c>
      <c r="GM627" s="101">
        <f t="shared" si="385"/>
        <v>1</v>
      </c>
      <c r="GN627" s="101">
        <f t="shared" si="386"/>
        <v>4</v>
      </c>
      <c r="GO627" s="101">
        <f t="shared" si="387"/>
        <v>0.3977</v>
      </c>
      <c r="GP627" s="101">
        <f t="shared" si="388"/>
        <v>1</v>
      </c>
      <c r="GQ627" s="101">
        <f t="shared" si="389"/>
        <v>8</v>
      </c>
    </row>
    <row r="628" spans="175:199" ht="16.5" x14ac:dyDescent="0.2">
      <c r="FS628" s="101">
        <v>623</v>
      </c>
      <c r="FT628" s="101">
        <f t="shared" si="374"/>
        <v>56</v>
      </c>
      <c r="FU628" s="101">
        <f t="shared" si="367"/>
        <v>8</v>
      </c>
      <c r="FV628" s="14">
        <f t="shared" si="368"/>
        <v>3</v>
      </c>
      <c r="FW628" s="101" t="str">
        <f t="shared" si="375"/>
        <v>徐晃专属武器-魂珠-7 2级</v>
      </c>
      <c r="FX628" s="101">
        <f t="shared" si="376"/>
        <v>7</v>
      </c>
      <c r="FY628" s="101">
        <f t="shared" si="377"/>
        <v>2</v>
      </c>
      <c r="FZ628" s="101" t="str">
        <f t="shared" si="369"/>
        <v>金币</v>
      </c>
      <c r="GA628" s="139">
        <f>IF($FY628&gt;0,IF(INDEX($EM$6:$EM$77,$FT628)&gt;=GA$3,ROUND(INDEX(EO$6:EO$77,$FT628)*INDEX(卡牌消耗!$B$8:$F$8,FV628)/5,0)*5,""),"")</f>
        <v>3810</v>
      </c>
      <c r="GB628" s="101" t="str">
        <f t="shared" si="370"/>
        <v>专属强化石3</v>
      </c>
      <c r="GC628" s="101">
        <f t="shared" si="371"/>
        <v>6</v>
      </c>
      <c r="GD628" s="101" t="str">
        <f t="shared" si="372"/>
        <v>专属强化石4</v>
      </c>
      <c r="GE628" s="101">
        <f t="shared" si="373"/>
        <v>2</v>
      </c>
      <c r="GF628" s="101">
        <f t="shared" si="378"/>
        <v>0.1</v>
      </c>
      <c r="GG628" s="101">
        <f t="shared" si="379"/>
        <v>1</v>
      </c>
      <c r="GH628" s="101">
        <f t="shared" si="380"/>
        <v>15</v>
      </c>
      <c r="GI628" s="101">
        <f t="shared" si="381"/>
        <v>0</v>
      </c>
      <c r="GJ628" s="101">
        <f t="shared" si="382"/>
        <v>1</v>
      </c>
      <c r="GK628" s="101">
        <f t="shared" si="383"/>
        <v>4</v>
      </c>
      <c r="GL628" s="101">
        <f t="shared" si="384"/>
        <v>4.9700000000000001E-2</v>
      </c>
      <c r="GM628" s="101">
        <f t="shared" si="385"/>
        <v>1</v>
      </c>
      <c r="GN628" s="101">
        <f t="shared" si="386"/>
        <v>7</v>
      </c>
      <c r="GO628" s="101">
        <f t="shared" si="387"/>
        <v>0.19889999999999999</v>
      </c>
      <c r="GP628" s="101">
        <f t="shared" si="388"/>
        <v>1</v>
      </c>
      <c r="GQ628" s="101">
        <f t="shared" si="389"/>
        <v>15</v>
      </c>
    </row>
    <row r="629" spans="175:199" ht="16.5" x14ac:dyDescent="0.2">
      <c r="FS629" s="101">
        <v>624</v>
      </c>
      <c r="FT629" s="101">
        <f t="shared" si="374"/>
        <v>57</v>
      </c>
      <c r="FU629" s="101">
        <f t="shared" si="367"/>
        <v>8</v>
      </c>
      <c r="FV629" s="14">
        <f t="shared" si="368"/>
        <v>3</v>
      </c>
      <c r="FW629" s="101" t="str">
        <f t="shared" si="375"/>
        <v>徐晃专属武器-魂珠-7 3级</v>
      </c>
      <c r="FX629" s="101">
        <f t="shared" si="376"/>
        <v>7</v>
      </c>
      <c r="FY629" s="101">
        <f t="shared" si="377"/>
        <v>3</v>
      </c>
      <c r="FZ629" s="101" t="str">
        <f t="shared" si="369"/>
        <v>金币</v>
      </c>
      <c r="GA629" s="139">
        <f>IF($FY629&gt;0,IF(INDEX($EM$6:$EM$77,$FT629)&gt;=GA$3,ROUND(INDEX(EO$6:EO$77,$FT629)*INDEX(卡牌消耗!$B$8:$F$8,FV629)/5,0)*5,""),"")</f>
        <v>6345</v>
      </c>
      <c r="GB629" s="101" t="str">
        <f t="shared" si="370"/>
        <v>专属强化石3</v>
      </c>
      <c r="GC629" s="101">
        <f t="shared" si="371"/>
        <v>9</v>
      </c>
      <c r="GD629" s="101" t="str">
        <f t="shared" si="372"/>
        <v>专属强化石4</v>
      </c>
      <c r="GE629" s="101">
        <f t="shared" si="373"/>
        <v>3</v>
      </c>
      <c r="GF629" s="101">
        <f t="shared" si="378"/>
        <v>0.1</v>
      </c>
      <c r="GG629" s="101">
        <f t="shared" si="379"/>
        <v>1</v>
      </c>
      <c r="GH629" s="101">
        <f t="shared" si="380"/>
        <v>15</v>
      </c>
      <c r="GI629" s="101">
        <f t="shared" si="381"/>
        <v>0</v>
      </c>
      <c r="GJ629" s="101">
        <f t="shared" si="382"/>
        <v>1</v>
      </c>
      <c r="GK629" s="101">
        <f t="shared" si="383"/>
        <v>4</v>
      </c>
      <c r="GL629" s="101">
        <f t="shared" si="384"/>
        <v>4.9700000000000001E-2</v>
      </c>
      <c r="GM629" s="101">
        <f t="shared" si="385"/>
        <v>1</v>
      </c>
      <c r="GN629" s="101">
        <f t="shared" si="386"/>
        <v>7</v>
      </c>
      <c r="GO629" s="101">
        <f t="shared" si="387"/>
        <v>0.19889999999999999</v>
      </c>
      <c r="GP629" s="101">
        <f t="shared" si="388"/>
        <v>1</v>
      </c>
      <c r="GQ629" s="101">
        <f t="shared" si="389"/>
        <v>15</v>
      </c>
    </row>
    <row r="630" spans="175:199" ht="16.5" x14ac:dyDescent="0.2">
      <c r="FS630" s="101">
        <v>625</v>
      </c>
      <c r="FT630" s="101">
        <f t="shared" si="374"/>
        <v>58</v>
      </c>
      <c r="FU630" s="101">
        <f t="shared" si="367"/>
        <v>8</v>
      </c>
      <c r="FV630" s="14">
        <f t="shared" si="368"/>
        <v>3</v>
      </c>
      <c r="FW630" s="101" t="str">
        <f t="shared" si="375"/>
        <v>徐晃专属武器-魂珠-7 4级</v>
      </c>
      <c r="FX630" s="101">
        <f t="shared" si="376"/>
        <v>7</v>
      </c>
      <c r="FY630" s="101">
        <f t="shared" si="377"/>
        <v>4</v>
      </c>
      <c r="FZ630" s="101" t="str">
        <f t="shared" si="369"/>
        <v>金币</v>
      </c>
      <c r="GA630" s="139">
        <f>IF($FY630&gt;0,IF(INDEX($EM$6:$EM$77,$FT630)&gt;=GA$3,ROUND(INDEX(EO$6:EO$77,$FT630)*INDEX(卡牌消耗!$B$8:$F$8,FV630)/5,0)*5,""),"")</f>
        <v>8125</v>
      </c>
      <c r="GB630" s="101" t="str">
        <f t="shared" si="370"/>
        <v>专属强化石3</v>
      </c>
      <c r="GC630" s="101">
        <f t="shared" si="371"/>
        <v>12</v>
      </c>
      <c r="GD630" s="101" t="str">
        <f t="shared" si="372"/>
        <v>专属强化石4</v>
      </c>
      <c r="GE630" s="101">
        <f t="shared" si="373"/>
        <v>4</v>
      </c>
      <c r="GF630" s="101">
        <f t="shared" si="378"/>
        <v>0.08</v>
      </c>
      <c r="GG630" s="101">
        <f t="shared" si="379"/>
        <v>1</v>
      </c>
      <c r="GH630" s="101">
        <f t="shared" si="380"/>
        <v>19</v>
      </c>
      <c r="GI630" s="101">
        <f t="shared" si="381"/>
        <v>0</v>
      </c>
      <c r="GJ630" s="101">
        <f t="shared" si="382"/>
        <v>1</v>
      </c>
      <c r="GK630" s="101">
        <f t="shared" si="383"/>
        <v>4</v>
      </c>
      <c r="GL630" s="101">
        <f t="shared" si="384"/>
        <v>3.9800000000000002E-2</v>
      </c>
      <c r="GM630" s="101">
        <f t="shared" si="385"/>
        <v>1</v>
      </c>
      <c r="GN630" s="101">
        <f t="shared" si="386"/>
        <v>9</v>
      </c>
      <c r="GO630" s="101">
        <f t="shared" si="387"/>
        <v>0.15909999999999999</v>
      </c>
      <c r="GP630" s="101">
        <f t="shared" si="388"/>
        <v>1</v>
      </c>
      <c r="GQ630" s="101">
        <f t="shared" si="389"/>
        <v>19</v>
      </c>
    </row>
    <row r="631" spans="175:199" ht="16.5" x14ac:dyDescent="0.2">
      <c r="FS631" s="101">
        <v>626</v>
      </c>
      <c r="FT631" s="101">
        <f t="shared" si="374"/>
        <v>59</v>
      </c>
      <c r="FU631" s="101">
        <f t="shared" si="367"/>
        <v>8</v>
      </c>
      <c r="FV631" s="14">
        <f t="shared" si="368"/>
        <v>3</v>
      </c>
      <c r="FW631" s="101" t="str">
        <f t="shared" si="375"/>
        <v>徐晃专属武器-魂珠-7 5级</v>
      </c>
      <c r="FX631" s="101">
        <f t="shared" si="376"/>
        <v>7</v>
      </c>
      <c r="FY631" s="101">
        <f t="shared" si="377"/>
        <v>5</v>
      </c>
      <c r="FZ631" s="101" t="str">
        <f t="shared" si="369"/>
        <v>金币</v>
      </c>
      <c r="GA631" s="139">
        <f>IF($FY631&gt;0,IF(INDEX($EM$6:$EM$77,$FT631)&gt;=GA$3,ROUND(INDEX(EO$6:EO$77,$FT631)*INDEX(卡牌消耗!$B$8:$F$8,FV631)/5,0)*5,""),"")</f>
        <v>8250</v>
      </c>
      <c r="GB631" s="101" t="str">
        <f t="shared" si="370"/>
        <v>专属强化石3</v>
      </c>
      <c r="GC631" s="101">
        <f t="shared" si="371"/>
        <v>12</v>
      </c>
      <c r="GD631" s="101" t="str">
        <f t="shared" si="372"/>
        <v>专属强化石4</v>
      </c>
      <c r="GE631" s="101">
        <f t="shared" si="373"/>
        <v>4</v>
      </c>
      <c r="GF631" s="101">
        <f t="shared" si="378"/>
        <v>0.05</v>
      </c>
      <c r="GG631" s="101">
        <f t="shared" si="379"/>
        <v>1</v>
      </c>
      <c r="GH631" s="101">
        <f t="shared" si="380"/>
        <v>30</v>
      </c>
      <c r="GI631" s="101">
        <f t="shared" si="381"/>
        <v>0</v>
      </c>
      <c r="GJ631" s="101">
        <f t="shared" si="382"/>
        <v>1</v>
      </c>
      <c r="GK631" s="101">
        <f t="shared" si="383"/>
        <v>7</v>
      </c>
      <c r="GL631" s="101">
        <f t="shared" si="384"/>
        <v>2.4899999999999999E-2</v>
      </c>
      <c r="GM631" s="101">
        <f t="shared" si="385"/>
        <v>1</v>
      </c>
      <c r="GN631" s="101">
        <f t="shared" si="386"/>
        <v>14</v>
      </c>
      <c r="GO631" s="101">
        <f t="shared" si="387"/>
        <v>9.9400000000000002E-2</v>
      </c>
      <c r="GP631" s="101">
        <f t="shared" si="388"/>
        <v>1</v>
      </c>
      <c r="GQ631" s="101">
        <f t="shared" si="389"/>
        <v>30</v>
      </c>
    </row>
    <row r="632" spans="175:199" ht="16.5" x14ac:dyDescent="0.2">
      <c r="FS632" s="101">
        <v>627</v>
      </c>
      <c r="FT632" s="101">
        <f t="shared" si="374"/>
        <v>60</v>
      </c>
      <c r="FU632" s="101">
        <f t="shared" si="367"/>
        <v>8</v>
      </c>
      <c r="FV632" s="14">
        <f t="shared" si="368"/>
        <v>3</v>
      </c>
      <c r="FW632" s="101" t="str">
        <f t="shared" si="375"/>
        <v>徐晃专属武器-魂珠-7 6级</v>
      </c>
      <c r="FX632" s="101">
        <f t="shared" si="376"/>
        <v>7</v>
      </c>
      <c r="FY632" s="101">
        <f t="shared" si="377"/>
        <v>6</v>
      </c>
      <c r="FZ632" s="101" t="str">
        <f t="shared" si="369"/>
        <v>金币</v>
      </c>
      <c r="GA632" s="139">
        <f>IF($FY632&gt;0,IF(INDEX($EM$6:$EM$77,$FT632)&gt;=GA$3,ROUND(INDEX(EO$6:EO$77,$FT632)*INDEX(卡牌消耗!$B$8:$F$8,FV632)/5,0)*5,""),"")</f>
        <v>10250</v>
      </c>
      <c r="GB632" s="101" t="str">
        <f t="shared" si="370"/>
        <v>专属强化石3</v>
      </c>
      <c r="GC632" s="101">
        <f t="shared" si="371"/>
        <v>15</v>
      </c>
      <c r="GD632" s="101" t="str">
        <f t="shared" si="372"/>
        <v>专属强化石4</v>
      </c>
      <c r="GE632" s="101">
        <f t="shared" si="373"/>
        <v>5</v>
      </c>
      <c r="GF632" s="101">
        <f t="shared" si="378"/>
        <v>0.04</v>
      </c>
      <c r="GG632" s="101">
        <f t="shared" si="379"/>
        <v>1</v>
      </c>
      <c r="GH632" s="101">
        <f t="shared" si="380"/>
        <v>39</v>
      </c>
      <c r="GI632" s="101">
        <f t="shared" si="381"/>
        <v>0</v>
      </c>
      <c r="GJ632" s="101">
        <f t="shared" si="382"/>
        <v>1</v>
      </c>
      <c r="GK632" s="101">
        <f t="shared" si="383"/>
        <v>9</v>
      </c>
      <c r="GL632" s="101">
        <f t="shared" si="384"/>
        <v>1.9099999999999999E-2</v>
      </c>
      <c r="GM632" s="101">
        <f t="shared" si="385"/>
        <v>1</v>
      </c>
      <c r="GN632" s="101">
        <f t="shared" si="386"/>
        <v>18</v>
      </c>
      <c r="GO632" s="101">
        <f t="shared" si="387"/>
        <v>7.6499999999999999E-2</v>
      </c>
      <c r="GP632" s="101">
        <f t="shared" si="388"/>
        <v>1</v>
      </c>
      <c r="GQ632" s="101">
        <f t="shared" si="389"/>
        <v>39</v>
      </c>
    </row>
    <row r="633" spans="175:199" ht="16.5" x14ac:dyDescent="0.2">
      <c r="FS633" s="101">
        <v>628</v>
      </c>
      <c r="FT633" s="101">
        <f t="shared" si="374"/>
        <v>61</v>
      </c>
      <c r="FU633" s="101">
        <f t="shared" si="367"/>
        <v>8</v>
      </c>
      <c r="FV633" s="14">
        <f t="shared" si="368"/>
        <v>3</v>
      </c>
      <c r="FW633" s="101" t="str">
        <f t="shared" si="375"/>
        <v>徐晃专属武器-魂珠-7 7级</v>
      </c>
      <c r="FX633" s="101">
        <f t="shared" si="376"/>
        <v>7</v>
      </c>
      <c r="FY633" s="101">
        <f t="shared" si="377"/>
        <v>7</v>
      </c>
      <c r="FZ633" s="101" t="str">
        <f t="shared" si="369"/>
        <v>金币</v>
      </c>
      <c r="GA633" s="139">
        <f>IF($FY633&gt;0,IF(INDEX($EM$6:$EM$77,$FT633)&gt;=GA$3,ROUND(INDEX(EO$6:EO$77,$FT633)*INDEX(卡牌消耗!$B$8:$F$8,FV633)/5,0)*5,""),"")</f>
        <v>14385</v>
      </c>
      <c r="GB633" s="101" t="str">
        <f t="shared" si="370"/>
        <v>专属强化石3</v>
      </c>
      <c r="GC633" s="101">
        <f t="shared" si="371"/>
        <v>21</v>
      </c>
      <c r="GD633" s="101" t="str">
        <f t="shared" si="372"/>
        <v>专属强化石4</v>
      </c>
      <c r="GE633" s="101">
        <f t="shared" si="373"/>
        <v>7</v>
      </c>
      <c r="GF633" s="101">
        <f t="shared" si="378"/>
        <v>0.03</v>
      </c>
      <c r="GG633" s="101">
        <f t="shared" si="379"/>
        <v>1</v>
      </c>
      <c r="GH633" s="101">
        <f t="shared" si="380"/>
        <v>45</v>
      </c>
      <c r="GI633" s="101">
        <f t="shared" si="381"/>
        <v>0</v>
      </c>
      <c r="GJ633" s="101">
        <f t="shared" si="382"/>
        <v>1</v>
      </c>
      <c r="GK633" s="101">
        <f t="shared" si="383"/>
        <v>11</v>
      </c>
      <c r="GL633" s="101">
        <f t="shared" si="384"/>
        <v>1.66E-2</v>
      </c>
      <c r="GM633" s="101">
        <f t="shared" si="385"/>
        <v>1</v>
      </c>
      <c r="GN633" s="101">
        <f t="shared" si="386"/>
        <v>21</v>
      </c>
      <c r="GO633" s="101">
        <f t="shared" si="387"/>
        <v>6.6299999999999998E-2</v>
      </c>
      <c r="GP633" s="101">
        <f t="shared" si="388"/>
        <v>1</v>
      </c>
      <c r="GQ633" s="101">
        <f t="shared" si="389"/>
        <v>45</v>
      </c>
    </row>
    <row r="634" spans="175:199" ht="16.5" x14ac:dyDescent="0.2">
      <c r="FS634" s="101">
        <v>629</v>
      </c>
      <c r="FT634" s="101">
        <f t="shared" si="374"/>
        <v>62</v>
      </c>
      <c r="FU634" s="101">
        <f t="shared" si="367"/>
        <v>8</v>
      </c>
      <c r="FV634" s="14">
        <f t="shared" si="368"/>
        <v>3</v>
      </c>
      <c r="FW634" s="101" t="str">
        <f t="shared" si="375"/>
        <v>徐晃专属武器-魂珠-7 8级</v>
      </c>
      <c r="FX634" s="101">
        <f t="shared" si="376"/>
        <v>7</v>
      </c>
      <c r="FY634" s="101">
        <f t="shared" si="377"/>
        <v>8</v>
      </c>
      <c r="FZ634" s="101" t="str">
        <f t="shared" si="369"/>
        <v>金币</v>
      </c>
      <c r="GA634" s="139">
        <f>IF($FY634&gt;0,IF(INDEX($EM$6:$EM$77,$FT634)&gt;=GA$3,ROUND(INDEX(EO$6:EO$77,$FT634)*INDEX(卡牌消耗!$B$8:$F$8,FV634)/5,0)*5,""),"")</f>
        <v>16425</v>
      </c>
      <c r="GB634" s="101" t="str">
        <f t="shared" si="370"/>
        <v>专属强化石3</v>
      </c>
      <c r="GC634" s="101">
        <f t="shared" si="371"/>
        <v>24</v>
      </c>
      <c r="GD634" s="101" t="str">
        <f t="shared" si="372"/>
        <v>专属强化石4</v>
      </c>
      <c r="GE634" s="101">
        <f t="shared" si="373"/>
        <v>8</v>
      </c>
      <c r="GF634" s="101">
        <f t="shared" si="378"/>
        <v>0.02</v>
      </c>
      <c r="GG634" s="101">
        <f t="shared" si="379"/>
        <v>1</v>
      </c>
      <c r="GH634" s="101">
        <f t="shared" si="380"/>
        <v>64</v>
      </c>
      <c r="GI634" s="101">
        <f t="shared" si="381"/>
        <v>0</v>
      </c>
      <c r="GJ634" s="101">
        <f t="shared" si="382"/>
        <v>1</v>
      </c>
      <c r="GK634" s="101">
        <f t="shared" si="383"/>
        <v>15</v>
      </c>
      <c r="GL634" s="101">
        <f t="shared" si="384"/>
        <v>1.17E-2</v>
      </c>
      <c r="GM634" s="101">
        <f t="shared" si="385"/>
        <v>1</v>
      </c>
      <c r="GN634" s="101">
        <f t="shared" si="386"/>
        <v>30</v>
      </c>
      <c r="GO634" s="101">
        <f t="shared" si="387"/>
        <v>4.6800000000000001E-2</v>
      </c>
      <c r="GP634" s="101">
        <f t="shared" si="388"/>
        <v>1</v>
      </c>
      <c r="GQ634" s="101">
        <f t="shared" si="389"/>
        <v>64</v>
      </c>
    </row>
    <row r="635" spans="175:199" ht="16.5" x14ac:dyDescent="0.2">
      <c r="FS635" s="101">
        <v>630</v>
      </c>
      <c r="FT635" s="101">
        <f t="shared" si="374"/>
        <v>63</v>
      </c>
      <c r="FU635" s="101">
        <f t="shared" si="367"/>
        <v>8</v>
      </c>
      <c r="FV635" s="14">
        <f t="shared" si="368"/>
        <v>3</v>
      </c>
      <c r="FW635" s="101" t="str">
        <f t="shared" si="375"/>
        <v>徐晃专属武器-魂珠-7 9级</v>
      </c>
      <c r="FX635" s="101">
        <f t="shared" si="376"/>
        <v>7</v>
      </c>
      <c r="FY635" s="101">
        <f t="shared" si="377"/>
        <v>9</v>
      </c>
      <c r="FZ635" s="101" t="str">
        <f t="shared" si="369"/>
        <v>金币</v>
      </c>
      <c r="GA635" s="139">
        <f>IF($FY635&gt;0,IF(INDEX($EM$6:$EM$77,$FT635)&gt;=GA$3,ROUND(INDEX(EO$6:EO$77,$FT635)*INDEX(卡牌消耗!$B$8:$F$8,FV635)/5,0)*5,""),"")</f>
        <v>20540</v>
      </c>
      <c r="GB635" s="101" t="str">
        <f t="shared" si="370"/>
        <v>专属强化石3</v>
      </c>
      <c r="GC635" s="101">
        <f t="shared" si="371"/>
        <v>30</v>
      </c>
      <c r="GD635" s="101" t="str">
        <f t="shared" si="372"/>
        <v>专属强化石4</v>
      </c>
      <c r="GE635" s="101">
        <f t="shared" si="373"/>
        <v>10</v>
      </c>
      <c r="GF635" s="101">
        <f t="shared" si="378"/>
        <v>0.02</v>
      </c>
      <c r="GG635" s="101">
        <f t="shared" si="379"/>
        <v>1</v>
      </c>
      <c r="GH635" s="101">
        <f t="shared" si="380"/>
        <v>83</v>
      </c>
      <c r="GI635" s="101">
        <f t="shared" si="381"/>
        <v>0</v>
      </c>
      <c r="GJ635" s="101">
        <f t="shared" si="382"/>
        <v>1</v>
      </c>
      <c r="GK635" s="101">
        <f t="shared" si="383"/>
        <v>19</v>
      </c>
      <c r="GL635" s="101">
        <f t="shared" si="384"/>
        <v>8.9999999999999993E-3</v>
      </c>
      <c r="GM635" s="101">
        <f t="shared" si="385"/>
        <v>1</v>
      </c>
      <c r="GN635" s="101">
        <f t="shared" si="386"/>
        <v>39</v>
      </c>
      <c r="GO635" s="101">
        <f t="shared" si="387"/>
        <v>3.6200000000000003E-2</v>
      </c>
      <c r="GP635" s="101">
        <f t="shared" si="388"/>
        <v>1</v>
      </c>
      <c r="GQ635" s="101">
        <f t="shared" si="389"/>
        <v>83</v>
      </c>
    </row>
    <row r="636" spans="175:199" ht="16.5" x14ac:dyDescent="0.2">
      <c r="FS636" s="101">
        <v>631</v>
      </c>
      <c r="FT636" s="101">
        <f t="shared" si="374"/>
        <v>0</v>
      </c>
      <c r="FU636" s="101">
        <f t="shared" si="367"/>
        <v>8</v>
      </c>
      <c r="FV636" s="14">
        <f t="shared" si="368"/>
        <v>3</v>
      </c>
      <c r="FW636" s="101" t="str">
        <f t="shared" si="375"/>
        <v>徐晃专属武器-魂珠-8 0级</v>
      </c>
      <c r="FX636" s="101">
        <f t="shared" si="376"/>
        <v>8</v>
      </c>
      <c r="FY636" s="101">
        <f t="shared" si="377"/>
        <v>0</v>
      </c>
      <c r="FZ636" s="101" t="str">
        <f t="shared" si="369"/>
        <v/>
      </c>
      <c r="GA636" s="139" t="str">
        <f>IF($FY636&gt;0,IF(INDEX($EM$6:$EM$77,$FT636)&gt;=GA$3,ROUND(INDEX(EO$6:EO$77,$FT636)*INDEX(卡牌消耗!$B$8:$F$8,FV636)/5,0)*5,""),"")</f>
        <v/>
      </c>
      <c r="GB636" s="101" t="str">
        <f t="shared" si="370"/>
        <v/>
      </c>
      <c r="GC636" s="101" t="str">
        <f t="shared" si="371"/>
        <v/>
      </c>
      <c r="GD636" s="101" t="str">
        <f t="shared" si="372"/>
        <v/>
      </c>
      <c r="GE636" s="101" t="str">
        <f t="shared" si="373"/>
        <v/>
      </c>
      <c r="GF636" s="101" t="str">
        <f t="shared" si="378"/>
        <v/>
      </c>
      <c r="GG636" s="101" t="str">
        <f t="shared" si="379"/>
        <v/>
      </c>
      <c r="GH636" s="101" t="str">
        <f t="shared" si="380"/>
        <v/>
      </c>
      <c r="GI636" s="101" t="str">
        <f t="shared" si="381"/>
        <v/>
      </c>
      <c r="GJ636" s="101" t="str">
        <f t="shared" si="382"/>
        <v/>
      </c>
      <c r="GK636" s="101" t="str">
        <f t="shared" si="383"/>
        <v/>
      </c>
      <c r="GL636" s="101" t="str">
        <f t="shared" si="384"/>
        <v/>
      </c>
      <c r="GM636" s="101" t="str">
        <f t="shared" si="385"/>
        <v/>
      </c>
      <c r="GN636" s="101" t="str">
        <f t="shared" si="386"/>
        <v/>
      </c>
      <c r="GO636" s="101" t="str">
        <f t="shared" si="387"/>
        <v/>
      </c>
      <c r="GP636" s="101" t="str">
        <f t="shared" si="388"/>
        <v/>
      </c>
      <c r="GQ636" s="101" t="str">
        <f t="shared" si="389"/>
        <v/>
      </c>
    </row>
    <row r="637" spans="175:199" ht="16.5" x14ac:dyDescent="0.2">
      <c r="FS637" s="101">
        <v>632</v>
      </c>
      <c r="FT637" s="101">
        <f t="shared" si="374"/>
        <v>64</v>
      </c>
      <c r="FU637" s="101">
        <f t="shared" si="367"/>
        <v>8</v>
      </c>
      <c r="FV637" s="14">
        <f t="shared" si="368"/>
        <v>3</v>
      </c>
      <c r="FW637" s="101" t="str">
        <f t="shared" si="375"/>
        <v>徐晃专属武器-魂珠-8 1级</v>
      </c>
      <c r="FX637" s="101">
        <f t="shared" si="376"/>
        <v>8</v>
      </c>
      <c r="FY637" s="101">
        <f t="shared" si="377"/>
        <v>1</v>
      </c>
      <c r="FZ637" s="101" t="str">
        <f t="shared" si="369"/>
        <v>金币</v>
      </c>
      <c r="GA637" s="139">
        <f>IF($FY637&gt;0,IF(INDEX($EM$6:$EM$77,$FT637)&gt;=GA$3,ROUND(INDEX(EO$6:EO$77,$FT637)*INDEX(卡牌消耗!$B$8:$F$8,FV637)/5,0)*5,""),"")</f>
        <v>4325</v>
      </c>
      <c r="GB637" s="101" t="str">
        <f t="shared" si="370"/>
        <v>专属强化石4</v>
      </c>
      <c r="GC637" s="101">
        <f t="shared" si="371"/>
        <v>5</v>
      </c>
      <c r="GD637" s="101" t="str">
        <f t="shared" si="372"/>
        <v/>
      </c>
      <c r="GE637" s="101" t="str">
        <f t="shared" si="373"/>
        <v/>
      </c>
      <c r="GF637" s="101">
        <f t="shared" si="378"/>
        <v>0.11</v>
      </c>
      <c r="GG637" s="101">
        <f t="shared" si="379"/>
        <v>1</v>
      </c>
      <c r="GH637" s="101">
        <f t="shared" si="380"/>
        <v>13</v>
      </c>
      <c r="GI637" s="101">
        <f t="shared" si="381"/>
        <v>0</v>
      </c>
      <c r="GJ637" s="101">
        <f t="shared" si="382"/>
        <v>1</v>
      </c>
      <c r="GK637" s="101">
        <f t="shared" si="383"/>
        <v>3</v>
      </c>
      <c r="GL637" s="101">
        <f t="shared" si="384"/>
        <v>5.6500000000000002E-2</v>
      </c>
      <c r="GM637" s="101">
        <f t="shared" si="385"/>
        <v>1</v>
      </c>
      <c r="GN637" s="101">
        <f t="shared" si="386"/>
        <v>6</v>
      </c>
      <c r="GO637" s="101">
        <f t="shared" si="387"/>
        <v>0.22600000000000001</v>
      </c>
      <c r="GP637" s="101">
        <f t="shared" si="388"/>
        <v>1</v>
      </c>
      <c r="GQ637" s="101">
        <f t="shared" si="389"/>
        <v>13</v>
      </c>
    </row>
    <row r="638" spans="175:199" ht="16.5" x14ac:dyDescent="0.2">
      <c r="FS638" s="101">
        <v>633</v>
      </c>
      <c r="FT638" s="101">
        <f t="shared" si="374"/>
        <v>65</v>
      </c>
      <c r="FU638" s="101">
        <f t="shared" si="367"/>
        <v>8</v>
      </c>
      <c r="FV638" s="14">
        <f t="shared" si="368"/>
        <v>3</v>
      </c>
      <c r="FW638" s="101" t="str">
        <f t="shared" si="375"/>
        <v>徐晃专属武器-魂珠-8 2级</v>
      </c>
      <c r="FX638" s="101">
        <f t="shared" si="376"/>
        <v>8</v>
      </c>
      <c r="FY638" s="101">
        <f t="shared" si="377"/>
        <v>2</v>
      </c>
      <c r="FZ638" s="101" t="str">
        <f t="shared" si="369"/>
        <v>金币</v>
      </c>
      <c r="GA638" s="139">
        <f>IF($FY638&gt;0,IF(INDEX($EM$6:$EM$77,$FT638)&gt;=GA$3,ROUND(INDEX(EO$6:EO$77,$FT638)*INDEX(卡牌消耗!$B$8:$F$8,FV638)/5,0)*5,""),"")</f>
        <v>5190</v>
      </c>
      <c r="GB638" s="101" t="str">
        <f t="shared" si="370"/>
        <v>专属强化石4</v>
      </c>
      <c r="GC638" s="101">
        <f t="shared" si="371"/>
        <v>8</v>
      </c>
      <c r="GD638" s="101" t="str">
        <f t="shared" si="372"/>
        <v/>
      </c>
      <c r="GE638" s="101" t="str">
        <f t="shared" si="373"/>
        <v/>
      </c>
      <c r="GF638" s="101">
        <f t="shared" si="378"/>
        <v>0.09</v>
      </c>
      <c r="GG638" s="101">
        <f t="shared" si="379"/>
        <v>1</v>
      </c>
      <c r="GH638" s="101">
        <f t="shared" si="380"/>
        <v>17</v>
      </c>
      <c r="GI638" s="101">
        <f t="shared" si="381"/>
        <v>0</v>
      </c>
      <c r="GJ638" s="101">
        <f t="shared" si="382"/>
        <v>1</v>
      </c>
      <c r="GK638" s="101">
        <f t="shared" si="383"/>
        <v>4</v>
      </c>
      <c r="GL638" s="101">
        <f t="shared" si="384"/>
        <v>4.5199999999999997E-2</v>
      </c>
      <c r="GM638" s="101">
        <f t="shared" si="385"/>
        <v>1</v>
      </c>
      <c r="GN638" s="101">
        <f t="shared" si="386"/>
        <v>8</v>
      </c>
      <c r="GO638" s="101">
        <f t="shared" si="387"/>
        <v>0.18079999999999999</v>
      </c>
      <c r="GP638" s="101">
        <f t="shared" si="388"/>
        <v>1</v>
      </c>
      <c r="GQ638" s="101">
        <f t="shared" si="389"/>
        <v>17</v>
      </c>
    </row>
    <row r="639" spans="175:199" ht="16.5" x14ac:dyDescent="0.2">
      <c r="FS639" s="101">
        <v>634</v>
      </c>
      <c r="FT639" s="101">
        <f t="shared" si="374"/>
        <v>66</v>
      </c>
      <c r="FU639" s="101">
        <f t="shared" si="367"/>
        <v>8</v>
      </c>
      <c r="FV639" s="14">
        <f t="shared" si="368"/>
        <v>3</v>
      </c>
      <c r="FW639" s="101" t="str">
        <f t="shared" si="375"/>
        <v>徐晃专属武器-魂珠-8 3级</v>
      </c>
      <c r="FX639" s="101">
        <f t="shared" si="376"/>
        <v>8</v>
      </c>
      <c r="FY639" s="101">
        <f t="shared" si="377"/>
        <v>3</v>
      </c>
      <c r="FZ639" s="101" t="str">
        <f t="shared" si="369"/>
        <v>金币</v>
      </c>
      <c r="GA639" s="139">
        <f>IF($FY639&gt;0,IF(INDEX($EM$6:$EM$77,$FT639)&gt;=GA$3,ROUND(INDEX(EO$6:EO$77,$FT639)*INDEX(卡牌消耗!$B$8:$F$8,FV639)/5,0)*5,""),"")</f>
        <v>7210</v>
      </c>
      <c r="GB639" s="101" t="str">
        <f t="shared" si="370"/>
        <v>专属强化石4</v>
      </c>
      <c r="GC639" s="101">
        <f t="shared" si="371"/>
        <v>10</v>
      </c>
      <c r="GD639" s="101" t="str">
        <f t="shared" si="372"/>
        <v/>
      </c>
      <c r="GE639" s="101" t="str">
        <f t="shared" si="373"/>
        <v/>
      </c>
      <c r="GF639" s="101">
        <f t="shared" si="378"/>
        <v>0.08</v>
      </c>
      <c r="GG639" s="101">
        <f t="shared" si="379"/>
        <v>1</v>
      </c>
      <c r="GH639" s="101">
        <f t="shared" si="380"/>
        <v>20</v>
      </c>
      <c r="GI639" s="101">
        <f t="shared" si="381"/>
        <v>0</v>
      </c>
      <c r="GJ639" s="101">
        <f t="shared" si="382"/>
        <v>1</v>
      </c>
      <c r="GK639" s="101">
        <f t="shared" si="383"/>
        <v>5</v>
      </c>
      <c r="GL639" s="101">
        <f t="shared" si="384"/>
        <v>3.7699999999999997E-2</v>
      </c>
      <c r="GM639" s="101">
        <f t="shared" si="385"/>
        <v>1</v>
      </c>
      <c r="GN639" s="101">
        <f t="shared" si="386"/>
        <v>9</v>
      </c>
      <c r="GO639" s="101">
        <f t="shared" si="387"/>
        <v>0.1507</v>
      </c>
      <c r="GP639" s="101">
        <f t="shared" si="388"/>
        <v>1</v>
      </c>
      <c r="GQ639" s="101">
        <f t="shared" si="389"/>
        <v>20</v>
      </c>
    </row>
    <row r="640" spans="175:199" ht="16.5" x14ac:dyDescent="0.2">
      <c r="FS640" s="101">
        <v>635</v>
      </c>
      <c r="FT640" s="101">
        <f t="shared" si="374"/>
        <v>67</v>
      </c>
      <c r="FU640" s="101">
        <f t="shared" si="367"/>
        <v>8</v>
      </c>
      <c r="FV640" s="14">
        <f t="shared" si="368"/>
        <v>3</v>
      </c>
      <c r="FW640" s="101" t="str">
        <f t="shared" si="375"/>
        <v>徐晃专属武器-魂珠-8 4级</v>
      </c>
      <c r="FX640" s="101">
        <f t="shared" si="376"/>
        <v>8</v>
      </c>
      <c r="FY640" s="101">
        <f t="shared" si="377"/>
        <v>4</v>
      </c>
      <c r="FZ640" s="101" t="str">
        <f t="shared" si="369"/>
        <v>金币</v>
      </c>
      <c r="GA640" s="139">
        <f>IF($FY640&gt;0,IF(INDEX($EM$6:$EM$77,$FT640)&gt;=GA$3,ROUND(INDEX(EO$6:EO$77,$FT640)*INDEX(卡牌消耗!$B$8:$F$8,FV640)/5,0)*5,""),"")</f>
        <v>8310</v>
      </c>
      <c r="GB640" s="101" t="str">
        <f t="shared" si="370"/>
        <v>专属强化石4</v>
      </c>
      <c r="GC640" s="101">
        <f t="shared" si="371"/>
        <v>12</v>
      </c>
      <c r="GD640" s="101" t="str">
        <f t="shared" si="372"/>
        <v/>
      </c>
      <c r="GE640" s="101" t="str">
        <f t="shared" si="373"/>
        <v/>
      </c>
      <c r="GF640" s="101">
        <f t="shared" si="378"/>
        <v>0.05</v>
      </c>
      <c r="GG640" s="101">
        <f t="shared" si="379"/>
        <v>1</v>
      </c>
      <c r="GH640" s="101">
        <f t="shared" si="380"/>
        <v>28</v>
      </c>
      <c r="GI640" s="101">
        <f t="shared" si="381"/>
        <v>0</v>
      </c>
      <c r="GJ640" s="101">
        <f t="shared" si="382"/>
        <v>1</v>
      </c>
      <c r="GK640" s="101">
        <f t="shared" si="383"/>
        <v>6</v>
      </c>
      <c r="GL640" s="101">
        <f t="shared" si="384"/>
        <v>2.7099999999999999E-2</v>
      </c>
      <c r="GM640" s="101">
        <f t="shared" si="385"/>
        <v>1</v>
      </c>
      <c r="GN640" s="101">
        <f t="shared" si="386"/>
        <v>13</v>
      </c>
      <c r="GO640" s="101">
        <f t="shared" si="387"/>
        <v>0.1085</v>
      </c>
      <c r="GP640" s="101">
        <f t="shared" si="388"/>
        <v>1</v>
      </c>
      <c r="GQ640" s="101">
        <f t="shared" si="389"/>
        <v>28</v>
      </c>
    </row>
    <row r="641" spans="175:199" ht="16.5" x14ac:dyDescent="0.2">
      <c r="FS641" s="101">
        <v>636</v>
      </c>
      <c r="FT641" s="101">
        <f t="shared" si="374"/>
        <v>68</v>
      </c>
      <c r="FU641" s="101">
        <f t="shared" si="367"/>
        <v>8</v>
      </c>
      <c r="FV641" s="14">
        <f t="shared" si="368"/>
        <v>3</v>
      </c>
      <c r="FW641" s="101" t="str">
        <f t="shared" si="375"/>
        <v>徐晃专属武器-魂珠-8 5级</v>
      </c>
      <c r="FX641" s="101">
        <f t="shared" si="376"/>
        <v>8</v>
      </c>
      <c r="FY641" s="101">
        <f t="shared" si="377"/>
        <v>5</v>
      </c>
      <c r="FZ641" s="101" t="str">
        <f t="shared" si="369"/>
        <v>金币</v>
      </c>
      <c r="GA641" s="139">
        <f>IF($FY641&gt;0,IF(INDEX($EM$6:$EM$77,$FT641)&gt;=GA$3,ROUND(INDEX(EO$6:EO$77,$FT641)*INDEX(卡牌消耗!$B$8:$F$8,FV641)/5,0)*5,""),"")</f>
        <v>10545</v>
      </c>
      <c r="GB641" s="101" t="str">
        <f t="shared" si="370"/>
        <v>专属强化石4</v>
      </c>
      <c r="GC641" s="101">
        <f t="shared" si="371"/>
        <v>15</v>
      </c>
      <c r="GD641" s="101" t="str">
        <f t="shared" si="372"/>
        <v/>
      </c>
      <c r="GE641" s="101" t="str">
        <f t="shared" si="373"/>
        <v/>
      </c>
      <c r="GF641" s="101">
        <f t="shared" si="378"/>
        <v>0.04</v>
      </c>
      <c r="GG641" s="101">
        <f t="shared" si="379"/>
        <v>1</v>
      </c>
      <c r="GH641" s="101">
        <f t="shared" si="380"/>
        <v>35</v>
      </c>
      <c r="GI641" s="101">
        <f t="shared" si="381"/>
        <v>0</v>
      </c>
      <c r="GJ641" s="101">
        <f t="shared" si="382"/>
        <v>1</v>
      </c>
      <c r="GK641" s="101">
        <f t="shared" si="383"/>
        <v>8</v>
      </c>
      <c r="GL641" s="101">
        <f t="shared" si="384"/>
        <v>2.12E-2</v>
      </c>
      <c r="GM641" s="101">
        <f t="shared" si="385"/>
        <v>1</v>
      </c>
      <c r="GN641" s="101">
        <f t="shared" si="386"/>
        <v>17</v>
      </c>
      <c r="GO641" s="101">
        <f t="shared" si="387"/>
        <v>8.4699999999999998E-2</v>
      </c>
      <c r="GP641" s="101">
        <f t="shared" si="388"/>
        <v>1</v>
      </c>
      <c r="GQ641" s="101">
        <f t="shared" si="389"/>
        <v>35</v>
      </c>
    </row>
    <row r="642" spans="175:199" ht="16.5" x14ac:dyDescent="0.2">
      <c r="FS642" s="101">
        <v>637</v>
      </c>
      <c r="FT642" s="101">
        <f t="shared" si="374"/>
        <v>69</v>
      </c>
      <c r="FU642" s="101">
        <f t="shared" si="367"/>
        <v>8</v>
      </c>
      <c r="FV642" s="14">
        <f t="shared" si="368"/>
        <v>3</v>
      </c>
      <c r="FW642" s="101" t="str">
        <f t="shared" si="375"/>
        <v>徐晃专属武器-魂珠-8 6级</v>
      </c>
      <c r="FX642" s="101">
        <f t="shared" si="376"/>
        <v>8</v>
      </c>
      <c r="FY642" s="101">
        <f t="shared" si="377"/>
        <v>6</v>
      </c>
      <c r="FZ642" s="101" t="str">
        <f t="shared" si="369"/>
        <v>金币</v>
      </c>
      <c r="GA642" s="139">
        <f>IF($FY642&gt;0,IF(INDEX($EM$6:$EM$77,$FT642)&gt;=GA$3,ROUND(INDEX(EO$6:EO$77,$FT642)*INDEX(卡牌消耗!$B$8:$F$8,FV642)/5,0)*5,""),"")</f>
        <v>12580</v>
      </c>
      <c r="GB642" s="101" t="str">
        <f t="shared" si="370"/>
        <v>专属强化石4</v>
      </c>
      <c r="GC642" s="101">
        <f t="shared" si="371"/>
        <v>18</v>
      </c>
      <c r="GD642" s="101" t="str">
        <f t="shared" si="372"/>
        <v/>
      </c>
      <c r="GE642" s="101" t="str">
        <f t="shared" si="373"/>
        <v/>
      </c>
      <c r="GF642" s="101">
        <f t="shared" si="378"/>
        <v>0.03</v>
      </c>
      <c r="GG642" s="101">
        <f t="shared" si="379"/>
        <v>1</v>
      </c>
      <c r="GH642" s="101">
        <f t="shared" si="380"/>
        <v>48</v>
      </c>
      <c r="GI642" s="101">
        <f t="shared" si="381"/>
        <v>0</v>
      </c>
      <c r="GJ642" s="101">
        <f t="shared" si="382"/>
        <v>1</v>
      </c>
      <c r="GK642" s="101">
        <f t="shared" si="383"/>
        <v>11</v>
      </c>
      <c r="GL642" s="101">
        <f t="shared" si="384"/>
        <v>1.5599999999999999E-2</v>
      </c>
      <c r="GM642" s="101">
        <f t="shared" si="385"/>
        <v>1</v>
      </c>
      <c r="GN642" s="101">
        <f t="shared" si="386"/>
        <v>22</v>
      </c>
      <c r="GO642" s="101">
        <f t="shared" si="387"/>
        <v>6.2600000000000003E-2</v>
      </c>
      <c r="GP642" s="101">
        <f t="shared" si="388"/>
        <v>1</v>
      </c>
      <c r="GQ642" s="101">
        <f t="shared" si="389"/>
        <v>48</v>
      </c>
    </row>
    <row r="643" spans="175:199" ht="16.5" x14ac:dyDescent="0.2">
      <c r="FS643" s="101">
        <v>638</v>
      </c>
      <c r="FT643" s="101">
        <f t="shared" si="374"/>
        <v>70</v>
      </c>
      <c r="FU643" s="101">
        <f t="shared" si="367"/>
        <v>8</v>
      </c>
      <c r="FV643" s="14">
        <f t="shared" si="368"/>
        <v>3</v>
      </c>
      <c r="FW643" s="101" t="str">
        <f t="shared" si="375"/>
        <v>徐晃专属武器-魂珠-8 7级</v>
      </c>
      <c r="FX643" s="101">
        <f t="shared" si="376"/>
        <v>8</v>
      </c>
      <c r="FY643" s="101">
        <f t="shared" si="377"/>
        <v>7</v>
      </c>
      <c r="FZ643" s="101" t="str">
        <f t="shared" si="369"/>
        <v>金币</v>
      </c>
      <c r="GA643" s="139">
        <f>IF($FY643&gt;0,IF(INDEX($EM$6:$EM$77,$FT643)&gt;=GA$3,ROUND(INDEX(EO$6:EO$77,$FT643)*INDEX(卡牌消耗!$B$8:$F$8,FV643)/5,0)*5,""),"")</f>
        <v>17515</v>
      </c>
      <c r="GB643" s="101" t="str">
        <f t="shared" si="370"/>
        <v>专属强化石4</v>
      </c>
      <c r="GC643" s="101">
        <f t="shared" si="371"/>
        <v>25</v>
      </c>
      <c r="GD643" s="101" t="str">
        <f t="shared" si="372"/>
        <v/>
      </c>
      <c r="GE643" s="101" t="str">
        <f t="shared" si="373"/>
        <v/>
      </c>
      <c r="GF643" s="101">
        <f t="shared" si="378"/>
        <v>0.03</v>
      </c>
      <c r="GG643" s="101">
        <f t="shared" si="379"/>
        <v>1</v>
      </c>
      <c r="GH643" s="101">
        <f t="shared" si="380"/>
        <v>56</v>
      </c>
      <c r="GI643" s="101">
        <f t="shared" si="381"/>
        <v>0</v>
      </c>
      <c r="GJ643" s="101">
        <f t="shared" si="382"/>
        <v>1</v>
      </c>
      <c r="GK643" s="101">
        <f t="shared" si="383"/>
        <v>13</v>
      </c>
      <c r="GL643" s="101">
        <f t="shared" si="384"/>
        <v>1.35E-2</v>
      </c>
      <c r="GM643" s="101">
        <f t="shared" si="385"/>
        <v>1</v>
      </c>
      <c r="GN643" s="101">
        <f t="shared" si="386"/>
        <v>26</v>
      </c>
      <c r="GO643" s="101">
        <f t="shared" si="387"/>
        <v>5.3800000000000001E-2</v>
      </c>
      <c r="GP643" s="101">
        <f t="shared" si="388"/>
        <v>1</v>
      </c>
      <c r="GQ643" s="101">
        <f t="shared" si="389"/>
        <v>56</v>
      </c>
    </row>
    <row r="644" spans="175:199" ht="16.5" x14ac:dyDescent="0.2">
      <c r="FS644" s="101">
        <v>639</v>
      </c>
      <c r="FT644" s="101">
        <f t="shared" si="374"/>
        <v>71</v>
      </c>
      <c r="FU644" s="101">
        <f t="shared" si="367"/>
        <v>8</v>
      </c>
      <c r="FV644" s="14">
        <f t="shared" si="368"/>
        <v>3</v>
      </c>
      <c r="FW644" s="101" t="str">
        <f t="shared" si="375"/>
        <v>徐晃专属武器-魂珠-8 8级</v>
      </c>
      <c r="FX644" s="101">
        <f t="shared" si="376"/>
        <v>8</v>
      </c>
      <c r="FY644" s="101">
        <f t="shared" si="377"/>
        <v>8</v>
      </c>
      <c r="FZ644" s="101" t="str">
        <f t="shared" si="369"/>
        <v>金币</v>
      </c>
      <c r="GA644" s="139">
        <f>IF($FY644&gt;0,IF(INDEX($EM$6:$EM$77,$FT644)&gt;=GA$3,ROUND(INDEX(EO$6:EO$77,$FT644)*INDEX(卡牌消耗!$B$8:$F$8,FV644)/5,0)*5,""),"")</f>
        <v>21000</v>
      </c>
      <c r="GB644" s="101" t="str">
        <f t="shared" si="370"/>
        <v>专属强化石4</v>
      </c>
      <c r="GC644" s="101">
        <f t="shared" si="371"/>
        <v>30</v>
      </c>
      <c r="GD644" s="101" t="str">
        <f t="shared" si="372"/>
        <v/>
      </c>
      <c r="GE644" s="101" t="str">
        <f t="shared" si="373"/>
        <v/>
      </c>
      <c r="GF644" s="101">
        <f t="shared" si="378"/>
        <v>0.02</v>
      </c>
      <c r="GG644" s="101">
        <f t="shared" si="379"/>
        <v>1</v>
      </c>
      <c r="GH644" s="101">
        <f t="shared" si="380"/>
        <v>75</v>
      </c>
      <c r="GI644" s="101">
        <f t="shared" si="381"/>
        <v>0</v>
      </c>
      <c r="GJ644" s="101">
        <f t="shared" si="382"/>
        <v>1</v>
      </c>
      <c r="GK644" s="101">
        <f t="shared" si="383"/>
        <v>18</v>
      </c>
      <c r="GL644" s="101">
        <f t="shared" si="384"/>
        <v>0.01</v>
      </c>
      <c r="GM644" s="101">
        <f t="shared" si="385"/>
        <v>1</v>
      </c>
      <c r="GN644" s="101">
        <f t="shared" si="386"/>
        <v>35</v>
      </c>
      <c r="GO644" s="101">
        <f t="shared" si="387"/>
        <v>3.9899999999999998E-2</v>
      </c>
      <c r="GP644" s="101">
        <f t="shared" si="388"/>
        <v>1</v>
      </c>
      <c r="GQ644" s="101">
        <f t="shared" si="389"/>
        <v>75</v>
      </c>
    </row>
    <row r="645" spans="175:199" ht="16.5" x14ac:dyDescent="0.2">
      <c r="FS645" s="101">
        <v>640</v>
      </c>
      <c r="FT645" s="101">
        <f t="shared" si="374"/>
        <v>72</v>
      </c>
      <c r="FU645" s="101">
        <f t="shared" si="367"/>
        <v>8</v>
      </c>
      <c r="FV645" s="14">
        <f t="shared" si="368"/>
        <v>3</v>
      </c>
      <c r="FW645" s="101" t="str">
        <f t="shared" si="375"/>
        <v>徐晃专属武器-魂珠-8 9级</v>
      </c>
      <c r="FX645" s="101">
        <f t="shared" si="376"/>
        <v>8</v>
      </c>
      <c r="FY645" s="101">
        <f t="shared" si="377"/>
        <v>9</v>
      </c>
      <c r="FZ645" s="101" t="str">
        <f t="shared" si="369"/>
        <v>金币</v>
      </c>
      <c r="GA645" s="139">
        <f>IF($FY645&gt;0,IF(INDEX($EM$6:$EM$77,$FT645)&gt;=GA$3,ROUND(INDEX(EO$6:EO$77,$FT645)*INDEX(卡牌消耗!$B$8:$F$8,FV645)/5,0)*5,""),"")</f>
        <v>21005</v>
      </c>
      <c r="GB645" s="101" t="str">
        <f t="shared" si="370"/>
        <v>专属强化石4</v>
      </c>
      <c r="GC645" s="101">
        <f t="shared" si="371"/>
        <v>30</v>
      </c>
      <c r="GD645" s="101" t="str">
        <f t="shared" si="372"/>
        <v/>
      </c>
      <c r="GE645" s="101" t="str">
        <f t="shared" si="373"/>
        <v/>
      </c>
      <c r="GF645" s="101">
        <f t="shared" si="378"/>
        <v>0.01</v>
      </c>
      <c r="GG645" s="101">
        <f t="shared" si="379"/>
        <v>1</v>
      </c>
      <c r="GH645" s="101">
        <f t="shared" si="380"/>
        <v>122</v>
      </c>
      <c r="GI645" s="101">
        <f t="shared" si="381"/>
        <v>0</v>
      </c>
      <c r="GJ645" s="101">
        <f t="shared" si="382"/>
        <v>1</v>
      </c>
      <c r="GK645" s="101">
        <f t="shared" si="383"/>
        <v>28</v>
      </c>
      <c r="GL645" s="101">
        <f t="shared" si="384"/>
        <v>6.1999999999999998E-3</v>
      </c>
      <c r="GM645" s="101">
        <f t="shared" si="385"/>
        <v>1</v>
      </c>
      <c r="GN645" s="101">
        <f t="shared" si="386"/>
        <v>57</v>
      </c>
      <c r="GO645" s="101">
        <f t="shared" si="387"/>
        <v>2.47E-2</v>
      </c>
      <c r="GP645" s="101">
        <f t="shared" si="388"/>
        <v>1</v>
      </c>
      <c r="GQ645" s="101">
        <f t="shared" si="389"/>
        <v>122</v>
      </c>
    </row>
    <row r="646" spans="175:199" ht="16.5" x14ac:dyDescent="0.2">
      <c r="FS646" s="101">
        <v>641</v>
      </c>
      <c r="FT646" s="101">
        <f t="shared" si="374"/>
        <v>0</v>
      </c>
      <c r="FU646" s="101">
        <f t="shared" si="367"/>
        <v>9</v>
      </c>
      <c r="FV646" s="14">
        <f t="shared" si="368"/>
        <v>4</v>
      </c>
      <c r="FW646" s="101" t="str">
        <f t="shared" si="375"/>
        <v>张郃专属武器-魂珠-1 0级</v>
      </c>
      <c r="FX646" s="101">
        <f t="shared" si="376"/>
        <v>1</v>
      </c>
      <c r="FY646" s="101">
        <f t="shared" si="377"/>
        <v>0</v>
      </c>
      <c r="FZ646" s="101" t="str">
        <f t="shared" si="369"/>
        <v/>
      </c>
      <c r="GA646" s="139" t="str">
        <f>IF($FY646&gt;0,IF(INDEX($EM$6:$EM$77,$FT646)&gt;=GA$3,ROUND(INDEX(EO$6:EO$77,$FT646)*INDEX(卡牌消耗!$B$8:$F$8,FV646)/5,0)*5,""),"")</f>
        <v/>
      </c>
      <c r="GB646" s="101" t="str">
        <f t="shared" si="370"/>
        <v/>
      </c>
      <c r="GC646" s="101" t="str">
        <f t="shared" si="371"/>
        <v/>
      </c>
      <c r="GD646" s="101" t="str">
        <f t="shared" si="372"/>
        <v/>
      </c>
      <c r="GE646" s="101" t="str">
        <f t="shared" si="373"/>
        <v/>
      </c>
      <c r="GF646" s="101" t="str">
        <f t="shared" si="378"/>
        <v/>
      </c>
      <c r="GG646" s="101" t="str">
        <f t="shared" si="379"/>
        <v/>
      </c>
      <c r="GH646" s="101" t="str">
        <f t="shared" si="380"/>
        <v/>
      </c>
      <c r="GI646" s="101" t="str">
        <f t="shared" si="381"/>
        <v/>
      </c>
      <c r="GJ646" s="101" t="str">
        <f t="shared" si="382"/>
        <v/>
      </c>
      <c r="GK646" s="101" t="str">
        <f t="shared" si="383"/>
        <v/>
      </c>
      <c r="GL646" s="101" t="str">
        <f t="shared" si="384"/>
        <v/>
      </c>
      <c r="GM646" s="101" t="str">
        <f t="shared" si="385"/>
        <v/>
      </c>
      <c r="GN646" s="101" t="str">
        <f t="shared" si="386"/>
        <v/>
      </c>
      <c r="GO646" s="101" t="str">
        <f t="shared" si="387"/>
        <v/>
      </c>
      <c r="GP646" s="101" t="str">
        <f t="shared" si="388"/>
        <v/>
      </c>
      <c r="GQ646" s="101" t="str">
        <f t="shared" si="389"/>
        <v/>
      </c>
    </row>
    <row r="647" spans="175:199" ht="16.5" x14ac:dyDescent="0.2">
      <c r="FS647" s="101">
        <v>642</v>
      </c>
      <c r="FT647" s="101">
        <f t="shared" si="374"/>
        <v>1</v>
      </c>
      <c r="FU647" s="101">
        <f t="shared" ref="FU647:FU710" si="390">INT((FS647-1)/80+1)</f>
        <v>9</v>
      </c>
      <c r="FV647" s="14">
        <f t="shared" ref="FV647:FV710" si="391">INDEX($FO$6:$FO$26,FU647)</f>
        <v>4</v>
      </c>
      <c r="FW647" s="101" t="str">
        <f t="shared" si="375"/>
        <v>张郃专属武器-魂珠-1 1级</v>
      </c>
      <c r="FX647" s="101">
        <f t="shared" si="376"/>
        <v>1</v>
      </c>
      <c r="FY647" s="101">
        <f t="shared" si="377"/>
        <v>1</v>
      </c>
      <c r="FZ647" s="101" t="str">
        <f t="shared" ref="FZ647:FZ710" si="392">IF($FY647&gt;0,IF(INDEX($EM$6:$EM$77,$FT647)&gt;=FZ$3,INDEX(EN$6:EN$77,$FT647),""),"")</f>
        <v>金币</v>
      </c>
      <c r="GA647" s="139">
        <f>IF($FY647&gt;0,IF(INDEX($EM$6:$EM$77,$FT647)&gt;=GA$3,ROUND(INDEX(EO$6:EO$77,$FT647)*INDEX(卡牌消耗!$B$8:$F$8,FV647)/5,0)*5,""),"")</f>
        <v>145</v>
      </c>
      <c r="GB647" s="101" t="str">
        <f t="shared" ref="GB647:GB710" si="393">IF($FY647&gt;0,IF(INDEX($EM$6:$EM$77,$FT647)&gt;=GB$3,INDEX(EP$6:EP$77,$FT647),""),"")</f>
        <v>专属强化石1</v>
      </c>
      <c r="GC647" s="101">
        <f t="shared" ref="GC647:GC710" si="394">IF($FY647&gt;0,IF(INDEX($EM$6:$EM$77,$FT647)&gt;=GC$3,INDEX(EQ$6:EQ$77,$FT647),""),"")</f>
        <v>1</v>
      </c>
      <c r="GD647" s="101" t="str">
        <f t="shared" ref="GD647:GD710" si="395">IF($FY647&gt;0,IF(INDEX($EM$6:$EM$77,$FT647)&gt;=GD$3,INDEX(ER$6:ER$77,$FT647),""),"")</f>
        <v/>
      </c>
      <c r="GE647" s="101" t="str">
        <f t="shared" ref="GE647:GE710" si="396">IF($FY647&gt;0,IF(INDEX($EM$6:$EM$77,$FT647)&gt;=GE$3,INDEX(ES$6:ES$77,$FT647),""),"")</f>
        <v/>
      </c>
      <c r="GF647" s="101">
        <f t="shared" si="378"/>
        <v>0.32</v>
      </c>
      <c r="GG647" s="101">
        <f t="shared" si="379"/>
        <v>1</v>
      </c>
      <c r="GH647" s="101">
        <f t="shared" si="380"/>
        <v>5</v>
      </c>
      <c r="GI647" s="101">
        <f t="shared" si="381"/>
        <v>0</v>
      </c>
      <c r="GJ647" s="101">
        <f t="shared" si="382"/>
        <v>1</v>
      </c>
      <c r="GK647" s="101">
        <f t="shared" si="383"/>
        <v>1</v>
      </c>
      <c r="GL647" s="101">
        <f t="shared" si="384"/>
        <v>0.1595</v>
      </c>
      <c r="GM647" s="101">
        <f t="shared" si="385"/>
        <v>1</v>
      </c>
      <c r="GN647" s="101">
        <f t="shared" si="386"/>
        <v>2</v>
      </c>
      <c r="GO647" s="101">
        <f t="shared" si="387"/>
        <v>0.63819999999999999</v>
      </c>
      <c r="GP647" s="101">
        <f t="shared" si="388"/>
        <v>1</v>
      </c>
      <c r="GQ647" s="101">
        <f t="shared" si="389"/>
        <v>5</v>
      </c>
    </row>
    <row r="648" spans="175:199" ht="16.5" x14ac:dyDescent="0.2">
      <c r="FS648" s="101">
        <v>643</v>
      </c>
      <c r="FT648" s="101">
        <f t="shared" si="374"/>
        <v>2</v>
      </c>
      <c r="FU648" s="101">
        <f t="shared" si="390"/>
        <v>9</v>
      </c>
      <c r="FV648" s="14">
        <f t="shared" si="391"/>
        <v>4</v>
      </c>
      <c r="FW648" s="101" t="str">
        <f t="shared" si="375"/>
        <v>张郃专属武器-魂珠-1 2级</v>
      </c>
      <c r="FX648" s="101">
        <f t="shared" si="376"/>
        <v>1</v>
      </c>
      <c r="FY648" s="101">
        <f t="shared" si="377"/>
        <v>2</v>
      </c>
      <c r="FZ648" s="101" t="str">
        <f t="shared" si="392"/>
        <v>金币</v>
      </c>
      <c r="GA648" s="139">
        <f>IF($FY648&gt;0,IF(INDEX($EM$6:$EM$77,$FT648)&gt;=GA$3,ROUND(INDEX(EO$6:EO$77,$FT648)*INDEX(卡牌消耗!$B$8:$F$8,FV648)/5,0)*5,""),"")</f>
        <v>215</v>
      </c>
      <c r="GB648" s="101" t="str">
        <f t="shared" si="393"/>
        <v>专属强化石1</v>
      </c>
      <c r="GC648" s="101">
        <f t="shared" si="394"/>
        <v>2</v>
      </c>
      <c r="GD648" s="101" t="str">
        <f t="shared" si="395"/>
        <v/>
      </c>
      <c r="GE648" s="101" t="str">
        <f t="shared" si="396"/>
        <v/>
      </c>
      <c r="GF648" s="101">
        <f t="shared" si="378"/>
        <v>0.32</v>
      </c>
      <c r="GG648" s="101">
        <f t="shared" si="379"/>
        <v>1</v>
      </c>
      <c r="GH648" s="101">
        <f t="shared" si="380"/>
        <v>5</v>
      </c>
      <c r="GI648" s="101">
        <f t="shared" si="381"/>
        <v>0</v>
      </c>
      <c r="GJ648" s="101">
        <f t="shared" si="382"/>
        <v>1</v>
      </c>
      <c r="GK648" s="101">
        <f t="shared" si="383"/>
        <v>1</v>
      </c>
      <c r="GL648" s="101">
        <f t="shared" si="384"/>
        <v>0.1595</v>
      </c>
      <c r="GM648" s="101">
        <f t="shared" si="385"/>
        <v>1</v>
      </c>
      <c r="GN648" s="101">
        <f t="shared" si="386"/>
        <v>2</v>
      </c>
      <c r="GO648" s="101">
        <f t="shared" si="387"/>
        <v>0.63819999999999999</v>
      </c>
      <c r="GP648" s="101">
        <f t="shared" si="388"/>
        <v>1</v>
      </c>
      <c r="GQ648" s="101">
        <f t="shared" si="389"/>
        <v>5</v>
      </c>
    </row>
    <row r="649" spans="175:199" ht="16.5" x14ac:dyDescent="0.2">
      <c r="FS649" s="101">
        <v>644</v>
      </c>
      <c r="FT649" s="101">
        <f t="shared" si="374"/>
        <v>3</v>
      </c>
      <c r="FU649" s="101">
        <f t="shared" si="390"/>
        <v>9</v>
      </c>
      <c r="FV649" s="14">
        <f t="shared" si="391"/>
        <v>4</v>
      </c>
      <c r="FW649" s="101" t="str">
        <f t="shared" si="375"/>
        <v>张郃专属武器-魂珠-1 3级</v>
      </c>
      <c r="FX649" s="101">
        <f t="shared" si="376"/>
        <v>1</v>
      </c>
      <c r="FY649" s="101">
        <f t="shared" si="377"/>
        <v>3</v>
      </c>
      <c r="FZ649" s="101" t="str">
        <f t="shared" si="392"/>
        <v>金币</v>
      </c>
      <c r="GA649" s="139">
        <f>IF($FY649&gt;0,IF(INDEX($EM$6:$EM$77,$FT649)&gt;=GA$3,ROUND(INDEX(EO$6:EO$77,$FT649)*INDEX(卡牌消耗!$B$8:$F$8,FV649)/5,0)*5,""),"")</f>
        <v>355</v>
      </c>
      <c r="GB649" s="101" t="str">
        <f t="shared" si="393"/>
        <v>专属强化石1</v>
      </c>
      <c r="GC649" s="101">
        <f t="shared" si="394"/>
        <v>3</v>
      </c>
      <c r="GD649" s="101" t="str">
        <f t="shared" si="395"/>
        <v/>
      </c>
      <c r="GE649" s="101" t="str">
        <f t="shared" si="396"/>
        <v/>
      </c>
      <c r="GF649" s="101">
        <f t="shared" si="378"/>
        <v>0.32</v>
      </c>
      <c r="GG649" s="101">
        <f t="shared" si="379"/>
        <v>1</v>
      </c>
      <c r="GH649" s="101">
        <f t="shared" si="380"/>
        <v>5</v>
      </c>
      <c r="GI649" s="101">
        <f t="shared" si="381"/>
        <v>0</v>
      </c>
      <c r="GJ649" s="101">
        <f t="shared" si="382"/>
        <v>1</v>
      </c>
      <c r="GK649" s="101">
        <f t="shared" si="383"/>
        <v>1</v>
      </c>
      <c r="GL649" s="101">
        <f t="shared" si="384"/>
        <v>0.1595</v>
      </c>
      <c r="GM649" s="101">
        <f t="shared" si="385"/>
        <v>1</v>
      </c>
      <c r="GN649" s="101">
        <f t="shared" si="386"/>
        <v>2</v>
      </c>
      <c r="GO649" s="101">
        <f t="shared" si="387"/>
        <v>0.63819999999999999</v>
      </c>
      <c r="GP649" s="101">
        <f t="shared" si="388"/>
        <v>1</v>
      </c>
      <c r="GQ649" s="101">
        <f t="shared" si="389"/>
        <v>5</v>
      </c>
    </row>
    <row r="650" spans="175:199" ht="16.5" x14ac:dyDescent="0.2">
      <c r="FS650" s="101">
        <v>645</v>
      </c>
      <c r="FT650" s="101">
        <f t="shared" si="374"/>
        <v>4</v>
      </c>
      <c r="FU650" s="101">
        <f t="shared" si="390"/>
        <v>9</v>
      </c>
      <c r="FV650" s="14">
        <f t="shared" si="391"/>
        <v>4</v>
      </c>
      <c r="FW650" s="101" t="str">
        <f t="shared" si="375"/>
        <v>张郃专属武器-魂珠-1 4级</v>
      </c>
      <c r="FX650" s="101">
        <f t="shared" si="376"/>
        <v>1</v>
      </c>
      <c r="FY650" s="101">
        <f t="shared" si="377"/>
        <v>4</v>
      </c>
      <c r="FZ650" s="101" t="str">
        <f t="shared" si="392"/>
        <v>金币</v>
      </c>
      <c r="GA650" s="139">
        <f>IF($FY650&gt;0,IF(INDEX($EM$6:$EM$77,$FT650)&gt;=GA$3,ROUND(INDEX(EO$6:EO$77,$FT650)*INDEX(卡牌消耗!$B$8:$F$8,FV650)/5,0)*5,""),"")</f>
        <v>455</v>
      </c>
      <c r="GB650" s="101" t="str">
        <f t="shared" si="393"/>
        <v>专属强化石1</v>
      </c>
      <c r="GC650" s="101">
        <f t="shared" si="394"/>
        <v>4</v>
      </c>
      <c r="GD650" s="101" t="str">
        <f t="shared" si="395"/>
        <v/>
      </c>
      <c r="GE650" s="101" t="str">
        <f t="shared" si="396"/>
        <v/>
      </c>
      <c r="GF650" s="101">
        <f t="shared" si="378"/>
        <v>0.26</v>
      </c>
      <c r="GG650" s="101">
        <f t="shared" si="379"/>
        <v>1</v>
      </c>
      <c r="GH650" s="101">
        <f t="shared" si="380"/>
        <v>6</v>
      </c>
      <c r="GI650" s="101">
        <f t="shared" si="381"/>
        <v>0</v>
      </c>
      <c r="GJ650" s="101">
        <f t="shared" si="382"/>
        <v>1</v>
      </c>
      <c r="GK650" s="101">
        <f t="shared" si="383"/>
        <v>1</v>
      </c>
      <c r="GL650" s="101">
        <f t="shared" si="384"/>
        <v>0.12759999999999999</v>
      </c>
      <c r="GM650" s="101">
        <f t="shared" si="385"/>
        <v>1</v>
      </c>
      <c r="GN650" s="101">
        <f t="shared" si="386"/>
        <v>3</v>
      </c>
      <c r="GO650" s="101">
        <f t="shared" si="387"/>
        <v>0.51060000000000005</v>
      </c>
      <c r="GP650" s="101">
        <f t="shared" si="388"/>
        <v>1</v>
      </c>
      <c r="GQ650" s="101">
        <f t="shared" si="389"/>
        <v>6</v>
      </c>
    </row>
    <row r="651" spans="175:199" ht="16.5" x14ac:dyDescent="0.2">
      <c r="FS651" s="101">
        <v>646</v>
      </c>
      <c r="FT651" s="101">
        <f t="shared" si="374"/>
        <v>5</v>
      </c>
      <c r="FU651" s="101">
        <f t="shared" si="390"/>
        <v>9</v>
      </c>
      <c r="FV651" s="14">
        <f t="shared" si="391"/>
        <v>4</v>
      </c>
      <c r="FW651" s="101" t="str">
        <f t="shared" si="375"/>
        <v>张郃专属武器-魂珠-1 5级</v>
      </c>
      <c r="FX651" s="101">
        <f t="shared" si="376"/>
        <v>1</v>
      </c>
      <c r="FY651" s="101">
        <f t="shared" si="377"/>
        <v>5</v>
      </c>
      <c r="FZ651" s="101" t="str">
        <f t="shared" si="392"/>
        <v>金币</v>
      </c>
      <c r="GA651" s="139">
        <f>IF($FY651&gt;0,IF(INDEX($EM$6:$EM$77,$FT651)&gt;=GA$3,ROUND(INDEX(EO$6:EO$77,$FT651)*INDEX(卡牌消耗!$B$8:$F$8,FV651)/5,0)*5,""),"")</f>
        <v>580</v>
      </c>
      <c r="GB651" s="101" t="str">
        <f t="shared" si="393"/>
        <v>专属强化石1</v>
      </c>
      <c r="GC651" s="101">
        <f t="shared" si="394"/>
        <v>5</v>
      </c>
      <c r="GD651" s="101" t="str">
        <f t="shared" si="395"/>
        <v/>
      </c>
      <c r="GE651" s="101" t="str">
        <f t="shared" si="396"/>
        <v/>
      </c>
      <c r="GF651" s="101">
        <f t="shared" si="378"/>
        <v>0.2</v>
      </c>
      <c r="GG651" s="101">
        <f t="shared" si="379"/>
        <v>1</v>
      </c>
      <c r="GH651" s="101">
        <f t="shared" si="380"/>
        <v>8</v>
      </c>
      <c r="GI651" s="101">
        <f t="shared" si="381"/>
        <v>0</v>
      </c>
      <c r="GJ651" s="101">
        <f t="shared" si="382"/>
        <v>1</v>
      </c>
      <c r="GK651" s="101">
        <f t="shared" si="383"/>
        <v>2</v>
      </c>
      <c r="GL651" s="101">
        <f t="shared" si="384"/>
        <v>9.9699999999999997E-2</v>
      </c>
      <c r="GM651" s="101">
        <f t="shared" si="385"/>
        <v>1</v>
      </c>
      <c r="GN651" s="101">
        <f t="shared" si="386"/>
        <v>4</v>
      </c>
      <c r="GO651" s="101">
        <f t="shared" si="387"/>
        <v>0.39889999999999998</v>
      </c>
      <c r="GP651" s="101">
        <f t="shared" si="388"/>
        <v>1</v>
      </c>
      <c r="GQ651" s="101">
        <f t="shared" si="389"/>
        <v>8</v>
      </c>
    </row>
    <row r="652" spans="175:199" ht="16.5" x14ac:dyDescent="0.2">
      <c r="FS652" s="101">
        <v>647</v>
      </c>
      <c r="FT652" s="101">
        <f t="shared" si="374"/>
        <v>6</v>
      </c>
      <c r="FU652" s="101">
        <f t="shared" si="390"/>
        <v>9</v>
      </c>
      <c r="FV652" s="14">
        <f t="shared" si="391"/>
        <v>4</v>
      </c>
      <c r="FW652" s="101" t="str">
        <f t="shared" si="375"/>
        <v>张郃专属武器-魂珠-1 6级</v>
      </c>
      <c r="FX652" s="101">
        <f t="shared" si="376"/>
        <v>1</v>
      </c>
      <c r="FY652" s="101">
        <f t="shared" si="377"/>
        <v>6</v>
      </c>
      <c r="FZ652" s="101" t="str">
        <f t="shared" si="392"/>
        <v>金币</v>
      </c>
      <c r="GA652" s="139">
        <f>IF($FY652&gt;0,IF(INDEX($EM$6:$EM$77,$FT652)&gt;=GA$3,ROUND(INDEX(EO$6:EO$77,$FT652)*INDEX(卡牌消耗!$B$8:$F$8,FV652)/5,0)*5,""),"")</f>
        <v>690</v>
      </c>
      <c r="GB652" s="101" t="str">
        <f t="shared" si="393"/>
        <v>专属强化石1</v>
      </c>
      <c r="GC652" s="101">
        <f t="shared" si="394"/>
        <v>6</v>
      </c>
      <c r="GD652" s="101" t="str">
        <f t="shared" si="395"/>
        <v/>
      </c>
      <c r="GE652" s="101" t="str">
        <f t="shared" si="396"/>
        <v/>
      </c>
      <c r="GF652" s="101">
        <f t="shared" si="378"/>
        <v>0.15</v>
      </c>
      <c r="GG652" s="101">
        <f t="shared" si="379"/>
        <v>1</v>
      </c>
      <c r="GH652" s="101">
        <f t="shared" si="380"/>
        <v>10</v>
      </c>
      <c r="GI652" s="101">
        <f t="shared" si="381"/>
        <v>0</v>
      </c>
      <c r="GJ652" s="101">
        <f t="shared" si="382"/>
        <v>1</v>
      </c>
      <c r="GK652" s="101">
        <f t="shared" si="383"/>
        <v>2</v>
      </c>
      <c r="GL652" s="101">
        <f t="shared" si="384"/>
        <v>7.3599999999999999E-2</v>
      </c>
      <c r="GM652" s="101">
        <f t="shared" si="385"/>
        <v>1</v>
      </c>
      <c r="GN652" s="101">
        <f t="shared" si="386"/>
        <v>5</v>
      </c>
      <c r="GO652" s="101">
        <f t="shared" si="387"/>
        <v>0.29459999999999997</v>
      </c>
      <c r="GP652" s="101">
        <f t="shared" si="388"/>
        <v>1</v>
      </c>
      <c r="GQ652" s="101">
        <f t="shared" si="389"/>
        <v>10</v>
      </c>
    </row>
    <row r="653" spans="175:199" ht="16.5" x14ac:dyDescent="0.2">
      <c r="FS653" s="101">
        <v>648</v>
      </c>
      <c r="FT653" s="101">
        <f t="shared" si="374"/>
        <v>7</v>
      </c>
      <c r="FU653" s="101">
        <f t="shared" si="390"/>
        <v>9</v>
      </c>
      <c r="FV653" s="14">
        <f t="shared" si="391"/>
        <v>4</v>
      </c>
      <c r="FW653" s="101" t="str">
        <f t="shared" si="375"/>
        <v>张郃专属武器-魂珠-1 7级</v>
      </c>
      <c r="FX653" s="101">
        <f t="shared" si="376"/>
        <v>1</v>
      </c>
      <c r="FY653" s="101">
        <f t="shared" si="377"/>
        <v>7</v>
      </c>
      <c r="FZ653" s="101" t="str">
        <f t="shared" si="392"/>
        <v>金币</v>
      </c>
      <c r="GA653" s="139">
        <f>IF($FY653&gt;0,IF(INDEX($EM$6:$EM$77,$FT653)&gt;=GA$3,ROUND(INDEX(EO$6:EO$77,$FT653)*INDEX(卡牌消耗!$B$8:$F$8,FV653)/5,0)*5,""),"")</f>
        <v>805</v>
      </c>
      <c r="GB653" s="101" t="str">
        <f t="shared" si="393"/>
        <v>专属强化石1</v>
      </c>
      <c r="GC653" s="101">
        <f t="shared" si="394"/>
        <v>7</v>
      </c>
      <c r="GD653" s="101" t="str">
        <f t="shared" si="395"/>
        <v/>
      </c>
      <c r="GE653" s="101" t="str">
        <f t="shared" si="396"/>
        <v/>
      </c>
      <c r="GF653" s="101">
        <f t="shared" si="378"/>
        <v>0.11</v>
      </c>
      <c r="GG653" s="101">
        <f t="shared" si="379"/>
        <v>1</v>
      </c>
      <c r="GH653" s="101">
        <f t="shared" si="380"/>
        <v>14</v>
      </c>
      <c r="GI653" s="101">
        <f t="shared" si="381"/>
        <v>0</v>
      </c>
      <c r="GJ653" s="101">
        <f t="shared" si="382"/>
        <v>1</v>
      </c>
      <c r="GK653" s="101">
        <f t="shared" si="383"/>
        <v>3</v>
      </c>
      <c r="GL653" s="101">
        <f t="shared" si="384"/>
        <v>5.3199999999999997E-2</v>
      </c>
      <c r="GM653" s="101">
        <f t="shared" si="385"/>
        <v>1</v>
      </c>
      <c r="GN653" s="101">
        <f t="shared" si="386"/>
        <v>7</v>
      </c>
      <c r="GO653" s="101">
        <f t="shared" si="387"/>
        <v>0.2127</v>
      </c>
      <c r="GP653" s="101">
        <f t="shared" si="388"/>
        <v>1</v>
      </c>
      <c r="GQ653" s="101">
        <f t="shared" si="389"/>
        <v>14</v>
      </c>
    </row>
    <row r="654" spans="175:199" ht="16.5" x14ac:dyDescent="0.2">
      <c r="FS654" s="101">
        <v>649</v>
      </c>
      <c r="FT654" s="101">
        <f t="shared" si="374"/>
        <v>8</v>
      </c>
      <c r="FU654" s="101">
        <f t="shared" si="390"/>
        <v>9</v>
      </c>
      <c r="FV654" s="14">
        <f t="shared" si="391"/>
        <v>4</v>
      </c>
      <c r="FW654" s="101" t="str">
        <f t="shared" si="375"/>
        <v>张郃专属武器-魂珠-1 8级</v>
      </c>
      <c r="FX654" s="101">
        <f t="shared" si="376"/>
        <v>1</v>
      </c>
      <c r="FY654" s="101">
        <f t="shared" si="377"/>
        <v>8</v>
      </c>
      <c r="FZ654" s="101" t="str">
        <f t="shared" si="392"/>
        <v>金币</v>
      </c>
      <c r="GA654" s="139">
        <f>IF($FY654&gt;0,IF(INDEX($EM$6:$EM$77,$FT654)&gt;=GA$3,ROUND(INDEX(EO$6:EO$77,$FT654)*INDEX(卡牌消耗!$B$8:$F$8,FV654)/5,0)*5,""),"")</f>
        <v>920</v>
      </c>
      <c r="GB654" s="101" t="str">
        <f t="shared" si="393"/>
        <v>专属强化石1</v>
      </c>
      <c r="GC654" s="101">
        <f t="shared" si="394"/>
        <v>8</v>
      </c>
      <c r="GD654" s="101" t="str">
        <f t="shared" si="395"/>
        <v/>
      </c>
      <c r="GE654" s="101" t="str">
        <f t="shared" si="396"/>
        <v/>
      </c>
      <c r="GF654" s="101">
        <f t="shared" si="378"/>
        <v>0.08</v>
      </c>
      <c r="GG654" s="101">
        <f t="shared" si="379"/>
        <v>1</v>
      </c>
      <c r="GH654" s="101">
        <f t="shared" si="380"/>
        <v>20</v>
      </c>
      <c r="GI654" s="101">
        <f t="shared" si="381"/>
        <v>0</v>
      </c>
      <c r="GJ654" s="101">
        <f t="shared" si="382"/>
        <v>1</v>
      </c>
      <c r="GK654" s="101">
        <f t="shared" si="383"/>
        <v>5</v>
      </c>
      <c r="GL654" s="101">
        <f t="shared" si="384"/>
        <v>3.7499999999999999E-2</v>
      </c>
      <c r="GM654" s="101">
        <f t="shared" si="385"/>
        <v>1</v>
      </c>
      <c r="GN654" s="101">
        <f t="shared" si="386"/>
        <v>9</v>
      </c>
      <c r="GO654" s="101">
        <f t="shared" si="387"/>
        <v>0.1502</v>
      </c>
      <c r="GP654" s="101">
        <f t="shared" si="388"/>
        <v>1</v>
      </c>
      <c r="GQ654" s="101">
        <f t="shared" si="389"/>
        <v>20</v>
      </c>
    </row>
    <row r="655" spans="175:199" ht="16.5" x14ac:dyDescent="0.2">
      <c r="FS655" s="101">
        <v>650</v>
      </c>
      <c r="FT655" s="101">
        <f t="shared" si="374"/>
        <v>9</v>
      </c>
      <c r="FU655" s="101">
        <f t="shared" si="390"/>
        <v>9</v>
      </c>
      <c r="FV655" s="14">
        <f t="shared" si="391"/>
        <v>4</v>
      </c>
      <c r="FW655" s="101" t="str">
        <f t="shared" si="375"/>
        <v>张郃专属武器-魂珠-1 9级</v>
      </c>
      <c r="FX655" s="101">
        <f t="shared" si="376"/>
        <v>1</v>
      </c>
      <c r="FY655" s="101">
        <f t="shared" si="377"/>
        <v>9</v>
      </c>
      <c r="FZ655" s="101" t="str">
        <f t="shared" si="392"/>
        <v>金币</v>
      </c>
      <c r="GA655" s="139">
        <f>IF($FY655&gt;0,IF(INDEX($EM$6:$EM$77,$FT655)&gt;=GA$3,ROUND(INDEX(EO$6:EO$77,$FT655)*INDEX(卡牌消耗!$B$8:$F$8,FV655)/5,0)*5,""),"")</f>
        <v>1150</v>
      </c>
      <c r="GB655" s="101" t="str">
        <f t="shared" si="393"/>
        <v>专属强化石1</v>
      </c>
      <c r="GC655" s="101">
        <f t="shared" si="394"/>
        <v>10</v>
      </c>
      <c r="GD655" s="101" t="str">
        <f t="shared" si="395"/>
        <v/>
      </c>
      <c r="GE655" s="101" t="str">
        <f t="shared" si="396"/>
        <v/>
      </c>
      <c r="GF655" s="101">
        <f t="shared" si="378"/>
        <v>0.06</v>
      </c>
      <c r="GG655" s="101">
        <f t="shared" si="379"/>
        <v>1</v>
      </c>
      <c r="GH655" s="101">
        <f t="shared" si="380"/>
        <v>26</v>
      </c>
      <c r="GI655" s="101">
        <f t="shared" si="381"/>
        <v>0</v>
      </c>
      <c r="GJ655" s="101">
        <f t="shared" si="382"/>
        <v>1</v>
      </c>
      <c r="GK655" s="101">
        <f t="shared" si="383"/>
        <v>6</v>
      </c>
      <c r="GL655" s="101">
        <f t="shared" si="384"/>
        <v>2.9000000000000001E-2</v>
      </c>
      <c r="GM655" s="101">
        <f t="shared" si="385"/>
        <v>1</v>
      </c>
      <c r="GN655" s="101">
        <f t="shared" si="386"/>
        <v>12</v>
      </c>
      <c r="GO655" s="101">
        <f t="shared" si="387"/>
        <v>0.11600000000000001</v>
      </c>
      <c r="GP655" s="101">
        <f t="shared" si="388"/>
        <v>1</v>
      </c>
      <c r="GQ655" s="101">
        <f t="shared" si="389"/>
        <v>26</v>
      </c>
    </row>
    <row r="656" spans="175:199" ht="16.5" x14ac:dyDescent="0.2">
      <c r="FS656" s="101">
        <v>651</v>
      </c>
      <c r="FT656" s="101">
        <f t="shared" si="374"/>
        <v>0</v>
      </c>
      <c r="FU656" s="101">
        <f t="shared" si="390"/>
        <v>9</v>
      </c>
      <c r="FV656" s="14">
        <f t="shared" si="391"/>
        <v>4</v>
      </c>
      <c r="FW656" s="101" t="str">
        <f t="shared" si="375"/>
        <v>张郃专属武器-魂珠-2 0级</v>
      </c>
      <c r="FX656" s="101">
        <f t="shared" si="376"/>
        <v>2</v>
      </c>
      <c r="FY656" s="101">
        <f t="shared" si="377"/>
        <v>0</v>
      </c>
      <c r="FZ656" s="101" t="str">
        <f t="shared" si="392"/>
        <v/>
      </c>
      <c r="GA656" s="139" t="str">
        <f>IF($FY656&gt;0,IF(INDEX($EM$6:$EM$77,$FT656)&gt;=GA$3,ROUND(INDEX(EO$6:EO$77,$FT656)*INDEX(卡牌消耗!$B$8:$F$8,FV656)/5,0)*5,""),"")</f>
        <v/>
      </c>
      <c r="GB656" s="101" t="str">
        <f t="shared" si="393"/>
        <v/>
      </c>
      <c r="GC656" s="101" t="str">
        <f t="shared" si="394"/>
        <v/>
      </c>
      <c r="GD656" s="101" t="str">
        <f t="shared" si="395"/>
        <v/>
      </c>
      <c r="GE656" s="101" t="str">
        <f t="shared" si="396"/>
        <v/>
      </c>
      <c r="GF656" s="101" t="str">
        <f t="shared" si="378"/>
        <v/>
      </c>
      <c r="GG656" s="101" t="str">
        <f t="shared" si="379"/>
        <v/>
      </c>
      <c r="GH656" s="101" t="str">
        <f t="shared" si="380"/>
        <v/>
      </c>
      <c r="GI656" s="101" t="str">
        <f t="shared" si="381"/>
        <v/>
      </c>
      <c r="GJ656" s="101" t="str">
        <f t="shared" si="382"/>
        <v/>
      </c>
      <c r="GK656" s="101" t="str">
        <f t="shared" si="383"/>
        <v/>
      </c>
      <c r="GL656" s="101" t="str">
        <f t="shared" si="384"/>
        <v/>
      </c>
      <c r="GM656" s="101" t="str">
        <f t="shared" si="385"/>
        <v/>
      </c>
      <c r="GN656" s="101" t="str">
        <f t="shared" si="386"/>
        <v/>
      </c>
      <c r="GO656" s="101" t="str">
        <f t="shared" si="387"/>
        <v/>
      </c>
      <c r="GP656" s="101" t="str">
        <f t="shared" si="388"/>
        <v/>
      </c>
      <c r="GQ656" s="101" t="str">
        <f t="shared" si="389"/>
        <v/>
      </c>
    </row>
    <row r="657" spans="175:199" ht="16.5" x14ac:dyDescent="0.2">
      <c r="FS657" s="101">
        <v>652</v>
      </c>
      <c r="FT657" s="101">
        <f t="shared" si="374"/>
        <v>10</v>
      </c>
      <c r="FU657" s="101">
        <f t="shared" si="390"/>
        <v>9</v>
      </c>
      <c r="FV657" s="14">
        <f t="shared" si="391"/>
        <v>4</v>
      </c>
      <c r="FW657" s="101" t="str">
        <f t="shared" si="375"/>
        <v>张郃专属武器-魂珠-2 1级</v>
      </c>
      <c r="FX657" s="101">
        <f t="shared" si="376"/>
        <v>2</v>
      </c>
      <c r="FY657" s="101">
        <f t="shared" si="377"/>
        <v>1</v>
      </c>
      <c r="FZ657" s="101" t="str">
        <f t="shared" si="392"/>
        <v>金币</v>
      </c>
      <c r="GA657" s="139">
        <f>IF($FY657&gt;0,IF(INDEX($EM$6:$EM$77,$FT657)&gt;=GA$3,ROUND(INDEX(EO$6:EO$77,$FT657)*INDEX(卡牌消耗!$B$8:$F$8,FV657)/5,0)*5,""),"")</f>
        <v>395</v>
      </c>
      <c r="GB657" s="101" t="str">
        <f t="shared" si="393"/>
        <v>专属强化石1</v>
      </c>
      <c r="GC657" s="101">
        <f t="shared" si="394"/>
        <v>3</v>
      </c>
      <c r="GD657" s="101" t="str">
        <f t="shared" si="395"/>
        <v>专属强化石2</v>
      </c>
      <c r="GE657" s="101">
        <f t="shared" si="396"/>
        <v>1</v>
      </c>
      <c r="GF657" s="101">
        <f t="shared" si="378"/>
        <v>0.39</v>
      </c>
      <c r="GG657" s="101">
        <f t="shared" si="379"/>
        <v>1</v>
      </c>
      <c r="GH657" s="101">
        <f t="shared" si="380"/>
        <v>4</v>
      </c>
      <c r="GI657" s="101">
        <f t="shared" si="381"/>
        <v>0</v>
      </c>
      <c r="GJ657" s="101">
        <f t="shared" si="382"/>
        <v>1</v>
      </c>
      <c r="GK657" s="101">
        <f t="shared" si="383"/>
        <v>1</v>
      </c>
      <c r="GL657" s="101">
        <f t="shared" si="384"/>
        <v>0.19270000000000001</v>
      </c>
      <c r="GM657" s="101">
        <f t="shared" si="385"/>
        <v>1</v>
      </c>
      <c r="GN657" s="101">
        <f t="shared" si="386"/>
        <v>2</v>
      </c>
      <c r="GO657" s="101">
        <f t="shared" si="387"/>
        <v>0.77070000000000005</v>
      </c>
      <c r="GP657" s="101">
        <f t="shared" si="388"/>
        <v>1</v>
      </c>
      <c r="GQ657" s="101">
        <f t="shared" si="389"/>
        <v>4</v>
      </c>
    </row>
    <row r="658" spans="175:199" ht="16.5" x14ac:dyDescent="0.2">
      <c r="FS658" s="101">
        <v>653</v>
      </c>
      <c r="FT658" s="101">
        <f t="shared" si="374"/>
        <v>11</v>
      </c>
      <c r="FU658" s="101">
        <f t="shared" si="390"/>
        <v>9</v>
      </c>
      <c r="FV658" s="14">
        <f t="shared" si="391"/>
        <v>4</v>
      </c>
      <c r="FW658" s="101" t="str">
        <f t="shared" si="375"/>
        <v>张郃专属武器-魂珠-2 2级</v>
      </c>
      <c r="FX658" s="101">
        <f t="shared" si="376"/>
        <v>2</v>
      </c>
      <c r="FY658" s="101">
        <f t="shared" si="377"/>
        <v>2</v>
      </c>
      <c r="FZ658" s="101" t="str">
        <f t="shared" si="392"/>
        <v>金币</v>
      </c>
      <c r="GA658" s="139">
        <f>IF($FY658&gt;0,IF(INDEX($EM$6:$EM$77,$FT658)&gt;=GA$3,ROUND(INDEX(EO$6:EO$77,$FT658)*INDEX(卡牌消耗!$B$8:$F$8,FV658)/5,0)*5,""),"")</f>
        <v>295</v>
      </c>
      <c r="GB658" s="101" t="str">
        <f t="shared" si="393"/>
        <v>专属强化石1</v>
      </c>
      <c r="GC658" s="101">
        <f t="shared" si="394"/>
        <v>3</v>
      </c>
      <c r="GD658" s="101" t="str">
        <f t="shared" si="395"/>
        <v>专属强化石2</v>
      </c>
      <c r="GE658" s="101">
        <f t="shared" si="396"/>
        <v>1</v>
      </c>
      <c r="GF658" s="101">
        <f t="shared" si="378"/>
        <v>0.19</v>
      </c>
      <c r="GG658" s="101">
        <f t="shared" si="379"/>
        <v>1</v>
      </c>
      <c r="GH658" s="101">
        <f t="shared" si="380"/>
        <v>8</v>
      </c>
      <c r="GI658" s="101">
        <f t="shared" si="381"/>
        <v>0</v>
      </c>
      <c r="GJ658" s="101">
        <f t="shared" si="382"/>
        <v>1</v>
      </c>
      <c r="GK658" s="101">
        <f t="shared" si="383"/>
        <v>2</v>
      </c>
      <c r="GL658" s="101">
        <f t="shared" si="384"/>
        <v>9.6299999999999997E-2</v>
      </c>
      <c r="GM658" s="101">
        <f t="shared" si="385"/>
        <v>1</v>
      </c>
      <c r="GN658" s="101">
        <f t="shared" si="386"/>
        <v>4</v>
      </c>
      <c r="GO658" s="101">
        <f t="shared" si="387"/>
        <v>0.38529999999999998</v>
      </c>
      <c r="GP658" s="101">
        <f t="shared" si="388"/>
        <v>1</v>
      </c>
      <c r="GQ658" s="101">
        <f t="shared" si="389"/>
        <v>8</v>
      </c>
    </row>
    <row r="659" spans="175:199" ht="16.5" x14ac:dyDescent="0.2">
      <c r="FS659" s="101">
        <v>654</v>
      </c>
      <c r="FT659" s="101">
        <f t="shared" si="374"/>
        <v>12</v>
      </c>
      <c r="FU659" s="101">
        <f t="shared" si="390"/>
        <v>9</v>
      </c>
      <c r="FV659" s="14">
        <f t="shared" si="391"/>
        <v>4</v>
      </c>
      <c r="FW659" s="101" t="str">
        <f t="shared" si="375"/>
        <v>张郃专属武器-魂珠-2 3级</v>
      </c>
      <c r="FX659" s="101">
        <f t="shared" si="376"/>
        <v>2</v>
      </c>
      <c r="FY659" s="101">
        <f t="shared" si="377"/>
        <v>3</v>
      </c>
      <c r="FZ659" s="101" t="str">
        <f t="shared" si="392"/>
        <v>金币</v>
      </c>
      <c r="GA659" s="139">
        <f>IF($FY659&gt;0,IF(INDEX($EM$6:$EM$77,$FT659)&gt;=GA$3,ROUND(INDEX(EO$6:EO$77,$FT659)*INDEX(卡牌消耗!$B$8:$F$8,FV659)/5,0)*5,""),"")</f>
        <v>655</v>
      </c>
      <c r="GB659" s="101" t="str">
        <f t="shared" si="393"/>
        <v>专属强化石1</v>
      </c>
      <c r="GC659" s="101">
        <f t="shared" si="394"/>
        <v>6</v>
      </c>
      <c r="GD659" s="101" t="str">
        <f t="shared" si="395"/>
        <v>专属强化石2</v>
      </c>
      <c r="GE659" s="101">
        <f t="shared" si="396"/>
        <v>2</v>
      </c>
      <c r="GF659" s="101">
        <f t="shared" si="378"/>
        <v>0.26</v>
      </c>
      <c r="GG659" s="101">
        <f t="shared" si="379"/>
        <v>1</v>
      </c>
      <c r="GH659" s="101">
        <f t="shared" si="380"/>
        <v>6</v>
      </c>
      <c r="GI659" s="101">
        <f t="shared" si="381"/>
        <v>0</v>
      </c>
      <c r="GJ659" s="101">
        <f t="shared" si="382"/>
        <v>1</v>
      </c>
      <c r="GK659" s="101">
        <f t="shared" si="383"/>
        <v>1</v>
      </c>
      <c r="GL659" s="101">
        <f t="shared" si="384"/>
        <v>0.12839999999999999</v>
      </c>
      <c r="GM659" s="101">
        <f t="shared" si="385"/>
        <v>1</v>
      </c>
      <c r="GN659" s="101">
        <f t="shared" si="386"/>
        <v>3</v>
      </c>
      <c r="GO659" s="101">
        <f t="shared" si="387"/>
        <v>0.51380000000000003</v>
      </c>
      <c r="GP659" s="101">
        <f t="shared" si="388"/>
        <v>1</v>
      </c>
      <c r="GQ659" s="101">
        <f t="shared" si="389"/>
        <v>6</v>
      </c>
    </row>
    <row r="660" spans="175:199" ht="16.5" x14ac:dyDescent="0.2">
      <c r="FS660" s="101">
        <v>655</v>
      </c>
      <c r="FT660" s="101">
        <f t="shared" si="374"/>
        <v>13</v>
      </c>
      <c r="FU660" s="101">
        <f t="shared" si="390"/>
        <v>9</v>
      </c>
      <c r="FV660" s="14">
        <f t="shared" si="391"/>
        <v>4</v>
      </c>
      <c r="FW660" s="101" t="str">
        <f t="shared" si="375"/>
        <v>张郃专属武器-魂珠-2 4级</v>
      </c>
      <c r="FX660" s="101">
        <f t="shared" si="376"/>
        <v>2</v>
      </c>
      <c r="FY660" s="101">
        <f t="shared" si="377"/>
        <v>4</v>
      </c>
      <c r="FZ660" s="101" t="str">
        <f t="shared" si="392"/>
        <v>金币</v>
      </c>
      <c r="GA660" s="139">
        <f>IF($FY660&gt;0,IF(INDEX($EM$6:$EM$77,$FT660)&gt;=GA$3,ROUND(INDEX(EO$6:EO$77,$FT660)*INDEX(卡牌消耗!$B$8:$F$8,FV660)/5,0)*5,""),"")</f>
        <v>625</v>
      </c>
      <c r="GB660" s="101" t="str">
        <f t="shared" si="393"/>
        <v>专属强化石1</v>
      </c>
      <c r="GC660" s="101">
        <f t="shared" si="394"/>
        <v>6</v>
      </c>
      <c r="GD660" s="101" t="str">
        <f t="shared" si="395"/>
        <v>专属强化石2</v>
      </c>
      <c r="GE660" s="101">
        <f t="shared" si="396"/>
        <v>2</v>
      </c>
      <c r="GF660" s="101">
        <f t="shared" si="378"/>
        <v>0.15</v>
      </c>
      <c r="GG660" s="101">
        <f t="shared" si="379"/>
        <v>1</v>
      </c>
      <c r="GH660" s="101">
        <f t="shared" si="380"/>
        <v>10</v>
      </c>
      <c r="GI660" s="101">
        <f t="shared" si="381"/>
        <v>0</v>
      </c>
      <c r="GJ660" s="101">
        <f t="shared" si="382"/>
        <v>1</v>
      </c>
      <c r="GK660" s="101">
        <f t="shared" si="383"/>
        <v>2</v>
      </c>
      <c r="GL660" s="101">
        <f t="shared" si="384"/>
        <v>7.7100000000000002E-2</v>
      </c>
      <c r="GM660" s="101">
        <f t="shared" si="385"/>
        <v>1</v>
      </c>
      <c r="GN660" s="101">
        <f t="shared" si="386"/>
        <v>5</v>
      </c>
      <c r="GO660" s="101">
        <f t="shared" si="387"/>
        <v>0.30830000000000002</v>
      </c>
      <c r="GP660" s="101">
        <f t="shared" si="388"/>
        <v>1</v>
      </c>
      <c r="GQ660" s="101">
        <f t="shared" si="389"/>
        <v>10</v>
      </c>
    </row>
    <row r="661" spans="175:199" ht="16.5" x14ac:dyDescent="0.2">
      <c r="FS661" s="101">
        <v>656</v>
      </c>
      <c r="FT661" s="101">
        <f t="shared" si="374"/>
        <v>14</v>
      </c>
      <c r="FU661" s="101">
        <f t="shared" si="390"/>
        <v>9</v>
      </c>
      <c r="FV661" s="14">
        <f t="shared" si="391"/>
        <v>4</v>
      </c>
      <c r="FW661" s="101" t="str">
        <f t="shared" si="375"/>
        <v>张郃专属武器-魂珠-2 5级</v>
      </c>
      <c r="FX661" s="101">
        <f t="shared" si="376"/>
        <v>2</v>
      </c>
      <c r="FY661" s="101">
        <f t="shared" si="377"/>
        <v>5</v>
      </c>
      <c r="FZ661" s="101" t="str">
        <f t="shared" si="392"/>
        <v>金币</v>
      </c>
      <c r="GA661" s="139">
        <f>IF($FY661&gt;0,IF(INDEX($EM$6:$EM$77,$FT661)&gt;=GA$3,ROUND(INDEX(EO$6:EO$77,$FT661)*INDEX(卡牌消耗!$B$8:$F$8,FV661)/5,0)*5,""),"")</f>
        <v>955</v>
      </c>
      <c r="GB661" s="101" t="str">
        <f t="shared" si="393"/>
        <v>专属强化石1</v>
      </c>
      <c r="GC661" s="101">
        <f t="shared" si="394"/>
        <v>9</v>
      </c>
      <c r="GD661" s="101" t="str">
        <f t="shared" si="395"/>
        <v>专属强化石2</v>
      </c>
      <c r="GE661" s="101">
        <f t="shared" si="396"/>
        <v>3</v>
      </c>
      <c r="GF661" s="101">
        <f t="shared" si="378"/>
        <v>0.14000000000000001</v>
      </c>
      <c r="GG661" s="101">
        <f t="shared" si="379"/>
        <v>1</v>
      </c>
      <c r="GH661" s="101">
        <f t="shared" si="380"/>
        <v>10</v>
      </c>
      <c r="GI661" s="101">
        <f t="shared" si="381"/>
        <v>0</v>
      </c>
      <c r="GJ661" s="101">
        <f t="shared" si="382"/>
        <v>1</v>
      </c>
      <c r="GK661" s="101">
        <f t="shared" si="383"/>
        <v>2</v>
      </c>
      <c r="GL661" s="101">
        <f t="shared" si="384"/>
        <v>7.22E-2</v>
      </c>
      <c r="GM661" s="101">
        <f t="shared" si="385"/>
        <v>1</v>
      </c>
      <c r="GN661" s="101">
        <f t="shared" si="386"/>
        <v>5</v>
      </c>
      <c r="GO661" s="101">
        <f t="shared" si="387"/>
        <v>0.28899999999999998</v>
      </c>
      <c r="GP661" s="101">
        <f t="shared" si="388"/>
        <v>1</v>
      </c>
      <c r="GQ661" s="101">
        <f t="shared" si="389"/>
        <v>10</v>
      </c>
    </row>
    <row r="662" spans="175:199" ht="16.5" x14ac:dyDescent="0.2">
      <c r="FS662" s="101">
        <v>657</v>
      </c>
      <c r="FT662" s="101">
        <f t="shared" ref="FT662:FT725" si="397">IF(FY662&gt;0,(FX662-1)*9+FY662,0)</f>
        <v>15</v>
      </c>
      <c r="FU662" s="101">
        <f t="shared" si="390"/>
        <v>9</v>
      </c>
      <c r="FV662" s="14">
        <f t="shared" si="391"/>
        <v>4</v>
      </c>
      <c r="FW662" s="101" t="str">
        <f t="shared" ref="FW662:FW725" si="398">INDEX($FN$6:$FN$26,FU662)&amp;"专属武器-魂珠-"&amp;FX662&amp;" "&amp;FY662&amp;"级"</f>
        <v>张郃专属武器-魂珠-2 6级</v>
      </c>
      <c r="FX662" s="101">
        <f t="shared" ref="FX662:FX725" si="399">INT((FS662-(FU662-1)*80-1)/10)+1</f>
        <v>2</v>
      </c>
      <c r="FY662" s="101">
        <f t="shared" ref="FY662:FY725" si="400">FS662-(FU662-1)*80-(FX662-1)*10-1</f>
        <v>6</v>
      </c>
      <c r="FZ662" s="101" t="str">
        <f t="shared" si="392"/>
        <v>金币</v>
      </c>
      <c r="GA662" s="139">
        <f>IF($FY662&gt;0,IF(INDEX($EM$6:$EM$77,$FT662)&gt;=GA$3,ROUND(INDEX(EO$6:EO$77,$FT662)*INDEX(卡牌消耗!$B$8:$F$8,FV662)/5,0)*5,""),"")</f>
        <v>1270</v>
      </c>
      <c r="GB662" s="101" t="str">
        <f t="shared" si="393"/>
        <v>专属强化石1</v>
      </c>
      <c r="GC662" s="101">
        <f t="shared" si="394"/>
        <v>12</v>
      </c>
      <c r="GD662" s="101" t="str">
        <f t="shared" si="395"/>
        <v>专属强化石2</v>
      </c>
      <c r="GE662" s="101">
        <f t="shared" si="396"/>
        <v>4</v>
      </c>
      <c r="GF662" s="101">
        <f t="shared" ref="GF662:GF725" si="401">IF($FY662&gt;0,INDEX(ET$6:ET$77,$FT662),"")</f>
        <v>0.12</v>
      </c>
      <c r="GG662" s="101">
        <f t="shared" ref="GG662:GG725" si="402">IF($FY662&gt;0,INDEX(EU$6:EU$77,$FT662),"")</f>
        <v>1</v>
      </c>
      <c r="GH662" s="101">
        <f t="shared" ref="GH662:GH725" si="403">IF($FY662&gt;0,INDEX(EV$6:EV$77,$FT662),"")</f>
        <v>13</v>
      </c>
      <c r="GI662" s="101">
        <f t="shared" ref="GI662:GI725" si="404">IF($FY662&gt;0,INDEX(FA$6:FA$77,$FT662),"")</f>
        <v>0</v>
      </c>
      <c r="GJ662" s="101">
        <f t="shared" ref="GJ662:GJ725" si="405">IF($FY662&gt;0,INDEX(FB$6:FB$77,$FT662),"")</f>
        <v>1</v>
      </c>
      <c r="GK662" s="101">
        <f t="shared" ref="GK662:GK725" si="406">IF($FY662&gt;0,INDEX(FC$6:FC$77,$FT662),"")</f>
        <v>3</v>
      </c>
      <c r="GL662" s="101">
        <f t="shared" ref="GL662:GL725" si="407">IF($FY662&gt;0,INDEX(FD$6:FD$77,$FT662),"")</f>
        <v>5.9299999999999999E-2</v>
      </c>
      <c r="GM662" s="101">
        <f t="shared" ref="GM662:GM725" si="408">IF($FY662&gt;0,INDEX(FE$6:FE$77,$FT662),"")</f>
        <v>1</v>
      </c>
      <c r="GN662" s="101">
        <f t="shared" ref="GN662:GN725" si="409">IF($FY662&gt;0,INDEX(FF$6:FF$77,$FT662),"")</f>
        <v>6</v>
      </c>
      <c r="GO662" s="101">
        <f t="shared" ref="GO662:GO725" si="410">IF($FY662&gt;0,INDEX(FG$6:FG$77,$FT662),"")</f>
        <v>0.23710000000000001</v>
      </c>
      <c r="GP662" s="101">
        <f t="shared" ref="GP662:GP725" si="411">IF($FY662&gt;0,INDEX(FH$6:FH$77,$FT662),"")</f>
        <v>1</v>
      </c>
      <c r="GQ662" s="101">
        <f t="shared" ref="GQ662:GQ725" si="412">IF($FY662&gt;0,INDEX(FI$6:FI$77,$FT662),"")</f>
        <v>13</v>
      </c>
    </row>
    <row r="663" spans="175:199" ht="16.5" x14ac:dyDescent="0.2">
      <c r="FS663" s="101">
        <v>658</v>
      </c>
      <c r="FT663" s="101">
        <f t="shared" si="397"/>
        <v>16</v>
      </c>
      <c r="FU663" s="101">
        <f t="shared" si="390"/>
        <v>9</v>
      </c>
      <c r="FV663" s="14">
        <f t="shared" si="391"/>
        <v>4</v>
      </c>
      <c r="FW663" s="101" t="str">
        <f t="shared" si="398"/>
        <v>张郃专属武器-魂珠-2 7级</v>
      </c>
      <c r="FX663" s="101">
        <f t="shared" si="399"/>
        <v>2</v>
      </c>
      <c r="FY663" s="101">
        <f t="shared" si="400"/>
        <v>7</v>
      </c>
      <c r="FZ663" s="101" t="str">
        <f t="shared" si="392"/>
        <v>金币</v>
      </c>
      <c r="GA663" s="139">
        <f>IF($FY663&gt;0,IF(INDEX($EM$6:$EM$77,$FT663)&gt;=GA$3,ROUND(INDEX(EO$6:EO$77,$FT663)*INDEX(卡牌消耗!$B$8:$F$8,FV663)/5,0)*5,""),"")</f>
        <v>1590</v>
      </c>
      <c r="GB663" s="101" t="str">
        <f t="shared" si="393"/>
        <v>专属强化石1</v>
      </c>
      <c r="GC663" s="101">
        <f t="shared" si="394"/>
        <v>15</v>
      </c>
      <c r="GD663" s="101" t="str">
        <f t="shared" si="395"/>
        <v>专属强化石2</v>
      </c>
      <c r="GE663" s="101">
        <f t="shared" si="396"/>
        <v>5</v>
      </c>
      <c r="GF663" s="101">
        <f t="shared" si="401"/>
        <v>0.09</v>
      </c>
      <c r="GG663" s="101">
        <f t="shared" si="402"/>
        <v>1</v>
      </c>
      <c r="GH663" s="101">
        <f t="shared" si="403"/>
        <v>16</v>
      </c>
      <c r="GI663" s="101">
        <f t="shared" si="404"/>
        <v>0</v>
      </c>
      <c r="GJ663" s="101">
        <f t="shared" si="405"/>
        <v>1</v>
      </c>
      <c r="GK663" s="101">
        <f t="shared" si="406"/>
        <v>4</v>
      </c>
      <c r="GL663" s="101">
        <f t="shared" si="407"/>
        <v>4.5900000000000003E-2</v>
      </c>
      <c r="GM663" s="101">
        <f t="shared" si="408"/>
        <v>1</v>
      </c>
      <c r="GN663" s="101">
        <f t="shared" si="409"/>
        <v>8</v>
      </c>
      <c r="GO663" s="101">
        <f t="shared" si="410"/>
        <v>0.1835</v>
      </c>
      <c r="GP663" s="101">
        <f t="shared" si="411"/>
        <v>1</v>
      </c>
      <c r="GQ663" s="101">
        <f t="shared" si="412"/>
        <v>16</v>
      </c>
    </row>
    <row r="664" spans="175:199" ht="16.5" x14ac:dyDescent="0.2">
      <c r="FS664" s="101">
        <v>659</v>
      </c>
      <c r="FT664" s="101">
        <f t="shared" si="397"/>
        <v>17</v>
      </c>
      <c r="FU664" s="101">
        <f t="shared" si="390"/>
        <v>9</v>
      </c>
      <c r="FV664" s="14">
        <f t="shared" si="391"/>
        <v>4</v>
      </c>
      <c r="FW664" s="101" t="str">
        <f t="shared" si="398"/>
        <v>张郃专属武器-魂珠-2 8级</v>
      </c>
      <c r="FX664" s="101">
        <f t="shared" si="399"/>
        <v>2</v>
      </c>
      <c r="FY664" s="101">
        <f t="shared" si="400"/>
        <v>8</v>
      </c>
      <c r="FZ664" s="101" t="str">
        <f t="shared" si="392"/>
        <v>金币</v>
      </c>
      <c r="GA664" s="139">
        <f>IF($FY664&gt;0,IF(INDEX($EM$6:$EM$77,$FT664)&gt;=GA$3,ROUND(INDEX(EO$6:EO$77,$FT664)*INDEX(卡牌消耗!$B$8:$F$8,FV664)/5,0)*5,""),"")</f>
        <v>1905</v>
      </c>
      <c r="GB664" s="101" t="str">
        <f t="shared" si="393"/>
        <v>专属强化石1</v>
      </c>
      <c r="GC664" s="101">
        <f t="shared" si="394"/>
        <v>18</v>
      </c>
      <c r="GD664" s="101" t="str">
        <f t="shared" si="395"/>
        <v>专属强化石2</v>
      </c>
      <c r="GE664" s="101">
        <f t="shared" si="396"/>
        <v>6</v>
      </c>
      <c r="GF664" s="101">
        <f t="shared" si="401"/>
        <v>7.0000000000000007E-2</v>
      </c>
      <c r="GG664" s="101">
        <f t="shared" si="402"/>
        <v>1</v>
      </c>
      <c r="GH664" s="101">
        <f t="shared" si="403"/>
        <v>22</v>
      </c>
      <c r="GI664" s="101">
        <f t="shared" si="404"/>
        <v>0</v>
      </c>
      <c r="GJ664" s="101">
        <f t="shared" si="405"/>
        <v>1</v>
      </c>
      <c r="GK664" s="101">
        <f t="shared" si="406"/>
        <v>5</v>
      </c>
      <c r="GL664" s="101">
        <f t="shared" si="407"/>
        <v>3.4000000000000002E-2</v>
      </c>
      <c r="GM664" s="101">
        <f t="shared" si="408"/>
        <v>1</v>
      </c>
      <c r="GN664" s="101">
        <f t="shared" si="409"/>
        <v>10</v>
      </c>
      <c r="GO664" s="101">
        <f t="shared" si="410"/>
        <v>0.13600000000000001</v>
      </c>
      <c r="GP664" s="101">
        <f t="shared" si="411"/>
        <v>1</v>
      </c>
      <c r="GQ664" s="101">
        <f t="shared" si="412"/>
        <v>22</v>
      </c>
    </row>
    <row r="665" spans="175:199" ht="16.5" x14ac:dyDescent="0.2">
      <c r="FS665" s="101">
        <v>660</v>
      </c>
      <c r="FT665" s="101">
        <f t="shared" si="397"/>
        <v>18</v>
      </c>
      <c r="FU665" s="101">
        <f t="shared" si="390"/>
        <v>9</v>
      </c>
      <c r="FV665" s="14">
        <f t="shared" si="391"/>
        <v>4</v>
      </c>
      <c r="FW665" s="101" t="str">
        <f t="shared" si="398"/>
        <v>张郃专属武器-魂珠-2 9级</v>
      </c>
      <c r="FX665" s="101">
        <f t="shared" si="399"/>
        <v>2</v>
      </c>
      <c r="FY665" s="101">
        <f t="shared" si="400"/>
        <v>9</v>
      </c>
      <c r="FZ665" s="101" t="str">
        <f t="shared" si="392"/>
        <v>金币</v>
      </c>
      <c r="GA665" s="139">
        <f>IF($FY665&gt;0,IF(INDEX($EM$6:$EM$77,$FT665)&gt;=GA$3,ROUND(INDEX(EO$6:EO$77,$FT665)*INDEX(卡牌消耗!$B$8:$F$8,FV665)/5,0)*5,""),"")</f>
        <v>2540</v>
      </c>
      <c r="GB665" s="101" t="str">
        <f t="shared" si="393"/>
        <v>专属强化石1</v>
      </c>
      <c r="GC665" s="101">
        <f t="shared" si="394"/>
        <v>24</v>
      </c>
      <c r="GD665" s="101" t="str">
        <f t="shared" si="395"/>
        <v>专属强化石2</v>
      </c>
      <c r="GE665" s="101">
        <f t="shared" si="396"/>
        <v>8</v>
      </c>
      <c r="GF665" s="101">
        <f t="shared" si="401"/>
        <v>0.06</v>
      </c>
      <c r="GG665" s="101">
        <f t="shared" si="402"/>
        <v>1</v>
      </c>
      <c r="GH665" s="101">
        <f t="shared" si="403"/>
        <v>27</v>
      </c>
      <c r="GI665" s="101">
        <f t="shared" si="404"/>
        <v>0</v>
      </c>
      <c r="GJ665" s="101">
        <f t="shared" si="405"/>
        <v>1</v>
      </c>
      <c r="GK665" s="101">
        <f t="shared" si="406"/>
        <v>6</v>
      </c>
      <c r="GL665" s="101">
        <f t="shared" si="407"/>
        <v>2.8000000000000001E-2</v>
      </c>
      <c r="GM665" s="101">
        <f t="shared" si="408"/>
        <v>1</v>
      </c>
      <c r="GN665" s="101">
        <f t="shared" si="409"/>
        <v>12</v>
      </c>
      <c r="GO665" s="101">
        <f t="shared" si="410"/>
        <v>0.11210000000000001</v>
      </c>
      <c r="GP665" s="101">
        <f t="shared" si="411"/>
        <v>1</v>
      </c>
      <c r="GQ665" s="101">
        <f t="shared" si="412"/>
        <v>27</v>
      </c>
    </row>
    <row r="666" spans="175:199" ht="16.5" x14ac:dyDescent="0.2">
      <c r="FS666" s="101">
        <v>661</v>
      </c>
      <c r="FT666" s="101">
        <f t="shared" si="397"/>
        <v>0</v>
      </c>
      <c r="FU666" s="101">
        <f t="shared" si="390"/>
        <v>9</v>
      </c>
      <c r="FV666" s="14">
        <f t="shared" si="391"/>
        <v>4</v>
      </c>
      <c r="FW666" s="101" t="str">
        <f t="shared" si="398"/>
        <v>张郃专属武器-魂珠-3 0级</v>
      </c>
      <c r="FX666" s="101">
        <f t="shared" si="399"/>
        <v>3</v>
      </c>
      <c r="FY666" s="101">
        <f t="shared" si="400"/>
        <v>0</v>
      </c>
      <c r="FZ666" s="101" t="str">
        <f t="shared" si="392"/>
        <v/>
      </c>
      <c r="GA666" s="139" t="str">
        <f>IF($FY666&gt;0,IF(INDEX($EM$6:$EM$77,$FT666)&gt;=GA$3,ROUND(INDEX(EO$6:EO$77,$FT666)*INDEX(卡牌消耗!$B$8:$F$8,FV666)/5,0)*5,""),"")</f>
        <v/>
      </c>
      <c r="GB666" s="101" t="str">
        <f t="shared" si="393"/>
        <v/>
      </c>
      <c r="GC666" s="101" t="str">
        <f t="shared" si="394"/>
        <v/>
      </c>
      <c r="GD666" s="101" t="str">
        <f t="shared" si="395"/>
        <v/>
      </c>
      <c r="GE666" s="101" t="str">
        <f t="shared" si="396"/>
        <v/>
      </c>
      <c r="GF666" s="101" t="str">
        <f t="shared" si="401"/>
        <v/>
      </c>
      <c r="GG666" s="101" t="str">
        <f t="shared" si="402"/>
        <v/>
      </c>
      <c r="GH666" s="101" t="str">
        <f t="shared" si="403"/>
        <v/>
      </c>
      <c r="GI666" s="101" t="str">
        <f t="shared" si="404"/>
        <v/>
      </c>
      <c r="GJ666" s="101" t="str">
        <f t="shared" si="405"/>
        <v/>
      </c>
      <c r="GK666" s="101" t="str">
        <f t="shared" si="406"/>
        <v/>
      </c>
      <c r="GL666" s="101" t="str">
        <f t="shared" si="407"/>
        <v/>
      </c>
      <c r="GM666" s="101" t="str">
        <f t="shared" si="408"/>
        <v/>
      </c>
      <c r="GN666" s="101" t="str">
        <f t="shared" si="409"/>
        <v/>
      </c>
      <c r="GO666" s="101" t="str">
        <f t="shared" si="410"/>
        <v/>
      </c>
      <c r="GP666" s="101" t="str">
        <f t="shared" si="411"/>
        <v/>
      </c>
      <c r="GQ666" s="101" t="str">
        <f t="shared" si="412"/>
        <v/>
      </c>
    </row>
    <row r="667" spans="175:199" ht="16.5" x14ac:dyDescent="0.2">
      <c r="FS667" s="101">
        <v>662</v>
      </c>
      <c r="FT667" s="101">
        <f t="shared" si="397"/>
        <v>19</v>
      </c>
      <c r="FU667" s="101">
        <f t="shared" si="390"/>
        <v>9</v>
      </c>
      <c r="FV667" s="14">
        <f t="shared" si="391"/>
        <v>4</v>
      </c>
      <c r="FW667" s="101" t="str">
        <f t="shared" si="398"/>
        <v>张郃专属武器-魂珠-3 1级</v>
      </c>
      <c r="FX667" s="101">
        <f t="shared" si="399"/>
        <v>3</v>
      </c>
      <c r="FY667" s="101">
        <f t="shared" si="400"/>
        <v>1</v>
      </c>
      <c r="FZ667" s="101" t="str">
        <f t="shared" si="392"/>
        <v>金币</v>
      </c>
      <c r="GA667" s="139">
        <f>IF($FY667&gt;0,IF(INDEX($EM$6:$EM$77,$FT667)&gt;=GA$3,ROUND(INDEX(EO$6:EO$77,$FT667)*INDEX(卡牌消耗!$B$8:$F$8,FV667)/5,0)*5,""),"")</f>
        <v>820</v>
      </c>
      <c r="GB667" s="101" t="str">
        <f t="shared" si="393"/>
        <v>专属强化石1</v>
      </c>
      <c r="GC667" s="101">
        <f t="shared" si="394"/>
        <v>4</v>
      </c>
      <c r="GD667" s="101" t="str">
        <f t="shared" si="395"/>
        <v>专属强化石2</v>
      </c>
      <c r="GE667" s="101">
        <f t="shared" si="396"/>
        <v>2</v>
      </c>
      <c r="GF667" s="101">
        <f t="shared" si="401"/>
        <v>0.31</v>
      </c>
      <c r="GG667" s="101">
        <f t="shared" si="402"/>
        <v>1</v>
      </c>
      <c r="GH667" s="101">
        <f t="shared" si="403"/>
        <v>5</v>
      </c>
      <c r="GI667" s="101">
        <f t="shared" si="404"/>
        <v>0</v>
      </c>
      <c r="GJ667" s="101">
        <f t="shared" si="405"/>
        <v>1</v>
      </c>
      <c r="GK667" s="101">
        <f t="shared" si="406"/>
        <v>1</v>
      </c>
      <c r="GL667" s="101">
        <f t="shared" si="407"/>
        <v>0.15409999999999999</v>
      </c>
      <c r="GM667" s="101">
        <f t="shared" si="408"/>
        <v>1</v>
      </c>
      <c r="GN667" s="101">
        <f t="shared" si="409"/>
        <v>2</v>
      </c>
      <c r="GO667" s="101">
        <f t="shared" si="410"/>
        <v>0.61650000000000005</v>
      </c>
      <c r="GP667" s="101">
        <f t="shared" si="411"/>
        <v>1</v>
      </c>
      <c r="GQ667" s="101">
        <f t="shared" si="412"/>
        <v>5</v>
      </c>
    </row>
    <row r="668" spans="175:199" ht="16.5" x14ac:dyDescent="0.2">
      <c r="FS668" s="101">
        <v>663</v>
      </c>
      <c r="FT668" s="101">
        <f t="shared" si="397"/>
        <v>20</v>
      </c>
      <c r="FU668" s="101">
        <f t="shared" si="390"/>
        <v>9</v>
      </c>
      <c r="FV668" s="14">
        <f t="shared" si="391"/>
        <v>4</v>
      </c>
      <c r="FW668" s="101" t="str">
        <f t="shared" si="398"/>
        <v>张郃专属武器-魂珠-3 2级</v>
      </c>
      <c r="FX668" s="101">
        <f t="shared" si="399"/>
        <v>3</v>
      </c>
      <c r="FY668" s="101">
        <f t="shared" si="400"/>
        <v>2</v>
      </c>
      <c r="FZ668" s="101" t="str">
        <f t="shared" si="392"/>
        <v>金币</v>
      </c>
      <c r="GA668" s="139">
        <f>IF($FY668&gt;0,IF(INDEX($EM$6:$EM$77,$FT668)&gt;=GA$3,ROUND(INDEX(EO$6:EO$77,$FT668)*INDEX(卡牌消耗!$B$8:$F$8,FV668)/5,0)*5,""),"")</f>
        <v>615</v>
      </c>
      <c r="GB668" s="101" t="str">
        <f t="shared" si="393"/>
        <v>专属强化石1</v>
      </c>
      <c r="GC668" s="101">
        <f t="shared" si="394"/>
        <v>4</v>
      </c>
      <c r="GD668" s="101" t="str">
        <f t="shared" si="395"/>
        <v>专属强化石2</v>
      </c>
      <c r="GE668" s="101">
        <f t="shared" si="396"/>
        <v>2</v>
      </c>
      <c r="GF668" s="101">
        <f t="shared" si="401"/>
        <v>0.15</v>
      </c>
      <c r="GG668" s="101">
        <f t="shared" si="402"/>
        <v>1</v>
      </c>
      <c r="GH668" s="101">
        <f t="shared" si="403"/>
        <v>10</v>
      </c>
      <c r="GI668" s="101">
        <f t="shared" si="404"/>
        <v>0</v>
      </c>
      <c r="GJ668" s="101">
        <f t="shared" si="405"/>
        <v>1</v>
      </c>
      <c r="GK668" s="101">
        <f t="shared" si="406"/>
        <v>2</v>
      </c>
      <c r="GL668" s="101">
        <f t="shared" si="407"/>
        <v>7.7100000000000002E-2</v>
      </c>
      <c r="GM668" s="101">
        <f t="shared" si="408"/>
        <v>1</v>
      </c>
      <c r="GN668" s="101">
        <f t="shared" si="409"/>
        <v>5</v>
      </c>
      <c r="GO668" s="101">
        <f t="shared" si="410"/>
        <v>0.30830000000000002</v>
      </c>
      <c r="GP668" s="101">
        <f t="shared" si="411"/>
        <v>1</v>
      </c>
      <c r="GQ668" s="101">
        <f t="shared" si="412"/>
        <v>10</v>
      </c>
    </row>
    <row r="669" spans="175:199" ht="16.5" x14ac:dyDescent="0.2">
      <c r="FS669" s="101">
        <v>664</v>
      </c>
      <c r="FT669" s="101">
        <f t="shared" si="397"/>
        <v>21</v>
      </c>
      <c r="FU669" s="101">
        <f t="shared" si="390"/>
        <v>9</v>
      </c>
      <c r="FV669" s="14">
        <f t="shared" si="391"/>
        <v>4</v>
      </c>
      <c r="FW669" s="101" t="str">
        <f t="shared" si="398"/>
        <v>张郃专属武器-魂珠-3 3级</v>
      </c>
      <c r="FX669" s="101">
        <f t="shared" si="399"/>
        <v>3</v>
      </c>
      <c r="FY669" s="101">
        <f t="shared" si="400"/>
        <v>3</v>
      </c>
      <c r="FZ669" s="101" t="str">
        <f t="shared" si="392"/>
        <v>金币</v>
      </c>
      <c r="GA669" s="139">
        <f>IF($FY669&gt;0,IF(INDEX($EM$6:$EM$77,$FT669)&gt;=GA$3,ROUND(INDEX(EO$6:EO$77,$FT669)*INDEX(卡牌消耗!$B$8:$F$8,FV669)/5,0)*5,""),"")</f>
        <v>1025</v>
      </c>
      <c r="GB669" s="101" t="str">
        <f t="shared" si="393"/>
        <v>专属强化石1</v>
      </c>
      <c r="GC669" s="101">
        <f t="shared" si="394"/>
        <v>6</v>
      </c>
      <c r="GD669" s="101" t="str">
        <f t="shared" si="395"/>
        <v>专属强化石2</v>
      </c>
      <c r="GE669" s="101">
        <f t="shared" si="396"/>
        <v>3</v>
      </c>
      <c r="GF669" s="101">
        <f t="shared" si="401"/>
        <v>0.15</v>
      </c>
      <c r="GG669" s="101">
        <f t="shared" si="402"/>
        <v>1</v>
      </c>
      <c r="GH669" s="101">
        <f t="shared" si="403"/>
        <v>10</v>
      </c>
      <c r="GI669" s="101">
        <f t="shared" si="404"/>
        <v>0</v>
      </c>
      <c r="GJ669" s="101">
        <f t="shared" si="405"/>
        <v>1</v>
      </c>
      <c r="GK669" s="101">
        <f t="shared" si="406"/>
        <v>2</v>
      </c>
      <c r="GL669" s="101">
        <f t="shared" si="407"/>
        <v>7.7100000000000002E-2</v>
      </c>
      <c r="GM669" s="101">
        <f t="shared" si="408"/>
        <v>1</v>
      </c>
      <c r="GN669" s="101">
        <f t="shared" si="409"/>
        <v>5</v>
      </c>
      <c r="GO669" s="101">
        <f t="shared" si="410"/>
        <v>0.30830000000000002</v>
      </c>
      <c r="GP669" s="101">
        <f t="shared" si="411"/>
        <v>1</v>
      </c>
      <c r="GQ669" s="101">
        <f t="shared" si="412"/>
        <v>10</v>
      </c>
    </row>
    <row r="670" spans="175:199" ht="16.5" x14ac:dyDescent="0.2">
      <c r="FS670" s="101">
        <v>665</v>
      </c>
      <c r="FT670" s="101">
        <f t="shared" si="397"/>
        <v>22</v>
      </c>
      <c r="FU670" s="101">
        <f t="shared" si="390"/>
        <v>9</v>
      </c>
      <c r="FV670" s="14">
        <f t="shared" si="391"/>
        <v>4</v>
      </c>
      <c r="FW670" s="101" t="str">
        <f t="shared" si="398"/>
        <v>张郃专属武器-魂珠-3 4级</v>
      </c>
      <c r="FX670" s="101">
        <f t="shared" si="399"/>
        <v>3</v>
      </c>
      <c r="FY670" s="101">
        <f t="shared" si="400"/>
        <v>4</v>
      </c>
      <c r="FZ670" s="101" t="str">
        <f t="shared" si="392"/>
        <v>金币</v>
      </c>
      <c r="GA670" s="139">
        <f>IF($FY670&gt;0,IF(INDEX($EM$6:$EM$77,$FT670)&gt;=GA$3,ROUND(INDEX(EO$6:EO$77,$FT670)*INDEX(卡牌消耗!$B$8:$F$8,FV670)/5,0)*5,""),"")</f>
        <v>985</v>
      </c>
      <c r="GB670" s="101" t="str">
        <f t="shared" si="393"/>
        <v>专属强化石1</v>
      </c>
      <c r="GC670" s="101">
        <f t="shared" si="394"/>
        <v>6</v>
      </c>
      <c r="GD670" s="101" t="str">
        <f t="shared" si="395"/>
        <v>专属强化石2</v>
      </c>
      <c r="GE670" s="101">
        <f t="shared" si="396"/>
        <v>3</v>
      </c>
      <c r="GF670" s="101">
        <f t="shared" si="401"/>
        <v>0.09</v>
      </c>
      <c r="GG670" s="101">
        <f t="shared" si="402"/>
        <v>1</v>
      </c>
      <c r="GH670" s="101">
        <f t="shared" si="403"/>
        <v>16</v>
      </c>
      <c r="GI670" s="101">
        <f t="shared" si="404"/>
        <v>0</v>
      </c>
      <c r="GJ670" s="101">
        <f t="shared" si="405"/>
        <v>1</v>
      </c>
      <c r="GK670" s="101">
        <f t="shared" si="406"/>
        <v>4</v>
      </c>
      <c r="GL670" s="101">
        <f t="shared" si="407"/>
        <v>4.6199999999999998E-2</v>
      </c>
      <c r="GM670" s="101">
        <f t="shared" si="408"/>
        <v>1</v>
      </c>
      <c r="GN670" s="101">
        <f t="shared" si="409"/>
        <v>8</v>
      </c>
      <c r="GO670" s="101">
        <f t="shared" si="410"/>
        <v>0.185</v>
      </c>
      <c r="GP670" s="101">
        <f t="shared" si="411"/>
        <v>1</v>
      </c>
      <c r="GQ670" s="101">
        <f t="shared" si="412"/>
        <v>16</v>
      </c>
    </row>
    <row r="671" spans="175:199" ht="16.5" x14ac:dyDescent="0.2">
      <c r="FS671" s="101">
        <v>666</v>
      </c>
      <c r="FT671" s="101">
        <f t="shared" si="397"/>
        <v>23</v>
      </c>
      <c r="FU671" s="101">
        <f t="shared" si="390"/>
        <v>9</v>
      </c>
      <c r="FV671" s="14">
        <f t="shared" si="391"/>
        <v>4</v>
      </c>
      <c r="FW671" s="101" t="str">
        <f t="shared" si="398"/>
        <v>张郃专属武器-魂珠-3 5级</v>
      </c>
      <c r="FX671" s="101">
        <f t="shared" si="399"/>
        <v>3</v>
      </c>
      <c r="FY671" s="101">
        <f t="shared" si="400"/>
        <v>5</v>
      </c>
      <c r="FZ671" s="101" t="str">
        <f t="shared" si="392"/>
        <v>金币</v>
      </c>
      <c r="GA671" s="139">
        <f>IF($FY671&gt;0,IF(INDEX($EM$6:$EM$77,$FT671)&gt;=GA$3,ROUND(INDEX(EO$6:EO$77,$FT671)*INDEX(卡牌消耗!$B$8:$F$8,FV671)/5,0)*5,""),"")</f>
        <v>1330</v>
      </c>
      <c r="GB671" s="101" t="str">
        <f t="shared" si="393"/>
        <v>专属强化石1</v>
      </c>
      <c r="GC671" s="101">
        <f t="shared" si="394"/>
        <v>8</v>
      </c>
      <c r="GD671" s="101" t="str">
        <f t="shared" si="395"/>
        <v>专属强化石2</v>
      </c>
      <c r="GE671" s="101">
        <f t="shared" si="396"/>
        <v>4</v>
      </c>
      <c r="GF671" s="101">
        <f t="shared" si="401"/>
        <v>0.08</v>
      </c>
      <c r="GG671" s="101">
        <f t="shared" si="402"/>
        <v>1</v>
      </c>
      <c r="GH671" s="101">
        <f t="shared" si="403"/>
        <v>19</v>
      </c>
      <c r="GI671" s="101">
        <f t="shared" si="404"/>
        <v>0</v>
      </c>
      <c r="GJ671" s="101">
        <f t="shared" si="405"/>
        <v>1</v>
      </c>
      <c r="GK671" s="101">
        <f t="shared" si="406"/>
        <v>5</v>
      </c>
      <c r="GL671" s="101">
        <f t="shared" si="407"/>
        <v>3.85E-2</v>
      </c>
      <c r="GM671" s="101">
        <f t="shared" si="408"/>
        <v>1</v>
      </c>
      <c r="GN671" s="101">
        <f t="shared" si="409"/>
        <v>9</v>
      </c>
      <c r="GO671" s="101">
        <f t="shared" si="410"/>
        <v>0.15409999999999999</v>
      </c>
      <c r="GP671" s="101">
        <f t="shared" si="411"/>
        <v>1</v>
      </c>
      <c r="GQ671" s="101">
        <f t="shared" si="412"/>
        <v>19</v>
      </c>
    </row>
    <row r="672" spans="175:199" ht="16.5" x14ac:dyDescent="0.2">
      <c r="FS672" s="101">
        <v>667</v>
      </c>
      <c r="FT672" s="101">
        <f t="shared" si="397"/>
        <v>24</v>
      </c>
      <c r="FU672" s="101">
        <f t="shared" si="390"/>
        <v>9</v>
      </c>
      <c r="FV672" s="14">
        <f t="shared" si="391"/>
        <v>4</v>
      </c>
      <c r="FW672" s="101" t="str">
        <f t="shared" si="398"/>
        <v>张郃专属武器-魂珠-3 6级</v>
      </c>
      <c r="FX672" s="101">
        <f t="shared" si="399"/>
        <v>3</v>
      </c>
      <c r="FY672" s="101">
        <f t="shared" si="400"/>
        <v>6</v>
      </c>
      <c r="FZ672" s="101" t="str">
        <f t="shared" si="392"/>
        <v>金币</v>
      </c>
      <c r="GA672" s="139">
        <f>IF($FY672&gt;0,IF(INDEX($EM$6:$EM$77,$FT672)&gt;=GA$3,ROUND(INDEX(EO$6:EO$77,$FT672)*INDEX(卡牌消耗!$B$8:$F$8,FV672)/5,0)*5,""),"")</f>
        <v>1650</v>
      </c>
      <c r="GB672" s="101" t="str">
        <f t="shared" si="393"/>
        <v>专属强化石1</v>
      </c>
      <c r="GC672" s="101">
        <f t="shared" si="394"/>
        <v>10</v>
      </c>
      <c r="GD672" s="101" t="str">
        <f t="shared" si="395"/>
        <v>专属强化石2</v>
      </c>
      <c r="GE672" s="101">
        <f t="shared" si="396"/>
        <v>5</v>
      </c>
      <c r="GF672" s="101">
        <f t="shared" si="401"/>
        <v>0.06</v>
      </c>
      <c r="GG672" s="101">
        <f t="shared" si="402"/>
        <v>1</v>
      </c>
      <c r="GH672" s="101">
        <f t="shared" si="403"/>
        <v>25</v>
      </c>
      <c r="GI672" s="101">
        <f t="shared" si="404"/>
        <v>0</v>
      </c>
      <c r="GJ672" s="101">
        <f t="shared" si="405"/>
        <v>1</v>
      </c>
      <c r="GK672" s="101">
        <f t="shared" si="406"/>
        <v>6</v>
      </c>
      <c r="GL672" s="101">
        <f t="shared" si="407"/>
        <v>2.9600000000000001E-2</v>
      </c>
      <c r="GM672" s="101">
        <f t="shared" si="408"/>
        <v>1</v>
      </c>
      <c r="GN672" s="101">
        <f t="shared" si="409"/>
        <v>12</v>
      </c>
      <c r="GO672" s="101">
        <f t="shared" si="410"/>
        <v>0.1186</v>
      </c>
      <c r="GP672" s="101">
        <f t="shared" si="411"/>
        <v>1</v>
      </c>
      <c r="GQ672" s="101">
        <f t="shared" si="412"/>
        <v>25</v>
      </c>
    </row>
    <row r="673" spans="175:199" ht="16.5" x14ac:dyDescent="0.2">
      <c r="FS673" s="101">
        <v>668</v>
      </c>
      <c r="FT673" s="101">
        <f t="shared" si="397"/>
        <v>25</v>
      </c>
      <c r="FU673" s="101">
        <f t="shared" si="390"/>
        <v>9</v>
      </c>
      <c r="FV673" s="14">
        <f t="shared" si="391"/>
        <v>4</v>
      </c>
      <c r="FW673" s="101" t="str">
        <f t="shared" si="398"/>
        <v>张郃专属武器-魂珠-3 7级</v>
      </c>
      <c r="FX673" s="101">
        <f t="shared" si="399"/>
        <v>3</v>
      </c>
      <c r="FY673" s="101">
        <f t="shared" si="400"/>
        <v>7</v>
      </c>
      <c r="FZ673" s="101" t="str">
        <f t="shared" si="392"/>
        <v>金币</v>
      </c>
      <c r="GA673" s="139">
        <f>IF($FY673&gt;0,IF(INDEX($EM$6:$EM$77,$FT673)&gt;=GA$3,ROUND(INDEX(EO$6:EO$77,$FT673)*INDEX(卡牌消耗!$B$8:$F$8,FV673)/5,0)*5,""),"")</f>
        <v>1990</v>
      </c>
      <c r="GB673" s="101" t="str">
        <f t="shared" si="393"/>
        <v>专属强化石1</v>
      </c>
      <c r="GC673" s="101">
        <f t="shared" si="394"/>
        <v>12</v>
      </c>
      <c r="GD673" s="101" t="str">
        <f t="shared" si="395"/>
        <v>专属强化石2</v>
      </c>
      <c r="GE673" s="101">
        <f t="shared" si="396"/>
        <v>6</v>
      </c>
      <c r="GF673" s="101">
        <f t="shared" si="401"/>
        <v>0.04</v>
      </c>
      <c r="GG673" s="101">
        <f t="shared" si="402"/>
        <v>1</v>
      </c>
      <c r="GH673" s="101">
        <f t="shared" si="403"/>
        <v>34</v>
      </c>
      <c r="GI673" s="101">
        <f t="shared" si="404"/>
        <v>0</v>
      </c>
      <c r="GJ673" s="101">
        <f t="shared" si="405"/>
        <v>1</v>
      </c>
      <c r="GK673" s="101">
        <f t="shared" si="406"/>
        <v>8</v>
      </c>
      <c r="GL673" s="101">
        <f t="shared" si="407"/>
        <v>2.1999999999999999E-2</v>
      </c>
      <c r="GM673" s="101">
        <f t="shared" si="408"/>
        <v>1</v>
      </c>
      <c r="GN673" s="101">
        <f t="shared" si="409"/>
        <v>16</v>
      </c>
      <c r="GO673" s="101">
        <f t="shared" si="410"/>
        <v>8.8099999999999998E-2</v>
      </c>
      <c r="GP673" s="101">
        <f t="shared" si="411"/>
        <v>1</v>
      </c>
      <c r="GQ673" s="101">
        <f t="shared" si="412"/>
        <v>34</v>
      </c>
    </row>
    <row r="674" spans="175:199" ht="16.5" x14ac:dyDescent="0.2">
      <c r="FS674" s="101">
        <v>669</v>
      </c>
      <c r="FT674" s="101">
        <f t="shared" si="397"/>
        <v>26</v>
      </c>
      <c r="FU674" s="101">
        <f t="shared" si="390"/>
        <v>9</v>
      </c>
      <c r="FV674" s="14">
        <f t="shared" si="391"/>
        <v>4</v>
      </c>
      <c r="FW674" s="101" t="str">
        <f t="shared" si="398"/>
        <v>张郃专属武器-魂珠-3 8级</v>
      </c>
      <c r="FX674" s="101">
        <f t="shared" si="399"/>
        <v>3</v>
      </c>
      <c r="FY674" s="101">
        <f t="shared" si="400"/>
        <v>8</v>
      </c>
      <c r="FZ674" s="101" t="str">
        <f t="shared" si="392"/>
        <v>金币</v>
      </c>
      <c r="GA674" s="139">
        <f>IF($FY674&gt;0,IF(INDEX($EM$6:$EM$77,$FT674)&gt;=GA$3,ROUND(INDEX(EO$6:EO$77,$FT674)*INDEX(卡牌消耗!$B$8:$F$8,FV674)/5,0)*5,""),"")</f>
        <v>2650</v>
      </c>
      <c r="GB674" s="101" t="str">
        <f t="shared" si="393"/>
        <v>专属强化石1</v>
      </c>
      <c r="GC674" s="101">
        <f t="shared" si="394"/>
        <v>16</v>
      </c>
      <c r="GD674" s="101" t="str">
        <f t="shared" si="395"/>
        <v>专属强化石2</v>
      </c>
      <c r="GE674" s="101">
        <f t="shared" si="396"/>
        <v>8</v>
      </c>
      <c r="GF674" s="101">
        <f t="shared" si="401"/>
        <v>0.04</v>
      </c>
      <c r="GG674" s="101">
        <f t="shared" si="402"/>
        <v>1</v>
      </c>
      <c r="GH674" s="101">
        <f t="shared" si="403"/>
        <v>41</v>
      </c>
      <c r="GI674" s="101">
        <f t="shared" si="404"/>
        <v>0</v>
      </c>
      <c r="GJ674" s="101">
        <f t="shared" si="405"/>
        <v>1</v>
      </c>
      <c r="GK674" s="101">
        <f t="shared" si="406"/>
        <v>10</v>
      </c>
      <c r="GL674" s="101">
        <f t="shared" si="407"/>
        <v>1.8100000000000002E-2</v>
      </c>
      <c r="GM674" s="101">
        <f t="shared" si="408"/>
        <v>1</v>
      </c>
      <c r="GN674" s="101">
        <f t="shared" si="409"/>
        <v>19</v>
      </c>
      <c r="GO674" s="101">
        <f t="shared" si="410"/>
        <v>7.2499999999999995E-2</v>
      </c>
      <c r="GP674" s="101">
        <f t="shared" si="411"/>
        <v>1</v>
      </c>
      <c r="GQ674" s="101">
        <f t="shared" si="412"/>
        <v>41</v>
      </c>
    </row>
    <row r="675" spans="175:199" ht="16.5" x14ac:dyDescent="0.2">
      <c r="FS675" s="101">
        <v>670</v>
      </c>
      <c r="FT675" s="101">
        <f t="shared" si="397"/>
        <v>27</v>
      </c>
      <c r="FU675" s="101">
        <f t="shared" si="390"/>
        <v>9</v>
      </c>
      <c r="FV675" s="14">
        <f t="shared" si="391"/>
        <v>4</v>
      </c>
      <c r="FW675" s="101" t="str">
        <f t="shared" si="398"/>
        <v>张郃专属武器-魂珠-3 9级</v>
      </c>
      <c r="FX675" s="101">
        <f t="shared" si="399"/>
        <v>3</v>
      </c>
      <c r="FY675" s="101">
        <f t="shared" si="400"/>
        <v>9</v>
      </c>
      <c r="FZ675" s="101" t="str">
        <f t="shared" si="392"/>
        <v>金币</v>
      </c>
      <c r="GA675" s="139">
        <f>IF($FY675&gt;0,IF(INDEX($EM$6:$EM$77,$FT675)&gt;=GA$3,ROUND(INDEX(EO$6:EO$77,$FT675)*INDEX(卡牌消耗!$B$8:$F$8,FV675)/5,0)*5,""),"")</f>
        <v>3310</v>
      </c>
      <c r="GB675" s="101" t="str">
        <f t="shared" si="393"/>
        <v>专属强化石1</v>
      </c>
      <c r="GC675" s="101">
        <f t="shared" si="394"/>
        <v>20</v>
      </c>
      <c r="GD675" s="101" t="str">
        <f t="shared" si="395"/>
        <v>专属强化石2</v>
      </c>
      <c r="GE675" s="101">
        <f t="shared" si="396"/>
        <v>10</v>
      </c>
      <c r="GF675" s="101">
        <f t="shared" si="401"/>
        <v>0.03</v>
      </c>
      <c r="GG675" s="101">
        <f t="shared" si="402"/>
        <v>1</v>
      </c>
      <c r="GH675" s="101">
        <f t="shared" si="403"/>
        <v>54</v>
      </c>
      <c r="GI675" s="101">
        <f t="shared" si="404"/>
        <v>0</v>
      </c>
      <c r="GJ675" s="101">
        <f t="shared" si="405"/>
        <v>1</v>
      </c>
      <c r="GK675" s="101">
        <f t="shared" si="406"/>
        <v>12</v>
      </c>
      <c r="GL675" s="101">
        <f t="shared" si="407"/>
        <v>1.4E-2</v>
      </c>
      <c r="GM675" s="101">
        <f t="shared" si="408"/>
        <v>1</v>
      </c>
      <c r="GN675" s="101">
        <f t="shared" si="409"/>
        <v>25</v>
      </c>
      <c r="GO675" s="101">
        <f t="shared" si="410"/>
        <v>5.6000000000000001E-2</v>
      </c>
      <c r="GP675" s="101">
        <f t="shared" si="411"/>
        <v>1</v>
      </c>
      <c r="GQ675" s="101">
        <f t="shared" si="412"/>
        <v>54</v>
      </c>
    </row>
    <row r="676" spans="175:199" ht="16.5" x14ac:dyDescent="0.2">
      <c r="FS676" s="101">
        <v>671</v>
      </c>
      <c r="FT676" s="101">
        <f t="shared" si="397"/>
        <v>0</v>
      </c>
      <c r="FU676" s="101">
        <f t="shared" si="390"/>
        <v>9</v>
      </c>
      <c r="FV676" s="14">
        <f t="shared" si="391"/>
        <v>4</v>
      </c>
      <c r="FW676" s="101" t="str">
        <f t="shared" si="398"/>
        <v>张郃专属武器-魂珠-4 0级</v>
      </c>
      <c r="FX676" s="101">
        <f t="shared" si="399"/>
        <v>4</v>
      </c>
      <c r="FY676" s="101">
        <f t="shared" si="400"/>
        <v>0</v>
      </c>
      <c r="FZ676" s="101" t="str">
        <f t="shared" si="392"/>
        <v/>
      </c>
      <c r="GA676" s="139" t="str">
        <f>IF($FY676&gt;0,IF(INDEX($EM$6:$EM$77,$FT676)&gt;=GA$3,ROUND(INDEX(EO$6:EO$77,$FT676)*INDEX(卡牌消耗!$B$8:$F$8,FV676)/5,0)*5,""),"")</f>
        <v/>
      </c>
      <c r="GB676" s="101" t="str">
        <f t="shared" si="393"/>
        <v/>
      </c>
      <c r="GC676" s="101" t="str">
        <f t="shared" si="394"/>
        <v/>
      </c>
      <c r="GD676" s="101" t="str">
        <f t="shared" si="395"/>
        <v/>
      </c>
      <c r="GE676" s="101" t="str">
        <f t="shared" si="396"/>
        <v/>
      </c>
      <c r="GF676" s="101" t="str">
        <f t="shared" si="401"/>
        <v/>
      </c>
      <c r="GG676" s="101" t="str">
        <f t="shared" si="402"/>
        <v/>
      </c>
      <c r="GH676" s="101" t="str">
        <f t="shared" si="403"/>
        <v/>
      </c>
      <c r="GI676" s="101" t="str">
        <f t="shared" si="404"/>
        <v/>
      </c>
      <c r="GJ676" s="101" t="str">
        <f t="shared" si="405"/>
        <v/>
      </c>
      <c r="GK676" s="101" t="str">
        <f t="shared" si="406"/>
        <v/>
      </c>
      <c r="GL676" s="101" t="str">
        <f t="shared" si="407"/>
        <v/>
      </c>
      <c r="GM676" s="101" t="str">
        <f t="shared" si="408"/>
        <v/>
      </c>
      <c r="GN676" s="101" t="str">
        <f t="shared" si="409"/>
        <v/>
      </c>
      <c r="GO676" s="101" t="str">
        <f t="shared" si="410"/>
        <v/>
      </c>
      <c r="GP676" s="101" t="str">
        <f t="shared" si="411"/>
        <v/>
      </c>
      <c r="GQ676" s="101" t="str">
        <f t="shared" si="412"/>
        <v/>
      </c>
    </row>
    <row r="677" spans="175:199" ht="16.5" x14ac:dyDescent="0.2">
      <c r="FS677" s="101">
        <v>672</v>
      </c>
      <c r="FT677" s="101">
        <f t="shared" si="397"/>
        <v>28</v>
      </c>
      <c r="FU677" s="101">
        <f t="shared" si="390"/>
        <v>9</v>
      </c>
      <c r="FV677" s="14">
        <f t="shared" si="391"/>
        <v>4</v>
      </c>
      <c r="FW677" s="101" t="str">
        <f t="shared" si="398"/>
        <v>张郃专属武器-魂珠-4 1级</v>
      </c>
      <c r="FX677" s="101">
        <f t="shared" si="399"/>
        <v>4</v>
      </c>
      <c r="FY677" s="101">
        <f t="shared" si="400"/>
        <v>1</v>
      </c>
      <c r="FZ677" s="101" t="str">
        <f t="shared" si="392"/>
        <v>金币</v>
      </c>
      <c r="GA677" s="139">
        <f>IF($FY677&gt;0,IF(INDEX($EM$6:$EM$77,$FT677)&gt;=GA$3,ROUND(INDEX(EO$6:EO$77,$FT677)*INDEX(卡牌消耗!$B$8:$F$8,FV677)/5,0)*5,""),"")</f>
        <v>1095</v>
      </c>
      <c r="GB677" s="101" t="str">
        <f t="shared" si="393"/>
        <v>专属强化石2</v>
      </c>
      <c r="GC677" s="101">
        <f t="shared" si="394"/>
        <v>3</v>
      </c>
      <c r="GD677" s="101" t="str">
        <f t="shared" si="395"/>
        <v>专属强化石3</v>
      </c>
      <c r="GE677" s="101">
        <f t="shared" si="396"/>
        <v>1</v>
      </c>
      <c r="GF677" s="101">
        <f t="shared" si="401"/>
        <v>0.2</v>
      </c>
      <c r="GG677" s="101">
        <f t="shared" si="402"/>
        <v>1</v>
      </c>
      <c r="GH677" s="101">
        <f t="shared" si="403"/>
        <v>7</v>
      </c>
      <c r="GI677" s="101">
        <f t="shared" si="404"/>
        <v>0</v>
      </c>
      <c r="GJ677" s="101">
        <f t="shared" si="405"/>
        <v>1</v>
      </c>
      <c r="GK677" s="101">
        <f t="shared" si="406"/>
        <v>2</v>
      </c>
      <c r="GL677" s="101">
        <f t="shared" si="407"/>
        <v>0.1012</v>
      </c>
      <c r="GM677" s="101">
        <f t="shared" si="408"/>
        <v>1</v>
      </c>
      <c r="GN677" s="101">
        <f t="shared" si="409"/>
        <v>3</v>
      </c>
      <c r="GO677" s="101">
        <f t="shared" si="410"/>
        <v>0.40479999999999999</v>
      </c>
      <c r="GP677" s="101">
        <f t="shared" si="411"/>
        <v>1</v>
      </c>
      <c r="GQ677" s="101">
        <f t="shared" si="412"/>
        <v>7</v>
      </c>
    </row>
    <row r="678" spans="175:199" ht="16.5" x14ac:dyDescent="0.2">
      <c r="FS678" s="101">
        <v>673</v>
      </c>
      <c r="FT678" s="101">
        <f t="shared" si="397"/>
        <v>29</v>
      </c>
      <c r="FU678" s="101">
        <f t="shared" si="390"/>
        <v>9</v>
      </c>
      <c r="FV678" s="14">
        <f t="shared" si="391"/>
        <v>4</v>
      </c>
      <c r="FW678" s="101" t="str">
        <f t="shared" si="398"/>
        <v>张郃专属武器-魂珠-4 2级</v>
      </c>
      <c r="FX678" s="101">
        <f t="shared" si="399"/>
        <v>4</v>
      </c>
      <c r="FY678" s="101">
        <f t="shared" si="400"/>
        <v>2</v>
      </c>
      <c r="FZ678" s="101" t="str">
        <f t="shared" si="392"/>
        <v>金币</v>
      </c>
      <c r="GA678" s="139">
        <f>IF($FY678&gt;0,IF(INDEX($EM$6:$EM$77,$FT678)&gt;=GA$3,ROUND(INDEX(EO$6:EO$77,$FT678)*INDEX(卡牌消耗!$B$8:$F$8,FV678)/5,0)*5,""),"")</f>
        <v>820</v>
      </c>
      <c r="GB678" s="101" t="str">
        <f t="shared" si="393"/>
        <v>专属强化石2</v>
      </c>
      <c r="GC678" s="101">
        <f t="shared" si="394"/>
        <v>3</v>
      </c>
      <c r="GD678" s="101" t="str">
        <f t="shared" si="395"/>
        <v>专属强化石3</v>
      </c>
      <c r="GE678" s="101">
        <f t="shared" si="396"/>
        <v>1</v>
      </c>
      <c r="GF678" s="101">
        <f t="shared" si="401"/>
        <v>0.1</v>
      </c>
      <c r="GG678" s="101">
        <f t="shared" si="402"/>
        <v>1</v>
      </c>
      <c r="GH678" s="101">
        <f t="shared" si="403"/>
        <v>15</v>
      </c>
      <c r="GI678" s="101">
        <f t="shared" si="404"/>
        <v>0</v>
      </c>
      <c r="GJ678" s="101">
        <f t="shared" si="405"/>
        <v>1</v>
      </c>
      <c r="GK678" s="101">
        <f t="shared" si="406"/>
        <v>3</v>
      </c>
      <c r="GL678" s="101">
        <f t="shared" si="407"/>
        <v>5.0599999999999999E-2</v>
      </c>
      <c r="GM678" s="101">
        <f t="shared" si="408"/>
        <v>1</v>
      </c>
      <c r="GN678" s="101">
        <f t="shared" si="409"/>
        <v>7</v>
      </c>
      <c r="GO678" s="101">
        <f t="shared" si="410"/>
        <v>0.2024</v>
      </c>
      <c r="GP678" s="101">
        <f t="shared" si="411"/>
        <v>1</v>
      </c>
      <c r="GQ678" s="101">
        <f t="shared" si="412"/>
        <v>15</v>
      </c>
    </row>
    <row r="679" spans="175:199" ht="16.5" x14ac:dyDescent="0.2">
      <c r="FS679" s="101">
        <v>674</v>
      </c>
      <c r="FT679" s="101">
        <f t="shared" si="397"/>
        <v>30</v>
      </c>
      <c r="FU679" s="101">
        <f t="shared" si="390"/>
        <v>9</v>
      </c>
      <c r="FV679" s="14">
        <f t="shared" si="391"/>
        <v>4</v>
      </c>
      <c r="FW679" s="101" t="str">
        <f t="shared" si="398"/>
        <v>张郃专属武器-魂珠-4 3级</v>
      </c>
      <c r="FX679" s="101">
        <f t="shared" si="399"/>
        <v>4</v>
      </c>
      <c r="FY679" s="101">
        <f t="shared" si="400"/>
        <v>3</v>
      </c>
      <c r="FZ679" s="101" t="str">
        <f t="shared" si="392"/>
        <v>金币</v>
      </c>
      <c r="GA679" s="139">
        <f>IF($FY679&gt;0,IF(INDEX($EM$6:$EM$77,$FT679)&gt;=GA$3,ROUND(INDEX(EO$6:EO$77,$FT679)*INDEX(卡牌消耗!$B$8:$F$8,FV679)/5,0)*5,""),"")</f>
        <v>910</v>
      </c>
      <c r="GB679" s="101" t="str">
        <f t="shared" si="393"/>
        <v>专属强化石2</v>
      </c>
      <c r="GC679" s="101">
        <f t="shared" si="394"/>
        <v>3</v>
      </c>
      <c r="GD679" s="101" t="str">
        <f t="shared" si="395"/>
        <v>专属强化石3</v>
      </c>
      <c r="GE679" s="101">
        <f t="shared" si="396"/>
        <v>1</v>
      </c>
      <c r="GF679" s="101">
        <f t="shared" si="401"/>
        <v>7.0000000000000007E-2</v>
      </c>
      <c r="GG679" s="101">
        <f t="shared" si="402"/>
        <v>1</v>
      </c>
      <c r="GH679" s="101">
        <f t="shared" si="403"/>
        <v>22</v>
      </c>
      <c r="GI679" s="101">
        <f t="shared" si="404"/>
        <v>0</v>
      </c>
      <c r="GJ679" s="101">
        <f t="shared" si="405"/>
        <v>1</v>
      </c>
      <c r="GK679" s="101">
        <f t="shared" si="406"/>
        <v>5</v>
      </c>
      <c r="GL679" s="101">
        <f t="shared" si="407"/>
        <v>3.3700000000000001E-2</v>
      </c>
      <c r="GM679" s="101">
        <f t="shared" si="408"/>
        <v>1</v>
      </c>
      <c r="GN679" s="101">
        <f t="shared" si="409"/>
        <v>10</v>
      </c>
      <c r="GO679" s="101">
        <f t="shared" si="410"/>
        <v>0.13489999999999999</v>
      </c>
      <c r="GP679" s="101">
        <f t="shared" si="411"/>
        <v>1</v>
      </c>
      <c r="GQ679" s="101">
        <f t="shared" si="412"/>
        <v>22</v>
      </c>
    </row>
    <row r="680" spans="175:199" ht="16.5" x14ac:dyDescent="0.2">
      <c r="FS680" s="101">
        <v>675</v>
      </c>
      <c r="FT680" s="101">
        <f t="shared" si="397"/>
        <v>31</v>
      </c>
      <c r="FU680" s="101">
        <f t="shared" si="390"/>
        <v>9</v>
      </c>
      <c r="FV680" s="14">
        <f t="shared" si="391"/>
        <v>4</v>
      </c>
      <c r="FW680" s="101" t="str">
        <f t="shared" si="398"/>
        <v>张郃专属武器-魂珠-4 4级</v>
      </c>
      <c r="FX680" s="101">
        <f t="shared" si="399"/>
        <v>4</v>
      </c>
      <c r="FY680" s="101">
        <f t="shared" si="400"/>
        <v>4</v>
      </c>
      <c r="FZ680" s="101" t="str">
        <f t="shared" si="392"/>
        <v>金币</v>
      </c>
      <c r="GA680" s="139">
        <f>IF($FY680&gt;0,IF(INDEX($EM$6:$EM$77,$FT680)&gt;=GA$3,ROUND(INDEX(EO$6:EO$77,$FT680)*INDEX(卡牌消耗!$B$8:$F$8,FV680)/5,0)*5,""),"")</f>
        <v>1750</v>
      </c>
      <c r="GB680" s="101" t="str">
        <f t="shared" si="393"/>
        <v>专属强化石2</v>
      </c>
      <c r="GC680" s="101">
        <f t="shared" si="394"/>
        <v>5</v>
      </c>
      <c r="GD680" s="101" t="str">
        <f t="shared" si="395"/>
        <v>专属强化石3</v>
      </c>
      <c r="GE680" s="101">
        <f t="shared" si="396"/>
        <v>2</v>
      </c>
      <c r="GF680" s="101">
        <f t="shared" si="401"/>
        <v>0.08</v>
      </c>
      <c r="GG680" s="101">
        <f t="shared" si="402"/>
        <v>1</v>
      </c>
      <c r="GH680" s="101">
        <f t="shared" si="403"/>
        <v>19</v>
      </c>
      <c r="GI680" s="101">
        <f t="shared" si="404"/>
        <v>0</v>
      </c>
      <c r="GJ680" s="101">
        <f t="shared" si="405"/>
        <v>1</v>
      </c>
      <c r="GK680" s="101">
        <f t="shared" si="406"/>
        <v>4</v>
      </c>
      <c r="GL680" s="101">
        <f t="shared" si="407"/>
        <v>4.0500000000000001E-2</v>
      </c>
      <c r="GM680" s="101">
        <f t="shared" si="408"/>
        <v>1</v>
      </c>
      <c r="GN680" s="101">
        <f t="shared" si="409"/>
        <v>9</v>
      </c>
      <c r="GO680" s="101">
        <f t="shared" si="410"/>
        <v>0.16189999999999999</v>
      </c>
      <c r="GP680" s="101">
        <f t="shared" si="411"/>
        <v>1</v>
      </c>
      <c r="GQ680" s="101">
        <f t="shared" si="412"/>
        <v>19</v>
      </c>
    </row>
    <row r="681" spans="175:199" ht="16.5" x14ac:dyDescent="0.2">
      <c r="FS681" s="101">
        <v>676</v>
      </c>
      <c r="FT681" s="101">
        <f t="shared" si="397"/>
        <v>32</v>
      </c>
      <c r="FU681" s="101">
        <f t="shared" si="390"/>
        <v>9</v>
      </c>
      <c r="FV681" s="14">
        <f t="shared" si="391"/>
        <v>4</v>
      </c>
      <c r="FW681" s="101" t="str">
        <f t="shared" si="398"/>
        <v>张郃专属武器-魂珠-4 5级</v>
      </c>
      <c r="FX681" s="101">
        <f t="shared" si="399"/>
        <v>4</v>
      </c>
      <c r="FY681" s="101">
        <f t="shared" si="400"/>
        <v>5</v>
      </c>
      <c r="FZ681" s="101" t="str">
        <f t="shared" si="392"/>
        <v>金币</v>
      </c>
      <c r="GA681" s="139">
        <f>IF($FY681&gt;0,IF(INDEX($EM$6:$EM$77,$FT681)&gt;=GA$3,ROUND(INDEX(EO$6:EO$77,$FT681)*INDEX(卡牌消耗!$B$8:$F$8,FV681)/5,0)*5,""),"")</f>
        <v>1780</v>
      </c>
      <c r="GB681" s="101" t="str">
        <f t="shared" si="393"/>
        <v>专属强化石2</v>
      </c>
      <c r="GC681" s="101">
        <f t="shared" si="394"/>
        <v>5</v>
      </c>
      <c r="GD681" s="101" t="str">
        <f t="shared" si="395"/>
        <v>专属强化石3</v>
      </c>
      <c r="GE681" s="101">
        <f t="shared" si="396"/>
        <v>2</v>
      </c>
      <c r="GF681" s="101">
        <f t="shared" si="401"/>
        <v>0.05</v>
      </c>
      <c r="GG681" s="101">
        <f t="shared" si="402"/>
        <v>1</v>
      </c>
      <c r="GH681" s="101">
        <f t="shared" si="403"/>
        <v>30</v>
      </c>
      <c r="GI681" s="101">
        <f t="shared" si="404"/>
        <v>0</v>
      </c>
      <c r="GJ681" s="101">
        <f t="shared" si="405"/>
        <v>1</v>
      </c>
      <c r="GK681" s="101">
        <f t="shared" si="406"/>
        <v>7</v>
      </c>
      <c r="GL681" s="101">
        <f t="shared" si="407"/>
        <v>2.53E-2</v>
      </c>
      <c r="GM681" s="101">
        <f t="shared" si="408"/>
        <v>1</v>
      </c>
      <c r="GN681" s="101">
        <f t="shared" si="409"/>
        <v>14</v>
      </c>
      <c r="GO681" s="101">
        <f t="shared" si="410"/>
        <v>0.1012</v>
      </c>
      <c r="GP681" s="101">
        <f t="shared" si="411"/>
        <v>1</v>
      </c>
      <c r="GQ681" s="101">
        <f t="shared" si="412"/>
        <v>30</v>
      </c>
    </row>
    <row r="682" spans="175:199" ht="16.5" x14ac:dyDescent="0.2">
      <c r="FS682" s="101">
        <v>677</v>
      </c>
      <c r="FT682" s="101">
        <f t="shared" si="397"/>
        <v>33</v>
      </c>
      <c r="FU682" s="101">
        <f t="shared" si="390"/>
        <v>9</v>
      </c>
      <c r="FV682" s="14">
        <f t="shared" si="391"/>
        <v>4</v>
      </c>
      <c r="FW682" s="101" t="str">
        <f t="shared" si="398"/>
        <v>张郃专属武器-魂珠-4 6级</v>
      </c>
      <c r="FX682" s="101">
        <f t="shared" si="399"/>
        <v>4</v>
      </c>
      <c r="FY682" s="101">
        <f t="shared" si="400"/>
        <v>6</v>
      </c>
      <c r="FZ682" s="101" t="str">
        <f t="shared" si="392"/>
        <v>金币</v>
      </c>
      <c r="GA682" s="139">
        <f>IF($FY682&gt;0,IF(INDEX($EM$6:$EM$77,$FT682)&gt;=GA$3,ROUND(INDEX(EO$6:EO$77,$FT682)*INDEX(卡牌消耗!$B$8:$F$8,FV682)/5,0)*5,""),"")</f>
        <v>1770</v>
      </c>
      <c r="GB682" s="101" t="str">
        <f t="shared" si="393"/>
        <v>专属强化石2</v>
      </c>
      <c r="GC682" s="101">
        <f t="shared" si="394"/>
        <v>5</v>
      </c>
      <c r="GD682" s="101" t="str">
        <f t="shared" si="395"/>
        <v>专属强化石3</v>
      </c>
      <c r="GE682" s="101">
        <f t="shared" si="396"/>
        <v>2</v>
      </c>
      <c r="GF682" s="101">
        <f t="shared" si="401"/>
        <v>0.03</v>
      </c>
      <c r="GG682" s="101">
        <f t="shared" si="402"/>
        <v>1</v>
      </c>
      <c r="GH682" s="101">
        <f t="shared" si="403"/>
        <v>48</v>
      </c>
      <c r="GI682" s="101">
        <f t="shared" si="404"/>
        <v>0</v>
      </c>
      <c r="GJ682" s="101">
        <f t="shared" si="405"/>
        <v>1</v>
      </c>
      <c r="GK682" s="101">
        <f t="shared" si="406"/>
        <v>11</v>
      </c>
      <c r="GL682" s="101">
        <f t="shared" si="407"/>
        <v>1.5599999999999999E-2</v>
      </c>
      <c r="GM682" s="101">
        <f t="shared" si="408"/>
        <v>1</v>
      </c>
      <c r="GN682" s="101">
        <f t="shared" si="409"/>
        <v>22</v>
      </c>
      <c r="GO682" s="101">
        <f t="shared" si="410"/>
        <v>6.2300000000000001E-2</v>
      </c>
      <c r="GP682" s="101">
        <f t="shared" si="411"/>
        <v>1</v>
      </c>
      <c r="GQ682" s="101">
        <f t="shared" si="412"/>
        <v>48</v>
      </c>
    </row>
    <row r="683" spans="175:199" ht="16.5" x14ac:dyDescent="0.2">
      <c r="FS683" s="101">
        <v>678</v>
      </c>
      <c r="FT683" s="101">
        <f t="shared" si="397"/>
        <v>34</v>
      </c>
      <c r="FU683" s="101">
        <f t="shared" si="390"/>
        <v>9</v>
      </c>
      <c r="FV683" s="14">
        <f t="shared" si="391"/>
        <v>4</v>
      </c>
      <c r="FW683" s="101" t="str">
        <f t="shared" si="398"/>
        <v>张郃专属武器-魂珠-4 7级</v>
      </c>
      <c r="FX683" s="101">
        <f t="shared" si="399"/>
        <v>4</v>
      </c>
      <c r="FY683" s="101">
        <f t="shared" si="400"/>
        <v>7</v>
      </c>
      <c r="FZ683" s="101" t="str">
        <f t="shared" si="392"/>
        <v>金币</v>
      </c>
      <c r="GA683" s="139">
        <f>IF($FY683&gt;0,IF(INDEX($EM$6:$EM$77,$FT683)&gt;=GA$3,ROUND(INDEX(EO$6:EO$77,$FT683)*INDEX(卡牌消耗!$B$8:$F$8,FV683)/5,0)*5,""),"")</f>
        <v>2660</v>
      </c>
      <c r="GB683" s="101" t="str">
        <f t="shared" si="393"/>
        <v>专属强化石2</v>
      </c>
      <c r="GC683" s="101">
        <f t="shared" si="394"/>
        <v>8</v>
      </c>
      <c r="GD683" s="101" t="str">
        <f t="shared" si="395"/>
        <v>专属强化石3</v>
      </c>
      <c r="GE683" s="101">
        <f t="shared" si="396"/>
        <v>3</v>
      </c>
      <c r="GF683" s="101">
        <f t="shared" si="401"/>
        <v>0.03</v>
      </c>
      <c r="GG683" s="101">
        <f t="shared" si="402"/>
        <v>1</v>
      </c>
      <c r="GH683" s="101">
        <f t="shared" si="403"/>
        <v>52</v>
      </c>
      <c r="GI683" s="101">
        <f t="shared" si="404"/>
        <v>0</v>
      </c>
      <c r="GJ683" s="101">
        <f t="shared" si="405"/>
        <v>1</v>
      </c>
      <c r="GK683" s="101">
        <f t="shared" si="406"/>
        <v>12</v>
      </c>
      <c r="GL683" s="101">
        <f t="shared" si="407"/>
        <v>1.4500000000000001E-2</v>
      </c>
      <c r="GM683" s="101">
        <f t="shared" si="408"/>
        <v>1</v>
      </c>
      <c r="GN683" s="101">
        <f t="shared" si="409"/>
        <v>24</v>
      </c>
      <c r="GO683" s="101">
        <f t="shared" si="410"/>
        <v>5.7799999999999997E-2</v>
      </c>
      <c r="GP683" s="101">
        <f t="shared" si="411"/>
        <v>1</v>
      </c>
      <c r="GQ683" s="101">
        <f t="shared" si="412"/>
        <v>52</v>
      </c>
    </row>
    <row r="684" spans="175:199" ht="16.5" x14ac:dyDescent="0.2">
      <c r="FS684" s="101">
        <v>679</v>
      </c>
      <c r="FT684" s="101">
        <f t="shared" si="397"/>
        <v>35</v>
      </c>
      <c r="FU684" s="101">
        <f t="shared" si="390"/>
        <v>9</v>
      </c>
      <c r="FV684" s="14">
        <f t="shared" si="391"/>
        <v>4</v>
      </c>
      <c r="FW684" s="101" t="str">
        <f t="shared" si="398"/>
        <v>张郃专属武器-魂珠-4 8级</v>
      </c>
      <c r="FX684" s="101">
        <f t="shared" si="399"/>
        <v>4</v>
      </c>
      <c r="FY684" s="101">
        <f t="shared" si="400"/>
        <v>8</v>
      </c>
      <c r="FZ684" s="101" t="str">
        <f t="shared" si="392"/>
        <v>金币</v>
      </c>
      <c r="GA684" s="139">
        <f>IF($FY684&gt;0,IF(INDEX($EM$6:$EM$77,$FT684)&gt;=GA$3,ROUND(INDEX(EO$6:EO$77,$FT684)*INDEX(卡牌消耗!$B$8:$F$8,FV684)/5,0)*5,""),"")</f>
        <v>3540</v>
      </c>
      <c r="GB684" s="101" t="str">
        <f t="shared" si="393"/>
        <v>专属强化石2</v>
      </c>
      <c r="GC684" s="101">
        <f t="shared" si="394"/>
        <v>11</v>
      </c>
      <c r="GD684" s="101" t="str">
        <f t="shared" si="395"/>
        <v>专属强化石3</v>
      </c>
      <c r="GE684" s="101">
        <f t="shared" si="396"/>
        <v>4</v>
      </c>
      <c r="GF684" s="101">
        <f t="shared" si="401"/>
        <v>0.02</v>
      </c>
      <c r="GG684" s="101">
        <f t="shared" si="402"/>
        <v>1</v>
      </c>
      <c r="GH684" s="101">
        <f t="shared" si="403"/>
        <v>63</v>
      </c>
      <c r="GI684" s="101">
        <f t="shared" si="404"/>
        <v>0</v>
      </c>
      <c r="GJ684" s="101">
        <f t="shared" si="405"/>
        <v>1</v>
      </c>
      <c r="GK684" s="101">
        <f t="shared" si="406"/>
        <v>15</v>
      </c>
      <c r="GL684" s="101">
        <f t="shared" si="407"/>
        <v>1.1900000000000001E-2</v>
      </c>
      <c r="GM684" s="101">
        <f t="shared" si="408"/>
        <v>1</v>
      </c>
      <c r="GN684" s="101">
        <f t="shared" si="409"/>
        <v>29</v>
      </c>
      <c r="GO684" s="101">
        <f t="shared" si="410"/>
        <v>4.7600000000000003E-2</v>
      </c>
      <c r="GP684" s="101">
        <f t="shared" si="411"/>
        <v>1</v>
      </c>
      <c r="GQ684" s="101">
        <f t="shared" si="412"/>
        <v>63</v>
      </c>
    </row>
    <row r="685" spans="175:199" ht="16.5" x14ac:dyDescent="0.2">
      <c r="FS685" s="101">
        <v>680</v>
      </c>
      <c r="FT685" s="101">
        <f t="shared" si="397"/>
        <v>36</v>
      </c>
      <c r="FU685" s="101">
        <f t="shared" si="390"/>
        <v>9</v>
      </c>
      <c r="FV685" s="14">
        <f t="shared" si="391"/>
        <v>4</v>
      </c>
      <c r="FW685" s="101" t="str">
        <f t="shared" si="398"/>
        <v>张郃专属武器-魂珠-4 9级</v>
      </c>
      <c r="FX685" s="101">
        <f t="shared" si="399"/>
        <v>4</v>
      </c>
      <c r="FY685" s="101">
        <f t="shared" si="400"/>
        <v>9</v>
      </c>
      <c r="FZ685" s="101" t="str">
        <f t="shared" si="392"/>
        <v>金币</v>
      </c>
      <c r="GA685" s="139">
        <f>IF($FY685&gt;0,IF(INDEX($EM$6:$EM$77,$FT685)&gt;=GA$3,ROUND(INDEX(EO$6:EO$77,$FT685)*INDEX(卡牌消耗!$B$8:$F$8,FV685)/5,0)*5,""),"")</f>
        <v>5315</v>
      </c>
      <c r="GB685" s="101" t="str">
        <f t="shared" si="393"/>
        <v>专属强化石2</v>
      </c>
      <c r="GC685" s="101">
        <f t="shared" si="394"/>
        <v>16</v>
      </c>
      <c r="GD685" s="101" t="str">
        <f t="shared" si="395"/>
        <v>专属强化石3</v>
      </c>
      <c r="GE685" s="101">
        <f t="shared" si="396"/>
        <v>6</v>
      </c>
      <c r="GF685" s="101">
        <f t="shared" si="401"/>
        <v>0.02</v>
      </c>
      <c r="GG685" s="101">
        <f t="shared" si="402"/>
        <v>1</v>
      </c>
      <c r="GH685" s="101">
        <f t="shared" si="403"/>
        <v>68</v>
      </c>
      <c r="GI685" s="101">
        <f t="shared" si="404"/>
        <v>0</v>
      </c>
      <c r="GJ685" s="101">
        <f t="shared" si="405"/>
        <v>1</v>
      </c>
      <c r="GK685" s="101">
        <f t="shared" si="406"/>
        <v>16</v>
      </c>
      <c r="GL685" s="101">
        <f t="shared" si="407"/>
        <v>1.0999999999999999E-2</v>
      </c>
      <c r="GM685" s="101">
        <f t="shared" si="408"/>
        <v>1</v>
      </c>
      <c r="GN685" s="101">
        <f t="shared" si="409"/>
        <v>32</v>
      </c>
      <c r="GO685" s="101">
        <f t="shared" si="410"/>
        <v>4.4200000000000003E-2</v>
      </c>
      <c r="GP685" s="101">
        <f t="shared" si="411"/>
        <v>1</v>
      </c>
      <c r="GQ685" s="101">
        <f t="shared" si="412"/>
        <v>68</v>
      </c>
    </row>
    <row r="686" spans="175:199" ht="16.5" x14ac:dyDescent="0.2">
      <c r="FS686" s="101">
        <v>681</v>
      </c>
      <c r="FT686" s="101">
        <f t="shared" si="397"/>
        <v>0</v>
      </c>
      <c r="FU686" s="101">
        <f t="shared" si="390"/>
        <v>9</v>
      </c>
      <c r="FV686" s="14">
        <f t="shared" si="391"/>
        <v>4</v>
      </c>
      <c r="FW686" s="101" t="str">
        <f t="shared" si="398"/>
        <v>张郃专属武器-魂珠-5 0级</v>
      </c>
      <c r="FX686" s="101">
        <f t="shared" si="399"/>
        <v>5</v>
      </c>
      <c r="FY686" s="101">
        <f t="shared" si="400"/>
        <v>0</v>
      </c>
      <c r="FZ686" s="101" t="str">
        <f t="shared" si="392"/>
        <v/>
      </c>
      <c r="GA686" s="139" t="str">
        <f>IF($FY686&gt;0,IF(INDEX($EM$6:$EM$77,$FT686)&gt;=GA$3,ROUND(INDEX(EO$6:EO$77,$FT686)*INDEX(卡牌消耗!$B$8:$F$8,FV686)/5,0)*5,""),"")</f>
        <v/>
      </c>
      <c r="GB686" s="101" t="str">
        <f t="shared" si="393"/>
        <v/>
      </c>
      <c r="GC686" s="101" t="str">
        <f t="shared" si="394"/>
        <v/>
      </c>
      <c r="GD686" s="101" t="str">
        <f t="shared" si="395"/>
        <v/>
      </c>
      <c r="GE686" s="101" t="str">
        <f t="shared" si="396"/>
        <v/>
      </c>
      <c r="GF686" s="101" t="str">
        <f t="shared" si="401"/>
        <v/>
      </c>
      <c r="GG686" s="101" t="str">
        <f t="shared" si="402"/>
        <v/>
      </c>
      <c r="GH686" s="101" t="str">
        <f t="shared" si="403"/>
        <v/>
      </c>
      <c r="GI686" s="101" t="str">
        <f t="shared" si="404"/>
        <v/>
      </c>
      <c r="GJ686" s="101" t="str">
        <f t="shared" si="405"/>
        <v/>
      </c>
      <c r="GK686" s="101" t="str">
        <f t="shared" si="406"/>
        <v/>
      </c>
      <c r="GL686" s="101" t="str">
        <f t="shared" si="407"/>
        <v/>
      </c>
      <c r="GM686" s="101" t="str">
        <f t="shared" si="408"/>
        <v/>
      </c>
      <c r="GN686" s="101" t="str">
        <f t="shared" si="409"/>
        <v/>
      </c>
      <c r="GO686" s="101" t="str">
        <f t="shared" si="410"/>
        <v/>
      </c>
      <c r="GP686" s="101" t="str">
        <f t="shared" si="411"/>
        <v/>
      </c>
      <c r="GQ686" s="101" t="str">
        <f t="shared" si="412"/>
        <v/>
      </c>
    </row>
    <row r="687" spans="175:199" ht="16.5" x14ac:dyDescent="0.2">
      <c r="FS687" s="101">
        <v>682</v>
      </c>
      <c r="FT687" s="101">
        <f t="shared" si="397"/>
        <v>37</v>
      </c>
      <c r="FU687" s="101">
        <f t="shared" si="390"/>
        <v>9</v>
      </c>
      <c r="FV687" s="14">
        <f t="shared" si="391"/>
        <v>4</v>
      </c>
      <c r="FW687" s="101" t="str">
        <f t="shared" si="398"/>
        <v>张郃专属武器-魂珠-5 1级</v>
      </c>
      <c r="FX687" s="101">
        <f t="shared" si="399"/>
        <v>5</v>
      </c>
      <c r="FY687" s="101">
        <f t="shared" si="400"/>
        <v>1</v>
      </c>
      <c r="FZ687" s="101" t="str">
        <f t="shared" si="392"/>
        <v>金币</v>
      </c>
      <c r="GA687" s="139">
        <f>IF($FY687&gt;0,IF(INDEX($EM$6:$EM$77,$FT687)&gt;=GA$3,ROUND(INDEX(EO$6:EO$77,$FT687)*INDEX(卡牌消耗!$B$8:$F$8,FV687)/5,0)*5,""),"")</f>
        <v>2245</v>
      </c>
      <c r="GB687" s="101" t="str">
        <f t="shared" si="393"/>
        <v>专属强化石2</v>
      </c>
      <c r="GC687" s="101">
        <f t="shared" si="394"/>
        <v>3</v>
      </c>
      <c r="GD687" s="101" t="str">
        <f t="shared" si="395"/>
        <v>专属强化石3</v>
      </c>
      <c r="GE687" s="101">
        <f t="shared" si="396"/>
        <v>2</v>
      </c>
      <c r="GF687" s="101">
        <f t="shared" si="401"/>
        <v>0.2</v>
      </c>
      <c r="GG687" s="101">
        <f t="shared" si="402"/>
        <v>1</v>
      </c>
      <c r="GH687" s="101">
        <f t="shared" si="403"/>
        <v>7</v>
      </c>
      <c r="GI687" s="101">
        <f t="shared" si="404"/>
        <v>0</v>
      </c>
      <c r="GJ687" s="101">
        <f t="shared" si="405"/>
        <v>1</v>
      </c>
      <c r="GK687" s="101">
        <f t="shared" si="406"/>
        <v>2</v>
      </c>
      <c r="GL687" s="101">
        <f t="shared" si="407"/>
        <v>0.1012</v>
      </c>
      <c r="GM687" s="101">
        <f t="shared" si="408"/>
        <v>1</v>
      </c>
      <c r="GN687" s="101">
        <f t="shared" si="409"/>
        <v>3</v>
      </c>
      <c r="GO687" s="101">
        <f t="shared" si="410"/>
        <v>0.40479999999999999</v>
      </c>
      <c r="GP687" s="101">
        <f t="shared" si="411"/>
        <v>1</v>
      </c>
      <c r="GQ687" s="101">
        <f t="shared" si="412"/>
        <v>7</v>
      </c>
    </row>
    <row r="688" spans="175:199" ht="16.5" x14ac:dyDescent="0.2">
      <c r="FS688" s="101">
        <v>683</v>
      </c>
      <c r="FT688" s="101">
        <f t="shared" si="397"/>
        <v>38</v>
      </c>
      <c r="FU688" s="101">
        <f t="shared" si="390"/>
        <v>9</v>
      </c>
      <c r="FV688" s="14">
        <f t="shared" si="391"/>
        <v>4</v>
      </c>
      <c r="FW688" s="101" t="str">
        <f t="shared" si="398"/>
        <v>张郃专属武器-魂珠-5 2级</v>
      </c>
      <c r="FX688" s="101">
        <f t="shared" si="399"/>
        <v>5</v>
      </c>
      <c r="FY688" s="101">
        <f t="shared" si="400"/>
        <v>2</v>
      </c>
      <c r="FZ688" s="101" t="str">
        <f t="shared" si="392"/>
        <v>金币</v>
      </c>
      <c r="GA688" s="139">
        <f>IF($FY688&gt;0,IF(INDEX($EM$6:$EM$77,$FT688)&gt;=GA$3,ROUND(INDEX(EO$6:EO$77,$FT688)*INDEX(卡牌消耗!$B$8:$F$8,FV688)/5,0)*5,""),"")</f>
        <v>1685</v>
      </c>
      <c r="GB688" s="101" t="str">
        <f t="shared" si="393"/>
        <v>专属强化石2</v>
      </c>
      <c r="GC688" s="101">
        <f t="shared" si="394"/>
        <v>3</v>
      </c>
      <c r="GD688" s="101" t="str">
        <f t="shared" si="395"/>
        <v>专属强化石3</v>
      </c>
      <c r="GE688" s="101">
        <f t="shared" si="396"/>
        <v>2</v>
      </c>
      <c r="GF688" s="101">
        <f t="shared" si="401"/>
        <v>0.1</v>
      </c>
      <c r="GG688" s="101">
        <f t="shared" si="402"/>
        <v>1</v>
      </c>
      <c r="GH688" s="101">
        <f t="shared" si="403"/>
        <v>15</v>
      </c>
      <c r="GI688" s="101">
        <f t="shared" si="404"/>
        <v>0</v>
      </c>
      <c r="GJ688" s="101">
        <f t="shared" si="405"/>
        <v>1</v>
      </c>
      <c r="GK688" s="101">
        <f t="shared" si="406"/>
        <v>3</v>
      </c>
      <c r="GL688" s="101">
        <f t="shared" si="407"/>
        <v>5.0599999999999999E-2</v>
      </c>
      <c r="GM688" s="101">
        <f t="shared" si="408"/>
        <v>1</v>
      </c>
      <c r="GN688" s="101">
        <f t="shared" si="409"/>
        <v>7</v>
      </c>
      <c r="GO688" s="101">
        <f t="shared" si="410"/>
        <v>0.2024</v>
      </c>
      <c r="GP688" s="101">
        <f t="shared" si="411"/>
        <v>1</v>
      </c>
      <c r="GQ688" s="101">
        <f t="shared" si="412"/>
        <v>15</v>
      </c>
    </row>
    <row r="689" spans="175:199" ht="16.5" x14ac:dyDescent="0.2">
      <c r="FS689" s="101">
        <v>684</v>
      </c>
      <c r="FT689" s="101">
        <f t="shared" si="397"/>
        <v>39</v>
      </c>
      <c r="FU689" s="101">
        <f t="shared" si="390"/>
        <v>9</v>
      </c>
      <c r="FV689" s="14">
        <f t="shared" si="391"/>
        <v>4</v>
      </c>
      <c r="FW689" s="101" t="str">
        <f t="shared" si="398"/>
        <v>张郃专属武器-魂珠-5 3级</v>
      </c>
      <c r="FX689" s="101">
        <f t="shared" si="399"/>
        <v>5</v>
      </c>
      <c r="FY689" s="101">
        <f t="shared" si="400"/>
        <v>3</v>
      </c>
      <c r="FZ689" s="101" t="str">
        <f t="shared" si="392"/>
        <v>金币</v>
      </c>
      <c r="GA689" s="139">
        <f>IF($FY689&gt;0,IF(INDEX($EM$6:$EM$77,$FT689)&gt;=GA$3,ROUND(INDEX(EO$6:EO$77,$FT689)*INDEX(卡牌消耗!$B$8:$F$8,FV689)/5,0)*5,""),"")</f>
        <v>1870</v>
      </c>
      <c r="GB689" s="101" t="str">
        <f t="shared" si="393"/>
        <v>专属强化石2</v>
      </c>
      <c r="GC689" s="101">
        <f t="shared" si="394"/>
        <v>3</v>
      </c>
      <c r="GD689" s="101" t="str">
        <f t="shared" si="395"/>
        <v>专属强化石3</v>
      </c>
      <c r="GE689" s="101">
        <f t="shared" si="396"/>
        <v>2</v>
      </c>
      <c r="GF689" s="101">
        <f t="shared" si="401"/>
        <v>7.0000000000000007E-2</v>
      </c>
      <c r="GG689" s="101">
        <f t="shared" si="402"/>
        <v>1</v>
      </c>
      <c r="GH689" s="101">
        <f t="shared" si="403"/>
        <v>22</v>
      </c>
      <c r="GI689" s="101">
        <f t="shared" si="404"/>
        <v>0</v>
      </c>
      <c r="GJ689" s="101">
        <f t="shared" si="405"/>
        <v>1</v>
      </c>
      <c r="GK689" s="101">
        <f t="shared" si="406"/>
        <v>5</v>
      </c>
      <c r="GL689" s="101">
        <f t="shared" si="407"/>
        <v>3.3700000000000001E-2</v>
      </c>
      <c r="GM689" s="101">
        <f t="shared" si="408"/>
        <v>1</v>
      </c>
      <c r="GN689" s="101">
        <f t="shared" si="409"/>
        <v>10</v>
      </c>
      <c r="GO689" s="101">
        <f t="shared" si="410"/>
        <v>0.13489999999999999</v>
      </c>
      <c r="GP689" s="101">
        <f t="shared" si="411"/>
        <v>1</v>
      </c>
      <c r="GQ689" s="101">
        <f t="shared" si="412"/>
        <v>22</v>
      </c>
    </row>
    <row r="690" spans="175:199" ht="16.5" x14ac:dyDescent="0.2">
      <c r="FS690" s="101">
        <v>685</v>
      </c>
      <c r="FT690" s="101">
        <f t="shared" si="397"/>
        <v>40</v>
      </c>
      <c r="FU690" s="101">
        <f t="shared" si="390"/>
        <v>9</v>
      </c>
      <c r="FV690" s="14">
        <f t="shared" si="391"/>
        <v>4</v>
      </c>
      <c r="FW690" s="101" t="str">
        <f t="shared" si="398"/>
        <v>张郃专属武器-魂珠-5 4级</v>
      </c>
      <c r="FX690" s="101">
        <f t="shared" si="399"/>
        <v>5</v>
      </c>
      <c r="FY690" s="101">
        <f t="shared" si="400"/>
        <v>4</v>
      </c>
      <c r="FZ690" s="101" t="str">
        <f t="shared" si="392"/>
        <v>金币</v>
      </c>
      <c r="GA690" s="139">
        <f>IF($FY690&gt;0,IF(INDEX($EM$6:$EM$77,$FT690)&gt;=GA$3,ROUND(INDEX(EO$6:EO$77,$FT690)*INDEX(卡牌消耗!$B$8:$F$8,FV690)/5,0)*5,""),"")</f>
        <v>2695</v>
      </c>
      <c r="GB690" s="101" t="str">
        <f t="shared" si="393"/>
        <v>专属强化石2</v>
      </c>
      <c r="GC690" s="101">
        <f t="shared" si="394"/>
        <v>5</v>
      </c>
      <c r="GD690" s="101" t="str">
        <f t="shared" si="395"/>
        <v>专属强化石3</v>
      </c>
      <c r="GE690" s="101">
        <f t="shared" si="396"/>
        <v>3</v>
      </c>
      <c r="GF690" s="101">
        <f t="shared" si="401"/>
        <v>0.06</v>
      </c>
      <c r="GG690" s="101">
        <f t="shared" si="402"/>
        <v>1</v>
      </c>
      <c r="GH690" s="101">
        <f t="shared" si="403"/>
        <v>25</v>
      </c>
      <c r="GI690" s="101">
        <f t="shared" si="404"/>
        <v>0</v>
      </c>
      <c r="GJ690" s="101">
        <f t="shared" si="405"/>
        <v>1</v>
      </c>
      <c r="GK690" s="101">
        <f t="shared" si="406"/>
        <v>6</v>
      </c>
      <c r="GL690" s="101">
        <f t="shared" si="407"/>
        <v>3.04E-2</v>
      </c>
      <c r="GM690" s="101">
        <f t="shared" si="408"/>
        <v>1</v>
      </c>
      <c r="GN690" s="101">
        <f t="shared" si="409"/>
        <v>12</v>
      </c>
      <c r="GO690" s="101">
        <f t="shared" si="410"/>
        <v>0.12139999999999999</v>
      </c>
      <c r="GP690" s="101">
        <f t="shared" si="411"/>
        <v>1</v>
      </c>
      <c r="GQ690" s="101">
        <f t="shared" si="412"/>
        <v>25</v>
      </c>
    </row>
    <row r="691" spans="175:199" ht="16.5" x14ac:dyDescent="0.2">
      <c r="FS691" s="101">
        <v>686</v>
      </c>
      <c r="FT691" s="101">
        <f t="shared" si="397"/>
        <v>41</v>
      </c>
      <c r="FU691" s="101">
        <f t="shared" si="390"/>
        <v>9</v>
      </c>
      <c r="FV691" s="14">
        <f t="shared" si="391"/>
        <v>4</v>
      </c>
      <c r="FW691" s="101" t="str">
        <f t="shared" si="398"/>
        <v>张郃专属武器-魂珠-5 5级</v>
      </c>
      <c r="FX691" s="101">
        <f t="shared" si="399"/>
        <v>5</v>
      </c>
      <c r="FY691" s="101">
        <f t="shared" si="400"/>
        <v>5</v>
      </c>
      <c r="FZ691" s="101" t="str">
        <f t="shared" si="392"/>
        <v>金币</v>
      </c>
      <c r="GA691" s="139">
        <f>IF($FY691&gt;0,IF(INDEX($EM$6:$EM$77,$FT691)&gt;=GA$3,ROUND(INDEX(EO$6:EO$77,$FT691)*INDEX(卡牌消耗!$B$8:$F$8,FV691)/5,0)*5,""),"")</f>
        <v>2735</v>
      </c>
      <c r="GB691" s="101" t="str">
        <f t="shared" si="393"/>
        <v>专属强化石2</v>
      </c>
      <c r="GC691" s="101">
        <f t="shared" si="394"/>
        <v>5</v>
      </c>
      <c r="GD691" s="101" t="str">
        <f t="shared" si="395"/>
        <v>专属强化石3</v>
      </c>
      <c r="GE691" s="101">
        <f t="shared" si="396"/>
        <v>3</v>
      </c>
      <c r="GF691" s="101">
        <f t="shared" si="401"/>
        <v>0.04</v>
      </c>
      <c r="GG691" s="101">
        <f t="shared" si="402"/>
        <v>1</v>
      </c>
      <c r="GH691" s="101">
        <f t="shared" si="403"/>
        <v>40</v>
      </c>
      <c r="GI691" s="101">
        <f t="shared" si="404"/>
        <v>0</v>
      </c>
      <c r="GJ691" s="101">
        <f t="shared" si="405"/>
        <v>1</v>
      </c>
      <c r="GK691" s="101">
        <f t="shared" si="406"/>
        <v>9</v>
      </c>
      <c r="GL691" s="101">
        <f t="shared" si="407"/>
        <v>1.9E-2</v>
      </c>
      <c r="GM691" s="101">
        <f t="shared" si="408"/>
        <v>1</v>
      </c>
      <c r="GN691" s="101">
        <f t="shared" si="409"/>
        <v>18</v>
      </c>
      <c r="GO691" s="101">
        <f t="shared" si="410"/>
        <v>7.5899999999999995E-2</v>
      </c>
      <c r="GP691" s="101">
        <f t="shared" si="411"/>
        <v>1</v>
      </c>
      <c r="GQ691" s="101">
        <f t="shared" si="412"/>
        <v>40</v>
      </c>
    </row>
    <row r="692" spans="175:199" ht="16.5" x14ac:dyDescent="0.2">
      <c r="FS692" s="101">
        <v>687</v>
      </c>
      <c r="FT692" s="101">
        <f t="shared" si="397"/>
        <v>42</v>
      </c>
      <c r="FU692" s="101">
        <f t="shared" si="390"/>
        <v>9</v>
      </c>
      <c r="FV692" s="14">
        <f t="shared" si="391"/>
        <v>4</v>
      </c>
      <c r="FW692" s="101" t="str">
        <f t="shared" si="398"/>
        <v>张郃专属武器-魂珠-5 6级</v>
      </c>
      <c r="FX692" s="101">
        <f t="shared" si="399"/>
        <v>5</v>
      </c>
      <c r="FY692" s="101">
        <f t="shared" si="400"/>
        <v>6</v>
      </c>
      <c r="FZ692" s="101" t="str">
        <f t="shared" si="392"/>
        <v>金币</v>
      </c>
      <c r="GA692" s="139">
        <f>IF($FY692&gt;0,IF(INDEX($EM$6:$EM$77,$FT692)&gt;=GA$3,ROUND(INDEX(EO$6:EO$77,$FT692)*INDEX(卡牌消耗!$B$8:$F$8,FV692)/5,0)*5,""),"")</f>
        <v>4530</v>
      </c>
      <c r="GB692" s="101" t="str">
        <f t="shared" si="393"/>
        <v>专属强化石2</v>
      </c>
      <c r="GC692" s="101">
        <f t="shared" si="394"/>
        <v>8</v>
      </c>
      <c r="GD692" s="101" t="str">
        <f t="shared" si="395"/>
        <v>专属强化石3</v>
      </c>
      <c r="GE692" s="101">
        <f t="shared" si="396"/>
        <v>5</v>
      </c>
      <c r="GF692" s="101">
        <f t="shared" si="401"/>
        <v>0.04</v>
      </c>
      <c r="GG692" s="101">
        <f t="shared" si="402"/>
        <v>1</v>
      </c>
      <c r="GH692" s="101">
        <f t="shared" si="403"/>
        <v>39</v>
      </c>
      <c r="GI692" s="101">
        <f t="shared" si="404"/>
        <v>0</v>
      </c>
      <c r="GJ692" s="101">
        <f t="shared" si="405"/>
        <v>1</v>
      </c>
      <c r="GK692" s="101">
        <f t="shared" si="406"/>
        <v>9</v>
      </c>
      <c r="GL692" s="101">
        <f t="shared" si="407"/>
        <v>1.95E-2</v>
      </c>
      <c r="GM692" s="101">
        <f t="shared" si="408"/>
        <v>1</v>
      </c>
      <c r="GN692" s="101">
        <f t="shared" si="409"/>
        <v>18</v>
      </c>
      <c r="GO692" s="101">
        <f t="shared" si="410"/>
        <v>7.7799999999999994E-2</v>
      </c>
      <c r="GP692" s="101">
        <f t="shared" si="411"/>
        <v>1</v>
      </c>
      <c r="GQ692" s="101">
        <f t="shared" si="412"/>
        <v>39</v>
      </c>
    </row>
    <row r="693" spans="175:199" ht="16.5" x14ac:dyDescent="0.2">
      <c r="FS693" s="101">
        <v>688</v>
      </c>
      <c r="FT693" s="101">
        <f t="shared" si="397"/>
        <v>43</v>
      </c>
      <c r="FU693" s="101">
        <f t="shared" si="390"/>
        <v>9</v>
      </c>
      <c r="FV693" s="14">
        <f t="shared" si="391"/>
        <v>4</v>
      </c>
      <c r="FW693" s="101" t="str">
        <f t="shared" si="398"/>
        <v>张郃专属武器-魂珠-5 7级</v>
      </c>
      <c r="FX693" s="101">
        <f t="shared" si="399"/>
        <v>5</v>
      </c>
      <c r="FY693" s="101">
        <f t="shared" si="400"/>
        <v>7</v>
      </c>
      <c r="FZ693" s="101" t="str">
        <f t="shared" si="392"/>
        <v>金币</v>
      </c>
      <c r="GA693" s="139">
        <f>IF($FY693&gt;0,IF(INDEX($EM$6:$EM$77,$FT693)&gt;=GA$3,ROUND(INDEX(EO$6:EO$77,$FT693)*INDEX(卡牌消耗!$B$8:$F$8,FV693)/5,0)*5,""),"")</f>
        <v>4540</v>
      </c>
      <c r="GB693" s="101" t="str">
        <f t="shared" si="393"/>
        <v>专属强化石2</v>
      </c>
      <c r="GC693" s="101">
        <f t="shared" si="394"/>
        <v>8</v>
      </c>
      <c r="GD693" s="101" t="str">
        <f t="shared" si="395"/>
        <v>专属强化石3</v>
      </c>
      <c r="GE693" s="101">
        <f t="shared" si="396"/>
        <v>5</v>
      </c>
      <c r="GF693" s="101">
        <f t="shared" si="401"/>
        <v>0.02</v>
      </c>
      <c r="GG693" s="101">
        <f t="shared" si="402"/>
        <v>1</v>
      </c>
      <c r="GH693" s="101">
        <f t="shared" si="403"/>
        <v>62</v>
      </c>
      <c r="GI693" s="101">
        <f t="shared" si="404"/>
        <v>0</v>
      </c>
      <c r="GJ693" s="101">
        <f t="shared" si="405"/>
        <v>1</v>
      </c>
      <c r="GK693" s="101">
        <f t="shared" si="406"/>
        <v>15</v>
      </c>
      <c r="GL693" s="101">
        <f t="shared" si="407"/>
        <v>1.2E-2</v>
      </c>
      <c r="GM693" s="101">
        <f t="shared" si="408"/>
        <v>1</v>
      </c>
      <c r="GN693" s="101">
        <f t="shared" si="409"/>
        <v>29</v>
      </c>
      <c r="GO693" s="101">
        <f t="shared" si="410"/>
        <v>4.82E-2</v>
      </c>
      <c r="GP693" s="101">
        <f t="shared" si="411"/>
        <v>1</v>
      </c>
      <c r="GQ693" s="101">
        <f t="shared" si="412"/>
        <v>62</v>
      </c>
    </row>
    <row r="694" spans="175:199" ht="16.5" x14ac:dyDescent="0.2">
      <c r="FS694" s="101">
        <v>689</v>
      </c>
      <c r="FT694" s="101">
        <f t="shared" si="397"/>
        <v>44</v>
      </c>
      <c r="FU694" s="101">
        <f t="shared" si="390"/>
        <v>9</v>
      </c>
      <c r="FV694" s="14">
        <f t="shared" si="391"/>
        <v>4</v>
      </c>
      <c r="FW694" s="101" t="str">
        <f t="shared" si="398"/>
        <v>张郃专属武器-魂珠-5 8级</v>
      </c>
      <c r="FX694" s="101">
        <f t="shared" si="399"/>
        <v>5</v>
      </c>
      <c r="FY694" s="101">
        <f t="shared" si="400"/>
        <v>8</v>
      </c>
      <c r="FZ694" s="101" t="str">
        <f t="shared" si="392"/>
        <v>金币</v>
      </c>
      <c r="GA694" s="139">
        <f>IF($FY694&gt;0,IF(INDEX($EM$6:$EM$77,$FT694)&gt;=GA$3,ROUND(INDEX(EO$6:EO$77,$FT694)*INDEX(卡牌消耗!$B$8:$F$8,FV694)/5,0)*5,""),"")</f>
        <v>6350</v>
      </c>
      <c r="GB694" s="101" t="str">
        <f t="shared" si="393"/>
        <v>专属强化石2</v>
      </c>
      <c r="GC694" s="101">
        <f t="shared" si="394"/>
        <v>11</v>
      </c>
      <c r="GD694" s="101" t="str">
        <f t="shared" si="395"/>
        <v>专属强化石3</v>
      </c>
      <c r="GE694" s="101">
        <f t="shared" si="396"/>
        <v>7</v>
      </c>
      <c r="GF694" s="101">
        <f t="shared" si="401"/>
        <v>0.02</v>
      </c>
      <c r="GG694" s="101">
        <f t="shared" si="402"/>
        <v>1</v>
      </c>
      <c r="GH694" s="101">
        <f t="shared" si="403"/>
        <v>72</v>
      </c>
      <c r="GI694" s="101">
        <f t="shared" si="404"/>
        <v>0</v>
      </c>
      <c r="GJ694" s="101">
        <f t="shared" si="405"/>
        <v>1</v>
      </c>
      <c r="GK694" s="101">
        <f t="shared" si="406"/>
        <v>17</v>
      </c>
      <c r="GL694" s="101">
        <f t="shared" si="407"/>
        <v>1.04E-2</v>
      </c>
      <c r="GM694" s="101">
        <f t="shared" si="408"/>
        <v>1</v>
      </c>
      <c r="GN694" s="101">
        <f t="shared" si="409"/>
        <v>34</v>
      </c>
      <c r="GO694" s="101">
        <f t="shared" si="410"/>
        <v>4.1700000000000001E-2</v>
      </c>
      <c r="GP694" s="101">
        <f t="shared" si="411"/>
        <v>1</v>
      </c>
      <c r="GQ694" s="101">
        <f t="shared" si="412"/>
        <v>72</v>
      </c>
    </row>
    <row r="695" spans="175:199" ht="16.5" x14ac:dyDescent="0.2">
      <c r="FS695" s="101">
        <v>690</v>
      </c>
      <c r="FT695" s="101">
        <f t="shared" si="397"/>
        <v>45</v>
      </c>
      <c r="FU695" s="101">
        <f t="shared" si="390"/>
        <v>9</v>
      </c>
      <c r="FV695" s="14">
        <f t="shared" si="391"/>
        <v>4</v>
      </c>
      <c r="FW695" s="101" t="str">
        <f t="shared" si="398"/>
        <v>张郃专属武器-魂珠-5 9级</v>
      </c>
      <c r="FX695" s="101">
        <f t="shared" si="399"/>
        <v>5</v>
      </c>
      <c r="FY695" s="101">
        <f t="shared" si="400"/>
        <v>9</v>
      </c>
      <c r="FZ695" s="101" t="str">
        <f t="shared" si="392"/>
        <v>金币</v>
      </c>
      <c r="GA695" s="139">
        <f>IF($FY695&gt;0,IF(INDEX($EM$6:$EM$77,$FT695)&gt;=GA$3,ROUND(INDEX(EO$6:EO$77,$FT695)*INDEX(卡牌消耗!$B$8:$F$8,FV695)/5,0)*5,""),"")</f>
        <v>8170</v>
      </c>
      <c r="GB695" s="101" t="str">
        <f t="shared" si="393"/>
        <v>专属强化石2</v>
      </c>
      <c r="GC695" s="101">
        <f t="shared" si="394"/>
        <v>14</v>
      </c>
      <c r="GD695" s="101" t="str">
        <f t="shared" si="395"/>
        <v>专属强化石3</v>
      </c>
      <c r="GE695" s="101">
        <f t="shared" si="396"/>
        <v>9</v>
      </c>
      <c r="GF695" s="101">
        <f t="shared" si="401"/>
        <v>0.02</v>
      </c>
      <c r="GG695" s="101">
        <f t="shared" si="402"/>
        <v>1</v>
      </c>
      <c r="GH695" s="101">
        <f t="shared" si="403"/>
        <v>91</v>
      </c>
      <c r="GI695" s="101">
        <f t="shared" si="404"/>
        <v>0</v>
      </c>
      <c r="GJ695" s="101">
        <f t="shared" si="405"/>
        <v>1</v>
      </c>
      <c r="GK695" s="101">
        <f t="shared" si="406"/>
        <v>21</v>
      </c>
      <c r="GL695" s="101">
        <f t="shared" si="407"/>
        <v>8.3000000000000001E-3</v>
      </c>
      <c r="GM695" s="101">
        <f t="shared" si="408"/>
        <v>1</v>
      </c>
      <c r="GN695" s="101">
        <f t="shared" si="409"/>
        <v>42</v>
      </c>
      <c r="GO695" s="101">
        <f t="shared" si="410"/>
        <v>3.3099999999999997E-2</v>
      </c>
      <c r="GP695" s="101">
        <f t="shared" si="411"/>
        <v>1</v>
      </c>
      <c r="GQ695" s="101">
        <f t="shared" si="412"/>
        <v>91</v>
      </c>
    </row>
    <row r="696" spans="175:199" ht="16.5" x14ac:dyDescent="0.2">
      <c r="FS696" s="101">
        <v>691</v>
      </c>
      <c r="FT696" s="101">
        <f t="shared" si="397"/>
        <v>0</v>
      </c>
      <c r="FU696" s="101">
        <f t="shared" si="390"/>
        <v>9</v>
      </c>
      <c r="FV696" s="14">
        <f t="shared" si="391"/>
        <v>4</v>
      </c>
      <c r="FW696" s="101" t="str">
        <f t="shared" si="398"/>
        <v>张郃专属武器-魂珠-6 0级</v>
      </c>
      <c r="FX696" s="101">
        <f t="shared" si="399"/>
        <v>6</v>
      </c>
      <c r="FY696" s="101">
        <f t="shared" si="400"/>
        <v>0</v>
      </c>
      <c r="FZ696" s="101" t="str">
        <f t="shared" si="392"/>
        <v/>
      </c>
      <c r="GA696" s="139" t="str">
        <f>IF($FY696&gt;0,IF(INDEX($EM$6:$EM$77,$FT696)&gt;=GA$3,ROUND(INDEX(EO$6:EO$77,$FT696)*INDEX(卡牌消耗!$B$8:$F$8,FV696)/5,0)*5,""),"")</f>
        <v/>
      </c>
      <c r="GB696" s="101" t="str">
        <f t="shared" si="393"/>
        <v/>
      </c>
      <c r="GC696" s="101" t="str">
        <f t="shared" si="394"/>
        <v/>
      </c>
      <c r="GD696" s="101" t="str">
        <f t="shared" si="395"/>
        <v/>
      </c>
      <c r="GE696" s="101" t="str">
        <f t="shared" si="396"/>
        <v/>
      </c>
      <c r="GF696" s="101" t="str">
        <f t="shared" si="401"/>
        <v/>
      </c>
      <c r="GG696" s="101" t="str">
        <f t="shared" si="402"/>
        <v/>
      </c>
      <c r="GH696" s="101" t="str">
        <f t="shared" si="403"/>
        <v/>
      </c>
      <c r="GI696" s="101" t="str">
        <f t="shared" si="404"/>
        <v/>
      </c>
      <c r="GJ696" s="101" t="str">
        <f t="shared" si="405"/>
        <v/>
      </c>
      <c r="GK696" s="101" t="str">
        <f t="shared" si="406"/>
        <v/>
      </c>
      <c r="GL696" s="101" t="str">
        <f t="shared" si="407"/>
        <v/>
      </c>
      <c r="GM696" s="101" t="str">
        <f t="shared" si="408"/>
        <v/>
      </c>
      <c r="GN696" s="101" t="str">
        <f t="shared" si="409"/>
        <v/>
      </c>
      <c r="GO696" s="101" t="str">
        <f t="shared" si="410"/>
        <v/>
      </c>
      <c r="GP696" s="101" t="str">
        <f t="shared" si="411"/>
        <v/>
      </c>
      <c r="GQ696" s="101" t="str">
        <f t="shared" si="412"/>
        <v/>
      </c>
    </row>
    <row r="697" spans="175:199" ht="16.5" x14ac:dyDescent="0.2">
      <c r="FS697" s="101">
        <v>692</v>
      </c>
      <c r="FT697" s="101">
        <f t="shared" si="397"/>
        <v>46</v>
      </c>
      <c r="FU697" s="101">
        <f t="shared" si="390"/>
        <v>9</v>
      </c>
      <c r="FV697" s="14">
        <f t="shared" si="391"/>
        <v>4</v>
      </c>
      <c r="FW697" s="101" t="str">
        <f t="shared" si="398"/>
        <v>张郃专属武器-魂珠-6 1级</v>
      </c>
      <c r="FX697" s="101">
        <f t="shared" si="399"/>
        <v>6</v>
      </c>
      <c r="FY697" s="101">
        <f t="shared" si="400"/>
        <v>1</v>
      </c>
      <c r="FZ697" s="101" t="str">
        <f t="shared" si="392"/>
        <v>金币</v>
      </c>
      <c r="GA697" s="139">
        <f>IF($FY697&gt;0,IF(INDEX($EM$6:$EM$77,$FT697)&gt;=GA$3,ROUND(INDEX(EO$6:EO$77,$FT697)*INDEX(卡牌消耗!$B$8:$F$8,FV697)/5,0)*5,""),"")</f>
        <v>2180</v>
      </c>
      <c r="GB697" s="101" t="str">
        <f t="shared" si="393"/>
        <v>专属强化石3</v>
      </c>
      <c r="GC697" s="101">
        <f t="shared" si="394"/>
        <v>5</v>
      </c>
      <c r="GD697" s="101" t="str">
        <f t="shared" si="395"/>
        <v>专属强化石4</v>
      </c>
      <c r="GE697" s="101">
        <f t="shared" si="396"/>
        <v>1</v>
      </c>
      <c r="GF697" s="101">
        <f t="shared" si="401"/>
        <v>0.17</v>
      </c>
      <c r="GG697" s="101">
        <f t="shared" si="402"/>
        <v>1</v>
      </c>
      <c r="GH697" s="101">
        <f t="shared" si="403"/>
        <v>9</v>
      </c>
      <c r="GI697" s="101">
        <f t="shared" si="404"/>
        <v>0</v>
      </c>
      <c r="GJ697" s="101">
        <f t="shared" si="405"/>
        <v>1</v>
      </c>
      <c r="GK697" s="101">
        <f t="shared" si="406"/>
        <v>2</v>
      </c>
      <c r="GL697" s="101">
        <f t="shared" si="407"/>
        <v>8.2900000000000001E-2</v>
      </c>
      <c r="GM697" s="101">
        <f t="shared" si="408"/>
        <v>1</v>
      </c>
      <c r="GN697" s="101">
        <f t="shared" si="409"/>
        <v>4</v>
      </c>
      <c r="GO697" s="101">
        <f t="shared" si="410"/>
        <v>0.33139999999999997</v>
      </c>
      <c r="GP697" s="101">
        <f t="shared" si="411"/>
        <v>1</v>
      </c>
      <c r="GQ697" s="101">
        <f t="shared" si="412"/>
        <v>9</v>
      </c>
    </row>
    <row r="698" spans="175:199" ht="16.5" x14ac:dyDescent="0.2">
      <c r="FS698" s="101">
        <v>693</v>
      </c>
      <c r="FT698" s="101">
        <f t="shared" si="397"/>
        <v>47</v>
      </c>
      <c r="FU698" s="101">
        <f t="shared" si="390"/>
        <v>9</v>
      </c>
      <c r="FV698" s="14">
        <f t="shared" si="391"/>
        <v>4</v>
      </c>
      <c r="FW698" s="101" t="str">
        <f t="shared" si="398"/>
        <v>张郃专属武器-魂珠-6 2级</v>
      </c>
      <c r="FX698" s="101">
        <f t="shared" si="399"/>
        <v>6</v>
      </c>
      <c r="FY698" s="101">
        <f t="shared" si="400"/>
        <v>2</v>
      </c>
      <c r="FZ698" s="101" t="str">
        <f t="shared" si="392"/>
        <v>金币</v>
      </c>
      <c r="GA698" s="139">
        <f>IF($FY698&gt;0,IF(INDEX($EM$6:$EM$77,$FT698)&gt;=GA$3,ROUND(INDEX(EO$6:EO$77,$FT698)*INDEX(卡牌消耗!$B$8:$F$8,FV698)/5,0)*5,""),"")</f>
        <v>3270</v>
      </c>
      <c r="GB698" s="101" t="str">
        <f t="shared" si="393"/>
        <v>专属强化石3</v>
      </c>
      <c r="GC698" s="101">
        <f t="shared" si="394"/>
        <v>10</v>
      </c>
      <c r="GD698" s="101" t="str">
        <f t="shared" si="395"/>
        <v>专属强化石4</v>
      </c>
      <c r="GE698" s="101">
        <f t="shared" si="396"/>
        <v>2</v>
      </c>
      <c r="GF698" s="101">
        <f t="shared" si="401"/>
        <v>0.17</v>
      </c>
      <c r="GG698" s="101">
        <f t="shared" si="402"/>
        <v>1</v>
      </c>
      <c r="GH698" s="101">
        <f t="shared" si="403"/>
        <v>9</v>
      </c>
      <c r="GI698" s="101">
        <f t="shared" si="404"/>
        <v>0</v>
      </c>
      <c r="GJ698" s="101">
        <f t="shared" si="405"/>
        <v>1</v>
      </c>
      <c r="GK698" s="101">
        <f t="shared" si="406"/>
        <v>2</v>
      </c>
      <c r="GL698" s="101">
        <f t="shared" si="407"/>
        <v>8.2900000000000001E-2</v>
      </c>
      <c r="GM698" s="101">
        <f t="shared" si="408"/>
        <v>1</v>
      </c>
      <c r="GN698" s="101">
        <f t="shared" si="409"/>
        <v>4</v>
      </c>
      <c r="GO698" s="101">
        <f t="shared" si="410"/>
        <v>0.33139999999999997</v>
      </c>
      <c r="GP698" s="101">
        <f t="shared" si="411"/>
        <v>1</v>
      </c>
      <c r="GQ698" s="101">
        <f t="shared" si="412"/>
        <v>9</v>
      </c>
    </row>
    <row r="699" spans="175:199" ht="16.5" x14ac:dyDescent="0.2">
      <c r="FS699" s="101">
        <v>694</v>
      </c>
      <c r="FT699" s="101">
        <f t="shared" si="397"/>
        <v>48</v>
      </c>
      <c r="FU699" s="101">
        <f t="shared" si="390"/>
        <v>9</v>
      </c>
      <c r="FV699" s="14">
        <f t="shared" si="391"/>
        <v>4</v>
      </c>
      <c r="FW699" s="101" t="str">
        <f t="shared" si="398"/>
        <v>张郃专属武器-魂珠-6 3级</v>
      </c>
      <c r="FX699" s="101">
        <f t="shared" si="399"/>
        <v>6</v>
      </c>
      <c r="FY699" s="101">
        <f t="shared" si="400"/>
        <v>3</v>
      </c>
      <c r="FZ699" s="101" t="str">
        <f t="shared" si="392"/>
        <v>金币</v>
      </c>
      <c r="GA699" s="139">
        <f>IF($FY699&gt;0,IF(INDEX($EM$6:$EM$77,$FT699)&gt;=GA$3,ROUND(INDEX(EO$6:EO$77,$FT699)*INDEX(卡牌消耗!$B$8:$F$8,FV699)/5,0)*5,""),"")</f>
        <v>3635</v>
      </c>
      <c r="GB699" s="101" t="str">
        <f t="shared" si="393"/>
        <v>专属强化石3</v>
      </c>
      <c r="GC699" s="101">
        <f t="shared" si="394"/>
        <v>10</v>
      </c>
      <c r="GD699" s="101" t="str">
        <f t="shared" si="395"/>
        <v>专属强化石4</v>
      </c>
      <c r="GE699" s="101">
        <f t="shared" si="396"/>
        <v>2</v>
      </c>
      <c r="GF699" s="101">
        <f t="shared" si="401"/>
        <v>0.11</v>
      </c>
      <c r="GG699" s="101">
        <f t="shared" si="402"/>
        <v>1</v>
      </c>
      <c r="GH699" s="101">
        <f t="shared" si="403"/>
        <v>14</v>
      </c>
      <c r="GI699" s="101">
        <f t="shared" si="404"/>
        <v>0</v>
      </c>
      <c r="GJ699" s="101">
        <f t="shared" si="405"/>
        <v>1</v>
      </c>
      <c r="GK699" s="101">
        <f t="shared" si="406"/>
        <v>3</v>
      </c>
      <c r="GL699" s="101">
        <f t="shared" si="407"/>
        <v>5.5199999999999999E-2</v>
      </c>
      <c r="GM699" s="101">
        <f t="shared" si="408"/>
        <v>1</v>
      </c>
      <c r="GN699" s="101">
        <f t="shared" si="409"/>
        <v>6</v>
      </c>
      <c r="GO699" s="101">
        <f t="shared" si="410"/>
        <v>0.221</v>
      </c>
      <c r="GP699" s="101">
        <f t="shared" si="411"/>
        <v>1</v>
      </c>
      <c r="GQ699" s="101">
        <f t="shared" si="412"/>
        <v>14</v>
      </c>
    </row>
    <row r="700" spans="175:199" ht="16.5" x14ac:dyDescent="0.2">
      <c r="FS700" s="101">
        <v>695</v>
      </c>
      <c r="FT700" s="101">
        <f t="shared" si="397"/>
        <v>49</v>
      </c>
      <c r="FU700" s="101">
        <f t="shared" si="390"/>
        <v>9</v>
      </c>
      <c r="FV700" s="14">
        <f t="shared" si="391"/>
        <v>4</v>
      </c>
      <c r="FW700" s="101" t="str">
        <f t="shared" si="398"/>
        <v>张郃专属武器-魂珠-6 4级</v>
      </c>
      <c r="FX700" s="101">
        <f t="shared" si="399"/>
        <v>6</v>
      </c>
      <c r="FY700" s="101">
        <f t="shared" si="400"/>
        <v>4</v>
      </c>
      <c r="FZ700" s="101" t="str">
        <f t="shared" si="392"/>
        <v>金币</v>
      </c>
      <c r="GA700" s="139">
        <f>IF($FY700&gt;0,IF(INDEX($EM$6:$EM$77,$FT700)&gt;=GA$3,ROUND(INDEX(EO$6:EO$77,$FT700)*INDEX(卡牌消耗!$B$8:$F$8,FV700)/5,0)*5,""),"")</f>
        <v>5235</v>
      </c>
      <c r="GB700" s="101" t="str">
        <f t="shared" si="393"/>
        <v>专属强化石3</v>
      </c>
      <c r="GC700" s="101">
        <f t="shared" si="394"/>
        <v>15</v>
      </c>
      <c r="GD700" s="101" t="str">
        <f t="shared" si="395"/>
        <v>专属强化石4</v>
      </c>
      <c r="GE700" s="101">
        <f t="shared" si="396"/>
        <v>3</v>
      </c>
      <c r="GF700" s="101">
        <f t="shared" si="401"/>
        <v>0.1</v>
      </c>
      <c r="GG700" s="101">
        <f t="shared" si="402"/>
        <v>1</v>
      </c>
      <c r="GH700" s="101">
        <f t="shared" si="403"/>
        <v>15</v>
      </c>
      <c r="GI700" s="101">
        <f t="shared" si="404"/>
        <v>0</v>
      </c>
      <c r="GJ700" s="101">
        <f t="shared" si="405"/>
        <v>1</v>
      </c>
      <c r="GK700" s="101">
        <f t="shared" si="406"/>
        <v>4</v>
      </c>
      <c r="GL700" s="101">
        <f t="shared" si="407"/>
        <v>4.9700000000000001E-2</v>
      </c>
      <c r="GM700" s="101">
        <f t="shared" si="408"/>
        <v>1</v>
      </c>
      <c r="GN700" s="101">
        <f t="shared" si="409"/>
        <v>7</v>
      </c>
      <c r="GO700" s="101">
        <f t="shared" si="410"/>
        <v>0.19889999999999999</v>
      </c>
      <c r="GP700" s="101">
        <f t="shared" si="411"/>
        <v>1</v>
      </c>
      <c r="GQ700" s="101">
        <f t="shared" si="412"/>
        <v>15</v>
      </c>
    </row>
    <row r="701" spans="175:199" ht="16.5" x14ac:dyDescent="0.2">
      <c r="FS701" s="101">
        <v>696</v>
      </c>
      <c r="FT701" s="101">
        <f t="shared" si="397"/>
        <v>50</v>
      </c>
      <c r="FU701" s="101">
        <f t="shared" si="390"/>
        <v>9</v>
      </c>
      <c r="FV701" s="14">
        <f t="shared" si="391"/>
        <v>4</v>
      </c>
      <c r="FW701" s="101" t="str">
        <f t="shared" si="398"/>
        <v>张郃专属武器-魂珠-6 5级</v>
      </c>
      <c r="FX701" s="101">
        <f t="shared" si="399"/>
        <v>6</v>
      </c>
      <c r="FY701" s="101">
        <f t="shared" si="400"/>
        <v>5</v>
      </c>
      <c r="FZ701" s="101" t="str">
        <f t="shared" si="392"/>
        <v>金币</v>
      </c>
      <c r="GA701" s="139">
        <f>IF($FY701&gt;0,IF(INDEX($EM$6:$EM$77,$FT701)&gt;=GA$3,ROUND(INDEX(EO$6:EO$77,$FT701)*INDEX(卡牌消耗!$B$8:$F$8,FV701)/5,0)*5,""),"")</f>
        <v>5315</v>
      </c>
      <c r="GB701" s="101" t="str">
        <f t="shared" si="393"/>
        <v>专属强化石3</v>
      </c>
      <c r="GC701" s="101">
        <f t="shared" si="394"/>
        <v>15</v>
      </c>
      <c r="GD701" s="101" t="str">
        <f t="shared" si="395"/>
        <v>专属强化石4</v>
      </c>
      <c r="GE701" s="101">
        <f t="shared" si="396"/>
        <v>3</v>
      </c>
      <c r="GF701" s="101">
        <f t="shared" si="401"/>
        <v>0.06</v>
      </c>
      <c r="GG701" s="101">
        <f t="shared" si="402"/>
        <v>1</v>
      </c>
      <c r="GH701" s="101">
        <f t="shared" si="403"/>
        <v>24</v>
      </c>
      <c r="GI701" s="101">
        <f t="shared" si="404"/>
        <v>0</v>
      </c>
      <c r="GJ701" s="101">
        <f t="shared" si="405"/>
        <v>1</v>
      </c>
      <c r="GK701" s="101">
        <f t="shared" si="406"/>
        <v>6</v>
      </c>
      <c r="GL701" s="101">
        <f t="shared" si="407"/>
        <v>3.1099999999999999E-2</v>
      </c>
      <c r="GM701" s="101">
        <f t="shared" si="408"/>
        <v>1</v>
      </c>
      <c r="GN701" s="101">
        <f t="shared" si="409"/>
        <v>11</v>
      </c>
      <c r="GO701" s="101">
        <f t="shared" si="410"/>
        <v>0.12429999999999999</v>
      </c>
      <c r="GP701" s="101">
        <f t="shared" si="411"/>
        <v>1</v>
      </c>
      <c r="GQ701" s="101">
        <f t="shared" si="412"/>
        <v>24</v>
      </c>
    </row>
    <row r="702" spans="175:199" ht="16.5" x14ac:dyDescent="0.2">
      <c r="FS702" s="101">
        <v>697</v>
      </c>
      <c r="FT702" s="101">
        <f t="shared" si="397"/>
        <v>51</v>
      </c>
      <c r="FU702" s="101">
        <f t="shared" si="390"/>
        <v>9</v>
      </c>
      <c r="FV702" s="14">
        <f t="shared" si="391"/>
        <v>4</v>
      </c>
      <c r="FW702" s="101" t="str">
        <f t="shared" si="398"/>
        <v>张郃专属武器-魂珠-6 6级</v>
      </c>
      <c r="FX702" s="101">
        <f t="shared" si="399"/>
        <v>6</v>
      </c>
      <c r="FY702" s="101">
        <f t="shared" si="400"/>
        <v>6</v>
      </c>
      <c r="FZ702" s="101" t="str">
        <f t="shared" si="392"/>
        <v>金币</v>
      </c>
      <c r="GA702" s="139">
        <f>IF($FY702&gt;0,IF(INDEX($EM$6:$EM$77,$FT702)&gt;=GA$3,ROUND(INDEX(EO$6:EO$77,$FT702)*INDEX(卡牌消耗!$B$8:$F$8,FV702)/5,0)*5,""),"")</f>
        <v>7045</v>
      </c>
      <c r="GB702" s="101" t="str">
        <f t="shared" si="393"/>
        <v>专属强化石3</v>
      </c>
      <c r="GC702" s="101">
        <f t="shared" si="394"/>
        <v>20</v>
      </c>
      <c r="GD702" s="101" t="str">
        <f t="shared" si="395"/>
        <v>专属强化石4</v>
      </c>
      <c r="GE702" s="101">
        <f t="shared" si="396"/>
        <v>4</v>
      </c>
      <c r="GF702" s="101">
        <f t="shared" si="401"/>
        <v>0.05</v>
      </c>
      <c r="GG702" s="101">
        <f t="shared" si="402"/>
        <v>1</v>
      </c>
      <c r="GH702" s="101">
        <f t="shared" si="403"/>
        <v>29</v>
      </c>
      <c r="GI702" s="101">
        <f t="shared" si="404"/>
        <v>0</v>
      </c>
      <c r="GJ702" s="101">
        <f t="shared" si="405"/>
        <v>1</v>
      </c>
      <c r="GK702" s="101">
        <f t="shared" si="406"/>
        <v>7</v>
      </c>
      <c r="GL702" s="101">
        <f t="shared" si="407"/>
        <v>2.5499999999999998E-2</v>
      </c>
      <c r="GM702" s="101">
        <f t="shared" si="408"/>
        <v>1</v>
      </c>
      <c r="GN702" s="101">
        <f t="shared" si="409"/>
        <v>14</v>
      </c>
      <c r="GO702" s="101">
        <f t="shared" si="410"/>
        <v>0.10199999999999999</v>
      </c>
      <c r="GP702" s="101">
        <f t="shared" si="411"/>
        <v>1</v>
      </c>
      <c r="GQ702" s="101">
        <f t="shared" si="412"/>
        <v>29</v>
      </c>
    </row>
    <row r="703" spans="175:199" ht="16.5" x14ac:dyDescent="0.2">
      <c r="FS703" s="101">
        <v>698</v>
      </c>
      <c r="FT703" s="101">
        <f t="shared" si="397"/>
        <v>52</v>
      </c>
      <c r="FU703" s="101">
        <f t="shared" si="390"/>
        <v>9</v>
      </c>
      <c r="FV703" s="14">
        <f t="shared" si="391"/>
        <v>4</v>
      </c>
      <c r="FW703" s="101" t="str">
        <f t="shared" si="398"/>
        <v>张郃专属武器-魂珠-6 7级</v>
      </c>
      <c r="FX703" s="101">
        <f t="shared" si="399"/>
        <v>6</v>
      </c>
      <c r="FY703" s="101">
        <f t="shared" si="400"/>
        <v>7</v>
      </c>
      <c r="FZ703" s="101" t="str">
        <f t="shared" si="392"/>
        <v>金币</v>
      </c>
      <c r="GA703" s="139">
        <f>IF($FY703&gt;0,IF(INDEX($EM$6:$EM$77,$FT703)&gt;=GA$3,ROUND(INDEX(EO$6:EO$77,$FT703)*INDEX(卡牌消耗!$B$8:$F$8,FV703)/5,0)*5,""),"")</f>
        <v>8830</v>
      </c>
      <c r="GB703" s="101" t="str">
        <f t="shared" si="393"/>
        <v>专属强化石3</v>
      </c>
      <c r="GC703" s="101">
        <f t="shared" si="394"/>
        <v>25</v>
      </c>
      <c r="GD703" s="101" t="str">
        <f t="shared" si="395"/>
        <v>专属强化石4</v>
      </c>
      <c r="GE703" s="101">
        <f t="shared" si="396"/>
        <v>5</v>
      </c>
      <c r="GF703" s="101">
        <f t="shared" si="401"/>
        <v>0.04</v>
      </c>
      <c r="GG703" s="101">
        <f t="shared" si="402"/>
        <v>1</v>
      </c>
      <c r="GH703" s="101">
        <f t="shared" si="403"/>
        <v>38</v>
      </c>
      <c r="GI703" s="101">
        <f t="shared" si="404"/>
        <v>0</v>
      </c>
      <c r="GJ703" s="101">
        <f t="shared" si="405"/>
        <v>1</v>
      </c>
      <c r="GK703" s="101">
        <f t="shared" si="406"/>
        <v>9</v>
      </c>
      <c r="GL703" s="101">
        <f t="shared" si="407"/>
        <v>1.9699999999999999E-2</v>
      </c>
      <c r="GM703" s="101">
        <f t="shared" si="408"/>
        <v>1</v>
      </c>
      <c r="GN703" s="101">
        <f t="shared" si="409"/>
        <v>18</v>
      </c>
      <c r="GO703" s="101">
        <f t="shared" si="410"/>
        <v>7.8899999999999998E-2</v>
      </c>
      <c r="GP703" s="101">
        <f t="shared" si="411"/>
        <v>1</v>
      </c>
      <c r="GQ703" s="101">
        <f t="shared" si="412"/>
        <v>38</v>
      </c>
    </row>
    <row r="704" spans="175:199" ht="16.5" x14ac:dyDescent="0.2">
      <c r="FS704" s="101">
        <v>699</v>
      </c>
      <c r="FT704" s="101">
        <f t="shared" si="397"/>
        <v>53</v>
      </c>
      <c r="FU704" s="101">
        <f t="shared" si="390"/>
        <v>9</v>
      </c>
      <c r="FV704" s="14">
        <f t="shared" si="391"/>
        <v>4</v>
      </c>
      <c r="FW704" s="101" t="str">
        <f t="shared" si="398"/>
        <v>张郃专属武器-魂珠-6 8级</v>
      </c>
      <c r="FX704" s="101">
        <f t="shared" si="399"/>
        <v>6</v>
      </c>
      <c r="FY704" s="101">
        <f t="shared" si="400"/>
        <v>8</v>
      </c>
      <c r="FZ704" s="101" t="str">
        <f t="shared" si="392"/>
        <v>金币</v>
      </c>
      <c r="GA704" s="139">
        <f>IF($FY704&gt;0,IF(INDEX($EM$6:$EM$77,$FT704)&gt;=GA$3,ROUND(INDEX(EO$6:EO$77,$FT704)*INDEX(卡牌消耗!$B$8:$F$8,FV704)/5,0)*5,""),"")</f>
        <v>12350</v>
      </c>
      <c r="GB704" s="101" t="str">
        <f t="shared" si="393"/>
        <v>专属强化石3</v>
      </c>
      <c r="GC704" s="101">
        <f t="shared" si="394"/>
        <v>35</v>
      </c>
      <c r="GD704" s="101" t="str">
        <f t="shared" si="395"/>
        <v>专属强化石4</v>
      </c>
      <c r="GE704" s="101">
        <f t="shared" si="396"/>
        <v>7</v>
      </c>
      <c r="GF704" s="101">
        <f t="shared" si="401"/>
        <v>0.03</v>
      </c>
      <c r="GG704" s="101">
        <f t="shared" si="402"/>
        <v>1</v>
      </c>
      <c r="GH704" s="101">
        <f t="shared" si="403"/>
        <v>44</v>
      </c>
      <c r="GI704" s="101">
        <f t="shared" si="404"/>
        <v>0</v>
      </c>
      <c r="GJ704" s="101">
        <f t="shared" si="405"/>
        <v>1</v>
      </c>
      <c r="GK704" s="101">
        <f t="shared" si="406"/>
        <v>10</v>
      </c>
      <c r="GL704" s="101">
        <f t="shared" si="407"/>
        <v>1.7100000000000001E-2</v>
      </c>
      <c r="GM704" s="101">
        <f t="shared" si="408"/>
        <v>1</v>
      </c>
      <c r="GN704" s="101">
        <f t="shared" si="409"/>
        <v>21</v>
      </c>
      <c r="GO704" s="101">
        <f t="shared" si="410"/>
        <v>6.8199999999999997E-2</v>
      </c>
      <c r="GP704" s="101">
        <f t="shared" si="411"/>
        <v>1</v>
      </c>
      <c r="GQ704" s="101">
        <f t="shared" si="412"/>
        <v>44</v>
      </c>
    </row>
    <row r="705" spans="175:199" ht="16.5" x14ac:dyDescent="0.2">
      <c r="FS705" s="101">
        <v>700</v>
      </c>
      <c r="FT705" s="101">
        <f t="shared" si="397"/>
        <v>54</v>
      </c>
      <c r="FU705" s="101">
        <f t="shared" si="390"/>
        <v>9</v>
      </c>
      <c r="FV705" s="14">
        <f t="shared" si="391"/>
        <v>4</v>
      </c>
      <c r="FW705" s="101" t="str">
        <f t="shared" si="398"/>
        <v>张郃专属武器-魂珠-6 9级</v>
      </c>
      <c r="FX705" s="101">
        <f t="shared" si="399"/>
        <v>6</v>
      </c>
      <c r="FY705" s="101">
        <f t="shared" si="400"/>
        <v>9</v>
      </c>
      <c r="FZ705" s="101" t="str">
        <f t="shared" si="392"/>
        <v>金币</v>
      </c>
      <c r="GA705" s="139">
        <f>IF($FY705&gt;0,IF(INDEX($EM$6:$EM$77,$FT705)&gt;=GA$3,ROUND(INDEX(EO$6:EO$77,$FT705)*INDEX(卡牌消耗!$B$8:$F$8,FV705)/5,0)*5,""),"")</f>
        <v>14120</v>
      </c>
      <c r="GB705" s="101" t="str">
        <f t="shared" si="393"/>
        <v>专属强化石3</v>
      </c>
      <c r="GC705" s="101">
        <f t="shared" si="394"/>
        <v>40</v>
      </c>
      <c r="GD705" s="101" t="str">
        <f t="shared" si="395"/>
        <v>专属强化石4</v>
      </c>
      <c r="GE705" s="101">
        <f t="shared" si="396"/>
        <v>8</v>
      </c>
      <c r="GF705" s="101">
        <f t="shared" si="401"/>
        <v>0.02</v>
      </c>
      <c r="GG705" s="101">
        <f t="shared" si="402"/>
        <v>1</v>
      </c>
      <c r="GH705" s="101">
        <f t="shared" si="403"/>
        <v>62</v>
      </c>
      <c r="GI705" s="101">
        <f t="shared" si="404"/>
        <v>0</v>
      </c>
      <c r="GJ705" s="101">
        <f t="shared" si="405"/>
        <v>1</v>
      </c>
      <c r="GK705" s="101">
        <f t="shared" si="406"/>
        <v>15</v>
      </c>
      <c r="GL705" s="101">
        <f t="shared" si="407"/>
        <v>1.21E-2</v>
      </c>
      <c r="GM705" s="101">
        <f t="shared" si="408"/>
        <v>1</v>
      </c>
      <c r="GN705" s="101">
        <f t="shared" si="409"/>
        <v>29</v>
      </c>
      <c r="GO705" s="101">
        <f t="shared" si="410"/>
        <v>4.82E-2</v>
      </c>
      <c r="GP705" s="101">
        <f t="shared" si="411"/>
        <v>1</v>
      </c>
      <c r="GQ705" s="101">
        <f t="shared" si="412"/>
        <v>62</v>
      </c>
    </row>
    <row r="706" spans="175:199" ht="16.5" x14ac:dyDescent="0.2">
      <c r="FS706" s="101">
        <v>701</v>
      </c>
      <c r="FT706" s="101">
        <f t="shared" si="397"/>
        <v>0</v>
      </c>
      <c r="FU706" s="101">
        <f t="shared" si="390"/>
        <v>9</v>
      </c>
      <c r="FV706" s="14">
        <f t="shared" si="391"/>
        <v>4</v>
      </c>
      <c r="FW706" s="101" t="str">
        <f t="shared" si="398"/>
        <v>张郃专属武器-魂珠-7 0级</v>
      </c>
      <c r="FX706" s="101">
        <f t="shared" si="399"/>
        <v>7</v>
      </c>
      <c r="FY706" s="101">
        <f t="shared" si="400"/>
        <v>0</v>
      </c>
      <c r="FZ706" s="101" t="str">
        <f t="shared" si="392"/>
        <v/>
      </c>
      <c r="GA706" s="139" t="str">
        <f>IF($FY706&gt;0,IF(INDEX($EM$6:$EM$77,$FT706)&gt;=GA$3,ROUND(INDEX(EO$6:EO$77,$FT706)*INDEX(卡牌消耗!$B$8:$F$8,FV706)/5,0)*5,""),"")</f>
        <v/>
      </c>
      <c r="GB706" s="101" t="str">
        <f t="shared" si="393"/>
        <v/>
      </c>
      <c r="GC706" s="101" t="str">
        <f t="shared" si="394"/>
        <v/>
      </c>
      <c r="GD706" s="101" t="str">
        <f t="shared" si="395"/>
        <v/>
      </c>
      <c r="GE706" s="101" t="str">
        <f t="shared" si="396"/>
        <v/>
      </c>
      <c r="GF706" s="101" t="str">
        <f t="shared" si="401"/>
        <v/>
      </c>
      <c r="GG706" s="101" t="str">
        <f t="shared" si="402"/>
        <v/>
      </c>
      <c r="GH706" s="101" t="str">
        <f t="shared" si="403"/>
        <v/>
      </c>
      <c r="GI706" s="101" t="str">
        <f t="shared" si="404"/>
        <v/>
      </c>
      <c r="GJ706" s="101" t="str">
        <f t="shared" si="405"/>
        <v/>
      </c>
      <c r="GK706" s="101" t="str">
        <f t="shared" si="406"/>
        <v/>
      </c>
      <c r="GL706" s="101" t="str">
        <f t="shared" si="407"/>
        <v/>
      </c>
      <c r="GM706" s="101" t="str">
        <f t="shared" si="408"/>
        <v/>
      </c>
      <c r="GN706" s="101" t="str">
        <f t="shared" si="409"/>
        <v/>
      </c>
      <c r="GO706" s="101" t="str">
        <f t="shared" si="410"/>
        <v/>
      </c>
      <c r="GP706" s="101" t="str">
        <f t="shared" si="411"/>
        <v/>
      </c>
      <c r="GQ706" s="101" t="str">
        <f t="shared" si="412"/>
        <v/>
      </c>
    </row>
    <row r="707" spans="175:199" ht="16.5" x14ac:dyDescent="0.2">
      <c r="FS707" s="101">
        <v>702</v>
      </c>
      <c r="FT707" s="101">
        <f t="shared" si="397"/>
        <v>55</v>
      </c>
      <c r="FU707" s="101">
        <f t="shared" si="390"/>
        <v>9</v>
      </c>
      <c r="FV707" s="14">
        <f t="shared" si="391"/>
        <v>4</v>
      </c>
      <c r="FW707" s="101" t="str">
        <f t="shared" si="398"/>
        <v>张郃专属武器-魂珠-7 1级</v>
      </c>
      <c r="FX707" s="101">
        <f t="shared" si="399"/>
        <v>7</v>
      </c>
      <c r="FY707" s="101">
        <f t="shared" si="400"/>
        <v>1</v>
      </c>
      <c r="FZ707" s="101" t="str">
        <f t="shared" si="392"/>
        <v>金币</v>
      </c>
      <c r="GA707" s="139">
        <f>IF($FY707&gt;0,IF(INDEX($EM$6:$EM$77,$FT707)&gt;=GA$3,ROUND(INDEX(EO$6:EO$77,$FT707)*INDEX(卡牌消耗!$B$8:$F$8,FV707)/5,0)*5,""),"")</f>
        <v>7615</v>
      </c>
      <c r="GB707" s="101" t="str">
        <f t="shared" si="393"/>
        <v>专属强化石3</v>
      </c>
      <c r="GC707" s="101">
        <f t="shared" si="394"/>
        <v>6</v>
      </c>
      <c r="GD707" s="101" t="str">
        <f t="shared" si="395"/>
        <v>专属强化石4</v>
      </c>
      <c r="GE707" s="101">
        <f t="shared" si="396"/>
        <v>2</v>
      </c>
      <c r="GF707" s="101">
        <f t="shared" si="401"/>
        <v>0.2</v>
      </c>
      <c r="GG707" s="101">
        <f t="shared" si="402"/>
        <v>1</v>
      </c>
      <c r="GH707" s="101">
        <f t="shared" si="403"/>
        <v>8</v>
      </c>
      <c r="GI707" s="101">
        <f t="shared" si="404"/>
        <v>0</v>
      </c>
      <c r="GJ707" s="101">
        <f t="shared" si="405"/>
        <v>1</v>
      </c>
      <c r="GK707" s="101">
        <f t="shared" si="406"/>
        <v>2</v>
      </c>
      <c r="GL707" s="101">
        <f t="shared" si="407"/>
        <v>9.9400000000000002E-2</v>
      </c>
      <c r="GM707" s="101">
        <f t="shared" si="408"/>
        <v>1</v>
      </c>
      <c r="GN707" s="101">
        <f t="shared" si="409"/>
        <v>4</v>
      </c>
      <c r="GO707" s="101">
        <f t="shared" si="410"/>
        <v>0.3977</v>
      </c>
      <c r="GP707" s="101">
        <f t="shared" si="411"/>
        <v>1</v>
      </c>
      <c r="GQ707" s="101">
        <f t="shared" si="412"/>
        <v>8</v>
      </c>
    </row>
    <row r="708" spans="175:199" ht="16.5" x14ac:dyDescent="0.2">
      <c r="FS708" s="101">
        <v>703</v>
      </c>
      <c r="FT708" s="101">
        <f t="shared" si="397"/>
        <v>56</v>
      </c>
      <c r="FU708" s="101">
        <f t="shared" si="390"/>
        <v>9</v>
      </c>
      <c r="FV708" s="14">
        <f t="shared" si="391"/>
        <v>4</v>
      </c>
      <c r="FW708" s="101" t="str">
        <f t="shared" si="398"/>
        <v>张郃专属武器-魂珠-7 2级</v>
      </c>
      <c r="FX708" s="101">
        <f t="shared" si="399"/>
        <v>7</v>
      </c>
      <c r="FY708" s="101">
        <f t="shared" si="400"/>
        <v>2</v>
      </c>
      <c r="FZ708" s="101" t="str">
        <f t="shared" si="392"/>
        <v>金币</v>
      </c>
      <c r="GA708" s="139">
        <f>IF($FY708&gt;0,IF(INDEX($EM$6:$EM$77,$FT708)&gt;=GA$3,ROUND(INDEX(EO$6:EO$77,$FT708)*INDEX(卡牌消耗!$B$8:$F$8,FV708)/5,0)*5,""),"")</f>
        <v>5710</v>
      </c>
      <c r="GB708" s="101" t="str">
        <f t="shared" si="393"/>
        <v>专属强化石3</v>
      </c>
      <c r="GC708" s="101">
        <f t="shared" si="394"/>
        <v>6</v>
      </c>
      <c r="GD708" s="101" t="str">
        <f t="shared" si="395"/>
        <v>专属强化石4</v>
      </c>
      <c r="GE708" s="101">
        <f t="shared" si="396"/>
        <v>2</v>
      </c>
      <c r="GF708" s="101">
        <f t="shared" si="401"/>
        <v>0.1</v>
      </c>
      <c r="GG708" s="101">
        <f t="shared" si="402"/>
        <v>1</v>
      </c>
      <c r="GH708" s="101">
        <f t="shared" si="403"/>
        <v>15</v>
      </c>
      <c r="GI708" s="101">
        <f t="shared" si="404"/>
        <v>0</v>
      </c>
      <c r="GJ708" s="101">
        <f t="shared" si="405"/>
        <v>1</v>
      </c>
      <c r="GK708" s="101">
        <f t="shared" si="406"/>
        <v>4</v>
      </c>
      <c r="GL708" s="101">
        <f t="shared" si="407"/>
        <v>4.9700000000000001E-2</v>
      </c>
      <c r="GM708" s="101">
        <f t="shared" si="408"/>
        <v>1</v>
      </c>
      <c r="GN708" s="101">
        <f t="shared" si="409"/>
        <v>7</v>
      </c>
      <c r="GO708" s="101">
        <f t="shared" si="410"/>
        <v>0.19889999999999999</v>
      </c>
      <c r="GP708" s="101">
        <f t="shared" si="411"/>
        <v>1</v>
      </c>
      <c r="GQ708" s="101">
        <f t="shared" si="412"/>
        <v>15</v>
      </c>
    </row>
    <row r="709" spans="175:199" ht="16.5" x14ac:dyDescent="0.2">
      <c r="FS709" s="101">
        <v>704</v>
      </c>
      <c r="FT709" s="101">
        <f t="shared" si="397"/>
        <v>57</v>
      </c>
      <c r="FU709" s="101">
        <f t="shared" si="390"/>
        <v>9</v>
      </c>
      <c r="FV709" s="14">
        <f t="shared" si="391"/>
        <v>4</v>
      </c>
      <c r="FW709" s="101" t="str">
        <f t="shared" si="398"/>
        <v>张郃专属武器-魂珠-7 3级</v>
      </c>
      <c r="FX709" s="101">
        <f t="shared" si="399"/>
        <v>7</v>
      </c>
      <c r="FY709" s="101">
        <f t="shared" si="400"/>
        <v>3</v>
      </c>
      <c r="FZ709" s="101" t="str">
        <f t="shared" si="392"/>
        <v>金币</v>
      </c>
      <c r="GA709" s="139">
        <f>IF($FY709&gt;0,IF(INDEX($EM$6:$EM$77,$FT709)&gt;=GA$3,ROUND(INDEX(EO$6:EO$77,$FT709)*INDEX(卡牌消耗!$B$8:$F$8,FV709)/5,0)*5,""),"")</f>
        <v>9520</v>
      </c>
      <c r="GB709" s="101" t="str">
        <f t="shared" si="393"/>
        <v>专属强化石3</v>
      </c>
      <c r="GC709" s="101">
        <f t="shared" si="394"/>
        <v>9</v>
      </c>
      <c r="GD709" s="101" t="str">
        <f t="shared" si="395"/>
        <v>专属强化石4</v>
      </c>
      <c r="GE709" s="101">
        <f t="shared" si="396"/>
        <v>3</v>
      </c>
      <c r="GF709" s="101">
        <f t="shared" si="401"/>
        <v>0.1</v>
      </c>
      <c r="GG709" s="101">
        <f t="shared" si="402"/>
        <v>1</v>
      </c>
      <c r="GH709" s="101">
        <f t="shared" si="403"/>
        <v>15</v>
      </c>
      <c r="GI709" s="101">
        <f t="shared" si="404"/>
        <v>0</v>
      </c>
      <c r="GJ709" s="101">
        <f t="shared" si="405"/>
        <v>1</v>
      </c>
      <c r="GK709" s="101">
        <f t="shared" si="406"/>
        <v>4</v>
      </c>
      <c r="GL709" s="101">
        <f t="shared" si="407"/>
        <v>4.9700000000000001E-2</v>
      </c>
      <c r="GM709" s="101">
        <f t="shared" si="408"/>
        <v>1</v>
      </c>
      <c r="GN709" s="101">
        <f t="shared" si="409"/>
        <v>7</v>
      </c>
      <c r="GO709" s="101">
        <f t="shared" si="410"/>
        <v>0.19889999999999999</v>
      </c>
      <c r="GP709" s="101">
        <f t="shared" si="411"/>
        <v>1</v>
      </c>
      <c r="GQ709" s="101">
        <f t="shared" si="412"/>
        <v>15</v>
      </c>
    </row>
    <row r="710" spans="175:199" ht="16.5" x14ac:dyDescent="0.2">
      <c r="FS710" s="101">
        <v>705</v>
      </c>
      <c r="FT710" s="101">
        <f t="shared" si="397"/>
        <v>58</v>
      </c>
      <c r="FU710" s="101">
        <f t="shared" si="390"/>
        <v>9</v>
      </c>
      <c r="FV710" s="14">
        <f t="shared" si="391"/>
        <v>4</v>
      </c>
      <c r="FW710" s="101" t="str">
        <f t="shared" si="398"/>
        <v>张郃专属武器-魂珠-7 4级</v>
      </c>
      <c r="FX710" s="101">
        <f t="shared" si="399"/>
        <v>7</v>
      </c>
      <c r="FY710" s="101">
        <f t="shared" si="400"/>
        <v>4</v>
      </c>
      <c r="FZ710" s="101" t="str">
        <f t="shared" si="392"/>
        <v>金币</v>
      </c>
      <c r="GA710" s="139">
        <f>IF($FY710&gt;0,IF(INDEX($EM$6:$EM$77,$FT710)&gt;=GA$3,ROUND(INDEX(EO$6:EO$77,$FT710)*INDEX(卡牌消耗!$B$8:$F$8,FV710)/5,0)*5,""),"")</f>
        <v>12185</v>
      </c>
      <c r="GB710" s="101" t="str">
        <f t="shared" si="393"/>
        <v>专属强化石3</v>
      </c>
      <c r="GC710" s="101">
        <f t="shared" si="394"/>
        <v>12</v>
      </c>
      <c r="GD710" s="101" t="str">
        <f t="shared" si="395"/>
        <v>专属强化石4</v>
      </c>
      <c r="GE710" s="101">
        <f t="shared" si="396"/>
        <v>4</v>
      </c>
      <c r="GF710" s="101">
        <f t="shared" si="401"/>
        <v>0.08</v>
      </c>
      <c r="GG710" s="101">
        <f t="shared" si="402"/>
        <v>1</v>
      </c>
      <c r="GH710" s="101">
        <f t="shared" si="403"/>
        <v>19</v>
      </c>
      <c r="GI710" s="101">
        <f t="shared" si="404"/>
        <v>0</v>
      </c>
      <c r="GJ710" s="101">
        <f t="shared" si="405"/>
        <v>1</v>
      </c>
      <c r="GK710" s="101">
        <f t="shared" si="406"/>
        <v>4</v>
      </c>
      <c r="GL710" s="101">
        <f t="shared" si="407"/>
        <v>3.9800000000000002E-2</v>
      </c>
      <c r="GM710" s="101">
        <f t="shared" si="408"/>
        <v>1</v>
      </c>
      <c r="GN710" s="101">
        <f t="shared" si="409"/>
        <v>9</v>
      </c>
      <c r="GO710" s="101">
        <f t="shared" si="410"/>
        <v>0.15909999999999999</v>
      </c>
      <c r="GP710" s="101">
        <f t="shared" si="411"/>
        <v>1</v>
      </c>
      <c r="GQ710" s="101">
        <f t="shared" si="412"/>
        <v>19</v>
      </c>
    </row>
    <row r="711" spans="175:199" ht="16.5" x14ac:dyDescent="0.2">
      <c r="FS711" s="101">
        <v>706</v>
      </c>
      <c r="FT711" s="101">
        <f t="shared" si="397"/>
        <v>59</v>
      </c>
      <c r="FU711" s="101">
        <f t="shared" ref="FU711:FU774" si="413">INT((FS711-1)/80+1)</f>
        <v>9</v>
      </c>
      <c r="FV711" s="14">
        <f t="shared" ref="FV711:FV774" si="414">INDEX($FO$6:$FO$26,FU711)</f>
        <v>4</v>
      </c>
      <c r="FW711" s="101" t="str">
        <f t="shared" si="398"/>
        <v>张郃专属武器-魂珠-7 5级</v>
      </c>
      <c r="FX711" s="101">
        <f t="shared" si="399"/>
        <v>7</v>
      </c>
      <c r="FY711" s="101">
        <f t="shared" si="400"/>
        <v>5</v>
      </c>
      <c r="FZ711" s="101" t="str">
        <f t="shared" ref="FZ711:FZ774" si="415">IF($FY711&gt;0,IF(INDEX($EM$6:$EM$77,$FT711)&gt;=FZ$3,INDEX(EN$6:EN$77,$FT711),""),"")</f>
        <v>金币</v>
      </c>
      <c r="GA711" s="139">
        <f>IF($FY711&gt;0,IF(INDEX($EM$6:$EM$77,$FT711)&gt;=GA$3,ROUND(INDEX(EO$6:EO$77,$FT711)*INDEX(卡牌消耗!$B$8:$F$8,FV711)/5,0)*5,""),"")</f>
        <v>12375</v>
      </c>
      <c r="GB711" s="101" t="str">
        <f t="shared" ref="GB711:GB774" si="416">IF($FY711&gt;0,IF(INDEX($EM$6:$EM$77,$FT711)&gt;=GB$3,INDEX(EP$6:EP$77,$FT711),""),"")</f>
        <v>专属强化石3</v>
      </c>
      <c r="GC711" s="101">
        <f t="shared" ref="GC711:GC774" si="417">IF($FY711&gt;0,IF(INDEX($EM$6:$EM$77,$FT711)&gt;=GC$3,INDEX(EQ$6:EQ$77,$FT711),""),"")</f>
        <v>12</v>
      </c>
      <c r="GD711" s="101" t="str">
        <f t="shared" ref="GD711:GD774" si="418">IF($FY711&gt;0,IF(INDEX($EM$6:$EM$77,$FT711)&gt;=GD$3,INDEX(ER$6:ER$77,$FT711),""),"")</f>
        <v>专属强化石4</v>
      </c>
      <c r="GE711" s="101">
        <f t="shared" ref="GE711:GE774" si="419">IF($FY711&gt;0,IF(INDEX($EM$6:$EM$77,$FT711)&gt;=GE$3,INDEX(ES$6:ES$77,$FT711),""),"")</f>
        <v>4</v>
      </c>
      <c r="GF711" s="101">
        <f t="shared" si="401"/>
        <v>0.05</v>
      </c>
      <c r="GG711" s="101">
        <f t="shared" si="402"/>
        <v>1</v>
      </c>
      <c r="GH711" s="101">
        <f t="shared" si="403"/>
        <v>30</v>
      </c>
      <c r="GI711" s="101">
        <f t="shared" si="404"/>
        <v>0</v>
      </c>
      <c r="GJ711" s="101">
        <f t="shared" si="405"/>
        <v>1</v>
      </c>
      <c r="GK711" s="101">
        <f t="shared" si="406"/>
        <v>7</v>
      </c>
      <c r="GL711" s="101">
        <f t="shared" si="407"/>
        <v>2.4899999999999999E-2</v>
      </c>
      <c r="GM711" s="101">
        <f t="shared" si="408"/>
        <v>1</v>
      </c>
      <c r="GN711" s="101">
        <f t="shared" si="409"/>
        <v>14</v>
      </c>
      <c r="GO711" s="101">
        <f t="shared" si="410"/>
        <v>9.9400000000000002E-2</v>
      </c>
      <c r="GP711" s="101">
        <f t="shared" si="411"/>
        <v>1</v>
      </c>
      <c r="GQ711" s="101">
        <f t="shared" si="412"/>
        <v>30</v>
      </c>
    </row>
    <row r="712" spans="175:199" ht="16.5" x14ac:dyDescent="0.2">
      <c r="FS712" s="101">
        <v>707</v>
      </c>
      <c r="FT712" s="101">
        <f t="shared" si="397"/>
        <v>60</v>
      </c>
      <c r="FU712" s="101">
        <f t="shared" si="413"/>
        <v>9</v>
      </c>
      <c r="FV712" s="14">
        <f t="shared" si="414"/>
        <v>4</v>
      </c>
      <c r="FW712" s="101" t="str">
        <f t="shared" si="398"/>
        <v>张郃专属武器-魂珠-7 6级</v>
      </c>
      <c r="FX712" s="101">
        <f t="shared" si="399"/>
        <v>7</v>
      </c>
      <c r="FY712" s="101">
        <f t="shared" si="400"/>
        <v>6</v>
      </c>
      <c r="FZ712" s="101" t="str">
        <f t="shared" si="415"/>
        <v>金币</v>
      </c>
      <c r="GA712" s="139">
        <f>IF($FY712&gt;0,IF(INDEX($EM$6:$EM$77,$FT712)&gt;=GA$3,ROUND(INDEX(EO$6:EO$77,$FT712)*INDEX(卡牌消耗!$B$8:$F$8,FV712)/5,0)*5,""),"")</f>
        <v>15380</v>
      </c>
      <c r="GB712" s="101" t="str">
        <f t="shared" si="416"/>
        <v>专属强化石3</v>
      </c>
      <c r="GC712" s="101">
        <f t="shared" si="417"/>
        <v>15</v>
      </c>
      <c r="GD712" s="101" t="str">
        <f t="shared" si="418"/>
        <v>专属强化石4</v>
      </c>
      <c r="GE712" s="101">
        <f t="shared" si="419"/>
        <v>5</v>
      </c>
      <c r="GF712" s="101">
        <f t="shared" si="401"/>
        <v>0.04</v>
      </c>
      <c r="GG712" s="101">
        <f t="shared" si="402"/>
        <v>1</v>
      </c>
      <c r="GH712" s="101">
        <f t="shared" si="403"/>
        <v>39</v>
      </c>
      <c r="GI712" s="101">
        <f t="shared" si="404"/>
        <v>0</v>
      </c>
      <c r="GJ712" s="101">
        <f t="shared" si="405"/>
        <v>1</v>
      </c>
      <c r="GK712" s="101">
        <f t="shared" si="406"/>
        <v>9</v>
      </c>
      <c r="GL712" s="101">
        <f t="shared" si="407"/>
        <v>1.9099999999999999E-2</v>
      </c>
      <c r="GM712" s="101">
        <f t="shared" si="408"/>
        <v>1</v>
      </c>
      <c r="GN712" s="101">
        <f t="shared" si="409"/>
        <v>18</v>
      </c>
      <c r="GO712" s="101">
        <f t="shared" si="410"/>
        <v>7.6499999999999999E-2</v>
      </c>
      <c r="GP712" s="101">
        <f t="shared" si="411"/>
        <v>1</v>
      </c>
      <c r="GQ712" s="101">
        <f t="shared" si="412"/>
        <v>39</v>
      </c>
    </row>
    <row r="713" spans="175:199" ht="16.5" x14ac:dyDescent="0.2">
      <c r="FS713" s="101">
        <v>708</v>
      </c>
      <c r="FT713" s="101">
        <f t="shared" si="397"/>
        <v>61</v>
      </c>
      <c r="FU713" s="101">
        <f t="shared" si="413"/>
        <v>9</v>
      </c>
      <c r="FV713" s="14">
        <f t="shared" si="414"/>
        <v>4</v>
      </c>
      <c r="FW713" s="101" t="str">
        <f t="shared" si="398"/>
        <v>张郃专属武器-魂珠-7 7级</v>
      </c>
      <c r="FX713" s="101">
        <f t="shared" si="399"/>
        <v>7</v>
      </c>
      <c r="FY713" s="101">
        <f t="shared" si="400"/>
        <v>7</v>
      </c>
      <c r="FZ713" s="101" t="str">
        <f t="shared" si="415"/>
        <v>金币</v>
      </c>
      <c r="GA713" s="139">
        <f>IF($FY713&gt;0,IF(INDEX($EM$6:$EM$77,$FT713)&gt;=GA$3,ROUND(INDEX(EO$6:EO$77,$FT713)*INDEX(卡牌消耗!$B$8:$F$8,FV713)/5,0)*5,""),"")</f>
        <v>21580</v>
      </c>
      <c r="GB713" s="101" t="str">
        <f t="shared" si="416"/>
        <v>专属强化石3</v>
      </c>
      <c r="GC713" s="101">
        <f t="shared" si="417"/>
        <v>21</v>
      </c>
      <c r="GD713" s="101" t="str">
        <f t="shared" si="418"/>
        <v>专属强化石4</v>
      </c>
      <c r="GE713" s="101">
        <f t="shared" si="419"/>
        <v>7</v>
      </c>
      <c r="GF713" s="101">
        <f t="shared" si="401"/>
        <v>0.03</v>
      </c>
      <c r="GG713" s="101">
        <f t="shared" si="402"/>
        <v>1</v>
      </c>
      <c r="GH713" s="101">
        <f t="shared" si="403"/>
        <v>45</v>
      </c>
      <c r="GI713" s="101">
        <f t="shared" si="404"/>
        <v>0</v>
      </c>
      <c r="GJ713" s="101">
        <f t="shared" si="405"/>
        <v>1</v>
      </c>
      <c r="GK713" s="101">
        <f t="shared" si="406"/>
        <v>11</v>
      </c>
      <c r="GL713" s="101">
        <f t="shared" si="407"/>
        <v>1.66E-2</v>
      </c>
      <c r="GM713" s="101">
        <f t="shared" si="408"/>
        <v>1</v>
      </c>
      <c r="GN713" s="101">
        <f t="shared" si="409"/>
        <v>21</v>
      </c>
      <c r="GO713" s="101">
        <f t="shared" si="410"/>
        <v>6.6299999999999998E-2</v>
      </c>
      <c r="GP713" s="101">
        <f t="shared" si="411"/>
        <v>1</v>
      </c>
      <c r="GQ713" s="101">
        <f t="shared" si="412"/>
        <v>45</v>
      </c>
    </row>
    <row r="714" spans="175:199" ht="16.5" x14ac:dyDescent="0.2">
      <c r="FS714" s="101">
        <v>709</v>
      </c>
      <c r="FT714" s="101">
        <f t="shared" si="397"/>
        <v>62</v>
      </c>
      <c r="FU714" s="101">
        <f t="shared" si="413"/>
        <v>9</v>
      </c>
      <c r="FV714" s="14">
        <f t="shared" si="414"/>
        <v>4</v>
      </c>
      <c r="FW714" s="101" t="str">
        <f t="shared" si="398"/>
        <v>张郃专属武器-魂珠-7 8级</v>
      </c>
      <c r="FX714" s="101">
        <f t="shared" si="399"/>
        <v>7</v>
      </c>
      <c r="FY714" s="101">
        <f t="shared" si="400"/>
        <v>8</v>
      </c>
      <c r="FZ714" s="101" t="str">
        <f t="shared" si="415"/>
        <v>金币</v>
      </c>
      <c r="GA714" s="139">
        <f>IF($FY714&gt;0,IF(INDEX($EM$6:$EM$77,$FT714)&gt;=GA$3,ROUND(INDEX(EO$6:EO$77,$FT714)*INDEX(卡牌消耗!$B$8:$F$8,FV714)/5,0)*5,""),"")</f>
        <v>24640</v>
      </c>
      <c r="GB714" s="101" t="str">
        <f t="shared" si="416"/>
        <v>专属强化石3</v>
      </c>
      <c r="GC714" s="101">
        <f t="shared" si="417"/>
        <v>24</v>
      </c>
      <c r="GD714" s="101" t="str">
        <f t="shared" si="418"/>
        <v>专属强化石4</v>
      </c>
      <c r="GE714" s="101">
        <f t="shared" si="419"/>
        <v>8</v>
      </c>
      <c r="GF714" s="101">
        <f t="shared" si="401"/>
        <v>0.02</v>
      </c>
      <c r="GG714" s="101">
        <f t="shared" si="402"/>
        <v>1</v>
      </c>
      <c r="GH714" s="101">
        <f t="shared" si="403"/>
        <v>64</v>
      </c>
      <c r="GI714" s="101">
        <f t="shared" si="404"/>
        <v>0</v>
      </c>
      <c r="GJ714" s="101">
        <f t="shared" si="405"/>
        <v>1</v>
      </c>
      <c r="GK714" s="101">
        <f t="shared" si="406"/>
        <v>15</v>
      </c>
      <c r="GL714" s="101">
        <f t="shared" si="407"/>
        <v>1.17E-2</v>
      </c>
      <c r="GM714" s="101">
        <f t="shared" si="408"/>
        <v>1</v>
      </c>
      <c r="GN714" s="101">
        <f t="shared" si="409"/>
        <v>30</v>
      </c>
      <c r="GO714" s="101">
        <f t="shared" si="410"/>
        <v>4.6800000000000001E-2</v>
      </c>
      <c r="GP714" s="101">
        <f t="shared" si="411"/>
        <v>1</v>
      </c>
      <c r="GQ714" s="101">
        <f t="shared" si="412"/>
        <v>64</v>
      </c>
    </row>
    <row r="715" spans="175:199" ht="16.5" x14ac:dyDescent="0.2">
      <c r="FS715" s="101">
        <v>710</v>
      </c>
      <c r="FT715" s="101">
        <f t="shared" si="397"/>
        <v>63</v>
      </c>
      <c r="FU715" s="101">
        <f t="shared" si="413"/>
        <v>9</v>
      </c>
      <c r="FV715" s="14">
        <f t="shared" si="414"/>
        <v>4</v>
      </c>
      <c r="FW715" s="101" t="str">
        <f t="shared" si="398"/>
        <v>张郃专属武器-魂珠-7 9级</v>
      </c>
      <c r="FX715" s="101">
        <f t="shared" si="399"/>
        <v>7</v>
      </c>
      <c r="FY715" s="101">
        <f t="shared" si="400"/>
        <v>9</v>
      </c>
      <c r="FZ715" s="101" t="str">
        <f t="shared" si="415"/>
        <v>金币</v>
      </c>
      <c r="GA715" s="139">
        <f>IF($FY715&gt;0,IF(INDEX($EM$6:$EM$77,$FT715)&gt;=GA$3,ROUND(INDEX(EO$6:EO$77,$FT715)*INDEX(卡牌消耗!$B$8:$F$8,FV715)/5,0)*5,""),"")</f>
        <v>30810</v>
      </c>
      <c r="GB715" s="101" t="str">
        <f t="shared" si="416"/>
        <v>专属强化石3</v>
      </c>
      <c r="GC715" s="101">
        <f t="shared" si="417"/>
        <v>30</v>
      </c>
      <c r="GD715" s="101" t="str">
        <f t="shared" si="418"/>
        <v>专属强化石4</v>
      </c>
      <c r="GE715" s="101">
        <f t="shared" si="419"/>
        <v>10</v>
      </c>
      <c r="GF715" s="101">
        <f t="shared" si="401"/>
        <v>0.02</v>
      </c>
      <c r="GG715" s="101">
        <f t="shared" si="402"/>
        <v>1</v>
      </c>
      <c r="GH715" s="101">
        <f t="shared" si="403"/>
        <v>83</v>
      </c>
      <c r="GI715" s="101">
        <f t="shared" si="404"/>
        <v>0</v>
      </c>
      <c r="GJ715" s="101">
        <f t="shared" si="405"/>
        <v>1</v>
      </c>
      <c r="GK715" s="101">
        <f t="shared" si="406"/>
        <v>19</v>
      </c>
      <c r="GL715" s="101">
        <f t="shared" si="407"/>
        <v>8.9999999999999993E-3</v>
      </c>
      <c r="GM715" s="101">
        <f t="shared" si="408"/>
        <v>1</v>
      </c>
      <c r="GN715" s="101">
        <f t="shared" si="409"/>
        <v>39</v>
      </c>
      <c r="GO715" s="101">
        <f t="shared" si="410"/>
        <v>3.6200000000000003E-2</v>
      </c>
      <c r="GP715" s="101">
        <f t="shared" si="411"/>
        <v>1</v>
      </c>
      <c r="GQ715" s="101">
        <f t="shared" si="412"/>
        <v>83</v>
      </c>
    </row>
    <row r="716" spans="175:199" ht="16.5" x14ac:dyDescent="0.2">
      <c r="FS716" s="101">
        <v>711</v>
      </c>
      <c r="FT716" s="101">
        <f t="shared" si="397"/>
        <v>0</v>
      </c>
      <c r="FU716" s="101">
        <f t="shared" si="413"/>
        <v>9</v>
      </c>
      <c r="FV716" s="14">
        <f t="shared" si="414"/>
        <v>4</v>
      </c>
      <c r="FW716" s="101" t="str">
        <f t="shared" si="398"/>
        <v>张郃专属武器-魂珠-8 0级</v>
      </c>
      <c r="FX716" s="101">
        <f t="shared" si="399"/>
        <v>8</v>
      </c>
      <c r="FY716" s="101">
        <f t="shared" si="400"/>
        <v>0</v>
      </c>
      <c r="FZ716" s="101" t="str">
        <f t="shared" si="415"/>
        <v/>
      </c>
      <c r="GA716" s="139" t="str">
        <f>IF($FY716&gt;0,IF(INDEX($EM$6:$EM$77,$FT716)&gt;=GA$3,ROUND(INDEX(EO$6:EO$77,$FT716)*INDEX(卡牌消耗!$B$8:$F$8,FV716)/5,0)*5,""),"")</f>
        <v/>
      </c>
      <c r="GB716" s="101" t="str">
        <f t="shared" si="416"/>
        <v/>
      </c>
      <c r="GC716" s="101" t="str">
        <f t="shared" si="417"/>
        <v/>
      </c>
      <c r="GD716" s="101" t="str">
        <f t="shared" si="418"/>
        <v/>
      </c>
      <c r="GE716" s="101" t="str">
        <f t="shared" si="419"/>
        <v/>
      </c>
      <c r="GF716" s="101" t="str">
        <f t="shared" si="401"/>
        <v/>
      </c>
      <c r="GG716" s="101" t="str">
        <f t="shared" si="402"/>
        <v/>
      </c>
      <c r="GH716" s="101" t="str">
        <f t="shared" si="403"/>
        <v/>
      </c>
      <c r="GI716" s="101" t="str">
        <f t="shared" si="404"/>
        <v/>
      </c>
      <c r="GJ716" s="101" t="str">
        <f t="shared" si="405"/>
        <v/>
      </c>
      <c r="GK716" s="101" t="str">
        <f t="shared" si="406"/>
        <v/>
      </c>
      <c r="GL716" s="101" t="str">
        <f t="shared" si="407"/>
        <v/>
      </c>
      <c r="GM716" s="101" t="str">
        <f t="shared" si="408"/>
        <v/>
      </c>
      <c r="GN716" s="101" t="str">
        <f t="shared" si="409"/>
        <v/>
      </c>
      <c r="GO716" s="101" t="str">
        <f t="shared" si="410"/>
        <v/>
      </c>
      <c r="GP716" s="101" t="str">
        <f t="shared" si="411"/>
        <v/>
      </c>
      <c r="GQ716" s="101" t="str">
        <f t="shared" si="412"/>
        <v/>
      </c>
    </row>
    <row r="717" spans="175:199" ht="16.5" x14ac:dyDescent="0.2">
      <c r="FS717" s="101">
        <v>712</v>
      </c>
      <c r="FT717" s="101">
        <f t="shared" si="397"/>
        <v>64</v>
      </c>
      <c r="FU717" s="101">
        <f t="shared" si="413"/>
        <v>9</v>
      </c>
      <c r="FV717" s="14">
        <f t="shared" si="414"/>
        <v>4</v>
      </c>
      <c r="FW717" s="101" t="str">
        <f t="shared" si="398"/>
        <v>张郃专属武器-魂珠-8 1级</v>
      </c>
      <c r="FX717" s="101">
        <f t="shared" si="399"/>
        <v>8</v>
      </c>
      <c r="FY717" s="101">
        <f t="shared" si="400"/>
        <v>1</v>
      </c>
      <c r="FZ717" s="101" t="str">
        <f t="shared" si="415"/>
        <v>金币</v>
      </c>
      <c r="GA717" s="139">
        <f>IF($FY717&gt;0,IF(INDEX($EM$6:$EM$77,$FT717)&gt;=GA$3,ROUND(INDEX(EO$6:EO$77,$FT717)*INDEX(卡牌消耗!$B$8:$F$8,FV717)/5,0)*5,""),"")</f>
        <v>6490</v>
      </c>
      <c r="GB717" s="101" t="str">
        <f t="shared" si="416"/>
        <v>专属强化石4</v>
      </c>
      <c r="GC717" s="101">
        <f t="shared" si="417"/>
        <v>5</v>
      </c>
      <c r="GD717" s="101" t="str">
        <f t="shared" si="418"/>
        <v/>
      </c>
      <c r="GE717" s="101" t="str">
        <f t="shared" si="419"/>
        <v/>
      </c>
      <c r="GF717" s="101">
        <f t="shared" si="401"/>
        <v>0.11</v>
      </c>
      <c r="GG717" s="101">
        <f t="shared" si="402"/>
        <v>1</v>
      </c>
      <c r="GH717" s="101">
        <f t="shared" si="403"/>
        <v>13</v>
      </c>
      <c r="GI717" s="101">
        <f t="shared" si="404"/>
        <v>0</v>
      </c>
      <c r="GJ717" s="101">
        <f t="shared" si="405"/>
        <v>1</v>
      </c>
      <c r="GK717" s="101">
        <f t="shared" si="406"/>
        <v>3</v>
      </c>
      <c r="GL717" s="101">
        <f t="shared" si="407"/>
        <v>5.6500000000000002E-2</v>
      </c>
      <c r="GM717" s="101">
        <f t="shared" si="408"/>
        <v>1</v>
      </c>
      <c r="GN717" s="101">
        <f t="shared" si="409"/>
        <v>6</v>
      </c>
      <c r="GO717" s="101">
        <f t="shared" si="410"/>
        <v>0.22600000000000001</v>
      </c>
      <c r="GP717" s="101">
        <f t="shared" si="411"/>
        <v>1</v>
      </c>
      <c r="GQ717" s="101">
        <f t="shared" si="412"/>
        <v>13</v>
      </c>
    </row>
    <row r="718" spans="175:199" ht="16.5" x14ac:dyDescent="0.2">
      <c r="FS718" s="101">
        <v>713</v>
      </c>
      <c r="FT718" s="101">
        <f t="shared" si="397"/>
        <v>65</v>
      </c>
      <c r="FU718" s="101">
        <f t="shared" si="413"/>
        <v>9</v>
      </c>
      <c r="FV718" s="14">
        <f t="shared" si="414"/>
        <v>4</v>
      </c>
      <c r="FW718" s="101" t="str">
        <f t="shared" si="398"/>
        <v>张郃专属武器-魂珠-8 2级</v>
      </c>
      <c r="FX718" s="101">
        <f t="shared" si="399"/>
        <v>8</v>
      </c>
      <c r="FY718" s="101">
        <f t="shared" si="400"/>
        <v>2</v>
      </c>
      <c r="FZ718" s="101" t="str">
        <f t="shared" si="415"/>
        <v>金币</v>
      </c>
      <c r="GA718" s="139">
        <f>IF($FY718&gt;0,IF(INDEX($EM$6:$EM$77,$FT718)&gt;=GA$3,ROUND(INDEX(EO$6:EO$77,$FT718)*INDEX(卡牌消耗!$B$8:$F$8,FV718)/5,0)*5,""),"")</f>
        <v>7790</v>
      </c>
      <c r="GB718" s="101" t="str">
        <f t="shared" si="416"/>
        <v>专属强化石4</v>
      </c>
      <c r="GC718" s="101">
        <f t="shared" si="417"/>
        <v>8</v>
      </c>
      <c r="GD718" s="101" t="str">
        <f t="shared" si="418"/>
        <v/>
      </c>
      <c r="GE718" s="101" t="str">
        <f t="shared" si="419"/>
        <v/>
      </c>
      <c r="GF718" s="101">
        <f t="shared" si="401"/>
        <v>0.09</v>
      </c>
      <c r="GG718" s="101">
        <f t="shared" si="402"/>
        <v>1</v>
      </c>
      <c r="GH718" s="101">
        <f t="shared" si="403"/>
        <v>17</v>
      </c>
      <c r="GI718" s="101">
        <f t="shared" si="404"/>
        <v>0</v>
      </c>
      <c r="GJ718" s="101">
        <f t="shared" si="405"/>
        <v>1</v>
      </c>
      <c r="GK718" s="101">
        <f t="shared" si="406"/>
        <v>4</v>
      </c>
      <c r="GL718" s="101">
        <f t="shared" si="407"/>
        <v>4.5199999999999997E-2</v>
      </c>
      <c r="GM718" s="101">
        <f t="shared" si="408"/>
        <v>1</v>
      </c>
      <c r="GN718" s="101">
        <f t="shared" si="409"/>
        <v>8</v>
      </c>
      <c r="GO718" s="101">
        <f t="shared" si="410"/>
        <v>0.18079999999999999</v>
      </c>
      <c r="GP718" s="101">
        <f t="shared" si="411"/>
        <v>1</v>
      </c>
      <c r="GQ718" s="101">
        <f t="shared" si="412"/>
        <v>17</v>
      </c>
    </row>
    <row r="719" spans="175:199" ht="16.5" x14ac:dyDescent="0.2">
      <c r="FS719" s="101">
        <v>714</v>
      </c>
      <c r="FT719" s="101">
        <f t="shared" si="397"/>
        <v>66</v>
      </c>
      <c r="FU719" s="101">
        <f t="shared" si="413"/>
        <v>9</v>
      </c>
      <c r="FV719" s="14">
        <f t="shared" si="414"/>
        <v>4</v>
      </c>
      <c r="FW719" s="101" t="str">
        <f t="shared" si="398"/>
        <v>张郃专属武器-魂珠-8 3级</v>
      </c>
      <c r="FX719" s="101">
        <f t="shared" si="399"/>
        <v>8</v>
      </c>
      <c r="FY719" s="101">
        <f t="shared" si="400"/>
        <v>3</v>
      </c>
      <c r="FZ719" s="101" t="str">
        <f t="shared" si="415"/>
        <v>金币</v>
      </c>
      <c r="GA719" s="139">
        <f>IF($FY719&gt;0,IF(INDEX($EM$6:$EM$77,$FT719)&gt;=GA$3,ROUND(INDEX(EO$6:EO$77,$FT719)*INDEX(卡牌消耗!$B$8:$F$8,FV719)/5,0)*5,""),"")</f>
        <v>10820</v>
      </c>
      <c r="GB719" s="101" t="str">
        <f t="shared" si="416"/>
        <v>专属强化石4</v>
      </c>
      <c r="GC719" s="101">
        <f t="shared" si="417"/>
        <v>10</v>
      </c>
      <c r="GD719" s="101" t="str">
        <f t="shared" si="418"/>
        <v/>
      </c>
      <c r="GE719" s="101" t="str">
        <f t="shared" si="419"/>
        <v/>
      </c>
      <c r="GF719" s="101">
        <f t="shared" si="401"/>
        <v>0.08</v>
      </c>
      <c r="GG719" s="101">
        <f t="shared" si="402"/>
        <v>1</v>
      </c>
      <c r="GH719" s="101">
        <f t="shared" si="403"/>
        <v>20</v>
      </c>
      <c r="GI719" s="101">
        <f t="shared" si="404"/>
        <v>0</v>
      </c>
      <c r="GJ719" s="101">
        <f t="shared" si="405"/>
        <v>1</v>
      </c>
      <c r="GK719" s="101">
        <f t="shared" si="406"/>
        <v>5</v>
      </c>
      <c r="GL719" s="101">
        <f t="shared" si="407"/>
        <v>3.7699999999999997E-2</v>
      </c>
      <c r="GM719" s="101">
        <f t="shared" si="408"/>
        <v>1</v>
      </c>
      <c r="GN719" s="101">
        <f t="shared" si="409"/>
        <v>9</v>
      </c>
      <c r="GO719" s="101">
        <f t="shared" si="410"/>
        <v>0.1507</v>
      </c>
      <c r="GP719" s="101">
        <f t="shared" si="411"/>
        <v>1</v>
      </c>
      <c r="GQ719" s="101">
        <f t="shared" si="412"/>
        <v>20</v>
      </c>
    </row>
    <row r="720" spans="175:199" ht="16.5" x14ac:dyDescent="0.2">
      <c r="FS720" s="101">
        <v>715</v>
      </c>
      <c r="FT720" s="101">
        <f t="shared" si="397"/>
        <v>67</v>
      </c>
      <c r="FU720" s="101">
        <f t="shared" si="413"/>
        <v>9</v>
      </c>
      <c r="FV720" s="14">
        <f t="shared" si="414"/>
        <v>4</v>
      </c>
      <c r="FW720" s="101" t="str">
        <f t="shared" si="398"/>
        <v>张郃专属武器-魂珠-8 4级</v>
      </c>
      <c r="FX720" s="101">
        <f t="shared" si="399"/>
        <v>8</v>
      </c>
      <c r="FY720" s="101">
        <f t="shared" si="400"/>
        <v>4</v>
      </c>
      <c r="FZ720" s="101" t="str">
        <f t="shared" si="415"/>
        <v>金币</v>
      </c>
      <c r="GA720" s="139">
        <f>IF($FY720&gt;0,IF(INDEX($EM$6:$EM$77,$FT720)&gt;=GA$3,ROUND(INDEX(EO$6:EO$77,$FT720)*INDEX(卡牌消耗!$B$8:$F$8,FV720)/5,0)*5,""),"")</f>
        <v>12460</v>
      </c>
      <c r="GB720" s="101" t="str">
        <f t="shared" si="416"/>
        <v>专属强化石4</v>
      </c>
      <c r="GC720" s="101">
        <f t="shared" si="417"/>
        <v>12</v>
      </c>
      <c r="GD720" s="101" t="str">
        <f t="shared" si="418"/>
        <v/>
      </c>
      <c r="GE720" s="101" t="str">
        <f t="shared" si="419"/>
        <v/>
      </c>
      <c r="GF720" s="101">
        <f t="shared" si="401"/>
        <v>0.05</v>
      </c>
      <c r="GG720" s="101">
        <f t="shared" si="402"/>
        <v>1</v>
      </c>
      <c r="GH720" s="101">
        <f t="shared" si="403"/>
        <v>28</v>
      </c>
      <c r="GI720" s="101">
        <f t="shared" si="404"/>
        <v>0</v>
      </c>
      <c r="GJ720" s="101">
        <f t="shared" si="405"/>
        <v>1</v>
      </c>
      <c r="GK720" s="101">
        <f t="shared" si="406"/>
        <v>6</v>
      </c>
      <c r="GL720" s="101">
        <f t="shared" si="407"/>
        <v>2.7099999999999999E-2</v>
      </c>
      <c r="GM720" s="101">
        <f t="shared" si="408"/>
        <v>1</v>
      </c>
      <c r="GN720" s="101">
        <f t="shared" si="409"/>
        <v>13</v>
      </c>
      <c r="GO720" s="101">
        <f t="shared" si="410"/>
        <v>0.1085</v>
      </c>
      <c r="GP720" s="101">
        <f t="shared" si="411"/>
        <v>1</v>
      </c>
      <c r="GQ720" s="101">
        <f t="shared" si="412"/>
        <v>28</v>
      </c>
    </row>
    <row r="721" spans="175:199" ht="16.5" x14ac:dyDescent="0.2">
      <c r="FS721" s="101">
        <v>716</v>
      </c>
      <c r="FT721" s="101">
        <f t="shared" si="397"/>
        <v>68</v>
      </c>
      <c r="FU721" s="101">
        <f t="shared" si="413"/>
        <v>9</v>
      </c>
      <c r="FV721" s="14">
        <f t="shared" si="414"/>
        <v>4</v>
      </c>
      <c r="FW721" s="101" t="str">
        <f t="shared" si="398"/>
        <v>张郃专属武器-魂珠-8 5级</v>
      </c>
      <c r="FX721" s="101">
        <f t="shared" si="399"/>
        <v>8</v>
      </c>
      <c r="FY721" s="101">
        <f t="shared" si="400"/>
        <v>5</v>
      </c>
      <c r="FZ721" s="101" t="str">
        <f t="shared" si="415"/>
        <v>金币</v>
      </c>
      <c r="GA721" s="139">
        <f>IF($FY721&gt;0,IF(INDEX($EM$6:$EM$77,$FT721)&gt;=GA$3,ROUND(INDEX(EO$6:EO$77,$FT721)*INDEX(卡牌消耗!$B$8:$F$8,FV721)/5,0)*5,""),"")</f>
        <v>15820</v>
      </c>
      <c r="GB721" s="101" t="str">
        <f t="shared" si="416"/>
        <v>专属强化石4</v>
      </c>
      <c r="GC721" s="101">
        <f t="shared" si="417"/>
        <v>15</v>
      </c>
      <c r="GD721" s="101" t="str">
        <f t="shared" si="418"/>
        <v/>
      </c>
      <c r="GE721" s="101" t="str">
        <f t="shared" si="419"/>
        <v/>
      </c>
      <c r="GF721" s="101">
        <f t="shared" si="401"/>
        <v>0.04</v>
      </c>
      <c r="GG721" s="101">
        <f t="shared" si="402"/>
        <v>1</v>
      </c>
      <c r="GH721" s="101">
        <f t="shared" si="403"/>
        <v>35</v>
      </c>
      <c r="GI721" s="101">
        <f t="shared" si="404"/>
        <v>0</v>
      </c>
      <c r="GJ721" s="101">
        <f t="shared" si="405"/>
        <v>1</v>
      </c>
      <c r="GK721" s="101">
        <f t="shared" si="406"/>
        <v>8</v>
      </c>
      <c r="GL721" s="101">
        <f t="shared" si="407"/>
        <v>2.12E-2</v>
      </c>
      <c r="GM721" s="101">
        <f t="shared" si="408"/>
        <v>1</v>
      </c>
      <c r="GN721" s="101">
        <f t="shared" si="409"/>
        <v>17</v>
      </c>
      <c r="GO721" s="101">
        <f t="shared" si="410"/>
        <v>8.4699999999999998E-2</v>
      </c>
      <c r="GP721" s="101">
        <f t="shared" si="411"/>
        <v>1</v>
      </c>
      <c r="GQ721" s="101">
        <f t="shared" si="412"/>
        <v>35</v>
      </c>
    </row>
    <row r="722" spans="175:199" ht="16.5" x14ac:dyDescent="0.2">
      <c r="FS722" s="101">
        <v>717</v>
      </c>
      <c r="FT722" s="101">
        <f t="shared" si="397"/>
        <v>69</v>
      </c>
      <c r="FU722" s="101">
        <f t="shared" si="413"/>
        <v>9</v>
      </c>
      <c r="FV722" s="14">
        <f t="shared" si="414"/>
        <v>4</v>
      </c>
      <c r="FW722" s="101" t="str">
        <f t="shared" si="398"/>
        <v>张郃专属武器-魂珠-8 6级</v>
      </c>
      <c r="FX722" s="101">
        <f t="shared" si="399"/>
        <v>8</v>
      </c>
      <c r="FY722" s="101">
        <f t="shared" si="400"/>
        <v>6</v>
      </c>
      <c r="FZ722" s="101" t="str">
        <f t="shared" si="415"/>
        <v>金币</v>
      </c>
      <c r="GA722" s="139">
        <f>IF($FY722&gt;0,IF(INDEX($EM$6:$EM$77,$FT722)&gt;=GA$3,ROUND(INDEX(EO$6:EO$77,$FT722)*INDEX(卡牌消耗!$B$8:$F$8,FV722)/5,0)*5,""),"")</f>
        <v>18870</v>
      </c>
      <c r="GB722" s="101" t="str">
        <f t="shared" si="416"/>
        <v>专属强化石4</v>
      </c>
      <c r="GC722" s="101">
        <f t="shared" si="417"/>
        <v>18</v>
      </c>
      <c r="GD722" s="101" t="str">
        <f t="shared" si="418"/>
        <v/>
      </c>
      <c r="GE722" s="101" t="str">
        <f t="shared" si="419"/>
        <v/>
      </c>
      <c r="GF722" s="101">
        <f t="shared" si="401"/>
        <v>0.03</v>
      </c>
      <c r="GG722" s="101">
        <f t="shared" si="402"/>
        <v>1</v>
      </c>
      <c r="GH722" s="101">
        <f t="shared" si="403"/>
        <v>48</v>
      </c>
      <c r="GI722" s="101">
        <f t="shared" si="404"/>
        <v>0</v>
      </c>
      <c r="GJ722" s="101">
        <f t="shared" si="405"/>
        <v>1</v>
      </c>
      <c r="GK722" s="101">
        <f t="shared" si="406"/>
        <v>11</v>
      </c>
      <c r="GL722" s="101">
        <f t="shared" si="407"/>
        <v>1.5599999999999999E-2</v>
      </c>
      <c r="GM722" s="101">
        <f t="shared" si="408"/>
        <v>1</v>
      </c>
      <c r="GN722" s="101">
        <f t="shared" si="409"/>
        <v>22</v>
      </c>
      <c r="GO722" s="101">
        <f t="shared" si="410"/>
        <v>6.2600000000000003E-2</v>
      </c>
      <c r="GP722" s="101">
        <f t="shared" si="411"/>
        <v>1</v>
      </c>
      <c r="GQ722" s="101">
        <f t="shared" si="412"/>
        <v>48</v>
      </c>
    </row>
    <row r="723" spans="175:199" ht="16.5" x14ac:dyDescent="0.2">
      <c r="FS723" s="101">
        <v>718</v>
      </c>
      <c r="FT723" s="101">
        <f t="shared" si="397"/>
        <v>70</v>
      </c>
      <c r="FU723" s="101">
        <f t="shared" si="413"/>
        <v>9</v>
      </c>
      <c r="FV723" s="14">
        <f t="shared" si="414"/>
        <v>4</v>
      </c>
      <c r="FW723" s="101" t="str">
        <f t="shared" si="398"/>
        <v>张郃专属武器-魂珠-8 7级</v>
      </c>
      <c r="FX723" s="101">
        <f t="shared" si="399"/>
        <v>8</v>
      </c>
      <c r="FY723" s="101">
        <f t="shared" si="400"/>
        <v>7</v>
      </c>
      <c r="FZ723" s="101" t="str">
        <f t="shared" si="415"/>
        <v>金币</v>
      </c>
      <c r="GA723" s="139">
        <f>IF($FY723&gt;0,IF(INDEX($EM$6:$EM$77,$FT723)&gt;=GA$3,ROUND(INDEX(EO$6:EO$77,$FT723)*INDEX(卡牌消耗!$B$8:$F$8,FV723)/5,0)*5,""),"")</f>
        <v>26270</v>
      </c>
      <c r="GB723" s="101" t="str">
        <f t="shared" si="416"/>
        <v>专属强化石4</v>
      </c>
      <c r="GC723" s="101">
        <f t="shared" si="417"/>
        <v>25</v>
      </c>
      <c r="GD723" s="101" t="str">
        <f t="shared" si="418"/>
        <v/>
      </c>
      <c r="GE723" s="101" t="str">
        <f t="shared" si="419"/>
        <v/>
      </c>
      <c r="GF723" s="101">
        <f t="shared" si="401"/>
        <v>0.03</v>
      </c>
      <c r="GG723" s="101">
        <f t="shared" si="402"/>
        <v>1</v>
      </c>
      <c r="GH723" s="101">
        <f t="shared" si="403"/>
        <v>56</v>
      </c>
      <c r="GI723" s="101">
        <f t="shared" si="404"/>
        <v>0</v>
      </c>
      <c r="GJ723" s="101">
        <f t="shared" si="405"/>
        <v>1</v>
      </c>
      <c r="GK723" s="101">
        <f t="shared" si="406"/>
        <v>13</v>
      </c>
      <c r="GL723" s="101">
        <f t="shared" si="407"/>
        <v>1.35E-2</v>
      </c>
      <c r="GM723" s="101">
        <f t="shared" si="408"/>
        <v>1</v>
      </c>
      <c r="GN723" s="101">
        <f t="shared" si="409"/>
        <v>26</v>
      </c>
      <c r="GO723" s="101">
        <f t="shared" si="410"/>
        <v>5.3800000000000001E-2</v>
      </c>
      <c r="GP723" s="101">
        <f t="shared" si="411"/>
        <v>1</v>
      </c>
      <c r="GQ723" s="101">
        <f t="shared" si="412"/>
        <v>56</v>
      </c>
    </row>
    <row r="724" spans="175:199" ht="16.5" x14ac:dyDescent="0.2">
      <c r="FS724" s="101">
        <v>719</v>
      </c>
      <c r="FT724" s="101">
        <f t="shared" si="397"/>
        <v>71</v>
      </c>
      <c r="FU724" s="101">
        <f t="shared" si="413"/>
        <v>9</v>
      </c>
      <c r="FV724" s="14">
        <f t="shared" si="414"/>
        <v>4</v>
      </c>
      <c r="FW724" s="101" t="str">
        <f t="shared" si="398"/>
        <v>张郃专属武器-魂珠-8 8级</v>
      </c>
      <c r="FX724" s="101">
        <f t="shared" si="399"/>
        <v>8</v>
      </c>
      <c r="FY724" s="101">
        <f t="shared" si="400"/>
        <v>8</v>
      </c>
      <c r="FZ724" s="101" t="str">
        <f t="shared" si="415"/>
        <v>金币</v>
      </c>
      <c r="GA724" s="139">
        <f>IF($FY724&gt;0,IF(INDEX($EM$6:$EM$77,$FT724)&gt;=GA$3,ROUND(INDEX(EO$6:EO$77,$FT724)*INDEX(卡牌消耗!$B$8:$F$8,FV724)/5,0)*5,""),"")</f>
        <v>31495</v>
      </c>
      <c r="GB724" s="101" t="str">
        <f t="shared" si="416"/>
        <v>专属强化石4</v>
      </c>
      <c r="GC724" s="101">
        <f t="shared" si="417"/>
        <v>30</v>
      </c>
      <c r="GD724" s="101" t="str">
        <f t="shared" si="418"/>
        <v/>
      </c>
      <c r="GE724" s="101" t="str">
        <f t="shared" si="419"/>
        <v/>
      </c>
      <c r="GF724" s="101">
        <f t="shared" si="401"/>
        <v>0.02</v>
      </c>
      <c r="GG724" s="101">
        <f t="shared" si="402"/>
        <v>1</v>
      </c>
      <c r="GH724" s="101">
        <f t="shared" si="403"/>
        <v>75</v>
      </c>
      <c r="GI724" s="101">
        <f t="shared" si="404"/>
        <v>0</v>
      </c>
      <c r="GJ724" s="101">
        <f t="shared" si="405"/>
        <v>1</v>
      </c>
      <c r="GK724" s="101">
        <f t="shared" si="406"/>
        <v>18</v>
      </c>
      <c r="GL724" s="101">
        <f t="shared" si="407"/>
        <v>0.01</v>
      </c>
      <c r="GM724" s="101">
        <f t="shared" si="408"/>
        <v>1</v>
      </c>
      <c r="GN724" s="101">
        <f t="shared" si="409"/>
        <v>35</v>
      </c>
      <c r="GO724" s="101">
        <f t="shared" si="410"/>
        <v>3.9899999999999998E-2</v>
      </c>
      <c r="GP724" s="101">
        <f t="shared" si="411"/>
        <v>1</v>
      </c>
      <c r="GQ724" s="101">
        <f t="shared" si="412"/>
        <v>75</v>
      </c>
    </row>
    <row r="725" spans="175:199" ht="16.5" x14ac:dyDescent="0.2">
      <c r="FS725" s="101">
        <v>720</v>
      </c>
      <c r="FT725" s="101">
        <f t="shared" si="397"/>
        <v>72</v>
      </c>
      <c r="FU725" s="101">
        <f t="shared" si="413"/>
        <v>9</v>
      </c>
      <c r="FV725" s="14">
        <f t="shared" si="414"/>
        <v>4</v>
      </c>
      <c r="FW725" s="101" t="str">
        <f t="shared" si="398"/>
        <v>张郃专属武器-魂珠-8 9级</v>
      </c>
      <c r="FX725" s="101">
        <f t="shared" si="399"/>
        <v>8</v>
      </c>
      <c r="FY725" s="101">
        <f t="shared" si="400"/>
        <v>9</v>
      </c>
      <c r="FZ725" s="101" t="str">
        <f t="shared" si="415"/>
        <v>金币</v>
      </c>
      <c r="GA725" s="139">
        <f>IF($FY725&gt;0,IF(INDEX($EM$6:$EM$77,$FT725)&gt;=GA$3,ROUND(INDEX(EO$6:EO$77,$FT725)*INDEX(卡牌消耗!$B$8:$F$8,FV725)/5,0)*5,""),"")</f>
        <v>31510</v>
      </c>
      <c r="GB725" s="101" t="str">
        <f t="shared" si="416"/>
        <v>专属强化石4</v>
      </c>
      <c r="GC725" s="101">
        <f t="shared" si="417"/>
        <v>30</v>
      </c>
      <c r="GD725" s="101" t="str">
        <f t="shared" si="418"/>
        <v/>
      </c>
      <c r="GE725" s="101" t="str">
        <f t="shared" si="419"/>
        <v/>
      </c>
      <c r="GF725" s="101">
        <f t="shared" si="401"/>
        <v>0.01</v>
      </c>
      <c r="GG725" s="101">
        <f t="shared" si="402"/>
        <v>1</v>
      </c>
      <c r="GH725" s="101">
        <f t="shared" si="403"/>
        <v>122</v>
      </c>
      <c r="GI725" s="101">
        <f t="shared" si="404"/>
        <v>0</v>
      </c>
      <c r="GJ725" s="101">
        <f t="shared" si="405"/>
        <v>1</v>
      </c>
      <c r="GK725" s="101">
        <f t="shared" si="406"/>
        <v>28</v>
      </c>
      <c r="GL725" s="101">
        <f t="shared" si="407"/>
        <v>6.1999999999999998E-3</v>
      </c>
      <c r="GM725" s="101">
        <f t="shared" si="408"/>
        <v>1</v>
      </c>
      <c r="GN725" s="101">
        <f t="shared" si="409"/>
        <v>57</v>
      </c>
      <c r="GO725" s="101">
        <f t="shared" si="410"/>
        <v>2.47E-2</v>
      </c>
      <c r="GP725" s="101">
        <f t="shared" si="411"/>
        <v>1</v>
      </c>
      <c r="GQ725" s="101">
        <f t="shared" si="412"/>
        <v>122</v>
      </c>
    </row>
    <row r="726" spans="175:199" ht="16.5" x14ac:dyDescent="0.2">
      <c r="FS726" s="101">
        <v>721</v>
      </c>
      <c r="FT726" s="101">
        <f t="shared" ref="FT726:FT789" si="420">IF(FY726&gt;0,(FX726-1)*9+FY726,0)</f>
        <v>0</v>
      </c>
      <c r="FU726" s="101">
        <f t="shared" si="413"/>
        <v>10</v>
      </c>
      <c r="FV726" s="14">
        <f t="shared" si="414"/>
        <v>4</v>
      </c>
      <c r="FW726" s="101" t="str">
        <f t="shared" ref="FW726:FW789" si="421">INDEX($FN$6:$FN$26,FU726)&amp;"专属武器-魂珠-"&amp;FX726&amp;" "&amp;FY726&amp;"级"</f>
        <v>张飞专属武器-魂珠-1 0级</v>
      </c>
      <c r="FX726" s="101">
        <f t="shared" ref="FX726:FX789" si="422">INT((FS726-(FU726-1)*80-1)/10)+1</f>
        <v>1</v>
      </c>
      <c r="FY726" s="101">
        <f t="shared" ref="FY726:FY789" si="423">FS726-(FU726-1)*80-(FX726-1)*10-1</f>
        <v>0</v>
      </c>
      <c r="FZ726" s="101" t="str">
        <f t="shared" si="415"/>
        <v/>
      </c>
      <c r="GA726" s="139" t="str">
        <f>IF($FY726&gt;0,IF(INDEX($EM$6:$EM$77,$FT726)&gt;=GA$3,ROUND(INDEX(EO$6:EO$77,$FT726)*INDEX(卡牌消耗!$B$8:$F$8,FV726)/5,0)*5,""),"")</f>
        <v/>
      </c>
      <c r="GB726" s="101" t="str">
        <f t="shared" si="416"/>
        <v/>
      </c>
      <c r="GC726" s="101" t="str">
        <f t="shared" si="417"/>
        <v/>
      </c>
      <c r="GD726" s="101" t="str">
        <f t="shared" si="418"/>
        <v/>
      </c>
      <c r="GE726" s="101" t="str">
        <f t="shared" si="419"/>
        <v/>
      </c>
      <c r="GF726" s="101" t="str">
        <f t="shared" ref="GF726:GF789" si="424">IF($FY726&gt;0,INDEX(ET$6:ET$77,$FT726),"")</f>
        <v/>
      </c>
      <c r="GG726" s="101" t="str">
        <f t="shared" ref="GG726:GG789" si="425">IF($FY726&gt;0,INDEX(EU$6:EU$77,$FT726),"")</f>
        <v/>
      </c>
      <c r="GH726" s="101" t="str">
        <f t="shared" ref="GH726:GH789" si="426">IF($FY726&gt;0,INDEX(EV$6:EV$77,$FT726),"")</f>
        <v/>
      </c>
      <c r="GI726" s="101" t="str">
        <f t="shared" ref="GI726:GI789" si="427">IF($FY726&gt;0,INDEX(FA$6:FA$77,$FT726),"")</f>
        <v/>
      </c>
      <c r="GJ726" s="101" t="str">
        <f t="shared" ref="GJ726:GJ789" si="428">IF($FY726&gt;0,INDEX(FB$6:FB$77,$FT726),"")</f>
        <v/>
      </c>
      <c r="GK726" s="101" t="str">
        <f t="shared" ref="GK726:GK789" si="429">IF($FY726&gt;0,INDEX(FC$6:FC$77,$FT726),"")</f>
        <v/>
      </c>
      <c r="GL726" s="101" t="str">
        <f t="shared" ref="GL726:GL789" si="430">IF($FY726&gt;0,INDEX(FD$6:FD$77,$FT726),"")</f>
        <v/>
      </c>
      <c r="GM726" s="101" t="str">
        <f t="shared" ref="GM726:GM789" si="431">IF($FY726&gt;0,INDEX(FE$6:FE$77,$FT726),"")</f>
        <v/>
      </c>
      <c r="GN726" s="101" t="str">
        <f t="shared" ref="GN726:GN789" si="432">IF($FY726&gt;0,INDEX(FF$6:FF$77,$FT726),"")</f>
        <v/>
      </c>
      <c r="GO726" s="101" t="str">
        <f t="shared" ref="GO726:GO789" si="433">IF($FY726&gt;0,INDEX(FG$6:FG$77,$FT726),"")</f>
        <v/>
      </c>
      <c r="GP726" s="101" t="str">
        <f t="shared" ref="GP726:GP789" si="434">IF($FY726&gt;0,INDEX(FH$6:FH$77,$FT726),"")</f>
        <v/>
      </c>
      <c r="GQ726" s="101" t="str">
        <f t="shared" ref="GQ726:GQ789" si="435">IF($FY726&gt;0,INDEX(FI$6:FI$77,$FT726),"")</f>
        <v/>
      </c>
    </row>
    <row r="727" spans="175:199" ht="16.5" x14ac:dyDescent="0.2">
      <c r="FS727" s="101">
        <v>722</v>
      </c>
      <c r="FT727" s="101">
        <f t="shared" si="420"/>
        <v>1</v>
      </c>
      <c r="FU727" s="101">
        <f t="shared" si="413"/>
        <v>10</v>
      </c>
      <c r="FV727" s="14">
        <f t="shared" si="414"/>
        <v>4</v>
      </c>
      <c r="FW727" s="101" t="str">
        <f t="shared" si="421"/>
        <v>张飞专属武器-魂珠-1 1级</v>
      </c>
      <c r="FX727" s="101">
        <f t="shared" si="422"/>
        <v>1</v>
      </c>
      <c r="FY727" s="101">
        <f t="shared" si="423"/>
        <v>1</v>
      </c>
      <c r="FZ727" s="101" t="str">
        <f t="shared" si="415"/>
        <v>金币</v>
      </c>
      <c r="GA727" s="139">
        <f>IF($FY727&gt;0,IF(INDEX($EM$6:$EM$77,$FT727)&gt;=GA$3,ROUND(INDEX(EO$6:EO$77,$FT727)*INDEX(卡牌消耗!$B$8:$F$8,FV727)/5,0)*5,""),"")</f>
        <v>145</v>
      </c>
      <c r="GB727" s="101" t="str">
        <f t="shared" si="416"/>
        <v>专属强化石1</v>
      </c>
      <c r="GC727" s="101">
        <f t="shared" si="417"/>
        <v>1</v>
      </c>
      <c r="GD727" s="101" t="str">
        <f t="shared" si="418"/>
        <v/>
      </c>
      <c r="GE727" s="101" t="str">
        <f t="shared" si="419"/>
        <v/>
      </c>
      <c r="GF727" s="101">
        <f t="shared" si="424"/>
        <v>0.32</v>
      </c>
      <c r="GG727" s="101">
        <f t="shared" si="425"/>
        <v>1</v>
      </c>
      <c r="GH727" s="101">
        <f t="shared" si="426"/>
        <v>5</v>
      </c>
      <c r="GI727" s="101">
        <f t="shared" si="427"/>
        <v>0</v>
      </c>
      <c r="GJ727" s="101">
        <f t="shared" si="428"/>
        <v>1</v>
      </c>
      <c r="GK727" s="101">
        <f t="shared" si="429"/>
        <v>1</v>
      </c>
      <c r="GL727" s="101">
        <f t="shared" si="430"/>
        <v>0.1595</v>
      </c>
      <c r="GM727" s="101">
        <f t="shared" si="431"/>
        <v>1</v>
      </c>
      <c r="GN727" s="101">
        <f t="shared" si="432"/>
        <v>2</v>
      </c>
      <c r="GO727" s="101">
        <f t="shared" si="433"/>
        <v>0.63819999999999999</v>
      </c>
      <c r="GP727" s="101">
        <f t="shared" si="434"/>
        <v>1</v>
      </c>
      <c r="GQ727" s="101">
        <f t="shared" si="435"/>
        <v>5</v>
      </c>
    </row>
    <row r="728" spans="175:199" ht="16.5" x14ac:dyDescent="0.2">
      <c r="FS728" s="101">
        <v>723</v>
      </c>
      <c r="FT728" s="101">
        <f t="shared" si="420"/>
        <v>2</v>
      </c>
      <c r="FU728" s="101">
        <f t="shared" si="413"/>
        <v>10</v>
      </c>
      <c r="FV728" s="14">
        <f t="shared" si="414"/>
        <v>4</v>
      </c>
      <c r="FW728" s="101" t="str">
        <f t="shared" si="421"/>
        <v>张飞专属武器-魂珠-1 2级</v>
      </c>
      <c r="FX728" s="101">
        <f t="shared" si="422"/>
        <v>1</v>
      </c>
      <c r="FY728" s="101">
        <f t="shared" si="423"/>
        <v>2</v>
      </c>
      <c r="FZ728" s="101" t="str">
        <f t="shared" si="415"/>
        <v>金币</v>
      </c>
      <c r="GA728" s="139">
        <f>IF($FY728&gt;0,IF(INDEX($EM$6:$EM$77,$FT728)&gt;=GA$3,ROUND(INDEX(EO$6:EO$77,$FT728)*INDEX(卡牌消耗!$B$8:$F$8,FV728)/5,0)*5,""),"")</f>
        <v>215</v>
      </c>
      <c r="GB728" s="101" t="str">
        <f t="shared" si="416"/>
        <v>专属强化石1</v>
      </c>
      <c r="GC728" s="101">
        <f t="shared" si="417"/>
        <v>2</v>
      </c>
      <c r="GD728" s="101" t="str">
        <f t="shared" si="418"/>
        <v/>
      </c>
      <c r="GE728" s="101" t="str">
        <f t="shared" si="419"/>
        <v/>
      </c>
      <c r="GF728" s="101">
        <f t="shared" si="424"/>
        <v>0.32</v>
      </c>
      <c r="GG728" s="101">
        <f t="shared" si="425"/>
        <v>1</v>
      </c>
      <c r="GH728" s="101">
        <f t="shared" si="426"/>
        <v>5</v>
      </c>
      <c r="GI728" s="101">
        <f t="shared" si="427"/>
        <v>0</v>
      </c>
      <c r="GJ728" s="101">
        <f t="shared" si="428"/>
        <v>1</v>
      </c>
      <c r="GK728" s="101">
        <f t="shared" si="429"/>
        <v>1</v>
      </c>
      <c r="GL728" s="101">
        <f t="shared" si="430"/>
        <v>0.1595</v>
      </c>
      <c r="GM728" s="101">
        <f t="shared" si="431"/>
        <v>1</v>
      </c>
      <c r="GN728" s="101">
        <f t="shared" si="432"/>
        <v>2</v>
      </c>
      <c r="GO728" s="101">
        <f t="shared" si="433"/>
        <v>0.63819999999999999</v>
      </c>
      <c r="GP728" s="101">
        <f t="shared" si="434"/>
        <v>1</v>
      </c>
      <c r="GQ728" s="101">
        <f t="shared" si="435"/>
        <v>5</v>
      </c>
    </row>
    <row r="729" spans="175:199" ht="16.5" x14ac:dyDescent="0.2">
      <c r="FS729" s="101">
        <v>724</v>
      </c>
      <c r="FT729" s="101">
        <f t="shared" si="420"/>
        <v>3</v>
      </c>
      <c r="FU729" s="101">
        <f t="shared" si="413"/>
        <v>10</v>
      </c>
      <c r="FV729" s="14">
        <f t="shared" si="414"/>
        <v>4</v>
      </c>
      <c r="FW729" s="101" t="str">
        <f t="shared" si="421"/>
        <v>张飞专属武器-魂珠-1 3级</v>
      </c>
      <c r="FX729" s="101">
        <f t="shared" si="422"/>
        <v>1</v>
      </c>
      <c r="FY729" s="101">
        <f t="shared" si="423"/>
        <v>3</v>
      </c>
      <c r="FZ729" s="101" t="str">
        <f t="shared" si="415"/>
        <v>金币</v>
      </c>
      <c r="GA729" s="139">
        <f>IF($FY729&gt;0,IF(INDEX($EM$6:$EM$77,$FT729)&gt;=GA$3,ROUND(INDEX(EO$6:EO$77,$FT729)*INDEX(卡牌消耗!$B$8:$F$8,FV729)/5,0)*5,""),"")</f>
        <v>355</v>
      </c>
      <c r="GB729" s="101" t="str">
        <f t="shared" si="416"/>
        <v>专属强化石1</v>
      </c>
      <c r="GC729" s="101">
        <f t="shared" si="417"/>
        <v>3</v>
      </c>
      <c r="GD729" s="101" t="str">
        <f t="shared" si="418"/>
        <v/>
      </c>
      <c r="GE729" s="101" t="str">
        <f t="shared" si="419"/>
        <v/>
      </c>
      <c r="GF729" s="101">
        <f t="shared" si="424"/>
        <v>0.32</v>
      </c>
      <c r="GG729" s="101">
        <f t="shared" si="425"/>
        <v>1</v>
      </c>
      <c r="GH729" s="101">
        <f t="shared" si="426"/>
        <v>5</v>
      </c>
      <c r="GI729" s="101">
        <f t="shared" si="427"/>
        <v>0</v>
      </c>
      <c r="GJ729" s="101">
        <f t="shared" si="428"/>
        <v>1</v>
      </c>
      <c r="GK729" s="101">
        <f t="shared" si="429"/>
        <v>1</v>
      </c>
      <c r="GL729" s="101">
        <f t="shared" si="430"/>
        <v>0.1595</v>
      </c>
      <c r="GM729" s="101">
        <f t="shared" si="431"/>
        <v>1</v>
      </c>
      <c r="GN729" s="101">
        <f t="shared" si="432"/>
        <v>2</v>
      </c>
      <c r="GO729" s="101">
        <f t="shared" si="433"/>
        <v>0.63819999999999999</v>
      </c>
      <c r="GP729" s="101">
        <f t="shared" si="434"/>
        <v>1</v>
      </c>
      <c r="GQ729" s="101">
        <f t="shared" si="435"/>
        <v>5</v>
      </c>
    </row>
    <row r="730" spans="175:199" ht="16.5" x14ac:dyDescent="0.2">
      <c r="FS730" s="101">
        <v>725</v>
      </c>
      <c r="FT730" s="101">
        <f t="shared" si="420"/>
        <v>4</v>
      </c>
      <c r="FU730" s="101">
        <f t="shared" si="413"/>
        <v>10</v>
      </c>
      <c r="FV730" s="14">
        <f t="shared" si="414"/>
        <v>4</v>
      </c>
      <c r="FW730" s="101" t="str">
        <f t="shared" si="421"/>
        <v>张飞专属武器-魂珠-1 4级</v>
      </c>
      <c r="FX730" s="101">
        <f t="shared" si="422"/>
        <v>1</v>
      </c>
      <c r="FY730" s="101">
        <f t="shared" si="423"/>
        <v>4</v>
      </c>
      <c r="FZ730" s="101" t="str">
        <f t="shared" si="415"/>
        <v>金币</v>
      </c>
      <c r="GA730" s="139">
        <f>IF($FY730&gt;0,IF(INDEX($EM$6:$EM$77,$FT730)&gt;=GA$3,ROUND(INDEX(EO$6:EO$77,$FT730)*INDEX(卡牌消耗!$B$8:$F$8,FV730)/5,0)*5,""),"")</f>
        <v>455</v>
      </c>
      <c r="GB730" s="101" t="str">
        <f t="shared" si="416"/>
        <v>专属强化石1</v>
      </c>
      <c r="GC730" s="101">
        <f t="shared" si="417"/>
        <v>4</v>
      </c>
      <c r="GD730" s="101" t="str">
        <f t="shared" si="418"/>
        <v/>
      </c>
      <c r="GE730" s="101" t="str">
        <f t="shared" si="419"/>
        <v/>
      </c>
      <c r="GF730" s="101">
        <f t="shared" si="424"/>
        <v>0.26</v>
      </c>
      <c r="GG730" s="101">
        <f t="shared" si="425"/>
        <v>1</v>
      </c>
      <c r="GH730" s="101">
        <f t="shared" si="426"/>
        <v>6</v>
      </c>
      <c r="GI730" s="101">
        <f t="shared" si="427"/>
        <v>0</v>
      </c>
      <c r="GJ730" s="101">
        <f t="shared" si="428"/>
        <v>1</v>
      </c>
      <c r="GK730" s="101">
        <f t="shared" si="429"/>
        <v>1</v>
      </c>
      <c r="GL730" s="101">
        <f t="shared" si="430"/>
        <v>0.12759999999999999</v>
      </c>
      <c r="GM730" s="101">
        <f t="shared" si="431"/>
        <v>1</v>
      </c>
      <c r="GN730" s="101">
        <f t="shared" si="432"/>
        <v>3</v>
      </c>
      <c r="GO730" s="101">
        <f t="shared" si="433"/>
        <v>0.51060000000000005</v>
      </c>
      <c r="GP730" s="101">
        <f t="shared" si="434"/>
        <v>1</v>
      </c>
      <c r="GQ730" s="101">
        <f t="shared" si="435"/>
        <v>6</v>
      </c>
    </row>
    <row r="731" spans="175:199" ht="16.5" x14ac:dyDescent="0.2">
      <c r="FS731" s="101">
        <v>726</v>
      </c>
      <c r="FT731" s="101">
        <f t="shared" si="420"/>
        <v>5</v>
      </c>
      <c r="FU731" s="101">
        <f t="shared" si="413"/>
        <v>10</v>
      </c>
      <c r="FV731" s="14">
        <f t="shared" si="414"/>
        <v>4</v>
      </c>
      <c r="FW731" s="101" t="str">
        <f t="shared" si="421"/>
        <v>张飞专属武器-魂珠-1 5级</v>
      </c>
      <c r="FX731" s="101">
        <f t="shared" si="422"/>
        <v>1</v>
      </c>
      <c r="FY731" s="101">
        <f t="shared" si="423"/>
        <v>5</v>
      </c>
      <c r="FZ731" s="101" t="str">
        <f t="shared" si="415"/>
        <v>金币</v>
      </c>
      <c r="GA731" s="139">
        <f>IF($FY731&gt;0,IF(INDEX($EM$6:$EM$77,$FT731)&gt;=GA$3,ROUND(INDEX(EO$6:EO$77,$FT731)*INDEX(卡牌消耗!$B$8:$F$8,FV731)/5,0)*5,""),"")</f>
        <v>580</v>
      </c>
      <c r="GB731" s="101" t="str">
        <f t="shared" si="416"/>
        <v>专属强化石1</v>
      </c>
      <c r="GC731" s="101">
        <f t="shared" si="417"/>
        <v>5</v>
      </c>
      <c r="GD731" s="101" t="str">
        <f t="shared" si="418"/>
        <v/>
      </c>
      <c r="GE731" s="101" t="str">
        <f t="shared" si="419"/>
        <v/>
      </c>
      <c r="GF731" s="101">
        <f t="shared" si="424"/>
        <v>0.2</v>
      </c>
      <c r="GG731" s="101">
        <f t="shared" si="425"/>
        <v>1</v>
      </c>
      <c r="GH731" s="101">
        <f t="shared" si="426"/>
        <v>8</v>
      </c>
      <c r="GI731" s="101">
        <f t="shared" si="427"/>
        <v>0</v>
      </c>
      <c r="GJ731" s="101">
        <f t="shared" si="428"/>
        <v>1</v>
      </c>
      <c r="GK731" s="101">
        <f t="shared" si="429"/>
        <v>2</v>
      </c>
      <c r="GL731" s="101">
        <f t="shared" si="430"/>
        <v>9.9699999999999997E-2</v>
      </c>
      <c r="GM731" s="101">
        <f t="shared" si="431"/>
        <v>1</v>
      </c>
      <c r="GN731" s="101">
        <f t="shared" si="432"/>
        <v>4</v>
      </c>
      <c r="GO731" s="101">
        <f t="shared" si="433"/>
        <v>0.39889999999999998</v>
      </c>
      <c r="GP731" s="101">
        <f t="shared" si="434"/>
        <v>1</v>
      </c>
      <c r="GQ731" s="101">
        <f t="shared" si="435"/>
        <v>8</v>
      </c>
    </row>
    <row r="732" spans="175:199" ht="16.5" x14ac:dyDescent="0.2">
      <c r="FS732" s="101">
        <v>727</v>
      </c>
      <c r="FT732" s="101">
        <f t="shared" si="420"/>
        <v>6</v>
      </c>
      <c r="FU732" s="101">
        <f t="shared" si="413"/>
        <v>10</v>
      </c>
      <c r="FV732" s="14">
        <f t="shared" si="414"/>
        <v>4</v>
      </c>
      <c r="FW732" s="101" t="str">
        <f t="shared" si="421"/>
        <v>张飞专属武器-魂珠-1 6级</v>
      </c>
      <c r="FX732" s="101">
        <f t="shared" si="422"/>
        <v>1</v>
      </c>
      <c r="FY732" s="101">
        <f t="shared" si="423"/>
        <v>6</v>
      </c>
      <c r="FZ732" s="101" t="str">
        <f t="shared" si="415"/>
        <v>金币</v>
      </c>
      <c r="GA732" s="139">
        <f>IF($FY732&gt;0,IF(INDEX($EM$6:$EM$77,$FT732)&gt;=GA$3,ROUND(INDEX(EO$6:EO$77,$FT732)*INDEX(卡牌消耗!$B$8:$F$8,FV732)/5,0)*5,""),"")</f>
        <v>690</v>
      </c>
      <c r="GB732" s="101" t="str">
        <f t="shared" si="416"/>
        <v>专属强化石1</v>
      </c>
      <c r="GC732" s="101">
        <f t="shared" si="417"/>
        <v>6</v>
      </c>
      <c r="GD732" s="101" t="str">
        <f t="shared" si="418"/>
        <v/>
      </c>
      <c r="GE732" s="101" t="str">
        <f t="shared" si="419"/>
        <v/>
      </c>
      <c r="GF732" s="101">
        <f t="shared" si="424"/>
        <v>0.15</v>
      </c>
      <c r="GG732" s="101">
        <f t="shared" si="425"/>
        <v>1</v>
      </c>
      <c r="GH732" s="101">
        <f t="shared" si="426"/>
        <v>10</v>
      </c>
      <c r="GI732" s="101">
        <f t="shared" si="427"/>
        <v>0</v>
      </c>
      <c r="GJ732" s="101">
        <f t="shared" si="428"/>
        <v>1</v>
      </c>
      <c r="GK732" s="101">
        <f t="shared" si="429"/>
        <v>2</v>
      </c>
      <c r="GL732" s="101">
        <f t="shared" si="430"/>
        <v>7.3599999999999999E-2</v>
      </c>
      <c r="GM732" s="101">
        <f t="shared" si="431"/>
        <v>1</v>
      </c>
      <c r="GN732" s="101">
        <f t="shared" si="432"/>
        <v>5</v>
      </c>
      <c r="GO732" s="101">
        <f t="shared" si="433"/>
        <v>0.29459999999999997</v>
      </c>
      <c r="GP732" s="101">
        <f t="shared" si="434"/>
        <v>1</v>
      </c>
      <c r="GQ732" s="101">
        <f t="shared" si="435"/>
        <v>10</v>
      </c>
    </row>
    <row r="733" spans="175:199" ht="16.5" x14ac:dyDescent="0.2">
      <c r="FS733" s="101">
        <v>728</v>
      </c>
      <c r="FT733" s="101">
        <f t="shared" si="420"/>
        <v>7</v>
      </c>
      <c r="FU733" s="101">
        <f t="shared" si="413"/>
        <v>10</v>
      </c>
      <c r="FV733" s="14">
        <f t="shared" si="414"/>
        <v>4</v>
      </c>
      <c r="FW733" s="101" t="str">
        <f t="shared" si="421"/>
        <v>张飞专属武器-魂珠-1 7级</v>
      </c>
      <c r="FX733" s="101">
        <f t="shared" si="422"/>
        <v>1</v>
      </c>
      <c r="FY733" s="101">
        <f t="shared" si="423"/>
        <v>7</v>
      </c>
      <c r="FZ733" s="101" t="str">
        <f t="shared" si="415"/>
        <v>金币</v>
      </c>
      <c r="GA733" s="139">
        <f>IF($FY733&gt;0,IF(INDEX($EM$6:$EM$77,$FT733)&gt;=GA$3,ROUND(INDEX(EO$6:EO$77,$FT733)*INDEX(卡牌消耗!$B$8:$F$8,FV733)/5,0)*5,""),"")</f>
        <v>805</v>
      </c>
      <c r="GB733" s="101" t="str">
        <f t="shared" si="416"/>
        <v>专属强化石1</v>
      </c>
      <c r="GC733" s="101">
        <f t="shared" si="417"/>
        <v>7</v>
      </c>
      <c r="GD733" s="101" t="str">
        <f t="shared" si="418"/>
        <v/>
      </c>
      <c r="GE733" s="101" t="str">
        <f t="shared" si="419"/>
        <v/>
      </c>
      <c r="GF733" s="101">
        <f t="shared" si="424"/>
        <v>0.11</v>
      </c>
      <c r="GG733" s="101">
        <f t="shared" si="425"/>
        <v>1</v>
      </c>
      <c r="GH733" s="101">
        <f t="shared" si="426"/>
        <v>14</v>
      </c>
      <c r="GI733" s="101">
        <f t="shared" si="427"/>
        <v>0</v>
      </c>
      <c r="GJ733" s="101">
        <f t="shared" si="428"/>
        <v>1</v>
      </c>
      <c r="GK733" s="101">
        <f t="shared" si="429"/>
        <v>3</v>
      </c>
      <c r="GL733" s="101">
        <f t="shared" si="430"/>
        <v>5.3199999999999997E-2</v>
      </c>
      <c r="GM733" s="101">
        <f t="shared" si="431"/>
        <v>1</v>
      </c>
      <c r="GN733" s="101">
        <f t="shared" si="432"/>
        <v>7</v>
      </c>
      <c r="GO733" s="101">
        <f t="shared" si="433"/>
        <v>0.2127</v>
      </c>
      <c r="GP733" s="101">
        <f t="shared" si="434"/>
        <v>1</v>
      </c>
      <c r="GQ733" s="101">
        <f t="shared" si="435"/>
        <v>14</v>
      </c>
    </row>
    <row r="734" spans="175:199" ht="16.5" x14ac:dyDescent="0.2">
      <c r="FS734" s="101">
        <v>729</v>
      </c>
      <c r="FT734" s="101">
        <f t="shared" si="420"/>
        <v>8</v>
      </c>
      <c r="FU734" s="101">
        <f t="shared" si="413"/>
        <v>10</v>
      </c>
      <c r="FV734" s="14">
        <f t="shared" si="414"/>
        <v>4</v>
      </c>
      <c r="FW734" s="101" t="str">
        <f t="shared" si="421"/>
        <v>张飞专属武器-魂珠-1 8级</v>
      </c>
      <c r="FX734" s="101">
        <f t="shared" si="422"/>
        <v>1</v>
      </c>
      <c r="FY734" s="101">
        <f t="shared" si="423"/>
        <v>8</v>
      </c>
      <c r="FZ734" s="101" t="str">
        <f t="shared" si="415"/>
        <v>金币</v>
      </c>
      <c r="GA734" s="139">
        <f>IF($FY734&gt;0,IF(INDEX($EM$6:$EM$77,$FT734)&gt;=GA$3,ROUND(INDEX(EO$6:EO$77,$FT734)*INDEX(卡牌消耗!$B$8:$F$8,FV734)/5,0)*5,""),"")</f>
        <v>920</v>
      </c>
      <c r="GB734" s="101" t="str">
        <f t="shared" si="416"/>
        <v>专属强化石1</v>
      </c>
      <c r="GC734" s="101">
        <f t="shared" si="417"/>
        <v>8</v>
      </c>
      <c r="GD734" s="101" t="str">
        <f t="shared" si="418"/>
        <v/>
      </c>
      <c r="GE734" s="101" t="str">
        <f t="shared" si="419"/>
        <v/>
      </c>
      <c r="GF734" s="101">
        <f t="shared" si="424"/>
        <v>0.08</v>
      </c>
      <c r="GG734" s="101">
        <f t="shared" si="425"/>
        <v>1</v>
      </c>
      <c r="GH734" s="101">
        <f t="shared" si="426"/>
        <v>20</v>
      </c>
      <c r="GI734" s="101">
        <f t="shared" si="427"/>
        <v>0</v>
      </c>
      <c r="GJ734" s="101">
        <f t="shared" si="428"/>
        <v>1</v>
      </c>
      <c r="GK734" s="101">
        <f t="shared" si="429"/>
        <v>5</v>
      </c>
      <c r="GL734" s="101">
        <f t="shared" si="430"/>
        <v>3.7499999999999999E-2</v>
      </c>
      <c r="GM734" s="101">
        <f t="shared" si="431"/>
        <v>1</v>
      </c>
      <c r="GN734" s="101">
        <f t="shared" si="432"/>
        <v>9</v>
      </c>
      <c r="GO734" s="101">
        <f t="shared" si="433"/>
        <v>0.1502</v>
      </c>
      <c r="GP734" s="101">
        <f t="shared" si="434"/>
        <v>1</v>
      </c>
      <c r="GQ734" s="101">
        <f t="shared" si="435"/>
        <v>20</v>
      </c>
    </row>
    <row r="735" spans="175:199" ht="16.5" x14ac:dyDescent="0.2">
      <c r="FS735" s="101">
        <v>730</v>
      </c>
      <c r="FT735" s="101">
        <f t="shared" si="420"/>
        <v>9</v>
      </c>
      <c r="FU735" s="101">
        <f t="shared" si="413"/>
        <v>10</v>
      </c>
      <c r="FV735" s="14">
        <f t="shared" si="414"/>
        <v>4</v>
      </c>
      <c r="FW735" s="101" t="str">
        <f t="shared" si="421"/>
        <v>张飞专属武器-魂珠-1 9级</v>
      </c>
      <c r="FX735" s="101">
        <f t="shared" si="422"/>
        <v>1</v>
      </c>
      <c r="FY735" s="101">
        <f t="shared" si="423"/>
        <v>9</v>
      </c>
      <c r="FZ735" s="101" t="str">
        <f t="shared" si="415"/>
        <v>金币</v>
      </c>
      <c r="GA735" s="139">
        <f>IF($FY735&gt;0,IF(INDEX($EM$6:$EM$77,$FT735)&gt;=GA$3,ROUND(INDEX(EO$6:EO$77,$FT735)*INDEX(卡牌消耗!$B$8:$F$8,FV735)/5,0)*5,""),"")</f>
        <v>1150</v>
      </c>
      <c r="GB735" s="101" t="str">
        <f t="shared" si="416"/>
        <v>专属强化石1</v>
      </c>
      <c r="GC735" s="101">
        <f t="shared" si="417"/>
        <v>10</v>
      </c>
      <c r="GD735" s="101" t="str">
        <f t="shared" si="418"/>
        <v/>
      </c>
      <c r="GE735" s="101" t="str">
        <f t="shared" si="419"/>
        <v/>
      </c>
      <c r="GF735" s="101">
        <f t="shared" si="424"/>
        <v>0.06</v>
      </c>
      <c r="GG735" s="101">
        <f t="shared" si="425"/>
        <v>1</v>
      </c>
      <c r="GH735" s="101">
        <f t="shared" si="426"/>
        <v>26</v>
      </c>
      <c r="GI735" s="101">
        <f t="shared" si="427"/>
        <v>0</v>
      </c>
      <c r="GJ735" s="101">
        <f t="shared" si="428"/>
        <v>1</v>
      </c>
      <c r="GK735" s="101">
        <f t="shared" si="429"/>
        <v>6</v>
      </c>
      <c r="GL735" s="101">
        <f t="shared" si="430"/>
        <v>2.9000000000000001E-2</v>
      </c>
      <c r="GM735" s="101">
        <f t="shared" si="431"/>
        <v>1</v>
      </c>
      <c r="GN735" s="101">
        <f t="shared" si="432"/>
        <v>12</v>
      </c>
      <c r="GO735" s="101">
        <f t="shared" si="433"/>
        <v>0.11600000000000001</v>
      </c>
      <c r="GP735" s="101">
        <f t="shared" si="434"/>
        <v>1</v>
      </c>
      <c r="GQ735" s="101">
        <f t="shared" si="435"/>
        <v>26</v>
      </c>
    </row>
    <row r="736" spans="175:199" ht="16.5" x14ac:dyDescent="0.2">
      <c r="FS736" s="101">
        <v>731</v>
      </c>
      <c r="FT736" s="101">
        <f t="shared" si="420"/>
        <v>0</v>
      </c>
      <c r="FU736" s="101">
        <f t="shared" si="413"/>
        <v>10</v>
      </c>
      <c r="FV736" s="14">
        <f t="shared" si="414"/>
        <v>4</v>
      </c>
      <c r="FW736" s="101" t="str">
        <f t="shared" si="421"/>
        <v>张飞专属武器-魂珠-2 0级</v>
      </c>
      <c r="FX736" s="101">
        <f t="shared" si="422"/>
        <v>2</v>
      </c>
      <c r="FY736" s="101">
        <f t="shared" si="423"/>
        <v>0</v>
      </c>
      <c r="FZ736" s="101" t="str">
        <f t="shared" si="415"/>
        <v/>
      </c>
      <c r="GA736" s="139" t="str">
        <f>IF($FY736&gt;0,IF(INDEX($EM$6:$EM$77,$FT736)&gt;=GA$3,ROUND(INDEX(EO$6:EO$77,$FT736)*INDEX(卡牌消耗!$B$8:$F$8,FV736)/5,0)*5,""),"")</f>
        <v/>
      </c>
      <c r="GB736" s="101" t="str">
        <f t="shared" si="416"/>
        <v/>
      </c>
      <c r="GC736" s="101" t="str">
        <f t="shared" si="417"/>
        <v/>
      </c>
      <c r="GD736" s="101" t="str">
        <f t="shared" si="418"/>
        <v/>
      </c>
      <c r="GE736" s="101" t="str">
        <f t="shared" si="419"/>
        <v/>
      </c>
      <c r="GF736" s="101" t="str">
        <f t="shared" si="424"/>
        <v/>
      </c>
      <c r="GG736" s="101" t="str">
        <f t="shared" si="425"/>
        <v/>
      </c>
      <c r="GH736" s="101" t="str">
        <f t="shared" si="426"/>
        <v/>
      </c>
      <c r="GI736" s="101" t="str">
        <f t="shared" si="427"/>
        <v/>
      </c>
      <c r="GJ736" s="101" t="str">
        <f t="shared" si="428"/>
        <v/>
      </c>
      <c r="GK736" s="101" t="str">
        <f t="shared" si="429"/>
        <v/>
      </c>
      <c r="GL736" s="101" t="str">
        <f t="shared" si="430"/>
        <v/>
      </c>
      <c r="GM736" s="101" t="str">
        <f t="shared" si="431"/>
        <v/>
      </c>
      <c r="GN736" s="101" t="str">
        <f t="shared" si="432"/>
        <v/>
      </c>
      <c r="GO736" s="101" t="str">
        <f t="shared" si="433"/>
        <v/>
      </c>
      <c r="GP736" s="101" t="str">
        <f t="shared" si="434"/>
        <v/>
      </c>
      <c r="GQ736" s="101" t="str">
        <f t="shared" si="435"/>
        <v/>
      </c>
    </row>
    <row r="737" spans="175:199" ht="16.5" x14ac:dyDescent="0.2">
      <c r="FS737" s="101">
        <v>732</v>
      </c>
      <c r="FT737" s="101">
        <f t="shared" si="420"/>
        <v>10</v>
      </c>
      <c r="FU737" s="101">
        <f t="shared" si="413"/>
        <v>10</v>
      </c>
      <c r="FV737" s="14">
        <f t="shared" si="414"/>
        <v>4</v>
      </c>
      <c r="FW737" s="101" t="str">
        <f t="shared" si="421"/>
        <v>张飞专属武器-魂珠-2 1级</v>
      </c>
      <c r="FX737" s="101">
        <f t="shared" si="422"/>
        <v>2</v>
      </c>
      <c r="FY737" s="101">
        <f t="shared" si="423"/>
        <v>1</v>
      </c>
      <c r="FZ737" s="101" t="str">
        <f t="shared" si="415"/>
        <v>金币</v>
      </c>
      <c r="GA737" s="139">
        <f>IF($FY737&gt;0,IF(INDEX($EM$6:$EM$77,$FT737)&gt;=GA$3,ROUND(INDEX(EO$6:EO$77,$FT737)*INDEX(卡牌消耗!$B$8:$F$8,FV737)/5,0)*5,""),"")</f>
        <v>395</v>
      </c>
      <c r="GB737" s="101" t="str">
        <f t="shared" si="416"/>
        <v>专属强化石1</v>
      </c>
      <c r="GC737" s="101">
        <f t="shared" si="417"/>
        <v>3</v>
      </c>
      <c r="GD737" s="101" t="str">
        <f t="shared" si="418"/>
        <v>专属强化石2</v>
      </c>
      <c r="GE737" s="101">
        <f t="shared" si="419"/>
        <v>1</v>
      </c>
      <c r="GF737" s="101">
        <f t="shared" si="424"/>
        <v>0.39</v>
      </c>
      <c r="GG737" s="101">
        <f t="shared" si="425"/>
        <v>1</v>
      </c>
      <c r="GH737" s="101">
        <f t="shared" si="426"/>
        <v>4</v>
      </c>
      <c r="GI737" s="101">
        <f t="shared" si="427"/>
        <v>0</v>
      </c>
      <c r="GJ737" s="101">
        <f t="shared" si="428"/>
        <v>1</v>
      </c>
      <c r="GK737" s="101">
        <f t="shared" si="429"/>
        <v>1</v>
      </c>
      <c r="GL737" s="101">
        <f t="shared" si="430"/>
        <v>0.19270000000000001</v>
      </c>
      <c r="GM737" s="101">
        <f t="shared" si="431"/>
        <v>1</v>
      </c>
      <c r="GN737" s="101">
        <f t="shared" si="432"/>
        <v>2</v>
      </c>
      <c r="GO737" s="101">
        <f t="shared" si="433"/>
        <v>0.77070000000000005</v>
      </c>
      <c r="GP737" s="101">
        <f t="shared" si="434"/>
        <v>1</v>
      </c>
      <c r="GQ737" s="101">
        <f t="shared" si="435"/>
        <v>4</v>
      </c>
    </row>
    <row r="738" spans="175:199" ht="16.5" x14ac:dyDescent="0.2">
      <c r="FS738" s="101">
        <v>733</v>
      </c>
      <c r="FT738" s="101">
        <f t="shared" si="420"/>
        <v>11</v>
      </c>
      <c r="FU738" s="101">
        <f t="shared" si="413"/>
        <v>10</v>
      </c>
      <c r="FV738" s="14">
        <f t="shared" si="414"/>
        <v>4</v>
      </c>
      <c r="FW738" s="101" t="str">
        <f t="shared" si="421"/>
        <v>张飞专属武器-魂珠-2 2级</v>
      </c>
      <c r="FX738" s="101">
        <f t="shared" si="422"/>
        <v>2</v>
      </c>
      <c r="FY738" s="101">
        <f t="shared" si="423"/>
        <v>2</v>
      </c>
      <c r="FZ738" s="101" t="str">
        <f t="shared" si="415"/>
        <v>金币</v>
      </c>
      <c r="GA738" s="139">
        <f>IF($FY738&gt;0,IF(INDEX($EM$6:$EM$77,$FT738)&gt;=GA$3,ROUND(INDEX(EO$6:EO$77,$FT738)*INDEX(卡牌消耗!$B$8:$F$8,FV738)/5,0)*5,""),"")</f>
        <v>295</v>
      </c>
      <c r="GB738" s="101" t="str">
        <f t="shared" si="416"/>
        <v>专属强化石1</v>
      </c>
      <c r="GC738" s="101">
        <f t="shared" si="417"/>
        <v>3</v>
      </c>
      <c r="GD738" s="101" t="str">
        <f t="shared" si="418"/>
        <v>专属强化石2</v>
      </c>
      <c r="GE738" s="101">
        <f t="shared" si="419"/>
        <v>1</v>
      </c>
      <c r="GF738" s="101">
        <f t="shared" si="424"/>
        <v>0.19</v>
      </c>
      <c r="GG738" s="101">
        <f t="shared" si="425"/>
        <v>1</v>
      </c>
      <c r="GH738" s="101">
        <f t="shared" si="426"/>
        <v>8</v>
      </c>
      <c r="GI738" s="101">
        <f t="shared" si="427"/>
        <v>0</v>
      </c>
      <c r="GJ738" s="101">
        <f t="shared" si="428"/>
        <v>1</v>
      </c>
      <c r="GK738" s="101">
        <f t="shared" si="429"/>
        <v>2</v>
      </c>
      <c r="GL738" s="101">
        <f t="shared" si="430"/>
        <v>9.6299999999999997E-2</v>
      </c>
      <c r="GM738" s="101">
        <f t="shared" si="431"/>
        <v>1</v>
      </c>
      <c r="GN738" s="101">
        <f t="shared" si="432"/>
        <v>4</v>
      </c>
      <c r="GO738" s="101">
        <f t="shared" si="433"/>
        <v>0.38529999999999998</v>
      </c>
      <c r="GP738" s="101">
        <f t="shared" si="434"/>
        <v>1</v>
      </c>
      <c r="GQ738" s="101">
        <f t="shared" si="435"/>
        <v>8</v>
      </c>
    </row>
    <row r="739" spans="175:199" ht="16.5" x14ac:dyDescent="0.2">
      <c r="FS739" s="101">
        <v>734</v>
      </c>
      <c r="FT739" s="101">
        <f t="shared" si="420"/>
        <v>12</v>
      </c>
      <c r="FU739" s="101">
        <f t="shared" si="413"/>
        <v>10</v>
      </c>
      <c r="FV739" s="14">
        <f t="shared" si="414"/>
        <v>4</v>
      </c>
      <c r="FW739" s="101" t="str">
        <f t="shared" si="421"/>
        <v>张飞专属武器-魂珠-2 3级</v>
      </c>
      <c r="FX739" s="101">
        <f t="shared" si="422"/>
        <v>2</v>
      </c>
      <c r="FY739" s="101">
        <f t="shared" si="423"/>
        <v>3</v>
      </c>
      <c r="FZ739" s="101" t="str">
        <f t="shared" si="415"/>
        <v>金币</v>
      </c>
      <c r="GA739" s="139">
        <f>IF($FY739&gt;0,IF(INDEX($EM$6:$EM$77,$FT739)&gt;=GA$3,ROUND(INDEX(EO$6:EO$77,$FT739)*INDEX(卡牌消耗!$B$8:$F$8,FV739)/5,0)*5,""),"")</f>
        <v>655</v>
      </c>
      <c r="GB739" s="101" t="str">
        <f t="shared" si="416"/>
        <v>专属强化石1</v>
      </c>
      <c r="GC739" s="101">
        <f t="shared" si="417"/>
        <v>6</v>
      </c>
      <c r="GD739" s="101" t="str">
        <f t="shared" si="418"/>
        <v>专属强化石2</v>
      </c>
      <c r="GE739" s="101">
        <f t="shared" si="419"/>
        <v>2</v>
      </c>
      <c r="GF739" s="101">
        <f t="shared" si="424"/>
        <v>0.26</v>
      </c>
      <c r="GG739" s="101">
        <f t="shared" si="425"/>
        <v>1</v>
      </c>
      <c r="GH739" s="101">
        <f t="shared" si="426"/>
        <v>6</v>
      </c>
      <c r="GI739" s="101">
        <f t="shared" si="427"/>
        <v>0</v>
      </c>
      <c r="GJ739" s="101">
        <f t="shared" si="428"/>
        <v>1</v>
      </c>
      <c r="GK739" s="101">
        <f t="shared" si="429"/>
        <v>1</v>
      </c>
      <c r="GL739" s="101">
        <f t="shared" si="430"/>
        <v>0.12839999999999999</v>
      </c>
      <c r="GM739" s="101">
        <f t="shared" si="431"/>
        <v>1</v>
      </c>
      <c r="GN739" s="101">
        <f t="shared" si="432"/>
        <v>3</v>
      </c>
      <c r="GO739" s="101">
        <f t="shared" si="433"/>
        <v>0.51380000000000003</v>
      </c>
      <c r="GP739" s="101">
        <f t="shared" si="434"/>
        <v>1</v>
      </c>
      <c r="GQ739" s="101">
        <f t="shared" si="435"/>
        <v>6</v>
      </c>
    </row>
    <row r="740" spans="175:199" ht="16.5" x14ac:dyDescent="0.2">
      <c r="FS740" s="101">
        <v>735</v>
      </c>
      <c r="FT740" s="101">
        <f t="shared" si="420"/>
        <v>13</v>
      </c>
      <c r="FU740" s="101">
        <f t="shared" si="413"/>
        <v>10</v>
      </c>
      <c r="FV740" s="14">
        <f t="shared" si="414"/>
        <v>4</v>
      </c>
      <c r="FW740" s="101" t="str">
        <f t="shared" si="421"/>
        <v>张飞专属武器-魂珠-2 4级</v>
      </c>
      <c r="FX740" s="101">
        <f t="shared" si="422"/>
        <v>2</v>
      </c>
      <c r="FY740" s="101">
        <f t="shared" si="423"/>
        <v>4</v>
      </c>
      <c r="FZ740" s="101" t="str">
        <f t="shared" si="415"/>
        <v>金币</v>
      </c>
      <c r="GA740" s="139">
        <f>IF($FY740&gt;0,IF(INDEX($EM$6:$EM$77,$FT740)&gt;=GA$3,ROUND(INDEX(EO$6:EO$77,$FT740)*INDEX(卡牌消耗!$B$8:$F$8,FV740)/5,0)*5,""),"")</f>
        <v>625</v>
      </c>
      <c r="GB740" s="101" t="str">
        <f t="shared" si="416"/>
        <v>专属强化石1</v>
      </c>
      <c r="GC740" s="101">
        <f t="shared" si="417"/>
        <v>6</v>
      </c>
      <c r="GD740" s="101" t="str">
        <f t="shared" si="418"/>
        <v>专属强化石2</v>
      </c>
      <c r="GE740" s="101">
        <f t="shared" si="419"/>
        <v>2</v>
      </c>
      <c r="GF740" s="101">
        <f t="shared" si="424"/>
        <v>0.15</v>
      </c>
      <c r="GG740" s="101">
        <f t="shared" si="425"/>
        <v>1</v>
      </c>
      <c r="GH740" s="101">
        <f t="shared" si="426"/>
        <v>10</v>
      </c>
      <c r="GI740" s="101">
        <f t="shared" si="427"/>
        <v>0</v>
      </c>
      <c r="GJ740" s="101">
        <f t="shared" si="428"/>
        <v>1</v>
      </c>
      <c r="GK740" s="101">
        <f t="shared" si="429"/>
        <v>2</v>
      </c>
      <c r="GL740" s="101">
        <f t="shared" si="430"/>
        <v>7.7100000000000002E-2</v>
      </c>
      <c r="GM740" s="101">
        <f t="shared" si="431"/>
        <v>1</v>
      </c>
      <c r="GN740" s="101">
        <f t="shared" si="432"/>
        <v>5</v>
      </c>
      <c r="GO740" s="101">
        <f t="shared" si="433"/>
        <v>0.30830000000000002</v>
      </c>
      <c r="GP740" s="101">
        <f t="shared" si="434"/>
        <v>1</v>
      </c>
      <c r="GQ740" s="101">
        <f t="shared" si="435"/>
        <v>10</v>
      </c>
    </row>
    <row r="741" spans="175:199" ht="16.5" x14ac:dyDescent="0.2">
      <c r="FS741" s="101">
        <v>736</v>
      </c>
      <c r="FT741" s="101">
        <f t="shared" si="420"/>
        <v>14</v>
      </c>
      <c r="FU741" s="101">
        <f t="shared" si="413"/>
        <v>10</v>
      </c>
      <c r="FV741" s="14">
        <f t="shared" si="414"/>
        <v>4</v>
      </c>
      <c r="FW741" s="101" t="str">
        <f t="shared" si="421"/>
        <v>张飞专属武器-魂珠-2 5级</v>
      </c>
      <c r="FX741" s="101">
        <f t="shared" si="422"/>
        <v>2</v>
      </c>
      <c r="FY741" s="101">
        <f t="shared" si="423"/>
        <v>5</v>
      </c>
      <c r="FZ741" s="101" t="str">
        <f t="shared" si="415"/>
        <v>金币</v>
      </c>
      <c r="GA741" s="139">
        <f>IF($FY741&gt;0,IF(INDEX($EM$6:$EM$77,$FT741)&gt;=GA$3,ROUND(INDEX(EO$6:EO$77,$FT741)*INDEX(卡牌消耗!$B$8:$F$8,FV741)/5,0)*5,""),"")</f>
        <v>955</v>
      </c>
      <c r="GB741" s="101" t="str">
        <f t="shared" si="416"/>
        <v>专属强化石1</v>
      </c>
      <c r="GC741" s="101">
        <f t="shared" si="417"/>
        <v>9</v>
      </c>
      <c r="GD741" s="101" t="str">
        <f t="shared" si="418"/>
        <v>专属强化石2</v>
      </c>
      <c r="GE741" s="101">
        <f t="shared" si="419"/>
        <v>3</v>
      </c>
      <c r="GF741" s="101">
        <f t="shared" si="424"/>
        <v>0.14000000000000001</v>
      </c>
      <c r="GG741" s="101">
        <f t="shared" si="425"/>
        <v>1</v>
      </c>
      <c r="GH741" s="101">
        <f t="shared" si="426"/>
        <v>10</v>
      </c>
      <c r="GI741" s="101">
        <f t="shared" si="427"/>
        <v>0</v>
      </c>
      <c r="GJ741" s="101">
        <f t="shared" si="428"/>
        <v>1</v>
      </c>
      <c r="GK741" s="101">
        <f t="shared" si="429"/>
        <v>2</v>
      </c>
      <c r="GL741" s="101">
        <f t="shared" si="430"/>
        <v>7.22E-2</v>
      </c>
      <c r="GM741" s="101">
        <f t="shared" si="431"/>
        <v>1</v>
      </c>
      <c r="GN741" s="101">
        <f t="shared" si="432"/>
        <v>5</v>
      </c>
      <c r="GO741" s="101">
        <f t="shared" si="433"/>
        <v>0.28899999999999998</v>
      </c>
      <c r="GP741" s="101">
        <f t="shared" si="434"/>
        <v>1</v>
      </c>
      <c r="GQ741" s="101">
        <f t="shared" si="435"/>
        <v>10</v>
      </c>
    </row>
    <row r="742" spans="175:199" ht="16.5" x14ac:dyDescent="0.2">
      <c r="FS742" s="101">
        <v>737</v>
      </c>
      <c r="FT742" s="101">
        <f t="shared" si="420"/>
        <v>15</v>
      </c>
      <c r="FU742" s="101">
        <f t="shared" si="413"/>
        <v>10</v>
      </c>
      <c r="FV742" s="14">
        <f t="shared" si="414"/>
        <v>4</v>
      </c>
      <c r="FW742" s="101" t="str">
        <f t="shared" si="421"/>
        <v>张飞专属武器-魂珠-2 6级</v>
      </c>
      <c r="FX742" s="101">
        <f t="shared" si="422"/>
        <v>2</v>
      </c>
      <c r="FY742" s="101">
        <f t="shared" si="423"/>
        <v>6</v>
      </c>
      <c r="FZ742" s="101" t="str">
        <f t="shared" si="415"/>
        <v>金币</v>
      </c>
      <c r="GA742" s="139">
        <f>IF($FY742&gt;0,IF(INDEX($EM$6:$EM$77,$FT742)&gt;=GA$3,ROUND(INDEX(EO$6:EO$77,$FT742)*INDEX(卡牌消耗!$B$8:$F$8,FV742)/5,0)*5,""),"")</f>
        <v>1270</v>
      </c>
      <c r="GB742" s="101" t="str">
        <f t="shared" si="416"/>
        <v>专属强化石1</v>
      </c>
      <c r="GC742" s="101">
        <f t="shared" si="417"/>
        <v>12</v>
      </c>
      <c r="GD742" s="101" t="str">
        <f t="shared" si="418"/>
        <v>专属强化石2</v>
      </c>
      <c r="GE742" s="101">
        <f t="shared" si="419"/>
        <v>4</v>
      </c>
      <c r="GF742" s="101">
        <f t="shared" si="424"/>
        <v>0.12</v>
      </c>
      <c r="GG742" s="101">
        <f t="shared" si="425"/>
        <v>1</v>
      </c>
      <c r="GH742" s="101">
        <f t="shared" si="426"/>
        <v>13</v>
      </c>
      <c r="GI742" s="101">
        <f t="shared" si="427"/>
        <v>0</v>
      </c>
      <c r="GJ742" s="101">
        <f t="shared" si="428"/>
        <v>1</v>
      </c>
      <c r="GK742" s="101">
        <f t="shared" si="429"/>
        <v>3</v>
      </c>
      <c r="GL742" s="101">
        <f t="shared" si="430"/>
        <v>5.9299999999999999E-2</v>
      </c>
      <c r="GM742" s="101">
        <f t="shared" si="431"/>
        <v>1</v>
      </c>
      <c r="GN742" s="101">
        <f t="shared" si="432"/>
        <v>6</v>
      </c>
      <c r="GO742" s="101">
        <f t="shared" si="433"/>
        <v>0.23710000000000001</v>
      </c>
      <c r="GP742" s="101">
        <f t="shared" si="434"/>
        <v>1</v>
      </c>
      <c r="GQ742" s="101">
        <f t="shared" si="435"/>
        <v>13</v>
      </c>
    </row>
    <row r="743" spans="175:199" ht="16.5" x14ac:dyDescent="0.2">
      <c r="FS743" s="101">
        <v>738</v>
      </c>
      <c r="FT743" s="101">
        <f t="shared" si="420"/>
        <v>16</v>
      </c>
      <c r="FU743" s="101">
        <f t="shared" si="413"/>
        <v>10</v>
      </c>
      <c r="FV743" s="14">
        <f t="shared" si="414"/>
        <v>4</v>
      </c>
      <c r="FW743" s="101" t="str">
        <f t="shared" si="421"/>
        <v>张飞专属武器-魂珠-2 7级</v>
      </c>
      <c r="FX743" s="101">
        <f t="shared" si="422"/>
        <v>2</v>
      </c>
      <c r="FY743" s="101">
        <f t="shared" si="423"/>
        <v>7</v>
      </c>
      <c r="FZ743" s="101" t="str">
        <f t="shared" si="415"/>
        <v>金币</v>
      </c>
      <c r="GA743" s="139">
        <f>IF($FY743&gt;0,IF(INDEX($EM$6:$EM$77,$FT743)&gt;=GA$3,ROUND(INDEX(EO$6:EO$77,$FT743)*INDEX(卡牌消耗!$B$8:$F$8,FV743)/5,0)*5,""),"")</f>
        <v>1590</v>
      </c>
      <c r="GB743" s="101" t="str">
        <f t="shared" si="416"/>
        <v>专属强化石1</v>
      </c>
      <c r="GC743" s="101">
        <f t="shared" si="417"/>
        <v>15</v>
      </c>
      <c r="GD743" s="101" t="str">
        <f t="shared" si="418"/>
        <v>专属强化石2</v>
      </c>
      <c r="GE743" s="101">
        <f t="shared" si="419"/>
        <v>5</v>
      </c>
      <c r="GF743" s="101">
        <f t="shared" si="424"/>
        <v>0.09</v>
      </c>
      <c r="GG743" s="101">
        <f t="shared" si="425"/>
        <v>1</v>
      </c>
      <c r="GH743" s="101">
        <f t="shared" si="426"/>
        <v>16</v>
      </c>
      <c r="GI743" s="101">
        <f t="shared" si="427"/>
        <v>0</v>
      </c>
      <c r="GJ743" s="101">
        <f t="shared" si="428"/>
        <v>1</v>
      </c>
      <c r="GK743" s="101">
        <f t="shared" si="429"/>
        <v>4</v>
      </c>
      <c r="GL743" s="101">
        <f t="shared" si="430"/>
        <v>4.5900000000000003E-2</v>
      </c>
      <c r="GM743" s="101">
        <f t="shared" si="431"/>
        <v>1</v>
      </c>
      <c r="GN743" s="101">
        <f t="shared" si="432"/>
        <v>8</v>
      </c>
      <c r="GO743" s="101">
        <f t="shared" si="433"/>
        <v>0.1835</v>
      </c>
      <c r="GP743" s="101">
        <f t="shared" si="434"/>
        <v>1</v>
      </c>
      <c r="GQ743" s="101">
        <f t="shared" si="435"/>
        <v>16</v>
      </c>
    </row>
    <row r="744" spans="175:199" ht="16.5" x14ac:dyDescent="0.2">
      <c r="FS744" s="101">
        <v>739</v>
      </c>
      <c r="FT744" s="101">
        <f t="shared" si="420"/>
        <v>17</v>
      </c>
      <c r="FU744" s="101">
        <f t="shared" si="413"/>
        <v>10</v>
      </c>
      <c r="FV744" s="14">
        <f t="shared" si="414"/>
        <v>4</v>
      </c>
      <c r="FW744" s="101" t="str">
        <f t="shared" si="421"/>
        <v>张飞专属武器-魂珠-2 8级</v>
      </c>
      <c r="FX744" s="101">
        <f t="shared" si="422"/>
        <v>2</v>
      </c>
      <c r="FY744" s="101">
        <f t="shared" si="423"/>
        <v>8</v>
      </c>
      <c r="FZ744" s="101" t="str">
        <f t="shared" si="415"/>
        <v>金币</v>
      </c>
      <c r="GA744" s="139">
        <f>IF($FY744&gt;0,IF(INDEX($EM$6:$EM$77,$FT744)&gt;=GA$3,ROUND(INDEX(EO$6:EO$77,$FT744)*INDEX(卡牌消耗!$B$8:$F$8,FV744)/5,0)*5,""),"")</f>
        <v>1905</v>
      </c>
      <c r="GB744" s="101" t="str">
        <f t="shared" si="416"/>
        <v>专属强化石1</v>
      </c>
      <c r="GC744" s="101">
        <f t="shared" si="417"/>
        <v>18</v>
      </c>
      <c r="GD744" s="101" t="str">
        <f t="shared" si="418"/>
        <v>专属强化石2</v>
      </c>
      <c r="GE744" s="101">
        <f t="shared" si="419"/>
        <v>6</v>
      </c>
      <c r="GF744" s="101">
        <f t="shared" si="424"/>
        <v>7.0000000000000007E-2</v>
      </c>
      <c r="GG744" s="101">
        <f t="shared" si="425"/>
        <v>1</v>
      </c>
      <c r="GH744" s="101">
        <f t="shared" si="426"/>
        <v>22</v>
      </c>
      <c r="GI744" s="101">
        <f t="shared" si="427"/>
        <v>0</v>
      </c>
      <c r="GJ744" s="101">
        <f t="shared" si="428"/>
        <v>1</v>
      </c>
      <c r="GK744" s="101">
        <f t="shared" si="429"/>
        <v>5</v>
      </c>
      <c r="GL744" s="101">
        <f t="shared" si="430"/>
        <v>3.4000000000000002E-2</v>
      </c>
      <c r="GM744" s="101">
        <f t="shared" si="431"/>
        <v>1</v>
      </c>
      <c r="GN744" s="101">
        <f t="shared" si="432"/>
        <v>10</v>
      </c>
      <c r="GO744" s="101">
        <f t="shared" si="433"/>
        <v>0.13600000000000001</v>
      </c>
      <c r="GP744" s="101">
        <f t="shared" si="434"/>
        <v>1</v>
      </c>
      <c r="GQ744" s="101">
        <f t="shared" si="435"/>
        <v>22</v>
      </c>
    </row>
    <row r="745" spans="175:199" ht="16.5" x14ac:dyDescent="0.2">
      <c r="FS745" s="101">
        <v>740</v>
      </c>
      <c r="FT745" s="101">
        <f t="shared" si="420"/>
        <v>18</v>
      </c>
      <c r="FU745" s="101">
        <f t="shared" si="413"/>
        <v>10</v>
      </c>
      <c r="FV745" s="14">
        <f t="shared" si="414"/>
        <v>4</v>
      </c>
      <c r="FW745" s="101" t="str">
        <f t="shared" si="421"/>
        <v>张飞专属武器-魂珠-2 9级</v>
      </c>
      <c r="FX745" s="101">
        <f t="shared" si="422"/>
        <v>2</v>
      </c>
      <c r="FY745" s="101">
        <f t="shared" si="423"/>
        <v>9</v>
      </c>
      <c r="FZ745" s="101" t="str">
        <f t="shared" si="415"/>
        <v>金币</v>
      </c>
      <c r="GA745" s="139">
        <f>IF($FY745&gt;0,IF(INDEX($EM$6:$EM$77,$FT745)&gt;=GA$3,ROUND(INDEX(EO$6:EO$77,$FT745)*INDEX(卡牌消耗!$B$8:$F$8,FV745)/5,0)*5,""),"")</f>
        <v>2540</v>
      </c>
      <c r="GB745" s="101" t="str">
        <f t="shared" si="416"/>
        <v>专属强化石1</v>
      </c>
      <c r="GC745" s="101">
        <f t="shared" si="417"/>
        <v>24</v>
      </c>
      <c r="GD745" s="101" t="str">
        <f t="shared" si="418"/>
        <v>专属强化石2</v>
      </c>
      <c r="GE745" s="101">
        <f t="shared" si="419"/>
        <v>8</v>
      </c>
      <c r="GF745" s="101">
        <f t="shared" si="424"/>
        <v>0.06</v>
      </c>
      <c r="GG745" s="101">
        <f t="shared" si="425"/>
        <v>1</v>
      </c>
      <c r="GH745" s="101">
        <f t="shared" si="426"/>
        <v>27</v>
      </c>
      <c r="GI745" s="101">
        <f t="shared" si="427"/>
        <v>0</v>
      </c>
      <c r="GJ745" s="101">
        <f t="shared" si="428"/>
        <v>1</v>
      </c>
      <c r="GK745" s="101">
        <f t="shared" si="429"/>
        <v>6</v>
      </c>
      <c r="GL745" s="101">
        <f t="shared" si="430"/>
        <v>2.8000000000000001E-2</v>
      </c>
      <c r="GM745" s="101">
        <f t="shared" si="431"/>
        <v>1</v>
      </c>
      <c r="GN745" s="101">
        <f t="shared" si="432"/>
        <v>12</v>
      </c>
      <c r="GO745" s="101">
        <f t="shared" si="433"/>
        <v>0.11210000000000001</v>
      </c>
      <c r="GP745" s="101">
        <f t="shared" si="434"/>
        <v>1</v>
      </c>
      <c r="GQ745" s="101">
        <f t="shared" si="435"/>
        <v>27</v>
      </c>
    </row>
    <row r="746" spans="175:199" ht="16.5" x14ac:dyDescent="0.2">
      <c r="FS746" s="101">
        <v>741</v>
      </c>
      <c r="FT746" s="101">
        <f t="shared" si="420"/>
        <v>0</v>
      </c>
      <c r="FU746" s="101">
        <f t="shared" si="413"/>
        <v>10</v>
      </c>
      <c r="FV746" s="14">
        <f t="shared" si="414"/>
        <v>4</v>
      </c>
      <c r="FW746" s="101" t="str">
        <f t="shared" si="421"/>
        <v>张飞专属武器-魂珠-3 0级</v>
      </c>
      <c r="FX746" s="101">
        <f t="shared" si="422"/>
        <v>3</v>
      </c>
      <c r="FY746" s="101">
        <f t="shared" si="423"/>
        <v>0</v>
      </c>
      <c r="FZ746" s="101" t="str">
        <f t="shared" si="415"/>
        <v/>
      </c>
      <c r="GA746" s="139" t="str">
        <f>IF($FY746&gt;0,IF(INDEX($EM$6:$EM$77,$FT746)&gt;=GA$3,ROUND(INDEX(EO$6:EO$77,$FT746)*INDEX(卡牌消耗!$B$8:$F$8,FV746)/5,0)*5,""),"")</f>
        <v/>
      </c>
      <c r="GB746" s="101" t="str">
        <f t="shared" si="416"/>
        <v/>
      </c>
      <c r="GC746" s="101" t="str">
        <f t="shared" si="417"/>
        <v/>
      </c>
      <c r="GD746" s="101" t="str">
        <f t="shared" si="418"/>
        <v/>
      </c>
      <c r="GE746" s="101" t="str">
        <f t="shared" si="419"/>
        <v/>
      </c>
      <c r="GF746" s="101" t="str">
        <f t="shared" si="424"/>
        <v/>
      </c>
      <c r="GG746" s="101" t="str">
        <f t="shared" si="425"/>
        <v/>
      </c>
      <c r="GH746" s="101" t="str">
        <f t="shared" si="426"/>
        <v/>
      </c>
      <c r="GI746" s="101" t="str">
        <f t="shared" si="427"/>
        <v/>
      </c>
      <c r="GJ746" s="101" t="str">
        <f t="shared" si="428"/>
        <v/>
      </c>
      <c r="GK746" s="101" t="str">
        <f t="shared" si="429"/>
        <v/>
      </c>
      <c r="GL746" s="101" t="str">
        <f t="shared" si="430"/>
        <v/>
      </c>
      <c r="GM746" s="101" t="str">
        <f t="shared" si="431"/>
        <v/>
      </c>
      <c r="GN746" s="101" t="str">
        <f t="shared" si="432"/>
        <v/>
      </c>
      <c r="GO746" s="101" t="str">
        <f t="shared" si="433"/>
        <v/>
      </c>
      <c r="GP746" s="101" t="str">
        <f t="shared" si="434"/>
        <v/>
      </c>
      <c r="GQ746" s="101" t="str">
        <f t="shared" si="435"/>
        <v/>
      </c>
    </row>
    <row r="747" spans="175:199" ht="16.5" x14ac:dyDescent="0.2">
      <c r="FS747" s="101">
        <v>742</v>
      </c>
      <c r="FT747" s="101">
        <f t="shared" si="420"/>
        <v>19</v>
      </c>
      <c r="FU747" s="101">
        <f t="shared" si="413"/>
        <v>10</v>
      </c>
      <c r="FV747" s="14">
        <f t="shared" si="414"/>
        <v>4</v>
      </c>
      <c r="FW747" s="101" t="str">
        <f t="shared" si="421"/>
        <v>张飞专属武器-魂珠-3 1级</v>
      </c>
      <c r="FX747" s="101">
        <f t="shared" si="422"/>
        <v>3</v>
      </c>
      <c r="FY747" s="101">
        <f t="shared" si="423"/>
        <v>1</v>
      </c>
      <c r="FZ747" s="101" t="str">
        <f t="shared" si="415"/>
        <v>金币</v>
      </c>
      <c r="GA747" s="139">
        <f>IF($FY747&gt;0,IF(INDEX($EM$6:$EM$77,$FT747)&gt;=GA$3,ROUND(INDEX(EO$6:EO$77,$FT747)*INDEX(卡牌消耗!$B$8:$F$8,FV747)/5,0)*5,""),"")</f>
        <v>820</v>
      </c>
      <c r="GB747" s="101" t="str">
        <f t="shared" si="416"/>
        <v>专属强化石1</v>
      </c>
      <c r="GC747" s="101">
        <f t="shared" si="417"/>
        <v>4</v>
      </c>
      <c r="GD747" s="101" t="str">
        <f t="shared" si="418"/>
        <v>专属强化石2</v>
      </c>
      <c r="GE747" s="101">
        <f t="shared" si="419"/>
        <v>2</v>
      </c>
      <c r="GF747" s="101">
        <f t="shared" si="424"/>
        <v>0.31</v>
      </c>
      <c r="GG747" s="101">
        <f t="shared" si="425"/>
        <v>1</v>
      </c>
      <c r="GH747" s="101">
        <f t="shared" si="426"/>
        <v>5</v>
      </c>
      <c r="GI747" s="101">
        <f t="shared" si="427"/>
        <v>0</v>
      </c>
      <c r="GJ747" s="101">
        <f t="shared" si="428"/>
        <v>1</v>
      </c>
      <c r="GK747" s="101">
        <f t="shared" si="429"/>
        <v>1</v>
      </c>
      <c r="GL747" s="101">
        <f t="shared" si="430"/>
        <v>0.15409999999999999</v>
      </c>
      <c r="GM747" s="101">
        <f t="shared" si="431"/>
        <v>1</v>
      </c>
      <c r="GN747" s="101">
        <f t="shared" si="432"/>
        <v>2</v>
      </c>
      <c r="GO747" s="101">
        <f t="shared" si="433"/>
        <v>0.61650000000000005</v>
      </c>
      <c r="GP747" s="101">
        <f t="shared" si="434"/>
        <v>1</v>
      </c>
      <c r="GQ747" s="101">
        <f t="shared" si="435"/>
        <v>5</v>
      </c>
    </row>
    <row r="748" spans="175:199" ht="16.5" x14ac:dyDescent="0.2">
      <c r="FS748" s="101">
        <v>743</v>
      </c>
      <c r="FT748" s="101">
        <f t="shared" si="420"/>
        <v>20</v>
      </c>
      <c r="FU748" s="101">
        <f t="shared" si="413"/>
        <v>10</v>
      </c>
      <c r="FV748" s="14">
        <f t="shared" si="414"/>
        <v>4</v>
      </c>
      <c r="FW748" s="101" t="str">
        <f t="shared" si="421"/>
        <v>张飞专属武器-魂珠-3 2级</v>
      </c>
      <c r="FX748" s="101">
        <f t="shared" si="422"/>
        <v>3</v>
      </c>
      <c r="FY748" s="101">
        <f t="shared" si="423"/>
        <v>2</v>
      </c>
      <c r="FZ748" s="101" t="str">
        <f t="shared" si="415"/>
        <v>金币</v>
      </c>
      <c r="GA748" s="139">
        <f>IF($FY748&gt;0,IF(INDEX($EM$6:$EM$77,$FT748)&gt;=GA$3,ROUND(INDEX(EO$6:EO$77,$FT748)*INDEX(卡牌消耗!$B$8:$F$8,FV748)/5,0)*5,""),"")</f>
        <v>615</v>
      </c>
      <c r="GB748" s="101" t="str">
        <f t="shared" si="416"/>
        <v>专属强化石1</v>
      </c>
      <c r="GC748" s="101">
        <f t="shared" si="417"/>
        <v>4</v>
      </c>
      <c r="GD748" s="101" t="str">
        <f t="shared" si="418"/>
        <v>专属强化石2</v>
      </c>
      <c r="GE748" s="101">
        <f t="shared" si="419"/>
        <v>2</v>
      </c>
      <c r="GF748" s="101">
        <f t="shared" si="424"/>
        <v>0.15</v>
      </c>
      <c r="GG748" s="101">
        <f t="shared" si="425"/>
        <v>1</v>
      </c>
      <c r="GH748" s="101">
        <f t="shared" si="426"/>
        <v>10</v>
      </c>
      <c r="GI748" s="101">
        <f t="shared" si="427"/>
        <v>0</v>
      </c>
      <c r="GJ748" s="101">
        <f t="shared" si="428"/>
        <v>1</v>
      </c>
      <c r="GK748" s="101">
        <f t="shared" si="429"/>
        <v>2</v>
      </c>
      <c r="GL748" s="101">
        <f t="shared" si="430"/>
        <v>7.7100000000000002E-2</v>
      </c>
      <c r="GM748" s="101">
        <f t="shared" si="431"/>
        <v>1</v>
      </c>
      <c r="GN748" s="101">
        <f t="shared" si="432"/>
        <v>5</v>
      </c>
      <c r="GO748" s="101">
        <f t="shared" si="433"/>
        <v>0.30830000000000002</v>
      </c>
      <c r="GP748" s="101">
        <f t="shared" si="434"/>
        <v>1</v>
      </c>
      <c r="GQ748" s="101">
        <f t="shared" si="435"/>
        <v>10</v>
      </c>
    </row>
    <row r="749" spans="175:199" ht="16.5" x14ac:dyDescent="0.2">
      <c r="FS749" s="101">
        <v>744</v>
      </c>
      <c r="FT749" s="101">
        <f t="shared" si="420"/>
        <v>21</v>
      </c>
      <c r="FU749" s="101">
        <f t="shared" si="413"/>
        <v>10</v>
      </c>
      <c r="FV749" s="14">
        <f t="shared" si="414"/>
        <v>4</v>
      </c>
      <c r="FW749" s="101" t="str">
        <f t="shared" si="421"/>
        <v>张飞专属武器-魂珠-3 3级</v>
      </c>
      <c r="FX749" s="101">
        <f t="shared" si="422"/>
        <v>3</v>
      </c>
      <c r="FY749" s="101">
        <f t="shared" si="423"/>
        <v>3</v>
      </c>
      <c r="FZ749" s="101" t="str">
        <f t="shared" si="415"/>
        <v>金币</v>
      </c>
      <c r="GA749" s="139">
        <f>IF($FY749&gt;0,IF(INDEX($EM$6:$EM$77,$FT749)&gt;=GA$3,ROUND(INDEX(EO$6:EO$77,$FT749)*INDEX(卡牌消耗!$B$8:$F$8,FV749)/5,0)*5,""),"")</f>
        <v>1025</v>
      </c>
      <c r="GB749" s="101" t="str">
        <f t="shared" si="416"/>
        <v>专属强化石1</v>
      </c>
      <c r="GC749" s="101">
        <f t="shared" si="417"/>
        <v>6</v>
      </c>
      <c r="GD749" s="101" t="str">
        <f t="shared" si="418"/>
        <v>专属强化石2</v>
      </c>
      <c r="GE749" s="101">
        <f t="shared" si="419"/>
        <v>3</v>
      </c>
      <c r="GF749" s="101">
        <f t="shared" si="424"/>
        <v>0.15</v>
      </c>
      <c r="GG749" s="101">
        <f t="shared" si="425"/>
        <v>1</v>
      </c>
      <c r="GH749" s="101">
        <f t="shared" si="426"/>
        <v>10</v>
      </c>
      <c r="GI749" s="101">
        <f t="shared" si="427"/>
        <v>0</v>
      </c>
      <c r="GJ749" s="101">
        <f t="shared" si="428"/>
        <v>1</v>
      </c>
      <c r="GK749" s="101">
        <f t="shared" si="429"/>
        <v>2</v>
      </c>
      <c r="GL749" s="101">
        <f t="shared" si="430"/>
        <v>7.7100000000000002E-2</v>
      </c>
      <c r="GM749" s="101">
        <f t="shared" si="431"/>
        <v>1</v>
      </c>
      <c r="GN749" s="101">
        <f t="shared" si="432"/>
        <v>5</v>
      </c>
      <c r="GO749" s="101">
        <f t="shared" si="433"/>
        <v>0.30830000000000002</v>
      </c>
      <c r="GP749" s="101">
        <f t="shared" si="434"/>
        <v>1</v>
      </c>
      <c r="GQ749" s="101">
        <f t="shared" si="435"/>
        <v>10</v>
      </c>
    </row>
    <row r="750" spans="175:199" ht="16.5" x14ac:dyDescent="0.2">
      <c r="FS750" s="101">
        <v>745</v>
      </c>
      <c r="FT750" s="101">
        <f t="shared" si="420"/>
        <v>22</v>
      </c>
      <c r="FU750" s="101">
        <f t="shared" si="413"/>
        <v>10</v>
      </c>
      <c r="FV750" s="14">
        <f t="shared" si="414"/>
        <v>4</v>
      </c>
      <c r="FW750" s="101" t="str">
        <f t="shared" si="421"/>
        <v>张飞专属武器-魂珠-3 4级</v>
      </c>
      <c r="FX750" s="101">
        <f t="shared" si="422"/>
        <v>3</v>
      </c>
      <c r="FY750" s="101">
        <f t="shared" si="423"/>
        <v>4</v>
      </c>
      <c r="FZ750" s="101" t="str">
        <f t="shared" si="415"/>
        <v>金币</v>
      </c>
      <c r="GA750" s="139">
        <f>IF($FY750&gt;0,IF(INDEX($EM$6:$EM$77,$FT750)&gt;=GA$3,ROUND(INDEX(EO$6:EO$77,$FT750)*INDEX(卡牌消耗!$B$8:$F$8,FV750)/5,0)*5,""),"")</f>
        <v>985</v>
      </c>
      <c r="GB750" s="101" t="str">
        <f t="shared" si="416"/>
        <v>专属强化石1</v>
      </c>
      <c r="GC750" s="101">
        <f t="shared" si="417"/>
        <v>6</v>
      </c>
      <c r="GD750" s="101" t="str">
        <f t="shared" si="418"/>
        <v>专属强化石2</v>
      </c>
      <c r="GE750" s="101">
        <f t="shared" si="419"/>
        <v>3</v>
      </c>
      <c r="GF750" s="101">
        <f t="shared" si="424"/>
        <v>0.09</v>
      </c>
      <c r="GG750" s="101">
        <f t="shared" si="425"/>
        <v>1</v>
      </c>
      <c r="GH750" s="101">
        <f t="shared" si="426"/>
        <v>16</v>
      </c>
      <c r="GI750" s="101">
        <f t="shared" si="427"/>
        <v>0</v>
      </c>
      <c r="GJ750" s="101">
        <f t="shared" si="428"/>
        <v>1</v>
      </c>
      <c r="GK750" s="101">
        <f t="shared" si="429"/>
        <v>4</v>
      </c>
      <c r="GL750" s="101">
        <f t="shared" si="430"/>
        <v>4.6199999999999998E-2</v>
      </c>
      <c r="GM750" s="101">
        <f t="shared" si="431"/>
        <v>1</v>
      </c>
      <c r="GN750" s="101">
        <f t="shared" si="432"/>
        <v>8</v>
      </c>
      <c r="GO750" s="101">
        <f t="shared" si="433"/>
        <v>0.185</v>
      </c>
      <c r="GP750" s="101">
        <f t="shared" si="434"/>
        <v>1</v>
      </c>
      <c r="GQ750" s="101">
        <f t="shared" si="435"/>
        <v>16</v>
      </c>
    </row>
    <row r="751" spans="175:199" ht="16.5" x14ac:dyDescent="0.2">
      <c r="FS751" s="101">
        <v>746</v>
      </c>
      <c r="FT751" s="101">
        <f t="shared" si="420"/>
        <v>23</v>
      </c>
      <c r="FU751" s="101">
        <f t="shared" si="413"/>
        <v>10</v>
      </c>
      <c r="FV751" s="14">
        <f t="shared" si="414"/>
        <v>4</v>
      </c>
      <c r="FW751" s="101" t="str">
        <f t="shared" si="421"/>
        <v>张飞专属武器-魂珠-3 5级</v>
      </c>
      <c r="FX751" s="101">
        <f t="shared" si="422"/>
        <v>3</v>
      </c>
      <c r="FY751" s="101">
        <f t="shared" si="423"/>
        <v>5</v>
      </c>
      <c r="FZ751" s="101" t="str">
        <f t="shared" si="415"/>
        <v>金币</v>
      </c>
      <c r="GA751" s="139">
        <f>IF($FY751&gt;0,IF(INDEX($EM$6:$EM$77,$FT751)&gt;=GA$3,ROUND(INDEX(EO$6:EO$77,$FT751)*INDEX(卡牌消耗!$B$8:$F$8,FV751)/5,0)*5,""),"")</f>
        <v>1330</v>
      </c>
      <c r="GB751" s="101" t="str">
        <f t="shared" si="416"/>
        <v>专属强化石1</v>
      </c>
      <c r="GC751" s="101">
        <f t="shared" si="417"/>
        <v>8</v>
      </c>
      <c r="GD751" s="101" t="str">
        <f t="shared" si="418"/>
        <v>专属强化石2</v>
      </c>
      <c r="GE751" s="101">
        <f t="shared" si="419"/>
        <v>4</v>
      </c>
      <c r="GF751" s="101">
        <f t="shared" si="424"/>
        <v>0.08</v>
      </c>
      <c r="GG751" s="101">
        <f t="shared" si="425"/>
        <v>1</v>
      </c>
      <c r="GH751" s="101">
        <f t="shared" si="426"/>
        <v>19</v>
      </c>
      <c r="GI751" s="101">
        <f t="shared" si="427"/>
        <v>0</v>
      </c>
      <c r="GJ751" s="101">
        <f t="shared" si="428"/>
        <v>1</v>
      </c>
      <c r="GK751" s="101">
        <f t="shared" si="429"/>
        <v>5</v>
      </c>
      <c r="GL751" s="101">
        <f t="shared" si="430"/>
        <v>3.85E-2</v>
      </c>
      <c r="GM751" s="101">
        <f t="shared" si="431"/>
        <v>1</v>
      </c>
      <c r="GN751" s="101">
        <f t="shared" si="432"/>
        <v>9</v>
      </c>
      <c r="GO751" s="101">
        <f t="shared" si="433"/>
        <v>0.15409999999999999</v>
      </c>
      <c r="GP751" s="101">
        <f t="shared" si="434"/>
        <v>1</v>
      </c>
      <c r="GQ751" s="101">
        <f t="shared" si="435"/>
        <v>19</v>
      </c>
    </row>
    <row r="752" spans="175:199" ht="16.5" x14ac:dyDescent="0.2">
      <c r="FS752" s="101">
        <v>747</v>
      </c>
      <c r="FT752" s="101">
        <f t="shared" si="420"/>
        <v>24</v>
      </c>
      <c r="FU752" s="101">
        <f t="shared" si="413"/>
        <v>10</v>
      </c>
      <c r="FV752" s="14">
        <f t="shared" si="414"/>
        <v>4</v>
      </c>
      <c r="FW752" s="101" t="str">
        <f t="shared" si="421"/>
        <v>张飞专属武器-魂珠-3 6级</v>
      </c>
      <c r="FX752" s="101">
        <f t="shared" si="422"/>
        <v>3</v>
      </c>
      <c r="FY752" s="101">
        <f t="shared" si="423"/>
        <v>6</v>
      </c>
      <c r="FZ752" s="101" t="str">
        <f t="shared" si="415"/>
        <v>金币</v>
      </c>
      <c r="GA752" s="139">
        <f>IF($FY752&gt;0,IF(INDEX($EM$6:$EM$77,$FT752)&gt;=GA$3,ROUND(INDEX(EO$6:EO$77,$FT752)*INDEX(卡牌消耗!$B$8:$F$8,FV752)/5,0)*5,""),"")</f>
        <v>1650</v>
      </c>
      <c r="GB752" s="101" t="str">
        <f t="shared" si="416"/>
        <v>专属强化石1</v>
      </c>
      <c r="GC752" s="101">
        <f t="shared" si="417"/>
        <v>10</v>
      </c>
      <c r="GD752" s="101" t="str">
        <f t="shared" si="418"/>
        <v>专属强化石2</v>
      </c>
      <c r="GE752" s="101">
        <f t="shared" si="419"/>
        <v>5</v>
      </c>
      <c r="GF752" s="101">
        <f t="shared" si="424"/>
        <v>0.06</v>
      </c>
      <c r="GG752" s="101">
        <f t="shared" si="425"/>
        <v>1</v>
      </c>
      <c r="GH752" s="101">
        <f t="shared" si="426"/>
        <v>25</v>
      </c>
      <c r="GI752" s="101">
        <f t="shared" si="427"/>
        <v>0</v>
      </c>
      <c r="GJ752" s="101">
        <f t="shared" si="428"/>
        <v>1</v>
      </c>
      <c r="GK752" s="101">
        <f t="shared" si="429"/>
        <v>6</v>
      </c>
      <c r="GL752" s="101">
        <f t="shared" si="430"/>
        <v>2.9600000000000001E-2</v>
      </c>
      <c r="GM752" s="101">
        <f t="shared" si="431"/>
        <v>1</v>
      </c>
      <c r="GN752" s="101">
        <f t="shared" si="432"/>
        <v>12</v>
      </c>
      <c r="GO752" s="101">
        <f t="shared" si="433"/>
        <v>0.1186</v>
      </c>
      <c r="GP752" s="101">
        <f t="shared" si="434"/>
        <v>1</v>
      </c>
      <c r="GQ752" s="101">
        <f t="shared" si="435"/>
        <v>25</v>
      </c>
    </row>
    <row r="753" spans="175:199" ht="16.5" x14ac:dyDescent="0.2">
      <c r="FS753" s="101">
        <v>748</v>
      </c>
      <c r="FT753" s="101">
        <f t="shared" si="420"/>
        <v>25</v>
      </c>
      <c r="FU753" s="101">
        <f t="shared" si="413"/>
        <v>10</v>
      </c>
      <c r="FV753" s="14">
        <f t="shared" si="414"/>
        <v>4</v>
      </c>
      <c r="FW753" s="101" t="str">
        <f t="shared" si="421"/>
        <v>张飞专属武器-魂珠-3 7级</v>
      </c>
      <c r="FX753" s="101">
        <f t="shared" si="422"/>
        <v>3</v>
      </c>
      <c r="FY753" s="101">
        <f t="shared" si="423"/>
        <v>7</v>
      </c>
      <c r="FZ753" s="101" t="str">
        <f t="shared" si="415"/>
        <v>金币</v>
      </c>
      <c r="GA753" s="139">
        <f>IF($FY753&gt;0,IF(INDEX($EM$6:$EM$77,$FT753)&gt;=GA$3,ROUND(INDEX(EO$6:EO$77,$FT753)*INDEX(卡牌消耗!$B$8:$F$8,FV753)/5,0)*5,""),"")</f>
        <v>1990</v>
      </c>
      <c r="GB753" s="101" t="str">
        <f t="shared" si="416"/>
        <v>专属强化石1</v>
      </c>
      <c r="GC753" s="101">
        <f t="shared" si="417"/>
        <v>12</v>
      </c>
      <c r="GD753" s="101" t="str">
        <f t="shared" si="418"/>
        <v>专属强化石2</v>
      </c>
      <c r="GE753" s="101">
        <f t="shared" si="419"/>
        <v>6</v>
      </c>
      <c r="GF753" s="101">
        <f t="shared" si="424"/>
        <v>0.04</v>
      </c>
      <c r="GG753" s="101">
        <f t="shared" si="425"/>
        <v>1</v>
      </c>
      <c r="GH753" s="101">
        <f t="shared" si="426"/>
        <v>34</v>
      </c>
      <c r="GI753" s="101">
        <f t="shared" si="427"/>
        <v>0</v>
      </c>
      <c r="GJ753" s="101">
        <f t="shared" si="428"/>
        <v>1</v>
      </c>
      <c r="GK753" s="101">
        <f t="shared" si="429"/>
        <v>8</v>
      </c>
      <c r="GL753" s="101">
        <f t="shared" si="430"/>
        <v>2.1999999999999999E-2</v>
      </c>
      <c r="GM753" s="101">
        <f t="shared" si="431"/>
        <v>1</v>
      </c>
      <c r="GN753" s="101">
        <f t="shared" si="432"/>
        <v>16</v>
      </c>
      <c r="GO753" s="101">
        <f t="shared" si="433"/>
        <v>8.8099999999999998E-2</v>
      </c>
      <c r="GP753" s="101">
        <f t="shared" si="434"/>
        <v>1</v>
      </c>
      <c r="GQ753" s="101">
        <f t="shared" si="435"/>
        <v>34</v>
      </c>
    </row>
    <row r="754" spans="175:199" ht="16.5" x14ac:dyDescent="0.2">
      <c r="FS754" s="101">
        <v>749</v>
      </c>
      <c r="FT754" s="101">
        <f t="shared" si="420"/>
        <v>26</v>
      </c>
      <c r="FU754" s="101">
        <f t="shared" si="413"/>
        <v>10</v>
      </c>
      <c r="FV754" s="14">
        <f t="shared" si="414"/>
        <v>4</v>
      </c>
      <c r="FW754" s="101" t="str">
        <f t="shared" si="421"/>
        <v>张飞专属武器-魂珠-3 8级</v>
      </c>
      <c r="FX754" s="101">
        <f t="shared" si="422"/>
        <v>3</v>
      </c>
      <c r="FY754" s="101">
        <f t="shared" si="423"/>
        <v>8</v>
      </c>
      <c r="FZ754" s="101" t="str">
        <f t="shared" si="415"/>
        <v>金币</v>
      </c>
      <c r="GA754" s="139">
        <f>IF($FY754&gt;0,IF(INDEX($EM$6:$EM$77,$FT754)&gt;=GA$3,ROUND(INDEX(EO$6:EO$77,$FT754)*INDEX(卡牌消耗!$B$8:$F$8,FV754)/5,0)*5,""),"")</f>
        <v>2650</v>
      </c>
      <c r="GB754" s="101" t="str">
        <f t="shared" si="416"/>
        <v>专属强化石1</v>
      </c>
      <c r="GC754" s="101">
        <f t="shared" si="417"/>
        <v>16</v>
      </c>
      <c r="GD754" s="101" t="str">
        <f t="shared" si="418"/>
        <v>专属强化石2</v>
      </c>
      <c r="GE754" s="101">
        <f t="shared" si="419"/>
        <v>8</v>
      </c>
      <c r="GF754" s="101">
        <f t="shared" si="424"/>
        <v>0.04</v>
      </c>
      <c r="GG754" s="101">
        <f t="shared" si="425"/>
        <v>1</v>
      </c>
      <c r="GH754" s="101">
        <f t="shared" si="426"/>
        <v>41</v>
      </c>
      <c r="GI754" s="101">
        <f t="shared" si="427"/>
        <v>0</v>
      </c>
      <c r="GJ754" s="101">
        <f t="shared" si="428"/>
        <v>1</v>
      </c>
      <c r="GK754" s="101">
        <f t="shared" si="429"/>
        <v>10</v>
      </c>
      <c r="GL754" s="101">
        <f t="shared" si="430"/>
        <v>1.8100000000000002E-2</v>
      </c>
      <c r="GM754" s="101">
        <f t="shared" si="431"/>
        <v>1</v>
      </c>
      <c r="GN754" s="101">
        <f t="shared" si="432"/>
        <v>19</v>
      </c>
      <c r="GO754" s="101">
        <f t="shared" si="433"/>
        <v>7.2499999999999995E-2</v>
      </c>
      <c r="GP754" s="101">
        <f t="shared" si="434"/>
        <v>1</v>
      </c>
      <c r="GQ754" s="101">
        <f t="shared" si="435"/>
        <v>41</v>
      </c>
    </row>
    <row r="755" spans="175:199" ht="16.5" x14ac:dyDescent="0.2">
      <c r="FS755" s="101">
        <v>750</v>
      </c>
      <c r="FT755" s="101">
        <f t="shared" si="420"/>
        <v>27</v>
      </c>
      <c r="FU755" s="101">
        <f t="shared" si="413"/>
        <v>10</v>
      </c>
      <c r="FV755" s="14">
        <f t="shared" si="414"/>
        <v>4</v>
      </c>
      <c r="FW755" s="101" t="str">
        <f t="shared" si="421"/>
        <v>张飞专属武器-魂珠-3 9级</v>
      </c>
      <c r="FX755" s="101">
        <f t="shared" si="422"/>
        <v>3</v>
      </c>
      <c r="FY755" s="101">
        <f t="shared" si="423"/>
        <v>9</v>
      </c>
      <c r="FZ755" s="101" t="str">
        <f t="shared" si="415"/>
        <v>金币</v>
      </c>
      <c r="GA755" s="139">
        <f>IF($FY755&gt;0,IF(INDEX($EM$6:$EM$77,$FT755)&gt;=GA$3,ROUND(INDEX(EO$6:EO$77,$FT755)*INDEX(卡牌消耗!$B$8:$F$8,FV755)/5,0)*5,""),"")</f>
        <v>3310</v>
      </c>
      <c r="GB755" s="101" t="str">
        <f t="shared" si="416"/>
        <v>专属强化石1</v>
      </c>
      <c r="GC755" s="101">
        <f t="shared" si="417"/>
        <v>20</v>
      </c>
      <c r="GD755" s="101" t="str">
        <f t="shared" si="418"/>
        <v>专属强化石2</v>
      </c>
      <c r="GE755" s="101">
        <f t="shared" si="419"/>
        <v>10</v>
      </c>
      <c r="GF755" s="101">
        <f t="shared" si="424"/>
        <v>0.03</v>
      </c>
      <c r="GG755" s="101">
        <f t="shared" si="425"/>
        <v>1</v>
      </c>
      <c r="GH755" s="101">
        <f t="shared" si="426"/>
        <v>54</v>
      </c>
      <c r="GI755" s="101">
        <f t="shared" si="427"/>
        <v>0</v>
      </c>
      <c r="GJ755" s="101">
        <f t="shared" si="428"/>
        <v>1</v>
      </c>
      <c r="GK755" s="101">
        <f t="shared" si="429"/>
        <v>12</v>
      </c>
      <c r="GL755" s="101">
        <f t="shared" si="430"/>
        <v>1.4E-2</v>
      </c>
      <c r="GM755" s="101">
        <f t="shared" si="431"/>
        <v>1</v>
      </c>
      <c r="GN755" s="101">
        <f t="shared" si="432"/>
        <v>25</v>
      </c>
      <c r="GO755" s="101">
        <f t="shared" si="433"/>
        <v>5.6000000000000001E-2</v>
      </c>
      <c r="GP755" s="101">
        <f t="shared" si="434"/>
        <v>1</v>
      </c>
      <c r="GQ755" s="101">
        <f t="shared" si="435"/>
        <v>54</v>
      </c>
    </row>
    <row r="756" spans="175:199" ht="16.5" x14ac:dyDescent="0.2">
      <c r="FS756" s="101">
        <v>751</v>
      </c>
      <c r="FT756" s="101">
        <f t="shared" si="420"/>
        <v>0</v>
      </c>
      <c r="FU756" s="101">
        <f t="shared" si="413"/>
        <v>10</v>
      </c>
      <c r="FV756" s="14">
        <f t="shared" si="414"/>
        <v>4</v>
      </c>
      <c r="FW756" s="101" t="str">
        <f t="shared" si="421"/>
        <v>张飞专属武器-魂珠-4 0级</v>
      </c>
      <c r="FX756" s="101">
        <f t="shared" si="422"/>
        <v>4</v>
      </c>
      <c r="FY756" s="101">
        <f t="shared" si="423"/>
        <v>0</v>
      </c>
      <c r="FZ756" s="101" t="str">
        <f t="shared" si="415"/>
        <v/>
      </c>
      <c r="GA756" s="139" t="str">
        <f>IF($FY756&gt;0,IF(INDEX($EM$6:$EM$77,$FT756)&gt;=GA$3,ROUND(INDEX(EO$6:EO$77,$FT756)*INDEX(卡牌消耗!$B$8:$F$8,FV756)/5,0)*5,""),"")</f>
        <v/>
      </c>
      <c r="GB756" s="101" t="str">
        <f t="shared" si="416"/>
        <v/>
      </c>
      <c r="GC756" s="101" t="str">
        <f t="shared" si="417"/>
        <v/>
      </c>
      <c r="GD756" s="101" t="str">
        <f t="shared" si="418"/>
        <v/>
      </c>
      <c r="GE756" s="101" t="str">
        <f t="shared" si="419"/>
        <v/>
      </c>
      <c r="GF756" s="101" t="str">
        <f t="shared" si="424"/>
        <v/>
      </c>
      <c r="GG756" s="101" t="str">
        <f t="shared" si="425"/>
        <v/>
      </c>
      <c r="GH756" s="101" t="str">
        <f t="shared" si="426"/>
        <v/>
      </c>
      <c r="GI756" s="101" t="str">
        <f t="shared" si="427"/>
        <v/>
      </c>
      <c r="GJ756" s="101" t="str">
        <f t="shared" si="428"/>
        <v/>
      </c>
      <c r="GK756" s="101" t="str">
        <f t="shared" si="429"/>
        <v/>
      </c>
      <c r="GL756" s="101" t="str">
        <f t="shared" si="430"/>
        <v/>
      </c>
      <c r="GM756" s="101" t="str">
        <f t="shared" si="431"/>
        <v/>
      </c>
      <c r="GN756" s="101" t="str">
        <f t="shared" si="432"/>
        <v/>
      </c>
      <c r="GO756" s="101" t="str">
        <f t="shared" si="433"/>
        <v/>
      </c>
      <c r="GP756" s="101" t="str">
        <f t="shared" si="434"/>
        <v/>
      </c>
      <c r="GQ756" s="101" t="str">
        <f t="shared" si="435"/>
        <v/>
      </c>
    </row>
    <row r="757" spans="175:199" ht="16.5" x14ac:dyDescent="0.2">
      <c r="FS757" s="101">
        <v>752</v>
      </c>
      <c r="FT757" s="101">
        <f t="shared" si="420"/>
        <v>28</v>
      </c>
      <c r="FU757" s="101">
        <f t="shared" si="413"/>
        <v>10</v>
      </c>
      <c r="FV757" s="14">
        <f t="shared" si="414"/>
        <v>4</v>
      </c>
      <c r="FW757" s="101" t="str">
        <f t="shared" si="421"/>
        <v>张飞专属武器-魂珠-4 1级</v>
      </c>
      <c r="FX757" s="101">
        <f t="shared" si="422"/>
        <v>4</v>
      </c>
      <c r="FY757" s="101">
        <f t="shared" si="423"/>
        <v>1</v>
      </c>
      <c r="FZ757" s="101" t="str">
        <f t="shared" si="415"/>
        <v>金币</v>
      </c>
      <c r="GA757" s="139">
        <f>IF($FY757&gt;0,IF(INDEX($EM$6:$EM$77,$FT757)&gt;=GA$3,ROUND(INDEX(EO$6:EO$77,$FT757)*INDEX(卡牌消耗!$B$8:$F$8,FV757)/5,0)*5,""),"")</f>
        <v>1095</v>
      </c>
      <c r="GB757" s="101" t="str">
        <f t="shared" si="416"/>
        <v>专属强化石2</v>
      </c>
      <c r="GC757" s="101">
        <f t="shared" si="417"/>
        <v>3</v>
      </c>
      <c r="GD757" s="101" t="str">
        <f t="shared" si="418"/>
        <v>专属强化石3</v>
      </c>
      <c r="GE757" s="101">
        <f t="shared" si="419"/>
        <v>1</v>
      </c>
      <c r="GF757" s="101">
        <f t="shared" si="424"/>
        <v>0.2</v>
      </c>
      <c r="GG757" s="101">
        <f t="shared" si="425"/>
        <v>1</v>
      </c>
      <c r="GH757" s="101">
        <f t="shared" si="426"/>
        <v>7</v>
      </c>
      <c r="GI757" s="101">
        <f t="shared" si="427"/>
        <v>0</v>
      </c>
      <c r="GJ757" s="101">
        <f t="shared" si="428"/>
        <v>1</v>
      </c>
      <c r="GK757" s="101">
        <f t="shared" si="429"/>
        <v>2</v>
      </c>
      <c r="GL757" s="101">
        <f t="shared" si="430"/>
        <v>0.1012</v>
      </c>
      <c r="GM757" s="101">
        <f t="shared" si="431"/>
        <v>1</v>
      </c>
      <c r="GN757" s="101">
        <f t="shared" si="432"/>
        <v>3</v>
      </c>
      <c r="GO757" s="101">
        <f t="shared" si="433"/>
        <v>0.40479999999999999</v>
      </c>
      <c r="GP757" s="101">
        <f t="shared" si="434"/>
        <v>1</v>
      </c>
      <c r="GQ757" s="101">
        <f t="shared" si="435"/>
        <v>7</v>
      </c>
    </row>
    <row r="758" spans="175:199" ht="16.5" x14ac:dyDescent="0.2">
      <c r="FS758" s="101">
        <v>753</v>
      </c>
      <c r="FT758" s="101">
        <f t="shared" si="420"/>
        <v>29</v>
      </c>
      <c r="FU758" s="101">
        <f t="shared" si="413"/>
        <v>10</v>
      </c>
      <c r="FV758" s="14">
        <f t="shared" si="414"/>
        <v>4</v>
      </c>
      <c r="FW758" s="101" t="str">
        <f t="shared" si="421"/>
        <v>张飞专属武器-魂珠-4 2级</v>
      </c>
      <c r="FX758" s="101">
        <f t="shared" si="422"/>
        <v>4</v>
      </c>
      <c r="FY758" s="101">
        <f t="shared" si="423"/>
        <v>2</v>
      </c>
      <c r="FZ758" s="101" t="str">
        <f t="shared" si="415"/>
        <v>金币</v>
      </c>
      <c r="GA758" s="139">
        <f>IF($FY758&gt;0,IF(INDEX($EM$6:$EM$77,$FT758)&gt;=GA$3,ROUND(INDEX(EO$6:EO$77,$FT758)*INDEX(卡牌消耗!$B$8:$F$8,FV758)/5,0)*5,""),"")</f>
        <v>820</v>
      </c>
      <c r="GB758" s="101" t="str">
        <f t="shared" si="416"/>
        <v>专属强化石2</v>
      </c>
      <c r="GC758" s="101">
        <f t="shared" si="417"/>
        <v>3</v>
      </c>
      <c r="GD758" s="101" t="str">
        <f t="shared" si="418"/>
        <v>专属强化石3</v>
      </c>
      <c r="GE758" s="101">
        <f t="shared" si="419"/>
        <v>1</v>
      </c>
      <c r="GF758" s="101">
        <f t="shared" si="424"/>
        <v>0.1</v>
      </c>
      <c r="GG758" s="101">
        <f t="shared" si="425"/>
        <v>1</v>
      </c>
      <c r="GH758" s="101">
        <f t="shared" si="426"/>
        <v>15</v>
      </c>
      <c r="GI758" s="101">
        <f t="shared" si="427"/>
        <v>0</v>
      </c>
      <c r="GJ758" s="101">
        <f t="shared" si="428"/>
        <v>1</v>
      </c>
      <c r="GK758" s="101">
        <f t="shared" si="429"/>
        <v>3</v>
      </c>
      <c r="GL758" s="101">
        <f t="shared" si="430"/>
        <v>5.0599999999999999E-2</v>
      </c>
      <c r="GM758" s="101">
        <f t="shared" si="431"/>
        <v>1</v>
      </c>
      <c r="GN758" s="101">
        <f t="shared" si="432"/>
        <v>7</v>
      </c>
      <c r="GO758" s="101">
        <f t="shared" si="433"/>
        <v>0.2024</v>
      </c>
      <c r="GP758" s="101">
        <f t="shared" si="434"/>
        <v>1</v>
      </c>
      <c r="GQ758" s="101">
        <f t="shared" si="435"/>
        <v>15</v>
      </c>
    </row>
    <row r="759" spans="175:199" ht="16.5" x14ac:dyDescent="0.2">
      <c r="FS759" s="101">
        <v>754</v>
      </c>
      <c r="FT759" s="101">
        <f t="shared" si="420"/>
        <v>30</v>
      </c>
      <c r="FU759" s="101">
        <f t="shared" si="413"/>
        <v>10</v>
      </c>
      <c r="FV759" s="14">
        <f t="shared" si="414"/>
        <v>4</v>
      </c>
      <c r="FW759" s="101" t="str">
        <f t="shared" si="421"/>
        <v>张飞专属武器-魂珠-4 3级</v>
      </c>
      <c r="FX759" s="101">
        <f t="shared" si="422"/>
        <v>4</v>
      </c>
      <c r="FY759" s="101">
        <f t="shared" si="423"/>
        <v>3</v>
      </c>
      <c r="FZ759" s="101" t="str">
        <f t="shared" si="415"/>
        <v>金币</v>
      </c>
      <c r="GA759" s="139">
        <f>IF($FY759&gt;0,IF(INDEX($EM$6:$EM$77,$FT759)&gt;=GA$3,ROUND(INDEX(EO$6:EO$77,$FT759)*INDEX(卡牌消耗!$B$8:$F$8,FV759)/5,0)*5,""),"")</f>
        <v>910</v>
      </c>
      <c r="GB759" s="101" t="str">
        <f t="shared" si="416"/>
        <v>专属强化石2</v>
      </c>
      <c r="GC759" s="101">
        <f t="shared" si="417"/>
        <v>3</v>
      </c>
      <c r="GD759" s="101" t="str">
        <f t="shared" si="418"/>
        <v>专属强化石3</v>
      </c>
      <c r="GE759" s="101">
        <f t="shared" si="419"/>
        <v>1</v>
      </c>
      <c r="GF759" s="101">
        <f t="shared" si="424"/>
        <v>7.0000000000000007E-2</v>
      </c>
      <c r="GG759" s="101">
        <f t="shared" si="425"/>
        <v>1</v>
      </c>
      <c r="GH759" s="101">
        <f t="shared" si="426"/>
        <v>22</v>
      </c>
      <c r="GI759" s="101">
        <f t="shared" si="427"/>
        <v>0</v>
      </c>
      <c r="GJ759" s="101">
        <f t="shared" si="428"/>
        <v>1</v>
      </c>
      <c r="GK759" s="101">
        <f t="shared" si="429"/>
        <v>5</v>
      </c>
      <c r="GL759" s="101">
        <f t="shared" si="430"/>
        <v>3.3700000000000001E-2</v>
      </c>
      <c r="GM759" s="101">
        <f t="shared" si="431"/>
        <v>1</v>
      </c>
      <c r="GN759" s="101">
        <f t="shared" si="432"/>
        <v>10</v>
      </c>
      <c r="GO759" s="101">
        <f t="shared" si="433"/>
        <v>0.13489999999999999</v>
      </c>
      <c r="GP759" s="101">
        <f t="shared" si="434"/>
        <v>1</v>
      </c>
      <c r="GQ759" s="101">
        <f t="shared" si="435"/>
        <v>22</v>
      </c>
    </row>
    <row r="760" spans="175:199" ht="16.5" x14ac:dyDescent="0.2">
      <c r="FS760" s="101">
        <v>755</v>
      </c>
      <c r="FT760" s="101">
        <f t="shared" si="420"/>
        <v>31</v>
      </c>
      <c r="FU760" s="101">
        <f t="shared" si="413"/>
        <v>10</v>
      </c>
      <c r="FV760" s="14">
        <f t="shared" si="414"/>
        <v>4</v>
      </c>
      <c r="FW760" s="101" t="str">
        <f t="shared" si="421"/>
        <v>张飞专属武器-魂珠-4 4级</v>
      </c>
      <c r="FX760" s="101">
        <f t="shared" si="422"/>
        <v>4</v>
      </c>
      <c r="FY760" s="101">
        <f t="shared" si="423"/>
        <v>4</v>
      </c>
      <c r="FZ760" s="101" t="str">
        <f t="shared" si="415"/>
        <v>金币</v>
      </c>
      <c r="GA760" s="139">
        <f>IF($FY760&gt;0,IF(INDEX($EM$6:$EM$77,$FT760)&gt;=GA$3,ROUND(INDEX(EO$6:EO$77,$FT760)*INDEX(卡牌消耗!$B$8:$F$8,FV760)/5,0)*5,""),"")</f>
        <v>1750</v>
      </c>
      <c r="GB760" s="101" t="str">
        <f t="shared" si="416"/>
        <v>专属强化石2</v>
      </c>
      <c r="GC760" s="101">
        <f t="shared" si="417"/>
        <v>5</v>
      </c>
      <c r="GD760" s="101" t="str">
        <f t="shared" si="418"/>
        <v>专属强化石3</v>
      </c>
      <c r="GE760" s="101">
        <f t="shared" si="419"/>
        <v>2</v>
      </c>
      <c r="GF760" s="101">
        <f t="shared" si="424"/>
        <v>0.08</v>
      </c>
      <c r="GG760" s="101">
        <f t="shared" si="425"/>
        <v>1</v>
      </c>
      <c r="GH760" s="101">
        <f t="shared" si="426"/>
        <v>19</v>
      </c>
      <c r="GI760" s="101">
        <f t="shared" si="427"/>
        <v>0</v>
      </c>
      <c r="GJ760" s="101">
        <f t="shared" si="428"/>
        <v>1</v>
      </c>
      <c r="GK760" s="101">
        <f t="shared" si="429"/>
        <v>4</v>
      </c>
      <c r="GL760" s="101">
        <f t="shared" si="430"/>
        <v>4.0500000000000001E-2</v>
      </c>
      <c r="GM760" s="101">
        <f t="shared" si="431"/>
        <v>1</v>
      </c>
      <c r="GN760" s="101">
        <f t="shared" si="432"/>
        <v>9</v>
      </c>
      <c r="GO760" s="101">
        <f t="shared" si="433"/>
        <v>0.16189999999999999</v>
      </c>
      <c r="GP760" s="101">
        <f t="shared" si="434"/>
        <v>1</v>
      </c>
      <c r="GQ760" s="101">
        <f t="shared" si="435"/>
        <v>19</v>
      </c>
    </row>
    <row r="761" spans="175:199" ht="16.5" x14ac:dyDescent="0.2">
      <c r="FS761" s="101">
        <v>756</v>
      </c>
      <c r="FT761" s="101">
        <f t="shared" si="420"/>
        <v>32</v>
      </c>
      <c r="FU761" s="101">
        <f t="shared" si="413"/>
        <v>10</v>
      </c>
      <c r="FV761" s="14">
        <f t="shared" si="414"/>
        <v>4</v>
      </c>
      <c r="FW761" s="101" t="str">
        <f t="shared" si="421"/>
        <v>张飞专属武器-魂珠-4 5级</v>
      </c>
      <c r="FX761" s="101">
        <f t="shared" si="422"/>
        <v>4</v>
      </c>
      <c r="FY761" s="101">
        <f t="shared" si="423"/>
        <v>5</v>
      </c>
      <c r="FZ761" s="101" t="str">
        <f t="shared" si="415"/>
        <v>金币</v>
      </c>
      <c r="GA761" s="139">
        <f>IF($FY761&gt;0,IF(INDEX($EM$6:$EM$77,$FT761)&gt;=GA$3,ROUND(INDEX(EO$6:EO$77,$FT761)*INDEX(卡牌消耗!$B$8:$F$8,FV761)/5,0)*5,""),"")</f>
        <v>1780</v>
      </c>
      <c r="GB761" s="101" t="str">
        <f t="shared" si="416"/>
        <v>专属强化石2</v>
      </c>
      <c r="GC761" s="101">
        <f t="shared" si="417"/>
        <v>5</v>
      </c>
      <c r="GD761" s="101" t="str">
        <f t="shared" si="418"/>
        <v>专属强化石3</v>
      </c>
      <c r="GE761" s="101">
        <f t="shared" si="419"/>
        <v>2</v>
      </c>
      <c r="GF761" s="101">
        <f t="shared" si="424"/>
        <v>0.05</v>
      </c>
      <c r="GG761" s="101">
        <f t="shared" si="425"/>
        <v>1</v>
      </c>
      <c r="GH761" s="101">
        <f t="shared" si="426"/>
        <v>30</v>
      </c>
      <c r="GI761" s="101">
        <f t="shared" si="427"/>
        <v>0</v>
      </c>
      <c r="GJ761" s="101">
        <f t="shared" si="428"/>
        <v>1</v>
      </c>
      <c r="GK761" s="101">
        <f t="shared" si="429"/>
        <v>7</v>
      </c>
      <c r="GL761" s="101">
        <f t="shared" si="430"/>
        <v>2.53E-2</v>
      </c>
      <c r="GM761" s="101">
        <f t="shared" si="431"/>
        <v>1</v>
      </c>
      <c r="GN761" s="101">
        <f t="shared" si="432"/>
        <v>14</v>
      </c>
      <c r="GO761" s="101">
        <f t="shared" si="433"/>
        <v>0.1012</v>
      </c>
      <c r="GP761" s="101">
        <f t="shared" si="434"/>
        <v>1</v>
      </c>
      <c r="GQ761" s="101">
        <f t="shared" si="435"/>
        <v>30</v>
      </c>
    </row>
    <row r="762" spans="175:199" ht="16.5" x14ac:dyDescent="0.2">
      <c r="FS762" s="101">
        <v>757</v>
      </c>
      <c r="FT762" s="101">
        <f t="shared" si="420"/>
        <v>33</v>
      </c>
      <c r="FU762" s="101">
        <f t="shared" si="413"/>
        <v>10</v>
      </c>
      <c r="FV762" s="14">
        <f t="shared" si="414"/>
        <v>4</v>
      </c>
      <c r="FW762" s="101" t="str">
        <f t="shared" si="421"/>
        <v>张飞专属武器-魂珠-4 6级</v>
      </c>
      <c r="FX762" s="101">
        <f t="shared" si="422"/>
        <v>4</v>
      </c>
      <c r="FY762" s="101">
        <f t="shared" si="423"/>
        <v>6</v>
      </c>
      <c r="FZ762" s="101" t="str">
        <f t="shared" si="415"/>
        <v>金币</v>
      </c>
      <c r="GA762" s="139">
        <f>IF($FY762&gt;0,IF(INDEX($EM$6:$EM$77,$FT762)&gt;=GA$3,ROUND(INDEX(EO$6:EO$77,$FT762)*INDEX(卡牌消耗!$B$8:$F$8,FV762)/5,0)*5,""),"")</f>
        <v>1770</v>
      </c>
      <c r="GB762" s="101" t="str">
        <f t="shared" si="416"/>
        <v>专属强化石2</v>
      </c>
      <c r="GC762" s="101">
        <f t="shared" si="417"/>
        <v>5</v>
      </c>
      <c r="GD762" s="101" t="str">
        <f t="shared" si="418"/>
        <v>专属强化石3</v>
      </c>
      <c r="GE762" s="101">
        <f t="shared" si="419"/>
        <v>2</v>
      </c>
      <c r="GF762" s="101">
        <f t="shared" si="424"/>
        <v>0.03</v>
      </c>
      <c r="GG762" s="101">
        <f t="shared" si="425"/>
        <v>1</v>
      </c>
      <c r="GH762" s="101">
        <f t="shared" si="426"/>
        <v>48</v>
      </c>
      <c r="GI762" s="101">
        <f t="shared" si="427"/>
        <v>0</v>
      </c>
      <c r="GJ762" s="101">
        <f t="shared" si="428"/>
        <v>1</v>
      </c>
      <c r="GK762" s="101">
        <f t="shared" si="429"/>
        <v>11</v>
      </c>
      <c r="GL762" s="101">
        <f t="shared" si="430"/>
        <v>1.5599999999999999E-2</v>
      </c>
      <c r="GM762" s="101">
        <f t="shared" si="431"/>
        <v>1</v>
      </c>
      <c r="GN762" s="101">
        <f t="shared" si="432"/>
        <v>22</v>
      </c>
      <c r="GO762" s="101">
        <f t="shared" si="433"/>
        <v>6.2300000000000001E-2</v>
      </c>
      <c r="GP762" s="101">
        <f t="shared" si="434"/>
        <v>1</v>
      </c>
      <c r="GQ762" s="101">
        <f t="shared" si="435"/>
        <v>48</v>
      </c>
    </row>
    <row r="763" spans="175:199" ht="16.5" x14ac:dyDescent="0.2">
      <c r="FS763" s="101">
        <v>758</v>
      </c>
      <c r="FT763" s="101">
        <f t="shared" si="420"/>
        <v>34</v>
      </c>
      <c r="FU763" s="101">
        <f t="shared" si="413"/>
        <v>10</v>
      </c>
      <c r="FV763" s="14">
        <f t="shared" si="414"/>
        <v>4</v>
      </c>
      <c r="FW763" s="101" t="str">
        <f t="shared" si="421"/>
        <v>张飞专属武器-魂珠-4 7级</v>
      </c>
      <c r="FX763" s="101">
        <f t="shared" si="422"/>
        <v>4</v>
      </c>
      <c r="FY763" s="101">
        <f t="shared" si="423"/>
        <v>7</v>
      </c>
      <c r="FZ763" s="101" t="str">
        <f t="shared" si="415"/>
        <v>金币</v>
      </c>
      <c r="GA763" s="139">
        <f>IF($FY763&gt;0,IF(INDEX($EM$6:$EM$77,$FT763)&gt;=GA$3,ROUND(INDEX(EO$6:EO$77,$FT763)*INDEX(卡牌消耗!$B$8:$F$8,FV763)/5,0)*5,""),"")</f>
        <v>2660</v>
      </c>
      <c r="GB763" s="101" t="str">
        <f t="shared" si="416"/>
        <v>专属强化石2</v>
      </c>
      <c r="GC763" s="101">
        <f t="shared" si="417"/>
        <v>8</v>
      </c>
      <c r="GD763" s="101" t="str">
        <f t="shared" si="418"/>
        <v>专属强化石3</v>
      </c>
      <c r="GE763" s="101">
        <f t="shared" si="419"/>
        <v>3</v>
      </c>
      <c r="GF763" s="101">
        <f t="shared" si="424"/>
        <v>0.03</v>
      </c>
      <c r="GG763" s="101">
        <f t="shared" si="425"/>
        <v>1</v>
      </c>
      <c r="GH763" s="101">
        <f t="shared" si="426"/>
        <v>52</v>
      </c>
      <c r="GI763" s="101">
        <f t="shared" si="427"/>
        <v>0</v>
      </c>
      <c r="GJ763" s="101">
        <f t="shared" si="428"/>
        <v>1</v>
      </c>
      <c r="GK763" s="101">
        <f t="shared" si="429"/>
        <v>12</v>
      </c>
      <c r="GL763" s="101">
        <f t="shared" si="430"/>
        <v>1.4500000000000001E-2</v>
      </c>
      <c r="GM763" s="101">
        <f t="shared" si="431"/>
        <v>1</v>
      </c>
      <c r="GN763" s="101">
        <f t="shared" si="432"/>
        <v>24</v>
      </c>
      <c r="GO763" s="101">
        <f t="shared" si="433"/>
        <v>5.7799999999999997E-2</v>
      </c>
      <c r="GP763" s="101">
        <f t="shared" si="434"/>
        <v>1</v>
      </c>
      <c r="GQ763" s="101">
        <f t="shared" si="435"/>
        <v>52</v>
      </c>
    </row>
    <row r="764" spans="175:199" ht="16.5" x14ac:dyDescent="0.2">
      <c r="FS764" s="101">
        <v>759</v>
      </c>
      <c r="FT764" s="101">
        <f t="shared" si="420"/>
        <v>35</v>
      </c>
      <c r="FU764" s="101">
        <f t="shared" si="413"/>
        <v>10</v>
      </c>
      <c r="FV764" s="14">
        <f t="shared" si="414"/>
        <v>4</v>
      </c>
      <c r="FW764" s="101" t="str">
        <f t="shared" si="421"/>
        <v>张飞专属武器-魂珠-4 8级</v>
      </c>
      <c r="FX764" s="101">
        <f t="shared" si="422"/>
        <v>4</v>
      </c>
      <c r="FY764" s="101">
        <f t="shared" si="423"/>
        <v>8</v>
      </c>
      <c r="FZ764" s="101" t="str">
        <f t="shared" si="415"/>
        <v>金币</v>
      </c>
      <c r="GA764" s="139">
        <f>IF($FY764&gt;0,IF(INDEX($EM$6:$EM$77,$FT764)&gt;=GA$3,ROUND(INDEX(EO$6:EO$77,$FT764)*INDEX(卡牌消耗!$B$8:$F$8,FV764)/5,0)*5,""),"")</f>
        <v>3540</v>
      </c>
      <c r="GB764" s="101" t="str">
        <f t="shared" si="416"/>
        <v>专属强化石2</v>
      </c>
      <c r="GC764" s="101">
        <f t="shared" si="417"/>
        <v>11</v>
      </c>
      <c r="GD764" s="101" t="str">
        <f t="shared" si="418"/>
        <v>专属强化石3</v>
      </c>
      <c r="GE764" s="101">
        <f t="shared" si="419"/>
        <v>4</v>
      </c>
      <c r="GF764" s="101">
        <f t="shared" si="424"/>
        <v>0.02</v>
      </c>
      <c r="GG764" s="101">
        <f t="shared" si="425"/>
        <v>1</v>
      </c>
      <c r="GH764" s="101">
        <f t="shared" si="426"/>
        <v>63</v>
      </c>
      <c r="GI764" s="101">
        <f t="shared" si="427"/>
        <v>0</v>
      </c>
      <c r="GJ764" s="101">
        <f t="shared" si="428"/>
        <v>1</v>
      </c>
      <c r="GK764" s="101">
        <f t="shared" si="429"/>
        <v>15</v>
      </c>
      <c r="GL764" s="101">
        <f t="shared" si="430"/>
        <v>1.1900000000000001E-2</v>
      </c>
      <c r="GM764" s="101">
        <f t="shared" si="431"/>
        <v>1</v>
      </c>
      <c r="GN764" s="101">
        <f t="shared" si="432"/>
        <v>29</v>
      </c>
      <c r="GO764" s="101">
        <f t="shared" si="433"/>
        <v>4.7600000000000003E-2</v>
      </c>
      <c r="GP764" s="101">
        <f t="shared" si="434"/>
        <v>1</v>
      </c>
      <c r="GQ764" s="101">
        <f t="shared" si="435"/>
        <v>63</v>
      </c>
    </row>
    <row r="765" spans="175:199" ht="16.5" x14ac:dyDescent="0.2">
      <c r="FS765" s="101">
        <v>760</v>
      </c>
      <c r="FT765" s="101">
        <f t="shared" si="420"/>
        <v>36</v>
      </c>
      <c r="FU765" s="101">
        <f t="shared" si="413"/>
        <v>10</v>
      </c>
      <c r="FV765" s="14">
        <f t="shared" si="414"/>
        <v>4</v>
      </c>
      <c r="FW765" s="101" t="str">
        <f t="shared" si="421"/>
        <v>张飞专属武器-魂珠-4 9级</v>
      </c>
      <c r="FX765" s="101">
        <f t="shared" si="422"/>
        <v>4</v>
      </c>
      <c r="FY765" s="101">
        <f t="shared" si="423"/>
        <v>9</v>
      </c>
      <c r="FZ765" s="101" t="str">
        <f t="shared" si="415"/>
        <v>金币</v>
      </c>
      <c r="GA765" s="139">
        <f>IF($FY765&gt;0,IF(INDEX($EM$6:$EM$77,$FT765)&gt;=GA$3,ROUND(INDEX(EO$6:EO$77,$FT765)*INDEX(卡牌消耗!$B$8:$F$8,FV765)/5,0)*5,""),"")</f>
        <v>5315</v>
      </c>
      <c r="GB765" s="101" t="str">
        <f t="shared" si="416"/>
        <v>专属强化石2</v>
      </c>
      <c r="GC765" s="101">
        <f t="shared" si="417"/>
        <v>16</v>
      </c>
      <c r="GD765" s="101" t="str">
        <f t="shared" si="418"/>
        <v>专属强化石3</v>
      </c>
      <c r="GE765" s="101">
        <f t="shared" si="419"/>
        <v>6</v>
      </c>
      <c r="GF765" s="101">
        <f t="shared" si="424"/>
        <v>0.02</v>
      </c>
      <c r="GG765" s="101">
        <f t="shared" si="425"/>
        <v>1</v>
      </c>
      <c r="GH765" s="101">
        <f t="shared" si="426"/>
        <v>68</v>
      </c>
      <c r="GI765" s="101">
        <f t="shared" si="427"/>
        <v>0</v>
      </c>
      <c r="GJ765" s="101">
        <f t="shared" si="428"/>
        <v>1</v>
      </c>
      <c r="GK765" s="101">
        <f t="shared" si="429"/>
        <v>16</v>
      </c>
      <c r="GL765" s="101">
        <f t="shared" si="430"/>
        <v>1.0999999999999999E-2</v>
      </c>
      <c r="GM765" s="101">
        <f t="shared" si="431"/>
        <v>1</v>
      </c>
      <c r="GN765" s="101">
        <f t="shared" si="432"/>
        <v>32</v>
      </c>
      <c r="GO765" s="101">
        <f t="shared" si="433"/>
        <v>4.4200000000000003E-2</v>
      </c>
      <c r="GP765" s="101">
        <f t="shared" si="434"/>
        <v>1</v>
      </c>
      <c r="GQ765" s="101">
        <f t="shared" si="435"/>
        <v>68</v>
      </c>
    </row>
    <row r="766" spans="175:199" ht="16.5" x14ac:dyDescent="0.2">
      <c r="FS766" s="101">
        <v>761</v>
      </c>
      <c r="FT766" s="101">
        <f t="shared" si="420"/>
        <v>0</v>
      </c>
      <c r="FU766" s="101">
        <f t="shared" si="413"/>
        <v>10</v>
      </c>
      <c r="FV766" s="14">
        <f t="shared" si="414"/>
        <v>4</v>
      </c>
      <c r="FW766" s="101" t="str">
        <f t="shared" si="421"/>
        <v>张飞专属武器-魂珠-5 0级</v>
      </c>
      <c r="FX766" s="101">
        <f t="shared" si="422"/>
        <v>5</v>
      </c>
      <c r="FY766" s="101">
        <f t="shared" si="423"/>
        <v>0</v>
      </c>
      <c r="FZ766" s="101" t="str">
        <f t="shared" si="415"/>
        <v/>
      </c>
      <c r="GA766" s="139" t="str">
        <f>IF($FY766&gt;0,IF(INDEX($EM$6:$EM$77,$FT766)&gt;=GA$3,ROUND(INDEX(EO$6:EO$77,$FT766)*INDEX(卡牌消耗!$B$8:$F$8,FV766)/5,0)*5,""),"")</f>
        <v/>
      </c>
      <c r="GB766" s="101" t="str">
        <f t="shared" si="416"/>
        <v/>
      </c>
      <c r="GC766" s="101" t="str">
        <f t="shared" si="417"/>
        <v/>
      </c>
      <c r="GD766" s="101" t="str">
        <f t="shared" si="418"/>
        <v/>
      </c>
      <c r="GE766" s="101" t="str">
        <f t="shared" si="419"/>
        <v/>
      </c>
      <c r="GF766" s="101" t="str">
        <f t="shared" si="424"/>
        <v/>
      </c>
      <c r="GG766" s="101" t="str">
        <f t="shared" si="425"/>
        <v/>
      </c>
      <c r="GH766" s="101" t="str">
        <f t="shared" si="426"/>
        <v/>
      </c>
      <c r="GI766" s="101" t="str">
        <f t="shared" si="427"/>
        <v/>
      </c>
      <c r="GJ766" s="101" t="str">
        <f t="shared" si="428"/>
        <v/>
      </c>
      <c r="GK766" s="101" t="str">
        <f t="shared" si="429"/>
        <v/>
      </c>
      <c r="GL766" s="101" t="str">
        <f t="shared" si="430"/>
        <v/>
      </c>
      <c r="GM766" s="101" t="str">
        <f t="shared" si="431"/>
        <v/>
      </c>
      <c r="GN766" s="101" t="str">
        <f t="shared" si="432"/>
        <v/>
      </c>
      <c r="GO766" s="101" t="str">
        <f t="shared" si="433"/>
        <v/>
      </c>
      <c r="GP766" s="101" t="str">
        <f t="shared" si="434"/>
        <v/>
      </c>
      <c r="GQ766" s="101" t="str">
        <f t="shared" si="435"/>
        <v/>
      </c>
    </row>
    <row r="767" spans="175:199" ht="16.5" x14ac:dyDescent="0.2">
      <c r="FS767" s="101">
        <v>762</v>
      </c>
      <c r="FT767" s="101">
        <f t="shared" si="420"/>
        <v>37</v>
      </c>
      <c r="FU767" s="101">
        <f t="shared" si="413"/>
        <v>10</v>
      </c>
      <c r="FV767" s="14">
        <f t="shared" si="414"/>
        <v>4</v>
      </c>
      <c r="FW767" s="101" t="str">
        <f t="shared" si="421"/>
        <v>张飞专属武器-魂珠-5 1级</v>
      </c>
      <c r="FX767" s="101">
        <f t="shared" si="422"/>
        <v>5</v>
      </c>
      <c r="FY767" s="101">
        <f t="shared" si="423"/>
        <v>1</v>
      </c>
      <c r="FZ767" s="101" t="str">
        <f t="shared" si="415"/>
        <v>金币</v>
      </c>
      <c r="GA767" s="139">
        <f>IF($FY767&gt;0,IF(INDEX($EM$6:$EM$77,$FT767)&gt;=GA$3,ROUND(INDEX(EO$6:EO$77,$FT767)*INDEX(卡牌消耗!$B$8:$F$8,FV767)/5,0)*5,""),"")</f>
        <v>2245</v>
      </c>
      <c r="GB767" s="101" t="str">
        <f t="shared" si="416"/>
        <v>专属强化石2</v>
      </c>
      <c r="GC767" s="101">
        <f t="shared" si="417"/>
        <v>3</v>
      </c>
      <c r="GD767" s="101" t="str">
        <f t="shared" si="418"/>
        <v>专属强化石3</v>
      </c>
      <c r="GE767" s="101">
        <f t="shared" si="419"/>
        <v>2</v>
      </c>
      <c r="GF767" s="101">
        <f t="shared" si="424"/>
        <v>0.2</v>
      </c>
      <c r="GG767" s="101">
        <f t="shared" si="425"/>
        <v>1</v>
      </c>
      <c r="GH767" s="101">
        <f t="shared" si="426"/>
        <v>7</v>
      </c>
      <c r="GI767" s="101">
        <f t="shared" si="427"/>
        <v>0</v>
      </c>
      <c r="GJ767" s="101">
        <f t="shared" si="428"/>
        <v>1</v>
      </c>
      <c r="GK767" s="101">
        <f t="shared" si="429"/>
        <v>2</v>
      </c>
      <c r="GL767" s="101">
        <f t="shared" si="430"/>
        <v>0.1012</v>
      </c>
      <c r="GM767" s="101">
        <f t="shared" si="431"/>
        <v>1</v>
      </c>
      <c r="GN767" s="101">
        <f t="shared" si="432"/>
        <v>3</v>
      </c>
      <c r="GO767" s="101">
        <f t="shared" si="433"/>
        <v>0.40479999999999999</v>
      </c>
      <c r="GP767" s="101">
        <f t="shared" si="434"/>
        <v>1</v>
      </c>
      <c r="GQ767" s="101">
        <f t="shared" si="435"/>
        <v>7</v>
      </c>
    </row>
    <row r="768" spans="175:199" ht="16.5" x14ac:dyDescent="0.2">
      <c r="FS768" s="101">
        <v>763</v>
      </c>
      <c r="FT768" s="101">
        <f t="shared" si="420"/>
        <v>38</v>
      </c>
      <c r="FU768" s="101">
        <f t="shared" si="413"/>
        <v>10</v>
      </c>
      <c r="FV768" s="14">
        <f t="shared" si="414"/>
        <v>4</v>
      </c>
      <c r="FW768" s="101" t="str">
        <f t="shared" si="421"/>
        <v>张飞专属武器-魂珠-5 2级</v>
      </c>
      <c r="FX768" s="101">
        <f t="shared" si="422"/>
        <v>5</v>
      </c>
      <c r="FY768" s="101">
        <f t="shared" si="423"/>
        <v>2</v>
      </c>
      <c r="FZ768" s="101" t="str">
        <f t="shared" si="415"/>
        <v>金币</v>
      </c>
      <c r="GA768" s="139">
        <f>IF($FY768&gt;0,IF(INDEX($EM$6:$EM$77,$FT768)&gt;=GA$3,ROUND(INDEX(EO$6:EO$77,$FT768)*INDEX(卡牌消耗!$B$8:$F$8,FV768)/5,0)*5,""),"")</f>
        <v>1685</v>
      </c>
      <c r="GB768" s="101" t="str">
        <f t="shared" si="416"/>
        <v>专属强化石2</v>
      </c>
      <c r="GC768" s="101">
        <f t="shared" si="417"/>
        <v>3</v>
      </c>
      <c r="GD768" s="101" t="str">
        <f t="shared" si="418"/>
        <v>专属强化石3</v>
      </c>
      <c r="GE768" s="101">
        <f t="shared" si="419"/>
        <v>2</v>
      </c>
      <c r="GF768" s="101">
        <f t="shared" si="424"/>
        <v>0.1</v>
      </c>
      <c r="GG768" s="101">
        <f t="shared" si="425"/>
        <v>1</v>
      </c>
      <c r="GH768" s="101">
        <f t="shared" si="426"/>
        <v>15</v>
      </c>
      <c r="GI768" s="101">
        <f t="shared" si="427"/>
        <v>0</v>
      </c>
      <c r="GJ768" s="101">
        <f t="shared" si="428"/>
        <v>1</v>
      </c>
      <c r="GK768" s="101">
        <f t="shared" si="429"/>
        <v>3</v>
      </c>
      <c r="GL768" s="101">
        <f t="shared" si="430"/>
        <v>5.0599999999999999E-2</v>
      </c>
      <c r="GM768" s="101">
        <f t="shared" si="431"/>
        <v>1</v>
      </c>
      <c r="GN768" s="101">
        <f t="shared" si="432"/>
        <v>7</v>
      </c>
      <c r="GO768" s="101">
        <f t="shared" si="433"/>
        <v>0.2024</v>
      </c>
      <c r="GP768" s="101">
        <f t="shared" si="434"/>
        <v>1</v>
      </c>
      <c r="GQ768" s="101">
        <f t="shared" si="435"/>
        <v>15</v>
      </c>
    </row>
    <row r="769" spans="175:199" ht="16.5" x14ac:dyDescent="0.2">
      <c r="FS769" s="101">
        <v>764</v>
      </c>
      <c r="FT769" s="101">
        <f t="shared" si="420"/>
        <v>39</v>
      </c>
      <c r="FU769" s="101">
        <f t="shared" si="413"/>
        <v>10</v>
      </c>
      <c r="FV769" s="14">
        <f t="shared" si="414"/>
        <v>4</v>
      </c>
      <c r="FW769" s="101" t="str">
        <f t="shared" si="421"/>
        <v>张飞专属武器-魂珠-5 3级</v>
      </c>
      <c r="FX769" s="101">
        <f t="shared" si="422"/>
        <v>5</v>
      </c>
      <c r="FY769" s="101">
        <f t="shared" si="423"/>
        <v>3</v>
      </c>
      <c r="FZ769" s="101" t="str">
        <f t="shared" si="415"/>
        <v>金币</v>
      </c>
      <c r="GA769" s="139">
        <f>IF($FY769&gt;0,IF(INDEX($EM$6:$EM$77,$FT769)&gt;=GA$3,ROUND(INDEX(EO$6:EO$77,$FT769)*INDEX(卡牌消耗!$B$8:$F$8,FV769)/5,0)*5,""),"")</f>
        <v>1870</v>
      </c>
      <c r="GB769" s="101" t="str">
        <f t="shared" si="416"/>
        <v>专属强化石2</v>
      </c>
      <c r="GC769" s="101">
        <f t="shared" si="417"/>
        <v>3</v>
      </c>
      <c r="GD769" s="101" t="str">
        <f t="shared" si="418"/>
        <v>专属强化石3</v>
      </c>
      <c r="GE769" s="101">
        <f t="shared" si="419"/>
        <v>2</v>
      </c>
      <c r="GF769" s="101">
        <f t="shared" si="424"/>
        <v>7.0000000000000007E-2</v>
      </c>
      <c r="GG769" s="101">
        <f t="shared" si="425"/>
        <v>1</v>
      </c>
      <c r="GH769" s="101">
        <f t="shared" si="426"/>
        <v>22</v>
      </c>
      <c r="GI769" s="101">
        <f t="shared" si="427"/>
        <v>0</v>
      </c>
      <c r="GJ769" s="101">
        <f t="shared" si="428"/>
        <v>1</v>
      </c>
      <c r="GK769" s="101">
        <f t="shared" si="429"/>
        <v>5</v>
      </c>
      <c r="GL769" s="101">
        <f t="shared" si="430"/>
        <v>3.3700000000000001E-2</v>
      </c>
      <c r="GM769" s="101">
        <f t="shared" si="431"/>
        <v>1</v>
      </c>
      <c r="GN769" s="101">
        <f t="shared" si="432"/>
        <v>10</v>
      </c>
      <c r="GO769" s="101">
        <f t="shared" si="433"/>
        <v>0.13489999999999999</v>
      </c>
      <c r="GP769" s="101">
        <f t="shared" si="434"/>
        <v>1</v>
      </c>
      <c r="GQ769" s="101">
        <f t="shared" si="435"/>
        <v>22</v>
      </c>
    </row>
    <row r="770" spans="175:199" ht="16.5" x14ac:dyDescent="0.2">
      <c r="FS770" s="101">
        <v>765</v>
      </c>
      <c r="FT770" s="101">
        <f t="shared" si="420"/>
        <v>40</v>
      </c>
      <c r="FU770" s="101">
        <f t="shared" si="413"/>
        <v>10</v>
      </c>
      <c r="FV770" s="14">
        <f t="shared" si="414"/>
        <v>4</v>
      </c>
      <c r="FW770" s="101" t="str">
        <f t="shared" si="421"/>
        <v>张飞专属武器-魂珠-5 4级</v>
      </c>
      <c r="FX770" s="101">
        <f t="shared" si="422"/>
        <v>5</v>
      </c>
      <c r="FY770" s="101">
        <f t="shared" si="423"/>
        <v>4</v>
      </c>
      <c r="FZ770" s="101" t="str">
        <f t="shared" si="415"/>
        <v>金币</v>
      </c>
      <c r="GA770" s="139">
        <f>IF($FY770&gt;0,IF(INDEX($EM$6:$EM$77,$FT770)&gt;=GA$3,ROUND(INDEX(EO$6:EO$77,$FT770)*INDEX(卡牌消耗!$B$8:$F$8,FV770)/5,0)*5,""),"")</f>
        <v>2695</v>
      </c>
      <c r="GB770" s="101" t="str">
        <f t="shared" si="416"/>
        <v>专属强化石2</v>
      </c>
      <c r="GC770" s="101">
        <f t="shared" si="417"/>
        <v>5</v>
      </c>
      <c r="GD770" s="101" t="str">
        <f t="shared" si="418"/>
        <v>专属强化石3</v>
      </c>
      <c r="GE770" s="101">
        <f t="shared" si="419"/>
        <v>3</v>
      </c>
      <c r="GF770" s="101">
        <f t="shared" si="424"/>
        <v>0.06</v>
      </c>
      <c r="GG770" s="101">
        <f t="shared" si="425"/>
        <v>1</v>
      </c>
      <c r="GH770" s="101">
        <f t="shared" si="426"/>
        <v>25</v>
      </c>
      <c r="GI770" s="101">
        <f t="shared" si="427"/>
        <v>0</v>
      </c>
      <c r="GJ770" s="101">
        <f t="shared" si="428"/>
        <v>1</v>
      </c>
      <c r="GK770" s="101">
        <f t="shared" si="429"/>
        <v>6</v>
      </c>
      <c r="GL770" s="101">
        <f t="shared" si="430"/>
        <v>3.04E-2</v>
      </c>
      <c r="GM770" s="101">
        <f t="shared" si="431"/>
        <v>1</v>
      </c>
      <c r="GN770" s="101">
        <f t="shared" si="432"/>
        <v>12</v>
      </c>
      <c r="GO770" s="101">
        <f t="shared" si="433"/>
        <v>0.12139999999999999</v>
      </c>
      <c r="GP770" s="101">
        <f t="shared" si="434"/>
        <v>1</v>
      </c>
      <c r="GQ770" s="101">
        <f t="shared" si="435"/>
        <v>25</v>
      </c>
    </row>
    <row r="771" spans="175:199" ht="16.5" x14ac:dyDescent="0.2">
      <c r="FS771" s="101">
        <v>766</v>
      </c>
      <c r="FT771" s="101">
        <f t="shared" si="420"/>
        <v>41</v>
      </c>
      <c r="FU771" s="101">
        <f t="shared" si="413"/>
        <v>10</v>
      </c>
      <c r="FV771" s="14">
        <f t="shared" si="414"/>
        <v>4</v>
      </c>
      <c r="FW771" s="101" t="str">
        <f t="shared" si="421"/>
        <v>张飞专属武器-魂珠-5 5级</v>
      </c>
      <c r="FX771" s="101">
        <f t="shared" si="422"/>
        <v>5</v>
      </c>
      <c r="FY771" s="101">
        <f t="shared" si="423"/>
        <v>5</v>
      </c>
      <c r="FZ771" s="101" t="str">
        <f t="shared" si="415"/>
        <v>金币</v>
      </c>
      <c r="GA771" s="139">
        <f>IF($FY771&gt;0,IF(INDEX($EM$6:$EM$77,$FT771)&gt;=GA$3,ROUND(INDEX(EO$6:EO$77,$FT771)*INDEX(卡牌消耗!$B$8:$F$8,FV771)/5,0)*5,""),"")</f>
        <v>2735</v>
      </c>
      <c r="GB771" s="101" t="str">
        <f t="shared" si="416"/>
        <v>专属强化石2</v>
      </c>
      <c r="GC771" s="101">
        <f t="shared" si="417"/>
        <v>5</v>
      </c>
      <c r="GD771" s="101" t="str">
        <f t="shared" si="418"/>
        <v>专属强化石3</v>
      </c>
      <c r="GE771" s="101">
        <f t="shared" si="419"/>
        <v>3</v>
      </c>
      <c r="GF771" s="101">
        <f t="shared" si="424"/>
        <v>0.04</v>
      </c>
      <c r="GG771" s="101">
        <f t="shared" si="425"/>
        <v>1</v>
      </c>
      <c r="GH771" s="101">
        <f t="shared" si="426"/>
        <v>40</v>
      </c>
      <c r="GI771" s="101">
        <f t="shared" si="427"/>
        <v>0</v>
      </c>
      <c r="GJ771" s="101">
        <f t="shared" si="428"/>
        <v>1</v>
      </c>
      <c r="GK771" s="101">
        <f t="shared" si="429"/>
        <v>9</v>
      </c>
      <c r="GL771" s="101">
        <f t="shared" si="430"/>
        <v>1.9E-2</v>
      </c>
      <c r="GM771" s="101">
        <f t="shared" si="431"/>
        <v>1</v>
      </c>
      <c r="GN771" s="101">
        <f t="shared" si="432"/>
        <v>18</v>
      </c>
      <c r="GO771" s="101">
        <f t="shared" si="433"/>
        <v>7.5899999999999995E-2</v>
      </c>
      <c r="GP771" s="101">
        <f t="shared" si="434"/>
        <v>1</v>
      </c>
      <c r="GQ771" s="101">
        <f t="shared" si="435"/>
        <v>40</v>
      </c>
    </row>
    <row r="772" spans="175:199" ht="16.5" x14ac:dyDescent="0.2">
      <c r="FS772" s="101">
        <v>767</v>
      </c>
      <c r="FT772" s="101">
        <f t="shared" si="420"/>
        <v>42</v>
      </c>
      <c r="FU772" s="101">
        <f t="shared" si="413"/>
        <v>10</v>
      </c>
      <c r="FV772" s="14">
        <f t="shared" si="414"/>
        <v>4</v>
      </c>
      <c r="FW772" s="101" t="str">
        <f t="shared" si="421"/>
        <v>张飞专属武器-魂珠-5 6级</v>
      </c>
      <c r="FX772" s="101">
        <f t="shared" si="422"/>
        <v>5</v>
      </c>
      <c r="FY772" s="101">
        <f t="shared" si="423"/>
        <v>6</v>
      </c>
      <c r="FZ772" s="101" t="str">
        <f t="shared" si="415"/>
        <v>金币</v>
      </c>
      <c r="GA772" s="139">
        <f>IF($FY772&gt;0,IF(INDEX($EM$6:$EM$77,$FT772)&gt;=GA$3,ROUND(INDEX(EO$6:EO$77,$FT772)*INDEX(卡牌消耗!$B$8:$F$8,FV772)/5,0)*5,""),"")</f>
        <v>4530</v>
      </c>
      <c r="GB772" s="101" t="str">
        <f t="shared" si="416"/>
        <v>专属强化石2</v>
      </c>
      <c r="GC772" s="101">
        <f t="shared" si="417"/>
        <v>8</v>
      </c>
      <c r="GD772" s="101" t="str">
        <f t="shared" si="418"/>
        <v>专属强化石3</v>
      </c>
      <c r="GE772" s="101">
        <f t="shared" si="419"/>
        <v>5</v>
      </c>
      <c r="GF772" s="101">
        <f t="shared" si="424"/>
        <v>0.04</v>
      </c>
      <c r="GG772" s="101">
        <f t="shared" si="425"/>
        <v>1</v>
      </c>
      <c r="GH772" s="101">
        <f t="shared" si="426"/>
        <v>39</v>
      </c>
      <c r="GI772" s="101">
        <f t="shared" si="427"/>
        <v>0</v>
      </c>
      <c r="GJ772" s="101">
        <f t="shared" si="428"/>
        <v>1</v>
      </c>
      <c r="GK772" s="101">
        <f t="shared" si="429"/>
        <v>9</v>
      </c>
      <c r="GL772" s="101">
        <f t="shared" si="430"/>
        <v>1.95E-2</v>
      </c>
      <c r="GM772" s="101">
        <f t="shared" si="431"/>
        <v>1</v>
      </c>
      <c r="GN772" s="101">
        <f t="shared" si="432"/>
        <v>18</v>
      </c>
      <c r="GO772" s="101">
        <f t="shared" si="433"/>
        <v>7.7799999999999994E-2</v>
      </c>
      <c r="GP772" s="101">
        <f t="shared" si="434"/>
        <v>1</v>
      </c>
      <c r="GQ772" s="101">
        <f t="shared" si="435"/>
        <v>39</v>
      </c>
    </row>
    <row r="773" spans="175:199" ht="16.5" x14ac:dyDescent="0.2">
      <c r="FS773" s="101">
        <v>768</v>
      </c>
      <c r="FT773" s="101">
        <f t="shared" si="420"/>
        <v>43</v>
      </c>
      <c r="FU773" s="101">
        <f t="shared" si="413"/>
        <v>10</v>
      </c>
      <c r="FV773" s="14">
        <f t="shared" si="414"/>
        <v>4</v>
      </c>
      <c r="FW773" s="101" t="str">
        <f t="shared" si="421"/>
        <v>张飞专属武器-魂珠-5 7级</v>
      </c>
      <c r="FX773" s="101">
        <f t="shared" si="422"/>
        <v>5</v>
      </c>
      <c r="FY773" s="101">
        <f t="shared" si="423"/>
        <v>7</v>
      </c>
      <c r="FZ773" s="101" t="str">
        <f t="shared" si="415"/>
        <v>金币</v>
      </c>
      <c r="GA773" s="139">
        <f>IF($FY773&gt;0,IF(INDEX($EM$6:$EM$77,$FT773)&gt;=GA$3,ROUND(INDEX(EO$6:EO$77,$FT773)*INDEX(卡牌消耗!$B$8:$F$8,FV773)/5,0)*5,""),"")</f>
        <v>4540</v>
      </c>
      <c r="GB773" s="101" t="str">
        <f t="shared" si="416"/>
        <v>专属强化石2</v>
      </c>
      <c r="GC773" s="101">
        <f t="shared" si="417"/>
        <v>8</v>
      </c>
      <c r="GD773" s="101" t="str">
        <f t="shared" si="418"/>
        <v>专属强化石3</v>
      </c>
      <c r="GE773" s="101">
        <f t="shared" si="419"/>
        <v>5</v>
      </c>
      <c r="GF773" s="101">
        <f t="shared" si="424"/>
        <v>0.02</v>
      </c>
      <c r="GG773" s="101">
        <f t="shared" si="425"/>
        <v>1</v>
      </c>
      <c r="GH773" s="101">
        <f t="shared" si="426"/>
        <v>62</v>
      </c>
      <c r="GI773" s="101">
        <f t="shared" si="427"/>
        <v>0</v>
      </c>
      <c r="GJ773" s="101">
        <f t="shared" si="428"/>
        <v>1</v>
      </c>
      <c r="GK773" s="101">
        <f t="shared" si="429"/>
        <v>15</v>
      </c>
      <c r="GL773" s="101">
        <f t="shared" si="430"/>
        <v>1.2E-2</v>
      </c>
      <c r="GM773" s="101">
        <f t="shared" si="431"/>
        <v>1</v>
      </c>
      <c r="GN773" s="101">
        <f t="shared" si="432"/>
        <v>29</v>
      </c>
      <c r="GO773" s="101">
        <f t="shared" si="433"/>
        <v>4.82E-2</v>
      </c>
      <c r="GP773" s="101">
        <f t="shared" si="434"/>
        <v>1</v>
      </c>
      <c r="GQ773" s="101">
        <f t="shared" si="435"/>
        <v>62</v>
      </c>
    </row>
    <row r="774" spans="175:199" ht="16.5" x14ac:dyDescent="0.2">
      <c r="FS774" s="101">
        <v>769</v>
      </c>
      <c r="FT774" s="101">
        <f t="shared" si="420"/>
        <v>44</v>
      </c>
      <c r="FU774" s="101">
        <f t="shared" si="413"/>
        <v>10</v>
      </c>
      <c r="FV774" s="14">
        <f t="shared" si="414"/>
        <v>4</v>
      </c>
      <c r="FW774" s="101" t="str">
        <f t="shared" si="421"/>
        <v>张飞专属武器-魂珠-5 8级</v>
      </c>
      <c r="FX774" s="101">
        <f t="shared" si="422"/>
        <v>5</v>
      </c>
      <c r="FY774" s="101">
        <f t="shared" si="423"/>
        <v>8</v>
      </c>
      <c r="FZ774" s="101" t="str">
        <f t="shared" si="415"/>
        <v>金币</v>
      </c>
      <c r="GA774" s="139">
        <f>IF($FY774&gt;0,IF(INDEX($EM$6:$EM$77,$FT774)&gt;=GA$3,ROUND(INDEX(EO$6:EO$77,$FT774)*INDEX(卡牌消耗!$B$8:$F$8,FV774)/5,0)*5,""),"")</f>
        <v>6350</v>
      </c>
      <c r="GB774" s="101" t="str">
        <f t="shared" si="416"/>
        <v>专属强化石2</v>
      </c>
      <c r="GC774" s="101">
        <f t="shared" si="417"/>
        <v>11</v>
      </c>
      <c r="GD774" s="101" t="str">
        <f t="shared" si="418"/>
        <v>专属强化石3</v>
      </c>
      <c r="GE774" s="101">
        <f t="shared" si="419"/>
        <v>7</v>
      </c>
      <c r="GF774" s="101">
        <f t="shared" si="424"/>
        <v>0.02</v>
      </c>
      <c r="GG774" s="101">
        <f t="shared" si="425"/>
        <v>1</v>
      </c>
      <c r="GH774" s="101">
        <f t="shared" si="426"/>
        <v>72</v>
      </c>
      <c r="GI774" s="101">
        <f t="shared" si="427"/>
        <v>0</v>
      </c>
      <c r="GJ774" s="101">
        <f t="shared" si="428"/>
        <v>1</v>
      </c>
      <c r="GK774" s="101">
        <f t="shared" si="429"/>
        <v>17</v>
      </c>
      <c r="GL774" s="101">
        <f t="shared" si="430"/>
        <v>1.04E-2</v>
      </c>
      <c r="GM774" s="101">
        <f t="shared" si="431"/>
        <v>1</v>
      </c>
      <c r="GN774" s="101">
        <f t="shared" si="432"/>
        <v>34</v>
      </c>
      <c r="GO774" s="101">
        <f t="shared" si="433"/>
        <v>4.1700000000000001E-2</v>
      </c>
      <c r="GP774" s="101">
        <f t="shared" si="434"/>
        <v>1</v>
      </c>
      <c r="GQ774" s="101">
        <f t="shared" si="435"/>
        <v>72</v>
      </c>
    </row>
    <row r="775" spans="175:199" ht="16.5" x14ac:dyDescent="0.2">
      <c r="FS775" s="101">
        <v>770</v>
      </c>
      <c r="FT775" s="101">
        <f t="shared" si="420"/>
        <v>45</v>
      </c>
      <c r="FU775" s="101">
        <f t="shared" ref="FU775:FU838" si="436">INT((FS775-1)/80+1)</f>
        <v>10</v>
      </c>
      <c r="FV775" s="14">
        <f t="shared" ref="FV775:FV838" si="437">INDEX($FO$6:$FO$26,FU775)</f>
        <v>4</v>
      </c>
      <c r="FW775" s="101" t="str">
        <f t="shared" si="421"/>
        <v>张飞专属武器-魂珠-5 9级</v>
      </c>
      <c r="FX775" s="101">
        <f t="shared" si="422"/>
        <v>5</v>
      </c>
      <c r="FY775" s="101">
        <f t="shared" si="423"/>
        <v>9</v>
      </c>
      <c r="FZ775" s="101" t="str">
        <f t="shared" ref="FZ775:FZ838" si="438">IF($FY775&gt;0,IF(INDEX($EM$6:$EM$77,$FT775)&gt;=FZ$3,INDEX(EN$6:EN$77,$FT775),""),"")</f>
        <v>金币</v>
      </c>
      <c r="GA775" s="139">
        <f>IF($FY775&gt;0,IF(INDEX($EM$6:$EM$77,$FT775)&gt;=GA$3,ROUND(INDEX(EO$6:EO$77,$FT775)*INDEX(卡牌消耗!$B$8:$F$8,FV775)/5,0)*5,""),"")</f>
        <v>8170</v>
      </c>
      <c r="GB775" s="101" t="str">
        <f t="shared" ref="GB775:GB838" si="439">IF($FY775&gt;0,IF(INDEX($EM$6:$EM$77,$FT775)&gt;=GB$3,INDEX(EP$6:EP$77,$FT775),""),"")</f>
        <v>专属强化石2</v>
      </c>
      <c r="GC775" s="101">
        <f t="shared" ref="GC775:GC838" si="440">IF($FY775&gt;0,IF(INDEX($EM$6:$EM$77,$FT775)&gt;=GC$3,INDEX(EQ$6:EQ$77,$FT775),""),"")</f>
        <v>14</v>
      </c>
      <c r="GD775" s="101" t="str">
        <f t="shared" ref="GD775:GD838" si="441">IF($FY775&gt;0,IF(INDEX($EM$6:$EM$77,$FT775)&gt;=GD$3,INDEX(ER$6:ER$77,$FT775),""),"")</f>
        <v>专属强化石3</v>
      </c>
      <c r="GE775" s="101">
        <f t="shared" ref="GE775:GE838" si="442">IF($FY775&gt;0,IF(INDEX($EM$6:$EM$77,$FT775)&gt;=GE$3,INDEX(ES$6:ES$77,$FT775),""),"")</f>
        <v>9</v>
      </c>
      <c r="GF775" s="101">
        <f t="shared" si="424"/>
        <v>0.02</v>
      </c>
      <c r="GG775" s="101">
        <f t="shared" si="425"/>
        <v>1</v>
      </c>
      <c r="GH775" s="101">
        <f t="shared" si="426"/>
        <v>91</v>
      </c>
      <c r="GI775" s="101">
        <f t="shared" si="427"/>
        <v>0</v>
      </c>
      <c r="GJ775" s="101">
        <f t="shared" si="428"/>
        <v>1</v>
      </c>
      <c r="GK775" s="101">
        <f t="shared" si="429"/>
        <v>21</v>
      </c>
      <c r="GL775" s="101">
        <f t="shared" si="430"/>
        <v>8.3000000000000001E-3</v>
      </c>
      <c r="GM775" s="101">
        <f t="shared" si="431"/>
        <v>1</v>
      </c>
      <c r="GN775" s="101">
        <f t="shared" si="432"/>
        <v>42</v>
      </c>
      <c r="GO775" s="101">
        <f t="shared" si="433"/>
        <v>3.3099999999999997E-2</v>
      </c>
      <c r="GP775" s="101">
        <f t="shared" si="434"/>
        <v>1</v>
      </c>
      <c r="GQ775" s="101">
        <f t="shared" si="435"/>
        <v>91</v>
      </c>
    </row>
    <row r="776" spans="175:199" ht="16.5" x14ac:dyDescent="0.2">
      <c r="FS776" s="101">
        <v>771</v>
      </c>
      <c r="FT776" s="101">
        <f t="shared" si="420"/>
        <v>0</v>
      </c>
      <c r="FU776" s="101">
        <f t="shared" si="436"/>
        <v>10</v>
      </c>
      <c r="FV776" s="14">
        <f t="shared" si="437"/>
        <v>4</v>
      </c>
      <c r="FW776" s="101" t="str">
        <f t="shared" si="421"/>
        <v>张飞专属武器-魂珠-6 0级</v>
      </c>
      <c r="FX776" s="101">
        <f t="shared" si="422"/>
        <v>6</v>
      </c>
      <c r="FY776" s="101">
        <f t="shared" si="423"/>
        <v>0</v>
      </c>
      <c r="FZ776" s="101" t="str">
        <f t="shared" si="438"/>
        <v/>
      </c>
      <c r="GA776" s="139" t="str">
        <f>IF($FY776&gt;0,IF(INDEX($EM$6:$EM$77,$FT776)&gt;=GA$3,ROUND(INDEX(EO$6:EO$77,$FT776)*INDEX(卡牌消耗!$B$8:$F$8,FV776)/5,0)*5,""),"")</f>
        <v/>
      </c>
      <c r="GB776" s="101" t="str">
        <f t="shared" si="439"/>
        <v/>
      </c>
      <c r="GC776" s="101" t="str">
        <f t="shared" si="440"/>
        <v/>
      </c>
      <c r="GD776" s="101" t="str">
        <f t="shared" si="441"/>
        <v/>
      </c>
      <c r="GE776" s="101" t="str">
        <f t="shared" si="442"/>
        <v/>
      </c>
      <c r="GF776" s="101" t="str">
        <f t="shared" si="424"/>
        <v/>
      </c>
      <c r="GG776" s="101" t="str">
        <f t="shared" si="425"/>
        <v/>
      </c>
      <c r="GH776" s="101" t="str">
        <f t="shared" si="426"/>
        <v/>
      </c>
      <c r="GI776" s="101" t="str">
        <f t="shared" si="427"/>
        <v/>
      </c>
      <c r="GJ776" s="101" t="str">
        <f t="shared" si="428"/>
        <v/>
      </c>
      <c r="GK776" s="101" t="str">
        <f t="shared" si="429"/>
        <v/>
      </c>
      <c r="GL776" s="101" t="str">
        <f t="shared" si="430"/>
        <v/>
      </c>
      <c r="GM776" s="101" t="str">
        <f t="shared" si="431"/>
        <v/>
      </c>
      <c r="GN776" s="101" t="str">
        <f t="shared" si="432"/>
        <v/>
      </c>
      <c r="GO776" s="101" t="str">
        <f t="shared" si="433"/>
        <v/>
      </c>
      <c r="GP776" s="101" t="str">
        <f t="shared" si="434"/>
        <v/>
      </c>
      <c r="GQ776" s="101" t="str">
        <f t="shared" si="435"/>
        <v/>
      </c>
    </row>
    <row r="777" spans="175:199" ht="16.5" x14ac:dyDescent="0.2">
      <c r="FS777" s="101">
        <v>772</v>
      </c>
      <c r="FT777" s="101">
        <f t="shared" si="420"/>
        <v>46</v>
      </c>
      <c r="FU777" s="101">
        <f t="shared" si="436"/>
        <v>10</v>
      </c>
      <c r="FV777" s="14">
        <f t="shared" si="437"/>
        <v>4</v>
      </c>
      <c r="FW777" s="101" t="str">
        <f t="shared" si="421"/>
        <v>张飞专属武器-魂珠-6 1级</v>
      </c>
      <c r="FX777" s="101">
        <f t="shared" si="422"/>
        <v>6</v>
      </c>
      <c r="FY777" s="101">
        <f t="shared" si="423"/>
        <v>1</v>
      </c>
      <c r="FZ777" s="101" t="str">
        <f t="shared" si="438"/>
        <v>金币</v>
      </c>
      <c r="GA777" s="139">
        <f>IF($FY777&gt;0,IF(INDEX($EM$6:$EM$77,$FT777)&gt;=GA$3,ROUND(INDEX(EO$6:EO$77,$FT777)*INDEX(卡牌消耗!$B$8:$F$8,FV777)/5,0)*5,""),"")</f>
        <v>2180</v>
      </c>
      <c r="GB777" s="101" t="str">
        <f t="shared" si="439"/>
        <v>专属强化石3</v>
      </c>
      <c r="GC777" s="101">
        <f t="shared" si="440"/>
        <v>5</v>
      </c>
      <c r="GD777" s="101" t="str">
        <f t="shared" si="441"/>
        <v>专属强化石4</v>
      </c>
      <c r="GE777" s="101">
        <f t="shared" si="442"/>
        <v>1</v>
      </c>
      <c r="GF777" s="101">
        <f t="shared" si="424"/>
        <v>0.17</v>
      </c>
      <c r="GG777" s="101">
        <f t="shared" si="425"/>
        <v>1</v>
      </c>
      <c r="GH777" s="101">
        <f t="shared" si="426"/>
        <v>9</v>
      </c>
      <c r="GI777" s="101">
        <f t="shared" si="427"/>
        <v>0</v>
      </c>
      <c r="GJ777" s="101">
        <f t="shared" si="428"/>
        <v>1</v>
      </c>
      <c r="GK777" s="101">
        <f t="shared" si="429"/>
        <v>2</v>
      </c>
      <c r="GL777" s="101">
        <f t="shared" si="430"/>
        <v>8.2900000000000001E-2</v>
      </c>
      <c r="GM777" s="101">
        <f t="shared" si="431"/>
        <v>1</v>
      </c>
      <c r="GN777" s="101">
        <f t="shared" si="432"/>
        <v>4</v>
      </c>
      <c r="GO777" s="101">
        <f t="shared" si="433"/>
        <v>0.33139999999999997</v>
      </c>
      <c r="GP777" s="101">
        <f t="shared" si="434"/>
        <v>1</v>
      </c>
      <c r="GQ777" s="101">
        <f t="shared" si="435"/>
        <v>9</v>
      </c>
    </row>
    <row r="778" spans="175:199" ht="16.5" x14ac:dyDescent="0.2">
      <c r="FS778" s="101">
        <v>773</v>
      </c>
      <c r="FT778" s="101">
        <f t="shared" si="420"/>
        <v>47</v>
      </c>
      <c r="FU778" s="101">
        <f t="shared" si="436"/>
        <v>10</v>
      </c>
      <c r="FV778" s="14">
        <f t="shared" si="437"/>
        <v>4</v>
      </c>
      <c r="FW778" s="101" t="str">
        <f t="shared" si="421"/>
        <v>张飞专属武器-魂珠-6 2级</v>
      </c>
      <c r="FX778" s="101">
        <f t="shared" si="422"/>
        <v>6</v>
      </c>
      <c r="FY778" s="101">
        <f t="shared" si="423"/>
        <v>2</v>
      </c>
      <c r="FZ778" s="101" t="str">
        <f t="shared" si="438"/>
        <v>金币</v>
      </c>
      <c r="GA778" s="139">
        <f>IF($FY778&gt;0,IF(INDEX($EM$6:$EM$77,$FT778)&gt;=GA$3,ROUND(INDEX(EO$6:EO$77,$FT778)*INDEX(卡牌消耗!$B$8:$F$8,FV778)/5,0)*5,""),"")</f>
        <v>3270</v>
      </c>
      <c r="GB778" s="101" t="str">
        <f t="shared" si="439"/>
        <v>专属强化石3</v>
      </c>
      <c r="GC778" s="101">
        <f t="shared" si="440"/>
        <v>10</v>
      </c>
      <c r="GD778" s="101" t="str">
        <f t="shared" si="441"/>
        <v>专属强化石4</v>
      </c>
      <c r="GE778" s="101">
        <f t="shared" si="442"/>
        <v>2</v>
      </c>
      <c r="GF778" s="101">
        <f t="shared" si="424"/>
        <v>0.17</v>
      </c>
      <c r="GG778" s="101">
        <f t="shared" si="425"/>
        <v>1</v>
      </c>
      <c r="GH778" s="101">
        <f t="shared" si="426"/>
        <v>9</v>
      </c>
      <c r="GI778" s="101">
        <f t="shared" si="427"/>
        <v>0</v>
      </c>
      <c r="GJ778" s="101">
        <f t="shared" si="428"/>
        <v>1</v>
      </c>
      <c r="GK778" s="101">
        <f t="shared" si="429"/>
        <v>2</v>
      </c>
      <c r="GL778" s="101">
        <f t="shared" si="430"/>
        <v>8.2900000000000001E-2</v>
      </c>
      <c r="GM778" s="101">
        <f t="shared" si="431"/>
        <v>1</v>
      </c>
      <c r="GN778" s="101">
        <f t="shared" si="432"/>
        <v>4</v>
      </c>
      <c r="GO778" s="101">
        <f t="shared" si="433"/>
        <v>0.33139999999999997</v>
      </c>
      <c r="GP778" s="101">
        <f t="shared" si="434"/>
        <v>1</v>
      </c>
      <c r="GQ778" s="101">
        <f t="shared" si="435"/>
        <v>9</v>
      </c>
    </row>
    <row r="779" spans="175:199" ht="16.5" x14ac:dyDescent="0.2">
      <c r="FS779" s="101">
        <v>774</v>
      </c>
      <c r="FT779" s="101">
        <f t="shared" si="420"/>
        <v>48</v>
      </c>
      <c r="FU779" s="101">
        <f t="shared" si="436"/>
        <v>10</v>
      </c>
      <c r="FV779" s="14">
        <f t="shared" si="437"/>
        <v>4</v>
      </c>
      <c r="FW779" s="101" t="str">
        <f t="shared" si="421"/>
        <v>张飞专属武器-魂珠-6 3级</v>
      </c>
      <c r="FX779" s="101">
        <f t="shared" si="422"/>
        <v>6</v>
      </c>
      <c r="FY779" s="101">
        <f t="shared" si="423"/>
        <v>3</v>
      </c>
      <c r="FZ779" s="101" t="str">
        <f t="shared" si="438"/>
        <v>金币</v>
      </c>
      <c r="GA779" s="139">
        <f>IF($FY779&gt;0,IF(INDEX($EM$6:$EM$77,$FT779)&gt;=GA$3,ROUND(INDEX(EO$6:EO$77,$FT779)*INDEX(卡牌消耗!$B$8:$F$8,FV779)/5,0)*5,""),"")</f>
        <v>3635</v>
      </c>
      <c r="GB779" s="101" t="str">
        <f t="shared" si="439"/>
        <v>专属强化石3</v>
      </c>
      <c r="GC779" s="101">
        <f t="shared" si="440"/>
        <v>10</v>
      </c>
      <c r="GD779" s="101" t="str">
        <f t="shared" si="441"/>
        <v>专属强化石4</v>
      </c>
      <c r="GE779" s="101">
        <f t="shared" si="442"/>
        <v>2</v>
      </c>
      <c r="GF779" s="101">
        <f t="shared" si="424"/>
        <v>0.11</v>
      </c>
      <c r="GG779" s="101">
        <f t="shared" si="425"/>
        <v>1</v>
      </c>
      <c r="GH779" s="101">
        <f t="shared" si="426"/>
        <v>14</v>
      </c>
      <c r="GI779" s="101">
        <f t="shared" si="427"/>
        <v>0</v>
      </c>
      <c r="GJ779" s="101">
        <f t="shared" si="428"/>
        <v>1</v>
      </c>
      <c r="GK779" s="101">
        <f t="shared" si="429"/>
        <v>3</v>
      </c>
      <c r="GL779" s="101">
        <f t="shared" si="430"/>
        <v>5.5199999999999999E-2</v>
      </c>
      <c r="GM779" s="101">
        <f t="shared" si="431"/>
        <v>1</v>
      </c>
      <c r="GN779" s="101">
        <f t="shared" si="432"/>
        <v>6</v>
      </c>
      <c r="GO779" s="101">
        <f t="shared" si="433"/>
        <v>0.221</v>
      </c>
      <c r="GP779" s="101">
        <f t="shared" si="434"/>
        <v>1</v>
      </c>
      <c r="GQ779" s="101">
        <f t="shared" si="435"/>
        <v>14</v>
      </c>
    </row>
    <row r="780" spans="175:199" ht="16.5" x14ac:dyDescent="0.2">
      <c r="FS780" s="101">
        <v>775</v>
      </c>
      <c r="FT780" s="101">
        <f t="shared" si="420"/>
        <v>49</v>
      </c>
      <c r="FU780" s="101">
        <f t="shared" si="436"/>
        <v>10</v>
      </c>
      <c r="FV780" s="14">
        <f t="shared" si="437"/>
        <v>4</v>
      </c>
      <c r="FW780" s="101" t="str">
        <f t="shared" si="421"/>
        <v>张飞专属武器-魂珠-6 4级</v>
      </c>
      <c r="FX780" s="101">
        <f t="shared" si="422"/>
        <v>6</v>
      </c>
      <c r="FY780" s="101">
        <f t="shared" si="423"/>
        <v>4</v>
      </c>
      <c r="FZ780" s="101" t="str">
        <f t="shared" si="438"/>
        <v>金币</v>
      </c>
      <c r="GA780" s="139">
        <f>IF($FY780&gt;0,IF(INDEX($EM$6:$EM$77,$FT780)&gt;=GA$3,ROUND(INDEX(EO$6:EO$77,$FT780)*INDEX(卡牌消耗!$B$8:$F$8,FV780)/5,0)*5,""),"")</f>
        <v>5235</v>
      </c>
      <c r="GB780" s="101" t="str">
        <f t="shared" si="439"/>
        <v>专属强化石3</v>
      </c>
      <c r="GC780" s="101">
        <f t="shared" si="440"/>
        <v>15</v>
      </c>
      <c r="GD780" s="101" t="str">
        <f t="shared" si="441"/>
        <v>专属强化石4</v>
      </c>
      <c r="GE780" s="101">
        <f t="shared" si="442"/>
        <v>3</v>
      </c>
      <c r="GF780" s="101">
        <f t="shared" si="424"/>
        <v>0.1</v>
      </c>
      <c r="GG780" s="101">
        <f t="shared" si="425"/>
        <v>1</v>
      </c>
      <c r="GH780" s="101">
        <f t="shared" si="426"/>
        <v>15</v>
      </c>
      <c r="GI780" s="101">
        <f t="shared" si="427"/>
        <v>0</v>
      </c>
      <c r="GJ780" s="101">
        <f t="shared" si="428"/>
        <v>1</v>
      </c>
      <c r="GK780" s="101">
        <f t="shared" si="429"/>
        <v>4</v>
      </c>
      <c r="GL780" s="101">
        <f t="shared" si="430"/>
        <v>4.9700000000000001E-2</v>
      </c>
      <c r="GM780" s="101">
        <f t="shared" si="431"/>
        <v>1</v>
      </c>
      <c r="GN780" s="101">
        <f t="shared" si="432"/>
        <v>7</v>
      </c>
      <c r="GO780" s="101">
        <f t="shared" si="433"/>
        <v>0.19889999999999999</v>
      </c>
      <c r="GP780" s="101">
        <f t="shared" si="434"/>
        <v>1</v>
      </c>
      <c r="GQ780" s="101">
        <f t="shared" si="435"/>
        <v>15</v>
      </c>
    </row>
    <row r="781" spans="175:199" ht="16.5" x14ac:dyDescent="0.2">
      <c r="FS781" s="101">
        <v>776</v>
      </c>
      <c r="FT781" s="101">
        <f t="shared" si="420"/>
        <v>50</v>
      </c>
      <c r="FU781" s="101">
        <f t="shared" si="436"/>
        <v>10</v>
      </c>
      <c r="FV781" s="14">
        <f t="shared" si="437"/>
        <v>4</v>
      </c>
      <c r="FW781" s="101" t="str">
        <f t="shared" si="421"/>
        <v>张飞专属武器-魂珠-6 5级</v>
      </c>
      <c r="FX781" s="101">
        <f t="shared" si="422"/>
        <v>6</v>
      </c>
      <c r="FY781" s="101">
        <f t="shared" si="423"/>
        <v>5</v>
      </c>
      <c r="FZ781" s="101" t="str">
        <f t="shared" si="438"/>
        <v>金币</v>
      </c>
      <c r="GA781" s="139">
        <f>IF($FY781&gt;0,IF(INDEX($EM$6:$EM$77,$FT781)&gt;=GA$3,ROUND(INDEX(EO$6:EO$77,$FT781)*INDEX(卡牌消耗!$B$8:$F$8,FV781)/5,0)*5,""),"")</f>
        <v>5315</v>
      </c>
      <c r="GB781" s="101" t="str">
        <f t="shared" si="439"/>
        <v>专属强化石3</v>
      </c>
      <c r="GC781" s="101">
        <f t="shared" si="440"/>
        <v>15</v>
      </c>
      <c r="GD781" s="101" t="str">
        <f t="shared" si="441"/>
        <v>专属强化石4</v>
      </c>
      <c r="GE781" s="101">
        <f t="shared" si="442"/>
        <v>3</v>
      </c>
      <c r="GF781" s="101">
        <f t="shared" si="424"/>
        <v>0.06</v>
      </c>
      <c r="GG781" s="101">
        <f t="shared" si="425"/>
        <v>1</v>
      </c>
      <c r="GH781" s="101">
        <f t="shared" si="426"/>
        <v>24</v>
      </c>
      <c r="GI781" s="101">
        <f t="shared" si="427"/>
        <v>0</v>
      </c>
      <c r="GJ781" s="101">
        <f t="shared" si="428"/>
        <v>1</v>
      </c>
      <c r="GK781" s="101">
        <f t="shared" si="429"/>
        <v>6</v>
      </c>
      <c r="GL781" s="101">
        <f t="shared" si="430"/>
        <v>3.1099999999999999E-2</v>
      </c>
      <c r="GM781" s="101">
        <f t="shared" si="431"/>
        <v>1</v>
      </c>
      <c r="GN781" s="101">
        <f t="shared" si="432"/>
        <v>11</v>
      </c>
      <c r="GO781" s="101">
        <f t="shared" si="433"/>
        <v>0.12429999999999999</v>
      </c>
      <c r="GP781" s="101">
        <f t="shared" si="434"/>
        <v>1</v>
      </c>
      <c r="GQ781" s="101">
        <f t="shared" si="435"/>
        <v>24</v>
      </c>
    </row>
    <row r="782" spans="175:199" ht="16.5" x14ac:dyDescent="0.2">
      <c r="FS782" s="101">
        <v>777</v>
      </c>
      <c r="FT782" s="101">
        <f t="shared" si="420"/>
        <v>51</v>
      </c>
      <c r="FU782" s="101">
        <f t="shared" si="436"/>
        <v>10</v>
      </c>
      <c r="FV782" s="14">
        <f t="shared" si="437"/>
        <v>4</v>
      </c>
      <c r="FW782" s="101" t="str">
        <f t="shared" si="421"/>
        <v>张飞专属武器-魂珠-6 6级</v>
      </c>
      <c r="FX782" s="101">
        <f t="shared" si="422"/>
        <v>6</v>
      </c>
      <c r="FY782" s="101">
        <f t="shared" si="423"/>
        <v>6</v>
      </c>
      <c r="FZ782" s="101" t="str">
        <f t="shared" si="438"/>
        <v>金币</v>
      </c>
      <c r="GA782" s="139">
        <f>IF($FY782&gt;0,IF(INDEX($EM$6:$EM$77,$FT782)&gt;=GA$3,ROUND(INDEX(EO$6:EO$77,$FT782)*INDEX(卡牌消耗!$B$8:$F$8,FV782)/5,0)*5,""),"")</f>
        <v>7045</v>
      </c>
      <c r="GB782" s="101" t="str">
        <f t="shared" si="439"/>
        <v>专属强化石3</v>
      </c>
      <c r="GC782" s="101">
        <f t="shared" si="440"/>
        <v>20</v>
      </c>
      <c r="GD782" s="101" t="str">
        <f t="shared" si="441"/>
        <v>专属强化石4</v>
      </c>
      <c r="GE782" s="101">
        <f t="shared" si="442"/>
        <v>4</v>
      </c>
      <c r="GF782" s="101">
        <f t="shared" si="424"/>
        <v>0.05</v>
      </c>
      <c r="GG782" s="101">
        <f t="shared" si="425"/>
        <v>1</v>
      </c>
      <c r="GH782" s="101">
        <f t="shared" si="426"/>
        <v>29</v>
      </c>
      <c r="GI782" s="101">
        <f t="shared" si="427"/>
        <v>0</v>
      </c>
      <c r="GJ782" s="101">
        <f t="shared" si="428"/>
        <v>1</v>
      </c>
      <c r="GK782" s="101">
        <f t="shared" si="429"/>
        <v>7</v>
      </c>
      <c r="GL782" s="101">
        <f t="shared" si="430"/>
        <v>2.5499999999999998E-2</v>
      </c>
      <c r="GM782" s="101">
        <f t="shared" si="431"/>
        <v>1</v>
      </c>
      <c r="GN782" s="101">
        <f t="shared" si="432"/>
        <v>14</v>
      </c>
      <c r="GO782" s="101">
        <f t="shared" si="433"/>
        <v>0.10199999999999999</v>
      </c>
      <c r="GP782" s="101">
        <f t="shared" si="434"/>
        <v>1</v>
      </c>
      <c r="GQ782" s="101">
        <f t="shared" si="435"/>
        <v>29</v>
      </c>
    </row>
    <row r="783" spans="175:199" ht="16.5" x14ac:dyDescent="0.2">
      <c r="FS783" s="101">
        <v>778</v>
      </c>
      <c r="FT783" s="101">
        <f t="shared" si="420"/>
        <v>52</v>
      </c>
      <c r="FU783" s="101">
        <f t="shared" si="436"/>
        <v>10</v>
      </c>
      <c r="FV783" s="14">
        <f t="shared" si="437"/>
        <v>4</v>
      </c>
      <c r="FW783" s="101" t="str">
        <f t="shared" si="421"/>
        <v>张飞专属武器-魂珠-6 7级</v>
      </c>
      <c r="FX783" s="101">
        <f t="shared" si="422"/>
        <v>6</v>
      </c>
      <c r="FY783" s="101">
        <f t="shared" si="423"/>
        <v>7</v>
      </c>
      <c r="FZ783" s="101" t="str">
        <f t="shared" si="438"/>
        <v>金币</v>
      </c>
      <c r="GA783" s="139">
        <f>IF($FY783&gt;0,IF(INDEX($EM$6:$EM$77,$FT783)&gt;=GA$3,ROUND(INDEX(EO$6:EO$77,$FT783)*INDEX(卡牌消耗!$B$8:$F$8,FV783)/5,0)*5,""),"")</f>
        <v>8830</v>
      </c>
      <c r="GB783" s="101" t="str">
        <f t="shared" si="439"/>
        <v>专属强化石3</v>
      </c>
      <c r="GC783" s="101">
        <f t="shared" si="440"/>
        <v>25</v>
      </c>
      <c r="GD783" s="101" t="str">
        <f t="shared" si="441"/>
        <v>专属强化石4</v>
      </c>
      <c r="GE783" s="101">
        <f t="shared" si="442"/>
        <v>5</v>
      </c>
      <c r="GF783" s="101">
        <f t="shared" si="424"/>
        <v>0.04</v>
      </c>
      <c r="GG783" s="101">
        <f t="shared" si="425"/>
        <v>1</v>
      </c>
      <c r="GH783" s="101">
        <f t="shared" si="426"/>
        <v>38</v>
      </c>
      <c r="GI783" s="101">
        <f t="shared" si="427"/>
        <v>0</v>
      </c>
      <c r="GJ783" s="101">
        <f t="shared" si="428"/>
        <v>1</v>
      </c>
      <c r="GK783" s="101">
        <f t="shared" si="429"/>
        <v>9</v>
      </c>
      <c r="GL783" s="101">
        <f t="shared" si="430"/>
        <v>1.9699999999999999E-2</v>
      </c>
      <c r="GM783" s="101">
        <f t="shared" si="431"/>
        <v>1</v>
      </c>
      <c r="GN783" s="101">
        <f t="shared" si="432"/>
        <v>18</v>
      </c>
      <c r="GO783" s="101">
        <f t="shared" si="433"/>
        <v>7.8899999999999998E-2</v>
      </c>
      <c r="GP783" s="101">
        <f t="shared" si="434"/>
        <v>1</v>
      </c>
      <c r="GQ783" s="101">
        <f t="shared" si="435"/>
        <v>38</v>
      </c>
    </row>
    <row r="784" spans="175:199" ht="16.5" x14ac:dyDescent="0.2">
      <c r="FS784" s="101">
        <v>779</v>
      </c>
      <c r="FT784" s="101">
        <f t="shared" si="420"/>
        <v>53</v>
      </c>
      <c r="FU784" s="101">
        <f t="shared" si="436"/>
        <v>10</v>
      </c>
      <c r="FV784" s="14">
        <f t="shared" si="437"/>
        <v>4</v>
      </c>
      <c r="FW784" s="101" t="str">
        <f t="shared" si="421"/>
        <v>张飞专属武器-魂珠-6 8级</v>
      </c>
      <c r="FX784" s="101">
        <f t="shared" si="422"/>
        <v>6</v>
      </c>
      <c r="FY784" s="101">
        <f t="shared" si="423"/>
        <v>8</v>
      </c>
      <c r="FZ784" s="101" t="str">
        <f t="shared" si="438"/>
        <v>金币</v>
      </c>
      <c r="GA784" s="139">
        <f>IF($FY784&gt;0,IF(INDEX($EM$6:$EM$77,$FT784)&gt;=GA$3,ROUND(INDEX(EO$6:EO$77,$FT784)*INDEX(卡牌消耗!$B$8:$F$8,FV784)/5,0)*5,""),"")</f>
        <v>12350</v>
      </c>
      <c r="GB784" s="101" t="str">
        <f t="shared" si="439"/>
        <v>专属强化石3</v>
      </c>
      <c r="GC784" s="101">
        <f t="shared" si="440"/>
        <v>35</v>
      </c>
      <c r="GD784" s="101" t="str">
        <f t="shared" si="441"/>
        <v>专属强化石4</v>
      </c>
      <c r="GE784" s="101">
        <f t="shared" si="442"/>
        <v>7</v>
      </c>
      <c r="GF784" s="101">
        <f t="shared" si="424"/>
        <v>0.03</v>
      </c>
      <c r="GG784" s="101">
        <f t="shared" si="425"/>
        <v>1</v>
      </c>
      <c r="GH784" s="101">
        <f t="shared" si="426"/>
        <v>44</v>
      </c>
      <c r="GI784" s="101">
        <f t="shared" si="427"/>
        <v>0</v>
      </c>
      <c r="GJ784" s="101">
        <f t="shared" si="428"/>
        <v>1</v>
      </c>
      <c r="GK784" s="101">
        <f t="shared" si="429"/>
        <v>10</v>
      </c>
      <c r="GL784" s="101">
        <f t="shared" si="430"/>
        <v>1.7100000000000001E-2</v>
      </c>
      <c r="GM784" s="101">
        <f t="shared" si="431"/>
        <v>1</v>
      </c>
      <c r="GN784" s="101">
        <f t="shared" si="432"/>
        <v>21</v>
      </c>
      <c r="GO784" s="101">
        <f t="shared" si="433"/>
        <v>6.8199999999999997E-2</v>
      </c>
      <c r="GP784" s="101">
        <f t="shared" si="434"/>
        <v>1</v>
      </c>
      <c r="GQ784" s="101">
        <f t="shared" si="435"/>
        <v>44</v>
      </c>
    </row>
    <row r="785" spans="175:199" ht="16.5" x14ac:dyDescent="0.2">
      <c r="FS785" s="101">
        <v>780</v>
      </c>
      <c r="FT785" s="101">
        <f t="shared" si="420"/>
        <v>54</v>
      </c>
      <c r="FU785" s="101">
        <f t="shared" si="436"/>
        <v>10</v>
      </c>
      <c r="FV785" s="14">
        <f t="shared" si="437"/>
        <v>4</v>
      </c>
      <c r="FW785" s="101" t="str">
        <f t="shared" si="421"/>
        <v>张飞专属武器-魂珠-6 9级</v>
      </c>
      <c r="FX785" s="101">
        <f t="shared" si="422"/>
        <v>6</v>
      </c>
      <c r="FY785" s="101">
        <f t="shared" si="423"/>
        <v>9</v>
      </c>
      <c r="FZ785" s="101" t="str">
        <f t="shared" si="438"/>
        <v>金币</v>
      </c>
      <c r="GA785" s="139">
        <f>IF($FY785&gt;0,IF(INDEX($EM$6:$EM$77,$FT785)&gt;=GA$3,ROUND(INDEX(EO$6:EO$77,$FT785)*INDEX(卡牌消耗!$B$8:$F$8,FV785)/5,0)*5,""),"")</f>
        <v>14120</v>
      </c>
      <c r="GB785" s="101" t="str">
        <f t="shared" si="439"/>
        <v>专属强化石3</v>
      </c>
      <c r="GC785" s="101">
        <f t="shared" si="440"/>
        <v>40</v>
      </c>
      <c r="GD785" s="101" t="str">
        <f t="shared" si="441"/>
        <v>专属强化石4</v>
      </c>
      <c r="GE785" s="101">
        <f t="shared" si="442"/>
        <v>8</v>
      </c>
      <c r="GF785" s="101">
        <f t="shared" si="424"/>
        <v>0.02</v>
      </c>
      <c r="GG785" s="101">
        <f t="shared" si="425"/>
        <v>1</v>
      </c>
      <c r="GH785" s="101">
        <f t="shared" si="426"/>
        <v>62</v>
      </c>
      <c r="GI785" s="101">
        <f t="shared" si="427"/>
        <v>0</v>
      </c>
      <c r="GJ785" s="101">
        <f t="shared" si="428"/>
        <v>1</v>
      </c>
      <c r="GK785" s="101">
        <f t="shared" si="429"/>
        <v>15</v>
      </c>
      <c r="GL785" s="101">
        <f t="shared" si="430"/>
        <v>1.21E-2</v>
      </c>
      <c r="GM785" s="101">
        <f t="shared" si="431"/>
        <v>1</v>
      </c>
      <c r="GN785" s="101">
        <f t="shared" si="432"/>
        <v>29</v>
      </c>
      <c r="GO785" s="101">
        <f t="shared" si="433"/>
        <v>4.82E-2</v>
      </c>
      <c r="GP785" s="101">
        <f t="shared" si="434"/>
        <v>1</v>
      </c>
      <c r="GQ785" s="101">
        <f t="shared" si="435"/>
        <v>62</v>
      </c>
    </row>
    <row r="786" spans="175:199" ht="16.5" x14ac:dyDescent="0.2">
      <c r="FS786" s="101">
        <v>781</v>
      </c>
      <c r="FT786" s="101">
        <f t="shared" si="420"/>
        <v>0</v>
      </c>
      <c r="FU786" s="101">
        <f t="shared" si="436"/>
        <v>10</v>
      </c>
      <c r="FV786" s="14">
        <f t="shared" si="437"/>
        <v>4</v>
      </c>
      <c r="FW786" s="101" t="str">
        <f t="shared" si="421"/>
        <v>张飞专属武器-魂珠-7 0级</v>
      </c>
      <c r="FX786" s="101">
        <f t="shared" si="422"/>
        <v>7</v>
      </c>
      <c r="FY786" s="101">
        <f t="shared" si="423"/>
        <v>0</v>
      </c>
      <c r="FZ786" s="101" t="str">
        <f t="shared" si="438"/>
        <v/>
      </c>
      <c r="GA786" s="139" t="str">
        <f>IF($FY786&gt;0,IF(INDEX($EM$6:$EM$77,$FT786)&gt;=GA$3,ROUND(INDEX(EO$6:EO$77,$FT786)*INDEX(卡牌消耗!$B$8:$F$8,FV786)/5,0)*5,""),"")</f>
        <v/>
      </c>
      <c r="GB786" s="101" t="str">
        <f t="shared" si="439"/>
        <v/>
      </c>
      <c r="GC786" s="101" t="str">
        <f t="shared" si="440"/>
        <v/>
      </c>
      <c r="GD786" s="101" t="str">
        <f t="shared" si="441"/>
        <v/>
      </c>
      <c r="GE786" s="101" t="str">
        <f t="shared" si="442"/>
        <v/>
      </c>
      <c r="GF786" s="101" t="str">
        <f t="shared" si="424"/>
        <v/>
      </c>
      <c r="GG786" s="101" t="str">
        <f t="shared" si="425"/>
        <v/>
      </c>
      <c r="GH786" s="101" t="str">
        <f t="shared" si="426"/>
        <v/>
      </c>
      <c r="GI786" s="101" t="str">
        <f t="shared" si="427"/>
        <v/>
      </c>
      <c r="GJ786" s="101" t="str">
        <f t="shared" si="428"/>
        <v/>
      </c>
      <c r="GK786" s="101" t="str">
        <f t="shared" si="429"/>
        <v/>
      </c>
      <c r="GL786" s="101" t="str">
        <f t="shared" si="430"/>
        <v/>
      </c>
      <c r="GM786" s="101" t="str">
        <f t="shared" si="431"/>
        <v/>
      </c>
      <c r="GN786" s="101" t="str">
        <f t="shared" si="432"/>
        <v/>
      </c>
      <c r="GO786" s="101" t="str">
        <f t="shared" si="433"/>
        <v/>
      </c>
      <c r="GP786" s="101" t="str">
        <f t="shared" si="434"/>
        <v/>
      </c>
      <c r="GQ786" s="101" t="str">
        <f t="shared" si="435"/>
        <v/>
      </c>
    </row>
    <row r="787" spans="175:199" ht="16.5" x14ac:dyDescent="0.2">
      <c r="FS787" s="101">
        <v>782</v>
      </c>
      <c r="FT787" s="101">
        <f t="shared" si="420"/>
        <v>55</v>
      </c>
      <c r="FU787" s="101">
        <f t="shared" si="436"/>
        <v>10</v>
      </c>
      <c r="FV787" s="14">
        <f t="shared" si="437"/>
        <v>4</v>
      </c>
      <c r="FW787" s="101" t="str">
        <f t="shared" si="421"/>
        <v>张飞专属武器-魂珠-7 1级</v>
      </c>
      <c r="FX787" s="101">
        <f t="shared" si="422"/>
        <v>7</v>
      </c>
      <c r="FY787" s="101">
        <f t="shared" si="423"/>
        <v>1</v>
      </c>
      <c r="FZ787" s="101" t="str">
        <f t="shared" si="438"/>
        <v>金币</v>
      </c>
      <c r="GA787" s="139">
        <f>IF($FY787&gt;0,IF(INDEX($EM$6:$EM$77,$FT787)&gt;=GA$3,ROUND(INDEX(EO$6:EO$77,$FT787)*INDEX(卡牌消耗!$B$8:$F$8,FV787)/5,0)*5,""),"")</f>
        <v>7615</v>
      </c>
      <c r="GB787" s="101" t="str">
        <f t="shared" si="439"/>
        <v>专属强化石3</v>
      </c>
      <c r="GC787" s="101">
        <f t="shared" si="440"/>
        <v>6</v>
      </c>
      <c r="GD787" s="101" t="str">
        <f t="shared" si="441"/>
        <v>专属强化石4</v>
      </c>
      <c r="GE787" s="101">
        <f t="shared" si="442"/>
        <v>2</v>
      </c>
      <c r="GF787" s="101">
        <f t="shared" si="424"/>
        <v>0.2</v>
      </c>
      <c r="GG787" s="101">
        <f t="shared" si="425"/>
        <v>1</v>
      </c>
      <c r="GH787" s="101">
        <f t="shared" si="426"/>
        <v>8</v>
      </c>
      <c r="GI787" s="101">
        <f t="shared" si="427"/>
        <v>0</v>
      </c>
      <c r="GJ787" s="101">
        <f t="shared" si="428"/>
        <v>1</v>
      </c>
      <c r="GK787" s="101">
        <f t="shared" si="429"/>
        <v>2</v>
      </c>
      <c r="GL787" s="101">
        <f t="shared" si="430"/>
        <v>9.9400000000000002E-2</v>
      </c>
      <c r="GM787" s="101">
        <f t="shared" si="431"/>
        <v>1</v>
      </c>
      <c r="GN787" s="101">
        <f t="shared" si="432"/>
        <v>4</v>
      </c>
      <c r="GO787" s="101">
        <f t="shared" si="433"/>
        <v>0.3977</v>
      </c>
      <c r="GP787" s="101">
        <f t="shared" si="434"/>
        <v>1</v>
      </c>
      <c r="GQ787" s="101">
        <f t="shared" si="435"/>
        <v>8</v>
      </c>
    </row>
    <row r="788" spans="175:199" ht="16.5" x14ac:dyDescent="0.2">
      <c r="FS788" s="101">
        <v>783</v>
      </c>
      <c r="FT788" s="101">
        <f t="shared" si="420"/>
        <v>56</v>
      </c>
      <c r="FU788" s="101">
        <f t="shared" si="436"/>
        <v>10</v>
      </c>
      <c r="FV788" s="14">
        <f t="shared" si="437"/>
        <v>4</v>
      </c>
      <c r="FW788" s="101" t="str">
        <f t="shared" si="421"/>
        <v>张飞专属武器-魂珠-7 2级</v>
      </c>
      <c r="FX788" s="101">
        <f t="shared" si="422"/>
        <v>7</v>
      </c>
      <c r="FY788" s="101">
        <f t="shared" si="423"/>
        <v>2</v>
      </c>
      <c r="FZ788" s="101" t="str">
        <f t="shared" si="438"/>
        <v>金币</v>
      </c>
      <c r="GA788" s="139">
        <f>IF($FY788&gt;0,IF(INDEX($EM$6:$EM$77,$FT788)&gt;=GA$3,ROUND(INDEX(EO$6:EO$77,$FT788)*INDEX(卡牌消耗!$B$8:$F$8,FV788)/5,0)*5,""),"")</f>
        <v>5710</v>
      </c>
      <c r="GB788" s="101" t="str">
        <f t="shared" si="439"/>
        <v>专属强化石3</v>
      </c>
      <c r="GC788" s="101">
        <f t="shared" si="440"/>
        <v>6</v>
      </c>
      <c r="GD788" s="101" t="str">
        <f t="shared" si="441"/>
        <v>专属强化石4</v>
      </c>
      <c r="GE788" s="101">
        <f t="shared" si="442"/>
        <v>2</v>
      </c>
      <c r="GF788" s="101">
        <f t="shared" si="424"/>
        <v>0.1</v>
      </c>
      <c r="GG788" s="101">
        <f t="shared" si="425"/>
        <v>1</v>
      </c>
      <c r="GH788" s="101">
        <f t="shared" si="426"/>
        <v>15</v>
      </c>
      <c r="GI788" s="101">
        <f t="shared" si="427"/>
        <v>0</v>
      </c>
      <c r="GJ788" s="101">
        <f t="shared" si="428"/>
        <v>1</v>
      </c>
      <c r="GK788" s="101">
        <f t="shared" si="429"/>
        <v>4</v>
      </c>
      <c r="GL788" s="101">
        <f t="shared" si="430"/>
        <v>4.9700000000000001E-2</v>
      </c>
      <c r="GM788" s="101">
        <f t="shared" si="431"/>
        <v>1</v>
      </c>
      <c r="GN788" s="101">
        <f t="shared" si="432"/>
        <v>7</v>
      </c>
      <c r="GO788" s="101">
        <f t="shared" si="433"/>
        <v>0.19889999999999999</v>
      </c>
      <c r="GP788" s="101">
        <f t="shared" si="434"/>
        <v>1</v>
      </c>
      <c r="GQ788" s="101">
        <f t="shared" si="435"/>
        <v>15</v>
      </c>
    </row>
    <row r="789" spans="175:199" ht="16.5" x14ac:dyDescent="0.2">
      <c r="FS789" s="101">
        <v>784</v>
      </c>
      <c r="FT789" s="101">
        <f t="shared" si="420"/>
        <v>57</v>
      </c>
      <c r="FU789" s="101">
        <f t="shared" si="436"/>
        <v>10</v>
      </c>
      <c r="FV789" s="14">
        <f t="shared" si="437"/>
        <v>4</v>
      </c>
      <c r="FW789" s="101" t="str">
        <f t="shared" si="421"/>
        <v>张飞专属武器-魂珠-7 3级</v>
      </c>
      <c r="FX789" s="101">
        <f t="shared" si="422"/>
        <v>7</v>
      </c>
      <c r="FY789" s="101">
        <f t="shared" si="423"/>
        <v>3</v>
      </c>
      <c r="FZ789" s="101" t="str">
        <f t="shared" si="438"/>
        <v>金币</v>
      </c>
      <c r="GA789" s="139">
        <f>IF($FY789&gt;0,IF(INDEX($EM$6:$EM$77,$FT789)&gt;=GA$3,ROUND(INDEX(EO$6:EO$77,$FT789)*INDEX(卡牌消耗!$B$8:$F$8,FV789)/5,0)*5,""),"")</f>
        <v>9520</v>
      </c>
      <c r="GB789" s="101" t="str">
        <f t="shared" si="439"/>
        <v>专属强化石3</v>
      </c>
      <c r="GC789" s="101">
        <f t="shared" si="440"/>
        <v>9</v>
      </c>
      <c r="GD789" s="101" t="str">
        <f t="shared" si="441"/>
        <v>专属强化石4</v>
      </c>
      <c r="GE789" s="101">
        <f t="shared" si="442"/>
        <v>3</v>
      </c>
      <c r="GF789" s="101">
        <f t="shared" si="424"/>
        <v>0.1</v>
      </c>
      <c r="GG789" s="101">
        <f t="shared" si="425"/>
        <v>1</v>
      </c>
      <c r="GH789" s="101">
        <f t="shared" si="426"/>
        <v>15</v>
      </c>
      <c r="GI789" s="101">
        <f t="shared" si="427"/>
        <v>0</v>
      </c>
      <c r="GJ789" s="101">
        <f t="shared" si="428"/>
        <v>1</v>
      </c>
      <c r="GK789" s="101">
        <f t="shared" si="429"/>
        <v>4</v>
      </c>
      <c r="GL789" s="101">
        <f t="shared" si="430"/>
        <v>4.9700000000000001E-2</v>
      </c>
      <c r="GM789" s="101">
        <f t="shared" si="431"/>
        <v>1</v>
      </c>
      <c r="GN789" s="101">
        <f t="shared" si="432"/>
        <v>7</v>
      </c>
      <c r="GO789" s="101">
        <f t="shared" si="433"/>
        <v>0.19889999999999999</v>
      </c>
      <c r="GP789" s="101">
        <f t="shared" si="434"/>
        <v>1</v>
      </c>
      <c r="GQ789" s="101">
        <f t="shared" si="435"/>
        <v>15</v>
      </c>
    </row>
    <row r="790" spans="175:199" ht="16.5" x14ac:dyDescent="0.2">
      <c r="FS790" s="101">
        <v>785</v>
      </c>
      <c r="FT790" s="101">
        <f t="shared" ref="FT790:FT853" si="443">IF(FY790&gt;0,(FX790-1)*9+FY790,0)</f>
        <v>58</v>
      </c>
      <c r="FU790" s="101">
        <f t="shared" si="436"/>
        <v>10</v>
      </c>
      <c r="FV790" s="14">
        <f t="shared" si="437"/>
        <v>4</v>
      </c>
      <c r="FW790" s="101" t="str">
        <f t="shared" ref="FW790:FW853" si="444">INDEX($FN$6:$FN$26,FU790)&amp;"专属武器-魂珠-"&amp;FX790&amp;" "&amp;FY790&amp;"级"</f>
        <v>张飞专属武器-魂珠-7 4级</v>
      </c>
      <c r="FX790" s="101">
        <f t="shared" ref="FX790:FX853" si="445">INT((FS790-(FU790-1)*80-1)/10)+1</f>
        <v>7</v>
      </c>
      <c r="FY790" s="101">
        <f t="shared" ref="FY790:FY853" si="446">FS790-(FU790-1)*80-(FX790-1)*10-1</f>
        <v>4</v>
      </c>
      <c r="FZ790" s="101" t="str">
        <f t="shared" si="438"/>
        <v>金币</v>
      </c>
      <c r="GA790" s="139">
        <f>IF($FY790&gt;0,IF(INDEX($EM$6:$EM$77,$FT790)&gt;=GA$3,ROUND(INDEX(EO$6:EO$77,$FT790)*INDEX(卡牌消耗!$B$8:$F$8,FV790)/5,0)*5,""),"")</f>
        <v>12185</v>
      </c>
      <c r="GB790" s="101" t="str">
        <f t="shared" si="439"/>
        <v>专属强化石3</v>
      </c>
      <c r="GC790" s="101">
        <f t="shared" si="440"/>
        <v>12</v>
      </c>
      <c r="GD790" s="101" t="str">
        <f t="shared" si="441"/>
        <v>专属强化石4</v>
      </c>
      <c r="GE790" s="101">
        <f t="shared" si="442"/>
        <v>4</v>
      </c>
      <c r="GF790" s="101">
        <f t="shared" ref="GF790:GF853" si="447">IF($FY790&gt;0,INDEX(ET$6:ET$77,$FT790),"")</f>
        <v>0.08</v>
      </c>
      <c r="GG790" s="101">
        <f t="shared" ref="GG790:GG853" si="448">IF($FY790&gt;0,INDEX(EU$6:EU$77,$FT790),"")</f>
        <v>1</v>
      </c>
      <c r="GH790" s="101">
        <f t="shared" ref="GH790:GH853" si="449">IF($FY790&gt;0,INDEX(EV$6:EV$77,$FT790),"")</f>
        <v>19</v>
      </c>
      <c r="GI790" s="101">
        <f t="shared" ref="GI790:GI853" si="450">IF($FY790&gt;0,INDEX(FA$6:FA$77,$FT790),"")</f>
        <v>0</v>
      </c>
      <c r="GJ790" s="101">
        <f t="shared" ref="GJ790:GJ853" si="451">IF($FY790&gt;0,INDEX(FB$6:FB$77,$FT790),"")</f>
        <v>1</v>
      </c>
      <c r="GK790" s="101">
        <f t="shared" ref="GK790:GK853" si="452">IF($FY790&gt;0,INDEX(FC$6:FC$77,$FT790),"")</f>
        <v>4</v>
      </c>
      <c r="GL790" s="101">
        <f t="shared" ref="GL790:GL853" si="453">IF($FY790&gt;0,INDEX(FD$6:FD$77,$FT790),"")</f>
        <v>3.9800000000000002E-2</v>
      </c>
      <c r="GM790" s="101">
        <f t="shared" ref="GM790:GM853" si="454">IF($FY790&gt;0,INDEX(FE$6:FE$77,$FT790),"")</f>
        <v>1</v>
      </c>
      <c r="GN790" s="101">
        <f t="shared" ref="GN790:GN853" si="455">IF($FY790&gt;0,INDEX(FF$6:FF$77,$FT790),"")</f>
        <v>9</v>
      </c>
      <c r="GO790" s="101">
        <f t="shared" ref="GO790:GO853" si="456">IF($FY790&gt;0,INDEX(FG$6:FG$77,$FT790),"")</f>
        <v>0.15909999999999999</v>
      </c>
      <c r="GP790" s="101">
        <f t="shared" ref="GP790:GP853" si="457">IF($FY790&gt;0,INDEX(FH$6:FH$77,$FT790),"")</f>
        <v>1</v>
      </c>
      <c r="GQ790" s="101">
        <f t="shared" ref="GQ790:GQ853" si="458">IF($FY790&gt;0,INDEX(FI$6:FI$77,$FT790),"")</f>
        <v>19</v>
      </c>
    </row>
    <row r="791" spans="175:199" ht="16.5" x14ac:dyDescent="0.2">
      <c r="FS791" s="101">
        <v>786</v>
      </c>
      <c r="FT791" s="101">
        <f t="shared" si="443"/>
        <v>59</v>
      </c>
      <c r="FU791" s="101">
        <f t="shared" si="436"/>
        <v>10</v>
      </c>
      <c r="FV791" s="14">
        <f t="shared" si="437"/>
        <v>4</v>
      </c>
      <c r="FW791" s="101" t="str">
        <f t="shared" si="444"/>
        <v>张飞专属武器-魂珠-7 5级</v>
      </c>
      <c r="FX791" s="101">
        <f t="shared" si="445"/>
        <v>7</v>
      </c>
      <c r="FY791" s="101">
        <f t="shared" si="446"/>
        <v>5</v>
      </c>
      <c r="FZ791" s="101" t="str">
        <f t="shared" si="438"/>
        <v>金币</v>
      </c>
      <c r="GA791" s="139">
        <f>IF($FY791&gt;0,IF(INDEX($EM$6:$EM$77,$FT791)&gt;=GA$3,ROUND(INDEX(EO$6:EO$77,$FT791)*INDEX(卡牌消耗!$B$8:$F$8,FV791)/5,0)*5,""),"")</f>
        <v>12375</v>
      </c>
      <c r="GB791" s="101" t="str">
        <f t="shared" si="439"/>
        <v>专属强化石3</v>
      </c>
      <c r="GC791" s="101">
        <f t="shared" si="440"/>
        <v>12</v>
      </c>
      <c r="GD791" s="101" t="str">
        <f t="shared" si="441"/>
        <v>专属强化石4</v>
      </c>
      <c r="GE791" s="101">
        <f t="shared" si="442"/>
        <v>4</v>
      </c>
      <c r="GF791" s="101">
        <f t="shared" si="447"/>
        <v>0.05</v>
      </c>
      <c r="GG791" s="101">
        <f t="shared" si="448"/>
        <v>1</v>
      </c>
      <c r="GH791" s="101">
        <f t="shared" si="449"/>
        <v>30</v>
      </c>
      <c r="GI791" s="101">
        <f t="shared" si="450"/>
        <v>0</v>
      </c>
      <c r="GJ791" s="101">
        <f t="shared" si="451"/>
        <v>1</v>
      </c>
      <c r="GK791" s="101">
        <f t="shared" si="452"/>
        <v>7</v>
      </c>
      <c r="GL791" s="101">
        <f t="shared" si="453"/>
        <v>2.4899999999999999E-2</v>
      </c>
      <c r="GM791" s="101">
        <f t="shared" si="454"/>
        <v>1</v>
      </c>
      <c r="GN791" s="101">
        <f t="shared" si="455"/>
        <v>14</v>
      </c>
      <c r="GO791" s="101">
        <f t="shared" si="456"/>
        <v>9.9400000000000002E-2</v>
      </c>
      <c r="GP791" s="101">
        <f t="shared" si="457"/>
        <v>1</v>
      </c>
      <c r="GQ791" s="101">
        <f t="shared" si="458"/>
        <v>30</v>
      </c>
    </row>
    <row r="792" spans="175:199" ht="16.5" x14ac:dyDescent="0.2">
      <c r="FS792" s="101">
        <v>787</v>
      </c>
      <c r="FT792" s="101">
        <f t="shared" si="443"/>
        <v>60</v>
      </c>
      <c r="FU792" s="101">
        <f t="shared" si="436"/>
        <v>10</v>
      </c>
      <c r="FV792" s="14">
        <f t="shared" si="437"/>
        <v>4</v>
      </c>
      <c r="FW792" s="101" t="str">
        <f t="shared" si="444"/>
        <v>张飞专属武器-魂珠-7 6级</v>
      </c>
      <c r="FX792" s="101">
        <f t="shared" si="445"/>
        <v>7</v>
      </c>
      <c r="FY792" s="101">
        <f t="shared" si="446"/>
        <v>6</v>
      </c>
      <c r="FZ792" s="101" t="str">
        <f t="shared" si="438"/>
        <v>金币</v>
      </c>
      <c r="GA792" s="139">
        <f>IF($FY792&gt;0,IF(INDEX($EM$6:$EM$77,$FT792)&gt;=GA$3,ROUND(INDEX(EO$6:EO$77,$FT792)*INDEX(卡牌消耗!$B$8:$F$8,FV792)/5,0)*5,""),"")</f>
        <v>15380</v>
      </c>
      <c r="GB792" s="101" t="str">
        <f t="shared" si="439"/>
        <v>专属强化石3</v>
      </c>
      <c r="GC792" s="101">
        <f t="shared" si="440"/>
        <v>15</v>
      </c>
      <c r="GD792" s="101" t="str">
        <f t="shared" si="441"/>
        <v>专属强化石4</v>
      </c>
      <c r="GE792" s="101">
        <f t="shared" si="442"/>
        <v>5</v>
      </c>
      <c r="GF792" s="101">
        <f t="shared" si="447"/>
        <v>0.04</v>
      </c>
      <c r="GG792" s="101">
        <f t="shared" si="448"/>
        <v>1</v>
      </c>
      <c r="GH792" s="101">
        <f t="shared" si="449"/>
        <v>39</v>
      </c>
      <c r="GI792" s="101">
        <f t="shared" si="450"/>
        <v>0</v>
      </c>
      <c r="GJ792" s="101">
        <f t="shared" si="451"/>
        <v>1</v>
      </c>
      <c r="GK792" s="101">
        <f t="shared" si="452"/>
        <v>9</v>
      </c>
      <c r="GL792" s="101">
        <f t="shared" si="453"/>
        <v>1.9099999999999999E-2</v>
      </c>
      <c r="GM792" s="101">
        <f t="shared" si="454"/>
        <v>1</v>
      </c>
      <c r="GN792" s="101">
        <f t="shared" si="455"/>
        <v>18</v>
      </c>
      <c r="GO792" s="101">
        <f t="shared" si="456"/>
        <v>7.6499999999999999E-2</v>
      </c>
      <c r="GP792" s="101">
        <f t="shared" si="457"/>
        <v>1</v>
      </c>
      <c r="GQ792" s="101">
        <f t="shared" si="458"/>
        <v>39</v>
      </c>
    </row>
    <row r="793" spans="175:199" ht="16.5" x14ac:dyDescent="0.2">
      <c r="FS793" s="101">
        <v>788</v>
      </c>
      <c r="FT793" s="101">
        <f t="shared" si="443"/>
        <v>61</v>
      </c>
      <c r="FU793" s="101">
        <f t="shared" si="436"/>
        <v>10</v>
      </c>
      <c r="FV793" s="14">
        <f t="shared" si="437"/>
        <v>4</v>
      </c>
      <c r="FW793" s="101" t="str">
        <f t="shared" si="444"/>
        <v>张飞专属武器-魂珠-7 7级</v>
      </c>
      <c r="FX793" s="101">
        <f t="shared" si="445"/>
        <v>7</v>
      </c>
      <c r="FY793" s="101">
        <f t="shared" si="446"/>
        <v>7</v>
      </c>
      <c r="FZ793" s="101" t="str">
        <f t="shared" si="438"/>
        <v>金币</v>
      </c>
      <c r="GA793" s="139">
        <f>IF($FY793&gt;0,IF(INDEX($EM$6:$EM$77,$FT793)&gt;=GA$3,ROUND(INDEX(EO$6:EO$77,$FT793)*INDEX(卡牌消耗!$B$8:$F$8,FV793)/5,0)*5,""),"")</f>
        <v>21580</v>
      </c>
      <c r="GB793" s="101" t="str">
        <f t="shared" si="439"/>
        <v>专属强化石3</v>
      </c>
      <c r="GC793" s="101">
        <f t="shared" si="440"/>
        <v>21</v>
      </c>
      <c r="GD793" s="101" t="str">
        <f t="shared" si="441"/>
        <v>专属强化石4</v>
      </c>
      <c r="GE793" s="101">
        <f t="shared" si="442"/>
        <v>7</v>
      </c>
      <c r="GF793" s="101">
        <f t="shared" si="447"/>
        <v>0.03</v>
      </c>
      <c r="GG793" s="101">
        <f t="shared" si="448"/>
        <v>1</v>
      </c>
      <c r="GH793" s="101">
        <f t="shared" si="449"/>
        <v>45</v>
      </c>
      <c r="GI793" s="101">
        <f t="shared" si="450"/>
        <v>0</v>
      </c>
      <c r="GJ793" s="101">
        <f t="shared" si="451"/>
        <v>1</v>
      </c>
      <c r="GK793" s="101">
        <f t="shared" si="452"/>
        <v>11</v>
      </c>
      <c r="GL793" s="101">
        <f t="shared" si="453"/>
        <v>1.66E-2</v>
      </c>
      <c r="GM793" s="101">
        <f t="shared" si="454"/>
        <v>1</v>
      </c>
      <c r="GN793" s="101">
        <f t="shared" si="455"/>
        <v>21</v>
      </c>
      <c r="GO793" s="101">
        <f t="shared" si="456"/>
        <v>6.6299999999999998E-2</v>
      </c>
      <c r="GP793" s="101">
        <f t="shared" si="457"/>
        <v>1</v>
      </c>
      <c r="GQ793" s="101">
        <f t="shared" si="458"/>
        <v>45</v>
      </c>
    </row>
    <row r="794" spans="175:199" ht="16.5" x14ac:dyDescent="0.2">
      <c r="FS794" s="101">
        <v>789</v>
      </c>
      <c r="FT794" s="101">
        <f t="shared" si="443"/>
        <v>62</v>
      </c>
      <c r="FU794" s="101">
        <f t="shared" si="436"/>
        <v>10</v>
      </c>
      <c r="FV794" s="14">
        <f t="shared" si="437"/>
        <v>4</v>
      </c>
      <c r="FW794" s="101" t="str">
        <f t="shared" si="444"/>
        <v>张飞专属武器-魂珠-7 8级</v>
      </c>
      <c r="FX794" s="101">
        <f t="shared" si="445"/>
        <v>7</v>
      </c>
      <c r="FY794" s="101">
        <f t="shared" si="446"/>
        <v>8</v>
      </c>
      <c r="FZ794" s="101" t="str">
        <f t="shared" si="438"/>
        <v>金币</v>
      </c>
      <c r="GA794" s="139">
        <f>IF($FY794&gt;0,IF(INDEX($EM$6:$EM$77,$FT794)&gt;=GA$3,ROUND(INDEX(EO$6:EO$77,$FT794)*INDEX(卡牌消耗!$B$8:$F$8,FV794)/5,0)*5,""),"")</f>
        <v>24640</v>
      </c>
      <c r="GB794" s="101" t="str">
        <f t="shared" si="439"/>
        <v>专属强化石3</v>
      </c>
      <c r="GC794" s="101">
        <f t="shared" si="440"/>
        <v>24</v>
      </c>
      <c r="GD794" s="101" t="str">
        <f t="shared" si="441"/>
        <v>专属强化石4</v>
      </c>
      <c r="GE794" s="101">
        <f t="shared" si="442"/>
        <v>8</v>
      </c>
      <c r="GF794" s="101">
        <f t="shared" si="447"/>
        <v>0.02</v>
      </c>
      <c r="GG794" s="101">
        <f t="shared" si="448"/>
        <v>1</v>
      </c>
      <c r="GH794" s="101">
        <f t="shared" si="449"/>
        <v>64</v>
      </c>
      <c r="GI794" s="101">
        <f t="shared" si="450"/>
        <v>0</v>
      </c>
      <c r="GJ794" s="101">
        <f t="shared" si="451"/>
        <v>1</v>
      </c>
      <c r="GK794" s="101">
        <f t="shared" si="452"/>
        <v>15</v>
      </c>
      <c r="GL794" s="101">
        <f t="shared" si="453"/>
        <v>1.17E-2</v>
      </c>
      <c r="GM794" s="101">
        <f t="shared" si="454"/>
        <v>1</v>
      </c>
      <c r="GN794" s="101">
        <f t="shared" si="455"/>
        <v>30</v>
      </c>
      <c r="GO794" s="101">
        <f t="shared" si="456"/>
        <v>4.6800000000000001E-2</v>
      </c>
      <c r="GP794" s="101">
        <f t="shared" si="457"/>
        <v>1</v>
      </c>
      <c r="GQ794" s="101">
        <f t="shared" si="458"/>
        <v>64</v>
      </c>
    </row>
    <row r="795" spans="175:199" ht="16.5" x14ac:dyDescent="0.2">
      <c r="FS795" s="101">
        <v>790</v>
      </c>
      <c r="FT795" s="101">
        <f t="shared" si="443"/>
        <v>63</v>
      </c>
      <c r="FU795" s="101">
        <f t="shared" si="436"/>
        <v>10</v>
      </c>
      <c r="FV795" s="14">
        <f t="shared" si="437"/>
        <v>4</v>
      </c>
      <c r="FW795" s="101" t="str">
        <f t="shared" si="444"/>
        <v>张飞专属武器-魂珠-7 9级</v>
      </c>
      <c r="FX795" s="101">
        <f t="shared" si="445"/>
        <v>7</v>
      </c>
      <c r="FY795" s="101">
        <f t="shared" si="446"/>
        <v>9</v>
      </c>
      <c r="FZ795" s="101" t="str">
        <f t="shared" si="438"/>
        <v>金币</v>
      </c>
      <c r="GA795" s="139">
        <f>IF($FY795&gt;0,IF(INDEX($EM$6:$EM$77,$FT795)&gt;=GA$3,ROUND(INDEX(EO$6:EO$77,$FT795)*INDEX(卡牌消耗!$B$8:$F$8,FV795)/5,0)*5,""),"")</f>
        <v>30810</v>
      </c>
      <c r="GB795" s="101" t="str">
        <f t="shared" si="439"/>
        <v>专属强化石3</v>
      </c>
      <c r="GC795" s="101">
        <f t="shared" si="440"/>
        <v>30</v>
      </c>
      <c r="GD795" s="101" t="str">
        <f t="shared" si="441"/>
        <v>专属强化石4</v>
      </c>
      <c r="GE795" s="101">
        <f t="shared" si="442"/>
        <v>10</v>
      </c>
      <c r="GF795" s="101">
        <f t="shared" si="447"/>
        <v>0.02</v>
      </c>
      <c r="GG795" s="101">
        <f t="shared" si="448"/>
        <v>1</v>
      </c>
      <c r="GH795" s="101">
        <f t="shared" si="449"/>
        <v>83</v>
      </c>
      <c r="GI795" s="101">
        <f t="shared" si="450"/>
        <v>0</v>
      </c>
      <c r="GJ795" s="101">
        <f t="shared" si="451"/>
        <v>1</v>
      </c>
      <c r="GK795" s="101">
        <f t="shared" si="452"/>
        <v>19</v>
      </c>
      <c r="GL795" s="101">
        <f t="shared" si="453"/>
        <v>8.9999999999999993E-3</v>
      </c>
      <c r="GM795" s="101">
        <f t="shared" si="454"/>
        <v>1</v>
      </c>
      <c r="GN795" s="101">
        <f t="shared" si="455"/>
        <v>39</v>
      </c>
      <c r="GO795" s="101">
        <f t="shared" si="456"/>
        <v>3.6200000000000003E-2</v>
      </c>
      <c r="GP795" s="101">
        <f t="shared" si="457"/>
        <v>1</v>
      </c>
      <c r="GQ795" s="101">
        <f t="shared" si="458"/>
        <v>83</v>
      </c>
    </row>
    <row r="796" spans="175:199" ht="16.5" x14ac:dyDescent="0.2">
      <c r="FS796" s="101">
        <v>791</v>
      </c>
      <c r="FT796" s="101">
        <f t="shared" si="443"/>
        <v>0</v>
      </c>
      <c r="FU796" s="101">
        <f t="shared" si="436"/>
        <v>10</v>
      </c>
      <c r="FV796" s="14">
        <f t="shared" si="437"/>
        <v>4</v>
      </c>
      <c r="FW796" s="101" t="str">
        <f t="shared" si="444"/>
        <v>张飞专属武器-魂珠-8 0级</v>
      </c>
      <c r="FX796" s="101">
        <f t="shared" si="445"/>
        <v>8</v>
      </c>
      <c r="FY796" s="101">
        <f t="shared" si="446"/>
        <v>0</v>
      </c>
      <c r="FZ796" s="101" t="str">
        <f t="shared" si="438"/>
        <v/>
      </c>
      <c r="GA796" s="139" t="str">
        <f>IF($FY796&gt;0,IF(INDEX($EM$6:$EM$77,$FT796)&gt;=GA$3,ROUND(INDEX(EO$6:EO$77,$FT796)*INDEX(卡牌消耗!$B$8:$F$8,FV796)/5,0)*5,""),"")</f>
        <v/>
      </c>
      <c r="GB796" s="101" t="str">
        <f t="shared" si="439"/>
        <v/>
      </c>
      <c r="GC796" s="101" t="str">
        <f t="shared" si="440"/>
        <v/>
      </c>
      <c r="GD796" s="101" t="str">
        <f t="shared" si="441"/>
        <v/>
      </c>
      <c r="GE796" s="101" t="str">
        <f t="shared" si="442"/>
        <v/>
      </c>
      <c r="GF796" s="101" t="str">
        <f t="shared" si="447"/>
        <v/>
      </c>
      <c r="GG796" s="101" t="str">
        <f t="shared" si="448"/>
        <v/>
      </c>
      <c r="GH796" s="101" t="str">
        <f t="shared" si="449"/>
        <v/>
      </c>
      <c r="GI796" s="101" t="str">
        <f t="shared" si="450"/>
        <v/>
      </c>
      <c r="GJ796" s="101" t="str">
        <f t="shared" si="451"/>
        <v/>
      </c>
      <c r="GK796" s="101" t="str">
        <f t="shared" si="452"/>
        <v/>
      </c>
      <c r="GL796" s="101" t="str">
        <f t="shared" si="453"/>
        <v/>
      </c>
      <c r="GM796" s="101" t="str">
        <f t="shared" si="454"/>
        <v/>
      </c>
      <c r="GN796" s="101" t="str">
        <f t="shared" si="455"/>
        <v/>
      </c>
      <c r="GO796" s="101" t="str">
        <f t="shared" si="456"/>
        <v/>
      </c>
      <c r="GP796" s="101" t="str">
        <f t="shared" si="457"/>
        <v/>
      </c>
      <c r="GQ796" s="101" t="str">
        <f t="shared" si="458"/>
        <v/>
      </c>
    </row>
    <row r="797" spans="175:199" ht="16.5" x14ac:dyDescent="0.2">
      <c r="FS797" s="101">
        <v>792</v>
      </c>
      <c r="FT797" s="101">
        <f t="shared" si="443"/>
        <v>64</v>
      </c>
      <c r="FU797" s="101">
        <f t="shared" si="436"/>
        <v>10</v>
      </c>
      <c r="FV797" s="14">
        <f t="shared" si="437"/>
        <v>4</v>
      </c>
      <c r="FW797" s="101" t="str">
        <f t="shared" si="444"/>
        <v>张飞专属武器-魂珠-8 1级</v>
      </c>
      <c r="FX797" s="101">
        <f t="shared" si="445"/>
        <v>8</v>
      </c>
      <c r="FY797" s="101">
        <f t="shared" si="446"/>
        <v>1</v>
      </c>
      <c r="FZ797" s="101" t="str">
        <f t="shared" si="438"/>
        <v>金币</v>
      </c>
      <c r="GA797" s="139">
        <f>IF($FY797&gt;0,IF(INDEX($EM$6:$EM$77,$FT797)&gt;=GA$3,ROUND(INDEX(EO$6:EO$77,$FT797)*INDEX(卡牌消耗!$B$8:$F$8,FV797)/5,0)*5,""),"")</f>
        <v>6490</v>
      </c>
      <c r="GB797" s="101" t="str">
        <f t="shared" si="439"/>
        <v>专属强化石4</v>
      </c>
      <c r="GC797" s="101">
        <f t="shared" si="440"/>
        <v>5</v>
      </c>
      <c r="GD797" s="101" t="str">
        <f t="shared" si="441"/>
        <v/>
      </c>
      <c r="GE797" s="101" t="str">
        <f t="shared" si="442"/>
        <v/>
      </c>
      <c r="GF797" s="101">
        <f t="shared" si="447"/>
        <v>0.11</v>
      </c>
      <c r="GG797" s="101">
        <f t="shared" si="448"/>
        <v>1</v>
      </c>
      <c r="GH797" s="101">
        <f t="shared" si="449"/>
        <v>13</v>
      </c>
      <c r="GI797" s="101">
        <f t="shared" si="450"/>
        <v>0</v>
      </c>
      <c r="GJ797" s="101">
        <f t="shared" si="451"/>
        <v>1</v>
      </c>
      <c r="GK797" s="101">
        <f t="shared" si="452"/>
        <v>3</v>
      </c>
      <c r="GL797" s="101">
        <f t="shared" si="453"/>
        <v>5.6500000000000002E-2</v>
      </c>
      <c r="GM797" s="101">
        <f t="shared" si="454"/>
        <v>1</v>
      </c>
      <c r="GN797" s="101">
        <f t="shared" si="455"/>
        <v>6</v>
      </c>
      <c r="GO797" s="101">
        <f t="shared" si="456"/>
        <v>0.22600000000000001</v>
      </c>
      <c r="GP797" s="101">
        <f t="shared" si="457"/>
        <v>1</v>
      </c>
      <c r="GQ797" s="101">
        <f t="shared" si="458"/>
        <v>13</v>
      </c>
    </row>
    <row r="798" spans="175:199" ht="16.5" x14ac:dyDescent="0.2">
      <c r="FS798" s="101">
        <v>793</v>
      </c>
      <c r="FT798" s="101">
        <f t="shared" si="443"/>
        <v>65</v>
      </c>
      <c r="FU798" s="101">
        <f t="shared" si="436"/>
        <v>10</v>
      </c>
      <c r="FV798" s="14">
        <f t="shared" si="437"/>
        <v>4</v>
      </c>
      <c r="FW798" s="101" t="str">
        <f t="shared" si="444"/>
        <v>张飞专属武器-魂珠-8 2级</v>
      </c>
      <c r="FX798" s="101">
        <f t="shared" si="445"/>
        <v>8</v>
      </c>
      <c r="FY798" s="101">
        <f t="shared" si="446"/>
        <v>2</v>
      </c>
      <c r="FZ798" s="101" t="str">
        <f t="shared" si="438"/>
        <v>金币</v>
      </c>
      <c r="GA798" s="139">
        <f>IF($FY798&gt;0,IF(INDEX($EM$6:$EM$77,$FT798)&gt;=GA$3,ROUND(INDEX(EO$6:EO$77,$FT798)*INDEX(卡牌消耗!$B$8:$F$8,FV798)/5,0)*5,""),"")</f>
        <v>7790</v>
      </c>
      <c r="GB798" s="101" t="str">
        <f t="shared" si="439"/>
        <v>专属强化石4</v>
      </c>
      <c r="GC798" s="101">
        <f t="shared" si="440"/>
        <v>8</v>
      </c>
      <c r="GD798" s="101" t="str">
        <f t="shared" si="441"/>
        <v/>
      </c>
      <c r="GE798" s="101" t="str">
        <f t="shared" si="442"/>
        <v/>
      </c>
      <c r="GF798" s="101">
        <f t="shared" si="447"/>
        <v>0.09</v>
      </c>
      <c r="GG798" s="101">
        <f t="shared" si="448"/>
        <v>1</v>
      </c>
      <c r="GH798" s="101">
        <f t="shared" si="449"/>
        <v>17</v>
      </c>
      <c r="GI798" s="101">
        <f t="shared" si="450"/>
        <v>0</v>
      </c>
      <c r="GJ798" s="101">
        <f t="shared" si="451"/>
        <v>1</v>
      </c>
      <c r="GK798" s="101">
        <f t="shared" si="452"/>
        <v>4</v>
      </c>
      <c r="GL798" s="101">
        <f t="shared" si="453"/>
        <v>4.5199999999999997E-2</v>
      </c>
      <c r="GM798" s="101">
        <f t="shared" si="454"/>
        <v>1</v>
      </c>
      <c r="GN798" s="101">
        <f t="shared" si="455"/>
        <v>8</v>
      </c>
      <c r="GO798" s="101">
        <f t="shared" si="456"/>
        <v>0.18079999999999999</v>
      </c>
      <c r="GP798" s="101">
        <f t="shared" si="457"/>
        <v>1</v>
      </c>
      <c r="GQ798" s="101">
        <f t="shared" si="458"/>
        <v>17</v>
      </c>
    </row>
    <row r="799" spans="175:199" ht="16.5" x14ac:dyDescent="0.2">
      <c r="FS799" s="101">
        <v>794</v>
      </c>
      <c r="FT799" s="101">
        <f t="shared" si="443"/>
        <v>66</v>
      </c>
      <c r="FU799" s="101">
        <f t="shared" si="436"/>
        <v>10</v>
      </c>
      <c r="FV799" s="14">
        <f t="shared" si="437"/>
        <v>4</v>
      </c>
      <c r="FW799" s="101" t="str">
        <f t="shared" si="444"/>
        <v>张飞专属武器-魂珠-8 3级</v>
      </c>
      <c r="FX799" s="101">
        <f t="shared" si="445"/>
        <v>8</v>
      </c>
      <c r="FY799" s="101">
        <f t="shared" si="446"/>
        <v>3</v>
      </c>
      <c r="FZ799" s="101" t="str">
        <f t="shared" si="438"/>
        <v>金币</v>
      </c>
      <c r="GA799" s="139">
        <f>IF($FY799&gt;0,IF(INDEX($EM$6:$EM$77,$FT799)&gt;=GA$3,ROUND(INDEX(EO$6:EO$77,$FT799)*INDEX(卡牌消耗!$B$8:$F$8,FV799)/5,0)*5,""),"")</f>
        <v>10820</v>
      </c>
      <c r="GB799" s="101" t="str">
        <f t="shared" si="439"/>
        <v>专属强化石4</v>
      </c>
      <c r="GC799" s="101">
        <f t="shared" si="440"/>
        <v>10</v>
      </c>
      <c r="GD799" s="101" t="str">
        <f t="shared" si="441"/>
        <v/>
      </c>
      <c r="GE799" s="101" t="str">
        <f t="shared" si="442"/>
        <v/>
      </c>
      <c r="GF799" s="101">
        <f t="shared" si="447"/>
        <v>0.08</v>
      </c>
      <c r="GG799" s="101">
        <f t="shared" si="448"/>
        <v>1</v>
      </c>
      <c r="GH799" s="101">
        <f t="shared" si="449"/>
        <v>20</v>
      </c>
      <c r="GI799" s="101">
        <f t="shared" si="450"/>
        <v>0</v>
      </c>
      <c r="GJ799" s="101">
        <f t="shared" si="451"/>
        <v>1</v>
      </c>
      <c r="GK799" s="101">
        <f t="shared" si="452"/>
        <v>5</v>
      </c>
      <c r="GL799" s="101">
        <f t="shared" si="453"/>
        <v>3.7699999999999997E-2</v>
      </c>
      <c r="GM799" s="101">
        <f t="shared" si="454"/>
        <v>1</v>
      </c>
      <c r="GN799" s="101">
        <f t="shared" si="455"/>
        <v>9</v>
      </c>
      <c r="GO799" s="101">
        <f t="shared" si="456"/>
        <v>0.1507</v>
      </c>
      <c r="GP799" s="101">
        <f t="shared" si="457"/>
        <v>1</v>
      </c>
      <c r="GQ799" s="101">
        <f t="shared" si="458"/>
        <v>20</v>
      </c>
    </row>
    <row r="800" spans="175:199" ht="16.5" x14ac:dyDescent="0.2">
      <c r="FS800" s="101">
        <v>795</v>
      </c>
      <c r="FT800" s="101">
        <f t="shared" si="443"/>
        <v>67</v>
      </c>
      <c r="FU800" s="101">
        <f t="shared" si="436"/>
        <v>10</v>
      </c>
      <c r="FV800" s="14">
        <f t="shared" si="437"/>
        <v>4</v>
      </c>
      <c r="FW800" s="101" t="str">
        <f t="shared" si="444"/>
        <v>张飞专属武器-魂珠-8 4级</v>
      </c>
      <c r="FX800" s="101">
        <f t="shared" si="445"/>
        <v>8</v>
      </c>
      <c r="FY800" s="101">
        <f t="shared" si="446"/>
        <v>4</v>
      </c>
      <c r="FZ800" s="101" t="str">
        <f t="shared" si="438"/>
        <v>金币</v>
      </c>
      <c r="GA800" s="139">
        <f>IF($FY800&gt;0,IF(INDEX($EM$6:$EM$77,$FT800)&gt;=GA$3,ROUND(INDEX(EO$6:EO$77,$FT800)*INDEX(卡牌消耗!$B$8:$F$8,FV800)/5,0)*5,""),"")</f>
        <v>12460</v>
      </c>
      <c r="GB800" s="101" t="str">
        <f t="shared" si="439"/>
        <v>专属强化石4</v>
      </c>
      <c r="GC800" s="101">
        <f t="shared" si="440"/>
        <v>12</v>
      </c>
      <c r="GD800" s="101" t="str">
        <f t="shared" si="441"/>
        <v/>
      </c>
      <c r="GE800" s="101" t="str">
        <f t="shared" si="442"/>
        <v/>
      </c>
      <c r="GF800" s="101">
        <f t="shared" si="447"/>
        <v>0.05</v>
      </c>
      <c r="GG800" s="101">
        <f t="shared" si="448"/>
        <v>1</v>
      </c>
      <c r="GH800" s="101">
        <f t="shared" si="449"/>
        <v>28</v>
      </c>
      <c r="GI800" s="101">
        <f t="shared" si="450"/>
        <v>0</v>
      </c>
      <c r="GJ800" s="101">
        <f t="shared" si="451"/>
        <v>1</v>
      </c>
      <c r="GK800" s="101">
        <f t="shared" si="452"/>
        <v>6</v>
      </c>
      <c r="GL800" s="101">
        <f t="shared" si="453"/>
        <v>2.7099999999999999E-2</v>
      </c>
      <c r="GM800" s="101">
        <f t="shared" si="454"/>
        <v>1</v>
      </c>
      <c r="GN800" s="101">
        <f t="shared" si="455"/>
        <v>13</v>
      </c>
      <c r="GO800" s="101">
        <f t="shared" si="456"/>
        <v>0.1085</v>
      </c>
      <c r="GP800" s="101">
        <f t="shared" si="457"/>
        <v>1</v>
      </c>
      <c r="GQ800" s="101">
        <f t="shared" si="458"/>
        <v>28</v>
      </c>
    </row>
    <row r="801" spans="175:199" ht="16.5" x14ac:dyDescent="0.2">
      <c r="FS801" s="101">
        <v>796</v>
      </c>
      <c r="FT801" s="101">
        <f t="shared" si="443"/>
        <v>68</v>
      </c>
      <c r="FU801" s="101">
        <f t="shared" si="436"/>
        <v>10</v>
      </c>
      <c r="FV801" s="14">
        <f t="shared" si="437"/>
        <v>4</v>
      </c>
      <c r="FW801" s="101" t="str">
        <f t="shared" si="444"/>
        <v>张飞专属武器-魂珠-8 5级</v>
      </c>
      <c r="FX801" s="101">
        <f t="shared" si="445"/>
        <v>8</v>
      </c>
      <c r="FY801" s="101">
        <f t="shared" si="446"/>
        <v>5</v>
      </c>
      <c r="FZ801" s="101" t="str">
        <f t="shared" si="438"/>
        <v>金币</v>
      </c>
      <c r="GA801" s="139">
        <f>IF($FY801&gt;0,IF(INDEX($EM$6:$EM$77,$FT801)&gt;=GA$3,ROUND(INDEX(EO$6:EO$77,$FT801)*INDEX(卡牌消耗!$B$8:$F$8,FV801)/5,0)*5,""),"")</f>
        <v>15820</v>
      </c>
      <c r="GB801" s="101" t="str">
        <f t="shared" si="439"/>
        <v>专属强化石4</v>
      </c>
      <c r="GC801" s="101">
        <f t="shared" si="440"/>
        <v>15</v>
      </c>
      <c r="GD801" s="101" t="str">
        <f t="shared" si="441"/>
        <v/>
      </c>
      <c r="GE801" s="101" t="str">
        <f t="shared" si="442"/>
        <v/>
      </c>
      <c r="GF801" s="101">
        <f t="shared" si="447"/>
        <v>0.04</v>
      </c>
      <c r="GG801" s="101">
        <f t="shared" si="448"/>
        <v>1</v>
      </c>
      <c r="GH801" s="101">
        <f t="shared" si="449"/>
        <v>35</v>
      </c>
      <c r="GI801" s="101">
        <f t="shared" si="450"/>
        <v>0</v>
      </c>
      <c r="GJ801" s="101">
        <f t="shared" si="451"/>
        <v>1</v>
      </c>
      <c r="GK801" s="101">
        <f t="shared" si="452"/>
        <v>8</v>
      </c>
      <c r="GL801" s="101">
        <f t="shared" si="453"/>
        <v>2.12E-2</v>
      </c>
      <c r="GM801" s="101">
        <f t="shared" si="454"/>
        <v>1</v>
      </c>
      <c r="GN801" s="101">
        <f t="shared" si="455"/>
        <v>17</v>
      </c>
      <c r="GO801" s="101">
        <f t="shared" si="456"/>
        <v>8.4699999999999998E-2</v>
      </c>
      <c r="GP801" s="101">
        <f t="shared" si="457"/>
        <v>1</v>
      </c>
      <c r="GQ801" s="101">
        <f t="shared" si="458"/>
        <v>35</v>
      </c>
    </row>
    <row r="802" spans="175:199" ht="16.5" x14ac:dyDescent="0.2">
      <c r="FS802" s="101">
        <v>797</v>
      </c>
      <c r="FT802" s="101">
        <f t="shared" si="443"/>
        <v>69</v>
      </c>
      <c r="FU802" s="101">
        <f t="shared" si="436"/>
        <v>10</v>
      </c>
      <c r="FV802" s="14">
        <f t="shared" si="437"/>
        <v>4</v>
      </c>
      <c r="FW802" s="101" t="str">
        <f t="shared" si="444"/>
        <v>张飞专属武器-魂珠-8 6级</v>
      </c>
      <c r="FX802" s="101">
        <f t="shared" si="445"/>
        <v>8</v>
      </c>
      <c r="FY802" s="101">
        <f t="shared" si="446"/>
        <v>6</v>
      </c>
      <c r="FZ802" s="101" t="str">
        <f t="shared" si="438"/>
        <v>金币</v>
      </c>
      <c r="GA802" s="139">
        <f>IF($FY802&gt;0,IF(INDEX($EM$6:$EM$77,$FT802)&gt;=GA$3,ROUND(INDEX(EO$6:EO$77,$FT802)*INDEX(卡牌消耗!$B$8:$F$8,FV802)/5,0)*5,""),"")</f>
        <v>18870</v>
      </c>
      <c r="GB802" s="101" t="str">
        <f t="shared" si="439"/>
        <v>专属强化石4</v>
      </c>
      <c r="GC802" s="101">
        <f t="shared" si="440"/>
        <v>18</v>
      </c>
      <c r="GD802" s="101" t="str">
        <f t="shared" si="441"/>
        <v/>
      </c>
      <c r="GE802" s="101" t="str">
        <f t="shared" si="442"/>
        <v/>
      </c>
      <c r="GF802" s="101">
        <f t="shared" si="447"/>
        <v>0.03</v>
      </c>
      <c r="GG802" s="101">
        <f t="shared" si="448"/>
        <v>1</v>
      </c>
      <c r="GH802" s="101">
        <f t="shared" si="449"/>
        <v>48</v>
      </c>
      <c r="GI802" s="101">
        <f t="shared" si="450"/>
        <v>0</v>
      </c>
      <c r="GJ802" s="101">
        <f t="shared" si="451"/>
        <v>1</v>
      </c>
      <c r="GK802" s="101">
        <f t="shared" si="452"/>
        <v>11</v>
      </c>
      <c r="GL802" s="101">
        <f t="shared" si="453"/>
        <v>1.5599999999999999E-2</v>
      </c>
      <c r="GM802" s="101">
        <f t="shared" si="454"/>
        <v>1</v>
      </c>
      <c r="GN802" s="101">
        <f t="shared" si="455"/>
        <v>22</v>
      </c>
      <c r="GO802" s="101">
        <f t="shared" si="456"/>
        <v>6.2600000000000003E-2</v>
      </c>
      <c r="GP802" s="101">
        <f t="shared" si="457"/>
        <v>1</v>
      </c>
      <c r="GQ802" s="101">
        <f t="shared" si="458"/>
        <v>48</v>
      </c>
    </row>
    <row r="803" spans="175:199" ht="16.5" x14ac:dyDescent="0.2">
      <c r="FS803" s="101">
        <v>798</v>
      </c>
      <c r="FT803" s="101">
        <f t="shared" si="443"/>
        <v>70</v>
      </c>
      <c r="FU803" s="101">
        <f t="shared" si="436"/>
        <v>10</v>
      </c>
      <c r="FV803" s="14">
        <f t="shared" si="437"/>
        <v>4</v>
      </c>
      <c r="FW803" s="101" t="str">
        <f t="shared" si="444"/>
        <v>张飞专属武器-魂珠-8 7级</v>
      </c>
      <c r="FX803" s="101">
        <f t="shared" si="445"/>
        <v>8</v>
      </c>
      <c r="FY803" s="101">
        <f t="shared" si="446"/>
        <v>7</v>
      </c>
      <c r="FZ803" s="101" t="str">
        <f t="shared" si="438"/>
        <v>金币</v>
      </c>
      <c r="GA803" s="139">
        <f>IF($FY803&gt;0,IF(INDEX($EM$6:$EM$77,$FT803)&gt;=GA$3,ROUND(INDEX(EO$6:EO$77,$FT803)*INDEX(卡牌消耗!$B$8:$F$8,FV803)/5,0)*5,""),"")</f>
        <v>26270</v>
      </c>
      <c r="GB803" s="101" t="str">
        <f t="shared" si="439"/>
        <v>专属强化石4</v>
      </c>
      <c r="GC803" s="101">
        <f t="shared" si="440"/>
        <v>25</v>
      </c>
      <c r="GD803" s="101" t="str">
        <f t="shared" si="441"/>
        <v/>
      </c>
      <c r="GE803" s="101" t="str">
        <f t="shared" si="442"/>
        <v/>
      </c>
      <c r="GF803" s="101">
        <f t="shared" si="447"/>
        <v>0.03</v>
      </c>
      <c r="GG803" s="101">
        <f t="shared" si="448"/>
        <v>1</v>
      </c>
      <c r="GH803" s="101">
        <f t="shared" si="449"/>
        <v>56</v>
      </c>
      <c r="GI803" s="101">
        <f t="shared" si="450"/>
        <v>0</v>
      </c>
      <c r="GJ803" s="101">
        <f t="shared" si="451"/>
        <v>1</v>
      </c>
      <c r="GK803" s="101">
        <f t="shared" si="452"/>
        <v>13</v>
      </c>
      <c r="GL803" s="101">
        <f t="shared" si="453"/>
        <v>1.35E-2</v>
      </c>
      <c r="GM803" s="101">
        <f t="shared" si="454"/>
        <v>1</v>
      </c>
      <c r="GN803" s="101">
        <f t="shared" si="455"/>
        <v>26</v>
      </c>
      <c r="GO803" s="101">
        <f t="shared" si="456"/>
        <v>5.3800000000000001E-2</v>
      </c>
      <c r="GP803" s="101">
        <f t="shared" si="457"/>
        <v>1</v>
      </c>
      <c r="GQ803" s="101">
        <f t="shared" si="458"/>
        <v>56</v>
      </c>
    </row>
    <row r="804" spans="175:199" ht="16.5" x14ac:dyDescent="0.2">
      <c r="FS804" s="101">
        <v>799</v>
      </c>
      <c r="FT804" s="101">
        <f t="shared" si="443"/>
        <v>71</v>
      </c>
      <c r="FU804" s="101">
        <f t="shared" si="436"/>
        <v>10</v>
      </c>
      <c r="FV804" s="14">
        <f t="shared" si="437"/>
        <v>4</v>
      </c>
      <c r="FW804" s="101" t="str">
        <f t="shared" si="444"/>
        <v>张飞专属武器-魂珠-8 8级</v>
      </c>
      <c r="FX804" s="101">
        <f t="shared" si="445"/>
        <v>8</v>
      </c>
      <c r="FY804" s="101">
        <f t="shared" si="446"/>
        <v>8</v>
      </c>
      <c r="FZ804" s="101" t="str">
        <f t="shared" si="438"/>
        <v>金币</v>
      </c>
      <c r="GA804" s="139">
        <f>IF($FY804&gt;0,IF(INDEX($EM$6:$EM$77,$FT804)&gt;=GA$3,ROUND(INDEX(EO$6:EO$77,$FT804)*INDEX(卡牌消耗!$B$8:$F$8,FV804)/5,0)*5,""),"")</f>
        <v>31495</v>
      </c>
      <c r="GB804" s="101" t="str">
        <f t="shared" si="439"/>
        <v>专属强化石4</v>
      </c>
      <c r="GC804" s="101">
        <f t="shared" si="440"/>
        <v>30</v>
      </c>
      <c r="GD804" s="101" t="str">
        <f t="shared" si="441"/>
        <v/>
      </c>
      <c r="GE804" s="101" t="str">
        <f t="shared" si="442"/>
        <v/>
      </c>
      <c r="GF804" s="101">
        <f t="shared" si="447"/>
        <v>0.02</v>
      </c>
      <c r="GG804" s="101">
        <f t="shared" si="448"/>
        <v>1</v>
      </c>
      <c r="GH804" s="101">
        <f t="shared" si="449"/>
        <v>75</v>
      </c>
      <c r="GI804" s="101">
        <f t="shared" si="450"/>
        <v>0</v>
      </c>
      <c r="GJ804" s="101">
        <f t="shared" si="451"/>
        <v>1</v>
      </c>
      <c r="GK804" s="101">
        <f t="shared" si="452"/>
        <v>18</v>
      </c>
      <c r="GL804" s="101">
        <f t="shared" si="453"/>
        <v>0.01</v>
      </c>
      <c r="GM804" s="101">
        <f t="shared" si="454"/>
        <v>1</v>
      </c>
      <c r="GN804" s="101">
        <f t="shared" si="455"/>
        <v>35</v>
      </c>
      <c r="GO804" s="101">
        <f t="shared" si="456"/>
        <v>3.9899999999999998E-2</v>
      </c>
      <c r="GP804" s="101">
        <f t="shared" si="457"/>
        <v>1</v>
      </c>
      <c r="GQ804" s="101">
        <f t="shared" si="458"/>
        <v>75</v>
      </c>
    </row>
    <row r="805" spans="175:199" ht="16.5" x14ac:dyDescent="0.2">
      <c r="FS805" s="101">
        <v>800</v>
      </c>
      <c r="FT805" s="101">
        <f t="shared" si="443"/>
        <v>72</v>
      </c>
      <c r="FU805" s="101">
        <f t="shared" si="436"/>
        <v>10</v>
      </c>
      <c r="FV805" s="14">
        <f t="shared" si="437"/>
        <v>4</v>
      </c>
      <c r="FW805" s="101" t="str">
        <f t="shared" si="444"/>
        <v>张飞专属武器-魂珠-8 9级</v>
      </c>
      <c r="FX805" s="101">
        <f t="shared" si="445"/>
        <v>8</v>
      </c>
      <c r="FY805" s="101">
        <f t="shared" si="446"/>
        <v>9</v>
      </c>
      <c r="FZ805" s="101" t="str">
        <f t="shared" si="438"/>
        <v>金币</v>
      </c>
      <c r="GA805" s="139">
        <f>IF($FY805&gt;0,IF(INDEX($EM$6:$EM$77,$FT805)&gt;=GA$3,ROUND(INDEX(EO$6:EO$77,$FT805)*INDEX(卡牌消耗!$B$8:$F$8,FV805)/5,0)*5,""),"")</f>
        <v>31510</v>
      </c>
      <c r="GB805" s="101" t="str">
        <f t="shared" si="439"/>
        <v>专属强化石4</v>
      </c>
      <c r="GC805" s="101">
        <f t="shared" si="440"/>
        <v>30</v>
      </c>
      <c r="GD805" s="101" t="str">
        <f t="shared" si="441"/>
        <v/>
      </c>
      <c r="GE805" s="101" t="str">
        <f t="shared" si="442"/>
        <v/>
      </c>
      <c r="GF805" s="101">
        <f t="shared" si="447"/>
        <v>0.01</v>
      </c>
      <c r="GG805" s="101">
        <f t="shared" si="448"/>
        <v>1</v>
      </c>
      <c r="GH805" s="101">
        <f t="shared" si="449"/>
        <v>122</v>
      </c>
      <c r="GI805" s="101">
        <f t="shared" si="450"/>
        <v>0</v>
      </c>
      <c r="GJ805" s="101">
        <f t="shared" si="451"/>
        <v>1</v>
      </c>
      <c r="GK805" s="101">
        <f t="shared" si="452"/>
        <v>28</v>
      </c>
      <c r="GL805" s="101">
        <f t="shared" si="453"/>
        <v>6.1999999999999998E-3</v>
      </c>
      <c r="GM805" s="101">
        <f t="shared" si="454"/>
        <v>1</v>
      </c>
      <c r="GN805" s="101">
        <f t="shared" si="455"/>
        <v>57</v>
      </c>
      <c r="GO805" s="101">
        <f t="shared" si="456"/>
        <v>2.47E-2</v>
      </c>
      <c r="GP805" s="101">
        <f t="shared" si="457"/>
        <v>1</v>
      </c>
      <c r="GQ805" s="101">
        <f t="shared" si="458"/>
        <v>122</v>
      </c>
    </row>
    <row r="806" spans="175:199" ht="16.5" x14ac:dyDescent="0.2">
      <c r="FS806" s="101">
        <v>801</v>
      </c>
      <c r="FT806" s="101">
        <f t="shared" si="443"/>
        <v>0</v>
      </c>
      <c r="FU806" s="101">
        <f t="shared" si="436"/>
        <v>11</v>
      </c>
      <c r="FV806" s="14">
        <f t="shared" si="437"/>
        <v>5</v>
      </c>
      <c r="FW806" s="101" t="str">
        <f t="shared" si="444"/>
        <v>夏侯惇专属武器-魂珠-1 0级</v>
      </c>
      <c r="FX806" s="101">
        <f t="shared" si="445"/>
        <v>1</v>
      </c>
      <c r="FY806" s="101">
        <f t="shared" si="446"/>
        <v>0</v>
      </c>
      <c r="FZ806" s="101" t="str">
        <f t="shared" si="438"/>
        <v/>
      </c>
      <c r="GA806" s="139" t="str">
        <f>IF($FY806&gt;0,IF(INDEX($EM$6:$EM$77,$FT806)&gt;=GA$3,ROUND(INDEX(EO$6:EO$77,$FT806)*INDEX(卡牌消耗!$B$8:$F$8,FV806)/5,0)*5,""),"")</f>
        <v/>
      </c>
      <c r="GB806" s="101" t="str">
        <f t="shared" si="439"/>
        <v/>
      </c>
      <c r="GC806" s="101" t="str">
        <f t="shared" si="440"/>
        <v/>
      </c>
      <c r="GD806" s="101" t="str">
        <f t="shared" si="441"/>
        <v/>
      </c>
      <c r="GE806" s="101" t="str">
        <f t="shared" si="442"/>
        <v/>
      </c>
      <c r="GF806" s="101" t="str">
        <f t="shared" si="447"/>
        <v/>
      </c>
      <c r="GG806" s="101" t="str">
        <f t="shared" si="448"/>
        <v/>
      </c>
      <c r="GH806" s="101" t="str">
        <f t="shared" si="449"/>
        <v/>
      </c>
      <c r="GI806" s="101" t="str">
        <f t="shared" si="450"/>
        <v/>
      </c>
      <c r="GJ806" s="101" t="str">
        <f t="shared" si="451"/>
        <v/>
      </c>
      <c r="GK806" s="101" t="str">
        <f t="shared" si="452"/>
        <v/>
      </c>
      <c r="GL806" s="101" t="str">
        <f t="shared" si="453"/>
        <v/>
      </c>
      <c r="GM806" s="101" t="str">
        <f t="shared" si="454"/>
        <v/>
      </c>
      <c r="GN806" s="101" t="str">
        <f t="shared" si="455"/>
        <v/>
      </c>
      <c r="GO806" s="101" t="str">
        <f t="shared" si="456"/>
        <v/>
      </c>
      <c r="GP806" s="101" t="str">
        <f t="shared" si="457"/>
        <v/>
      </c>
      <c r="GQ806" s="101" t="str">
        <f t="shared" si="458"/>
        <v/>
      </c>
    </row>
    <row r="807" spans="175:199" ht="16.5" x14ac:dyDescent="0.2">
      <c r="FS807" s="101">
        <v>802</v>
      </c>
      <c r="FT807" s="101">
        <f t="shared" si="443"/>
        <v>1</v>
      </c>
      <c r="FU807" s="101">
        <f t="shared" si="436"/>
        <v>11</v>
      </c>
      <c r="FV807" s="14">
        <f t="shared" si="437"/>
        <v>5</v>
      </c>
      <c r="FW807" s="101" t="str">
        <f t="shared" si="444"/>
        <v>夏侯惇专属武器-魂珠-1 1级</v>
      </c>
      <c r="FX807" s="101">
        <f t="shared" si="445"/>
        <v>1</v>
      </c>
      <c r="FY807" s="101">
        <f t="shared" si="446"/>
        <v>1</v>
      </c>
      <c r="FZ807" s="101" t="str">
        <f t="shared" si="438"/>
        <v>金币</v>
      </c>
      <c r="GA807" s="139">
        <f>IF($FY807&gt;0,IF(INDEX($EM$6:$EM$77,$FT807)&gt;=GA$3,ROUND(INDEX(EO$6:EO$77,$FT807)*INDEX(卡牌消耗!$B$8:$F$8,FV807)/5,0)*5,""),"")</f>
        <v>190</v>
      </c>
      <c r="GB807" s="101" t="str">
        <f t="shared" si="439"/>
        <v>专属强化石1</v>
      </c>
      <c r="GC807" s="101">
        <f t="shared" si="440"/>
        <v>1</v>
      </c>
      <c r="GD807" s="101" t="str">
        <f t="shared" si="441"/>
        <v/>
      </c>
      <c r="GE807" s="101" t="str">
        <f t="shared" si="442"/>
        <v/>
      </c>
      <c r="GF807" s="101">
        <f t="shared" si="447"/>
        <v>0.32</v>
      </c>
      <c r="GG807" s="101">
        <f t="shared" si="448"/>
        <v>1</v>
      </c>
      <c r="GH807" s="101">
        <f t="shared" si="449"/>
        <v>5</v>
      </c>
      <c r="GI807" s="101">
        <f t="shared" si="450"/>
        <v>0</v>
      </c>
      <c r="GJ807" s="101">
        <f t="shared" si="451"/>
        <v>1</v>
      </c>
      <c r="GK807" s="101">
        <f t="shared" si="452"/>
        <v>1</v>
      </c>
      <c r="GL807" s="101">
        <f t="shared" si="453"/>
        <v>0.1595</v>
      </c>
      <c r="GM807" s="101">
        <f t="shared" si="454"/>
        <v>1</v>
      </c>
      <c r="GN807" s="101">
        <f t="shared" si="455"/>
        <v>2</v>
      </c>
      <c r="GO807" s="101">
        <f t="shared" si="456"/>
        <v>0.63819999999999999</v>
      </c>
      <c r="GP807" s="101">
        <f t="shared" si="457"/>
        <v>1</v>
      </c>
      <c r="GQ807" s="101">
        <f t="shared" si="458"/>
        <v>5</v>
      </c>
    </row>
    <row r="808" spans="175:199" ht="16.5" x14ac:dyDescent="0.2">
      <c r="FS808" s="101">
        <v>803</v>
      </c>
      <c r="FT808" s="101">
        <f t="shared" si="443"/>
        <v>2</v>
      </c>
      <c r="FU808" s="101">
        <f t="shared" si="436"/>
        <v>11</v>
      </c>
      <c r="FV808" s="14">
        <f t="shared" si="437"/>
        <v>5</v>
      </c>
      <c r="FW808" s="101" t="str">
        <f t="shared" si="444"/>
        <v>夏侯惇专属武器-魂珠-1 2级</v>
      </c>
      <c r="FX808" s="101">
        <f t="shared" si="445"/>
        <v>1</v>
      </c>
      <c r="FY808" s="101">
        <f t="shared" si="446"/>
        <v>2</v>
      </c>
      <c r="FZ808" s="101" t="str">
        <f t="shared" si="438"/>
        <v>金币</v>
      </c>
      <c r="GA808" s="139">
        <f>IF($FY808&gt;0,IF(INDEX($EM$6:$EM$77,$FT808)&gt;=GA$3,ROUND(INDEX(EO$6:EO$77,$FT808)*INDEX(卡牌消耗!$B$8:$F$8,FV808)/5,0)*5,""),"")</f>
        <v>285</v>
      </c>
      <c r="GB808" s="101" t="str">
        <f t="shared" si="439"/>
        <v>专属强化石1</v>
      </c>
      <c r="GC808" s="101">
        <f t="shared" si="440"/>
        <v>2</v>
      </c>
      <c r="GD808" s="101" t="str">
        <f t="shared" si="441"/>
        <v/>
      </c>
      <c r="GE808" s="101" t="str">
        <f t="shared" si="442"/>
        <v/>
      </c>
      <c r="GF808" s="101">
        <f t="shared" si="447"/>
        <v>0.32</v>
      </c>
      <c r="GG808" s="101">
        <f t="shared" si="448"/>
        <v>1</v>
      </c>
      <c r="GH808" s="101">
        <f t="shared" si="449"/>
        <v>5</v>
      </c>
      <c r="GI808" s="101">
        <f t="shared" si="450"/>
        <v>0</v>
      </c>
      <c r="GJ808" s="101">
        <f t="shared" si="451"/>
        <v>1</v>
      </c>
      <c r="GK808" s="101">
        <f t="shared" si="452"/>
        <v>1</v>
      </c>
      <c r="GL808" s="101">
        <f t="shared" si="453"/>
        <v>0.1595</v>
      </c>
      <c r="GM808" s="101">
        <f t="shared" si="454"/>
        <v>1</v>
      </c>
      <c r="GN808" s="101">
        <f t="shared" si="455"/>
        <v>2</v>
      </c>
      <c r="GO808" s="101">
        <f t="shared" si="456"/>
        <v>0.63819999999999999</v>
      </c>
      <c r="GP808" s="101">
        <f t="shared" si="457"/>
        <v>1</v>
      </c>
      <c r="GQ808" s="101">
        <f t="shared" si="458"/>
        <v>5</v>
      </c>
    </row>
    <row r="809" spans="175:199" ht="16.5" x14ac:dyDescent="0.2">
      <c r="FS809" s="101">
        <v>804</v>
      </c>
      <c r="FT809" s="101">
        <f t="shared" si="443"/>
        <v>3</v>
      </c>
      <c r="FU809" s="101">
        <f t="shared" si="436"/>
        <v>11</v>
      </c>
      <c r="FV809" s="14">
        <f t="shared" si="437"/>
        <v>5</v>
      </c>
      <c r="FW809" s="101" t="str">
        <f t="shared" si="444"/>
        <v>夏侯惇专属武器-魂珠-1 3级</v>
      </c>
      <c r="FX809" s="101">
        <f t="shared" si="445"/>
        <v>1</v>
      </c>
      <c r="FY809" s="101">
        <f t="shared" si="446"/>
        <v>3</v>
      </c>
      <c r="FZ809" s="101" t="str">
        <f t="shared" si="438"/>
        <v>金币</v>
      </c>
      <c r="GA809" s="139">
        <f>IF($FY809&gt;0,IF(INDEX($EM$6:$EM$77,$FT809)&gt;=GA$3,ROUND(INDEX(EO$6:EO$77,$FT809)*INDEX(卡牌消耗!$B$8:$F$8,FV809)/5,0)*5,""),"")</f>
        <v>475</v>
      </c>
      <c r="GB809" s="101" t="str">
        <f t="shared" si="439"/>
        <v>专属强化石1</v>
      </c>
      <c r="GC809" s="101">
        <f t="shared" si="440"/>
        <v>3</v>
      </c>
      <c r="GD809" s="101" t="str">
        <f t="shared" si="441"/>
        <v/>
      </c>
      <c r="GE809" s="101" t="str">
        <f t="shared" si="442"/>
        <v/>
      </c>
      <c r="GF809" s="101">
        <f t="shared" si="447"/>
        <v>0.32</v>
      </c>
      <c r="GG809" s="101">
        <f t="shared" si="448"/>
        <v>1</v>
      </c>
      <c r="GH809" s="101">
        <f t="shared" si="449"/>
        <v>5</v>
      </c>
      <c r="GI809" s="101">
        <f t="shared" si="450"/>
        <v>0</v>
      </c>
      <c r="GJ809" s="101">
        <f t="shared" si="451"/>
        <v>1</v>
      </c>
      <c r="GK809" s="101">
        <f t="shared" si="452"/>
        <v>1</v>
      </c>
      <c r="GL809" s="101">
        <f t="shared" si="453"/>
        <v>0.1595</v>
      </c>
      <c r="GM809" s="101">
        <f t="shared" si="454"/>
        <v>1</v>
      </c>
      <c r="GN809" s="101">
        <f t="shared" si="455"/>
        <v>2</v>
      </c>
      <c r="GO809" s="101">
        <f t="shared" si="456"/>
        <v>0.63819999999999999</v>
      </c>
      <c r="GP809" s="101">
        <f t="shared" si="457"/>
        <v>1</v>
      </c>
      <c r="GQ809" s="101">
        <f t="shared" si="458"/>
        <v>5</v>
      </c>
    </row>
    <row r="810" spans="175:199" ht="16.5" x14ac:dyDescent="0.2">
      <c r="FS810" s="101">
        <v>805</v>
      </c>
      <c r="FT810" s="101">
        <f t="shared" si="443"/>
        <v>4</v>
      </c>
      <c r="FU810" s="101">
        <f t="shared" si="436"/>
        <v>11</v>
      </c>
      <c r="FV810" s="14">
        <f t="shared" si="437"/>
        <v>5</v>
      </c>
      <c r="FW810" s="101" t="str">
        <f t="shared" si="444"/>
        <v>夏侯惇专属武器-魂珠-1 4级</v>
      </c>
      <c r="FX810" s="101">
        <f t="shared" si="445"/>
        <v>1</v>
      </c>
      <c r="FY810" s="101">
        <f t="shared" si="446"/>
        <v>4</v>
      </c>
      <c r="FZ810" s="101" t="str">
        <f t="shared" si="438"/>
        <v>金币</v>
      </c>
      <c r="GA810" s="139">
        <f>IF($FY810&gt;0,IF(INDEX($EM$6:$EM$77,$FT810)&gt;=GA$3,ROUND(INDEX(EO$6:EO$77,$FT810)*INDEX(卡牌消耗!$B$8:$F$8,FV810)/5,0)*5,""),"")</f>
        <v>605</v>
      </c>
      <c r="GB810" s="101" t="str">
        <f t="shared" si="439"/>
        <v>专属强化石1</v>
      </c>
      <c r="GC810" s="101">
        <f t="shared" si="440"/>
        <v>4</v>
      </c>
      <c r="GD810" s="101" t="str">
        <f t="shared" si="441"/>
        <v/>
      </c>
      <c r="GE810" s="101" t="str">
        <f t="shared" si="442"/>
        <v/>
      </c>
      <c r="GF810" s="101">
        <f t="shared" si="447"/>
        <v>0.26</v>
      </c>
      <c r="GG810" s="101">
        <f t="shared" si="448"/>
        <v>1</v>
      </c>
      <c r="GH810" s="101">
        <f t="shared" si="449"/>
        <v>6</v>
      </c>
      <c r="GI810" s="101">
        <f t="shared" si="450"/>
        <v>0</v>
      </c>
      <c r="GJ810" s="101">
        <f t="shared" si="451"/>
        <v>1</v>
      </c>
      <c r="GK810" s="101">
        <f t="shared" si="452"/>
        <v>1</v>
      </c>
      <c r="GL810" s="101">
        <f t="shared" si="453"/>
        <v>0.12759999999999999</v>
      </c>
      <c r="GM810" s="101">
        <f t="shared" si="454"/>
        <v>1</v>
      </c>
      <c r="GN810" s="101">
        <f t="shared" si="455"/>
        <v>3</v>
      </c>
      <c r="GO810" s="101">
        <f t="shared" si="456"/>
        <v>0.51060000000000005</v>
      </c>
      <c r="GP810" s="101">
        <f t="shared" si="457"/>
        <v>1</v>
      </c>
      <c r="GQ810" s="101">
        <f t="shared" si="458"/>
        <v>6</v>
      </c>
    </row>
    <row r="811" spans="175:199" ht="16.5" x14ac:dyDescent="0.2">
      <c r="FS811" s="101">
        <v>806</v>
      </c>
      <c r="FT811" s="101">
        <f t="shared" si="443"/>
        <v>5</v>
      </c>
      <c r="FU811" s="101">
        <f t="shared" si="436"/>
        <v>11</v>
      </c>
      <c r="FV811" s="14">
        <f t="shared" si="437"/>
        <v>5</v>
      </c>
      <c r="FW811" s="101" t="str">
        <f t="shared" si="444"/>
        <v>夏侯惇专属武器-魂珠-1 5级</v>
      </c>
      <c r="FX811" s="101">
        <f t="shared" si="445"/>
        <v>1</v>
      </c>
      <c r="FY811" s="101">
        <f t="shared" si="446"/>
        <v>5</v>
      </c>
      <c r="FZ811" s="101" t="str">
        <f t="shared" si="438"/>
        <v>金币</v>
      </c>
      <c r="GA811" s="139">
        <f>IF($FY811&gt;0,IF(INDEX($EM$6:$EM$77,$FT811)&gt;=GA$3,ROUND(INDEX(EO$6:EO$77,$FT811)*INDEX(卡牌消耗!$B$8:$F$8,FV811)/5,0)*5,""),"")</f>
        <v>770</v>
      </c>
      <c r="GB811" s="101" t="str">
        <f t="shared" si="439"/>
        <v>专属强化石1</v>
      </c>
      <c r="GC811" s="101">
        <f t="shared" si="440"/>
        <v>5</v>
      </c>
      <c r="GD811" s="101" t="str">
        <f t="shared" si="441"/>
        <v/>
      </c>
      <c r="GE811" s="101" t="str">
        <f t="shared" si="442"/>
        <v/>
      </c>
      <c r="GF811" s="101">
        <f t="shared" si="447"/>
        <v>0.2</v>
      </c>
      <c r="GG811" s="101">
        <f t="shared" si="448"/>
        <v>1</v>
      </c>
      <c r="GH811" s="101">
        <f t="shared" si="449"/>
        <v>8</v>
      </c>
      <c r="GI811" s="101">
        <f t="shared" si="450"/>
        <v>0</v>
      </c>
      <c r="GJ811" s="101">
        <f t="shared" si="451"/>
        <v>1</v>
      </c>
      <c r="GK811" s="101">
        <f t="shared" si="452"/>
        <v>2</v>
      </c>
      <c r="GL811" s="101">
        <f t="shared" si="453"/>
        <v>9.9699999999999997E-2</v>
      </c>
      <c r="GM811" s="101">
        <f t="shared" si="454"/>
        <v>1</v>
      </c>
      <c r="GN811" s="101">
        <f t="shared" si="455"/>
        <v>4</v>
      </c>
      <c r="GO811" s="101">
        <f t="shared" si="456"/>
        <v>0.39889999999999998</v>
      </c>
      <c r="GP811" s="101">
        <f t="shared" si="457"/>
        <v>1</v>
      </c>
      <c r="GQ811" s="101">
        <f t="shared" si="458"/>
        <v>8</v>
      </c>
    </row>
    <row r="812" spans="175:199" ht="16.5" x14ac:dyDescent="0.2">
      <c r="FS812" s="101">
        <v>807</v>
      </c>
      <c r="FT812" s="101">
        <f t="shared" si="443"/>
        <v>6</v>
      </c>
      <c r="FU812" s="101">
        <f t="shared" si="436"/>
        <v>11</v>
      </c>
      <c r="FV812" s="14">
        <f t="shared" si="437"/>
        <v>5</v>
      </c>
      <c r="FW812" s="101" t="str">
        <f t="shared" si="444"/>
        <v>夏侯惇专属武器-魂珠-1 6级</v>
      </c>
      <c r="FX812" s="101">
        <f t="shared" si="445"/>
        <v>1</v>
      </c>
      <c r="FY812" s="101">
        <f t="shared" si="446"/>
        <v>6</v>
      </c>
      <c r="FZ812" s="101" t="str">
        <f t="shared" si="438"/>
        <v>金币</v>
      </c>
      <c r="GA812" s="139">
        <f>IF($FY812&gt;0,IF(INDEX($EM$6:$EM$77,$FT812)&gt;=GA$3,ROUND(INDEX(EO$6:EO$77,$FT812)*INDEX(卡牌消耗!$B$8:$F$8,FV812)/5,0)*5,""),"")</f>
        <v>920</v>
      </c>
      <c r="GB812" s="101" t="str">
        <f t="shared" si="439"/>
        <v>专属强化石1</v>
      </c>
      <c r="GC812" s="101">
        <f t="shared" si="440"/>
        <v>6</v>
      </c>
      <c r="GD812" s="101" t="str">
        <f t="shared" si="441"/>
        <v/>
      </c>
      <c r="GE812" s="101" t="str">
        <f t="shared" si="442"/>
        <v/>
      </c>
      <c r="GF812" s="101">
        <f t="shared" si="447"/>
        <v>0.15</v>
      </c>
      <c r="GG812" s="101">
        <f t="shared" si="448"/>
        <v>1</v>
      </c>
      <c r="GH812" s="101">
        <f t="shared" si="449"/>
        <v>10</v>
      </c>
      <c r="GI812" s="101">
        <f t="shared" si="450"/>
        <v>0</v>
      </c>
      <c r="GJ812" s="101">
        <f t="shared" si="451"/>
        <v>1</v>
      </c>
      <c r="GK812" s="101">
        <f t="shared" si="452"/>
        <v>2</v>
      </c>
      <c r="GL812" s="101">
        <f t="shared" si="453"/>
        <v>7.3599999999999999E-2</v>
      </c>
      <c r="GM812" s="101">
        <f t="shared" si="454"/>
        <v>1</v>
      </c>
      <c r="GN812" s="101">
        <f t="shared" si="455"/>
        <v>5</v>
      </c>
      <c r="GO812" s="101">
        <f t="shared" si="456"/>
        <v>0.29459999999999997</v>
      </c>
      <c r="GP812" s="101">
        <f t="shared" si="457"/>
        <v>1</v>
      </c>
      <c r="GQ812" s="101">
        <f t="shared" si="458"/>
        <v>10</v>
      </c>
    </row>
    <row r="813" spans="175:199" ht="16.5" x14ac:dyDescent="0.2">
      <c r="FS813" s="101">
        <v>808</v>
      </c>
      <c r="FT813" s="101">
        <f t="shared" si="443"/>
        <v>7</v>
      </c>
      <c r="FU813" s="101">
        <f t="shared" si="436"/>
        <v>11</v>
      </c>
      <c r="FV813" s="14">
        <f t="shared" si="437"/>
        <v>5</v>
      </c>
      <c r="FW813" s="101" t="str">
        <f t="shared" si="444"/>
        <v>夏侯惇专属武器-魂珠-1 7级</v>
      </c>
      <c r="FX813" s="101">
        <f t="shared" si="445"/>
        <v>1</v>
      </c>
      <c r="FY813" s="101">
        <f t="shared" si="446"/>
        <v>7</v>
      </c>
      <c r="FZ813" s="101" t="str">
        <f t="shared" si="438"/>
        <v>金币</v>
      </c>
      <c r="GA813" s="139">
        <f>IF($FY813&gt;0,IF(INDEX($EM$6:$EM$77,$FT813)&gt;=GA$3,ROUND(INDEX(EO$6:EO$77,$FT813)*INDEX(卡牌消耗!$B$8:$F$8,FV813)/5,0)*5,""),"")</f>
        <v>1070</v>
      </c>
      <c r="GB813" s="101" t="str">
        <f t="shared" si="439"/>
        <v>专属强化石1</v>
      </c>
      <c r="GC813" s="101">
        <f t="shared" si="440"/>
        <v>7</v>
      </c>
      <c r="GD813" s="101" t="str">
        <f t="shared" si="441"/>
        <v/>
      </c>
      <c r="GE813" s="101" t="str">
        <f t="shared" si="442"/>
        <v/>
      </c>
      <c r="GF813" s="101">
        <f t="shared" si="447"/>
        <v>0.11</v>
      </c>
      <c r="GG813" s="101">
        <f t="shared" si="448"/>
        <v>1</v>
      </c>
      <c r="GH813" s="101">
        <f t="shared" si="449"/>
        <v>14</v>
      </c>
      <c r="GI813" s="101">
        <f t="shared" si="450"/>
        <v>0</v>
      </c>
      <c r="GJ813" s="101">
        <f t="shared" si="451"/>
        <v>1</v>
      </c>
      <c r="GK813" s="101">
        <f t="shared" si="452"/>
        <v>3</v>
      </c>
      <c r="GL813" s="101">
        <f t="shared" si="453"/>
        <v>5.3199999999999997E-2</v>
      </c>
      <c r="GM813" s="101">
        <f t="shared" si="454"/>
        <v>1</v>
      </c>
      <c r="GN813" s="101">
        <f t="shared" si="455"/>
        <v>7</v>
      </c>
      <c r="GO813" s="101">
        <f t="shared" si="456"/>
        <v>0.2127</v>
      </c>
      <c r="GP813" s="101">
        <f t="shared" si="457"/>
        <v>1</v>
      </c>
      <c r="GQ813" s="101">
        <f t="shared" si="458"/>
        <v>14</v>
      </c>
    </row>
    <row r="814" spans="175:199" ht="16.5" x14ac:dyDescent="0.2">
      <c r="FS814" s="101">
        <v>809</v>
      </c>
      <c r="FT814" s="101">
        <f t="shared" si="443"/>
        <v>8</v>
      </c>
      <c r="FU814" s="101">
        <f t="shared" si="436"/>
        <v>11</v>
      </c>
      <c r="FV814" s="14">
        <f t="shared" si="437"/>
        <v>5</v>
      </c>
      <c r="FW814" s="101" t="str">
        <f t="shared" si="444"/>
        <v>夏侯惇专属武器-魂珠-1 8级</v>
      </c>
      <c r="FX814" s="101">
        <f t="shared" si="445"/>
        <v>1</v>
      </c>
      <c r="FY814" s="101">
        <f t="shared" si="446"/>
        <v>8</v>
      </c>
      <c r="FZ814" s="101" t="str">
        <f t="shared" si="438"/>
        <v>金币</v>
      </c>
      <c r="GA814" s="139">
        <f>IF($FY814&gt;0,IF(INDEX($EM$6:$EM$77,$FT814)&gt;=GA$3,ROUND(INDEX(EO$6:EO$77,$FT814)*INDEX(卡牌消耗!$B$8:$F$8,FV814)/5,0)*5,""),"")</f>
        <v>1225</v>
      </c>
      <c r="GB814" s="101" t="str">
        <f t="shared" si="439"/>
        <v>专属强化石1</v>
      </c>
      <c r="GC814" s="101">
        <f t="shared" si="440"/>
        <v>8</v>
      </c>
      <c r="GD814" s="101" t="str">
        <f t="shared" si="441"/>
        <v/>
      </c>
      <c r="GE814" s="101" t="str">
        <f t="shared" si="442"/>
        <v/>
      </c>
      <c r="GF814" s="101">
        <f t="shared" si="447"/>
        <v>0.08</v>
      </c>
      <c r="GG814" s="101">
        <f t="shared" si="448"/>
        <v>1</v>
      </c>
      <c r="GH814" s="101">
        <f t="shared" si="449"/>
        <v>20</v>
      </c>
      <c r="GI814" s="101">
        <f t="shared" si="450"/>
        <v>0</v>
      </c>
      <c r="GJ814" s="101">
        <f t="shared" si="451"/>
        <v>1</v>
      </c>
      <c r="GK814" s="101">
        <f t="shared" si="452"/>
        <v>5</v>
      </c>
      <c r="GL814" s="101">
        <f t="shared" si="453"/>
        <v>3.7499999999999999E-2</v>
      </c>
      <c r="GM814" s="101">
        <f t="shared" si="454"/>
        <v>1</v>
      </c>
      <c r="GN814" s="101">
        <f t="shared" si="455"/>
        <v>9</v>
      </c>
      <c r="GO814" s="101">
        <f t="shared" si="456"/>
        <v>0.1502</v>
      </c>
      <c r="GP814" s="101">
        <f t="shared" si="457"/>
        <v>1</v>
      </c>
      <c r="GQ814" s="101">
        <f t="shared" si="458"/>
        <v>20</v>
      </c>
    </row>
    <row r="815" spans="175:199" ht="16.5" x14ac:dyDescent="0.2">
      <c r="FS815" s="101">
        <v>810</v>
      </c>
      <c r="FT815" s="101">
        <f t="shared" si="443"/>
        <v>9</v>
      </c>
      <c r="FU815" s="101">
        <f t="shared" si="436"/>
        <v>11</v>
      </c>
      <c r="FV815" s="14">
        <f t="shared" si="437"/>
        <v>5</v>
      </c>
      <c r="FW815" s="101" t="str">
        <f t="shared" si="444"/>
        <v>夏侯惇专属武器-魂珠-1 9级</v>
      </c>
      <c r="FX815" s="101">
        <f t="shared" si="445"/>
        <v>1</v>
      </c>
      <c r="FY815" s="101">
        <f t="shared" si="446"/>
        <v>9</v>
      </c>
      <c r="FZ815" s="101" t="str">
        <f t="shared" si="438"/>
        <v>金币</v>
      </c>
      <c r="GA815" s="139">
        <f>IF($FY815&gt;0,IF(INDEX($EM$6:$EM$77,$FT815)&gt;=GA$3,ROUND(INDEX(EO$6:EO$77,$FT815)*INDEX(卡牌消耗!$B$8:$F$8,FV815)/5,0)*5,""),"")</f>
        <v>1530</v>
      </c>
      <c r="GB815" s="101" t="str">
        <f t="shared" si="439"/>
        <v>专属强化石1</v>
      </c>
      <c r="GC815" s="101">
        <f t="shared" si="440"/>
        <v>10</v>
      </c>
      <c r="GD815" s="101" t="str">
        <f t="shared" si="441"/>
        <v/>
      </c>
      <c r="GE815" s="101" t="str">
        <f t="shared" si="442"/>
        <v/>
      </c>
      <c r="GF815" s="101">
        <f t="shared" si="447"/>
        <v>0.06</v>
      </c>
      <c r="GG815" s="101">
        <f t="shared" si="448"/>
        <v>1</v>
      </c>
      <c r="GH815" s="101">
        <f t="shared" si="449"/>
        <v>26</v>
      </c>
      <c r="GI815" s="101">
        <f t="shared" si="450"/>
        <v>0</v>
      </c>
      <c r="GJ815" s="101">
        <f t="shared" si="451"/>
        <v>1</v>
      </c>
      <c r="GK815" s="101">
        <f t="shared" si="452"/>
        <v>6</v>
      </c>
      <c r="GL815" s="101">
        <f t="shared" si="453"/>
        <v>2.9000000000000001E-2</v>
      </c>
      <c r="GM815" s="101">
        <f t="shared" si="454"/>
        <v>1</v>
      </c>
      <c r="GN815" s="101">
        <f t="shared" si="455"/>
        <v>12</v>
      </c>
      <c r="GO815" s="101">
        <f t="shared" si="456"/>
        <v>0.11600000000000001</v>
      </c>
      <c r="GP815" s="101">
        <f t="shared" si="457"/>
        <v>1</v>
      </c>
      <c r="GQ815" s="101">
        <f t="shared" si="458"/>
        <v>26</v>
      </c>
    </row>
    <row r="816" spans="175:199" ht="16.5" x14ac:dyDescent="0.2">
      <c r="FS816" s="101">
        <v>811</v>
      </c>
      <c r="FT816" s="101">
        <f t="shared" si="443"/>
        <v>0</v>
      </c>
      <c r="FU816" s="101">
        <f t="shared" si="436"/>
        <v>11</v>
      </c>
      <c r="FV816" s="14">
        <f t="shared" si="437"/>
        <v>5</v>
      </c>
      <c r="FW816" s="101" t="str">
        <f t="shared" si="444"/>
        <v>夏侯惇专属武器-魂珠-2 0级</v>
      </c>
      <c r="FX816" s="101">
        <f t="shared" si="445"/>
        <v>2</v>
      </c>
      <c r="FY816" s="101">
        <f t="shared" si="446"/>
        <v>0</v>
      </c>
      <c r="FZ816" s="101" t="str">
        <f t="shared" si="438"/>
        <v/>
      </c>
      <c r="GA816" s="139" t="str">
        <f>IF($FY816&gt;0,IF(INDEX($EM$6:$EM$77,$FT816)&gt;=GA$3,ROUND(INDEX(EO$6:EO$77,$FT816)*INDEX(卡牌消耗!$B$8:$F$8,FV816)/5,0)*5,""),"")</f>
        <v/>
      </c>
      <c r="GB816" s="101" t="str">
        <f t="shared" si="439"/>
        <v/>
      </c>
      <c r="GC816" s="101" t="str">
        <f t="shared" si="440"/>
        <v/>
      </c>
      <c r="GD816" s="101" t="str">
        <f t="shared" si="441"/>
        <v/>
      </c>
      <c r="GE816" s="101" t="str">
        <f t="shared" si="442"/>
        <v/>
      </c>
      <c r="GF816" s="101" t="str">
        <f t="shared" si="447"/>
        <v/>
      </c>
      <c r="GG816" s="101" t="str">
        <f t="shared" si="448"/>
        <v/>
      </c>
      <c r="GH816" s="101" t="str">
        <f t="shared" si="449"/>
        <v/>
      </c>
      <c r="GI816" s="101" t="str">
        <f t="shared" si="450"/>
        <v/>
      </c>
      <c r="GJ816" s="101" t="str">
        <f t="shared" si="451"/>
        <v/>
      </c>
      <c r="GK816" s="101" t="str">
        <f t="shared" si="452"/>
        <v/>
      </c>
      <c r="GL816" s="101" t="str">
        <f t="shared" si="453"/>
        <v/>
      </c>
      <c r="GM816" s="101" t="str">
        <f t="shared" si="454"/>
        <v/>
      </c>
      <c r="GN816" s="101" t="str">
        <f t="shared" si="455"/>
        <v/>
      </c>
      <c r="GO816" s="101" t="str">
        <f t="shared" si="456"/>
        <v/>
      </c>
      <c r="GP816" s="101" t="str">
        <f t="shared" si="457"/>
        <v/>
      </c>
      <c r="GQ816" s="101" t="str">
        <f t="shared" si="458"/>
        <v/>
      </c>
    </row>
    <row r="817" spans="175:199" ht="16.5" x14ac:dyDescent="0.2">
      <c r="FS817" s="101">
        <v>812</v>
      </c>
      <c r="FT817" s="101">
        <f t="shared" si="443"/>
        <v>10</v>
      </c>
      <c r="FU817" s="101">
        <f t="shared" si="436"/>
        <v>11</v>
      </c>
      <c r="FV817" s="14">
        <f t="shared" si="437"/>
        <v>5</v>
      </c>
      <c r="FW817" s="101" t="str">
        <f t="shared" si="444"/>
        <v>夏侯惇专属武器-魂珠-2 1级</v>
      </c>
      <c r="FX817" s="101">
        <f t="shared" si="445"/>
        <v>2</v>
      </c>
      <c r="FY817" s="101">
        <f t="shared" si="446"/>
        <v>1</v>
      </c>
      <c r="FZ817" s="101" t="str">
        <f t="shared" si="438"/>
        <v>金币</v>
      </c>
      <c r="GA817" s="139">
        <f>IF($FY817&gt;0,IF(INDEX($EM$6:$EM$77,$FT817)&gt;=GA$3,ROUND(INDEX(EO$6:EO$77,$FT817)*INDEX(卡牌消耗!$B$8:$F$8,FV817)/5,0)*5,""),"")</f>
        <v>525</v>
      </c>
      <c r="GB817" s="101" t="str">
        <f t="shared" si="439"/>
        <v>专属强化石1</v>
      </c>
      <c r="GC817" s="101">
        <f t="shared" si="440"/>
        <v>3</v>
      </c>
      <c r="GD817" s="101" t="str">
        <f t="shared" si="441"/>
        <v>专属强化石2</v>
      </c>
      <c r="GE817" s="101">
        <f t="shared" si="442"/>
        <v>1</v>
      </c>
      <c r="GF817" s="101">
        <f t="shared" si="447"/>
        <v>0.39</v>
      </c>
      <c r="GG817" s="101">
        <f t="shared" si="448"/>
        <v>1</v>
      </c>
      <c r="GH817" s="101">
        <f t="shared" si="449"/>
        <v>4</v>
      </c>
      <c r="GI817" s="101">
        <f t="shared" si="450"/>
        <v>0</v>
      </c>
      <c r="GJ817" s="101">
        <f t="shared" si="451"/>
        <v>1</v>
      </c>
      <c r="GK817" s="101">
        <f t="shared" si="452"/>
        <v>1</v>
      </c>
      <c r="GL817" s="101">
        <f t="shared" si="453"/>
        <v>0.19270000000000001</v>
      </c>
      <c r="GM817" s="101">
        <f t="shared" si="454"/>
        <v>1</v>
      </c>
      <c r="GN817" s="101">
        <f t="shared" si="455"/>
        <v>2</v>
      </c>
      <c r="GO817" s="101">
        <f t="shared" si="456"/>
        <v>0.77070000000000005</v>
      </c>
      <c r="GP817" s="101">
        <f t="shared" si="457"/>
        <v>1</v>
      </c>
      <c r="GQ817" s="101">
        <f t="shared" si="458"/>
        <v>4</v>
      </c>
    </row>
    <row r="818" spans="175:199" ht="16.5" x14ac:dyDescent="0.2">
      <c r="FS818" s="101">
        <v>813</v>
      </c>
      <c r="FT818" s="101">
        <f t="shared" si="443"/>
        <v>11</v>
      </c>
      <c r="FU818" s="101">
        <f t="shared" si="436"/>
        <v>11</v>
      </c>
      <c r="FV818" s="14">
        <f t="shared" si="437"/>
        <v>5</v>
      </c>
      <c r="FW818" s="101" t="str">
        <f t="shared" si="444"/>
        <v>夏侯惇专属武器-魂珠-2 2级</v>
      </c>
      <c r="FX818" s="101">
        <f t="shared" si="445"/>
        <v>2</v>
      </c>
      <c r="FY818" s="101">
        <f t="shared" si="446"/>
        <v>2</v>
      </c>
      <c r="FZ818" s="101" t="str">
        <f t="shared" si="438"/>
        <v>金币</v>
      </c>
      <c r="GA818" s="139">
        <f>IF($FY818&gt;0,IF(INDEX($EM$6:$EM$77,$FT818)&gt;=GA$3,ROUND(INDEX(EO$6:EO$77,$FT818)*INDEX(卡牌消耗!$B$8:$F$8,FV818)/5,0)*5,""),"")</f>
        <v>390</v>
      </c>
      <c r="GB818" s="101" t="str">
        <f t="shared" si="439"/>
        <v>专属强化石1</v>
      </c>
      <c r="GC818" s="101">
        <f t="shared" si="440"/>
        <v>3</v>
      </c>
      <c r="GD818" s="101" t="str">
        <f t="shared" si="441"/>
        <v>专属强化石2</v>
      </c>
      <c r="GE818" s="101">
        <f t="shared" si="442"/>
        <v>1</v>
      </c>
      <c r="GF818" s="101">
        <f t="shared" si="447"/>
        <v>0.19</v>
      </c>
      <c r="GG818" s="101">
        <f t="shared" si="448"/>
        <v>1</v>
      </c>
      <c r="GH818" s="101">
        <f t="shared" si="449"/>
        <v>8</v>
      </c>
      <c r="GI818" s="101">
        <f t="shared" si="450"/>
        <v>0</v>
      </c>
      <c r="GJ818" s="101">
        <f t="shared" si="451"/>
        <v>1</v>
      </c>
      <c r="GK818" s="101">
        <f t="shared" si="452"/>
        <v>2</v>
      </c>
      <c r="GL818" s="101">
        <f t="shared" si="453"/>
        <v>9.6299999999999997E-2</v>
      </c>
      <c r="GM818" s="101">
        <f t="shared" si="454"/>
        <v>1</v>
      </c>
      <c r="GN818" s="101">
        <f t="shared" si="455"/>
        <v>4</v>
      </c>
      <c r="GO818" s="101">
        <f t="shared" si="456"/>
        <v>0.38529999999999998</v>
      </c>
      <c r="GP818" s="101">
        <f t="shared" si="457"/>
        <v>1</v>
      </c>
      <c r="GQ818" s="101">
        <f t="shared" si="458"/>
        <v>8</v>
      </c>
    </row>
    <row r="819" spans="175:199" ht="16.5" x14ac:dyDescent="0.2">
      <c r="FS819" s="101">
        <v>814</v>
      </c>
      <c r="FT819" s="101">
        <f t="shared" si="443"/>
        <v>12</v>
      </c>
      <c r="FU819" s="101">
        <f t="shared" si="436"/>
        <v>11</v>
      </c>
      <c r="FV819" s="14">
        <f t="shared" si="437"/>
        <v>5</v>
      </c>
      <c r="FW819" s="101" t="str">
        <f t="shared" si="444"/>
        <v>夏侯惇专属武器-魂珠-2 3级</v>
      </c>
      <c r="FX819" s="101">
        <f t="shared" si="445"/>
        <v>2</v>
      </c>
      <c r="FY819" s="101">
        <f t="shared" si="446"/>
        <v>3</v>
      </c>
      <c r="FZ819" s="101" t="str">
        <f t="shared" si="438"/>
        <v>金币</v>
      </c>
      <c r="GA819" s="139">
        <f>IF($FY819&gt;0,IF(INDEX($EM$6:$EM$77,$FT819)&gt;=GA$3,ROUND(INDEX(EO$6:EO$77,$FT819)*INDEX(卡牌消耗!$B$8:$F$8,FV819)/5,0)*5,""),"")</f>
        <v>870</v>
      </c>
      <c r="GB819" s="101" t="str">
        <f t="shared" si="439"/>
        <v>专属强化石1</v>
      </c>
      <c r="GC819" s="101">
        <f t="shared" si="440"/>
        <v>6</v>
      </c>
      <c r="GD819" s="101" t="str">
        <f t="shared" si="441"/>
        <v>专属强化石2</v>
      </c>
      <c r="GE819" s="101">
        <f t="shared" si="442"/>
        <v>2</v>
      </c>
      <c r="GF819" s="101">
        <f t="shared" si="447"/>
        <v>0.26</v>
      </c>
      <c r="GG819" s="101">
        <f t="shared" si="448"/>
        <v>1</v>
      </c>
      <c r="GH819" s="101">
        <f t="shared" si="449"/>
        <v>6</v>
      </c>
      <c r="GI819" s="101">
        <f t="shared" si="450"/>
        <v>0</v>
      </c>
      <c r="GJ819" s="101">
        <f t="shared" si="451"/>
        <v>1</v>
      </c>
      <c r="GK819" s="101">
        <f t="shared" si="452"/>
        <v>1</v>
      </c>
      <c r="GL819" s="101">
        <f t="shared" si="453"/>
        <v>0.12839999999999999</v>
      </c>
      <c r="GM819" s="101">
        <f t="shared" si="454"/>
        <v>1</v>
      </c>
      <c r="GN819" s="101">
        <f t="shared" si="455"/>
        <v>3</v>
      </c>
      <c r="GO819" s="101">
        <f t="shared" si="456"/>
        <v>0.51380000000000003</v>
      </c>
      <c r="GP819" s="101">
        <f t="shared" si="457"/>
        <v>1</v>
      </c>
      <c r="GQ819" s="101">
        <f t="shared" si="458"/>
        <v>6</v>
      </c>
    </row>
    <row r="820" spans="175:199" ht="16.5" x14ac:dyDescent="0.2">
      <c r="FS820" s="101">
        <v>815</v>
      </c>
      <c r="FT820" s="101">
        <f t="shared" si="443"/>
        <v>13</v>
      </c>
      <c r="FU820" s="101">
        <f t="shared" si="436"/>
        <v>11</v>
      </c>
      <c r="FV820" s="14">
        <f t="shared" si="437"/>
        <v>5</v>
      </c>
      <c r="FW820" s="101" t="str">
        <f t="shared" si="444"/>
        <v>夏侯惇专属武器-魂珠-2 4级</v>
      </c>
      <c r="FX820" s="101">
        <f t="shared" si="445"/>
        <v>2</v>
      </c>
      <c r="FY820" s="101">
        <f t="shared" si="446"/>
        <v>4</v>
      </c>
      <c r="FZ820" s="101" t="str">
        <f t="shared" si="438"/>
        <v>金币</v>
      </c>
      <c r="GA820" s="139">
        <f>IF($FY820&gt;0,IF(INDEX($EM$6:$EM$77,$FT820)&gt;=GA$3,ROUND(INDEX(EO$6:EO$77,$FT820)*INDEX(卡牌消耗!$B$8:$F$8,FV820)/5,0)*5,""),"")</f>
        <v>835</v>
      </c>
      <c r="GB820" s="101" t="str">
        <f t="shared" si="439"/>
        <v>专属强化石1</v>
      </c>
      <c r="GC820" s="101">
        <f t="shared" si="440"/>
        <v>6</v>
      </c>
      <c r="GD820" s="101" t="str">
        <f t="shared" si="441"/>
        <v>专属强化石2</v>
      </c>
      <c r="GE820" s="101">
        <f t="shared" si="442"/>
        <v>2</v>
      </c>
      <c r="GF820" s="101">
        <f t="shared" si="447"/>
        <v>0.15</v>
      </c>
      <c r="GG820" s="101">
        <f t="shared" si="448"/>
        <v>1</v>
      </c>
      <c r="GH820" s="101">
        <f t="shared" si="449"/>
        <v>10</v>
      </c>
      <c r="GI820" s="101">
        <f t="shared" si="450"/>
        <v>0</v>
      </c>
      <c r="GJ820" s="101">
        <f t="shared" si="451"/>
        <v>1</v>
      </c>
      <c r="GK820" s="101">
        <f t="shared" si="452"/>
        <v>2</v>
      </c>
      <c r="GL820" s="101">
        <f t="shared" si="453"/>
        <v>7.7100000000000002E-2</v>
      </c>
      <c r="GM820" s="101">
        <f t="shared" si="454"/>
        <v>1</v>
      </c>
      <c r="GN820" s="101">
        <f t="shared" si="455"/>
        <v>5</v>
      </c>
      <c r="GO820" s="101">
        <f t="shared" si="456"/>
        <v>0.30830000000000002</v>
      </c>
      <c r="GP820" s="101">
        <f t="shared" si="457"/>
        <v>1</v>
      </c>
      <c r="GQ820" s="101">
        <f t="shared" si="458"/>
        <v>10</v>
      </c>
    </row>
    <row r="821" spans="175:199" ht="16.5" x14ac:dyDescent="0.2">
      <c r="FS821" s="101">
        <v>816</v>
      </c>
      <c r="FT821" s="101">
        <f t="shared" si="443"/>
        <v>14</v>
      </c>
      <c r="FU821" s="101">
        <f t="shared" si="436"/>
        <v>11</v>
      </c>
      <c r="FV821" s="14">
        <f t="shared" si="437"/>
        <v>5</v>
      </c>
      <c r="FW821" s="101" t="str">
        <f t="shared" si="444"/>
        <v>夏侯惇专属武器-魂珠-2 5级</v>
      </c>
      <c r="FX821" s="101">
        <f t="shared" si="445"/>
        <v>2</v>
      </c>
      <c r="FY821" s="101">
        <f t="shared" si="446"/>
        <v>5</v>
      </c>
      <c r="FZ821" s="101" t="str">
        <f t="shared" si="438"/>
        <v>金币</v>
      </c>
      <c r="GA821" s="139">
        <f>IF($FY821&gt;0,IF(INDEX($EM$6:$EM$77,$FT821)&gt;=GA$3,ROUND(INDEX(EO$6:EO$77,$FT821)*INDEX(卡牌消耗!$B$8:$F$8,FV821)/5,0)*5,""),"")</f>
        <v>1275</v>
      </c>
      <c r="GB821" s="101" t="str">
        <f t="shared" si="439"/>
        <v>专属强化石1</v>
      </c>
      <c r="GC821" s="101">
        <f t="shared" si="440"/>
        <v>9</v>
      </c>
      <c r="GD821" s="101" t="str">
        <f t="shared" si="441"/>
        <v>专属强化石2</v>
      </c>
      <c r="GE821" s="101">
        <f t="shared" si="442"/>
        <v>3</v>
      </c>
      <c r="GF821" s="101">
        <f t="shared" si="447"/>
        <v>0.14000000000000001</v>
      </c>
      <c r="GG821" s="101">
        <f t="shared" si="448"/>
        <v>1</v>
      </c>
      <c r="GH821" s="101">
        <f t="shared" si="449"/>
        <v>10</v>
      </c>
      <c r="GI821" s="101">
        <f t="shared" si="450"/>
        <v>0</v>
      </c>
      <c r="GJ821" s="101">
        <f t="shared" si="451"/>
        <v>1</v>
      </c>
      <c r="GK821" s="101">
        <f t="shared" si="452"/>
        <v>2</v>
      </c>
      <c r="GL821" s="101">
        <f t="shared" si="453"/>
        <v>7.22E-2</v>
      </c>
      <c r="GM821" s="101">
        <f t="shared" si="454"/>
        <v>1</v>
      </c>
      <c r="GN821" s="101">
        <f t="shared" si="455"/>
        <v>5</v>
      </c>
      <c r="GO821" s="101">
        <f t="shared" si="456"/>
        <v>0.28899999999999998</v>
      </c>
      <c r="GP821" s="101">
        <f t="shared" si="457"/>
        <v>1</v>
      </c>
      <c r="GQ821" s="101">
        <f t="shared" si="458"/>
        <v>10</v>
      </c>
    </row>
    <row r="822" spans="175:199" ht="16.5" x14ac:dyDescent="0.2">
      <c r="FS822" s="101">
        <v>817</v>
      </c>
      <c r="FT822" s="101">
        <f t="shared" si="443"/>
        <v>15</v>
      </c>
      <c r="FU822" s="101">
        <f t="shared" si="436"/>
        <v>11</v>
      </c>
      <c r="FV822" s="14">
        <f t="shared" si="437"/>
        <v>5</v>
      </c>
      <c r="FW822" s="101" t="str">
        <f t="shared" si="444"/>
        <v>夏侯惇专属武器-魂珠-2 6级</v>
      </c>
      <c r="FX822" s="101">
        <f t="shared" si="445"/>
        <v>2</v>
      </c>
      <c r="FY822" s="101">
        <f t="shared" si="446"/>
        <v>6</v>
      </c>
      <c r="FZ822" s="101" t="str">
        <f t="shared" si="438"/>
        <v>金币</v>
      </c>
      <c r="GA822" s="139">
        <f>IF($FY822&gt;0,IF(INDEX($EM$6:$EM$77,$FT822)&gt;=GA$3,ROUND(INDEX(EO$6:EO$77,$FT822)*INDEX(卡牌消耗!$B$8:$F$8,FV822)/5,0)*5,""),"")</f>
        <v>1690</v>
      </c>
      <c r="GB822" s="101" t="str">
        <f t="shared" si="439"/>
        <v>专属强化石1</v>
      </c>
      <c r="GC822" s="101">
        <f t="shared" si="440"/>
        <v>12</v>
      </c>
      <c r="GD822" s="101" t="str">
        <f t="shared" si="441"/>
        <v>专属强化石2</v>
      </c>
      <c r="GE822" s="101">
        <f t="shared" si="442"/>
        <v>4</v>
      </c>
      <c r="GF822" s="101">
        <f t="shared" si="447"/>
        <v>0.12</v>
      </c>
      <c r="GG822" s="101">
        <f t="shared" si="448"/>
        <v>1</v>
      </c>
      <c r="GH822" s="101">
        <f t="shared" si="449"/>
        <v>13</v>
      </c>
      <c r="GI822" s="101">
        <f t="shared" si="450"/>
        <v>0</v>
      </c>
      <c r="GJ822" s="101">
        <f t="shared" si="451"/>
        <v>1</v>
      </c>
      <c r="GK822" s="101">
        <f t="shared" si="452"/>
        <v>3</v>
      </c>
      <c r="GL822" s="101">
        <f t="shared" si="453"/>
        <v>5.9299999999999999E-2</v>
      </c>
      <c r="GM822" s="101">
        <f t="shared" si="454"/>
        <v>1</v>
      </c>
      <c r="GN822" s="101">
        <f t="shared" si="455"/>
        <v>6</v>
      </c>
      <c r="GO822" s="101">
        <f t="shared" si="456"/>
        <v>0.23710000000000001</v>
      </c>
      <c r="GP822" s="101">
        <f t="shared" si="457"/>
        <v>1</v>
      </c>
      <c r="GQ822" s="101">
        <f t="shared" si="458"/>
        <v>13</v>
      </c>
    </row>
    <row r="823" spans="175:199" ht="16.5" x14ac:dyDescent="0.2">
      <c r="FS823" s="101">
        <v>818</v>
      </c>
      <c r="FT823" s="101">
        <f t="shared" si="443"/>
        <v>16</v>
      </c>
      <c r="FU823" s="101">
        <f t="shared" si="436"/>
        <v>11</v>
      </c>
      <c r="FV823" s="14">
        <f t="shared" si="437"/>
        <v>5</v>
      </c>
      <c r="FW823" s="101" t="str">
        <f t="shared" si="444"/>
        <v>夏侯惇专属武器-魂珠-2 7级</v>
      </c>
      <c r="FX823" s="101">
        <f t="shared" si="445"/>
        <v>2</v>
      </c>
      <c r="FY823" s="101">
        <f t="shared" si="446"/>
        <v>7</v>
      </c>
      <c r="FZ823" s="101" t="str">
        <f t="shared" si="438"/>
        <v>金币</v>
      </c>
      <c r="GA823" s="139">
        <f>IF($FY823&gt;0,IF(INDEX($EM$6:$EM$77,$FT823)&gt;=GA$3,ROUND(INDEX(EO$6:EO$77,$FT823)*INDEX(卡牌消耗!$B$8:$F$8,FV823)/5,0)*5,""),"")</f>
        <v>2120</v>
      </c>
      <c r="GB823" s="101" t="str">
        <f t="shared" si="439"/>
        <v>专属强化石1</v>
      </c>
      <c r="GC823" s="101">
        <f t="shared" si="440"/>
        <v>15</v>
      </c>
      <c r="GD823" s="101" t="str">
        <f t="shared" si="441"/>
        <v>专属强化石2</v>
      </c>
      <c r="GE823" s="101">
        <f t="shared" si="442"/>
        <v>5</v>
      </c>
      <c r="GF823" s="101">
        <f t="shared" si="447"/>
        <v>0.09</v>
      </c>
      <c r="GG823" s="101">
        <f t="shared" si="448"/>
        <v>1</v>
      </c>
      <c r="GH823" s="101">
        <f t="shared" si="449"/>
        <v>16</v>
      </c>
      <c r="GI823" s="101">
        <f t="shared" si="450"/>
        <v>0</v>
      </c>
      <c r="GJ823" s="101">
        <f t="shared" si="451"/>
        <v>1</v>
      </c>
      <c r="GK823" s="101">
        <f t="shared" si="452"/>
        <v>4</v>
      </c>
      <c r="GL823" s="101">
        <f t="shared" si="453"/>
        <v>4.5900000000000003E-2</v>
      </c>
      <c r="GM823" s="101">
        <f t="shared" si="454"/>
        <v>1</v>
      </c>
      <c r="GN823" s="101">
        <f t="shared" si="455"/>
        <v>8</v>
      </c>
      <c r="GO823" s="101">
        <f t="shared" si="456"/>
        <v>0.1835</v>
      </c>
      <c r="GP823" s="101">
        <f t="shared" si="457"/>
        <v>1</v>
      </c>
      <c r="GQ823" s="101">
        <f t="shared" si="458"/>
        <v>16</v>
      </c>
    </row>
    <row r="824" spans="175:199" ht="16.5" x14ac:dyDescent="0.2">
      <c r="FS824" s="101">
        <v>819</v>
      </c>
      <c r="FT824" s="101">
        <f t="shared" si="443"/>
        <v>17</v>
      </c>
      <c r="FU824" s="101">
        <f t="shared" si="436"/>
        <v>11</v>
      </c>
      <c r="FV824" s="14">
        <f t="shared" si="437"/>
        <v>5</v>
      </c>
      <c r="FW824" s="101" t="str">
        <f t="shared" si="444"/>
        <v>夏侯惇专属武器-魂珠-2 8级</v>
      </c>
      <c r="FX824" s="101">
        <f t="shared" si="445"/>
        <v>2</v>
      </c>
      <c r="FY824" s="101">
        <f t="shared" si="446"/>
        <v>8</v>
      </c>
      <c r="FZ824" s="101" t="str">
        <f t="shared" si="438"/>
        <v>金币</v>
      </c>
      <c r="GA824" s="139">
        <f>IF($FY824&gt;0,IF(INDEX($EM$6:$EM$77,$FT824)&gt;=GA$3,ROUND(INDEX(EO$6:EO$77,$FT824)*INDEX(卡牌消耗!$B$8:$F$8,FV824)/5,0)*5,""),"")</f>
        <v>2540</v>
      </c>
      <c r="GB824" s="101" t="str">
        <f t="shared" si="439"/>
        <v>专属强化石1</v>
      </c>
      <c r="GC824" s="101">
        <f t="shared" si="440"/>
        <v>18</v>
      </c>
      <c r="GD824" s="101" t="str">
        <f t="shared" si="441"/>
        <v>专属强化石2</v>
      </c>
      <c r="GE824" s="101">
        <f t="shared" si="442"/>
        <v>6</v>
      </c>
      <c r="GF824" s="101">
        <f t="shared" si="447"/>
        <v>7.0000000000000007E-2</v>
      </c>
      <c r="GG824" s="101">
        <f t="shared" si="448"/>
        <v>1</v>
      </c>
      <c r="GH824" s="101">
        <f t="shared" si="449"/>
        <v>22</v>
      </c>
      <c r="GI824" s="101">
        <f t="shared" si="450"/>
        <v>0</v>
      </c>
      <c r="GJ824" s="101">
        <f t="shared" si="451"/>
        <v>1</v>
      </c>
      <c r="GK824" s="101">
        <f t="shared" si="452"/>
        <v>5</v>
      </c>
      <c r="GL824" s="101">
        <f t="shared" si="453"/>
        <v>3.4000000000000002E-2</v>
      </c>
      <c r="GM824" s="101">
        <f t="shared" si="454"/>
        <v>1</v>
      </c>
      <c r="GN824" s="101">
        <f t="shared" si="455"/>
        <v>10</v>
      </c>
      <c r="GO824" s="101">
        <f t="shared" si="456"/>
        <v>0.13600000000000001</v>
      </c>
      <c r="GP824" s="101">
        <f t="shared" si="457"/>
        <v>1</v>
      </c>
      <c r="GQ824" s="101">
        <f t="shared" si="458"/>
        <v>22</v>
      </c>
    </row>
    <row r="825" spans="175:199" ht="16.5" x14ac:dyDescent="0.2">
      <c r="FS825" s="101">
        <v>820</v>
      </c>
      <c r="FT825" s="101">
        <f t="shared" si="443"/>
        <v>18</v>
      </c>
      <c r="FU825" s="101">
        <f t="shared" si="436"/>
        <v>11</v>
      </c>
      <c r="FV825" s="14">
        <f t="shared" si="437"/>
        <v>5</v>
      </c>
      <c r="FW825" s="101" t="str">
        <f t="shared" si="444"/>
        <v>夏侯惇专属武器-魂珠-2 9级</v>
      </c>
      <c r="FX825" s="101">
        <f t="shared" si="445"/>
        <v>2</v>
      </c>
      <c r="FY825" s="101">
        <f t="shared" si="446"/>
        <v>9</v>
      </c>
      <c r="FZ825" s="101" t="str">
        <f t="shared" si="438"/>
        <v>金币</v>
      </c>
      <c r="GA825" s="139">
        <f>IF($FY825&gt;0,IF(INDEX($EM$6:$EM$77,$FT825)&gt;=GA$3,ROUND(INDEX(EO$6:EO$77,$FT825)*INDEX(卡牌消耗!$B$8:$F$8,FV825)/5,0)*5,""),"")</f>
        <v>3385</v>
      </c>
      <c r="GB825" s="101" t="str">
        <f t="shared" si="439"/>
        <v>专属强化石1</v>
      </c>
      <c r="GC825" s="101">
        <f t="shared" si="440"/>
        <v>24</v>
      </c>
      <c r="GD825" s="101" t="str">
        <f t="shared" si="441"/>
        <v>专属强化石2</v>
      </c>
      <c r="GE825" s="101">
        <f t="shared" si="442"/>
        <v>8</v>
      </c>
      <c r="GF825" s="101">
        <f t="shared" si="447"/>
        <v>0.06</v>
      </c>
      <c r="GG825" s="101">
        <f t="shared" si="448"/>
        <v>1</v>
      </c>
      <c r="GH825" s="101">
        <f t="shared" si="449"/>
        <v>27</v>
      </c>
      <c r="GI825" s="101">
        <f t="shared" si="450"/>
        <v>0</v>
      </c>
      <c r="GJ825" s="101">
        <f t="shared" si="451"/>
        <v>1</v>
      </c>
      <c r="GK825" s="101">
        <f t="shared" si="452"/>
        <v>6</v>
      </c>
      <c r="GL825" s="101">
        <f t="shared" si="453"/>
        <v>2.8000000000000001E-2</v>
      </c>
      <c r="GM825" s="101">
        <f t="shared" si="454"/>
        <v>1</v>
      </c>
      <c r="GN825" s="101">
        <f t="shared" si="455"/>
        <v>12</v>
      </c>
      <c r="GO825" s="101">
        <f t="shared" si="456"/>
        <v>0.11210000000000001</v>
      </c>
      <c r="GP825" s="101">
        <f t="shared" si="457"/>
        <v>1</v>
      </c>
      <c r="GQ825" s="101">
        <f t="shared" si="458"/>
        <v>27</v>
      </c>
    </row>
    <row r="826" spans="175:199" ht="16.5" x14ac:dyDescent="0.2">
      <c r="FS826" s="101">
        <v>821</v>
      </c>
      <c r="FT826" s="101">
        <f t="shared" si="443"/>
        <v>0</v>
      </c>
      <c r="FU826" s="101">
        <f t="shared" si="436"/>
        <v>11</v>
      </c>
      <c r="FV826" s="14">
        <f t="shared" si="437"/>
        <v>5</v>
      </c>
      <c r="FW826" s="101" t="str">
        <f t="shared" si="444"/>
        <v>夏侯惇专属武器-魂珠-3 0级</v>
      </c>
      <c r="FX826" s="101">
        <f t="shared" si="445"/>
        <v>3</v>
      </c>
      <c r="FY826" s="101">
        <f t="shared" si="446"/>
        <v>0</v>
      </c>
      <c r="FZ826" s="101" t="str">
        <f t="shared" si="438"/>
        <v/>
      </c>
      <c r="GA826" s="139" t="str">
        <f>IF($FY826&gt;0,IF(INDEX($EM$6:$EM$77,$FT826)&gt;=GA$3,ROUND(INDEX(EO$6:EO$77,$FT826)*INDEX(卡牌消耗!$B$8:$F$8,FV826)/5,0)*5,""),"")</f>
        <v/>
      </c>
      <c r="GB826" s="101" t="str">
        <f t="shared" si="439"/>
        <v/>
      </c>
      <c r="GC826" s="101" t="str">
        <f t="shared" si="440"/>
        <v/>
      </c>
      <c r="GD826" s="101" t="str">
        <f t="shared" si="441"/>
        <v/>
      </c>
      <c r="GE826" s="101" t="str">
        <f t="shared" si="442"/>
        <v/>
      </c>
      <c r="GF826" s="101" t="str">
        <f t="shared" si="447"/>
        <v/>
      </c>
      <c r="GG826" s="101" t="str">
        <f t="shared" si="448"/>
        <v/>
      </c>
      <c r="GH826" s="101" t="str">
        <f t="shared" si="449"/>
        <v/>
      </c>
      <c r="GI826" s="101" t="str">
        <f t="shared" si="450"/>
        <v/>
      </c>
      <c r="GJ826" s="101" t="str">
        <f t="shared" si="451"/>
        <v/>
      </c>
      <c r="GK826" s="101" t="str">
        <f t="shared" si="452"/>
        <v/>
      </c>
      <c r="GL826" s="101" t="str">
        <f t="shared" si="453"/>
        <v/>
      </c>
      <c r="GM826" s="101" t="str">
        <f t="shared" si="454"/>
        <v/>
      </c>
      <c r="GN826" s="101" t="str">
        <f t="shared" si="455"/>
        <v/>
      </c>
      <c r="GO826" s="101" t="str">
        <f t="shared" si="456"/>
        <v/>
      </c>
      <c r="GP826" s="101" t="str">
        <f t="shared" si="457"/>
        <v/>
      </c>
      <c r="GQ826" s="101" t="str">
        <f t="shared" si="458"/>
        <v/>
      </c>
    </row>
    <row r="827" spans="175:199" ht="16.5" x14ac:dyDescent="0.2">
      <c r="FS827" s="101">
        <v>822</v>
      </c>
      <c r="FT827" s="101">
        <f t="shared" si="443"/>
        <v>19</v>
      </c>
      <c r="FU827" s="101">
        <f t="shared" si="436"/>
        <v>11</v>
      </c>
      <c r="FV827" s="14">
        <f t="shared" si="437"/>
        <v>5</v>
      </c>
      <c r="FW827" s="101" t="str">
        <f t="shared" si="444"/>
        <v>夏侯惇专属武器-魂珠-3 1级</v>
      </c>
      <c r="FX827" s="101">
        <f t="shared" si="445"/>
        <v>3</v>
      </c>
      <c r="FY827" s="101">
        <f t="shared" si="446"/>
        <v>1</v>
      </c>
      <c r="FZ827" s="101" t="str">
        <f t="shared" si="438"/>
        <v>金币</v>
      </c>
      <c r="GA827" s="139">
        <f>IF($FY827&gt;0,IF(INDEX($EM$6:$EM$77,$FT827)&gt;=GA$3,ROUND(INDEX(EO$6:EO$77,$FT827)*INDEX(卡牌消耗!$B$8:$F$8,FV827)/5,0)*5,""),"")</f>
        <v>1090</v>
      </c>
      <c r="GB827" s="101" t="str">
        <f t="shared" si="439"/>
        <v>专属强化石1</v>
      </c>
      <c r="GC827" s="101">
        <f t="shared" si="440"/>
        <v>4</v>
      </c>
      <c r="GD827" s="101" t="str">
        <f t="shared" si="441"/>
        <v>专属强化石2</v>
      </c>
      <c r="GE827" s="101">
        <f t="shared" si="442"/>
        <v>2</v>
      </c>
      <c r="GF827" s="101">
        <f t="shared" si="447"/>
        <v>0.31</v>
      </c>
      <c r="GG827" s="101">
        <f t="shared" si="448"/>
        <v>1</v>
      </c>
      <c r="GH827" s="101">
        <f t="shared" si="449"/>
        <v>5</v>
      </c>
      <c r="GI827" s="101">
        <f t="shared" si="450"/>
        <v>0</v>
      </c>
      <c r="GJ827" s="101">
        <f t="shared" si="451"/>
        <v>1</v>
      </c>
      <c r="GK827" s="101">
        <f t="shared" si="452"/>
        <v>1</v>
      </c>
      <c r="GL827" s="101">
        <f t="shared" si="453"/>
        <v>0.15409999999999999</v>
      </c>
      <c r="GM827" s="101">
        <f t="shared" si="454"/>
        <v>1</v>
      </c>
      <c r="GN827" s="101">
        <f t="shared" si="455"/>
        <v>2</v>
      </c>
      <c r="GO827" s="101">
        <f t="shared" si="456"/>
        <v>0.61650000000000005</v>
      </c>
      <c r="GP827" s="101">
        <f t="shared" si="457"/>
        <v>1</v>
      </c>
      <c r="GQ827" s="101">
        <f t="shared" si="458"/>
        <v>5</v>
      </c>
    </row>
    <row r="828" spans="175:199" ht="16.5" x14ac:dyDescent="0.2">
      <c r="FS828" s="101">
        <v>823</v>
      </c>
      <c r="FT828" s="101">
        <f t="shared" si="443"/>
        <v>20</v>
      </c>
      <c r="FU828" s="101">
        <f t="shared" si="436"/>
        <v>11</v>
      </c>
      <c r="FV828" s="14">
        <f t="shared" si="437"/>
        <v>5</v>
      </c>
      <c r="FW828" s="101" t="str">
        <f t="shared" si="444"/>
        <v>夏侯惇专属武器-魂珠-3 2级</v>
      </c>
      <c r="FX828" s="101">
        <f t="shared" si="445"/>
        <v>3</v>
      </c>
      <c r="FY828" s="101">
        <f t="shared" si="446"/>
        <v>2</v>
      </c>
      <c r="FZ828" s="101" t="str">
        <f t="shared" si="438"/>
        <v>金币</v>
      </c>
      <c r="GA828" s="139">
        <f>IF($FY828&gt;0,IF(INDEX($EM$6:$EM$77,$FT828)&gt;=GA$3,ROUND(INDEX(EO$6:EO$77,$FT828)*INDEX(卡牌消耗!$B$8:$F$8,FV828)/5,0)*5,""),"")</f>
        <v>820</v>
      </c>
      <c r="GB828" s="101" t="str">
        <f t="shared" si="439"/>
        <v>专属强化石1</v>
      </c>
      <c r="GC828" s="101">
        <f t="shared" si="440"/>
        <v>4</v>
      </c>
      <c r="GD828" s="101" t="str">
        <f t="shared" si="441"/>
        <v>专属强化石2</v>
      </c>
      <c r="GE828" s="101">
        <f t="shared" si="442"/>
        <v>2</v>
      </c>
      <c r="GF828" s="101">
        <f t="shared" si="447"/>
        <v>0.15</v>
      </c>
      <c r="GG828" s="101">
        <f t="shared" si="448"/>
        <v>1</v>
      </c>
      <c r="GH828" s="101">
        <f t="shared" si="449"/>
        <v>10</v>
      </c>
      <c r="GI828" s="101">
        <f t="shared" si="450"/>
        <v>0</v>
      </c>
      <c r="GJ828" s="101">
        <f t="shared" si="451"/>
        <v>1</v>
      </c>
      <c r="GK828" s="101">
        <f t="shared" si="452"/>
        <v>2</v>
      </c>
      <c r="GL828" s="101">
        <f t="shared" si="453"/>
        <v>7.7100000000000002E-2</v>
      </c>
      <c r="GM828" s="101">
        <f t="shared" si="454"/>
        <v>1</v>
      </c>
      <c r="GN828" s="101">
        <f t="shared" si="455"/>
        <v>5</v>
      </c>
      <c r="GO828" s="101">
        <f t="shared" si="456"/>
        <v>0.30830000000000002</v>
      </c>
      <c r="GP828" s="101">
        <f t="shared" si="457"/>
        <v>1</v>
      </c>
      <c r="GQ828" s="101">
        <f t="shared" si="458"/>
        <v>10</v>
      </c>
    </row>
    <row r="829" spans="175:199" ht="16.5" x14ac:dyDescent="0.2">
      <c r="FS829" s="101">
        <v>824</v>
      </c>
      <c r="FT829" s="101">
        <f t="shared" si="443"/>
        <v>21</v>
      </c>
      <c r="FU829" s="101">
        <f t="shared" si="436"/>
        <v>11</v>
      </c>
      <c r="FV829" s="14">
        <f t="shared" si="437"/>
        <v>5</v>
      </c>
      <c r="FW829" s="101" t="str">
        <f t="shared" si="444"/>
        <v>夏侯惇专属武器-魂珠-3 3级</v>
      </c>
      <c r="FX829" s="101">
        <f t="shared" si="445"/>
        <v>3</v>
      </c>
      <c r="FY829" s="101">
        <f t="shared" si="446"/>
        <v>3</v>
      </c>
      <c r="FZ829" s="101" t="str">
        <f t="shared" si="438"/>
        <v>金币</v>
      </c>
      <c r="GA829" s="139">
        <f>IF($FY829&gt;0,IF(INDEX($EM$6:$EM$77,$FT829)&gt;=GA$3,ROUND(INDEX(EO$6:EO$77,$FT829)*INDEX(卡牌消耗!$B$8:$F$8,FV829)/5,0)*5,""),"")</f>
        <v>1365</v>
      </c>
      <c r="GB829" s="101" t="str">
        <f t="shared" si="439"/>
        <v>专属强化石1</v>
      </c>
      <c r="GC829" s="101">
        <f t="shared" si="440"/>
        <v>6</v>
      </c>
      <c r="GD829" s="101" t="str">
        <f t="shared" si="441"/>
        <v>专属强化石2</v>
      </c>
      <c r="GE829" s="101">
        <f t="shared" si="442"/>
        <v>3</v>
      </c>
      <c r="GF829" s="101">
        <f t="shared" si="447"/>
        <v>0.15</v>
      </c>
      <c r="GG829" s="101">
        <f t="shared" si="448"/>
        <v>1</v>
      </c>
      <c r="GH829" s="101">
        <f t="shared" si="449"/>
        <v>10</v>
      </c>
      <c r="GI829" s="101">
        <f t="shared" si="450"/>
        <v>0</v>
      </c>
      <c r="GJ829" s="101">
        <f t="shared" si="451"/>
        <v>1</v>
      </c>
      <c r="GK829" s="101">
        <f t="shared" si="452"/>
        <v>2</v>
      </c>
      <c r="GL829" s="101">
        <f t="shared" si="453"/>
        <v>7.7100000000000002E-2</v>
      </c>
      <c r="GM829" s="101">
        <f t="shared" si="454"/>
        <v>1</v>
      </c>
      <c r="GN829" s="101">
        <f t="shared" si="455"/>
        <v>5</v>
      </c>
      <c r="GO829" s="101">
        <f t="shared" si="456"/>
        <v>0.30830000000000002</v>
      </c>
      <c r="GP829" s="101">
        <f t="shared" si="457"/>
        <v>1</v>
      </c>
      <c r="GQ829" s="101">
        <f t="shared" si="458"/>
        <v>10</v>
      </c>
    </row>
    <row r="830" spans="175:199" ht="16.5" x14ac:dyDescent="0.2">
      <c r="FS830" s="101">
        <v>825</v>
      </c>
      <c r="FT830" s="101">
        <f t="shared" si="443"/>
        <v>22</v>
      </c>
      <c r="FU830" s="101">
        <f t="shared" si="436"/>
        <v>11</v>
      </c>
      <c r="FV830" s="14">
        <f t="shared" si="437"/>
        <v>5</v>
      </c>
      <c r="FW830" s="101" t="str">
        <f t="shared" si="444"/>
        <v>夏侯惇专属武器-魂珠-3 4级</v>
      </c>
      <c r="FX830" s="101">
        <f t="shared" si="445"/>
        <v>3</v>
      </c>
      <c r="FY830" s="101">
        <f t="shared" si="446"/>
        <v>4</v>
      </c>
      <c r="FZ830" s="101" t="str">
        <f t="shared" si="438"/>
        <v>金币</v>
      </c>
      <c r="GA830" s="139">
        <f>IF($FY830&gt;0,IF(INDEX($EM$6:$EM$77,$FT830)&gt;=GA$3,ROUND(INDEX(EO$6:EO$77,$FT830)*INDEX(卡牌消耗!$B$8:$F$8,FV830)/5,0)*5,""),"")</f>
        <v>1310</v>
      </c>
      <c r="GB830" s="101" t="str">
        <f t="shared" si="439"/>
        <v>专属强化石1</v>
      </c>
      <c r="GC830" s="101">
        <f t="shared" si="440"/>
        <v>6</v>
      </c>
      <c r="GD830" s="101" t="str">
        <f t="shared" si="441"/>
        <v>专属强化石2</v>
      </c>
      <c r="GE830" s="101">
        <f t="shared" si="442"/>
        <v>3</v>
      </c>
      <c r="GF830" s="101">
        <f t="shared" si="447"/>
        <v>0.09</v>
      </c>
      <c r="GG830" s="101">
        <f t="shared" si="448"/>
        <v>1</v>
      </c>
      <c r="GH830" s="101">
        <f t="shared" si="449"/>
        <v>16</v>
      </c>
      <c r="GI830" s="101">
        <f t="shared" si="450"/>
        <v>0</v>
      </c>
      <c r="GJ830" s="101">
        <f t="shared" si="451"/>
        <v>1</v>
      </c>
      <c r="GK830" s="101">
        <f t="shared" si="452"/>
        <v>4</v>
      </c>
      <c r="GL830" s="101">
        <f t="shared" si="453"/>
        <v>4.6199999999999998E-2</v>
      </c>
      <c r="GM830" s="101">
        <f t="shared" si="454"/>
        <v>1</v>
      </c>
      <c r="GN830" s="101">
        <f t="shared" si="455"/>
        <v>8</v>
      </c>
      <c r="GO830" s="101">
        <f t="shared" si="456"/>
        <v>0.185</v>
      </c>
      <c r="GP830" s="101">
        <f t="shared" si="457"/>
        <v>1</v>
      </c>
      <c r="GQ830" s="101">
        <f t="shared" si="458"/>
        <v>16</v>
      </c>
    </row>
    <row r="831" spans="175:199" ht="16.5" x14ac:dyDescent="0.2">
      <c r="FS831" s="101">
        <v>826</v>
      </c>
      <c r="FT831" s="101">
        <f t="shared" si="443"/>
        <v>23</v>
      </c>
      <c r="FU831" s="101">
        <f t="shared" si="436"/>
        <v>11</v>
      </c>
      <c r="FV831" s="14">
        <f t="shared" si="437"/>
        <v>5</v>
      </c>
      <c r="FW831" s="101" t="str">
        <f t="shared" si="444"/>
        <v>夏侯惇专属武器-魂珠-3 5级</v>
      </c>
      <c r="FX831" s="101">
        <f t="shared" si="445"/>
        <v>3</v>
      </c>
      <c r="FY831" s="101">
        <f t="shared" si="446"/>
        <v>5</v>
      </c>
      <c r="FZ831" s="101" t="str">
        <f t="shared" si="438"/>
        <v>金币</v>
      </c>
      <c r="GA831" s="139">
        <f>IF($FY831&gt;0,IF(INDEX($EM$6:$EM$77,$FT831)&gt;=GA$3,ROUND(INDEX(EO$6:EO$77,$FT831)*INDEX(卡牌消耗!$B$8:$F$8,FV831)/5,0)*5,""),"")</f>
        <v>1770</v>
      </c>
      <c r="GB831" s="101" t="str">
        <f t="shared" si="439"/>
        <v>专属强化石1</v>
      </c>
      <c r="GC831" s="101">
        <f t="shared" si="440"/>
        <v>8</v>
      </c>
      <c r="GD831" s="101" t="str">
        <f t="shared" si="441"/>
        <v>专属强化石2</v>
      </c>
      <c r="GE831" s="101">
        <f t="shared" si="442"/>
        <v>4</v>
      </c>
      <c r="GF831" s="101">
        <f t="shared" si="447"/>
        <v>0.08</v>
      </c>
      <c r="GG831" s="101">
        <f t="shared" si="448"/>
        <v>1</v>
      </c>
      <c r="GH831" s="101">
        <f t="shared" si="449"/>
        <v>19</v>
      </c>
      <c r="GI831" s="101">
        <f t="shared" si="450"/>
        <v>0</v>
      </c>
      <c r="GJ831" s="101">
        <f t="shared" si="451"/>
        <v>1</v>
      </c>
      <c r="GK831" s="101">
        <f t="shared" si="452"/>
        <v>5</v>
      </c>
      <c r="GL831" s="101">
        <f t="shared" si="453"/>
        <v>3.85E-2</v>
      </c>
      <c r="GM831" s="101">
        <f t="shared" si="454"/>
        <v>1</v>
      </c>
      <c r="GN831" s="101">
        <f t="shared" si="455"/>
        <v>9</v>
      </c>
      <c r="GO831" s="101">
        <f t="shared" si="456"/>
        <v>0.15409999999999999</v>
      </c>
      <c r="GP831" s="101">
        <f t="shared" si="457"/>
        <v>1</v>
      </c>
      <c r="GQ831" s="101">
        <f t="shared" si="458"/>
        <v>19</v>
      </c>
    </row>
    <row r="832" spans="175:199" ht="16.5" x14ac:dyDescent="0.2">
      <c r="FS832" s="101">
        <v>827</v>
      </c>
      <c r="FT832" s="101">
        <f t="shared" si="443"/>
        <v>24</v>
      </c>
      <c r="FU832" s="101">
        <f t="shared" si="436"/>
        <v>11</v>
      </c>
      <c r="FV832" s="14">
        <f t="shared" si="437"/>
        <v>5</v>
      </c>
      <c r="FW832" s="101" t="str">
        <f t="shared" si="444"/>
        <v>夏侯惇专属武器-魂珠-3 6级</v>
      </c>
      <c r="FX832" s="101">
        <f t="shared" si="445"/>
        <v>3</v>
      </c>
      <c r="FY832" s="101">
        <f t="shared" si="446"/>
        <v>6</v>
      </c>
      <c r="FZ832" s="101" t="str">
        <f t="shared" si="438"/>
        <v>金币</v>
      </c>
      <c r="GA832" s="139">
        <f>IF($FY832&gt;0,IF(INDEX($EM$6:$EM$77,$FT832)&gt;=GA$3,ROUND(INDEX(EO$6:EO$77,$FT832)*INDEX(卡牌消耗!$B$8:$F$8,FV832)/5,0)*5,""),"")</f>
        <v>2200</v>
      </c>
      <c r="GB832" s="101" t="str">
        <f t="shared" si="439"/>
        <v>专属强化石1</v>
      </c>
      <c r="GC832" s="101">
        <f t="shared" si="440"/>
        <v>10</v>
      </c>
      <c r="GD832" s="101" t="str">
        <f t="shared" si="441"/>
        <v>专属强化石2</v>
      </c>
      <c r="GE832" s="101">
        <f t="shared" si="442"/>
        <v>5</v>
      </c>
      <c r="GF832" s="101">
        <f t="shared" si="447"/>
        <v>0.06</v>
      </c>
      <c r="GG832" s="101">
        <f t="shared" si="448"/>
        <v>1</v>
      </c>
      <c r="GH832" s="101">
        <f t="shared" si="449"/>
        <v>25</v>
      </c>
      <c r="GI832" s="101">
        <f t="shared" si="450"/>
        <v>0</v>
      </c>
      <c r="GJ832" s="101">
        <f t="shared" si="451"/>
        <v>1</v>
      </c>
      <c r="GK832" s="101">
        <f t="shared" si="452"/>
        <v>6</v>
      </c>
      <c r="GL832" s="101">
        <f t="shared" si="453"/>
        <v>2.9600000000000001E-2</v>
      </c>
      <c r="GM832" s="101">
        <f t="shared" si="454"/>
        <v>1</v>
      </c>
      <c r="GN832" s="101">
        <f t="shared" si="455"/>
        <v>12</v>
      </c>
      <c r="GO832" s="101">
        <f t="shared" si="456"/>
        <v>0.1186</v>
      </c>
      <c r="GP832" s="101">
        <f t="shared" si="457"/>
        <v>1</v>
      </c>
      <c r="GQ832" s="101">
        <f t="shared" si="458"/>
        <v>25</v>
      </c>
    </row>
    <row r="833" spans="175:199" ht="16.5" x14ac:dyDescent="0.2">
      <c r="FS833" s="101">
        <v>828</v>
      </c>
      <c r="FT833" s="101">
        <f t="shared" si="443"/>
        <v>25</v>
      </c>
      <c r="FU833" s="101">
        <f t="shared" si="436"/>
        <v>11</v>
      </c>
      <c r="FV833" s="14">
        <f t="shared" si="437"/>
        <v>5</v>
      </c>
      <c r="FW833" s="101" t="str">
        <f t="shared" si="444"/>
        <v>夏侯惇专属武器-魂珠-3 7级</v>
      </c>
      <c r="FX833" s="101">
        <f t="shared" si="445"/>
        <v>3</v>
      </c>
      <c r="FY833" s="101">
        <f t="shared" si="446"/>
        <v>7</v>
      </c>
      <c r="FZ833" s="101" t="str">
        <f t="shared" si="438"/>
        <v>金币</v>
      </c>
      <c r="GA833" s="139">
        <f>IF($FY833&gt;0,IF(INDEX($EM$6:$EM$77,$FT833)&gt;=GA$3,ROUND(INDEX(EO$6:EO$77,$FT833)*INDEX(卡牌消耗!$B$8:$F$8,FV833)/5,0)*5,""),"")</f>
        <v>2650</v>
      </c>
      <c r="GB833" s="101" t="str">
        <f t="shared" si="439"/>
        <v>专属强化石1</v>
      </c>
      <c r="GC833" s="101">
        <f t="shared" si="440"/>
        <v>12</v>
      </c>
      <c r="GD833" s="101" t="str">
        <f t="shared" si="441"/>
        <v>专属强化石2</v>
      </c>
      <c r="GE833" s="101">
        <f t="shared" si="442"/>
        <v>6</v>
      </c>
      <c r="GF833" s="101">
        <f t="shared" si="447"/>
        <v>0.04</v>
      </c>
      <c r="GG833" s="101">
        <f t="shared" si="448"/>
        <v>1</v>
      </c>
      <c r="GH833" s="101">
        <f t="shared" si="449"/>
        <v>34</v>
      </c>
      <c r="GI833" s="101">
        <f t="shared" si="450"/>
        <v>0</v>
      </c>
      <c r="GJ833" s="101">
        <f t="shared" si="451"/>
        <v>1</v>
      </c>
      <c r="GK833" s="101">
        <f t="shared" si="452"/>
        <v>8</v>
      </c>
      <c r="GL833" s="101">
        <f t="shared" si="453"/>
        <v>2.1999999999999999E-2</v>
      </c>
      <c r="GM833" s="101">
        <f t="shared" si="454"/>
        <v>1</v>
      </c>
      <c r="GN833" s="101">
        <f t="shared" si="455"/>
        <v>16</v>
      </c>
      <c r="GO833" s="101">
        <f t="shared" si="456"/>
        <v>8.8099999999999998E-2</v>
      </c>
      <c r="GP833" s="101">
        <f t="shared" si="457"/>
        <v>1</v>
      </c>
      <c r="GQ833" s="101">
        <f t="shared" si="458"/>
        <v>34</v>
      </c>
    </row>
    <row r="834" spans="175:199" ht="16.5" x14ac:dyDescent="0.2">
      <c r="FS834" s="101">
        <v>829</v>
      </c>
      <c r="FT834" s="101">
        <f t="shared" si="443"/>
        <v>26</v>
      </c>
      <c r="FU834" s="101">
        <f t="shared" si="436"/>
        <v>11</v>
      </c>
      <c r="FV834" s="14">
        <f t="shared" si="437"/>
        <v>5</v>
      </c>
      <c r="FW834" s="101" t="str">
        <f t="shared" si="444"/>
        <v>夏侯惇专属武器-魂珠-3 8级</v>
      </c>
      <c r="FX834" s="101">
        <f t="shared" si="445"/>
        <v>3</v>
      </c>
      <c r="FY834" s="101">
        <f t="shared" si="446"/>
        <v>8</v>
      </c>
      <c r="FZ834" s="101" t="str">
        <f t="shared" si="438"/>
        <v>金币</v>
      </c>
      <c r="GA834" s="139">
        <f>IF($FY834&gt;0,IF(INDEX($EM$6:$EM$77,$FT834)&gt;=GA$3,ROUND(INDEX(EO$6:EO$77,$FT834)*INDEX(卡牌消耗!$B$8:$F$8,FV834)/5,0)*5,""),"")</f>
        <v>3530</v>
      </c>
      <c r="GB834" s="101" t="str">
        <f t="shared" si="439"/>
        <v>专属强化石1</v>
      </c>
      <c r="GC834" s="101">
        <f t="shared" si="440"/>
        <v>16</v>
      </c>
      <c r="GD834" s="101" t="str">
        <f t="shared" si="441"/>
        <v>专属强化石2</v>
      </c>
      <c r="GE834" s="101">
        <f t="shared" si="442"/>
        <v>8</v>
      </c>
      <c r="GF834" s="101">
        <f t="shared" si="447"/>
        <v>0.04</v>
      </c>
      <c r="GG834" s="101">
        <f t="shared" si="448"/>
        <v>1</v>
      </c>
      <c r="GH834" s="101">
        <f t="shared" si="449"/>
        <v>41</v>
      </c>
      <c r="GI834" s="101">
        <f t="shared" si="450"/>
        <v>0</v>
      </c>
      <c r="GJ834" s="101">
        <f t="shared" si="451"/>
        <v>1</v>
      </c>
      <c r="GK834" s="101">
        <f t="shared" si="452"/>
        <v>10</v>
      </c>
      <c r="GL834" s="101">
        <f t="shared" si="453"/>
        <v>1.8100000000000002E-2</v>
      </c>
      <c r="GM834" s="101">
        <f t="shared" si="454"/>
        <v>1</v>
      </c>
      <c r="GN834" s="101">
        <f t="shared" si="455"/>
        <v>19</v>
      </c>
      <c r="GO834" s="101">
        <f t="shared" si="456"/>
        <v>7.2499999999999995E-2</v>
      </c>
      <c r="GP834" s="101">
        <f t="shared" si="457"/>
        <v>1</v>
      </c>
      <c r="GQ834" s="101">
        <f t="shared" si="458"/>
        <v>41</v>
      </c>
    </row>
    <row r="835" spans="175:199" ht="16.5" x14ac:dyDescent="0.2">
      <c r="FS835" s="101">
        <v>830</v>
      </c>
      <c r="FT835" s="101">
        <f t="shared" si="443"/>
        <v>27</v>
      </c>
      <c r="FU835" s="101">
        <f t="shared" si="436"/>
        <v>11</v>
      </c>
      <c r="FV835" s="14">
        <f t="shared" si="437"/>
        <v>5</v>
      </c>
      <c r="FW835" s="101" t="str">
        <f t="shared" si="444"/>
        <v>夏侯惇专属武器-魂珠-3 9级</v>
      </c>
      <c r="FX835" s="101">
        <f t="shared" si="445"/>
        <v>3</v>
      </c>
      <c r="FY835" s="101">
        <f t="shared" si="446"/>
        <v>9</v>
      </c>
      <c r="FZ835" s="101" t="str">
        <f t="shared" si="438"/>
        <v>金币</v>
      </c>
      <c r="GA835" s="139">
        <f>IF($FY835&gt;0,IF(INDEX($EM$6:$EM$77,$FT835)&gt;=GA$3,ROUND(INDEX(EO$6:EO$77,$FT835)*INDEX(卡牌消耗!$B$8:$F$8,FV835)/5,0)*5,""),"")</f>
        <v>4415</v>
      </c>
      <c r="GB835" s="101" t="str">
        <f t="shared" si="439"/>
        <v>专属强化石1</v>
      </c>
      <c r="GC835" s="101">
        <f t="shared" si="440"/>
        <v>20</v>
      </c>
      <c r="GD835" s="101" t="str">
        <f t="shared" si="441"/>
        <v>专属强化石2</v>
      </c>
      <c r="GE835" s="101">
        <f t="shared" si="442"/>
        <v>10</v>
      </c>
      <c r="GF835" s="101">
        <f t="shared" si="447"/>
        <v>0.03</v>
      </c>
      <c r="GG835" s="101">
        <f t="shared" si="448"/>
        <v>1</v>
      </c>
      <c r="GH835" s="101">
        <f t="shared" si="449"/>
        <v>54</v>
      </c>
      <c r="GI835" s="101">
        <f t="shared" si="450"/>
        <v>0</v>
      </c>
      <c r="GJ835" s="101">
        <f t="shared" si="451"/>
        <v>1</v>
      </c>
      <c r="GK835" s="101">
        <f t="shared" si="452"/>
        <v>12</v>
      </c>
      <c r="GL835" s="101">
        <f t="shared" si="453"/>
        <v>1.4E-2</v>
      </c>
      <c r="GM835" s="101">
        <f t="shared" si="454"/>
        <v>1</v>
      </c>
      <c r="GN835" s="101">
        <f t="shared" si="455"/>
        <v>25</v>
      </c>
      <c r="GO835" s="101">
        <f t="shared" si="456"/>
        <v>5.6000000000000001E-2</v>
      </c>
      <c r="GP835" s="101">
        <f t="shared" si="457"/>
        <v>1</v>
      </c>
      <c r="GQ835" s="101">
        <f t="shared" si="458"/>
        <v>54</v>
      </c>
    </row>
    <row r="836" spans="175:199" ht="16.5" x14ac:dyDescent="0.2">
      <c r="FS836" s="101">
        <v>831</v>
      </c>
      <c r="FT836" s="101">
        <f t="shared" si="443"/>
        <v>0</v>
      </c>
      <c r="FU836" s="101">
        <f t="shared" si="436"/>
        <v>11</v>
      </c>
      <c r="FV836" s="14">
        <f t="shared" si="437"/>
        <v>5</v>
      </c>
      <c r="FW836" s="101" t="str">
        <f t="shared" si="444"/>
        <v>夏侯惇专属武器-魂珠-4 0级</v>
      </c>
      <c r="FX836" s="101">
        <f t="shared" si="445"/>
        <v>4</v>
      </c>
      <c r="FY836" s="101">
        <f t="shared" si="446"/>
        <v>0</v>
      </c>
      <c r="FZ836" s="101" t="str">
        <f t="shared" si="438"/>
        <v/>
      </c>
      <c r="GA836" s="139" t="str">
        <f>IF($FY836&gt;0,IF(INDEX($EM$6:$EM$77,$FT836)&gt;=GA$3,ROUND(INDEX(EO$6:EO$77,$FT836)*INDEX(卡牌消耗!$B$8:$F$8,FV836)/5,0)*5,""),"")</f>
        <v/>
      </c>
      <c r="GB836" s="101" t="str">
        <f t="shared" si="439"/>
        <v/>
      </c>
      <c r="GC836" s="101" t="str">
        <f t="shared" si="440"/>
        <v/>
      </c>
      <c r="GD836" s="101" t="str">
        <f t="shared" si="441"/>
        <v/>
      </c>
      <c r="GE836" s="101" t="str">
        <f t="shared" si="442"/>
        <v/>
      </c>
      <c r="GF836" s="101" t="str">
        <f t="shared" si="447"/>
        <v/>
      </c>
      <c r="GG836" s="101" t="str">
        <f t="shared" si="448"/>
        <v/>
      </c>
      <c r="GH836" s="101" t="str">
        <f t="shared" si="449"/>
        <v/>
      </c>
      <c r="GI836" s="101" t="str">
        <f t="shared" si="450"/>
        <v/>
      </c>
      <c r="GJ836" s="101" t="str">
        <f t="shared" si="451"/>
        <v/>
      </c>
      <c r="GK836" s="101" t="str">
        <f t="shared" si="452"/>
        <v/>
      </c>
      <c r="GL836" s="101" t="str">
        <f t="shared" si="453"/>
        <v/>
      </c>
      <c r="GM836" s="101" t="str">
        <f t="shared" si="454"/>
        <v/>
      </c>
      <c r="GN836" s="101" t="str">
        <f t="shared" si="455"/>
        <v/>
      </c>
      <c r="GO836" s="101" t="str">
        <f t="shared" si="456"/>
        <v/>
      </c>
      <c r="GP836" s="101" t="str">
        <f t="shared" si="457"/>
        <v/>
      </c>
      <c r="GQ836" s="101" t="str">
        <f t="shared" si="458"/>
        <v/>
      </c>
    </row>
    <row r="837" spans="175:199" ht="16.5" x14ac:dyDescent="0.2">
      <c r="FS837" s="101">
        <v>832</v>
      </c>
      <c r="FT837" s="101">
        <f t="shared" si="443"/>
        <v>28</v>
      </c>
      <c r="FU837" s="101">
        <f t="shared" si="436"/>
        <v>11</v>
      </c>
      <c r="FV837" s="14">
        <f t="shared" si="437"/>
        <v>5</v>
      </c>
      <c r="FW837" s="101" t="str">
        <f t="shared" si="444"/>
        <v>夏侯惇专属武器-魂珠-4 1级</v>
      </c>
      <c r="FX837" s="101">
        <f t="shared" si="445"/>
        <v>4</v>
      </c>
      <c r="FY837" s="101">
        <f t="shared" si="446"/>
        <v>1</v>
      </c>
      <c r="FZ837" s="101" t="str">
        <f t="shared" si="438"/>
        <v>金币</v>
      </c>
      <c r="GA837" s="139">
        <f>IF($FY837&gt;0,IF(INDEX($EM$6:$EM$77,$FT837)&gt;=GA$3,ROUND(INDEX(EO$6:EO$77,$FT837)*INDEX(卡牌消耗!$B$8:$F$8,FV837)/5,0)*5,""),"")</f>
        <v>1460</v>
      </c>
      <c r="GB837" s="101" t="str">
        <f t="shared" si="439"/>
        <v>专属强化石2</v>
      </c>
      <c r="GC837" s="101">
        <f t="shared" si="440"/>
        <v>3</v>
      </c>
      <c r="GD837" s="101" t="str">
        <f t="shared" si="441"/>
        <v>专属强化石3</v>
      </c>
      <c r="GE837" s="101">
        <f t="shared" si="442"/>
        <v>1</v>
      </c>
      <c r="GF837" s="101">
        <f t="shared" si="447"/>
        <v>0.2</v>
      </c>
      <c r="GG837" s="101">
        <f t="shared" si="448"/>
        <v>1</v>
      </c>
      <c r="GH837" s="101">
        <f t="shared" si="449"/>
        <v>7</v>
      </c>
      <c r="GI837" s="101">
        <f t="shared" si="450"/>
        <v>0</v>
      </c>
      <c r="GJ837" s="101">
        <f t="shared" si="451"/>
        <v>1</v>
      </c>
      <c r="GK837" s="101">
        <f t="shared" si="452"/>
        <v>2</v>
      </c>
      <c r="GL837" s="101">
        <f t="shared" si="453"/>
        <v>0.1012</v>
      </c>
      <c r="GM837" s="101">
        <f t="shared" si="454"/>
        <v>1</v>
      </c>
      <c r="GN837" s="101">
        <f t="shared" si="455"/>
        <v>3</v>
      </c>
      <c r="GO837" s="101">
        <f t="shared" si="456"/>
        <v>0.40479999999999999</v>
      </c>
      <c r="GP837" s="101">
        <f t="shared" si="457"/>
        <v>1</v>
      </c>
      <c r="GQ837" s="101">
        <f t="shared" si="458"/>
        <v>7</v>
      </c>
    </row>
    <row r="838" spans="175:199" ht="16.5" x14ac:dyDescent="0.2">
      <c r="FS838" s="101">
        <v>833</v>
      </c>
      <c r="FT838" s="101">
        <f t="shared" si="443"/>
        <v>29</v>
      </c>
      <c r="FU838" s="101">
        <f t="shared" si="436"/>
        <v>11</v>
      </c>
      <c r="FV838" s="14">
        <f t="shared" si="437"/>
        <v>5</v>
      </c>
      <c r="FW838" s="101" t="str">
        <f t="shared" si="444"/>
        <v>夏侯惇专属武器-魂珠-4 2级</v>
      </c>
      <c r="FX838" s="101">
        <f t="shared" si="445"/>
        <v>4</v>
      </c>
      <c r="FY838" s="101">
        <f t="shared" si="446"/>
        <v>2</v>
      </c>
      <c r="FZ838" s="101" t="str">
        <f t="shared" si="438"/>
        <v>金币</v>
      </c>
      <c r="GA838" s="139">
        <f>IF($FY838&gt;0,IF(INDEX($EM$6:$EM$77,$FT838)&gt;=GA$3,ROUND(INDEX(EO$6:EO$77,$FT838)*INDEX(卡牌消耗!$B$8:$F$8,FV838)/5,0)*5,""),"")</f>
        <v>1095</v>
      </c>
      <c r="GB838" s="101" t="str">
        <f t="shared" si="439"/>
        <v>专属强化石2</v>
      </c>
      <c r="GC838" s="101">
        <f t="shared" si="440"/>
        <v>3</v>
      </c>
      <c r="GD838" s="101" t="str">
        <f t="shared" si="441"/>
        <v>专属强化石3</v>
      </c>
      <c r="GE838" s="101">
        <f t="shared" si="442"/>
        <v>1</v>
      </c>
      <c r="GF838" s="101">
        <f t="shared" si="447"/>
        <v>0.1</v>
      </c>
      <c r="GG838" s="101">
        <f t="shared" si="448"/>
        <v>1</v>
      </c>
      <c r="GH838" s="101">
        <f t="shared" si="449"/>
        <v>15</v>
      </c>
      <c r="GI838" s="101">
        <f t="shared" si="450"/>
        <v>0</v>
      </c>
      <c r="GJ838" s="101">
        <f t="shared" si="451"/>
        <v>1</v>
      </c>
      <c r="GK838" s="101">
        <f t="shared" si="452"/>
        <v>3</v>
      </c>
      <c r="GL838" s="101">
        <f t="shared" si="453"/>
        <v>5.0599999999999999E-2</v>
      </c>
      <c r="GM838" s="101">
        <f t="shared" si="454"/>
        <v>1</v>
      </c>
      <c r="GN838" s="101">
        <f t="shared" si="455"/>
        <v>7</v>
      </c>
      <c r="GO838" s="101">
        <f t="shared" si="456"/>
        <v>0.2024</v>
      </c>
      <c r="GP838" s="101">
        <f t="shared" si="457"/>
        <v>1</v>
      </c>
      <c r="GQ838" s="101">
        <f t="shared" si="458"/>
        <v>15</v>
      </c>
    </row>
    <row r="839" spans="175:199" ht="16.5" x14ac:dyDescent="0.2">
      <c r="FS839" s="101">
        <v>834</v>
      </c>
      <c r="FT839" s="101">
        <f t="shared" si="443"/>
        <v>30</v>
      </c>
      <c r="FU839" s="101">
        <f t="shared" ref="FU839:FU902" si="459">INT((FS839-1)/80+1)</f>
        <v>11</v>
      </c>
      <c r="FV839" s="14">
        <f t="shared" ref="FV839:FV902" si="460">INDEX($FO$6:$FO$26,FU839)</f>
        <v>5</v>
      </c>
      <c r="FW839" s="101" t="str">
        <f t="shared" si="444"/>
        <v>夏侯惇专属武器-魂珠-4 3级</v>
      </c>
      <c r="FX839" s="101">
        <f t="shared" si="445"/>
        <v>4</v>
      </c>
      <c r="FY839" s="101">
        <f t="shared" si="446"/>
        <v>3</v>
      </c>
      <c r="FZ839" s="101" t="str">
        <f t="shared" ref="FZ839:FZ902" si="461">IF($FY839&gt;0,IF(INDEX($EM$6:$EM$77,$FT839)&gt;=FZ$3,INDEX(EN$6:EN$77,$FT839),""),"")</f>
        <v>金币</v>
      </c>
      <c r="GA839" s="139">
        <f>IF($FY839&gt;0,IF(INDEX($EM$6:$EM$77,$FT839)&gt;=GA$3,ROUND(INDEX(EO$6:EO$77,$FT839)*INDEX(卡牌消耗!$B$8:$F$8,FV839)/5,0)*5,""),"")</f>
        <v>1215</v>
      </c>
      <c r="GB839" s="101" t="str">
        <f t="shared" ref="GB839:GB902" si="462">IF($FY839&gt;0,IF(INDEX($EM$6:$EM$77,$FT839)&gt;=GB$3,INDEX(EP$6:EP$77,$FT839),""),"")</f>
        <v>专属强化石2</v>
      </c>
      <c r="GC839" s="101">
        <f t="shared" ref="GC839:GC902" si="463">IF($FY839&gt;0,IF(INDEX($EM$6:$EM$77,$FT839)&gt;=GC$3,INDEX(EQ$6:EQ$77,$FT839),""),"")</f>
        <v>3</v>
      </c>
      <c r="GD839" s="101" t="str">
        <f t="shared" ref="GD839:GD902" si="464">IF($FY839&gt;0,IF(INDEX($EM$6:$EM$77,$FT839)&gt;=GD$3,INDEX(ER$6:ER$77,$FT839),""),"")</f>
        <v>专属强化石3</v>
      </c>
      <c r="GE839" s="101">
        <f t="shared" ref="GE839:GE902" si="465">IF($FY839&gt;0,IF(INDEX($EM$6:$EM$77,$FT839)&gt;=GE$3,INDEX(ES$6:ES$77,$FT839),""),"")</f>
        <v>1</v>
      </c>
      <c r="GF839" s="101">
        <f t="shared" si="447"/>
        <v>7.0000000000000007E-2</v>
      </c>
      <c r="GG839" s="101">
        <f t="shared" si="448"/>
        <v>1</v>
      </c>
      <c r="GH839" s="101">
        <f t="shared" si="449"/>
        <v>22</v>
      </c>
      <c r="GI839" s="101">
        <f t="shared" si="450"/>
        <v>0</v>
      </c>
      <c r="GJ839" s="101">
        <f t="shared" si="451"/>
        <v>1</v>
      </c>
      <c r="GK839" s="101">
        <f t="shared" si="452"/>
        <v>5</v>
      </c>
      <c r="GL839" s="101">
        <f t="shared" si="453"/>
        <v>3.3700000000000001E-2</v>
      </c>
      <c r="GM839" s="101">
        <f t="shared" si="454"/>
        <v>1</v>
      </c>
      <c r="GN839" s="101">
        <f t="shared" si="455"/>
        <v>10</v>
      </c>
      <c r="GO839" s="101">
        <f t="shared" si="456"/>
        <v>0.13489999999999999</v>
      </c>
      <c r="GP839" s="101">
        <f t="shared" si="457"/>
        <v>1</v>
      </c>
      <c r="GQ839" s="101">
        <f t="shared" si="458"/>
        <v>22</v>
      </c>
    </row>
    <row r="840" spans="175:199" ht="16.5" x14ac:dyDescent="0.2">
      <c r="FS840" s="101">
        <v>835</v>
      </c>
      <c r="FT840" s="101">
        <f t="shared" si="443"/>
        <v>31</v>
      </c>
      <c r="FU840" s="101">
        <f t="shared" si="459"/>
        <v>11</v>
      </c>
      <c r="FV840" s="14">
        <f t="shared" si="460"/>
        <v>5</v>
      </c>
      <c r="FW840" s="101" t="str">
        <f t="shared" si="444"/>
        <v>夏侯惇专属武器-魂珠-4 4级</v>
      </c>
      <c r="FX840" s="101">
        <f t="shared" si="445"/>
        <v>4</v>
      </c>
      <c r="FY840" s="101">
        <f t="shared" si="446"/>
        <v>4</v>
      </c>
      <c r="FZ840" s="101" t="str">
        <f t="shared" si="461"/>
        <v>金币</v>
      </c>
      <c r="GA840" s="139">
        <f>IF($FY840&gt;0,IF(INDEX($EM$6:$EM$77,$FT840)&gt;=GA$3,ROUND(INDEX(EO$6:EO$77,$FT840)*INDEX(卡牌消耗!$B$8:$F$8,FV840)/5,0)*5,""),"")</f>
        <v>2335</v>
      </c>
      <c r="GB840" s="101" t="str">
        <f t="shared" si="462"/>
        <v>专属强化石2</v>
      </c>
      <c r="GC840" s="101">
        <f t="shared" si="463"/>
        <v>5</v>
      </c>
      <c r="GD840" s="101" t="str">
        <f t="shared" si="464"/>
        <v>专属强化石3</v>
      </c>
      <c r="GE840" s="101">
        <f t="shared" si="465"/>
        <v>2</v>
      </c>
      <c r="GF840" s="101">
        <f t="shared" si="447"/>
        <v>0.08</v>
      </c>
      <c r="GG840" s="101">
        <f t="shared" si="448"/>
        <v>1</v>
      </c>
      <c r="GH840" s="101">
        <f t="shared" si="449"/>
        <v>19</v>
      </c>
      <c r="GI840" s="101">
        <f t="shared" si="450"/>
        <v>0</v>
      </c>
      <c r="GJ840" s="101">
        <f t="shared" si="451"/>
        <v>1</v>
      </c>
      <c r="GK840" s="101">
        <f t="shared" si="452"/>
        <v>4</v>
      </c>
      <c r="GL840" s="101">
        <f t="shared" si="453"/>
        <v>4.0500000000000001E-2</v>
      </c>
      <c r="GM840" s="101">
        <f t="shared" si="454"/>
        <v>1</v>
      </c>
      <c r="GN840" s="101">
        <f t="shared" si="455"/>
        <v>9</v>
      </c>
      <c r="GO840" s="101">
        <f t="shared" si="456"/>
        <v>0.16189999999999999</v>
      </c>
      <c r="GP840" s="101">
        <f t="shared" si="457"/>
        <v>1</v>
      </c>
      <c r="GQ840" s="101">
        <f t="shared" si="458"/>
        <v>19</v>
      </c>
    </row>
    <row r="841" spans="175:199" ht="16.5" x14ac:dyDescent="0.2">
      <c r="FS841" s="101">
        <v>836</v>
      </c>
      <c r="FT841" s="101">
        <f t="shared" si="443"/>
        <v>32</v>
      </c>
      <c r="FU841" s="101">
        <f t="shared" si="459"/>
        <v>11</v>
      </c>
      <c r="FV841" s="14">
        <f t="shared" si="460"/>
        <v>5</v>
      </c>
      <c r="FW841" s="101" t="str">
        <f t="shared" si="444"/>
        <v>夏侯惇专属武器-魂珠-4 5级</v>
      </c>
      <c r="FX841" s="101">
        <f t="shared" si="445"/>
        <v>4</v>
      </c>
      <c r="FY841" s="101">
        <f t="shared" si="446"/>
        <v>5</v>
      </c>
      <c r="FZ841" s="101" t="str">
        <f t="shared" si="461"/>
        <v>金币</v>
      </c>
      <c r="GA841" s="139">
        <f>IF($FY841&gt;0,IF(INDEX($EM$6:$EM$77,$FT841)&gt;=GA$3,ROUND(INDEX(EO$6:EO$77,$FT841)*INDEX(卡牌消耗!$B$8:$F$8,FV841)/5,0)*5,""),"")</f>
        <v>2370</v>
      </c>
      <c r="GB841" s="101" t="str">
        <f t="shared" si="462"/>
        <v>专属强化石2</v>
      </c>
      <c r="GC841" s="101">
        <f t="shared" si="463"/>
        <v>5</v>
      </c>
      <c r="GD841" s="101" t="str">
        <f t="shared" si="464"/>
        <v>专属强化石3</v>
      </c>
      <c r="GE841" s="101">
        <f t="shared" si="465"/>
        <v>2</v>
      </c>
      <c r="GF841" s="101">
        <f t="shared" si="447"/>
        <v>0.05</v>
      </c>
      <c r="GG841" s="101">
        <f t="shared" si="448"/>
        <v>1</v>
      </c>
      <c r="GH841" s="101">
        <f t="shared" si="449"/>
        <v>30</v>
      </c>
      <c r="GI841" s="101">
        <f t="shared" si="450"/>
        <v>0</v>
      </c>
      <c r="GJ841" s="101">
        <f t="shared" si="451"/>
        <v>1</v>
      </c>
      <c r="GK841" s="101">
        <f t="shared" si="452"/>
        <v>7</v>
      </c>
      <c r="GL841" s="101">
        <f t="shared" si="453"/>
        <v>2.53E-2</v>
      </c>
      <c r="GM841" s="101">
        <f t="shared" si="454"/>
        <v>1</v>
      </c>
      <c r="GN841" s="101">
        <f t="shared" si="455"/>
        <v>14</v>
      </c>
      <c r="GO841" s="101">
        <f t="shared" si="456"/>
        <v>0.1012</v>
      </c>
      <c r="GP841" s="101">
        <f t="shared" si="457"/>
        <v>1</v>
      </c>
      <c r="GQ841" s="101">
        <f t="shared" si="458"/>
        <v>30</v>
      </c>
    </row>
    <row r="842" spans="175:199" ht="16.5" x14ac:dyDescent="0.2">
      <c r="FS842" s="101">
        <v>837</v>
      </c>
      <c r="FT842" s="101">
        <f t="shared" si="443"/>
        <v>33</v>
      </c>
      <c r="FU842" s="101">
        <f t="shared" si="459"/>
        <v>11</v>
      </c>
      <c r="FV842" s="14">
        <f t="shared" si="460"/>
        <v>5</v>
      </c>
      <c r="FW842" s="101" t="str">
        <f t="shared" si="444"/>
        <v>夏侯惇专属武器-魂珠-4 6级</v>
      </c>
      <c r="FX842" s="101">
        <f t="shared" si="445"/>
        <v>4</v>
      </c>
      <c r="FY842" s="101">
        <f t="shared" si="446"/>
        <v>6</v>
      </c>
      <c r="FZ842" s="101" t="str">
        <f t="shared" si="461"/>
        <v>金币</v>
      </c>
      <c r="GA842" s="139">
        <f>IF($FY842&gt;0,IF(INDEX($EM$6:$EM$77,$FT842)&gt;=GA$3,ROUND(INDEX(EO$6:EO$77,$FT842)*INDEX(卡牌消耗!$B$8:$F$8,FV842)/5,0)*5,""),"")</f>
        <v>2360</v>
      </c>
      <c r="GB842" s="101" t="str">
        <f t="shared" si="462"/>
        <v>专属强化石2</v>
      </c>
      <c r="GC842" s="101">
        <f t="shared" si="463"/>
        <v>5</v>
      </c>
      <c r="GD842" s="101" t="str">
        <f t="shared" si="464"/>
        <v>专属强化石3</v>
      </c>
      <c r="GE842" s="101">
        <f t="shared" si="465"/>
        <v>2</v>
      </c>
      <c r="GF842" s="101">
        <f t="shared" si="447"/>
        <v>0.03</v>
      </c>
      <c r="GG842" s="101">
        <f t="shared" si="448"/>
        <v>1</v>
      </c>
      <c r="GH842" s="101">
        <f t="shared" si="449"/>
        <v>48</v>
      </c>
      <c r="GI842" s="101">
        <f t="shared" si="450"/>
        <v>0</v>
      </c>
      <c r="GJ842" s="101">
        <f t="shared" si="451"/>
        <v>1</v>
      </c>
      <c r="GK842" s="101">
        <f t="shared" si="452"/>
        <v>11</v>
      </c>
      <c r="GL842" s="101">
        <f t="shared" si="453"/>
        <v>1.5599999999999999E-2</v>
      </c>
      <c r="GM842" s="101">
        <f t="shared" si="454"/>
        <v>1</v>
      </c>
      <c r="GN842" s="101">
        <f t="shared" si="455"/>
        <v>22</v>
      </c>
      <c r="GO842" s="101">
        <f t="shared" si="456"/>
        <v>6.2300000000000001E-2</v>
      </c>
      <c r="GP842" s="101">
        <f t="shared" si="457"/>
        <v>1</v>
      </c>
      <c r="GQ842" s="101">
        <f t="shared" si="458"/>
        <v>48</v>
      </c>
    </row>
    <row r="843" spans="175:199" ht="16.5" x14ac:dyDescent="0.2">
      <c r="FS843" s="101">
        <v>838</v>
      </c>
      <c r="FT843" s="101">
        <f t="shared" si="443"/>
        <v>34</v>
      </c>
      <c r="FU843" s="101">
        <f t="shared" si="459"/>
        <v>11</v>
      </c>
      <c r="FV843" s="14">
        <f t="shared" si="460"/>
        <v>5</v>
      </c>
      <c r="FW843" s="101" t="str">
        <f t="shared" si="444"/>
        <v>夏侯惇专属武器-魂珠-4 7级</v>
      </c>
      <c r="FX843" s="101">
        <f t="shared" si="445"/>
        <v>4</v>
      </c>
      <c r="FY843" s="101">
        <f t="shared" si="446"/>
        <v>7</v>
      </c>
      <c r="FZ843" s="101" t="str">
        <f t="shared" si="461"/>
        <v>金币</v>
      </c>
      <c r="GA843" s="139">
        <f>IF($FY843&gt;0,IF(INDEX($EM$6:$EM$77,$FT843)&gt;=GA$3,ROUND(INDEX(EO$6:EO$77,$FT843)*INDEX(卡牌消耗!$B$8:$F$8,FV843)/5,0)*5,""),"")</f>
        <v>3545</v>
      </c>
      <c r="GB843" s="101" t="str">
        <f t="shared" si="462"/>
        <v>专属强化石2</v>
      </c>
      <c r="GC843" s="101">
        <f t="shared" si="463"/>
        <v>8</v>
      </c>
      <c r="GD843" s="101" t="str">
        <f t="shared" si="464"/>
        <v>专属强化石3</v>
      </c>
      <c r="GE843" s="101">
        <f t="shared" si="465"/>
        <v>3</v>
      </c>
      <c r="GF843" s="101">
        <f t="shared" si="447"/>
        <v>0.03</v>
      </c>
      <c r="GG843" s="101">
        <f t="shared" si="448"/>
        <v>1</v>
      </c>
      <c r="GH843" s="101">
        <f t="shared" si="449"/>
        <v>52</v>
      </c>
      <c r="GI843" s="101">
        <f t="shared" si="450"/>
        <v>0</v>
      </c>
      <c r="GJ843" s="101">
        <f t="shared" si="451"/>
        <v>1</v>
      </c>
      <c r="GK843" s="101">
        <f t="shared" si="452"/>
        <v>12</v>
      </c>
      <c r="GL843" s="101">
        <f t="shared" si="453"/>
        <v>1.4500000000000001E-2</v>
      </c>
      <c r="GM843" s="101">
        <f t="shared" si="454"/>
        <v>1</v>
      </c>
      <c r="GN843" s="101">
        <f t="shared" si="455"/>
        <v>24</v>
      </c>
      <c r="GO843" s="101">
        <f t="shared" si="456"/>
        <v>5.7799999999999997E-2</v>
      </c>
      <c r="GP843" s="101">
        <f t="shared" si="457"/>
        <v>1</v>
      </c>
      <c r="GQ843" s="101">
        <f t="shared" si="458"/>
        <v>52</v>
      </c>
    </row>
    <row r="844" spans="175:199" ht="16.5" x14ac:dyDescent="0.2">
      <c r="FS844" s="101">
        <v>839</v>
      </c>
      <c r="FT844" s="101">
        <f t="shared" si="443"/>
        <v>35</v>
      </c>
      <c r="FU844" s="101">
        <f t="shared" si="459"/>
        <v>11</v>
      </c>
      <c r="FV844" s="14">
        <f t="shared" si="460"/>
        <v>5</v>
      </c>
      <c r="FW844" s="101" t="str">
        <f t="shared" si="444"/>
        <v>夏侯惇专属武器-魂珠-4 8级</v>
      </c>
      <c r="FX844" s="101">
        <f t="shared" si="445"/>
        <v>4</v>
      </c>
      <c r="FY844" s="101">
        <f t="shared" si="446"/>
        <v>8</v>
      </c>
      <c r="FZ844" s="101" t="str">
        <f t="shared" si="461"/>
        <v>金币</v>
      </c>
      <c r="GA844" s="139">
        <f>IF($FY844&gt;0,IF(INDEX($EM$6:$EM$77,$FT844)&gt;=GA$3,ROUND(INDEX(EO$6:EO$77,$FT844)*INDEX(卡牌消耗!$B$8:$F$8,FV844)/5,0)*5,""),"")</f>
        <v>4720</v>
      </c>
      <c r="GB844" s="101" t="str">
        <f t="shared" si="462"/>
        <v>专属强化石2</v>
      </c>
      <c r="GC844" s="101">
        <f t="shared" si="463"/>
        <v>11</v>
      </c>
      <c r="GD844" s="101" t="str">
        <f t="shared" si="464"/>
        <v>专属强化石3</v>
      </c>
      <c r="GE844" s="101">
        <f t="shared" si="465"/>
        <v>4</v>
      </c>
      <c r="GF844" s="101">
        <f t="shared" si="447"/>
        <v>0.02</v>
      </c>
      <c r="GG844" s="101">
        <f t="shared" si="448"/>
        <v>1</v>
      </c>
      <c r="GH844" s="101">
        <f t="shared" si="449"/>
        <v>63</v>
      </c>
      <c r="GI844" s="101">
        <f t="shared" si="450"/>
        <v>0</v>
      </c>
      <c r="GJ844" s="101">
        <f t="shared" si="451"/>
        <v>1</v>
      </c>
      <c r="GK844" s="101">
        <f t="shared" si="452"/>
        <v>15</v>
      </c>
      <c r="GL844" s="101">
        <f t="shared" si="453"/>
        <v>1.1900000000000001E-2</v>
      </c>
      <c r="GM844" s="101">
        <f t="shared" si="454"/>
        <v>1</v>
      </c>
      <c r="GN844" s="101">
        <f t="shared" si="455"/>
        <v>29</v>
      </c>
      <c r="GO844" s="101">
        <f t="shared" si="456"/>
        <v>4.7600000000000003E-2</v>
      </c>
      <c r="GP844" s="101">
        <f t="shared" si="457"/>
        <v>1</v>
      </c>
      <c r="GQ844" s="101">
        <f t="shared" si="458"/>
        <v>63</v>
      </c>
    </row>
    <row r="845" spans="175:199" ht="16.5" x14ac:dyDescent="0.2">
      <c r="FS845" s="101">
        <v>840</v>
      </c>
      <c r="FT845" s="101">
        <f t="shared" si="443"/>
        <v>36</v>
      </c>
      <c r="FU845" s="101">
        <f t="shared" si="459"/>
        <v>11</v>
      </c>
      <c r="FV845" s="14">
        <f t="shared" si="460"/>
        <v>5</v>
      </c>
      <c r="FW845" s="101" t="str">
        <f t="shared" si="444"/>
        <v>夏侯惇专属武器-魂珠-4 9级</v>
      </c>
      <c r="FX845" s="101">
        <f t="shared" si="445"/>
        <v>4</v>
      </c>
      <c r="FY845" s="101">
        <f t="shared" si="446"/>
        <v>9</v>
      </c>
      <c r="FZ845" s="101" t="str">
        <f t="shared" si="461"/>
        <v>金币</v>
      </c>
      <c r="GA845" s="139">
        <f>IF($FY845&gt;0,IF(INDEX($EM$6:$EM$77,$FT845)&gt;=GA$3,ROUND(INDEX(EO$6:EO$77,$FT845)*INDEX(卡牌消耗!$B$8:$F$8,FV845)/5,0)*5,""),"")</f>
        <v>7085</v>
      </c>
      <c r="GB845" s="101" t="str">
        <f t="shared" si="462"/>
        <v>专属强化石2</v>
      </c>
      <c r="GC845" s="101">
        <f t="shared" si="463"/>
        <v>16</v>
      </c>
      <c r="GD845" s="101" t="str">
        <f t="shared" si="464"/>
        <v>专属强化石3</v>
      </c>
      <c r="GE845" s="101">
        <f t="shared" si="465"/>
        <v>6</v>
      </c>
      <c r="GF845" s="101">
        <f t="shared" si="447"/>
        <v>0.02</v>
      </c>
      <c r="GG845" s="101">
        <f t="shared" si="448"/>
        <v>1</v>
      </c>
      <c r="GH845" s="101">
        <f t="shared" si="449"/>
        <v>68</v>
      </c>
      <c r="GI845" s="101">
        <f t="shared" si="450"/>
        <v>0</v>
      </c>
      <c r="GJ845" s="101">
        <f t="shared" si="451"/>
        <v>1</v>
      </c>
      <c r="GK845" s="101">
        <f t="shared" si="452"/>
        <v>16</v>
      </c>
      <c r="GL845" s="101">
        <f t="shared" si="453"/>
        <v>1.0999999999999999E-2</v>
      </c>
      <c r="GM845" s="101">
        <f t="shared" si="454"/>
        <v>1</v>
      </c>
      <c r="GN845" s="101">
        <f t="shared" si="455"/>
        <v>32</v>
      </c>
      <c r="GO845" s="101">
        <f t="shared" si="456"/>
        <v>4.4200000000000003E-2</v>
      </c>
      <c r="GP845" s="101">
        <f t="shared" si="457"/>
        <v>1</v>
      </c>
      <c r="GQ845" s="101">
        <f t="shared" si="458"/>
        <v>68</v>
      </c>
    </row>
    <row r="846" spans="175:199" ht="16.5" x14ac:dyDescent="0.2">
      <c r="FS846" s="101">
        <v>841</v>
      </c>
      <c r="FT846" s="101">
        <f t="shared" si="443"/>
        <v>0</v>
      </c>
      <c r="FU846" s="101">
        <f t="shared" si="459"/>
        <v>11</v>
      </c>
      <c r="FV846" s="14">
        <f t="shared" si="460"/>
        <v>5</v>
      </c>
      <c r="FW846" s="101" t="str">
        <f t="shared" si="444"/>
        <v>夏侯惇专属武器-魂珠-5 0级</v>
      </c>
      <c r="FX846" s="101">
        <f t="shared" si="445"/>
        <v>5</v>
      </c>
      <c r="FY846" s="101">
        <f t="shared" si="446"/>
        <v>0</v>
      </c>
      <c r="FZ846" s="101" t="str">
        <f t="shared" si="461"/>
        <v/>
      </c>
      <c r="GA846" s="139" t="str">
        <f>IF($FY846&gt;0,IF(INDEX($EM$6:$EM$77,$FT846)&gt;=GA$3,ROUND(INDEX(EO$6:EO$77,$FT846)*INDEX(卡牌消耗!$B$8:$F$8,FV846)/5,0)*5,""),"")</f>
        <v/>
      </c>
      <c r="GB846" s="101" t="str">
        <f t="shared" si="462"/>
        <v/>
      </c>
      <c r="GC846" s="101" t="str">
        <f t="shared" si="463"/>
        <v/>
      </c>
      <c r="GD846" s="101" t="str">
        <f t="shared" si="464"/>
        <v/>
      </c>
      <c r="GE846" s="101" t="str">
        <f t="shared" si="465"/>
        <v/>
      </c>
      <c r="GF846" s="101" t="str">
        <f t="shared" si="447"/>
        <v/>
      </c>
      <c r="GG846" s="101" t="str">
        <f t="shared" si="448"/>
        <v/>
      </c>
      <c r="GH846" s="101" t="str">
        <f t="shared" si="449"/>
        <v/>
      </c>
      <c r="GI846" s="101" t="str">
        <f t="shared" si="450"/>
        <v/>
      </c>
      <c r="GJ846" s="101" t="str">
        <f t="shared" si="451"/>
        <v/>
      </c>
      <c r="GK846" s="101" t="str">
        <f t="shared" si="452"/>
        <v/>
      </c>
      <c r="GL846" s="101" t="str">
        <f t="shared" si="453"/>
        <v/>
      </c>
      <c r="GM846" s="101" t="str">
        <f t="shared" si="454"/>
        <v/>
      </c>
      <c r="GN846" s="101" t="str">
        <f t="shared" si="455"/>
        <v/>
      </c>
      <c r="GO846" s="101" t="str">
        <f t="shared" si="456"/>
        <v/>
      </c>
      <c r="GP846" s="101" t="str">
        <f t="shared" si="457"/>
        <v/>
      </c>
      <c r="GQ846" s="101" t="str">
        <f t="shared" si="458"/>
        <v/>
      </c>
    </row>
    <row r="847" spans="175:199" ht="16.5" x14ac:dyDescent="0.2">
      <c r="FS847" s="101">
        <v>842</v>
      </c>
      <c r="FT847" s="101">
        <f t="shared" si="443"/>
        <v>37</v>
      </c>
      <c r="FU847" s="101">
        <f t="shared" si="459"/>
        <v>11</v>
      </c>
      <c r="FV847" s="14">
        <f t="shared" si="460"/>
        <v>5</v>
      </c>
      <c r="FW847" s="101" t="str">
        <f t="shared" si="444"/>
        <v>夏侯惇专属武器-魂珠-5 1级</v>
      </c>
      <c r="FX847" s="101">
        <f t="shared" si="445"/>
        <v>5</v>
      </c>
      <c r="FY847" s="101">
        <f t="shared" si="446"/>
        <v>1</v>
      </c>
      <c r="FZ847" s="101" t="str">
        <f t="shared" si="461"/>
        <v>金币</v>
      </c>
      <c r="GA847" s="139">
        <f>IF($FY847&gt;0,IF(INDEX($EM$6:$EM$77,$FT847)&gt;=GA$3,ROUND(INDEX(EO$6:EO$77,$FT847)*INDEX(卡牌消耗!$B$8:$F$8,FV847)/5,0)*5,""),"")</f>
        <v>2990</v>
      </c>
      <c r="GB847" s="101" t="str">
        <f t="shared" si="462"/>
        <v>专属强化石2</v>
      </c>
      <c r="GC847" s="101">
        <f t="shared" si="463"/>
        <v>3</v>
      </c>
      <c r="GD847" s="101" t="str">
        <f t="shared" si="464"/>
        <v>专属强化石3</v>
      </c>
      <c r="GE847" s="101">
        <f t="shared" si="465"/>
        <v>2</v>
      </c>
      <c r="GF847" s="101">
        <f t="shared" si="447"/>
        <v>0.2</v>
      </c>
      <c r="GG847" s="101">
        <f t="shared" si="448"/>
        <v>1</v>
      </c>
      <c r="GH847" s="101">
        <f t="shared" si="449"/>
        <v>7</v>
      </c>
      <c r="GI847" s="101">
        <f t="shared" si="450"/>
        <v>0</v>
      </c>
      <c r="GJ847" s="101">
        <f t="shared" si="451"/>
        <v>1</v>
      </c>
      <c r="GK847" s="101">
        <f t="shared" si="452"/>
        <v>2</v>
      </c>
      <c r="GL847" s="101">
        <f t="shared" si="453"/>
        <v>0.1012</v>
      </c>
      <c r="GM847" s="101">
        <f t="shared" si="454"/>
        <v>1</v>
      </c>
      <c r="GN847" s="101">
        <f t="shared" si="455"/>
        <v>3</v>
      </c>
      <c r="GO847" s="101">
        <f t="shared" si="456"/>
        <v>0.40479999999999999</v>
      </c>
      <c r="GP847" s="101">
        <f t="shared" si="457"/>
        <v>1</v>
      </c>
      <c r="GQ847" s="101">
        <f t="shared" si="458"/>
        <v>7</v>
      </c>
    </row>
    <row r="848" spans="175:199" ht="16.5" x14ac:dyDescent="0.2">
      <c r="FS848" s="101">
        <v>843</v>
      </c>
      <c r="FT848" s="101">
        <f t="shared" si="443"/>
        <v>38</v>
      </c>
      <c r="FU848" s="101">
        <f t="shared" si="459"/>
        <v>11</v>
      </c>
      <c r="FV848" s="14">
        <f t="shared" si="460"/>
        <v>5</v>
      </c>
      <c r="FW848" s="101" t="str">
        <f t="shared" si="444"/>
        <v>夏侯惇专属武器-魂珠-5 2级</v>
      </c>
      <c r="FX848" s="101">
        <f t="shared" si="445"/>
        <v>5</v>
      </c>
      <c r="FY848" s="101">
        <f t="shared" si="446"/>
        <v>2</v>
      </c>
      <c r="FZ848" s="101" t="str">
        <f t="shared" si="461"/>
        <v>金币</v>
      </c>
      <c r="GA848" s="139">
        <f>IF($FY848&gt;0,IF(INDEX($EM$6:$EM$77,$FT848)&gt;=GA$3,ROUND(INDEX(EO$6:EO$77,$FT848)*INDEX(卡牌消耗!$B$8:$F$8,FV848)/5,0)*5,""),"")</f>
        <v>2245</v>
      </c>
      <c r="GB848" s="101" t="str">
        <f t="shared" si="462"/>
        <v>专属强化石2</v>
      </c>
      <c r="GC848" s="101">
        <f t="shared" si="463"/>
        <v>3</v>
      </c>
      <c r="GD848" s="101" t="str">
        <f t="shared" si="464"/>
        <v>专属强化石3</v>
      </c>
      <c r="GE848" s="101">
        <f t="shared" si="465"/>
        <v>2</v>
      </c>
      <c r="GF848" s="101">
        <f t="shared" si="447"/>
        <v>0.1</v>
      </c>
      <c r="GG848" s="101">
        <f t="shared" si="448"/>
        <v>1</v>
      </c>
      <c r="GH848" s="101">
        <f t="shared" si="449"/>
        <v>15</v>
      </c>
      <c r="GI848" s="101">
        <f t="shared" si="450"/>
        <v>0</v>
      </c>
      <c r="GJ848" s="101">
        <f t="shared" si="451"/>
        <v>1</v>
      </c>
      <c r="GK848" s="101">
        <f t="shared" si="452"/>
        <v>3</v>
      </c>
      <c r="GL848" s="101">
        <f t="shared" si="453"/>
        <v>5.0599999999999999E-2</v>
      </c>
      <c r="GM848" s="101">
        <f t="shared" si="454"/>
        <v>1</v>
      </c>
      <c r="GN848" s="101">
        <f t="shared" si="455"/>
        <v>7</v>
      </c>
      <c r="GO848" s="101">
        <f t="shared" si="456"/>
        <v>0.2024</v>
      </c>
      <c r="GP848" s="101">
        <f t="shared" si="457"/>
        <v>1</v>
      </c>
      <c r="GQ848" s="101">
        <f t="shared" si="458"/>
        <v>15</v>
      </c>
    </row>
    <row r="849" spans="175:199" ht="16.5" x14ac:dyDescent="0.2">
      <c r="FS849" s="101">
        <v>844</v>
      </c>
      <c r="FT849" s="101">
        <f t="shared" si="443"/>
        <v>39</v>
      </c>
      <c r="FU849" s="101">
        <f t="shared" si="459"/>
        <v>11</v>
      </c>
      <c r="FV849" s="14">
        <f t="shared" si="460"/>
        <v>5</v>
      </c>
      <c r="FW849" s="101" t="str">
        <f t="shared" si="444"/>
        <v>夏侯惇专属武器-魂珠-5 3级</v>
      </c>
      <c r="FX849" s="101">
        <f t="shared" si="445"/>
        <v>5</v>
      </c>
      <c r="FY849" s="101">
        <f t="shared" si="446"/>
        <v>3</v>
      </c>
      <c r="FZ849" s="101" t="str">
        <f t="shared" si="461"/>
        <v>金币</v>
      </c>
      <c r="GA849" s="139">
        <f>IF($FY849&gt;0,IF(INDEX($EM$6:$EM$77,$FT849)&gt;=GA$3,ROUND(INDEX(EO$6:EO$77,$FT849)*INDEX(卡牌消耗!$B$8:$F$8,FV849)/5,0)*5,""),"")</f>
        <v>2490</v>
      </c>
      <c r="GB849" s="101" t="str">
        <f t="shared" si="462"/>
        <v>专属强化石2</v>
      </c>
      <c r="GC849" s="101">
        <f t="shared" si="463"/>
        <v>3</v>
      </c>
      <c r="GD849" s="101" t="str">
        <f t="shared" si="464"/>
        <v>专属强化石3</v>
      </c>
      <c r="GE849" s="101">
        <f t="shared" si="465"/>
        <v>2</v>
      </c>
      <c r="GF849" s="101">
        <f t="shared" si="447"/>
        <v>7.0000000000000007E-2</v>
      </c>
      <c r="GG849" s="101">
        <f t="shared" si="448"/>
        <v>1</v>
      </c>
      <c r="GH849" s="101">
        <f t="shared" si="449"/>
        <v>22</v>
      </c>
      <c r="GI849" s="101">
        <f t="shared" si="450"/>
        <v>0</v>
      </c>
      <c r="GJ849" s="101">
        <f t="shared" si="451"/>
        <v>1</v>
      </c>
      <c r="GK849" s="101">
        <f t="shared" si="452"/>
        <v>5</v>
      </c>
      <c r="GL849" s="101">
        <f t="shared" si="453"/>
        <v>3.3700000000000001E-2</v>
      </c>
      <c r="GM849" s="101">
        <f t="shared" si="454"/>
        <v>1</v>
      </c>
      <c r="GN849" s="101">
        <f t="shared" si="455"/>
        <v>10</v>
      </c>
      <c r="GO849" s="101">
        <f t="shared" si="456"/>
        <v>0.13489999999999999</v>
      </c>
      <c r="GP849" s="101">
        <f t="shared" si="457"/>
        <v>1</v>
      </c>
      <c r="GQ849" s="101">
        <f t="shared" si="458"/>
        <v>22</v>
      </c>
    </row>
    <row r="850" spans="175:199" ht="16.5" x14ac:dyDescent="0.2">
      <c r="FS850" s="101">
        <v>845</v>
      </c>
      <c r="FT850" s="101">
        <f t="shared" si="443"/>
        <v>40</v>
      </c>
      <c r="FU850" s="101">
        <f t="shared" si="459"/>
        <v>11</v>
      </c>
      <c r="FV850" s="14">
        <f t="shared" si="460"/>
        <v>5</v>
      </c>
      <c r="FW850" s="101" t="str">
        <f t="shared" si="444"/>
        <v>夏侯惇专属武器-魂珠-5 4级</v>
      </c>
      <c r="FX850" s="101">
        <f t="shared" si="445"/>
        <v>5</v>
      </c>
      <c r="FY850" s="101">
        <f t="shared" si="446"/>
        <v>4</v>
      </c>
      <c r="FZ850" s="101" t="str">
        <f t="shared" si="461"/>
        <v>金币</v>
      </c>
      <c r="GA850" s="139">
        <f>IF($FY850&gt;0,IF(INDEX($EM$6:$EM$77,$FT850)&gt;=GA$3,ROUND(INDEX(EO$6:EO$77,$FT850)*INDEX(卡牌消耗!$B$8:$F$8,FV850)/5,0)*5,""),"")</f>
        <v>3590</v>
      </c>
      <c r="GB850" s="101" t="str">
        <f t="shared" si="462"/>
        <v>专属强化石2</v>
      </c>
      <c r="GC850" s="101">
        <f t="shared" si="463"/>
        <v>5</v>
      </c>
      <c r="GD850" s="101" t="str">
        <f t="shared" si="464"/>
        <v>专属强化石3</v>
      </c>
      <c r="GE850" s="101">
        <f t="shared" si="465"/>
        <v>3</v>
      </c>
      <c r="GF850" s="101">
        <f t="shared" si="447"/>
        <v>0.06</v>
      </c>
      <c r="GG850" s="101">
        <f t="shared" si="448"/>
        <v>1</v>
      </c>
      <c r="GH850" s="101">
        <f t="shared" si="449"/>
        <v>25</v>
      </c>
      <c r="GI850" s="101">
        <f t="shared" si="450"/>
        <v>0</v>
      </c>
      <c r="GJ850" s="101">
        <f t="shared" si="451"/>
        <v>1</v>
      </c>
      <c r="GK850" s="101">
        <f t="shared" si="452"/>
        <v>6</v>
      </c>
      <c r="GL850" s="101">
        <f t="shared" si="453"/>
        <v>3.04E-2</v>
      </c>
      <c r="GM850" s="101">
        <f t="shared" si="454"/>
        <v>1</v>
      </c>
      <c r="GN850" s="101">
        <f t="shared" si="455"/>
        <v>12</v>
      </c>
      <c r="GO850" s="101">
        <f t="shared" si="456"/>
        <v>0.12139999999999999</v>
      </c>
      <c r="GP850" s="101">
        <f t="shared" si="457"/>
        <v>1</v>
      </c>
      <c r="GQ850" s="101">
        <f t="shared" si="458"/>
        <v>25</v>
      </c>
    </row>
    <row r="851" spans="175:199" ht="16.5" x14ac:dyDescent="0.2">
      <c r="FS851" s="101">
        <v>846</v>
      </c>
      <c r="FT851" s="101">
        <f t="shared" si="443"/>
        <v>41</v>
      </c>
      <c r="FU851" s="101">
        <f t="shared" si="459"/>
        <v>11</v>
      </c>
      <c r="FV851" s="14">
        <f t="shared" si="460"/>
        <v>5</v>
      </c>
      <c r="FW851" s="101" t="str">
        <f t="shared" si="444"/>
        <v>夏侯惇专属武器-魂珠-5 5级</v>
      </c>
      <c r="FX851" s="101">
        <f t="shared" si="445"/>
        <v>5</v>
      </c>
      <c r="FY851" s="101">
        <f t="shared" si="446"/>
        <v>5</v>
      </c>
      <c r="FZ851" s="101" t="str">
        <f t="shared" si="461"/>
        <v>金币</v>
      </c>
      <c r="GA851" s="139">
        <f>IF($FY851&gt;0,IF(INDEX($EM$6:$EM$77,$FT851)&gt;=GA$3,ROUND(INDEX(EO$6:EO$77,$FT851)*INDEX(卡牌消耗!$B$8:$F$8,FV851)/5,0)*5,""),"")</f>
        <v>3645</v>
      </c>
      <c r="GB851" s="101" t="str">
        <f t="shared" si="462"/>
        <v>专属强化石2</v>
      </c>
      <c r="GC851" s="101">
        <f t="shared" si="463"/>
        <v>5</v>
      </c>
      <c r="GD851" s="101" t="str">
        <f t="shared" si="464"/>
        <v>专属强化石3</v>
      </c>
      <c r="GE851" s="101">
        <f t="shared" si="465"/>
        <v>3</v>
      </c>
      <c r="GF851" s="101">
        <f t="shared" si="447"/>
        <v>0.04</v>
      </c>
      <c r="GG851" s="101">
        <f t="shared" si="448"/>
        <v>1</v>
      </c>
      <c r="GH851" s="101">
        <f t="shared" si="449"/>
        <v>40</v>
      </c>
      <c r="GI851" s="101">
        <f t="shared" si="450"/>
        <v>0</v>
      </c>
      <c r="GJ851" s="101">
        <f t="shared" si="451"/>
        <v>1</v>
      </c>
      <c r="GK851" s="101">
        <f t="shared" si="452"/>
        <v>9</v>
      </c>
      <c r="GL851" s="101">
        <f t="shared" si="453"/>
        <v>1.9E-2</v>
      </c>
      <c r="GM851" s="101">
        <f t="shared" si="454"/>
        <v>1</v>
      </c>
      <c r="GN851" s="101">
        <f t="shared" si="455"/>
        <v>18</v>
      </c>
      <c r="GO851" s="101">
        <f t="shared" si="456"/>
        <v>7.5899999999999995E-2</v>
      </c>
      <c r="GP851" s="101">
        <f t="shared" si="457"/>
        <v>1</v>
      </c>
      <c r="GQ851" s="101">
        <f t="shared" si="458"/>
        <v>40</v>
      </c>
    </row>
    <row r="852" spans="175:199" ht="16.5" x14ac:dyDescent="0.2">
      <c r="FS852" s="101">
        <v>847</v>
      </c>
      <c r="FT852" s="101">
        <f t="shared" si="443"/>
        <v>42</v>
      </c>
      <c r="FU852" s="101">
        <f t="shared" si="459"/>
        <v>11</v>
      </c>
      <c r="FV852" s="14">
        <f t="shared" si="460"/>
        <v>5</v>
      </c>
      <c r="FW852" s="101" t="str">
        <f t="shared" si="444"/>
        <v>夏侯惇专属武器-魂珠-5 6级</v>
      </c>
      <c r="FX852" s="101">
        <f t="shared" si="445"/>
        <v>5</v>
      </c>
      <c r="FY852" s="101">
        <f t="shared" si="446"/>
        <v>6</v>
      </c>
      <c r="FZ852" s="101" t="str">
        <f t="shared" si="461"/>
        <v>金币</v>
      </c>
      <c r="GA852" s="139">
        <f>IF($FY852&gt;0,IF(INDEX($EM$6:$EM$77,$FT852)&gt;=GA$3,ROUND(INDEX(EO$6:EO$77,$FT852)*INDEX(卡牌消耗!$B$8:$F$8,FV852)/5,0)*5,""),"")</f>
        <v>6040</v>
      </c>
      <c r="GB852" s="101" t="str">
        <f t="shared" si="462"/>
        <v>专属强化石2</v>
      </c>
      <c r="GC852" s="101">
        <f t="shared" si="463"/>
        <v>8</v>
      </c>
      <c r="GD852" s="101" t="str">
        <f t="shared" si="464"/>
        <v>专属强化石3</v>
      </c>
      <c r="GE852" s="101">
        <f t="shared" si="465"/>
        <v>5</v>
      </c>
      <c r="GF852" s="101">
        <f t="shared" si="447"/>
        <v>0.04</v>
      </c>
      <c r="GG852" s="101">
        <f t="shared" si="448"/>
        <v>1</v>
      </c>
      <c r="GH852" s="101">
        <f t="shared" si="449"/>
        <v>39</v>
      </c>
      <c r="GI852" s="101">
        <f t="shared" si="450"/>
        <v>0</v>
      </c>
      <c r="GJ852" s="101">
        <f t="shared" si="451"/>
        <v>1</v>
      </c>
      <c r="GK852" s="101">
        <f t="shared" si="452"/>
        <v>9</v>
      </c>
      <c r="GL852" s="101">
        <f t="shared" si="453"/>
        <v>1.95E-2</v>
      </c>
      <c r="GM852" s="101">
        <f t="shared" si="454"/>
        <v>1</v>
      </c>
      <c r="GN852" s="101">
        <f t="shared" si="455"/>
        <v>18</v>
      </c>
      <c r="GO852" s="101">
        <f t="shared" si="456"/>
        <v>7.7799999999999994E-2</v>
      </c>
      <c r="GP852" s="101">
        <f t="shared" si="457"/>
        <v>1</v>
      </c>
      <c r="GQ852" s="101">
        <f t="shared" si="458"/>
        <v>39</v>
      </c>
    </row>
    <row r="853" spans="175:199" ht="16.5" x14ac:dyDescent="0.2">
      <c r="FS853" s="101">
        <v>848</v>
      </c>
      <c r="FT853" s="101">
        <f t="shared" si="443"/>
        <v>43</v>
      </c>
      <c r="FU853" s="101">
        <f t="shared" si="459"/>
        <v>11</v>
      </c>
      <c r="FV853" s="14">
        <f t="shared" si="460"/>
        <v>5</v>
      </c>
      <c r="FW853" s="101" t="str">
        <f t="shared" si="444"/>
        <v>夏侯惇专属武器-魂珠-5 7级</v>
      </c>
      <c r="FX853" s="101">
        <f t="shared" si="445"/>
        <v>5</v>
      </c>
      <c r="FY853" s="101">
        <f t="shared" si="446"/>
        <v>7</v>
      </c>
      <c r="FZ853" s="101" t="str">
        <f t="shared" si="461"/>
        <v>金币</v>
      </c>
      <c r="GA853" s="139">
        <f>IF($FY853&gt;0,IF(INDEX($EM$6:$EM$77,$FT853)&gt;=GA$3,ROUND(INDEX(EO$6:EO$77,$FT853)*INDEX(卡牌消耗!$B$8:$F$8,FV853)/5,0)*5,""),"")</f>
        <v>6055</v>
      </c>
      <c r="GB853" s="101" t="str">
        <f t="shared" si="462"/>
        <v>专属强化石2</v>
      </c>
      <c r="GC853" s="101">
        <f t="shared" si="463"/>
        <v>8</v>
      </c>
      <c r="GD853" s="101" t="str">
        <f t="shared" si="464"/>
        <v>专属强化石3</v>
      </c>
      <c r="GE853" s="101">
        <f t="shared" si="465"/>
        <v>5</v>
      </c>
      <c r="GF853" s="101">
        <f t="shared" si="447"/>
        <v>0.02</v>
      </c>
      <c r="GG853" s="101">
        <f t="shared" si="448"/>
        <v>1</v>
      </c>
      <c r="GH853" s="101">
        <f t="shared" si="449"/>
        <v>62</v>
      </c>
      <c r="GI853" s="101">
        <f t="shared" si="450"/>
        <v>0</v>
      </c>
      <c r="GJ853" s="101">
        <f t="shared" si="451"/>
        <v>1</v>
      </c>
      <c r="GK853" s="101">
        <f t="shared" si="452"/>
        <v>15</v>
      </c>
      <c r="GL853" s="101">
        <f t="shared" si="453"/>
        <v>1.2E-2</v>
      </c>
      <c r="GM853" s="101">
        <f t="shared" si="454"/>
        <v>1</v>
      </c>
      <c r="GN853" s="101">
        <f t="shared" si="455"/>
        <v>29</v>
      </c>
      <c r="GO853" s="101">
        <f t="shared" si="456"/>
        <v>4.82E-2</v>
      </c>
      <c r="GP853" s="101">
        <f t="shared" si="457"/>
        <v>1</v>
      </c>
      <c r="GQ853" s="101">
        <f t="shared" si="458"/>
        <v>62</v>
      </c>
    </row>
    <row r="854" spans="175:199" ht="16.5" x14ac:dyDescent="0.2">
      <c r="FS854" s="101">
        <v>849</v>
      </c>
      <c r="FT854" s="101">
        <f t="shared" ref="FT854:FT917" si="466">IF(FY854&gt;0,(FX854-1)*9+FY854,0)</f>
        <v>44</v>
      </c>
      <c r="FU854" s="101">
        <f t="shared" si="459"/>
        <v>11</v>
      </c>
      <c r="FV854" s="14">
        <f t="shared" si="460"/>
        <v>5</v>
      </c>
      <c r="FW854" s="101" t="str">
        <f t="shared" ref="FW854:FW917" si="467">INDEX($FN$6:$FN$26,FU854)&amp;"专属武器-魂珠-"&amp;FX854&amp;" "&amp;FY854&amp;"级"</f>
        <v>夏侯惇专属武器-魂珠-5 8级</v>
      </c>
      <c r="FX854" s="101">
        <f t="shared" ref="FX854:FX917" si="468">INT((FS854-(FU854-1)*80-1)/10)+1</f>
        <v>5</v>
      </c>
      <c r="FY854" s="101">
        <f t="shared" ref="FY854:FY917" si="469">FS854-(FU854-1)*80-(FX854-1)*10-1</f>
        <v>8</v>
      </c>
      <c r="FZ854" s="101" t="str">
        <f t="shared" si="461"/>
        <v>金币</v>
      </c>
      <c r="GA854" s="139">
        <f>IF($FY854&gt;0,IF(INDEX($EM$6:$EM$77,$FT854)&gt;=GA$3,ROUND(INDEX(EO$6:EO$77,$FT854)*INDEX(卡牌消耗!$B$8:$F$8,FV854)/5,0)*5,""),"")</f>
        <v>8470</v>
      </c>
      <c r="GB854" s="101" t="str">
        <f t="shared" si="462"/>
        <v>专属强化石2</v>
      </c>
      <c r="GC854" s="101">
        <f t="shared" si="463"/>
        <v>11</v>
      </c>
      <c r="GD854" s="101" t="str">
        <f t="shared" si="464"/>
        <v>专属强化石3</v>
      </c>
      <c r="GE854" s="101">
        <f t="shared" si="465"/>
        <v>7</v>
      </c>
      <c r="GF854" s="101">
        <f t="shared" ref="GF854:GF917" si="470">IF($FY854&gt;0,INDEX(ET$6:ET$77,$FT854),"")</f>
        <v>0.02</v>
      </c>
      <c r="GG854" s="101">
        <f t="shared" ref="GG854:GG917" si="471">IF($FY854&gt;0,INDEX(EU$6:EU$77,$FT854),"")</f>
        <v>1</v>
      </c>
      <c r="GH854" s="101">
        <f t="shared" ref="GH854:GH917" si="472">IF($FY854&gt;0,INDEX(EV$6:EV$77,$FT854),"")</f>
        <v>72</v>
      </c>
      <c r="GI854" s="101">
        <f t="shared" ref="GI854:GI917" si="473">IF($FY854&gt;0,INDEX(FA$6:FA$77,$FT854),"")</f>
        <v>0</v>
      </c>
      <c r="GJ854" s="101">
        <f t="shared" ref="GJ854:GJ917" si="474">IF($FY854&gt;0,INDEX(FB$6:FB$77,$FT854),"")</f>
        <v>1</v>
      </c>
      <c r="GK854" s="101">
        <f t="shared" ref="GK854:GK917" si="475">IF($FY854&gt;0,INDEX(FC$6:FC$77,$FT854),"")</f>
        <v>17</v>
      </c>
      <c r="GL854" s="101">
        <f t="shared" ref="GL854:GL917" si="476">IF($FY854&gt;0,INDEX(FD$6:FD$77,$FT854),"")</f>
        <v>1.04E-2</v>
      </c>
      <c r="GM854" s="101">
        <f t="shared" ref="GM854:GM917" si="477">IF($FY854&gt;0,INDEX(FE$6:FE$77,$FT854),"")</f>
        <v>1</v>
      </c>
      <c r="GN854" s="101">
        <f t="shared" ref="GN854:GN917" si="478">IF($FY854&gt;0,INDEX(FF$6:FF$77,$FT854),"")</f>
        <v>34</v>
      </c>
      <c r="GO854" s="101">
        <f t="shared" ref="GO854:GO917" si="479">IF($FY854&gt;0,INDEX(FG$6:FG$77,$FT854),"")</f>
        <v>4.1700000000000001E-2</v>
      </c>
      <c r="GP854" s="101">
        <f t="shared" ref="GP854:GP917" si="480">IF($FY854&gt;0,INDEX(FH$6:FH$77,$FT854),"")</f>
        <v>1</v>
      </c>
      <c r="GQ854" s="101">
        <f t="shared" ref="GQ854:GQ917" si="481">IF($FY854&gt;0,INDEX(FI$6:FI$77,$FT854),"")</f>
        <v>72</v>
      </c>
    </row>
    <row r="855" spans="175:199" ht="16.5" x14ac:dyDescent="0.2">
      <c r="FS855" s="101">
        <v>850</v>
      </c>
      <c r="FT855" s="101">
        <f t="shared" si="466"/>
        <v>45</v>
      </c>
      <c r="FU855" s="101">
        <f t="shared" si="459"/>
        <v>11</v>
      </c>
      <c r="FV855" s="14">
        <f t="shared" si="460"/>
        <v>5</v>
      </c>
      <c r="FW855" s="101" t="str">
        <f t="shared" si="467"/>
        <v>夏侯惇专属武器-魂珠-5 9级</v>
      </c>
      <c r="FX855" s="101">
        <f t="shared" si="468"/>
        <v>5</v>
      </c>
      <c r="FY855" s="101">
        <f t="shared" si="469"/>
        <v>9</v>
      </c>
      <c r="FZ855" s="101" t="str">
        <f t="shared" si="461"/>
        <v>金币</v>
      </c>
      <c r="GA855" s="139">
        <f>IF($FY855&gt;0,IF(INDEX($EM$6:$EM$77,$FT855)&gt;=GA$3,ROUND(INDEX(EO$6:EO$77,$FT855)*INDEX(卡牌消耗!$B$8:$F$8,FV855)/5,0)*5,""),"")</f>
        <v>10890</v>
      </c>
      <c r="GB855" s="101" t="str">
        <f t="shared" si="462"/>
        <v>专属强化石2</v>
      </c>
      <c r="GC855" s="101">
        <f t="shared" si="463"/>
        <v>14</v>
      </c>
      <c r="GD855" s="101" t="str">
        <f t="shared" si="464"/>
        <v>专属强化石3</v>
      </c>
      <c r="GE855" s="101">
        <f t="shared" si="465"/>
        <v>9</v>
      </c>
      <c r="GF855" s="101">
        <f t="shared" si="470"/>
        <v>0.02</v>
      </c>
      <c r="GG855" s="101">
        <f t="shared" si="471"/>
        <v>1</v>
      </c>
      <c r="GH855" s="101">
        <f t="shared" si="472"/>
        <v>91</v>
      </c>
      <c r="GI855" s="101">
        <f t="shared" si="473"/>
        <v>0</v>
      </c>
      <c r="GJ855" s="101">
        <f t="shared" si="474"/>
        <v>1</v>
      </c>
      <c r="GK855" s="101">
        <f t="shared" si="475"/>
        <v>21</v>
      </c>
      <c r="GL855" s="101">
        <f t="shared" si="476"/>
        <v>8.3000000000000001E-3</v>
      </c>
      <c r="GM855" s="101">
        <f t="shared" si="477"/>
        <v>1</v>
      </c>
      <c r="GN855" s="101">
        <f t="shared" si="478"/>
        <v>42</v>
      </c>
      <c r="GO855" s="101">
        <f t="shared" si="479"/>
        <v>3.3099999999999997E-2</v>
      </c>
      <c r="GP855" s="101">
        <f t="shared" si="480"/>
        <v>1</v>
      </c>
      <c r="GQ855" s="101">
        <f t="shared" si="481"/>
        <v>91</v>
      </c>
    </row>
    <row r="856" spans="175:199" ht="16.5" x14ac:dyDescent="0.2">
      <c r="FS856" s="101">
        <v>851</v>
      </c>
      <c r="FT856" s="101">
        <f t="shared" si="466"/>
        <v>0</v>
      </c>
      <c r="FU856" s="101">
        <f t="shared" si="459"/>
        <v>11</v>
      </c>
      <c r="FV856" s="14">
        <f t="shared" si="460"/>
        <v>5</v>
      </c>
      <c r="FW856" s="101" t="str">
        <f t="shared" si="467"/>
        <v>夏侯惇专属武器-魂珠-6 0级</v>
      </c>
      <c r="FX856" s="101">
        <f t="shared" si="468"/>
        <v>6</v>
      </c>
      <c r="FY856" s="101">
        <f t="shared" si="469"/>
        <v>0</v>
      </c>
      <c r="FZ856" s="101" t="str">
        <f t="shared" si="461"/>
        <v/>
      </c>
      <c r="GA856" s="139" t="str">
        <f>IF($FY856&gt;0,IF(INDEX($EM$6:$EM$77,$FT856)&gt;=GA$3,ROUND(INDEX(EO$6:EO$77,$FT856)*INDEX(卡牌消耗!$B$8:$F$8,FV856)/5,0)*5,""),"")</f>
        <v/>
      </c>
      <c r="GB856" s="101" t="str">
        <f t="shared" si="462"/>
        <v/>
      </c>
      <c r="GC856" s="101" t="str">
        <f t="shared" si="463"/>
        <v/>
      </c>
      <c r="GD856" s="101" t="str">
        <f t="shared" si="464"/>
        <v/>
      </c>
      <c r="GE856" s="101" t="str">
        <f t="shared" si="465"/>
        <v/>
      </c>
      <c r="GF856" s="101" t="str">
        <f t="shared" si="470"/>
        <v/>
      </c>
      <c r="GG856" s="101" t="str">
        <f t="shared" si="471"/>
        <v/>
      </c>
      <c r="GH856" s="101" t="str">
        <f t="shared" si="472"/>
        <v/>
      </c>
      <c r="GI856" s="101" t="str">
        <f t="shared" si="473"/>
        <v/>
      </c>
      <c r="GJ856" s="101" t="str">
        <f t="shared" si="474"/>
        <v/>
      </c>
      <c r="GK856" s="101" t="str">
        <f t="shared" si="475"/>
        <v/>
      </c>
      <c r="GL856" s="101" t="str">
        <f t="shared" si="476"/>
        <v/>
      </c>
      <c r="GM856" s="101" t="str">
        <f t="shared" si="477"/>
        <v/>
      </c>
      <c r="GN856" s="101" t="str">
        <f t="shared" si="478"/>
        <v/>
      </c>
      <c r="GO856" s="101" t="str">
        <f t="shared" si="479"/>
        <v/>
      </c>
      <c r="GP856" s="101" t="str">
        <f t="shared" si="480"/>
        <v/>
      </c>
      <c r="GQ856" s="101" t="str">
        <f t="shared" si="481"/>
        <v/>
      </c>
    </row>
    <row r="857" spans="175:199" ht="16.5" x14ac:dyDescent="0.2">
      <c r="FS857" s="101">
        <v>852</v>
      </c>
      <c r="FT857" s="101">
        <f t="shared" si="466"/>
        <v>46</v>
      </c>
      <c r="FU857" s="101">
        <f t="shared" si="459"/>
        <v>11</v>
      </c>
      <c r="FV857" s="14">
        <f t="shared" si="460"/>
        <v>5</v>
      </c>
      <c r="FW857" s="101" t="str">
        <f t="shared" si="467"/>
        <v>夏侯惇专属武器-魂珠-6 1级</v>
      </c>
      <c r="FX857" s="101">
        <f t="shared" si="468"/>
        <v>6</v>
      </c>
      <c r="FY857" s="101">
        <f t="shared" si="469"/>
        <v>1</v>
      </c>
      <c r="FZ857" s="101" t="str">
        <f t="shared" si="461"/>
        <v>金币</v>
      </c>
      <c r="GA857" s="139">
        <f>IF($FY857&gt;0,IF(INDEX($EM$6:$EM$77,$FT857)&gt;=GA$3,ROUND(INDEX(EO$6:EO$77,$FT857)*INDEX(卡牌消耗!$B$8:$F$8,FV857)/5,0)*5,""),"")</f>
        <v>2910</v>
      </c>
      <c r="GB857" s="101" t="str">
        <f t="shared" si="462"/>
        <v>专属强化石3</v>
      </c>
      <c r="GC857" s="101">
        <f t="shared" si="463"/>
        <v>5</v>
      </c>
      <c r="GD857" s="101" t="str">
        <f t="shared" si="464"/>
        <v>专属强化石4</v>
      </c>
      <c r="GE857" s="101">
        <f t="shared" si="465"/>
        <v>1</v>
      </c>
      <c r="GF857" s="101">
        <f t="shared" si="470"/>
        <v>0.17</v>
      </c>
      <c r="GG857" s="101">
        <f t="shared" si="471"/>
        <v>1</v>
      </c>
      <c r="GH857" s="101">
        <f t="shared" si="472"/>
        <v>9</v>
      </c>
      <c r="GI857" s="101">
        <f t="shared" si="473"/>
        <v>0</v>
      </c>
      <c r="GJ857" s="101">
        <f t="shared" si="474"/>
        <v>1</v>
      </c>
      <c r="GK857" s="101">
        <f t="shared" si="475"/>
        <v>2</v>
      </c>
      <c r="GL857" s="101">
        <f t="shared" si="476"/>
        <v>8.2900000000000001E-2</v>
      </c>
      <c r="GM857" s="101">
        <f t="shared" si="477"/>
        <v>1</v>
      </c>
      <c r="GN857" s="101">
        <f t="shared" si="478"/>
        <v>4</v>
      </c>
      <c r="GO857" s="101">
        <f t="shared" si="479"/>
        <v>0.33139999999999997</v>
      </c>
      <c r="GP857" s="101">
        <f t="shared" si="480"/>
        <v>1</v>
      </c>
      <c r="GQ857" s="101">
        <f t="shared" si="481"/>
        <v>9</v>
      </c>
    </row>
    <row r="858" spans="175:199" ht="16.5" x14ac:dyDescent="0.2">
      <c r="FS858" s="101">
        <v>853</v>
      </c>
      <c r="FT858" s="101">
        <f t="shared" si="466"/>
        <v>47</v>
      </c>
      <c r="FU858" s="101">
        <f t="shared" si="459"/>
        <v>11</v>
      </c>
      <c r="FV858" s="14">
        <f t="shared" si="460"/>
        <v>5</v>
      </c>
      <c r="FW858" s="101" t="str">
        <f t="shared" si="467"/>
        <v>夏侯惇专属武器-魂珠-6 2级</v>
      </c>
      <c r="FX858" s="101">
        <f t="shared" si="468"/>
        <v>6</v>
      </c>
      <c r="FY858" s="101">
        <f t="shared" si="469"/>
        <v>2</v>
      </c>
      <c r="FZ858" s="101" t="str">
        <f t="shared" si="461"/>
        <v>金币</v>
      </c>
      <c r="GA858" s="139">
        <f>IF($FY858&gt;0,IF(INDEX($EM$6:$EM$77,$FT858)&gt;=GA$3,ROUND(INDEX(EO$6:EO$77,$FT858)*INDEX(卡牌消耗!$B$8:$F$8,FV858)/5,0)*5,""),"")</f>
        <v>4360</v>
      </c>
      <c r="GB858" s="101" t="str">
        <f t="shared" si="462"/>
        <v>专属强化石3</v>
      </c>
      <c r="GC858" s="101">
        <f t="shared" si="463"/>
        <v>10</v>
      </c>
      <c r="GD858" s="101" t="str">
        <f t="shared" si="464"/>
        <v>专属强化石4</v>
      </c>
      <c r="GE858" s="101">
        <f t="shared" si="465"/>
        <v>2</v>
      </c>
      <c r="GF858" s="101">
        <f t="shared" si="470"/>
        <v>0.17</v>
      </c>
      <c r="GG858" s="101">
        <f t="shared" si="471"/>
        <v>1</v>
      </c>
      <c r="GH858" s="101">
        <f t="shared" si="472"/>
        <v>9</v>
      </c>
      <c r="GI858" s="101">
        <f t="shared" si="473"/>
        <v>0</v>
      </c>
      <c r="GJ858" s="101">
        <f t="shared" si="474"/>
        <v>1</v>
      </c>
      <c r="GK858" s="101">
        <f t="shared" si="475"/>
        <v>2</v>
      </c>
      <c r="GL858" s="101">
        <f t="shared" si="476"/>
        <v>8.2900000000000001E-2</v>
      </c>
      <c r="GM858" s="101">
        <f t="shared" si="477"/>
        <v>1</v>
      </c>
      <c r="GN858" s="101">
        <f t="shared" si="478"/>
        <v>4</v>
      </c>
      <c r="GO858" s="101">
        <f t="shared" si="479"/>
        <v>0.33139999999999997</v>
      </c>
      <c r="GP858" s="101">
        <f t="shared" si="480"/>
        <v>1</v>
      </c>
      <c r="GQ858" s="101">
        <f t="shared" si="481"/>
        <v>9</v>
      </c>
    </row>
    <row r="859" spans="175:199" ht="16.5" x14ac:dyDescent="0.2">
      <c r="FS859" s="101">
        <v>854</v>
      </c>
      <c r="FT859" s="101">
        <f t="shared" si="466"/>
        <v>48</v>
      </c>
      <c r="FU859" s="101">
        <f t="shared" si="459"/>
        <v>11</v>
      </c>
      <c r="FV859" s="14">
        <f t="shared" si="460"/>
        <v>5</v>
      </c>
      <c r="FW859" s="101" t="str">
        <f t="shared" si="467"/>
        <v>夏侯惇专属武器-魂珠-6 3级</v>
      </c>
      <c r="FX859" s="101">
        <f t="shared" si="468"/>
        <v>6</v>
      </c>
      <c r="FY859" s="101">
        <f t="shared" si="469"/>
        <v>3</v>
      </c>
      <c r="FZ859" s="101" t="str">
        <f t="shared" si="461"/>
        <v>金币</v>
      </c>
      <c r="GA859" s="139">
        <f>IF($FY859&gt;0,IF(INDEX($EM$6:$EM$77,$FT859)&gt;=GA$3,ROUND(INDEX(EO$6:EO$77,$FT859)*INDEX(卡牌消耗!$B$8:$F$8,FV859)/5,0)*5,""),"")</f>
        <v>4845</v>
      </c>
      <c r="GB859" s="101" t="str">
        <f t="shared" si="462"/>
        <v>专属强化石3</v>
      </c>
      <c r="GC859" s="101">
        <f t="shared" si="463"/>
        <v>10</v>
      </c>
      <c r="GD859" s="101" t="str">
        <f t="shared" si="464"/>
        <v>专属强化石4</v>
      </c>
      <c r="GE859" s="101">
        <f t="shared" si="465"/>
        <v>2</v>
      </c>
      <c r="GF859" s="101">
        <f t="shared" si="470"/>
        <v>0.11</v>
      </c>
      <c r="GG859" s="101">
        <f t="shared" si="471"/>
        <v>1</v>
      </c>
      <c r="GH859" s="101">
        <f t="shared" si="472"/>
        <v>14</v>
      </c>
      <c r="GI859" s="101">
        <f t="shared" si="473"/>
        <v>0</v>
      </c>
      <c r="GJ859" s="101">
        <f t="shared" si="474"/>
        <v>1</v>
      </c>
      <c r="GK859" s="101">
        <f t="shared" si="475"/>
        <v>3</v>
      </c>
      <c r="GL859" s="101">
        <f t="shared" si="476"/>
        <v>5.5199999999999999E-2</v>
      </c>
      <c r="GM859" s="101">
        <f t="shared" si="477"/>
        <v>1</v>
      </c>
      <c r="GN859" s="101">
        <f t="shared" si="478"/>
        <v>6</v>
      </c>
      <c r="GO859" s="101">
        <f t="shared" si="479"/>
        <v>0.221</v>
      </c>
      <c r="GP859" s="101">
        <f t="shared" si="480"/>
        <v>1</v>
      </c>
      <c r="GQ859" s="101">
        <f t="shared" si="481"/>
        <v>14</v>
      </c>
    </row>
    <row r="860" spans="175:199" ht="16.5" x14ac:dyDescent="0.2">
      <c r="FS860" s="101">
        <v>855</v>
      </c>
      <c r="FT860" s="101">
        <f t="shared" si="466"/>
        <v>49</v>
      </c>
      <c r="FU860" s="101">
        <f t="shared" si="459"/>
        <v>11</v>
      </c>
      <c r="FV860" s="14">
        <f t="shared" si="460"/>
        <v>5</v>
      </c>
      <c r="FW860" s="101" t="str">
        <f t="shared" si="467"/>
        <v>夏侯惇专属武器-魂珠-6 4级</v>
      </c>
      <c r="FX860" s="101">
        <f t="shared" si="468"/>
        <v>6</v>
      </c>
      <c r="FY860" s="101">
        <f t="shared" si="469"/>
        <v>4</v>
      </c>
      <c r="FZ860" s="101" t="str">
        <f t="shared" si="461"/>
        <v>金币</v>
      </c>
      <c r="GA860" s="139">
        <f>IF($FY860&gt;0,IF(INDEX($EM$6:$EM$77,$FT860)&gt;=GA$3,ROUND(INDEX(EO$6:EO$77,$FT860)*INDEX(卡牌消耗!$B$8:$F$8,FV860)/5,0)*5,""),"")</f>
        <v>6980</v>
      </c>
      <c r="GB860" s="101" t="str">
        <f t="shared" si="462"/>
        <v>专属强化石3</v>
      </c>
      <c r="GC860" s="101">
        <f t="shared" si="463"/>
        <v>15</v>
      </c>
      <c r="GD860" s="101" t="str">
        <f t="shared" si="464"/>
        <v>专属强化石4</v>
      </c>
      <c r="GE860" s="101">
        <f t="shared" si="465"/>
        <v>3</v>
      </c>
      <c r="GF860" s="101">
        <f t="shared" si="470"/>
        <v>0.1</v>
      </c>
      <c r="GG860" s="101">
        <f t="shared" si="471"/>
        <v>1</v>
      </c>
      <c r="GH860" s="101">
        <f t="shared" si="472"/>
        <v>15</v>
      </c>
      <c r="GI860" s="101">
        <f t="shared" si="473"/>
        <v>0</v>
      </c>
      <c r="GJ860" s="101">
        <f t="shared" si="474"/>
        <v>1</v>
      </c>
      <c r="GK860" s="101">
        <f t="shared" si="475"/>
        <v>4</v>
      </c>
      <c r="GL860" s="101">
        <f t="shared" si="476"/>
        <v>4.9700000000000001E-2</v>
      </c>
      <c r="GM860" s="101">
        <f t="shared" si="477"/>
        <v>1</v>
      </c>
      <c r="GN860" s="101">
        <f t="shared" si="478"/>
        <v>7</v>
      </c>
      <c r="GO860" s="101">
        <f t="shared" si="479"/>
        <v>0.19889999999999999</v>
      </c>
      <c r="GP860" s="101">
        <f t="shared" si="480"/>
        <v>1</v>
      </c>
      <c r="GQ860" s="101">
        <f t="shared" si="481"/>
        <v>15</v>
      </c>
    </row>
    <row r="861" spans="175:199" ht="16.5" x14ac:dyDescent="0.2">
      <c r="FS861" s="101">
        <v>856</v>
      </c>
      <c r="FT861" s="101">
        <f t="shared" si="466"/>
        <v>50</v>
      </c>
      <c r="FU861" s="101">
        <f t="shared" si="459"/>
        <v>11</v>
      </c>
      <c r="FV861" s="14">
        <f t="shared" si="460"/>
        <v>5</v>
      </c>
      <c r="FW861" s="101" t="str">
        <f t="shared" si="467"/>
        <v>夏侯惇专属武器-魂珠-6 5级</v>
      </c>
      <c r="FX861" s="101">
        <f t="shared" si="468"/>
        <v>6</v>
      </c>
      <c r="FY861" s="101">
        <f t="shared" si="469"/>
        <v>5</v>
      </c>
      <c r="FZ861" s="101" t="str">
        <f t="shared" si="461"/>
        <v>金币</v>
      </c>
      <c r="GA861" s="139">
        <f>IF($FY861&gt;0,IF(INDEX($EM$6:$EM$77,$FT861)&gt;=GA$3,ROUND(INDEX(EO$6:EO$77,$FT861)*INDEX(卡牌消耗!$B$8:$F$8,FV861)/5,0)*5,""),"")</f>
        <v>7090</v>
      </c>
      <c r="GB861" s="101" t="str">
        <f t="shared" si="462"/>
        <v>专属强化石3</v>
      </c>
      <c r="GC861" s="101">
        <f t="shared" si="463"/>
        <v>15</v>
      </c>
      <c r="GD861" s="101" t="str">
        <f t="shared" si="464"/>
        <v>专属强化石4</v>
      </c>
      <c r="GE861" s="101">
        <f t="shared" si="465"/>
        <v>3</v>
      </c>
      <c r="GF861" s="101">
        <f t="shared" si="470"/>
        <v>0.06</v>
      </c>
      <c r="GG861" s="101">
        <f t="shared" si="471"/>
        <v>1</v>
      </c>
      <c r="GH861" s="101">
        <f t="shared" si="472"/>
        <v>24</v>
      </c>
      <c r="GI861" s="101">
        <f t="shared" si="473"/>
        <v>0</v>
      </c>
      <c r="GJ861" s="101">
        <f t="shared" si="474"/>
        <v>1</v>
      </c>
      <c r="GK861" s="101">
        <f t="shared" si="475"/>
        <v>6</v>
      </c>
      <c r="GL861" s="101">
        <f t="shared" si="476"/>
        <v>3.1099999999999999E-2</v>
      </c>
      <c r="GM861" s="101">
        <f t="shared" si="477"/>
        <v>1</v>
      </c>
      <c r="GN861" s="101">
        <f t="shared" si="478"/>
        <v>11</v>
      </c>
      <c r="GO861" s="101">
        <f t="shared" si="479"/>
        <v>0.12429999999999999</v>
      </c>
      <c r="GP861" s="101">
        <f t="shared" si="480"/>
        <v>1</v>
      </c>
      <c r="GQ861" s="101">
        <f t="shared" si="481"/>
        <v>24</v>
      </c>
    </row>
    <row r="862" spans="175:199" ht="16.5" x14ac:dyDescent="0.2">
      <c r="FS862" s="101">
        <v>857</v>
      </c>
      <c r="FT862" s="101">
        <f t="shared" si="466"/>
        <v>51</v>
      </c>
      <c r="FU862" s="101">
        <f t="shared" si="459"/>
        <v>11</v>
      </c>
      <c r="FV862" s="14">
        <f t="shared" si="460"/>
        <v>5</v>
      </c>
      <c r="FW862" s="101" t="str">
        <f t="shared" si="467"/>
        <v>夏侯惇专属武器-魂珠-6 6级</v>
      </c>
      <c r="FX862" s="101">
        <f t="shared" si="468"/>
        <v>6</v>
      </c>
      <c r="FY862" s="101">
        <f t="shared" si="469"/>
        <v>6</v>
      </c>
      <c r="FZ862" s="101" t="str">
        <f t="shared" si="461"/>
        <v>金币</v>
      </c>
      <c r="GA862" s="139">
        <f>IF($FY862&gt;0,IF(INDEX($EM$6:$EM$77,$FT862)&gt;=GA$3,ROUND(INDEX(EO$6:EO$77,$FT862)*INDEX(卡牌消耗!$B$8:$F$8,FV862)/5,0)*5,""),"")</f>
        <v>9395</v>
      </c>
      <c r="GB862" s="101" t="str">
        <f t="shared" si="462"/>
        <v>专属强化石3</v>
      </c>
      <c r="GC862" s="101">
        <f t="shared" si="463"/>
        <v>20</v>
      </c>
      <c r="GD862" s="101" t="str">
        <f t="shared" si="464"/>
        <v>专属强化石4</v>
      </c>
      <c r="GE862" s="101">
        <f t="shared" si="465"/>
        <v>4</v>
      </c>
      <c r="GF862" s="101">
        <f t="shared" si="470"/>
        <v>0.05</v>
      </c>
      <c r="GG862" s="101">
        <f t="shared" si="471"/>
        <v>1</v>
      </c>
      <c r="GH862" s="101">
        <f t="shared" si="472"/>
        <v>29</v>
      </c>
      <c r="GI862" s="101">
        <f t="shared" si="473"/>
        <v>0</v>
      </c>
      <c r="GJ862" s="101">
        <f t="shared" si="474"/>
        <v>1</v>
      </c>
      <c r="GK862" s="101">
        <f t="shared" si="475"/>
        <v>7</v>
      </c>
      <c r="GL862" s="101">
        <f t="shared" si="476"/>
        <v>2.5499999999999998E-2</v>
      </c>
      <c r="GM862" s="101">
        <f t="shared" si="477"/>
        <v>1</v>
      </c>
      <c r="GN862" s="101">
        <f t="shared" si="478"/>
        <v>14</v>
      </c>
      <c r="GO862" s="101">
        <f t="shared" si="479"/>
        <v>0.10199999999999999</v>
      </c>
      <c r="GP862" s="101">
        <f t="shared" si="480"/>
        <v>1</v>
      </c>
      <c r="GQ862" s="101">
        <f t="shared" si="481"/>
        <v>29</v>
      </c>
    </row>
    <row r="863" spans="175:199" ht="16.5" x14ac:dyDescent="0.2">
      <c r="FS863" s="101">
        <v>858</v>
      </c>
      <c r="FT863" s="101">
        <f t="shared" si="466"/>
        <v>52</v>
      </c>
      <c r="FU863" s="101">
        <f t="shared" si="459"/>
        <v>11</v>
      </c>
      <c r="FV863" s="14">
        <f t="shared" si="460"/>
        <v>5</v>
      </c>
      <c r="FW863" s="101" t="str">
        <f t="shared" si="467"/>
        <v>夏侯惇专属武器-魂珠-6 7级</v>
      </c>
      <c r="FX863" s="101">
        <f t="shared" si="468"/>
        <v>6</v>
      </c>
      <c r="FY863" s="101">
        <f t="shared" si="469"/>
        <v>7</v>
      </c>
      <c r="FZ863" s="101" t="str">
        <f t="shared" si="461"/>
        <v>金币</v>
      </c>
      <c r="GA863" s="139">
        <f>IF($FY863&gt;0,IF(INDEX($EM$6:$EM$77,$FT863)&gt;=GA$3,ROUND(INDEX(EO$6:EO$77,$FT863)*INDEX(卡牌消耗!$B$8:$F$8,FV863)/5,0)*5,""),"")</f>
        <v>11770</v>
      </c>
      <c r="GB863" s="101" t="str">
        <f t="shared" si="462"/>
        <v>专属强化石3</v>
      </c>
      <c r="GC863" s="101">
        <f t="shared" si="463"/>
        <v>25</v>
      </c>
      <c r="GD863" s="101" t="str">
        <f t="shared" si="464"/>
        <v>专属强化石4</v>
      </c>
      <c r="GE863" s="101">
        <f t="shared" si="465"/>
        <v>5</v>
      </c>
      <c r="GF863" s="101">
        <f t="shared" si="470"/>
        <v>0.04</v>
      </c>
      <c r="GG863" s="101">
        <f t="shared" si="471"/>
        <v>1</v>
      </c>
      <c r="GH863" s="101">
        <f t="shared" si="472"/>
        <v>38</v>
      </c>
      <c r="GI863" s="101">
        <f t="shared" si="473"/>
        <v>0</v>
      </c>
      <c r="GJ863" s="101">
        <f t="shared" si="474"/>
        <v>1</v>
      </c>
      <c r="GK863" s="101">
        <f t="shared" si="475"/>
        <v>9</v>
      </c>
      <c r="GL863" s="101">
        <f t="shared" si="476"/>
        <v>1.9699999999999999E-2</v>
      </c>
      <c r="GM863" s="101">
        <f t="shared" si="477"/>
        <v>1</v>
      </c>
      <c r="GN863" s="101">
        <f t="shared" si="478"/>
        <v>18</v>
      </c>
      <c r="GO863" s="101">
        <f t="shared" si="479"/>
        <v>7.8899999999999998E-2</v>
      </c>
      <c r="GP863" s="101">
        <f t="shared" si="480"/>
        <v>1</v>
      </c>
      <c r="GQ863" s="101">
        <f t="shared" si="481"/>
        <v>38</v>
      </c>
    </row>
    <row r="864" spans="175:199" ht="16.5" x14ac:dyDescent="0.2">
      <c r="FS864" s="101">
        <v>859</v>
      </c>
      <c r="FT864" s="101">
        <f t="shared" si="466"/>
        <v>53</v>
      </c>
      <c r="FU864" s="101">
        <f t="shared" si="459"/>
        <v>11</v>
      </c>
      <c r="FV864" s="14">
        <f t="shared" si="460"/>
        <v>5</v>
      </c>
      <c r="FW864" s="101" t="str">
        <f t="shared" si="467"/>
        <v>夏侯惇专属武器-魂珠-6 8级</v>
      </c>
      <c r="FX864" s="101">
        <f t="shared" si="468"/>
        <v>6</v>
      </c>
      <c r="FY864" s="101">
        <f t="shared" si="469"/>
        <v>8</v>
      </c>
      <c r="FZ864" s="101" t="str">
        <f t="shared" si="461"/>
        <v>金币</v>
      </c>
      <c r="GA864" s="139">
        <f>IF($FY864&gt;0,IF(INDEX($EM$6:$EM$77,$FT864)&gt;=GA$3,ROUND(INDEX(EO$6:EO$77,$FT864)*INDEX(卡牌消耗!$B$8:$F$8,FV864)/5,0)*5,""),"")</f>
        <v>16465</v>
      </c>
      <c r="GB864" s="101" t="str">
        <f t="shared" si="462"/>
        <v>专属强化石3</v>
      </c>
      <c r="GC864" s="101">
        <f t="shared" si="463"/>
        <v>35</v>
      </c>
      <c r="GD864" s="101" t="str">
        <f t="shared" si="464"/>
        <v>专属强化石4</v>
      </c>
      <c r="GE864" s="101">
        <f t="shared" si="465"/>
        <v>7</v>
      </c>
      <c r="GF864" s="101">
        <f t="shared" si="470"/>
        <v>0.03</v>
      </c>
      <c r="GG864" s="101">
        <f t="shared" si="471"/>
        <v>1</v>
      </c>
      <c r="GH864" s="101">
        <f t="shared" si="472"/>
        <v>44</v>
      </c>
      <c r="GI864" s="101">
        <f t="shared" si="473"/>
        <v>0</v>
      </c>
      <c r="GJ864" s="101">
        <f t="shared" si="474"/>
        <v>1</v>
      </c>
      <c r="GK864" s="101">
        <f t="shared" si="475"/>
        <v>10</v>
      </c>
      <c r="GL864" s="101">
        <f t="shared" si="476"/>
        <v>1.7100000000000001E-2</v>
      </c>
      <c r="GM864" s="101">
        <f t="shared" si="477"/>
        <v>1</v>
      </c>
      <c r="GN864" s="101">
        <f t="shared" si="478"/>
        <v>21</v>
      </c>
      <c r="GO864" s="101">
        <f t="shared" si="479"/>
        <v>6.8199999999999997E-2</v>
      </c>
      <c r="GP864" s="101">
        <f t="shared" si="480"/>
        <v>1</v>
      </c>
      <c r="GQ864" s="101">
        <f t="shared" si="481"/>
        <v>44</v>
      </c>
    </row>
    <row r="865" spans="175:199" ht="16.5" x14ac:dyDescent="0.2">
      <c r="FS865" s="101">
        <v>860</v>
      </c>
      <c r="FT865" s="101">
        <f t="shared" si="466"/>
        <v>54</v>
      </c>
      <c r="FU865" s="101">
        <f t="shared" si="459"/>
        <v>11</v>
      </c>
      <c r="FV865" s="14">
        <f t="shared" si="460"/>
        <v>5</v>
      </c>
      <c r="FW865" s="101" t="str">
        <f t="shared" si="467"/>
        <v>夏侯惇专属武器-魂珠-6 9级</v>
      </c>
      <c r="FX865" s="101">
        <f t="shared" si="468"/>
        <v>6</v>
      </c>
      <c r="FY865" s="101">
        <f t="shared" si="469"/>
        <v>9</v>
      </c>
      <c r="FZ865" s="101" t="str">
        <f t="shared" si="461"/>
        <v>金币</v>
      </c>
      <c r="GA865" s="139">
        <f>IF($FY865&gt;0,IF(INDEX($EM$6:$EM$77,$FT865)&gt;=GA$3,ROUND(INDEX(EO$6:EO$77,$FT865)*INDEX(卡牌消耗!$B$8:$F$8,FV865)/5,0)*5,""),"")</f>
        <v>18825</v>
      </c>
      <c r="GB865" s="101" t="str">
        <f t="shared" si="462"/>
        <v>专属强化石3</v>
      </c>
      <c r="GC865" s="101">
        <f t="shared" si="463"/>
        <v>40</v>
      </c>
      <c r="GD865" s="101" t="str">
        <f t="shared" si="464"/>
        <v>专属强化石4</v>
      </c>
      <c r="GE865" s="101">
        <f t="shared" si="465"/>
        <v>8</v>
      </c>
      <c r="GF865" s="101">
        <f t="shared" si="470"/>
        <v>0.02</v>
      </c>
      <c r="GG865" s="101">
        <f t="shared" si="471"/>
        <v>1</v>
      </c>
      <c r="GH865" s="101">
        <f t="shared" si="472"/>
        <v>62</v>
      </c>
      <c r="GI865" s="101">
        <f t="shared" si="473"/>
        <v>0</v>
      </c>
      <c r="GJ865" s="101">
        <f t="shared" si="474"/>
        <v>1</v>
      </c>
      <c r="GK865" s="101">
        <f t="shared" si="475"/>
        <v>15</v>
      </c>
      <c r="GL865" s="101">
        <f t="shared" si="476"/>
        <v>1.21E-2</v>
      </c>
      <c r="GM865" s="101">
        <f t="shared" si="477"/>
        <v>1</v>
      </c>
      <c r="GN865" s="101">
        <f t="shared" si="478"/>
        <v>29</v>
      </c>
      <c r="GO865" s="101">
        <f t="shared" si="479"/>
        <v>4.82E-2</v>
      </c>
      <c r="GP865" s="101">
        <f t="shared" si="480"/>
        <v>1</v>
      </c>
      <c r="GQ865" s="101">
        <f t="shared" si="481"/>
        <v>62</v>
      </c>
    </row>
    <row r="866" spans="175:199" ht="16.5" x14ac:dyDescent="0.2">
      <c r="FS866" s="101">
        <v>861</v>
      </c>
      <c r="FT866" s="101">
        <f t="shared" si="466"/>
        <v>0</v>
      </c>
      <c r="FU866" s="101">
        <f t="shared" si="459"/>
        <v>11</v>
      </c>
      <c r="FV866" s="14">
        <f t="shared" si="460"/>
        <v>5</v>
      </c>
      <c r="FW866" s="101" t="str">
        <f t="shared" si="467"/>
        <v>夏侯惇专属武器-魂珠-7 0级</v>
      </c>
      <c r="FX866" s="101">
        <f t="shared" si="468"/>
        <v>7</v>
      </c>
      <c r="FY866" s="101">
        <f t="shared" si="469"/>
        <v>0</v>
      </c>
      <c r="FZ866" s="101" t="str">
        <f t="shared" si="461"/>
        <v/>
      </c>
      <c r="GA866" s="139" t="str">
        <f>IF($FY866&gt;0,IF(INDEX($EM$6:$EM$77,$FT866)&gt;=GA$3,ROUND(INDEX(EO$6:EO$77,$FT866)*INDEX(卡牌消耗!$B$8:$F$8,FV866)/5,0)*5,""),"")</f>
        <v/>
      </c>
      <c r="GB866" s="101" t="str">
        <f t="shared" si="462"/>
        <v/>
      </c>
      <c r="GC866" s="101" t="str">
        <f t="shared" si="463"/>
        <v/>
      </c>
      <c r="GD866" s="101" t="str">
        <f t="shared" si="464"/>
        <v/>
      </c>
      <c r="GE866" s="101" t="str">
        <f t="shared" si="465"/>
        <v/>
      </c>
      <c r="GF866" s="101" t="str">
        <f t="shared" si="470"/>
        <v/>
      </c>
      <c r="GG866" s="101" t="str">
        <f t="shared" si="471"/>
        <v/>
      </c>
      <c r="GH866" s="101" t="str">
        <f t="shared" si="472"/>
        <v/>
      </c>
      <c r="GI866" s="101" t="str">
        <f t="shared" si="473"/>
        <v/>
      </c>
      <c r="GJ866" s="101" t="str">
        <f t="shared" si="474"/>
        <v/>
      </c>
      <c r="GK866" s="101" t="str">
        <f t="shared" si="475"/>
        <v/>
      </c>
      <c r="GL866" s="101" t="str">
        <f t="shared" si="476"/>
        <v/>
      </c>
      <c r="GM866" s="101" t="str">
        <f t="shared" si="477"/>
        <v/>
      </c>
      <c r="GN866" s="101" t="str">
        <f t="shared" si="478"/>
        <v/>
      </c>
      <c r="GO866" s="101" t="str">
        <f t="shared" si="479"/>
        <v/>
      </c>
      <c r="GP866" s="101" t="str">
        <f t="shared" si="480"/>
        <v/>
      </c>
      <c r="GQ866" s="101" t="str">
        <f t="shared" si="481"/>
        <v/>
      </c>
    </row>
    <row r="867" spans="175:199" ht="16.5" x14ac:dyDescent="0.2">
      <c r="FS867" s="101">
        <v>862</v>
      </c>
      <c r="FT867" s="101">
        <f t="shared" si="466"/>
        <v>55</v>
      </c>
      <c r="FU867" s="101">
        <f t="shared" si="459"/>
        <v>11</v>
      </c>
      <c r="FV867" s="14">
        <f t="shared" si="460"/>
        <v>5</v>
      </c>
      <c r="FW867" s="101" t="str">
        <f t="shared" si="467"/>
        <v>夏侯惇专属武器-魂珠-7 1级</v>
      </c>
      <c r="FX867" s="101">
        <f t="shared" si="468"/>
        <v>7</v>
      </c>
      <c r="FY867" s="101">
        <f t="shared" si="469"/>
        <v>1</v>
      </c>
      <c r="FZ867" s="101" t="str">
        <f t="shared" si="461"/>
        <v>金币</v>
      </c>
      <c r="GA867" s="139">
        <f>IF($FY867&gt;0,IF(INDEX($EM$6:$EM$77,$FT867)&gt;=GA$3,ROUND(INDEX(EO$6:EO$77,$FT867)*INDEX(卡牌消耗!$B$8:$F$8,FV867)/5,0)*5,""),"")</f>
        <v>10155</v>
      </c>
      <c r="GB867" s="101" t="str">
        <f t="shared" si="462"/>
        <v>专属强化石3</v>
      </c>
      <c r="GC867" s="101">
        <f t="shared" si="463"/>
        <v>6</v>
      </c>
      <c r="GD867" s="101" t="str">
        <f t="shared" si="464"/>
        <v>专属强化石4</v>
      </c>
      <c r="GE867" s="101">
        <f t="shared" si="465"/>
        <v>2</v>
      </c>
      <c r="GF867" s="101">
        <f t="shared" si="470"/>
        <v>0.2</v>
      </c>
      <c r="GG867" s="101">
        <f t="shared" si="471"/>
        <v>1</v>
      </c>
      <c r="GH867" s="101">
        <f t="shared" si="472"/>
        <v>8</v>
      </c>
      <c r="GI867" s="101">
        <f t="shared" si="473"/>
        <v>0</v>
      </c>
      <c r="GJ867" s="101">
        <f t="shared" si="474"/>
        <v>1</v>
      </c>
      <c r="GK867" s="101">
        <f t="shared" si="475"/>
        <v>2</v>
      </c>
      <c r="GL867" s="101">
        <f t="shared" si="476"/>
        <v>9.9400000000000002E-2</v>
      </c>
      <c r="GM867" s="101">
        <f t="shared" si="477"/>
        <v>1</v>
      </c>
      <c r="GN867" s="101">
        <f t="shared" si="478"/>
        <v>4</v>
      </c>
      <c r="GO867" s="101">
        <f t="shared" si="479"/>
        <v>0.3977</v>
      </c>
      <c r="GP867" s="101">
        <f t="shared" si="480"/>
        <v>1</v>
      </c>
      <c r="GQ867" s="101">
        <f t="shared" si="481"/>
        <v>8</v>
      </c>
    </row>
    <row r="868" spans="175:199" ht="16.5" x14ac:dyDescent="0.2">
      <c r="FS868" s="101">
        <v>863</v>
      </c>
      <c r="FT868" s="101">
        <f t="shared" si="466"/>
        <v>56</v>
      </c>
      <c r="FU868" s="101">
        <f t="shared" si="459"/>
        <v>11</v>
      </c>
      <c r="FV868" s="14">
        <f t="shared" si="460"/>
        <v>5</v>
      </c>
      <c r="FW868" s="101" t="str">
        <f t="shared" si="467"/>
        <v>夏侯惇专属武器-魂珠-7 2级</v>
      </c>
      <c r="FX868" s="101">
        <f t="shared" si="468"/>
        <v>7</v>
      </c>
      <c r="FY868" s="101">
        <f t="shared" si="469"/>
        <v>2</v>
      </c>
      <c r="FZ868" s="101" t="str">
        <f t="shared" si="461"/>
        <v>金币</v>
      </c>
      <c r="GA868" s="139">
        <f>IF($FY868&gt;0,IF(INDEX($EM$6:$EM$77,$FT868)&gt;=GA$3,ROUND(INDEX(EO$6:EO$77,$FT868)*INDEX(卡牌消耗!$B$8:$F$8,FV868)/5,0)*5,""),"")</f>
        <v>7615</v>
      </c>
      <c r="GB868" s="101" t="str">
        <f t="shared" si="462"/>
        <v>专属强化石3</v>
      </c>
      <c r="GC868" s="101">
        <f t="shared" si="463"/>
        <v>6</v>
      </c>
      <c r="GD868" s="101" t="str">
        <f t="shared" si="464"/>
        <v>专属强化石4</v>
      </c>
      <c r="GE868" s="101">
        <f t="shared" si="465"/>
        <v>2</v>
      </c>
      <c r="GF868" s="101">
        <f t="shared" si="470"/>
        <v>0.1</v>
      </c>
      <c r="GG868" s="101">
        <f t="shared" si="471"/>
        <v>1</v>
      </c>
      <c r="GH868" s="101">
        <f t="shared" si="472"/>
        <v>15</v>
      </c>
      <c r="GI868" s="101">
        <f t="shared" si="473"/>
        <v>0</v>
      </c>
      <c r="GJ868" s="101">
        <f t="shared" si="474"/>
        <v>1</v>
      </c>
      <c r="GK868" s="101">
        <f t="shared" si="475"/>
        <v>4</v>
      </c>
      <c r="GL868" s="101">
        <f t="shared" si="476"/>
        <v>4.9700000000000001E-2</v>
      </c>
      <c r="GM868" s="101">
        <f t="shared" si="477"/>
        <v>1</v>
      </c>
      <c r="GN868" s="101">
        <f t="shared" si="478"/>
        <v>7</v>
      </c>
      <c r="GO868" s="101">
        <f t="shared" si="479"/>
        <v>0.19889999999999999</v>
      </c>
      <c r="GP868" s="101">
        <f t="shared" si="480"/>
        <v>1</v>
      </c>
      <c r="GQ868" s="101">
        <f t="shared" si="481"/>
        <v>15</v>
      </c>
    </row>
    <row r="869" spans="175:199" ht="16.5" x14ac:dyDescent="0.2">
      <c r="FS869" s="101">
        <v>864</v>
      </c>
      <c r="FT869" s="101">
        <f t="shared" si="466"/>
        <v>57</v>
      </c>
      <c r="FU869" s="101">
        <f t="shared" si="459"/>
        <v>11</v>
      </c>
      <c r="FV869" s="14">
        <f t="shared" si="460"/>
        <v>5</v>
      </c>
      <c r="FW869" s="101" t="str">
        <f t="shared" si="467"/>
        <v>夏侯惇专属武器-魂珠-7 3级</v>
      </c>
      <c r="FX869" s="101">
        <f t="shared" si="468"/>
        <v>7</v>
      </c>
      <c r="FY869" s="101">
        <f t="shared" si="469"/>
        <v>3</v>
      </c>
      <c r="FZ869" s="101" t="str">
        <f t="shared" si="461"/>
        <v>金币</v>
      </c>
      <c r="GA869" s="139">
        <f>IF($FY869&gt;0,IF(INDEX($EM$6:$EM$77,$FT869)&gt;=GA$3,ROUND(INDEX(EO$6:EO$77,$FT869)*INDEX(卡牌消耗!$B$8:$F$8,FV869)/5,0)*5,""),"")</f>
        <v>12690</v>
      </c>
      <c r="GB869" s="101" t="str">
        <f t="shared" si="462"/>
        <v>专属强化石3</v>
      </c>
      <c r="GC869" s="101">
        <f t="shared" si="463"/>
        <v>9</v>
      </c>
      <c r="GD869" s="101" t="str">
        <f t="shared" si="464"/>
        <v>专属强化石4</v>
      </c>
      <c r="GE869" s="101">
        <f t="shared" si="465"/>
        <v>3</v>
      </c>
      <c r="GF869" s="101">
        <f t="shared" si="470"/>
        <v>0.1</v>
      </c>
      <c r="GG869" s="101">
        <f t="shared" si="471"/>
        <v>1</v>
      </c>
      <c r="GH869" s="101">
        <f t="shared" si="472"/>
        <v>15</v>
      </c>
      <c r="GI869" s="101">
        <f t="shared" si="473"/>
        <v>0</v>
      </c>
      <c r="GJ869" s="101">
        <f t="shared" si="474"/>
        <v>1</v>
      </c>
      <c r="GK869" s="101">
        <f t="shared" si="475"/>
        <v>4</v>
      </c>
      <c r="GL869" s="101">
        <f t="shared" si="476"/>
        <v>4.9700000000000001E-2</v>
      </c>
      <c r="GM869" s="101">
        <f t="shared" si="477"/>
        <v>1</v>
      </c>
      <c r="GN869" s="101">
        <f t="shared" si="478"/>
        <v>7</v>
      </c>
      <c r="GO869" s="101">
        <f t="shared" si="479"/>
        <v>0.19889999999999999</v>
      </c>
      <c r="GP869" s="101">
        <f t="shared" si="480"/>
        <v>1</v>
      </c>
      <c r="GQ869" s="101">
        <f t="shared" si="481"/>
        <v>15</v>
      </c>
    </row>
    <row r="870" spans="175:199" ht="16.5" x14ac:dyDescent="0.2">
      <c r="FS870" s="101">
        <v>865</v>
      </c>
      <c r="FT870" s="101">
        <f t="shared" si="466"/>
        <v>58</v>
      </c>
      <c r="FU870" s="101">
        <f t="shared" si="459"/>
        <v>11</v>
      </c>
      <c r="FV870" s="14">
        <f t="shared" si="460"/>
        <v>5</v>
      </c>
      <c r="FW870" s="101" t="str">
        <f t="shared" si="467"/>
        <v>夏侯惇专属武器-魂珠-7 4级</v>
      </c>
      <c r="FX870" s="101">
        <f t="shared" si="468"/>
        <v>7</v>
      </c>
      <c r="FY870" s="101">
        <f t="shared" si="469"/>
        <v>4</v>
      </c>
      <c r="FZ870" s="101" t="str">
        <f t="shared" si="461"/>
        <v>金币</v>
      </c>
      <c r="GA870" s="139">
        <f>IF($FY870&gt;0,IF(INDEX($EM$6:$EM$77,$FT870)&gt;=GA$3,ROUND(INDEX(EO$6:EO$77,$FT870)*INDEX(卡牌消耗!$B$8:$F$8,FV870)/5,0)*5,""),"")</f>
        <v>16245</v>
      </c>
      <c r="GB870" s="101" t="str">
        <f t="shared" si="462"/>
        <v>专属强化石3</v>
      </c>
      <c r="GC870" s="101">
        <f t="shared" si="463"/>
        <v>12</v>
      </c>
      <c r="GD870" s="101" t="str">
        <f t="shared" si="464"/>
        <v>专属强化石4</v>
      </c>
      <c r="GE870" s="101">
        <f t="shared" si="465"/>
        <v>4</v>
      </c>
      <c r="GF870" s="101">
        <f t="shared" si="470"/>
        <v>0.08</v>
      </c>
      <c r="GG870" s="101">
        <f t="shared" si="471"/>
        <v>1</v>
      </c>
      <c r="GH870" s="101">
        <f t="shared" si="472"/>
        <v>19</v>
      </c>
      <c r="GI870" s="101">
        <f t="shared" si="473"/>
        <v>0</v>
      </c>
      <c r="GJ870" s="101">
        <f t="shared" si="474"/>
        <v>1</v>
      </c>
      <c r="GK870" s="101">
        <f t="shared" si="475"/>
        <v>4</v>
      </c>
      <c r="GL870" s="101">
        <f t="shared" si="476"/>
        <v>3.9800000000000002E-2</v>
      </c>
      <c r="GM870" s="101">
        <f t="shared" si="477"/>
        <v>1</v>
      </c>
      <c r="GN870" s="101">
        <f t="shared" si="478"/>
        <v>9</v>
      </c>
      <c r="GO870" s="101">
        <f t="shared" si="479"/>
        <v>0.15909999999999999</v>
      </c>
      <c r="GP870" s="101">
        <f t="shared" si="480"/>
        <v>1</v>
      </c>
      <c r="GQ870" s="101">
        <f t="shared" si="481"/>
        <v>19</v>
      </c>
    </row>
    <row r="871" spans="175:199" ht="16.5" x14ac:dyDescent="0.2">
      <c r="FS871" s="101">
        <v>866</v>
      </c>
      <c r="FT871" s="101">
        <f t="shared" si="466"/>
        <v>59</v>
      </c>
      <c r="FU871" s="101">
        <f t="shared" si="459"/>
        <v>11</v>
      </c>
      <c r="FV871" s="14">
        <f t="shared" si="460"/>
        <v>5</v>
      </c>
      <c r="FW871" s="101" t="str">
        <f t="shared" si="467"/>
        <v>夏侯惇专属武器-魂珠-7 5级</v>
      </c>
      <c r="FX871" s="101">
        <f t="shared" si="468"/>
        <v>7</v>
      </c>
      <c r="FY871" s="101">
        <f t="shared" si="469"/>
        <v>5</v>
      </c>
      <c r="FZ871" s="101" t="str">
        <f t="shared" si="461"/>
        <v>金币</v>
      </c>
      <c r="GA871" s="139">
        <f>IF($FY871&gt;0,IF(INDEX($EM$6:$EM$77,$FT871)&gt;=GA$3,ROUND(INDEX(EO$6:EO$77,$FT871)*INDEX(卡牌消耗!$B$8:$F$8,FV871)/5,0)*5,""),"")</f>
        <v>16500</v>
      </c>
      <c r="GB871" s="101" t="str">
        <f t="shared" si="462"/>
        <v>专属强化石3</v>
      </c>
      <c r="GC871" s="101">
        <f t="shared" si="463"/>
        <v>12</v>
      </c>
      <c r="GD871" s="101" t="str">
        <f t="shared" si="464"/>
        <v>专属强化石4</v>
      </c>
      <c r="GE871" s="101">
        <f t="shared" si="465"/>
        <v>4</v>
      </c>
      <c r="GF871" s="101">
        <f t="shared" si="470"/>
        <v>0.05</v>
      </c>
      <c r="GG871" s="101">
        <f t="shared" si="471"/>
        <v>1</v>
      </c>
      <c r="GH871" s="101">
        <f t="shared" si="472"/>
        <v>30</v>
      </c>
      <c r="GI871" s="101">
        <f t="shared" si="473"/>
        <v>0</v>
      </c>
      <c r="GJ871" s="101">
        <f t="shared" si="474"/>
        <v>1</v>
      </c>
      <c r="GK871" s="101">
        <f t="shared" si="475"/>
        <v>7</v>
      </c>
      <c r="GL871" s="101">
        <f t="shared" si="476"/>
        <v>2.4899999999999999E-2</v>
      </c>
      <c r="GM871" s="101">
        <f t="shared" si="477"/>
        <v>1</v>
      </c>
      <c r="GN871" s="101">
        <f t="shared" si="478"/>
        <v>14</v>
      </c>
      <c r="GO871" s="101">
        <f t="shared" si="479"/>
        <v>9.9400000000000002E-2</v>
      </c>
      <c r="GP871" s="101">
        <f t="shared" si="480"/>
        <v>1</v>
      </c>
      <c r="GQ871" s="101">
        <f t="shared" si="481"/>
        <v>30</v>
      </c>
    </row>
    <row r="872" spans="175:199" ht="16.5" x14ac:dyDescent="0.2">
      <c r="FS872" s="101">
        <v>867</v>
      </c>
      <c r="FT872" s="101">
        <f t="shared" si="466"/>
        <v>60</v>
      </c>
      <c r="FU872" s="101">
        <f t="shared" si="459"/>
        <v>11</v>
      </c>
      <c r="FV872" s="14">
        <f t="shared" si="460"/>
        <v>5</v>
      </c>
      <c r="FW872" s="101" t="str">
        <f t="shared" si="467"/>
        <v>夏侯惇专属武器-魂珠-7 6级</v>
      </c>
      <c r="FX872" s="101">
        <f t="shared" si="468"/>
        <v>7</v>
      </c>
      <c r="FY872" s="101">
        <f t="shared" si="469"/>
        <v>6</v>
      </c>
      <c r="FZ872" s="101" t="str">
        <f t="shared" si="461"/>
        <v>金币</v>
      </c>
      <c r="GA872" s="139">
        <f>IF($FY872&gt;0,IF(INDEX($EM$6:$EM$77,$FT872)&gt;=GA$3,ROUND(INDEX(EO$6:EO$77,$FT872)*INDEX(卡牌消耗!$B$8:$F$8,FV872)/5,0)*5,""),"")</f>
        <v>20505</v>
      </c>
      <c r="GB872" s="101" t="str">
        <f t="shared" si="462"/>
        <v>专属强化石3</v>
      </c>
      <c r="GC872" s="101">
        <f t="shared" si="463"/>
        <v>15</v>
      </c>
      <c r="GD872" s="101" t="str">
        <f t="shared" si="464"/>
        <v>专属强化石4</v>
      </c>
      <c r="GE872" s="101">
        <f t="shared" si="465"/>
        <v>5</v>
      </c>
      <c r="GF872" s="101">
        <f t="shared" si="470"/>
        <v>0.04</v>
      </c>
      <c r="GG872" s="101">
        <f t="shared" si="471"/>
        <v>1</v>
      </c>
      <c r="GH872" s="101">
        <f t="shared" si="472"/>
        <v>39</v>
      </c>
      <c r="GI872" s="101">
        <f t="shared" si="473"/>
        <v>0</v>
      </c>
      <c r="GJ872" s="101">
        <f t="shared" si="474"/>
        <v>1</v>
      </c>
      <c r="GK872" s="101">
        <f t="shared" si="475"/>
        <v>9</v>
      </c>
      <c r="GL872" s="101">
        <f t="shared" si="476"/>
        <v>1.9099999999999999E-2</v>
      </c>
      <c r="GM872" s="101">
        <f t="shared" si="477"/>
        <v>1</v>
      </c>
      <c r="GN872" s="101">
        <f t="shared" si="478"/>
        <v>18</v>
      </c>
      <c r="GO872" s="101">
        <f t="shared" si="479"/>
        <v>7.6499999999999999E-2</v>
      </c>
      <c r="GP872" s="101">
        <f t="shared" si="480"/>
        <v>1</v>
      </c>
      <c r="GQ872" s="101">
        <f t="shared" si="481"/>
        <v>39</v>
      </c>
    </row>
    <row r="873" spans="175:199" ht="16.5" x14ac:dyDescent="0.2">
      <c r="FS873" s="101">
        <v>868</v>
      </c>
      <c r="FT873" s="101">
        <f t="shared" si="466"/>
        <v>61</v>
      </c>
      <c r="FU873" s="101">
        <f t="shared" si="459"/>
        <v>11</v>
      </c>
      <c r="FV873" s="14">
        <f t="shared" si="460"/>
        <v>5</v>
      </c>
      <c r="FW873" s="101" t="str">
        <f t="shared" si="467"/>
        <v>夏侯惇专属武器-魂珠-7 7级</v>
      </c>
      <c r="FX873" s="101">
        <f t="shared" si="468"/>
        <v>7</v>
      </c>
      <c r="FY873" s="101">
        <f t="shared" si="469"/>
        <v>7</v>
      </c>
      <c r="FZ873" s="101" t="str">
        <f t="shared" si="461"/>
        <v>金币</v>
      </c>
      <c r="GA873" s="139">
        <f>IF($FY873&gt;0,IF(INDEX($EM$6:$EM$77,$FT873)&gt;=GA$3,ROUND(INDEX(EO$6:EO$77,$FT873)*INDEX(卡牌消耗!$B$8:$F$8,FV873)/5,0)*5,""),"")</f>
        <v>28770</v>
      </c>
      <c r="GB873" s="101" t="str">
        <f t="shared" si="462"/>
        <v>专属强化石3</v>
      </c>
      <c r="GC873" s="101">
        <f t="shared" si="463"/>
        <v>21</v>
      </c>
      <c r="GD873" s="101" t="str">
        <f t="shared" si="464"/>
        <v>专属强化石4</v>
      </c>
      <c r="GE873" s="101">
        <f t="shared" si="465"/>
        <v>7</v>
      </c>
      <c r="GF873" s="101">
        <f t="shared" si="470"/>
        <v>0.03</v>
      </c>
      <c r="GG873" s="101">
        <f t="shared" si="471"/>
        <v>1</v>
      </c>
      <c r="GH873" s="101">
        <f t="shared" si="472"/>
        <v>45</v>
      </c>
      <c r="GI873" s="101">
        <f t="shared" si="473"/>
        <v>0</v>
      </c>
      <c r="GJ873" s="101">
        <f t="shared" si="474"/>
        <v>1</v>
      </c>
      <c r="GK873" s="101">
        <f t="shared" si="475"/>
        <v>11</v>
      </c>
      <c r="GL873" s="101">
        <f t="shared" si="476"/>
        <v>1.66E-2</v>
      </c>
      <c r="GM873" s="101">
        <f t="shared" si="477"/>
        <v>1</v>
      </c>
      <c r="GN873" s="101">
        <f t="shared" si="478"/>
        <v>21</v>
      </c>
      <c r="GO873" s="101">
        <f t="shared" si="479"/>
        <v>6.6299999999999998E-2</v>
      </c>
      <c r="GP873" s="101">
        <f t="shared" si="480"/>
        <v>1</v>
      </c>
      <c r="GQ873" s="101">
        <f t="shared" si="481"/>
        <v>45</v>
      </c>
    </row>
    <row r="874" spans="175:199" ht="16.5" x14ac:dyDescent="0.2">
      <c r="FS874" s="101">
        <v>869</v>
      </c>
      <c r="FT874" s="101">
        <f t="shared" si="466"/>
        <v>62</v>
      </c>
      <c r="FU874" s="101">
        <f t="shared" si="459"/>
        <v>11</v>
      </c>
      <c r="FV874" s="14">
        <f t="shared" si="460"/>
        <v>5</v>
      </c>
      <c r="FW874" s="101" t="str">
        <f t="shared" si="467"/>
        <v>夏侯惇专属武器-魂珠-7 8级</v>
      </c>
      <c r="FX874" s="101">
        <f t="shared" si="468"/>
        <v>7</v>
      </c>
      <c r="FY874" s="101">
        <f t="shared" si="469"/>
        <v>8</v>
      </c>
      <c r="FZ874" s="101" t="str">
        <f t="shared" si="461"/>
        <v>金币</v>
      </c>
      <c r="GA874" s="139">
        <f>IF($FY874&gt;0,IF(INDEX($EM$6:$EM$77,$FT874)&gt;=GA$3,ROUND(INDEX(EO$6:EO$77,$FT874)*INDEX(卡牌消耗!$B$8:$F$8,FV874)/5,0)*5,""),"")</f>
        <v>32850</v>
      </c>
      <c r="GB874" s="101" t="str">
        <f t="shared" si="462"/>
        <v>专属强化石3</v>
      </c>
      <c r="GC874" s="101">
        <f t="shared" si="463"/>
        <v>24</v>
      </c>
      <c r="GD874" s="101" t="str">
        <f t="shared" si="464"/>
        <v>专属强化石4</v>
      </c>
      <c r="GE874" s="101">
        <f t="shared" si="465"/>
        <v>8</v>
      </c>
      <c r="GF874" s="101">
        <f t="shared" si="470"/>
        <v>0.02</v>
      </c>
      <c r="GG874" s="101">
        <f t="shared" si="471"/>
        <v>1</v>
      </c>
      <c r="GH874" s="101">
        <f t="shared" si="472"/>
        <v>64</v>
      </c>
      <c r="GI874" s="101">
        <f t="shared" si="473"/>
        <v>0</v>
      </c>
      <c r="GJ874" s="101">
        <f t="shared" si="474"/>
        <v>1</v>
      </c>
      <c r="GK874" s="101">
        <f t="shared" si="475"/>
        <v>15</v>
      </c>
      <c r="GL874" s="101">
        <f t="shared" si="476"/>
        <v>1.17E-2</v>
      </c>
      <c r="GM874" s="101">
        <f t="shared" si="477"/>
        <v>1</v>
      </c>
      <c r="GN874" s="101">
        <f t="shared" si="478"/>
        <v>30</v>
      </c>
      <c r="GO874" s="101">
        <f t="shared" si="479"/>
        <v>4.6800000000000001E-2</v>
      </c>
      <c r="GP874" s="101">
        <f t="shared" si="480"/>
        <v>1</v>
      </c>
      <c r="GQ874" s="101">
        <f t="shared" si="481"/>
        <v>64</v>
      </c>
    </row>
    <row r="875" spans="175:199" ht="16.5" x14ac:dyDescent="0.2">
      <c r="FS875" s="101">
        <v>870</v>
      </c>
      <c r="FT875" s="101">
        <f t="shared" si="466"/>
        <v>63</v>
      </c>
      <c r="FU875" s="101">
        <f t="shared" si="459"/>
        <v>11</v>
      </c>
      <c r="FV875" s="14">
        <f t="shared" si="460"/>
        <v>5</v>
      </c>
      <c r="FW875" s="101" t="str">
        <f t="shared" si="467"/>
        <v>夏侯惇专属武器-魂珠-7 9级</v>
      </c>
      <c r="FX875" s="101">
        <f t="shared" si="468"/>
        <v>7</v>
      </c>
      <c r="FY875" s="101">
        <f t="shared" si="469"/>
        <v>9</v>
      </c>
      <c r="FZ875" s="101" t="str">
        <f t="shared" si="461"/>
        <v>金币</v>
      </c>
      <c r="GA875" s="139">
        <f>IF($FY875&gt;0,IF(INDEX($EM$6:$EM$77,$FT875)&gt;=GA$3,ROUND(INDEX(EO$6:EO$77,$FT875)*INDEX(卡牌消耗!$B$8:$F$8,FV875)/5,0)*5,""),"")</f>
        <v>41080</v>
      </c>
      <c r="GB875" s="101" t="str">
        <f t="shared" si="462"/>
        <v>专属强化石3</v>
      </c>
      <c r="GC875" s="101">
        <f t="shared" si="463"/>
        <v>30</v>
      </c>
      <c r="GD875" s="101" t="str">
        <f t="shared" si="464"/>
        <v>专属强化石4</v>
      </c>
      <c r="GE875" s="101">
        <f t="shared" si="465"/>
        <v>10</v>
      </c>
      <c r="GF875" s="101">
        <f t="shared" si="470"/>
        <v>0.02</v>
      </c>
      <c r="GG875" s="101">
        <f t="shared" si="471"/>
        <v>1</v>
      </c>
      <c r="GH875" s="101">
        <f t="shared" si="472"/>
        <v>83</v>
      </c>
      <c r="GI875" s="101">
        <f t="shared" si="473"/>
        <v>0</v>
      </c>
      <c r="GJ875" s="101">
        <f t="shared" si="474"/>
        <v>1</v>
      </c>
      <c r="GK875" s="101">
        <f t="shared" si="475"/>
        <v>19</v>
      </c>
      <c r="GL875" s="101">
        <f t="shared" si="476"/>
        <v>8.9999999999999993E-3</v>
      </c>
      <c r="GM875" s="101">
        <f t="shared" si="477"/>
        <v>1</v>
      </c>
      <c r="GN875" s="101">
        <f t="shared" si="478"/>
        <v>39</v>
      </c>
      <c r="GO875" s="101">
        <f t="shared" si="479"/>
        <v>3.6200000000000003E-2</v>
      </c>
      <c r="GP875" s="101">
        <f t="shared" si="480"/>
        <v>1</v>
      </c>
      <c r="GQ875" s="101">
        <f t="shared" si="481"/>
        <v>83</v>
      </c>
    </row>
    <row r="876" spans="175:199" ht="16.5" x14ac:dyDescent="0.2">
      <c r="FS876" s="101">
        <v>871</v>
      </c>
      <c r="FT876" s="101">
        <f t="shared" si="466"/>
        <v>0</v>
      </c>
      <c r="FU876" s="101">
        <f t="shared" si="459"/>
        <v>11</v>
      </c>
      <c r="FV876" s="14">
        <f t="shared" si="460"/>
        <v>5</v>
      </c>
      <c r="FW876" s="101" t="str">
        <f t="shared" si="467"/>
        <v>夏侯惇专属武器-魂珠-8 0级</v>
      </c>
      <c r="FX876" s="101">
        <f t="shared" si="468"/>
        <v>8</v>
      </c>
      <c r="FY876" s="101">
        <f t="shared" si="469"/>
        <v>0</v>
      </c>
      <c r="FZ876" s="101" t="str">
        <f t="shared" si="461"/>
        <v/>
      </c>
      <c r="GA876" s="139" t="str">
        <f>IF($FY876&gt;0,IF(INDEX($EM$6:$EM$77,$FT876)&gt;=GA$3,ROUND(INDEX(EO$6:EO$77,$FT876)*INDEX(卡牌消耗!$B$8:$F$8,FV876)/5,0)*5,""),"")</f>
        <v/>
      </c>
      <c r="GB876" s="101" t="str">
        <f t="shared" si="462"/>
        <v/>
      </c>
      <c r="GC876" s="101" t="str">
        <f t="shared" si="463"/>
        <v/>
      </c>
      <c r="GD876" s="101" t="str">
        <f t="shared" si="464"/>
        <v/>
      </c>
      <c r="GE876" s="101" t="str">
        <f t="shared" si="465"/>
        <v/>
      </c>
      <c r="GF876" s="101" t="str">
        <f t="shared" si="470"/>
        <v/>
      </c>
      <c r="GG876" s="101" t="str">
        <f t="shared" si="471"/>
        <v/>
      </c>
      <c r="GH876" s="101" t="str">
        <f t="shared" si="472"/>
        <v/>
      </c>
      <c r="GI876" s="101" t="str">
        <f t="shared" si="473"/>
        <v/>
      </c>
      <c r="GJ876" s="101" t="str">
        <f t="shared" si="474"/>
        <v/>
      </c>
      <c r="GK876" s="101" t="str">
        <f t="shared" si="475"/>
        <v/>
      </c>
      <c r="GL876" s="101" t="str">
        <f t="shared" si="476"/>
        <v/>
      </c>
      <c r="GM876" s="101" t="str">
        <f t="shared" si="477"/>
        <v/>
      </c>
      <c r="GN876" s="101" t="str">
        <f t="shared" si="478"/>
        <v/>
      </c>
      <c r="GO876" s="101" t="str">
        <f t="shared" si="479"/>
        <v/>
      </c>
      <c r="GP876" s="101" t="str">
        <f t="shared" si="480"/>
        <v/>
      </c>
      <c r="GQ876" s="101" t="str">
        <f t="shared" si="481"/>
        <v/>
      </c>
    </row>
    <row r="877" spans="175:199" ht="16.5" x14ac:dyDescent="0.2">
      <c r="FS877" s="101">
        <v>872</v>
      </c>
      <c r="FT877" s="101">
        <f t="shared" si="466"/>
        <v>64</v>
      </c>
      <c r="FU877" s="101">
        <f t="shared" si="459"/>
        <v>11</v>
      </c>
      <c r="FV877" s="14">
        <f t="shared" si="460"/>
        <v>5</v>
      </c>
      <c r="FW877" s="101" t="str">
        <f t="shared" si="467"/>
        <v>夏侯惇专属武器-魂珠-8 1级</v>
      </c>
      <c r="FX877" s="101">
        <f t="shared" si="468"/>
        <v>8</v>
      </c>
      <c r="FY877" s="101">
        <f t="shared" si="469"/>
        <v>1</v>
      </c>
      <c r="FZ877" s="101" t="str">
        <f t="shared" si="461"/>
        <v>金币</v>
      </c>
      <c r="GA877" s="139">
        <f>IF($FY877&gt;0,IF(INDEX($EM$6:$EM$77,$FT877)&gt;=GA$3,ROUND(INDEX(EO$6:EO$77,$FT877)*INDEX(卡牌消耗!$B$8:$F$8,FV877)/5,0)*5,""),"")</f>
        <v>8655</v>
      </c>
      <c r="GB877" s="101" t="str">
        <f t="shared" si="462"/>
        <v>专属强化石4</v>
      </c>
      <c r="GC877" s="101">
        <f t="shared" si="463"/>
        <v>5</v>
      </c>
      <c r="GD877" s="101" t="str">
        <f t="shared" si="464"/>
        <v/>
      </c>
      <c r="GE877" s="101" t="str">
        <f t="shared" si="465"/>
        <v/>
      </c>
      <c r="GF877" s="101">
        <f t="shared" si="470"/>
        <v>0.11</v>
      </c>
      <c r="GG877" s="101">
        <f t="shared" si="471"/>
        <v>1</v>
      </c>
      <c r="GH877" s="101">
        <f t="shared" si="472"/>
        <v>13</v>
      </c>
      <c r="GI877" s="101">
        <f t="shared" si="473"/>
        <v>0</v>
      </c>
      <c r="GJ877" s="101">
        <f t="shared" si="474"/>
        <v>1</v>
      </c>
      <c r="GK877" s="101">
        <f t="shared" si="475"/>
        <v>3</v>
      </c>
      <c r="GL877" s="101">
        <f t="shared" si="476"/>
        <v>5.6500000000000002E-2</v>
      </c>
      <c r="GM877" s="101">
        <f t="shared" si="477"/>
        <v>1</v>
      </c>
      <c r="GN877" s="101">
        <f t="shared" si="478"/>
        <v>6</v>
      </c>
      <c r="GO877" s="101">
        <f t="shared" si="479"/>
        <v>0.22600000000000001</v>
      </c>
      <c r="GP877" s="101">
        <f t="shared" si="480"/>
        <v>1</v>
      </c>
      <c r="GQ877" s="101">
        <f t="shared" si="481"/>
        <v>13</v>
      </c>
    </row>
    <row r="878" spans="175:199" ht="16.5" x14ac:dyDescent="0.2">
      <c r="FS878" s="101">
        <v>873</v>
      </c>
      <c r="FT878" s="101">
        <f t="shared" si="466"/>
        <v>65</v>
      </c>
      <c r="FU878" s="101">
        <f t="shared" si="459"/>
        <v>11</v>
      </c>
      <c r="FV878" s="14">
        <f t="shared" si="460"/>
        <v>5</v>
      </c>
      <c r="FW878" s="101" t="str">
        <f t="shared" si="467"/>
        <v>夏侯惇专属武器-魂珠-8 2级</v>
      </c>
      <c r="FX878" s="101">
        <f t="shared" si="468"/>
        <v>8</v>
      </c>
      <c r="FY878" s="101">
        <f t="shared" si="469"/>
        <v>2</v>
      </c>
      <c r="FZ878" s="101" t="str">
        <f t="shared" si="461"/>
        <v>金币</v>
      </c>
      <c r="GA878" s="139">
        <f>IF($FY878&gt;0,IF(INDEX($EM$6:$EM$77,$FT878)&gt;=GA$3,ROUND(INDEX(EO$6:EO$77,$FT878)*INDEX(卡牌消耗!$B$8:$F$8,FV878)/5,0)*5,""),"")</f>
        <v>10385</v>
      </c>
      <c r="GB878" s="101" t="str">
        <f t="shared" si="462"/>
        <v>专属强化石4</v>
      </c>
      <c r="GC878" s="101">
        <f t="shared" si="463"/>
        <v>8</v>
      </c>
      <c r="GD878" s="101" t="str">
        <f t="shared" si="464"/>
        <v/>
      </c>
      <c r="GE878" s="101" t="str">
        <f t="shared" si="465"/>
        <v/>
      </c>
      <c r="GF878" s="101">
        <f t="shared" si="470"/>
        <v>0.09</v>
      </c>
      <c r="GG878" s="101">
        <f t="shared" si="471"/>
        <v>1</v>
      </c>
      <c r="GH878" s="101">
        <f t="shared" si="472"/>
        <v>17</v>
      </c>
      <c r="GI878" s="101">
        <f t="shared" si="473"/>
        <v>0</v>
      </c>
      <c r="GJ878" s="101">
        <f t="shared" si="474"/>
        <v>1</v>
      </c>
      <c r="GK878" s="101">
        <f t="shared" si="475"/>
        <v>4</v>
      </c>
      <c r="GL878" s="101">
        <f t="shared" si="476"/>
        <v>4.5199999999999997E-2</v>
      </c>
      <c r="GM878" s="101">
        <f t="shared" si="477"/>
        <v>1</v>
      </c>
      <c r="GN878" s="101">
        <f t="shared" si="478"/>
        <v>8</v>
      </c>
      <c r="GO878" s="101">
        <f t="shared" si="479"/>
        <v>0.18079999999999999</v>
      </c>
      <c r="GP878" s="101">
        <f t="shared" si="480"/>
        <v>1</v>
      </c>
      <c r="GQ878" s="101">
        <f t="shared" si="481"/>
        <v>17</v>
      </c>
    </row>
    <row r="879" spans="175:199" ht="16.5" x14ac:dyDescent="0.2">
      <c r="FS879" s="101">
        <v>874</v>
      </c>
      <c r="FT879" s="101">
        <f t="shared" si="466"/>
        <v>66</v>
      </c>
      <c r="FU879" s="101">
        <f t="shared" si="459"/>
        <v>11</v>
      </c>
      <c r="FV879" s="14">
        <f t="shared" si="460"/>
        <v>5</v>
      </c>
      <c r="FW879" s="101" t="str">
        <f t="shared" si="467"/>
        <v>夏侯惇专属武器-魂珠-8 3级</v>
      </c>
      <c r="FX879" s="101">
        <f t="shared" si="468"/>
        <v>8</v>
      </c>
      <c r="FY879" s="101">
        <f t="shared" si="469"/>
        <v>3</v>
      </c>
      <c r="FZ879" s="101" t="str">
        <f t="shared" si="461"/>
        <v>金币</v>
      </c>
      <c r="GA879" s="139">
        <f>IF($FY879&gt;0,IF(INDEX($EM$6:$EM$77,$FT879)&gt;=GA$3,ROUND(INDEX(EO$6:EO$77,$FT879)*INDEX(卡牌消耗!$B$8:$F$8,FV879)/5,0)*5,""),"")</f>
        <v>14425</v>
      </c>
      <c r="GB879" s="101" t="str">
        <f t="shared" si="462"/>
        <v>专属强化石4</v>
      </c>
      <c r="GC879" s="101">
        <f t="shared" si="463"/>
        <v>10</v>
      </c>
      <c r="GD879" s="101" t="str">
        <f t="shared" si="464"/>
        <v/>
      </c>
      <c r="GE879" s="101" t="str">
        <f t="shared" si="465"/>
        <v/>
      </c>
      <c r="GF879" s="101">
        <f t="shared" si="470"/>
        <v>0.08</v>
      </c>
      <c r="GG879" s="101">
        <f t="shared" si="471"/>
        <v>1</v>
      </c>
      <c r="GH879" s="101">
        <f t="shared" si="472"/>
        <v>20</v>
      </c>
      <c r="GI879" s="101">
        <f t="shared" si="473"/>
        <v>0</v>
      </c>
      <c r="GJ879" s="101">
        <f t="shared" si="474"/>
        <v>1</v>
      </c>
      <c r="GK879" s="101">
        <f t="shared" si="475"/>
        <v>5</v>
      </c>
      <c r="GL879" s="101">
        <f t="shared" si="476"/>
        <v>3.7699999999999997E-2</v>
      </c>
      <c r="GM879" s="101">
        <f t="shared" si="477"/>
        <v>1</v>
      </c>
      <c r="GN879" s="101">
        <f t="shared" si="478"/>
        <v>9</v>
      </c>
      <c r="GO879" s="101">
        <f t="shared" si="479"/>
        <v>0.1507</v>
      </c>
      <c r="GP879" s="101">
        <f t="shared" si="480"/>
        <v>1</v>
      </c>
      <c r="GQ879" s="101">
        <f t="shared" si="481"/>
        <v>20</v>
      </c>
    </row>
    <row r="880" spans="175:199" ht="16.5" x14ac:dyDescent="0.2">
      <c r="FS880" s="101">
        <v>875</v>
      </c>
      <c r="FT880" s="101">
        <f t="shared" si="466"/>
        <v>67</v>
      </c>
      <c r="FU880" s="101">
        <f t="shared" si="459"/>
        <v>11</v>
      </c>
      <c r="FV880" s="14">
        <f t="shared" si="460"/>
        <v>5</v>
      </c>
      <c r="FW880" s="101" t="str">
        <f t="shared" si="467"/>
        <v>夏侯惇专属武器-魂珠-8 4级</v>
      </c>
      <c r="FX880" s="101">
        <f t="shared" si="468"/>
        <v>8</v>
      </c>
      <c r="FY880" s="101">
        <f t="shared" si="469"/>
        <v>4</v>
      </c>
      <c r="FZ880" s="101" t="str">
        <f t="shared" si="461"/>
        <v>金币</v>
      </c>
      <c r="GA880" s="139">
        <f>IF($FY880&gt;0,IF(INDEX($EM$6:$EM$77,$FT880)&gt;=GA$3,ROUND(INDEX(EO$6:EO$77,$FT880)*INDEX(卡牌消耗!$B$8:$F$8,FV880)/5,0)*5,""),"")</f>
        <v>16615</v>
      </c>
      <c r="GB880" s="101" t="str">
        <f t="shared" si="462"/>
        <v>专属强化石4</v>
      </c>
      <c r="GC880" s="101">
        <f t="shared" si="463"/>
        <v>12</v>
      </c>
      <c r="GD880" s="101" t="str">
        <f t="shared" si="464"/>
        <v/>
      </c>
      <c r="GE880" s="101" t="str">
        <f t="shared" si="465"/>
        <v/>
      </c>
      <c r="GF880" s="101">
        <f t="shared" si="470"/>
        <v>0.05</v>
      </c>
      <c r="GG880" s="101">
        <f t="shared" si="471"/>
        <v>1</v>
      </c>
      <c r="GH880" s="101">
        <f t="shared" si="472"/>
        <v>28</v>
      </c>
      <c r="GI880" s="101">
        <f t="shared" si="473"/>
        <v>0</v>
      </c>
      <c r="GJ880" s="101">
        <f t="shared" si="474"/>
        <v>1</v>
      </c>
      <c r="GK880" s="101">
        <f t="shared" si="475"/>
        <v>6</v>
      </c>
      <c r="GL880" s="101">
        <f t="shared" si="476"/>
        <v>2.7099999999999999E-2</v>
      </c>
      <c r="GM880" s="101">
        <f t="shared" si="477"/>
        <v>1</v>
      </c>
      <c r="GN880" s="101">
        <f t="shared" si="478"/>
        <v>13</v>
      </c>
      <c r="GO880" s="101">
        <f t="shared" si="479"/>
        <v>0.1085</v>
      </c>
      <c r="GP880" s="101">
        <f t="shared" si="480"/>
        <v>1</v>
      </c>
      <c r="GQ880" s="101">
        <f t="shared" si="481"/>
        <v>28</v>
      </c>
    </row>
    <row r="881" spans="175:199" ht="16.5" x14ac:dyDescent="0.2">
      <c r="FS881" s="101">
        <v>876</v>
      </c>
      <c r="FT881" s="101">
        <f t="shared" si="466"/>
        <v>68</v>
      </c>
      <c r="FU881" s="101">
        <f t="shared" si="459"/>
        <v>11</v>
      </c>
      <c r="FV881" s="14">
        <f t="shared" si="460"/>
        <v>5</v>
      </c>
      <c r="FW881" s="101" t="str">
        <f t="shared" si="467"/>
        <v>夏侯惇专属武器-魂珠-8 5级</v>
      </c>
      <c r="FX881" s="101">
        <f t="shared" si="468"/>
        <v>8</v>
      </c>
      <c r="FY881" s="101">
        <f t="shared" si="469"/>
        <v>5</v>
      </c>
      <c r="FZ881" s="101" t="str">
        <f t="shared" si="461"/>
        <v>金币</v>
      </c>
      <c r="GA881" s="139">
        <f>IF($FY881&gt;0,IF(INDEX($EM$6:$EM$77,$FT881)&gt;=GA$3,ROUND(INDEX(EO$6:EO$77,$FT881)*INDEX(卡牌消耗!$B$8:$F$8,FV881)/5,0)*5,""),"")</f>
        <v>21095</v>
      </c>
      <c r="GB881" s="101" t="str">
        <f t="shared" si="462"/>
        <v>专属强化石4</v>
      </c>
      <c r="GC881" s="101">
        <f t="shared" si="463"/>
        <v>15</v>
      </c>
      <c r="GD881" s="101" t="str">
        <f t="shared" si="464"/>
        <v/>
      </c>
      <c r="GE881" s="101" t="str">
        <f t="shared" si="465"/>
        <v/>
      </c>
      <c r="GF881" s="101">
        <f t="shared" si="470"/>
        <v>0.04</v>
      </c>
      <c r="GG881" s="101">
        <f t="shared" si="471"/>
        <v>1</v>
      </c>
      <c r="GH881" s="101">
        <f t="shared" si="472"/>
        <v>35</v>
      </c>
      <c r="GI881" s="101">
        <f t="shared" si="473"/>
        <v>0</v>
      </c>
      <c r="GJ881" s="101">
        <f t="shared" si="474"/>
        <v>1</v>
      </c>
      <c r="GK881" s="101">
        <f t="shared" si="475"/>
        <v>8</v>
      </c>
      <c r="GL881" s="101">
        <f t="shared" si="476"/>
        <v>2.12E-2</v>
      </c>
      <c r="GM881" s="101">
        <f t="shared" si="477"/>
        <v>1</v>
      </c>
      <c r="GN881" s="101">
        <f t="shared" si="478"/>
        <v>17</v>
      </c>
      <c r="GO881" s="101">
        <f t="shared" si="479"/>
        <v>8.4699999999999998E-2</v>
      </c>
      <c r="GP881" s="101">
        <f t="shared" si="480"/>
        <v>1</v>
      </c>
      <c r="GQ881" s="101">
        <f t="shared" si="481"/>
        <v>35</v>
      </c>
    </row>
    <row r="882" spans="175:199" ht="16.5" x14ac:dyDescent="0.2">
      <c r="FS882" s="101">
        <v>877</v>
      </c>
      <c r="FT882" s="101">
        <f t="shared" si="466"/>
        <v>69</v>
      </c>
      <c r="FU882" s="101">
        <f t="shared" si="459"/>
        <v>11</v>
      </c>
      <c r="FV882" s="14">
        <f t="shared" si="460"/>
        <v>5</v>
      </c>
      <c r="FW882" s="101" t="str">
        <f t="shared" si="467"/>
        <v>夏侯惇专属武器-魂珠-8 6级</v>
      </c>
      <c r="FX882" s="101">
        <f t="shared" si="468"/>
        <v>8</v>
      </c>
      <c r="FY882" s="101">
        <f t="shared" si="469"/>
        <v>6</v>
      </c>
      <c r="FZ882" s="101" t="str">
        <f t="shared" si="461"/>
        <v>金币</v>
      </c>
      <c r="GA882" s="139">
        <f>IF($FY882&gt;0,IF(INDEX($EM$6:$EM$77,$FT882)&gt;=GA$3,ROUND(INDEX(EO$6:EO$77,$FT882)*INDEX(卡牌消耗!$B$8:$F$8,FV882)/5,0)*5,""),"")</f>
        <v>25160</v>
      </c>
      <c r="GB882" s="101" t="str">
        <f t="shared" si="462"/>
        <v>专属强化石4</v>
      </c>
      <c r="GC882" s="101">
        <f t="shared" si="463"/>
        <v>18</v>
      </c>
      <c r="GD882" s="101" t="str">
        <f t="shared" si="464"/>
        <v/>
      </c>
      <c r="GE882" s="101" t="str">
        <f t="shared" si="465"/>
        <v/>
      </c>
      <c r="GF882" s="101">
        <f t="shared" si="470"/>
        <v>0.03</v>
      </c>
      <c r="GG882" s="101">
        <f t="shared" si="471"/>
        <v>1</v>
      </c>
      <c r="GH882" s="101">
        <f t="shared" si="472"/>
        <v>48</v>
      </c>
      <c r="GI882" s="101">
        <f t="shared" si="473"/>
        <v>0</v>
      </c>
      <c r="GJ882" s="101">
        <f t="shared" si="474"/>
        <v>1</v>
      </c>
      <c r="GK882" s="101">
        <f t="shared" si="475"/>
        <v>11</v>
      </c>
      <c r="GL882" s="101">
        <f t="shared" si="476"/>
        <v>1.5599999999999999E-2</v>
      </c>
      <c r="GM882" s="101">
        <f t="shared" si="477"/>
        <v>1</v>
      </c>
      <c r="GN882" s="101">
        <f t="shared" si="478"/>
        <v>22</v>
      </c>
      <c r="GO882" s="101">
        <f t="shared" si="479"/>
        <v>6.2600000000000003E-2</v>
      </c>
      <c r="GP882" s="101">
        <f t="shared" si="480"/>
        <v>1</v>
      </c>
      <c r="GQ882" s="101">
        <f t="shared" si="481"/>
        <v>48</v>
      </c>
    </row>
    <row r="883" spans="175:199" ht="16.5" x14ac:dyDescent="0.2">
      <c r="FS883" s="101">
        <v>878</v>
      </c>
      <c r="FT883" s="101">
        <f t="shared" si="466"/>
        <v>70</v>
      </c>
      <c r="FU883" s="101">
        <f t="shared" si="459"/>
        <v>11</v>
      </c>
      <c r="FV883" s="14">
        <f t="shared" si="460"/>
        <v>5</v>
      </c>
      <c r="FW883" s="101" t="str">
        <f t="shared" si="467"/>
        <v>夏侯惇专属武器-魂珠-8 7级</v>
      </c>
      <c r="FX883" s="101">
        <f t="shared" si="468"/>
        <v>8</v>
      </c>
      <c r="FY883" s="101">
        <f t="shared" si="469"/>
        <v>7</v>
      </c>
      <c r="FZ883" s="101" t="str">
        <f t="shared" si="461"/>
        <v>金币</v>
      </c>
      <c r="GA883" s="139">
        <f>IF($FY883&gt;0,IF(INDEX($EM$6:$EM$77,$FT883)&gt;=GA$3,ROUND(INDEX(EO$6:EO$77,$FT883)*INDEX(卡牌消耗!$B$8:$F$8,FV883)/5,0)*5,""),"")</f>
        <v>35030</v>
      </c>
      <c r="GB883" s="101" t="str">
        <f t="shared" si="462"/>
        <v>专属强化石4</v>
      </c>
      <c r="GC883" s="101">
        <f t="shared" si="463"/>
        <v>25</v>
      </c>
      <c r="GD883" s="101" t="str">
        <f t="shared" si="464"/>
        <v/>
      </c>
      <c r="GE883" s="101" t="str">
        <f t="shared" si="465"/>
        <v/>
      </c>
      <c r="GF883" s="101">
        <f t="shared" si="470"/>
        <v>0.03</v>
      </c>
      <c r="GG883" s="101">
        <f t="shared" si="471"/>
        <v>1</v>
      </c>
      <c r="GH883" s="101">
        <f t="shared" si="472"/>
        <v>56</v>
      </c>
      <c r="GI883" s="101">
        <f t="shared" si="473"/>
        <v>0</v>
      </c>
      <c r="GJ883" s="101">
        <f t="shared" si="474"/>
        <v>1</v>
      </c>
      <c r="GK883" s="101">
        <f t="shared" si="475"/>
        <v>13</v>
      </c>
      <c r="GL883" s="101">
        <f t="shared" si="476"/>
        <v>1.35E-2</v>
      </c>
      <c r="GM883" s="101">
        <f t="shared" si="477"/>
        <v>1</v>
      </c>
      <c r="GN883" s="101">
        <f t="shared" si="478"/>
        <v>26</v>
      </c>
      <c r="GO883" s="101">
        <f t="shared" si="479"/>
        <v>5.3800000000000001E-2</v>
      </c>
      <c r="GP883" s="101">
        <f t="shared" si="480"/>
        <v>1</v>
      </c>
      <c r="GQ883" s="101">
        <f t="shared" si="481"/>
        <v>56</v>
      </c>
    </row>
    <row r="884" spans="175:199" ht="16.5" x14ac:dyDescent="0.2">
      <c r="FS884" s="101">
        <v>879</v>
      </c>
      <c r="FT884" s="101">
        <f t="shared" si="466"/>
        <v>71</v>
      </c>
      <c r="FU884" s="101">
        <f t="shared" si="459"/>
        <v>11</v>
      </c>
      <c r="FV884" s="14">
        <f t="shared" si="460"/>
        <v>5</v>
      </c>
      <c r="FW884" s="101" t="str">
        <f t="shared" si="467"/>
        <v>夏侯惇专属武器-魂珠-8 8级</v>
      </c>
      <c r="FX884" s="101">
        <f t="shared" si="468"/>
        <v>8</v>
      </c>
      <c r="FY884" s="101">
        <f t="shared" si="469"/>
        <v>8</v>
      </c>
      <c r="FZ884" s="101" t="str">
        <f t="shared" si="461"/>
        <v>金币</v>
      </c>
      <c r="GA884" s="139">
        <f>IF($FY884&gt;0,IF(INDEX($EM$6:$EM$77,$FT884)&gt;=GA$3,ROUND(INDEX(EO$6:EO$77,$FT884)*INDEX(卡牌消耗!$B$8:$F$8,FV884)/5,0)*5,""),"")</f>
        <v>41995</v>
      </c>
      <c r="GB884" s="101" t="str">
        <f t="shared" si="462"/>
        <v>专属强化石4</v>
      </c>
      <c r="GC884" s="101">
        <f t="shared" si="463"/>
        <v>30</v>
      </c>
      <c r="GD884" s="101" t="str">
        <f t="shared" si="464"/>
        <v/>
      </c>
      <c r="GE884" s="101" t="str">
        <f t="shared" si="465"/>
        <v/>
      </c>
      <c r="GF884" s="101">
        <f t="shared" si="470"/>
        <v>0.02</v>
      </c>
      <c r="GG884" s="101">
        <f t="shared" si="471"/>
        <v>1</v>
      </c>
      <c r="GH884" s="101">
        <f t="shared" si="472"/>
        <v>75</v>
      </c>
      <c r="GI884" s="101">
        <f t="shared" si="473"/>
        <v>0</v>
      </c>
      <c r="GJ884" s="101">
        <f t="shared" si="474"/>
        <v>1</v>
      </c>
      <c r="GK884" s="101">
        <f t="shared" si="475"/>
        <v>18</v>
      </c>
      <c r="GL884" s="101">
        <f t="shared" si="476"/>
        <v>0.01</v>
      </c>
      <c r="GM884" s="101">
        <f t="shared" si="477"/>
        <v>1</v>
      </c>
      <c r="GN884" s="101">
        <f t="shared" si="478"/>
        <v>35</v>
      </c>
      <c r="GO884" s="101">
        <f t="shared" si="479"/>
        <v>3.9899999999999998E-2</v>
      </c>
      <c r="GP884" s="101">
        <f t="shared" si="480"/>
        <v>1</v>
      </c>
      <c r="GQ884" s="101">
        <f t="shared" si="481"/>
        <v>75</v>
      </c>
    </row>
    <row r="885" spans="175:199" ht="16.5" x14ac:dyDescent="0.2">
      <c r="FS885" s="101">
        <v>880</v>
      </c>
      <c r="FT885" s="101">
        <f t="shared" si="466"/>
        <v>72</v>
      </c>
      <c r="FU885" s="101">
        <f t="shared" si="459"/>
        <v>11</v>
      </c>
      <c r="FV885" s="14">
        <f t="shared" si="460"/>
        <v>5</v>
      </c>
      <c r="FW885" s="101" t="str">
        <f t="shared" si="467"/>
        <v>夏侯惇专属武器-魂珠-8 9级</v>
      </c>
      <c r="FX885" s="101">
        <f t="shared" si="468"/>
        <v>8</v>
      </c>
      <c r="FY885" s="101">
        <f t="shared" si="469"/>
        <v>9</v>
      </c>
      <c r="FZ885" s="101" t="str">
        <f t="shared" si="461"/>
        <v>金币</v>
      </c>
      <c r="GA885" s="139">
        <f>IF($FY885&gt;0,IF(INDEX($EM$6:$EM$77,$FT885)&gt;=GA$3,ROUND(INDEX(EO$6:EO$77,$FT885)*INDEX(卡牌消耗!$B$8:$F$8,FV885)/5,0)*5,""),"")</f>
        <v>42010</v>
      </c>
      <c r="GB885" s="101" t="str">
        <f t="shared" si="462"/>
        <v>专属强化石4</v>
      </c>
      <c r="GC885" s="101">
        <f t="shared" si="463"/>
        <v>30</v>
      </c>
      <c r="GD885" s="101" t="str">
        <f t="shared" si="464"/>
        <v/>
      </c>
      <c r="GE885" s="101" t="str">
        <f t="shared" si="465"/>
        <v/>
      </c>
      <c r="GF885" s="101">
        <f t="shared" si="470"/>
        <v>0.01</v>
      </c>
      <c r="GG885" s="101">
        <f t="shared" si="471"/>
        <v>1</v>
      </c>
      <c r="GH885" s="101">
        <f t="shared" si="472"/>
        <v>122</v>
      </c>
      <c r="GI885" s="101">
        <f t="shared" si="473"/>
        <v>0</v>
      </c>
      <c r="GJ885" s="101">
        <f t="shared" si="474"/>
        <v>1</v>
      </c>
      <c r="GK885" s="101">
        <f t="shared" si="475"/>
        <v>28</v>
      </c>
      <c r="GL885" s="101">
        <f t="shared" si="476"/>
        <v>6.1999999999999998E-3</v>
      </c>
      <c r="GM885" s="101">
        <f t="shared" si="477"/>
        <v>1</v>
      </c>
      <c r="GN885" s="101">
        <f t="shared" si="478"/>
        <v>57</v>
      </c>
      <c r="GO885" s="101">
        <f t="shared" si="479"/>
        <v>2.47E-2</v>
      </c>
      <c r="GP885" s="101">
        <f t="shared" si="480"/>
        <v>1</v>
      </c>
      <c r="GQ885" s="101">
        <f t="shared" si="481"/>
        <v>122</v>
      </c>
    </row>
    <row r="886" spans="175:199" ht="16.5" x14ac:dyDescent="0.2">
      <c r="FS886" s="101">
        <v>881</v>
      </c>
      <c r="FT886" s="101">
        <f t="shared" si="466"/>
        <v>0</v>
      </c>
      <c r="FU886" s="101">
        <f t="shared" si="459"/>
        <v>12</v>
      </c>
      <c r="FV886" s="14">
        <f t="shared" si="460"/>
        <v>3</v>
      </c>
      <c r="FW886" s="101" t="str">
        <f t="shared" si="467"/>
        <v>石灵明专属武器-魂珠-1 0级</v>
      </c>
      <c r="FX886" s="101">
        <f t="shared" si="468"/>
        <v>1</v>
      </c>
      <c r="FY886" s="101">
        <f t="shared" si="469"/>
        <v>0</v>
      </c>
      <c r="FZ886" s="101" t="str">
        <f t="shared" si="461"/>
        <v/>
      </c>
      <c r="GA886" s="139" t="str">
        <f>IF($FY886&gt;0,IF(INDEX($EM$6:$EM$77,$FT886)&gt;=GA$3,ROUND(INDEX(EO$6:EO$77,$FT886)*INDEX(卡牌消耗!$B$8:$F$8,FV886)/5,0)*5,""),"")</f>
        <v/>
      </c>
      <c r="GB886" s="101" t="str">
        <f t="shared" si="462"/>
        <v/>
      </c>
      <c r="GC886" s="101" t="str">
        <f t="shared" si="463"/>
        <v/>
      </c>
      <c r="GD886" s="101" t="str">
        <f t="shared" si="464"/>
        <v/>
      </c>
      <c r="GE886" s="101" t="str">
        <f t="shared" si="465"/>
        <v/>
      </c>
      <c r="GF886" s="101" t="str">
        <f t="shared" si="470"/>
        <v/>
      </c>
      <c r="GG886" s="101" t="str">
        <f t="shared" si="471"/>
        <v/>
      </c>
      <c r="GH886" s="101" t="str">
        <f t="shared" si="472"/>
        <v/>
      </c>
      <c r="GI886" s="101" t="str">
        <f t="shared" si="473"/>
        <v/>
      </c>
      <c r="GJ886" s="101" t="str">
        <f t="shared" si="474"/>
        <v/>
      </c>
      <c r="GK886" s="101" t="str">
        <f t="shared" si="475"/>
        <v/>
      </c>
      <c r="GL886" s="101" t="str">
        <f t="shared" si="476"/>
        <v/>
      </c>
      <c r="GM886" s="101" t="str">
        <f t="shared" si="477"/>
        <v/>
      </c>
      <c r="GN886" s="101" t="str">
        <f t="shared" si="478"/>
        <v/>
      </c>
      <c r="GO886" s="101" t="str">
        <f t="shared" si="479"/>
        <v/>
      </c>
      <c r="GP886" s="101" t="str">
        <f t="shared" si="480"/>
        <v/>
      </c>
      <c r="GQ886" s="101" t="str">
        <f t="shared" si="481"/>
        <v/>
      </c>
    </row>
    <row r="887" spans="175:199" ht="16.5" x14ac:dyDescent="0.2">
      <c r="FS887" s="101">
        <v>882</v>
      </c>
      <c r="FT887" s="101">
        <f t="shared" si="466"/>
        <v>1</v>
      </c>
      <c r="FU887" s="101">
        <f t="shared" si="459"/>
        <v>12</v>
      </c>
      <c r="FV887" s="14">
        <f t="shared" si="460"/>
        <v>3</v>
      </c>
      <c r="FW887" s="101" t="str">
        <f t="shared" si="467"/>
        <v>石灵明专属武器-魂珠-1 1级</v>
      </c>
      <c r="FX887" s="101">
        <f t="shared" si="468"/>
        <v>1</v>
      </c>
      <c r="FY887" s="101">
        <f t="shared" si="469"/>
        <v>1</v>
      </c>
      <c r="FZ887" s="101" t="str">
        <f t="shared" si="461"/>
        <v>金币</v>
      </c>
      <c r="GA887" s="139">
        <f>IF($FY887&gt;0,IF(INDEX($EM$6:$EM$77,$FT887)&gt;=GA$3,ROUND(INDEX(EO$6:EO$77,$FT887)*INDEX(卡牌消耗!$B$8:$F$8,FV887)/5,0)*5,""),"")</f>
        <v>95</v>
      </c>
      <c r="GB887" s="101" t="str">
        <f t="shared" si="462"/>
        <v>专属强化石1</v>
      </c>
      <c r="GC887" s="101">
        <f t="shared" si="463"/>
        <v>1</v>
      </c>
      <c r="GD887" s="101" t="str">
        <f t="shared" si="464"/>
        <v/>
      </c>
      <c r="GE887" s="101" t="str">
        <f t="shared" si="465"/>
        <v/>
      </c>
      <c r="GF887" s="101">
        <f t="shared" si="470"/>
        <v>0.32</v>
      </c>
      <c r="GG887" s="101">
        <f t="shared" si="471"/>
        <v>1</v>
      </c>
      <c r="GH887" s="101">
        <f t="shared" si="472"/>
        <v>5</v>
      </c>
      <c r="GI887" s="101">
        <f t="shared" si="473"/>
        <v>0</v>
      </c>
      <c r="GJ887" s="101">
        <f t="shared" si="474"/>
        <v>1</v>
      </c>
      <c r="GK887" s="101">
        <f t="shared" si="475"/>
        <v>1</v>
      </c>
      <c r="GL887" s="101">
        <f t="shared" si="476"/>
        <v>0.1595</v>
      </c>
      <c r="GM887" s="101">
        <f t="shared" si="477"/>
        <v>1</v>
      </c>
      <c r="GN887" s="101">
        <f t="shared" si="478"/>
        <v>2</v>
      </c>
      <c r="GO887" s="101">
        <f t="shared" si="479"/>
        <v>0.63819999999999999</v>
      </c>
      <c r="GP887" s="101">
        <f t="shared" si="480"/>
        <v>1</v>
      </c>
      <c r="GQ887" s="101">
        <f t="shared" si="481"/>
        <v>5</v>
      </c>
    </row>
    <row r="888" spans="175:199" ht="16.5" x14ac:dyDescent="0.2">
      <c r="FS888" s="101">
        <v>883</v>
      </c>
      <c r="FT888" s="101">
        <f t="shared" si="466"/>
        <v>2</v>
      </c>
      <c r="FU888" s="101">
        <f t="shared" si="459"/>
        <v>12</v>
      </c>
      <c r="FV888" s="14">
        <f t="shared" si="460"/>
        <v>3</v>
      </c>
      <c r="FW888" s="101" t="str">
        <f t="shared" si="467"/>
        <v>石灵明专属武器-魂珠-1 2级</v>
      </c>
      <c r="FX888" s="101">
        <f t="shared" si="468"/>
        <v>1</v>
      </c>
      <c r="FY888" s="101">
        <f t="shared" si="469"/>
        <v>2</v>
      </c>
      <c r="FZ888" s="101" t="str">
        <f t="shared" si="461"/>
        <v>金币</v>
      </c>
      <c r="GA888" s="139">
        <f>IF($FY888&gt;0,IF(INDEX($EM$6:$EM$77,$FT888)&gt;=GA$3,ROUND(INDEX(EO$6:EO$77,$FT888)*INDEX(卡牌消耗!$B$8:$F$8,FV888)/5,0)*5,""),"")</f>
        <v>140</v>
      </c>
      <c r="GB888" s="101" t="str">
        <f t="shared" si="462"/>
        <v>专属强化石1</v>
      </c>
      <c r="GC888" s="101">
        <f t="shared" si="463"/>
        <v>2</v>
      </c>
      <c r="GD888" s="101" t="str">
        <f t="shared" si="464"/>
        <v/>
      </c>
      <c r="GE888" s="101" t="str">
        <f t="shared" si="465"/>
        <v/>
      </c>
      <c r="GF888" s="101">
        <f t="shared" si="470"/>
        <v>0.32</v>
      </c>
      <c r="GG888" s="101">
        <f t="shared" si="471"/>
        <v>1</v>
      </c>
      <c r="GH888" s="101">
        <f t="shared" si="472"/>
        <v>5</v>
      </c>
      <c r="GI888" s="101">
        <f t="shared" si="473"/>
        <v>0</v>
      </c>
      <c r="GJ888" s="101">
        <f t="shared" si="474"/>
        <v>1</v>
      </c>
      <c r="GK888" s="101">
        <f t="shared" si="475"/>
        <v>1</v>
      </c>
      <c r="GL888" s="101">
        <f t="shared" si="476"/>
        <v>0.1595</v>
      </c>
      <c r="GM888" s="101">
        <f t="shared" si="477"/>
        <v>1</v>
      </c>
      <c r="GN888" s="101">
        <f t="shared" si="478"/>
        <v>2</v>
      </c>
      <c r="GO888" s="101">
        <f t="shared" si="479"/>
        <v>0.63819999999999999</v>
      </c>
      <c r="GP888" s="101">
        <f t="shared" si="480"/>
        <v>1</v>
      </c>
      <c r="GQ888" s="101">
        <f t="shared" si="481"/>
        <v>5</v>
      </c>
    </row>
    <row r="889" spans="175:199" ht="16.5" x14ac:dyDescent="0.2">
      <c r="FS889" s="101">
        <v>884</v>
      </c>
      <c r="FT889" s="101">
        <f t="shared" si="466"/>
        <v>3</v>
      </c>
      <c r="FU889" s="101">
        <f t="shared" si="459"/>
        <v>12</v>
      </c>
      <c r="FV889" s="14">
        <f t="shared" si="460"/>
        <v>3</v>
      </c>
      <c r="FW889" s="101" t="str">
        <f t="shared" si="467"/>
        <v>石灵明专属武器-魂珠-1 3级</v>
      </c>
      <c r="FX889" s="101">
        <f t="shared" si="468"/>
        <v>1</v>
      </c>
      <c r="FY889" s="101">
        <f t="shared" si="469"/>
        <v>3</v>
      </c>
      <c r="FZ889" s="101" t="str">
        <f t="shared" si="461"/>
        <v>金币</v>
      </c>
      <c r="GA889" s="139">
        <f>IF($FY889&gt;0,IF(INDEX($EM$6:$EM$77,$FT889)&gt;=GA$3,ROUND(INDEX(EO$6:EO$77,$FT889)*INDEX(卡牌消耗!$B$8:$F$8,FV889)/5,0)*5,""),"")</f>
        <v>235</v>
      </c>
      <c r="GB889" s="101" t="str">
        <f t="shared" si="462"/>
        <v>专属强化石1</v>
      </c>
      <c r="GC889" s="101">
        <f t="shared" si="463"/>
        <v>3</v>
      </c>
      <c r="GD889" s="101" t="str">
        <f t="shared" si="464"/>
        <v/>
      </c>
      <c r="GE889" s="101" t="str">
        <f t="shared" si="465"/>
        <v/>
      </c>
      <c r="GF889" s="101">
        <f t="shared" si="470"/>
        <v>0.32</v>
      </c>
      <c r="GG889" s="101">
        <f t="shared" si="471"/>
        <v>1</v>
      </c>
      <c r="GH889" s="101">
        <f t="shared" si="472"/>
        <v>5</v>
      </c>
      <c r="GI889" s="101">
        <f t="shared" si="473"/>
        <v>0</v>
      </c>
      <c r="GJ889" s="101">
        <f t="shared" si="474"/>
        <v>1</v>
      </c>
      <c r="GK889" s="101">
        <f t="shared" si="475"/>
        <v>1</v>
      </c>
      <c r="GL889" s="101">
        <f t="shared" si="476"/>
        <v>0.1595</v>
      </c>
      <c r="GM889" s="101">
        <f t="shared" si="477"/>
        <v>1</v>
      </c>
      <c r="GN889" s="101">
        <f t="shared" si="478"/>
        <v>2</v>
      </c>
      <c r="GO889" s="101">
        <f t="shared" si="479"/>
        <v>0.63819999999999999</v>
      </c>
      <c r="GP889" s="101">
        <f t="shared" si="480"/>
        <v>1</v>
      </c>
      <c r="GQ889" s="101">
        <f t="shared" si="481"/>
        <v>5</v>
      </c>
    </row>
    <row r="890" spans="175:199" ht="16.5" x14ac:dyDescent="0.2">
      <c r="FS890" s="101">
        <v>885</v>
      </c>
      <c r="FT890" s="101">
        <f t="shared" si="466"/>
        <v>4</v>
      </c>
      <c r="FU890" s="101">
        <f t="shared" si="459"/>
        <v>12</v>
      </c>
      <c r="FV890" s="14">
        <f t="shared" si="460"/>
        <v>3</v>
      </c>
      <c r="FW890" s="101" t="str">
        <f t="shared" si="467"/>
        <v>石灵明专属武器-魂珠-1 4级</v>
      </c>
      <c r="FX890" s="101">
        <f t="shared" si="468"/>
        <v>1</v>
      </c>
      <c r="FY890" s="101">
        <f t="shared" si="469"/>
        <v>4</v>
      </c>
      <c r="FZ890" s="101" t="str">
        <f t="shared" si="461"/>
        <v>金币</v>
      </c>
      <c r="GA890" s="139">
        <f>IF($FY890&gt;0,IF(INDEX($EM$6:$EM$77,$FT890)&gt;=GA$3,ROUND(INDEX(EO$6:EO$77,$FT890)*INDEX(卡牌消耗!$B$8:$F$8,FV890)/5,0)*5,""),"")</f>
        <v>305</v>
      </c>
      <c r="GB890" s="101" t="str">
        <f t="shared" si="462"/>
        <v>专属强化石1</v>
      </c>
      <c r="GC890" s="101">
        <f t="shared" si="463"/>
        <v>4</v>
      </c>
      <c r="GD890" s="101" t="str">
        <f t="shared" si="464"/>
        <v/>
      </c>
      <c r="GE890" s="101" t="str">
        <f t="shared" si="465"/>
        <v/>
      </c>
      <c r="GF890" s="101">
        <f t="shared" si="470"/>
        <v>0.26</v>
      </c>
      <c r="GG890" s="101">
        <f t="shared" si="471"/>
        <v>1</v>
      </c>
      <c r="GH890" s="101">
        <f t="shared" si="472"/>
        <v>6</v>
      </c>
      <c r="GI890" s="101">
        <f t="shared" si="473"/>
        <v>0</v>
      </c>
      <c r="GJ890" s="101">
        <f t="shared" si="474"/>
        <v>1</v>
      </c>
      <c r="GK890" s="101">
        <f t="shared" si="475"/>
        <v>1</v>
      </c>
      <c r="GL890" s="101">
        <f t="shared" si="476"/>
        <v>0.12759999999999999</v>
      </c>
      <c r="GM890" s="101">
        <f t="shared" si="477"/>
        <v>1</v>
      </c>
      <c r="GN890" s="101">
        <f t="shared" si="478"/>
        <v>3</v>
      </c>
      <c r="GO890" s="101">
        <f t="shared" si="479"/>
        <v>0.51060000000000005</v>
      </c>
      <c r="GP890" s="101">
        <f t="shared" si="480"/>
        <v>1</v>
      </c>
      <c r="GQ890" s="101">
        <f t="shared" si="481"/>
        <v>6</v>
      </c>
    </row>
    <row r="891" spans="175:199" ht="16.5" x14ac:dyDescent="0.2">
      <c r="FS891" s="101">
        <v>886</v>
      </c>
      <c r="FT891" s="101">
        <f t="shared" si="466"/>
        <v>5</v>
      </c>
      <c r="FU891" s="101">
        <f t="shared" si="459"/>
        <v>12</v>
      </c>
      <c r="FV891" s="14">
        <f t="shared" si="460"/>
        <v>3</v>
      </c>
      <c r="FW891" s="101" t="str">
        <f t="shared" si="467"/>
        <v>石灵明专属武器-魂珠-1 5级</v>
      </c>
      <c r="FX891" s="101">
        <f t="shared" si="468"/>
        <v>1</v>
      </c>
      <c r="FY891" s="101">
        <f t="shared" si="469"/>
        <v>5</v>
      </c>
      <c r="FZ891" s="101" t="str">
        <f t="shared" si="461"/>
        <v>金币</v>
      </c>
      <c r="GA891" s="139">
        <f>IF($FY891&gt;0,IF(INDEX($EM$6:$EM$77,$FT891)&gt;=GA$3,ROUND(INDEX(EO$6:EO$77,$FT891)*INDEX(卡牌消耗!$B$8:$F$8,FV891)/5,0)*5,""),"")</f>
        <v>385</v>
      </c>
      <c r="GB891" s="101" t="str">
        <f t="shared" si="462"/>
        <v>专属强化石1</v>
      </c>
      <c r="GC891" s="101">
        <f t="shared" si="463"/>
        <v>5</v>
      </c>
      <c r="GD891" s="101" t="str">
        <f t="shared" si="464"/>
        <v/>
      </c>
      <c r="GE891" s="101" t="str">
        <f t="shared" si="465"/>
        <v/>
      </c>
      <c r="GF891" s="101">
        <f t="shared" si="470"/>
        <v>0.2</v>
      </c>
      <c r="GG891" s="101">
        <f t="shared" si="471"/>
        <v>1</v>
      </c>
      <c r="GH891" s="101">
        <f t="shared" si="472"/>
        <v>8</v>
      </c>
      <c r="GI891" s="101">
        <f t="shared" si="473"/>
        <v>0</v>
      </c>
      <c r="GJ891" s="101">
        <f t="shared" si="474"/>
        <v>1</v>
      </c>
      <c r="GK891" s="101">
        <f t="shared" si="475"/>
        <v>2</v>
      </c>
      <c r="GL891" s="101">
        <f t="shared" si="476"/>
        <v>9.9699999999999997E-2</v>
      </c>
      <c r="GM891" s="101">
        <f t="shared" si="477"/>
        <v>1</v>
      </c>
      <c r="GN891" s="101">
        <f t="shared" si="478"/>
        <v>4</v>
      </c>
      <c r="GO891" s="101">
        <f t="shared" si="479"/>
        <v>0.39889999999999998</v>
      </c>
      <c r="GP891" s="101">
        <f t="shared" si="480"/>
        <v>1</v>
      </c>
      <c r="GQ891" s="101">
        <f t="shared" si="481"/>
        <v>8</v>
      </c>
    </row>
    <row r="892" spans="175:199" ht="16.5" x14ac:dyDescent="0.2">
      <c r="FS892" s="101">
        <v>887</v>
      </c>
      <c r="FT892" s="101">
        <f t="shared" si="466"/>
        <v>6</v>
      </c>
      <c r="FU892" s="101">
        <f t="shared" si="459"/>
        <v>12</v>
      </c>
      <c r="FV892" s="14">
        <f t="shared" si="460"/>
        <v>3</v>
      </c>
      <c r="FW892" s="101" t="str">
        <f t="shared" si="467"/>
        <v>石灵明专属武器-魂珠-1 6级</v>
      </c>
      <c r="FX892" s="101">
        <f t="shared" si="468"/>
        <v>1</v>
      </c>
      <c r="FY892" s="101">
        <f t="shared" si="469"/>
        <v>6</v>
      </c>
      <c r="FZ892" s="101" t="str">
        <f t="shared" si="461"/>
        <v>金币</v>
      </c>
      <c r="GA892" s="139">
        <f>IF($FY892&gt;0,IF(INDEX($EM$6:$EM$77,$FT892)&gt;=GA$3,ROUND(INDEX(EO$6:EO$77,$FT892)*INDEX(卡牌消耗!$B$8:$F$8,FV892)/5,0)*5,""),"")</f>
        <v>460</v>
      </c>
      <c r="GB892" s="101" t="str">
        <f t="shared" si="462"/>
        <v>专属强化石1</v>
      </c>
      <c r="GC892" s="101">
        <f t="shared" si="463"/>
        <v>6</v>
      </c>
      <c r="GD892" s="101" t="str">
        <f t="shared" si="464"/>
        <v/>
      </c>
      <c r="GE892" s="101" t="str">
        <f t="shared" si="465"/>
        <v/>
      </c>
      <c r="GF892" s="101">
        <f t="shared" si="470"/>
        <v>0.15</v>
      </c>
      <c r="GG892" s="101">
        <f t="shared" si="471"/>
        <v>1</v>
      </c>
      <c r="GH892" s="101">
        <f t="shared" si="472"/>
        <v>10</v>
      </c>
      <c r="GI892" s="101">
        <f t="shared" si="473"/>
        <v>0</v>
      </c>
      <c r="GJ892" s="101">
        <f t="shared" si="474"/>
        <v>1</v>
      </c>
      <c r="GK892" s="101">
        <f t="shared" si="475"/>
        <v>2</v>
      </c>
      <c r="GL892" s="101">
        <f t="shared" si="476"/>
        <v>7.3599999999999999E-2</v>
      </c>
      <c r="GM892" s="101">
        <f t="shared" si="477"/>
        <v>1</v>
      </c>
      <c r="GN892" s="101">
        <f t="shared" si="478"/>
        <v>5</v>
      </c>
      <c r="GO892" s="101">
        <f t="shared" si="479"/>
        <v>0.29459999999999997</v>
      </c>
      <c r="GP892" s="101">
        <f t="shared" si="480"/>
        <v>1</v>
      </c>
      <c r="GQ892" s="101">
        <f t="shared" si="481"/>
        <v>10</v>
      </c>
    </row>
    <row r="893" spans="175:199" ht="16.5" x14ac:dyDescent="0.2">
      <c r="FS893" s="101">
        <v>888</v>
      </c>
      <c r="FT893" s="101">
        <f t="shared" si="466"/>
        <v>7</v>
      </c>
      <c r="FU893" s="101">
        <f t="shared" si="459"/>
        <v>12</v>
      </c>
      <c r="FV893" s="14">
        <f t="shared" si="460"/>
        <v>3</v>
      </c>
      <c r="FW893" s="101" t="str">
        <f t="shared" si="467"/>
        <v>石灵明专属武器-魂珠-1 7级</v>
      </c>
      <c r="FX893" s="101">
        <f t="shared" si="468"/>
        <v>1</v>
      </c>
      <c r="FY893" s="101">
        <f t="shared" si="469"/>
        <v>7</v>
      </c>
      <c r="FZ893" s="101" t="str">
        <f t="shared" si="461"/>
        <v>金币</v>
      </c>
      <c r="GA893" s="139">
        <f>IF($FY893&gt;0,IF(INDEX($EM$6:$EM$77,$FT893)&gt;=GA$3,ROUND(INDEX(EO$6:EO$77,$FT893)*INDEX(卡牌消耗!$B$8:$F$8,FV893)/5,0)*5,""),"")</f>
        <v>535</v>
      </c>
      <c r="GB893" s="101" t="str">
        <f t="shared" si="462"/>
        <v>专属强化石1</v>
      </c>
      <c r="GC893" s="101">
        <f t="shared" si="463"/>
        <v>7</v>
      </c>
      <c r="GD893" s="101" t="str">
        <f t="shared" si="464"/>
        <v/>
      </c>
      <c r="GE893" s="101" t="str">
        <f t="shared" si="465"/>
        <v/>
      </c>
      <c r="GF893" s="101">
        <f t="shared" si="470"/>
        <v>0.11</v>
      </c>
      <c r="GG893" s="101">
        <f t="shared" si="471"/>
        <v>1</v>
      </c>
      <c r="GH893" s="101">
        <f t="shared" si="472"/>
        <v>14</v>
      </c>
      <c r="GI893" s="101">
        <f t="shared" si="473"/>
        <v>0</v>
      </c>
      <c r="GJ893" s="101">
        <f t="shared" si="474"/>
        <v>1</v>
      </c>
      <c r="GK893" s="101">
        <f t="shared" si="475"/>
        <v>3</v>
      </c>
      <c r="GL893" s="101">
        <f t="shared" si="476"/>
        <v>5.3199999999999997E-2</v>
      </c>
      <c r="GM893" s="101">
        <f t="shared" si="477"/>
        <v>1</v>
      </c>
      <c r="GN893" s="101">
        <f t="shared" si="478"/>
        <v>7</v>
      </c>
      <c r="GO893" s="101">
        <f t="shared" si="479"/>
        <v>0.2127</v>
      </c>
      <c r="GP893" s="101">
        <f t="shared" si="480"/>
        <v>1</v>
      </c>
      <c r="GQ893" s="101">
        <f t="shared" si="481"/>
        <v>14</v>
      </c>
    </row>
    <row r="894" spans="175:199" ht="16.5" x14ac:dyDescent="0.2">
      <c r="FS894" s="101">
        <v>889</v>
      </c>
      <c r="FT894" s="101">
        <f t="shared" si="466"/>
        <v>8</v>
      </c>
      <c r="FU894" s="101">
        <f t="shared" si="459"/>
        <v>12</v>
      </c>
      <c r="FV894" s="14">
        <f t="shared" si="460"/>
        <v>3</v>
      </c>
      <c r="FW894" s="101" t="str">
        <f t="shared" si="467"/>
        <v>石灵明专属武器-魂珠-1 8级</v>
      </c>
      <c r="FX894" s="101">
        <f t="shared" si="468"/>
        <v>1</v>
      </c>
      <c r="FY894" s="101">
        <f t="shared" si="469"/>
        <v>8</v>
      </c>
      <c r="FZ894" s="101" t="str">
        <f t="shared" si="461"/>
        <v>金币</v>
      </c>
      <c r="GA894" s="139">
        <f>IF($FY894&gt;0,IF(INDEX($EM$6:$EM$77,$FT894)&gt;=GA$3,ROUND(INDEX(EO$6:EO$77,$FT894)*INDEX(卡牌消耗!$B$8:$F$8,FV894)/5,0)*5,""),"")</f>
        <v>615</v>
      </c>
      <c r="GB894" s="101" t="str">
        <f t="shared" si="462"/>
        <v>专属强化石1</v>
      </c>
      <c r="GC894" s="101">
        <f t="shared" si="463"/>
        <v>8</v>
      </c>
      <c r="GD894" s="101" t="str">
        <f t="shared" si="464"/>
        <v/>
      </c>
      <c r="GE894" s="101" t="str">
        <f t="shared" si="465"/>
        <v/>
      </c>
      <c r="GF894" s="101">
        <f t="shared" si="470"/>
        <v>0.08</v>
      </c>
      <c r="GG894" s="101">
        <f t="shared" si="471"/>
        <v>1</v>
      </c>
      <c r="GH894" s="101">
        <f t="shared" si="472"/>
        <v>20</v>
      </c>
      <c r="GI894" s="101">
        <f t="shared" si="473"/>
        <v>0</v>
      </c>
      <c r="GJ894" s="101">
        <f t="shared" si="474"/>
        <v>1</v>
      </c>
      <c r="GK894" s="101">
        <f t="shared" si="475"/>
        <v>5</v>
      </c>
      <c r="GL894" s="101">
        <f t="shared" si="476"/>
        <v>3.7499999999999999E-2</v>
      </c>
      <c r="GM894" s="101">
        <f t="shared" si="477"/>
        <v>1</v>
      </c>
      <c r="GN894" s="101">
        <f t="shared" si="478"/>
        <v>9</v>
      </c>
      <c r="GO894" s="101">
        <f t="shared" si="479"/>
        <v>0.1502</v>
      </c>
      <c r="GP894" s="101">
        <f t="shared" si="480"/>
        <v>1</v>
      </c>
      <c r="GQ894" s="101">
        <f t="shared" si="481"/>
        <v>20</v>
      </c>
    </row>
    <row r="895" spans="175:199" ht="16.5" x14ac:dyDescent="0.2">
      <c r="FS895" s="101">
        <v>890</v>
      </c>
      <c r="FT895" s="101">
        <f t="shared" si="466"/>
        <v>9</v>
      </c>
      <c r="FU895" s="101">
        <f t="shared" si="459"/>
        <v>12</v>
      </c>
      <c r="FV895" s="14">
        <f t="shared" si="460"/>
        <v>3</v>
      </c>
      <c r="FW895" s="101" t="str">
        <f t="shared" si="467"/>
        <v>石灵明专属武器-魂珠-1 9级</v>
      </c>
      <c r="FX895" s="101">
        <f t="shared" si="468"/>
        <v>1</v>
      </c>
      <c r="FY895" s="101">
        <f t="shared" si="469"/>
        <v>9</v>
      </c>
      <c r="FZ895" s="101" t="str">
        <f t="shared" si="461"/>
        <v>金币</v>
      </c>
      <c r="GA895" s="139">
        <f>IF($FY895&gt;0,IF(INDEX($EM$6:$EM$77,$FT895)&gt;=GA$3,ROUND(INDEX(EO$6:EO$77,$FT895)*INDEX(卡牌消耗!$B$8:$F$8,FV895)/5,0)*5,""),"")</f>
        <v>765</v>
      </c>
      <c r="GB895" s="101" t="str">
        <f t="shared" si="462"/>
        <v>专属强化石1</v>
      </c>
      <c r="GC895" s="101">
        <f t="shared" si="463"/>
        <v>10</v>
      </c>
      <c r="GD895" s="101" t="str">
        <f t="shared" si="464"/>
        <v/>
      </c>
      <c r="GE895" s="101" t="str">
        <f t="shared" si="465"/>
        <v/>
      </c>
      <c r="GF895" s="101">
        <f t="shared" si="470"/>
        <v>0.06</v>
      </c>
      <c r="GG895" s="101">
        <f t="shared" si="471"/>
        <v>1</v>
      </c>
      <c r="GH895" s="101">
        <f t="shared" si="472"/>
        <v>26</v>
      </c>
      <c r="GI895" s="101">
        <f t="shared" si="473"/>
        <v>0</v>
      </c>
      <c r="GJ895" s="101">
        <f t="shared" si="474"/>
        <v>1</v>
      </c>
      <c r="GK895" s="101">
        <f t="shared" si="475"/>
        <v>6</v>
      </c>
      <c r="GL895" s="101">
        <f t="shared" si="476"/>
        <v>2.9000000000000001E-2</v>
      </c>
      <c r="GM895" s="101">
        <f t="shared" si="477"/>
        <v>1</v>
      </c>
      <c r="GN895" s="101">
        <f t="shared" si="478"/>
        <v>12</v>
      </c>
      <c r="GO895" s="101">
        <f t="shared" si="479"/>
        <v>0.11600000000000001</v>
      </c>
      <c r="GP895" s="101">
        <f t="shared" si="480"/>
        <v>1</v>
      </c>
      <c r="GQ895" s="101">
        <f t="shared" si="481"/>
        <v>26</v>
      </c>
    </row>
    <row r="896" spans="175:199" ht="16.5" x14ac:dyDescent="0.2">
      <c r="FS896" s="101">
        <v>891</v>
      </c>
      <c r="FT896" s="101">
        <f t="shared" si="466"/>
        <v>0</v>
      </c>
      <c r="FU896" s="101">
        <f t="shared" si="459"/>
        <v>12</v>
      </c>
      <c r="FV896" s="14">
        <f t="shared" si="460"/>
        <v>3</v>
      </c>
      <c r="FW896" s="101" t="str">
        <f t="shared" si="467"/>
        <v>石灵明专属武器-魂珠-2 0级</v>
      </c>
      <c r="FX896" s="101">
        <f t="shared" si="468"/>
        <v>2</v>
      </c>
      <c r="FY896" s="101">
        <f t="shared" si="469"/>
        <v>0</v>
      </c>
      <c r="FZ896" s="101" t="str">
        <f t="shared" si="461"/>
        <v/>
      </c>
      <c r="GA896" s="139" t="str">
        <f>IF($FY896&gt;0,IF(INDEX($EM$6:$EM$77,$FT896)&gt;=GA$3,ROUND(INDEX(EO$6:EO$77,$FT896)*INDEX(卡牌消耗!$B$8:$F$8,FV896)/5,0)*5,""),"")</f>
        <v/>
      </c>
      <c r="GB896" s="101" t="str">
        <f t="shared" si="462"/>
        <v/>
      </c>
      <c r="GC896" s="101" t="str">
        <f t="shared" si="463"/>
        <v/>
      </c>
      <c r="GD896" s="101" t="str">
        <f t="shared" si="464"/>
        <v/>
      </c>
      <c r="GE896" s="101" t="str">
        <f t="shared" si="465"/>
        <v/>
      </c>
      <c r="GF896" s="101" t="str">
        <f t="shared" si="470"/>
        <v/>
      </c>
      <c r="GG896" s="101" t="str">
        <f t="shared" si="471"/>
        <v/>
      </c>
      <c r="GH896" s="101" t="str">
        <f t="shared" si="472"/>
        <v/>
      </c>
      <c r="GI896" s="101" t="str">
        <f t="shared" si="473"/>
        <v/>
      </c>
      <c r="GJ896" s="101" t="str">
        <f t="shared" si="474"/>
        <v/>
      </c>
      <c r="GK896" s="101" t="str">
        <f t="shared" si="475"/>
        <v/>
      </c>
      <c r="GL896" s="101" t="str">
        <f t="shared" si="476"/>
        <v/>
      </c>
      <c r="GM896" s="101" t="str">
        <f t="shared" si="477"/>
        <v/>
      </c>
      <c r="GN896" s="101" t="str">
        <f t="shared" si="478"/>
        <v/>
      </c>
      <c r="GO896" s="101" t="str">
        <f t="shared" si="479"/>
        <v/>
      </c>
      <c r="GP896" s="101" t="str">
        <f t="shared" si="480"/>
        <v/>
      </c>
      <c r="GQ896" s="101" t="str">
        <f t="shared" si="481"/>
        <v/>
      </c>
    </row>
    <row r="897" spans="175:199" ht="16.5" x14ac:dyDescent="0.2">
      <c r="FS897" s="101">
        <v>892</v>
      </c>
      <c r="FT897" s="101">
        <f t="shared" si="466"/>
        <v>10</v>
      </c>
      <c r="FU897" s="101">
        <f t="shared" si="459"/>
        <v>12</v>
      </c>
      <c r="FV897" s="14">
        <f t="shared" si="460"/>
        <v>3</v>
      </c>
      <c r="FW897" s="101" t="str">
        <f t="shared" si="467"/>
        <v>石灵明专属武器-魂珠-2 1级</v>
      </c>
      <c r="FX897" s="101">
        <f t="shared" si="468"/>
        <v>2</v>
      </c>
      <c r="FY897" s="101">
        <f t="shared" si="469"/>
        <v>1</v>
      </c>
      <c r="FZ897" s="101" t="str">
        <f t="shared" si="461"/>
        <v>金币</v>
      </c>
      <c r="GA897" s="139">
        <f>IF($FY897&gt;0,IF(INDEX($EM$6:$EM$77,$FT897)&gt;=GA$3,ROUND(INDEX(EO$6:EO$77,$FT897)*INDEX(卡牌消耗!$B$8:$F$8,FV897)/5,0)*5,""),"")</f>
        <v>260</v>
      </c>
      <c r="GB897" s="101" t="str">
        <f t="shared" si="462"/>
        <v>专属强化石1</v>
      </c>
      <c r="GC897" s="101">
        <f t="shared" si="463"/>
        <v>3</v>
      </c>
      <c r="GD897" s="101" t="str">
        <f t="shared" si="464"/>
        <v>专属强化石2</v>
      </c>
      <c r="GE897" s="101">
        <f t="shared" si="465"/>
        <v>1</v>
      </c>
      <c r="GF897" s="101">
        <f t="shared" si="470"/>
        <v>0.39</v>
      </c>
      <c r="GG897" s="101">
        <f t="shared" si="471"/>
        <v>1</v>
      </c>
      <c r="GH897" s="101">
        <f t="shared" si="472"/>
        <v>4</v>
      </c>
      <c r="GI897" s="101">
        <f t="shared" si="473"/>
        <v>0</v>
      </c>
      <c r="GJ897" s="101">
        <f t="shared" si="474"/>
        <v>1</v>
      </c>
      <c r="GK897" s="101">
        <f t="shared" si="475"/>
        <v>1</v>
      </c>
      <c r="GL897" s="101">
        <f t="shared" si="476"/>
        <v>0.19270000000000001</v>
      </c>
      <c r="GM897" s="101">
        <f t="shared" si="477"/>
        <v>1</v>
      </c>
      <c r="GN897" s="101">
        <f t="shared" si="478"/>
        <v>2</v>
      </c>
      <c r="GO897" s="101">
        <f t="shared" si="479"/>
        <v>0.77070000000000005</v>
      </c>
      <c r="GP897" s="101">
        <f t="shared" si="480"/>
        <v>1</v>
      </c>
      <c r="GQ897" s="101">
        <f t="shared" si="481"/>
        <v>4</v>
      </c>
    </row>
    <row r="898" spans="175:199" ht="16.5" x14ac:dyDescent="0.2">
      <c r="FS898" s="101">
        <v>893</v>
      </c>
      <c r="FT898" s="101">
        <f t="shared" si="466"/>
        <v>11</v>
      </c>
      <c r="FU898" s="101">
        <f t="shared" si="459"/>
        <v>12</v>
      </c>
      <c r="FV898" s="14">
        <f t="shared" si="460"/>
        <v>3</v>
      </c>
      <c r="FW898" s="101" t="str">
        <f t="shared" si="467"/>
        <v>石灵明专属武器-魂珠-2 2级</v>
      </c>
      <c r="FX898" s="101">
        <f t="shared" si="468"/>
        <v>2</v>
      </c>
      <c r="FY898" s="101">
        <f t="shared" si="469"/>
        <v>2</v>
      </c>
      <c r="FZ898" s="101" t="str">
        <f t="shared" si="461"/>
        <v>金币</v>
      </c>
      <c r="GA898" s="139">
        <f>IF($FY898&gt;0,IF(INDEX($EM$6:$EM$77,$FT898)&gt;=GA$3,ROUND(INDEX(EO$6:EO$77,$FT898)*INDEX(卡牌消耗!$B$8:$F$8,FV898)/5,0)*5,""),"")</f>
        <v>195</v>
      </c>
      <c r="GB898" s="101" t="str">
        <f t="shared" si="462"/>
        <v>专属强化石1</v>
      </c>
      <c r="GC898" s="101">
        <f t="shared" si="463"/>
        <v>3</v>
      </c>
      <c r="GD898" s="101" t="str">
        <f t="shared" si="464"/>
        <v>专属强化石2</v>
      </c>
      <c r="GE898" s="101">
        <f t="shared" si="465"/>
        <v>1</v>
      </c>
      <c r="GF898" s="101">
        <f t="shared" si="470"/>
        <v>0.19</v>
      </c>
      <c r="GG898" s="101">
        <f t="shared" si="471"/>
        <v>1</v>
      </c>
      <c r="GH898" s="101">
        <f t="shared" si="472"/>
        <v>8</v>
      </c>
      <c r="GI898" s="101">
        <f t="shared" si="473"/>
        <v>0</v>
      </c>
      <c r="GJ898" s="101">
        <f t="shared" si="474"/>
        <v>1</v>
      </c>
      <c r="GK898" s="101">
        <f t="shared" si="475"/>
        <v>2</v>
      </c>
      <c r="GL898" s="101">
        <f t="shared" si="476"/>
        <v>9.6299999999999997E-2</v>
      </c>
      <c r="GM898" s="101">
        <f t="shared" si="477"/>
        <v>1</v>
      </c>
      <c r="GN898" s="101">
        <f t="shared" si="478"/>
        <v>4</v>
      </c>
      <c r="GO898" s="101">
        <f t="shared" si="479"/>
        <v>0.38529999999999998</v>
      </c>
      <c r="GP898" s="101">
        <f t="shared" si="480"/>
        <v>1</v>
      </c>
      <c r="GQ898" s="101">
        <f t="shared" si="481"/>
        <v>8</v>
      </c>
    </row>
    <row r="899" spans="175:199" ht="16.5" x14ac:dyDescent="0.2">
      <c r="FS899" s="101">
        <v>894</v>
      </c>
      <c r="FT899" s="101">
        <f t="shared" si="466"/>
        <v>12</v>
      </c>
      <c r="FU899" s="101">
        <f t="shared" si="459"/>
        <v>12</v>
      </c>
      <c r="FV899" s="14">
        <f t="shared" si="460"/>
        <v>3</v>
      </c>
      <c r="FW899" s="101" t="str">
        <f t="shared" si="467"/>
        <v>石灵明专属武器-魂珠-2 3级</v>
      </c>
      <c r="FX899" s="101">
        <f t="shared" si="468"/>
        <v>2</v>
      </c>
      <c r="FY899" s="101">
        <f t="shared" si="469"/>
        <v>3</v>
      </c>
      <c r="FZ899" s="101" t="str">
        <f t="shared" si="461"/>
        <v>金币</v>
      </c>
      <c r="GA899" s="139">
        <f>IF($FY899&gt;0,IF(INDEX($EM$6:$EM$77,$FT899)&gt;=GA$3,ROUND(INDEX(EO$6:EO$77,$FT899)*INDEX(卡牌消耗!$B$8:$F$8,FV899)/5,0)*5,""),"")</f>
        <v>435</v>
      </c>
      <c r="GB899" s="101" t="str">
        <f t="shared" si="462"/>
        <v>专属强化石1</v>
      </c>
      <c r="GC899" s="101">
        <f t="shared" si="463"/>
        <v>6</v>
      </c>
      <c r="GD899" s="101" t="str">
        <f t="shared" si="464"/>
        <v>专属强化石2</v>
      </c>
      <c r="GE899" s="101">
        <f t="shared" si="465"/>
        <v>2</v>
      </c>
      <c r="GF899" s="101">
        <f t="shared" si="470"/>
        <v>0.26</v>
      </c>
      <c r="GG899" s="101">
        <f t="shared" si="471"/>
        <v>1</v>
      </c>
      <c r="GH899" s="101">
        <f t="shared" si="472"/>
        <v>6</v>
      </c>
      <c r="GI899" s="101">
        <f t="shared" si="473"/>
        <v>0</v>
      </c>
      <c r="GJ899" s="101">
        <f t="shared" si="474"/>
        <v>1</v>
      </c>
      <c r="GK899" s="101">
        <f t="shared" si="475"/>
        <v>1</v>
      </c>
      <c r="GL899" s="101">
        <f t="shared" si="476"/>
        <v>0.12839999999999999</v>
      </c>
      <c r="GM899" s="101">
        <f t="shared" si="477"/>
        <v>1</v>
      </c>
      <c r="GN899" s="101">
        <f t="shared" si="478"/>
        <v>3</v>
      </c>
      <c r="GO899" s="101">
        <f t="shared" si="479"/>
        <v>0.51380000000000003</v>
      </c>
      <c r="GP899" s="101">
        <f t="shared" si="480"/>
        <v>1</v>
      </c>
      <c r="GQ899" s="101">
        <f t="shared" si="481"/>
        <v>6</v>
      </c>
    </row>
    <row r="900" spans="175:199" ht="16.5" x14ac:dyDescent="0.2">
      <c r="FS900" s="101">
        <v>895</v>
      </c>
      <c r="FT900" s="101">
        <f t="shared" si="466"/>
        <v>13</v>
      </c>
      <c r="FU900" s="101">
        <f t="shared" si="459"/>
        <v>12</v>
      </c>
      <c r="FV900" s="14">
        <f t="shared" si="460"/>
        <v>3</v>
      </c>
      <c r="FW900" s="101" t="str">
        <f t="shared" si="467"/>
        <v>石灵明专属武器-魂珠-2 4级</v>
      </c>
      <c r="FX900" s="101">
        <f t="shared" si="468"/>
        <v>2</v>
      </c>
      <c r="FY900" s="101">
        <f t="shared" si="469"/>
        <v>4</v>
      </c>
      <c r="FZ900" s="101" t="str">
        <f t="shared" si="461"/>
        <v>金币</v>
      </c>
      <c r="GA900" s="139">
        <f>IF($FY900&gt;0,IF(INDEX($EM$6:$EM$77,$FT900)&gt;=GA$3,ROUND(INDEX(EO$6:EO$77,$FT900)*INDEX(卡牌消耗!$B$8:$F$8,FV900)/5,0)*5,""),"")</f>
        <v>420</v>
      </c>
      <c r="GB900" s="101" t="str">
        <f t="shared" si="462"/>
        <v>专属强化石1</v>
      </c>
      <c r="GC900" s="101">
        <f t="shared" si="463"/>
        <v>6</v>
      </c>
      <c r="GD900" s="101" t="str">
        <f t="shared" si="464"/>
        <v>专属强化石2</v>
      </c>
      <c r="GE900" s="101">
        <f t="shared" si="465"/>
        <v>2</v>
      </c>
      <c r="GF900" s="101">
        <f t="shared" si="470"/>
        <v>0.15</v>
      </c>
      <c r="GG900" s="101">
        <f t="shared" si="471"/>
        <v>1</v>
      </c>
      <c r="GH900" s="101">
        <f t="shared" si="472"/>
        <v>10</v>
      </c>
      <c r="GI900" s="101">
        <f t="shared" si="473"/>
        <v>0</v>
      </c>
      <c r="GJ900" s="101">
        <f t="shared" si="474"/>
        <v>1</v>
      </c>
      <c r="GK900" s="101">
        <f t="shared" si="475"/>
        <v>2</v>
      </c>
      <c r="GL900" s="101">
        <f t="shared" si="476"/>
        <v>7.7100000000000002E-2</v>
      </c>
      <c r="GM900" s="101">
        <f t="shared" si="477"/>
        <v>1</v>
      </c>
      <c r="GN900" s="101">
        <f t="shared" si="478"/>
        <v>5</v>
      </c>
      <c r="GO900" s="101">
        <f t="shared" si="479"/>
        <v>0.30830000000000002</v>
      </c>
      <c r="GP900" s="101">
        <f t="shared" si="480"/>
        <v>1</v>
      </c>
      <c r="GQ900" s="101">
        <f t="shared" si="481"/>
        <v>10</v>
      </c>
    </row>
    <row r="901" spans="175:199" ht="16.5" x14ac:dyDescent="0.2">
      <c r="FS901" s="101">
        <v>896</v>
      </c>
      <c r="FT901" s="101">
        <f t="shared" si="466"/>
        <v>14</v>
      </c>
      <c r="FU901" s="101">
        <f t="shared" si="459"/>
        <v>12</v>
      </c>
      <c r="FV901" s="14">
        <f t="shared" si="460"/>
        <v>3</v>
      </c>
      <c r="FW901" s="101" t="str">
        <f t="shared" si="467"/>
        <v>石灵明专属武器-魂珠-2 5级</v>
      </c>
      <c r="FX901" s="101">
        <f t="shared" si="468"/>
        <v>2</v>
      </c>
      <c r="FY901" s="101">
        <f t="shared" si="469"/>
        <v>5</v>
      </c>
      <c r="FZ901" s="101" t="str">
        <f t="shared" si="461"/>
        <v>金币</v>
      </c>
      <c r="GA901" s="139">
        <f>IF($FY901&gt;0,IF(INDEX($EM$6:$EM$77,$FT901)&gt;=GA$3,ROUND(INDEX(EO$6:EO$77,$FT901)*INDEX(卡牌消耗!$B$8:$F$8,FV901)/5,0)*5,""),"")</f>
        <v>635</v>
      </c>
      <c r="GB901" s="101" t="str">
        <f t="shared" si="462"/>
        <v>专属强化石1</v>
      </c>
      <c r="GC901" s="101">
        <f t="shared" si="463"/>
        <v>9</v>
      </c>
      <c r="GD901" s="101" t="str">
        <f t="shared" si="464"/>
        <v>专属强化石2</v>
      </c>
      <c r="GE901" s="101">
        <f t="shared" si="465"/>
        <v>3</v>
      </c>
      <c r="GF901" s="101">
        <f t="shared" si="470"/>
        <v>0.14000000000000001</v>
      </c>
      <c r="GG901" s="101">
        <f t="shared" si="471"/>
        <v>1</v>
      </c>
      <c r="GH901" s="101">
        <f t="shared" si="472"/>
        <v>10</v>
      </c>
      <c r="GI901" s="101">
        <f t="shared" si="473"/>
        <v>0</v>
      </c>
      <c r="GJ901" s="101">
        <f t="shared" si="474"/>
        <v>1</v>
      </c>
      <c r="GK901" s="101">
        <f t="shared" si="475"/>
        <v>2</v>
      </c>
      <c r="GL901" s="101">
        <f t="shared" si="476"/>
        <v>7.22E-2</v>
      </c>
      <c r="GM901" s="101">
        <f t="shared" si="477"/>
        <v>1</v>
      </c>
      <c r="GN901" s="101">
        <f t="shared" si="478"/>
        <v>5</v>
      </c>
      <c r="GO901" s="101">
        <f t="shared" si="479"/>
        <v>0.28899999999999998</v>
      </c>
      <c r="GP901" s="101">
        <f t="shared" si="480"/>
        <v>1</v>
      </c>
      <c r="GQ901" s="101">
        <f t="shared" si="481"/>
        <v>10</v>
      </c>
    </row>
    <row r="902" spans="175:199" ht="16.5" x14ac:dyDescent="0.2">
      <c r="FS902" s="101">
        <v>897</v>
      </c>
      <c r="FT902" s="101">
        <f t="shared" si="466"/>
        <v>15</v>
      </c>
      <c r="FU902" s="101">
        <f t="shared" si="459"/>
        <v>12</v>
      </c>
      <c r="FV902" s="14">
        <f t="shared" si="460"/>
        <v>3</v>
      </c>
      <c r="FW902" s="101" t="str">
        <f t="shared" si="467"/>
        <v>石灵明专属武器-魂珠-2 6级</v>
      </c>
      <c r="FX902" s="101">
        <f t="shared" si="468"/>
        <v>2</v>
      </c>
      <c r="FY902" s="101">
        <f t="shared" si="469"/>
        <v>6</v>
      </c>
      <c r="FZ902" s="101" t="str">
        <f t="shared" si="461"/>
        <v>金币</v>
      </c>
      <c r="GA902" s="139">
        <f>IF($FY902&gt;0,IF(INDEX($EM$6:$EM$77,$FT902)&gt;=GA$3,ROUND(INDEX(EO$6:EO$77,$FT902)*INDEX(卡牌消耗!$B$8:$F$8,FV902)/5,0)*5,""),"")</f>
        <v>845</v>
      </c>
      <c r="GB902" s="101" t="str">
        <f t="shared" si="462"/>
        <v>专属强化石1</v>
      </c>
      <c r="GC902" s="101">
        <f t="shared" si="463"/>
        <v>12</v>
      </c>
      <c r="GD902" s="101" t="str">
        <f t="shared" si="464"/>
        <v>专属强化石2</v>
      </c>
      <c r="GE902" s="101">
        <f t="shared" si="465"/>
        <v>4</v>
      </c>
      <c r="GF902" s="101">
        <f t="shared" si="470"/>
        <v>0.12</v>
      </c>
      <c r="GG902" s="101">
        <f t="shared" si="471"/>
        <v>1</v>
      </c>
      <c r="GH902" s="101">
        <f t="shared" si="472"/>
        <v>13</v>
      </c>
      <c r="GI902" s="101">
        <f t="shared" si="473"/>
        <v>0</v>
      </c>
      <c r="GJ902" s="101">
        <f t="shared" si="474"/>
        <v>1</v>
      </c>
      <c r="GK902" s="101">
        <f t="shared" si="475"/>
        <v>3</v>
      </c>
      <c r="GL902" s="101">
        <f t="shared" si="476"/>
        <v>5.9299999999999999E-2</v>
      </c>
      <c r="GM902" s="101">
        <f t="shared" si="477"/>
        <v>1</v>
      </c>
      <c r="GN902" s="101">
        <f t="shared" si="478"/>
        <v>6</v>
      </c>
      <c r="GO902" s="101">
        <f t="shared" si="479"/>
        <v>0.23710000000000001</v>
      </c>
      <c r="GP902" s="101">
        <f t="shared" si="480"/>
        <v>1</v>
      </c>
      <c r="GQ902" s="101">
        <f t="shared" si="481"/>
        <v>13</v>
      </c>
    </row>
    <row r="903" spans="175:199" ht="16.5" x14ac:dyDescent="0.2">
      <c r="FS903" s="101">
        <v>898</v>
      </c>
      <c r="FT903" s="101">
        <f t="shared" si="466"/>
        <v>16</v>
      </c>
      <c r="FU903" s="101">
        <f t="shared" ref="FU903:FU966" si="482">INT((FS903-1)/80+1)</f>
        <v>12</v>
      </c>
      <c r="FV903" s="14">
        <f t="shared" ref="FV903:FV966" si="483">INDEX($FO$6:$FO$26,FU903)</f>
        <v>3</v>
      </c>
      <c r="FW903" s="101" t="str">
        <f t="shared" si="467"/>
        <v>石灵明专属武器-魂珠-2 7级</v>
      </c>
      <c r="FX903" s="101">
        <f t="shared" si="468"/>
        <v>2</v>
      </c>
      <c r="FY903" s="101">
        <f t="shared" si="469"/>
        <v>7</v>
      </c>
      <c r="FZ903" s="101" t="str">
        <f t="shared" ref="FZ903:FZ966" si="484">IF($FY903&gt;0,IF(INDEX($EM$6:$EM$77,$FT903)&gt;=FZ$3,INDEX(EN$6:EN$77,$FT903),""),"")</f>
        <v>金币</v>
      </c>
      <c r="GA903" s="139">
        <f>IF($FY903&gt;0,IF(INDEX($EM$6:$EM$77,$FT903)&gt;=GA$3,ROUND(INDEX(EO$6:EO$77,$FT903)*INDEX(卡牌消耗!$B$8:$F$8,FV903)/5,0)*5,""),"")</f>
        <v>1060</v>
      </c>
      <c r="GB903" s="101" t="str">
        <f t="shared" ref="GB903:GB966" si="485">IF($FY903&gt;0,IF(INDEX($EM$6:$EM$77,$FT903)&gt;=GB$3,INDEX(EP$6:EP$77,$FT903),""),"")</f>
        <v>专属强化石1</v>
      </c>
      <c r="GC903" s="101">
        <f t="shared" ref="GC903:GC966" si="486">IF($FY903&gt;0,IF(INDEX($EM$6:$EM$77,$FT903)&gt;=GC$3,INDEX(EQ$6:EQ$77,$FT903),""),"")</f>
        <v>15</v>
      </c>
      <c r="GD903" s="101" t="str">
        <f t="shared" ref="GD903:GD966" si="487">IF($FY903&gt;0,IF(INDEX($EM$6:$EM$77,$FT903)&gt;=GD$3,INDEX(ER$6:ER$77,$FT903),""),"")</f>
        <v>专属强化石2</v>
      </c>
      <c r="GE903" s="101">
        <f t="shared" ref="GE903:GE966" si="488">IF($FY903&gt;0,IF(INDEX($EM$6:$EM$77,$FT903)&gt;=GE$3,INDEX(ES$6:ES$77,$FT903),""),"")</f>
        <v>5</v>
      </c>
      <c r="GF903" s="101">
        <f t="shared" si="470"/>
        <v>0.09</v>
      </c>
      <c r="GG903" s="101">
        <f t="shared" si="471"/>
        <v>1</v>
      </c>
      <c r="GH903" s="101">
        <f t="shared" si="472"/>
        <v>16</v>
      </c>
      <c r="GI903" s="101">
        <f t="shared" si="473"/>
        <v>0</v>
      </c>
      <c r="GJ903" s="101">
        <f t="shared" si="474"/>
        <v>1</v>
      </c>
      <c r="GK903" s="101">
        <f t="shared" si="475"/>
        <v>4</v>
      </c>
      <c r="GL903" s="101">
        <f t="shared" si="476"/>
        <v>4.5900000000000003E-2</v>
      </c>
      <c r="GM903" s="101">
        <f t="shared" si="477"/>
        <v>1</v>
      </c>
      <c r="GN903" s="101">
        <f t="shared" si="478"/>
        <v>8</v>
      </c>
      <c r="GO903" s="101">
        <f t="shared" si="479"/>
        <v>0.1835</v>
      </c>
      <c r="GP903" s="101">
        <f t="shared" si="480"/>
        <v>1</v>
      </c>
      <c r="GQ903" s="101">
        <f t="shared" si="481"/>
        <v>16</v>
      </c>
    </row>
    <row r="904" spans="175:199" ht="16.5" x14ac:dyDescent="0.2">
      <c r="FS904" s="101">
        <v>899</v>
      </c>
      <c r="FT904" s="101">
        <f t="shared" si="466"/>
        <v>17</v>
      </c>
      <c r="FU904" s="101">
        <f t="shared" si="482"/>
        <v>12</v>
      </c>
      <c r="FV904" s="14">
        <f t="shared" si="483"/>
        <v>3</v>
      </c>
      <c r="FW904" s="101" t="str">
        <f t="shared" si="467"/>
        <v>石灵明专属武器-魂珠-2 8级</v>
      </c>
      <c r="FX904" s="101">
        <f t="shared" si="468"/>
        <v>2</v>
      </c>
      <c r="FY904" s="101">
        <f t="shared" si="469"/>
        <v>8</v>
      </c>
      <c r="FZ904" s="101" t="str">
        <f t="shared" si="484"/>
        <v>金币</v>
      </c>
      <c r="GA904" s="139">
        <f>IF($FY904&gt;0,IF(INDEX($EM$6:$EM$77,$FT904)&gt;=GA$3,ROUND(INDEX(EO$6:EO$77,$FT904)*INDEX(卡牌消耗!$B$8:$F$8,FV904)/5,0)*5,""),"")</f>
        <v>1270</v>
      </c>
      <c r="GB904" s="101" t="str">
        <f t="shared" si="485"/>
        <v>专属强化石1</v>
      </c>
      <c r="GC904" s="101">
        <f t="shared" si="486"/>
        <v>18</v>
      </c>
      <c r="GD904" s="101" t="str">
        <f t="shared" si="487"/>
        <v>专属强化石2</v>
      </c>
      <c r="GE904" s="101">
        <f t="shared" si="488"/>
        <v>6</v>
      </c>
      <c r="GF904" s="101">
        <f t="shared" si="470"/>
        <v>7.0000000000000007E-2</v>
      </c>
      <c r="GG904" s="101">
        <f t="shared" si="471"/>
        <v>1</v>
      </c>
      <c r="GH904" s="101">
        <f t="shared" si="472"/>
        <v>22</v>
      </c>
      <c r="GI904" s="101">
        <f t="shared" si="473"/>
        <v>0</v>
      </c>
      <c r="GJ904" s="101">
        <f t="shared" si="474"/>
        <v>1</v>
      </c>
      <c r="GK904" s="101">
        <f t="shared" si="475"/>
        <v>5</v>
      </c>
      <c r="GL904" s="101">
        <f t="shared" si="476"/>
        <v>3.4000000000000002E-2</v>
      </c>
      <c r="GM904" s="101">
        <f t="shared" si="477"/>
        <v>1</v>
      </c>
      <c r="GN904" s="101">
        <f t="shared" si="478"/>
        <v>10</v>
      </c>
      <c r="GO904" s="101">
        <f t="shared" si="479"/>
        <v>0.13600000000000001</v>
      </c>
      <c r="GP904" s="101">
        <f t="shared" si="480"/>
        <v>1</v>
      </c>
      <c r="GQ904" s="101">
        <f t="shared" si="481"/>
        <v>22</v>
      </c>
    </row>
    <row r="905" spans="175:199" ht="16.5" x14ac:dyDescent="0.2">
      <c r="FS905" s="101">
        <v>900</v>
      </c>
      <c r="FT905" s="101">
        <f t="shared" si="466"/>
        <v>18</v>
      </c>
      <c r="FU905" s="101">
        <f t="shared" si="482"/>
        <v>12</v>
      </c>
      <c r="FV905" s="14">
        <f t="shared" si="483"/>
        <v>3</v>
      </c>
      <c r="FW905" s="101" t="str">
        <f t="shared" si="467"/>
        <v>石灵明专属武器-魂珠-2 9级</v>
      </c>
      <c r="FX905" s="101">
        <f t="shared" si="468"/>
        <v>2</v>
      </c>
      <c r="FY905" s="101">
        <f t="shared" si="469"/>
        <v>9</v>
      </c>
      <c r="FZ905" s="101" t="str">
        <f t="shared" si="484"/>
        <v>金币</v>
      </c>
      <c r="GA905" s="139">
        <f>IF($FY905&gt;0,IF(INDEX($EM$6:$EM$77,$FT905)&gt;=GA$3,ROUND(INDEX(EO$6:EO$77,$FT905)*INDEX(卡牌消耗!$B$8:$F$8,FV905)/5,0)*5,""),"")</f>
        <v>1695</v>
      </c>
      <c r="GB905" s="101" t="str">
        <f t="shared" si="485"/>
        <v>专属强化石1</v>
      </c>
      <c r="GC905" s="101">
        <f t="shared" si="486"/>
        <v>24</v>
      </c>
      <c r="GD905" s="101" t="str">
        <f t="shared" si="487"/>
        <v>专属强化石2</v>
      </c>
      <c r="GE905" s="101">
        <f t="shared" si="488"/>
        <v>8</v>
      </c>
      <c r="GF905" s="101">
        <f t="shared" si="470"/>
        <v>0.06</v>
      </c>
      <c r="GG905" s="101">
        <f t="shared" si="471"/>
        <v>1</v>
      </c>
      <c r="GH905" s="101">
        <f t="shared" si="472"/>
        <v>27</v>
      </c>
      <c r="GI905" s="101">
        <f t="shared" si="473"/>
        <v>0</v>
      </c>
      <c r="GJ905" s="101">
        <f t="shared" si="474"/>
        <v>1</v>
      </c>
      <c r="GK905" s="101">
        <f t="shared" si="475"/>
        <v>6</v>
      </c>
      <c r="GL905" s="101">
        <f t="shared" si="476"/>
        <v>2.8000000000000001E-2</v>
      </c>
      <c r="GM905" s="101">
        <f t="shared" si="477"/>
        <v>1</v>
      </c>
      <c r="GN905" s="101">
        <f t="shared" si="478"/>
        <v>12</v>
      </c>
      <c r="GO905" s="101">
        <f t="shared" si="479"/>
        <v>0.11210000000000001</v>
      </c>
      <c r="GP905" s="101">
        <f t="shared" si="480"/>
        <v>1</v>
      </c>
      <c r="GQ905" s="101">
        <f t="shared" si="481"/>
        <v>27</v>
      </c>
    </row>
    <row r="906" spans="175:199" ht="16.5" x14ac:dyDescent="0.2">
      <c r="FS906" s="101">
        <v>901</v>
      </c>
      <c r="FT906" s="101">
        <f t="shared" si="466"/>
        <v>0</v>
      </c>
      <c r="FU906" s="101">
        <f t="shared" si="482"/>
        <v>12</v>
      </c>
      <c r="FV906" s="14">
        <f t="shared" si="483"/>
        <v>3</v>
      </c>
      <c r="FW906" s="101" t="str">
        <f t="shared" si="467"/>
        <v>石灵明专属武器-魂珠-3 0级</v>
      </c>
      <c r="FX906" s="101">
        <f t="shared" si="468"/>
        <v>3</v>
      </c>
      <c r="FY906" s="101">
        <f t="shared" si="469"/>
        <v>0</v>
      </c>
      <c r="FZ906" s="101" t="str">
        <f t="shared" si="484"/>
        <v/>
      </c>
      <c r="GA906" s="139" t="str">
        <f>IF($FY906&gt;0,IF(INDEX($EM$6:$EM$77,$FT906)&gt;=GA$3,ROUND(INDEX(EO$6:EO$77,$FT906)*INDEX(卡牌消耗!$B$8:$F$8,FV906)/5,0)*5,""),"")</f>
        <v/>
      </c>
      <c r="GB906" s="101" t="str">
        <f t="shared" si="485"/>
        <v/>
      </c>
      <c r="GC906" s="101" t="str">
        <f t="shared" si="486"/>
        <v/>
      </c>
      <c r="GD906" s="101" t="str">
        <f t="shared" si="487"/>
        <v/>
      </c>
      <c r="GE906" s="101" t="str">
        <f t="shared" si="488"/>
        <v/>
      </c>
      <c r="GF906" s="101" t="str">
        <f t="shared" si="470"/>
        <v/>
      </c>
      <c r="GG906" s="101" t="str">
        <f t="shared" si="471"/>
        <v/>
      </c>
      <c r="GH906" s="101" t="str">
        <f t="shared" si="472"/>
        <v/>
      </c>
      <c r="GI906" s="101" t="str">
        <f t="shared" si="473"/>
        <v/>
      </c>
      <c r="GJ906" s="101" t="str">
        <f t="shared" si="474"/>
        <v/>
      </c>
      <c r="GK906" s="101" t="str">
        <f t="shared" si="475"/>
        <v/>
      </c>
      <c r="GL906" s="101" t="str">
        <f t="shared" si="476"/>
        <v/>
      </c>
      <c r="GM906" s="101" t="str">
        <f t="shared" si="477"/>
        <v/>
      </c>
      <c r="GN906" s="101" t="str">
        <f t="shared" si="478"/>
        <v/>
      </c>
      <c r="GO906" s="101" t="str">
        <f t="shared" si="479"/>
        <v/>
      </c>
      <c r="GP906" s="101" t="str">
        <f t="shared" si="480"/>
        <v/>
      </c>
      <c r="GQ906" s="101" t="str">
        <f t="shared" si="481"/>
        <v/>
      </c>
    </row>
    <row r="907" spans="175:199" ht="16.5" x14ac:dyDescent="0.2">
      <c r="FS907" s="101">
        <v>902</v>
      </c>
      <c r="FT907" s="101">
        <f t="shared" si="466"/>
        <v>19</v>
      </c>
      <c r="FU907" s="101">
        <f t="shared" si="482"/>
        <v>12</v>
      </c>
      <c r="FV907" s="14">
        <f t="shared" si="483"/>
        <v>3</v>
      </c>
      <c r="FW907" s="101" t="str">
        <f t="shared" si="467"/>
        <v>石灵明专属武器-魂珠-3 1级</v>
      </c>
      <c r="FX907" s="101">
        <f t="shared" si="468"/>
        <v>3</v>
      </c>
      <c r="FY907" s="101">
        <f t="shared" si="469"/>
        <v>1</v>
      </c>
      <c r="FZ907" s="101" t="str">
        <f t="shared" si="484"/>
        <v>金币</v>
      </c>
      <c r="GA907" s="139">
        <f>IF($FY907&gt;0,IF(INDEX($EM$6:$EM$77,$FT907)&gt;=GA$3,ROUND(INDEX(EO$6:EO$77,$FT907)*INDEX(卡牌消耗!$B$8:$F$8,FV907)/5,0)*5,""),"")</f>
        <v>545</v>
      </c>
      <c r="GB907" s="101" t="str">
        <f t="shared" si="485"/>
        <v>专属强化石1</v>
      </c>
      <c r="GC907" s="101">
        <f t="shared" si="486"/>
        <v>4</v>
      </c>
      <c r="GD907" s="101" t="str">
        <f t="shared" si="487"/>
        <v>专属强化石2</v>
      </c>
      <c r="GE907" s="101">
        <f t="shared" si="488"/>
        <v>2</v>
      </c>
      <c r="GF907" s="101">
        <f t="shared" si="470"/>
        <v>0.31</v>
      </c>
      <c r="GG907" s="101">
        <f t="shared" si="471"/>
        <v>1</v>
      </c>
      <c r="GH907" s="101">
        <f t="shared" si="472"/>
        <v>5</v>
      </c>
      <c r="GI907" s="101">
        <f t="shared" si="473"/>
        <v>0</v>
      </c>
      <c r="GJ907" s="101">
        <f t="shared" si="474"/>
        <v>1</v>
      </c>
      <c r="GK907" s="101">
        <f t="shared" si="475"/>
        <v>1</v>
      </c>
      <c r="GL907" s="101">
        <f t="shared" si="476"/>
        <v>0.15409999999999999</v>
      </c>
      <c r="GM907" s="101">
        <f t="shared" si="477"/>
        <v>1</v>
      </c>
      <c r="GN907" s="101">
        <f t="shared" si="478"/>
        <v>2</v>
      </c>
      <c r="GO907" s="101">
        <f t="shared" si="479"/>
        <v>0.61650000000000005</v>
      </c>
      <c r="GP907" s="101">
        <f t="shared" si="480"/>
        <v>1</v>
      </c>
      <c r="GQ907" s="101">
        <f t="shared" si="481"/>
        <v>5</v>
      </c>
    </row>
    <row r="908" spans="175:199" ht="16.5" x14ac:dyDescent="0.2">
      <c r="FS908" s="101">
        <v>903</v>
      </c>
      <c r="FT908" s="101">
        <f t="shared" si="466"/>
        <v>20</v>
      </c>
      <c r="FU908" s="101">
        <f t="shared" si="482"/>
        <v>12</v>
      </c>
      <c r="FV908" s="14">
        <f t="shared" si="483"/>
        <v>3</v>
      </c>
      <c r="FW908" s="101" t="str">
        <f t="shared" si="467"/>
        <v>石灵明专属武器-魂珠-3 2级</v>
      </c>
      <c r="FX908" s="101">
        <f t="shared" si="468"/>
        <v>3</v>
      </c>
      <c r="FY908" s="101">
        <f t="shared" si="469"/>
        <v>2</v>
      </c>
      <c r="FZ908" s="101" t="str">
        <f t="shared" si="484"/>
        <v>金币</v>
      </c>
      <c r="GA908" s="139">
        <f>IF($FY908&gt;0,IF(INDEX($EM$6:$EM$77,$FT908)&gt;=GA$3,ROUND(INDEX(EO$6:EO$77,$FT908)*INDEX(卡牌消耗!$B$8:$F$8,FV908)/5,0)*5,""),"")</f>
        <v>410</v>
      </c>
      <c r="GB908" s="101" t="str">
        <f t="shared" si="485"/>
        <v>专属强化石1</v>
      </c>
      <c r="GC908" s="101">
        <f t="shared" si="486"/>
        <v>4</v>
      </c>
      <c r="GD908" s="101" t="str">
        <f t="shared" si="487"/>
        <v>专属强化石2</v>
      </c>
      <c r="GE908" s="101">
        <f t="shared" si="488"/>
        <v>2</v>
      </c>
      <c r="GF908" s="101">
        <f t="shared" si="470"/>
        <v>0.15</v>
      </c>
      <c r="GG908" s="101">
        <f t="shared" si="471"/>
        <v>1</v>
      </c>
      <c r="GH908" s="101">
        <f t="shared" si="472"/>
        <v>10</v>
      </c>
      <c r="GI908" s="101">
        <f t="shared" si="473"/>
        <v>0</v>
      </c>
      <c r="GJ908" s="101">
        <f t="shared" si="474"/>
        <v>1</v>
      </c>
      <c r="GK908" s="101">
        <f t="shared" si="475"/>
        <v>2</v>
      </c>
      <c r="GL908" s="101">
        <f t="shared" si="476"/>
        <v>7.7100000000000002E-2</v>
      </c>
      <c r="GM908" s="101">
        <f t="shared" si="477"/>
        <v>1</v>
      </c>
      <c r="GN908" s="101">
        <f t="shared" si="478"/>
        <v>5</v>
      </c>
      <c r="GO908" s="101">
        <f t="shared" si="479"/>
        <v>0.30830000000000002</v>
      </c>
      <c r="GP908" s="101">
        <f t="shared" si="480"/>
        <v>1</v>
      </c>
      <c r="GQ908" s="101">
        <f t="shared" si="481"/>
        <v>10</v>
      </c>
    </row>
    <row r="909" spans="175:199" ht="16.5" x14ac:dyDescent="0.2">
      <c r="FS909" s="101">
        <v>904</v>
      </c>
      <c r="FT909" s="101">
        <f t="shared" si="466"/>
        <v>21</v>
      </c>
      <c r="FU909" s="101">
        <f t="shared" si="482"/>
        <v>12</v>
      </c>
      <c r="FV909" s="14">
        <f t="shared" si="483"/>
        <v>3</v>
      </c>
      <c r="FW909" s="101" t="str">
        <f t="shared" si="467"/>
        <v>石灵明专属武器-魂珠-3 3级</v>
      </c>
      <c r="FX909" s="101">
        <f t="shared" si="468"/>
        <v>3</v>
      </c>
      <c r="FY909" s="101">
        <f t="shared" si="469"/>
        <v>3</v>
      </c>
      <c r="FZ909" s="101" t="str">
        <f t="shared" si="484"/>
        <v>金币</v>
      </c>
      <c r="GA909" s="139">
        <f>IF($FY909&gt;0,IF(INDEX($EM$6:$EM$77,$FT909)&gt;=GA$3,ROUND(INDEX(EO$6:EO$77,$FT909)*INDEX(卡牌消耗!$B$8:$F$8,FV909)/5,0)*5,""),"")</f>
        <v>680</v>
      </c>
      <c r="GB909" s="101" t="str">
        <f t="shared" si="485"/>
        <v>专属强化石1</v>
      </c>
      <c r="GC909" s="101">
        <f t="shared" si="486"/>
        <v>6</v>
      </c>
      <c r="GD909" s="101" t="str">
        <f t="shared" si="487"/>
        <v>专属强化石2</v>
      </c>
      <c r="GE909" s="101">
        <f t="shared" si="488"/>
        <v>3</v>
      </c>
      <c r="GF909" s="101">
        <f t="shared" si="470"/>
        <v>0.15</v>
      </c>
      <c r="GG909" s="101">
        <f t="shared" si="471"/>
        <v>1</v>
      </c>
      <c r="GH909" s="101">
        <f t="shared" si="472"/>
        <v>10</v>
      </c>
      <c r="GI909" s="101">
        <f t="shared" si="473"/>
        <v>0</v>
      </c>
      <c r="GJ909" s="101">
        <f t="shared" si="474"/>
        <v>1</v>
      </c>
      <c r="GK909" s="101">
        <f t="shared" si="475"/>
        <v>2</v>
      </c>
      <c r="GL909" s="101">
        <f t="shared" si="476"/>
        <v>7.7100000000000002E-2</v>
      </c>
      <c r="GM909" s="101">
        <f t="shared" si="477"/>
        <v>1</v>
      </c>
      <c r="GN909" s="101">
        <f t="shared" si="478"/>
        <v>5</v>
      </c>
      <c r="GO909" s="101">
        <f t="shared" si="479"/>
        <v>0.30830000000000002</v>
      </c>
      <c r="GP909" s="101">
        <f t="shared" si="480"/>
        <v>1</v>
      </c>
      <c r="GQ909" s="101">
        <f t="shared" si="481"/>
        <v>10</v>
      </c>
    </row>
    <row r="910" spans="175:199" ht="16.5" x14ac:dyDescent="0.2">
      <c r="FS910" s="101">
        <v>905</v>
      </c>
      <c r="FT910" s="101">
        <f t="shared" si="466"/>
        <v>22</v>
      </c>
      <c r="FU910" s="101">
        <f t="shared" si="482"/>
        <v>12</v>
      </c>
      <c r="FV910" s="14">
        <f t="shared" si="483"/>
        <v>3</v>
      </c>
      <c r="FW910" s="101" t="str">
        <f t="shared" si="467"/>
        <v>石灵明专属武器-魂珠-3 4级</v>
      </c>
      <c r="FX910" s="101">
        <f t="shared" si="468"/>
        <v>3</v>
      </c>
      <c r="FY910" s="101">
        <f t="shared" si="469"/>
        <v>4</v>
      </c>
      <c r="FZ910" s="101" t="str">
        <f t="shared" si="484"/>
        <v>金币</v>
      </c>
      <c r="GA910" s="139">
        <f>IF($FY910&gt;0,IF(INDEX($EM$6:$EM$77,$FT910)&gt;=GA$3,ROUND(INDEX(EO$6:EO$77,$FT910)*INDEX(卡牌消耗!$B$8:$F$8,FV910)/5,0)*5,""),"")</f>
        <v>655</v>
      </c>
      <c r="GB910" s="101" t="str">
        <f t="shared" si="485"/>
        <v>专属强化石1</v>
      </c>
      <c r="GC910" s="101">
        <f t="shared" si="486"/>
        <v>6</v>
      </c>
      <c r="GD910" s="101" t="str">
        <f t="shared" si="487"/>
        <v>专属强化石2</v>
      </c>
      <c r="GE910" s="101">
        <f t="shared" si="488"/>
        <v>3</v>
      </c>
      <c r="GF910" s="101">
        <f t="shared" si="470"/>
        <v>0.09</v>
      </c>
      <c r="GG910" s="101">
        <f t="shared" si="471"/>
        <v>1</v>
      </c>
      <c r="GH910" s="101">
        <f t="shared" si="472"/>
        <v>16</v>
      </c>
      <c r="GI910" s="101">
        <f t="shared" si="473"/>
        <v>0</v>
      </c>
      <c r="GJ910" s="101">
        <f t="shared" si="474"/>
        <v>1</v>
      </c>
      <c r="GK910" s="101">
        <f t="shared" si="475"/>
        <v>4</v>
      </c>
      <c r="GL910" s="101">
        <f t="shared" si="476"/>
        <v>4.6199999999999998E-2</v>
      </c>
      <c r="GM910" s="101">
        <f t="shared" si="477"/>
        <v>1</v>
      </c>
      <c r="GN910" s="101">
        <f t="shared" si="478"/>
        <v>8</v>
      </c>
      <c r="GO910" s="101">
        <f t="shared" si="479"/>
        <v>0.185</v>
      </c>
      <c r="GP910" s="101">
        <f t="shared" si="480"/>
        <v>1</v>
      </c>
      <c r="GQ910" s="101">
        <f t="shared" si="481"/>
        <v>16</v>
      </c>
    </row>
    <row r="911" spans="175:199" ht="16.5" x14ac:dyDescent="0.2">
      <c r="FS911" s="101">
        <v>906</v>
      </c>
      <c r="FT911" s="101">
        <f t="shared" si="466"/>
        <v>23</v>
      </c>
      <c r="FU911" s="101">
        <f t="shared" si="482"/>
        <v>12</v>
      </c>
      <c r="FV911" s="14">
        <f t="shared" si="483"/>
        <v>3</v>
      </c>
      <c r="FW911" s="101" t="str">
        <f t="shared" si="467"/>
        <v>石灵明专属武器-魂珠-3 5级</v>
      </c>
      <c r="FX911" s="101">
        <f t="shared" si="468"/>
        <v>3</v>
      </c>
      <c r="FY911" s="101">
        <f t="shared" si="469"/>
        <v>5</v>
      </c>
      <c r="FZ911" s="101" t="str">
        <f t="shared" si="484"/>
        <v>金币</v>
      </c>
      <c r="GA911" s="139">
        <f>IF($FY911&gt;0,IF(INDEX($EM$6:$EM$77,$FT911)&gt;=GA$3,ROUND(INDEX(EO$6:EO$77,$FT911)*INDEX(卡牌消耗!$B$8:$F$8,FV911)/5,0)*5,""),"")</f>
        <v>885</v>
      </c>
      <c r="GB911" s="101" t="str">
        <f t="shared" si="485"/>
        <v>专属强化石1</v>
      </c>
      <c r="GC911" s="101">
        <f t="shared" si="486"/>
        <v>8</v>
      </c>
      <c r="GD911" s="101" t="str">
        <f t="shared" si="487"/>
        <v>专属强化石2</v>
      </c>
      <c r="GE911" s="101">
        <f t="shared" si="488"/>
        <v>4</v>
      </c>
      <c r="GF911" s="101">
        <f t="shared" si="470"/>
        <v>0.08</v>
      </c>
      <c r="GG911" s="101">
        <f t="shared" si="471"/>
        <v>1</v>
      </c>
      <c r="GH911" s="101">
        <f t="shared" si="472"/>
        <v>19</v>
      </c>
      <c r="GI911" s="101">
        <f t="shared" si="473"/>
        <v>0</v>
      </c>
      <c r="GJ911" s="101">
        <f t="shared" si="474"/>
        <v>1</v>
      </c>
      <c r="GK911" s="101">
        <f t="shared" si="475"/>
        <v>5</v>
      </c>
      <c r="GL911" s="101">
        <f t="shared" si="476"/>
        <v>3.85E-2</v>
      </c>
      <c r="GM911" s="101">
        <f t="shared" si="477"/>
        <v>1</v>
      </c>
      <c r="GN911" s="101">
        <f t="shared" si="478"/>
        <v>9</v>
      </c>
      <c r="GO911" s="101">
        <f t="shared" si="479"/>
        <v>0.15409999999999999</v>
      </c>
      <c r="GP911" s="101">
        <f t="shared" si="480"/>
        <v>1</v>
      </c>
      <c r="GQ911" s="101">
        <f t="shared" si="481"/>
        <v>19</v>
      </c>
    </row>
    <row r="912" spans="175:199" ht="16.5" x14ac:dyDescent="0.2">
      <c r="FS912" s="101">
        <v>907</v>
      </c>
      <c r="FT912" s="101">
        <f t="shared" si="466"/>
        <v>24</v>
      </c>
      <c r="FU912" s="101">
        <f t="shared" si="482"/>
        <v>12</v>
      </c>
      <c r="FV912" s="14">
        <f t="shared" si="483"/>
        <v>3</v>
      </c>
      <c r="FW912" s="101" t="str">
        <f t="shared" si="467"/>
        <v>石灵明专属武器-魂珠-3 6级</v>
      </c>
      <c r="FX912" s="101">
        <f t="shared" si="468"/>
        <v>3</v>
      </c>
      <c r="FY912" s="101">
        <f t="shared" si="469"/>
        <v>6</v>
      </c>
      <c r="FZ912" s="101" t="str">
        <f t="shared" si="484"/>
        <v>金币</v>
      </c>
      <c r="GA912" s="139">
        <f>IF($FY912&gt;0,IF(INDEX($EM$6:$EM$77,$FT912)&gt;=GA$3,ROUND(INDEX(EO$6:EO$77,$FT912)*INDEX(卡牌消耗!$B$8:$F$8,FV912)/5,0)*5,""),"")</f>
        <v>1100</v>
      </c>
      <c r="GB912" s="101" t="str">
        <f t="shared" si="485"/>
        <v>专属强化石1</v>
      </c>
      <c r="GC912" s="101">
        <f t="shared" si="486"/>
        <v>10</v>
      </c>
      <c r="GD912" s="101" t="str">
        <f t="shared" si="487"/>
        <v>专属强化石2</v>
      </c>
      <c r="GE912" s="101">
        <f t="shared" si="488"/>
        <v>5</v>
      </c>
      <c r="GF912" s="101">
        <f t="shared" si="470"/>
        <v>0.06</v>
      </c>
      <c r="GG912" s="101">
        <f t="shared" si="471"/>
        <v>1</v>
      </c>
      <c r="GH912" s="101">
        <f t="shared" si="472"/>
        <v>25</v>
      </c>
      <c r="GI912" s="101">
        <f t="shared" si="473"/>
        <v>0</v>
      </c>
      <c r="GJ912" s="101">
        <f t="shared" si="474"/>
        <v>1</v>
      </c>
      <c r="GK912" s="101">
        <f t="shared" si="475"/>
        <v>6</v>
      </c>
      <c r="GL912" s="101">
        <f t="shared" si="476"/>
        <v>2.9600000000000001E-2</v>
      </c>
      <c r="GM912" s="101">
        <f t="shared" si="477"/>
        <v>1</v>
      </c>
      <c r="GN912" s="101">
        <f t="shared" si="478"/>
        <v>12</v>
      </c>
      <c r="GO912" s="101">
        <f t="shared" si="479"/>
        <v>0.1186</v>
      </c>
      <c r="GP912" s="101">
        <f t="shared" si="480"/>
        <v>1</v>
      </c>
      <c r="GQ912" s="101">
        <f t="shared" si="481"/>
        <v>25</v>
      </c>
    </row>
    <row r="913" spans="175:199" ht="16.5" x14ac:dyDescent="0.2">
      <c r="FS913" s="101">
        <v>908</v>
      </c>
      <c r="FT913" s="101">
        <f t="shared" si="466"/>
        <v>25</v>
      </c>
      <c r="FU913" s="101">
        <f t="shared" si="482"/>
        <v>12</v>
      </c>
      <c r="FV913" s="14">
        <f t="shared" si="483"/>
        <v>3</v>
      </c>
      <c r="FW913" s="101" t="str">
        <f t="shared" si="467"/>
        <v>石灵明专属武器-魂珠-3 7级</v>
      </c>
      <c r="FX913" s="101">
        <f t="shared" si="468"/>
        <v>3</v>
      </c>
      <c r="FY913" s="101">
        <f t="shared" si="469"/>
        <v>7</v>
      </c>
      <c r="FZ913" s="101" t="str">
        <f t="shared" si="484"/>
        <v>金币</v>
      </c>
      <c r="GA913" s="139">
        <f>IF($FY913&gt;0,IF(INDEX($EM$6:$EM$77,$FT913)&gt;=GA$3,ROUND(INDEX(EO$6:EO$77,$FT913)*INDEX(卡牌消耗!$B$8:$F$8,FV913)/5,0)*5,""),"")</f>
        <v>1325</v>
      </c>
      <c r="GB913" s="101" t="str">
        <f t="shared" si="485"/>
        <v>专属强化石1</v>
      </c>
      <c r="GC913" s="101">
        <f t="shared" si="486"/>
        <v>12</v>
      </c>
      <c r="GD913" s="101" t="str">
        <f t="shared" si="487"/>
        <v>专属强化石2</v>
      </c>
      <c r="GE913" s="101">
        <f t="shared" si="488"/>
        <v>6</v>
      </c>
      <c r="GF913" s="101">
        <f t="shared" si="470"/>
        <v>0.04</v>
      </c>
      <c r="GG913" s="101">
        <f t="shared" si="471"/>
        <v>1</v>
      </c>
      <c r="GH913" s="101">
        <f t="shared" si="472"/>
        <v>34</v>
      </c>
      <c r="GI913" s="101">
        <f t="shared" si="473"/>
        <v>0</v>
      </c>
      <c r="GJ913" s="101">
        <f t="shared" si="474"/>
        <v>1</v>
      </c>
      <c r="GK913" s="101">
        <f t="shared" si="475"/>
        <v>8</v>
      </c>
      <c r="GL913" s="101">
        <f t="shared" si="476"/>
        <v>2.1999999999999999E-2</v>
      </c>
      <c r="GM913" s="101">
        <f t="shared" si="477"/>
        <v>1</v>
      </c>
      <c r="GN913" s="101">
        <f t="shared" si="478"/>
        <v>16</v>
      </c>
      <c r="GO913" s="101">
        <f t="shared" si="479"/>
        <v>8.8099999999999998E-2</v>
      </c>
      <c r="GP913" s="101">
        <f t="shared" si="480"/>
        <v>1</v>
      </c>
      <c r="GQ913" s="101">
        <f t="shared" si="481"/>
        <v>34</v>
      </c>
    </row>
    <row r="914" spans="175:199" ht="16.5" x14ac:dyDescent="0.2">
      <c r="FS914" s="101">
        <v>909</v>
      </c>
      <c r="FT914" s="101">
        <f t="shared" si="466"/>
        <v>26</v>
      </c>
      <c r="FU914" s="101">
        <f t="shared" si="482"/>
        <v>12</v>
      </c>
      <c r="FV914" s="14">
        <f t="shared" si="483"/>
        <v>3</v>
      </c>
      <c r="FW914" s="101" t="str">
        <f t="shared" si="467"/>
        <v>石灵明专属武器-魂珠-3 8级</v>
      </c>
      <c r="FX914" s="101">
        <f t="shared" si="468"/>
        <v>3</v>
      </c>
      <c r="FY914" s="101">
        <f t="shared" si="469"/>
        <v>8</v>
      </c>
      <c r="FZ914" s="101" t="str">
        <f t="shared" si="484"/>
        <v>金币</v>
      </c>
      <c r="GA914" s="139">
        <f>IF($FY914&gt;0,IF(INDEX($EM$6:$EM$77,$FT914)&gt;=GA$3,ROUND(INDEX(EO$6:EO$77,$FT914)*INDEX(卡牌消耗!$B$8:$F$8,FV914)/5,0)*5,""),"")</f>
        <v>1765</v>
      </c>
      <c r="GB914" s="101" t="str">
        <f t="shared" si="485"/>
        <v>专属强化石1</v>
      </c>
      <c r="GC914" s="101">
        <f t="shared" si="486"/>
        <v>16</v>
      </c>
      <c r="GD914" s="101" t="str">
        <f t="shared" si="487"/>
        <v>专属强化石2</v>
      </c>
      <c r="GE914" s="101">
        <f t="shared" si="488"/>
        <v>8</v>
      </c>
      <c r="GF914" s="101">
        <f t="shared" si="470"/>
        <v>0.04</v>
      </c>
      <c r="GG914" s="101">
        <f t="shared" si="471"/>
        <v>1</v>
      </c>
      <c r="GH914" s="101">
        <f t="shared" si="472"/>
        <v>41</v>
      </c>
      <c r="GI914" s="101">
        <f t="shared" si="473"/>
        <v>0</v>
      </c>
      <c r="GJ914" s="101">
        <f t="shared" si="474"/>
        <v>1</v>
      </c>
      <c r="GK914" s="101">
        <f t="shared" si="475"/>
        <v>10</v>
      </c>
      <c r="GL914" s="101">
        <f t="shared" si="476"/>
        <v>1.8100000000000002E-2</v>
      </c>
      <c r="GM914" s="101">
        <f t="shared" si="477"/>
        <v>1</v>
      </c>
      <c r="GN914" s="101">
        <f t="shared" si="478"/>
        <v>19</v>
      </c>
      <c r="GO914" s="101">
        <f t="shared" si="479"/>
        <v>7.2499999999999995E-2</v>
      </c>
      <c r="GP914" s="101">
        <f t="shared" si="480"/>
        <v>1</v>
      </c>
      <c r="GQ914" s="101">
        <f t="shared" si="481"/>
        <v>41</v>
      </c>
    </row>
    <row r="915" spans="175:199" ht="16.5" x14ac:dyDescent="0.2">
      <c r="FS915" s="101">
        <v>910</v>
      </c>
      <c r="FT915" s="101">
        <f t="shared" si="466"/>
        <v>27</v>
      </c>
      <c r="FU915" s="101">
        <f t="shared" si="482"/>
        <v>12</v>
      </c>
      <c r="FV915" s="14">
        <f t="shared" si="483"/>
        <v>3</v>
      </c>
      <c r="FW915" s="101" t="str">
        <f t="shared" si="467"/>
        <v>石灵明专属武器-魂珠-3 9级</v>
      </c>
      <c r="FX915" s="101">
        <f t="shared" si="468"/>
        <v>3</v>
      </c>
      <c r="FY915" s="101">
        <f t="shared" si="469"/>
        <v>9</v>
      </c>
      <c r="FZ915" s="101" t="str">
        <f t="shared" si="484"/>
        <v>金币</v>
      </c>
      <c r="GA915" s="139">
        <f>IF($FY915&gt;0,IF(INDEX($EM$6:$EM$77,$FT915)&gt;=GA$3,ROUND(INDEX(EO$6:EO$77,$FT915)*INDEX(卡牌消耗!$B$8:$F$8,FV915)/5,0)*5,""),"")</f>
        <v>2205</v>
      </c>
      <c r="GB915" s="101" t="str">
        <f t="shared" si="485"/>
        <v>专属强化石1</v>
      </c>
      <c r="GC915" s="101">
        <f t="shared" si="486"/>
        <v>20</v>
      </c>
      <c r="GD915" s="101" t="str">
        <f t="shared" si="487"/>
        <v>专属强化石2</v>
      </c>
      <c r="GE915" s="101">
        <f t="shared" si="488"/>
        <v>10</v>
      </c>
      <c r="GF915" s="101">
        <f t="shared" si="470"/>
        <v>0.03</v>
      </c>
      <c r="GG915" s="101">
        <f t="shared" si="471"/>
        <v>1</v>
      </c>
      <c r="GH915" s="101">
        <f t="shared" si="472"/>
        <v>54</v>
      </c>
      <c r="GI915" s="101">
        <f t="shared" si="473"/>
        <v>0</v>
      </c>
      <c r="GJ915" s="101">
        <f t="shared" si="474"/>
        <v>1</v>
      </c>
      <c r="GK915" s="101">
        <f t="shared" si="475"/>
        <v>12</v>
      </c>
      <c r="GL915" s="101">
        <f t="shared" si="476"/>
        <v>1.4E-2</v>
      </c>
      <c r="GM915" s="101">
        <f t="shared" si="477"/>
        <v>1</v>
      </c>
      <c r="GN915" s="101">
        <f t="shared" si="478"/>
        <v>25</v>
      </c>
      <c r="GO915" s="101">
        <f t="shared" si="479"/>
        <v>5.6000000000000001E-2</v>
      </c>
      <c r="GP915" s="101">
        <f t="shared" si="480"/>
        <v>1</v>
      </c>
      <c r="GQ915" s="101">
        <f t="shared" si="481"/>
        <v>54</v>
      </c>
    </row>
    <row r="916" spans="175:199" ht="16.5" x14ac:dyDescent="0.2">
      <c r="FS916" s="101">
        <v>911</v>
      </c>
      <c r="FT916" s="101">
        <f t="shared" si="466"/>
        <v>0</v>
      </c>
      <c r="FU916" s="101">
        <f t="shared" si="482"/>
        <v>12</v>
      </c>
      <c r="FV916" s="14">
        <f t="shared" si="483"/>
        <v>3</v>
      </c>
      <c r="FW916" s="101" t="str">
        <f t="shared" si="467"/>
        <v>石灵明专属武器-魂珠-4 0级</v>
      </c>
      <c r="FX916" s="101">
        <f t="shared" si="468"/>
        <v>4</v>
      </c>
      <c r="FY916" s="101">
        <f t="shared" si="469"/>
        <v>0</v>
      </c>
      <c r="FZ916" s="101" t="str">
        <f t="shared" si="484"/>
        <v/>
      </c>
      <c r="GA916" s="139" t="str">
        <f>IF($FY916&gt;0,IF(INDEX($EM$6:$EM$77,$FT916)&gt;=GA$3,ROUND(INDEX(EO$6:EO$77,$FT916)*INDEX(卡牌消耗!$B$8:$F$8,FV916)/5,0)*5,""),"")</f>
        <v/>
      </c>
      <c r="GB916" s="101" t="str">
        <f t="shared" si="485"/>
        <v/>
      </c>
      <c r="GC916" s="101" t="str">
        <f t="shared" si="486"/>
        <v/>
      </c>
      <c r="GD916" s="101" t="str">
        <f t="shared" si="487"/>
        <v/>
      </c>
      <c r="GE916" s="101" t="str">
        <f t="shared" si="488"/>
        <v/>
      </c>
      <c r="GF916" s="101" t="str">
        <f t="shared" si="470"/>
        <v/>
      </c>
      <c r="GG916" s="101" t="str">
        <f t="shared" si="471"/>
        <v/>
      </c>
      <c r="GH916" s="101" t="str">
        <f t="shared" si="472"/>
        <v/>
      </c>
      <c r="GI916" s="101" t="str">
        <f t="shared" si="473"/>
        <v/>
      </c>
      <c r="GJ916" s="101" t="str">
        <f t="shared" si="474"/>
        <v/>
      </c>
      <c r="GK916" s="101" t="str">
        <f t="shared" si="475"/>
        <v/>
      </c>
      <c r="GL916" s="101" t="str">
        <f t="shared" si="476"/>
        <v/>
      </c>
      <c r="GM916" s="101" t="str">
        <f t="shared" si="477"/>
        <v/>
      </c>
      <c r="GN916" s="101" t="str">
        <f t="shared" si="478"/>
        <v/>
      </c>
      <c r="GO916" s="101" t="str">
        <f t="shared" si="479"/>
        <v/>
      </c>
      <c r="GP916" s="101" t="str">
        <f t="shared" si="480"/>
        <v/>
      </c>
      <c r="GQ916" s="101" t="str">
        <f t="shared" si="481"/>
        <v/>
      </c>
    </row>
    <row r="917" spans="175:199" ht="16.5" x14ac:dyDescent="0.2">
      <c r="FS917" s="101">
        <v>912</v>
      </c>
      <c r="FT917" s="101">
        <f t="shared" si="466"/>
        <v>28</v>
      </c>
      <c r="FU917" s="101">
        <f t="shared" si="482"/>
        <v>12</v>
      </c>
      <c r="FV917" s="14">
        <f t="shared" si="483"/>
        <v>3</v>
      </c>
      <c r="FW917" s="101" t="str">
        <f t="shared" si="467"/>
        <v>石灵明专属武器-魂珠-4 1级</v>
      </c>
      <c r="FX917" s="101">
        <f t="shared" si="468"/>
        <v>4</v>
      </c>
      <c r="FY917" s="101">
        <f t="shared" si="469"/>
        <v>1</v>
      </c>
      <c r="FZ917" s="101" t="str">
        <f t="shared" si="484"/>
        <v>金币</v>
      </c>
      <c r="GA917" s="139">
        <f>IF($FY917&gt;0,IF(INDEX($EM$6:$EM$77,$FT917)&gt;=GA$3,ROUND(INDEX(EO$6:EO$77,$FT917)*INDEX(卡牌消耗!$B$8:$F$8,FV917)/5,0)*5,""),"")</f>
        <v>730</v>
      </c>
      <c r="GB917" s="101" t="str">
        <f t="shared" si="485"/>
        <v>专属强化石2</v>
      </c>
      <c r="GC917" s="101">
        <f t="shared" si="486"/>
        <v>3</v>
      </c>
      <c r="GD917" s="101" t="str">
        <f t="shared" si="487"/>
        <v>专属强化石3</v>
      </c>
      <c r="GE917" s="101">
        <f t="shared" si="488"/>
        <v>1</v>
      </c>
      <c r="GF917" s="101">
        <f t="shared" si="470"/>
        <v>0.2</v>
      </c>
      <c r="GG917" s="101">
        <f t="shared" si="471"/>
        <v>1</v>
      </c>
      <c r="GH917" s="101">
        <f t="shared" si="472"/>
        <v>7</v>
      </c>
      <c r="GI917" s="101">
        <f t="shared" si="473"/>
        <v>0</v>
      </c>
      <c r="GJ917" s="101">
        <f t="shared" si="474"/>
        <v>1</v>
      </c>
      <c r="GK917" s="101">
        <f t="shared" si="475"/>
        <v>2</v>
      </c>
      <c r="GL917" s="101">
        <f t="shared" si="476"/>
        <v>0.1012</v>
      </c>
      <c r="GM917" s="101">
        <f t="shared" si="477"/>
        <v>1</v>
      </c>
      <c r="GN917" s="101">
        <f t="shared" si="478"/>
        <v>3</v>
      </c>
      <c r="GO917" s="101">
        <f t="shared" si="479"/>
        <v>0.40479999999999999</v>
      </c>
      <c r="GP917" s="101">
        <f t="shared" si="480"/>
        <v>1</v>
      </c>
      <c r="GQ917" s="101">
        <f t="shared" si="481"/>
        <v>7</v>
      </c>
    </row>
    <row r="918" spans="175:199" ht="16.5" x14ac:dyDescent="0.2">
      <c r="FS918" s="101">
        <v>913</v>
      </c>
      <c r="FT918" s="101">
        <f t="shared" ref="FT918:FT981" si="489">IF(FY918&gt;0,(FX918-1)*9+FY918,0)</f>
        <v>29</v>
      </c>
      <c r="FU918" s="101">
        <f t="shared" si="482"/>
        <v>12</v>
      </c>
      <c r="FV918" s="14">
        <f t="shared" si="483"/>
        <v>3</v>
      </c>
      <c r="FW918" s="101" t="str">
        <f t="shared" ref="FW918:FW981" si="490">INDEX($FN$6:$FN$26,FU918)&amp;"专属武器-魂珠-"&amp;FX918&amp;" "&amp;FY918&amp;"级"</f>
        <v>石灵明专属武器-魂珠-4 2级</v>
      </c>
      <c r="FX918" s="101">
        <f t="shared" ref="FX918:FX981" si="491">INT((FS918-(FU918-1)*80-1)/10)+1</f>
        <v>4</v>
      </c>
      <c r="FY918" s="101">
        <f t="shared" ref="FY918:FY981" si="492">FS918-(FU918-1)*80-(FX918-1)*10-1</f>
        <v>2</v>
      </c>
      <c r="FZ918" s="101" t="str">
        <f t="shared" si="484"/>
        <v>金币</v>
      </c>
      <c r="GA918" s="139">
        <f>IF($FY918&gt;0,IF(INDEX($EM$6:$EM$77,$FT918)&gt;=GA$3,ROUND(INDEX(EO$6:EO$77,$FT918)*INDEX(卡牌消耗!$B$8:$F$8,FV918)/5,0)*5,""),"")</f>
        <v>545</v>
      </c>
      <c r="GB918" s="101" t="str">
        <f t="shared" si="485"/>
        <v>专属强化石2</v>
      </c>
      <c r="GC918" s="101">
        <f t="shared" si="486"/>
        <v>3</v>
      </c>
      <c r="GD918" s="101" t="str">
        <f t="shared" si="487"/>
        <v>专属强化石3</v>
      </c>
      <c r="GE918" s="101">
        <f t="shared" si="488"/>
        <v>1</v>
      </c>
      <c r="GF918" s="101">
        <f t="shared" ref="GF918:GF981" si="493">IF($FY918&gt;0,INDEX(ET$6:ET$77,$FT918),"")</f>
        <v>0.1</v>
      </c>
      <c r="GG918" s="101">
        <f t="shared" ref="GG918:GG981" si="494">IF($FY918&gt;0,INDEX(EU$6:EU$77,$FT918),"")</f>
        <v>1</v>
      </c>
      <c r="GH918" s="101">
        <f t="shared" ref="GH918:GH981" si="495">IF($FY918&gt;0,INDEX(EV$6:EV$77,$FT918),"")</f>
        <v>15</v>
      </c>
      <c r="GI918" s="101">
        <f t="shared" ref="GI918:GI981" si="496">IF($FY918&gt;0,INDEX(FA$6:FA$77,$FT918),"")</f>
        <v>0</v>
      </c>
      <c r="GJ918" s="101">
        <f t="shared" ref="GJ918:GJ981" si="497">IF($FY918&gt;0,INDEX(FB$6:FB$77,$FT918),"")</f>
        <v>1</v>
      </c>
      <c r="GK918" s="101">
        <f t="shared" ref="GK918:GK981" si="498">IF($FY918&gt;0,INDEX(FC$6:FC$77,$FT918),"")</f>
        <v>3</v>
      </c>
      <c r="GL918" s="101">
        <f t="shared" ref="GL918:GL981" si="499">IF($FY918&gt;0,INDEX(FD$6:FD$77,$FT918),"")</f>
        <v>5.0599999999999999E-2</v>
      </c>
      <c r="GM918" s="101">
        <f t="shared" ref="GM918:GM981" si="500">IF($FY918&gt;0,INDEX(FE$6:FE$77,$FT918),"")</f>
        <v>1</v>
      </c>
      <c r="GN918" s="101">
        <f t="shared" ref="GN918:GN981" si="501">IF($FY918&gt;0,INDEX(FF$6:FF$77,$FT918),"")</f>
        <v>7</v>
      </c>
      <c r="GO918" s="101">
        <f t="shared" ref="GO918:GO981" si="502">IF($FY918&gt;0,INDEX(FG$6:FG$77,$FT918),"")</f>
        <v>0.2024</v>
      </c>
      <c r="GP918" s="101">
        <f t="shared" ref="GP918:GP981" si="503">IF($FY918&gt;0,INDEX(FH$6:FH$77,$FT918),"")</f>
        <v>1</v>
      </c>
      <c r="GQ918" s="101">
        <f t="shared" ref="GQ918:GQ981" si="504">IF($FY918&gt;0,INDEX(FI$6:FI$77,$FT918),"")</f>
        <v>15</v>
      </c>
    </row>
    <row r="919" spans="175:199" ht="16.5" x14ac:dyDescent="0.2">
      <c r="FS919" s="101">
        <v>914</v>
      </c>
      <c r="FT919" s="101">
        <f t="shared" si="489"/>
        <v>30</v>
      </c>
      <c r="FU919" s="101">
        <f t="shared" si="482"/>
        <v>12</v>
      </c>
      <c r="FV919" s="14">
        <f t="shared" si="483"/>
        <v>3</v>
      </c>
      <c r="FW919" s="101" t="str">
        <f t="shared" si="490"/>
        <v>石灵明专属武器-魂珠-4 3级</v>
      </c>
      <c r="FX919" s="101">
        <f t="shared" si="491"/>
        <v>4</v>
      </c>
      <c r="FY919" s="101">
        <f t="shared" si="492"/>
        <v>3</v>
      </c>
      <c r="FZ919" s="101" t="str">
        <f t="shared" si="484"/>
        <v>金币</v>
      </c>
      <c r="GA919" s="139">
        <f>IF($FY919&gt;0,IF(INDEX($EM$6:$EM$77,$FT919)&gt;=GA$3,ROUND(INDEX(EO$6:EO$77,$FT919)*INDEX(卡牌消耗!$B$8:$F$8,FV919)/5,0)*5,""),"")</f>
        <v>610</v>
      </c>
      <c r="GB919" s="101" t="str">
        <f t="shared" si="485"/>
        <v>专属强化石2</v>
      </c>
      <c r="GC919" s="101">
        <f t="shared" si="486"/>
        <v>3</v>
      </c>
      <c r="GD919" s="101" t="str">
        <f t="shared" si="487"/>
        <v>专属强化石3</v>
      </c>
      <c r="GE919" s="101">
        <f t="shared" si="488"/>
        <v>1</v>
      </c>
      <c r="GF919" s="101">
        <f t="shared" si="493"/>
        <v>7.0000000000000007E-2</v>
      </c>
      <c r="GG919" s="101">
        <f t="shared" si="494"/>
        <v>1</v>
      </c>
      <c r="GH919" s="101">
        <f t="shared" si="495"/>
        <v>22</v>
      </c>
      <c r="GI919" s="101">
        <f t="shared" si="496"/>
        <v>0</v>
      </c>
      <c r="GJ919" s="101">
        <f t="shared" si="497"/>
        <v>1</v>
      </c>
      <c r="GK919" s="101">
        <f t="shared" si="498"/>
        <v>5</v>
      </c>
      <c r="GL919" s="101">
        <f t="shared" si="499"/>
        <v>3.3700000000000001E-2</v>
      </c>
      <c r="GM919" s="101">
        <f t="shared" si="500"/>
        <v>1</v>
      </c>
      <c r="GN919" s="101">
        <f t="shared" si="501"/>
        <v>10</v>
      </c>
      <c r="GO919" s="101">
        <f t="shared" si="502"/>
        <v>0.13489999999999999</v>
      </c>
      <c r="GP919" s="101">
        <f t="shared" si="503"/>
        <v>1</v>
      </c>
      <c r="GQ919" s="101">
        <f t="shared" si="504"/>
        <v>22</v>
      </c>
    </row>
    <row r="920" spans="175:199" ht="16.5" x14ac:dyDescent="0.2">
      <c r="FS920" s="101">
        <v>915</v>
      </c>
      <c r="FT920" s="101">
        <f t="shared" si="489"/>
        <v>31</v>
      </c>
      <c r="FU920" s="101">
        <f t="shared" si="482"/>
        <v>12</v>
      </c>
      <c r="FV920" s="14">
        <f t="shared" si="483"/>
        <v>3</v>
      </c>
      <c r="FW920" s="101" t="str">
        <f t="shared" si="490"/>
        <v>石灵明专属武器-魂珠-4 4级</v>
      </c>
      <c r="FX920" s="101">
        <f t="shared" si="491"/>
        <v>4</v>
      </c>
      <c r="FY920" s="101">
        <f t="shared" si="492"/>
        <v>4</v>
      </c>
      <c r="FZ920" s="101" t="str">
        <f t="shared" si="484"/>
        <v>金币</v>
      </c>
      <c r="GA920" s="139">
        <f>IF($FY920&gt;0,IF(INDEX($EM$6:$EM$77,$FT920)&gt;=GA$3,ROUND(INDEX(EO$6:EO$77,$FT920)*INDEX(卡牌消耗!$B$8:$F$8,FV920)/5,0)*5,""),"")</f>
        <v>1165</v>
      </c>
      <c r="GB920" s="101" t="str">
        <f t="shared" si="485"/>
        <v>专属强化石2</v>
      </c>
      <c r="GC920" s="101">
        <f t="shared" si="486"/>
        <v>5</v>
      </c>
      <c r="GD920" s="101" t="str">
        <f t="shared" si="487"/>
        <v>专属强化石3</v>
      </c>
      <c r="GE920" s="101">
        <f t="shared" si="488"/>
        <v>2</v>
      </c>
      <c r="GF920" s="101">
        <f t="shared" si="493"/>
        <v>0.08</v>
      </c>
      <c r="GG920" s="101">
        <f t="shared" si="494"/>
        <v>1</v>
      </c>
      <c r="GH920" s="101">
        <f t="shared" si="495"/>
        <v>19</v>
      </c>
      <c r="GI920" s="101">
        <f t="shared" si="496"/>
        <v>0</v>
      </c>
      <c r="GJ920" s="101">
        <f t="shared" si="497"/>
        <v>1</v>
      </c>
      <c r="GK920" s="101">
        <f t="shared" si="498"/>
        <v>4</v>
      </c>
      <c r="GL920" s="101">
        <f t="shared" si="499"/>
        <v>4.0500000000000001E-2</v>
      </c>
      <c r="GM920" s="101">
        <f t="shared" si="500"/>
        <v>1</v>
      </c>
      <c r="GN920" s="101">
        <f t="shared" si="501"/>
        <v>9</v>
      </c>
      <c r="GO920" s="101">
        <f t="shared" si="502"/>
        <v>0.16189999999999999</v>
      </c>
      <c r="GP920" s="101">
        <f t="shared" si="503"/>
        <v>1</v>
      </c>
      <c r="GQ920" s="101">
        <f t="shared" si="504"/>
        <v>19</v>
      </c>
    </row>
    <row r="921" spans="175:199" ht="16.5" x14ac:dyDescent="0.2">
      <c r="FS921" s="101">
        <v>916</v>
      </c>
      <c r="FT921" s="101">
        <f t="shared" si="489"/>
        <v>32</v>
      </c>
      <c r="FU921" s="101">
        <f t="shared" si="482"/>
        <v>12</v>
      </c>
      <c r="FV921" s="14">
        <f t="shared" si="483"/>
        <v>3</v>
      </c>
      <c r="FW921" s="101" t="str">
        <f t="shared" si="490"/>
        <v>石灵明专属武器-魂珠-4 5级</v>
      </c>
      <c r="FX921" s="101">
        <f t="shared" si="491"/>
        <v>4</v>
      </c>
      <c r="FY921" s="101">
        <f t="shared" si="492"/>
        <v>5</v>
      </c>
      <c r="FZ921" s="101" t="str">
        <f t="shared" si="484"/>
        <v>金币</v>
      </c>
      <c r="GA921" s="139">
        <f>IF($FY921&gt;0,IF(INDEX($EM$6:$EM$77,$FT921)&gt;=GA$3,ROUND(INDEX(EO$6:EO$77,$FT921)*INDEX(卡牌消耗!$B$8:$F$8,FV921)/5,0)*5,""),"")</f>
        <v>1185</v>
      </c>
      <c r="GB921" s="101" t="str">
        <f t="shared" si="485"/>
        <v>专属强化石2</v>
      </c>
      <c r="GC921" s="101">
        <f t="shared" si="486"/>
        <v>5</v>
      </c>
      <c r="GD921" s="101" t="str">
        <f t="shared" si="487"/>
        <v>专属强化石3</v>
      </c>
      <c r="GE921" s="101">
        <f t="shared" si="488"/>
        <v>2</v>
      </c>
      <c r="GF921" s="101">
        <f t="shared" si="493"/>
        <v>0.05</v>
      </c>
      <c r="GG921" s="101">
        <f t="shared" si="494"/>
        <v>1</v>
      </c>
      <c r="GH921" s="101">
        <f t="shared" si="495"/>
        <v>30</v>
      </c>
      <c r="GI921" s="101">
        <f t="shared" si="496"/>
        <v>0</v>
      </c>
      <c r="GJ921" s="101">
        <f t="shared" si="497"/>
        <v>1</v>
      </c>
      <c r="GK921" s="101">
        <f t="shared" si="498"/>
        <v>7</v>
      </c>
      <c r="GL921" s="101">
        <f t="shared" si="499"/>
        <v>2.53E-2</v>
      </c>
      <c r="GM921" s="101">
        <f t="shared" si="500"/>
        <v>1</v>
      </c>
      <c r="GN921" s="101">
        <f t="shared" si="501"/>
        <v>14</v>
      </c>
      <c r="GO921" s="101">
        <f t="shared" si="502"/>
        <v>0.1012</v>
      </c>
      <c r="GP921" s="101">
        <f t="shared" si="503"/>
        <v>1</v>
      </c>
      <c r="GQ921" s="101">
        <f t="shared" si="504"/>
        <v>30</v>
      </c>
    </row>
    <row r="922" spans="175:199" ht="16.5" x14ac:dyDescent="0.2">
      <c r="FS922" s="101">
        <v>917</v>
      </c>
      <c r="FT922" s="101">
        <f t="shared" si="489"/>
        <v>33</v>
      </c>
      <c r="FU922" s="101">
        <f t="shared" si="482"/>
        <v>12</v>
      </c>
      <c r="FV922" s="14">
        <f t="shared" si="483"/>
        <v>3</v>
      </c>
      <c r="FW922" s="101" t="str">
        <f t="shared" si="490"/>
        <v>石灵明专属武器-魂珠-4 6级</v>
      </c>
      <c r="FX922" s="101">
        <f t="shared" si="491"/>
        <v>4</v>
      </c>
      <c r="FY922" s="101">
        <f t="shared" si="492"/>
        <v>6</v>
      </c>
      <c r="FZ922" s="101" t="str">
        <f t="shared" si="484"/>
        <v>金币</v>
      </c>
      <c r="GA922" s="139">
        <f>IF($FY922&gt;0,IF(INDEX($EM$6:$EM$77,$FT922)&gt;=GA$3,ROUND(INDEX(EO$6:EO$77,$FT922)*INDEX(卡牌消耗!$B$8:$F$8,FV922)/5,0)*5,""),"")</f>
        <v>1180</v>
      </c>
      <c r="GB922" s="101" t="str">
        <f t="shared" si="485"/>
        <v>专属强化石2</v>
      </c>
      <c r="GC922" s="101">
        <f t="shared" si="486"/>
        <v>5</v>
      </c>
      <c r="GD922" s="101" t="str">
        <f t="shared" si="487"/>
        <v>专属强化石3</v>
      </c>
      <c r="GE922" s="101">
        <f t="shared" si="488"/>
        <v>2</v>
      </c>
      <c r="GF922" s="101">
        <f t="shared" si="493"/>
        <v>0.03</v>
      </c>
      <c r="GG922" s="101">
        <f t="shared" si="494"/>
        <v>1</v>
      </c>
      <c r="GH922" s="101">
        <f t="shared" si="495"/>
        <v>48</v>
      </c>
      <c r="GI922" s="101">
        <f t="shared" si="496"/>
        <v>0</v>
      </c>
      <c r="GJ922" s="101">
        <f t="shared" si="497"/>
        <v>1</v>
      </c>
      <c r="GK922" s="101">
        <f t="shared" si="498"/>
        <v>11</v>
      </c>
      <c r="GL922" s="101">
        <f t="shared" si="499"/>
        <v>1.5599999999999999E-2</v>
      </c>
      <c r="GM922" s="101">
        <f t="shared" si="500"/>
        <v>1</v>
      </c>
      <c r="GN922" s="101">
        <f t="shared" si="501"/>
        <v>22</v>
      </c>
      <c r="GO922" s="101">
        <f t="shared" si="502"/>
        <v>6.2300000000000001E-2</v>
      </c>
      <c r="GP922" s="101">
        <f t="shared" si="503"/>
        <v>1</v>
      </c>
      <c r="GQ922" s="101">
        <f t="shared" si="504"/>
        <v>48</v>
      </c>
    </row>
    <row r="923" spans="175:199" ht="16.5" x14ac:dyDescent="0.2">
      <c r="FS923" s="101">
        <v>918</v>
      </c>
      <c r="FT923" s="101">
        <f t="shared" si="489"/>
        <v>34</v>
      </c>
      <c r="FU923" s="101">
        <f t="shared" si="482"/>
        <v>12</v>
      </c>
      <c r="FV923" s="14">
        <f t="shared" si="483"/>
        <v>3</v>
      </c>
      <c r="FW923" s="101" t="str">
        <f t="shared" si="490"/>
        <v>石灵明专属武器-魂珠-4 7级</v>
      </c>
      <c r="FX923" s="101">
        <f t="shared" si="491"/>
        <v>4</v>
      </c>
      <c r="FY923" s="101">
        <f t="shared" si="492"/>
        <v>7</v>
      </c>
      <c r="FZ923" s="101" t="str">
        <f t="shared" si="484"/>
        <v>金币</v>
      </c>
      <c r="GA923" s="139">
        <f>IF($FY923&gt;0,IF(INDEX($EM$6:$EM$77,$FT923)&gt;=GA$3,ROUND(INDEX(EO$6:EO$77,$FT923)*INDEX(卡牌消耗!$B$8:$F$8,FV923)/5,0)*5,""),"")</f>
        <v>1770</v>
      </c>
      <c r="GB923" s="101" t="str">
        <f t="shared" si="485"/>
        <v>专属强化石2</v>
      </c>
      <c r="GC923" s="101">
        <f t="shared" si="486"/>
        <v>8</v>
      </c>
      <c r="GD923" s="101" t="str">
        <f t="shared" si="487"/>
        <v>专属强化石3</v>
      </c>
      <c r="GE923" s="101">
        <f t="shared" si="488"/>
        <v>3</v>
      </c>
      <c r="GF923" s="101">
        <f t="shared" si="493"/>
        <v>0.03</v>
      </c>
      <c r="GG923" s="101">
        <f t="shared" si="494"/>
        <v>1</v>
      </c>
      <c r="GH923" s="101">
        <f t="shared" si="495"/>
        <v>52</v>
      </c>
      <c r="GI923" s="101">
        <f t="shared" si="496"/>
        <v>0</v>
      </c>
      <c r="GJ923" s="101">
        <f t="shared" si="497"/>
        <v>1</v>
      </c>
      <c r="GK923" s="101">
        <f t="shared" si="498"/>
        <v>12</v>
      </c>
      <c r="GL923" s="101">
        <f t="shared" si="499"/>
        <v>1.4500000000000001E-2</v>
      </c>
      <c r="GM923" s="101">
        <f t="shared" si="500"/>
        <v>1</v>
      </c>
      <c r="GN923" s="101">
        <f t="shared" si="501"/>
        <v>24</v>
      </c>
      <c r="GO923" s="101">
        <f t="shared" si="502"/>
        <v>5.7799999999999997E-2</v>
      </c>
      <c r="GP923" s="101">
        <f t="shared" si="503"/>
        <v>1</v>
      </c>
      <c r="GQ923" s="101">
        <f t="shared" si="504"/>
        <v>52</v>
      </c>
    </row>
    <row r="924" spans="175:199" ht="16.5" x14ac:dyDescent="0.2">
      <c r="FS924" s="101">
        <v>919</v>
      </c>
      <c r="FT924" s="101">
        <f t="shared" si="489"/>
        <v>35</v>
      </c>
      <c r="FU924" s="101">
        <f t="shared" si="482"/>
        <v>12</v>
      </c>
      <c r="FV924" s="14">
        <f t="shared" si="483"/>
        <v>3</v>
      </c>
      <c r="FW924" s="101" t="str">
        <f t="shared" si="490"/>
        <v>石灵明专属武器-魂珠-4 8级</v>
      </c>
      <c r="FX924" s="101">
        <f t="shared" si="491"/>
        <v>4</v>
      </c>
      <c r="FY924" s="101">
        <f t="shared" si="492"/>
        <v>8</v>
      </c>
      <c r="FZ924" s="101" t="str">
        <f t="shared" si="484"/>
        <v>金币</v>
      </c>
      <c r="GA924" s="139">
        <f>IF($FY924&gt;0,IF(INDEX($EM$6:$EM$77,$FT924)&gt;=GA$3,ROUND(INDEX(EO$6:EO$77,$FT924)*INDEX(卡牌消耗!$B$8:$F$8,FV924)/5,0)*5,""),"")</f>
        <v>2360</v>
      </c>
      <c r="GB924" s="101" t="str">
        <f t="shared" si="485"/>
        <v>专属强化石2</v>
      </c>
      <c r="GC924" s="101">
        <f t="shared" si="486"/>
        <v>11</v>
      </c>
      <c r="GD924" s="101" t="str">
        <f t="shared" si="487"/>
        <v>专属强化石3</v>
      </c>
      <c r="GE924" s="101">
        <f t="shared" si="488"/>
        <v>4</v>
      </c>
      <c r="GF924" s="101">
        <f t="shared" si="493"/>
        <v>0.02</v>
      </c>
      <c r="GG924" s="101">
        <f t="shared" si="494"/>
        <v>1</v>
      </c>
      <c r="GH924" s="101">
        <f t="shared" si="495"/>
        <v>63</v>
      </c>
      <c r="GI924" s="101">
        <f t="shared" si="496"/>
        <v>0</v>
      </c>
      <c r="GJ924" s="101">
        <f t="shared" si="497"/>
        <v>1</v>
      </c>
      <c r="GK924" s="101">
        <f t="shared" si="498"/>
        <v>15</v>
      </c>
      <c r="GL924" s="101">
        <f t="shared" si="499"/>
        <v>1.1900000000000001E-2</v>
      </c>
      <c r="GM924" s="101">
        <f t="shared" si="500"/>
        <v>1</v>
      </c>
      <c r="GN924" s="101">
        <f t="shared" si="501"/>
        <v>29</v>
      </c>
      <c r="GO924" s="101">
        <f t="shared" si="502"/>
        <v>4.7600000000000003E-2</v>
      </c>
      <c r="GP924" s="101">
        <f t="shared" si="503"/>
        <v>1</v>
      </c>
      <c r="GQ924" s="101">
        <f t="shared" si="504"/>
        <v>63</v>
      </c>
    </row>
    <row r="925" spans="175:199" ht="16.5" x14ac:dyDescent="0.2">
      <c r="FS925" s="101">
        <v>920</v>
      </c>
      <c r="FT925" s="101">
        <f t="shared" si="489"/>
        <v>36</v>
      </c>
      <c r="FU925" s="101">
        <f t="shared" si="482"/>
        <v>12</v>
      </c>
      <c r="FV925" s="14">
        <f t="shared" si="483"/>
        <v>3</v>
      </c>
      <c r="FW925" s="101" t="str">
        <f t="shared" si="490"/>
        <v>石灵明专属武器-魂珠-4 9级</v>
      </c>
      <c r="FX925" s="101">
        <f t="shared" si="491"/>
        <v>4</v>
      </c>
      <c r="FY925" s="101">
        <f t="shared" si="492"/>
        <v>9</v>
      </c>
      <c r="FZ925" s="101" t="str">
        <f t="shared" si="484"/>
        <v>金币</v>
      </c>
      <c r="GA925" s="139">
        <f>IF($FY925&gt;0,IF(INDEX($EM$6:$EM$77,$FT925)&gt;=GA$3,ROUND(INDEX(EO$6:EO$77,$FT925)*INDEX(卡牌消耗!$B$8:$F$8,FV925)/5,0)*5,""),"")</f>
        <v>3540</v>
      </c>
      <c r="GB925" s="101" t="str">
        <f t="shared" si="485"/>
        <v>专属强化石2</v>
      </c>
      <c r="GC925" s="101">
        <f t="shared" si="486"/>
        <v>16</v>
      </c>
      <c r="GD925" s="101" t="str">
        <f t="shared" si="487"/>
        <v>专属强化石3</v>
      </c>
      <c r="GE925" s="101">
        <f t="shared" si="488"/>
        <v>6</v>
      </c>
      <c r="GF925" s="101">
        <f t="shared" si="493"/>
        <v>0.02</v>
      </c>
      <c r="GG925" s="101">
        <f t="shared" si="494"/>
        <v>1</v>
      </c>
      <c r="GH925" s="101">
        <f t="shared" si="495"/>
        <v>68</v>
      </c>
      <c r="GI925" s="101">
        <f t="shared" si="496"/>
        <v>0</v>
      </c>
      <c r="GJ925" s="101">
        <f t="shared" si="497"/>
        <v>1</v>
      </c>
      <c r="GK925" s="101">
        <f t="shared" si="498"/>
        <v>16</v>
      </c>
      <c r="GL925" s="101">
        <f t="shared" si="499"/>
        <v>1.0999999999999999E-2</v>
      </c>
      <c r="GM925" s="101">
        <f t="shared" si="500"/>
        <v>1</v>
      </c>
      <c r="GN925" s="101">
        <f t="shared" si="501"/>
        <v>32</v>
      </c>
      <c r="GO925" s="101">
        <f t="shared" si="502"/>
        <v>4.4200000000000003E-2</v>
      </c>
      <c r="GP925" s="101">
        <f t="shared" si="503"/>
        <v>1</v>
      </c>
      <c r="GQ925" s="101">
        <f t="shared" si="504"/>
        <v>68</v>
      </c>
    </row>
    <row r="926" spans="175:199" ht="16.5" x14ac:dyDescent="0.2">
      <c r="FS926" s="101">
        <v>921</v>
      </c>
      <c r="FT926" s="101">
        <f t="shared" si="489"/>
        <v>0</v>
      </c>
      <c r="FU926" s="101">
        <f t="shared" si="482"/>
        <v>12</v>
      </c>
      <c r="FV926" s="14">
        <f t="shared" si="483"/>
        <v>3</v>
      </c>
      <c r="FW926" s="101" t="str">
        <f t="shared" si="490"/>
        <v>石灵明专属武器-魂珠-5 0级</v>
      </c>
      <c r="FX926" s="101">
        <f t="shared" si="491"/>
        <v>5</v>
      </c>
      <c r="FY926" s="101">
        <f t="shared" si="492"/>
        <v>0</v>
      </c>
      <c r="FZ926" s="101" t="str">
        <f t="shared" si="484"/>
        <v/>
      </c>
      <c r="GA926" s="139" t="str">
        <f>IF($FY926&gt;0,IF(INDEX($EM$6:$EM$77,$FT926)&gt;=GA$3,ROUND(INDEX(EO$6:EO$77,$FT926)*INDEX(卡牌消耗!$B$8:$F$8,FV926)/5,0)*5,""),"")</f>
        <v/>
      </c>
      <c r="GB926" s="101" t="str">
        <f t="shared" si="485"/>
        <v/>
      </c>
      <c r="GC926" s="101" t="str">
        <f t="shared" si="486"/>
        <v/>
      </c>
      <c r="GD926" s="101" t="str">
        <f t="shared" si="487"/>
        <v/>
      </c>
      <c r="GE926" s="101" t="str">
        <f t="shared" si="488"/>
        <v/>
      </c>
      <c r="GF926" s="101" t="str">
        <f t="shared" si="493"/>
        <v/>
      </c>
      <c r="GG926" s="101" t="str">
        <f t="shared" si="494"/>
        <v/>
      </c>
      <c r="GH926" s="101" t="str">
        <f t="shared" si="495"/>
        <v/>
      </c>
      <c r="GI926" s="101" t="str">
        <f t="shared" si="496"/>
        <v/>
      </c>
      <c r="GJ926" s="101" t="str">
        <f t="shared" si="497"/>
        <v/>
      </c>
      <c r="GK926" s="101" t="str">
        <f t="shared" si="498"/>
        <v/>
      </c>
      <c r="GL926" s="101" t="str">
        <f t="shared" si="499"/>
        <v/>
      </c>
      <c r="GM926" s="101" t="str">
        <f t="shared" si="500"/>
        <v/>
      </c>
      <c r="GN926" s="101" t="str">
        <f t="shared" si="501"/>
        <v/>
      </c>
      <c r="GO926" s="101" t="str">
        <f t="shared" si="502"/>
        <v/>
      </c>
      <c r="GP926" s="101" t="str">
        <f t="shared" si="503"/>
        <v/>
      </c>
      <c r="GQ926" s="101" t="str">
        <f t="shared" si="504"/>
        <v/>
      </c>
    </row>
    <row r="927" spans="175:199" ht="16.5" x14ac:dyDescent="0.2">
      <c r="FS927" s="101">
        <v>922</v>
      </c>
      <c r="FT927" s="101">
        <f t="shared" si="489"/>
        <v>37</v>
      </c>
      <c r="FU927" s="101">
        <f t="shared" si="482"/>
        <v>12</v>
      </c>
      <c r="FV927" s="14">
        <f t="shared" si="483"/>
        <v>3</v>
      </c>
      <c r="FW927" s="101" t="str">
        <f t="shared" si="490"/>
        <v>石灵明专属武器-魂珠-5 1级</v>
      </c>
      <c r="FX927" s="101">
        <f t="shared" si="491"/>
        <v>5</v>
      </c>
      <c r="FY927" s="101">
        <f t="shared" si="492"/>
        <v>1</v>
      </c>
      <c r="FZ927" s="101" t="str">
        <f t="shared" si="484"/>
        <v>金币</v>
      </c>
      <c r="GA927" s="139">
        <f>IF($FY927&gt;0,IF(INDEX($EM$6:$EM$77,$FT927)&gt;=GA$3,ROUND(INDEX(EO$6:EO$77,$FT927)*INDEX(卡牌消耗!$B$8:$F$8,FV927)/5,0)*5,""),"")</f>
        <v>1495</v>
      </c>
      <c r="GB927" s="101" t="str">
        <f t="shared" si="485"/>
        <v>专属强化石2</v>
      </c>
      <c r="GC927" s="101">
        <f t="shared" si="486"/>
        <v>3</v>
      </c>
      <c r="GD927" s="101" t="str">
        <f t="shared" si="487"/>
        <v>专属强化石3</v>
      </c>
      <c r="GE927" s="101">
        <f t="shared" si="488"/>
        <v>2</v>
      </c>
      <c r="GF927" s="101">
        <f t="shared" si="493"/>
        <v>0.2</v>
      </c>
      <c r="GG927" s="101">
        <f t="shared" si="494"/>
        <v>1</v>
      </c>
      <c r="GH927" s="101">
        <f t="shared" si="495"/>
        <v>7</v>
      </c>
      <c r="GI927" s="101">
        <f t="shared" si="496"/>
        <v>0</v>
      </c>
      <c r="GJ927" s="101">
        <f t="shared" si="497"/>
        <v>1</v>
      </c>
      <c r="GK927" s="101">
        <f t="shared" si="498"/>
        <v>2</v>
      </c>
      <c r="GL927" s="101">
        <f t="shared" si="499"/>
        <v>0.1012</v>
      </c>
      <c r="GM927" s="101">
        <f t="shared" si="500"/>
        <v>1</v>
      </c>
      <c r="GN927" s="101">
        <f t="shared" si="501"/>
        <v>3</v>
      </c>
      <c r="GO927" s="101">
        <f t="shared" si="502"/>
        <v>0.40479999999999999</v>
      </c>
      <c r="GP927" s="101">
        <f t="shared" si="503"/>
        <v>1</v>
      </c>
      <c r="GQ927" s="101">
        <f t="shared" si="504"/>
        <v>7</v>
      </c>
    </row>
    <row r="928" spans="175:199" ht="16.5" x14ac:dyDescent="0.2">
      <c r="FS928" s="101">
        <v>923</v>
      </c>
      <c r="FT928" s="101">
        <f t="shared" si="489"/>
        <v>38</v>
      </c>
      <c r="FU928" s="101">
        <f t="shared" si="482"/>
        <v>12</v>
      </c>
      <c r="FV928" s="14">
        <f t="shared" si="483"/>
        <v>3</v>
      </c>
      <c r="FW928" s="101" t="str">
        <f t="shared" si="490"/>
        <v>石灵明专属武器-魂珠-5 2级</v>
      </c>
      <c r="FX928" s="101">
        <f t="shared" si="491"/>
        <v>5</v>
      </c>
      <c r="FY928" s="101">
        <f t="shared" si="492"/>
        <v>2</v>
      </c>
      <c r="FZ928" s="101" t="str">
        <f t="shared" si="484"/>
        <v>金币</v>
      </c>
      <c r="GA928" s="139">
        <f>IF($FY928&gt;0,IF(INDEX($EM$6:$EM$77,$FT928)&gt;=GA$3,ROUND(INDEX(EO$6:EO$77,$FT928)*INDEX(卡牌消耗!$B$8:$F$8,FV928)/5,0)*5,""),"")</f>
        <v>1120</v>
      </c>
      <c r="GB928" s="101" t="str">
        <f t="shared" si="485"/>
        <v>专属强化石2</v>
      </c>
      <c r="GC928" s="101">
        <f t="shared" si="486"/>
        <v>3</v>
      </c>
      <c r="GD928" s="101" t="str">
        <f t="shared" si="487"/>
        <v>专属强化石3</v>
      </c>
      <c r="GE928" s="101">
        <f t="shared" si="488"/>
        <v>2</v>
      </c>
      <c r="GF928" s="101">
        <f t="shared" si="493"/>
        <v>0.1</v>
      </c>
      <c r="GG928" s="101">
        <f t="shared" si="494"/>
        <v>1</v>
      </c>
      <c r="GH928" s="101">
        <f t="shared" si="495"/>
        <v>15</v>
      </c>
      <c r="GI928" s="101">
        <f t="shared" si="496"/>
        <v>0</v>
      </c>
      <c r="GJ928" s="101">
        <f t="shared" si="497"/>
        <v>1</v>
      </c>
      <c r="GK928" s="101">
        <f t="shared" si="498"/>
        <v>3</v>
      </c>
      <c r="GL928" s="101">
        <f t="shared" si="499"/>
        <v>5.0599999999999999E-2</v>
      </c>
      <c r="GM928" s="101">
        <f t="shared" si="500"/>
        <v>1</v>
      </c>
      <c r="GN928" s="101">
        <f t="shared" si="501"/>
        <v>7</v>
      </c>
      <c r="GO928" s="101">
        <f t="shared" si="502"/>
        <v>0.2024</v>
      </c>
      <c r="GP928" s="101">
        <f t="shared" si="503"/>
        <v>1</v>
      </c>
      <c r="GQ928" s="101">
        <f t="shared" si="504"/>
        <v>15</v>
      </c>
    </row>
    <row r="929" spans="175:199" ht="16.5" x14ac:dyDescent="0.2">
      <c r="FS929" s="101">
        <v>924</v>
      </c>
      <c r="FT929" s="101">
        <f t="shared" si="489"/>
        <v>39</v>
      </c>
      <c r="FU929" s="101">
        <f t="shared" si="482"/>
        <v>12</v>
      </c>
      <c r="FV929" s="14">
        <f t="shared" si="483"/>
        <v>3</v>
      </c>
      <c r="FW929" s="101" t="str">
        <f t="shared" si="490"/>
        <v>石灵明专属武器-魂珠-5 3级</v>
      </c>
      <c r="FX929" s="101">
        <f t="shared" si="491"/>
        <v>5</v>
      </c>
      <c r="FY929" s="101">
        <f t="shared" si="492"/>
        <v>3</v>
      </c>
      <c r="FZ929" s="101" t="str">
        <f t="shared" si="484"/>
        <v>金币</v>
      </c>
      <c r="GA929" s="139">
        <f>IF($FY929&gt;0,IF(INDEX($EM$6:$EM$77,$FT929)&gt;=GA$3,ROUND(INDEX(EO$6:EO$77,$FT929)*INDEX(卡牌消耗!$B$8:$F$8,FV929)/5,0)*5,""),"")</f>
        <v>1245</v>
      </c>
      <c r="GB929" s="101" t="str">
        <f t="shared" si="485"/>
        <v>专属强化石2</v>
      </c>
      <c r="GC929" s="101">
        <f t="shared" si="486"/>
        <v>3</v>
      </c>
      <c r="GD929" s="101" t="str">
        <f t="shared" si="487"/>
        <v>专属强化石3</v>
      </c>
      <c r="GE929" s="101">
        <f t="shared" si="488"/>
        <v>2</v>
      </c>
      <c r="GF929" s="101">
        <f t="shared" si="493"/>
        <v>7.0000000000000007E-2</v>
      </c>
      <c r="GG929" s="101">
        <f t="shared" si="494"/>
        <v>1</v>
      </c>
      <c r="GH929" s="101">
        <f t="shared" si="495"/>
        <v>22</v>
      </c>
      <c r="GI929" s="101">
        <f t="shared" si="496"/>
        <v>0</v>
      </c>
      <c r="GJ929" s="101">
        <f t="shared" si="497"/>
        <v>1</v>
      </c>
      <c r="GK929" s="101">
        <f t="shared" si="498"/>
        <v>5</v>
      </c>
      <c r="GL929" s="101">
        <f t="shared" si="499"/>
        <v>3.3700000000000001E-2</v>
      </c>
      <c r="GM929" s="101">
        <f t="shared" si="500"/>
        <v>1</v>
      </c>
      <c r="GN929" s="101">
        <f t="shared" si="501"/>
        <v>10</v>
      </c>
      <c r="GO929" s="101">
        <f t="shared" si="502"/>
        <v>0.13489999999999999</v>
      </c>
      <c r="GP929" s="101">
        <f t="shared" si="503"/>
        <v>1</v>
      </c>
      <c r="GQ929" s="101">
        <f t="shared" si="504"/>
        <v>22</v>
      </c>
    </row>
    <row r="930" spans="175:199" ht="16.5" x14ac:dyDescent="0.2">
      <c r="FS930" s="101">
        <v>925</v>
      </c>
      <c r="FT930" s="101">
        <f t="shared" si="489"/>
        <v>40</v>
      </c>
      <c r="FU930" s="101">
        <f t="shared" si="482"/>
        <v>12</v>
      </c>
      <c r="FV930" s="14">
        <f t="shared" si="483"/>
        <v>3</v>
      </c>
      <c r="FW930" s="101" t="str">
        <f t="shared" si="490"/>
        <v>石灵明专属武器-魂珠-5 4级</v>
      </c>
      <c r="FX930" s="101">
        <f t="shared" si="491"/>
        <v>5</v>
      </c>
      <c r="FY930" s="101">
        <f t="shared" si="492"/>
        <v>4</v>
      </c>
      <c r="FZ930" s="101" t="str">
        <f t="shared" si="484"/>
        <v>金币</v>
      </c>
      <c r="GA930" s="139">
        <f>IF($FY930&gt;0,IF(INDEX($EM$6:$EM$77,$FT930)&gt;=GA$3,ROUND(INDEX(EO$6:EO$77,$FT930)*INDEX(卡牌消耗!$B$8:$F$8,FV930)/5,0)*5,""),"")</f>
        <v>1795</v>
      </c>
      <c r="GB930" s="101" t="str">
        <f t="shared" si="485"/>
        <v>专属强化石2</v>
      </c>
      <c r="GC930" s="101">
        <f t="shared" si="486"/>
        <v>5</v>
      </c>
      <c r="GD930" s="101" t="str">
        <f t="shared" si="487"/>
        <v>专属强化石3</v>
      </c>
      <c r="GE930" s="101">
        <f t="shared" si="488"/>
        <v>3</v>
      </c>
      <c r="GF930" s="101">
        <f t="shared" si="493"/>
        <v>0.06</v>
      </c>
      <c r="GG930" s="101">
        <f t="shared" si="494"/>
        <v>1</v>
      </c>
      <c r="GH930" s="101">
        <f t="shared" si="495"/>
        <v>25</v>
      </c>
      <c r="GI930" s="101">
        <f t="shared" si="496"/>
        <v>0</v>
      </c>
      <c r="GJ930" s="101">
        <f t="shared" si="497"/>
        <v>1</v>
      </c>
      <c r="GK930" s="101">
        <f t="shared" si="498"/>
        <v>6</v>
      </c>
      <c r="GL930" s="101">
        <f t="shared" si="499"/>
        <v>3.04E-2</v>
      </c>
      <c r="GM930" s="101">
        <f t="shared" si="500"/>
        <v>1</v>
      </c>
      <c r="GN930" s="101">
        <f t="shared" si="501"/>
        <v>12</v>
      </c>
      <c r="GO930" s="101">
        <f t="shared" si="502"/>
        <v>0.12139999999999999</v>
      </c>
      <c r="GP930" s="101">
        <f t="shared" si="503"/>
        <v>1</v>
      </c>
      <c r="GQ930" s="101">
        <f t="shared" si="504"/>
        <v>25</v>
      </c>
    </row>
    <row r="931" spans="175:199" ht="16.5" x14ac:dyDescent="0.2">
      <c r="FS931" s="101">
        <v>926</v>
      </c>
      <c r="FT931" s="101">
        <f t="shared" si="489"/>
        <v>41</v>
      </c>
      <c r="FU931" s="101">
        <f t="shared" si="482"/>
        <v>12</v>
      </c>
      <c r="FV931" s="14">
        <f t="shared" si="483"/>
        <v>3</v>
      </c>
      <c r="FW931" s="101" t="str">
        <f t="shared" si="490"/>
        <v>石灵明专属武器-魂珠-5 5级</v>
      </c>
      <c r="FX931" s="101">
        <f t="shared" si="491"/>
        <v>5</v>
      </c>
      <c r="FY931" s="101">
        <f t="shared" si="492"/>
        <v>5</v>
      </c>
      <c r="FZ931" s="101" t="str">
        <f t="shared" si="484"/>
        <v>金币</v>
      </c>
      <c r="GA931" s="139">
        <f>IF($FY931&gt;0,IF(INDEX($EM$6:$EM$77,$FT931)&gt;=GA$3,ROUND(INDEX(EO$6:EO$77,$FT931)*INDEX(卡牌消耗!$B$8:$F$8,FV931)/5,0)*5,""),"")</f>
        <v>1825</v>
      </c>
      <c r="GB931" s="101" t="str">
        <f t="shared" si="485"/>
        <v>专属强化石2</v>
      </c>
      <c r="GC931" s="101">
        <f t="shared" si="486"/>
        <v>5</v>
      </c>
      <c r="GD931" s="101" t="str">
        <f t="shared" si="487"/>
        <v>专属强化石3</v>
      </c>
      <c r="GE931" s="101">
        <f t="shared" si="488"/>
        <v>3</v>
      </c>
      <c r="GF931" s="101">
        <f t="shared" si="493"/>
        <v>0.04</v>
      </c>
      <c r="GG931" s="101">
        <f t="shared" si="494"/>
        <v>1</v>
      </c>
      <c r="GH931" s="101">
        <f t="shared" si="495"/>
        <v>40</v>
      </c>
      <c r="GI931" s="101">
        <f t="shared" si="496"/>
        <v>0</v>
      </c>
      <c r="GJ931" s="101">
        <f t="shared" si="497"/>
        <v>1</v>
      </c>
      <c r="GK931" s="101">
        <f t="shared" si="498"/>
        <v>9</v>
      </c>
      <c r="GL931" s="101">
        <f t="shared" si="499"/>
        <v>1.9E-2</v>
      </c>
      <c r="GM931" s="101">
        <f t="shared" si="500"/>
        <v>1</v>
      </c>
      <c r="GN931" s="101">
        <f t="shared" si="501"/>
        <v>18</v>
      </c>
      <c r="GO931" s="101">
        <f t="shared" si="502"/>
        <v>7.5899999999999995E-2</v>
      </c>
      <c r="GP931" s="101">
        <f t="shared" si="503"/>
        <v>1</v>
      </c>
      <c r="GQ931" s="101">
        <f t="shared" si="504"/>
        <v>40</v>
      </c>
    </row>
    <row r="932" spans="175:199" ht="16.5" x14ac:dyDescent="0.2">
      <c r="FS932" s="101">
        <v>927</v>
      </c>
      <c r="FT932" s="101">
        <f t="shared" si="489"/>
        <v>42</v>
      </c>
      <c r="FU932" s="101">
        <f t="shared" si="482"/>
        <v>12</v>
      </c>
      <c r="FV932" s="14">
        <f t="shared" si="483"/>
        <v>3</v>
      </c>
      <c r="FW932" s="101" t="str">
        <f t="shared" si="490"/>
        <v>石灵明专属武器-魂珠-5 6级</v>
      </c>
      <c r="FX932" s="101">
        <f t="shared" si="491"/>
        <v>5</v>
      </c>
      <c r="FY932" s="101">
        <f t="shared" si="492"/>
        <v>6</v>
      </c>
      <c r="FZ932" s="101" t="str">
        <f t="shared" si="484"/>
        <v>金币</v>
      </c>
      <c r="GA932" s="139">
        <f>IF($FY932&gt;0,IF(INDEX($EM$6:$EM$77,$FT932)&gt;=GA$3,ROUND(INDEX(EO$6:EO$77,$FT932)*INDEX(卡牌消耗!$B$8:$F$8,FV932)/5,0)*5,""),"")</f>
        <v>3020</v>
      </c>
      <c r="GB932" s="101" t="str">
        <f t="shared" si="485"/>
        <v>专属强化石2</v>
      </c>
      <c r="GC932" s="101">
        <f t="shared" si="486"/>
        <v>8</v>
      </c>
      <c r="GD932" s="101" t="str">
        <f t="shared" si="487"/>
        <v>专属强化石3</v>
      </c>
      <c r="GE932" s="101">
        <f t="shared" si="488"/>
        <v>5</v>
      </c>
      <c r="GF932" s="101">
        <f t="shared" si="493"/>
        <v>0.04</v>
      </c>
      <c r="GG932" s="101">
        <f t="shared" si="494"/>
        <v>1</v>
      </c>
      <c r="GH932" s="101">
        <f t="shared" si="495"/>
        <v>39</v>
      </c>
      <c r="GI932" s="101">
        <f t="shared" si="496"/>
        <v>0</v>
      </c>
      <c r="GJ932" s="101">
        <f t="shared" si="497"/>
        <v>1</v>
      </c>
      <c r="GK932" s="101">
        <f t="shared" si="498"/>
        <v>9</v>
      </c>
      <c r="GL932" s="101">
        <f t="shared" si="499"/>
        <v>1.95E-2</v>
      </c>
      <c r="GM932" s="101">
        <f t="shared" si="500"/>
        <v>1</v>
      </c>
      <c r="GN932" s="101">
        <f t="shared" si="501"/>
        <v>18</v>
      </c>
      <c r="GO932" s="101">
        <f t="shared" si="502"/>
        <v>7.7799999999999994E-2</v>
      </c>
      <c r="GP932" s="101">
        <f t="shared" si="503"/>
        <v>1</v>
      </c>
      <c r="GQ932" s="101">
        <f t="shared" si="504"/>
        <v>39</v>
      </c>
    </row>
    <row r="933" spans="175:199" ht="16.5" x14ac:dyDescent="0.2">
      <c r="FS933" s="101">
        <v>928</v>
      </c>
      <c r="FT933" s="101">
        <f t="shared" si="489"/>
        <v>43</v>
      </c>
      <c r="FU933" s="101">
        <f t="shared" si="482"/>
        <v>12</v>
      </c>
      <c r="FV933" s="14">
        <f t="shared" si="483"/>
        <v>3</v>
      </c>
      <c r="FW933" s="101" t="str">
        <f t="shared" si="490"/>
        <v>石灵明专属武器-魂珠-5 7级</v>
      </c>
      <c r="FX933" s="101">
        <f t="shared" si="491"/>
        <v>5</v>
      </c>
      <c r="FY933" s="101">
        <f t="shared" si="492"/>
        <v>7</v>
      </c>
      <c r="FZ933" s="101" t="str">
        <f t="shared" si="484"/>
        <v>金币</v>
      </c>
      <c r="GA933" s="139">
        <f>IF($FY933&gt;0,IF(INDEX($EM$6:$EM$77,$FT933)&gt;=GA$3,ROUND(INDEX(EO$6:EO$77,$FT933)*INDEX(卡牌消耗!$B$8:$F$8,FV933)/5,0)*5,""),"")</f>
        <v>3025</v>
      </c>
      <c r="GB933" s="101" t="str">
        <f t="shared" si="485"/>
        <v>专属强化石2</v>
      </c>
      <c r="GC933" s="101">
        <f t="shared" si="486"/>
        <v>8</v>
      </c>
      <c r="GD933" s="101" t="str">
        <f t="shared" si="487"/>
        <v>专属强化石3</v>
      </c>
      <c r="GE933" s="101">
        <f t="shared" si="488"/>
        <v>5</v>
      </c>
      <c r="GF933" s="101">
        <f t="shared" si="493"/>
        <v>0.02</v>
      </c>
      <c r="GG933" s="101">
        <f t="shared" si="494"/>
        <v>1</v>
      </c>
      <c r="GH933" s="101">
        <f t="shared" si="495"/>
        <v>62</v>
      </c>
      <c r="GI933" s="101">
        <f t="shared" si="496"/>
        <v>0</v>
      </c>
      <c r="GJ933" s="101">
        <f t="shared" si="497"/>
        <v>1</v>
      </c>
      <c r="GK933" s="101">
        <f t="shared" si="498"/>
        <v>15</v>
      </c>
      <c r="GL933" s="101">
        <f t="shared" si="499"/>
        <v>1.2E-2</v>
      </c>
      <c r="GM933" s="101">
        <f t="shared" si="500"/>
        <v>1</v>
      </c>
      <c r="GN933" s="101">
        <f t="shared" si="501"/>
        <v>29</v>
      </c>
      <c r="GO933" s="101">
        <f t="shared" si="502"/>
        <v>4.82E-2</v>
      </c>
      <c r="GP933" s="101">
        <f t="shared" si="503"/>
        <v>1</v>
      </c>
      <c r="GQ933" s="101">
        <f t="shared" si="504"/>
        <v>62</v>
      </c>
    </row>
    <row r="934" spans="175:199" ht="16.5" x14ac:dyDescent="0.2">
      <c r="FS934" s="101">
        <v>929</v>
      </c>
      <c r="FT934" s="101">
        <f t="shared" si="489"/>
        <v>44</v>
      </c>
      <c r="FU934" s="101">
        <f t="shared" si="482"/>
        <v>12</v>
      </c>
      <c r="FV934" s="14">
        <f t="shared" si="483"/>
        <v>3</v>
      </c>
      <c r="FW934" s="101" t="str">
        <f t="shared" si="490"/>
        <v>石灵明专属武器-魂珠-5 8级</v>
      </c>
      <c r="FX934" s="101">
        <f t="shared" si="491"/>
        <v>5</v>
      </c>
      <c r="FY934" s="101">
        <f t="shared" si="492"/>
        <v>8</v>
      </c>
      <c r="FZ934" s="101" t="str">
        <f t="shared" si="484"/>
        <v>金币</v>
      </c>
      <c r="GA934" s="139">
        <f>IF($FY934&gt;0,IF(INDEX($EM$6:$EM$77,$FT934)&gt;=GA$3,ROUND(INDEX(EO$6:EO$77,$FT934)*INDEX(卡牌消耗!$B$8:$F$8,FV934)/5,0)*5,""),"")</f>
        <v>4235</v>
      </c>
      <c r="GB934" s="101" t="str">
        <f t="shared" si="485"/>
        <v>专属强化石2</v>
      </c>
      <c r="GC934" s="101">
        <f t="shared" si="486"/>
        <v>11</v>
      </c>
      <c r="GD934" s="101" t="str">
        <f t="shared" si="487"/>
        <v>专属强化石3</v>
      </c>
      <c r="GE934" s="101">
        <f t="shared" si="488"/>
        <v>7</v>
      </c>
      <c r="GF934" s="101">
        <f t="shared" si="493"/>
        <v>0.02</v>
      </c>
      <c r="GG934" s="101">
        <f t="shared" si="494"/>
        <v>1</v>
      </c>
      <c r="GH934" s="101">
        <f t="shared" si="495"/>
        <v>72</v>
      </c>
      <c r="GI934" s="101">
        <f t="shared" si="496"/>
        <v>0</v>
      </c>
      <c r="GJ934" s="101">
        <f t="shared" si="497"/>
        <v>1</v>
      </c>
      <c r="GK934" s="101">
        <f t="shared" si="498"/>
        <v>17</v>
      </c>
      <c r="GL934" s="101">
        <f t="shared" si="499"/>
        <v>1.04E-2</v>
      </c>
      <c r="GM934" s="101">
        <f t="shared" si="500"/>
        <v>1</v>
      </c>
      <c r="GN934" s="101">
        <f t="shared" si="501"/>
        <v>34</v>
      </c>
      <c r="GO934" s="101">
        <f t="shared" si="502"/>
        <v>4.1700000000000001E-2</v>
      </c>
      <c r="GP934" s="101">
        <f t="shared" si="503"/>
        <v>1</v>
      </c>
      <c r="GQ934" s="101">
        <f t="shared" si="504"/>
        <v>72</v>
      </c>
    </row>
    <row r="935" spans="175:199" ht="16.5" x14ac:dyDescent="0.2">
      <c r="FS935" s="101">
        <v>930</v>
      </c>
      <c r="FT935" s="101">
        <f t="shared" si="489"/>
        <v>45</v>
      </c>
      <c r="FU935" s="101">
        <f t="shared" si="482"/>
        <v>12</v>
      </c>
      <c r="FV935" s="14">
        <f t="shared" si="483"/>
        <v>3</v>
      </c>
      <c r="FW935" s="101" t="str">
        <f t="shared" si="490"/>
        <v>石灵明专属武器-魂珠-5 9级</v>
      </c>
      <c r="FX935" s="101">
        <f t="shared" si="491"/>
        <v>5</v>
      </c>
      <c r="FY935" s="101">
        <f t="shared" si="492"/>
        <v>9</v>
      </c>
      <c r="FZ935" s="101" t="str">
        <f t="shared" si="484"/>
        <v>金币</v>
      </c>
      <c r="GA935" s="139">
        <f>IF($FY935&gt;0,IF(INDEX($EM$6:$EM$77,$FT935)&gt;=GA$3,ROUND(INDEX(EO$6:EO$77,$FT935)*INDEX(卡牌消耗!$B$8:$F$8,FV935)/5,0)*5,""),"")</f>
        <v>5445</v>
      </c>
      <c r="GB935" s="101" t="str">
        <f t="shared" si="485"/>
        <v>专属强化石2</v>
      </c>
      <c r="GC935" s="101">
        <f t="shared" si="486"/>
        <v>14</v>
      </c>
      <c r="GD935" s="101" t="str">
        <f t="shared" si="487"/>
        <v>专属强化石3</v>
      </c>
      <c r="GE935" s="101">
        <f t="shared" si="488"/>
        <v>9</v>
      </c>
      <c r="GF935" s="101">
        <f t="shared" si="493"/>
        <v>0.02</v>
      </c>
      <c r="GG935" s="101">
        <f t="shared" si="494"/>
        <v>1</v>
      </c>
      <c r="GH935" s="101">
        <f t="shared" si="495"/>
        <v>91</v>
      </c>
      <c r="GI935" s="101">
        <f t="shared" si="496"/>
        <v>0</v>
      </c>
      <c r="GJ935" s="101">
        <f t="shared" si="497"/>
        <v>1</v>
      </c>
      <c r="GK935" s="101">
        <f t="shared" si="498"/>
        <v>21</v>
      </c>
      <c r="GL935" s="101">
        <f t="shared" si="499"/>
        <v>8.3000000000000001E-3</v>
      </c>
      <c r="GM935" s="101">
        <f t="shared" si="500"/>
        <v>1</v>
      </c>
      <c r="GN935" s="101">
        <f t="shared" si="501"/>
        <v>42</v>
      </c>
      <c r="GO935" s="101">
        <f t="shared" si="502"/>
        <v>3.3099999999999997E-2</v>
      </c>
      <c r="GP935" s="101">
        <f t="shared" si="503"/>
        <v>1</v>
      </c>
      <c r="GQ935" s="101">
        <f t="shared" si="504"/>
        <v>91</v>
      </c>
    </row>
    <row r="936" spans="175:199" ht="16.5" x14ac:dyDescent="0.2">
      <c r="FS936" s="101">
        <v>931</v>
      </c>
      <c r="FT936" s="101">
        <f t="shared" si="489"/>
        <v>0</v>
      </c>
      <c r="FU936" s="101">
        <f t="shared" si="482"/>
        <v>12</v>
      </c>
      <c r="FV936" s="14">
        <f t="shared" si="483"/>
        <v>3</v>
      </c>
      <c r="FW936" s="101" t="str">
        <f t="shared" si="490"/>
        <v>石灵明专属武器-魂珠-6 0级</v>
      </c>
      <c r="FX936" s="101">
        <f t="shared" si="491"/>
        <v>6</v>
      </c>
      <c r="FY936" s="101">
        <f t="shared" si="492"/>
        <v>0</v>
      </c>
      <c r="FZ936" s="101" t="str">
        <f t="shared" si="484"/>
        <v/>
      </c>
      <c r="GA936" s="139" t="str">
        <f>IF($FY936&gt;0,IF(INDEX($EM$6:$EM$77,$FT936)&gt;=GA$3,ROUND(INDEX(EO$6:EO$77,$FT936)*INDEX(卡牌消耗!$B$8:$F$8,FV936)/5,0)*5,""),"")</f>
        <v/>
      </c>
      <c r="GB936" s="101" t="str">
        <f t="shared" si="485"/>
        <v/>
      </c>
      <c r="GC936" s="101" t="str">
        <f t="shared" si="486"/>
        <v/>
      </c>
      <c r="GD936" s="101" t="str">
        <f t="shared" si="487"/>
        <v/>
      </c>
      <c r="GE936" s="101" t="str">
        <f t="shared" si="488"/>
        <v/>
      </c>
      <c r="GF936" s="101" t="str">
        <f t="shared" si="493"/>
        <v/>
      </c>
      <c r="GG936" s="101" t="str">
        <f t="shared" si="494"/>
        <v/>
      </c>
      <c r="GH936" s="101" t="str">
        <f t="shared" si="495"/>
        <v/>
      </c>
      <c r="GI936" s="101" t="str">
        <f t="shared" si="496"/>
        <v/>
      </c>
      <c r="GJ936" s="101" t="str">
        <f t="shared" si="497"/>
        <v/>
      </c>
      <c r="GK936" s="101" t="str">
        <f t="shared" si="498"/>
        <v/>
      </c>
      <c r="GL936" s="101" t="str">
        <f t="shared" si="499"/>
        <v/>
      </c>
      <c r="GM936" s="101" t="str">
        <f t="shared" si="500"/>
        <v/>
      </c>
      <c r="GN936" s="101" t="str">
        <f t="shared" si="501"/>
        <v/>
      </c>
      <c r="GO936" s="101" t="str">
        <f t="shared" si="502"/>
        <v/>
      </c>
      <c r="GP936" s="101" t="str">
        <f t="shared" si="503"/>
        <v/>
      </c>
      <c r="GQ936" s="101" t="str">
        <f t="shared" si="504"/>
        <v/>
      </c>
    </row>
    <row r="937" spans="175:199" ht="16.5" x14ac:dyDescent="0.2">
      <c r="FS937" s="101">
        <v>932</v>
      </c>
      <c r="FT937" s="101">
        <f t="shared" si="489"/>
        <v>46</v>
      </c>
      <c r="FU937" s="101">
        <f t="shared" si="482"/>
        <v>12</v>
      </c>
      <c r="FV937" s="14">
        <f t="shared" si="483"/>
        <v>3</v>
      </c>
      <c r="FW937" s="101" t="str">
        <f t="shared" si="490"/>
        <v>石灵明专属武器-魂珠-6 1级</v>
      </c>
      <c r="FX937" s="101">
        <f t="shared" si="491"/>
        <v>6</v>
      </c>
      <c r="FY937" s="101">
        <f t="shared" si="492"/>
        <v>1</v>
      </c>
      <c r="FZ937" s="101" t="str">
        <f t="shared" si="484"/>
        <v>金币</v>
      </c>
      <c r="GA937" s="139">
        <f>IF($FY937&gt;0,IF(INDEX($EM$6:$EM$77,$FT937)&gt;=GA$3,ROUND(INDEX(EO$6:EO$77,$FT937)*INDEX(卡牌消耗!$B$8:$F$8,FV937)/5,0)*5,""),"")</f>
        <v>1455</v>
      </c>
      <c r="GB937" s="101" t="str">
        <f t="shared" si="485"/>
        <v>专属强化石3</v>
      </c>
      <c r="GC937" s="101">
        <f t="shared" si="486"/>
        <v>5</v>
      </c>
      <c r="GD937" s="101" t="str">
        <f t="shared" si="487"/>
        <v>专属强化石4</v>
      </c>
      <c r="GE937" s="101">
        <f t="shared" si="488"/>
        <v>1</v>
      </c>
      <c r="GF937" s="101">
        <f t="shared" si="493"/>
        <v>0.17</v>
      </c>
      <c r="GG937" s="101">
        <f t="shared" si="494"/>
        <v>1</v>
      </c>
      <c r="GH937" s="101">
        <f t="shared" si="495"/>
        <v>9</v>
      </c>
      <c r="GI937" s="101">
        <f t="shared" si="496"/>
        <v>0</v>
      </c>
      <c r="GJ937" s="101">
        <f t="shared" si="497"/>
        <v>1</v>
      </c>
      <c r="GK937" s="101">
        <f t="shared" si="498"/>
        <v>2</v>
      </c>
      <c r="GL937" s="101">
        <f t="shared" si="499"/>
        <v>8.2900000000000001E-2</v>
      </c>
      <c r="GM937" s="101">
        <f t="shared" si="500"/>
        <v>1</v>
      </c>
      <c r="GN937" s="101">
        <f t="shared" si="501"/>
        <v>4</v>
      </c>
      <c r="GO937" s="101">
        <f t="shared" si="502"/>
        <v>0.33139999999999997</v>
      </c>
      <c r="GP937" s="101">
        <f t="shared" si="503"/>
        <v>1</v>
      </c>
      <c r="GQ937" s="101">
        <f t="shared" si="504"/>
        <v>9</v>
      </c>
    </row>
    <row r="938" spans="175:199" ht="16.5" x14ac:dyDescent="0.2">
      <c r="FS938" s="101">
        <v>933</v>
      </c>
      <c r="FT938" s="101">
        <f t="shared" si="489"/>
        <v>47</v>
      </c>
      <c r="FU938" s="101">
        <f t="shared" si="482"/>
        <v>12</v>
      </c>
      <c r="FV938" s="14">
        <f t="shared" si="483"/>
        <v>3</v>
      </c>
      <c r="FW938" s="101" t="str">
        <f t="shared" si="490"/>
        <v>石灵明专属武器-魂珠-6 2级</v>
      </c>
      <c r="FX938" s="101">
        <f t="shared" si="491"/>
        <v>6</v>
      </c>
      <c r="FY938" s="101">
        <f t="shared" si="492"/>
        <v>2</v>
      </c>
      <c r="FZ938" s="101" t="str">
        <f t="shared" si="484"/>
        <v>金币</v>
      </c>
      <c r="GA938" s="139">
        <f>IF($FY938&gt;0,IF(INDEX($EM$6:$EM$77,$FT938)&gt;=GA$3,ROUND(INDEX(EO$6:EO$77,$FT938)*INDEX(卡牌消耗!$B$8:$F$8,FV938)/5,0)*5,""),"")</f>
        <v>2180</v>
      </c>
      <c r="GB938" s="101" t="str">
        <f t="shared" si="485"/>
        <v>专属强化石3</v>
      </c>
      <c r="GC938" s="101">
        <f t="shared" si="486"/>
        <v>10</v>
      </c>
      <c r="GD938" s="101" t="str">
        <f t="shared" si="487"/>
        <v>专属强化石4</v>
      </c>
      <c r="GE938" s="101">
        <f t="shared" si="488"/>
        <v>2</v>
      </c>
      <c r="GF938" s="101">
        <f t="shared" si="493"/>
        <v>0.17</v>
      </c>
      <c r="GG938" s="101">
        <f t="shared" si="494"/>
        <v>1</v>
      </c>
      <c r="GH938" s="101">
        <f t="shared" si="495"/>
        <v>9</v>
      </c>
      <c r="GI938" s="101">
        <f t="shared" si="496"/>
        <v>0</v>
      </c>
      <c r="GJ938" s="101">
        <f t="shared" si="497"/>
        <v>1</v>
      </c>
      <c r="GK938" s="101">
        <f t="shared" si="498"/>
        <v>2</v>
      </c>
      <c r="GL938" s="101">
        <f t="shared" si="499"/>
        <v>8.2900000000000001E-2</v>
      </c>
      <c r="GM938" s="101">
        <f t="shared" si="500"/>
        <v>1</v>
      </c>
      <c r="GN938" s="101">
        <f t="shared" si="501"/>
        <v>4</v>
      </c>
      <c r="GO938" s="101">
        <f t="shared" si="502"/>
        <v>0.33139999999999997</v>
      </c>
      <c r="GP938" s="101">
        <f t="shared" si="503"/>
        <v>1</v>
      </c>
      <c r="GQ938" s="101">
        <f t="shared" si="504"/>
        <v>9</v>
      </c>
    </row>
    <row r="939" spans="175:199" ht="16.5" x14ac:dyDescent="0.2">
      <c r="FS939" s="101">
        <v>934</v>
      </c>
      <c r="FT939" s="101">
        <f t="shared" si="489"/>
        <v>48</v>
      </c>
      <c r="FU939" s="101">
        <f t="shared" si="482"/>
        <v>12</v>
      </c>
      <c r="FV939" s="14">
        <f t="shared" si="483"/>
        <v>3</v>
      </c>
      <c r="FW939" s="101" t="str">
        <f t="shared" si="490"/>
        <v>石灵明专属武器-魂珠-6 3级</v>
      </c>
      <c r="FX939" s="101">
        <f t="shared" si="491"/>
        <v>6</v>
      </c>
      <c r="FY939" s="101">
        <f t="shared" si="492"/>
        <v>3</v>
      </c>
      <c r="FZ939" s="101" t="str">
        <f t="shared" si="484"/>
        <v>金币</v>
      </c>
      <c r="GA939" s="139">
        <f>IF($FY939&gt;0,IF(INDEX($EM$6:$EM$77,$FT939)&gt;=GA$3,ROUND(INDEX(EO$6:EO$77,$FT939)*INDEX(卡牌消耗!$B$8:$F$8,FV939)/5,0)*5,""),"")</f>
        <v>2425</v>
      </c>
      <c r="GB939" s="101" t="str">
        <f t="shared" si="485"/>
        <v>专属强化石3</v>
      </c>
      <c r="GC939" s="101">
        <f t="shared" si="486"/>
        <v>10</v>
      </c>
      <c r="GD939" s="101" t="str">
        <f t="shared" si="487"/>
        <v>专属强化石4</v>
      </c>
      <c r="GE939" s="101">
        <f t="shared" si="488"/>
        <v>2</v>
      </c>
      <c r="GF939" s="101">
        <f t="shared" si="493"/>
        <v>0.11</v>
      </c>
      <c r="GG939" s="101">
        <f t="shared" si="494"/>
        <v>1</v>
      </c>
      <c r="GH939" s="101">
        <f t="shared" si="495"/>
        <v>14</v>
      </c>
      <c r="GI939" s="101">
        <f t="shared" si="496"/>
        <v>0</v>
      </c>
      <c r="GJ939" s="101">
        <f t="shared" si="497"/>
        <v>1</v>
      </c>
      <c r="GK939" s="101">
        <f t="shared" si="498"/>
        <v>3</v>
      </c>
      <c r="GL939" s="101">
        <f t="shared" si="499"/>
        <v>5.5199999999999999E-2</v>
      </c>
      <c r="GM939" s="101">
        <f t="shared" si="500"/>
        <v>1</v>
      </c>
      <c r="GN939" s="101">
        <f t="shared" si="501"/>
        <v>6</v>
      </c>
      <c r="GO939" s="101">
        <f t="shared" si="502"/>
        <v>0.221</v>
      </c>
      <c r="GP939" s="101">
        <f t="shared" si="503"/>
        <v>1</v>
      </c>
      <c r="GQ939" s="101">
        <f t="shared" si="504"/>
        <v>14</v>
      </c>
    </row>
    <row r="940" spans="175:199" ht="16.5" x14ac:dyDescent="0.2">
      <c r="FS940" s="101">
        <v>935</v>
      </c>
      <c r="FT940" s="101">
        <f t="shared" si="489"/>
        <v>49</v>
      </c>
      <c r="FU940" s="101">
        <f t="shared" si="482"/>
        <v>12</v>
      </c>
      <c r="FV940" s="14">
        <f t="shared" si="483"/>
        <v>3</v>
      </c>
      <c r="FW940" s="101" t="str">
        <f t="shared" si="490"/>
        <v>石灵明专属武器-魂珠-6 4级</v>
      </c>
      <c r="FX940" s="101">
        <f t="shared" si="491"/>
        <v>6</v>
      </c>
      <c r="FY940" s="101">
        <f t="shared" si="492"/>
        <v>4</v>
      </c>
      <c r="FZ940" s="101" t="str">
        <f t="shared" si="484"/>
        <v>金币</v>
      </c>
      <c r="GA940" s="139">
        <f>IF($FY940&gt;0,IF(INDEX($EM$6:$EM$77,$FT940)&gt;=GA$3,ROUND(INDEX(EO$6:EO$77,$FT940)*INDEX(卡牌消耗!$B$8:$F$8,FV940)/5,0)*5,""),"")</f>
        <v>3490</v>
      </c>
      <c r="GB940" s="101" t="str">
        <f t="shared" si="485"/>
        <v>专属强化石3</v>
      </c>
      <c r="GC940" s="101">
        <f t="shared" si="486"/>
        <v>15</v>
      </c>
      <c r="GD940" s="101" t="str">
        <f t="shared" si="487"/>
        <v>专属强化石4</v>
      </c>
      <c r="GE940" s="101">
        <f t="shared" si="488"/>
        <v>3</v>
      </c>
      <c r="GF940" s="101">
        <f t="shared" si="493"/>
        <v>0.1</v>
      </c>
      <c r="GG940" s="101">
        <f t="shared" si="494"/>
        <v>1</v>
      </c>
      <c r="GH940" s="101">
        <f t="shared" si="495"/>
        <v>15</v>
      </c>
      <c r="GI940" s="101">
        <f t="shared" si="496"/>
        <v>0</v>
      </c>
      <c r="GJ940" s="101">
        <f t="shared" si="497"/>
        <v>1</v>
      </c>
      <c r="GK940" s="101">
        <f t="shared" si="498"/>
        <v>4</v>
      </c>
      <c r="GL940" s="101">
        <f t="shared" si="499"/>
        <v>4.9700000000000001E-2</v>
      </c>
      <c r="GM940" s="101">
        <f t="shared" si="500"/>
        <v>1</v>
      </c>
      <c r="GN940" s="101">
        <f t="shared" si="501"/>
        <v>7</v>
      </c>
      <c r="GO940" s="101">
        <f t="shared" si="502"/>
        <v>0.19889999999999999</v>
      </c>
      <c r="GP940" s="101">
        <f t="shared" si="503"/>
        <v>1</v>
      </c>
      <c r="GQ940" s="101">
        <f t="shared" si="504"/>
        <v>15</v>
      </c>
    </row>
    <row r="941" spans="175:199" ht="16.5" x14ac:dyDescent="0.2">
      <c r="FS941" s="101">
        <v>936</v>
      </c>
      <c r="FT941" s="101">
        <f t="shared" si="489"/>
        <v>50</v>
      </c>
      <c r="FU941" s="101">
        <f t="shared" si="482"/>
        <v>12</v>
      </c>
      <c r="FV941" s="14">
        <f t="shared" si="483"/>
        <v>3</v>
      </c>
      <c r="FW941" s="101" t="str">
        <f t="shared" si="490"/>
        <v>石灵明专属武器-魂珠-6 5级</v>
      </c>
      <c r="FX941" s="101">
        <f t="shared" si="491"/>
        <v>6</v>
      </c>
      <c r="FY941" s="101">
        <f t="shared" si="492"/>
        <v>5</v>
      </c>
      <c r="FZ941" s="101" t="str">
        <f t="shared" si="484"/>
        <v>金币</v>
      </c>
      <c r="GA941" s="139">
        <f>IF($FY941&gt;0,IF(INDEX($EM$6:$EM$77,$FT941)&gt;=GA$3,ROUND(INDEX(EO$6:EO$77,$FT941)*INDEX(卡牌消耗!$B$8:$F$8,FV941)/5,0)*5,""),"")</f>
        <v>3545</v>
      </c>
      <c r="GB941" s="101" t="str">
        <f t="shared" si="485"/>
        <v>专属强化石3</v>
      </c>
      <c r="GC941" s="101">
        <f t="shared" si="486"/>
        <v>15</v>
      </c>
      <c r="GD941" s="101" t="str">
        <f t="shared" si="487"/>
        <v>专属强化石4</v>
      </c>
      <c r="GE941" s="101">
        <f t="shared" si="488"/>
        <v>3</v>
      </c>
      <c r="GF941" s="101">
        <f t="shared" si="493"/>
        <v>0.06</v>
      </c>
      <c r="GG941" s="101">
        <f t="shared" si="494"/>
        <v>1</v>
      </c>
      <c r="GH941" s="101">
        <f t="shared" si="495"/>
        <v>24</v>
      </c>
      <c r="GI941" s="101">
        <f t="shared" si="496"/>
        <v>0</v>
      </c>
      <c r="GJ941" s="101">
        <f t="shared" si="497"/>
        <v>1</v>
      </c>
      <c r="GK941" s="101">
        <f t="shared" si="498"/>
        <v>6</v>
      </c>
      <c r="GL941" s="101">
        <f t="shared" si="499"/>
        <v>3.1099999999999999E-2</v>
      </c>
      <c r="GM941" s="101">
        <f t="shared" si="500"/>
        <v>1</v>
      </c>
      <c r="GN941" s="101">
        <f t="shared" si="501"/>
        <v>11</v>
      </c>
      <c r="GO941" s="101">
        <f t="shared" si="502"/>
        <v>0.12429999999999999</v>
      </c>
      <c r="GP941" s="101">
        <f t="shared" si="503"/>
        <v>1</v>
      </c>
      <c r="GQ941" s="101">
        <f t="shared" si="504"/>
        <v>24</v>
      </c>
    </row>
    <row r="942" spans="175:199" ht="16.5" x14ac:dyDescent="0.2">
      <c r="FS942" s="101">
        <v>937</v>
      </c>
      <c r="FT942" s="101">
        <f t="shared" si="489"/>
        <v>51</v>
      </c>
      <c r="FU942" s="101">
        <f t="shared" si="482"/>
        <v>12</v>
      </c>
      <c r="FV942" s="14">
        <f t="shared" si="483"/>
        <v>3</v>
      </c>
      <c r="FW942" s="101" t="str">
        <f t="shared" si="490"/>
        <v>石灵明专属武器-魂珠-6 6级</v>
      </c>
      <c r="FX942" s="101">
        <f t="shared" si="491"/>
        <v>6</v>
      </c>
      <c r="FY942" s="101">
        <f t="shared" si="492"/>
        <v>6</v>
      </c>
      <c r="FZ942" s="101" t="str">
        <f t="shared" si="484"/>
        <v>金币</v>
      </c>
      <c r="GA942" s="139">
        <f>IF($FY942&gt;0,IF(INDEX($EM$6:$EM$77,$FT942)&gt;=GA$3,ROUND(INDEX(EO$6:EO$77,$FT942)*INDEX(卡牌消耗!$B$8:$F$8,FV942)/5,0)*5,""),"")</f>
        <v>4700</v>
      </c>
      <c r="GB942" s="101" t="str">
        <f t="shared" si="485"/>
        <v>专属强化石3</v>
      </c>
      <c r="GC942" s="101">
        <f t="shared" si="486"/>
        <v>20</v>
      </c>
      <c r="GD942" s="101" t="str">
        <f t="shared" si="487"/>
        <v>专属强化石4</v>
      </c>
      <c r="GE942" s="101">
        <f t="shared" si="488"/>
        <v>4</v>
      </c>
      <c r="GF942" s="101">
        <f t="shared" si="493"/>
        <v>0.05</v>
      </c>
      <c r="GG942" s="101">
        <f t="shared" si="494"/>
        <v>1</v>
      </c>
      <c r="GH942" s="101">
        <f t="shared" si="495"/>
        <v>29</v>
      </c>
      <c r="GI942" s="101">
        <f t="shared" si="496"/>
        <v>0</v>
      </c>
      <c r="GJ942" s="101">
        <f t="shared" si="497"/>
        <v>1</v>
      </c>
      <c r="GK942" s="101">
        <f t="shared" si="498"/>
        <v>7</v>
      </c>
      <c r="GL942" s="101">
        <f t="shared" si="499"/>
        <v>2.5499999999999998E-2</v>
      </c>
      <c r="GM942" s="101">
        <f t="shared" si="500"/>
        <v>1</v>
      </c>
      <c r="GN942" s="101">
        <f t="shared" si="501"/>
        <v>14</v>
      </c>
      <c r="GO942" s="101">
        <f t="shared" si="502"/>
        <v>0.10199999999999999</v>
      </c>
      <c r="GP942" s="101">
        <f t="shared" si="503"/>
        <v>1</v>
      </c>
      <c r="GQ942" s="101">
        <f t="shared" si="504"/>
        <v>29</v>
      </c>
    </row>
    <row r="943" spans="175:199" ht="16.5" x14ac:dyDescent="0.2">
      <c r="FS943" s="101">
        <v>938</v>
      </c>
      <c r="FT943" s="101">
        <f t="shared" si="489"/>
        <v>52</v>
      </c>
      <c r="FU943" s="101">
        <f t="shared" si="482"/>
        <v>12</v>
      </c>
      <c r="FV943" s="14">
        <f t="shared" si="483"/>
        <v>3</v>
      </c>
      <c r="FW943" s="101" t="str">
        <f t="shared" si="490"/>
        <v>石灵明专属武器-魂珠-6 7级</v>
      </c>
      <c r="FX943" s="101">
        <f t="shared" si="491"/>
        <v>6</v>
      </c>
      <c r="FY943" s="101">
        <f t="shared" si="492"/>
        <v>7</v>
      </c>
      <c r="FZ943" s="101" t="str">
        <f t="shared" si="484"/>
        <v>金币</v>
      </c>
      <c r="GA943" s="139">
        <f>IF($FY943&gt;0,IF(INDEX($EM$6:$EM$77,$FT943)&gt;=GA$3,ROUND(INDEX(EO$6:EO$77,$FT943)*INDEX(卡牌消耗!$B$8:$F$8,FV943)/5,0)*5,""),"")</f>
        <v>5885</v>
      </c>
      <c r="GB943" s="101" t="str">
        <f t="shared" si="485"/>
        <v>专属强化石3</v>
      </c>
      <c r="GC943" s="101">
        <f t="shared" si="486"/>
        <v>25</v>
      </c>
      <c r="GD943" s="101" t="str">
        <f t="shared" si="487"/>
        <v>专属强化石4</v>
      </c>
      <c r="GE943" s="101">
        <f t="shared" si="488"/>
        <v>5</v>
      </c>
      <c r="GF943" s="101">
        <f t="shared" si="493"/>
        <v>0.04</v>
      </c>
      <c r="GG943" s="101">
        <f t="shared" si="494"/>
        <v>1</v>
      </c>
      <c r="GH943" s="101">
        <f t="shared" si="495"/>
        <v>38</v>
      </c>
      <c r="GI943" s="101">
        <f t="shared" si="496"/>
        <v>0</v>
      </c>
      <c r="GJ943" s="101">
        <f t="shared" si="497"/>
        <v>1</v>
      </c>
      <c r="GK943" s="101">
        <f t="shared" si="498"/>
        <v>9</v>
      </c>
      <c r="GL943" s="101">
        <f t="shared" si="499"/>
        <v>1.9699999999999999E-2</v>
      </c>
      <c r="GM943" s="101">
        <f t="shared" si="500"/>
        <v>1</v>
      </c>
      <c r="GN943" s="101">
        <f t="shared" si="501"/>
        <v>18</v>
      </c>
      <c r="GO943" s="101">
        <f t="shared" si="502"/>
        <v>7.8899999999999998E-2</v>
      </c>
      <c r="GP943" s="101">
        <f t="shared" si="503"/>
        <v>1</v>
      </c>
      <c r="GQ943" s="101">
        <f t="shared" si="504"/>
        <v>38</v>
      </c>
    </row>
    <row r="944" spans="175:199" ht="16.5" x14ac:dyDescent="0.2">
      <c r="FS944" s="101">
        <v>939</v>
      </c>
      <c r="FT944" s="101">
        <f t="shared" si="489"/>
        <v>53</v>
      </c>
      <c r="FU944" s="101">
        <f t="shared" si="482"/>
        <v>12</v>
      </c>
      <c r="FV944" s="14">
        <f t="shared" si="483"/>
        <v>3</v>
      </c>
      <c r="FW944" s="101" t="str">
        <f t="shared" si="490"/>
        <v>石灵明专属武器-魂珠-6 8级</v>
      </c>
      <c r="FX944" s="101">
        <f t="shared" si="491"/>
        <v>6</v>
      </c>
      <c r="FY944" s="101">
        <f t="shared" si="492"/>
        <v>8</v>
      </c>
      <c r="FZ944" s="101" t="str">
        <f t="shared" si="484"/>
        <v>金币</v>
      </c>
      <c r="GA944" s="139">
        <f>IF($FY944&gt;0,IF(INDEX($EM$6:$EM$77,$FT944)&gt;=GA$3,ROUND(INDEX(EO$6:EO$77,$FT944)*INDEX(卡牌消耗!$B$8:$F$8,FV944)/5,0)*5,""),"")</f>
        <v>8235</v>
      </c>
      <c r="GB944" s="101" t="str">
        <f t="shared" si="485"/>
        <v>专属强化石3</v>
      </c>
      <c r="GC944" s="101">
        <f t="shared" si="486"/>
        <v>35</v>
      </c>
      <c r="GD944" s="101" t="str">
        <f t="shared" si="487"/>
        <v>专属强化石4</v>
      </c>
      <c r="GE944" s="101">
        <f t="shared" si="488"/>
        <v>7</v>
      </c>
      <c r="GF944" s="101">
        <f t="shared" si="493"/>
        <v>0.03</v>
      </c>
      <c r="GG944" s="101">
        <f t="shared" si="494"/>
        <v>1</v>
      </c>
      <c r="GH944" s="101">
        <f t="shared" si="495"/>
        <v>44</v>
      </c>
      <c r="GI944" s="101">
        <f t="shared" si="496"/>
        <v>0</v>
      </c>
      <c r="GJ944" s="101">
        <f t="shared" si="497"/>
        <v>1</v>
      </c>
      <c r="GK944" s="101">
        <f t="shared" si="498"/>
        <v>10</v>
      </c>
      <c r="GL944" s="101">
        <f t="shared" si="499"/>
        <v>1.7100000000000001E-2</v>
      </c>
      <c r="GM944" s="101">
        <f t="shared" si="500"/>
        <v>1</v>
      </c>
      <c r="GN944" s="101">
        <f t="shared" si="501"/>
        <v>21</v>
      </c>
      <c r="GO944" s="101">
        <f t="shared" si="502"/>
        <v>6.8199999999999997E-2</v>
      </c>
      <c r="GP944" s="101">
        <f t="shared" si="503"/>
        <v>1</v>
      </c>
      <c r="GQ944" s="101">
        <f t="shared" si="504"/>
        <v>44</v>
      </c>
    </row>
    <row r="945" spans="175:199" ht="16.5" x14ac:dyDescent="0.2">
      <c r="FS945" s="101">
        <v>940</v>
      </c>
      <c r="FT945" s="101">
        <f t="shared" si="489"/>
        <v>54</v>
      </c>
      <c r="FU945" s="101">
        <f t="shared" si="482"/>
        <v>12</v>
      </c>
      <c r="FV945" s="14">
        <f t="shared" si="483"/>
        <v>3</v>
      </c>
      <c r="FW945" s="101" t="str">
        <f t="shared" si="490"/>
        <v>石灵明专属武器-魂珠-6 9级</v>
      </c>
      <c r="FX945" s="101">
        <f t="shared" si="491"/>
        <v>6</v>
      </c>
      <c r="FY945" s="101">
        <f t="shared" si="492"/>
        <v>9</v>
      </c>
      <c r="FZ945" s="101" t="str">
        <f t="shared" si="484"/>
        <v>金币</v>
      </c>
      <c r="GA945" s="139">
        <f>IF($FY945&gt;0,IF(INDEX($EM$6:$EM$77,$FT945)&gt;=GA$3,ROUND(INDEX(EO$6:EO$77,$FT945)*INDEX(卡牌消耗!$B$8:$F$8,FV945)/5,0)*5,""),"")</f>
        <v>9410</v>
      </c>
      <c r="GB945" s="101" t="str">
        <f t="shared" si="485"/>
        <v>专属强化石3</v>
      </c>
      <c r="GC945" s="101">
        <f t="shared" si="486"/>
        <v>40</v>
      </c>
      <c r="GD945" s="101" t="str">
        <f t="shared" si="487"/>
        <v>专属强化石4</v>
      </c>
      <c r="GE945" s="101">
        <f t="shared" si="488"/>
        <v>8</v>
      </c>
      <c r="GF945" s="101">
        <f t="shared" si="493"/>
        <v>0.02</v>
      </c>
      <c r="GG945" s="101">
        <f t="shared" si="494"/>
        <v>1</v>
      </c>
      <c r="GH945" s="101">
        <f t="shared" si="495"/>
        <v>62</v>
      </c>
      <c r="GI945" s="101">
        <f t="shared" si="496"/>
        <v>0</v>
      </c>
      <c r="GJ945" s="101">
        <f t="shared" si="497"/>
        <v>1</v>
      </c>
      <c r="GK945" s="101">
        <f t="shared" si="498"/>
        <v>15</v>
      </c>
      <c r="GL945" s="101">
        <f t="shared" si="499"/>
        <v>1.21E-2</v>
      </c>
      <c r="GM945" s="101">
        <f t="shared" si="500"/>
        <v>1</v>
      </c>
      <c r="GN945" s="101">
        <f t="shared" si="501"/>
        <v>29</v>
      </c>
      <c r="GO945" s="101">
        <f t="shared" si="502"/>
        <v>4.82E-2</v>
      </c>
      <c r="GP945" s="101">
        <f t="shared" si="503"/>
        <v>1</v>
      </c>
      <c r="GQ945" s="101">
        <f t="shared" si="504"/>
        <v>62</v>
      </c>
    </row>
    <row r="946" spans="175:199" ht="16.5" x14ac:dyDescent="0.2">
      <c r="FS946" s="101">
        <v>941</v>
      </c>
      <c r="FT946" s="101">
        <f t="shared" si="489"/>
        <v>0</v>
      </c>
      <c r="FU946" s="101">
        <f t="shared" si="482"/>
        <v>12</v>
      </c>
      <c r="FV946" s="14">
        <f t="shared" si="483"/>
        <v>3</v>
      </c>
      <c r="FW946" s="101" t="str">
        <f t="shared" si="490"/>
        <v>石灵明专属武器-魂珠-7 0级</v>
      </c>
      <c r="FX946" s="101">
        <f t="shared" si="491"/>
        <v>7</v>
      </c>
      <c r="FY946" s="101">
        <f t="shared" si="492"/>
        <v>0</v>
      </c>
      <c r="FZ946" s="101" t="str">
        <f t="shared" si="484"/>
        <v/>
      </c>
      <c r="GA946" s="139" t="str">
        <f>IF($FY946&gt;0,IF(INDEX($EM$6:$EM$77,$FT946)&gt;=GA$3,ROUND(INDEX(EO$6:EO$77,$FT946)*INDEX(卡牌消耗!$B$8:$F$8,FV946)/5,0)*5,""),"")</f>
        <v/>
      </c>
      <c r="GB946" s="101" t="str">
        <f t="shared" si="485"/>
        <v/>
      </c>
      <c r="GC946" s="101" t="str">
        <f t="shared" si="486"/>
        <v/>
      </c>
      <c r="GD946" s="101" t="str">
        <f t="shared" si="487"/>
        <v/>
      </c>
      <c r="GE946" s="101" t="str">
        <f t="shared" si="488"/>
        <v/>
      </c>
      <c r="GF946" s="101" t="str">
        <f t="shared" si="493"/>
        <v/>
      </c>
      <c r="GG946" s="101" t="str">
        <f t="shared" si="494"/>
        <v/>
      </c>
      <c r="GH946" s="101" t="str">
        <f t="shared" si="495"/>
        <v/>
      </c>
      <c r="GI946" s="101" t="str">
        <f t="shared" si="496"/>
        <v/>
      </c>
      <c r="GJ946" s="101" t="str">
        <f t="shared" si="497"/>
        <v/>
      </c>
      <c r="GK946" s="101" t="str">
        <f t="shared" si="498"/>
        <v/>
      </c>
      <c r="GL946" s="101" t="str">
        <f t="shared" si="499"/>
        <v/>
      </c>
      <c r="GM946" s="101" t="str">
        <f t="shared" si="500"/>
        <v/>
      </c>
      <c r="GN946" s="101" t="str">
        <f t="shared" si="501"/>
        <v/>
      </c>
      <c r="GO946" s="101" t="str">
        <f t="shared" si="502"/>
        <v/>
      </c>
      <c r="GP946" s="101" t="str">
        <f t="shared" si="503"/>
        <v/>
      </c>
      <c r="GQ946" s="101" t="str">
        <f t="shared" si="504"/>
        <v/>
      </c>
    </row>
    <row r="947" spans="175:199" ht="16.5" x14ac:dyDescent="0.2">
      <c r="FS947" s="101">
        <v>942</v>
      </c>
      <c r="FT947" s="101">
        <f t="shared" si="489"/>
        <v>55</v>
      </c>
      <c r="FU947" s="101">
        <f t="shared" si="482"/>
        <v>12</v>
      </c>
      <c r="FV947" s="14">
        <f t="shared" si="483"/>
        <v>3</v>
      </c>
      <c r="FW947" s="101" t="str">
        <f t="shared" si="490"/>
        <v>石灵明专属武器-魂珠-7 1级</v>
      </c>
      <c r="FX947" s="101">
        <f t="shared" si="491"/>
        <v>7</v>
      </c>
      <c r="FY947" s="101">
        <f t="shared" si="492"/>
        <v>1</v>
      </c>
      <c r="FZ947" s="101" t="str">
        <f t="shared" si="484"/>
        <v>金币</v>
      </c>
      <c r="GA947" s="139">
        <f>IF($FY947&gt;0,IF(INDEX($EM$6:$EM$77,$FT947)&gt;=GA$3,ROUND(INDEX(EO$6:EO$77,$FT947)*INDEX(卡牌消耗!$B$8:$F$8,FV947)/5,0)*5,""),"")</f>
        <v>5075</v>
      </c>
      <c r="GB947" s="101" t="str">
        <f t="shared" si="485"/>
        <v>专属强化石3</v>
      </c>
      <c r="GC947" s="101">
        <f t="shared" si="486"/>
        <v>6</v>
      </c>
      <c r="GD947" s="101" t="str">
        <f t="shared" si="487"/>
        <v>专属强化石4</v>
      </c>
      <c r="GE947" s="101">
        <f t="shared" si="488"/>
        <v>2</v>
      </c>
      <c r="GF947" s="101">
        <f t="shared" si="493"/>
        <v>0.2</v>
      </c>
      <c r="GG947" s="101">
        <f t="shared" si="494"/>
        <v>1</v>
      </c>
      <c r="GH947" s="101">
        <f t="shared" si="495"/>
        <v>8</v>
      </c>
      <c r="GI947" s="101">
        <f t="shared" si="496"/>
        <v>0</v>
      </c>
      <c r="GJ947" s="101">
        <f t="shared" si="497"/>
        <v>1</v>
      </c>
      <c r="GK947" s="101">
        <f t="shared" si="498"/>
        <v>2</v>
      </c>
      <c r="GL947" s="101">
        <f t="shared" si="499"/>
        <v>9.9400000000000002E-2</v>
      </c>
      <c r="GM947" s="101">
        <f t="shared" si="500"/>
        <v>1</v>
      </c>
      <c r="GN947" s="101">
        <f t="shared" si="501"/>
        <v>4</v>
      </c>
      <c r="GO947" s="101">
        <f t="shared" si="502"/>
        <v>0.3977</v>
      </c>
      <c r="GP947" s="101">
        <f t="shared" si="503"/>
        <v>1</v>
      </c>
      <c r="GQ947" s="101">
        <f t="shared" si="504"/>
        <v>8</v>
      </c>
    </row>
    <row r="948" spans="175:199" ht="16.5" x14ac:dyDescent="0.2">
      <c r="FS948" s="101">
        <v>943</v>
      </c>
      <c r="FT948" s="101">
        <f t="shared" si="489"/>
        <v>56</v>
      </c>
      <c r="FU948" s="101">
        <f t="shared" si="482"/>
        <v>12</v>
      </c>
      <c r="FV948" s="14">
        <f t="shared" si="483"/>
        <v>3</v>
      </c>
      <c r="FW948" s="101" t="str">
        <f t="shared" si="490"/>
        <v>石灵明专属武器-魂珠-7 2级</v>
      </c>
      <c r="FX948" s="101">
        <f t="shared" si="491"/>
        <v>7</v>
      </c>
      <c r="FY948" s="101">
        <f t="shared" si="492"/>
        <v>2</v>
      </c>
      <c r="FZ948" s="101" t="str">
        <f t="shared" si="484"/>
        <v>金币</v>
      </c>
      <c r="GA948" s="139">
        <f>IF($FY948&gt;0,IF(INDEX($EM$6:$EM$77,$FT948)&gt;=GA$3,ROUND(INDEX(EO$6:EO$77,$FT948)*INDEX(卡牌消耗!$B$8:$F$8,FV948)/5,0)*5,""),"")</f>
        <v>3810</v>
      </c>
      <c r="GB948" s="101" t="str">
        <f t="shared" si="485"/>
        <v>专属强化石3</v>
      </c>
      <c r="GC948" s="101">
        <f t="shared" si="486"/>
        <v>6</v>
      </c>
      <c r="GD948" s="101" t="str">
        <f t="shared" si="487"/>
        <v>专属强化石4</v>
      </c>
      <c r="GE948" s="101">
        <f t="shared" si="488"/>
        <v>2</v>
      </c>
      <c r="GF948" s="101">
        <f t="shared" si="493"/>
        <v>0.1</v>
      </c>
      <c r="GG948" s="101">
        <f t="shared" si="494"/>
        <v>1</v>
      </c>
      <c r="GH948" s="101">
        <f t="shared" si="495"/>
        <v>15</v>
      </c>
      <c r="GI948" s="101">
        <f t="shared" si="496"/>
        <v>0</v>
      </c>
      <c r="GJ948" s="101">
        <f t="shared" si="497"/>
        <v>1</v>
      </c>
      <c r="GK948" s="101">
        <f t="shared" si="498"/>
        <v>4</v>
      </c>
      <c r="GL948" s="101">
        <f t="shared" si="499"/>
        <v>4.9700000000000001E-2</v>
      </c>
      <c r="GM948" s="101">
        <f t="shared" si="500"/>
        <v>1</v>
      </c>
      <c r="GN948" s="101">
        <f t="shared" si="501"/>
        <v>7</v>
      </c>
      <c r="GO948" s="101">
        <f t="shared" si="502"/>
        <v>0.19889999999999999</v>
      </c>
      <c r="GP948" s="101">
        <f t="shared" si="503"/>
        <v>1</v>
      </c>
      <c r="GQ948" s="101">
        <f t="shared" si="504"/>
        <v>15</v>
      </c>
    </row>
    <row r="949" spans="175:199" ht="16.5" x14ac:dyDescent="0.2">
      <c r="FS949" s="101">
        <v>944</v>
      </c>
      <c r="FT949" s="101">
        <f t="shared" si="489"/>
        <v>57</v>
      </c>
      <c r="FU949" s="101">
        <f t="shared" si="482"/>
        <v>12</v>
      </c>
      <c r="FV949" s="14">
        <f t="shared" si="483"/>
        <v>3</v>
      </c>
      <c r="FW949" s="101" t="str">
        <f t="shared" si="490"/>
        <v>石灵明专属武器-魂珠-7 3级</v>
      </c>
      <c r="FX949" s="101">
        <f t="shared" si="491"/>
        <v>7</v>
      </c>
      <c r="FY949" s="101">
        <f t="shared" si="492"/>
        <v>3</v>
      </c>
      <c r="FZ949" s="101" t="str">
        <f t="shared" si="484"/>
        <v>金币</v>
      </c>
      <c r="GA949" s="139">
        <f>IF($FY949&gt;0,IF(INDEX($EM$6:$EM$77,$FT949)&gt;=GA$3,ROUND(INDEX(EO$6:EO$77,$FT949)*INDEX(卡牌消耗!$B$8:$F$8,FV949)/5,0)*5,""),"")</f>
        <v>6345</v>
      </c>
      <c r="GB949" s="101" t="str">
        <f t="shared" si="485"/>
        <v>专属强化石3</v>
      </c>
      <c r="GC949" s="101">
        <f t="shared" si="486"/>
        <v>9</v>
      </c>
      <c r="GD949" s="101" t="str">
        <f t="shared" si="487"/>
        <v>专属强化石4</v>
      </c>
      <c r="GE949" s="101">
        <f t="shared" si="488"/>
        <v>3</v>
      </c>
      <c r="GF949" s="101">
        <f t="shared" si="493"/>
        <v>0.1</v>
      </c>
      <c r="GG949" s="101">
        <f t="shared" si="494"/>
        <v>1</v>
      </c>
      <c r="GH949" s="101">
        <f t="shared" si="495"/>
        <v>15</v>
      </c>
      <c r="GI949" s="101">
        <f t="shared" si="496"/>
        <v>0</v>
      </c>
      <c r="GJ949" s="101">
        <f t="shared" si="497"/>
        <v>1</v>
      </c>
      <c r="GK949" s="101">
        <f t="shared" si="498"/>
        <v>4</v>
      </c>
      <c r="GL949" s="101">
        <f t="shared" si="499"/>
        <v>4.9700000000000001E-2</v>
      </c>
      <c r="GM949" s="101">
        <f t="shared" si="500"/>
        <v>1</v>
      </c>
      <c r="GN949" s="101">
        <f t="shared" si="501"/>
        <v>7</v>
      </c>
      <c r="GO949" s="101">
        <f t="shared" si="502"/>
        <v>0.19889999999999999</v>
      </c>
      <c r="GP949" s="101">
        <f t="shared" si="503"/>
        <v>1</v>
      </c>
      <c r="GQ949" s="101">
        <f t="shared" si="504"/>
        <v>15</v>
      </c>
    </row>
    <row r="950" spans="175:199" ht="16.5" x14ac:dyDescent="0.2">
      <c r="FS950" s="101">
        <v>945</v>
      </c>
      <c r="FT950" s="101">
        <f t="shared" si="489"/>
        <v>58</v>
      </c>
      <c r="FU950" s="101">
        <f t="shared" si="482"/>
        <v>12</v>
      </c>
      <c r="FV950" s="14">
        <f t="shared" si="483"/>
        <v>3</v>
      </c>
      <c r="FW950" s="101" t="str">
        <f t="shared" si="490"/>
        <v>石灵明专属武器-魂珠-7 4级</v>
      </c>
      <c r="FX950" s="101">
        <f t="shared" si="491"/>
        <v>7</v>
      </c>
      <c r="FY950" s="101">
        <f t="shared" si="492"/>
        <v>4</v>
      </c>
      <c r="FZ950" s="101" t="str">
        <f t="shared" si="484"/>
        <v>金币</v>
      </c>
      <c r="GA950" s="139">
        <f>IF($FY950&gt;0,IF(INDEX($EM$6:$EM$77,$FT950)&gt;=GA$3,ROUND(INDEX(EO$6:EO$77,$FT950)*INDEX(卡牌消耗!$B$8:$F$8,FV950)/5,0)*5,""),"")</f>
        <v>8125</v>
      </c>
      <c r="GB950" s="101" t="str">
        <f t="shared" si="485"/>
        <v>专属强化石3</v>
      </c>
      <c r="GC950" s="101">
        <f t="shared" si="486"/>
        <v>12</v>
      </c>
      <c r="GD950" s="101" t="str">
        <f t="shared" si="487"/>
        <v>专属强化石4</v>
      </c>
      <c r="GE950" s="101">
        <f t="shared" si="488"/>
        <v>4</v>
      </c>
      <c r="GF950" s="101">
        <f t="shared" si="493"/>
        <v>0.08</v>
      </c>
      <c r="GG950" s="101">
        <f t="shared" si="494"/>
        <v>1</v>
      </c>
      <c r="GH950" s="101">
        <f t="shared" si="495"/>
        <v>19</v>
      </c>
      <c r="GI950" s="101">
        <f t="shared" si="496"/>
        <v>0</v>
      </c>
      <c r="GJ950" s="101">
        <f t="shared" si="497"/>
        <v>1</v>
      </c>
      <c r="GK950" s="101">
        <f t="shared" si="498"/>
        <v>4</v>
      </c>
      <c r="GL950" s="101">
        <f t="shared" si="499"/>
        <v>3.9800000000000002E-2</v>
      </c>
      <c r="GM950" s="101">
        <f t="shared" si="500"/>
        <v>1</v>
      </c>
      <c r="GN950" s="101">
        <f t="shared" si="501"/>
        <v>9</v>
      </c>
      <c r="GO950" s="101">
        <f t="shared" si="502"/>
        <v>0.15909999999999999</v>
      </c>
      <c r="GP950" s="101">
        <f t="shared" si="503"/>
        <v>1</v>
      </c>
      <c r="GQ950" s="101">
        <f t="shared" si="504"/>
        <v>19</v>
      </c>
    </row>
    <row r="951" spans="175:199" ht="16.5" x14ac:dyDescent="0.2">
      <c r="FS951" s="101">
        <v>946</v>
      </c>
      <c r="FT951" s="101">
        <f t="shared" si="489"/>
        <v>59</v>
      </c>
      <c r="FU951" s="101">
        <f t="shared" si="482"/>
        <v>12</v>
      </c>
      <c r="FV951" s="14">
        <f t="shared" si="483"/>
        <v>3</v>
      </c>
      <c r="FW951" s="101" t="str">
        <f t="shared" si="490"/>
        <v>石灵明专属武器-魂珠-7 5级</v>
      </c>
      <c r="FX951" s="101">
        <f t="shared" si="491"/>
        <v>7</v>
      </c>
      <c r="FY951" s="101">
        <f t="shared" si="492"/>
        <v>5</v>
      </c>
      <c r="FZ951" s="101" t="str">
        <f t="shared" si="484"/>
        <v>金币</v>
      </c>
      <c r="GA951" s="139">
        <f>IF($FY951&gt;0,IF(INDEX($EM$6:$EM$77,$FT951)&gt;=GA$3,ROUND(INDEX(EO$6:EO$77,$FT951)*INDEX(卡牌消耗!$B$8:$F$8,FV951)/5,0)*5,""),"")</f>
        <v>8250</v>
      </c>
      <c r="GB951" s="101" t="str">
        <f t="shared" si="485"/>
        <v>专属强化石3</v>
      </c>
      <c r="GC951" s="101">
        <f t="shared" si="486"/>
        <v>12</v>
      </c>
      <c r="GD951" s="101" t="str">
        <f t="shared" si="487"/>
        <v>专属强化石4</v>
      </c>
      <c r="GE951" s="101">
        <f t="shared" si="488"/>
        <v>4</v>
      </c>
      <c r="GF951" s="101">
        <f t="shared" si="493"/>
        <v>0.05</v>
      </c>
      <c r="GG951" s="101">
        <f t="shared" si="494"/>
        <v>1</v>
      </c>
      <c r="GH951" s="101">
        <f t="shared" si="495"/>
        <v>30</v>
      </c>
      <c r="GI951" s="101">
        <f t="shared" si="496"/>
        <v>0</v>
      </c>
      <c r="GJ951" s="101">
        <f t="shared" si="497"/>
        <v>1</v>
      </c>
      <c r="GK951" s="101">
        <f t="shared" si="498"/>
        <v>7</v>
      </c>
      <c r="GL951" s="101">
        <f t="shared" si="499"/>
        <v>2.4899999999999999E-2</v>
      </c>
      <c r="GM951" s="101">
        <f t="shared" si="500"/>
        <v>1</v>
      </c>
      <c r="GN951" s="101">
        <f t="shared" si="501"/>
        <v>14</v>
      </c>
      <c r="GO951" s="101">
        <f t="shared" si="502"/>
        <v>9.9400000000000002E-2</v>
      </c>
      <c r="GP951" s="101">
        <f t="shared" si="503"/>
        <v>1</v>
      </c>
      <c r="GQ951" s="101">
        <f t="shared" si="504"/>
        <v>30</v>
      </c>
    </row>
    <row r="952" spans="175:199" ht="16.5" x14ac:dyDescent="0.2">
      <c r="FS952" s="101">
        <v>947</v>
      </c>
      <c r="FT952" s="101">
        <f t="shared" si="489"/>
        <v>60</v>
      </c>
      <c r="FU952" s="101">
        <f t="shared" si="482"/>
        <v>12</v>
      </c>
      <c r="FV952" s="14">
        <f t="shared" si="483"/>
        <v>3</v>
      </c>
      <c r="FW952" s="101" t="str">
        <f t="shared" si="490"/>
        <v>石灵明专属武器-魂珠-7 6级</v>
      </c>
      <c r="FX952" s="101">
        <f t="shared" si="491"/>
        <v>7</v>
      </c>
      <c r="FY952" s="101">
        <f t="shared" si="492"/>
        <v>6</v>
      </c>
      <c r="FZ952" s="101" t="str">
        <f t="shared" si="484"/>
        <v>金币</v>
      </c>
      <c r="GA952" s="139">
        <f>IF($FY952&gt;0,IF(INDEX($EM$6:$EM$77,$FT952)&gt;=GA$3,ROUND(INDEX(EO$6:EO$77,$FT952)*INDEX(卡牌消耗!$B$8:$F$8,FV952)/5,0)*5,""),"")</f>
        <v>10250</v>
      </c>
      <c r="GB952" s="101" t="str">
        <f t="shared" si="485"/>
        <v>专属强化石3</v>
      </c>
      <c r="GC952" s="101">
        <f t="shared" si="486"/>
        <v>15</v>
      </c>
      <c r="GD952" s="101" t="str">
        <f t="shared" si="487"/>
        <v>专属强化石4</v>
      </c>
      <c r="GE952" s="101">
        <f t="shared" si="488"/>
        <v>5</v>
      </c>
      <c r="GF952" s="101">
        <f t="shared" si="493"/>
        <v>0.04</v>
      </c>
      <c r="GG952" s="101">
        <f t="shared" si="494"/>
        <v>1</v>
      </c>
      <c r="GH952" s="101">
        <f t="shared" si="495"/>
        <v>39</v>
      </c>
      <c r="GI952" s="101">
        <f t="shared" si="496"/>
        <v>0</v>
      </c>
      <c r="GJ952" s="101">
        <f t="shared" si="497"/>
        <v>1</v>
      </c>
      <c r="GK952" s="101">
        <f t="shared" si="498"/>
        <v>9</v>
      </c>
      <c r="GL952" s="101">
        <f t="shared" si="499"/>
        <v>1.9099999999999999E-2</v>
      </c>
      <c r="GM952" s="101">
        <f t="shared" si="500"/>
        <v>1</v>
      </c>
      <c r="GN952" s="101">
        <f t="shared" si="501"/>
        <v>18</v>
      </c>
      <c r="GO952" s="101">
        <f t="shared" si="502"/>
        <v>7.6499999999999999E-2</v>
      </c>
      <c r="GP952" s="101">
        <f t="shared" si="503"/>
        <v>1</v>
      </c>
      <c r="GQ952" s="101">
        <f t="shared" si="504"/>
        <v>39</v>
      </c>
    </row>
    <row r="953" spans="175:199" ht="16.5" x14ac:dyDescent="0.2">
      <c r="FS953" s="101">
        <v>948</v>
      </c>
      <c r="FT953" s="101">
        <f t="shared" si="489"/>
        <v>61</v>
      </c>
      <c r="FU953" s="101">
        <f t="shared" si="482"/>
        <v>12</v>
      </c>
      <c r="FV953" s="14">
        <f t="shared" si="483"/>
        <v>3</v>
      </c>
      <c r="FW953" s="101" t="str">
        <f t="shared" si="490"/>
        <v>石灵明专属武器-魂珠-7 7级</v>
      </c>
      <c r="FX953" s="101">
        <f t="shared" si="491"/>
        <v>7</v>
      </c>
      <c r="FY953" s="101">
        <f t="shared" si="492"/>
        <v>7</v>
      </c>
      <c r="FZ953" s="101" t="str">
        <f t="shared" si="484"/>
        <v>金币</v>
      </c>
      <c r="GA953" s="139">
        <f>IF($FY953&gt;0,IF(INDEX($EM$6:$EM$77,$FT953)&gt;=GA$3,ROUND(INDEX(EO$6:EO$77,$FT953)*INDEX(卡牌消耗!$B$8:$F$8,FV953)/5,0)*5,""),"")</f>
        <v>14385</v>
      </c>
      <c r="GB953" s="101" t="str">
        <f t="shared" si="485"/>
        <v>专属强化石3</v>
      </c>
      <c r="GC953" s="101">
        <f t="shared" si="486"/>
        <v>21</v>
      </c>
      <c r="GD953" s="101" t="str">
        <f t="shared" si="487"/>
        <v>专属强化石4</v>
      </c>
      <c r="GE953" s="101">
        <f t="shared" si="488"/>
        <v>7</v>
      </c>
      <c r="GF953" s="101">
        <f t="shared" si="493"/>
        <v>0.03</v>
      </c>
      <c r="GG953" s="101">
        <f t="shared" si="494"/>
        <v>1</v>
      </c>
      <c r="GH953" s="101">
        <f t="shared" si="495"/>
        <v>45</v>
      </c>
      <c r="GI953" s="101">
        <f t="shared" si="496"/>
        <v>0</v>
      </c>
      <c r="GJ953" s="101">
        <f t="shared" si="497"/>
        <v>1</v>
      </c>
      <c r="GK953" s="101">
        <f t="shared" si="498"/>
        <v>11</v>
      </c>
      <c r="GL953" s="101">
        <f t="shared" si="499"/>
        <v>1.66E-2</v>
      </c>
      <c r="GM953" s="101">
        <f t="shared" si="500"/>
        <v>1</v>
      </c>
      <c r="GN953" s="101">
        <f t="shared" si="501"/>
        <v>21</v>
      </c>
      <c r="GO953" s="101">
        <f t="shared" si="502"/>
        <v>6.6299999999999998E-2</v>
      </c>
      <c r="GP953" s="101">
        <f t="shared" si="503"/>
        <v>1</v>
      </c>
      <c r="GQ953" s="101">
        <f t="shared" si="504"/>
        <v>45</v>
      </c>
    </row>
    <row r="954" spans="175:199" ht="16.5" x14ac:dyDescent="0.2">
      <c r="FS954" s="101">
        <v>949</v>
      </c>
      <c r="FT954" s="101">
        <f t="shared" si="489"/>
        <v>62</v>
      </c>
      <c r="FU954" s="101">
        <f t="shared" si="482"/>
        <v>12</v>
      </c>
      <c r="FV954" s="14">
        <f t="shared" si="483"/>
        <v>3</v>
      </c>
      <c r="FW954" s="101" t="str">
        <f t="shared" si="490"/>
        <v>石灵明专属武器-魂珠-7 8级</v>
      </c>
      <c r="FX954" s="101">
        <f t="shared" si="491"/>
        <v>7</v>
      </c>
      <c r="FY954" s="101">
        <f t="shared" si="492"/>
        <v>8</v>
      </c>
      <c r="FZ954" s="101" t="str">
        <f t="shared" si="484"/>
        <v>金币</v>
      </c>
      <c r="GA954" s="139">
        <f>IF($FY954&gt;0,IF(INDEX($EM$6:$EM$77,$FT954)&gt;=GA$3,ROUND(INDEX(EO$6:EO$77,$FT954)*INDEX(卡牌消耗!$B$8:$F$8,FV954)/5,0)*5,""),"")</f>
        <v>16425</v>
      </c>
      <c r="GB954" s="101" t="str">
        <f t="shared" si="485"/>
        <v>专属强化石3</v>
      </c>
      <c r="GC954" s="101">
        <f t="shared" si="486"/>
        <v>24</v>
      </c>
      <c r="GD954" s="101" t="str">
        <f t="shared" si="487"/>
        <v>专属强化石4</v>
      </c>
      <c r="GE954" s="101">
        <f t="shared" si="488"/>
        <v>8</v>
      </c>
      <c r="GF954" s="101">
        <f t="shared" si="493"/>
        <v>0.02</v>
      </c>
      <c r="GG954" s="101">
        <f t="shared" si="494"/>
        <v>1</v>
      </c>
      <c r="GH954" s="101">
        <f t="shared" si="495"/>
        <v>64</v>
      </c>
      <c r="GI954" s="101">
        <f t="shared" si="496"/>
        <v>0</v>
      </c>
      <c r="GJ954" s="101">
        <f t="shared" si="497"/>
        <v>1</v>
      </c>
      <c r="GK954" s="101">
        <f t="shared" si="498"/>
        <v>15</v>
      </c>
      <c r="GL954" s="101">
        <f t="shared" si="499"/>
        <v>1.17E-2</v>
      </c>
      <c r="GM954" s="101">
        <f t="shared" si="500"/>
        <v>1</v>
      </c>
      <c r="GN954" s="101">
        <f t="shared" si="501"/>
        <v>30</v>
      </c>
      <c r="GO954" s="101">
        <f t="shared" si="502"/>
        <v>4.6800000000000001E-2</v>
      </c>
      <c r="GP954" s="101">
        <f t="shared" si="503"/>
        <v>1</v>
      </c>
      <c r="GQ954" s="101">
        <f t="shared" si="504"/>
        <v>64</v>
      </c>
    </row>
    <row r="955" spans="175:199" ht="16.5" x14ac:dyDescent="0.2">
      <c r="FS955" s="101">
        <v>950</v>
      </c>
      <c r="FT955" s="101">
        <f t="shared" si="489"/>
        <v>63</v>
      </c>
      <c r="FU955" s="101">
        <f t="shared" si="482"/>
        <v>12</v>
      </c>
      <c r="FV955" s="14">
        <f t="shared" si="483"/>
        <v>3</v>
      </c>
      <c r="FW955" s="101" t="str">
        <f t="shared" si="490"/>
        <v>石灵明专属武器-魂珠-7 9级</v>
      </c>
      <c r="FX955" s="101">
        <f t="shared" si="491"/>
        <v>7</v>
      </c>
      <c r="FY955" s="101">
        <f t="shared" si="492"/>
        <v>9</v>
      </c>
      <c r="FZ955" s="101" t="str">
        <f t="shared" si="484"/>
        <v>金币</v>
      </c>
      <c r="GA955" s="139">
        <f>IF($FY955&gt;0,IF(INDEX($EM$6:$EM$77,$FT955)&gt;=GA$3,ROUND(INDEX(EO$6:EO$77,$FT955)*INDEX(卡牌消耗!$B$8:$F$8,FV955)/5,0)*5,""),"")</f>
        <v>20540</v>
      </c>
      <c r="GB955" s="101" t="str">
        <f t="shared" si="485"/>
        <v>专属强化石3</v>
      </c>
      <c r="GC955" s="101">
        <f t="shared" si="486"/>
        <v>30</v>
      </c>
      <c r="GD955" s="101" t="str">
        <f t="shared" si="487"/>
        <v>专属强化石4</v>
      </c>
      <c r="GE955" s="101">
        <f t="shared" si="488"/>
        <v>10</v>
      </c>
      <c r="GF955" s="101">
        <f t="shared" si="493"/>
        <v>0.02</v>
      </c>
      <c r="GG955" s="101">
        <f t="shared" si="494"/>
        <v>1</v>
      </c>
      <c r="GH955" s="101">
        <f t="shared" si="495"/>
        <v>83</v>
      </c>
      <c r="GI955" s="101">
        <f t="shared" si="496"/>
        <v>0</v>
      </c>
      <c r="GJ955" s="101">
        <f t="shared" si="497"/>
        <v>1</v>
      </c>
      <c r="GK955" s="101">
        <f t="shared" si="498"/>
        <v>19</v>
      </c>
      <c r="GL955" s="101">
        <f t="shared" si="499"/>
        <v>8.9999999999999993E-3</v>
      </c>
      <c r="GM955" s="101">
        <f t="shared" si="500"/>
        <v>1</v>
      </c>
      <c r="GN955" s="101">
        <f t="shared" si="501"/>
        <v>39</v>
      </c>
      <c r="GO955" s="101">
        <f t="shared" si="502"/>
        <v>3.6200000000000003E-2</v>
      </c>
      <c r="GP955" s="101">
        <f t="shared" si="503"/>
        <v>1</v>
      </c>
      <c r="GQ955" s="101">
        <f t="shared" si="504"/>
        <v>83</v>
      </c>
    </row>
    <row r="956" spans="175:199" ht="16.5" x14ac:dyDescent="0.2">
      <c r="FS956" s="101">
        <v>951</v>
      </c>
      <c r="FT956" s="101">
        <f t="shared" si="489"/>
        <v>0</v>
      </c>
      <c r="FU956" s="101">
        <f t="shared" si="482"/>
        <v>12</v>
      </c>
      <c r="FV956" s="14">
        <f t="shared" si="483"/>
        <v>3</v>
      </c>
      <c r="FW956" s="101" t="str">
        <f t="shared" si="490"/>
        <v>石灵明专属武器-魂珠-8 0级</v>
      </c>
      <c r="FX956" s="101">
        <f t="shared" si="491"/>
        <v>8</v>
      </c>
      <c r="FY956" s="101">
        <f t="shared" si="492"/>
        <v>0</v>
      </c>
      <c r="FZ956" s="101" t="str">
        <f t="shared" si="484"/>
        <v/>
      </c>
      <c r="GA956" s="139" t="str">
        <f>IF($FY956&gt;0,IF(INDEX($EM$6:$EM$77,$FT956)&gt;=GA$3,ROUND(INDEX(EO$6:EO$77,$FT956)*INDEX(卡牌消耗!$B$8:$F$8,FV956)/5,0)*5,""),"")</f>
        <v/>
      </c>
      <c r="GB956" s="101" t="str">
        <f t="shared" si="485"/>
        <v/>
      </c>
      <c r="GC956" s="101" t="str">
        <f t="shared" si="486"/>
        <v/>
      </c>
      <c r="GD956" s="101" t="str">
        <f t="shared" si="487"/>
        <v/>
      </c>
      <c r="GE956" s="101" t="str">
        <f t="shared" si="488"/>
        <v/>
      </c>
      <c r="GF956" s="101" t="str">
        <f t="shared" si="493"/>
        <v/>
      </c>
      <c r="GG956" s="101" t="str">
        <f t="shared" si="494"/>
        <v/>
      </c>
      <c r="GH956" s="101" t="str">
        <f t="shared" si="495"/>
        <v/>
      </c>
      <c r="GI956" s="101" t="str">
        <f t="shared" si="496"/>
        <v/>
      </c>
      <c r="GJ956" s="101" t="str">
        <f t="shared" si="497"/>
        <v/>
      </c>
      <c r="GK956" s="101" t="str">
        <f t="shared" si="498"/>
        <v/>
      </c>
      <c r="GL956" s="101" t="str">
        <f t="shared" si="499"/>
        <v/>
      </c>
      <c r="GM956" s="101" t="str">
        <f t="shared" si="500"/>
        <v/>
      </c>
      <c r="GN956" s="101" t="str">
        <f t="shared" si="501"/>
        <v/>
      </c>
      <c r="GO956" s="101" t="str">
        <f t="shared" si="502"/>
        <v/>
      </c>
      <c r="GP956" s="101" t="str">
        <f t="shared" si="503"/>
        <v/>
      </c>
      <c r="GQ956" s="101" t="str">
        <f t="shared" si="504"/>
        <v/>
      </c>
    </row>
    <row r="957" spans="175:199" ht="16.5" x14ac:dyDescent="0.2">
      <c r="FS957" s="101">
        <v>952</v>
      </c>
      <c r="FT957" s="101">
        <f t="shared" si="489"/>
        <v>64</v>
      </c>
      <c r="FU957" s="101">
        <f t="shared" si="482"/>
        <v>12</v>
      </c>
      <c r="FV957" s="14">
        <f t="shared" si="483"/>
        <v>3</v>
      </c>
      <c r="FW957" s="101" t="str">
        <f t="shared" si="490"/>
        <v>石灵明专属武器-魂珠-8 1级</v>
      </c>
      <c r="FX957" s="101">
        <f t="shared" si="491"/>
        <v>8</v>
      </c>
      <c r="FY957" s="101">
        <f t="shared" si="492"/>
        <v>1</v>
      </c>
      <c r="FZ957" s="101" t="str">
        <f t="shared" si="484"/>
        <v>金币</v>
      </c>
      <c r="GA957" s="139">
        <f>IF($FY957&gt;0,IF(INDEX($EM$6:$EM$77,$FT957)&gt;=GA$3,ROUND(INDEX(EO$6:EO$77,$FT957)*INDEX(卡牌消耗!$B$8:$F$8,FV957)/5,0)*5,""),"")</f>
        <v>4325</v>
      </c>
      <c r="GB957" s="101" t="str">
        <f t="shared" si="485"/>
        <v>专属强化石4</v>
      </c>
      <c r="GC957" s="101">
        <f t="shared" si="486"/>
        <v>5</v>
      </c>
      <c r="GD957" s="101" t="str">
        <f t="shared" si="487"/>
        <v/>
      </c>
      <c r="GE957" s="101" t="str">
        <f t="shared" si="488"/>
        <v/>
      </c>
      <c r="GF957" s="101">
        <f t="shared" si="493"/>
        <v>0.11</v>
      </c>
      <c r="GG957" s="101">
        <f t="shared" si="494"/>
        <v>1</v>
      </c>
      <c r="GH957" s="101">
        <f t="shared" si="495"/>
        <v>13</v>
      </c>
      <c r="GI957" s="101">
        <f t="shared" si="496"/>
        <v>0</v>
      </c>
      <c r="GJ957" s="101">
        <f t="shared" si="497"/>
        <v>1</v>
      </c>
      <c r="GK957" s="101">
        <f t="shared" si="498"/>
        <v>3</v>
      </c>
      <c r="GL957" s="101">
        <f t="shared" si="499"/>
        <v>5.6500000000000002E-2</v>
      </c>
      <c r="GM957" s="101">
        <f t="shared" si="500"/>
        <v>1</v>
      </c>
      <c r="GN957" s="101">
        <f t="shared" si="501"/>
        <v>6</v>
      </c>
      <c r="GO957" s="101">
        <f t="shared" si="502"/>
        <v>0.22600000000000001</v>
      </c>
      <c r="GP957" s="101">
        <f t="shared" si="503"/>
        <v>1</v>
      </c>
      <c r="GQ957" s="101">
        <f t="shared" si="504"/>
        <v>13</v>
      </c>
    </row>
    <row r="958" spans="175:199" ht="16.5" x14ac:dyDescent="0.2">
      <c r="FS958" s="101">
        <v>953</v>
      </c>
      <c r="FT958" s="101">
        <f t="shared" si="489"/>
        <v>65</v>
      </c>
      <c r="FU958" s="101">
        <f t="shared" si="482"/>
        <v>12</v>
      </c>
      <c r="FV958" s="14">
        <f t="shared" si="483"/>
        <v>3</v>
      </c>
      <c r="FW958" s="101" t="str">
        <f t="shared" si="490"/>
        <v>石灵明专属武器-魂珠-8 2级</v>
      </c>
      <c r="FX958" s="101">
        <f t="shared" si="491"/>
        <v>8</v>
      </c>
      <c r="FY958" s="101">
        <f t="shared" si="492"/>
        <v>2</v>
      </c>
      <c r="FZ958" s="101" t="str">
        <f t="shared" si="484"/>
        <v>金币</v>
      </c>
      <c r="GA958" s="139">
        <f>IF($FY958&gt;0,IF(INDEX($EM$6:$EM$77,$FT958)&gt;=GA$3,ROUND(INDEX(EO$6:EO$77,$FT958)*INDEX(卡牌消耗!$B$8:$F$8,FV958)/5,0)*5,""),"")</f>
        <v>5190</v>
      </c>
      <c r="GB958" s="101" t="str">
        <f t="shared" si="485"/>
        <v>专属强化石4</v>
      </c>
      <c r="GC958" s="101">
        <f t="shared" si="486"/>
        <v>8</v>
      </c>
      <c r="GD958" s="101" t="str">
        <f t="shared" si="487"/>
        <v/>
      </c>
      <c r="GE958" s="101" t="str">
        <f t="shared" si="488"/>
        <v/>
      </c>
      <c r="GF958" s="101">
        <f t="shared" si="493"/>
        <v>0.09</v>
      </c>
      <c r="GG958" s="101">
        <f t="shared" si="494"/>
        <v>1</v>
      </c>
      <c r="GH958" s="101">
        <f t="shared" si="495"/>
        <v>17</v>
      </c>
      <c r="GI958" s="101">
        <f t="shared" si="496"/>
        <v>0</v>
      </c>
      <c r="GJ958" s="101">
        <f t="shared" si="497"/>
        <v>1</v>
      </c>
      <c r="GK958" s="101">
        <f t="shared" si="498"/>
        <v>4</v>
      </c>
      <c r="GL958" s="101">
        <f t="shared" si="499"/>
        <v>4.5199999999999997E-2</v>
      </c>
      <c r="GM958" s="101">
        <f t="shared" si="500"/>
        <v>1</v>
      </c>
      <c r="GN958" s="101">
        <f t="shared" si="501"/>
        <v>8</v>
      </c>
      <c r="GO958" s="101">
        <f t="shared" si="502"/>
        <v>0.18079999999999999</v>
      </c>
      <c r="GP958" s="101">
        <f t="shared" si="503"/>
        <v>1</v>
      </c>
      <c r="GQ958" s="101">
        <f t="shared" si="504"/>
        <v>17</v>
      </c>
    </row>
    <row r="959" spans="175:199" ht="16.5" x14ac:dyDescent="0.2">
      <c r="FS959" s="101">
        <v>954</v>
      </c>
      <c r="FT959" s="101">
        <f t="shared" si="489"/>
        <v>66</v>
      </c>
      <c r="FU959" s="101">
        <f t="shared" si="482"/>
        <v>12</v>
      </c>
      <c r="FV959" s="14">
        <f t="shared" si="483"/>
        <v>3</v>
      </c>
      <c r="FW959" s="101" t="str">
        <f t="shared" si="490"/>
        <v>石灵明专属武器-魂珠-8 3级</v>
      </c>
      <c r="FX959" s="101">
        <f t="shared" si="491"/>
        <v>8</v>
      </c>
      <c r="FY959" s="101">
        <f t="shared" si="492"/>
        <v>3</v>
      </c>
      <c r="FZ959" s="101" t="str">
        <f t="shared" si="484"/>
        <v>金币</v>
      </c>
      <c r="GA959" s="139">
        <f>IF($FY959&gt;0,IF(INDEX($EM$6:$EM$77,$FT959)&gt;=GA$3,ROUND(INDEX(EO$6:EO$77,$FT959)*INDEX(卡牌消耗!$B$8:$F$8,FV959)/5,0)*5,""),"")</f>
        <v>7210</v>
      </c>
      <c r="GB959" s="101" t="str">
        <f t="shared" si="485"/>
        <v>专属强化石4</v>
      </c>
      <c r="GC959" s="101">
        <f t="shared" si="486"/>
        <v>10</v>
      </c>
      <c r="GD959" s="101" t="str">
        <f t="shared" si="487"/>
        <v/>
      </c>
      <c r="GE959" s="101" t="str">
        <f t="shared" si="488"/>
        <v/>
      </c>
      <c r="GF959" s="101">
        <f t="shared" si="493"/>
        <v>0.08</v>
      </c>
      <c r="GG959" s="101">
        <f t="shared" si="494"/>
        <v>1</v>
      </c>
      <c r="GH959" s="101">
        <f t="shared" si="495"/>
        <v>20</v>
      </c>
      <c r="GI959" s="101">
        <f t="shared" si="496"/>
        <v>0</v>
      </c>
      <c r="GJ959" s="101">
        <f t="shared" si="497"/>
        <v>1</v>
      </c>
      <c r="GK959" s="101">
        <f t="shared" si="498"/>
        <v>5</v>
      </c>
      <c r="GL959" s="101">
        <f t="shared" si="499"/>
        <v>3.7699999999999997E-2</v>
      </c>
      <c r="GM959" s="101">
        <f t="shared" si="500"/>
        <v>1</v>
      </c>
      <c r="GN959" s="101">
        <f t="shared" si="501"/>
        <v>9</v>
      </c>
      <c r="GO959" s="101">
        <f t="shared" si="502"/>
        <v>0.1507</v>
      </c>
      <c r="GP959" s="101">
        <f t="shared" si="503"/>
        <v>1</v>
      </c>
      <c r="GQ959" s="101">
        <f t="shared" si="504"/>
        <v>20</v>
      </c>
    </row>
    <row r="960" spans="175:199" ht="16.5" x14ac:dyDescent="0.2">
      <c r="FS960" s="101">
        <v>955</v>
      </c>
      <c r="FT960" s="101">
        <f t="shared" si="489"/>
        <v>67</v>
      </c>
      <c r="FU960" s="101">
        <f t="shared" si="482"/>
        <v>12</v>
      </c>
      <c r="FV960" s="14">
        <f t="shared" si="483"/>
        <v>3</v>
      </c>
      <c r="FW960" s="101" t="str">
        <f t="shared" si="490"/>
        <v>石灵明专属武器-魂珠-8 4级</v>
      </c>
      <c r="FX960" s="101">
        <f t="shared" si="491"/>
        <v>8</v>
      </c>
      <c r="FY960" s="101">
        <f t="shared" si="492"/>
        <v>4</v>
      </c>
      <c r="FZ960" s="101" t="str">
        <f t="shared" si="484"/>
        <v>金币</v>
      </c>
      <c r="GA960" s="139">
        <f>IF($FY960&gt;0,IF(INDEX($EM$6:$EM$77,$FT960)&gt;=GA$3,ROUND(INDEX(EO$6:EO$77,$FT960)*INDEX(卡牌消耗!$B$8:$F$8,FV960)/5,0)*5,""),"")</f>
        <v>8310</v>
      </c>
      <c r="GB960" s="101" t="str">
        <f t="shared" si="485"/>
        <v>专属强化石4</v>
      </c>
      <c r="GC960" s="101">
        <f t="shared" si="486"/>
        <v>12</v>
      </c>
      <c r="GD960" s="101" t="str">
        <f t="shared" si="487"/>
        <v/>
      </c>
      <c r="GE960" s="101" t="str">
        <f t="shared" si="488"/>
        <v/>
      </c>
      <c r="GF960" s="101">
        <f t="shared" si="493"/>
        <v>0.05</v>
      </c>
      <c r="GG960" s="101">
        <f t="shared" si="494"/>
        <v>1</v>
      </c>
      <c r="GH960" s="101">
        <f t="shared" si="495"/>
        <v>28</v>
      </c>
      <c r="GI960" s="101">
        <f t="shared" si="496"/>
        <v>0</v>
      </c>
      <c r="GJ960" s="101">
        <f t="shared" si="497"/>
        <v>1</v>
      </c>
      <c r="GK960" s="101">
        <f t="shared" si="498"/>
        <v>6</v>
      </c>
      <c r="GL960" s="101">
        <f t="shared" si="499"/>
        <v>2.7099999999999999E-2</v>
      </c>
      <c r="GM960" s="101">
        <f t="shared" si="500"/>
        <v>1</v>
      </c>
      <c r="GN960" s="101">
        <f t="shared" si="501"/>
        <v>13</v>
      </c>
      <c r="GO960" s="101">
        <f t="shared" si="502"/>
        <v>0.1085</v>
      </c>
      <c r="GP960" s="101">
        <f t="shared" si="503"/>
        <v>1</v>
      </c>
      <c r="GQ960" s="101">
        <f t="shared" si="504"/>
        <v>28</v>
      </c>
    </row>
    <row r="961" spans="175:199" ht="16.5" x14ac:dyDescent="0.2">
      <c r="FS961" s="101">
        <v>956</v>
      </c>
      <c r="FT961" s="101">
        <f t="shared" si="489"/>
        <v>68</v>
      </c>
      <c r="FU961" s="101">
        <f t="shared" si="482"/>
        <v>12</v>
      </c>
      <c r="FV961" s="14">
        <f t="shared" si="483"/>
        <v>3</v>
      </c>
      <c r="FW961" s="101" t="str">
        <f t="shared" si="490"/>
        <v>石灵明专属武器-魂珠-8 5级</v>
      </c>
      <c r="FX961" s="101">
        <f t="shared" si="491"/>
        <v>8</v>
      </c>
      <c r="FY961" s="101">
        <f t="shared" si="492"/>
        <v>5</v>
      </c>
      <c r="FZ961" s="101" t="str">
        <f t="shared" si="484"/>
        <v>金币</v>
      </c>
      <c r="GA961" s="139">
        <f>IF($FY961&gt;0,IF(INDEX($EM$6:$EM$77,$FT961)&gt;=GA$3,ROUND(INDEX(EO$6:EO$77,$FT961)*INDEX(卡牌消耗!$B$8:$F$8,FV961)/5,0)*5,""),"")</f>
        <v>10545</v>
      </c>
      <c r="GB961" s="101" t="str">
        <f t="shared" si="485"/>
        <v>专属强化石4</v>
      </c>
      <c r="GC961" s="101">
        <f t="shared" si="486"/>
        <v>15</v>
      </c>
      <c r="GD961" s="101" t="str">
        <f t="shared" si="487"/>
        <v/>
      </c>
      <c r="GE961" s="101" t="str">
        <f t="shared" si="488"/>
        <v/>
      </c>
      <c r="GF961" s="101">
        <f t="shared" si="493"/>
        <v>0.04</v>
      </c>
      <c r="GG961" s="101">
        <f t="shared" si="494"/>
        <v>1</v>
      </c>
      <c r="GH961" s="101">
        <f t="shared" si="495"/>
        <v>35</v>
      </c>
      <c r="GI961" s="101">
        <f t="shared" si="496"/>
        <v>0</v>
      </c>
      <c r="GJ961" s="101">
        <f t="shared" si="497"/>
        <v>1</v>
      </c>
      <c r="GK961" s="101">
        <f t="shared" si="498"/>
        <v>8</v>
      </c>
      <c r="GL961" s="101">
        <f t="shared" si="499"/>
        <v>2.12E-2</v>
      </c>
      <c r="GM961" s="101">
        <f t="shared" si="500"/>
        <v>1</v>
      </c>
      <c r="GN961" s="101">
        <f t="shared" si="501"/>
        <v>17</v>
      </c>
      <c r="GO961" s="101">
        <f t="shared" si="502"/>
        <v>8.4699999999999998E-2</v>
      </c>
      <c r="GP961" s="101">
        <f t="shared" si="503"/>
        <v>1</v>
      </c>
      <c r="GQ961" s="101">
        <f t="shared" si="504"/>
        <v>35</v>
      </c>
    </row>
    <row r="962" spans="175:199" ht="16.5" x14ac:dyDescent="0.2">
      <c r="FS962" s="101">
        <v>957</v>
      </c>
      <c r="FT962" s="101">
        <f t="shared" si="489"/>
        <v>69</v>
      </c>
      <c r="FU962" s="101">
        <f t="shared" si="482"/>
        <v>12</v>
      </c>
      <c r="FV962" s="14">
        <f t="shared" si="483"/>
        <v>3</v>
      </c>
      <c r="FW962" s="101" t="str">
        <f t="shared" si="490"/>
        <v>石灵明专属武器-魂珠-8 6级</v>
      </c>
      <c r="FX962" s="101">
        <f t="shared" si="491"/>
        <v>8</v>
      </c>
      <c r="FY962" s="101">
        <f t="shared" si="492"/>
        <v>6</v>
      </c>
      <c r="FZ962" s="101" t="str">
        <f t="shared" si="484"/>
        <v>金币</v>
      </c>
      <c r="GA962" s="139">
        <f>IF($FY962&gt;0,IF(INDEX($EM$6:$EM$77,$FT962)&gt;=GA$3,ROUND(INDEX(EO$6:EO$77,$FT962)*INDEX(卡牌消耗!$B$8:$F$8,FV962)/5,0)*5,""),"")</f>
        <v>12580</v>
      </c>
      <c r="GB962" s="101" t="str">
        <f t="shared" si="485"/>
        <v>专属强化石4</v>
      </c>
      <c r="GC962" s="101">
        <f t="shared" si="486"/>
        <v>18</v>
      </c>
      <c r="GD962" s="101" t="str">
        <f t="shared" si="487"/>
        <v/>
      </c>
      <c r="GE962" s="101" t="str">
        <f t="shared" si="488"/>
        <v/>
      </c>
      <c r="GF962" s="101">
        <f t="shared" si="493"/>
        <v>0.03</v>
      </c>
      <c r="GG962" s="101">
        <f t="shared" si="494"/>
        <v>1</v>
      </c>
      <c r="GH962" s="101">
        <f t="shared" si="495"/>
        <v>48</v>
      </c>
      <c r="GI962" s="101">
        <f t="shared" si="496"/>
        <v>0</v>
      </c>
      <c r="GJ962" s="101">
        <f t="shared" si="497"/>
        <v>1</v>
      </c>
      <c r="GK962" s="101">
        <f t="shared" si="498"/>
        <v>11</v>
      </c>
      <c r="GL962" s="101">
        <f t="shared" si="499"/>
        <v>1.5599999999999999E-2</v>
      </c>
      <c r="GM962" s="101">
        <f t="shared" si="500"/>
        <v>1</v>
      </c>
      <c r="GN962" s="101">
        <f t="shared" si="501"/>
        <v>22</v>
      </c>
      <c r="GO962" s="101">
        <f t="shared" si="502"/>
        <v>6.2600000000000003E-2</v>
      </c>
      <c r="GP962" s="101">
        <f t="shared" si="503"/>
        <v>1</v>
      </c>
      <c r="GQ962" s="101">
        <f t="shared" si="504"/>
        <v>48</v>
      </c>
    </row>
    <row r="963" spans="175:199" ht="16.5" x14ac:dyDescent="0.2">
      <c r="FS963" s="101">
        <v>958</v>
      </c>
      <c r="FT963" s="101">
        <f t="shared" si="489"/>
        <v>70</v>
      </c>
      <c r="FU963" s="101">
        <f t="shared" si="482"/>
        <v>12</v>
      </c>
      <c r="FV963" s="14">
        <f t="shared" si="483"/>
        <v>3</v>
      </c>
      <c r="FW963" s="101" t="str">
        <f t="shared" si="490"/>
        <v>石灵明专属武器-魂珠-8 7级</v>
      </c>
      <c r="FX963" s="101">
        <f t="shared" si="491"/>
        <v>8</v>
      </c>
      <c r="FY963" s="101">
        <f t="shared" si="492"/>
        <v>7</v>
      </c>
      <c r="FZ963" s="101" t="str">
        <f t="shared" si="484"/>
        <v>金币</v>
      </c>
      <c r="GA963" s="139">
        <f>IF($FY963&gt;0,IF(INDEX($EM$6:$EM$77,$FT963)&gt;=GA$3,ROUND(INDEX(EO$6:EO$77,$FT963)*INDEX(卡牌消耗!$B$8:$F$8,FV963)/5,0)*5,""),"")</f>
        <v>17515</v>
      </c>
      <c r="GB963" s="101" t="str">
        <f t="shared" si="485"/>
        <v>专属强化石4</v>
      </c>
      <c r="GC963" s="101">
        <f t="shared" si="486"/>
        <v>25</v>
      </c>
      <c r="GD963" s="101" t="str">
        <f t="shared" si="487"/>
        <v/>
      </c>
      <c r="GE963" s="101" t="str">
        <f t="shared" si="488"/>
        <v/>
      </c>
      <c r="GF963" s="101">
        <f t="shared" si="493"/>
        <v>0.03</v>
      </c>
      <c r="GG963" s="101">
        <f t="shared" si="494"/>
        <v>1</v>
      </c>
      <c r="GH963" s="101">
        <f t="shared" si="495"/>
        <v>56</v>
      </c>
      <c r="GI963" s="101">
        <f t="shared" si="496"/>
        <v>0</v>
      </c>
      <c r="GJ963" s="101">
        <f t="shared" si="497"/>
        <v>1</v>
      </c>
      <c r="GK963" s="101">
        <f t="shared" si="498"/>
        <v>13</v>
      </c>
      <c r="GL963" s="101">
        <f t="shared" si="499"/>
        <v>1.35E-2</v>
      </c>
      <c r="GM963" s="101">
        <f t="shared" si="500"/>
        <v>1</v>
      </c>
      <c r="GN963" s="101">
        <f t="shared" si="501"/>
        <v>26</v>
      </c>
      <c r="GO963" s="101">
        <f t="shared" si="502"/>
        <v>5.3800000000000001E-2</v>
      </c>
      <c r="GP963" s="101">
        <f t="shared" si="503"/>
        <v>1</v>
      </c>
      <c r="GQ963" s="101">
        <f t="shared" si="504"/>
        <v>56</v>
      </c>
    </row>
    <row r="964" spans="175:199" ht="16.5" x14ac:dyDescent="0.2">
      <c r="FS964" s="101">
        <v>959</v>
      </c>
      <c r="FT964" s="101">
        <f t="shared" si="489"/>
        <v>71</v>
      </c>
      <c r="FU964" s="101">
        <f t="shared" si="482"/>
        <v>12</v>
      </c>
      <c r="FV964" s="14">
        <f t="shared" si="483"/>
        <v>3</v>
      </c>
      <c r="FW964" s="101" t="str">
        <f t="shared" si="490"/>
        <v>石灵明专属武器-魂珠-8 8级</v>
      </c>
      <c r="FX964" s="101">
        <f t="shared" si="491"/>
        <v>8</v>
      </c>
      <c r="FY964" s="101">
        <f t="shared" si="492"/>
        <v>8</v>
      </c>
      <c r="FZ964" s="101" t="str">
        <f t="shared" si="484"/>
        <v>金币</v>
      </c>
      <c r="GA964" s="139">
        <f>IF($FY964&gt;0,IF(INDEX($EM$6:$EM$77,$FT964)&gt;=GA$3,ROUND(INDEX(EO$6:EO$77,$FT964)*INDEX(卡牌消耗!$B$8:$F$8,FV964)/5,0)*5,""),"")</f>
        <v>21000</v>
      </c>
      <c r="GB964" s="101" t="str">
        <f t="shared" si="485"/>
        <v>专属强化石4</v>
      </c>
      <c r="GC964" s="101">
        <f t="shared" si="486"/>
        <v>30</v>
      </c>
      <c r="GD964" s="101" t="str">
        <f t="shared" si="487"/>
        <v/>
      </c>
      <c r="GE964" s="101" t="str">
        <f t="shared" si="488"/>
        <v/>
      </c>
      <c r="GF964" s="101">
        <f t="shared" si="493"/>
        <v>0.02</v>
      </c>
      <c r="GG964" s="101">
        <f t="shared" si="494"/>
        <v>1</v>
      </c>
      <c r="GH964" s="101">
        <f t="shared" si="495"/>
        <v>75</v>
      </c>
      <c r="GI964" s="101">
        <f t="shared" si="496"/>
        <v>0</v>
      </c>
      <c r="GJ964" s="101">
        <f t="shared" si="497"/>
        <v>1</v>
      </c>
      <c r="GK964" s="101">
        <f t="shared" si="498"/>
        <v>18</v>
      </c>
      <c r="GL964" s="101">
        <f t="shared" si="499"/>
        <v>0.01</v>
      </c>
      <c r="GM964" s="101">
        <f t="shared" si="500"/>
        <v>1</v>
      </c>
      <c r="GN964" s="101">
        <f t="shared" si="501"/>
        <v>35</v>
      </c>
      <c r="GO964" s="101">
        <f t="shared" si="502"/>
        <v>3.9899999999999998E-2</v>
      </c>
      <c r="GP964" s="101">
        <f t="shared" si="503"/>
        <v>1</v>
      </c>
      <c r="GQ964" s="101">
        <f t="shared" si="504"/>
        <v>75</v>
      </c>
    </row>
    <row r="965" spans="175:199" ht="16.5" x14ac:dyDescent="0.2">
      <c r="FS965" s="101">
        <v>960</v>
      </c>
      <c r="FT965" s="101">
        <f t="shared" si="489"/>
        <v>72</v>
      </c>
      <c r="FU965" s="101">
        <f t="shared" si="482"/>
        <v>12</v>
      </c>
      <c r="FV965" s="14">
        <f t="shared" si="483"/>
        <v>3</v>
      </c>
      <c r="FW965" s="101" t="str">
        <f t="shared" si="490"/>
        <v>石灵明专属武器-魂珠-8 9级</v>
      </c>
      <c r="FX965" s="101">
        <f t="shared" si="491"/>
        <v>8</v>
      </c>
      <c r="FY965" s="101">
        <f t="shared" si="492"/>
        <v>9</v>
      </c>
      <c r="FZ965" s="101" t="str">
        <f t="shared" si="484"/>
        <v>金币</v>
      </c>
      <c r="GA965" s="139">
        <f>IF($FY965&gt;0,IF(INDEX($EM$6:$EM$77,$FT965)&gt;=GA$3,ROUND(INDEX(EO$6:EO$77,$FT965)*INDEX(卡牌消耗!$B$8:$F$8,FV965)/5,0)*5,""),"")</f>
        <v>21005</v>
      </c>
      <c r="GB965" s="101" t="str">
        <f t="shared" si="485"/>
        <v>专属强化石4</v>
      </c>
      <c r="GC965" s="101">
        <f t="shared" si="486"/>
        <v>30</v>
      </c>
      <c r="GD965" s="101" t="str">
        <f t="shared" si="487"/>
        <v/>
      </c>
      <c r="GE965" s="101" t="str">
        <f t="shared" si="488"/>
        <v/>
      </c>
      <c r="GF965" s="101">
        <f t="shared" si="493"/>
        <v>0.01</v>
      </c>
      <c r="GG965" s="101">
        <f t="shared" si="494"/>
        <v>1</v>
      </c>
      <c r="GH965" s="101">
        <f t="shared" si="495"/>
        <v>122</v>
      </c>
      <c r="GI965" s="101">
        <f t="shared" si="496"/>
        <v>0</v>
      </c>
      <c r="GJ965" s="101">
        <f t="shared" si="497"/>
        <v>1</v>
      </c>
      <c r="GK965" s="101">
        <f t="shared" si="498"/>
        <v>28</v>
      </c>
      <c r="GL965" s="101">
        <f t="shared" si="499"/>
        <v>6.1999999999999998E-3</v>
      </c>
      <c r="GM965" s="101">
        <f t="shared" si="500"/>
        <v>1</v>
      </c>
      <c r="GN965" s="101">
        <f t="shared" si="501"/>
        <v>57</v>
      </c>
      <c r="GO965" s="101">
        <f t="shared" si="502"/>
        <v>2.47E-2</v>
      </c>
      <c r="GP965" s="101">
        <f t="shared" si="503"/>
        <v>1</v>
      </c>
      <c r="GQ965" s="101">
        <f t="shared" si="504"/>
        <v>122</v>
      </c>
    </row>
    <row r="966" spans="175:199" ht="16.5" x14ac:dyDescent="0.2">
      <c r="FS966" s="101">
        <v>961</v>
      </c>
      <c r="FT966" s="101">
        <f t="shared" si="489"/>
        <v>0</v>
      </c>
      <c r="FU966" s="101">
        <f t="shared" si="482"/>
        <v>13</v>
      </c>
      <c r="FV966" s="14">
        <f t="shared" si="483"/>
        <v>4</v>
      </c>
      <c r="FW966" s="101" t="str">
        <f t="shared" si="490"/>
        <v>西方龙专属武器-魂珠-1 0级</v>
      </c>
      <c r="FX966" s="101">
        <f t="shared" si="491"/>
        <v>1</v>
      </c>
      <c r="FY966" s="101">
        <f t="shared" si="492"/>
        <v>0</v>
      </c>
      <c r="FZ966" s="101" t="str">
        <f t="shared" si="484"/>
        <v/>
      </c>
      <c r="GA966" s="139" t="str">
        <f>IF($FY966&gt;0,IF(INDEX($EM$6:$EM$77,$FT966)&gt;=GA$3,ROUND(INDEX(EO$6:EO$77,$FT966)*INDEX(卡牌消耗!$B$8:$F$8,FV966)/5,0)*5,""),"")</f>
        <v/>
      </c>
      <c r="GB966" s="101" t="str">
        <f t="shared" si="485"/>
        <v/>
      </c>
      <c r="GC966" s="101" t="str">
        <f t="shared" si="486"/>
        <v/>
      </c>
      <c r="GD966" s="101" t="str">
        <f t="shared" si="487"/>
        <v/>
      </c>
      <c r="GE966" s="101" t="str">
        <f t="shared" si="488"/>
        <v/>
      </c>
      <c r="GF966" s="101" t="str">
        <f t="shared" si="493"/>
        <v/>
      </c>
      <c r="GG966" s="101" t="str">
        <f t="shared" si="494"/>
        <v/>
      </c>
      <c r="GH966" s="101" t="str">
        <f t="shared" si="495"/>
        <v/>
      </c>
      <c r="GI966" s="101" t="str">
        <f t="shared" si="496"/>
        <v/>
      </c>
      <c r="GJ966" s="101" t="str">
        <f t="shared" si="497"/>
        <v/>
      </c>
      <c r="GK966" s="101" t="str">
        <f t="shared" si="498"/>
        <v/>
      </c>
      <c r="GL966" s="101" t="str">
        <f t="shared" si="499"/>
        <v/>
      </c>
      <c r="GM966" s="101" t="str">
        <f t="shared" si="500"/>
        <v/>
      </c>
      <c r="GN966" s="101" t="str">
        <f t="shared" si="501"/>
        <v/>
      </c>
      <c r="GO966" s="101" t="str">
        <f t="shared" si="502"/>
        <v/>
      </c>
      <c r="GP966" s="101" t="str">
        <f t="shared" si="503"/>
        <v/>
      </c>
      <c r="GQ966" s="101" t="str">
        <f t="shared" si="504"/>
        <v/>
      </c>
    </row>
    <row r="967" spans="175:199" ht="16.5" x14ac:dyDescent="0.2">
      <c r="FS967" s="101">
        <v>962</v>
      </c>
      <c r="FT967" s="101">
        <f t="shared" si="489"/>
        <v>1</v>
      </c>
      <c r="FU967" s="101">
        <f t="shared" ref="FU967:FU1030" si="505">INT((FS967-1)/80+1)</f>
        <v>13</v>
      </c>
      <c r="FV967" s="14">
        <f t="shared" ref="FV967:FV1030" si="506">INDEX($FO$6:$FO$26,FU967)</f>
        <v>4</v>
      </c>
      <c r="FW967" s="101" t="str">
        <f t="shared" si="490"/>
        <v>西方龙专属武器-魂珠-1 1级</v>
      </c>
      <c r="FX967" s="101">
        <f t="shared" si="491"/>
        <v>1</v>
      </c>
      <c r="FY967" s="101">
        <f t="shared" si="492"/>
        <v>1</v>
      </c>
      <c r="FZ967" s="101" t="str">
        <f t="shared" ref="FZ967:FZ1030" si="507">IF($FY967&gt;0,IF(INDEX($EM$6:$EM$77,$FT967)&gt;=FZ$3,INDEX(EN$6:EN$77,$FT967),""),"")</f>
        <v>金币</v>
      </c>
      <c r="GA967" s="139">
        <f>IF($FY967&gt;0,IF(INDEX($EM$6:$EM$77,$FT967)&gt;=GA$3,ROUND(INDEX(EO$6:EO$77,$FT967)*INDEX(卡牌消耗!$B$8:$F$8,FV967)/5,0)*5,""),"")</f>
        <v>145</v>
      </c>
      <c r="GB967" s="101" t="str">
        <f t="shared" ref="GB967:GB1030" si="508">IF($FY967&gt;0,IF(INDEX($EM$6:$EM$77,$FT967)&gt;=GB$3,INDEX(EP$6:EP$77,$FT967),""),"")</f>
        <v>专属强化石1</v>
      </c>
      <c r="GC967" s="101">
        <f t="shared" ref="GC967:GC1030" si="509">IF($FY967&gt;0,IF(INDEX($EM$6:$EM$77,$FT967)&gt;=GC$3,INDEX(EQ$6:EQ$77,$FT967),""),"")</f>
        <v>1</v>
      </c>
      <c r="GD967" s="101" t="str">
        <f t="shared" ref="GD967:GD1030" si="510">IF($FY967&gt;0,IF(INDEX($EM$6:$EM$77,$FT967)&gt;=GD$3,INDEX(ER$6:ER$77,$FT967),""),"")</f>
        <v/>
      </c>
      <c r="GE967" s="101" t="str">
        <f t="shared" ref="GE967:GE1030" si="511">IF($FY967&gt;0,IF(INDEX($EM$6:$EM$77,$FT967)&gt;=GE$3,INDEX(ES$6:ES$77,$FT967),""),"")</f>
        <v/>
      </c>
      <c r="GF967" s="101">
        <f t="shared" si="493"/>
        <v>0.32</v>
      </c>
      <c r="GG967" s="101">
        <f t="shared" si="494"/>
        <v>1</v>
      </c>
      <c r="GH967" s="101">
        <f t="shared" si="495"/>
        <v>5</v>
      </c>
      <c r="GI967" s="101">
        <f t="shared" si="496"/>
        <v>0</v>
      </c>
      <c r="GJ967" s="101">
        <f t="shared" si="497"/>
        <v>1</v>
      </c>
      <c r="GK967" s="101">
        <f t="shared" si="498"/>
        <v>1</v>
      </c>
      <c r="GL967" s="101">
        <f t="shared" si="499"/>
        <v>0.1595</v>
      </c>
      <c r="GM967" s="101">
        <f t="shared" si="500"/>
        <v>1</v>
      </c>
      <c r="GN967" s="101">
        <f t="shared" si="501"/>
        <v>2</v>
      </c>
      <c r="GO967" s="101">
        <f t="shared" si="502"/>
        <v>0.63819999999999999</v>
      </c>
      <c r="GP967" s="101">
        <f t="shared" si="503"/>
        <v>1</v>
      </c>
      <c r="GQ967" s="101">
        <f t="shared" si="504"/>
        <v>5</v>
      </c>
    </row>
    <row r="968" spans="175:199" ht="16.5" x14ac:dyDescent="0.2">
      <c r="FS968" s="101">
        <v>963</v>
      </c>
      <c r="FT968" s="101">
        <f t="shared" si="489"/>
        <v>2</v>
      </c>
      <c r="FU968" s="101">
        <f t="shared" si="505"/>
        <v>13</v>
      </c>
      <c r="FV968" s="14">
        <f t="shared" si="506"/>
        <v>4</v>
      </c>
      <c r="FW968" s="101" t="str">
        <f t="shared" si="490"/>
        <v>西方龙专属武器-魂珠-1 2级</v>
      </c>
      <c r="FX968" s="101">
        <f t="shared" si="491"/>
        <v>1</v>
      </c>
      <c r="FY968" s="101">
        <f t="shared" si="492"/>
        <v>2</v>
      </c>
      <c r="FZ968" s="101" t="str">
        <f t="shared" si="507"/>
        <v>金币</v>
      </c>
      <c r="GA968" s="139">
        <f>IF($FY968&gt;0,IF(INDEX($EM$6:$EM$77,$FT968)&gt;=GA$3,ROUND(INDEX(EO$6:EO$77,$FT968)*INDEX(卡牌消耗!$B$8:$F$8,FV968)/5,0)*5,""),"")</f>
        <v>215</v>
      </c>
      <c r="GB968" s="101" t="str">
        <f t="shared" si="508"/>
        <v>专属强化石1</v>
      </c>
      <c r="GC968" s="101">
        <f t="shared" si="509"/>
        <v>2</v>
      </c>
      <c r="GD968" s="101" t="str">
        <f t="shared" si="510"/>
        <v/>
      </c>
      <c r="GE968" s="101" t="str">
        <f t="shared" si="511"/>
        <v/>
      </c>
      <c r="GF968" s="101">
        <f t="shared" si="493"/>
        <v>0.32</v>
      </c>
      <c r="GG968" s="101">
        <f t="shared" si="494"/>
        <v>1</v>
      </c>
      <c r="GH968" s="101">
        <f t="shared" si="495"/>
        <v>5</v>
      </c>
      <c r="GI968" s="101">
        <f t="shared" si="496"/>
        <v>0</v>
      </c>
      <c r="GJ968" s="101">
        <f t="shared" si="497"/>
        <v>1</v>
      </c>
      <c r="GK968" s="101">
        <f t="shared" si="498"/>
        <v>1</v>
      </c>
      <c r="GL968" s="101">
        <f t="shared" si="499"/>
        <v>0.1595</v>
      </c>
      <c r="GM968" s="101">
        <f t="shared" si="500"/>
        <v>1</v>
      </c>
      <c r="GN968" s="101">
        <f t="shared" si="501"/>
        <v>2</v>
      </c>
      <c r="GO968" s="101">
        <f t="shared" si="502"/>
        <v>0.63819999999999999</v>
      </c>
      <c r="GP968" s="101">
        <f t="shared" si="503"/>
        <v>1</v>
      </c>
      <c r="GQ968" s="101">
        <f t="shared" si="504"/>
        <v>5</v>
      </c>
    </row>
    <row r="969" spans="175:199" ht="16.5" x14ac:dyDescent="0.2">
      <c r="FS969" s="101">
        <v>964</v>
      </c>
      <c r="FT969" s="101">
        <f t="shared" si="489"/>
        <v>3</v>
      </c>
      <c r="FU969" s="101">
        <f t="shared" si="505"/>
        <v>13</v>
      </c>
      <c r="FV969" s="14">
        <f t="shared" si="506"/>
        <v>4</v>
      </c>
      <c r="FW969" s="101" t="str">
        <f t="shared" si="490"/>
        <v>西方龙专属武器-魂珠-1 3级</v>
      </c>
      <c r="FX969" s="101">
        <f t="shared" si="491"/>
        <v>1</v>
      </c>
      <c r="FY969" s="101">
        <f t="shared" si="492"/>
        <v>3</v>
      </c>
      <c r="FZ969" s="101" t="str">
        <f t="shared" si="507"/>
        <v>金币</v>
      </c>
      <c r="GA969" s="139">
        <f>IF($FY969&gt;0,IF(INDEX($EM$6:$EM$77,$FT969)&gt;=GA$3,ROUND(INDEX(EO$6:EO$77,$FT969)*INDEX(卡牌消耗!$B$8:$F$8,FV969)/5,0)*5,""),"")</f>
        <v>355</v>
      </c>
      <c r="GB969" s="101" t="str">
        <f t="shared" si="508"/>
        <v>专属强化石1</v>
      </c>
      <c r="GC969" s="101">
        <f t="shared" si="509"/>
        <v>3</v>
      </c>
      <c r="GD969" s="101" t="str">
        <f t="shared" si="510"/>
        <v/>
      </c>
      <c r="GE969" s="101" t="str">
        <f t="shared" si="511"/>
        <v/>
      </c>
      <c r="GF969" s="101">
        <f t="shared" si="493"/>
        <v>0.32</v>
      </c>
      <c r="GG969" s="101">
        <f t="shared" si="494"/>
        <v>1</v>
      </c>
      <c r="GH969" s="101">
        <f t="shared" si="495"/>
        <v>5</v>
      </c>
      <c r="GI969" s="101">
        <f t="shared" si="496"/>
        <v>0</v>
      </c>
      <c r="GJ969" s="101">
        <f t="shared" si="497"/>
        <v>1</v>
      </c>
      <c r="GK969" s="101">
        <f t="shared" si="498"/>
        <v>1</v>
      </c>
      <c r="GL969" s="101">
        <f t="shared" si="499"/>
        <v>0.1595</v>
      </c>
      <c r="GM969" s="101">
        <f t="shared" si="500"/>
        <v>1</v>
      </c>
      <c r="GN969" s="101">
        <f t="shared" si="501"/>
        <v>2</v>
      </c>
      <c r="GO969" s="101">
        <f t="shared" si="502"/>
        <v>0.63819999999999999</v>
      </c>
      <c r="GP969" s="101">
        <f t="shared" si="503"/>
        <v>1</v>
      </c>
      <c r="GQ969" s="101">
        <f t="shared" si="504"/>
        <v>5</v>
      </c>
    </row>
    <row r="970" spans="175:199" ht="16.5" x14ac:dyDescent="0.2">
      <c r="FS970" s="101">
        <v>965</v>
      </c>
      <c r="FT970" s="101">
        <f t="shared" si="489"/>
        <v>4</v>
      </c>
      <c r="FU970" s="101">
        <f t="shared" si="505"/>
        <v>13</v>
      </c>
      <c r="FV970" s="14">
        <f t="shared" si="506"/>
        <v>4</v>
      </c>
      <c r="FW970" s="101" t="str">
        <f t="shared" si="490"/>
        <v>西方龙专属武器-魂珠-1 4级</v>
      </c>
      <c r="FX970" s="101">
        <f t="shared" si="491"/>
        <v>1</v>
      </c>
      <c r="FY970" s="101">
        <f t="shared" si="492"/>
        <v>4</v>
      </c>
      <c r="FZ970" s="101" t="str">
        <f t="shared" si="507"/>
        <v>金币</v>
      </c>
      <c r="GA970" s="139">
        <f>IF($FY970&gt;0,IF(INDEX($EM$6:$EM$77,$FT970)&gt;=GA$3,ROUND(INDEX(EO$6:EO$77,$FT970)*INDEX(卡牌消耗!$B$8:$F$8,FV970)/5,0)*5,""),"")</f>
        <v>455</v>
      </c>
      <c r="GB970" s="101" t="str">
        <f t="shared" si="508"/>
        <v>专属强化石1</v>
      </c>
      <c r="GC970" s="101">
        <f t="shared" si="509"/>
        <v>4</v>
      </c>
      <c r="GD970" s="101" t="str">
        <f t="shared" si="510"/>
        <v/>
      </c>
      <c r="GE970" s="101" t="str">
        <f t="shared" si="511"/>
        <v/>
      </c>
      <c r="GF970" s="101">
        <f t="shared" si="493"/>
        <v>0.26</v>
      </c>
      <c r="GG970" s="101">
        <f t="shared" si="494"/>
        <v>1</v>
      </c>
      <c r="GH970" s="101">
        <f t="shared" si="495"/>
        <v>6</v>
      </c>
      <c r="GI970" s="101">
        <f t="shared" si="496"/>
        <v>0</v>
      </c>
      <c r="GJ970" s="101">
        <f t="shared" si="497"/>
        <v>1</v>
      </c>
      <c r="GK970" s="101">
        <f t="shared" si="498"/>
        <v>1</v>
      </c>
      <c r="GL970" s="101">
        <f t="shared" si="499"/>
        <v>0.12759999999999999</v>
      </c>
      <c r="GM970" s="101">
        <f t="shared" si="500"/>
        <v>1</v>
      </c>
      <c r="GN970" s="101">
        <f t="shared" si="501"/>
        <v>3</v>
      </c>
      <c r="GO970" s="101">
        <f t="shared" si="502"/>
        <v>0.51060000000000005</v>
      </c>
      <c r="GP970" s="101">
        <f t="shared" si="503"/>
        <v>1</v>
      </c>
      <c r="GQ970" s="101">
        <f t="shared" si="504"/>
        <v>6</v>
      </c>
    </row>
    <row r="971" spans="175:199" ht="16.5" x14ac:dyDescent="0.2">
      <c r="FS971" s="101">
        <v>966</v>
      </c>
      <c r="FT971" s="101">
        <f t="shared" si="489"/>
        <v>5</v>
      </c>
      <c r="FU971" s="101">
        <f t="shared" si="505"/>
        <v>13</v>
      </c>
      <c r="FV971" s="14">
        <f t="shared" si="506"/>
        <v>4</v>
      </c>
      <c r="FW971" s="101" t="str">
        <f t="shared" si="490"/>
        <v>西方龙专属武器-魂珠-1 5级</v>
      </c>
      <c r="FX971" s="101">
        <f t="shared" si="491"/>
        <v>1</v>
      </c>
      <c r="FY971" s="101">
        <f t="shared" si="492"/>
        <v>5</v>
      </c>
      <c r="FZ971" s="101" t="str">
        <f t="shared" si="507"/>
        <v>金币</v>
      </c>
      <c r="GA971" s="139">
        <f>IF($FY971&gt;0,IF(INDEX($EM$6:$EM$77,$FT971)&gt;=GA$3,ROUND(INDEX(EO$6:EO$77,$FT971)*INDEX(卡牌消耗!$B$8:$F$8,FV971)/5,0)*5,""),"")</f>
        <v>580</v>
      </c>
      <c r="GB971" s="101" t="str">
        <f t="shared" si="508"/>
        <v>专属强化石1</v>
      </c>
      <c r="GC971" s="101">
        <f t="shared" si="509"/>
        <v>5</v>
      </c>
      <c r="GD971" s="101" t="str">
        <f t="shared" si="510"/>
        <v/>
      </c>
      <c r="GE971" s="101" t="str">
        <f t="shared" si="511"/>
        <v/>
      </c>
      <c r="GF971" s="101">
        <f t="shared" si="493"/>
        <v>0.2</v>
      </c>
      <c r="GG971" s="101">
        <f t="shared" si="494"/>
        <v>1</v>
      </c>
      <c r="GH971" s="101">
        <f t="shared" si="495"/>
        <v>8</v>
      </c>
      <c r="GI971" s="101">
        <f t="shared" si="496"/>
        <v>0</v>
      </c>
      <c r="GJ971" s="101">
        <f t="shared" si="497"/>
        <v>1</v>
      </c>
      <c r="GK971" s="101">
        <f t="shared" si="498"/>
        <v>2</v>
      </c>
      <c r="GL971" s="101">
        <f t="shared" si="499"/>
        <v>9.9699999999999997E-2</v>
      </c>
      <c r="GM971" s="101">
        <f t="shared" si="500"/>
        <v>1</v>
      </c>
      <c r="GN971" s="101">
        <f t="shared" si="501"/>
        <v>4</v>
      </c>
      <c r="GO971" s="101">
        <f t="shared" si="502"/>
        <v>0.39889999999999998</v>
      </c>
      <c r="GP971" s="101">
        <f t="shared" si="503"/>
        <v>1</v>
      </c>
      <c r="GQ971" s="101">
        <f t="shared" si="504"/>
        <v>8</v>
      </c>
    </row>
    <row r="972" spans="175:199" ht="16.5" x14ac:dyDescent="0.2">
      <c r="FS972" s="101">
        <v>967</v>
      </c>
      <c r="FT972" s="101">
        <f t="shared" si="489"/>
        <v>6</v>
      </c>
      <c r="FU972" s="101">
        <f t="shared" si="505"/>
        <v>13</v>
      </c>
      <c r="FV972" s="14">
        <f t="shared" si="506"/>
        <v>4</v>
      </c>
      <c r="FW972" s="101" t="str">
        <f t="shared" si="490"/>
        <v>西方龙专属武器-魂珠-1 6级</v>
      </c>
      <c r="FX972" s="101">
        <f t="shared" si="491"/>
        <v>1</v>
      </c>
      <c r="FY972" s="101">
        <f t="shared" si="492"/>
        <v>6</v>
      </c>
      <c r="FZ972" s="101" t="str">
        <f t="shared" si="507"/>
        <v>金币</v>
      </c>
      <c r="GA972" s="139">
        <f>IF($FY972&gt;0,IF(INDEX($EM$6:$EM$77,$FT972)&gt;=GA$3,ROUND(INDEX(EO$6:EO$77,$FT972)*INDEX(卡牌消耗!$B$8:$F$8,FV972)/5,0)*5,""),"")</f>
        <v>690</v>
      </c>
      <c r="GB972" s="101" t="str">
        <f t="shared" si="508"/>
        <v>专属强化石1</v>
      </c>
      <c r="GC972" s="101">
        <f t="shared" si="509"/>
        <v>6</v>
      </c>
      <c r="GD972" s="101" t="str">
        <f t="shared" si="510"/>
        <v/>
      </c>
      <c r="GE972" s="101" t="str">
        <f t="shared" si="511"/>
        <v/>
      </c>
      <c r="GF972" s="101">
        <f t="shared" si="493"/>
        <v>0.15</v>
      </c>
      <c r="GG972" s="101">
        <f t="shared" si="494"/>
        <v>1</v>
      </c>
      <c r="GH972" s="101">
        <f t="shared" si="495"/>
        <v>10</v>
      </c>
      <c r="GI972" s="101">
        <f t="shared" si="496"/>
        <v>0</v>
      </c>
      <c r="GJ972" s="101">
        <f t="shared" si="497"/>
        <v>1</v>
      </c>
      <c r="GK972" s="101">
        <f t="shared" si="498"/>
        <v>2</v>
      </c>
      <c r="GL972" s="101">
        <f t="shared" si="499"/>
        <v>7.3599999999999999E-2</v>
      </c>
      <c r="GM972" s="101">
        <f t="shared" si="500"/>
        <v>1</v>
      </c>
      <c r="GN972" s="101">
        <f t="shared" si="501"/>
        <v>5</v>
      </c>
      <c r="GO972" s="101">
        <f t="shared" si="502"/>
        <v>0.29459999999999997</v>
      </c>
      <c r="GP972" s="101">
        <f t="shared" si="503"/>
        <v>1</v>
      </c>
      <c r="GQ972" s="101">
        <f t="shared" si="504"/>
        <v>10</v>
      </c>
    </row>
    <row r="973" spans="175:199" ht="16.5" x14ac:dyDescent="0.2">
      <c r="FS973" s="101">
        <v>968</v>
      </c>
      <c r="FT973" s="101">
        <f t="shared" si="489"/>
        <v>7</v>
      </c>
      <c r="FU973" s="101">
        <f t="shared" si="505"/>
        <v>13</v>
      </c>
      <c r="FV973" s="14">
        <f t="shared" si="506"/>
        <v>4</v>
      </c>
      <c r="FW973" s="101" t="str">
        <f t="shared" si="490"/>
        <v>西方龙专属武器-魂珠-1 7级</v>
      </c>
      <c r="FX973" s="101">
        <f t="shared" si="491"/>
        <v>1</v>
      </c>
      <c r="FY973" s="101">
        <f t="shared" si="492"/>
        <v>7</v>
      </c>
      <c r="FZ973" s="101" t="str">
        <f t="shared" si="507"/>
        <v>金币</v>
      </c>
      <c r="GA973" s="139">
        <f>IF($FY973&gt;0,IF(INDEX($EM$6:$EM$77,$FT973)&gt;=GA$3,ROUND(INDEX(EO$6:EO$77,$FT973)*INDEX(卡牌消耗!$B$8:$F$8,FV973)/5,0)*5,""),"")</f>
        <v>805</v>
      </c>
      <c r="GB973" s="101" t="str">
        <f t="shared" si="508"/>
        <v>专属强化石1</v>
      </c>
      <c r="GC973" s="101">
        <f t="shared" si="509"/>
        <v>7</v>
      </c>
      <c r="GD973" s="101" t="str">
        <f t="shared" si="510"/>
        <v/>
      </c>
      <c r="GE973" s="101" t="str">
        <f t="shared" si="511"/>
        <v/>
      </c>
      <c r="GF973" s="101">
        <f t="shared" si="493"/>
        <v>0.11</v>
      </c>
      <c r="GG973" s="101">
        <f t="shared" si="494"/>
        <v>1</v>
      </c>
      <c r="GH973" s="101">
        <f t="shared" si="495"/>
        <v>14</v>
      </c>
      <c r="GI973" s="101">
        <f t="shared" si="496"/>
        <v>0</v>
      </c>
      <c r="GJ973" s="101">
        <f t="shared" si="497"/>
        <v>1</v>
      </c>
      <c r="GK973" s="101">
        <f t="shared" si="498"/>
        <v>3</v>
      </c>
      <c r="GL973" s="101">
        <f t="shared" si="499"/>
        <v>5.3199999999999997E-2</v>
      </c>
      <c r="GM973" s="101">
        <f t="shared" si="500"/>
        <v>1</v>
      </c>
      <c r="GN973" s="101">
        <f t="shared" si="501"/>
        <v>7</v>
      </c>
      <c r="GO973" s="101">
        <f t="shared" si="502"/>
        <v>0.2127</v>
      </c>
      <c r="GP973" s="101">
        <f t="shared" si="503"/>
        <v>1</v>
      </c>
      <c r="GQ973" s="101">
        <f t="shared" si="504"/>
        <v>14</v>
      </c>
    </row>
    <row r="974" spans="175:199" ht="16.5" x14ac:dyDescent="0.2">
      <c r="FS974" s="101">
        <v>969</v>
      </c>
      <c r="FT974" s="101">
        <f t="shared" si="489"/>
        <v>8</v>
      </c>
      <c r="FU974" s="101">
        <f t="shared" si="505"/>
        <v>13</v>
      </c>
      <c r="FV974" s="14">
        <f t="shared" si="506"/>
        <v>4</v>
      </c>
      <c r="FW974" s="101" t="str">
        <f t="shared" si="490"/>
        <v>西方龙专属武器-魂珠-1 8级</v>
      </c>
      <c r="FX974" s="101">
        <f t="shared" si="491"/>
        <v>1</v>
      </c>
      <c r="FY974" s="101">
        <f t="shared" si="492"/>
        <v>8</v>
      </c>
      <c r="FZ974" s="101" t="str">
        <f t="shared" si="507"/>
        <v>金币</v>
      </c>
      <c r="GA974" s="139">
        <f>IF($FY974&gt;0,IF(INDEX($EM$6:$EM$77,$FT974)&gt;=GA$3,ROUND(INDEX(EO$6:EO$77,$FT974)*INDEX(卡牌消耗!$B$8:$F$8,FV974)/5,0)*5,""),"")</f>
        <v>920</v>
      </c>
      <c r="GB974" s="101" t="str">
        <f t="shared" si="508"/>
        <v>专属强化石1</v>
      </c>
      <c r="GC974" s="101">
        <f t="shared" si="509"/>
        <v>8</v>
      </c>
      <c r="GD974" s="101" t="str">
        <f t="shared" si="510"/>
        <v/>
      </c>
      <c r="GE974" s="101" t="str">
        <f t="shared" si="511"/>
        <v/>
      </c>
      <c r="GF974" s="101">
        <f t="shared" si="493"/>
        <v>0.08</v>
      </c>
      <c r="GG974" s="101">
        <f t="shared" si="494"/>
        <v>1</v>
      </c>
      <c r="GH974" s="101">
        <f t="shared" si="495"/>
        <v>20</v>
      </c>
      <c r="GI974" s="101">
        <f t="shared" si="496"/>
        <v>0</v>
      </c>
      <c r="GJ974" s="101">
        <f t="shared" si="497"/>
        <v>1</v>
      </c>
      <c r="GK974" s="101">
        <f t="shared" si="498"/>
        <v>5</v>
      </c>
      <c r="GL974" s="101">
        <f t="shared" si="499"/>
        <v>3.7499999999999999E-2</v>
      </c>
      <c r="GM974" s="101">
        <f t="shared" si="500"/>
        <v>1</v>
      </c>
      <c r="GN974" s="101">
        <f t="shared" si="501"/>
        <v>9</v>
      </c>
      <c r="GO974" s="101">
        <f t="shared" si="502"/>
        <v>0.1502</v>
      </c>
      <c r="GP974" s="101">
        <f t="shared" si="503"/>
        <v>1</v>
      </c>
      <c r="GQ974" s="101">
        <f t="shared" si="504"/>
        <v>20</v>
      </c>
    </row>
    <row r="975" spans="175:199" ht="16.5" x14ac:dyDescent="0.2">
      <c r="FS975" s="101">
        <v>970</v>
      </c>
      <c r="FT975" s="101">
        <f t="shared" si="489"/>
        <v>9</v>
      </c>
      <c r="FU975" s="101">
        <f t="shared" si="505"/>
        <v>13</v>
      </c>
      <c r="FV975" s="14">
        <f t="shared" si="506"/>
        <v>4</v>
      </c>
      <c r="FW975" s="101" t="str">
        <f t="shared" si="490"/>
        <v>西方龙专属武器-魂珠-1 9级</v>
      </c>
      <c r="FX975" s="101">
        <f t="shared" si="491"/>
        <v>1</v>
      </c>
      <c r="FY975" s="101">
        <f t="shared" si="492"/>
        <v>9</v>
      </c>
      <c r="FZ975" s="101" t="str">
        <f t="shared" si="507"/>
        <v>金币</v>
      </c>
      <c r="GA975" s="139">
        <f>IF($FY975&gt;0,IF(INDEX($EM$6:$EM$77,$FT975)&gt;=GA$3,ROUND(INDEX(EO$6:EO$77,$FT975)*INDEX(卡牌消耗!$B$8:$F$8,FV975)/5,0)*5,""),"")</f>
        <v>1150</v>
      </c>
      <c r="GB975" s="101" t="str">
        <f t="shared" si="508"/>
        <v>专属强化石1</v>
      </c>
      <c r="GC975" s="101">
        <f t="shared" si="509"/>
        <v>10</v>
      </c>
      <c r="GD975" s="101" t="str">
        <f t="shared" si="510"/>
        <v/>
      </c>
      <c r="GE975" s="101" t="str">
        <f t="shared" si="511"/>
        <v/>
      </c>
      <c r="GF975" s="101">
        <f t="shared" si="493"/>
        <v>0.06</v>
      </c>
      <c r="GG975" s="101">
        <f t="shared" si="494"/>
        <v>1</v>
      </c>
      <c r="GH975" s="101">
        <f t="shared" si="495"/>
        <v>26</v>
      </c>
      <c r="GI975" s="101">
        <f t="shared" si="496"/>
        <v>0</v>
      </c>
      <c r="GJ975" s="101">
        <f t="shared" si="497"/>
        <v>1</v>
      </c>
      <c r="GK975" s="101">
        <f t="shared" si="498"/>
        <v>6</v>
      </c>
      <c r="GL975" s="101">
        <f t="shared" si="499"/>
        <v>2.9000000000000001E-2</v>
      </c>
      <c r="GM975" s="101">
        <f t="shared" si="500"/>
        <v>1</v>
      </c>
      <c r="GN975" s="101">
        <f t="shared" si="501"/>
        <v>12</v>
      </c>
      <c r="GO975" s="101">
        <f t="shared" si="502"/>
        <v>0.11600000000000001</v>
      </c>
      <c r="GP975" s="101">
        <f t="shared" si="503"/>
        <v>1</v>
      </c>
      <c r="GQ975" s="101">
        <f t="shared" si="504"/>
        <v>26</v>
      </c>
    </row>
    <row r="976" spans="175:199" ht="16.5" x14ac:dyDescent="0.2">
      <c r="FS976" s="101">
        <v>971</v>
      </c>
      <c r="FT976" s="101">
        <f t="shared" si="489"/>
        <v>0</v>
      </c>
      <c r="FU976" s="101">
        <f t="shared" si="505"/>
        <v>13</v>
      </c>
      <c r="FV976" s="14">
        <f t="shared" si="506"/>
        <v>4</v>
      </c>
      <c r="FW976" s="101" t="str">
        <f t="shared" si="490"/>
        <v>西方龙专属武器-魂珠-2 0级</v>
      </c>
      <c r="FX976" s="101">
        <f t="shared" si="491"/>
        <v>2</v>
      </c>
      <c r="FY976" s="101">
        <f t="shared" si="492"/>
        <v>0</v>
      </c>
      <c r="FZ976" s="101" t="str">
        <f t="shared" si="507"/>
        <v/>
      </c>
      <c r="GA976" s="139" t="str">
        <f>IF($FY976&gt;0,IF(INDEX($EM$6:$EM$77,$FT976)&gt;=GA$3,ROUND(INDEX(EO$6:EO$77,$FT976)*INDEX(卡牌消耗!$B$8:$F$8,FV976)/5,0)*5,""),"")</f>
        <v/>
      </c>
      <c r="GB976" s="101" t="str">
        <f t="shared" si="508"/>
        <v/>
      </c>
      <c r="GC976" s="101" t="str">
        <f t="shared" si="509"/>
        <v/>
      </c>
      <c r="GD976" s="101" t="str">
        <f t="shared" si="510"/>
        <v/>
      </c>
      <c r="GE976" s="101" t="str">
        <f t="shared" si="511"/>
        <v/>
      </c>
      <c r="GF976" s="101" t="str">
        <f t="shared" si="493"/>
        <v/>
      </c>
      <c r="GG976" s="101" t="str">
        <f t="shared" si="494"/>
        <v/>
      </c>
      <c r="GH976" s="101" t="str">
        <f t="shared" si="495"/>
        <v/>
      </c>
      <c r="GI976" s="101" t="str">
        <f t="shared" si="496"/>
        <v/>
      </c>
      <c r="GJ976" s="101" t="str">
        <f t="shared" si="497"/>
        <v/>
      </c>
      <c r="GK976" s="101" t="str">
        <f t="shared" si="498"/>
        <v/>
      </c>
      <c r="GL976" s="101" t="str">
        <f t="shared" si="499"/>
        <v/>
      </c>
      <c r="GM976" s="101" t="str">
        <f t="shared" si="500"/>
        <v/>
      </c>
      <c r="GN976" s="101" t="str">
        <f t="shared" si="501"/>
        <v/>
      </c>
      <c r="GO976" s="101" t="str">
        <f t="shared" si="502"/>
        <v/>
      </c>
      <c r="GP976" s="101" t="str">
        <f t="shared" si="503"/>
        <v/>
      </c>
      <c r="GQ976" s="101" t="str">
        <f t="shared" si="504"/>
        <v/>
      </c>
    </row>
    <row r="977" spans="175:199" ht="16.5" x14ac:dyDescent="0.2">
      <c r="FS977" s="101">
        <v>972</v>
      </c>
      <c r="FT977" s="101">
        <f t="shared" si="489"/>
        <v>10</v>
      </c>
      <c r="FU977" s="101">
        <f t="shared" si="505"/>
        <v>13</v>
      </c>
      <c r="FV977" s="14">
        <f t="shared" si="506"/>
        <v>4</v>
      </c>
      <c r="FW977" s="101" t="str">
        <f t="shared" si="490"/>
        <v>西方龙专属武器-魂珠-2 1级</v>
      </c>
      <c r="FX977" s="101">
        <f t="shared" si="491"/>
        <v>2</v>
      </c>
      <c r="FY977" s="101">
        <f t="shared" si="492"/>
        <v>1</v>
      </c>
      <c r="FZ977" s="101" t="str">
        <f t="shared" si="507"/>
        <v>金币</v>
      </c>
      <c r="GA977" s="139">
        <f>IF($FY977&gt;0,IF(INDEX($EM$6:$EM$77,$FT977)&gt;=GA$3,ROUND(INDEX(EO$6:EO$77,$FT977)*INDEX(卡牌消耗!$B$8:$F$8,FV977)/5,0)*5,""),"")</f>
        <v>395</v>
      </c>
      <c r="GB977" s="101" t="str">
        <f t="shared" si="508"/>
        <v>专属强化石1</v>
      </c>
      <c r="GC977" s="101">
        <f t="shared" si="509"/>
        <v>3</v>
      </c>
      <c r="GD977" s="101" t="str">
        <f t="shared" si="510"/>
        <v>专属强化石2</v>
      </c>
      <c r="GE977" s="101">
        <f t="shared" si="511"/>
        <v>1</v>
      </c>
      <c r="GF977" s="101">
        <f t="shared" si="493"/>
        <v>0.39</v>
      </c>
      <c r="GG977" s="101">
        <f t="shared" si="494"/>
        <v>1</v>
      </c>
      <c r="GH977" s="101">
        <f t="shared" si="495"/>
        <v>4</v>
      </c>
      <c r="GI977" s="101">
        <f t="shared" si="496"/>
        <v>0</v>
      </c>
      <c r="GJ977" s="101">
        <f t="shared" si="497"/>
        <v>1</v>
      </c>
      <c r="GK977" s="101">
        <f t="shared" si="498"/>
        <v>1</v>
      </c>
      <c r="GL977" s="101">
        <f t="shared" si="499"/>
        <v>0.19270000000000001</v>
      </c>
      <c r="GM977" s="101">
        <f t="shared" si="500"/>
        <v>1</v>
      </c>
      <c r="GN977" s="101">
        <f t="shared" si="501"/>
        <v>2</v>
      </c>
      <c r="GO977" s="101">
        <f t="shared" si="502"/>
        <v>0.77070000000000005</v>
      </c>
      <c r="GP977" s="101">
        <f t="shared" si="503"/>
        <v>1</v>
      </c>
      <c r="GQ977" s="101">
        <f t="shared" si="504"/>
        <v>4</v>
      </c>
    </row>
    <row r="978" spans="175:199" ht="16.5" x14ac:dyDescent="0.2">
      <c r="FS978" s="101">
        <v>973</v>
      </c>
      <c r="FT978" s="101">
        <f t="shared" si="489"/>
        <v>11</v>
      </c>
      <c r="FU978" s="101">
        <f t="shared" si="505"/>
        <v>13</v>
      </c>
      <c r="FV978" s="14">
        <f t="shared" si="506"/>
        <v>4</v>
      </c>
      <c r="FW978" s="101" t="str">
        <f t="shared" si="490"/>
        <v>西方龙专属武器-魂珠-2 2级</v>
      </c>
      <c r="FX978" s="101">
        <f t="shared" si="491"/>
        <v>2</v>
      </c>
      <c r="FY978" s="101">
        <f t="shared" si="492"/>
        <v>2</v>
      </c>
      <c r="FZ978" s="101" t="str">
        <f t="shared" si="507"/>
        <v>金币</v>
      </c>
      <c r="GA978" s="139">
        <f>IF($FY978&gt;0,IF(INDEX($EM$6:$EM$77,$FT978)&gt;=GA$3,ROUND(INDEX(EO$6:EO$77,$FT978)*INDEX(卡牌消耗!$B$8:$F$8,FV978)/5,0)*5,""),"")</f>
        <v>295</v>
      </c>
      <c r="GB978" s="101" t="str">
        <f t="shared" si="508"/>
        <v>专属强化石1</v>
      </c>
      <c r="GC978" s="101">
        <f t="shared" si="509"/>
        <v>3</v>
      </c>
      <c r="GD978" s="101" t="str">
        <f t="shared" si="510"/>
        <v>专属强化石2</v>
      </c>
      <c r="GE978" s="101">
        <f t="shared" si="511"/>
        <v>1</v>
      </c>
      <c r="GF978" s="101">
        <f t="shared" si="493"/>
        <v>0.19</v>
      </c>
      <c r="GG978" s="101">
        <f t="shared" si="494"/>
        <v>1</v>
      </c>
      <c r="GH978" s="101">
        <f t="shared" si="495"/>
        <v>8</v>
      </c>
      <c r="GI978" s="101">
        <f t="shared" si="496"/>
        <v>0</v>
      </c>
      <c r="GJ978" s="101">
        <f t="shared" si="497"/>
        <v>1</v>
      </c>
      <c r="GK978" s="101">
        <f t="shared" si="498"/>
        <v>2</v>
      </c>
      <c r="GL978" s="101">
        <f t="shared" si="499"/>
        <v>9.6299999999999997E-2</v>
      </c>
      <c r="GM978" s="101">
        <f t="shared" si="500"/>
        <v>1</v>
      </c>
      <c r="GN978" s="101">
        <f t="shared" si="501"/>
        <v>4</v>
      </c>
      <c r="GO978" s="101">
        <f t="shared" si="502"/>
        <v>0.38529999999999998</v>
      </c>
      <c r="GP978" s="101">
        <f t="shared" si="503"/>
        <v>1</v>
      </c>
      <c r="GQ978" s="101">
        <f t="shared" si="504"/>
        <v>8</v>
      </c>
    </row>
    <row r="979" spans="175:199" ht="16.5" x14ac:dyDescent="0.2">
      <c r="FS979" s="101">
        <v>974</v>
      </c>
      <c r="FT979" s="101">
        <f t="shared" si="489"/>
        <v>12</v>
      </c>
      <c r="FU979" s="101">
        <f t="shared" si="505"/>
        <v>13</v>
      </c>
      <c r="FV979" s="14">
        <f t="shared" si="506"/>
        <v>4</v>
      </c>
      <c r="FW979" s="101" t="str">
        <f t="shared" si="490"/>
        <v>西方龙专属武器-魂珠-2 3级</v>
      </c>
      <c r="FX979" s="101">
        <f t="shared" si="491"/>
        <v>2</v>
      </c>
      <c r="FY979" s="101">
        <f t="shared" si="492"/>
        <v>3</v>
      </c>
      <c r="FZ979" s="101" t="str">
        <f t="shared" si="507"/>
        <v>金币</v>
      </c>
      <c r="GA979" s="139">
        <f>IF($FY979&gt;0,IF(INDEX($EM$6:$EM$77,$FT979)&gt;=GA$3,ROUND(INDEX(EO$6:EO$77,$FT979)*INDEX(卡牌消耗!$B$8:$F$8,FV979)/5,0)*5,""),"")</f>
        <v>655</v>
      </c>
      <c r="GB979" s="101" t="str">
        <f t="shared" si="508"/>
        <v>专属强化石1</v>
      </c>
      <c r="GC979" s="101">
        <f t="shared" si="509"/>
        <v>6</v>
      </c>
      <c r="GD979" s="101" t="str">
        <f t="shared" si="510"/>
        <v>专属强化石2</v>
      </c>
      <c r="GE979" s="101">
        <f t="shared" si="511"/>
        <v>2</v>
      </c>
      <c r="GF979" s="101">
        <f t="shared" si="493"/>
        <v>0.26</v>
      </c>
      <c r="GG979" s="101">
        <f t="shared" si="494"/>
        <v>1</v>
      </c>
      <c r="GH979" s="101">
        <f t="shared" si="495"/>
        <v>6</v>
      </c>
      <c r="GI979" s="101">
        <f t="shared" si="496"/>
        <v>0</v>
      </c>
      <c r="GJ979" s="101">
        <f t="shared" si="497"/>
        <v>1</v>
      </c>
      <c r="GK979" s="101">
        <f t="shared" si="498"/>
        <v>1</v>
      </c>
      <c r="GL979" s="101">
        <f t="shared" si="499"/>
        <v>0.12839999999999999</v>
      </c>
      <c r="GM979" s="101">
        <f t="shared" si="500"/>
        <v>1</v>
      </c>
      <c r="GN979" s="101">
        <f t="shared" si="501"/>
        <v>3</v>
      </c>
      <c r="GO979" s="101">
        <f t="shared" si="502"/>
        <v>0.51380000000000003</v>
      </c>
      <c r="GP979" s="101">
        <f t="shared" si="503"/>
        <v>1</v>
      </c>
      <c r="GQ979" s="101">
        <f t="shared" si="504"/>
        <v>6</v>
      </c>
    </row>
    <row r="980" spans="175:199" ht="16.5" x14ac:dyDescent="0.2">
      <c r="FS980" s="101">
        <v>975</v>
      </c>
      <c r="FT980" s="101">
        <f t="shared" si="489"/>
        <v>13</v>
      </c>
      <c r="FU980" s="101">
        <f t="shared" si="505"/>
        <v>13</v>
      </c>
      <c r="FV980" s="14">
        <f t="shared" si="506"/>
        <v>4</v>
      </c>
      <c r="FW980" s="101" t="str">
        <f t="shared" si="490"/>
        <v>西方龙专属武器-魂珠-2 4级</v>
      </c>
      <c r="FX980" s="101">
        <f t="shared" si="491"/>
        <v>2</v>
      </c>
      <c r="FY980" s="101">
        <f t="shared" si="492"/>
        <v>4</v>
      </c>
      <c r="FZ980" s="101" t="str">
        <f t="shared" si="507"/>
        <v>金币</v>
      </c>
      <c r="GA980" s="139">
        <f>IF($FY980&gt;0,IF(INDEX($EM$6:$EM$77,$FT980)&gt;=GA$3,ROUND(INDEX(EO$6:EO$77,$FT980)*INDEX(卡牌消耗!$B$8:$F$8,FV980)/5,0)*5,""),"")</f>
        <v>625</v>
      </c>
      <c r="GB980" s="101" t="str">
        <f t="shared" si="508"/>
        <v>专属强化石1</v>
      </c>
      <c r="GC980" s="101">
        <f t="shared" si="509"/>
        <v>6</v>
      </c>
      <c r="GD980" s="101" t="str">
        <f t="shared" si="510"/>
        <v>专属强化石2</v>
      </c>
      <c r="GE980" s="101">
        <f t="shared" si="511"/>
        <v>2</v>
      </c>
      <c r="GF980" s="101">
        <f t="shared" si="493"/>
        <v>0.15</v>
      </c>
      <c r="GG980" s="101">
        <f t="shared" si="494"/>
        <v>1</v>
      </c>
      <c r="GH980" s="101">
        <f t="shared" si="495"/>
        <v>10</v>
      </c>
      <c r="GI980" s="101">
        <f t="shared" si="496"/>
        <v>0</v>
      </c>
      <c r="GJ980" s="101">
        <f t="shared" si="497"/>
        <v>1</v>
      </c>
      <c r="GK980" s="101">
        <f t="shared" si="498"/>
        <v>2</v>
      </c>
      <c r="GL980" s="101">
        <f t="shared" si="499"/>
        <v>7.7100000000000002E-2</v>
      </c>
      <c r="GM980" s="101">
        <f t="shared" si="500"/>
        <v>1</v>
      </c>
      <c r="GN980" s="101">
        <f t="shared" si="501"/>
        <v>5</v>
      </c>
      <c r="GO980" s="101">
        <f t="shared" si="502"/>
        <v>0.30830000000000002</v>
      </c>
      <c r="GP980" s="101">
        <f t="shared" si="503"/>
        <v>1</v>
      </c>
      <c r="GQ980" s="101">
        <f t="shared" si="504"/>
        <v>10</v>
      </c>
    </row>
    <row r="981" spans="175:199" ht="16.5" x14ac:dyDescent="0.2">
      <c r="FS981" s="101">
        <v>976</v>
      </c>
      <c r="FT981" s="101">
        <f t="shared" si="489"/>
        <v>14</v>
      </c>
      <c r="FU981" s="101">
        <f t="shared" si="505"/>
        <v>13</v>
      </c>
      <c r="FV981" s="14">
        <f t="shared" si="506"/>
        <v>4</v>
      </c>
      <c r="FW981" s="101" t="str">
        <f t="shared" si="490"/>
        <v>西方龙专属武器-魂珠-2 5级</v>
      </c>
      <c r="FX981" s="101">
        <f t="shared" si="491"/>
        <v>2</v>
      </c>
      <c r="FY981" s="101">
        <f t="shared" si="492"/>
        <v>5</v>
      </c>
      <c r="FZ981" s="101" t="str">
        <f t="shared" si="507"/>
        <v>金币</v>
      </c>
      <c r="GA981" s="139">
        <f>IF($FY981&gt;0,IF(INDEX($EM$6:$EM$77,$FT981)&gt;=GA$3,ROUND(INDEX(EO$6:EO$77,$FT981)*INDEX(卡牌消耗!$B$8:$F$8,FV981)/5,0)*5,""),"")</f>
        <v>955</v>
      </c>
      <c r="GB981" s="101" t="str">
        <f t="shared" si="508"/>
        <v>专属强化石1</v>
      </c>
      <c r="GC981" s="101">
        <f t="shared" si="509"/>
        <v>9</v>
      </c>
      <c r="GD981" s="101" t="str">
        <f t="shared" si="510"/>
        <v>专属强化石2</v>
      </c>
      <c r="GE981" s="101">
        <f t="shared" si="511"/>
        <v>3</v>
      </c>
      <c r="GF981" s="101">
        <f t="shared" si="493"/>
        <v>0.14000000000000001</v>
      </c>
      <c r="GG981" s="101">
        <f t="shared" si="494"/>
        <v>1</v>
      </c>
      <c r="GH981" s="101">
        <f t="shared" si="495"/>
        <v>10</v>
      </c>
      <c r="GI981" s="101">
        <f t="shared" si="496"/>
        <v>0</v>
      </c>
      <c r="GJ981" s="101">
        <f t="shared" si="497"/>
        <v>1</v>
      </c>
      <c r="GK981" s="101">
        <f t="shared" si="498"/>
        <v>2</v>
      </c>
      <c r="GL981" s="101">
        <f t="shared" si="499"/>
        <v>7.22E-2</v>
      </c>
      <c r="GM981" s="101">
        <f t="shared" si="500"/>
        <v>1</v>
      </c>
      <c r="GN981" s="101">
        <f t="shared" si="501"/>
        <v>5</v>
      </c>
      <c r="GO981" s="101">
        <f t="shared" si="502"/>
        <v>0.28899999999999998</v>
      </c>
      <c r="GP981" s="101">
        <f t="shared" si="503"/>
        <v>1</v>
      </c>
      <c r="GQ981" s="101">
        <f t="shared" si="504"/>
        <v>10</v>
      </c>
    </row>
    <row r="982" spans="175:199" ht="16.5" x14ac:dyDescent="0.2">
      <c r="FS982" s="101">
        <v>977</v>
      </c>
      <c r="FT982" s="101">
        <f t="shared" ref="FT982:FT1045" si="512">IF(FY982&gt;0,(FX982-1)*9+FY982,0)</f>
        <v>15</v>
      </c>
      <c r="FU982" s="101">
        <f t="shared" si="505"/>
        <v>13</v>
      </c>
      <c r="FV982" s="14">
        <f t="shared" si="506"/>
        <v>4</v>
      </c>
      <c r="FW982" s="101" t="str">
        <f t="shared" ref="FW982:FW1045" si="513">INDEX($FN$6:$FN$26,FU982)&amp;"专属武器-魂珠-"&amp;FX982&amp;" "&amp;FY982&amp;"级"</f>
        <v>西方龙专属武器-魂珠-2 6级</v>
      </c>
      <c r="FX982" s="101">
        <f t="shared" ref="FX982:FX1045" si="514">INT((FS982-(FU982-1)*80-1)/10)+1</f>
        <v>2</v>
      </c>
      <c r="FY982" s="101">
        <f t="shared" ref="FY982:FY1045" si="515">FS982-(FU982-1)*80-(FX982-1)*10-1</f>
        <v>6</v>
      </c>
      <c r="FZ982" s="101" t="str">
        <f t="shared" si="507"/>
        <v>金币</v>
      </c>
      <c r="GA982" s="139">
        <f>IF($FY982&gt;0,IF(INDEX($EM$6:$EM$77,$FT982)&gt;=GA$3,ROUND(INDEX(EO$6:EO$77,$FT982)*INDEX(卡牌消耗!$B$8:$F$8,FV982)/5,0)*5,""),"")</f>
        <v>1270</v>
      </c>
      <c r="GB982" s="101" t="str">
        <f t="shared" si="508"/>
        <v>专属强化石1</v>
      </c>
      <c r="GC982" s="101">
        <f t="shared" si="509"/>
        <v>12</v>
      </c>
      <c r="GD982" s="101" t="str">
        <f t="shared" si="510"/>
        <v>专属强化石2</v>
      </c>
      <c r="GE982" s="101">
        <f t="shared" si="511"/>
        <v>4</v>
      </c>
      <c r="GF982" s="101">
        <f t="shared" ref="GF982:GF1045" si="516">IF($FY982&gt;0,INDEX(ET$6:ET$77,$FT982),"")</f>
        <v>0.12</v>
      </c>
      <c r="GG982" s="101">
        <f t="shared" ref="GG982:GG1045" si="517">IF($FY982&gt;0,INDEX(EU$6:EU$77,$FT982),"")</f>
        <v>1</v>
      </c>
      <c r="GH982" s="101">
        <f t="shared" ref="GH982:GH1045" si="518">IF($FY982&gt;0,INDEX(EV$6:EV$77,$FT982),"")</f>
        <v>13</v>
      </c>
      <c r="GI982" s="101">
        <f t="shared" ref="GI982:GI1045" si="519">IF($FY982&gt;0,INDEX(FA$6:FA$77,$FT982),"")</f>
        <v>0</v>
      </c>
      <c r="GJ982" s="101">
        <f t="shared" ref="GJ982:GJ1045" si="520">IF($FY982&gt;0,INDEX(FB$6:FB$77,$FT982),"")</f>
        <v>1</v>
      </c>
      <c r="GK982" s="101">
        <f t="shared" ref="GK982:GK1045" si="521">IF($FY982&gt;0,INDEX(FC$6:FC$77,$FT982),"")</f>
        <v>3</v>
      </c>
      <c r="GL982" s="101">
        <f t="shared" ref="GL982:GL1045" si="522">IF($FY982&gt;0,INDEX(FD$6:FD$77,$FT982),"")</f>
        <v>5.9299999999999999E-2</v>
      </c>
      <c r="GM982" s="101">
        <f t="shared" ref="GM982:GM1045" si="523">IF($FY982&gt;0,INDEX(FE$6:FE$77,$FT982),"")</f>
        <v>1</v>
      </c>
      <c r="GN982" s="101">
        <f t="shared" ref="GN982:GN1045" si="524">IF($FY982&gt;0,INDEX(FF$6:FF$77,$FT982),"")</f>
        <v>6</v>
      </c>
      <c r="GO982" s="101">
        <f t="shared" ref="GO982:GO1045" si="525">IF($FY982&gt;0,INDEX(FG$6:FG$77,$FT982),"")</f>
        <v>0.23710000000000001</v>
      </c>
      <c r="GP982" s="101">
        <f t="shared" ref="GP982:GP1045" si="526">IF($FY982&gt;0,INDEX(FH$6:FH$77,$FT982),"")</f>
        <v>1</v>
      </c>
      <c r="GQ982" s="101">
        <f t="shared" ref="GQ982:GQ1045" si="527">IF($FY982&gt;0,INDEX(FI$6:FI$77,$FT982),"")</f>
        <v>13</v>
      </c>
    </row>
    <row r="983" spans="175:199" ht="16.5" x14ac:dyDescent="0.2">
      <c r="FS983" s="101">
        <v>978</v>
      </c>
      <c r="FT983" s="101">
        <f t="shared" si="512"/>
        <v>16</v>
      </c>
      <c r="FU983" s="101">
        <f t="shared" si="505"/>
        <v>13</v>
      </c>
      <c r="FV983" s="14">
        <f t="shared" si="506"/>
        <v>4</v>
      </c>
      <c r="FW983" s="101" t="str">
        <f t="shared" si="513"/>
        <v>西方龙专属武器-魂珠-2 7级</v>
      </c>
      <c r="FX983" s="101">
        <f t="shared" si="514"/>
        <v>2</v>
      </c>
      <c r="FY983" s="101">
        <f t="shared" si="515"/>
        <v>7</v>
      </c>
      <c r="FZ983" s="101" t="str">
        <f t="shared" si="507"/>
        <v>金币</v>
      </c>
      <c r="GA983" s="139">
        <f>IF($FY983&gt;0,IF(INDEX($EM$6:$EM$77,$FT983)&gt;=GA$3,ROUND(INDEX(EO$6:EO$77,$FT983)*INDEX(卡牌消耗!$B$8:$F$8,FV983)/5,0)*5,""),"")</f>
        <v>1590</v>
      </c>
      <c r="GB983" s="101" t="str">
        <f t="shared" si="508"/>
        <v>专属强化石1</v>
      </c>
      <c r="GC983" s="101">
        <f t="shared" si="509"/>
        <v>15</v>
      </c>
      <c r="GD983" s="101" t="str">
        <f t="shared" si="510"/>
        <v>专属强化石2</v>
      </c>
      <c r="GE983" s="101">
        <f t="shared" si="511"/>
        <v>5</v>
      </c>
      <c r="GF983" s="101">
        <f t="shared" si="516"/>
        <v>0.09</v>
      </c>
      <c r="GG983" s="101">
        <f t="shared" si="517"/>
        <v>1</v>
      </c>
      <c r="GH983" s="101">
        <f t="shared" si="518"/>
        <v>16</v>
      </c>
      <c r="GI983" s="101">
        <f t="shared" si="519"/>
        <v>0</v>
      </c>
      <c r="GJ983" s="101">
        <f t="shared" si="520"/>
        <v>1</v>
      </c>
      <c r="GK983" s="101">
        <f t="shared" si="521"/>
        <v>4</v>
      </c>
      <c r="GL983" s="101">
        <f t="shared" si="522"/>
        <v>4.5900000000000003E-2</v>
      </c>
      <c r="GM983" s="101">
        <f t="shared" si="523"/>
        <v>1</v>
      </c>
      <c r="GN983" s="101">
        <f t="shared" si="524"/>
        <v>8</v>
      </c>
      <c r="GO983" s="101">
        <f t="shared" si="525"/>
        <v>0.1835</v>
      </c>
      <c r="GP983" s="101">
        <f t="shared" si="526"/>
        <v>1</v>
      </c>
      <c r="GQ983" s="101">
        <f t="shared" si="527"/>
        <v>16</v>
      </c>
    </row>
    <row r="984" spans="175:199" ht="16.5" x14ac:dyDescent="0.2">
      <c r="FS984" s="101">
        <v>979</v>
      </c>
      <c r="FT984" s="101">
        <f t="shared" si="512"/>
        <v>17</v>
      </c>
      <c r="FU984" s="101">
        <f t="shared" si="505"/>
        <v>13</v>
      </c>
      <c r="FV984" s="14">
        <f t="shared" si="506"/>
        <v>4</v>
      </c>
      <c r="FW984" s="101" t="str">
        <f t="shared" si="513"/>
        <v>西方龙专属武器-魂珠-2 8级</v>
      </c>
      <c r="FX984" s="101">
        <f t="shared" si="514"/>
        <v>2</v>
      </c>
      <c r="FY984" s="101">
        <f t="shared" si="515"/>
        <v>8</v>
      </c>
      <c r="FZ984" s="101" t="str">
        <f t="shared" si="507"/>
        <v>金币</v>
      </c>
      <c r="GA984" s="139">
        <f>IF($FY984&gt;0,IF(INDEX($EM$6:$EM$77,$FT984)&gt;=GA$3,ROUND(INDEX(EO$6:EO$77,$FT984)*INDEX(卡牌消耗!$B$8:$F$8,FV984)/5,0)*5,""),"")</f>
        <v>1905</v>
      </c>
      <c r="GB984" s="101" t="str">
        <f t="shared" si="508"/>
        <v>专属强化石1</v>
      </c>
      <c r="GC984" s="101">
        <f t="shared" si="509"/>
        <v>18</v>
      </c>
      <c r="GD984" s="101" t="str">
        <f t="shared" si="510"/>
        <v>专属强化石2</v>
      </c>
      <c r="GE984" s="101">
        <f t="shared" si="511"/>
        <v>6</v>
      </c>
      <c r="GF984" s="101">
        <f t="shared" si="516"/>
        <v>7.0000000000000007E-2</v>
      </c>
      <c r="GG984" s="101">
        <f t="shared" si="517"/>
        <v>1</v>
      </c>
      <c r="GH984" s="101">
        <f t="shared" si="518"/>
        <v>22</v>
      </c>
      <c r="GI984" s="101">
        <f t="shared" si="519"/>
        <v>0</v>
      </c>
      <c r="GJ984" s="101">
        <f t="shared" si="520"/>
        <v>1</v>
      </c>
      <c r="GK984" s="101">
        <f t="shared" si="521"/>
        <v>5</v>
      </c>
      <c r="GL984" s="101">
        <f t="shared" si="522"/>
        <v>3.4000000000000002E-2</v>
      </c>
      <c r="GM984" s="101">
        <f t="shared" si="523"/>
        <v>1</v>
      </c>
      <c r="GN984" s="101">
        <f t="shared" si="524"/>
        <v>10</v>
      </c>
      <c r="GO984" s="101">
        <f t="shared" si="525"/>
        <v>0.13600000000000001</v>
      </c>
      <c r="GP984" s="101">
        <f t="shared" si="526"/>
        <v>1</v>
      </c>
      <c r="GQ984" s="101">
        <f t="shared" si="527"/>
        <v>22</v>
      </c>
    </row>
    <row r="985" spans="175:199" ht="16.5" x14ac:dyDescent="0.2">
      <c r="FS985" s="101">
        <v>980</v>
      </c>
      <c r="FT985" s="101">
        <f t="shared" si="512"/>
        <v>18</v>
      </c>
      <c r="FU985" s="101">
        <f t="shared" si="505"/>
        <v>13</v>
      </c>
      <c r="FV985" s="14">
        <f t="shared" si="506"/>
        <v>4</v>
      </c>
      <c r="FW985" s="101" t="str">
        <f t="shared" si="513"/>
        <v>西方龙专属武器-魂珠-2 9级</v>
      </c>
      <c r="FX985" s="101">
        <f t="shared" si="514"/>
        <v>2</v>
      </c>
      <c r="FY985" s="101">
        <f t="shared" si="515"/>
        <v>9</v>
      </c>
      <c r="FZ985" s="101" t="str">
        <f t="shared" si="507"/>
        <v>金币</v>
      </c>
      <c r="GA985" s="139">
        <f>IF($FY985&gt;0,IF(INDEX($EM$6:$EM$77,$FT985)&gt;=GA$3,ROUND(INDEX(EO$6:EO$77,$FT985)*INDEX(卡牌消耗!$B$8:$F$8,FV985)/5,0)*5,""),"")</f>
        <v>2540</v>
      </c>
      <c r="GB985" s="101" t="str">
        <f t="shared" si="508"/>
        <v>专属强化石1</v>
      </c>
      <c r="GC985" s="101">
        <f t="shared" si="509"/>
        <v>24</v>
      </c>
      <c r="GD985" s="101" t="str">
        <f t="shared" si="510"/>
        <v>专属强化石2</v>
      </c>
      <c r="GE985" s="101">
        <f t="shared" si="511"/>
        <v>8</v>
      </c>
      <c r="GF985" s="101">
        <f t="shared" si="516"/>
        <v>0.06</v>
      </c>
      <c r="GG985" s="101">
        <f t="shared" si="517"/>
        <v>1</v>
      </c>
      <c r="GH985" s="101">
        <f t="shared" si="518"/>
        <v>27</v>
      </c>
      <c r="GI985" s="101">
        <f t="shared" si="519"/>
        <v>0</v>
      </c>
      <c r="GJ985" s="101">
        <f t="shared" si="520"/>
        <v>1</v>
      </c>
      <c r="GK985" s="101">
        <f t="shared" si="521"/>
        <v>6</v>
      </c>
      <c r="GL985" s="101">
        <f t="shared" si="522"/>
        <v>2.8000000000000001E-2</v>
      </c>
      <c r="GM985" s="101">
        <f t="shared" si="523"/>
        <v>1</v>
      </c>
      <c r="GN985" s="101">
        <f t="shared" si="524"/>
        <v>12</v>
      </c>
      <c r="GO985" s="101">
        <f t="shared" si="525"/>
        <v>0.11210000000000001</v>
      </c>
      <c r="GP985" s="101">
        <f t="shared" si="526"/>
        <v>1</v>
      </c>
      <c r="GQ985" s="101">
        <f t="shared" si="527"/>
        <v>27</v>
      </c>
    </row>
    <row r="986" spans="175:199" ht="16.5" x14ac:dyDescent="0.2">
      <c r="FS986" s="101">
        <v>981</v>
      </c>
      <c r="FT986" s="101">
        <f t="shared" si="512"/>
        <v>0</v>
      </c>
      <c r="FU986" s="101">
        <f t="shared" si="505"/>
        <v>13</v>
      </c>
      <c r="FV986" s="14">
        <f t="shared" si="506"/>
        <v>4</v>
      </c>
      <c r="FW986" s="101" t="str">
        <f t="shared" si="513"/>
        <v>西方龙专属武器-魂珠-3 0级</v>
      </c>
      <c r="FX986" s="101">
        <f t="shared" si="514"/>
        <v>3</v>
      </c>
      <c r="FY986" s="101">
        <f t="shared" si="515"/>
        <v>0</v>
      </c>
      <c r="FZ986" s="101" t="str">
        <f t="shared" si="507"/>
        <v/>
      </c>
      <c r="GA986" s="139" t="str">
        <f>IF($FY986&gt;0,IF(INDEX($EM$6:$EM$77,$FT986)&gt;=GA$3,ROUND(INDEX(EO$6:EO$77,$FT986)*INDEX(卡牌消耗!$B$8:$F$8,FV986)/5,0)*5,""),"")</f>
        <v/>
      </c>
      <c r="GB986" s="101" t="str">
        <f t="shared" si="508"/>
        <v/>
      </c>
      <c r="GC986" s="101" t="str">
        <f t="shared" si="509"/>
        <v/>
      </c>
      <c r="GD986" s="101" t="str">
        <f t="shared" si="510"/>
        <v/>
      </c>
      <c r="GE986" s="101" t="str">
        <f t="shared" si="511"/>
        <v/>
      </c>
      <c r="GF986" s="101" t="str">
        <f t="shared" si="516"/>
        <v/>
      </c>
      <c r="GG986" s="101" t="str">
        <f t="shared" si="517"/>
        <v/>
      </c>
      <c r="GH986" s="101" t="str">
        <f t="shared" si="518"/>
        <v/>
      </c>
      <c r="GI986" s="101" t="str">
        <f t="shared" si="519"/>
        <v/>
      </c>
      <c r="GJ986" s="101" t="str">
        <f t="shared" si="520"/>
        <v/>
      </c>
      <c r="GK986" s="101" t="str">
        <f t="shared" si="521"/>
        <v/>
      </c>
      <c r="GL986" s="101" t="str">
        <f t="shared" si="522"/>
        <v/>
      </c>
      <c r="GM986" s="101" t="str">
        <f t="shared" si="523"/>
        <v/>
      </c>
      <c r="GN986" s="101" t="str">
        <f t="shared" si="524"/>
        <v/>
      </c>
      <c r="GO986" s="101" t="str">
        <f t="shared" si="525"/>
        <v/>
      </c>
      <c r="GP986" s="101" t="str">
        <f t="shared" si="526"/>
        <v/>
      </c>
      <c r="GQ986" s="101" t="str">
        <f t="shared" si="527"/>
        <v/>
      </c>
    </row>
    <row r="987" spans="175:199" ht="16.5" x14ac:dyDescent="0.2">
      <c r="FS987" s="101">
        <v>982</v>
      </c>
      <c r="FT987" s="101">
        <f t="shared" si="512"/>
        <v>19</v>
      </c>
      <c r="FU987" s="101">
        <f t="shared" si="505"/>
        <v>13</v>
      </c>
      <c r="FV987" s="14">
        <f t="shared" si="506"/>
        <v>4</v>
      </c>
      <c r="FW987" s="101" t="str">
        <f t="shared" si="513"/>
        <v>西方龙专属武器-魂珠-3 1级</v>
      </c>
      <c r="FX987" s="101">
        <f t="shared" si="514"/>
        <v>3</v>
      </c>
      <c r="FY987" s="101">
        <f t="shared" si="515"/>
        <v>1</v>
      </c>
      <c r="FZ987" s="101" t="str">
        <f t="shared" si="507"/>
        <v>金币</v>
      </c>
      <c r="GA987" s="139">
        <f>IF($FY987&gt;0,IF(INDEX($EM$6:$EM$77,$FT987)&gt;=GA$3,ROUND(INDEX(EO$6:EO$77,$FT987)*INDEX(卡牌消耗!$B$8:$F$8,FV987)/5,0)*5,""),"")</f>
        <v>820</v>
      </c>
      <c r="GB987" s="101" t="str">
        <f t="shared" si="508"/>
        <v>专属强化石1</v>
      </c>
      <c r="GC987" s="101">
        <f t="shared" si="509"/>
        <v>4</v>
      </c>
      <c r="GD987" s="101" t="str">
        <f t="shared" si="510"/>
        <v>专属强化石2</v>
      </c>
      <c r="GE987" s="101">
        <f t="shared" si="511"/>
        <v>2</v>
      </c>
      <c r="GF987" s="101">
        <f t="shared" si="516"/>
        <v>0.31</v>
      </c>
      <c r="GG987" s="101">
        <f t="shared" si="517"/>
        <v>1</v>
      </c>
      <c r="GH987" s="101">
        <f t="shared" si="518"/>
        <v>5</v>
      </c>
      <c r="GI987" s="101">
        <f t="shared" si="519"/>
        <v>0</v>
      </c>
      <c r="GJ987" s="101">
        <f t="shared" si="520"/>
        <v>1</v>
      </c>
      <c r="GK987" s="101">
        <f t="shared" si="521"/>
        <v>1</v>
      </c>
      <c r="GL987" s="101">
        <f t="shared" si="522"/>
        <v>0.15409999999999999</v>
      </c>
      <c r="GM987" s="101">
        <f t="shared" si="523"/>
        <v>1</v>
      </c>
      <c r="GN987" s="101">
        <f t="shared" si="524"/>
        <v>2</v>
      </c>
      <c r="GO987" s="101">
        <f t="shared" si="525"/>
        <v>0.61650000000000005</v>
      </c>
      <c r="GP987" s="101">
        <f t="shared" si="526"/>
        <v>1</v>
      </c>
      <c r="GQ987" s="101">
        <f t="shared" si="527"/>
        <v>5</v>
      </c>
    </row>
    <row r="988" spans="175:199" ht="16.5" x14ac:dyDescent="0.2">
      <c r="FS988" s="101">
        <v>983</v>
      </c>
      <c r="FT988" s="101">
        <f t="shared" si="512"/>
        <v>20</v>
      </c>
      <c r="FU988" s="101">
        <f t="shared" si="505"/>
        <v>13</v>
      </c>
      <c r="FV988" s="14">
        <f t="shared" si="506"/>
        <v>4</v>
      </c>
      <c r="FW988" s="101" t="str">
        <f t="shared" si="513"/>
        <v>西方龙专属武器-魂珠-3 2级</v>
      </c>
      <c r="FX988" s="101">
        <f t="shared" si="514"/>
        <v>3</v>
      </c>
      <c r="FY988" s="101">
        <f t="shared" si="515"/>
        <v>2</v>
      </c>
      <c r="FZ988" s="101" t="str">
        <f t="shared" si="507"/>
        <v>金币</v>
      </c>
      <c r="GA988" s="139">
        <f>IF($FY988&gt;0,IF(INDEX($EM$6:$EM$77,$FT988)&gt;=GA$3,ROUND(INDEX(EO$6:EO$77,$FT988)*INDEX(卡牌消耗!$B$8:$F$8,FV988)/5,0)*5,""),"")</f>
        <v>615</v>
      </c>
      <c r="GB988" s="101" t="str">
        <f t="shared" si="508"/>
        <v>专属强化石1</v>
      </c>
      <c r="GC988" s="101">
        <f t="shared" si="509"/>
        <v>4</v>
      </c>
      <c r="GD988" s="101" t="str">
        <f t="shared" si="510"/>
        <v>专属强化石2</v>
      </c>
      <c r="GE988" s="101">
        <f t="shared" si="511"/>
        <v>2</v>
      </c>
      <c r="GF988" s="101">
        <f t="shared" si="516"/>
        <v>0.15</v>
      </c>
      <c r="GG988" s="101">
        <f t="shared" si="517"/>
        <v>1</v>
      </c>
      <c r="GH988" s="101">
        <f t="shared" si="518"/>
        <v>10</v>
      </c>
      <c r="GI988" s="101">
        <f t="shared" si="519"/>
        <v>0</v>
      </c>
      <c r="GJ988" s="101">
        <f t="shared" si="520"/>
        <v>1</v>
      </c>
      <c r="GK988" s="101">
        <f t="shared" si="521"/>
        <v>2</v>
      </c>
      <c r="GL988" s="101">
        <f t="shared" si="522"/>
        <v>7.7100000000000002E-2</v>
      </c>
      <c r="GM988" s="101">
        <f t="shared" si="523"/>
        <v>1</v>
      </c>
      <c r="GN988" s="101">
        <f t="shared" si="524"/>
        <v>5</v>
      </c>
      <c r="GO988" s="101">
        <f t="shared" si="525"/>
        <v>0.30830000000000002</v>
      </c>
      <c r="GP988" s="101">
        <f t="shared" si="526"/>
        <v>1</v>
      </c>
      <c r="GQ988" s="101">
        <f t="shared" si="527"/>
        <v>10</v>
      </c>
    </row>
    <row r="989" spans="175:199" ht="16.5" x14ac:dyDescent="0.2">
      <c r="FS989" s="101">
        <v>984</v>
      </c>
      <c r="FT989" s="101">
        <f t="shared" si="512"/>
        <v>21</v>
      </c>
      <c r="FU989" s="101">
        <f t="shared" si="505"/>
        <v>13</v>
      </c>
      <c r="FV989" s="14">
        <f t="shared" si="506"/>
        <v>4</v>
      </c>
      <c r="FW989" s="101" t="str">
        <f t="shared" si="513"/>
        <v>西方龙专属武器-魂珠-3 3级</v>
      </c>
      <c r="FX989" s="101">
        <f t="shared" si="514"/>
        <v>3</v>
      </c>
      <c r="FY989" s="101">
        <f t="shared" si="515"/>
        <v>3</v>
      </c>
      <c r="FZ989" s="101" t="str">
        <f t="shared" si="507"/>
        <v>金币</v>
      </c>
      <c r="GA989" s="139">
        <f>IF($FY989&gt;0,IF(INDEX($EM$6:$EM$77,$FT989)&gt;=GA$3,ROUND(INDEX(EO$6:EO$77,$FT989)*INDEX(卡牌消耗!$B$8:$F$8,FV989)/5,0)*5,""),"")</f>
        <v>1025</v>
      </c>
      <c r="GB989" s="101" t="str">
        <f t="shared" si="508"/>
        <v>专属强化石1</v>
      </c>
      <c r="GC989" s="101">
        <f t="shared" si="509"/>
        <v>6</v>
      </c>
      <c r="GD989" s="101" t="str">
        <f t="shared" si="510"/>
        <v>专属强化石2</v>
      </c>
      <c r="GE989" s="101">
        <f t="shared" si="511"/>
        <v>3</v>
      </c>
      <c r="GF989" s="101">
        <f t="shared" si="516"/>
        <v>0.15</v>
      </c>
      <c r="GG989" s="101">
        <f t="shared" si="517"/>
        <v>1</v>
      </c>
      <c r="GH989" s="101">
        <f t="shared" si="518"/>
        <v>10</v>
      </c>
      <c r="GI989" s="101">
        <f t="shared" si="519"/>
        <v>0</v>
      </c>
      <c r="GJ989" s="101">
        <f t="shared" si="520"/>
        <v>1</v>
      </c>
      <c r="GK989" s="101">
        <f t="shared" si="521"/>
        <v>2</v>
      </c>
      <c r="GL989" s="101">
        <f t="shared" si="522"/>
        <v>7.7100000000000002E-2</v>
      </c>
      <c r="GM989" s="101">
        <f t="shared" si="523"/>
        <v>1</v>
      </c>
      <c r="GN989" s="101">
        <f t="shared" si="524"/>
        <v>5</v>
      </c>
      <c r="GO989" s="101">
        <f t="shared" si="525"/>
        <v>0.30830000000000002</v>
      </c>
      <c r="GP989" s="101">
        <f t="shared" si="526"/>
        <v>1</v>
      </c>
      <c r="GQ989" s="101">
        <f t="shared" si="527"/>
        <v>10</v>
      </c>
    </row>
    <row r="990" spans="175:199" ht="16.5" x14ac:dyDescent="0.2">
      <c r="FS990" s="101">
        <v>985</v>
      </c>
      <c r="FT990" s="101">
        <f t="shared" si="512"/>
        <v>22</v>
      </c>
      <c r="FU990" s="101">
        <f t="shared" si="505"/>
        <v>13</v>
      </c>
      <c r="FV990" s="14">
        <f t="shared" si="506"/>
        <v>4</v>
      </c>
      <c r="FW990" s="101" t="str">
        <f t="shared" si="513"/>
        <v>西方龙专属武器-魂珠-3 4级</v>
      </c>
      <c r="FX990" s="101">
        <f t="shared" si="514"/>
        <v>3</v>
      </c>
      <c r="FY990" s="101">
        <f t="shared" si="515"/>
        <v>4</v>
      </c>
      <c r="FZ990" s="101" t="str">
        <f t="shared" si="507"/>
        <v>金币</v>
      </c>
      <c r="GA990" s="139">
        <f>IF($FY990&gt;0,IF(INDEX($EM$6:$EM$77,$FT990)&gt;=GA$3,ROUND(INDEX(EO$6:EO$77,$FT990)*INDEX(卡牌消耗!$B$8:$F$8,FV990)/5,0)*5,""),"")</f>
        <v>985</v>
      </c>
      <c r="GB990" s="101" t="str">
        <f t="shared" si="508"/>
        <v>专属强化石1</v>
      </c>
      <c r="GC990" s="101">
        <f t="shared" si="509"/>
        <v>6</v>
      </c>
      <c r="GD990" s="101" t="str">
        <f t="shared" si="510"/>
        <v>专属强化石2</v>
      </c>
      <c r="GE990" s="101">
        <f t="shared" si="511"/>
        <v>3</v>
      </c>
      <c r="GF990" s="101">
        <f t="shared" si="516"/>
        <v>0.09</v>
      </c>
      <c r="GG990" s="101">
        <f t="shared" si="517"/>
        <v>1</v>
      </c>
      <c r="GH990" s="101">
        <f t="shared" si="518"/>
        <v>16</v>
      </c>
      <c r="GI990" s="101">
        <f t="shared" si="519"/>
        <v>0</v>
      </c>
      <c r="GJ990" s="101">
        <f t="shared" si="520"/>
        <v>1</v>
      </c>
      <c r="GK990" s="101">
        <f t="shared" si="521"/>
        <v>4</v>
      </c>
      <c r="GL990" s="101">
        <f t="shared" si="522"/>
        <v>4.6199999999999998E-2</v>
      </c>
      <c r="GM990" s="101">
        <f t="shared" si="523"/>
        <v>1</v>
      </c>
      <c r="GN990" s="101">
        <f t="shared" si="524"/>
        <v>8</v>
      </c>
      <c r="GO990" s="101">
        <f t="shared" si="525"/>
        <v>0.185</v>
      </c>
      <c r="GP990" s="101">
        <f t="shared" si="526"/>
        <v>1</v>
      </c>
      <c r="GQ990" s="101">
        <f t="shared" si="527"/>
        <v>16</v>
      </c>
    </row>
    <row r="991" spans="175:199" ht="16.5" x14ac:dyDescent="0.2">
      <c r="FS991" s="101">
        <v>986</v>
      </c>
      <c r="FT991" s="101">
        <f t="shared" si="512"/>
        <v>23</v>
      </c>
      <c r="FU991" s="101">
        <f t="shared" si="505"/>
        <v>13</v>
      </c>
      <c r="FV991" s="14">
        <f t="shared" si="506"/>
        <v>4</v>
      </c>
      <c r="FW991" s="101" t="str">
        <f t="shared" si="513"/>
        <v>西方龙专属武器-魂珠-3 5级</v>
      </c>
      <c r="FX991" s="101">
        <f t="shared" si="514"/>
        <v>3</v>
      </c>
      <c r="FY991" s="101">
        <f t="shared" si="515"/>
        <v>5</v>
      </c>
      <c r="FZ991" s="101" t="str">
        <f t="shared" si="507"/>
        <v>金币</v>
      </c>
      <c r="GA991" s="139">
        <f>IF($FY991&gt;0,IF(INDEX($EM$6:$EM$77,$FT991)&gt;=GA$3,ROUND(INDEX(EO$6:EO$77,$FT991)*INDEX(卡牌消耗!$B$8:$F$8,FV991)/5,0)*5,""),"")</f>
        <v>1330</v>
      </c>
      <c r="GB991" s="101" t="str">
        <f t="shared" si="508"/>
        <v>专属强化石1</v>
      </c>
      <c r="GC991" s="101">
        <f t="shared" si="509"/>
        <v>8</v>
      </c>
      <c r="GD991" s="101" t="str">
        <f t="shared" si="510"/>
        <v>专属强化石2</v>
      </c>
      <c r="GE991" s="101">
        <f t="shared" si="511"/>
        <v>4</v>
      </c>
      <c r="GF991" s="101">
        <f t="shared" si="516"/>
        <v>0.08</v>
      </c>
      <c r="GG991" s="101">
        <f t="shared" si="517"/>
        <v>1</v>
      </c>
      <c r="GH991" s="101">
        <f t="shared" si="518"/>
        <v>19</v>
      </c>
      <c r="GI991" s="101">
        <f t="shared" si="519"/>
        <v>0</v>
      </c>
      <c r="GJ991" s="101">
        <f t="shared" si="520"/>
        <v>1</v>
      </c>
      <c r="GK991" s="101">
        <f t="shared" si="521"/>
        <v>5</v>
      </c>
      <c r="GL991" s="101">
        <f t="shared" si="522"/>
        <v>3.85E-2</v>
      </c>
      <c r="GM991" s="101">
        <f t="shared" si="523"/>
        <v>1</v>
      </c>
      <c r="GN991" s="101">
        <f t="shared" si="524"/>
        <v>9</v>
      </c>
      <c r="GO991" s="101">
        <f t="shared" si="525"/>
        <v>0.15409999999999999</v>
      </c>
      <c r="GP991" s="101">
        <f t="shared" si="526"/>
        <v>1</v>
      </c>
      <c r="GQ991" s="101">
        <f t="shared" si="527"/>
        <v>19</v>
      </c>
    </row>
    <row r="992" spans="175:199" ht="16.5" x14ac:dyDescent="0.2">
      <c r="FS992" s="101">
        <v>987</v>
      </c>
      <c r="FT992" s="101">
        <f t="shared" si="512"/>
        <v>24</v>
      </c>
      <c r="FU992" s="101">
        <f t="shared" si="505"/>
        <v>13</v>
      </c>
      <c r="FV992" s="14">
        <f t="shared" si="506"/>
        <v>4</v>
      </c>
      <c r="FW992" s="101" t="str">
        <f t="shared" si="513"/>
        <v>西方龙专属武器-魂珠-3 6级</v>
      </c>
      <c r="FX992" s="101">
        <f t="shared" si="514"/>
        <v>3</v>
      </c>
      <c r="FY992" s="101">
        <f t="shared" si="515"/>
        <v>6</v>
      </c>
      <c r="FZ992" s="101" t="str">
        <f t="shared" si="507"/>
        <v>金币</v>
      </c>
      <c r="GA992" s="139">
        <f>IF($FY992&gt;0,IF(INDEX($EM$6:$EM$77,$FT992)&gt;=GA$3,ROUND(INDEX(EO$6:EO$77,$FT992)*INDEX(卡牌消耗!$B$8:$F$8,FV992)/5,0)*5,""),"")</f>
        <v>1650</v>
      </c>
      <c r="GB992" s="101" t="str">
        <f t="shared" si="508"/>
        <v>专属强化石1</v>
      </c>
      <c r="GC992" s="101">
        <f t="shared" si="509"/>
        <v>10</v>
      </c>
      <c r="GD992" s="101" t="str">
        <f t="shared" si="510"/>
        <v>专属强化石2</v>
      </c>
      <c r="GE992" s="101">
        <f t="shared" si="511"/>
        <v>5</v>
      </c>
      <c r="GF992" s="101">
        <f t="shared" si="516"/>
        <v>0.06</v>
      </c>
      <c r="GG992" s="101">
        <f t="shared" si="517"/>
        <v>1</v>
      </c>
      <c r="GH992" s="101">
        <f t="shared" si="518"/>
        <v>25</v>
      </c>
      <c r="GI992" s="101">
        <f t="shared" si="519"/>
        <v>0</v>
      </c>
      <c r="GJ992" s="101">
        <f t="shared" si="520"/>
        <v>1</v>
      </c>
      <c r="GK992" s="101">
        <f t="shared" si="521"/>
        <v>6</v>
      </c>
      <c r="GL992" s="101">
        <f t="shared" si="522"/>
        <v>2.9600000000000001E-2</v>
      </c>
      <c r="GM992" s="101">
        <f t="shared" si="523"/>
        <v>1</v>
      </c>
      <c r="GN992" s="101">
        <f t="shared" si="524"/>
        <v>12</v>
      </c>
      <c r="GO992" s="101">
        <f t="shared" si="525"/>
        <v>0.1186</v>
      </c>
      <c r="GP992" s="101">
        <f t="shared" si="526"/>
        <v>1</v>
      </c>
      <c r="GQ992" s="101">
        <f t="shared" si="527"/>
        <v>25</v>
      </c>
    </row>
    <row r="993" spans="175:199" ht="16.5" x14ac:dyDescent="0.2">
      <c r="FS993" s="101">
        <v>988</v>
      </c>
      <c r="FT993" s="101">
        <f t="shared" si="512"/>
        <v>25</v>
      </c>
      <c r="FU993" s="101">
        <f t="shared" si="505"/>
        <v>13</v>
      </c>
      <c r="FV993" s="14">
        <f t="shared" si="506"/>
        <v>4</v>
      </c>
      <c r="FW993" s="101" t="str">
        <f t="shared" si="513"/>
        <v>西方龙专属武器-魂珠-3 7级</v>
      </c>
      <c r="FX993" s="101">
        <f t="shared" si="514"/>
        <v>3</v>
      </c>
      <c r="FY993" s="101">
        <f t="shared" si="515"/>
        <v>7</v>
      </c>
      <c r="FZ993" s="101" t="str">
        <f t="shared" si="507"/>
        <v>金币</v>
      </c>
      <c r="GA993" s="139">
        <f>IF($FY993&gt;0,IF(INDEX($EM$6:$EM$77,$FT993)&gt;=GA$3,ROUND(INDEX(EO$6:EO$77,$FT993)*INDEX(卡牌消耗!$B$8:$F$8,FV993)/5,0)*5,""),"")</f>
        <v>1990</v>
      </c>
      <c r="GB993" s="101" t="str">
        <f t="shared" si="508"/>
        <v>专属强化石1</v>
      </c>
      <c r="GC993" s="101">
        <f t="shared" si="509"/>
        <v>12</v>
      </c>
      <c r="GD993" s="101" t="str">
        <f t="shared" si="510"/>
        <v>专属强化石2</v>
      </c>
      <c r="GE993" s="101">
        <f t="shared" si="511"/>
        <v>6</v>
      </c>
      <c r="GF993" s="101">
        <f t="shared" si="516"/>
        <v>0.04</v>
      </c>
      <c r="GG993" s="101">
        <f t="shared" si="517"/>
        <v>1</v>
      </c>
      <c r="GH993" s="101">
        <f t="shared" si="518"/>
        <v>34</v>
      </c>
      <c r="GI993" s="101">
        <f t="shared" si="519"/>
        <v>0</v>
      </c>
      <c r="GJ993" s="101">
        <f t="shared" si="520"/>
        <v>1</v>
      </c>
      <c r="GK993" s="101">
        <f t="shared" si="521"/>
        <v>8</v>
      </c>
      <c r="GL993" s="101">
        <f t="shared" si="522"/>
        <v>2.1999999999999999E-2</v>
      </c>
      <c r="GM993" s="101">
        <f t="shared" si="523"/>
        <v>1</v>
      </c>
      <c r="GN993" s="101">
        <f t="shared" si="524"/>
        <v>16</v>
      </c>
      <c r="GO993" s="101">
        <f t="shared" si="525"/>
        <v>8.8099999999999998E-2</v>
      </c>
      <c r="GP993" s="101">
        <f t="shared" si="526"/>
        <v>1</v>
      </c>
      <c r="GQ993" s="101">
        <f t="shared" si="527"/>
        <v>34</v>
      </c>
    </row>
    <row r="994" spans="175:199" ht="16.5" x14ac:dyDescent="0.2">
      <c r="FS994" s="101">
        <v>989</v>
      </c>
      <c r="FT994" s="101">
        <f t="shared" si="512"/>
        <v>26</v>
      </c>
      <c r="FU994" s="101">
        <f t="shared" si="505"/>
        <v>13</v>
      </c>
      <c r="FV994" s="14">
        <f t="shared" si="506"/>
        <v>4</v>
      </c>
      <c r="FW994" s="101" t="str">
        <f t="shared" si="513"/>
        <v>西方龙专属武器-魂珠-3 8级</v>
      </c>
      <c r="FX994" s="101">
        <f t="shared" si="514"/>
        <v>3</v>
      </c>
      <c r="FY994" s="101">
        <f t="shared" si="515"/>
        <v>8</v>
      </c>
      <c r="FZ994" s="101" t="str">
        <f t="shared" si="507"/>
        <v>金币</v>
      </c>
      <c r="GA994" s="139">
        <f>IF($FY994&gt;0,IF(INDEX($EM$6:$EM$77,$FT994)&gt;=GA$3,ROUND(INDEX(EO$6:EO$77,$FT994)*INDEX(卡牌消耗!$B$8:$F$8,FV994)/5,0)*5,""),"")</f>
        <v>2650</v>
      </c>
      <c r="GB994" s="101" t="str">
        <f t="shared" si="508"/>
        <v>专属强化石1</v>
      </c>
      <c r="GC994" s="101">
        <f t="shared" si="509"/>
        <v>16</v>
      </c>
      <c r="GD994" s="101" t="str">
        <f t="shared" si="510"/>
        <v>专属强化石2</v>
      </c>
      <c r="GE994" s="101">
        <f t="shared" si="511"/>
        <v>8</v>
      </c>
      <c r="GF994" s="101">
        <f t="shared" si="516"/>
        <v>0.04</v>
      </c>
      <c r="GG994" s="101">
        <f t="shared" si="517"/>
        <v>1</v>
      </c>
      <c r="GH994" s="101">
        <f t="shared" si="518"/>
        <v>41</v>
      </c>
      <c r="GI994" s="101">
        <f t="shared" si="519"/>
        <v>0</v>
      </c>
      <c r="GJ994" s="101">
        <f t="shared" si="520"/>
        <v>1</v>
      </c>
      <c r="GK994" s="101">
        <f t="shared" si="521"/>
        <v>10</v>
      </c>
      <c r="GL994" s="101">
        <f t="shared" si="522"/>
        <v>1.8100000000000002E-2</v>
      </c>
      <c r="GM994" s="101">
        <f t="shared" si="523"/>
        <v>1</v>
      </c>
      <c r="GN994" s="101">
        <f t="shared" si="524"/>
        <v>19</v>
      </c>
      <c r="GO994" s="101">
        <f t="shared" si="525"/>
        <v>7.2499999999999995E-2</v>
      </c>
      <c r="GP994" s="101">
        <f t="shared" si="526"/>
        <v>1</v>
      </c>
      <c r="GQ994" s="101">
        <f t="shared" si="527"/>
        <v>41</v>
      </c>
    </row>
    <row r="995" spans="175:199" ht="16.5" x14ac:dyDescent="0.2">
      <c r="FS995" s="101">
        <v>990</v>
      </c>
      <c r="FT995" s="101">
        <f t="shared" si="512"/>
        <v>27</v>
      </c>
      <c r="FU995" s="101">
        <f t="shared" si="505"/>
        <v>13</v>
      </c>
      <c r="FV995" s="14">
        <f t="shared" si="506"/>
        <v>4</v>
      </c>
      <c r="FW995" s="101" t="str">
        <f t="shared" si="513"/>
        <v>西方龙专属武器-魂珠-3 9级</v>
      </c>
      <c r="FX995" s="101">
        <f t="shared" si="514"/>
        <v>3</v>
      </c>
      <c r="FY995" s="101">
        <f t="shared" si="515"/>
        <v>9</v>
      </c>
      <c r="FZ995" s="101" t="str">
        <f t="shared" si="507"/>
        <v>金币</v>
      </c>
      <c r="GA995" s="139">
        <f>IF($FY995&gt;0,IF(INDEX($EM$6:$EM$77,$FT995)&gt;=GA$3,ROUND(INDEX(EO$6:EO$77,$FT995)*INDEX(卡牌消耗!$B$8:$F$8,FV995)/5,0)*5,""),"")</f>
        <v>3310</v>
      </c>
      <c r="GB995" s="101" t="str">
        <f t="shared" si="508"/>
        <v>专属强化石1</v>
      </c>
      <c r="GC995" s="101">
        <f t="shared" si="509"/>
        <v>20</v>
      </c>
      <c r="GD995" s="101" t="str">
        <f t="shared" si="510"/>
        <v>专属强化石2</v>
      </c>
      <c r="GE995" s="101">
        <f t="shared" si="511"/>
        <v>10</v>
      </c>
      <c r="GF995" s="101">
        <f t="shared" si="516"/>
        <v>0.03</v>
      </c>
      <c r="GG995" s="101">
        <f t="shared" si="517"/>
        <v>1</v>
      </c>
      <c r="GH995" s="101">
        <f t="shared" si="518"/>
        <v>54</v>
      </c>
      <c r="GI995" s="101">
        <f t="shared" si="519"/>
        <v>0</v>
      </c>
      <c r="GJ995" s="101">
        <f t="shared" si="520"/>
        <v>1</v>
      </c>
      <c r="GK995" s="101">
        <f t="shared" si="521"/>
        <v>12</v>
      </c>
      <c r="GL995" s="101">
        <f t="shared" si="522"/>
        <v>1.4E-2</v>
      </c>
      <c r="GM995" s="101">
        <f t="shared" si="523"/>
        <v>1</v>
      </c>
      <c r="GN995" s="101">
        <f t="shared" si="524"/>
        <v>25</v>
      </c>
      <c r="GO995" s="101">
        <f t="shared" si="525"/>
        <v>5.6000000000000001E-2</v>
      </c>
      <c r="GP995" s="101">
        <f t="shared" si="526"/>
        <v>1</v>
      </c>
      <c r="GQ995" s="101">
        <f t="shared" si="527"/>
        <v>54</v>
      </c>
    </row>
    <row r="996" spans="175:199" ht="16.5" x14ac:dyDescent="0.2">
      <c r="FS996" s="101">
        <v>991</v>
      </c>
      <c r="FT996" s="101">
        <f t="shared" si="512"/>
        <v>0</v>
      </c>
      <c r="FU996" s="101">
        <f t="shared" si="505"/>
        <v>13</v>
      </c>
      <c r="FV996" s="14">
        <f t="shared" si="506"/>
        <v>4</v>
      </c>
      <c r="FW996" s="101" t="str">
        <f t="shared" si="513"/>
        <v>西方龙专属武器-魂珠-4 0级</v>
      </c>
      <c r="FX996" s="101">
        <f t="shared" si="514"/>
        <v>4</v>
      </c>
      <c r="FY996" s="101">
        <f t="shared" si="515"/>
        <v>0</v>
      </c>
      <c r="FZ996" s="101" t="str">
        <f t="shared" si="507"/>
        <v/>
      </c>
      <c r="GA996" s="139" t="str">
        <f>IF($FY996&gt;0,IF(INDEX($EM$6:$EM$77,$FT996)&gt;=GA$3,ROUND(INDEX(EO$6:EO$77,$FT996)*INDEX(卡牌消耗!$B$8:$F$8,FV996)/5,0)*5,""),"")</f>
        <v/>
      </c>
      <c r="GB996" s="101" t="str">
        <f t="shared" si="508"/>
        <v/>
      </c>
      <c r="GC996" s="101" t="str">
        <f t="shared" si="509"/>
        <v/>
      </c>
      <c r="GD996" s="101" t="str">
        <f t="shared" si="510"/>
        <v/>
      </c>
      <c r="GE996" s="101" t="str">
        <f t="shared" si="511"/>
        <v/>
      </c>
      <c r="GF996" s="101" t="str">
        <f t="shared" si="516"/>
        <v/>
      </c>
      <c r="GG996" s="101" t="str">
        <f t="shared" si="517"/>
        <v/>
      </c>
      <c r="GH996" s="101" t="str">
        <f t="shared" si="518"/>
        <v/>
      </c>
      <c r="GI996" s="101" t="str">
        <f t="shared" si="519"/>
        <v/>
      </c>
      <c r="GJ996" s="101" t="str">
        <f t="shared" si="520"/>
        <v/>
      </c>
      <c r="GK996" s="101" t="str">
        <f t="shared" si="521"/>
        <v/>
      </c>
      <c r="GL996" s="101" t="str">
        <f t="shared" si="522"/>
        <v/>
      </c>
      <c r="GM996" s="101" t="str">
        <f t="shared" si="523"/>
        <v/>
      </c>
      <c r="GN996" s="101" t="str">
        <f t="shared" si="524"/>
        <v/>
      </c>
      <c r="GO996" s="101" t="str">
        <f t="shared" si="525"/>
        <v/>
      </c>
      <c r="GP996" s="101" t="str">
        <f t="shared" si="526"/>
        <v/>
      </c>
      <c r="GQ996" s="101" t="str">
        <f t="shared" si="527"/>
        <v/>
      </c>
    </row>
    <row r="997" spans="175:199" ht="16.5" x14ac:dyDescent="0.2">
      <c r="FS997" s="101">
        <v>992</v>
      </c>
      <c r="FT997" s="101">
        <f t="shared" si="512"/>
        <v>28</v>
      </c>
      <c r="FU997" s="101">
        <f t="shared" si="505"/>
        <v>13</v>
      </c>
      <c r="FV997" s="14">
        <f t="shared" si="506"/>
        <v>4</v>
      </c>
      <c r="FW997" s="101" t="str">
        <f t="shared" si="513"/>
        <v>西方龙专属武器-魂珠-4 1级</v>
      </c>
      <c r="FX997" s="101">
        <f t="shared" si="514"/>
        <v>4</v>
      </c>
      <c r="FY997" s="101">
        <f t="shared" si="515"/>
        <v>1</v>
      </c>
      <c r="FZ997" s="101" t="str">
        <f t="shared" si="507"/>
        <v>金币</v>
      </c>
      <c r="GA997" s="139">
        <f>IF($FY997&gt;0,IF(INDEX($EM$6:$EM$77,$FT997)&gt;=GA$3,ROUND(INDEX(EO$6:EO$77,$FT997)*INDEX(卡牌消耗!$B$8:$F$8,FV997)/5,0)*5,""),"")</f>
        <v>1095</v>
      </c>
      <c r="GB997" s="101" t="str">
        <f t="shared" si="508"/>
        <v>专属强化石2</v>
      </c>
      <c r="GC997" s="101">
        <f t="shared" si="509"/>
        <v>3</v>
      </c>
      <c r="GD997" s="101" t="str">
        <f t="shared" si="510"/>
        <v>专属强化石3</v>
      </c>
      <c r="GE997" s="101">
        <f t="shared" si="511"/>
        <v>1</v>
      </c>
      <c r="GF997" s="101">
        <f t="shared" si="516"/>
        <v>0.2</v>
      </c>
      <c r="GG997" s="101">
        <f t="shared" si="517"/>
        <v>1</v>
      </c>
      <c r="GH997" s="101">
        <f t="shared" si="518"/>
        <v>7</v>
      </c>
      <c r="GI997" s="101">
        <f t="shared" si="519"/>
        <v>0</v>
      </c>
      <c r="GJ997" s="101">
        <f t="shared" si="520"/>
        <v>1</v>
      </c>
      <c r="GK997" s="101">
        <f t="shared" si="521"/>
        <v>2</v>
      </c>
      <c r="GL997" s="101">
        <f t="shared" si="522"/>
        <v>0.1012</v>
      </c>
      <c r="GM997" s="101">
        <f t="shared" si="523"/>
        <v>1</v>
      </c>
      <c r="GN997" s="101">
        <f t="shared" si="524"/>
        <v>3</v>
      </c>
      <c r="GO997" s="101">
        <f t="shared" si="525"/>
        <v>0.40479999999999999</v>
      </c>
      <c r="GP997" s="101">
        <f t="shared" si="526"/>
        <v>1</v>
      </c>
      <c r="GQ997" s="101">
        <f t="shared" si="527"/>
        <v>7</v>
      </c>
    </row>
    <row r="998" spans="175:199" ht="16.5" x14ac:dyDescent="0.2">
      <c r="FS998" s="101">
        <v>993</v>
      </c>
      <c r="FT998" s="101">
        <f t="shared" si="512"/>
        <v>29</v>
      </c>
      <c r="FU998" s="101">
        <f t="shared" si="505"/>
        <v>13</v>
      </c>
      <c r="FV998" s="14">
        <f t="shared" si="506"/>
        <v>4</v>
      </c>
      <c r="FW998" s="101" t="str">
        <f t="shared" si="513"/>
        <v>西方龙专属武器-魂珠-4 2级</v>
      </c>
      <c r="FX998" s="101">
        <f t="shared" si="514"/>
        <v>4</v>
      </c>
      <c r="FY998" s="101">
        <f t="shared" si="515"/>
        <v>2</v>
      </c>
      <c r="FZ998" s="101" t="str">
        <f t="shared" si="507"/>
        <v>金币</v>
      </c>
      <c r="GA998" s="139">
        <f>IF($FY998&gt;0,IF(INDEX($EM$6:$EM$77,$FT998)&gt;=GA$3,ROUND(INDEX(EO$6:EO$77,$FT998)*INDEX(卡牌消耗!$B$8:$F$8,FV998)/5,0)*5,""),"")</f>
        <v>820</v>
      </c>
      <c r="GB998" s="101" t="str">
        <f t="shared" si="508"/>
        <v>专属强化石2</v>
      </c>
      <c r="GC998" s="101">
        <f t="shared" si="509"/>
        <v>3</v>
      </c>
      <c r="GD998" s="101" t="str">
        <f t="shared" si="510"/>
        <v>专属强化石3</v>
      </c>
      <c r="GE998" s="101">
        <f t="shared" si="511"/>
        <v>1</v>
      </c>
      <c r="GF998" s="101">
        <f t="shared" si="516"/>
        <v>0.1</v>
      </c>
      <c r="GG998" s="101">
        <f t="shared" si="517"/>
        <v>1</v>
      </c>
      <c r="GH998" s="101">
        <f t="shared" si="518"/>
        <v>15</v>
      </c>
      <c r="GI998" s="101">
        <f t="shared" si="519"/>
        <v>0</v>
      </c>
      <c r="GJ998" s="101">
        <f t="shared" si="520"/>
        <v>1</v>
      </c>
      <c r="GK998" s="101">
        <f t="shared" si="521"/>
        <v>3</v>
      </c>
      <c r="GL998" s="101">
        <f t="shared" si="522"/>
        <v>5.0599999999999999E-2</v>
      </c>
      <c r="GM998" s="101">
        <f t="shared" si="523"/>
        <v>1</v>
      </c>
      <c r="GN998" s="101">
        <f t="shared" si="524"/>
        <v>7</v>
      </c>
      <c r="GO998" s="101">
        <f t="shared" si="525"/>
        <v>0.2024</v>
      </c>
      <c r="GP998" s="101">
        <f t="shared" si="526"/>
        <v>1</v>
      </c>
      <c r="GQ998" s="101">
        <f t="shared" si="527"/>
        <v>15</v>
      </c>
    </row>
    <row r="999" spans="175:199" ht="16.5" x14ac:dyDescent="0.2">
      <c r="FS999" s="101">
        <v>994</v>
      </c>
      <c r="FT999" s="101">
        <f t="shared" si="512"/>
        <v>30</v>
      </c>
      <c r="FU999" s="101">
        <f t="shared" si="505"/>
        <v>13</v>
      </c>
      <c r="FV999" s="14">
        <f t="shared" si="506"/>
        <v>4</v>
      </c>
      <c r="FW999" s="101" t="str">
        <f t="shared" si="513"/>
        <v>西方龙专属武器-魂珠-4 3级</v>
      </c>
      <c r="FX999" s="101">
        <f t="shared" si="514"/>
        <v>4</v>
      </c>
      <c r="FY999" s="101">
        <f t="shared" si="515"/>
        <v>3</v>
      </c>
      <c r="FZ999" s="101" t="str">
        <f t="shared" si="507"/>
        <v>金币</v>
      </c>
      <c r="GA999" s="139">
        <f>IF($FY999&gt;0,IF(INDEX($EM$6:$EM$77,$FT999)&gt;=GA$3,ROUND(INDEX(EO$6:EO$77,$FT999)*INDEX(卡牌消耗!$B$8:$F$8,FV999)/5,0)*5,""),"")</f>
        <v>910</v>
      </c>
      <c r="GB999" s="101" t="str">
        <f t="shared" si="508"/>
        <v>专属强化石2</v>
      </c>
      <c r="GC999" s="101">
        <f t="shared" si="509"/>
        <v>3</v>
      </c>
      <c r="GD999" s="101" t="str">
        <f t="shared" si="510"/>
        <v>专属强化石3</v>
      </c>
      <c r="GE999" s="101">
        <f t="shared" si="511"/>
        <v>1</v>
      </c>
      <c r="GF999" s="101">
        <f t="shared" si="516"/>
        <v>7.0000000000000007E-2</v>
      </c>
      <c r="GG999" s="101">
        <f t="shared" si="517"/>
        <v>1</v>
      </c>
      <c r="GH999" s="101">
        <f t="shared" si="518"/>
        <v>22</v>
      </c>
      <c r="GI999" s="101">
        <f t="shared" si="519"/>
        <v>0</v>
      </c>
      <c r="GJ999" s="101">
        <f t="shared" si="520"/>
        <v>1</v>
      </c>
      <c r="GK999" s="101">
        <f t="shared" si="521"/>
        <v>5</v>
      </c>
      <c r="GL999" s="101">
        <f t="shared" si="522"/>
        <v>3.3700000000000001E-2</v>
      </c>
      <c r="GM999" s="101">
        <f t="shared" si="523"/>
        <v>1</v>
      </c>
      <c r="GN999" s="101">
        <f t="shared" si="524"/>
        <v>10</v>
      </c>
      <c r="GO999" s="101">
        <f t="shared" si="525"/>
        <v>0.13489999999999999</v>
      </c>
      <c r="GP999" s="101">
        <f t="shared" si="526"/>
        <v>1</v>
      </c>
      <c r="GQ999" s="101">
        <f t="shared" si="527"/>
        <v>22</v>
      </c>
    </row>
    <row r="1000" spans="175:199" ht="16.5" x14ac:dyDescent="0.2">
      <c r="FS1000" s="101">
        <v>995</v>
      </c>
      <c r="FT1000" s="101">
        <f t="shared" si="512"/>
        <v>31</v>
      </c>
      <c r="FU1000" s="101">
        <f t="shared" si="505"/>
        <v>13</v>
      </c>
      <c r="FV1000" s="14">
        <f t="shared" si="506"/>
        <v>4</v>
      </c>
      <c r="FW1000" s="101" t="str">
        <f t="shared" si="513"/>
        <v>西方龙专属武器-魂珠-4 4级</v>
      </c>
      <c r="FX1000" s="101">
        <f t="shared" si="514"/>
        <v>4</v>
      </c>
      <c r="FY1000" s="101">
        <f t="shared" si="515"/>
        <v>4</v>
      </c>
      <c r="FZ1000" s="101" t="str">
        <f t="shared" si="507"/>
        <v>金币</v>
      </c>
      <c r="GA1000" s="139">
        <f>IF($FY1000&gt;0,IF(INDEX($EM$6:$EM$77,$FT1000)&gt;=GA$3,ROUND(INDEX(EO$6:EO$77,$FT1000)*INDEX(卡牌消耗!$B$8:$F$8,FV1000)/5,0)*5,""),"")</f>
        <v>1750</v>
      </c>
      <c r="GB1000" s="101" t="str">
        <f t="shared" si="508"/>
        <v>专属强化石2</v>
      </c>
      <c r="GC1000" s="101">
        <f t="shared" si="509"/>
        <v>5</v>
      </c>
      <c r="GD1000" s="101" t="str">
        <f t="shared" si="510"/>
        <v>专属强化石3</v>
      </c>
      <c r="GE1000" s="101">
        <f t="shared" si="511"/>
        <v>2</v>
      </c>
      <c r="GF1000" s="101">
        <f t="shared" si="516"/>
        <v>0.08</v>
      </c>
      <c r="GG1000" s="101">
        <f t="shared" si="517"/>
        <v>1</v>
      </c>
      <c r="GH1000" s="101">
        <f t="shared" si="518"/>
        <v>19</v>
      </c>
      <c r="GI1000" s="101">
        <f t="shared" si="519"/>
        <v>0</v>
      </c>
      <c r="GJ1000" s="101">
        <f t="shared" si="520"/>
        <v>1</v>
      </c>
      <c r="GK1000" s="101">
        <f t="shared" si="521"/>
        <v>4</v>
      </c>
      <c r="GL1000" s="101">
        <f t="shared" si="522"/>
        <v>4.0500000000000001E-2</v>
      </c>
      <c r="GM1000" s="101">
        <f t="shared" si="523"/>
        <v>1</v>
      </c>
      <c r="GN1000" s="101">
        <f t="shared" si="524"/>
        <v>9</v>
      </c>
      <c r="GO1000" s="101">
        <f t="shared" si="525"/>
        <v>0.16189999999999999</v>
      </c>
      <c r="GP1000" s="101">
        <f t="shared" si="526"/>
        <v>1</v>
      </c>
      <c r="GQ1000" s="101">
        <f t="shared" si="527"/>
        <v>19</v>
      </c>
    </row>
    <row r="1001" spans="175:199" ht="16.5" x14ac:dyDescent="0.2">
      <c r="FS1001" s="101">
        <v>996</v>
      </c>
      <c r="FT1001" s="101">
        <f t="shared" si="512"/>
        <v>32</v>
      </c>
      <c r="FU1001" s="101">
        <f t="shared" si="505"/>
        <v>13</v>
      </c>
      <c r="FV1001" s="14">
        <f t="shared" si="506"/>
        <v>4</v>
      </c>
      <c r="FW1001" s="101" t="str">
        <f t="shared" si="513"/>
        <v>西方龙专属武器-魂珠-4 5级</v>
      </c>
      <c r="FX1001" s="101">
        <f t="shared" si="514"/>
        <v>4</v>
      </c>
      <c r="FY1001" s="101">
        <f t="shared" si="515"/>
        <v>5</v>
      </c>
      <c r="FZ1001" s="101" t="str">
        <f t="shared" si="507"/>
        <v>金币</v>
      </c>
      <c r="GA1001" s="139">
        <f>IF($FY1001&gt;0,IF(INDEX($EM$6:$EM$77,$FT1001)&gt;=GA$3,ROUND(INDEX(EO$6:EO$77,$FT1001)*INDEX(卡牌消耗!$B$8:$F$8,FV1001)/5,0)*5,""),"")</f>
        <v>1780</v>
      </c>
      <c r="GB1001" s="101" t="str">
        <f t="shared" si="508"/>
        <v>专属强化石2</v>
      </c>
      <c r="GC1001" s="101">
        <f t="shared" si="509"/>
        <v>5</v>
      </c>
      <c r="GD1001" s="101" t="str">
        <f t="shared" si="510"/>
        <v>专属强化石3</v>
      </c>
      <c r="GE1001" s="101">
        <f t="shared" si="511"/>
        <v>2</v>
      </c>
      <c r="GF1001" s="101">
        <f t="shared" si="516"/>
        <v>0.05</v>
      </c>
      <c r="GG1001" s="101">
        <f t="shared" si="517"/>
        <v>1</v>
      </c>
      <c r="GH1001" s="101">
        <f t="shared" si="518"/>
        <v>30</v>
      </c>
      <c r="GI1001" s="101">
        <f t="shared" si="519"/>
        <v>0</v>
      </c>
      <c r="GJ1001" s="101">
        <f t="shared" si="520"/>
        <v>1</v>
      </c>
      <c r="GK1001" s="101">
        <f t="shared" si="521"/>
        <v>7</v>
      </c>
      <c r="GL1001" s="101">
        <f t="shared" si="522"/>
        <v>2.53E-2</v>
      </c>
      <c r="GM1001" s="101">
        <f t="shared" si="523"/>
        <v>1</v>
      </c>
      <c r="GN1001" s="101">
        <f t="shared" si="524"/>
        <v>14</v>
      </c>
      <c r="GO1001" s="101">
        <f t="shared" si="525"/>
        <v>0.1012</v>
      </c>
      <c r="GP1001" s="101">
        <f t="shared" si="526"/>
        <v>1</v>
      </c>
      <c r="GQ1001" s="101">
        <f t="shared" si="527"/>
        <v>30</v>
      </c>
    </row>
    <row r="1002" spans="175:199" ht="16.5" x14ac:dyDescent="0.2">
      <c r="FS1002" s="101">
        <v>997</v>
      </c>
      <c r="FT1002" s="101">
        <f t="shared" si="512"/>
        <v>33</v>
      </c>
      <c r="FU1002" s="101">
        <f t="shared" si="505"/>
        <v>13</v>
      </c>
      <c r="FV1002" s="14">
        <f t="shared" si="506"/>
        <v>4</v>
      </c>
      <c r="FW1002" s="101" t="str">
        <f t="shared" si="513"/>
        <v>西方龙专属武器-魂珠-4 6级</v>
      </c>
      <c r="FX1002" s="101">
        <f t="shared" si="514"/>
        <v>4</v>
      </c>
      <c r="FY1002" s="101">
        <f t="shared" si="515"/>
        <v>6</v>
      </c>
      <c r="FZ1002" s="101" t="str">
        <f t="shared" si="507"/>
        <v>金币</v>
      </c>
      <c r="GA1002" s="139">
        <f>IF($FY1002&gt;0,IF(INDEX($EM$6:$EM$77,$FT1002)&gt;=GA$3,ROUND(INDEX(EO$6:EO$77,$FT1002)*INDEX(卡牌消耗!$B$8:$F$8,FV1002)/5,0)*5,""),"")</f>
        <v>1770</v>
      </c>
      <c r="GB1002" s="101" t="str">
        <f t="shared" si="508"/>
        <v>专属强化石2</v>
      </c>
      <c r="GC1002" s="101">
        <f t="shared" si="509"/>
        <v>5</v>
      </c>
      <c r="GD1002" s="101" t="str">
        <f t="shared" si="510"/>
        <v>专属强化石3</v>
      </c>
      <c r="GE1002" s="101">
        <f t="shared" si="511"/>
        <v>2</v>
      </c>
      <c r="GF1002" s="101">
        <f t="shared" si="516"/>
        <v>0.03</v>
      </c>
      <c r="GG1002" s="101">
        <f t="shared" si="517"/>
        <v>1</v>
      </c>
      <c r="GH1002" s="101">
        <f t="shared" si="518"/>
        <v>48</v>
      </c>
      <c r="GI1002" s="101">
        <f t="shared" si="519"/>
        <v>0</v>
      </c>
      <c r="GJ1002" s="101">
        <f t="shared" si="520"/>
        <v>1</v>
      </c>
      <c r="GK1002" s="101">
        <f t="shared" si="521"/>
        <v>11</v>
      </c>
      <c r="GL1002" s="101">
        <f t="shared" si="522"/>
        <v>1.5599999999999999E-2</v>
      </c>
      <c r="GM1002" s="101">
        <f t="shared" si="523"/>
        <v>1</v>
      </c>
      <c r="GN1002" s="101">
        <f t="shared" si="524"/>
        <v>22</v>
      </c>
      <c r="GO1002" s="101">
        <f t="shared" si="525"/>
        <v>6.2300000000000001E-2</v>
      </c>
      <c r="GP1002" s="101">
        <f t="shared" si="526"/>
        <v>1</v>
      </c>
      <c r="GQ1002" s="101">
        <f t="shared" si="527"/>
        <v>48</v>
      </c>
    </row>
    <row r="1003" spans="175:199" ht="16.5" x14ac:dyDescent="0.2">
      <c r="FS1003" s="101">
        <v>998</v>
      </c>
      <c r="FT1003" s="101">
        <f t="shared" si="512"/>
        <v>34</v>
      </c>
      <c r="FU1003" s="101">
        <f t="shared" si="505"/>
        <v>13</v>
      </c>
      <c r="FV1003" s="14">
        <f t="shared" si="506"/>
        <v>4</v>
      </c>
      <c r="FW1003" s="101" t="str">
        <f t="shared" si="513"/>
        <v>西方龙专属武器-魂珠-4 7级</v>
      </c>
      <c r="FX1003" s="101">
        <f t="shared" si="514"/>
        <v>4</v>
      </c>
      <c r="FY1003" s="101">
        <f t="shared" si="515"/>
        <v>7</v>
      </c>
      <c r="FZ1003" s="101" t="str">
        <f t="shared" si="507"/>
        <v>金币</v>
      </c>
      <c r="GA1003" s="139">
        <f>IF($FY1003&gt;0,IF(INDEX($EM$6:$EM$77,$FT1003)&gt;=GA$3,ROUND(INDEX(EO$6:EO$77,$FT1003)*INDEX(卡牌消耗!$B$8:$F$8,FV1003)/5,0)*5,""),"")</f>
        <v>2660</v>
      </c>
      <c r="GB1003" s="101" t="str">
        <f t="shared" si="508"/>
        <v>专属强化石2</v>
      </c>
      <c r="GC1003" s="101">
        <f t="shared" si="509"/>
        <v>8</v>
      </c>
      <c r="GD1003" s="101" t="str">
        <f t="shared" si="510"/>
        <v>专属强化石3</v>
      </c>
      <c r="GE1003" s="101">
        <f t="shared" si="511"/>
        <v>3</v>
      </c>
      <c r="GF1003" s="101">
        <f t="shared" si="516"/>
        <v>0.03</v>
      </c>
      <c r="GG1003" s="101">
        <f t="shared" si="517"/>
        <v>1</v>
      </c>
      <c r="GH1003" s="101">
        <f t="shared" si="518"/>
        <v>52</v>
      </c>
      <c r="GI1003" s="101">
        <f t="shared" si="519"/>
        <v>0</v>
      </c>
      <c r="GJ1003" s="101">
        <f t="shared" si="520"/>
        <v>1</v>
      </c>
      <c r="GK1003" s="101">
        <f t="shared" si="521"/>
        <v>12</v>
      </c>
      <c r="GL1003" s="101">
        <f t="shared" si="522"/>
        <v>1.4500000000000001E-2</v>
      </c>
      <c r="GM1003" s="101">
        <f t="shared" si="523"/>
        <v>1</v>
      </c>
      <c r="GN1003" s="101">
        <f t="shared" si="524"/>
        <v>24</v>
      </c>
      <c r="GO1003" s="101">
        <f t="shared" si="525"/>
        <v>5.7799999999999997E-2</v>
      </c>
      <c r="GP1003" s="101">
        <f t="shared" si="526"/>
        <v>1</v>
      </c>
      <c r="GQ1003" s="101">
        <f t="shared" si="527"/>
        <v>52</v>
      </c>
    </row>
    <row r="1004" spans="175:199" ht="16.5" x14ac:dyDescent="0.2">
      <c r="FS1004" s="101">
        <v>999</v>
      </c>
      <c r="FT1004" s="101">
        <f t="shared" si="512"/>
        <v>35</v>
      </c>
      <c r="FU1004" s="101">
        <f t="shared" si="505"/>
        <v>13</v>
      </c>
      <c r="FV1004" s="14">
        <f t="shared" si="506"/>
        <v>4</v>
      </c>
      <c r="FW1004" s="101" t="str">
        <f t="shared" si="513"/>
        <v>西方龙专属武器-魂珠-4 8级</v>
      </c>
      <c r="FX1004" s="101">
        <f t="shared" si="514"/>
        <v>4</v>
      </c>
      <c r="FY1004" s="101">
        <f t="shared" si="515"/>
        <v>8</v>
      </c>
      <c r="FZ1004" s="101" t="str">
        <f t="shared" si="507"/>
        <v>金币</v>
      </c>
      <c r="GA1004" s="139">
        <f>IF($FY1004&gt;0,IF(INDEX($EM$6:$EM$77,$FT1004)&gt;=GA$3,ROUND(INDEX(EO$6:EO$77,$FT1004)*INDEX(卡牌消耗!$B$8:$F$8,FV1004)/5,0)*5,""),"")</f>
        <v>3540</v>
      </c>
      <c r="GB1004" s="101" t="str">
        <f t="shared" si="508"/>
        <v>专属强化石2</v>
      </c>
      <c r="GC1004" s="101">
        <f t="shared" si="509"/>
        <v>11</v>
      </c>
      <c r="GD1004" s="101" t="str">
        <f t="shared" si="510"/>
        <v>专属强化石3</v>
      </c>
      <c r="GE1004" s="101">
        <f t="shared" si="511"/>
        <v>4</v>
      </c>
      <c r="GF1004" s="101">
        <f t="shared" si="516"/>
        <v>0.02</v>
      </c>
      <c r="GG1004" s="101">
        <f t="shared" si="517"/>
        <v>1</v>
      </c>
      <c r="GH1004" s="101">
        <f t="shared" si="518"/>
        <v>63</v>
      </c>
      <c r="GI1004" s="101">
        <f t="shared" si="519"/>
        <v>0</v>
      </c>
      <c r="GJ1004" s="101">
        <f t="shared" si="520"/>
        <v>1</v>
      </c>
      <c r="GK1004" s="101">
        <f t="shared" si="521"/>
        <v>15</v>
      </c>
      <c r="GL1004" s="101">
        <f t="shared" si="522"/>
        <v>1.1900000000000001E-2</v>
      </c>
      <c r="GM1004" s="101">
        <f t="shared" si="523"/>
        <v>1</v>
      </c>
      <c r="GN1004" s="101">
        <f t="shared" si="524"/>
        <v>29</v>
      </c>
      <c r="GO1004" s="101">
        <f t="shared" si="525"/>
        <v>4.7600000000000003E-2</v>
      </c>
      <c r="GP1004" s="101">
        <f t="shared" si="526"/>
        <v>1</v>
      </c>
      <c r="GQ1004" s="101">
        <f t="shared" si="527"/>
        <v>63</v>
      </c>
    </row>
    <row r="1005" spans="175:199" ht="16.5" x14ac:dyDescent="0.2">
      <c r="FS1005" s="101">
        <v>1000</v>
      </c>
      <c r="FT1005" s="101">
        <f t="shared" si="512"/>
        <v>36</v>
      </c>
      <c r="FU1005" s="101">
        <f t="shared" si="505"/>
        <v>13</v>
      </c>
      <c r="FV1005" s="14">
        <f t="shared" si="506"/>
        <v>4</v>
      </c>
      <c r="FW1005" s="101" t="str">
        <f t="shared" si="513"/>
        <v>西方龙专属武器-魂珠-4 9级</v>
      </c>
      <c r="FX1005" s="101">
        <f t="shared" si="514"/>
        <v>4</v>
      </c>
      <c r="FY1005" s="101">
        <f t="shared" si="515"/>
        <v>9</v>
      </c>
      <c r="FZ1005" s="101" t="str">
        <f t="shared" si="507"/>
        <v>金币</v>
      </c>
      <c r="GA1005" s="139">
        <f>IF($FY1005&gt;0,IF(INDEX($EM$6:$EM$77,$FT1005)&gt;=GA$3,ROUND(INDEX(EO$6:EO$77,$FT1005)*INDEX(卡牌消耗!$B$8:$F$8,FV1005)/5,0)*5,""),"")</f>
        <v>5315</v>
      </c>
      <c r="GB1005" s="101" t="str">
        <f t="shared" si="508"/>
        <v>专属强化石2</v>
      </c>
      <c r="GC1005" s="101">
        <f t="shared" si="509"/>
        <v>16</v>
      </c>
      <c r="GD1005" s="101" t="str">
        <f t="shared" si="510"/>
        <v>专属强化石3</v>
      </c>
      <c r="GE1005" s="101">
        <f t="shared" si="511"/>
        <v>6</v>
      </c>
      <c r="GF1005" s="101">
        <f t="shared" si="516"/>
        <v>0.02</v>
      </c>
      <c r="GG1005" s="101">
        <f t="shared" si="517"/>
        <v>1</v>
      </c>
      <c r="GH1005" s="101">
        <f t="shared" si="518"/>
        <v>68</v>
      </c>
      <c r="GI1005" s="101">
        <f t="shared" si="519"/>
        <v>0</v>
      </c>
      <c r="GJ1005" s="101">
        <f t="shared" si="520"/>
        <v>1</v>
      </c>
      <c r="GK1005" s="101">
        <f t="shared" si="521"/>
        <v>16</v>
      </c>
      <c r="GL1005" s="101">
        <f t="shared" si="522"/>
        <v>1.0999999999999999E-2</v>
      </c>
      <c r="GM1005" s="101">
        <f t="shared" si="523"/>
        <v>1</v>
      </c>
      <c r="GN1005" s="101">
        <f t="shared" si="524"/>
        <v>32</v>
      </c>
      <c r="GO1005" s="101">
        <f t="shared" si="525"/>
        <v>4.4200000000000003E-2</v>
      </c>
      <c r="GP1005" s="101">
        <f t="shared" si="526"/>
        <v>1</v>
      </c>
      <c r="GQ1005" s="101">
        <f t="shared" si="527"/>
        <v>68</v>
      </c>
    </row>
    <row r="1006" spans="175:199" ht="16.5" x14ac:dyDescent="0.2">
      <c r="FS1006" s="101">
        <v>1001</v>
      </c>
      <c r="FT1006" s="101">
        <f t="shared" si="512"/>
        <v>0</v>
      </c>
      <c r="FU1006" s="101">
        <f t="shared" si="505"/>
        <v>13</v>
      </c>
      <c r="FV1006" s="14">
        <f t="shared" si="506"/>
        <v>4</v>
      </c>
      <c r="FW1006" s="101" t="str">
        <f t="shared" si="513"/>
        <v>西方龙专属武器-魂珠-5 0级</v>
      </c>
      <c r="FX1006" s="101">
        <f t="shared" si="514"/>
        <v>5</v>
      </c>
      <c r="FY1006" s="101">
        <f t="shared" si="515"/>
        <v>0</v>
      </c>
      <c r="FZ1006" s="101" t="str">
        <f t="shared" si="507"/>
        <v/>
      </c>
      <c r="GA1006" s="139" t="str">
        <f>IF($FY1006&gt;0,IF(INDEX($EM$6:$EM$77,$FT1006)&gt;=GA$3,ROUND(INDEX(EO$6:EO$77,$FT1006)*INDEX(卡牌消耗!$B$8:$F$8,FV1006)/5,0)*5,""),"")</f>
        <v/>
      </c>
      <c r="GB1006" s="101" t="str">
        <f t="shared" si="508"/>
        <v/>
      </c>
      <c r="GC1006" s="101" t="str">
        <f t="shared" si="509"/>
        <v/>
      </c>
      <c r="GD1006" s="101" t="str">
        <f t="shared" si="510"/>
        <v/>
      </c>
      <c r="GE1006" s="101" t="str">
        <f t="shared" si="511"/>
        <v/>
      </c>
      <c r="GF1006" s="101" t="str">
        <f t="shared" si="516"/>
        <v/>
      </c>
      <c r="GG1006" s="101" t="str">
        <f t="shared" si="517"/>
        <v/>
      </c>
      <c r="GH1006" s="101" t="str">
        <f t="shared" si="518"/>
        <v/>
      </c>
      <c r="GI1006" s="101" t="str">
        <f t="shared" si="519"/>
        <v/>
      </c>
      <c r="GJ1006" s="101" t="str">
        <f t="shared" si="520"/>
        <v/>
      </c>
      <c r="GK1006" s="101" t="str">
        <f t="shared" si="521"/>
        <v/>
      </c>
      <c r="GL1006" s="101" t="str">
        <f t="shared" si="522"/>
        <v/>
      </c>
      <c r="GM1006" s="101" t="str">
        <f t="shared" si="523"/>
        <v/>
      </c>
      <c r="GN1006" s="101" t="str">
        <f t="shared" si="524"/>
        <v/>
      </c>
      <c r="GO1006" s="101" t="str">
        <f t="shared" si="525"/>
        <v/>
      </c>
      <c r="GP1006" s="101" t="str">
        <f t="shared" si="526"/>
        <v/>
      </c>
      <c r="GQ1006" s="101" t="str">
        <f t="shared" si="527"/>
        <v/>
      </c>
    </row>
    <row r="1007" spans="175:199" ht="16.5" x14ac:dyDescent="0.2">
      <c r="FS1007" s="101">
        <v>1002</v>
      </c>
      <c r="FT1007" s="101">
        <f t="shared" si="512"/>
        <v>37</v>
      </c>
      <c r="FU1007" s="101">
        <f t="shared" si="505"/>
        <v>13</v>
      </c>
      <c r="FV1007" s="14">
        <f t="shared" si="506"/>
        <v>4</v>
      </c>
      <c r="FW1007" s="101" t="str">
        <f t="shared" si="513"/>
        <v>西方龙专属武器-魂珠-5 1级</v>
      </c>
      <c r="FX1007" s="101">
        <f t="shared" si="514"/>
        <v>5</v>
      </c>
      <c r="FY1007" s="101">
        <f t="shared" si="515"/>
        <v>1</v>
      </c>
      <c r="FZ1007" s="101" t="str">
        <f t="shared" si="507"/>
        <v>金币</v>
      </c>
      <c r="GA1007" s="139">
        <f>IF($FY1007&gt;0,IF(INDEX($EM$6:$EM$77,$FT1007)&gt;=GA$3,ROUND(INDEX(EO$6:EO$77,$FT1007)*INDEX(卡牌消耗!$B$8:$F$8,FV1007)/5,0)*5,""),"")</f>
        <v>2245</v>
      </c>
      <c r="GB1007" s="101" t="str">
        <f t="shared" si="508"/>
        <v>专属强化石2</v>
      </c>
      <c r="GC1007" s="101">
        <f t="shared" si="509"/>
        <v>3</v>
      </c>
      <c r="GD1007" s="101" t="str">
        <f t="shared" si="510"/>
        <v>专属强化石3</v>
      </c>
      <c r="GE1007" s="101">
        <f t="shared" si="511"/>
        <v>2</v>
      </c>
      <c r="GF1007" s="101">
        <f t="shared" si="516"/>
        <v>0.2</v>
      </c>
      <c r="GG1007" s="101">
        <f t="shared" si="517"/>
        <v>1</v>
      </c>
      <c r="GH1007" s="101">
        <f t="shared" si="518"/>
        <v>7</v>
      </c>
      <c r="GI1007" s="101">
        <f t="shared" si="519"/>
        <v>0</v>
      </c>
      <c r="GJ1007" s="101">
        <f t="shared" si="520"/>
        <v>1</v>
      </c>
      <c r="GK1007" s="101">
        <f t="shared" si="521"/>
        <v>2</v>
      </c>
      <c r="GL1007" s="101">
        <f t="shared" si="522"/>
        <v>0.1012</v>
      </c>
      <c r="GM1007" s="101">
        <f t="shared" si="523"/>
        <v>1</v>
      </c>
      <c r="GN1007" s="101">
        <f t="shared" si="524"/>
        <v>3</v>
      </c>
      <c r="GO1007" s="101">
        <f t="shared" si="525"/>
        <v>0.40479999999999999</v>
      </c>
      <c r="GP1007" s="101">
        <f t="shared" si="526"/>
        <v>1</v>
      </c>
      <c r="GQ1007" s="101">
        <f t="shared" si="527"/>
        <v>7</v>
      </c>
    </row>
    <row r="1008" spans="175:199" ht="16.5" x14ac:dyDescent="0.2">
      <c r="FS1008" s="101">
        <v>1003</v>
      </c>
      <c r="FT1008" s="101">
        <f t="shared" si="512"/>
        <v>38</v>
      </c>
      <c r="FU1008" s="101">
        <f t="shared" si="505"/>
        <v>13</v>
      </c>
      <c r="FV1008" s="14">
        <f t="shared" si="506"/>
        <v>4</v>
      </c>
      <c r="FW1008" s="101" t="str">
        <f t="shared" si="513"/>
        <v>西方龙专属武器-魂珠-5 2级</v>
      </c>
      <c r="FX1008" s="101">
        <f t="shared" si="514"/>
        <v>5</v>
      </c>
      <c r="FY1008" s="101">
        <f t="shared" si="515"/>
        <v>2</v>
      </c>
      <c r="FZ1008" s="101" t="str">
        <f t="shared" si="507"/>
        <v>金币</v>
      </c>
      <c r="GA1008" s="139">
        <f>IF($FY1008&gt;0,IF(INDEX($EM$6:$EM$77,$FT1008)&gt;=GA$3,ROUND(INDEX(EO$6:EO$77,$FT1008)*INDEX(卡牌消耗!$B$8:$F$8,FV1008)/5,0)*5,""),"")</f>
        <v>1685</v>
      </c>
      <c r="GB1008" s="101" t="str">
        <f t="shared" si="508"/>
        <v>专属强化石2</v>
      </c>
      <c r="GC1008" s="101">
        <f t="shared" si="509"/>
        <v>3</v>
      </c>
      <c r="GD1008" s="101" t="str">
        <f t="shared" si="510"/>
        <v>专属强化石3</v>
      </c>
      <c r="GE1008" s="101">
        <f t="shared" si="511"/>
        <v>2</v>
      </c>
      <c r="GF1008" s="101">
        <f t="shared" si="516"/>
        <v>0.1</v>
      </c>
      <c r="GG1008" s="101">
        <f t="shared" si="517"/>
        <v>1</v>
      </c>
      <c r="GH1008" s="101">
        <f t="shared" si="518"/>
        <v>15</v>
      </c>
      <c r="GI1008" s="101">
        <f t="shared" si="519"/>
        <v>0</v>
      </c>
      <c r="GJ1008" s="101">
        <f t="shared" si="520"/>
        <v>1</v>
      </c>
      <c r="GK1008" s="101">
        <f t="shared" si="521"/>
        <v>3</v>
      </c>
      <c r="GL1008" s="101">
        <f t="shared" si="522"/>
        <v>5.0599999999999999E-2</v>
      </c>
      <c r="GM1008" s="101">
        <f t="shared" si="523"/>
        <v>1</v>
      </c>
      <c r="GN1008" s="101">
        <f t="shared" si="524"/>
        <v>7</v>
      </c>
      <c r="GO1008" s="101">
        <f t="shared" si="525"/>
        <v>0.2024</v>
      </c>
      <c r="GP1008" s="101">
        <f t="shared" si="526"/>
        <v>1</v>
      </c>
      <c r="GQ1008" s="101">
        <f t="shared" si="527"/>
        <v>15</v>
      </c>
    </row>
    <row r="1009" spans="175:199" ht="16.5" x14ac:dyDescent="0.2">
      <c r="FS1009" s="101">
        <v>1004</v>
      </c>
      <c r="FT1009" s="101">
        <f t="shared" si="512"/>
        <v>39</v>
      </c>
      <c r="FU1009" s="101">
        <f t="shared" si="505"/>
        <v>13</v>
      </c>
      <c r="FV1009" s="14">
        <f t="shared" si="506"/>
        <v>4</v>
      </c>
      <c r="FW1009" s="101" t="str">
        <f t="shared" si="513"/>
        <v>西方龙专属武器-魂珠-5 3级</v>
      </c>
      <c r="FX1009" s="101">
        <f t="shared" si="514"/>
        <v>5</v>
      </c>
      <c r="FY1009" s="101">
        <f t="shared" si="515"/>
        <v>3</v>
      </c>
      <c r="FZ1009" s="101" t="str">
        <f t="shared" si="507"/>
        <v>金币</v>
      </c>
      <c r="GA1009" s="139">
        <f>IF($FY1009&gt;0,IF(INDEX($EM$6:$EM$77,$FT1009)&gt;=GA$3,ROUND(INDEX(EO$6:EO$77,$FT1009)*INDEX(卡牌消耗!$B$8:$F$8,FV1009)/5,0)*5,""),"")</f>
        <v>1870</v>
      </c>
      <c r="GB1009" s="101" t="str">
        <f t="shared" si="508"/>
        <v>专属强化石2</v>
      </c>
      <c r="GC1009" s="101">
        <f t="shared" si="509"/>
        <v>3</v>
      </c>
      <c r="GD1009" s="101" t="str">
        <f t="shared" si="510"/>
        <v>专属强化石3</v>
      </c>
      <c r="GE1009" s="101">
        <f t="shared" si="511"/>
        <v>2</v>
      </c>
      <c r="GF1009" s="101">
        <f t="shared" si="516"/>
        <v>7.0000000000000007E-2</v>
      </c>
      <c r="GG1009" s="101">
        <f t="shared" si="517"/>
        <v>1</v>
      </c>
      <c r="GH1009" s="101">
        <f t="shared" si="518"/>
        <v>22</v>
      </c>
      <c r="GI1009" s="101">
        <f t="shared" si="519"/>
        <v>0</v>
      </c>
      <c r="GJ1009" s="101">
        <f t="shared" si="520"/>
        <v>1</v>
      </c>
      <c r="GK1009" s="101">
        <f t="shared" si="521"/>
        <v>5</v>
      </c>
      <c r="GL1009" s="101">
        <f t="shared" si="522"/>
        <v>3.3700000000000001E-2</v>
      </c>
      <c r="GM1009" s="101">
        <f t="shared" si="523"/>
        <v>1</v>
      </c>
      <c r="GN1009" s="101">
        <f t="shared" si="524"/>
        <v>10</v>
      </c>
      <c r="GO1009" s="101">
        <f t="shared" si="525"/>
        <v>0.13489999999999999</v>
      </c>
      <c r="GP1009" s="101">
        <f t="shared" si="526"/>
        <v>1</v>
      </c>
      <c r="GQ1009" s="101">
        <f t="shared" si="527"/>
        <v>22</v>
      </c>
    </row>
    <row r="1010" spans="175:199" ht="16.5" x14ac:dyDescent="0.2">
      <c r="FS1010" s="101">
        <v>1005</v>
      </c>
      <c r="FT1010" s="101">
        <f t="shared" si="512"/>
        <v>40</v>
      </c>
      <c r="FU1010" s="101">
        <f t="shared" si="505"/>
        <v>13</v>
      </c>
      <c r="FV1010" s="14">
        <f t="shared" si="506"/>
        <v>4</v>
      </c>
      <c r="FW1010" s="101" t="str">
        <f t="shared" si="513"/>
        <v>西方龙专属武器-魂珠-5 4级</v>
      </c>
      <c r="FX1010" s="101">
        <f t="shared" si="514"/>
        <v>5</v>
      </c>
      <c r="FY1010" s="101">
        <f t="shared" si="515"/>
        <v>4</v>
      </c>
      <c r="FZ1010" s="101" t="str">
        <f t="shared" si="507"/>
        <v>金币</v>
      </c>
      <c r="GA1010" s="139">
        <f>IF($FY1010&gt;0,IF(INDEX($EM$6:$EM$77,$FT1010)&gt;=GA$3,ROUND(INDEX(EO$6:EO$77,$FT1010)*INDEX(卡牌消耗!$B$8:$F$8,FV1010)/5,0)*5,""),"")</f>
        <v>2695</v>
      </c>
      <c r="GB1010" s="101" t="str">
        <f t="shared" si="508"/>
        <v>专属强化石2</v>
      </c>
      <c r="GC1010" s="101">
        <f t="shared" si="509"/>
        <v>5</v>
      </c>
      <c r="GD1010" s="101" t="str">
        <f t="shared" si="510"/>
        <v>专属强化石3</v>
      </c>
      <c r="GE1010" s="101">
        <f t="shared" si="511"/>
        <v>3</v>
      </c>
      <c r="GF1010" s="101">
        <f t="shared" si="516"/>
        <v>0.06</v>
      </c>
      <c r="GG1010" s="101">
        <f t="shared" si="517"/>
        <v>1</v>
      </c>
      <c r="GH1010" s="101">
        <f t="shared" si="518"/>
        <v>25</v>
      </c>
      <c r="GI1010" s="101">
        <f t="shared" si="519"/>
        <v>0</v>
      </c>
      <c r="GJ1010" s="101">
        <f t="shared" si="520"/>
        <v>1</v>
      </c>
      <c r="GK1010" s="101">
        <f t="shared" si="521"/>
        <v>6</v>
      </c>
      <c r="GL1010" s="101">
        <f t="shared" si="522"/>
        <v>3.04E-2</v>
      </c>
      <c r="GM1010" s="101">
        <f t="shared" si="523"/>
        <v>1</v>
      </c>
      <c r="GN1010" s="101">
        <f t="shared" si="524"/>
        <v>12</v>
      </c>
      <c r="GO1010" s="101">
        <f t="shared" si="525"/>
        <v>0.12139999999999999</v>
      </c>
      <c r="GP1010" s="101">
        <f t="shared" si="526"/>
        <v>1</v>
      </c>
      <c r="GQ1010" s="101">
        <f t="shared" si="527"/>
        <v>25</v>
      </c>
    </row>
    <row r="1011" spans="175:199" ht="16.5" x14ac:dyDescent="0.2">
      <c r="FS1011" s="101">
        <v>1006</v>
      </c>
      <c r="FT1011" s="101">
        <f t="shared" si="512"/>
        <v>41</v>
      </c>
      <c r="FU1011" s="101">
        <f t="shared" si="505"/>
        <v>13</v>
      </c>
      <c r="FV1011" s="14">
        <f t="shared" si="506"/>
        <v>4</v>
      </c>
      <c r="FW1011" s="101" t="str">
        <f t="shared" si="513"/>
        <v>西方龙专属武器-魂珠-5 5级</v>
      </c>
      <c r="FX1011" s="101">
        <f t="shared" si="514"/>
        <v>5</v>
      </c>
      <c r="FY1011" s="101">
        <f t="shared" si="515"/>
        <v>5</v>
      </c>
      <c r="FZ1011" s="101" t="str">
        <f t="shared" si="507"/>
        <v>金币</v>
      </c>
      <c r="GA1011" s="139">
        <f>IF($FY1011&gt;0,IF(INDEX($EM$6:$EM$77,$FT1011)&gt;=GA$3,ROUND(INDEX(EO$6:EO$77,$FT1011)*INDEX(卡牌消耗!$B$8:$F$8,FV1011)/5,0)*5,""),"")</f>
        <v>2735</v>
      </c>
      <c r="GB1011" s="101" t="str">
        <f t="shared" si="508"/>
        <v>专属强化石2</v>
      </c>
      <c r="GC1011" s="101">
        <f t="shared" si="509"/>
        <v>5</v>
      </c>
      <c r="GD1011" s="101" t="str">
        <f t="shared" si="510"/>
        <v>专属强化石3</v>
      </c>
      <c r="GE1011" s="101">
        <f t="shared" si="511"/>
        <v>3</v>
      </c>
      <c r="GF1011" s="101">
        <f t="shared" si="516"/>
        <v>0.04</v>
      </c>
      <c r="GG1011" s="101">
        <f t="shared" si="517"/>
        <v>1</v>
      </c>
      <c r="GH1011" s="101">
        <f t="shared" si="518"/>
        <v>40</v>
      </c>
      <c r="GI1011" s="101">
        <f t="shared" si="519"/>
        <v>0</v>
      </c>
      <c r="GJ1011" s="101">
        <f t="shared" si="520"/>
        <v>1</v>
      </c>
      <c r="GK1011" s="101">
        <f t="shared" si="521"/>
        <v>9</v>
      </c>
      <c r="GL1011" s="101">
        <f t="shared" si="522"/>
        <v>1.9E-2</v>
      </c>
      <c r="GM1011" s="101">
        <f t="shared" si="523"/>
        <v>1</v>
      </c>
      <c r="GN1011" s="101">
        <f t="shared" si="524"/>
        <v>18</v>
      </c>
      <c r="GO1011" s="101">
        <f t="shared" si="525"/>
        <v>7.5899999999999995E-2</v>
      </c>
      <c r="GP1011" s="101">
        <f t="shared" si="526"/>
        <v>1</v>
      </c>
      <c r="GQ1011" s="101">
        <f t="shared" si="527"/>
        <v>40</v>
      </c>
    </row>
    <row r="1012" spans="175:199" ht="16.5" x14ac:dyDescent="0.2">
      <c r="FS1012" s="101">
        <v>1007</v>
      </c>
      <c r="FT1012" s="101">
        <f t="shared" si="512"/>
        <v>42</v>
      </c>
      <c r="FU1012" s="101">
        <f t="shared" si="505"/>
        <v>13</v>
      </c>
      <c r="FV1012" s="14">
        <f t="shared" si="506"/>
        <v>4</v>
      </c>
      <c r="FW1012" s="101" t="str">
        <f t="shared" si="513"/>
        <v>西方龙专属武器-魂珠-5 6级</v>
      </c>
      <c r="FX1012" s="101">
        <f t="shared" si="514"/>
        <v>5</v>
      </c>
      <c r="FY1012" s="101">
        <f t="shared" si="515"/>
        <v>6</v>
      </c>
      <c r="FZ1012" s="101" t="str">
        <f t="shared" si="507"/>
        <v>金币</v>
      </c>
      <c r="GA1012" s="139">
        <f>IF($FY1012&gt;0,IF(INDEX($EM$6:$EM$77,$FT1012)&gt;=GA$3,ROUND(INDEX(EO$6:EO$77,$FT1012)*INDEX(卡牌消耗!$B$8:$F$8,FV1012)/5,0)*5,""),"")</f>
        <v>4530</v>
      </c>
      <c r="GB1012" s="101" t="str">
        <f t="shared" si="508"/>
        <v>专属强化石2</v>
      </c>
      <c r="GC1012" s="101">
        <f t="shared" si="509"/>
        <v>8</v>
      </c>
      <c r="GD1012" s="101" t="str">
        <f t="shared" si="510"/>
        <v>专属强化石3</v>
      </c>
      <c r="GE1012" s="101">
        <f t="shared" si="511"/>
        <v>5</v>
      </c>
      <c r="GF1012" s="101">
        <f t="shared" si="516"/>
        <v>0.04</v>
      </c>
      <c r="GG1012" s="101">
        <f t="shared" si="517"/>
        <v>1</v>
      </c>
      <c r="GH1012" s="101">
        <f t="shared" si="518"/>
        <v>39</v>
      </c>
      <c r="GI1012" s="101">
        <f t="shared" si="519"/>
        <v>0</v>
      </c>
      <c r="GJ1012" s="101">
        <f t="shared" si="520"/>
        <v>1</v>
      </c>
      <c r="GK1012" s="101">
        <f t="shared" si="521"/>
        <v>9</v>
      </c>
      <c r="GL1012" s="101">
        <f t="shared" si="522"/>
        <v>1.95E-2</v>
      </c>
      <c r="GM1012" s="101">
        <f t="shared" si="523"/>
        <v>1</v>
      </c>
      <c r="GN1012" s="101">
        <f t="shared" si="524"/>
        <v>18</v>
      </c>
      <c r="GO1012" s="101">
        <f t="shared" si="525"/>
        <v>7.7799999999999994E-2</v>
      </c>
      <c r="GP1012" s="101">
        <f t="shared" si="526"/>
        <v>1</v>
      </c>
      <c r="GQ1012" s="101">
        <f t="shared" si="527"/>
        <v>39</v>
      </c>
    </row>
    <row r="1013" spans="175:199" ht="16.5" x14ac:dyDescent="0.2">
      <c r="FS1013" s="101">
        <v>1008</v>
      </c>
      <c r="FT1013" s="101">
        <f t="shared" si="512"/>
        <v>43</v>
      </c>
      <c r="FU1013" s="101">
        <f t="shared" si="505"/>
        <v>13</v>
      </c>
      <c r="FV1013" s="14">
        <f t="shared" si="506"/>
        <v>4</v>
      </c>
      <c r="FW1013" s="101" t="str">
        <f t="shared" si="513"/>
        <v>西方龙专属武器-魂珠-5 7级</v>
      </c>
      <c r="FX1013" s="101">
        <f t="shared" si="514"/>
        <v>5</v>
      </c>
      <c r="FY1013" s="101">
        <f t="shared" si="515"/>
        <v>7</v>
      </c>
      <c r="FZ1013" s="101" t="str">
        <f t="shared" si="507"/>
        <v>金币</v>
      </c>
      <c r="GA1013" s="139">
        <f>IF($FY1013&gt;0,IF(INDEX($EM$6:$EM$77,$FT1013)&gt;=GA$3,ROUND(INDEX(EO$6:EO$77,$FT1013)*INDEX(卡牌消耗!$B$8:$F$8,FV1013)/5,0)*5,""),"")</f>
        <v>4540</v>
      </c>
      <c r="GB1013" s="101" t="str">
        <f t="shared" si="508"/>
        <v>专属强化石2</v>
      </c>
      <c r="GC1013" s="101">
        <f t="shared" si="509"/>
        <v>8</v>
      </c>
      <c r="GD1013" s="101" t="str">
        <f t="shared" si="510"/>
        <v>专属强化石3</v>
      </c>
      <c r="GE1013" s="101">
        <f t="shared" si="511"/>
        <v>5</v>
      </c>
      <c r="GF1013" s="101">
        <f t="shared" si="516"/>
        <v>0.02</v>
      </c>
      <c r="GG1013" s="101">
        <f t="shared" si="517"/>
        <v>1</v>
      </c>
      <c r="GH1013" s="101">
        <f t="shared" si="518"/>
        <v>62</v>
      </c>
      <c r="GI1013" s="101">
        <f t="shared" si="519"/>
        <v>0</v>
      </c>
      <c r="GJ1013" s="101">
        <f t="shared" si="520"/>
        <v>1</v>
      </c>
      <c r="GK1013" s="101">
        <f t="shared" si="521"/>
        <v>15</v>
      </c>
      <c r="GL1013" s="101">
        <f t="shared" si="522"/>
        <v>1.2E-2</v>
      </c>
      <c r="GM1013" s="101">
        <f t="shared" si="523"/>
        <v>1</v>
      </c>
      <c r="GN1013" s="101">
        <f t="shared" si="524"/>
        <v>29</v>
      </c>
      <c r="GO1013" s="101">
        <f t="shared" si="525"/>
        <v>4.82E-2</v>
      </c>
      <c r="GP1013" s="101">
        <f t="shared" si="526"/>
        <v>1</v>
      </c>
      <c r="GQ1013" s="101">
        <f t="shared" si="527"/>
        <v>62</v>
      </c>
    </row>
    <row r="1014" spans="175:199" ht="16.5" x14ac:dyDescent="0.2">
      <c r="FS1014" s="101">
        <v>1009</v>
      </c>
      <c r="FT1014" s="101">
        <f t="shared" si="512"/>
        <v>44</v>
      </c>
      <c r="FU1014" s="101">
        <f t="shared" si="505"/>
        <v>13</v>
      </c>
      <c r="FV1014" s="14">
        <f t="shared" si="506"/>
        <v>4</v>
      </c>
      <c r="FW1014" s="101" t="str">
        <f t="shared" si="513"/>
        <v>西方龙专属武器-魂珠-5 8级</v>
      </c>
      <c r="FX1014" s="101">
        <f t="shared" si="514"/>
        <v>5</v>
      </c>
      <c r="FY1014" s="101">
        <f t="shared" si="515"/>
        <v>8</v>
      </c>
      <c r="FZ1014" s="101" t="str">
        <f t="shared" si="507"/>
        <v>金币</v>
      </c>
      <c r="GA1014" s="139">
        <f>IF($FY1014&gt;0,IF(INDEX($EM$6:$EM$77,$FT1014)&gt;=GA$3,ROUND(INDEX(EO$6:EO$77,$FT1014)*INDEX(卡牌消耗!$B$8:$F$8,FV1014)/5,0)*5,""),"")</f>
        <v>6350</v>
      </c>
      <c r="GB1014" s="101" t="str">
        <f t="shared" si="508"/>
        <v>专属强化石2</v>
      </c>
      <c r="GC1014" s="101">
        <f t="shared" si="509"/>
        <v>11</v>
      </c>
      <c r="GD1014" s="101" t="str">
        <f t="shared" si="510"/>
        <v>专属强化石3</v>
      </c>
      <c r="GE1014" s="101">
        <f t="shared" si="511"/>
        <v>7</v>
      </c>
      <c r="GF1014" s="101">
        <f t="shared" si="516"/>
        <v>0.02</v>
      </c>
      <c r="GG1014" s="101">
        <f t="shared" si="517"/>
        <v>1</v>
      </c>
      <c r="GH1014" s="101">
        <f t="shared" si="518"/>
        <v>72</v>
      </c>
      <c r="GI1014" s="101">
        <f t="shared" si="519"/>
        <v>0</v>
      </c>
      <c r="GJ1014" s="101">
        <f t="shared" si="520"/>
        <v>1</v>
      </c>
      <c r="GK1014" s="101">
        <f t="shared" si="521"/>
        <v>17</v>
      </c>
      <c r="GL1014" s="101">
        <f t="shared" si="522"/>
        <v>1.04E-2</v>
      </c>
      <c r="GM1014" s="101">
        <f t="shared" si="523"/>
        <v>1</v>
      </c>
      <c r="GN1014" s="101">
        <f t="shared" si="524"/>
        <v>34</v>
      </c>
      <c r="GO1014" s="101">
        <f t="shared" si="525"/>
        <v>4.1700000000000001E-2</v>
      </c>
      <c r="GP1014" s="101">
        <f t="shared" si="526"/>
        <v>1</v>
      </c>
      <c r="GQ1014" s="101">
        <f t="shared" si="527"/>
        <v>72</v>
      </c>
    </row>
    <row r="1015" spans="175:199" ht="16.5" x14ac:dyDescent="0.2">
      <c r="FS1015" s="101">
        <v>1010</v>
      </c>
      <c r="FT1015" s="101">
        <f t="shared" si="512"/>
        <v>45</v>
      </c>
      <c r="FU1015" s="101">
        <f t="shared" si="505"/>
        <v>13</v>
      </c>
      <c r="FV1015" s="14">
        <f t="shared" si="506"/>
        <v>4</v>
      </c>
      <c r="FW1015" s="101" t="str">
        <f t="shared" si="513"/>
        <v>西方龙专属武器-魂珠-5 9级</v>
      </c>
      <c r="FX1015" s="101">
        <f t="shared" si="514"/>
        <v>5</v>
      </c>
      <c r="FY1015" s="101">
        <f t="shared" si="515"/>
        <v>9</v>
      </c>
      <c r="FZ1015" s="101" t="str">
        <f t="shared" si="507"/>
        <v>金币</v>
      </c>
      <c r="GA1015" s="139">
        <f>IF($FY1015&gt;0,IF(INDEX($EM$6:$EM$77,$FT1015)&gt;=GA$3,ROUND(INDEX(EO$6:EO$77,$FT1015)*INDEX(卡牌消耗!$B$8:$F$8,FV1015)/5,0)*5,""),"")</f>
        <v>8170</v>
      </c>
      <c r="GB1015" s="101" t="str">
        <f t="shared" si="508"/>
        <v>专属强化石2</v>
      </c>
      <c r="GC1015" s="101">
        <f t="shared" si="509"/>
        <v>14</v>
      </c>
      <c r="GD1015" s="101" t="str">
        <f t="shared" si="510"/>
        <v>专属强化石3</v>
      </c>
      <c r="GE1015" s="101">
        <f t="shared" si="511"/>
        <v>9</v>
      </c>
      <c r="GF1015" s="101">
        <f t="shared" si="516"/>
        <v>0.02</v>
      </c>
      <c r="GG1015" s="101">
        <f t="shared" si="517"/>
        <v>1</v>
      </c>
      <c r="GH1015" s="101">
        <f t="shared" si="518"/>
        <v>91</v>
      </c>
      <c r="GI1015" s="101">
        <f t="shared" si="519"/>
        <v>0</v>
      </c>
      <c r="GJ1015" s="101">
        <f t="shared" si="520"/>
        <v>1</v>
      </c>
      <c r="GK1015" s="101">
        <f t="shared" si="521"/>
        <v>21</v>
      </c>
      <c r="GL1015" s="101">
        <f t="shared" si="522"/>
        <v>8.3000000000000001E-3</v>
      </c>
      <c r="GM1015" s="101">
        <f t="shared" si="523"/>
        <v>1</v>
      </c>
      <c r="GN1015" s="101">
        <f t="shared" si="524"/>
        <v>42</v>
      </c>
      <c r="GO1015" s="101">
        <f t="shared" si="525"/>
        <v>3.3099999999999997E-2</v>
      </c>
      <c r="GP1015" s="101">
        <f t="shared" si="526"/>
        <v>1</v>
      </c>
      <c r="GQ1015" s="101">
        <f t="shared" si="527"/>
        <v>91</v>
      </c>
    </row>
    <row r="1016" spans="175:199" ht="16.5" x14ac:dyDescent="0.2">
      <c r="FS1016" s="101">
        <v>1011</v>
      </c>
      <c r="FT1016" s="101">
        <f t="shared" si="512"/>
        <v>0</v>
      </c>
      <c r="FU1016" s="101">
        <f t="shared" si="505"/>
        <v>13</v>
      </c>
      <c r="FV1016" s="14">
        <f t="shared" si="506"/>
        <v>4</v>
      </c>
      <c r="FW1016" s="101" t="str">
        <f t="shared" si="513"/>
        <v>西方龙专属武器-魂珠-6 0级</v>
      </c>
      <c r="FX1016" s="101">
        <f t="shared" si="514"/>
        <v>6</v>
      </c>
      <c r="FY1016" s="101">
        <f t="shared" si="515"/>
        <v>0</v>
      </c>
      <c r="FZ1016" s="101" t="str">
        <f t="shared" si="507"/>
        <v/>
      </c>
      <c r="GA1016" s="139" t="str">
        <f>IF($FY1016&gt;0,IF(INDEX($EM$6:$EM$77,$FT1016)&gt;=GA$3,ROUND(INDEX(EO$6:EO$77,$FT1016)*INDEX(卡牌消耗!$B$8:$F$8,FV1016)/5,0)*5,""),"")</f>
        <v/>
      </c>
      <c r="GB1016" s="101" t="str">
        <f t="shared" si="508"/>
        <v/>
      </c>
      <c r="GC1016" s="101" t="str">
        <f t="shared" si="509"/>
        <v/>
      </c>
      <c r="GD1016" s="101" t="str">
        <f t="shared" si="510"/>
        <v/>
      </c>
      <c r="GE1016" s="101" t="str">
        <f t="shared" si="511"/>
        <v/>
      </c>
      <c r="GF1016" s="101" t="str">
        <f t="shared" si="516"/>
        <v/>
      </c>
      <c r="GG1016" s="101" t="str">
        <f t="shared" si="517"/>
        <v/>
      </c>
      <c r="GH1016" s="101" t="str">
        <f t="shared" si="518"/>
        <v/>
      </c>
      <c r="GI1016" s="101" t="str">
        <f t="shared" si="519"/>
        <v/>
      </c>
      <c r="GJ1016" s="101" t="str">
        <f t="shared" si="520"/>
        <v/>
      </c>
      <c r="GK1016" s="101" t="str">
        <f t="shared" si="521"/>
        <v/>
      </c>
      <c r="GL1016" s="101" t="str">
        <f t="shared" si="522"/>
        <v/>
      </c>
      <c r="GM1016" s="101" t="str">
        <f t="shared" si="523"/>
        <v/>
      </c>
      <c r="GN1016" s="101" t="str">
        <f t="shared" si="524"/>
        <v/>
      </c>
      <c r="GO1016" s="101" t="str">
        <f t="shared" si="525"/>
        <v/>
      </c>
      <c r="GP1016" s="101" t="str">
        <f t="shared" si="526"/>
        <v/>
      </c>
      <c r="GQ1016" s="101" t="str">
        <f t="shared" si="527"/>
        <v/>
      </c>
    </row>
    <row r="1017" spans="175:199" ht="16.5" x14ac:dyDescent="0.2">
      <c r="FS1017" s="101">
        <v>1012</v>
      </c>
      <c r="FT1017" s="101">
        <f t="shared" si="512"/>
        <v>46</v>
      </c>
      <c r="FU1017" s="101">
        <f t="shared" si="505"/>
        <v>13</v>
      </c>
      <c r="FV1017" s="14">
        <f t="shared" si="506"/>
        <v>4</v>
      </c>
      <c r="FW1017" s="101" t="str">
        <f t="shared" si="513"/>
        <v>西方龙专属武器-魂珠-6 1级</v>
      </c>
      <c r="FX1017" s="101">
        <f t="shared" si="514"/>
        <v>6</v>
      </c>
      <c r="FY1017" s="101">
        <f t="shared" si="515"/>
        <v>1</v>
      </c>
      <c r="FZ1017" s="101" t="str">
        <f t="shared" si="507"/>
        <v>金币</v>
      </c>
      <c r="GA1017" s="139">
        <f>IF($FY1017&gt;0,IF(INDEX($EM$6:$EM$77,$FT1017)&gt;=GA$3,ROUND(INDEX(EO$6:EO$77,$FT1017)*INDEX(卡牌消耗!$B$8:$F$8,FV1017)/5,0)*5,""),"")</f>
        <v>2180</v>
      </c>
      <c r="GB1017" s="101" t="str">
        <f t="shared" si="508"/>
        <v>专属强化石3</v>
      </c>
      <c r="GC1017" s="101">
        <f t="shared" si="509"/>
        <v>5</v>
      </c>
      <c r="GD1017" s="101" t="str">
        <f t="shared" si="510"/>
        <v>专属强化石4</v>
      </c>
      <c r="GE1017" s="101">
        <f t="shared" si="511"/>
        <v>1</v>
      </c>
      <c r="GF1017" s="101">
        <f t="shared" si="516"/>
        <v>0.17</v>
      </c>
      <c r="GG1017" s="101">
        <f t="shared" si="517"/>
        <v>1</v>
      </c>
      <c r="GH1017" s="101">
        <f t="shared" si="518"/>
        <v>9</v>
      </c>
      <c r="GI1017" s="101">
        <f t="shared" si="519"/>
        <v>0</v>
      </c>
      <c r="GJ1017" s="101">
        <f t="shared" si="520"/>
        <v>1</v>
      </c>
      <c r="GK1017" s="101">
        <f t="shared" si="521"/>
        <v>2</v>
      </c>
      <c r="GL1017" s="101">
        <f t="shared" si="522"/>
        <v>8.2900000000000001E-2</v>
      </c>
      <c r="GM1017" s="101">
        <f t="shared" si="523"/>
        <v>1</v>
      </c>
      <c r="GN1017" s="101">
        <f t="shared" si="524"/>
        <v>4</v>
      </c>
      <c r="GO1017" s="101">
        <f t="shared" si="525"/>
        <v>0.33139999999999997</v>
      </c>
      <c r="GP1017" s="101">
        <f t="shared" si="526"/>
        <v>1</v>
      </c>
      <c r="GQ1017" s="101">
        <f t="shared" si="527"/>
        <v>9</v>
      </c>
    </row>
    <row r="1018" spans="175:199" ht="16.5" x14ac:dyDescent="0.2">
      <c r="FS1018" s="101">
        <v>1013</v>
      </c>
      <c r="FT1018" s="101">
        <f t="shared" si="512"/>
        <v>47</v>
      </c>
      <c r="FU1018" s="101">
        <f t="shared" si="505"/>
        <v>13</v>
      </c>
      <c r="FV1018" s="14">
        <f t="shared" si="506"/>
        <v>4</v>
      </c>
      <c r="FW1018" s="101" t="str">
        <f t="shared" si="513"/>
        <v>西方龙专属武器-魂珠-6 2级</v>
      </c>
      <c r="FX1018" s="101">
        <f t="shared" si="514"/>
        <v>6</v>
      </c>
      <c r="FY1018" s="101">
        <f t="shared" si="515"/>
        <v>2</v>
      </c>
      <c r="FZ1018" s="101" t="str">
        <f t="shared" si="507"/>
        <v>金币</v>
      </c>
      <c r="GA1018" s="139">
        <f>IF($FY1018&gt;0,IF(INDEX($EM$6:$EM$77,$FT1018)&gt;=GA$3,ROUND(INDEX(EO$6:EO$77,$FT1018)*INDEX(卡牌消耗!$B$8:$F$8,FV1018)/5,0)*5,""),"")</f>
        <v>3270</v>
      </c>
      <c r="GB1018" s="101" t="str">
        <f t="shared" si="508"/>
        <v>专属强化石3</v>
      </c>
      <c r="GC1018" s="101">
        <f t="shared" si="509"/>
        <v>10</v>
      </c>
      <c r="GD1018" s="101" t="str">
        <f t="shared" si="510"/>
        <v>专属强化石4</v>
      </c>
      <c r="GE1018" s="101">
        <f t="shared" si="511"/>
        <v>2</v>
      </c>
      <c r="GF1018" s="101">
        <f t="shared" si="516"/>
        <v>0.17</v>
      </c>
      <c r="GG1018" s="101">
        <f t="shared" si="517"/>
        <v>1</v>
      </c>
      <c r="GH1018" s="101">
        <f t="shared" si="518"/>
        <v>9</v>
      </c>
      <c r="GI1018" s="101">
        <f t="shared" si="519"/>
        <v>0</v>
      </c>
      <c r="GJ1018" s="101">
        <f t="shared" si="520"/>
        <v>1</v>
      </c>
      <c r="GK1018" s="101">
        <f t="shared" si="521"/>
        <v>2</v>
      </c>
      <c r="GL1018" s="101">
        <f t="shared" si="522"/>
        <v>8.2900000000000001E-2</v>
      </c>
      <c r="GM1018" s="101">
        <f t="shared" si="523"/>
        <v>1</v>
      </c>
      <c r="GN1018" s="101">
        <f t="shared" si="524"/>
        <v>4</v>
      </c>
      <c r="GO1018" s="101">
        <f t="shared" si="525"/>
        <v>0.33139999999999997</v>
      </c>
      <c r="GP1018" s="101">
        <f t="shared" si="526"/>
        <v>1</v>
      </c>
      <c r="GQ1018" s="101">
        <f t="shared" si="527"/>
        <v>9</v>
      </c>
    </row>
    <row r="1019" spans="175:199" ht="16.5" x14ac:dyDescent="0.2">
      <c r="FS1019" s="101">
        <v>1014</v>
      </c>
      <c r="FT1019" s="101">
        <f t="shared" si="512"/>
        <v>48</v>
      </c>
      <c r="FU1019" s="101">
        <f t="shared" si="505"/>
        <v>13</v>
      </c>
      <c r="FV1019" s="14">
        <f t="shared" si="506"/>
        <v>4</v>
      </c>
      <c r="FW1019" s="101" t="str">
        <f t="shared" si="513"/>
        <v>西方龙专属武器-魂珠-6 3级</v>
      </c>
      <c r="FX1019" s="101">
        <f t="shared" si="514"/>
        <v>6</v>
      </c>
      <c r="FY1019" s="101">
        <f t="shared" si="515"/>
        <v>3</v>
      </c>
      <c r="FZ1019" s="101" t="str">
        <f t="shared" si="507"/>
        <v>金币</v>
      </c>
      <c r="GA1019" s="139">
        <f>IF($FY1019&gt;0,IF(INDEX($EM$6:$EM$77,$FT1019)&gt;=GA$3,ROUND(INDEX(EO$6:EO$77,$FT1019)*INDEX(卡牌消耗!$B$8:$F$8,FV1019)/5,0)*5,""),"")</f>
        <v>3635</v>
      </c>
      <c r="GB1019" s="101" t="str">
        <f t="shared" si="508"/>
        <v>专属强化石3</v>
      </c>
      <c r="GC1019" s="101">
        <f t="shared" si="509"/>
        <v>10</v>
      </c>
      <c r="GD1019" s="101" t="str">
        <f t="shared" si="510"/>
        <v>专属强化石4</v>
      </c>
      <c r="GE1019" s="101">
        <f t="shared" si="511"/>
        <v>2</v>
      </c>
      <c r="GF1019" s="101">
        <f t="shared" si="516"/>
        <v>0.11</v>
      </c>
      <c r="GG1019" s="101">
        <f t="shared" si="517"/>
        <v>1</v>
      </c>
      <c r="GH1019" s="101">
        <f t="shared" si="518"/>
        <v>14</v>
      </c>
      <c r="GI1019" s="101">
        <f t="shared" si="519"/>
        <v>0</v>
      </c>
      <c r="GJ1019" s="101">
        <f t="shared" si="520"/>
        <v>1</v>
      </c>
      <c r="GK1019" s="101">
        <f t="shared" si="521"/>
        <v>3</v>
      </c>
      <c r="GL1019" s="101">
        <f t="shared" si="522"/>
        <v>5.5199999999999999E-2</v>
      </c>
      <c r="GM1019" s="101">
        <f t="shared" si="523"/>
        <v>1</v>
      </c>
      <c r="GN1019" s="101">
        <f t="shared" si="524"/>
        <v>6</v>
      </c>
      <c r="GO1019" s="101">
        <f t="shared" si="525"/>
        <v>0.221</v>
      </c>
      <c r="GP1019" s="101">
        <f t="shared" si="526"/>
        <v>1</v>
      </c>
      <c r="GQ1019" s="101">
        <f t="shared" si="527"/>
        <v>14</v>
      </c>
    </row>
    <row r="1020" spans="175:199" ht="16.5" x14ac:dyDescent="0.2">
      <c r="FS1020" s="101">
        <v>1015</v>
      </c>
      <c r="FT1020" s="101">
        <f t="shared" si="512"/>
        <v>49</v>
      </c>
      <c r="FU1020" s="101">
        <f t="shared" si="505"/>
        <v>13</v>
      </c>
      <c r="FV1020" s="14">
        <f t="shared" si="506"/>
        <v>4</v>
      </c>
      <c r="FW1020" s="101" t="str">
        <f t="shared" si="513"/>
        <v>西方龙专属武器-魂珠-6 4级</v>
      </c>
      <c r="FX1020" s="101">
        <f t="shared" si="514"/>
        <v>6</v>
      </c>
      <c r="FY1020" s="101">
        <f t="shared" si="515"/>
        <v>4</v>
      </c>
      <c r="FZ1020" s="101" t="str">
        <f t="shared" si="507"/>
        <v>金币</v>
      </c>
      <c r="GA1020" s="139">
        <f>IF($FY1020&gt;0,IF(INDEX($EM$6:$EM$77,$FT1020)&gt;=GA$3,ROUND(INDEX(EO$6:EO$77,$FT1020)*INDEX(卡牌消耗!$B$8:$F$8,FV1020)/5,0)*5,""),"")</f>
        <v>5235</v>
      </c>
      <c r="GB1020" s="101" t="str">
        <f t="shared" si="508"/>
        <v>专属强化石3</v>
      </c>
      <c r="GC1020" s="101">
        <f t="shared" si="509"/>
        <v>15</v>
      </c>
      <c r="GD1020" s="101" t="str">
        <f t="shared" si="510"/>
        <v>专属强化石4</v>
      </c>
      <c r="GE1020" s="101">
        <f t="shared" si="511"/>
        <v>3</v>
      </c>
      <c r="GF1020" s="101">
        <f t="shared" si="516"/>
        <v>0.1</v>
      </c>
      <c r="GG1020" s="101">
        <f t="shared" si="517"/>
        <v>1</v>
      </c>
      <c r="GH1020" s="101">
        <f t="shared" si="518"/>
        <v>15</v>
      </c>
      <c r="GI1020" s="101">
        <f t="shared" si="519"/>
        <v>0</v>
      </c>
      <c r="GJ1020" s="101">
        <f t="shared" si="520"/>
        <v>1</v>
      </c>
      <c r="GK1020" s="101">
        <f t="shared" si="521"/>
        <v>4</v>
      </c>
      <c r="GL1020" s="101">
        <f t="shared" si="522"/>
        <v>4.9700000000000001E-2</v>
      </c>
      <c r="GM1020" s="101">
        <f t="shared" si="523"/>
        <v>1</v>
      </c>
      <c r="GN1020" s="101">
        <f t="shared" si="524"/>
        <v>7</v>
      </c>
      <c r="GO1020" s="101">
        <f t="shared" si="525"/>
        <v>0.19889999999999999</v>
      </c>
      <c r="GP1020" s="101">
        <f t="shared" si="526"/>
        <v>1</v>
      </c>
      <c r="GQ1020" s="101">
        <f t="shared" si="527"/>
        <v>15</v>
      </c>
    </row>
    <row r="1021" spans="175:199" ht="16.5" x14ac:dyDescent="0.2">
      <c r="FS1021" s="101">
        <v>1016</v>
      </c>
      <c r="FT1021" s="101">
        <f t="shared" si="512"/>
        <v>50</v>
      </c>
      <c r="FU1021" s="101">
        <f t="shared" si="505"/>
        <v>13</v>
      </c>
      <c r="FV1021" s="14">
        <f t="shared" si="506"/>
        <v>4</v>
      </c>
      <c r="FW1021" s="101" t="str">
        <f t="shared" si="513"/>
        <v>西方龙专属武器-魂珠-6 5级</v>
      </c>
      <c r="FX1021" s="101">
        <f t="shared" si="514"/>
        <v>6</v>
      </c>
      <c r="FY1021" s="101">
        <f t="shared" si="515"/>
        <v>5</v>
      </c>
      <c r="FZ1021" s="101" t="str">
        <f t="shared" si="507"/>
        <v>金币</v>
      </c>
      <c r="GA1021" s="139">
        <f>IF($FY1021&gt;0,IF(INDEX($EM$6:$EM$77,$FT1021)&gt;=GA$3,ROUND(INDEX(EO$6:EO$77,$FT1021)*INDEX(卡牌消耗!$B$8:$F$8,FV1021)/5,0)*5,""),"")</f>
        <v>5315</v>
      </c>
      <c r="GB1021" s="101" t="str">
        <f t="shared" si="508"/>
        <v>专属强化石3</v>
      </c>
      <c r="GC1021" s="101">
        <f t="shared" si="509"/>
        <v>15</v>
      </c>
      <c r="GD1021" s="101" t="str">
        <f t="shared" si="510"/>
        <v>专属强化石4</v>
      </c>
      <c r="GE1021" s="101">
        <f t="shared" si="511"/>
        <v>3</v>
      </c>
      <c r="GF1021" s="101">
        <f t="shared" si="516"/>
        <v>0.06</v>
      </c>
      <c r="GG1021" s="101">
        <f t="shared" si="517"/>
        <v>1</v>
      </c>
      <c r="GH1021" s="101">
        <f t="shared" si="518"/>
        <v>24</v>
      </c>
      <c r="GI1021" s="101">
        <f t="shared" si="519"/>
        <v>0</v>
      </c>
      <c r="GJ1021" s="101">
        <f t="shared" si="520"/>
        <v>1</v>
      </c>
      <c r="GK1021" s="101">
        <f t="shared" si="521"/>
        <v>6</v>
      </c>
      <c r="GL1021" s="101">
        <f t="shared" si="522"/>
        <v>3.1099999999999999E-2</v>
      </c>
      <c r="GM1021" s="101">
        <f t="shared" si="523"/>
        <v>1</v>
      </c>
      <c r="GN1021" s="101">
        <f t="shared" si="524"/>
        <v>11</v>
      </c>
      <c r="GO1021" s="101">
        <f t="shared" si="525"/>
        <v>0.12429999999999999</v>
      </c>
      <c r="GP1021" s="101">
        <f t="shared" si="526"/>
        <v>1</v>
      </c>
      <c r="GQ1021" s="101">
        <f t="shared" si="527"/>
        <v>24</v>
      </c>
    </row>
    <row r="1022" spans="175:199" ht="16.5" x14ac:dyDescent="0.2">
      <c r="FS1022" s="101">
        <v>1017</v>
      </c>
      <c r="FT1022" s="101">
        <f t="shared" si="512"/>
        <v>51</v>
      </c>
      <c r="FU1022" s="101">
        <f t="shared" si="505"/>
        <v>13</v>
      </c>
      <c r="FV1022" s="14">
        <f t="shared" si="506"/>
        <v>4</v>
      </c>
      <c r="FW1022" s="101" t="str">
        <f t="shared" si="513"/>
        <v>西方龙专属武器-魂珠-6 6级</v>
      </c>
      <c r="FX1022" s="101">
        <f t="shared" si="514"/>
        <v>6</v>
      </c>
      <c r="FY1022" s="101">
        <f t="shared" si="515"/>
        <v>6</v>
      </c>
      <c r="FZ1022" s="101" t="str">
        <f t="shared" si="507"/>
        <v>金币</v>
      </c>
      <c r="GA1022" s="139">
        <f>IF($FY1022&gt;0,IF(INDEX($EM$6:$EM$77,$FT1022)&gt;=GA$3,ROUND(INDEX(EO$6:EO$77,$FT1022)*INDEX(卡牌消耗!$B$8:$F$8,FV1022)/5,0)*5,""),"")</f>
        <v>7045</v>
      </c>
      <c r="GB1022" s="101" t="str">
        <f t="shared" si="508"/>
        <v>专属强化石3</v>
      </c>
      <c r="GC1022" s="101">
        <f t="shared" si="509"/>
        <v>20</v>
      </c>
      <c r="GD1022" s="101" t="str">
        <f t="shared" si="510"/>
        <v>专属强化石4</v>
      </c>
      <c r="GE1022" s="101">
        <f t="shared" si="511"/>
        <v>4</v>
      </c>
      <c r="GF1022" s="101">
        <f t="shared" si="516"/>
        <v>0.05</v>
      </c>
      <c r="GG1022" s="101">
        <f t="shared" si="517"/>
        <v>1</v>
      </c>
      <c r="GH1022" s="101">
        <f t="shared" si="518"/>
        <v>29</v>
      </c>
      <c r="GI1022" s="101">
        <f t="shared" si="519"/>
        <v>0</v>
      </c>
      <c r="GJ1022" s="101">
        <f t="shared" si="520"/>
        <v>1</v>
      </c>
      <c r="GK1022" s="101">
        <f t="shared" si="521"/>
        <v>7</v>
      </c>
      <c r="GL1022" s="101">
        <f t="shared" si="522"/>
        <v>2.5499999999999998E-2</v>
      </c>
      <c r="GM1022" s="101">
        <f t="shared" si="523"/>
        <v>1</v>
      </c>
      <c r="GN1022" s="101">
        <f t="shared" si="524"/>
        <v>14</v>
      </c>
      <c r="GO1022" s="101">
        <f t="shared" si="525"/>
        <v>0.10199999999999999</v>
      </c>
      <c r="GP1022" s="101">
        <f t="shared" si="526"/>
        <v>1</v>
      </c>
      <c r="GQ1022" s="101">
        <f t="shared" si="527"/>
        <v>29</v>
      </c>
    </row>
    <row r="1023" spans="175:199" ht="16.5" x14ac:dyDescent="0.2">
      <c r="FS1023" s="101">
        <v>1018</v>
      </c>
      <c r="FT1023" s="101">
        <f t="shared" si="512"/>
        <v>52</v>
      </c>
      <c r="FU1023" s="101">
        <f t="shared" si="505"/>
        <v>13</v>
      </c>
      <c r="FV1023" s="14">
        <f t="shared" si="506"/>
        <v>4</v>
      </c>
      <c r="FW1023" s="101" t="str">
        <f t="shared" si="513"/>
        <v>西方龙专属武器-魂珠-6 7级</v>
      </c>
      <c r="FX1023" s="101">
        <f t="shared" si="514"/>
        <v>6</v>
      </c>
      <c r="FY1023" s="101">
        <f t="shared" si="515"/>
        <v>7</v>
      </c>
      <c r="FZ1023" s="101" t="str">
        <f t="shared" si="507"/>
        <v>金币</v>
      </c>
      <c r="GA1023" s="139">
        <f>IF($FY1023&gt;0,IF(INDEX($EM$6:$EM$77,$FT1023)&gt;=GA$3,ROUND(INDEX(EO$6:EO$77,$FT1023)*INDEX(卡牌消耗!$B$8:$F$8,FV1023)/5,0)*5,""),"")</f>
        <v>8830</v>
      </c>
      <c r="GB1023" s="101" t="str">
        <f t="shared" si="508"/>
        <v>专属强化石3</v>
      </c>
      <c r="GC1023" s="101">
        <f t="shared" si="509"/>
        <v>25</v>
      </c>
      <c r="GD1023" s="101" t="str">
        <f t="shared" si="510"/>
        <v>专属强化石4</v>
      </c>
      <c r="GE1023" s="101">
        <f t="shared" si="511"/>
        <v>5</v>
      </c>
      <c r="GF1023" s="101">
        <f t="shared" si="516"/>
        <v>0.04</v>
      </c>
      <c r="GG1023" s="101">
        <f t="shared" si="517"/>
        <v>1</v>
      </c>
      <c r="GH1023" s="101">
        <f t="shared" si="518"/>
        <v>38</v>
      </c>
      <c r="GI1023" s="101">
        <f t="shared" si="519"/>
        <v>0</v>
      </c>
      <c r="GJ1023" s="101">
        <f t="shared" si="520"/>
        <v>1</v>
      </c>
      <c r="GK1023" s="101">
        <f t="shared" si="521"/>
        <v>9</v>
      </c>
      <c r="GL1023" s="101">
        <f t="shared" si="522"/>
        <v>1.9699999999999999E-2</v>
      </c>
      <c r="GM1023" s="101">
        <f t="shared" si="523"/>
        <v>1</v>
      </c>
      <c r="GN1023" s="101">
        <f t="shared" si="524"/>
        <v>18</v>
      </c>
      <c r="GO1023" s="101">
        <f t="shared" si="525"/>
        <v>7.8899999999999998E-2</v>
      </c>
      <c r="GP1023" s="101">
        <f t="shared" si="526"/>
        <v>1</v>
      </c>
      <c r="GQ1023" s="101">
        <f t="shared" si="527"/>
        <v>38</v>
      </c>
    </row>
    <row r="1024" spans="175:199" ht="16.5" x14ac:dyDescent="0.2">
      <c r="FS1024" s="101">
        <v>1019</v>
      </c>
      <c r="FT1024" s="101">
        <f t="shared" si="512"/>
        <v>53</v>
      </c>
      <c r="FU1024" s="101">
        <f t="shared" si="505"/>
        <v>13</v>
      </c>
      <c r="FV1024" s="14">
        <f t="shared" si="506"/>
        <v>4</v>
      </c>
      <c r="FW1024" s="101" t="str">
        <f t="shared" si="513"/>
        <v>西方龙专属武器-魂珠-6 8级</v>
      </c>
      <c r="FX1024" s="101">
        <f t="shared" si="514"/>
        <v>6</v>
      </c>
      <c r="FY1024" s="101">
        <f t="shared" si="515"/>
        <v>8</v>
      </c>
      <c r="FZ1024" s="101" t="str">
        <f t="shared" si="507"/>
        <v>金币</v>
      </c>
      <c r="GA1024" s="139">
        <f>IF($FY1024&gt;0,IF(INDEX($EM$6:$EM$77,$FT1024)&gt;=GA$3,ROUND(INDEX(EO$6:EO$77,$FT1024)*INDEX(卡牌消耗!$B$8:$F$8,FV1024)/5,0)*5,""),"")</f>
        <v>12350</v>
      </c>
      <c r="GB1024" s="101" t="str">
        <f t="shared" si="508"/>
        <v>专属强化石3</v>
      </c>
      <c r="GC1024" s="101">
        <f t="shared" si="509"/>
        <v>35</v>
      </c>
      <c r="GD1024" s="101" t="str">
        <f t="shared" si="510"/>
        <v>专属强化石4</v>
      </c>
      <c r="GE1024" s="101">
        <f t="shared" si="511"/>
        <v>7</v>
      </c>
      <c r="GF1024" s="101">
        <f t="shared" si="516"/>
        <v>0.03</v>
      </c>
      <c r="GG1024" s="101">
        <f t="shared" si="517"/>
        <v>1</v>
      </c>
      <c r="GH1024" s="101">
        <f t="shared" si="518"/>
        <v>44</v>
      </c>
      <c r="GI1024" s="101">
        <f t="shared" si="519"/>
        <v>0</v>
      </c>
      <c r="GJ1024" s="101">
        <f t="shared" si="520"/>
        <v>1</v>
      </c>
      <c r="GK1024" s="101">
        <f t="shared" si="521"/>
        <v>10</v>
      </c>
      <c r="GL1024" s="101">
        <f t="shared" si="522"/>
        <v>1.7100000000000001E-2</v>
      </c>
      <c r="GM1024" s="101">
        <f t="shared" si="523"/>
        <v>1</v>
      </c>
      <c r="GN1024" s="101">
        <f t="shared" si="524"/>
        <v>21</v>
      </c>
      <c r="GO1024" s="101">
        <f t="shared" si="525"/>
        <v>6.8199999999999997E-2</v>
      </c>
      <c r="GP1024" s="101">
        <f t="shared" si="526"/>
        <v>1</v>
      </c>
      <c r="GQ1024" s="101">
        <f t="shared" si="527"/>
        <v>44</v>
      </c>
    </row>
    <row r="1025" spans="175:199" ht="16.5" x14ac:dyDescent="0.2">
      <c r="FS1025" s="101">
        <v>1020</v>
      </c>
      <c r="FT1025" s="101">
        <f t="shared" si="512"/>
        <v>54</v>
      </c>
      <c r="FU1025" s="101">
        <f t="shared" si="505"/>
        <v>13</v>
      </c>
      <c r="FV1025" s="14">
        <f t="shared" si="506"/>
        <v>4</v>
      </c>
      <c r="FW1025" s="101" t="str">
        <f t="shared" si="513"/>
        <v>西方龙专属武器-魂珠-6 9级</v>
      </c>
      <c r="FX1025" s="101">
        <f t="shared" si="514"/>
        <v>6</v>
      </c>
      <c r="FY1025" s="101">
        <f t="shared" si="515"/>
        <v>9</v>
      </c>
      <c r="FZ1025" s="101" t="str">
        <f t="shared" si="507"/>
        <v>金币</v>
      </c>
      <c r="GA1025" s="139">
        <f>IF($FY1025&gt;0,IF(INDEX($EM$6:$EM$77,$FT1025)&gt;=GA$3,ROUND(INDEX(EO$6:EO$77,$FT1025)*INDEX(卡牌消耗!$B$8:$F$8,FV1025)/5,0)*5,""),"")</f>
        <v>14120</v>
      </c>
      <c r="GB1025" s="101" t="str">
        <f t="shared" si="508"/>
        <v>专属强化石3</v>
      </c>
      <c r="GC1025" s="101">
        <f t="shared" si="509"/>
        <v>40</v>
      </c>
      <c r="GD1025" s="101" t="str">
        <f t="shared" si="510"/>
        <v>专属强化石4</v>
      </c>
      <c r="GE1025" s="101">
        <f t="shared" si="511"/>
        <v>8</v>
      </c>
      <c r="GF1025" s="101">
        <f t="shared" si="516"/>
        <v>0.02</v>
      </c>
      <c r="GG1025" s="101">
        <f t="shared" si="517"/>
        <v>1</v>
      </c>
      <c r="GH1025" s="101">
        <f t="shared" si="518"/>
        <v>62</v>
      </c>
      <c r="GI1025" s="101">
        <f t="shared" si="519"/>
        <v>0</v>
      </c>
      <c r="GJ1025" s="101">
        <f t="shared" si="520"/>
        <v>1</v>
      </c>
      <c r="GK1025" s="101">
        <f t="shared" si="521"/>
        <v>15</v>
      </c>
      <c r="GL1025" s="101">
        <f t="shared" si="522"/>
        <v>1.21E-2</v>
      </c>
      <c r="GM1025" s="101">
        <f t="shared" si="523"/>
        <v>1</v>
      </c>
      <c r="GN1025" s="101">
        <f t="shared" si="524"/>
        <v>29</v>
      </c>
      <c r="GO1025" s="101">
        <f t="shared" si="525"/>
        <v>4.82E-2</v>
      </c>
      <c r="GP1025" s="101">
        <f t="shared" si="526"/>
        <v>1</v>
      </c>
      <c r="GQ1025" s="101">
        <f t="shared" si="527"/>
        <v>62</v>
      </c>
    </row>
    <row r="1026" spans="175:199" ht="16.5" x14ac:dyDescent="0.2">
      <c r="FS1026" s="101">
        <v>1021</v>
      </c>
      <c r="FT1026" s="101">
        <f t="shared" si="512"/>
        <v>0</v>
      </c>
      <c r="FU1026" s="101">
        <f t="shared" si="505"/>
        <v>13</v>
      </c>
      <c r="FV1026" s="14">
        <f t="shared" si="506"/>
        <v>4</v>
      </c>
      <c r="FW1026" s="101" t="str">
        <f t="shared" si="513"/>
        <v>西方龙专属武器-魂珠-7 0级</v>
      </c>
      <c r="FX1026" s="101">
        <f t="shared" si="514"/>
        <v>7</v>
      </c>
      <c r="FY1026" s="101">
        <f t="shared" si="515"/>
        <v>0</v>
      </c>
      <c r="FZ1026" s="101" t="str">
        <f t="shared" si="507"/>
        <v/>
      </c>
      <c r="GA1026" s="139" t="str">
        <f>IF($FY1026&gt;0,IF(INDEX($EM$6:$EM$77,$FT1026)&gt;=GA$3,ROUND(INDEX(EO$6:EO$77,$FT1026)*INDEX(卡牌消耗!$B$8:$F$8,FV1026)/5,0)*5,""),"")</f>
        <v/>
      </c>
      <c r="GB1026" s="101" t="str">
        <f t="shared" si="508"/>
        <v/>
      </c>
      <c r="GC1026" s="101" t="str">
        <f t="shared" si="509"/>
        <v/>
      </c>
      <c r="GD1026" s="101" t="str">
        <f t="shared" si="510"/>
        <v/>
      </c>
      <c r="GE1026" s="101" t="str">
        <f t="shared" si="511"/>
        <v/>
      </c>
      <c r="GF1026" s="101" t="str">
        <f t="shared" si="516"/>
        <v/>
      </c>
      <c r="GG1026" s="101" t="str">
        <f t="shared" si="517"/>
        <v/>
      </c>
      <c r="GH1026" s="101" t="str">
        <f t="shared" si="518"/>
        <v/>
      </c>
      <c r="GI1026" s="101" t="str">
        <f t="shared" si="519"/>
        <v/>
      </c>
      <c r="GJ1026" s="101" t="str">
        <f t="shared" si="520"/>
        <v/>
      </c>
      <c r="GK1026" s="101" t="str">
        <f t="shared" si="521"/>
        <v/>
      </c>
      <c r="GL1026" s="101" t="str">
        <f t="shared" si="522"/>
        <v/>
      </c>
      <c r="GM1026" s="101" t="str">
        <f t="shared" si="523"/>
        <v/>
      </c>
      <c r="GN1026" s="101" t="str">
        <f t="shared" si="524"/>
        <v/>
      </c>
      <c r="GO1026" s="101" t="str">
        <f t="shared" si="525"/>
        <v/>
      </c>
      <c r="GP1026" s="101" t="str">
        <f t="shared" si="526"/>
        <v/>
      </c>
      <c r="GQ1026" s="101" t="str">
        <f t="shared" si="527"/>
        <v/>
      </c>
    </row>
    <row r="1027" spans="175:199" ht="16.5" x14ac:dyDescent="0.2">
      <c r="FS1027" s="101">
        <v>1022</v>
      </c>
      <c r="FT1027" s="101">
        <f t="shared" si="512"/>
        <v>55</v>
      </c>
      <c r="FU1027" s="101">
        <f t="shared" si="505"/>
        <v>13</v>
      </c>
      <c r="FV1027" s="14">
        <f t="shared" si="506"/>
        <v>4</v>
      </c>
      <c r="FW1027" s="101" t="str">
        <f t="shared" si="513"/>
        <v>西方龙专属武器-魂珠-7 1级</v>
      </c>
      <c r="FX1027" s="101">
        <f t="shared" si="514"/>
        <v>7</v>
      </c>
      <c r="FY1027" s="101">
        <f t="shared" si="515"/>
        <v>1</v>
      </c>
      <c r="FZ1027" s="101" t="str">
        <f t="shared" si="507"/>
        <v>金币</v>
      </c>
      <c r="GA1027" s="139">
        <f>IF($FY1027&gt;0,IF(INDEX($EM$6:$EM$77,$FT1027)&gt;=GA$3,ROUND(INDEX(EO$6:EO$77,$FT1027)*INDEX(卡牌消耗!$B$8:$F$8,FV1027)/5,0)*5,""),"")</f>
        <v>7615</v>
      </c>
      <c r="GB1027" s="101" t="str">
        <f t="shared" si="508"/>
        <v>专属强化石3</v>
      </c>
      <c r="GC1027" s="101">
        <f t="shared" si="509"/>
        <v>6</v>
      </c>
      <c r="GD1027" s="101" t="str">
        <f t="shared" si="510"/>
        <v>专属强化石4</v>
      </c>
      <c r="GE1027" s="101">
        <f t="shared" si="511"/>
        <v>2</v>
      </c>
      <c r="GF1027" s="101">
        <f t="shared" si="516"/>
        <v>0.2</v>
      </c>
      <c r="GG1027" s="101">
        <f t="shared" si="517"/>
        <v>1</v>
      </c>
      <c r="GH1027" s="101">
        <f t="shared" si="518"/>
        <v>8</v>
      </c>
      <c r="GI1027" s="101">
        <f t="shared" si="519"/>
        <v>0</v>
      </c>
      <c r="GJ1027" s="101">
        <f t="shared" si="520"/>
        <v>1</v>
      </c>
      <c r="GK1027" s="101">
        <f t="shared" si="521"/>
        <v>2</v>
      </c>
      <c r="GL1027" s="101">
        <f t="shared" si="522"/>
        <v>9.9400000000000002E-2</v>
      </c>
      <c r="GM1027" s="101">
        <f t="shared" si="523"/>
        <v>1</v>
      </c>
      <c r="GN1027" s="101">
        <f t="shared" si="524"/>
        <v>4</v>
      </c>
      <c r="GO1027" s="101">
        <f t="shared" si="525"/>
        <v>0.3977</v>
      </c>
      <c r="GP1027" s="101">
        <f t="shared" si="526"/>
        <v>1</v>
      </c>
      <c r="GQ1027" s="101">
        <f t="shared" si="527"/>
        <v>8</v>
      </c>
    </row>
    <row r="1028" spans="175:199" ht="16.5" x14ac:dyDescent="0.2">
      <c r="FS1028" s="101">
        <v>1023</v>
      </c>
      <c r="FT1028" s="101">
        <f t="shared" si="512"/>
        <v>56</v>
      </c>
      <c r="FU1028" s="101">
        <f t="shared" si="505"/>
        <v>13</v>
      </c>
      <c r="FV1028" s="14">
        <f t="shared" si="506"/>
        <v>4</v>
      </c>
      <c r="FW1028" s="101" t="str">
        <f t="shared" si="513"/>
        <v>西方龙专属武器-魂珠-7 2级</v>
      </c>
      <c r="FX1028" s="101">
        <f t="shared" si="514"/>
        <v>7</v>
      </c>
      <c r="FY1028" s="101">
        <f t="shared" si="515"/>
        <v>2</v>
      </c>
      <c r="FZ1028" s="101" t="str">
        <f t="shared" si="507"/>
        <v>金币</v>
      </c>
      <c r="GA1028" s="139">
        <f>IF($FY1028&gt;0,IF(INDEX($EM$6:$EM$77,$FT1028)&gt;=GA$3,ROUND(INDEX(EO$6:EO$77,$FT1028)*INDEX(卡牌消耗!$B$8:$F$8,FV1028)/5,0)*5,""),"")</f>
        <v>5710</v>
      </c>
      <c r="GB1028" s="101" t="str">
        <f t="shared" si="508"/>
        <v>专属强化石3</v>
      </c>
      <c r="GC1028" s="101">
        <f t="shared" si="509"/>
        <v>6</v>
      </c>
      <c r="GD1028" s="101" t="str">
        <f t="shared" si="510"/>
        <v>专属强化石4</v>
      </c>
      <c r="GE1028" s="101">
        <f t="shared" si="511"/>
        <v>2</v>
      </c>
      <c r="GF1028" s="101">
        <f t="shared" si="516"/>
        <v>0.1</v>
      </c>
      <c r="GG1028" s="101">
        <f t="shared" si="517"/>
        <v>1</v>
      </c>
      <c r="GH1028" s="101">
        <f t="shared" si="518"/>
        <v>15</v>
      </c>
      <c r="GI1028" s="101">
        <f t="shared" si="519"/>
        <v>0</v>
      </c>
      <c r="GJ1028" s="101">
        <f t="shared" si="520"/>
        <v>1</v>
      </c>
      <c r="GK1028" s="101">
        <f t="shared" si="521"/>
        <v>4</v>
      </c>
      <c r="GL1028" s="101">
        <f t="shared" si="522"/>
        <v>4.9700000000000001E-2</v>
      </c>
      <c r="GM1028" s="101">
        <f t="shared" si="523"/>
        <v>1</v>
      </c>
      <c r="GN1028" s="101">
        <f t="shared" si="524"/>
        <v>7</v>
      </c>
      <c r="GO1028" s="101">
        <f t="shared" si="525"/>
        <v>0.19889999999999999</v>
      </c>
      <c r="GP1028" s="101">
        <f t="shared" si="526"/>
        <v>1</v>
      </c>
      <c r="GQ1028" s="101">
        <f t="shared" si="527"/>
        <v>15</v>
      </c>
    </row>
    <row r="1029" spans="175:199" ht="16.5" x14ac:dyDescent="0.2">
      <c r="FS1029" s="101">
        <v>1024</v>
      </c>
      <c r="FT1029" s="101">
        <f t="shared" si="512"/>
        <v>57</v>
      </c>
      <c r="FU1029" s="101">
        <f t="shared" si="505"/>
        <v>13</v>
      </c>
      <c r="FV1029" s="14">
        <f t="shared" si="506"/>
        <v>4</v>
      </c>
      <c r="FW1029" s="101" t="str">
        <f t="shared" si="513"/>
        <v>西方龙专属武器-魂珠-7 3级</v>
      </c>
      <c r="FX1029" s="101">
        <f t="shared" si="514"/>
        <v>7</v>
      </c>
      <c r="FY1029" s="101">
        <f t="shared" si="515"/>
        <v>3</v>
      </c>
      <c r="FZ1029" s="101" t="str">
        <f t="shared" si="507"/>
        <v>金币</v>
      </c>
      <c r="GA1029" s="139">
        <f>IF($FY1029&gt;0,IF(INDEX($EM$6:$EM$77,$FT1029)&gt;=GA$3,ROUND(INDEX(EO$6:EO$77,$FT1029)*INDEX(卡牌消耗!$B$8:$F$8,FV1029)/5,0)*5,""),"")</f>
        <v>9520</v>
      </c>
      <c r="GB1029" s="101" t="str">
        <f t="shared" si="508"/>
        <v>专属强化石3</v>
      </c>
      <c r="GC1029" s="101">
        <f t="shared" si="509"/>
        <v>9</v>
      </c>
      <c r="GD1029" s="101" t="str">
        <f t="shared" si="510"/>
        <v>专属强化石4</v>
      </c>
      <c r="GE1029" s="101">
        <f t="shared" si="511"/>
        <v>3</v>
      </c>
      <c r="GF1029" s="101">
        <f t="shared" si="516"/>
        <v>0.1</v>
      </c>
      <c r="GG1029" s="101">
        <f t="shared" si="517"/>
        <v>1</v>
      </c>
      <c r="GH1029" s="101">
        <f t="shared" si="518"/>
        <v>15</v>
      </c>
      <c r="GI1029" s="101">
        <f t="shared" si="519"/>
        <v>0</v>
      </c>
      <c r="GJ1029" s="101">
        <f t="shared" si="520"/>
        <v>1</v>
      </c>
      <c r="GK1029" s="101">
        <f t="shared" si="521"/>
        <v>4</v>
      </c>
      <c r="GL1029" s="101">
        <f t="shared" si="522"/>
        <v>4.9700000000000001E-2</v>
      </c>
      <c r="GM1029" s="101">
        <f t="shared" si="523"/>
        <v>1</v>
      </c>
      <c r="GN1029" s="101">
        <f t="shared" si="524"/>
        <v>7</v>
      </c>
      <c r="GO1029" s="101">
        <f t="shared" si="525"/>
        <v>0.19889999999999999</v>
      </c>
      <c r="GP1029" s="101">
        <f t="shared" si="526"/>
        <v>1</v>
      </c>
      <c r="GQ1029" s="101">
        <f t="shared" si="527"/>
        <v>15</v>
      </c>
    </row>
    <row r="1030" spans="175:199" ht="16.5" x14ac:dyDescent="0.2">
      <c r="FS1030" s="101">
        <v>1025</v>
      </c>
      <c r="FT1030" s="101">
        <f t="shared" si="512"/>
        <v>58</v>
      </c>
      <c r="FU1030" s="101">
        <f t="shared" si="505"/>
        <v>13</v>
      </c>
      <c r="FV1030" s="14">
        <f t="shared" si="506"/>
        <v>4</v>
      </c>
      <c r="FW1030" s="101" t="str">
        <f t="shared" si="513"/>
        <v>西方龙专属武器-魂珠-7 4级</v>
      </c>
      <c r="FX1030" s="101">
        <f t="shared" si="514"/>
        <v>7</v>
      </c>
      <c r="FY1030" s="101">
        <f t="shared" si="515"/>
        <v>4</v>
      </c>
      <c r="FZ1030" s="101" t="str">
        <f t="shared" si="507"/>
        <v>金币</v>
      </c>
      <c r="GA1030" s="139">
        <f>IF($FY1030&gt;0,IF(INDEX($EM$6:$EM$77,$FT1030)&gt;=GA$3,ROUND(INDEX(EO$6:EO$77,$FT1030)*INDEX(卡牌消耗!$B$8:$F$8,FV1030)/5,0)*5,""),"")</f>
        <v>12185</v>
      </c>
      <c r="GB1030" s="101" t="str">
        <f t="shared" si="508"/>
        <v>专属强化石3</v>
      </c>
      <c r="GC1030" s="101">
        <f t="shared" si="509"/>
        <v>12</v>
      </c>
      <c r="GD1030" s="101" t="str">
        <f t="shared" si="510"/>
        <v>专属强化石4</v>
      </c>
      <c r="GE1030" s="101">
        <f t="shared" si="511"/>
        <v>4</v>
      </c>
      <c r="GF1030" s="101">
        <f t="shared" si="516"/>
        <v>0.08</v>
      </c>
      <c r="GG1030" s="101">
        <f t="shared" si="517"/>
        <v>1</v>
      </c>
      <c r="GH1030" s="101">
        <f t="shared" si="518"/>
        <v>19</v>
      </c>
      <c r="GI1030" s="101">
        <f t="shared" si="519"/>
        <v>0</v>
      </c>
      <c r="GJ1030" s="101">
        <f t="shared" si="520"/>
        <v>1</v>
      </c>
      <c r="GK1030" s="101">
        <f t="shared" si="521"/>
        <v>4</v>
      </c>
      <c r="GL1030" s="101">
        <f t="shared" si="522"/>
        <v>3.9800000000000002E-2</v>
      </c>
      <c r="GM1030" s="101">
        <f t="shared" si="523"/>
        <v>1</v>
      </c>
      <c r="GN1030" s="101">
        <f t="shared" si="524"/>
        <v>9</v>
      </c>
      <c r="GO1030" s="101">
        <f t="shared" si="525"/>
        <v>0.15909999999999999</v>
      </c>
      <c r="GP1030" s="101">
        <f t="shared" si="526"/>
        <v>1</v>
      </c>
      <c r="GQ1030" s="101">
        <f t="shared" si="527"/>
        <v>19</v>
      </c>
    </row>
    <row r="1031" spans="175:199" ht="16.5" x14ac:dyDescent="0.2">
      <c r="FS1031" s="101">
        <v>1026</v>
      </c>
      <c r="FT1031" s="101">
        <f t="shared" si="512"/>
        <v>59</v>
      </c>
      <c r="FU1031" s="101">
        <f t="shared" ref="FU1031:FU1094" si="528">INT((FS1031-1)/80+1)</f>
        <v>13</v>
      </c>
      <c r="FV1031" s="14">
        <f t="shared" ref="FV1031:FV1094" si="529">INDEX($FO$6:$FO$26,FU1031)</f>
        <v>4</v>
      </c>
      <c r="FW1031" s="101" t="str">
        <f t="shared" si="513"/>
        <v>西方龙专属武器-魂珠-7 5级</v>
      </c>
      <c r="FX1031" s="101">
        <f t="shared" si="514"/>
        <v>7</v>
      </c>
      <c r="FY1031" s="101">
        <f t="shared" si="515"/>
        <v>5</v>
      </c>
      <c r="FZ1031" s="101" t="str">
        <f t="shared" ref="FZ1031:FZ1094" si="530">IF($FY1031&gt;0,IF(INDEX($EM$6:$EM$77,$FT1031)&gt;=FZ$3,INDEX(EN$6:EN$77,$FT1031),""),"")</f>
        <v>金币</v>
      </c>
      <c r="GA1031" s="139">
        <f>IF($FY1031&gt;0,IF(INDEX($EM$6:$EM$77,$FT1031)&gt;=GA$3,ROUND(INDEX(EO$6:EO$77,$FT1031)*INDEX(卡牌消耗!$B$8:$F$8,FV1031)/5,0)*5,""),"")</f>
        <v>12375</v>
      </c>
      <c r="GB1031" s="101" t="str">
        <f t="shared" ref="GB1031:GB1094" si="531">IF($FY1031&gt;0,IF(INDEX($EM$6:$EM$77,$FT1031)&gt;=GB$3,INDEX(EP$6:EP$77,$FT1031),""),"")</f>
        <v>专属强化石3</v>
      </c>
      <c r="GC1031" s="101">
        <f t="shared" ref="GC1031:GC1094" si="532">IF($FY1031&gt;0,IF(INDEX($EM$6:$EM$77,$FT1031)&gt;=GC$3,INDEX(EQ$6:EQ$77,$FT1031),""),"")</f>
        <v>12</v>
      </c>
      <c r="GD1031" s="101" t="str">
        <f t="shared" ref="GD1031:GD1094" si="533">IF($FY1031&gt;0,IF(INDEX($EM$6:$EM$77,$FT1031)&gt;=GD$3,INDEX(ER$6:ER$77,$FT1031),""),"")</f>
        <v>专属强化石4</v>
      </c>
      <c r="GE1031" s="101">
        <f t="shared" ref="GE1031:GE1094" si="534">IF($FY1031&gt;0,IF(INDEX($EM$6:$EM$77,$FT1031)&gt;=GE$3,INDEX(ES$6:ES$77,$FT1031),""),"")</f>
        <v>4</v>
      </c>
      <c r="GF1031" s="101">
        <f t="shared" si="516"/>
        <v>0.05</v>
      </c>
      <c r="GG1031" s="101">
        <f t="shared" si="517"/>
        <v>1</v>
      </c>
      <c r="GH1031" s="101">
        <f t="shared" si="518"/>
        <v>30</v>
      </c>
      <c r="GI1031" s="101">
        <f t="shared" si="519"/>
        <v>0</v>
      </c>
      <c r="GJ1031" s="101">
        <f t="shared" si="520"/>
        <v>1</v>
      </c>
      <c r="GK1031" s="101">
        <f t="shared" si="521"/>
        <v>7</v>
      </c>
      <c r="GL1031" s="101">
        <f t="shared" si="522"/>
        <v>2.4899999999999999E-2</v>
      </c>
      <c r="GM1031" s="101">
        <f t="shared" si="523"/>
        <v>1</v>
      </c>
      <c r="GN1031" s="101">
        <f t="shared" si="524"/>
        <v>14</v>
      </c>
      <c r="GO1031" s="101">
        <f t="shared" si="525"/>
        <v>9.9400000000000002E-2</v>
      </c>
      <c r="GP1031" s="101">
        <f t="shared" si="526"/>
        <v>1</v>
      </c>
      <c r="GQ1031" s="101">
        <f t="shared" si="527"/>
        <v>30</v>
      </c>
    </row>
    <row r="1032" spans="175:199" ht="16.5" x14ac:dyDescent="0.2">
      <c r="FS1032" s="101">
        <v>1027</v>
      </c>
      <c r="FT1032" s="101">
        <f t="shared" si="512"/>
        <v>60</v>
      </c>
      <c r="FU1032" s="101">
        <f t="shared" si="528"/>
        <v>13</v>
      </c>
      <c r="FV1032" s="14">
        <f t="shared" si="529"/>
        <v>4</v>
      </c>
      <c r="FW1032" s="101" t="str">
        <f t="shared" si="513"/>
        <v>西方龙专属武器-魂珠-7 6级</v>
      </c>
      <c r="FX1032" s="101">
        <f t="shared" si="514"/>
        <v>7</v>
      </c>
      <c r="FY1032" s="101">
        <f t="shared" si="515"/>
        <v>6</v>
      </c>
      <c r="FZ1032" s="101" t="str">
        <f t="shared" si="530"/>
        <v>金币</v>
      </c>
      <c r="GA1032" s="139">
        <f>IF($FY1032&gt;0,IF(INDEX($EM$6:$EM$77,$FT1032)&gt;=GA$3,ROUND(INDEX(EO$6:EO$77,$FT1032)*INDEX(卡牌消耗!$B$8:$F$8,FV1032)/5,0)*5,""),"")</f>
        <v>15380</v>
      </c>
      <c r="GB1032" s="101" t="str">
        <f t="shared" si="531"/>
        <v>专属强化石3</v>
      </c>
      <c r="GC1032" s="101">
        <f t="shared" si="532"/>
        <v>15</v>
      </c>
      <c r="GD1032" s="101" t="str">
        <f t="shared" si="533"/>
        <v>专属强化石4</v>
      </c>
      <c r="GE1032" s="101">
        <f t="shared" si="534"/>
        <v>5</v>
      </c>
      <c r="GF1032" s="101">
        <f t="shared" si="516"/>
        <v>0.04</v>
      </c>
      <c r="GG1032" s="101">
        <f t="shared" si="517"/>
        <v>1</v>
      </c>
      <c r="GH1032" s="101">
        <f t="shared" si="518"/>
        <v>39</v>
      </c>
      <c r="GI1032" s="101">
        <f t="shared" si="519"/>
        <v>0</v>
      </c>
      <c r="GJ1032" s="101">
        <f t="shared" si="520"/>
        <v>1</v>
      </c>
      <c r="GK1032" s="101">
        <f t="shared" si="521"/>
        <v>9</v>
      </c>
      <c r="GL1032" s="101">
        <f t="shared" si="522"/>
        <v>1.9099999999999999E-2</v>
      </c>
      <c r="GM1032" s="101">
        <f t="shared" si="523"/>
        <v>1</v>
      </c>
      <c r="GN1032" s="101">
        <f t="shared" si="524"/>
        <v>18</v>
      </c>
      <c r="GO1032" s="101">
        <f t="shared" si="525"/>
        <v>7.6499999999999999E-2</v>
      </c>
      <c r="GP1032" s="101">
        <f t="shared" si="526"/>
        <v>1</v>
      </c>
      <c r="GQ1032" s="101">
        <f t="shared" si="527"/>
        <v>39</v>
      </c>
    </row>
    <row r="1033" spans="175:199" ht="16.5" x14ac:dyDescent="0.2">
      <c r="FS1033" s="101">
        <v>1028</v>
      </c>
      <c r="FT1033" s="101">
        <f t="shared" si="512"/>
        <v>61</v>
      </c>
      <c r="FU1033" s="101">
        <f t="shared" si="528"/>
        <v>13</v>
      </c>
      <c r="FV1033" s="14">
        <f t="shared" si="529"/>
        <v>4</v>
      </c>
      <c r="FW1033" s="101" t="str">
        <f t="shared" si="513"/>
        <v>西方龙专属武器-魂珠-7 7级</v>
      </c>
      <c r="FX1033" s="101">
        <f t="shared" si="514"/>
        <v>7</v>
      </c>
      <c r="FY1033" s="101">
        <f t="shared" si="515"/>
        <v>7</v>
      </c>
      <c r="FZ1033" s="101" t="str">
        <f t="shared" si="530"/>
        <v>金币</v>
      </c>
      <c r="GA1033" s="139">
        <f>IF($FY1033&gt;0,IF(INDEX($EM$6:$EM$77,$FT1033)&gt;=GA$3,ROUND(INDEX(EO$6:EO$77,$FT1033)*INDEX(卡牌消耗!$B$8:$F$8,FV1033)/5,0)*5,""),"")</f>
        <v>21580</v>
      </c>
      <c r="GB1033" s="101" t="str">
        <f t="shared" si="531"/>
        <v>专属强化石3</v>
      </c>
      <c r="GC1033" s="101">
        <f t="shared" si="532"/>
        <v>21</v>
      </c>
      <c r="GD1033" s="101" t="str">
        <f t="shared" si="533"/>
        <v>专属强化石4</v>
      </c>
      <c r="GE1033" s="101">
        <f t="shared" si="534"/>
        <v>7</v>
      </c>
      <c r="GF1033" s="101">
        <f t="shared" si="516"/>
        <v>0.03</v>
      </c>
      <c r="GG1033" s="101">
        <f t="shared" si="517"/>
        <v>1</v>
      </c>
      <c r="GH1033" s="101">
        <f t="shared" si="518"/>
        <v>45</v>
      </c>
      <c r="GI1033" s="101">
        <f t="shared" si="519"/>
        <v>0</v>
      </c>
      <c r="GJ1033" s="101">
        <f t="shared" si="520"/>
        <v>1</v>
      </c>
      <c r="GK1033" s="101">
        <f t="shared" si="521"/>
        <v>11</v>
      </c>
      <c r="GL1033" s="101">
        <f t="shared" si="522"/>
        <v>1.66E-2</v>
      </c>
      <c r="GM1033" s="101">
        <f t="shared" si="523"/>
        <v>1</v>
      </c>
      <c r="GN1033" s="101">
        <f t="shared" si="524"/>
        <v>21</v>
      </c>
      <c r="GO1033" s="101">
        <f t="shared" si="525"/>
        <v>6.6299999999999998E-2</v>
      </c>
      <c r="GP1033" s="101">
        <f t="shared" si="526"/>
        <v>1</v>
      </c>
      <c r="GQ1033" s="101">
        <f t="shared" si="527"/>
        <v>45</v>
      </c>
    </row>
    <row r="1034" spans="175:199" ht="16.5" x14ac:dyDescent="0.2">
      <c r="FS1034" s="101">
        <v>1029</v>
      </c>
      <c r="FT1034" s="101">
        <f t="shared" si="512"/>
        <v>62</v>
      </c>
      <c r="FU1034" s="101">
        <f t="shared" si="528"/>
        <v>13</v>
      </c>
      <c r="FV1034" s="14">
        <f t="shared" si="529"/>
        <v>4</v>
      </c>
      <c r="FW1034" s="101" t="str">
        <f t="shared" si="513"/>
        <v>西方龙专属武器-魂珠-7 8级</v>
      </c>
      <c r="FX1034" s="101">
        <f t="shared" si="514"/>
        <v>7</v>
      </c>
      <c r="FY1034" s="101">
        <f t="shared" si="515"/>
        <v>8</v>
      </c>
      <c r="FZ1034" s="101" t="str">
        <f t="shared" si="530"/>
        <v>金币</v>
      </c>
      <c r="GA1034" s="139">
        <f>IF($FY1034&gt;0,IF(INDEX($EM$6:$EM$77,$FT1034)&gt;=GA$3,ROUND(INDEX(EO$6:EO$77,$FT1034)*INDEX(卡牌消耗!$B$8:$F$8,FV1034)/5,0)*5,""),"")</f>
        <v>24640</v>
      </c>
      <c r="GB1034" s="101" t="str">
        <f t="shared" si="531"/>
        <v>专属强化石3</v>
      </c>
      <c r="GC1034" s="101">
        <f t="shared" si="532"/>
        <v>24</v>
      </c>
      <c r="GD1034" s="101" t="str">
        <f t="shared" si="533"/>
        <v>专属强化石4</v>
      </c>
      <c r="GE1034" s="101">
        <f t="shared" si="534"/>
        <v>8</v>
      </c>
      <c r="GF1034" s="101">
        <f t="shared" si="516"/>
        <v>0.02</v>
      </c>
      <c r="GG1034" s="101">
        <f t="shared" si="517"/>
        <v>1</v>
      </c>
      <c r="GH1034" s="101">
        <f t="shared" si="518"/>
        <v>64</v>
      </c>
      <c r="GI1034" s="101">
        <f t="shared" si="519"/>
        <v>0</v>
      </c>
      <c r="GJ1034" s="101">
        <f t="shared" si="520"/>
        <v>1</v>
      </c>
      <c r="GK1034" s="101">
        <f t="shared" si="521"/>
        <v>15</v>
      </c>
      <c r="GL1034" s="101">
        <f t="shared" si="522"/>
        <v>1.17E-2</v>
      </c>
      <c r="GM1034" s="101">
        <f t="shared" si="523"/>
        <v>1</v>
      </c>
      <c r="GN1034" s="101">
        <f t="shared" si="524"/>
        <v>30</v>
      </c>
      <c r="GO1034" s="101">
        <f t="shared" si="525"/>
        <v>4.6800000000000001E-2</v>
      </c>
      <c r="GP1034" s="101">
        <f t="shared" si="526"/>
        <v>1</v>
      </c>
      <c r="GQ1034" s="101">
        <f t="shared" si="527"/>
        <v>64</v>
      </c>
    </row>
    <row r="1035" spans="175:199" ht="16.5" x14ac:dyDescent="0.2">
      <c r="FS1035" s="101">
        <v>1030</v>
      </c>
      <c r="FT1035" s="101">
        <f t="shared" si="512"/>
        <v>63</v>
      </c>
      <c r="FU1035" s="101">
        <f t="shared" si="528"/>
        <v>13</v>
      </c>
      <c r="FV1035" s="14">
        <f t="shared" si="529"/>
        <v>4</v>
      </c>
      <c r="FW1035" s="101" t="str">
        <f t="shared" si="513"/>
        <v>西方龙专属武器-魂珠-7 9级</v>
      </c>
      <c r="FX1035" s="101">
        <f t="shared" si="514"/>
        <v>7</v>
      </c>
      <c r="FY1035" s="101">
        <f t="shared" si="515"/>
        <v>9</v>
      </c>
      <c r="FZ1035" s="101" t="str">
        <f t="shared" si="530"/>
        <v>金币</v>
      </c>
      <c r="GA1035" s="139">
        <f>IF($FY1035&gt;0,IF(INDEX($EM$6:$EM$77,$FT1035)&gt;=GA$3,ROUND(INDEX(EO$6:EO$77,$FT1035)*INDEX(卡牌消耗!$B$8:$F$8,FV1035)/5,0)*5,""),"")</f>
        <v>30810</v>
      </c>
      <c r="GB1035" s="101" t="str">
        <f t="shared" si="531"/>
        <v>专属强化石3</v>
      </c>
      <c r="GC1035" s="101">
        <f t="shared" si="532"/>
        <v>30</v>
      </c>
      <c r="GD1035" s="101" t="str">
        <f t="shared" si="533"/>
        <v>专属强化石4</v>
      </c>
      <c r="GE1035" s="101">
        <f t="shared" si="534"/>
        <v>10</v>
      </c>
      <c r="GF1035" s="101">
        <f t="shared" si="516"/>
        <v>0.02</v>
      </c>
      <c r="GG1035" s="101">
        <f t="shared" si="517"/>
        <v>1</v>
      </c>
      <c r="GH1035" s="101">
        <f t="shared" si="518"/>
        <v>83</v>
      </c>
      <c r="GI1035" s="101">
        <f t="shared" si="519"/>
        <v>0</v>
      </c>
      <c r="GJ1035" s="101">
        <f t="shared" si="520"/>
        <v>1</v>
      </c>
      <c r="GK1035" s="101">
        <f t="shared" si="521"/>
        <v>19</v>
      </c>
      <c r="GL1035" s="101">
        <f t="shared" si="522"/>
        <v>8.9999999999999993E-3</v>
      </c>
      <c r="GM1035" s="101">
        <f t="shared" si="523"/>
        <v>1</v>
      </c>
      <c r="GN1035" s="101">
        <f t="shared" si="524"/>
        <v>39</v>
      </c>
      <c r="GO1035" s="101">
        <f t="shared" si="525"/>
        <v>3.6200000000000003E-2</v>
      </c>
      <c r="GP1035" s="101">
        <f t="shared" si="526"/>
        <v>1</v>
      </c>
      <c r="GQ1035" s="101">
        <f t="shared" si="527"/>
        <v>83</v>
      </c>
    </row>
    <row r="1036" spans="175:199" ht="16.5" x14ac:dyDescent="0.2">
      <c r="FS1036" s="101">
        <v>1031</v>
      </c>
      <c r="FT1036" s="101">
        <f t="shared" si="512"/>
        <v>0</v>
      </c>
      <c r="FU1036" s="101">
        <f t="shared" si="528"/>
        <v>13</v>
      </c>
      <c r="FV1036" s="14">
        <f t="shared" si="529"/>
        <v>4</v>
      </c>
      <c r="FW1036" s="101" t="str">
        <f t="shared" si="513"/>
        <v>西方龙专属武器-魂珠-8 0级</v>
      </c>
      <c r="FX1036" s="101">
        <f t="shared" si="514"/>
        <v>8</v>
      </c>
      <c r="FY1036" s="101">
        <f t="shared" si="515"/>
        <v>0</v>
      </c>
      <c r="FZ1036" s="101" t="str">
        <f t="shared" si="530"/>
        <v/>
      </c>
      <c r="GA1036" s="139" t="str">
        <f>IF($FY1036&gt;0,IF(INDEX($EM$6:$EM$77,$FT1036)&gt;=GA$3,ROUND(INDEX(EO$6:EO$77,$FT1036)*INDEX(卡牌消耗!$B$8:$F$8,FV1036)/5,0)*5,""),"")</f>
        <v/>
      </c>
      <c r="GB1036" s="101" t="str">
        <f t="shared" si="531"/>
        <v/>
      </c>
      <c r="GC1036" s="101" t="str">
        <f t="shared" si="532"/>
        <v/>
      </c>
      <c r="GD1036" s="101" t="str">
        <f t="shared" si="533"/>
        <v/>
      </c>
      <c r="GE1036" s="101" t="str">
        <f t="shared" si="534"/>
        <v/>
      </c>
      <c r="GF1036" s="101" t="str">
        <f t="shared" si="516"/>
        <v/>
      </c>
      <c r="GG1036" s="101" t="str">
        <f t="shared" si="517"/>
        <v/>
      </c>
      <c r="GH1036" s="101" t="str">
        <f t="shared" si="518"/>
        <v/>
      </c>
      <c r="GI1036" s="101" t="str">
        <f t="shared" si="519"/>
        <v/>
      </c>
      <c r="GJ1036" s="101" t="str">
        <f t="shared" si="520"/>
        <v/>
      </c>
      <c r="GK1036" s="101" t="str">
        <f t="shared" si="521"/>
        <v/>
      </c>
      <c r="GL1036" s="101" t="str">
        <f t="shared" si="522"/>
        <v/>
      </c>
      <c r="GM1036" s="101" t="str">
        <f t="shared" si="523"/>
        <v/>
      </c>
      <c r="GN1036" s="101" t="str">
        <f t="shared" si="524"/>
        <v/>
      </c>
      <c r="GO1036" s="101" t="str">
        <f t="shared" si="525"/>
        <v/>
      </c>
      <c r="GP1036" s="101" t="str">
        <f t="shared" si="526"/>
        <v/>
      </c>
      <c r="GQ1036" s="101" t="str">
        <f t="shared" si="527"/>
        <v/>
      </c>
    </row>
    <row r="1037" spans="175:199" ht="16.5" x14ac:dyDescent="0.2">
      <c r="FS1037" s="101">
        <v>1032</v>
      </c>
      <c r="FT1037" s="101">
        <f t="shared" si="512"/>
        <v>64</v>
      </c>
      <c r="FU1037" s="101">
        <f t="shared" si="528"/>
        <v>13</v>
      </c>
      <c r="FV1037" s="14">
        <f t="shared" si="529"/>
        <v>4</v>
      </c>
      <c r="FW1037" s="101" t="str">
        <f t="shared" si="513"/>
        <v>西方龙专属武器-魂珠-8 1级</v>
      </c>
      <c r="FX1037" s="101">
        <f t="shared" si="514"/>
        <v>8</v>
      </c>
      <c r="FY1037" s="101">
        <f t="shared" si="515"/>
        <v>1</v>
      </c>
      <c r="FZ1037" s="101" t="str">
        <f t="shared" si="530"/>
        <v>金币</v>
      </c>
      <c r="GA1037" s="139">
        <f>IF($FY1037&gt;0,IF(INDEX($EM$6:$EM$77,$FT1037)&gt;=GA$3,ROUND(INDEX(EO$6:EO$77,$FT1037)*INDEX(卡牌消耗!$B$8:$F$8,FV1037)/5,0)*5,""),"")</f>
        <v>6490</v>
      </c>
      <c r="GB1037" s="101" t="str">
        <f t="shared" si="531"/>
        <v>专属强化石4</v>
      </c>
      <c r="GC1037" s="101">
        <f t="shared" si="532"/>
        <v>5</v>
      </c>
      <c r="GD1037" s="101" t="str">
        <f t="shared" si="533"/>
        <v/>
      </c>
      <c r="GE1037" s="101" t="str">
        <f t="shared" si="534"/>
        <v/>
      </c>
      <c r="GF1037" s="101">
        <f t="shared" si="516"/>
        <v>0.11</v>
      </c>
      <c r="GG1037" s="101">
        <f t="shared" si="517"/>
        <v>1</v>
      </c>
      <c r="GH1037" s="101">
        <f t="shared" si="518"/>
        <v>13</v>
      </c>
      <c r="GI1037" s="101">
        <f t="shared" si="519"/>
        <v>0</v>
      </c>
      <c r="GJ1037" s="101">
        <f t="shared" si="520"/>
        <v>1</v>
      </c>
      <c r="GK1037" s="101">
        <f t="shared" si="521"/>
        <v>3</v>
      </c>
      <c r="GL1037" s="101">
        <f t="shared" si="522"/>
        <v>5.6500000000000002E-2</v>
      </c>
      <c r="GM1037" s="101">
        <f t="shared" si="523"/>
        <v>1</v>
      </c>
      <c r="GN1037" s="101">
        <f t="shared" si="524"/>
        <v>6</v>
      </c>
      <c r="GO1037" s="101">
        <f t="shared" si="525"/>
        <v>0.22600000000000001</v>
      </c>
      <c r="GP1037" s="101">
        <f t="shared" si="526"/>
        <v>1</v>
      </c>
      <c r="GQ1037" s="101">
        <f t="shared" si="527"/>
        <v>13</v>
      </c>
    </row>
    <row r="1038" spans="175:199" ht="16.5" x14ac:dyDescent="0.2">
      <c r="FS1038" s="101">
        <v>1033</v>
      </c>
      <c r="FT1038" s="101">
        <f t="shared" si="512"/>
        <v>65</v>
      </c>
      <c r="FU1038" s="101">
        <f t="shared" si="528"/>
        <v>13</v>
      </c>
      <c r="FV1038" s="14">
        <f t="shared" si="529"/>
        <v>4</v>
      </c>
      <c r="FW1038" s="101" t="str">
        <f t="shared" si="513"/>
        <v>西方龙专属武器-魂珠-8 2级</v>
      </c>
      <c r="FX1038" s="101">
        <f t="shared" si="514"/>
        <v>8</v>
      </c>
      <c r="FY1038" s="101">
        <f t="shared" si="515"/>
        <v>2</v>
      </c>
      <c r="FZ1038" s="101" t="str">
        <f t="shared" si="530"/>
        <v>金币</v>
      </c>
      <c r="GA1038" s="139">
        <f>IF($FY1038&gt;0,IF(INDEX($EM$6:$EM$77,$FT1038)&gt;=GA$3,ROUND(INDEX(EO$6:EO$77,$FT1038)*INDEX(卡牌消耗!$B$8:$F$8,FV1038)/5,0)*5,""),"")</f>
        <v>7790</v>
      </c>
      <c r="GB1038" s="101" t="str">
        <f t="shared" si="531"/>
        <v>专属强化石4</v>
      </c>
      <c r="GC1038" s="101">
        <f t="shared" si="532"/>
        <v>8</v>
      </c>
      <c r="GD1038" s="101" t="str">
        <f t="shared" si="533"/>
        <v/>
      </c>
      <c r="GE1038" s="101" t="str">
        <f t="shared" si="534"/>
        <v/>
      </c>
      <c r="GF1038" s="101">
        <f t="shared" si="516"/>
        <v>0.09</v>
      </c>
      <c r="GG1038" s="101">
        <f t="shared" si="517"/>
        <v>1</v>
      </c>
      <c r="GH1038" s="101">
        <f t="shared" si="518"/>
        <v>17</v>
      </c>
      <c r="GI1038" s="101">
        <f t="shared" si="519"/>
        <v>0</v>
      </c>
      <c r="GJ1038" s="101">
        <f t="shared" si="520"/>
        <v>1</v>
      </c>
      <c r="GK1038" s="101">
        <f t="shared" si="521"/>
        <v>4</v>
      </c>
      <c r="GL1038" s="101">
        <f t="shared" si="522"/>
        <v>4.5199999999999997E-2</v>
      </c>
      <c r="GM1038" s="101">
        <f t="shared" si="523"/>
        <v>1</v>
      </c>
      <c r="GN1038" s="101">
        <f t="shared" si="524"/>
        <v>8</v>
      </c>
      <c r="GO1038" s="101">
        <f t="shared" si="525"/>
        <v>0.18079999999999999</v>
      </c>
      <c r="GP1038" s="101">
        <f t="shared" si="526"/>
        <v>1</v>
      </c>
      <c r="GQ1038" s="101">
        <f t="shared" si="527"/>
        <v>17</v>
      </c>
    </row>
    <row r="1039" spans="175:199" ht="16.5" x14ac:dyDescent="0.2">
      <c r="FS1039" s="101">
        <v>1034</v>
      </c>
      <c r="FT1039" s="101">
        <f t="shared" si="512"/>
        <v>66</v>
      </c>
      <c r="FU1039" s="101">
        <f t="shared" si="528"/>
        <v>13</v>
      </c>
      <c r="FV1039" s="14">
        <f t="shared" si="529"/>
        <v>4</v>
      </c>
      <c r="FW1039" s="101" t="str">
        <f t="shared" si="513"/>
        <v>西方龙专属武器-魂珠-8 3级</v>
      </c>
      <c r="FX1039" s="101">
        <f t="shared" si="514"/>
        <v>8</v>
      </c>
      <c r="FY1039" s="101">
        <f t="shared" si="515"/>
        <v>3</v>
      </c>
      <c r="FZ1039" s="101" t="str">
        <f t="shared" si="530"/>
        <v>金币</v>
      </c>
      <c r="GA1039" s="139">
        <f>IF($FY1039&gt;0,IF(INDEX($EM$6:$EM$77,$FT1039)&gt;=GA$3,ROUND(INDEX(EO$6:EO$77,$FT1039)*INDEX(卡牌消耗!$B$8:$F$8,FV1039)/5,0)*5,""),"")</f>
        <v>10820</v>
      </c>
      <c r="GB1039" s="101" t="str">
        <f t="shared" si="531"/>
        <v>专属强化石4</v>
      </c>
      <c r="GC1039" s="101">
        <f t="shared" si="532"/>
        <v>10</v>
      </c>
      <c r="GD1039" s="101" t="str">
        <f t="shared" si="533"/>
        <v/>
      </c>
      <c r="GE1039" s="101" t="str">
        <f t="shared" si="534"/>
        <v/>
      </c>
      <c r="GF1039" s="101">
        <f t="shared" si="516"/>
        <v>0.08</v>
      </c>
      <c r="GG1039" s="101">
        <f t="shared" si="517"/>
        <v>1</v>
      </c>
      <c r="GH1039" s="101">
        <f t="shared" si="518"/>
        <v>20</v>
      </c>
      <c r="GI1039" s="101">
        <f t="shared" si="519"/>
        <v>0</v>
      </c>
      <c r="GJ1039" s="101">
        <f t="shared" si="520"/>
        <v>1</v>
      </c>
      <c r="GK1039" s="101">
        <f t="shared" si="521"/>
        <v>5</v>
      </c>
      <c r="GL1039" s="101">
        <f t="shared" si="522"/>
        <v>3.7699999999999997E-2</v>
      </c>
      <c r="GM1039" s="101">
        <f t="shared" si="523"/>
        <v>1</v>
      </c>
      <c r="GN1039" s="101">
        <f t="shared" si="524"/>
        <v>9</v>
      </c>
      <c r="GO1039" s="101">
        <f t="shared" si="525"/>
        <v>0.1507</v>
      </c>
      <c r="GP1039" s="101">
        <f t="shared" si="526"/>
        <v>1</v>
      </c>
      <c r="GQ1039" s="101">
        <f t="shared" si="527"/>
        <v>20</v>
      </c>
    </row>
    <row r="1040" spans="175:199" ht="16.5" x14ac:dyDescent="0.2">
      <c r="FS1040" s="101">
        <v>1035</v>
      </c>
      <c r="FT1040" s="101">
        <f t="shared" si="512"/>
        <v>67</v>
      </c>
      <c r="FU1040" s="101">
        <f t="shared" si="528"/>
        <v>13</v>
      </c>
      <c r="FV1040" s="14">
        <f t="shared" si="529"/>
        <v>4</v>
      </c>
      <c r="FW1040" s="101" t="str">
        <f t="shared" si="513"/>
        <v>西方龙专属武器-魂珠-8 4级</v>
      </c>
      <c r="FX1040" s="101">
        <f t="shared" si="514"/>
        <v>8</v>
      </c>
      <c r="FY1040" s="101">
        <f t="shared" si="515"/>
        <v>4</v>
      </c>
      <c r="FZ1040" s="101" t="str">
        <f t="shared" si="530"/>
        <v>金币</v>
      </c>
      <c r="GA1040" s="139">
        <f>IF($FY1040&gt;0,IF(INDEX($EM$6:$EM$77,$FT1040)&gt;=GA$3,ROUND(INDEX(EO$6:EO$77,$FT1040)*INDEX(卡牌消耗!$B$8:$F$8,FV1040)/5,0)*5,""),"")</f>
        <v>12460</v>
      </c>
      <c r="GB1040" s="101" t="str">
        <f t="shared" si="531"/>
        <v>专属强化石4</v>
      </c>
      <c r="GC1040" s="101">
        <f t="shared" si="532"/>
        <v>12</v>
      </c>
      <c r="GD1040" s="101" t="str">
        <f t="shared" si="533"/>
        <v/>
      </c>
      <c r="GE1040" s="101" t="str">
        <f t="shared" si="534"/>
        <v/>
      </c>
      <c r="GF1040" s="101">
        <f t="shared" si="516"/>
        <v>0.05</v>
      </c>
      <c r="GG1040" s="101">
        <f t="shared" si="517"/>
        <v>1</v>
      </c>
      <c r="GH1040" s="101">
        <f t="shared" si="518"/>
        <v>28</v>
      </c>
      <c r="GI1040" s="101">
        <f t="shared" si="519"/>
        <v>0</v>
      </c>
      <c r="GJ1040" s="101">
        <f t="shared" si="520"/>
        <v>1</v>
      </c>
      <c r="GK1040" s="101">
        <f t="shared" si="521"/>
        <v>6</v>
      </c>
      <c r="GL1040" s="101">
        <f t="shared" si="522"/>
        <v>2.7099999999999999E-2</v>
      </c>
      <c r="GM1040" s="101">
        <f t="shared" si="523"/>
        <v>1</v>
      </c>
      <c r="GN1040" s="101">
        <f t="shared" si="524"/>
        <v>13</v>
      </c>
      <c r="GO1040" s="101">
        <f t="shared" si="525"/>
        <v>0.1085</v>
      </c>
      <c r="GP1040" s="101">
        <f t="shared" si="526"/>
        <v>1</v>
      </c>
      <c r="GQ1040" s="101">
        <f t="shared" si="527"/>
        <v>28</v>
      </c>
    </row>
    <row r="1041" spans="175:199" ht="16.5" x14ac:dyDescent="0.2">
      <c r="FS1041" s="101">
        <v>1036</v>
      </c>
      <c r="FT1041" s="101">
        <f t="shared" si="512"/>
        <v>68</v>
      </c>
      <c r="FU1041" s="101">
        <f t="shared" si="528"/>
        <v>13</v>
      </c>
      <c r="FV1041" s="14">
        <f t="shared" si="529"/>
        <v>4</v>
      </c>
      <c r="FW1041" s="101" t="str">
        <f t="shared" si="513"/>
        <v>西方龙专属武器-魂珠-8 5级</v>
      </c>
      <c r="FX1041" s="101">
        <f t="shared" si="514"/>
        <v>8</v>
      </c>
      <c r="FY1041" s="101">
        <f t="shared" si="515"/>
        <v>5</v>
      </c>
      <c r="FZ1041" s="101" t="str">
        <f t="shared" si="530"/>
        <v>金币</v>
      </c>
      <c r="GA1041" s="139">
        <f>IF($FY1041&gt;0,IF(INDEX($EM$6:$EM$77,$FT1041)&gt;=GA$3,ROUND(INDEX(EO$6:EO$77,$FT1041)*INDEX(卡牌消耗!$B$8:$F$8,FV1041)/5,0)*5,""),"")</f>
        <v>15820</v>
      </c>
      <c r="GB1041" s="101" t="str">
        <f t="shared" si="531"/>
        <v>专属强化石4</v>
      </c>
      <c r="GC1041" s="101">
        <f t="shared" si="532"/>
        <v>15</v>
      </c>
      <c r="GD1041" s="101" t="str">
        <f t="shared" si="533"/>
        <v/>
      </c>
      <c r="GE1041" s="101" t="str">
        <f t="shared" si="534"/>
        <v/>
      </c>
      <c r="GF1041" s="101">
        <f t="shared" si="516"/>
        <v>0.04</v>
      </c>
      <c r="GG1041" s="101">
        <f t="shared" si="517"/>
        <v>1</v>
      </c>
      <c r="GH1041" s="101">
        <f t="shared" si="518"/>
        <v>35</v>
      </c>
      <c r="GI1041" s="101">
        <f t="shared" si="519"/>
        <v>0</v>
      </c>
      <c r="GJ1041" s="101">
        <f t="shared" si="520"/>
        <v>1</v>
      </c>
      <c r="GK1041" s="101">
        <f t="shared" si="521"/>
        <v>8</v>
      </c>
      <c r="GL1041" s="101">
        <f t="shared" si="522"/>
        <v>2.12E-2</v>
      </c>
      <c r="GM1041" s="101">
        <f t="shared" si="523"/>
        <v>1</v>
      </c>
      <c r="GN1041" s="101">
        <f t="shared" si="524"/>
        <v>17</v>
      </c>
      <c r="GO1041" s="101">
        <f t="shared" si="525"/>
        <v>8.4699999999999998E-2</v>
      </c>
      <c r="GP1041" s="101">
        <f t="shared" si="526"/>
        <v>1</v>
      </c>
      <c r="GQ1041" s="101">
        <f t="shared" si="527"/>
        <v>35</v>
      </c>
    </row>
    <row r="1042" spans="175:199" ht="16.5" x14ac:dyDescent="0.2">
      <c r="FS1042" s="101">
        <v>1037</v>
      </c>
      <c r="FT1042" s="101">
        <f t="shared" si="512"/>
        <v>69</v>
      </c>
      <c r="FU1042" s="101">
        <f t="shared" si="528"/>
        <v>13</v>
      </c>
      <c r="FV1042" s="14">
        <f t="shared" si="529"/>
        <v>4</v>
      </c>
      <c r="FW1042" s="101" t="str">
        <f t="shared" si="513"/>
        <v>西方龙专属武器-魂珠-8 6级</v>
      </c>
      <c r="FX1042" s="101">
        <f t="shared" si="514"/>
        <v>8</v>
      </c>
      <c r="FY1042" s="101">
        <f t="shared" si="515"/>
        <v>6</v>
      </c>
      <c r="FZ1042" s="101" t="str">
        <f t="shared" si="530"/>
        <v>金币</v>
      </c>
      <c r="GA1042" s="139">
        <f>IF($FY1042&gt;0,IF(INDEX($EM$6:$EM$77,$FT1042)&gt;=GA$3,ROUND(INDEX(EO$6:EO$77,$FT1042)*INDEX(卡牌消耗!$B$8:$F$8,FV1042)/5,0)*5,""),"")</f>
        <v>18870</v>
      </c>
      <c r="GB1042" s="101" t="str">
        <f t="shared" si="531"/>
        <v>专属强化石4</v>
      </c>
      <c r="GC1042" s="101">
        <f t="shared" si="532"/>
        <v>18</v>
      </c>
      <c r="GD1042" s="101" t="str">
        <f t="shared" si="533"/>
        <v/>
      </c>
      <c r="GE1042" s="101" t="str">
        <f t="shared" si="534"/>
        <v/>
      </c>
      <c r="GF1042" s="101">
        <f t="shared" si="516"/>
        <v>0.03</v>
      </c>
      <c r="GG1042" s="101">
        <f t="shared" si="517"/>
        <v>1</v>
      </c>
      <c r="GH1042" s="101">
        <f t="shared" si="518"/>
        <v>48</v>
      </c>
      <c r="GI1042" s="101">
        <f t="shared" si="519"/>
        <v>0</v>
      </c>
      <c r="GJ1042" s="101">
        <f t="shared" si="520"/>
        <v>1</v>
      </c>
      <c r="GK1042" s="101">
        <f t="shared" si="521"/>
        <v>11</v>
      </c>
      <c r="GL1042" s="101">
        <f t="shared" si="522"/>
        <v>1.5599999999999999E-2</v>
      </c>
      <c r="GM1042" s="101">
        <f t="shared" si="523"/>
        <v>1</v>
      </c>
      <c r="GN1042" s="101">
        <f t="shared" si="524"/>
        <v>22</v>
      </c>
      <c r="GO1042" s="101">
        <f t="shared" si="525"/>
        <v>6.2600000000000003E-2</v>
      </c>
      <c r="GP1042" s="101">
        <f t="shared" si="526"/>
        <v>1</v>
      </c>
      <c r="GQ1042" s="101">
        <f t="shared" si="527"/>
        <v>48</v>
      </c>
    </row>
    <row r="1043" spans="175:199" ht="16.5" x14ac:dyDescent="0.2">
      <c r="FS1043" s="101">
        <v>1038</v>
      </c>
      <c r="FT1043" s="101">
        <f t="shared" si="512"/>
        <v>70</v>
      </c>
      <c r="FU1043" s="101">
        <f t="shared" si="528"/>
        <v>13</v>
      </c>
      <c r="FV1043" s="14">
        <f t="shared" si="529"/>
        <v>4</v>
      </c>
      <c r="FW1043" s="101" t="str">
        <f t="shared" si="513"/>
        <v>西方龙专属武器-魂珠-8 7级</v>
      </c>
      <c r="FX1043" s="101">
        <f t="shared" si="514"/>
        <v>8</v>
      </c>
      <c r="FY1043" s="101">
        <f t="shared" si="515"/>
        <v>7</v>
      </c>
      <c r="FZ1043" s="101" t="str">
        <f t="shared" si="530"/>
        <v>金币</v>
      </c>
      <c r="GA1043" s="139">
        <f>IF($FY1043&gt;0,IF(INDEX($EM$6:$EM$77,$FT1043)&gt;=GA$3,ROUND(INDEX(EO$6:EO$77,$FT1043)*INDEX(卡牌消耗!$B$8:$F$8,FV1043)/5,0)*5,""),"")</f>
        <v>26270</v>
      </c>
      <c r="GB1043" s="101" t="str">
        <f t="shared" si="531"/>
        <v>专属强化石4</v>
      </c>
      <c r="GC1043" s="101">
        <f t="shared" si="532"/>
        <v>25</v>
      </c>
      <c r="GD1043" s="101" t="str">
        <f t="shared" si="533"/>
        <v/>
      </c>
      <c r="GE1043" s="101" t="str">
        <f t="shared" si="534"/>
        <v/>
      </c>
      <c r="GF1043" s="101">
        <f t="shared" si="516"/>
        <v>0.03</v>
      </c>
      <c r="GG1043" s="101">
        <f t="shared" si="517"/>
        <v>1</v>
      </c>
      <c r="GH1043" s="101">
        <f t="shared" si="518"/>
        <v>56</v>
      </c>
      <c r="GI1043" s="101">
        <f t="shared" si="519"/>
        <v>0</v>
      </c>
      <c r="GJ1043" s="101">
        <f t="shared" si="520"/>
        <v>1</v>
      </c>
      <c r="GK1043" s="101">
        <f t="shared" si="521"/>
        <v>13</v>
      </c>
      <c r="GL1043" s="101">
        <f t="shared" si="522"/>
        <v>1.35E-2</v>
      </c>
      <c r="GM1043" s="101">
        <f t="shared" si="523"/>
        <v>1</v>
      </c>
      <c r="GN1043" s="101">
        <f t="shared" si="524"/>
        <v>26</v>
      </c>
      <c r="GO1043" s="101">
        <f t="shared" si="525"/>
        <v>5.3800000000000001E-2</v>
      </c>
      <c r="GP1043" s="101">
        <f t="shared" si="526"/>
        <v>1</v>
      </c>
      <c r="GQ1043" s="101">
        <f t="shared" si="527"/>
        <v>56</v>
      </c>
    </row>
    <row r="1044" spans="175:199" ht="16.5" x14ac:dyDescent="0.2">
      <c r="FS1044" s="101">
        <v>1039</v>
      </c>
      <c r="FT1044" s="101">
        <f t="shared" si="512"/>
        <v>71</v>
      </c>
      <c r="FU1044" s="101">
        <f t="shared" si="528"/>
        <v>13</v>
      </c>
      <c r="FV1044" s="14">
        <f t="shared" si="529"/>
        <v>4</v>
      </c>
      <c r="FW1044" s="101" t="str">
        <f t="shared" si="513"/>
        <v>西方龙专属武器-魂珠-8 8级</v>
      </c>
      <c r="FX1044" s="101">
        <f t="shared" si="514"/>
        <v>8</v>
      </c>
      <c r="FY1044" s="101">
        <f t="shared" si="515"/>
        <v>8</v>
      </c>
      <c r="FZ1044" s="101" t="str">
        <f t="shared" si="530"/>
        <v>金币</v>
      </c>
      <c r="GA1044" s="139">
        <f>IF($FY1044&gt;0,IF(INDEX($EM$6:$EM$77,$FT1044)&gt;=GA$3,ROUND(INDEX(EO$6:EO$77,$FT1044)*INDEX(卡牌消耗!$B$8:$F$8,FV1044)/5,0)*5,""),"")</f>
        <v>31495</v>
      </c>
      <c r="GB1044" s="101" t="str">
        <f t="shared" si="531"/>
        <v>专属强化石4</v>
      </c>
      <c r="GC1044" s="101">
        <f t="shared" si="532"/>
        <v>30</v>
      </c>
      <c r="GD1044" s="101" t="str">
        <f t="shared" si="533"/>
        <v/>
      </c>
      <c r="GE1044" s="101" t="str">
        <f t="shared" si="534"/>
        <v/>
      </c>
      <c r="GF1044" s="101">
        <f t="shared" si="516"/>
        <v>0.02</v>
      </c>
      <c r="GG1044" s="101">
        <f t="shared" si="517"/>
        <v>1</v>
      </c>
      <c r="GH1044" s="101">
        <f t="shared" si="518"/>
        <v>75</v>
      </c>
      <c r="GI1044" s="101">
        <f t="shared" si="519"/>
        <v>0</v>
      </c>
      <c r="GJ1044" s="101">
        <f t="shared" si="520"/>
        <v>1</v>
      </c>
      <c r="GK1044" s="101">
        <f t="shared" si="521"/>
        <v>18</v>
      </c>
      <c r="GL1044" s="101">
        <f t="shared" si="522"/>
        <v>0.01</v>
      </c>
      <c r="GM1044" s="101">
        <f t="shared" si="523"/>
        <v>1</v>
      </c>
      <c r="GN1044" s="101">
        <f t="shared" si="524"/>
        <v>35</v>
      </c>
      <c r="GO1044" s="101">
        <f t="shared" si="525"/>
        <v>3.9899999999999998E-2</v>
      </c>
      <c r="GP1044" s="101">
        <f t="shared" si="526"/>
        <v>1</v>
      </c>
      <c r="GQ1044" s="101">
        <f t="shared" si="527"/>
        <v>75</v>
      </c>
    </row>
    <row r="1045" spans="175:199" ht="16.5" x14ac:dyDescent="0.2">
      <c r="FS1045" s="101">
        <v>1040</v>
      </c>
      <c r="FT1045" s="101">
        <f t="shared" si="512"/>
        <v>72</v>
      </c>
      <c r="FU1045" s="101">
        <f t="shared" si="528"/>
        <v>13</v>
      </c>
      <c r="FV1045" s="14">
        <f t="shared" si="529"/>
        <v>4</v>
      </c>
      <c r="FW1045" s="101" t="str">
        <f t="shared" si="513"/>
        <v>西方龙专属武器-魂珠-8 9级</v>
      </c>
      <c r="FX1045" s="101">
        <f t="shared" si="514"/>
        <v>8</v>
      </c>
      <c r="FY1045" s="101">
        <f t="shared" si="515"/>
        <v>9</v>
      </c>
      <c r="FZ1045" s="101" t="str">
        <f t="shared" si="530"/>
        <v>金币</v>
      </c>
      <c r="GA1045" s="139">
        <f>IF($FY1045&gt;0,IF(INDEX($EM$6:$EM$77,$FT1045)&gt;=GA$3,ROUND(INDEX(EO$6:EO$77,$FT1045)*INDEX(卡牌消耗!$B$8:$F$8,FV1045)/5,0)*5,""),"")</f>
        <v>31510</v>
      </c>
      <c r="GB1045" s="101" t="str">
        <f t="shared" si="531"/>
        <v>专属强化石4</v>
      </c>
      <c r="GC1045" s="101">
        <f t="shared" si="532"/>
        <v>30</v>
      </c>
      <c r="GD1045" s="101" t="str">
        <f t="shared" si="533"/>
        <v/>
      </c>
      <c r="GE1045" s="101" t="str">
        <f t="shared" si="534"/>
        <v/>
      </c>
      <c r="GF1045" s="101">
        <f t="shared" si="516"/>
        <v>0.01</v>
      </c>
      <c r="GG1045" s="101">
        <f t="shared" si="517"/>
        <v>1</v>
      </c>
      <c r="GH1045" s="101">
        <f t="shared" si="518"/>
        <v>122</v>
      </c>
      <c r="GI1045" s="101">
        <f t="shared" si="519"/>
        <v>0</v>
      </c>
      <c r="GJ1045" s="101">
        <f t="shared" si="520"/>
        <v>1</v>
      </c>
      <c r="GK1045" s="101">
        <f t="shared" si="521"/>
        <v>28</v>
      </c>
      <c r="GL1045" s="101">
        <f t="shared" si="522"/>
        <v>6.1999999999999998E-3</v>
      </c>
      <c r="GM1045" s="101">
        <f t="shared" si="523"/>
        <v>1</v>
      </c>
      <c r="GN1045" s="101">
        <f t="shared" si="524"/>
        <v>57</v>
      </c>
      <c r="GO1045" s="101">
        <f t="shared" si="525"/>
        <v>2.47E-2</v>
      </c>
      <c r="GP1045" s="101">
        <f t="shared" si="526"/>
        <v>1</v>
      </c>
      <c r="GQ1045" s="101">
        <f t="shared" si="527"/>
        <v>122</v>
      </c>
    </row>
    <row r="1046" spans="175:199" ht="16.5" x14ac:dyDescent="0.2">
      <c r="FS1046" s="101">
        <v>1041</v>
      </c>
      <c r="FT1046" s="101">
        <f t="shared" ref="FT1046:FT1109" si="535">IF(FY1046&gt;0,(FX1046-1)*9+FY1046,0)</f>
        <v>0</v>
      </c>
      <c r="FU1046" s="101">
        <f t="shared" si="528"/>
        <v>14</v>
      </c>
      <c r="FV1046" s="14">
        <f t="shared" si="529"/>
        <v>3</v>
      </c>
      <c r="FW1046" s="101" t="str">
        <f t="shared" ref="FW1046:FW1109" si="536">INDEX($FN$6:$FN$26,FU1046)&amp;"专属武器-魂珠-"&amp;FX1046&amp;" "&amp;FY1046&amp;"级"</f>
        <v>飞廉专属武器-魂珠-1 0级</v>
      </c>
      <c r="FX1046" s="101">
        <f t="shared" ref="FX1046:FX1109" si="537">INT((FS1046-(FU1046-1)*80-1)/10)+1</f>
        <v>1</v>
      </c>
      <c r="FY1046" s="101">
        <f t="shared" ref="FY1046:FY1109" si="538">FS1046-(FU1046-1)*80-(FX1046-1)*10-1</f>
        <v>0</v>
      </c>
      <c r="FZ1046" s="101" t="str">
        <f t="shared" si="530"/>
        <v/>
      </c>
      <c r="GA1046" s="139" t="str">
        <f>IF($FY1046&gt;0,IF(INDEX($EM$6:$EM$77,$FT1046)&gt;=GA$3,ROUND(INDEX(EO$6:EO$77,$FT1046)*INDEX(卡牌消耗!$B$8:$F$8,FV1046)/5,0)*5,""),"")</f>
        <v/>
      </c>
      <c r="GB1046" s="101" t="str">
        <f t="shared" si="531"/>
        <v/>
      </c>
      <c r="GC1046" s="101" t="str">
        <f t="shared" si="532"/>
        <v/>
      </c>
      <c r="GD1046" s="101" t="str">
        <f t="shared" si="533"/>
        <v/>
      </c>
      <c r="GE1046" s="101" t="str">
        <f t="shared" si="534"/>
        <v/>
      </c>
      <c r="GF1046" s="101" t="str">
        <f t="shared" ref="GF1046:GF1109" si="539">IF($FY1046&gt;0,INDEX(ET$6:ET$77,$FT1046),"")</f>
        <v/>
      </c>
      <c r="GG1046" s="101" t="str">
        <f t="shared" ref="GG1046:GG1109" si="540">IF($FY1046&gt;0,INDEX(EU$6:EU$77,$FT1046),"")</f>
        <v/>
      </c>
      <c r="GH1046" s="101" t="str">
        <f t="shared" ref="GH1046:GH1109" si="541">IF($FY1046&gt;0,INDEX(EV$6:EV$77,$FT1046),"")</f>
        <v/>
      </c>
      <c r="GI1046" s="101" t="str">
        <f t="shared" ref="GI1046:GI1109" si="542">IF($FY1046&gt;0,INDEX(FA$6:FA$77,$FT1046),"")</f>
        <v/>
      </c>
      <c r="GJ1046" s="101" t="str">
        <f t="shared" ref="GJ1046:GJ1109" si="543">IF($FY1046&gt;0,INDEX(FB$6:FB$77,$FT1046),"")</f>
        <v/>
      </c>
      <c r="GK1046" s="101" t="str">
        <f t="shared" ref="GK1046:GK1109" si="544">IF($FY1046&gt;0,INDEX(FC$6:FC$77,$FT1046),"")</f>
        <v/>
      </c>
      <c r="GL1046" s="101" t="str">
        <f t="shared" ref="GL1046:GL1109" si="545">IF($FY1046&gt;0,INDEX(FD$6:FD$77,$FT1046),"")</f>
        <v/>
      </c>
      <c r="GM1046" s="101" t="str">
        <f t="shared" ref="GM1046:GM1109" si="546">IF($FY1046&gt;0,INDEX(FE$6:FE$77,$FT1046),"")</f>
        <v/>
      </c>
      <c r="GN1046" s="101" t="str">
        <f t="shared" ref="GN1046:GN1109" si="547">IF($FY1046&gt;0,INDEX(FF$6:FF$77,$FT1046),"")</f>
        <v/>
      </c>
      <c r="GO1046" s="101" t="str">
        <f t="shared" ref="GO1046:GO1109" si="548">IF($FY1046&gt;0,INDEX(FG$6:FG$77,$FT1046),"")</f>
        <v/>
      </c>
      <c r="GP1046" s="101" t="str">
        <f t="shared" ref="GP1046:GP1109" si="549">IF($FY1046&gt;0,INDEX(FH$6:FH$77,$FT1046),"")</f>
        <v/>
      </c>
      <c r="GQ1046" s="101" t="str">
        <f t="shared" ref="GQ1046:GQ1109" si="550">IF($FY1046&gt;0,INDEX(FI$6:FI$77,$FT1046),"")</f>
        <v/>
      </c>
    </row>
    <row r="1047" spans="175:199" ht="16.5" x14ac:dyDescent="0.2">
      <c r="FS1047" s="101">
        <v>1042</v>
      </c>
      <c r="FT1047" s="101">
        <f t="shared" si="535"/>
        <v>1</v>
      </c>
      <c r="FU1047" s="101">
        <f t="shared" si="528"/>
        <v>14</v>
      </c>
      <c r="FV1047" s="14">
        <f t="shared" si="529"/>
        <v>3</v>
      </c>
      <c r="FW1047" s="101" t="str">
        <f t="shared" si="536"/>
        <v>飞廉专属武器-魂珠-1 1级</v>
      </c>
      <c r="FX1047" s="101">
        <f t="shared" si="537"/>
        <v>1</v>
      </c>
      <c r="FY1047" s="101">
        <f t="shared" si="538"/>
        <v>1</v>
      </c>
      <c r="FZ1047" s="101" t="str">
        <f t="shared" si="530"/>
        <v>金币</v>
      </c>
      <c r="GA1047" s="139">
        <f>IF($FY1047&gt;0,IF(INDEX($EM$6:$EM$77,$FT1047)&gt;=GA$3,ROUND(INDEX(EO$6:EO$77,$FT1047)*INDEX(卡牌消耗!$B$8:$F$8,FV1047)/5,0)*5,""),"")</f>
        <v>95</v>
      </c>
      <c r="GB1047" s="101" t="str">
        <f t="shared" si="531"/>
        <v>专属强化石1</v>
      </c>
      <c r="GC1047" s="101">
        <f t="shared" si="532"/>
        <v>1</v>
      </c>
      <c r="GD1047" s="101" t="str">
        <f t="shared" si="533"/>
        <v/>
      </c>
      <c r="GE1047" s="101" t="str">
        <f t="shared" si="534"/>
        <v/>
      </c>
      <c r="GF1047" s="101">
        <f t="shared" si="539"/>
        <v>0.32</v>
      </c>
      <c r="GG1047" s="101">
        <f t="shared" si="540"/>
        <v>1</v>
      </c>
      <c r="GH1047" s="101">
        <f t="shared" si="541"/>
        <v>5</v>
      </c>
      <c r="GI1047" s="101">
        <f t="shared" si="542"/>
        <v>0</v>
      </c>
      <c r="GJ1047" s="101">
        <f t="shared" si="543"/>
        <v>1</v>
      </c>
      <c r="GK1047" s="101">
        <f t="shared" si="544"/>
        <v>1</v>
      </c>
      <c r="GL1047" s="101">
        <f t="shared" si="545"/>
        <v>0.1595</v>
      </c>
      <c r="GM1047" s="101">
        <f t="shared" si="546"/>
        <v>1</v>
      </c>
      <c r="GN1047" s="101">
        <f t="shared" si="547"/>
        <v>2</v>
      </c>
      <c r="GO1047" s="101">
        <f t="shared" si="548"/>
        <v>0.63819999999999999</v>
      </c>
      <c r="GP1047" s="101">
        <f t="shared" si="549"/>
        <v>1</v>
      </c>
      <c r="GQ1047" s="101">
        <f t="shared" si="550"/>
        <v>5</v>
      </c>
    </row>
    <row r="1048" spans="175:199" ht="16.5" x14ac:dyDescent="0.2">
      <c r="FS1048" s="101">
        <v>1043</v>
      </c>
      <c r="FT1048" s="101">
        <f t="shared" si="535"/>
        <v>2</v>
      </c>
      <c r="FU1048" s="101">
        <f t="shared" si="528"/>
        <v>14</v>
      </c>
      <c r="FV1048" s="14">
        <f t="shared" si="529"/>
        <v>3</v>
      </c>
      <c r="FW1048" s="101" t="str">
        <f t="shared" si="536"/>
        <v>飞廉专属武器-魂珠-1 2级</v>
      </c>
      <c r="FX1048" s="101">
        <f t="shared" si="537"/>
        <v>1</v>
      </c>
      <c r="FY1048" s="101">
        <f t="shared" si="538"/>
        <v>2</v>
      </c>
      <c r="FZ1048" s="101" t="str">
        <f t="shared" si="530"/>
        <v>金币</v>
      </c>
      <c r="GA1048" s="139">
        <f>IF($FY1048&gt;0,IF(INDEX($EM$6:$EM$77,$FT1048)&gt;=GA$3,ROUND(INDEX(EO$6:EO$77,$FT1048)*INDEX(卡牌消耗!$B$8:$F$8,FV1048)/5,0)*5,""),"")</f>
        <v>140</v>
      </c>
      <c r="GB1048" s="101" t="str">
        <f t="shared" si="531"/>
        <v>专属强化石1</v>
      </c>
      <c r="GC1048" s="101">
        <f t="shared" si="532"/>
        <v>2</v>
      </c>
      <c r="GD1048" s="101" t="str">
        <f t="shared" si="533"/>
        <v/>
      </c>
      <c r="GE1048" s="101" t="str">
        <f t="shared" si="534"/>
        <v/>
      </c>
      <c r="GF1048" s="101">
        <f t="shared" si="539"/>
        <v>0.32</v>
      </c>
      <c r="GG1048" s="101">
        <f t="shared" si="540"/>
        <v>1</v>
      </c>
      <c r="GH1048" s="101">
        <f t="shared" si="541"/>
        <v>5</v>
      </c>
      <c r="GI1048" s="101">
        <f t="shared" si="542"/>
        <v>0</v>
      </c>
      <c r="GJ1048" s="101">
        <f t="shared" si="543"/>
        <v>1</v>
      </c>
      <c r="GK1048" s="101">
        <f t="shared" si="544"/>
        <v>1</v>
      </c>
      <c r="GL1048" s="101">
        <f t="shared" si="545"/>
        <v>0.1595</v>
      </c>
      <c r="GM1048" s="101">
        <f t="shared" si="546"/>
        <v>1</v>
      </c>
      <c r="GN1048" s="101">
        <f t="shared" si="547"/>
        <v>2</v>
      </c>
      <c r="GO1048" s="101">
        <f t="shared" si="548"/>
        <v>0.63819999999999999</v>
      </c>
      <c r="GP1048" s="101">
        <f t="shared" si="549"/>
        <v>1</v>
      </c>
      <c r="GQ1048" s="101">
        <f t="shared" si="550"/>
        <v>5</v>
      </c>
    </row>
    <row r="1049" spans="175:199" ht="16.5" x14ac:dyDescent="0.2">
      <c r="FS1049" s="101">
        <v>1044</v>
      </c>
      <c r="FT1049" s="101">
        <f t="shared" si="535"/>
        <v>3</v>
      </c>
      <c r="FU1049" s="101">
        <f t="shared" si="528"/>
        <v>14</v>
      </c>
      <c r="FV1049" s="14">
        <f t="shared" si="529"/>
        <v>3</v>
      </c>
      <c r="FW1049" s="101" t="str">
        <f t="shared" si="536"/>
        <v>飞廉专属武器-魂珠-1 3级</v>
      </c>
      <c r="FX1049" s="101">
        <f t="shared" si="537"/>
        <v>1</v>
      </c>
      <c r="FY1049" s="101">
        <f t="shared" si="538"/>
        <v>3</v>
      </c>
      <c r="FZ1049" s="101" t="str">
        <f t="shared" si="530"/>
        <v>金币</v>
      </c>
      <c r="GA1049" s="139">
        <f>IF($FY1049&gt;0,IF(INDEX($EM$6:$EM$77,$FT1049)&gt;=GA$3,ROUND(INDEX(EO$6:EO$77,$FT1049)*INDEX(卡牌消耗!$B$8:$F$8,FV1049)/5,0)*5,""),"")</f>
        <v>235</v>
      </c>
      <c r="GB1049" s="101" t="str">
        <f t="shared" si="531"/>
        <v>专属强化石1</v>
      </c>
      <c r="GC1049" s="101">
        <f t="shared" si="532"/>
        <v>3</v>
      </c>
      <c r="GD1049" s="101" t="str">
        <f t="shared" si="533"/>
        <v/>
      </c>
      <c r="GE1049" s="101" t="str">
        <f t="shared" si="534"/>
        <v/>
      </c>
      <c r="GF1049" s="101">
        <f t="shared" si="539"/>
        <v>0.32</v>
      </c>
      <c r="GG1049" s="101">
        <f t="shared" si="540"/>
        <v>1</v>
      </c>
      <c r="GH1049" s="101">
        <f t="shared" si="541"/>
        <v>5</v>
      </c>
      <c r="GI1049" s="101">
        <f t="shared" si="542"/>
        <v>0</v>
      </c>
      <c r="GJ1049" s="101">
        <f t="shared" si="543"/>
        <v>1</v>
      </c>
      <c r="GK1049" s="101">
        <f t="shared" si="544"/>
        <v>1</v>
      </c>
      <c r="GL1049" s="101">
        <f t="shared" si="545"/>
        <v>0.1595</v>
      </c>
      <c r="GM1049" s="101">
        <f t="shared" si="546"/>
        <v>1</v>
      </c>
      <c r="GN1049" s="101">
        <f t="shared" si="547"/>
        <v>2</v>
      </c>
      <c r="GO1049" s="101">
        <f t="shared" si="548"/>
        <v>0.63819999999999999</v>
      </c>
      <c r="GP1049" s="101">
        <f t="shared" si="549"/>
        <v>1</v>
      </c>
      <c r="GQ1049" s="101">
        <f t="shared" si="550"/>
        <v>5</v>
      </c>
    </row>
    <row r="1050" spans="175:199" ht="16.5" x14ac:dyDescent="0.2">
      <c r="FS1050" s="101">
        <v>1045</v>
      </c>
      <c r="FT1050" s="101">
        <f t="shared" si="535"/>
        <v>4</v>
      </c>
      <c r="FU1050" s="101">
        <f t="shared" si="528"/>
        <v>14</v>
      </c>
      <c r="FV1050" s="14">
        <f t="shared" si="529"/>
        <v>3</v>
      </c>
      <c r="FW1050" s="101" t="str">
        <f t="shared" si="536"/>
        <v>飞廉专属武器-魂珠-1 4级</v>
      </c>
      <c r="FX1050" s="101">
        <f t="shared" si="537"/>
        <v>1</v>
      </c>
      <c r="FY1050" s="101">
        <f t="shared" si="538"/>
        <v>4</v>
      </c>
      <c r="FZ1050" s="101" t="str">
        <f t="shared" si="530"/>
        <v>金币</v>
      </c>
      <c r="GA1050" s="139">
        <f>IF($FY1050&gt;0,IF(INDEX($EM$6:$EM$77,$FT1050)&gt;=GA$3,ROUND(INDEX(EO$6:EO$77,$FT1050)*INDEX(卡牌消耗!$B$8:$F$8,FV1050)/5,0)*5,""),"")</f>
        <v>305</v>
      </c>
      <c r="GB1050" s="101" t="str">
        <f t="shared" si="531"/>
        <v>专属强化石1</v>
      </c>
      <c r="GC1050" s="101">
        <f t="shared" si="532"/>
        <v>4</v>
      </c>
      <c r="GD1050" s="101" t="str">
        <f t="shared" si="533"/>
        <v/>
      </c>
      <c r="GE1050" s="101" t="str">
        <f t="shared" si="534"/>
        <v/>
      </c>
      <c r="GF1050" s="101">
        <f t="shared" si="539"/>
        <v>0.26</v>
      </c>
      <c r="GG1050" s="101">
        <f t="shared" si="540"/>
        <v>1</v>
      </c>
      <c r="GH1050" s="101">
        <f t="shared" si="541"/>
        <v>6</v>
      </c>
      <c r="GI1050" s="101">
        <f t="shared" si="542"/>
        <v>0</v>
      </c>
      <c r="GJ1050" s="101">
        <f t="shared" si="543"/>
        <v>1</v>
      </c>
      <c r="GK1050" s="101">
        <f t="shared" si="544"/>
        <v>1</v>
      </c>
      <c r="GL1050" s="101">
        <f t="shared" si="545"/>
        <v>0.12759999999999999</v>
      </c>
      <c r="GM1050" s="101">
        <f t="shared" si="546"/>
        <v>1</v>
      </c>
      <c r="GN1050" s="101">
        <f t="shared" si="547"/>
        <v>3</v>
      </c>
      <c r="GO1050" s="101">
        <f t="shared" si="548"/>
        <v>0.51060000000000005</v>
      </c>
      <c r="GP1050" s="101">
        <f t="shared" si="549"/>
        <v>1</v>
      </c>
      <c r="GQ1050" s="101">
        <f t="shared" si="550"/>
        <v>6</v>
      </c>
    </row>
    <row r="1051" spans="175:199" ht="16.5" x14ac:dyDescent="0.2">
      <c r="FS1051" s="101">
        <v>1046</v>
      </c>
      <c r="FT1051" s="101">
        <f t="shared" si="535"/>
        <v>5</v>
      </c>
      <c r="FU1051" s="101">
        <f t="shared" si="528"/>
        <v>14</v>
      </c>
      <c r="FV1051" s="14">
        <f t="shared" si="529"/>
        <v>3</v>
      </c>
      <c r="FW1051" s="101" t="str">
        <f t="shared" si="536"/>
        <v>飞廉专属武器-魂珠-1 5级</v>
      </c>
      <c r="FX1051" s="101">
        <f t="shared" si="537"/>
        <v>1</v>
      </c>
      <c r="FY1051" s="101">
        <f t="shared" si="538"/>
        <v>5</v>
      </c>
      <c r="FZ1051" s="101" t="str">
        <f t="shared" si="530"/>
        <v>金币</v>
      </c>
      <c r="GA1051" s="139">
        <f>IF($FY1051&gt;0,IF(INDEX($EM$6:$EM$77,$FT1051)&gt;=GA$3,ROUND(INDEX(EO$6:EO$77,$FT1051)*INDEX(卡牌消耗!$B$8:$F$8,FV1051)/5,0)*5,""),"")</f>
        <v>385</v>
      </c>
      <c r="GB1051" s="101" t="str">
        <f t="shared" si="531"/>
        <v>专属强化石1</v>
      </c>
      <c r="GC1051" s="101">
        <f t="shared" si="532"/>
        <v>5</v>
      </c>
      <c r="GD1051" s="101" t="str">
        <f t="shared" si="533"/>
        <v/>
      </c>
      <c r="GE1051" s="101" t="str">
        <f t="shared" si="534"/>
        <v/>
      </c>
      <c r="GF1051" s="101">
        <f t="shared" si="539"/>
        <v>0.2</v>
      </c>
      <c r="GG1051" s="101">
        <f t="shared" si="540"/>
        <v>1</v>
      </c>
      <c r="GH1051" s="101">
        <f t="shared" si="541"/>
        <v>8</v>
      </c>
      <c r="GI1051" s="101">
        <f t="shared" si="542"/>
        <v>0</v>
      </c>
      <c r="GJ1051" s="101">
        <f t="shared" si="543"/>
        <v>1</v>
      </c>
      <c r="GK1051" s="101">
        <f t="shared" si="544"/>
        <v>2</v>
      </c>
      <c r="GL1051" s="101">
        <f t="shared" si="545"/>
        <v>9.9699999999999997E-2</v>
      </c>
      <c r="GM1051" s="101">
        <f t="shared" si="546"/>
        <v>1</v>
      </c>
      <c r="GN1051" s="101">
        <f t="shared" si="547"/>
        <v>4</v>
      </c>
      <c r="GO1051" s="101">
        <f t="shared" si="548"/>
        <v>0.39889999999999998</v>
      </c>
      <c r="GP1051" s="101">
        <f t="shared" si="549"/>
        <v>1</v>
      </c>
      <c r="GQ1051" s="101">
        <f t="shared" si="550"/>
        <v>8</v>
      </c>
    </row>
    <row r="1052" spans="175:199" ht="16.5" x14ac:dyDescent="0.2">
      <c r="FS1052" s="101">
        <v>1047</v>
      </c>
      <c r="FT1052" s="101">
        <f t="shared" si="535"/>
        <v>6</v>
      </c>
      <c r="FU1052" s="101">
        <f t="shared" si="528"/>
        <v>14</v>
      </c>
      <c r="FV1052" s="14">
        <f t="shared" si="529"/>
        <v>3</v>
      </c>
      <c r="FW1052" s="101" t="str">
        <f t="shared" si="536"/>
        <v>飞廉专属武器-魂珠-1 6级</v>
      </c>
      <c r="FX1052" s="101">
        <f t="shared" si="537"/>
        <v>1</v>
      </c>
      <c r="FY1052" s="101">
        <f t="shared" si="538"/>
        <v>6</v>
      </c>
      <c r="FZ1052" s="101" t="str">
        <f t="shared" si="530"/>
        <v>金币</v>
      </c>
      <c r="GA1052" s="139">
        <f>IF($FY1052&gt;0,IF(INDEX($EM$6:$EM$77,$FT1052)&gt;=GA$3,ROUND(INDEX(EO$6:EO$77,$FT1052)*INDEX(卡牌消耗!$B$8:$F$8,FV1052)/5,0)*5,""),"")</f>
        <v>460</v>
      </c>
      <c r="GB1052" s="101" t="str">
        <f t="shared" si="531"/>
        <v>专属强化石1</v>
      </c>
      <c r="GC1052" s="101">
        <f t="shared" si="532"/>
        <v>6</v>
      </c>
      <c r="GD1052" s="101" t="str">
        <f t="shared" si="533"/>
        <v/>
      </c>
      <c r="GE1052" s="101" t="str">
        <f t="shared" si="534"/>
        <v/>
      </c>
      <c r="GF1052" s="101">
        <f t="shared" si="539"/>
        <v>0.15</v>
      </c>
      <c r="GG1052" s="101">
        <f t="shared" si="540"/>
        <v>1</v>
      </c>
      <c r="GH1052" s="101">
        <f t="shared" si="541"/>
        <v>10</v>
      </c>
      <c r="GI1052" s="101">
        <f t="shared" si="542"/>
        <v>0</v>
      </c>
      <c r="GJ1052" s="101">
        <f t="shared" si="543"/>
        <v>1</v>
      </c>
      <c r="GK1052" s="101">
        <f t="shared" si="544"/>
        <v>2</v>
      </c>
      <c r="GL1052" s="101">
        <f t="shared" si="545"/>
        <v>7.3599999999999999E-2</v>
      </c>
      <c r="GM1052" s="101">
        <f t="shared" si="546"/>
        <v>1</v>
      </c>
      <c r="GN1052" s="101">
        <f t="shared" si="547"/>
        <v>5</v>
      </c>
      <c r="GO1052" s="101">
        <f t="shared" si="548"/>
        <v>0.29459999999999997</v>
      </c>
      <c r="GP1052" s="101">
        <f t="shared" si="549"/>
        <v>1</v>
      </c>
      <c r="GQ1052" s="101">
        <f t="shared" si="550"/>
        <v>10</v>
      </c>
    </row>
    <row r="1053" spans="175:199" ht="16.5" x14ac:dyDescent="0.2">
      <c r="FS1053" s="101">
        <v>1048</v>
      </c>
      <c r="FT1053" s="101">
        <f t="shared" si="535"/>
        <v>7</v>
      </c>
      <c r="FU1053" s="101">
        <f t="shared" si="528"/>
        <v>14</v>
      </c>
      <c r="FV1053" s="14">
        <f t="shared" si="529"/>
        <v>3</v>
      </c>
      <c r="FW1053" s="101" t="str">
        <f t="shared" si="536"/>
        <v>飞廉专属武器-魂珠-1 7级</v>
      </c>
      <c r="FX1053" s="101">
        <f t="shared" si="537"/>
        <v>1</v>
      </c>
      <c r="FY1053" s="101">
        <f t="shared" si="538"/>
        <v>7</v>
      </c>
      <c r="FZ1053" s="101" t="str">
        <f t="shared" si="530"/>
        <v>金币</v>
      </c>
      <c r="GA1053" s="139">
        <f>IF($FY1053&gt;0,IF(INDEX($EM$6:$EM$77,$FT1053)&gt;=GA$3,ROUND(INDEX(EO$6:EO$77,$FT1053)*INDEX(卡牌消耗!$B$8:$F$8,FV1053)/5,0)*5,""),"")</f>
        <v>535</v>
      </c>
      <c r="GB1053" s="101" t="str">
        <f t="shared" si="531"/>
        <v>专属强化石1</v>
      </c>
      <c r="GC1053" s="101">
        <f t="shared" si="532"/>
        <v>7</v>
      </c>
      <c r="GD1053" s="101" t="str">
        <f t="shared" si="533"/>
        <v/>
      </c>
      <c r="GE1053" s="101" t="str">
        <f t="shared" si="534"/>
        <v/>
      </c>
      <c r="GF1053" s="101">
        <f t="shared" si="539"/>
        <v>0.11</v>
      </c>
      <c r="GG1053" s="101">
        <f t="shared" si="540"/>
        <v>1</v>
      </c>
      <c r="GH1053" s="101">
        <f t="shared" si="541"/>
        <v>14</v>
      </c>
      <c r="GI1053" s="101">
        <f t="shared" si="542"/>
        <v>0</v>
      </c>
      <c r="GJ1053" s="101">
        <f t="shared" si="543"/>
        <v>1</v>
      </c>
      <c r="GK1053" s="101">
        <f t="shared" si="544"/>
        <v>3</v>
      </c>
      <c r="GL1053" s="101">
        <f t="shared" si="545"/>
        <v>5.3199999999999997E-2</v>
      </c>
      <c r="GM1053" s="101">
        <f t="shared" si="546"/>
        <v>1</v>
      </c>
      <c r="GN1053" s="101">
        <f t="shared" si="547"/>
        <v>7</v>
      </c>
      <c r="GO1053" s="101">
        <f t="shared" si="548"/>
        <v>0.2127</v>
      </c>
      <c r="GP1053" s="101">
        <f t="shared" si="549"/>
        <v>1</v>
      </c>
      <c r="GQ1053" s="101">
        <f t="shared" si="550"/>
        <v>14</v>
      </c>
    </row>
    <row r="1054" spans="175:199" ht="16.5" x14ac:dyDescent="0.2">
      <c r="FS1054" s="101">
        <v>1049</v>
      </c>
      <c r="FT1054" s="101">
        <f t="shared" si="535"/>
        <v>8</v>
      </c>
      <c r="FU1054" s="101">
        <f t="shared" si="528"/>
        <v>14</v>
      </c>
      <c r="FV1054" s="14">
        <f t="shared" si="529"/>
        <v>3</v>
      </c>
      <c r="FW1054" s="101" t="str">
        <f t="shared" si="536"/>
        <v>飞廉专属武器-魂珠-1 8级</v>
      </c>
      <c r="FX1054" s="101">
        <f t="shared" si="537"/>
        <v>1</v>
      </c>
      <c r="FY1054" s="101">
        <f t="shared" si="538"/>
        <v>8</v>
      </c>
      <c r="FZ1054" s="101" t="str">
        <f t="shared" si="530"/>
        <v>金币</v>
      </c>
      <c r="GA1054" s="139">
        <f>IF($FY1054&gt;0,IF(INDEX($EM$6:$EM$77,$FT1054)&gt;=GA$3,ROUND(INDEX(EO$6:EO$77,$FT1054)*INDEX(卡牌消耗!$B$8:$F$8,FV1054)/5,0)*5,""),"")</f>
        <v>615</v>
      </c>
      <c r="GB1054" s="101" t="str">
        <f t="shared" si="531"/>
        <v>专属强化石1</v>
      </c>
      <c r="GC1054" s="101">
        <f t="shared" si="532"/>
        <v>8</v>
      </c>
      <c r="GD1054" s="101" t="str">
        <f t="shared" si="533"/>
        <v/>
      </c>
      <c r="GE1054" s="101" t="str">
        <f t="shared" si="534"/>
        <v/>
      </c>
      <c r="GF1054" s="101">
        <f t="shared" si="539"/>
        <v>0.08</v>
      </c>
      <c r="GG1054" s="101">
        <f t="shared" si="540"/>
        <v>1</v>
      </c>
      <c r="GH1054" s="101">
        <f t="shared" si="541"/>
        <v>20</v>
      </c>
      <c r="GI1054" s="101">
        <f t="shared" si="542"/>
        <v>0</v>
      </c>
      <c r="GJ1054" s="101">
        <f t="shared" si="543"/>
        <v>1</v>
      </c>
      <c r="GK1054" s="101">
        <f t="shared" si="544"/>
        <v>5</v>
      </c>
      <c r="GL1054" s="101">
        <f t="shared" si="545"/>
        <v>3.7499999999999999E-2</v>
      </c>
      <c r="GM1054" s="101">
        <f t="shared" si="546"/>
        <v>1</v>
      </c>
      <c r="GN1054" s="101">
        <f t="shared" si="547"/>
        <v>9</v>
      </c>
      <c r="GO1054" s="101">
        <f t="shared" si="548"/>
        <v>0.1502</v>
      </c>
      <c r="GP1054" s="101">
        <f t="shared" si="549"/>
        <v>1</v>
      </c>
      <c r="GQ1054" s="101">
        <f t="shared" si="550"/>
        <v>20</v>
      </c>
    </row>
    <row r="1055" spans="175:199" ht="16.5" x14ac:dyDescent="0.2">
      <c r="FS1055" s="101">
        <v>1050</v>
      </c>
      <c r="FT1055" s="101">
        <f t="shared" si="535"/>
        <v>9</v>
      </c>
      <c r="FU1055" s="101">
        <f t="shared" si="528"/>
        <v>14</v>
      </c>
      <c r="FV1055" s="14">
        <f t="shared" si="529"/>
        <v>3</v>
      </c>
      <c r="FW1055" s="101" t="str">
        <f t="shared" si="536"/>
        <v>飞廉专属武器-魂珠-1 9级</v>
      </c>
      <c r="FX1055" s="101">
        <f t="shared" si="537"/>
        <v>1</v>
      </c>
      <c r="FY1055" s="101">
        <f t="shared" si="538"/>
        <v>9</v>
      </c>
      <c r="FZ1055" s="101" t="str">
        <f t="shared" si="530"/>
        <v>金币</v>
      </c>
      <c r="GA1055" s="139">
        <f>IF($FY1055&gt;0,IF(INDEX($EM$6:$EM$77,$FT1055)&gt;=GA$3,ROUND(INDEX(EO$6:EO$77,$FT1055)*INDEX(卡牌消耗!$B$8:$F$8,FV1055)/5,0)*5,""),"")</f>
        <v>765</v>
      </c>
      <c r="GB1055" s="101" t="str">
        <f t="shared" si="531"/>
        <v>专属强化石1</v>
      </c>
      <c r="GC1055" s="101">
        <f t="shared" si="532"/>
        <v>10</v>
      </c>
      <c r="GD1055" s="101" t="str">
        <f t="shared" si="533"/>
        <v/>
      </c>
      <c r="GE1055" s="101" t="str">
        <f t="shared" si="534"/>
        <v/>
      </c>
      <c r="GF1055" s="101">
        <f t="shared" si="539"/>
        <v>0.06</v>
      </c>
      <c r="GG1055" s="101">
        <f t="shared" si="540"/>
        <v>1</v>
      </c>
      <c r="GH1055" s="101">
        <f t="shared" si="541"/>
        <v>26</v>
      </c>
      <c r="GI1055" s="101">
        <f t="shared" si="542"/>
        <v>0</v>
      </c>
      <c r="GJ1055" s="101">
        <f t="shared" si="543"/>
        <v>1</v>
      </c>
      <c r="GK1055" s="101">
        <f t="shared" si="544"/>
        <v>6</v>
      </c>
      <c r="GL1055" s="101">
        <f t="shared" si="545"/>
        <v>2.9000000000000001E-2</v>
      </c>
      <c r="GM1055" s="101">
        <f t="shared" si="546"/>
        <v>1</v>
      </c>
      <c r="GN1055" s="101">
        <f t="shared" si="547"/>
        <v>12</v>
      </c>
      <c r="GO1055" s="101">
        <f t="shared" si="548"/>
        <v>0.11600000000000001</v>
      </c>
      <c r="GP1055" s="101">
        <f t="shared" si="549"/>
        <v>1</v>
      </c>
      <c r="GQ1055" s="101">
        <f t="shared" si="550"/>
        <v>26</v>
      </c>
    </row>
    <row r="1056" spans="175:199" ht="16.5" x14ac:dyDescent="0.2">
      <c r="FS1056" s="101">
        <v>1051</v>
      </c>
      <c r="FT1056" s="101">
        <f t="shared" si="535"/>
        <v>0</v>
      </c>
      <c r="FU1056" s="101">
        <f t="shared" si="528"/>
        <v>14</v>
      </c>
      <c r="FV1056" s="14">
        <f t="shared" si="529"/>
        <v>3</v>
      </c>
      <c r="FW1056" s="101" t="str">
        <f t="shared" si="536"/>
        <v>飞廉专属武器-魂珠-2 0级</v>
      </c>
      <c r="FX1056" s="101">
        <f t="shared" si="537"/>
        <v>2</v>
      </c>
      <c r="FY1056" s="101">
        <f t="shared" si="538"/>
        <v>0</v>
      </c>
      <c r="FZ1056" s="101" t="str">
        <f t="shared" si="530"/>
        <v/>
      </c>
      <c r="GA1056" s="139" t="str">
        <f>IF($FY1056&gt;0,IF(INDEX($EM$6:$EM$77,$FT1056)&gt;=GA$3,ROUND(INDEX(EO$6:EO$77,$FT1056)*INDEX(卡牌消耗!$B$8:$F$8,FV1056)/5,0)*5,""),"")</f>
        <v/>
      </c>
      <c r="GB1056" s="101" t="str">
        <f t="shared" si="531"/>
        <v/>
      </c>
      <c r="GC1056" s="101" t="str">
        <f t="shared" si="532"/>
        <v/>
      </c>
      <c r="GD1056" s="101" t="str">
        <f t="shared" si="533"/>
        <v/>
      </c>
      <c r="GE1056" s="101" t="str">
        <f t="shared" si="534"/>
        <v/>
      </c>
      <c r="GF1056" s="101" t="str">
        <f t="shared" si="539"/>
        <v/>
      </c>
      <c r="GG1056" s="101" t="str">
        <f t="shared" si="540"/>
        <v/>
      </c>
      <c r="GH1056" s="101" t="str">
        <f t="shared" si="541"/>
        <v/>
      </c>
      <c r="GI1056" s="101" t="str">
        <f t="shared" si="542"/>
        <v/>
      </c>
      <c r="GJ1056" s="101" t="str">
        <f t="shared" si="543"/>
        <v/>
      </c>
      <c r="GK1056" s="101" t="str">
        <f t="shared" si="544"/>
        <v/>
      </c>
      <c r="GL1056" s="101" t="str">
        <f t="shared" si="545"/>
        <v/>
      </c>
      <c r="GM1056" s="101" t="str">
        <f t="shared" si="546"/>
        <v/>
      </c>
      <c r="GN1056" s="101" t="str">
        <f t="shared" si="547"/>
        <v/>
      </c>
      <c r="GO1056" s="101" t="str">
        <f t="shared" si="548"/>
        <v/>
      </c>
      <c r="GP1056" s="101" t="str">
        <f t="shared" si="549"/>
        <v/>
      </c>
      <c r="GQ1056" s="101" t="str">
        <f t="shared" si="550"/>
        <v/>
      </c>
    </row>
    <row r="1057" spans="175:199" ht="16.5" x14ac:dyDescent="0.2">
      <c r="FS1057" s="101">
        <v>1052</v>
      </c>
      <c r="FT1057" s="101">
        <f t="shared" si="535"/>
        <v>10</v>
      </c>
      <c r="FU1057" s="101">
        <f t="shared" si="528"/>
        <v>14</v>
      </c>
      <c r="FV1057" s="14">
        <f t="shared" si="529"/>
        <v>3</v>
      </c>
      <c r="FW1057" s="101" t="str">
        <f t="shared" si="536"/>
        <v>飞廉专属武器-魂珠-2 1级</v>
      </c>
      <c r="FX1057" s="101">
        <f t="shared" si="537"/>
        <v>2</v>
      </c>
      <c r="FY1057" s="101">
        <f t="shared" si="538"/>
        <v>1</v>
      </c>
      <c r="FZ1057" s="101" t="str">
        <f t="shared" si="530"/>
        <v>金币</v>
      </c>
      <c r="GA1057" s="139">
        <f>IF($FY1057&gt;0,IF(INDEX($EM$6:$EM$77,$FT1057)&gt;=GA$3,ROUND(INDEX(EO$6:EO$77,$FT1057)*INDEX(卡牌消耗!$B$8:$F$8,FV1057)/5,0)*5,""),"")</f>
        <v>260</v>
      </c>
      <c r="GB1057" s="101" t="str">
        <f t="shared" si="531"/>
        <v>专属强化石1</v>
      </c>
      <c r="GC1057" s="101">
        <f t="shared" si="532"/>
        <v>3</v>
      </c>
      <c r="GD1057" s="101" t="str">
        <f t="shared" si="533"/>
        <v>专属强化石2</v>
      </c>
      <c r="GE1057" s="101">
        <f t="shared" si="534"/>
        <v>1</v>
      </c>
      <c r="GF1057" s="101">
        <f t="shared" si="539"/>
        <v>0.39</v>
      </c>
      <c r="GG1057" s="101">
        <f t="shared" si="540"/>
        <v>1</v>
      </c>
      <c r="GH1057" s="101">
        <f t="shared" si="541"/>
        <v>4</v>
      </c>
      <c r="GI1057" s="101">
        <f t="shared" si="542"/>
        <v>0</v>
      </c>
      <c r="GJ1057" s="101">
        <f t="shared" si="543"/>
        <v>1</v>
      </c>
      <c r="GK1057" s="101">
        <f t="shared" si="544"/>
        <v>1</v>
      </c>
      <c r="GL1057" s="101">
        <f t="shared" si="545"/>
        <v>0.19270000000000001</v>
      </c>
      <c r="GM1057" s="101">
        <f t="shared" si="546"/>
        <v>1</v>
      </c>
      <c r="GN1057" s="101">
        <f t="shared" si="547"/>
        <v>2</v>
      </c>
      <c r="GO1057" s="101">
        <f t="shared" si="548"/>
        <v>0.77070000000000005</v>
      </c>
      <c r="GP1057" s="101">
        <f t="shared" si="549"/>
        <v>1</v>
      </c>
      <c r="GQ1057" s="101">
        <f t="shared" si="550"/>
        <v>4</v>
      </c>
    </row>
    <row r="1058" spans="175:199" ht="16.5" x14ac:dyDescent="0.2">
      <c r="FS1058" s="101">
        <v>1053</v>
      </c>
      <c r="FT1058" s="101">
        <f t="shared" si="535"/>
        <v>11</v>
      </c>
      <c r="FU1058" s="101">
        <f t="shared" si="528"/>
        <v>14</v>
      </c>
      <c r="FV1058" s="14">
        <f t="shared" si="529"/>
        <v>3</v>
      </c>
      <c r="FW1058" s="101" t="str">
        <f t="shared" si="536"/>
        <v>飞廉专属武器-魂珠-2 2级</v>
      </c>
      <c r="FX1058" s="101">
        <f t="shared" si="537"/>
        <v>2</v>
      </c>
      <c r="FY1058" s="101">
        <f t="shared" si="538"/>
        <v>2</v>
      </c>
      <c r="FZ1058" s="101" t="str">
        <f t="shared" si="530"/>
        <v>金币</v>
      </c>
      <c r="GA1058" s="139">
        <f>IF($FY1058&gt;0,IF(INDEX($EM$6:$EM$77,$FT1058)&gt;=GA$3,ROUND(INDEX(EO$6:EO$77,$FT1058)*INDEX(卡牌消耗!$B$8:$F$8,FV1058)/5,0)*5,""),"")</f>
        <v>195</v>
      </c>
      <c r="GB1058" s="101" t="str">
        <f t="shared" si="531"/>
        <v>专属强化石1</v>
      </c>
      <c r="GC1058" s="101">
        <f t="shared" si="532"/>
        <v>3</v>
      </c>
      <c r="GD1058" s="101" t="str">
        <f t="shared" si="533"/>
        <v>专属强化石2</v>
      </c>
      <c r="GE1058" s="101">
        <f t="shared" si="534"/>
        <v>1</v>
      </c>
      <c r="GF1058" s="101">
        <f t="shared" si="539"/>
        <v>0.19</v>
      </c>
      <c r="GG1058" s="101">
        <f t="shared" si="540"/>
        <v>1</v>
      </c>
      <c r="GH1058" s="101">
        <f t="shared" si="541"/>
        <v>8</v>
      </c>
      <c r="GI1058" s="101">
        <f t="shared" si="542"/>
        <v>0</v>
      </c>
      <c r="GJ1058" s="101">
        <f t="shared" si="543"/>
        <v>1</v>
      </c>
      <c r="GK1058" s="101">
        <f t="shared" si="544"/>
        <v>2</v>
      </c>
      <c r="GL1058" s="101">
        <f t="shared" si="545"/>
        <v>9.6299999999999997E-2</v>
      </c>
      <c r="GM1058" s="101">
        <f t="shared" si="546"/>
        <v>1</v>
      </c>
      <c r="GN1058" s="101">
        <f t="shared" si="547"/>
        <v>4</v>
      </c>
      <c r="GO1058" s="101">
        <f t="shared" si="548"/>
        <v>0.38529999999999998</v>
      </c>
      <c r="GP1058" s="101">
        <f t="shared" si="549"/>
        <v>1</v>
      </c>
      <c r="GQ1058" s="101">
        <f t="shared" si="550"/>
        <v>8</v>
      </c>
    </row>
    <row r="1059" spans="175:199" ht="16.5" x14ac:dyDescent="0.2">
      <c r="FS1059" s="101">
        <v>1054</v>
      </c>
      <c r="FT1059" s="101">
        <f t="shared" si="535"/>
        <v>12</v>
      </c>
      <c r="FU1059" s="101">
        <f t="shared" si="528"/>
        <v>14</v>
      </c>
      <c r="FV1059" s="14">
        <f t="shared" si="529"/>
        <v>3</v>
      </c>
      <c r="FW1059" s="101" t="str">
        <f t="shared" si="536"/>
        <v>飞廉专属武器-魂珠-2 3级</v>
      </c>
      <c r="FX1059" s="101">
        <f t="shared" si="537"/>
        <v>2</v>
      </c>
      <c r="FY1059" s="101">
        <f t="shared" si="538"/>
        <v>3</v>
      </c>
      <c r="FZ1059" s="101" t="str">
        <f t="shared" si="530"/>
        <v>金币</v>
      </c>
      <c r="GA1059" s="139">
        <f>IF($FY1059&gt;0,IF(INDEX($EM$6:$EM$77,$FT1059)&gt;=GA$3,ROUND(INDEX(EO$6:EO$77,$FT1059)*INDEX(卡牌消耗!$B$8:$F$8,FV1059)/5,0)*5,""),"")</f>
        <v>435</v>
      </c>
      <c r="GB1059" s="101" t="str">
        <f t="shared" si="531"/>
        <v>专属强化石1</v>
      </c>
      <c r="GC1059" s="101">
        <f t="shared" si="532"/>
        <v>6</v>
      </c>
      <c r="GD1059" s="101" t="str">
        <f t="shared" si="533"/>
        <v>专属强化石2</v>
      </c>
      <c r="GE1059" s="101">
        <f t="shared" si="534"/>
        <v>2</v>
      </c>
      <c r="GF1059" s="101">
        <f t="shared" si="539"/>
        <v>0.26</v>
      </c>
      <c r="GG1059" s="101">
        <f t="shared" si="540"/>
        <v>1</v>
      </c>
      <c r="GH1059" s="101">
        <f t="shared" si="541"/>
        <v>6</v>
      </c>
      <c r="GI1059" s="101">
        <f t="shared" si="542"/>
        <v>0</v>
      </c>
      <c r="GJ1059" s="101">
        <f t="shared" si="543"/>
        <v>1</v>
      </c>
      <c r="GK1059" s="101">
        <f t="shared" si="544"/>
        <v>1</v>
      </c>
      <c r="GL1059" s="101">
        <f t="shared" si="545"/>
        <v>0.12839999999999999</v>
      </c>
      <c r="GM1059" s="101">
        <f t="shared" si="546"/>
        <v>1</v>
      </c>
      <c r="GN1059" s="101">
        <f t="shared" si="547"/>
        <v>3</v>
      </c>
      <c r="GO1059" s="101">
        <f t="shared" si="548"/>
        <v>0.51380000000000003</v>
      </c>
      <c r="GP1059" s="101">
        <f t="shared" si="549"/>
        <v>1</v>
      </c>
      <c r="GQ1059" s="101">
        <f t="shared" si="550"/>
        <v>6</v>
      </c>
    </row>
    <row r="1060" spans="175:199" ht="16.5" x14ac:dyDescent="0.2">
      <c r="FS1060" s="101">
        <v>1055</v>
      </c>
      <c r="FT1060" s="101">
        <f t="shared" si="535"/>
        <v>13</v>
      </c>
      <c r="FU1060" s="101">
        <f t="shared" si="528"/>
        <v>14</v>
      </c>
      <c r="FV1060" s="14">
        <f t="shared" si="529"/>
        <v>3</v>
      </c>
      <c r="FW1060" s="101" t="str">
        <f t="shared" si="536"/>
        <v>飞廉专属武器-魂珠-2 4级</v>
      </c>
      <c r="FX1060" s="101">
        <f t="shared" si="537"/>
        <v>2</v>
      </c>
      <c r="FY1060" s="101">
        <f t="shared" si="538"/>
        <v>4</v>
      </c>
      <c r="FZ1060" s="101" t="str">
        <f t="shared" si="530"/>
        <v>金币</v>
      </c>
      <c r="GA1060" s="139">
        <f>IF($FY1060&gt;0,IF(INDEX($EM$6:$EM$77,$FT1060)&gt;=GA$3,ROUND(INDEX(EO$6:EO$77,$FT1060)*INDEX(卡牌消耗!$B$8:$F$8,FV1060)/5,0)*5,""),"")</f>
        <v>420</v>
      </c>
      <c r="GB1060" s="101" t="str">
        <f t="shared" si="531"/>
        <v>专属强化石1</v>
      </c>
      <c r="GC1060" s="101">
        <f t="shared" si="532"/>
        <v>6</v>
      </c>
      <c r="GD1060" s="101" t="str">
        <f t="shared" si="533"/>
        <v>专属强化石2</v>
      </c>
      <c r="GE1060" s="101">
        <f t="shared" si="534"/>
        <v>2</v>
      </c>
      <c r="GF1060" s="101">
        <f t="shared" si="539"/>
        <v>0.15</v>
      </c>
      <c r="GG1060" s="101">
        <f t="shared" si="540"/>
        <v>1</v>
      </c>
      <c r="GH1060" s="101">
        <f t="shared" si="541"/>
        <v>10</v>
      </c>
      <c r="GI1060" s="101">
        <f t="shared" si="542"/>
        <v>0</v>
      </c>
      <c r="GJ1060" s="101">
        <f t="shared" si="543"/>
        <v>1</v>
      </c>
      <c r="GK1060" s="101">
        <f t="shared" si="544"/>
        <v>2</v>
      </c>
      <c r="GL1060" s="101">
        <f t="shared" si="545"/>
        <v>7.7100000000000002E-2</v>
      </c>
      <c r="GM1060" s="101">
        <f t="shared" si="546"/>
        <v>1</v>
      </c>
      <c r="GN1060" s="101">
        <f t="shared" si="547"/>
        <v>5</v>
      </c>
      <c r="GO1060" s="101">
        <f t="shared" si="548"/>
        <v>0.30830000000000002</v>
      </c>
      <c r="GP1060" s="101">
        <f t="shared" si="549"/>
        <v>1</v>
      </c>
      <c r="GQ1060" s="101">
        <f t="shared" si="550"/>
        <v>10</v>
      </c>
    </row>
    <row r="1061" spans="175:199" ht="16.5" x14ac:dyDescent="0.2">
      <c r="FS1061" s="101">
        <v>1056</v>
      </c>
      <c r="FT1061" s="101">
        <f t="shared" si="535"/>
        <v>14</v>
      </c>
      <c r="FU1061" s="101">
        <f t="shared" si="528"/>
        <v>14</v>
      </c>
      <c r="FV1061" s="14">
        <f t="shared" si="529"/>
        <v>3</v>
      </c>
      <c r="FW1061" s="101" t="str">
        <f t="shared" si="536"/>
        <v>飞廉专属武器-魂珠-2 5级</v>
      </c>
      <c r="FX1061" s="101">
        <f t="shared" si="537"/>
        <v>2</v>
      </c>
      <c r="FY1061" s="101">
        <f t="shared" si="538"/>
        <v>5</v>
      </c>
      <c r="FZ1061" s="101" t="str">
        <f t="shared" si="530"/>
        <v>金币</v>
      </c>
      <c r="GA1061" s="139">
        <f>IF($FY1061&gt;0,IF(INDEX($EM$6:$EM$77,$FT1061)&gt;=GA$3,ROUND(INDEX(EO$6:EO$77,$FT1061)*INDEX(卡牌消耗!$B$8:$F$8,FV1061)/5,0)*5,""),"")</f>
        <v>635</v>
      </c>
      <c r="GB1061" s="101" t="str">
        <f t="shared" si="531"/>
        <v>专属强化石1</v>
      </c>
      <c r="GC1061" s="101">
        <f t="shared" si="532"/>
        <v>9</v>
      </c>
      <c r="GD1061" s="101" t="str">
        <f t="shared" si="533"/>
        <v>专属强化石2</v>
      </c>
      <c r="GE1061" s="101">
        <f t="shared" si="534"/>
        <v>3</v>
      </c>
      <c r="GF1061" s="101">
        <f t="shared" si="539"/>
        <v>0.14000000000000001</v>
      </c>
      <c r="GG1061" s="101">
        <f t="shared" si="540"/>
        <v>1</v>
      </c>
      <c r="GH1061" s="101">
        <f t="shared" si="541"/>
        <v>10</v>
      </c>
      <c r="GI1061" s="101">
        <f t="shared" si="542"/>
        <v>0</v>
      </c>
      <c r="GJ1061" s="101">
        <f t="shared" si="543"/>
        <v>1</v>
      </c>
      <c r="GK1061" s="101">
        <f t="shared" si="544"/>
        <v>2</v>
      </c>
      <c r="GL1061" s="101">
        <f t="shared" si="545"/>
        <v>7.22E-2</v>
      </c>
      <c r="GM1061" s="101">
        <f t="shared" si="546"/>
        <v>1</v>
      </c>
      <c r="GN1061" s="101">
        <f t="shared" si="547"/>
        <v>5</v>
      </c>
      <c r="GO1061" s="101">
        <f t="shared" si="548"/>
        <v>0.28899999999999998</v>
      </c>
      <c r="GP1061" s="101">
        <f t="shared" si="549"/>
        <v>1</v>
      </c>
      <c r="GQ1061" s="101">
        <f t="shared" si="550"/>
        <v>10</v>
      </c>
    </row>
    <row r="1062" spans="175:199" ht="16.5" x14ac:dyDescent="0.2">
      <c r="FS1062" s="101">
        <v>1057</v>
      </c>
      <c r="FT1062" s="101">
        <f t="shared" si="535"/>
        <v>15</v>
      </c>
      <c r="FU1062" s="101">
        <f t="shared" si="528"/>
        <v>14</v>
      </c>
      <c r="FV1062" s="14">
        <f t="shared" si="529"/>
        <v>3</v>
      </c>
      <c r="FW1062" s="101" t="str">
        <f t="shared" si="536"/>
        <v>飞廉专属武器-魂珠-2 6级</v>
      </c>
      <c r="FX1062" s="101">
        <f t="shared" si="537"/>
        <v>2</v>
      </c>
      <c r="FY1062" s="101">
        <f t="shared" si="538"/>
        <v>6</v>
      </c>
      <c r="FZ1062" s="101" t="str">
        <f t="shared" si="530"/>
        <v>金币</v>
      </c>
      <c r="GA1062" s="139">
        <f>IF($FY1062&gt;0,IF(INDEX($EM$6:$EM$77,$FT1062)&gt;=GA$3,ROUND(INDEX(EO$6:EO$77,$FT1062)*INDEX(卡牌消耗!$B$8:$F$8,FV1062)/5,0)*5,""),"")</f>
        <v>845</v>
      </c>
      <c r="GB1062" s="101" t="str">
        <f t="shared" si="531"/>
        <v>专属强化石1</v>
      </c>
      <c r="GC1062" s="101">
        <f t="shared" si="532"/>
        <v>12</v>
      </c>
      <c r="GD1062" s="101" t="str">
        <f t="shared" si="533"/>
        <v>专属强化石2</v>
      </c>
      <c r="GE1062" s="101">
        <f t="shared" si="534"/>
        <v>4</v>
      </c>
      <c r="GF1062" s="101">
        <f t="shared" si="539"/>
        <v>0.12</v>
      </c>
      <c r="GG1062" s="101">
        <f t="shared" si="540"/>
        <v>1</v>
      </c>
      <c r="GH1062" s="101">
        <f t="shared" si="541"/>
        <v>13</v>
      </c>
      <c r="GI1062" s="101">
        <f t="shared" si="542"/>
        <v>0</v>
      </c>
      <c r="GJ1062" s="101">
        <f t="shared" si="543"/>
        <v>1</v>
      </c>
      <c r="GK1062" s="101">
        <f t="shared" si="544"/>
        <v>3</v>
      </c>
      <c r="GL1062" s="101">
        <f t="shared" si="545"/>
        <v>5.9299999999999999E-2</v>
      </c>
      <c r="GM1062" s="101">
        <f t="shared" si="546"/>
        <v>1</v>
      </c>
      <c r="GN1062" s="101">
        <f t="shared" si="547"/>
        <v>6</v>
      </c>
      <c r="GO1062" s="101">
        <f t="shared" si="548"/>
        <v>0.23710000000000001</v>
      </c>
      <c r="GP1062" s="101">
        <f t="shared" si="549"/>
        <v>1</v>
      </c>
      <c r="GQ1062" s="101">
        <f t="shared" si="550"/>
        <v>13</v>
      </c>
    </row>
    <row r="1063" spans="175:199" ht="16.5" x14ac:dyDescent="0.2">
      <c r="FS1063" s="101">
        <v>1058</v>
      </c>
      <c r="FT1063" s="101">
        <f t="shared" si="535"/>
        <v>16</v>
      </c>
      <c r="FU1063" s="101">
        <f t="shared" si="528"/>
        <v>14</v>
      </c>
      <c r="FV1063" s="14">
        <f t="shared" si="529"/>
        <v>3</v>
      </c>
      <c r="FW1063" s="101" t="str">
        <f t="shared" si="536"/>
        <v>飞廉专属武器-魂珠-2 7级</v>
      </c>
      <c r="FX1063" s="101">
        <f t="shared" si="537"/>
        <v>2</v>
      </c>
      <c r="FY1063" s="101">
        <f t="shared" si="538"/>
        <v>7</v>
      </c>
      <c r="FZ1063" s="101" t="str">
        <f t="shared" si="530"/>
        <v>金币</v>
      </c>
      <c r="GA1063" s="139">
        <f>IF($FY1063&gt;0,IF(INDEX($EM$6:$EM$77,$FT1063)&gt;=GA$3,ROUND(INDEX(EO$6:EO$77,$FT1063)*INDEX(卡牌消耗!$B$8:$F$8,FV1063)/5,0)*5,""),"")</f>
        <v>1060</v>
      </c>
      <c r="GB1063" s="101" t="str">
        <f t="shared" si="531"/>
        <v>专属强化石1</v>
      </c>
      <c r="GC1063" s="101">
        <f t="shared" si="532"/>
        <v>15</v>
      </c>
      <c r="GD1063" s="101" t="str">
        <f t="shared" si="533"/>
        <v>专属强化石2</v>
      </c>
      <c r="GE1063" s="101">
        <f t="shared" si="534"/>
        <v>5</v>
      </c>
      <c r="GF1063" s="101">
        <f t="shared" si="539"/>
        <v>0.09</v>
      </c>
      <c r="GG1063" s="101">
        <f t="shared" si="540"/>
        <v>1</v>
      </c>
      <c r="GH1063" s="101">
        <f t="shared" si="541"/>
        <v>16</v>
      </c>
      <c r="GI1063" s="101">
        <f t="shared" si="542"/>
        <v>0</v>
      </c>
      <c r="GJ1063" s="101">
        <f t="shared" si="543"/>
        <v>1</v>
      </c>
      <c r="GK1063" s="101">
        <f t="shared" si="544"/>
        <v>4</v>
      </c>
      <c r="GL1063" s="101">
        <f t="shared" si="545"/>
        <v>4.5900000000000003E-2</v>
      </c>
      <c r="GM1063" s="101">
        <f t="shared" si="546"/>
        <v>1</v>
      </c>
      <c r="GN1063" s="101">
        <f t="shared" si="547"/>
        <v>8</v>
      </c>
      <c r="GO1063" s="101">
        <f t="shared" si="548"/>
        <v>0.1835</v>
      </c>
      <c r="GP1063" s="101">
        <f t="shared" si="549"/>
        <v>1</v>
      </c>
      <c r="GQ1063" s="101">
        <f t="shared" si="550"/>
        <v>16</v>
      </c>
    </row>
    <row r="1064" spans="175:199" ht="16.5" x14ac:dyDescent="0.2">
      <c r="FS1064" s="101">
        <v>1059</v>
      </c>
      <c r="FT1064" s="101">
        <f t="shared" si="535"/>
        <v>17</v>
      </c>
      <c r="FU1064" s="101">
        <f t="shared" si="528"/>
        <v>14</v>
      </c>
      <c r="FV1064" s="14">
        <f t="shared" si="529"/>
        <v>3</v>
      </c>
      <c r="FW1064" s="101" t="str">
        <f t="shared" si="536"/>
        <v>飞廉专属武器-魂珠-2 8级</v>
      </c>
      <c r="FX1064" s="101">
        <f t="shared" si="537"/>
        <v>2</v>
      </c>
      <c r="FY1064" s="101">
        <f t="shared" si="538"/>
        <v>8</v>
      </c>
      <c r="FZ1064" s="101" t="str">
        <f t="shared" si="530"/>
        <v>金币</v>
      </c>
      <c r="GA1064" s="139">
        <f>IF($FY1064&gt;0,IF(INDEX($EM$6:$EM$77,$FT1064)&gt;=GA$3,ROUND(INDEX(EO$6:EO$77,$FT1064)*INDEX(卡牌消耗!$B$8:$F$8,FV1064)/5,0)*5,""),"")</f>
        <v>1270</v>
      </c>
      <c r="GB1064" s="101" t="str">
        <f t="shared" si="531"/>
        <v>专属强化石1</v>
      </c>
      <c r="GC1064" s="101">
        <f t="shared" si="532"/>
        <v>18</v>
      </c>
      <c r="GD1064" s="101" t="str">
        <f t="shared" si="533"/>
        <v>专属强化石2</v>
      </c>
      <c r="GE1064" s="101">
        <f t="shared" si="534"/>
        <v>6</v>
      </c>
      <c r="GF1064" s="101">
        <f t="shared" si="539"/>
        <v>7.0000000000000007E-2</v>
      </c>
      <c r="GG1064" s="101">
        <f t="shared" si="540"/>
        <v>1</v>
      </c>
      <c r="GH1064" s="101">
        <f t="shared" si="541"/>
        <v>22</v>
      </c>
      <c r="GI1064" s="101">
        <f t="shared" si="542"/>
        <v>0</v>
      </c>
      <c r="GJ1064" s="101">
        <f t="shared" si="543"/>
        <v>1</v>
      </c>
      <c r="GK1064" s="101">
        <f t="shared" si="544"/>
        <v>5</v>
      </c>
      <c r="GL1064" s="101">
        <f t="shared" si="545"/>
        <v>3.4000000000000002E-2</v>
      </c>
      <c r="GM1064" s="101">
        <f t="shared" si="546"/>
        <v>1</v>
      </c>
      <c r="GN1064" s="101">
        <f t="shared" si="547"/>
        <v>10</v>
      </c>
      <c r="GO1064" s="101">
        <f t="shared" si="548"/>
        <v>0.13600000000000001</v>
      </c>
      <c r="GP1064" s="101">
        <f t="shared" si="549"/>
        <v>1</v>
      </c>
      <c r="GQ1064" s="101">
        <f t="shared" si="550"/>
        <v>22</v>
      </c>
    </row>
    <row r="1065" spans="175:199" ht="16.5" x14ac:dyDescent="0.2">
      <c r="FS1065" s="101">
        <v>1060</v>
      </c>
      <c r="FT1065" s="101">
        <f t="shared" si="535"/>
        <v>18</v>
      </c>
      <c r="FU1065" s="101">
        <f t="shared" si="528"/>
        <v>14</v>
      </c>
      <c r="FV1065" s="14">
        <f t="shared" si="529"/>
        <v>3</v>
      </c>
      <c r="FW1065" s="101" t="str">
        <f t="shared" si="536"/>
        <v>飞廉专属武器-魂珠-2 9级</v>
      </c>
      <c r="FX1065" s="101">
        <f t="shared" si="537"/>
        <v>2</v>
      </c>
      <c r="FY1065" s="101">
        <f t="shared" si="538"/>
        <v>9</v>
      </c>
      <c r="FZ1065" s="101" t="str">
        <f t="shared" si="530"/>
        <v>金币</v>
      </c>
      <c r="GA1065" s="139">
        <f>IF($FY1065&gt;0,IF(INDEX($EM$6:$EM$77,$FT1065)&gt;=GA$3,ROUND(INDEX(EO$6:EO$77,$FT1065)*INDEX(卡牌消耗!$B$8:$F$8,FV1065)/5,0)*5,""),"")</f>
        <v>1695</v>
      </c>
      <c r="GB1065" s="101" t="str">
        <f t="shared" si="531"/>
        <v>专属强化石1</v>
      </c>
      <c r="GC1065" s="101">
        <f t="shared" si="532"/>
        <v>24</v>
      </c>
      <c r="GD1065" s="101" t="str">
        <f t="shared" si="533"/>
        <v>专属强化石2</v>
      </c>
      <c r="GE1065" s="101">
        <f t="shared" si="534"/>
        <v>8</v>
      </c>
      <c r="GF1065" s="101">
        <f t="shared" si="539"/>
        <v>0.06</v>
      </c>
      <c r="GG1065" s="101">
        <f t="shared" si="540"/>
        <v>1</v>
      </c>
      <c r="GH1065" s="101">
        <f t="shared" si="541"/>
        <v>27</v>
      </c>
      <c r="GI1065" s="101">
        <f t="shared" si="542"/>
        <v>0</v>
      </c>
      <c r="GJ1065" s="101">
        <f t="shared" si="543"/>
        <v>1</v>
      </c>
      <c r="GK1065" s="101">
        <f t="shared" si="544"/>
        <v>6</v>
      </c>
      <c r="GL1065" s="101">
        <f t="shared" si="545"/>
        <v>2.8000000000000001E-2</v>
      </c>
      <c r="GM1065" s="101">
        <f t="shared" si="546"/>
        <v>1</v>
      </c>
      <c r="GN1065" s="101">
        <f t="shared" si="547"/>
        <v>12</v>
      </c>
      <c r="GO1065" s="101">
        <f t="shared" si="548"/>
        <v>0.11210000000000001</v>
      </c>
      <c r="GP1065" s="101">
        <f t="shared" si="549"/>
        <v>1</v>
      </c>
      <c r="GQ1065" s="101">
        <f t="shared" si="550"/>
        <v>27</v>
      </c>
    </row>
    <row r="1066" spans="175:199" ht="16.5" x14ac:dyDescent="0.2">
      <c r="FS1066" s="101">
        <v>1061</v>
      </c>
      <c r="FT1066" s="101">
        <f t="shared" si="535"/>
        <v>0</v>
      </c>
      <c r="FU1066" s="101">
        <f t="shared" si="528"/>
        <v>14</v>
      </c>
      <c r="FV1066" s="14">
        <f t="shared" si="529"/>
        <v>3</v>
      </c>
      <c r="FW1066" s="101" t="str">
        <f t="shared" si="536"/>
        <v>飞廉专属武器-魂珠-3 0级</v>
      </c>
      <c r="FX1066" s="101">
        <f t="shared" si="537"/>
        <v>3</v>
      </c>
      <c r="FY1066" s="101">
        <f t="shared" si="538"/>
        <v>0</v>
      </c>
      <c r="FZ1066" s="101" t="str">
        <f t="shared" si="530"/>
        <v/>
      </c>
      <c r="GA1066" s="139" t="str">
        <f>IF($FY1066&gt;0,IF(INDEX($EM$6:$EM$77,$FT1066)&gt;=GA$3,ROUND(INDEX(EO$6:EO$77,$FT1066)*INDEX(卡牌消耗!$B$8:$F$8,FV1066)/5,0)*5,""),"")</f>
        <v/>
      </c>
      <c r="GB1066" s="101" t="str">
        <f t="shared" si="531"/>
        <v/>
      </c>
      <c r="GC1066" s="101" t="str">
        <f t="shared" si="532"/>
        <v/>
      </c>
      <c r="GD1066" s="101" t="str">
        <f t="shared" si="533"/>
        <v/>
      </c>
      <c r="GE1066" s="101" t="str">
        <f t="shared" si="534"/>
        <v/>
      </c>
      <c r="GF1066" s="101" t="str">
        <f t="shared" si="539"/>
        <v/>
      </c>
      <c r="GG1066" s="101" t="str">
        <f t="shared" si="540"/>
        <v/>
      </c>
      <c r="GH1066" s="101" t="str">
        <f t="shared" si="541"/>
        <v/>
      </c>
      <c r="GI1066" s="101" t="str">
        <f t="shared" si="542"/>
        <v/>
      </c>
      <c r="GJ1066" s="101" t="str">
        <f t="shared" si="543"/>
        <v/>
      </c>
      <c r="GK1066" s="101" t="str">
        <f t="shared" si="544"/>
        <v/>
      </c>
      <c r="GL1066" s="101" t="str">
        <f t="shared" si="545"/>
        <v/>
      </c>
      <c r="GM1066" s="101" t="str">
        <f t="shared" si="546"/>
        <v/>
      </c>
      <c r="GN1066" s="101" t="str">
        <f t="shared" si="547"/>
        <v/>
      </c>
      <c r="GO1066" s="101" t="str">
        <f t="shared" si="548"/>
        <v/>
      </c>
      <c r="GP1066" s="101" t="str">
        <f t="shared" si="549"/>
        <v/>
      </c>
      <c r="GQ1066" s="101" t="str">
        <f t="shared" si="550"/>
        <v/>
      </c>
    </row>
    <row r="1067" spans="175:199" ht="16.5" x14ac:dyDescent="0.2">
      <c r="FS1067" s="101">
        <v>1062</v>
      </c>
      <c r="FT1067" s="101">
        <f t="shared" si="535"/>
        <v>19</v>
      </c>
      <c r="FU1067" s="101">
        <f t="shared" si="528"/>
        <v>14</v>
      </c>
      <c r="FV1067" s="14">
        <f t="shared" si="529"/>
        <v>3</v>
      </c>
      <c r="FW1067" s="101" t="str">
        <f t="shared" si="536"/>
        <v>飞廉专属武器-魂珠-3 1级</v>
      </c>
      <c r="FX1067" s="101">
        <f t="shared" si="537"/>
        <v>3</v>
      </c>
      <c r="FY1067" s="101">
        <f t="shared" si="538"/>
        <v>1</v>
      </c>
      <c r="FZ1067" s="101" t="str">
        <f t="shared" si="530"/>
        <v>金币</v>
      </c>
      <c r="GA1067" s="139">
        <f>IF($FY1067&gt;0,IF(INDEX($EM$6:$EM$77,$FT1067)&gt;=GA$3,ROUND(INDEX(EO$6:EO$77,$FT1067)*INDEX(卡牌消耗!$B$8:$F$8,FV1067)/5,0)*5,""),"")</f>
        <v>545</v>
      </c>
      <c r="GB1067" s="101" t="str">
        <f t="shared" si="531"/>
        <v>专属强化石1</v>
      </c>
      <c r="GC1067" s="101">
        <f t="shared" si="532"/>
        <v>4</v>
      </c>
      <c r="GD1067" s="101" t="str">
        <f t="shared" si="533"/>
        <v>专属强化石2</v>
      </c>
      <c r="GE1067" s="101">
        <f t="shared" si="534"/>
        <v>2</v>
      </c>
      <c r="GF1067" s="101">
        <f t="shared" si="539"/>
        <v>0.31</v>
      </c>
      <c r="GG1067" s="101">
        <f t="shared" si="540"/>
        <v>1</v>
      </c>
      <c r="GH1067" s="101">
        <f t="shared" si="541"/>
        <v>5</v>
      </c>
      <c r="GI1067" s="101">
        <f t="shared" si="542"/>
        <v>0</v>
      </c>
      <c r="GJ1067" s="101">
        <f t="shared" si="543"/>
        <v>1</v>
      </c>
      <c r="GK1067" s="101">
        <f t="shared" si="544"/>
        <v>1</v>
      </c>
      <c r="GL1067" s="101">
        <f t="shared" si="545"/>
        <v>0.15409999999999999</v>
      </c>
      <c r="GM1067" s="101">
        <f t="shared" si="546"/>
        <v>1</v>
      </c>
      <c r="GN1067" s="101">
        <f t="shared" si="547"/>
        <v>2</v>
      </c>
      <c r="GO1067" s="101">
        <f t="shared" si="548"/>
        <v>0.61650000000000005</v>
      </c>
      <c r="GP1067" s="101">
        <f t="shared" si="549"/>
        <v>1</v>
      </c>
      <c r="GQ1067" s="101">
        <f t="shared" si="550"/>
        <v>5</v>
      </c>
    </row>
    <row r="1068" spans="175:199" ht="16.5" x14ac:dyDescent="0.2">
      <c r="FS1068" s="101">
        <v>1063</v>
      </c>
      <c r="FT1068" s="101">
        <f t="shared" si="535"/>
        <v>20</v>
      </c>
      <c r="FU1068" s="101">
        <f t="shared" si="528"/>
        <v>14</v>
      </c>
      <c r="FV1068" s="14">
        <f t="shared" si="529"/>
        <v>3</v>
      </c>
      <c r="FW1068" s="101" t="str">
        <f t="shared" si="536"/>
        <v>飞廉专属武器-魂珠-3 2级</v>
      </c>
      <c r="FX1068" s="101">
        <f t="shared" si="537"/>
        <v>3</v>
      </c>
      <c r="FY1068" s="101">
        <f t="shared" si="538"/>
        <v>2</v>
      </c>
      <c r="FZ1068" s="101" t="str">
        <f t="shared" si="530"/>
        <v>金币</v>
      </c>
      <c r="GA1068" s="139">
        <f>IF($FY1068&gt;0,IF(INDEX($EM$6:$EM$77,$FT1068)&gt;=GA$3,ROUND(INDEX(EO$6:EO$77,$FT1068)*INDEX(卡牌消耗!$B$8:$F$8,FV1068)/5,0)*5,""),"")</f>
        <v>410</v>
      </c>
      <c r="GB1068" s="101" t="str">
        <f t="shared" si="531"/>
        <v>专属强化石1</v>
      </c>
      <c r="GC1068" s="101">
        <f t="shared" si="532"/>
        <v>4</v>
      </c>
      <c r="GD1068" s="101" t="str">
        <f t="shared" si="533"/>
        <v>专属强化石2</v>
      </c>
      <c r="GE1068" s="101">
        <f t="shared" si="534"/>
        <v>2</v>
      </c>
      <c r="GF1068" s="101">
        <f t="shared" si="539"/>
        <v>0.15</v>
      </c>
      <c r="GG1068" s="101">
        <f t="shared" si="540"/>
        <v>1</v>
      </c>
      <c r="GH1068" s="101">
        <f t="shared" si="541"/>
        <v>10</v>
      </c>
      <c r="GI1068" s="101">
        <f t="shared" si="542"/>
        <v>0</v>
      </c>
      <c r="GJ1068" s="101">
        <f t="shared" si="543"/>
        <v>1</v>
      </c>
      <c r="GK1068" s="101">
        <f t="shared" si="544"/>
        <v>2</v>
      </c>
      <c r="GL1068" s="101">
        <f t="shared" si="545"/>
        <v>7.7100000000000002E-2</v>
      </c>
      <c r="GM1068" s="101">
        <f t="shared" si="546"/>
        <v>1</v>
      </c>
      <c r="GN1068" s="101">
        <f t="shared" si="547"/>
        <v>5</v>
      </c>
      <c r="GO1068" s="101">
        <f t="shared" si="548"/>
        <v>0.30830000000000002</v>
      </c>
      <c r="GP1068" s="101">
        <f t="shared" si="549"/>
        <v>1</v>
      </c>
      <c r="GQ1068" s="101">
        <f t="shared" si="550"/>
        <v>10</v>
      </c>
    </row>
    <row r="1069" spans="175:199" ht="16.5" x14ac:dyDescent="0.2">
      <c r="FS1069" s="101">
        <v>1064</v>
      </c>
      <c r="FT1069" s="101">
        <f t="shared" si="535"/>
        <v>21</v>
      </c>
      <c r="FU1069" s="101">
        <f t="shared" si="528"/>
        <v>14</v>
      </c>
      <c r="FV1069" s="14">
        <f t="shared" si="529"/>
        <v>3</v>
      </c>
      <c r="FW1069" s="101" t="str">
        <f t="shared" si="536"/>
        <v>飞廉专属武器-魂珠-3 3级</v>
      </c>
      <c r="FX1069" s="101">
        <f t="shared" si="537"/>
        <v>3</v>
      </c>
      <c r="FY1069" s="101">
        <f t="shared" si="538"/>
        <v>3</v>
      </c>
      <c r="FZ1069" s="101" t="str">
        <f t="shared" si="530"/>
        <v>金币</v>
      </c>
      <c r="GA1069" s="139">
        <f>IF($FY1069&gt;0,IF(INDEX($EM$6:$EM$77,$FT1069)&gt;=GA$3,ROUND(INDEX(EO$6:EO$77,$FT1069)*INDEX(卡牌消耗!$B$8:$F$8,FV1069)/5,0)*5,""),"")</f>
        <v>680</v>
      </c>
      <c r="GB1069" s="101" t="str">
        <f t="shared" si="531"/>
        <v>专属强化石1</v>
      </c>
      <c r="GC1069" s="101">
        <f t="shared" si="532"/>
        <v>6</v>
      </c>
      <c r="GD1069" s="101" t="str">
        <f t="shared" si="533"/>
        <v>专属强化石2</v>
      </c>
      <c r="GE1069" s="101">
        <f t="shared" si="534"/>
        <v>3</v>
      </c>
      <c r="GF1069" s="101">
        <f t="shared" si="539"/>
        <v>0.15</v>
      </c>
      <c r="GG1069" s="101">
        <f t="shared" si="540"/>
        <v>1</v>
      </c>
      <c r="GH1069" s="101">
        <f t="shared" si="541"/>
        <v>10</v>
      </c>
      <c r="GI1069" s="101">
        <f t="shared" si="542"/>
        <v>0</v>
      </c>
      <c r="GJ1069" s="101">
        <f t="shared" si="543"/>
        <v>1</v>
      </c>
      <c r="GK1069" s="101">
        <f t="shared" si="544"/>
        <v>2</v>
      </c>
      <c r="GL1069" s="101">
        <f t="shared" si="545"/>
        <v>7.7100000000000002E-2</v>
      </c>
      <c r="GM1069" s="101">
        <f t="shared" si="546"/>
        <v>1</v>
      </c>
      <c r="GN1069" s="101">
        <f t="shared" si="547"/>
        <v>5</v>
      </c>
      <c r="GO1069" s="101">
        <f t="shared" si="548"/>
        <v>0.30830000000000002</v>
      </c>
      <c r="GP1069" s="101">
        <f t="shared" si="549"/>
        <v>1</v>
      </c>
      <c r="GQ1069" s="101">
        <f t="shared" si="550"/>
        <v>10</v>
      </c>
    </row>
    <row r="1070" spans="175:199" ht="16.5" x14ac:dyDescent="0.2">
      <c r="FS1070" s="101">
        <v>1065</v>
      </c>
      <c r="FT1070" s="101">
        <f t="shared" si="535"/>
        <v>22</v>
      </c>
      <c r="FU1070" s="101">
        <f t="shared" si="528"/>
        <v>14</v>
      </c>
      <c r="FV1070" s="14">
        <f t="shared" si="529"/>
        <v>3</v>
      </c>
      <c r="FW1070" s="101" t="str">
        <f t="shared" si="536"/>
        <v>飞廉专属武器-魂珠-3 4级</v>
      </c>
      <c r="FX1070" s="101">
        <f t="shared" si="537"/>
        <v>3</v>
      </c>
      <c r="FY1070" s="101">
        <f t="shared" si="538"/>
        <v>4</v>
      </c>
      <c r="FZ1070" s="101" t="str">
        <f t="shared" si="530"/>
        <v>金币</v>
      </c>
      <c r="GA1070" s="139">
        <f>IF($FY1070&gt;0,IF(INDEX($EM$6:$EM$77,$FT1070)&gt;=GA$3,ROUND(INDEX(EO$6:EO$77,$FT1070)*INDEX(卡牌消耗!$B$8:$F$8,FV1070)/5,0)*5,""),"")</f>
        <v>655</v>
      </c>
      <c r="GB1070" s="101" t="str">
        <f t="shared" si="531"/>
        <v>专属强化石1</v>
      </c>
      <c r="GC1070" s="101">
        <f t="shared" si="532"/>
        <v>6</v>
      </c>
      <c r="GD1070" s="101" t="str">
        <f t="shared" si="533"/>
        <v>专属强化石2</v>
      </c>
      <c r="GE1070" s="101">
        <f t="shared" si="534"/>
        <v>3</v>
      </c>
      <c r="GF1070" s="101">
        <f t="shared" si="539"/>
        <v>0.09</v>
      </c>
      <c r="GG1070" s="101">
        <f t="shared" si="540"/>
        <v>1</v>
      </c>
      <c r="GH1070" s="101">
        <f t="shared" si="541"/>
        <v>16</v>
      </c>
      <c r="GI1070" s="101">
        <f t="shared" si="542"/>
        <v>0</v>
      </c>
      <c r="GJ1070" s="101">
        <f t="shared" si="543"/>
        <v>1</v>
      </c>
      <c r="GK1070" s="101">
        <f t="shared" si="544"/>
        <v>4</v>
      </c>
      <c r="GL1070" s="101">
        <f t="shared" si="545"/>
        <v>4.6199999999999998E-2</v>
      </c>
      <c r="GM1070" s="101">
        <f t="shared" si="546"/>
        <v>1</v>
      </c>
      <c r="GN1070" s="101">
        <f t="shared" si="547"/>
        <v>8</v>
      </c>
      <c r="GO1070" s="101">
        <f t="shared" si="548"/>
        <v>0.185</v>
      </c>
      <c r="GP1070" s="101">
        <f t="shared" si="549"/>
        <v>1</v>
      </c>
      <c r="GQ1070" s="101">
        <f t="shared" si="550"/>
        <v>16</v>
      </c>
    </row>
    <row r="1071" spans="175:199" ht="16.5" x14ac:dyDescent="0.2">
      <c r="FS1071" s="101">
        <v>1066</v>
      </c>
      <c r="FT1071" s="101">
        <f t="shared" si="535"/>
        <v>23</v>
      </c>
      <c r="FU1071" s="101">
        <f t="shared" si="528"/>
        <v>14</v>
      </c>
      <c r="FV1071" s="14">
        <f t="shared" si="529"/>
        <v>3</v>
      </c>
      <c r="FW1071" s="101" t="str">
        <f t="shared" si="536"/>
        <v>飞廉专属武器-魂珠-3 5级</v>
      </c>
      <c r="FX1071" s="101">
        <f t="shared" si="537"/>
        <v>3</v>
      </c>
      <c r="FY1071" s="101">
        <f t="shared" si="538"/>
        <v>5</v>
      </c>
      <c r="FZ1071" s="101" t="str">
        <f t="shared" si="530"/>
        <v>金币</v>
      </c>
      <c r="GA1071" s="139">
        <f>IF($FY1071&gt;0,IF(INDEX($EM$6:$EM$77,$FT1071)&gt;=GA$3,ROUND(INDEX(EO$6:EO$77,$FT1071)*INDEX(卡牌消耗!$B$8:$F$8,FV1071)/5,0)*5,""),"")</f>
        <v>885</v>
      </c>
      <c r="GB1071" s="101" t="str">
        <f t="shared" si="531"/>
        <v>专属强化石1</v>
      </c>
      <c r="GC1071" s="101">
        <f t="shared" si="532"/>
        <v>8</v>
      </c>
      <c r="GD1071" s="101" t="str">
        <f t="shared" si="533"/>
        <v>专属强化石2</v>
      </c>
      <c r="GE1071" s="101">
        <f t="shared" si="534"/>
        <v>4</v>
      </c>
      <c r="GF1071" s="101">
        <f t="shared" si="539"/>
        <v>0.08</v>
      </c>
      <c r="GG1071" s="101">
        <f t="shared" si="540"/>
        <v>1</v>
      </c>
      <c r="GH1071" s="101">
        <f t="shared" si="541"/>
        <v>19</v>
      </c>
      <c r="GI1071" s="101">
        <f t="shared" si="542"/>
        <v>0</v>
      </c>
      <c r="GJ1071" s="101">
        <f t="shared" si="543"/>
        <v>1</v>
      </c>
      <c r="GK1071" s="101">
        <f t="shared" si="544"/>
        <v>5</v>
      </c>
      <c r="GL1071" s="101">
        <f t="shared" si="545"/>
        <v>3.85E-2</v>
      </c>
      <c r="GM1071" s="101">
        <f t="shared" si="546"/>
        <v>1</v>
      </c>
      <c r="GN1071" s="101">
        <f t="shared" si="547"/>
        <v>9</v>
      </c>
      <c r="GO1071" s="101">
        <f t="shared" si="548"/>
        <v>0.15409999999999999</v>
      </c>
      <c r="GP1071" s="101">
        <f t="shared" si="549"/>
        <v>1</v>
      </c>
      <c r="GQ1071" s="101">
        <f t="shared" si="550"/>
        <v>19</v>
      </c>
    </row>
    <row r="1072" spans="175:199" ht="16.5" x14ac:dyDescent="0.2">
      <c r="FS1072" s="101">
        <v>1067</v>
      </c>
      <c r="FT1072" s="101">
        <f t="shared" si="535"/>
        <v>24</v>
      </c>
      <c r="FU1072" s="101">
        <f t="shared" si="528"/>
        <v>14</v>
      </c>
      <c r="FV1072" s="14">
        <f t="shared" si="529"/>
        <v>3</v>
      </c>
      <c r="FW1072" s="101" t="str">
        <f t="shared" si="536"/>
        <v>飞廉专属武器-魂珠-3 6级</v>
      </c>
      <c r="FX1072" s="101">
        <f t="shared" si="537"/>
        <v>3</v>
      </c>
      <c r="FY1072" s="101">
        <f t="shared" si="538"/>
        <v>6</v>
      </c>
      <c r="FZ1072" s="101" t="str">
        <f t="shared" si="530"/>
        <v>金币</v>
      </c>
      <c r="GA1072" s="139">
        <f>IF($FY1072&gt;0,IF(INDEX($EM$6:$EM$77,$FT1072)&gt;=GA$3,ROUND(INDEX(EO$6:EO$77,$FT1072)*INDEX(卡牌消耗!$B$8:$F$8,FV1072)/5,0)*5,""),"")</f>
        <v>1100</v>
      </c>
      <c r="GB1072" s="101" t="str">
        <f t="shared" si="531"/>
        <v>专属强化石1</v>
      </c>
      <c r="GC1072" s="101">
        <f t="shared" si="532"/>
        <v>10</v>
      </c>
      <c r="GD1072" s="101" t="str">
        <f t="shared" si="533"/>
        <v>专属强化石2</v>
      </c>
      <c r="GE1072" s="101">
        <f t="shared" si="534"/>
        <v>5</v>
      </c>
      <c r="GF1072" s="101">
        <f t="shared" si="539"/>
        <v>0.06</v>
      </c>
      <c r="GG1072" s="101">
        <f t="shared" si="540"/>
        <v>1</v>
      </c>
      <c r="GH1072" s="101">
        <f t="shared" si="541"/>
        <v>25</v>
      </c>
      <c r="GI1072" s="101">
        <f t="shared" si="542"/>
        <v>0</v>
      </c>
      <c r="GJ1072" s="101">
        <f t="shared" si="543"/>
        <v>1</v>
      </c>
      <c r="GK1072" s="101">
        <f t="shared" si="544"/>
        <v>6</v>
      </c>
      <c r="GL1072" s="101">
        <f t="shared" si="545"/>
        <v>2.9600000000000001E-2</v>
      </c>
      <c r="GM1072" s="101">
        <f t="shared" si="546"/>
        <v>1</v>
      </c>
      <c r="GN1072" s="101">
        <f t="shared" si="547"/>
        <v>12</v>
      </c>
      <c r="GO1072" s="101">
        <f t="shared" si="548"/>
        <v>0.1186</v>
      </c>
      <c r="GP1072" s="101">
        <f t="shared" si="549"/>
        <v>1</v>
      </c>
      <c r="GQ1072" s="101">
        <f t="shared" si="550"/>
        <v>25</v>
      </c>
    </row>
    <row r="1073" spans="175:199" ht="16.5" x14ac:dyDescent="0.2">
      <c r="FS1073" s="101">
        <v>1068</v>
      </c>
      <c r="FT1073" s="101">
        <f t="shared" si="535"/>
        <v>25</v>
      </c>
      <c r="FU1073" s="101">
        <f t="shared" si="528"/>
        <v>14</v>
      </c>
      <c r="FV1073" s="14">
        <f t="shared" si="529"/>
        <v>3</v>
      </c>
      <c r="FW1073" s="101" t="str">
        <f t="shared" si="536"/>
        <v>飞廉专属武器-魂珠-3 7级</v>
      </c>
      <c r="FX1073" s="101">
        <f t="shared" si="537"/>
        <v>3</v>
      </c>
      <c r="FY1073" s="101">
        <f t="shared" si="538"/>
        <v>7</v>
      </c>
      <c r="FZ1073" s="101" t="str">
        <f t="shared" si="530"/>
        <v>金币</v>
      </c>
      <c r="GA1073" s="139">
        <f>IF($FY1073&gt;0,IF(INDEX($EM$6:$EM$77,$FT1073)&gt;=GA$3,ROUND(INDEX(EO$6:EO$77,$FT1073)*INDEX(卡牌消耗!$B$8:$F$8,FV1073)/5,0)*5,""),"")</f>
        <v>1325</v>
      </c>
      <c r="GB1073" s="101" t="str">
        <f t="shared" si="531"/>
        <v>专属强化石1</v>
      </c>
      <c r="GC1073" s="101">
        <f t="shared" si="532"/>
        <v>12</v>
      </c>
      <c r="GD1073" s="101" t="str">
        <f t="shared" si="533"/>
        <v>专属强化石2</v>
      </c>
      <c r="GE1073" s="101">
        <f t="shared" si="534"/>
        <v>6</v>
      </c>
      <c r="GF1073" s="101">
        <f t="shared" si="539"/>
        <v>0.04</v>
      </c>
      <c r="GG1073" s="101">
        <f t="shared" si="540"/>
        <v>1</v>
      </c>
      <c r="GH1073" s="101">
        <f t="shared" si="541"/>
        <v>34</v>
      </c>
      <c r="GI1073" s="101">
        <f t="shared" si="542"/>
        <v>0</v>
      </c>
      <c r="GJ1073" s="101">
        <f t="shared" si="543"/>
        <v>1</v>
      </c>
      <c r="GK1073" s="101">
        <f t="shared" si="544"/>
        <v>8</v>
      </c>
      <c r="GL1073" s="101">
        <f t="shared" si="545"/>
        <v>2.1999999999999999E-2</v>
      </c>
      <c r="GM1073" s="101">
        <f t="shared" si="546"/>
        <v>1</v>
      </c>
      <c r="GN1073" s="101">
        <f t="shared" si="547"/>
        <v>16</v>
      </c>
      <c r="GO1073" s="101">
        <f t="shared" si="548"/>
        <v>8.8099999999999998E-2</v>
      </c>
      <c r="GP1073" s="101">
        <f t="shared" si="549"/>
        <v>1</v>
      </c>
      <c r="GQ1073" s="101">
        <f t="shared" si="550"/>
        <v>34</v>
      </c>
    </row>
    <row r="1074" spans="175:199" ht="16.5" x14ac:dyDescent="0.2">
      <c r="FS1074" s="101">
        <v>1069</v>
      </c>
      <c r="FT1074" s="101">
        <f t="shared" si="535"/>
        <v>26</v>
      </c>
      <c r="FU1074" s="101">
        <f t="shared" si="528"/>
        <v>14</v>
      </c>
      <c r="FV1074" s="14">
        <f t="shared" si="529"/>
        <v>3</v>
      </c>
      <c r="FW1074" s="101" t="str">
        <f t="shared" si="536"/>
        <v>飞廉专属武器-魂珠-3 8级</v>
      </c>
      <c r="FX1074" s="101">
        <f t="shared" si="537"/>
        <v>3</v>
      </c>
      <c r="FY1074" s="101">
        <f t="shared" si="538"/>
        <v>8</v>
      </c>
      <c r="FZ1074" s="101" t="str">
        <f t="shared" si="530"/>
        <v>金币</v>
      </c>
      <c r="GA1074" s="139">
        <f>IF($FY1074&gt;0,IF(INDEX($EM$6:$EM$77,$FT1074)&gt;=GA$3,ROUND(INDEX(EO$6:EO$77,$FT1074)*INDEX(卡牌消耗!$B$8:$F$8,FV1074)/5,0)*5,""),"")</f>
        <v>1765</v>
      </c>
      <c r="GB1074" s="101" t="str">
        <f t="shared" si="531"/>
        <v>专属强化石1</v>
      </c>
      <c r="GC1074" s="101">
        <f t="shared" si="532"/>
        <v>16</v>
      </c>
      <c r="GD1074" s="101" t="str">
        <f t="shared" si="533"/>
        <v>专属强化石2</v>
      </c>
      <c r="GE1074" s="101">
        <f t="shared" si="534"/>
        <v>8</v>
      </c>
      <c r="GF1074" s="101">
        <f t="shared" si="539"/>
        <v>0.04</v>
      </c>
      <c r="GG1074" s="101">
        <f t="shared" si="540"/>
        <v>1</v>
      </c>
      <c r="GH1074" s="101">
        <f t="shared" si="541"/>
        <v>41</v>
      </c>
      <c r="GI1074" s="101">
        <f t="shared" si="542"/>
        <v>0</v>
      </c>
      <c r="GJ1074" s="101">
        <f t="shared" si="543"/>
        <v>1</v>
      </c>
      <c r="GK1074" s="101">
        <f t="shared" si="544"/>
        <v>10</v>
      </c>
      <c r="GL1074" s="101">
        <f t="shared" si="545"/>
        <v>1.8100000000000002E-2</v>
      </c>
      <c r="GM1074" s="101">
        <f t="shared" si="546"/>
        <v>1</v>
      </c>
      <c r="GN1074" s="101">
        <f t="shared" si="547"/>
        <v>19</v>
      </c>
      <c r="GO1074" s="101">
        <f t="shared" si="548"/>
        <v>7.2499999999999995E-2</v>
      </c>
      <c r="GP1074" s="101">
        <f t="shared" si="549"/>
        <v>1</v>
      </c>
      <c r="GQ1074" s="101">
        <f t="shared" si="550"/>
        <v>41</v>
      </c>
    </row>
    <row r="1075" spans="175:199" ht="16.5" x14ac:dyDescent="0.2">
      <c r="FS1075" s="101">
        <v>1070</v>
      </c>
      <c r="FT1075" s="101">
        <f t="shared" si="535"/>
        <v>27</v>
      </c>
      <c r="FU1075" s="101">
        <f t="shared" si="528"/>
        <v>14</v>
      </c>
      <c r="FV1075" s="14">
        <f t="shared" si="529"/>
        <v>3</v>
      </c>
      <c r="FW1075" s="101" t="str">
        <f t="shared" si="536"/>
        <v>飞廉专属武器-魂珠-3 9级</v>
      </c>
      <c r="FX1075" s="101">
        <f t="shared" si="537"/>
        <v>3</v>
      </c>
      <c r="FY1075" s="101">
        <f t="shared" si="538"/>
        <v>9</v>
      </c>
      <c r="FZ1075" s="101" t="str">
        <f t="shared" si="530"/>
        <v>金币</v>
      </c>
      <c r="GA1075" s="139">
        <f>IF($FY1075&gt;0,IF(INDEX($EM$6:$EM$77,$FT1075)&gt;=GA$3,ROUND(INDEX(EO$6:EO$77,$FT1075)*INDEX(卡牌消耗!$B$8:$F$8,FV1075)/5,0)*5,""),"")</f>
        <v>2205</v>
      </c>
      <c r="GB1075" s="101" t="str">
        <f t="shared" si="531"/>
        <v>专属强化石1</v>
      </c>
      <c r="GC1075" s="101">
        <f t="shared" si="532"/>
        <v>20</v>
      </c>
      <c r="GD1075" s="101" t="str">
        <f t="shared" si="533"/>
        <v>专属强化石2</v>
      </c>
      <c r="GE1075" s="101">
        <f t="shared" si="534"/>
        <v>10</v>
      </c>
      <c r="GF1075" s="101">
        <f t="shared" si="539"/>
        <v>0.03</v>
      </c>
      <c r="GG1075" s="101">
        <f t="shared" si="540"/>
        <v>1</v>
      </c>
      <c r="GH1075" s="101">
        <f t="shared" si="541"/>
        <v>54</v>
      </c>
      <c r="GI1075" s="101">
        <f t="shared" si="542"/>
        <v>0</v>
      </c>
      <c r="GJ1075" s="101">
        <f t="shared" si="543"/>
        <v>1</v>
      </c>
      <c r="GK1075" s="101">
        <f t="shared" si="544"/>
        <v>12</v>
      </c>
      <c r="GL1075" s="101">
        <f t="shared" si="545"/>
        <v>1.4E-2</v>
      </c>
      <c r="GM1075" s="101">
        <f t="shared" si="546"/>
        <v>1</v>
      </c>
      <c r="GN1075" s="101">
        <f t="shared" si="547"/>
        <v>25</v>
      </c>
      <c r="GO1075" s="101">
        <f t="shared" si="548"/>
        <v>5.6000000000000001E-2</v>
      </c>
      <c r="GP1075" s="101">
        <f t="shared" si="549"/>
        <v>1</v>
      </c>
      <c r="GQ1075" s="101">
        <f t="shared" si="550"/>
        <v>54</v>
      </c>
    </row>
    <row r="1076" spans="175:199" ht="16.5" x14ac:dyDescent="0.2">
      <c r="FS1076" s="101">
        <v>1071</v>
      </c>
      <c r="FT1076" s="101">
        <f t="shared" si="535"/>
        <v>0</v>
      </c>
      <c r="FU1076" s="101">
        <f t="shared" si="528"/>
        <v>14</v>
      </c>
      <c r="FV1076" s="14">
        <f t="shared" si="529"/>
        <v>3</v>
      </c>
      <c r="FW1076" s="101" t="str">
        <f t="shared" si="536"/>
        <v>飞廉专属武器-魂珠-4 0级</v>
      </c>
      <c r="FX1076" s="101">
        <f t="shared" si="537"/>
        <v>4</v>
      </c>
      <c r="FY1076" s="101">
        <f t="shared" si="538"/>
        <v>0</v>
      </c>
      <c r="FZ1076" s="101" t="str">
        <f t="shared" si="530"/>
        <v/>
      </c>
      <c r="GA1076" s="139" t="str">
        <f>IF($FY1076&gt;0,IF(INDEX($EM$6:$EM$77,$FT1076)&gt;=GA$3,ROUND(INDEX(EO$6:EO$77,$FT1076)*INDEX(卡牌消耗!$B$8:$F$8,FV1076)/5,0)*5,""),"")</f>
        <v/>
      </c>
      <c r="GB1076" s="101" t="str">
        <f t="shared" si="531"/>
        <v/>
      </c>
      <c r="GC1076" s="101" t="str">
        <f t="shared" si="532"/>
        <v/>
      </c>
      <c r="GD1076" s="101" t="str">
        <f t="shared" si="533"/>
        <v/>
      </c>
      <c r="GE1076" s="101" t="str">
        <f t="shared" si="534"/>
        <v/>
      </c>
      <c r="GF1076" s="101" t="str">
        <f t="shared" si="539"/>
        <v/>
      </c>
      <c r="GG1076" s="101" t="str">
        <f t="shared" si="540"/>
        <v/>
      </c>
      <c r="GH1076" s="101" t="str">
        <f t="shared" si="541"/>
        <v/>
      </c>
      <c r="GI1076" s="101" t="str">
        <f t="shared" si="542"/>
        <v/>
      </c>
      <c r="GJ1076" s="101" t="str">
        <f t="shared" si="543"/>
        <v/>
      </c>
      <c r="GK1076" s="101" t="str">
        <f t="shared" si="544"/>
        <v/>
      </c>
      <c r="GL1076" s="101" t="str">
        <f t="shared" si="545"/>
        <v/>
      </c>
      <c r="GM1076" s="101" t="str">
        <f t="shared" si="546"/>
        <v/>
      </c>
      <c r="GN1076" s="101" t="str">
        <f t="shared" si="547"/>
        <v/>
      </c>
      <c r="GO1076" s="101" t="str">
        <f t="shared" si="548"/>
        <v/>
      </c>
      <c r="GP1076" s="101" t="str">
        <f t="shared" si="549"/>
        <v/>
      </c>
      <c r="GQ1076" s="101" t="str">
        <f t="shared" si="550"/>
        <v/>
      </c>
    </row>
    <row r="1077" spans="175:199" ht="16.5" x14ac:dyDescent="0.2">
      <c r="FS1077" s="101">
        <v>1072</v>
      </c>
      <c r="FT1077" s="101">
        <f t="shared" si="535"/>
        <v>28</v>
      </c>
      <c r="FU1077" s="101">
        <f t="shared" si="528"/>
        <v>14</v>
      </c>
      <c r="FV1077" s="14">
        <f t="shared" si="529"/>
        <v>3</v>
      </c>
      <c r="FW1077" s="101" t="str">
        <f t="shared" si="536"/>
        <v>飞廉专属武器-魂珠-4 1级</v>
      </c>
      <c r="FX1077" s="101">
        <f t="shared" si="537"/>
        <v>4</v>
      </c>
      <c r="FY1077" s="101">
        <f t="shared" si="538"/>
        <v>1</v>
      </c>
      <c r="FZ1077" s="101" t="str">
        <f t="shared" si="530"/>
        <v>金币</v>
      </c>
      <c r="GA1077" s="139">
        <f>IF($FY1077&gt;0,IF(INDEX($EM$6:$EM$77,$FT1077)&gt;=GA$3,ROUND(INDEX(EO$6:EO$77,$FT1077)*INDEX(卡牌消耗!$B$8:$F$8,FV1077)/5,0)*5,""),"")</f>
        <v>730</v>
      </c>
      <c r="GB1077" s="101" t="str">
        <f t="shared" si="531"/>
        <v>专属强化石2</v>
      </c>
      <c r="GC1077" s="101">
        <f t="shared" si="532"/>
        <v>3</v>
      </c>
      <c r="GD1077" s="101" t="str">
        <f t="shared" si="533"/>
        <v>专属强化石3</v>
      </c>
      <c r="GE1077" s="101">
        <f t="shared" si="534"/>
        <v>1</v>
      </c>
      <c r="GF1077" s="101">
        <f t="shared" si="539"/>
        <v>0.2</v>
      </c>
      <c r="GG1077" s="101">
        <f t="shared" si="540"/>
        <v>1</v>
      </c>
      <c r="GH1077" s="101">
        <f t="shared" si="541"/>
        <v>7</v>
      </c>
      <c r="GI1077" s="101">
        <f t="shared" si="542"/>
        <v>0</v>
      </c>
      <c r="GJ1077" s="101">
        <f t="shared" si="543"/>
        <v>1</v>
      </c>
      <c r="GK1077" s="101">
        <f t="shared" si="544"/>
        <v>2</v>
      </c>
      <c r="GL1077" s="101">
        <f t="shared" si="545"/>
        <v>0.1012</v>
      </c>
      <c r="GM1077" s="101">
        <f t="shared" si="546"/>
        <v>1</v>
      </c>
      <c r="GN1077" s="101">
        <f t="shared" si="547"/>
        <v>3</v>
      </c>
      <c r="GO1077" s="101">
        <f t="shared" si="548"/>
        <v>0.40479999999999999</v>
      </c>
      <c r="GP1077" s="101">
        <f t="shared" si="549"/>
        <v>1</v>
      </c>
      <c r="GQ1077" s="101">
        <f t="shared" si="550"/>
        <v>7</v>
      </c>
    </row>
    <row r="1078" spans="175:199" ht="16.5" x14ac:dyDescent="0.2">
      <c r="FS1078" s="101">
        <v>1073</v>
      </c>
      <c r="FT1078" s="101">
        <f t="shared" si="535"/>
        <v>29</v>
      </c>
      <c r="FU1078" s="101">
        <f t="shared" si="528"/>
        <v>14</v>
      </c>
      <c r="FV1078" s="14">
        <f t="shared" si="529"/>
        <v>3</v>
      </c>
      <c r="FW1078" s="101" t="str">
        <f t="shared" si="536"/>
        <v>飞廉专属武器-魂珠-4 2级</v>
      </c>
      <c r="FX1078" s="101">
        <f t="shared" si="537"/>
        <v>4</v>
      </c>
      <c r="FY1078" s="101">
        <f t="shared" si="538"/>
        <v>2</v>
      </c>
      <c r="FZ1078" s="101" t="str">
        <f t="shared" si="530"/>
        <v>金币</v>
      </c>
      <c r="GA1078" s="139">
        <f>IF($FY1078&gt;0,IF(INDEX($EM$6:$EM$77,$FT1078)&gt;=GA$3,ROUND(INDEX(EO$6:EO$77,$FT1078)*INDEX(卡牌消耗!$B$8:$F$8,FV1078)/5,0)*5,""),"")</f>
        <v>545</v>
      </c>
      <c r="GB1078" s="101" t="str">
        <f t="shared" si="531"/>
        <v>专属强化石2</v>
      </c>
      <c r="GC1078" s="101">
        <f t="shared" si="532"/>
        <v>3</v>
      </c>
      <c r="GD1078" s="101" t="str">
        <f t="shared" si="533"/>
        <v>专属强化石3</v>
      </c>
      <c r="GE1078" s="101">
        <f t="shared" si="534"/>
        <v>1</v>
      </c>
      <c r="GF1078" s="101">
        <f t="shared" si="539"/>
        <v>0.1</v>
      </c>
      <c r="GG1078" s="101">
        <f t="shared" si="540"/>
        <v>1</v>
      </c>
      <c r="GH1078" s="101">
        <f t="shared" si="541"/>
        <v>15</v>
      </c>
      <c r="GI1078" s="101">
        <f t="shared" si="542"/>
        <v>0</v>
      </c>
      <c r="GJ1078" s="101">
        <f t="shared" si="543"/>
        <v>1</v>
      </c>
      <c r="GK1078" s="101">
        <f t="shared" si="544"/>
        <v>3</v>
      </c>
      <c r="GL1078" s="101">
        <f t="shared" si="545"/>
        <v>5.0599999999999999E-2</v>
      </c>
      <c r="GM1078" s="101">
        <f t="shared" si="546"/>
        <v>1</v>
      </c>
      <c r="GN1078" s="101">
        <f t="shared" si="547"/>
        <v>7</v>
      </c>
      <c r="GO1078" s="101">
        <f t="shared" si="548"/>
        <v>0.2024</v>
      </c>
      <c r="GP1078" s="101">
        <f t="shared" si="549"/>
        <v>1</v>
      </c>
      <c r="GQ1078" s="101">
        <f t="shared" si="550"/>
        <v>15</v>
      </c>
    </row>
    <row r="1079" spans="175:199" ht="16.5" x14ac:dyDescent="0.2">
      <c r="FS1079" s="101">
        <v>1074</v>
      </c>
      <c r="FT1079" s="101">
        <f t="shared" si="535"/>
        <v>30</v>
      </c>
      <c r="FU1079" s="101">
        <f t="shared" si="528"/>
        <v>14</v>
      </c>
      <c r="FV1079" s="14">
        <f t="shared" si="529"/>
        <v>3</v>
      </c>
      <c r="FW1079" s="101" t="str">
        <f t="shared" si="536"/>
        <v>飞廉专属武器-魂珠-4 3级</v>
      </c>
      <c r="FX1079" s="101">
        <f t="shared" si="537"/>
        <v>4</v>
      </c>
      <c r="FY1079" s="101">
        <f t="shared" si="538"/>
        <v>3</v>
      </c>
      <c r="FZ1079" s="101" t="str">
        <f t="shared" si="530"/>
        <v>金币</v>
      </c>
      <c r="GA1079" s="139">
        <f>IF($FY1079&gt;0,IF(INDEX($EM$6:$EM$77,$FT1079)&gt;=GA$3,ROUND(INDEX(EO$6:EO$77,$FT1079)*INDEX(卡牌消耗!$B$8:$F$8,FV1079)/5,0)*5,""),"")</f>
        <v>610</v>
      </c>
      <c r="GB1079" s="101" t="str">
        <f t="shared" si="531"/>
        <v>专属强化石2</v>
      </c>
      <c r="GC1079" s="101">
        <f t="shared" si="532"/>
        <v>3</v>
      </c>
      <c r="GD1079" s="101" t="str">
        <f t="shared" si="533"/>
        <v>专属强化石3</v>
      </c>
      <c r="GE1079" s="101">
        <f t="shared" si="534"/>
        <v>1</v>
      </c>
      <c r="GF1079" s="101">
        <f t="shared" si="539"/>
        <v>7.0000000000000007E-2</v>
      </c>
      <c r="GG1079" s="101">
        <f t="shared" si="540"/>
        <v>1</v>
      </c>
      <c r="GH1079" s="101">
        <f t="shared" si="541"/>
        <v>22</v>
      </c>
      <c r="GI1079" s="101">
        <f t="shared" si="542"/>
        <v>0</v>
      </c>
      <c r="GJ1079" s="101">
        <f t="shared" si="543"/>
        <v>1</v>
      </c>
      <c r="GK1079" s="101">
        <f t="shared" si="544"/>
        <v>5</v>
      </c>
      <c r="GL1079" s="101">
        <f t="shared" si="545"/>
        <v>3.3700000000000001E-2</v>
      </c>
      <c r="GM1079" s="101">
        <f t="shared" si="546"/>
        <v>1</v>
      </c>
      <c r="GN1079" s="101">
        <f t="shared" si="547"/>
        <v>10</v>
      </c>
      <c r="GO1079" s="101">
        <f t="shared" si="548"/>
        <v>0.13489999999999999</v>
      </c>
      <c r="GP1079" s="101">
        <f t="shared" si="549"/>
        <v>1</v>
      </c>
      <c r="GQ1079" s="101">
        <f t="shared" si="550"/>
        <v>22</v>
      </c>
    </row>
    <row r="1080" spans="175:199" ht="16.5" x14ac:dyDescent="0.2">
      <c r="FS1080" s="101">
        <v>1075</v>
      </c>
      <c r="FT1080" s="101">
        <f t="shared" si="535"/>
        <v>31</v>
      </c>
      <c r="FU1080" s="101">
        <f t="shared" si="528"/>
        <v>14</v>
      </c>
      <c r="FV1080" s="14">
        <f t="shared" si="529"/>
        <v>3</v>
      </c>
      <c r="FW1080" s="101" t="str">
        <f t="shared" si="536"/>
        <v>飞廉专属武器-魂珠-4 4级</v>
      </c>
      <c r="FX1080" s="101">
        <f t="shared" si="537"/>
        <v>4</v>
      </c>
      <c r="FY1080" s="101">
        <f t="shared" si="538"/>
        <v>4</v>
      </c>
      <c r="FZ1080" s="101" t="str">
        <f t="shared" si="530"/>
        <v>金币</v>
      </c>
      <c r="GA1080" s="139">
        <f>IF($FY1080&gt;0,IF(INDEX($EM$6:$EM$77,$FT1080)&gt;=GA$3,ROUND(INDEX(EO$6:EO$77,$FT1080)*INDEX(卡牌消耗!$B$8:$F$8,FV1080)/5,0)*5,""),"")</f>
        <v>1165</v>
      </c>
      <c r="GB1080" s="101" t="str">
        <f t="shared" si="531"/>
        <v>专属强化石2</v>
      </c>
      <c r="GC1080" s="101">
        <f t="shared" si="532"/>
        <v>5</v>
      </c>
      <c r="GD1080" s="101" t="str">
        <f t="shared" si="533"/>
        <v>专属强化石3</v>
      </c>
      <c r="GE1080" s="101">
        <f t="shared" si="534"/>
        <v>2</v>
      </c>
      <c r="GF1080" s="101">
        <f t="shared" si="539"/>
        <v>0.08</v>
      </c>
      <c r="GG1080" s="101">
        <f t="shared" si="540"/>
        <v>1</v>
      </c>
      <c r="GH1080" s="101">
        <f t="shared" si="541"/>
        <v>19</v>
      </c>
      <c r="GI1080" s="101">
        <f t="shared" si="542"/>
        <v>0</v>
      </c>
      <c r="GJ1080" s="101">
        <f t="shared" si="543"/>
        <v>1</v>
      </c>
      <c r="GK1080" s="101">
        <f t="shared" si="544"/>
        <v>4</v>
      </c>
      <c r="GL1080" s="101">
        <f t="shared" si="545"/>
        <v>4.0500000000000001E-2</v>
      </c>
      <c r="GM1080" s="101">
        <f t="shared" si="546"/>
        <v>1</v>
      </c>
      <c r="GN1080" s="101">
        <f t="shared" si="547"/>
        <v>9</v>
      </c>
      <c r="GO1080" s="101">
        <f t="shared" si="548"/>
        <v>0.16189999999999999</v>
      </c>
      <c r="GP1080" s="101">
        <f t="shared" si="549"/>
        <v>1</v>
      </c>
      <c r="GQ1080" s="101">
        <f t="shared" si="550"/>
        <v>19</v>
      </c>
    </row>
    <row r="1081" spans="175:199" ht="16.5" x14ac:dyDescent="0.2">
      <c r="FS1081" s="101">
        <v>1076</v>
      </c>
      <c r="FT1081" s="101">
        <f t="shared" si="535"/>
        <v>32</v>
      </c>
      <c r="FU1081" s="101">
        <f t="shared" si="528"/>
        <v>14</v>
      </c>
      <c r="FV1081" s="14">
        <f t="shared" si="529"/>
        <v>3</v>
      </c>
      <c r="FW1081" s="101" t="str">
        <f t="shared" si="536"/>
        <v>飞廉专属武器-魂珠-4 5级</v>
      </c>
      <c r="FX1081" s="101">
        <f t="shared" si="537"/>
        <v>4</v>
      </c>
      <c r="FY1081" s="101">
        <f t="shared" si="538"/>
        <v>5</v>
      </c>
      <c r="FZ1081" s="101" t="str">
        <f t="shared" si="530"/>
        <v>金币</v>
      </c>
      <c r="GA1081" s="139">
        <f>IF($FY1081&gt;0,IF(INDEX($EM$6:$EM$77,$FT1081)&gt;=GA$3,ROUND(INDEX(EO$6:EO$77,$FT1081)*INDEX(卡牌消耗!$B$8:$F$8,FV1081)/5,0)*5,""),"")</f>
        <v>1185</v>
      </c>
      <c r="GB1081" s="101" t="str">
        <f t="shared" si="531"/>
        <v>专属强化石2</v>
      </c>
      <c r="GC1081" s="101">
        <f t="shared" si="532"/>
        <v>5</v>
      </c>
      <c r="GD1081" s="101" t="str">
        <f t="shared" si="533"/>
        <v>专属强化石3</v>
      </c>
      <c r="GE1081" s="101">
        <f t="shared" si="534"/>
        <v>2</v>
      </c>
      <c r="GF1081" s="101">
        <f t="shared" si="539"/>
        <v>0.05</v>
      </c>
      <c r="GG1081" s="101">
        <f t="shared" si="540"/>
        <v>1</v>
      </c>
      <c r="GH1081" s="101">
        <f t="shared" si="541"/>
        <v>30</v>
      </c>
      <c r="GI1081" s="101">
        <f t="shared" si="542"/>
        <v>0</v>
      </c>
      <c r="GJ1081" s="101">
        <f t="shared" si="543"/>
        <v>1</v>
      </c>
      <c r="GK1081" s="101">
        <f t="shared" si="544"/>
        <v>7</v>
      </c>
      <c r="GL1081" s="101">
        <f t="shared" si="545"/>
        <v>2.53E-2</v>
      </c>
      <c r="GM1081" s="101">
        <f t="shared" si="546"/>
        <v>1</v>
      </c>
      <c r="GN1081" s="101">
        <f t="shared" si="547"/>
        <v>14</v>
      </c>
      <c r="GO1081" s="101">
        <f t="shared" si="548"/>
        <v>0.1012</v>
      </c>
      <c r="GP1081" s="101">
        <f t="shared" si="549"/>
        <v>1</v>
      </c>
      <c r="GQ1081" s="101">
        <f t="shared" si="550"/>
        <v>30</v>
      </c>
    </row>
    <row r="1082" spans="175:199" ht="16.5" x14ac:dyDescent="0.2">
      <c r="FS1082" s="101">
        <v>1077</v>
      </c>
      <c r="FT1082" s="101">
        <f t="shared" si="535"/>
        <v>33</v>
      </c>
      <c r="FU1082" s="101">
        <f t="shared" si="528"/>
        <v>14</v>
      </c>
      <c r="FV1082" s="14">
        <f t="shared" si="529"/>
        <v>3</v>
      </c>
      <c r="FW1082" s="101" t="str">
        <f t="shared" si="536"/>
        <v>飞廉专属武器-魂珠-4 6级</v>
      </c>
      <c r="FX1082" s="101">
        <f t="shared" si="537"/>
        <v>4</v>
      </c>
      <c r="FY1082" s="101">
        <f t="shared" si="538"/>
        <v>6</v>
      </c>
      <c r="FZ1082" s="101" t="str">
        <f t="shared" si="530"/>
        <v>金币</v>
      </c>
      <c r="GA1082" s="139">
        <f>IF($FY1082&gt;0,IF(INDEX($EM$6:$EM$77,$FT1082)&gt;=GA$3,ROUND(INDEX(EO$6:EO$77,$FT1082)*INDEX(卡牌消耗!$B$8:$F$8,FV1082)/5,0)*5,""),"")</f>
        <v>1180</v>
      </c>
      <c r="GB1082" s="101" t="str">
        <f t="shared" si="531"/>
        <v>专属强化石2</v>
      </c>
      <c r="GC1082" s="101">
        <f t="shared" si="532"/>
        <v>5</v>
      </c>
      <c r="GD1082" s="101" t="str">
        <f t="shared" si="533"/>
        <v>专属强化石3</v>
      </c>
      <c r="GE1082" s="101">
        <f t="shared" si="534"/>
        <v>2</v>
      </c>
      <c r="GF1082" s="101">
        <f t="shared" si="539"/>
        <v>0.03</v>
      </c>
      <c r="GG1082" s="101">
        <f t="shared" si="540"/>
        <v>1</v>
      </c>
      <c r="GH1082" s="101">
        <f t="shared" si="541"/>
        <v>48</v>
      </c>
      <c r="GI1082" s="101">
        <f t="shared" si="542"/>
        <v>0</v>
      </c>
      <c r="GJ1082" s="101">
        <f t="shared" si="543"/>
        <v>1</v>
      </c>
      <c r="GK1082" s="101">
        <f t="shared" si="544"/>
        <v>11</v>
      </c>
      <c r="GL1082" s="101">
        <f t="shared" si="545"/>
        <v>1.5599999999999999E-2</v>
      </c>
      <c r="GM1082" s="101">
        <f t="shared" si="546"/>
        <v>1</v>
      </c>
      <c r="GN1082" s="101">
        <f t="shared" si="547"/>
        <v>22</v>
      </c>
      <c r="GO1082" s="101">
        <f t="shared" si="548"/>
        <v>6.2300000000000001E-2</v>
      </c>
      <c r="GP1082" s="101">
        <f t="shared" si="549"/>
        <v>1</v>
      </c>
      <c r="GQ1082" s="101">
        <f t="shared" si="550"/>
        <v>48</v>
      </c>
    </row>
    <row r="1083" spans="175:199" ht="16.5" x14ac:dyDescent="0.2">
      <c r="FS1083" s="101">
        <v>1078</v>
      </c>
      <c r="FT1083" s="101">
        <f t="shared" si="535"/>
        <v>34</v>
      </c>
      <c r="FU1083" s="101">
        <f t="shared" si="528"/>
        <v>14</v>
      </c>
      <c r="FV1083" s="14">
        <f t="shared" si="529"/>
        <v>3</v>
      </c>
      <c r="FW1083" s="101" t="str">
        <f t="shared" si="536"/>
        <v>飞廉专属武器-魂珠-4 7级</v>
      </c>
      <c r="FX1083" s="101">
        <f t="shared" si="537"/>
        <v>4</v>
      </c>
      <c r="FY1083" s="101">
        <f t="shared" si="538"/>
        <v>7</v>
      </c>
      <c r="FZ1083" s="101" t="str">
        <f t="shared" si="530"/>
        <v>金币</v>
      </c>
      <c r="GA1083" s="139">
        <f>IF($FY1083&gt;0,IF(INDEX($EM$6:$EM$77,$FT1083)&gt;=GA$3,ROUND(INDEX(EO$6:EO$77,$FT1083)*INDEX(卡牌消耗!$B$8:$F$8,FV1083)/5,0)*5,""),"")</f>
        <v>1770</v>
      </c>
      <c r="GB1083" s="101" t="str">
        <f t="shared" si="531"/>
        <v>专属强化石2</v>
      </c>
      <c r="GC1083" s="101">
        <f t="shared" si="532"/>
        <v>8</v>
      </c>
      <c r="GD1083" s="101" t="str">
        <f t="shared" si="533"/>
        <v>专属强化石3</v>
      </c>
      <c r="GE1083" s="101">
        <f t="shared" si="534"/>
        <v>3</v>
      </c>
      <c r="GF1083" s="101">
        <f t="shared" si="539"/>
        <v>0.03</v>
      </c>
      <c r="GG1083" s="101">
        <f t="shared" si="540"/>
        <v>1</v>
      </c>
      <c r="GH1083" s="101">
        <f t="shared" si="541"/>
        <v>52</v>
      </c>
      <c r="GI1083" s="101">
        <f t="shared" si="542"/>
        <v>0</v>
      </c>
      <c r="GJ1083" s="101">
        <f t="shared" si="543"/>
        <v>1</v>
      </c>
      <c r="GK1083" s="101">
        <f t="shared" si="544"/>
        <v>12</v>
      </c>
      <c r="GL1083" s="101">
        <f t="shared" si="545"/>
        <v>1.4500000000000001E-2</v>
      </c>
      <c r="GM1083" s="101">
        <f t="shared" si="546"/>
        <v>1</v>
      </c>
      <c r="GN1083" s="101">
        <f t="shared" si="547"/>
        <v>24</v>
      </c>
      <c r="GO1083" s="101">
        <f t="shared" si="548"/>
        <v>5.7799999999999997E-2</v>
      </c>
      <c r="GP1083" s="101">
        <f t="shared" si="549"/>
        <v>1</v>
      </c>
      <c r="GQ1083" s="101">
        <f t="shared" si="550"/>
        <v>52</v>
      </c>
    </row>
    <row r="1084" spans="175:199" ht="16.5" x14ac:dyDescent="0.2">
      <c r="FS1084" s="101">
        <v>1079</v>
      </c>
      <c r="FT1084" s="101">
        <f t="shared" si="535"/>
        <v>35</v>
      </c>
      <c r="FU1084" s="101">
        <f t="shared" si="528"/>
        <v>14</v>
      </c>
      <c r="FV1084" s="14">
        <f t="shared" si="529"/>
        <v>3</v>
      </c>
      <c r="FW1084" s="101" t="str">
        <f t="shared" si="536"/>
        <v>飞廉专属武器-魂珠-4 8级</v>
      </c>
      <c r="FX1084" s="101">
        <f t="shared" si="537"/>
        <v>4</v>
      </c>
      <c r="FY1084" s="101">
        <f t="shared" si="538"/>
        <v>8</v>
      </c>
      <c r="FZ1084" s="101" t="str">
        <f t="shared" si="530"/>
        <v>金币</v>
      </c>
      <c r="GA1084" s="139">
        <f>IF($FY1084&gt;0,IF(INDEX($EM$6:$EM$77,$FT1084)&gt;=GA$3,ROUND(INDEX(EO$6:EO$77,$FT1084)*INDEX(卡牌消耗!$B$8:$F$8,FV1084)/5,0)*5,""),"")</f>
        <v>2360</v>
      </c>
      <c r="GB1084" s="101" t="str">
        <f t="shared" si="531"/>
        <v>专属强化石2</v>
      </c>
      <c r="GC1084" s="101">
        <f t="shared" si="532"/>
        <v>11</v>
      </c>
      <c r="GD1084" s="101" t="str">
        <f t="shared" si="533"/>
        <v>专属强化石3</v>
      </c>
      <c r="GE1084" s="101">
        <f t="shared" si="534"/>
        <v>4</v>
      </c>
      <c r="GF1084" s="101">
        <f t="shared" si="539"/>
        <v>0.02</v>
      </c>
      <c r="GG1084" s="101">
        <f t="shared" si="540"/>
        <v>1</v>
      </c>
      <c r="GH1084" s="101">
        <f t="shared" si="541"/>
        <v>63</v>
      </c>
      <c r="GI1084" s="101">
        <f t="shared" si="542"/>
        <v>0</v>
      </c>
      <c r="GJ1084" s="101">
        <f t="shared" si="543"/>
        <v>1</v>
      </c>
      <c r="GK1084" s="101">
        <f t="shared" si="544"/>
        <v>15</v>
      </c>
      <c r="GL1084" s="101">
        <f t="shared" si="545"/>
        <v>1.1900000000000001E-2</v>
      </c>
      <c r="GM1084" s="101">
        <f t="shared" si="546"/>
        <v>1</v>
      </c>
      <c r="GN1084" s="101">
        <f t="shared" si="547"/>
        <v>29</v>
      </c>
      <c r="GO1084" s="101">
        <f t="shared" si="548"/>
        <v>4.7600000000000003E-2</v>
      </c>
      <c r="GP1084" s="101">
        <f t="shared" si="549"/>
        <v>1</v>
      </c>
      <c r="GQ1084" s="101">
        <f t="shared" si="550"/>
        <v>63</v>
      </c>
    </row>
    <row r="1085" spans="175:199" ht="16.5" x14ac:dyDescent="0.2">
      <c r="FS1085" s="101">
        <v>1080</v>
      </c>
      <c r="FT1085" s="101">
        <f t="shared" si="535"/>
        <v>36</v>
      </c>
      <c r="FU1085" s="101">
        <f t="shared" si="528"/>
        <v>14</v>
      </c>
      <c r="FV1085" s="14">
        <f t="shared" si="529"/>
        <v>3</v>
      </c>
      <c r="FW1085" s="101" t="str">
        <f t="shared" si="536"/>
        <v>飞廉专属武器-魂珠-4 9级</v>
      </c>
      <c r="FX1085" s="101">
        <f t="shared" si="537"/>
        <v>4</v>
      </c>
      <c r="FY1085" s="101">
        <f t="shared" si="538"/>
        <v>9</v>
      </c>
      <c r="FZ1085" s="101" t="str">
        <f t="shared" si="530"/>
        <v>金币</v>
      </c>
      <c r="GA1085" s="139">
        <f>IF($FY1085&gt;0,IF(INDEX($EM$6:$EM$77,$FT1085)&gt;=GA$3,ROUND(INDEX(EO$6:EO$77,$FT1085)*INDEX(卡牌消耗!$B$8:$F$8,FV1085)/5,0)*5,""),"")</f>
        <v>3540</v>
      </c>
      <c r="GB1085" s="101" t="str">
        <f t="shared" si="531"/>
        <v>专属强化石2</v>
      </c>
      <c r="GC1085" s="101">
        <f t="shared" si="532"/>
        <v>16</v>
      </c>
      <c r="GD1085" s="101" t="str">
        <f t="shared" si="533"/>
        <v>专属强化石3</v>
      </c>
      <c r="GE1085" s="101">
        <f t="shared" si="534"/>
        <v>6</v>
      </c>
      <c r="GF1085" s="101">
        <f t="shared" si="539"/>
        <v>0.02</v>
      </c>
      <c r="GG1085" s="101">
        <f t="shared" si="540"/>
        <v>1</v>
      </c>
      <c r="GH1085" s="101">
        <f t="shared" si="541"/>
        <v>68</v>
      </c>
      <c r="GI1085" s="101">
        <f t="shared" si="542"/>
        <v>0</v>
      </c>
      <c r="GJ1085" s="101">
        <f t="shared" si="543"/>
        <v>1</v>
      </c>
      <c r="GK1085" s="101">
        <f t="shared" si="544"/>
        <v>16</v>
      </c>
      <c r="GL1085" s="101">
        <f t="shared" si="545"/>
        <v>1.0999999999999999E-2</v>
      </c>
      <c r="GM1085" s="101">
        <f t="shared" si="546"/>
        <v>1</v>
      </c>
      <c r="GN1085" s="101">
        <f t="shared" si="547"/>
        <v>32</v>
      </c>
      <c r="GO1085" s="101">
        <f t="shared" si="548"/>
        <v>4.4200000000000003E-2</v>
      </c>
      <c r="GP1085" s="101">
        <f t="shared" si="549"/>
        <v>1</v>
      </c>
      <c r="GQ1085" s="101">
        <f t="shared" si="550"/>
        <v>68</v>
      </c>
    </row>
    <row r="1086" spans="175:199" ht="16.5" x14ac:dyDescent="0.2">
      <c r="FS1086" s="101">
        <v>1081</v>
      </c>
      <c r="FT1086" s="101">
        <f t="shared" si="535"/>
        <v>0</v>
      </c>
      <c r="FU1086" s="101">
        <f t="shared" si="528"/>
        <v>14</v>
      </c>
      <c r="FV1086" s="14">
        <f t="shared" si="529"/>
        <v>3</v>
      </c>
      <c r="FW1086" s="101" t="str">
        <f t="shared" si="536"/>
        <v>飞廉专属武器-魂珠-5 0级</v>
      </c>
      <c r="FX1086" s="101">
        <f t="shared" si="537"/>
        <v>5</v>
      </c>
      <c r="FY1086" s="101">
        <f t="shared" si="538"/>
        <v>0</v>
      </c>
      <c r="FZ1086" s="101" t="str">
        <f t="shared" si="530"/>
        <v/>
      </c>
      <c r="GA1086" s="139" t="str">
        <f>IF($FY1086&gt;0,IF(INDEX($EM$6:$EM$77,$FT1086)&gt;=GA$3,ROUND(INDEX(EO$6:EO$77,$FT1086)*INDEX(卡牌消耗!$B$8:$F$8,FV1086)/5,0)*5,""),"")</f>
        <v/>
      </c>
      <c r="GB1086" s="101" t="str">
        <f t="shared" si="531"/>
        <v/>
      </c>
      <c r="GC1086" s="101" t="str">
        <f t="shared" si="532"/>
        <v/>
      </c>
      <c r="GD1086" s="101" t="str">
        <f t="shared" si="533"/>
        <v/>
      </c>
      <c r="GE1086" s="101" t="str">
        <f t="shared" si="534"/>
        <v/>
      </c>
      <c r="GF1086" s="101" t="str">
        <f t="shared" si="539"/>
        <v/>
      </c>
      <c r="GG1086" s="101" t="str">
        <f t="shared" si="540"/>
        <v/>
      </c>
      <c r="GH1086" s="101" t="str">
        <f t="shared" si="541"/>
        <v/>
      </c>
      <c r="GI1086" s="101" t="str">
        <f t="shared" si="542"/>
        <v/>
      </c>
      <c r="GJ1086" s="101" t="str">
        <f t="shared" si="543"/>
        <v/>
      </c>
      <c r="GK1086" s="101" t="str">
        <f t="shared" si="544"/>
        <v/>
      </c>
      <c r="GL1086" s="101" t="str">
        <f t="shared" si="545"/>
        <v/>
      </c>
      <c r="GM1086" s="101" t="str">
        <f t="shared" si="546"/>
        <v/>
      </c>
      <c r="GN1086" s="101" t="str">
        <f t="shared" si="547"/>
        <v/>
      </c>
      <c r="GO1086" s="101" t="str">
        <f t="shared" si="548"/>
        <v/>
      </c>
      <c r="GP1086" s="101" t="str">
        <f t="shared" si="549"/>
        <v/>
      </c>
      <c r="GQ1086" s="101" t="str">
        <f t="shared" si="550"/>
        <v/>
      </c>
    </row>
    <row r="1087" spans="175:199" ht="16.5" x14ac:dyDescent="0.2">
      <c r="FS1087" s="101">
        <v>1082</v>
      </c>
      <c r="FT1087" s="101">
        <f t="shared" si="535"/>
        <v>37</v>
      </c>
      <c r="FU1087" s="101">
        <f t="shared" si="528"/>
        <v>14</v>
      </c>
      <c r="FV1087" s="14">
        <f t="shared" si="529"/>
        <v>3</v>
      </c>
      <c r="FW1087" s="101" t="str">
        <f t="shared" si="536"/>
        <v>飞廉专属武器-魂珠-5 1级</v>
      </c>
      <c r="FX1087" s="101">
        <f t="shared" si="537"/>
        <v>5</v>
      </c>
      <c r="FY1087" s="101">
        <f t="shared" si="538"/>
        <v>1</v>
      </c>
      <c r="FZ1087" s="101" t="str">
        <f t="shared" si="530"/>
        <v>金币</v>
      </c>
      <c r="GA1087" s="139">
        <f>IF($FY1087&gt;0,IF(INDEX($EM$6:$EM$77,$FT1087)&gt;=GA$3,ROUND(INDEX(EO$6:EO$77,$FT1087)*INDEX(卡牌消耗!$B$8:$F$8,FV1087)/5,0)*5,""),"")</f>
        <v>1495</v>
      </c>
      <c r="GB1087" s="101" t="str">
        <f t="shared" si="531"/>
        <v>专属强化石2</v>
      </c>
      <c r="GC1087" s="101">
        <f t="shared" si="532"/>
        <v>3</v>
      </c>
      <c r="GD1087" s="101" t="str">
        <f t="shared" si="533"/>
        <v>专属强化石3</v>
      </c>
      <c r="GE1087" s="101">
        <f t="shared" si="534"/>
        <v>2</v>
      </c>
      <c r="GF1087" s="101">
        <f t="shared" si="539"/>
        <v>0.2</v>
      </c>
      <c r="GG1087" s="101">
        <f t="shared" si="540"/>
        <v>1</v>
      </c>
      <c r="GH1087" s="101">
        <f t="shared" si="541"/>
        <v>7</v>
      </c>
      <c r="GI1087" s="101">
        <f t="shared" si="542"/>
        <v>0</v>
      </c>
      <c r="GJ1087" s="101">
        <f t="shared" si="543"/>
        <v>1</v>
      </c>
      <c r="GK1087" s="101">
        <f t="shared" si="544"/>
        <v>2</v>
      </c>
      <c r="GL1087" s="101">
        <f t="shared" si="545"/>
        <v>0.1012</v>
      </c>
      <c r="GM1087" s="101">
        <f t="shared" si="546"/>
        <v>1</v>
      </c>
      <c r="GN1087" s="101">
        <f t="shared" si="547"/>
        <v>3</v>
      </c>
      <c r="GO1087" s="101">
        <f t="shared" si="548"/>
        <v>0.40479999999999999</v>
      </c>
      <c r="GP1087" s="101">
        <f t="shared" si="549"/>
        <v>1</v>
      </c>
      <c r="GQ1087" s="101">
        <f t="shared" si="550"/>
        <v>7</v>
      </c>
    </row>
    <row r="1088" spans="175:199" ht="16.5" x14ac:dyDescent="0.2">
      <c r="FS1088" s="101">
        <v>1083</v>
      </c>
      <c r="FT1088" s="101">
        <f t="shared" si="535"/>
        <v>38</v>
      </c>
      <c r="FU1088" s="101">
        <f t="shared" si="528"/>
        <v>14</v>
      </c>
      <c r="FV1088" s="14">
        <f t="shared" si="529"/>
        <v>3</v>
      </c>
      <c r="FW1088" s="101" t="str">
        <f t="shared" si="536"/>
        <v>飞廉专属武器-魂珠-5 2级</v>
      </c>
      <c r="FX1088" s="101">
        <f t="shared" si="537"/>
        <v>5</v>
      </c>
      <c r="FY1088" s="101">
        <f t="shared" si="538"/>
        <v>2</v>
      </c>
      <c r="FZ1088" s="101" t="str">
        <f t="shared" si="530"/>
        <v>金币</v>
      </c>
      <c r="GA1088" s="139">
        <f>IF($FY1088&gt;0,IF(INDEX($EM$6:$EM$77,$FT1088)&gt;=GA$3,ROUND(INDEX(EO$6:EO$77,$FT1088)*INDEX(卡牌消耗!$B$8:$F$8,FV1088)/5,0)*5,""),"")</f>
        <v>1120</v>
      </c>
      <c r="GB1088" s="101" t="str">
        <f t="shared" si="531"/>
        <v>专属强化石2</v>
      </c>
      <c r="GC1088" s="101">
        <f t="shared" si="532"/>
        <v>3</v>
      </c>
      <c r="GD1088" s="101" t="str">
        <f t="shared" si="533"/>
        <v>专属强化石3</v>
      </c>
      <c r="GE1088" s="101">
        <f t="shared" si="534"/>
        <v>2</v>
      </c>
      <c r="GF1088" s="101">
        <f t="shared" si="539"/>
        <v>0.1</v>
      </c>
      <c r="GG1088" s="101">
        <f t="shared" si="540"/>
        <v>1</v>
      </c>
      <c r="GH1088" s="101">
        <f t="shared" si="541"/>
        <v>15</v>
      </c>
      <c r="GI1088" s="101">
        <f t="shared" si="542"/>
        <v>0</v>
      </c>
      <c r="GJ1088" s="101">
        <f t="shared" si="543"/>
        <v>1</v>
      </c>
      <c r="GK1088" s="101">
        <f t="shared" si="544"/>
        <v>3</v>
      </c>
      <c r="GL1088" s="101">
        <f t="shared" si="545"/>
        <v>5.0599999999999999E-2</v>
      </c>
      <c r="GM1088" s="101">
        <f t="shared" si="546"/>
        <v>1</v>
      </c>
      <c r="GN1088" s="101">
        <f t="shared" si="547"/>
        <v>7</v>
      </c>
      <c r="GO1088" s="101">
        <f t="shared" si="548"/>
        <v>0.2024</v>
      </c>
      <c r="GP1088" s="101">
        <f t="shared" si="549"/>
        <v>1</v>
      </c>
      <c r="GQ1088" s="101">
        <f t="shared" si="550"/>
        <v>15</v>
      </c>
    </row>
    <row r="1089" spans="175:199" ht="16.5" x14ac:dyDescent="0.2">
      <c r="FS1089" s="101">
        <v>1084</v>
      </c>
      <c r="FT1089" s="101">
        <f t="shared" si="535"/>
        <v>39</v>
      </c>
      <c r="FU1089" s="101">
        <f t="shared" si="528"/>
        <v>14</v>
      </c>
      <c r="FV1089" s="14">
        <f t="shared" si="529"/>
        <v>3</v>
      </c>
      <c r="FW1089" s="101" t="str">
        <f t="shared" si="536"/>
        <v>飞廉专属武器-魂珠-5 3级</v>
      </c>
      <c r="FX1089" s="101">
        <f t="shared" si="537"/>
        <v>5</v>
      </c>
      <c r="FY1089" s="101">
        <f t="shared" si="538"/>
        <v>3</v>
      </c>
      <c r="FZ1089" s="101" t="str">
        <f t="shared" si="530"/>
        <v>金币</v>
      </c>
      <c r="GA1089" s="139">
        <f>IF($FY1089&gt;0,IF(INDEX($EM$6:$EM$77,$FT1089)&gt;=GA$3,ROUND(INDEX(EO$6:EO$77,$FT1089)*INDEX(卡牌消耗!$B$8:$F$8,FV1089)/5,0)*5,""),"")</f>
        <v>1245</v>
      </c>
      <c r="GB1089" s="101" t="str">
        <f t="shared" si="531"/>
        <v>专属强化石2</v>
      </c>
      <c r="GC1089" s="101">
        <f t="shared" si="532"/>
        <v>3</v>
      </c>
      <c r="GD1089" s="101" t="str">
        <f t="shared" si="533"/>
        <v>专属强化石3</v>
      </c>
      <c r="GE1089" s="101">
        <f t="shared" si="534"/>
        <v>2</v>
      </c>
      <c r="GF1089" s="101">
        <f t="shared" si="539"/>
        <v>7.0000000000000007E-2</v>
      </c>
      <c r="GG1089" s="101">
        <f t="shared" si="540"/>
        <v>1</v>
      </c>
      <c r="GH1089" s="101">
        <f t="shared" si="541"/>
        <v>22</v>
      </c>
      <c r="GI1089" s="101">
        <f t="shared" si="542"/>
        <v>0</v>
      </c>
      <c r="GJ1089" s="101">
        <f t="shared" si="543"/>
        <v>1</v>
      </c>
      <c r="GK1089" s="101">
        <f t="shared" si="544"/>
        <v>5</v>
      </c>
      <c r="GL1089" s="101">
        <f t="shared" si="545"/>
        <v>3.3700000000000001E-2</v>
      </c>
      <c r="GM1089" s="101">
        <f t="shared" si="546"/>
        <v>1</v>
      </c>
      <c r="GN1089" s="101">
        <f t="shared" si="547"/>
        <v>10</v>
      </c>
      <c r="GO1089" s="101">
        <f t="shared" si="548"/>
        <v>0.13489999999999999</v>
      </c>
      <c r="GP1089" s="101">
        <f t="shared" si="549"/>
        <v>1</v>
      </c>
      <c r="GQ1089" s="101">
        <f t="shared" si="550"/>
        <v>22</v>
      </c>
    </row>
    <row r="1090" spans="175:199" ht="16.5" x14ac:dyDescent="0.2">
      <c r="FS1090" s="101">
        <v>1085</v>
      </c>
      <c r="FT1090" s="101">
        <f t="shared" si="535"/>
        <v>40</v>
      </c>
      <c r="FU1090" s="101">
        <f t="shared" si="528"/>
        <v>14</v>
      </c>
      <c r="FV1090" s="14">
        <f t="shared" si="529"/>
        <v>3</v>
      </c>
      <c r="FW1090" s="101" t="str">
        <f t="shared" si="536"/>
        <v>飞廉专属武器-魂珠-5 4级</v>
      </c>
      <c r="FX1090" s="101">
        <f t="shared" si="537"/>
        <v>5</v>
      </c>
      <c r="FY1090" s="101">
        <f t="shared" si="538"/>
        <v>4</v>
      </c>
      <c r="FZ1090" s="101" t="str">
        <f t="shared" si="530"/>
        <v>金币</v>
      </c>
      <c r="GA1090" s="139">
        <f>IF($FY1090&gt;0,IF(INDEX($EM$6:$EM$77,$FT1090)&gt;=GA$3,ROUND(INDEX(EO$6:EO$77,$FT1090)*INDEX(卡牌消耗!$B$8:$F$8,FV1090)/5,0)*5,""),"")</f>
        <v>1795</v>
      </c>
      <c r="GB1090" s="101" t="str">
        <f t="shared" si="531"/>
        <v>专属强化石2</v>
      </c>
      <c r="GC1090" s="101">
        <f t="shared" si="532"/>
        <v>5</v>
      </c>
      <c r="GD1090" s="101" t="str">
        <f t="shared" si="533"/>
        <v>专属强化石3</v>
      </c>
      <c r="GE1090" s="101">
        <f t="shared" si="534"/>
        <v>3</v>
      </c>
      <c r="GF1090" s="101">
        <f t="shared" si="539"/>
        <v>0.06</v>
      </c>
      <c r="GG1090" s="101">
        <f t="shared" si="540"/>
        <v>1</v>
      </c>
      <c r="GH1090" s="101">
        <f t="shared" si="541"/>
        <v>25</v>
      </c>
      <c r="GI1090" s="101">
        <f t="shared" si="542"/>
        <v>0</v>
      </c>
      <c r="GJ1090" s="101">
        <f t="shared" si="543"/>
        <v>1</v>
      </c>
      <c r="GK1090" s="101">
        <f t="shared" si="544"/>
        <v>6</v>
      </c>
      <c r="GL1090" s="101">
        <f t="shared" si="545"/>
        <v>3.04E-2</v>
      </c>
      <c r="GM1090" s="101">
        <f t="shared" si="546"/>
        <v>1</v>
      </c>
      <c r="GN1090" s="101">
        <f t="shared" si="547"/>
        <v>12</v>
      </c>
      <c r="GO1090" s="101">
        <f t="shared" si="548"/>
        <v>0.12139999999999999</v>
      </c>
      <c r="GP1090" s="101">
        <f t="shared" si="549"/>
        <v>1</v>
      </c>
      <c r="GQ1090" s="101">
        <f t="shared" si="550"/>
        <v>25</v>
      </c>
    </row>
    <row r="1091" spans="175:199" ht="16.5" x14ac:dyDescent="0.2">
      <c r="FS1091" s="101">
        <v>1086</v>
      </c>
      <c r="FT1091" s="101">
        <f t="shared" si="535"/>
        <v>41</v>
      </c>
      <c r="FU1091" s="101">
        <f t="shared" si="528"/>
        <v>14</v>
      </c>
      <c r="FV1091" s="14">
        <f t="shared" si="529"/>
        <v>3</v>
      </c>
      <c r="FW1091" s="101" t="str">
        <f t="shared" si="536"/>
        <v>飞廉专属武器-魂珠-5 5级</v>
      </c>
      <c r="FX1091" s="101">
        <f t="shared" si="537"/>
        <v>5</v>
      </c>
      <c r="FY1091" s="101">
        <f t="shared" si="538"/>
        <v>5</v>
      </c>
      <c r="FZ1091" s="101" t="str">
        <f t="shared" si="530"/>
        <v>金币</v>
      </c>
      <c r="GA1091" s="139">
        <f>IF($FY1091&gt;0,IF(INDEX($EM$6:$EM$77,$FT1091)&gt;=GA$3,ROUND(INDEX(EO$6:EO$77,$FT1091)*INDEX(卡牌消耗!$B$8:$F$8,FV1091)/5,0)*5,""),"")</f>
        <v>1825</v>
      </c>
      <c r="GB1091" s="101" t="str">
        <f t="shared" si="531"/>
        <v>专属强化石2</v>
      </c>
      <c r="GC1091" s="101">
        <f t="shared" si="532"/>
        <v>5</v>
      </c>
      <c r="GD1091" s="101" t="str">
        <f t="shared" si="533"/>
        <v>专属强化石3</v>
      </c>
      <c r="GE1091" s="101">
        <f t="shared" si="534"/>
        <v>3</v>
      </c>
      <c r="GF1091" s="101">
        <f t="shared" si="539"/>
        <v>0.04</v>
      </c>
      <c r="GG1091" s="101">
        <f t="shared" si="540"/>
        <v>1</v>
      </c>
      <c r="GH1091" s="101">
        <f t="shared" si="541"/>
        <v>40</v>
      </c>
      <c r="GI1091" s="101">
        <f t="shared" si="542"/>
        <v>0</v>
      </c>
      <c r="GJ1091" s="101">
        <f t="shared" si="543"/>
        <v>1</v>
      </c>
      <c r="GK1091" s="101">
        <f t="shared" si="544"/>
        <v>9</v>
      </c>
      <c r="GL1091" s="101">
        <f t="shared" si="545"/>
        <v>1.9E-2</v>
      </c>
      <c r="GM1091" s="101">
        <f t="shared" si="546"/>
        <v>1</v>
      </c>
      <c r="GN1091" s="101">
        <f t="shared" si="547"/>
        <v>18</v>
      </c>
      <c r="GO1091" s="101">
        <f t="shared" si="548"/>
        <v>7.5899999999999995E-2</v>
      </c>
      <c r="GP1091" s="101">
        <f t="shared" si="549"/>
        <v>1</v>
      </c>
      <c r="GQ1091" s="101">
        <f t="shared" si="550"/>
        <v>40</v>
      </c>
    </row>
    <row r="1092" spans="175:199" ht="16.5" x14ac:dyDescent="0.2">
      <c r="FS1092" s="101">
        <v>1087</v>
      </c>
      <c r="FT1092" s="101">
        <f t="shared" si="535"/>
        <v>42</v>
      </c>
      <c r="FU1092" s="101">
        <f t="shared" si="528"/>
        <v>14</v>
      </c>
      <c r="FV1092" s="14">
        <f t="shared" si="529"/>
        <v>3</v>
      </c>
      <c r="FW1092" s="101" t="str">
        <f t="shared" si="536"/>
        <v>飞廉专属武器-魂珠-5 6级</v>
      </c>
      <c r="FX1092" s="101">
        <f t="shared" si="537"/>
        <v>5</v>
      </c>
      <c r="FY1092" s="101">
        <f t="shared" si="538"/>
        <v>6</v>
      </c>
      <c r="FZ1092" s="101" t="str">
        <f t="shared" si="530"/>
        <v>金币</v>
      </c>
      <c r="GA1092" s="139">
        <f>IF($FY1092&gt;0,IF(INDEX($EM$6:$EM$77,$FT1092)&gt;=GA$3,ROUND(INDEX(EO$6:EO$77,$FT1092)*INDEX(卡牌消耗!$B$8:$F$8,FV1092)/5,0)*5,""),"")</f>
        <v>3020</v>
      </c>
      <c r="GB1092" s="101" t="str">
        <f t="shared" si="531"/>
        <v>专属强化石2</v>
      </c>
      <c r="GC1092" s="101">
        <f t="shared" si="532"/>
        <v>8</v>
      </c>
      <c r="GD1092" s="101" t="str">
        <f t="shared" si="533"/>
        <v>专属强化石3</v>
      </c>
      <c r="GE1092" s="101">
        <f t="shared" si="534"/>
        <v>5</v>
      </c>
      <c r="GF1092" s="101">
        <f t="shared" si="539"/>
        <v>0.04</v>
      </c>
      <c r="GG1092" s="101">
        <f t="shared" si="540"/>
        <v>1</v>
      </c>
      <c r="GH1092" s="101">
        <f t="shared" si="541"/>
        <v>39</v>
      </c>
      <c r="GI1092" s="101">
        <f t="shared" si="542"/>
        <v>0</v>
      </c>
      <c r="GJ1092" s="101">
        <f t="shared" si="543"/>
        <v>1</v>
      </c>
      <c r="GK1092" s="101">
        <f t="shared" si="544"/>
        <v>9</v>
      </c>
      <c r="GL1092" s="101">
        <f t="shared" si="545"/>
        <v>1.95E-2</v>
      </c>
      <c r="GM1092" s="101">
        <f t="shared" si="546"/>
        <v>1</v>
      </c>
      <c r="GN1092" s="101">
        <f t="shared" si="547"/>
        <v>18</v>
      </c>
      <c r="GO1092" s="101">
        <f t="shared" si="548"/>
        <v>7.7799999999999994E-2</v>
      </c>
      <c r="GP1092" s="101">
        <f t="shared" si="549"/>
        <v>1</v>
      </c>
      <c r="GQ1092" s="101">
        <f t="shared" si="550"/>
        <v>39</v>
      </c>
    </row>
    <row r="1093" spans="175:199" ht="16.5" x14ac:dyDescent="0.2">
      <c r="FS1093" s="101">
        <v>1088</v>
      </c>
      <c r="FT1093" s="101">
        <f t="shared" si="535"/>
        <v>43</v>
      </c>
      <c r="FU1093" s="101">
        <f t="shared" si="528"/>
        <v>14</v>
      </c>
      <c r="FV1093" s="14">
        <f t="shared" si="529"/>
        <v>3</v>
      </c>
      <c r="FW1093" s="101" t="str">
        <f t="shared" si="536"/>
        <v>飞廉专属武器-魂珠-5 7级</v>
      </c>
      <c r="FX1093" s="101">
        <f t="shared" si="537"/>
        <v>5</v>
      </c>
      <c r="FY1093" s="101">
        <f t="shared" si="538"/>
        <v>7</v>
      </c>
      <c r="FZ1093" s="101" t="str">
        <f t="shared" si="530"/>
        <v>金币</v>
      </c>
      <c r="GA1093" s="139">
        <f>IF($FY1093&gt;0,IF(INDEX($EM$6:$EM$77,$FT1093)&gt;=GA$3,ROUND(INDEX(EO$6:EO$77,$FT1093)*INDEX(卡牌消耗!$B$8:$F$8,FV1093)/5,0)*5,""),"")</f>
        <v>3025</v>
      </c>
      <c r="GB1093" s="101" t="str">
        <f t="shared" si="531"/>
        <v>专属强化石2</v>
      </c>
      <c r="GC1093" s="101">
        <f t="shared" si="532"/>
        <v>8</v>
      </c>
      <c r="GD1093" s="101" t="str">
        <f t="shared" si="533"/>
        <v>专属强化石3</v>
      </c>
      <c r="GE1093" s="101">
        <f t="shared" si="534"/>
        <v>5</v>
      </c>
      <c r="GF1093" s="101">
        <f t="shared" si="539"/>
        <v>0.02</v>
      </c>
      <c r="GG1093" s="101">
        <f t="shared" si="540"/>
        <v>1</v>
      </c>
      <c r="GH1093" s="101">
        <f t="shared" si="541"/>
        <v>62</v>
      </c>
      <c r="GI1093" s="101">
        <f t="shared" si="542"/>
        <v>0</v>
      </c>
      <c r="GJ1093" s="101">
        <f t="shared" si="543"/>
        <v>1</v>
      </c>
      <c r="GK1093" s="101">
        <f t="shared" si="544"/>
        <v>15</v>
      </c>
      <c r="GL1093" s="101">
        <f t="shared" si="545"/>
        <v>1.2E-2</v>
      </c>
      <c r="GM1093" s="101">
        <f t="shared" si="546"/>
        <v>1</v>
      </c>
      <c r="GN1093" s="101">
        <f t="shared" si="547"/>
        <v>29</v>
      </c>
      <c r="GO1093" s="101">
        <f t="shared" si="548"/>
        <v>4.82E-2</v>
      </c>
      <c r="GP1093" s="101">
        <f t="shared" si="549"/>
        <v>1</v>
      </c>
      <c r="GQ1093" s="101">
        <f t="shared" si="550"/>
        <v>62</v>
      </c>
    </row>
    <row r="1094" spans="175:199" ht="16.5" x14ac:dyDescent="0.2">
      <c r="FS1094" s="101">
        <v>1089</v>
      </c>
      <c r="FT1094" s="101">
        <f t="shared" si="535"/>
        <v>44</v>
      </c>
      <c r="FU1094" s="101">
        <f t="shared" si="528"/>
        <v>14</v>
      </c>
      <c r="FV1094" s="14">
        <f t="shared" si="529"/>
        <v>3</v>
      </c>
      <c r="FW1094" s="101" t="str">
        <f t="shared" si="536"/>
        <v>飞廉专属武器-魂珠-5 8级</v>
      </c>
      <c r="FX1094" s="101">
        <f t="shared" si="537"/>
        <v>5</v>
      </c>
      <c r="FY1094" s="101">
        <f t="shared" si="538"/>
        <v>8</v>
      </c>
      <c r="FZ1094" s="101" t="str">
        <f t="shared" si="530"/>
        <v>金币</v>
      </c>
      <c r="GA1094" s="139">
        <f>IF($FY1094&gt;0,IF(INDEX($EM$6:$EM$77,$FT1094)&gt;=GA$3,ROUND(INDEX(EO$6:EO$77,$FT1094)*INDEX(卡牌消耗!$B$8:$F$8,FV1094)/5,0)*5,""),"")</f>
        <v>4235</v>
      </c>
      <c r="GB1094" s="101" t="str">
        <f t="shared" si="531"/>
        <v>专属强化石2</v>
      </c>
      <c r="GC1094" s="101">
        <f t="shared" si="532"/>
        <v>11</v>
      </c>
      <c r="GD1094" s="101" t="str">
        <f t="shared" si="533"/>
        <v>专属强化石3</v>
      </c>
      <c r="GE1094" s="101">
        <f t="shared" si="534"/>
        <v>7</v>
      </c>
      <c r="GF1094" s="101">
        <f t="shared" si="539"/>
        <v>0.02</v>
      </c>
      <c r="GG1094" s="101">
        <f t="shared" si="540"/>
        <v>1</v>
      </c>
      <c r="GH1094" s="101">
        <f t="shared" si="541"/>
        <v>72</v>
      </c>
      <c r="GI1094" s="101">
        <f t="shared" si="542"/>
        <v>0</v>
      </c>
      <c r="GJ1094" s="101">
        <f t="shared" si="543"/>
        <v>1</v>
      </c>
      <c r="GK1094" s="101">
        <f t="shared" si="544"/>
        <v>17</v>
      </c>
      <c r="GL1094" s="101">
        <f t="shared" si="545"/>
        <v>1.04E-2</v>
      </c>
      <c r="GM1094" s="101">
        <f t="shared" si="546"/>
        <v>1</v>
      </c>
      <c r="GN1094" s="101">
        <f t="shared" si="547"/>
        <v>34</v>
      </c>
      <c r="GO1094" s="101">
        <f t="shared" si="548"/>
        <v>4.1700000000000001E-2</v>
      </c>
      <c r="GP1094" s="101">
        <f t="shared" si="549"/>
        <v>1</v>
      </c>
      <c r="GQ1094" s="101">
        <f t="shared" si="550"/>
        <v>72</v>
      </c>
    </row>
    <row r="1095" spans="175:199" ht="16.5" x14ac:dyDescent="0.2">
      <c r="FS1095" s="101">
        <v>1090</v>
      </c>
      <c r="FT1095" s="101">
        <f t="shared" si="535"/>
        <v>45</v>
      </c>
      <c r="FU1095" s="101">
        <f t="shared" ref="FU1095:FU1158" si="551">INT((FS1095-1)/80+1)</f>
        <v>14</v>
      </c>
      <c r="FV1095" s="14">
        <f t="shared" ref="FV1095:FV1158" si="552">INDEX($FO$6:$FO$26,FU1095)</f>
        <v>3</v>
      </c>
      <c r="FW1095" s="101" t="str">
        <f t="shared" si="536"/>
        <v>飞廉专属武器-魂珠-5 9级</v>
      </c>
      <c r="FX1095" s="101">
        <f t="shared" si="537"/>
        <v>5</v>
      </c>
      <c r="FY1095" s="101">
        <f t="shared" si="538"/>
        <v>9</v>
      </c>
      <c r="FZ1095" s="101" t="str">
        <f t="shared" ref="FZ1095:FZ1158" si="553">IF($FY1095&gt;0,IF(INDEX($EM$6:$EM$77,$FT1095)&gt;=FZ$3,INDEX(EN$6:EN$77,$FT1095),""),"")</f>
        <v>金币</v>
      </c>
      <c r="GA1095" s="139">
        <f>IF($FY1095&gt;0,IF(INDEX($EM$6:$EM$77,$FT1095)&gt;=GA$3,ROUND(INDEX(EO$6:EO$77,$FT1095)*INDEX(卡牌消耗!$B$8:$F$8,FV1095)/5,0)*5,""),"")</f>
        <v>5445</v>
      </c>
      <c r="GB1095" s="101" t="str">
        <f t="shared" ref="GB1095:GB1158" si="554">IF($FY1095&gt;0,IF(INDEX($EM$6:$EM$77,$FT1095)&gt;=GB$3,INDEX(EP$6:EP$77,$FT1095),""),"")</f>
        <v>专属强化石2</v>
      </c>
      <c r="GC1095" s="101">
        <f t="shared" ref="GC1095:GC1158" si="555">IF($FY1095&gt;0,IF(INDEX($EM$6:$EM$77,$FT1095)&gt;=GC$3,INDEX(EQ$6:EQ$77,$FT1095),""),"")</f>
        <v>14</v>
      </c>
      <c r="GD1095" s="101" t="str">
        <f t="shared" ref="GD1095:GD1158" si="556">IF($FY1095&gt;0,IF(INDEX($EM$6:$EM$77,$FT1095)&gt;=GD$3,INDEX(ER$6:ER$77,$FT1095),""),"")</f>
        <v>专属强化石3</v>
      </c>
      <c r="GE1095" s="101">
        <f t="shared" ref="GE1095:GE1158" si="557">IF($FY1095&gt;0,IF(INDEX($EM$6:$EM$77,$FT1095)&gt;=GE$3,INDEX(ES$6:ES$77,$FT1095),""),"")</f>
        <v>9</v>
      </c>
      <c r="GF1095" s="101">
        <f t="shared" si="539"/>
        <v>0.02</v>
      </c>
      <c r="GG1095" s="101">
        <f t="shared" si="540"/>
        <v>1</v>
      </c>
      <c r="GH1095" s="101">
        <f t="shared" si="541"/>
        <v>91</v>
      </c>
      <c r="GI1095" s="101">
        <f t="shared" si="542"/>
        <v>0</v>
      </c>
      <c r="GJ1095" s="101">
        <f t="shared" si="543"/>
        <v>1</v>
      </c>
      <c r="GK1095" s="101">
        <f t="shared" si="544"/>
        <v>21</v>
      </c>
      <c r="GL1095" s="101">
        <f t="shared" si="545"/>
        <v>8.3000000000000001E-3</v>
      </c>
      <c r="GM1095" s="101">
        <f t="shared" si="546"/>
        <v>1</v>
      </c>
      <c r="GN1095" s="101">
        <f t="shared" si="547"/>
        <v>42</v>
      </c>
      <c r="GO1095" s="101">
        <f t="shared" si="548"/>
        <v>3.3099999999999997E-2</v>
      </c>
      <c r="GP1095" s="101">
        <f t="shared" si="549"/>
        <v>1</v>
      </c>
      <c r="GQ1095" s="101">
        <f t="shared" si="550"/>
        <v>91</v>
      </c>
    </row>
    <row r="1096" spans="175:199" ht="16.5" x14ac:dyDescent="0.2">
      <c r="FS1096" s="101">
        <v>1091</v>
      </c>
      <c r="FT1096" s="101">
        <f t="shared" si="535"/>
        <v>0</v>
      </c>
      <c r="FU1096" s="101">
        <f t="shared" si="551"/>
        <v>14</v>
      </c>
      <c r="FV1096" s="14">
        <f t="shared" si="552"/>
        <v>3</v>
      </c>
      <c r="FW1096" s="101" t="str">
        <f t="shared" si="536"/>
        <v>飞廉专属武器-魂珠-6 0级</v>
      </c>
      <c r="FX1096" s="101">
        <f t="shared" si="537"/>
        <v>6</v>
      </c>
      <c r="FY1096" s="101">
        <f t="shared" si="538"/>
        <v>0</v>
      </c>
      <c r="FZ1096" s="101" t="str">
        <f t="shared" si="553"/>
        <v/>
      </c>
      <c r="GA1096" s="139" t="str">
        <f>IF($FY1096&gt;0,IF(INDEX($EM$6:$EM$77,$FT1096)&gt;=GA$3,ROUND(INDEX(EO$6:EO$77,$FT1096)*INDEX(卡牌消耗!$B$8:$F$8,FV1096)/5,0)*5,""),"")</f>
        <v/>
      </c>
      <c r="GB1096" s="101" t="str">
        <f t="shared" si="554"/>
        <v/>
      </c>
      <c r="GC1096" s="101" t="str">
        <f t="shared" si="555"/>
        <v/>
      </c>
      <c r="GD1096" s="101" t="str">
        <f t="shared" si="556"/>
        <v/>
      </c>
      <c r="GE1096" s="101" t="str">
        <f t="shared" si="557"/>
        <v/>
      </c>
      <c r="GF1096" s="101" t="str">
        <f t="shared" si="539"/>
        <v/>
      </c>
      <c r="GG1096" s="101" t="str">
        <f t="shared" si="540"/>
        <v/>
      </c>
      <c r="GH1096" s="101" t="str">
        <f t="shared" si="541"/>
        <v/>
      </c>
      <c r="GI1096" s="101" t="str">
        <f t="shared" si="542"/>
        <v/>
      </c>
      <c r="GJ1096" s="101" t="str">
        <f t="shared" si="543"/>
        <v/>
      </c>
      <c r="GK1096" s="101" t="str">
        <f t="shared" si="544"/>
        <v/>
      </c>
      <c r="GL1096" s="101" t="str">
        <f t="shared" si="545"/>
        <v/>
      </c>
      <c r="GM1096" s="101" t="str">
        <f t="shared" si="546"/>
        <v/>
      </c>
      <c r="GN1096" s="101" t="str">
        <f t="shared" si="547"/>
        <v/>
      </c>
      <c r="GO1096" s="101" t="str">
        <f t="shared" si="548"/>
        <v/>
      </c>
      <c r="GP1096" s="101" t="str">
        <f t="shared" si="549"/>
        <v/>
      </c>
      <c r="GQ1096" s="101" t="str">
        <f t="shared" si="550"/>
        <v/>
      </c>
    </row>
    <row r="1097" spans="175:199" ht="16.5" x14ac:dyDescent="0.2">
      <c r="FS1097" s="101">
        <v>1092</v>
      </c>
      <c r="FT1097" s="101">
        <f t="shared" si="535"/>
        <v>46</v>
      </c>
      <c r="FU1097" s="101">
        <f t="shared" si="551"/>
        <v>14</v>
      </c>
      <c r="FV1097" s="14">
        <f t="shared" si="552"/>
        <v>3</v>
      </c>
      <c r="FW1097" s="101" t="str">
        <f t="shared" si="536"/>
        <v>飞廉专属武器-魂珠-6 1级</v>
      </c>
      <c r="FX1097" s="101">
        <f t="shared" si="537"/>
        <v>6</v>
      </c>
      <c r="FY1097" s="101">
        <f t="shared" si="538"/>
        <v>1</v>
      </c>
      <c r="FZ1097" s="101" t="str">
        <f t="shared" si="553"/>
        <v>金币</v>
      </c>
      <c r="GA1097" s="139">
        <f>IF($FY1097&gt;0,IF(INDEX($EM$6:$EM$77,$FT1097)&gt;=GA$3,ROUND(INDEX(EO$6:EO$77,$FT1097)*INDEX(卡牌消耗!$B$8:$F$8,FV1097)/5,0)*5,""),"")</f>
        <v>1455</v>
      </c>
      <c r="GB1097" s="101" t="str">
        <f t="shared" si="554"/>
        <v>专属强化石3</v>
      </c>
      <c r="GC1097" s="101">
        <f t="shared" si="555"/>
        <v>5</v>
      </c>
      <c r="GD1097" s="101" t="str">
        <f t="shared" si="556"/>
        <v>专属强化石4</v>
      </c>
      <c r="GE1097" s="101">
        <f t="shared" si="557"/>
        <v>1</v>
      </c>
      <c r="GF1097" s="101">
        <f t="shared" si="539"/>
        <v>0.17</v>
      </c>
      <c r="GG1097" s="101">
        <f t="shared" si="540"/>
        <v>1</v>
      </c>
      <c r="GH1097" s="101">
        <f t="shared" si="541"/>
        <v>9</v>
      </c>
      <c r="GI1097" s="101">
        <f t="shared" si="542"/>
        <v>0</v>
      </c>
      <c r="GJ1097" s="101">
        <f t="shared" si="543"/>
        <v>1</v>
      </c>
      <c r="GK1097" s="101">
        <f t="shared" si="544"/>
        <v>2</v>
      </c>
      <c r="GL1097" s="101">
        <f t="shared" si="545"/>
        <v>8.2900000000000001E-2</v>
      </c>
      <c r="GM1097" s="101">
        <f t="shared" si="546"/>
        <v>1</v>
      </c>
      <c r="GN1097" s="101">
        <f t="shared" si="547"/>
        <v>4</v>
      </c>
      <c r="GO1097" s="101">
        <f t="shared" si="548"/>
        <v>0.33139999999999997</v>
      </c>
      <c r="GP1097" s="101">
        <f t="shared" si="549"/>
        <v>1</v>
      </c>
      <c r="GQ1097" s="101">
        <f t="shared" si="550"/>
        <v>9</v>
      </c>
    </row>
    <row r="1098" spans="175:199" ht="16.5" x14ac:dyDescent="0.2">
      <c r="FS1098" s="101">
        <v>1093</v>
      </c>
      <c r="FT1098" s="101">
        <f t="shared" si="535"/>
        <v>47</v>
      </c>
      <c r="FU1098" s="101">
        <f t="shared" si="551"/>
        <v>14</v>
      </c>
      <c r="FV1098" s="14">
        <f t="shared" si="552"/>
        <v>3</v>
      </c>
      <c r="FW1098" s="101" t="str">
        <f t="shared" si="536"/>
        <v>飞廉专属武器-魂珠-6 2级</v>
      </c>
      <c r="FX1098" s="101">
        <f t="shared" si="537"/>
        <v>6</v>
      </c>
      <c r="FY1098" s="101">
        <f t="shared" si="538"/>
        <v>2</v>
      </c>
      <c r="FZ1098" s="101" t="str">
        <f t="shared" si="553"/>
        <v>金币</v>
      </c>
      <c r="GA1098" s="139">
        <f>IF($FY1098&gt;0,IF(INDEX($EM$6:$EM$77,$FT1098)&gt;=GA$3,ROUND(INDEX(EO$6:EO$77,$FT1098)*INDEX(卡牌消耗!$B$8:$F$8,FV1098)/5,0)*5,""),"")</f>
        <v>2180</v>
      </c>
      <c r="GB1098" s="101" t="str">
        <f t="shared" si="554"/>
        <v>专属强化石3</v>
      </c>
      <c r="GC1098" s="101">
        <f t="shared" si="555"/>
        <v>10</v>
      </c>
      <c r="GD1098" s="101" t="str">
        <f t="shared" si="556"/>
        <v>专属强化石4</v>
      </c>
      <c r="GE1098" s="101">
        <f t="shared" si="557"/>
        <v>2</v>
      </c>
      <c r="GF1098" s="101">
        <f t="shared" si="539"/>
        <v>0.17</v>
      </c>
      <c r="GG1098" s="101">
        <f t="shared" si="540"/>
        <v>1</v>
      </c>
      <c r="GH1098" s="101">
        <f t="shared" si="541"/>
        <v>9</v>
      </c>
      <c r="GI1098" s="101">
        <f t="shared" si="542"/>
        <v>0</v>
      </c>
      <c r="GJ1098" s="101">
        <f t="shared" si="543"/>
        <v>1</v>
      </c>
      <c r="GK1098" s="101">
        <f t="shared" si="544"/>
        <v>2</v>
      </c>
      <c r="GL1098" s="101">
        <f t="shared" si="545"/>
        <v>8.2900000000000001E-2</v>
      </c>
      <c r="GM1098" s="101">
        <f t="shared" si="546"/>
        <v>1</v>
      </c>
      <c r="GN1098" s="101">
        <f t="shared" si="547"/>
        <v>4</v>
      </c>
      <c r="GO1098" s="101">
        <f t="shared" si="548"/>
        <v>0.33139999999999997</v>
      </c>
      <c r="GP1098" s="101">
        <f t="shared" si="549"/>
        <v>1</v>
      </c>
      <c r="GQ1098" s="101">
        <f t="shared" si="550"/>
        <v>9</v>
      </c>
    </row>
    <row r="1099" spans="175:199" ht="16.5" x14ac:dyDescent="0.2">
      <c r="FS1099" s="101">
        <v>1094</v>
      </c>
      <c r="FT1099" s="101">
        <f t="shared" si="535"/>
        <v>48</v>
      </c>
      <c r="FU1099" s="101">
        <f t="shared" si="551"/>
        <v>14</v>
      </c>
      <c r="FV1099" s="14">
        <f t="shared" si="552"/>
        <v>3</v>
      </c>
      <c r="FW1099" s="101" t="str">
        <f t="shared" si="536"/>
        <v>飞廉专属武器-魂珠-6 3级</v>
      </c>
      <c r="FX1099" s="101">
        <f t="shared" si="537"/>
        <v>6</v>
      </c>
      <c r="FY1099" s="101">
        <f t="shared" si="538"/>
        <v>3</v>
      </c>
      <c r="FZ1099" s="101" t="str">
        <f t="shared" si="553"/>
        <v>金币</v>
      </c>
      <c r="GA1099" s="139">
        <f>IF($FY1099&gt;0,IF(INDEX($EM$6:$EM$77,$FT1099)&gt;=GA$3,ROUND(INDEX(EO$6:EO$77,$FT1099)*INDEX(卡牌消耗!$B$8:$F$8,FV1099)/5,0)*5,""),"")</f>
        <v>2425</v>
      </c>
      <c r="GB1099" s="101" t="str">
        <f t="shared" si="554"/>
        <v>专属强化石3</v>
      </c>
      <c r="GC1099" s="101">
        <f t="shared" si="555"/>
        <v>10</v>
      </c>
      <c r="GD1099" s="101" t="str">
        <f t="shared" si="556"/>
        <v>专属强化石4</v>
      </c>
      <c r="GE1099" s="101">
        <f t="shared" si="557"/>
        <v>2</v>
      </c>
      <c r="GF1099" s="101">
        <f t="shared" si="539"/>
        <v>0.11</v>
      </c>
      <c r="GG1099" s="101">
        <f t="shared" si="540"/>
        <v>1</v>
      </c>
      <c r="GH1099" s="101">
        <f t="shared" si="541"/>
        <v>14</v>
      </c>
      <c r="GI1099" s="101">
        <f t="shared" si="542"/>
        <v>0</v>
      </c>
      <c r="GJ1099" s="101">
        <f t="shared" si="543"/>
        <v>1</v>
      </c>
      <c r="GK1099" s="101">
        <f t="shared" si="544"/>
        <v>3</v>
      </c>
      <c r="GL1099" s="101">
        <f t="shared" si="545"/>
        <v>5.5199999999999999E-2</v>
      </c>
      <c r="GM1099" s="101">
        <f t="shared" si="546"/>
        <v>1</v>
      </c>
      <c r="GN1099" s="101">
        <f t="shared" si="547"/>
        <v>6</v>
      </c>
      <c r="GO1099" s="101">
        <f t="shared" si="548"/>
        <v>0.221</v>
      </c>
      <c r="GP1099" s="101">
        <f t="shared" si="549"/>
        <v>1</v>
      </c>
      <c r="GQ1099" s="101">
        <f t="shared" si="550"/>
        <v>14</v>
      </c>
    </row>
    <row r="1100" spans="175:199" ht="16.5" x14ac:dyDescent="0.2">
      <c r="FS1100" s="101">
        <v>1095</v>
      </c>
      <c r="FT1100" s="101">
        <f t="shared" si="535"/>
        <v>49</v>
      </c>
      <c r="FU1100" s="101">
        <f t="shared" si="551"/>
        <v>14</v>
      </c>
      <c r="FV1100" s="14">
        <f t="shared" si="552"/>
        <v>3</v>
      </c>
      <c r="FW1100" s="101" t="str">
        <f t="shared" si="536"/>
        <v>飞廉专属武器-魂珠-6 4级</v>
      </c>
      <c r="FX1100" s="101">
        <f t="shared" si="537"/>
        <v>6</v>
      </c>
      <c r="FY1100" s="101">
        <f t="shared" si="538"/>
        <v>4</v>
      </c>
      <c r="FZ1100" s="101" t="str">
        <f t="shared" si="553"/>
        <v>金币</v>
      </c>
      <c r="GA1100" s="139">
        <f>IF($FY1100&gt;0,IF(INDEX($EM$6:$EM$77,$FT1100)&gt;=GA$3,ROUND(INDEX(EO$6:EO$77,$FT1100)*INDEX(卡牌消耗!$B$8:$F$8,FV1100)/5,0)*5,""),"")</f>
        <v>3490</v>
      </c>
      <c r="GB1100" s="101" t="str">
        <f t="shared" si="554"/>
        <v>专属强化石3</v>
      </c>
      <c r="GC1100" s="101">
        <f t="shared" si="555"/>
        <v>15</v>
      </c>
      <c r="GD1100" s="101" t="str">
        <f t="shared" si="556"/>
        <v>专属强化石4</v>
      </c>
      <c r="GE1100" s="101">
        <f t="shared" si="557"/>
        <v>3</v>
      </c>
      <c r="GF1100" s="101">
        <f t="shared" si="539"/>
        <v>0.1</v>
      </c>
      <c r="GG1100" s="101">
        <f t="shared" si="540"/>
        <v>1</v>
      </c>
      <c r="GH1100" s="101">
        <f t="shared" si="541"/>
        <v>15</v>
      </c>
      <c r="GI1100" s="101">
        <f t="shared" si="542"/>
        <v>0</v>
      </c>
      <c r="GJ1100" s="101">
        <f t="shared" si="543"/>
        <v>1</v>
      </c>
      <c r="GK1100" s="101">
        <f t="shared" si="544"/>
        <v>4</v>
      </c>
      <c r="GL1100" s="101">
        <f t="shared" si="545"/>
        <v>4.9700000000000001E-2</v>
      </c>
      <c r="GM1100" s="101">
        <f t="shared" si="546"/>
        <v>1</v>
      </c>
      <c r="GN1100" s="101">
        <f t="shared" si="547"/>
        <v>7</v>
      </c>
      <c r="GO1100" s="101">
        <f t="shared" si="548"/>
        <v>0.19889999999999999</v>
      </c>
      <c r="GP1100" s="101">
        <f t="shared" si="549"/>
        <v>1</v>
      </c>
      <c r="GQ1100" s="101">
        <f t="shared" si="550"/>
        <v>15</v>
      </c>
    </row>
    <row r="1101" spans="175:199" ht="16.5" x14ac:dyDescent="0.2">
      <c r="FS1101" s="101">
        <v>1096</v>
      </c>
      <c r="FT1101" s="101">
        <f t="shared" si="535"/>
        <v>50</v>
      </c>
      <c r="FU1101" s="101">
        <f t="shared" si="551"/>
        <v>14</v>
      </c>
      <c r="FV1101" s="14">
        <f t="shared" si="552"/>
        <v>3</v>
      </c>
      <c r="FW1101" s="101" t="str">
        <f t="shared" si="536"/>
        <v>飞廉专属武器-魂珠-6 5级</v>
      </c>
      <c r="FX1101" s="101">
        <f t="shared" si="537"/>
        <v>6</v>
      </c>
      <c r="FY1101" s="101">
        <f t="shared" si="538"/>
        <v>5</v>
      </c>
      <c r="FZ1101" s="101" t="str">
        <f t="shared" si="553"/>
        <v>金币</v>
      </c>
      <c r="GA1101" s="139">
        <f>IF($FY1101&gt;0,IF(INDEX($EM$6:$EM$77,$FT1101)&gt;=GA$3,ROUND(INDEX(EO$6:EO$77,$FT1101)*INDEX(卡牌消耗!$B$8:$F$8,FV1101)/5,0)*5,""),"")</f>
        <v>3545</v>
      </c>
      <c r="GB1101" s="101" t="str">
        <f t="shared" si="554"/>
        <v>专属强化石3</v>
      </c>
      <c r="GC1101" s="101">
        <f t="shared" si="555"/>
        <v>15</v>
      </c>
      <c r="GD1101" s="101" t="str">
        <f t="shared" si="556"/>
        <v>专属强化石4</v>
      </c>
      <c r="GE1101" s="101">
        <f t="shared" si="557"/>
        <v>3</v>
      </c>
      <c r="GF1101" s="101">
        <f t="shared" si="539"/>
        <v>0.06</v>
      </c>
      <c r="GG1101" s="101">
        <f t="shared" si="540"/>
        <v>1</v>
      </c>
      <c r="GH1101" s="101">
        <f t="shared" si="541"/>
        <v>24</v>
      </c>
      <c r="GI1101" s="101">
        <f t="shared" si="542"/>
        <v>0</v>
      </c>
      <c r="GJ1101" s="101">
        <f t="shared" si="543"/>
        <v>1</v>
      </c>
      <c r="GK1101" s="101">
        <f t="shared" si="544"/>
        <v>6</v>
      </c>
      <c r="GL1101" s="101">
        <f t="shared" si="545"/>
        <v>3.1099999999999999E-2</v>
      </c>
      <c r="GM1101" s="101">
        <f t="shared" si="546"/>
        <v>1</v>
      </c>
      <c r="GN1101" s="101">
        <f t="shared" si="547"/>
        <v>11</v>
      </c>
      <c r="GO1101" s="101">
        <f t="shared" si="548"/>
        <v>0.12429999999999999</v>
      </c>
      <c r="GP1101" s="101">
        <f t="shared" si="549"/>
        <v>1</v>
      </c>
      <c r="GQ1101" s="101">
        <f t="shared" si="550"/>
        <v>24</v>
      </c>
    </row>
    <row r="1102" spans="175:199" ht="16.5" x14ac:dyDescent="0.2">
      <c r="FS1102" s="101">
        <v>1097</v>
      </c>
      <c r="FT1102" s="101">
        <f t="shared" si="535"/>
        <v>51</v>
      </c>
      <c r="FU1102" s="101">
        <f t="shared" si="551"/>
        <v>14</v>
      </c>
      <c r="FV1102" s="14">
        <f t="shared" si="552"/>
        <v>3</v>
      </c>
      <c r="FW1102" s="101" t="str">
        <f t="shared" si="536"/>
        <v>飞廉专属武器-魂珠-6 6级</v>
      </c>
      <c r="FX1102" s="101">
        <f t="shared" si="537"/>
        <v>6</v>
      </c>
      <c r="FY1102" s="101">
        <f t="shared" si="538"/>
        <v>6</v>
      </c>
      <c r="FZ1102" s="101" t="str">
        <f t="shared" si="553"/>
        <v>金币</v>
      </c>
      <c r="GA1102" s="139">
        <f>IF($FY1102&gt;0,IF(INDEX($EM$6:$EM$77,$FT1102)&gt;=GA$3,ROUND(INDEX(EO$6:EO$77,$FT1102)*INDEX(卡牌消耗!$B$8:$F$8,FV1102)/5,0)*5,""),"")</f>
        <v>4700</v>
      </c>
      <c r="GB1102" s="101" t="str">
        <f t="shared" si="554"/>
        <v>专属强化石3</v>
      </c>
      <c r="GC1102" s="101">
        <f t="shared" si="555"/>
        <v>20</v>
      </c>
      <c r="GD1102" s="101" t="str">
        <f t="shared" si="556"/>
        <v>专属强化石4</v>
      </c>
      <c r="GE1102" s="101">
        <f t="shared" si="557"/>
        <v>4</v>
      </c>
      <c r="GF1102" s="101">
        <f t="shared" si="539"/>
        <v>0.05</v>
      </c>
      <c r="GG1102" s="101">
        <f t="shared" si="540"/>
        <v>1</v>
      </c>
      <c r="GH1102" s="101">
        <f t="shared" si="541"/>
        <v>29</v>
      </c>
      <c r="GI1102" s="101">
        <f t="shared" si="542"/>
        <v>0</v>
      </c>
      <c r="GJ1102" s="101">
        <f t="shared" si="543"/>
        <v>1</v>
      </c>
      <c r="GK1102" s="101">
        <f t="shared" si="544"/>
        <v>7</v>
      </c>
      <c r="GL1102" s="101">
        <f t="shared" si="545"/>
        <v>2.5499999999999998E-2</v>
      </c>
      <c r="GM1102" s="101">
        <f t="shared" si="546"/>
        <v>1</v>
      </c>
      <c r="GN1102" s="101">
        <f t="shared" si="547"/>
        <v>14</v>
      </c>
      <c r="GO1102" s="101">
        <f t="shared" si="548"/>
        <v>0.10199999999999999</v>
      </c>
      <c r="GP1102" s="101">
        <f t="shared" si="549"/>
        <v>1</v>
      </c>
      <c r="GQ1102" s="101">
        <f t="shared" si="550"/>
        <v>29</v>
      </c>
    </row>
    <row r="1103" spans="175:199" ht="16.5" x14ac:dyDescent="0.2">
      <c r="FS1103" s="101">
        <v>1098</v>
      </c>
      <c r="FT1103" s="101">
        <f t="shared" si="535"/>
        <v>52</v>
      </c>
      <c r="FU1103" s="101">
        <f t="shared" si="551"/>
        <v>14</v>
      </c>
      <c r="FV1103" s="14">
        <f t="shared" si="552"/>
        <v>3</v>
      </c>
      <c r="FW1103" s="101" t="str">
        <f t="shared" si="536"/>
        <v>飞廉专属武器-魂珠-6 7级</v>
      </c>
      <c r="FX1103" s="101">
        <f t="shared" si="537"/>
        <v>6</v>
      </c>
      <c r="FY1103" s="101">
        <f t="shared" si="538"/>
        <v>7</v>
      </c>
      <c r="FZ1103" s="101" t="str">
        <f t="shared" si="553"/>
        <v>金币</v>
      </c>
      <c r="GA1103" s="139">
        <f>IF($FY1103&gt;0,IF(INDEX($EM$6:$EM$77,$FT1103)&gt;=GA$3,ROUND(INDEX(EO$6:EO$77,$FT1103)*INDEX(卡牌消耗!$B$8:$F$8,FV1103)/5,0)*5,""),"")</f>
        <v>5885</v>
      </c>
      <c r="GB1103" s="101" t="str">
        <f t="shared" si="554"/>
        <v>专属强化石3</v>
      </c>
      <c r="GC1103" s="101">
        <f t="shared" si="555"/>
        <v>25</v>
      </c>
      <c r="GD1103" s="101" t="str">
        <f t="shared" si="556"/>
        <v>专属强化石4</v>
      </c>
      <c r="GE1103" s="101">
        <f t="shared" si="557"/>
        <v>5</v>
      </c>
      <c r="GF1103" s="101">
        <f t="shared" si="539"/>
        <v>0.04</v>
      </c>
      <c r="GG1103" s="101">
        <f t="shared" si="540"/>
        <v>1</v>
      </c>
      <c r="GH1103" s="101">
        <f t="shared" si="541"/>
        <v>38</v>
      </c>
      <c r="GI1103" s="101">
        <f t="shared" si="542"/>
        <v>0</v>
      </c>
      <c r="GJ1103" s="101">
        <f t="shared" si="543"/>
        <v>1</v>
      </c>
      <c r="GK1103" s="101">
        <f t="shared" si="544"/>
        <v>9</v>
      </c>
      <c r="GL1103" s="101">
        <f t="shared" si="545"/>
        <v>1.9699999999999999E-2</v>
      </c>
      <c r="GM1103" s="101">
        <f t="shared" si="546"/>
        <v>1</v>
      </c>
      <c r="GN1103" s="101">
        <f t="shared" si="547"/>
        <v>18</v>
      </c>
      <c r="GO1103" s="101">
        <f t="shared" si="548"/>
        <v>7.8899999999999998E-2</v>
      </c>
      <c r="GP1103" s="101">
        <f t="shared" si="549"/>
        <v>1</v>
      </c>
      <c r="GQ1103" s="101">
        <f t="shared" si="550"/>
        <v>38</v>
      </c>
    </row>
    <row r="1104" spans="175:199" ht="16.5" x14ac:dyDescent="0.2">
      <c r="FS1104" s="101">
        <v>1099</v>
      </c>
      <c r="FT1104" s="101">
        <f t="shared" si="535"/>
        <v>53</v>
      </c>
      <c r="FU1104" s="101">
        <f t="shared" si="551"/>
        <v>14</v>
      </c>
      <c r="FV1104" s="14">
        <f t="shared" si="552"/>
        <v>3</v>
      </c>
      <c r="FW1104" s="101" t="str">
        <f t="shared" si="536"/>
        <v>飞廉专属武器-魂珠-6 8级</v>
      </c>
      <c r="FX1104" s="101">
        <f t="shared" si="537"/>
        <v>6</v>
      </c>
      <c r="FY1104" s="101">
        <f t="shared" si="538"/>
        <v>8</v>
      </c>
      <c r="FZ1104" s="101" t="str">
        <f t="shared" si="553"/>
        <v>金币</v>
      </c>
      <c r="GA1104" s="139">
        <f>IF($FY1104&gt;0,IF(INDEX($EM$6:$EM$77,$FT1104)&gt;=GA$3,ROUND(INDEX(EO$6:EO$77,$FT1104)*INDEX(卡牌消耗!$B$8:$F$8,FV1104)/5,0)*5,""),"")</f>
        <v>8235</v>
      </c>
      <c r="GB1104" s="101" t="str">
        <f t="shared" si="554"/>
        <v>专属强化石3</v>
      </c>
      <c r="GC1104" s="101">
        <f t="shared" si="555"/>
        <v>35</v>
      </c>
      <c r="GD1104" s="101" t="str">
        <f t="shared" si="556"/>
        <v>专属强化石4</v>
      </c>
      <c r="GE1104" s="101">
        <f t="shared" si="557"/>
        <v>7</v>
      </c>
      <c r="GF1104" s="101">
        <f t="shared" si="539"/>
        <v>0.03</v>
      </c>
      <c r="GG1104" s="101">
        <f t="shared" si="540"/>
        <v>1</v>
      </c>
      <c r="GH1104" s="101">
        <f t="shared" si="541"/>
        <v>44</v>
      </c>
      <c r="GI1104" s="101">
        <f t="shared" si="542"/>
        <v>0</v>
      </c>
      <c r="GJ1104" s="101">
        <f t="shared" si="543"/>
        <v>1</v>
      </c>
      <c r="GK1104" s="101">
        <f t="shared" si="544"/>
        <v>10</v>
      </c>
      <c r="GL1104" s="101">
        <f t="shared" si="545"/>
        <v>1.7100000000000001E-2</v>
      </c>
      <c r="GM1104" s="101">
        <f t="shared" si="546"/>
        <v>1</v>
      </c>
      <c r="GN1104" s="101">
        <f t="shared" si="547"/>
        <v>21</v>
      </c>
      <c r="GO1104" s="101">
        <f t="shared" si="548"/>
        <v>6.8199999999999997E-2</v>
      </c>
      <c r="GP1104" s="101">
        <f t="shared" si="549"/>
        <v>1</v>
      </c>
      <c r="GQ1104" s="101">
        <f t="shared" si="550"/>
        <v>44</v>
      </c>
    </row>
    <row r="1105" spans="175:199" ht="16.5" x14ac:dyDescent="0.2">
      <c r="FS1105" s="101">
        <v>1100</v>
      </c>
      <c r="FT1105" s="101">
        <f t="shared" si="535"/>
        <v>54</v>
      </c>
      <c r="FU1105" s="101">
        <f t="shared" si="551"/>
        <v>14</v>
      </c>
      <c r="FV1105" s="14">
        <f t="shared" si="552"/>
        <v>3</v>
      </c>
      <c r="FW1105" s="101" t="str">
        <f t="shared" si="536"/>
        <v>飞廉专属武器-魂珠-6 9级</v>
      </c>
      <c r="FX1105" s="101">
        <f t="shared" si="537"/>
        <v>6</v>
      </c>
      <c r="FY1105" s="101">
        <f t="shared" si="538"/>
        <v>9</v>
      </c>
      <c r="FZ1105" s="101" t="str">
        <f t="shared" si="553"/>
        <v>金币</v>
      </c>
      <c r="GA1105" s="139">
        <f>IF($FY1105&gt;0,IF(INDEX($EM$6:$EM$77,$FT1105)&gt;=GA$3,ROUND(INDEX(EO$6:EO$77,$FT1105)*INDEX(卡牌消耗!$B$8:$F$8,FV1105)/5,0)*5,""),"")</f>
        <v>9410</v>
      </c>
      <c r="GB1105" s="101" t="str">
        <f t="shared" si="554"/>
        <v>专属强化石3</v>
      </c>
      <c r="GC1105" s="101">
        <f t="shared" si="555"/>
        <v>40</v>
      </c>
      <c r="GD1105" s="101" t="str">
        <f t="shared" si="556"/>
        <v>专属强化石4</v>
      </c>
      <c r="GE1105" s="101">
        <f t="shared" si="557"/>
        <v>8</v>
      </c>
      <c r="GF1105" s="101">
        <f t="shared" si="539"/>
        <v>0.02</v>
      </c>
      <c r="GG1105" s="101">
        <f t="shared" si="540"/>
        <v>1</v>
      </c>
      <c r="GH1105" s="101">
        <f t="shared" si="541"/>
        <v>62</v>
      </c>
      <c r="GI1105" s="101">
        <f t="shared" si="542"/>
        <v>0</v>
      </c>
      <c r="GJ1105" s="101">
        <f t="shared" si="543"/>
        <v>1</v>
      </c>
      <c r="GK1105" s="101">
        <f t="shared" si="544"/>
        <v>15</v>
      </c>
      <c r="GL1105" s="101">
        <f t="shared" si="545"/>
        <v>1.21E-2</v>
      </c>
      <c r="GM1105" s="101">
        <f t="shared" si="546"/>
        <v>1</v>
      </c>
      <c r="GN1105" s="101">
        <f t="shared" si="547"/>
        <v>29</v>
      </c>
      <c r="GO1105" s="101">
        <f t="shared" si="548"/>
        <v>4.82E-2</v>
      </c>
      <c r="GP1105" s="101">
        <f t="shared" si="549"/>
        <v>1</v>
      </c>
      <c r="GQ1105" s="101">
        <f t="shared" si="550"/>
        <v>62</v>
      </c>
    </row>
    <row r="1106" spans="175:199" ht="16.5" x14ac:dyDescent="0.2">
      <c r="FS1106" s="101">
        <v>1101</v>
      </c>
      <c r="FT1106" s="101">
        <f t="shared" si="535"/>
        <v>0</v>
      </c>
      <c r="FU1106" s="101">
        <f t="shared" si="551"/>
        <v>14</v>
      </c>
      <c r="FV1106" s="14">
        <f t="shared" si="552"/>
        <v>3</v>
      </c>
      <c r="FW1106" s="101" t="str">
        <f t="shared" si="536"/>
        <v>飞廉专属武器-魂珠-7 0级</v>
      </c>
      <c r="FX1106" s="101">
        <f t="shared" si="537"/>
        <v>7</v>
      </c>
      <c r="FY1106" s="101">
        <f t="shared" si="538"/>
        <v>0</v>
      </c>
      <c r="FZ1106" s="101" t="str">
        <f t="shared" si="553"/>
        <v/>
      </c>
      <c r="GA1106" s="139" t="str">
        <f>IF($FY1106&gt;0,IF(INDEX($EM$6:$EM$77,$FT1106)&gt;=GA$3,ROUND(INDEX(EO$6:EO$77,$FT1106)*INDEX(卡牌消耗!$B$8:$F$8,FV1106)/5,0)*5,""),"")</f>
        <v/>
      </c>
      <c r="GB1106" s="101" t="str">
        <f t="shared" si="554"/>
        <v/>
      </c>
      <c r="GC1106" s="101" t="str">
        <f t="shared" si="555"/>
        <v/>
      </c>
      <c r="GD1106" s="101" t="str">
        <f t="shared" si="556"/>
        <v/>
      </c>
      <c r="GE1106" s="101" t="str">
        <f t="shared" si="557"/>
        <v/>
      </c>
      <c r="GF1106" s="101" t="str">
        <f t="shared" si="539"/>
        <v/>
      </c>
      <c r="GG1106" s="101" t="str">
        <f t="shared" si="540"/>
        <v/>
      </c>
      <c r="GH1106" s="101" t="str">
        <f t="shared" si="541"/>
        <v/>
      </c>
      <c r="GI1106" s="101" t="str">
        <f t="shared" si="542"/>
        <v/>
      </c>
      <c r="GJ1106" s="101" t="str">
        <f t="shared" si="543"/>
        <v/>
      </c>
      <c r="GK1106" s="101" t="str">
        <f t="shared" si="544"/>
        <v/>
      </c>
      <c r="GL1106" s="101" t="str">
        <f t="shared" si="545"/>
        <v/>
      </c>
      <c r="GM1106" s="101" t="str">
        <f t="shared" si="546"/>
        <v/>
      </c>
      <c r="GN1106" s="101" t="str">
        <f t="shared" si="547"/>
        <v/>
      </c>
      <c r="GO1106" s="101" t="str">
        <f t="shared" si="548"/>
        <v/>
      </c>
      <c r="GP1106" s="101" t="str">
        <f t="shared" si="549"/>
        <v/>
      </c>
      <c r="GQ1106" s="101" t="str">
        <f t="shared" si="550"/>
        <v/>
      </c>
    </row>
    <row r="1107" spans="175:199" ht="16.5" x14ac:dyDescent="0.2">
      <c r="FS1107" s="101">
        <v>1102</v>
      </c>
      <c r="FT1107" s="101">
        <f t="shared" si="535"/>
        <v>55</v>
      </c>
      <c r="FU1107" s="101">
        <f t="shared" si="551"/>
        <v>14</v>
      </c>
      <c r="FV1107" s="14">
        <f t="shared" si="552"/>
        <v>3</v>
      </c>
      <c r="FW1107" s="101" t="str">
        <f t="shared" si="536"/>
        <v>飞廉专属武器-魂珠-7 1级</v>
      </c>
      <c r="FX1107" s="101">
        <f t="shared" si="537"/>
        <v>7</v>
      </c>
      <c r="FY1107" s="101">
        <f t="shared" si="538"/>
        <v>1</v>
      </c>
      <c r="FZ1107" s="101" t="str">
        <f t="shared" si="553"/>
        <v>金币</v>
      </c>
      <c r="GA1107" s="139">
        <f>IF($FY1107&gt;0,IF(INDEX($EM$6:$EM$77,$FT1107)&gt;=GA$3,ROUND(INDEX(EO$6:EO$77,$FT1107)*INDEX(卡牌消耗!$B$8:$F$8,FV1107)/5,0)*5,""),"")</f>
        <v>5075</v>
      </c>
      <c r="GB1107" s="101" t="str">
        <f t="shared" si="554"/>
        <v>专属强化石3</v>
      </c>
      <c r="GC1107" s="101">
        <f t="shared" si="555"/>
        <v>6</v>
      </c>
      <c r="GD1107" s="101" t="str">
        <f t="shared" si="556"/>
        <v>专属强化石4</v>
      </c>
      <c r="GE1107" s="101">
        <f t="shared" si="557"/>
        <v>2</v>
      </c>
      <c r="GF1107" s="101">
        <f t="shared" si="539"/>
        <v>0.2</v>
      </c>
      <c r="GG1107" s="101">
        <f t="shared" si="540"/>
        <v>1</v>
      </c>
      <c r="GH1107" s="101">
        <f t="shared" si="541"/>
        <v>8</v>
      </c>
      <c r="GI1107" s="101">
        <f t="shared" si="542"/>
        <v>0</v>
      </c>
      <c r="GJ1107" s="101">
        <f t="shared" si="543"/>
        <v>1</v>
      </c>
      <c r="GK1107" s="101">
        <f t="shared" si="544"/>
        <v>2</v>
      </c>
      <c r="GL1107" s="101">
        <f t="shared" si="545"/>
        <v>9.9400000000000002E-2</v>
      </c>
      <c r="GM1107" s="101">
        <f t="shared" si="546"/>
        <v>1</v>
      </c>
      <c r="GN1107" s="101">
        <f t="shared" si="547"/>
        <v>4</v>
      </c>
      <c r="GO1107" s="101">
        <f t="shared" si="548"/>
        <v>0.3977</v>
      </c>
      <c r="GP1107" s="101">
        <f t="shared" si="549"/>
        <v>1</v>
      </c>
      <c r="GQ1107" s="101">
        <f t="shared" si="550"/>
        <v>8</v>
      </c>
    </row>
    <row r="1108" spans="175:199" ht="16.5" x14ac:dyDescent="0.2">
      <c r="FS1108" s="101">
        <v>1103</v>
      </c>
      <c r="FT1108" s="101">
        <f t="shared" si="535"/>
        <v>56</v>
      </c>
      <c r="FU1108" s="101">
        <f t="shared" si="551"/>
        <v>14</v>
      </c>
      <c r="FV1108" s="14">
        <f t="shared" si="552"/>
        <v>3</v>
      </c>
      <c r="FW1108" s="101" t="str">
        <f t="shared" si="536"/>
        <v>飞廉专属武器-魂珠-7 2级</v>
      </c>
      <c r="FX1108" s="101">
        <f t="shared" si="537"/>
        <v>7</v>
      </c>
      <c r="FY1108" s="101">
        <f t="shared" si="538"/>
        <v>2</v>
      </c>
      <c r="FZ1108" s="101" t="str">
        <f t="shared" si="553"/>
        <v>金币</v>
      </c>
      <c r="GA1108" s="139">
        <f>IF($FY1108&gt;0,IF(INDEX($EM$6:$EM$77,$FT1108)&gt;=GA$3,ROUND(INDEX(EO$6:EO$77,$FT1108)*INDEX(卡牌消耗!$B$8:$F$8,FV1108)/5,0)*5,""),"")</f>
        <v>3810</v>
      </c>
      <c r="GB1108" s="101" t="str">
        <f t="shared" si="554"/>
        <v>专属强化石3</v>
      </c>
      <c r="GC1108" s="101">
        <f t="shared" si="555"/>
        <v>6</v>
      </c>
      <c r="GD1108" s="101" t="str">
        <f t="shared" si="556"/>
        <v>专属强化石4</v>
      </c>
      <c r="GE1108" s="101">
        <f t="shared" si="557"/>
        <v>2</v>
      </c>
      <c r="GF1108" s="101">
        <f t="shared" si="539"/>
        <v>0.1</v>
      </c>
      <c r="GG1108" s="101">
        <f t="shared" si="540"/>
        <v>1</v>
      </c>
      <c r="GH1108" s="101">
        <f t="shared" si="541"/>
        <v>15</v>
      </c>
      <c r="GI1108" s="101">
        <f t="shared" si="542"/>
        <v>0</v>
      </c>
      <c r="GJ1108" s="101">
        <f t="shared" si="543"/>
        <v>1</v>
      </c>
      <c r="GK1108" s="101">
        <f t="shared" si="544"/>
        <v>4</v>
      </c>
      <c r="GL1108" s="101">
        <f t="shared" si="545"/>
        <v>4.9700000000000001E-2</v>
      </c>
      <c r="GM1108" s="101">
        <f t="shared" si="546"/>
        <v>1</v>
      </c>
      <c r="GN1108" s="101">
        <f t="shared" si="547"/>
        <v>7</v>
      </c>
      <c r="GO1108" s="101">
        <f t="shared" si="548"/>
        <v>0.19889999999999999</v>
      </c>
      <c r="GP1108" s="101">
        <f t="shared" si="549"/>
        <v>1</v>
      </c>
      <c r="GQ1108" s="101">
        <f t="shared" si="550"/>
        <v>15</v>
      </c>
    </row>
    <row r="1109" spans="175:199" ht="16.5" x14ac:dyDescent="0.2">
      <c r="FS1109" s="101">
        <v>1104</v>
      </c>
      <c r="FT1109" s="101">
        <f t="shared" si="535"/>
        <v>57</v>
      </c>
      <c r="FU1109" s="101">
        <f t="shared" si="551"/>
        <v>14</v>
      </c>
      <c r="FV1109" s="14">
        <f t="shared" si="552"/>
        <v>3</v>
      </c>
      <c r="FW1109" s="101" t="str">
        <f t="shared" si="536"/>
        <v>飞廉专属武器-魂珠-7 3级</v>
      </c>
      <c r="FX1109" s="101">
        <f t="shared" si="537"/>
        <v>7</v>
      </c>
      <c r="FY1109" s="101">
        <f t="shared" si="538"/>
        <v>3</v>
      </c>
      <c r="FZ1109" s="101" t="str">
        <f t="shared" si="553"/>
        <v>金币</v>
      </c>
      <c r="GA1109" s="139">
        <f>IF($FY1109&gt;0,IF(INDEX($EM$6:$EM$77,$FT1109)&gt;=GA$3,ROUND(INDEX(EO$6:EO$77,$FT1109)*INDEX(卡牌消耗!$B$8:$F$8,FV1109)/5,0)*5,""),"")</f>
        <v>6345</v>
      </c>
      <c r="GB1109" s="101" t="str">
        <f t="shared" si="554"/>
        <v>专属强化石3</v>
      </c>
      <c r="GC1109" s="101">
        <f t="shared" si="555"/>
        <v>9</v>
      </c>
      <c r="GD1109" s="101" t="str">
        <f t="shared" si="556"/>
        <v>专属强化石4</v>
      </c>
      <c r="GE1109" s="101">
        <f t="shared" si="557"/>
        <v>3</v>
      </c>
      <c r="GF1109" s="101">
        <f t="shared" si="539"/>
        <v>0.1</v>
      </c>
      <c r="GG1109" s="101">
        <f t="shared" si="540"/>
        <v>1</v>
      </c>
      <c r="GH1109" s="101">
        <f t="shared" si="541"/>
        <v>15</v>
      </c>
      <c r="GI1109" s="101">
        <f t="shared" si="542"/>
        <v>0</v>
      </c>
      <c r="GJ1109" s="101">
        <f t="shared" si="543"/>
        <v>1</v>
      </c>
      <c r="GK1109" s="101">
        <f t="shared" si="544"/>
        <v>4</v>
      </c>
      <c r="GL1109" s="101">
        <f t="shared" si="545"/>
        <v>4.9700000000000001E-2</v>
      </c>
      <c r="GM1109" s="101">
        <f t="shared" si="546"/>
        <v>1</v>
      </c>
      <c r="GN1109" s="101">
        <f t="shared" si="547"/>
        <v>7</v>
      </c>
      <c r="GO1109" s="101">
        <f t="shared" si="548"/>
        <v>0.19889999999999999</v>
      </c>
      <c r="GP1109" s="101">
        <f t="shared" si="549"/>
        <v>1</v>
      </c>
      <c r="GQ1109" s="101">
        <f t="shared" si="550"/>
        <v>15</v>
      </c>
    </row>
    <row r="1110" spans="175:199" ht="16.5" x14ac:dyDescent="0.2">
      <c r="FS1110" s="101">
        <v>1105</v>
      </c>
      <c r="FT1110" s="101">
        <f t="shared" ref="FT1110:FT1173" si="558">IF(FY1110&gt;0,(FX1110-1)*9+FY1110,0)</f>
        <v>58</v>
      </c>
      <c r="FU1110" s="101">
        <f t="shared" si="551"/>
        <v>14</v>
      </c>
      <c r="FV1110" s="14">
        <f t="shared" si="552"/>
        <v>3</v>
      </c>
      <c r="FW1110" s="101" t="str">
        <f t="shared" ref="FW1110:FW1173" si="559">INDEX($FN$6:$FN$26,FU1110)&amp;"专属武器-魂珠-"&amp;FX1110&amp;" "&amp;FY1110&amp;"级"</f>
        <v>飞廉专属武器-魂珠-7 4级</v>
      </c>
      <c r="FX1110" s="101">
        <f t="shared" ref="FX1110:FX1173" si="560">INT((FS1110-(FU1110-1)*80-1)/10)+1</f>
        <v>7</v>
      </c>
      <c r="FY1110" s="101">
        <f t="shared" ref="FY1110:FY1173" si="561">FS1110-(FU1110-1)*80-(FX1110-1)*10-1</f>
        <v>4</v>
      </c>
      <c r="FZ1110" s="101" t="str">
        <f t="shared" si="553"/>
        <v>金币</v>
      </c>
      <c r="GA1110" s="139">
        <f>IF($FY1110&gt;0,IF(INDEX($EM$6:$EM$77,$FT1110)&gt;=GA$3,ROUND(INDEX(EO$6:EO$77,$FT1110)*INDEX(卡牌消耗!$B$8:$F$8,FV1110)/5,0)*5,""),"")</f>
        <v>8125</v>
      </c>
      <c r="GB1110" s="101" t="str">
        <f t="shared" si="554"/>
        <v>专属强化石3</v>
      </c>
      <c r="GC1110" s="101">
        <f t="shared" si="555"/>
        <v>12</v>
      </c>
      <c r="GD1110" s="101" t="str">
        <f t="shared" si="556"/>
        <v>专属强化石4</v>
      </c>
      <c r="GE1110" s="101">
        <f t="shared" si="557"/>
        <v>4</v>
      </c>
      <c r="GF1110" s="101">
        <f t="shared" ref="GF1110:GF1173" si="562">IF($FY1110&gt;0,INDEX(ET$6:ET$77,$FT1110),"")</f>
        <v>0.08</v>
      </c>
      <c r="GG1110" s="101">
        <f t="shared" ref="GG1110:GG1173" si="563">IF($FY1110&gt;0,INDEX(EU$6:EU$77,$FT1110),"")</f>
        <v>1</v>
      </c>
      <c r="GH1110" s="101">
        <f t="shared" ref="GH1110:GH1173" si="564">IF($FY1110&gt;0,INDEX(EV$6:EV$77,$FT1110),"")</f>
        <v>19</v>
      </c>
      <c r="GI1110" s="101">
        <f t="shared" ref="GI1110:GI1173" si="565">IF($FY1110&gt;0,INDEX(FA$6:FA$77,$FT1110),"")</f>
        <v>0</v>
      </c>
      <c r="GJ1110" s="101">
        <f t="shared" ref="GJ1110:GJ1173" si="566">IF($FY1110&gt;0,INDEX(FB$6:FB$77,$FT1110),"")</f>
        <v>1</v>
      </c>
      <c r="GK1110" s="101">
        <f t="shared" ref="GK1110:GK1173" si="567">IF($FY1110&gt;0,INDEX(FC$6:FC$77,$FT1110),"")</f>
        <v>4</v>
      </c>
      <c r="GL1110" s="101">
        <f t="shared" ref="GL1110:GL1173" si="568">IF($FY1110&gt;0,INDEX(FD$6:FD$77,$FT1110),"")</f>
        <v>3.9800000000000002E-2</v>
      </c>
      <c r="GM1110" s="101">
        <f t="shared" ref="GM1110:GM1173" si="569">IF($FY1110&gt;0,INDEX(FE$6:FE$77,$FT1110),"")</f>
        <v>1</v>
      </c>
      <c r="GN1110" s="101">
        <f t="shared" ref="GN1110:GN1173" si="570">IF($FY1110&gt;0,INDEX(FF$6:FF$77,$FT1110),"")</f>
        <v>9</v>
      </c>
      <c r="GO1110" s="101">
        <f t="shared" ref="GO1110:GO1173" si="571">IF($FY1110&gt;0,INDEX(FG$6:FG$77,$FT1110),"")</f>
        <v>0.15909999999999999</v>
      </c>
      <c r="GP1110" s="101">
        <f t="shared" ref="GP1110:GP1173" si="572">IF($FY1110&gt;0,INDEX(FH$6:FH$77,$FT1110),"")</f>
        <v>1</v>
      </c>
      <c r="GQ1110" s="101">
        <f t="shared" ref="GQ1110:GQ1173" si="573">IF($FY1110&gt;0,INDEX(FI$6:FI$77,$FT1110),"")</f>
        <v>19</v>
      </c>
    </row>
    <row r="1111" spans="175:199" ht="16.5" x14ac:dyDescent="0.2">
      <c r="FS1111" s="101">
        <v>1106</v>
      </c>
      <c r="FT1111" s="101">
        <f t="shared" si="558"/>
        <v>59</v>
      </c>
      <c r="FU1111" s="101">
        <f t="shared" si="551"/>
        <v>14</v>
      </c>
      <c r="FV1111" s="14">
        <f t="shared" si="552"/>
        <v>3</v>
      </c>
      <c r="FW1111" s="101" t="str">
        <f t="shared" si="559"/>
        <v>飞廉专属武器-魂珠-7 5级</v>
      </c>
      <c r="FX1111" s="101">
        <f t="shared" si="560"/>
        <v>7</v>
      </c>
      <c r="FY1111" s="101">
        <f t="shared" si="561"/>
        <v>5</v>
      </c>
      <c r="FZ1111" s="101" t="str">
        <f t="shared" si="553"/>
        <v>金币</v>
      </c>
      <c r="GA1111" s="139">
        <f>IF($FY1111&gt;0,IF(INDEX($EM$6:$EM$77,$FT1111)&gt;=GA$3,ROUND(INDEX(EO$6:EO$77,$FT1111)*INDEX(卡牌消耗!$B$8:$F$8,FV1111)/5,0)*5,""),"")</f>
        <v>8250</v>
      </c>
      <c r="GB1111" s="101" t="str">
        <f t="shared" si="554"/>
        <v>专属强化石3</v>
      </c>
      <c r="GC1111" s="101">
        <f t="shared" si="555"/>
        <v>12</v>
      </c>
      <c r="GD1111" s="101" t="str">
        <f t="shared" si="556"/>
        <v>专属强化石4</v>
      </c>
      <c r="GE1111" s="101">
        <f t="shared" si="557"/>
        <v>4</v>
      </c>
      <c r="GF1111" s="101">
        <f t="shared" si="562"/>
        <v>0.05</v>
      </c>
      <c r="GG1111" s="101">
        <f t="shared" si="563"/>
        <v>1</v>
      </c>
      <c r="GH1111" s="101">
        <f t="shared" si="564"/>
        <v>30</v>
      </c>
      <c r="GI1111" s="101">
        <f t="shared" si="565"/>
        <v>0</v>
      </c>
      <c r="GJ1111" s="101">
        <f t="shared" si="566"/>
        <v>1</v>
      </c>
      <c r="GK1111" s="101">
        <f t="shared" si="567"/>
        <v>7</v>
      </c>
      <c r="GL1111" s="101">
        <f t="shared" si="568"/>
        <v>2.4899999999999999E-2</v>
      </c>
      <c r="GM1111" s="101">
        <f t="shared" si="569"/>
        <v>1</v>
      </c>
      <c r="GN1111" s="101">
        <f t="shared" si="570"/>
        <v>14</v>
      </c>
      <c r="GO1111" s="101">
        <f t="shared" si="571"/>
        <v>9.9400000000000002E-2</v>
      </c>
      <c r="GP1111" s="101">
        <f t="shared" si="572"/>
        <v>1</v>
      </c>
      <c r="GQ1111" s="101">
        <f t="shared" si="573"/>
        <v>30</v>
      </c>
    </row>
    <row r="1112" spans="175:199" ht="16.5" x14ac:dyDescent="0.2">
      <c r="FS1112" s="101">
        <v>1107</v>
      </c>
      <c r="FT1112" s="101">
        <f t="shared" si="558"/>
        <v>60</v>
      </c>
      <c r="FU1112" s="101">
        <f t="shared" si="551"/>
        <v>14</v>
      </c>
      <c r="FV1112" s="14">
        <f t="shared" si="552"/>
        <v>3</v>
      </c>
      <c r="FW1112" s="101" t="str">
        <f t="shared" si="559"/>
        <v>飞廉专属武器-魂珠-7 6级</v>
      </c>
      <c r="FX1112" s="101">
        <f t="shared" si="560"/>
        <v>7</v>
      </c>
      <c r="FY1112" s="101">
        <f t="shared" si="561"/>
        <v>6</v>
      </c>
      <c r="FZ1112" s="101" t="str">
        <f t="shared" si="553"/>
        <v>金币</v>
      </c>
      <c r="GA1112" s="139">
        <f>IF($FY1112&gt;0,IF(INDEX($EM$6:$EM$77,$FT1112)&gt;=GA$3,ROUND(INDEX(EO$6:EO$77,$FT1112)*INDEX(卡牌消耗!$B$8:$F$8,FV1112)/5,0)*5,""),"")</f>
        <v>10250</v>
      </c>
      <c r="GB1112" s="101" t="str">
        <f t="shared" si="554"/>
        <v>专属强化石3</v>
      </c>
      <c r="GC1112" s="101">
        <f t="shared" si="555"/>
        <v>15</v>
      </c>
      <c r="GD1112" s="101" t="str">
        <f t="shared" si="556"/>
        <v>专属强化石4</v>
      </c>
      <c r="GE1112" s="101">
        <f t="shared" si="557"/>
        <v>5</v>
      </c>
      <c r="GF1112" s="101">
        <f t="shared" si="562"/>
        <v>0.04</v>
      </c>
      <c r="GG1112" s="101">
        <f t="shared" si="563"/>
        <v>1</v>
      </c>
      <c r="GH1112" s="101">
        <f t="shared" si="564"/>
        <v>39</v>
      </c>
      <c r="GI1112" s="101">
        <f t="shared" si="565"/>
        <v>0</v>
      </c>
      <c r="GJ1112" s="101">
        <f t="shared" si="566"/>
        <v>1</v>
      </c>
      <c r="GK1112" s="101">
        <f t="shared" si="567"/>
        <v>9</v>
      </c>
      <c r="GL1112" s="101">
        <f t="shared" si="568"/>
        <v>1.9099999999999999E-2</v>
      </c>
      <c r="GM1112" s="101">
        <f t="shared" si="569"/>
        <v>1</v>
      </c>
      <c r="GN1112" s="101">
        <f t="shared" si="570"/>
        <v>18</v>
      </c>
      <c r="GO1112" s="101">
        <f t="shared" si="571"/>
        <v>7.6499999999999999E-2</v>
      </c>
      <c r="GP1112" s="101">
        <f t="shared" si="572"/>
        <v>1</v>
      </c>
      <c r="GQ1112" s="101">
        <f t="shared" si="573"/>
        <v>39</v>
      </c>
    </row>
    <row r="1113" spans="175:199" ht="16.5" x14ac:dyDescent="0.2">
      <c r="FS1113" s="101">
        <v>1108</v>
      </c>
      <c r="FT1113" s="101">
        <f t="shared" si="558"/>
        <v>61</v>
      </c>
      <c r="FU1113" s="101">
        <f t="shared" si="551"/>
        <v>14</v>
      </c>
      <c r="FV1113" s="14">
        <f t="shared" si="552"/>
        <v>3</v>
      </c>
      <c r="FW1113" s="101" t="str">
        <f t="shared" si="559"/>
        <v>飞廉专属武器-魂珠-7 7级</v>
      </c>
      <c r="FX1113" s="101">
        <f t="shared" si="560"/>
        <v>7</v>
      </c>
      <c r="FY1113" s="101">
        <f t="shared" si="561"/>
        <v>7</v>
      </c>
      <c r="FZ1113" s="101" t="str">
        <f t="shared" si="553"/>
        <v>金币</v>
      </c>
      <c r="GA1113" s="139">
        <f>IF($FY1113&gt;0,IF(INDEX($EM$6:$EM$77,$FT1113)&gt;=GA$3,ROUND(INDEX(EO$6:EO$77,$FT1113)*INDEX(卡牌消耗!$B$8:$F$8,FV1113)/5,0)*5,""),"")</f>
        <v>14385</v>
      </c>
      <c r="GB1113" s="101" t="str">
        <f t="shared" si="554"/>
        <v>专属强化石3</v>
      </c>
      <c r="GC1113" s="101">
        <f t="shared" si="555"/>
        <v>21</v>
      </c>
      <c r="GD1113" s="101" t="str">
        <f t="shared" si="556"/>
        <v>专属强化石4</v>
      </c>
      <c r="GE1113" s="101">
        <f t="shared" si="557"/>
        <v>7</v>
      </c>
      <c r="GF1113" s="101">
        <f t="shared" si="562"/>
        <v>0.03</v>
      </c>
      <c r="GG1113" s="101">
        <f t="shared" si="563"/>
        <v>1</v>
      </c>
      <c r="GH1113" s="101">
        <f t="shared" si="564"/>
        <v>45</v>
      </c>
      <c r="GI1113" s="101">
        <f t="shared" si="565"/>
        <v>0</v>
      </c>
      <c r="GJ1113" s="101">
        <f t="shared" si="566"/>
        <v>1</v>
      </c>
      <c r="GK1113" s="101">
        <f t="shared" si="567"/>
        <v>11</v>
      </c>
      <c r="GL1113" s="101">
        <f t="shared" si="568"/>
        <v>1.66E-2</v>
      </c>
      <c r="GM1113" s="101">
        <f t="shared" si="569"/>
        <v>1</v>
      </c>
      <c r="GN1113" s="101">
        <f t="shared" si="570"/>
        <v>21</v>
      </c>
      <c r="GO1113" s="101">
        <f t="shared" si="571"/>
        <v>6.6299999999999998E-2</v>
      </c>
      <c r="GP1113" s="101">
        <f t="shared" si="572"/>
        <v>1</v>
      </c>
      <c r="GQ1113" s="101">
        <f t="shared" si="573"/>
        <v>45</v>
      </c>
    </row>
    <row r="1114" spans="175:199" ht="16.5" x14ac:dyDescent="0.2">
      <c r="FS1114" s="101">
        <v>1109</v>
      </c>
      <c r="FT1114" s="101">
        <f t="shared" si="558"/>
        <v>62</v>
      </c>
      <c r="FU1114" s="101">
        <f t="shared" si="551"/>
        <v>14</v>
      </c>
      <c r="FV1114" s="14">
        <f t="shared" si="552"/>
        <v>3</v>
      </c>
      <c r="FW1114" s="101" t="str">
        <f t="shared" si="559"/>
        <v>飞廉专属武器-魂珠-7 8级</v>
      </c>
      <c r="FX1114" s="101">
        <f t="shared" si="560"/>
        <v>7</v>
      </c>
      <c r="FY1114" s="101">
        <f t="shared" si="561"/>
        <v>8</v>
      </c>
      <c r="FZ1114" s="101" t="str">
        <f t="shared" si="553"/>
        <v>金币</v>
      </c>
      <c r="GA1114" s="139">
        <f>IF($FY1114&gt;0,IF(INDEX($EM$6:$EM$77,$FT1114)&gt;=GA$3,ROUND(INDEX(EO$6:EO$77,$FT1114)*INDEX(卡牌消耗!$B$8:$F$8,FV1114)/5,0)*5,""),"")</f>
        <v>16425</v>
      </c>
      <c r="GB1114" s="101" t="str">
        <f t="shared" si="554"/>
        <v>专属强化石3</v>
      </c>
      <c r="GC1114" s="101">
        <f t="shared" si="555"/>
        <v>24</v>
      </c>
      <c r="GD1114" s="101" t="str">
        <f t="shared" si="556"/>
        <v>专属强化石4</v>
      </c>
      <c r="GE1114" s="101">
        <f t="shared" si="557"/>
        <v>8</v>
      </c>
      <c r="GF1114" s="101">
        <f t="shared" si="562"/>
        <v>0.02</v>
      </c>
      <c r="GG1114" s="101">
        <f t="shared" si="563"/>
        <v>1</v>
      </c>
      <c r="GH1114" s="101">
        <f t="shared" si="564"/>
        <v>64</v>
      </c>
      <c r="GI1114" s="101">
        <f t="shared" si="565"/>
        <v>0</v>
      </c>
      <c r="GJ1114" s="101">
        <f t="shared" si="566"/>
        <v>1</v>
      </c>
      <c r="GK1114" s="101">
        <f t="shared" si="567"/>
        <v>15</v>
      </c>
      <c r="GL1114" s="101">
        <f t="shared" si="568"/>
        <v>1.17E-2</v>
      </c>
      <c r="GM1114" s="101">
        <f t="shared" si="569"/>
        <v>1</v>
      </c>
      <c r="GN1114" s="101">
        <f t="shared" si="570"/>
        <v>30</v>
      </c>
      <c r="GO1114" s="101">
        <f t="shared" si="571"/>
        <v>4.6800000000000001E-2</v>
      </c>
      <c r="GP1114" s="101">
        <f t="shared" si="572"/>
        <v>1</v>
      </c>
      <c r="GQ1114" s="101">
        <f t="shared" si="573"/>
        <v>64</v>
      </c>
    </row>
    <row r="1115" spans="175:199" ht="16.5" x14ac:dyDescent="0.2">
      <c r="FS1115" s="101">
        <v>1110</v>
      </c>
      <c r="FT1115" s="101">
        <f t="shared" si="558"/>
        <v>63</v>
      </c>
      <c r="FU1115" s="101">
        <f t="shared" si="551"/>
        <v>14</v>
      </c>
      <c r="FV1115" s="14">
        <f t="shared" si="552"/>
        <v>3</v>
      </c>
      <c r="FW1115" s="101" t="str">
        <f t="shared" si="559"/>
        <v>飞廉专属武器-魂珠-7 9级</v>
      </c>
      <c r="FX1115" s="101">
        <f t="shared" si="560"/>
        <v>7</v>
      </c>
      <c r="FY1115" s="101">
        <f t="shared" si="561"/>
        <v>9</v>
      </c>
      <c r="FZ1115" s="101" t="str">
        <f t="shared" si="553"/>
        <v>金币</v>
      </c>
      <c r="GA1115" s="139">
        <f>IF($FY1115&gt;0,IF(INDEX($EM$6:$EM$77,$FT1115)&gt;=GA$3,ROUND(INDEX(EO$6:EO$77,$FT1115)*INDEX(卡牌消耗!$B$8:$F$8,FV1115)/5,0)*5,""),"")</f>
        <v>20540</v>
      </c>
      <c r="GB1115" s="101" t="str">
        <f t="shared" si="554"/>
        <v>专属强化石3</v>
      </c>
      <c r="GC1115" s="101">
        <f t="shared" si="555"/>
        <v>30</v>
      </c>
      <c r="GD1115" s="101" t="str">
        <f t="shared" si="556"/>
        <v>专属强化石4</v>
      </c>
      <c r="GE1115" s="101">
        <f t="shared" si="557"/>
        <v>10</v>
      </c>
      <c r="GF1115" s="101">
        <f t="shared" si="562"/>
        <v>0.02</v>
      </c>
      <c r="GG1115" s="101">
        <f t="shared" si="563"/>
        <v>1</v>
      </c>
      <c r="GH1115" s="101">
        <f t="shared" si="564"/>
        <v>83</v>
      </c>
      <c r="GI1115" s="101">
        <f t="shared" si="565"/>
        <v>0</v>
      </c>
      <c r="GJ1115" s="101">
        <f t="shared" si="566"/>
        <v>1</v>
      </c>
      <c r="GK1115" s="101">
        <f t="shared" si="567"/>
        <v>19</v>
      </c>
      <c r="GL1115" s="101">
        <f t="shared" si="568"/>
        <v>8.9999999999999993E-3</v>
      </c>
      <c r="GM1115" s="101">
        <f t="shared" si="569"/>
        <v>1</v>
      </c>
      <c r="GN1115" s="101">
        <f t="shared" si="570"/>
        <v>39</v>
      </c>
      <c r="GO1115" s="101">
        <f t="shared" si="571"/>
        <v>3.6200000000000003E-2</v>
      </c>
      <c r="GP1115" s="101">
        <f t="shared" si="572"/>
        <v>1</v>
      </c>
      <c r="GQ1115" s="101">
        <f t="shared" si="573"/>
        <v>83</v>
      </c>
    </row>
    <row r="1116" spans="175:199" ht="16.5" x14ac:dyDescent="0.2">
      <c r="FS1116" s="101">
        <v>1111</v>
      </c>
      <c r="FT1116" s="101">
        <f t="shared" si="558"/>
        <v>0</v>
      </c>
      <c r="FU1116" s="101">
        <f t="shared" si="551"/>
        <v>14</v>
      </c>
      <c r="FV1116" s="14">
        <f t="shared" si="552"/>
        <v>3</v>
      </c>
      <c r="FW1116" s="101" t="str">
        <f t="shared" si="559"/>
        <v>飞廉专属武器-魂珠-8 0级</v>
      </c>
      <c r="FX1116" s="101">
        <f t="shared" si="560"/>
        <v>8</v>
      </c>
      <c r="FY1116" s="101">
        <f t="shared" si="561"/>
        <v>0</v>
      </c>
      <c r="FZ1116" s="101" t="str">
        <f t="shared" si="553"/>
        <v/>
      </c>
      <c r="GA1116" s="139" t="str">
        <f>IF($FY1116&gt;0,IF(INDEX($EM$6:$EM$77,$FT1116)&gt;=GA$3,ROUND(INDEX(EO$6:EO$77,$FT1116)*INDEX(卡牌消耗!$B$8:$F$8,FV1116)/5,0)*5,""),"")</f>
        <v/>
      </c>
      <c r="GB1116" s="101" t="str">
        <f t="shared" si="554"/>
        <v/>
      </c>
      <c r="GC1116" s="101" t="str">
        <f t="shared" si="555"/>
        <v/>
      </c>
      <c r="GD1116" s="101" t="str">
        <f t="shared" si="556"/>
        <v/>
      </c>
      <c r="GE1116" s="101" t="str">
        <f t="shared" si="557"/>
        <v/>
      </c>
      <c r="GF1116" s="101" t="str">
        <f t="shared" si="562"/>
        <v/>
      </c>
      <c r="GG1116" s="101" t="str">
        <f t="shared" si="563"/>
        <v/>
      </c>
      <c r="GH1116" s="101" t="str">
        <f t="shared" si="564"/>
        <v/>
      </c>
      <c r="GI1116" s="101" t="str">
        <f t="shared" si="565"/>
        <v/>
      </c>
      <c r="GJ1116" s="101" t="str">
        <f t="shared" si="566"/>
        <v/>
      </c>
      <c r="GK1116" s="101" t="str">
        <f t="shared" si="567"/>
        <v/>
      </c>
      <c r="GL1116" s="101" t="str">
        <f t="shared" si="568"/>
        <v/>
      </c>
      <c r="GM1116" s="101" t="str">
        <f t="shared" si="569"/>
        <v/>
      </c>
      <c r="GN1116" s="101" t="str">
        <f t="shared" si="570"/>
        <v/>
      </c>
      <c r="GO1116" s="101" t="str">
        <f t="shared" si="571"/>
        <v/>
      </c>
      <c r="GP1116" s="101" t="str">
        <f t="shared" si="572"/>
        <v/>
      </c>
      <c r="GQ1116" s="101" t="str">
        <f t="shared" si="573"/>
        <v/>
      </c>
    </row>
    <row r="1117" spans="175:199" ht="16.5" x14ac:dyDescent="0.2">
      <c r="FS1117" s="101">
        <v>1112</v>
      </c>
      <c r="FT1117" s="101">
        <f t="shared" si="558"/>
        <v>64</v>
      </c>
      <c r="FU1117" s="101">
        <f t="shared" si="551"/>
        <v>14</v>
      </c>
      <c r="FV1117" s="14">
        <f t="shared" si="552"/>
        <v>3</v>
      </c>
      <c r="FW1117" s="101" t="str">
        <f t="shared" si="559"/>
        <v>飞廉专属武器-魂珠-8 1级</v>
      </c>
      <c r="FX1117" s="101">
        <f t="shared" si="560"/>
        <v>8</v>
      </c>
      <c r="FY1117" s="101">
        <f t="shared" si="561"/>
        <v>1</v>
      </c>
      <c r="FZ1117" s="101" t="str">
        <f t="shared" si="553"/>
        <v>金币</v>
      </c>
      <c r="GA1117" s="139">
        <f>IF($FY1117&gt;0,IF(INDEX($EM$6:$EM$77,$FT1117)&gt;=GA$3,ROUND(INDEX(EO$6:EO$77,$FT1117)*INDEX(卡牌消耗!$B$8:$F$8,FV1117)/5,0)*5,""),"")</f>
        <v>4325</v>
      </c>
      <c r="GB1117" s="101" t="str">
        <f t="shared" si="554"/>
        <v>专属强化石4</v>
      </c>
      <c r="GC1117" s="101">
        <f t="shared" si="555"/>
        <v>5</v>
      </c>
      <c r="GD1117" s="101" t="str">
        <f t="shared" si="556"/>
        <v/>
      </c>
      <c r="GE1117" s="101" t="str">
        <f t="shared" si="557"/>
        <v/>
      </c>
      <c r="GF1117" s="101">
        <f t="shared" si="562"/>
        <v>0.11</v>
      </c>
      <c r="GG1117" s="101">
        <f t="shared" si="563"/>
        <v>1</v>
      </c>
      <c r="GH1117" s="101">
        <f t="shared" si="564"/>
        <v>13</v>
      </c>
      <c r="GI1117" s="101">
        <f t="shared" si="565"/>
        <v>0</v>
      </c>
      <c r="GJ1117" s="101">
        <f t="shared" si="566"/>
        <v>1</v>
      </c>
      <c r="GK1117" s="101">
        <f t="shared" si="567"/>
        <v>3</v>
      </c>
      <c r="GL1117" s="101">
        <f t="shared" si="568"/>
        <v>5.6500000000000002E-2</v>
      </c>
      <c r="GM1117" s="101">
        <f t="shared" si="569"/>
        <v>1</v>
      </c>
      <c r="GN1117" s="101">
        <f t="shared" si="570"/>
        <v>6</v>
      </c>
      <c r="GO1117" s="101">
        <f t="shared" si="571"/>
        <v>0.22600000000000001</v>
      </c>
      <c r="GP1117" s="101">
        <f t="shared" si="572"/>
        <v>1</v>
      </c>
      <c r="GQ1117" s="101">
        <f t="shared" si="573"/>
        <v>13</v>
      </c>
    </row>
    <row r="1118" spans="175:199" ht="16.5" x14ac:dyDescent="0.2">
      <c r="FS1118" s="101">
        <v>1113</v>
      </c>
      <c r="FT1118" s="101">
        <f t="shared" si="558"/>
        <v>65</v>
      </c>
      <c r="FU1118" s="101">
        <f t="shared" si="551"/>
        <v>14</v>
      </c>
      <c r="FV1118" s="14">
        <f t="shared" si="552"/>
        <v>3</v>
      </c>
      <c r="FW1118" s="101" t="str">
        <f t="shared" si="559"/>
        <v>飞廉专属武器-魂珠-8 2级</v>
      </c>
      <c r="FX1118" s="101">
        <f t="shared" si="560"/>
        <v>8</v>
      </c>
      <c r="FY1118" s="101">
        <f t="shared" si="561"/>
        <v>2</v>
      </c>
      <c r="FZ1118" s="101" t="str">
        <f t="shared" si="553"/>
        <v>金币</v>
      </c>
      <c r="GA1118" s="139">
        <f>IF($FY1118&gt;0,IF(INDEX($EM$6:$EM$77,$FT1118)&gt;=GA$3,ROUND(INDEX(EO$6:EO$77,$FT1118)*INDEX(卡牌消耗!$B$8:$F$8,FV1118)/5,0)*5,""),"")</f>
        <v>5190</v>
      </c>
      <c r="GB1118" s="101" t="str">
        <f t="shared" si="554"/>
        <v>专属强化石4</v>
      </c>
      <c r="GC1118" s="101">
        <f t="shared" si="555"/>
        <v>8</v>
      </c>
      <c r="GD1118" s="101" t="str">
        <f t="shared" si="556"/>
        <v/>
      </c>
      <c r="GE1118" s="101" t="str">
        <f t="shared" si="557"/>
        <v/>
      </c>
      <c r="GF1118" s="101">
        <f t="shared" si="562"/>
        <v>0.09</v>
      </c>
      <c r="GG1118" s="101">
        <f t="shared" si="563"/>
        <v>1</v>
      </c>
      <c r="GH1118" s="101">
        <f t="shared" si="564"/>
        <v>17</v>
      </c>
      <c r="GI1118" s="101">
        <f t="shared" si="565"/>
        <v>0</v>
      </c>
      <c r="GJ1118" s="101">
        <f t="shared" si="566"/>
        <v>1</v>
      </c>
      <c r="GK1118" s="101">
        <f t="shared" si="567"/>
        <v>4</v>
      </c>
      <c r="GL1118" s="101">
        <f t="shared" si="568"/>
        <v>4.5199999999999997E-2</v>
      </c>
      <c r="GM1118" s="101">
        <f t="shared" si="569"/>
        <v>1</v>
      </c>
      <c r="GN1118" s="101">
        <f t="shared" si="570"/>
        <v>8</v>
      </c>
      <c r="GO1118" s="101">
        <f t="shared" si="571"/>
        <v>0.18079999999999999</v>
      </c>
      <c r="GP1118" s="101">
        <f t="shared" si="572"/>
        <v>1</v>
      </c>
      <c r="GQ1118" s="101">
        <f t="shared" si="573"/>
        <v>17</v>
      </c>
    </row>
    <row r="1119" spans="175:199" ht="16.5" x14ac:dyDescent="0.2">
      <c r="FS1119" s="101">
        <v>1114</v>
      </c>
      <c r="FT1119" s="101">
        <f t="shared" si="558"/>
        <v>66</v>
      </c>
      <c r="FU1119" s="101">
        <f t="shared" si="551"/>
        <v>14</v>
      </c>
      <c r="FV1119" s="14">
        <f t="shared" si="552"/>
        <v>3</v>
      </c>
      <c r="FW1119" s="101" t="str">
        <f t="shared" si="559"/>
        <v>飞廉专属武器-魂珠-8 3级</v>
      </c>
      <c r="FX1119" s="101">
        <f t="shared" si="560"/>
        <v>8</v>
      </c>
      <c r="FY1119" s="101">
        <f t="shared" si="561"/>
        <v>3</v>
      </c>
      <c r="FZ1119" s="101" t="str">
        <f t="shared" si="553"/>
        <v>金币</v>
      </c>
      <c r="GA1119" s="139">
        <f>IF($FY1119&gt;0,IF(INDEX($EM$6:$EM$77,$FT1119)&gt;=GA$3,ROUND(INDEX(EO$6:EO$77,$FT1119)*INDEX(卡牌消耗!$B$8:$F$8,FV1119)/5,0)*5,""),"")</f>
        <v>7210</v>
      </c>
      <c r="GB1119" s="101" t="str">
        <f t="shared" si="554"/>
        <v>专属强化石4</v>
      </c>
      <c r="GC1119" s="101">
        <f t="shared" si="555"/>
        <v>10</v>
      </c>
      <c r="GD1119" s="101" t="str">
        <f t="shared" si="556"/>
        <v/>
      </c>
      <c r="GE1119" s="101" t="str">
        <f t="shared" si="557"/>
        <v/>
      </c>
      <c r="GF1119" s="101">
        <f t="shared" si="562"/>
        <v>0.08</v>
      </c>
      <c r="GG1119" s="101">
        <f t="shared" si="563"/>
        <v>1</v>
      </c>
      <c r="GH1119" s="101">
        <f t="shared" si="564"/>
        <v>20</v>
      </c>
      <c r="GI1119" s="101">
        <f t="shared" si="565"/>
        <v>0</v>
      </c>
      <c r="GJ1119" s="101">
        <f t="shared" si="566"/>
        <v>1</v>
      </c>
      <c r="GK1119" s="101">
        <f t="shared" si="567"/>
        <v>5</v>
      </c>
      <c r="GL1119" s="101">
        <f t="shared" si="568"/>
        <v>3.7699999999999997E-2</v>
      </c>
      <c r="GM1119" s="101">
        <f t="shared" si="569"/>
        <v>1</v>
      </c>
      <c r="GN1119" s="101">
        <f t="shared" si="570"/>
        <v>9</v>
      </c>
      <c r="GO1119" s="101">
        <f t="shared" si="571"/>
        <v>0.1507</v>
      </c>
      <c r="GP1119" s="101">
        <f t="shared" si="572"/>
        <v>1</v>
      </c>
      <c r="GQ1119" s="101">
        <f t="shared" si="573"/>
        <v>20</v>
      </c>
    </row>
    <row r="1120" spans="175:199" ht="16.5" x14ac:dyDescent="0.2">
      <c r="FS1120" s="101">
        <v>1115</v>
      </c>
      <c r="FT1120" s="101">
        <f t="shared" si="558"/>
        <v>67</v>
      </c>
      <c r="FU1120" s="101">
        <f t="shared" si="551"/>
        <v>14</v>
      </c>
      <c r="FV1120" s="14">
        <f t="shared" si="552"/>
        <v>3</v>
      </c>
      <c r="FW1120" s="101" t="str">
        <f t="shared" si="559"/>
        <v>飞廉专属武器-魂珠-8 4级</v>
      </c>
      <c r="FX1120" s="101">
        <f t="shared" si="560"/>
        <v>8</v>
      </c>
      <c r="FY1120" s="101">
        <f t="shared" si="561"/>
        <v>4</v>
      </c>
      <c r="FZ1120" s="101" t="str">
        <f t="shared" si="553"/>
        <v>金币</v>
      </c>
      <c r="GA1120" s="139">
        <f>IF($FY1120&gt;0,IF(INDEX($EM$6:$EM$77,$FT1120)&gt;=GA$3,ROUND(INDEX(EO$6:EO$77,$FT1120)*INDEX(卡牌消耗!$B$8:$F$8,FV1120)/5,0)*5,""),"")</f>
        <v>8310</v>
      </c>
      <c r="GB1120" s="101" t="str">
        <f t="shared" si="554"/>
        <v>专属强化石4</v>
      </c>
      <c r="GC1120" s="101">
        <f t="shared" si="555"/>
        <v>12</v>
      </c>
      <c r="GD1120" s="101" t="str">
        <f t="shared" si="556"/>
        <v/>
      </c>
      <c r="GE1120" s="101" t="str">
        <f t="shared" si="557"/>
        <v/>
      </c>
      <c r="GF1120" s="101">
        <f t="shared" si="562"/>
        <v>0.05</v>
      </c>
      <c r="GG1120" s="101">
        <f t="shared" si="563"/>
        <v>1</v>
      </c>
      <c r="GH1120" s="101">
        <f t="shared" si="564"/>
        <v>28</v>
      </c>
      <c r="GI1120" s="101">
        <f t="shared" si="565"/>
        <v>0</v>
      </c>
      <c r="GJ1120" s="101">
        <f t="shared" si="566"/>
        <v>1</v>
      </c>
      <c r="GK1120" s="101">
        <f t="shared" si="567"/>
        <v>6</v>
      </c>
      <c r="GL1120" s="101">
        <f t="shared" si="568"/>
        <v>2.7099999999999999E-2</v>
      </c>
      <c r="GM1120" s="101">
        <f t="shared" si="569"/>
        <v>1</v>
      </c>
      <c r="GN1120" s="101">
        <f t="shared" si="570"/>
        <v>13</v>
      </c>
      <c r="GO1120" s="101">
        <f t="shared" si="571"/>
        <v>0.1085</v>
      </c>
      <c r="GP1120" s="101">
        <f t="shared" si="572"/>
        <v>1</v>
      </c>
      <c r="GQ1120" s="101">
        <f t="shared" si="573"/>
        <v>28</v>
      </c>
    </row>
    <row r="1121" spans="175:199" ht="16.5" x14ac:dyDescent="0.2">
      <c r="FS1121" s="101">
        <v>1116</v>
      </c>
      <c r="FT1121" s="101">
        <f t="shared" si="558"/>
        <v>68</v>
      </c>
      <c r="FU1121" s="101">
        <f t="shared" si="551"/>
        <v>14</v>
      </c>
      <c r="FV1121" s="14">
        <f t="shared" si="552"/>
        <v>3</v>
      </c>
      <c r="FW1121" s="101" t="str">
        <f t="shared" si="559"/>
        <v>飞廉专属武器-魂珠-8 5级</v>
      </c>
      <c r="FX1121" s="101">
        <f t="shared" si="560"/>
        <v>8</v>
      </c>
      <c r="FY1121" s="101">
        <f t="shared" si="561"/>
        <v>5</v>
      </c>
      <c r="FZ1121" s="101" t="str">
        <f t="shared" si="553"/>
        <v>金币</v>
      </c>
      <c r="GA1121" s="139">
        <f>IF($FY1121&gt;0,IF(INDEX($EM$6:$EM$77,$FT1121)&gt;=GA$3,ROUND(INDEX(EO$6:EO$77,$FT1121)*INDEX(卡牌消耗!$B$8:$F$8,FV1121)/5,0)*5,""),"")</f>
        <v>10545</v>
      </c>
      <c r="GB1121" s="101" t="str">
        <f t="shared" si="554"/>
        <v>专属强化石4</v>
      </c>
      <c r="GC1121" s="101">
        <f t="shared" si="555"/>
        <v>15</v>
      </c>
      <c r="GD1121" s="101" t="str">
        <f t="shared" si="556"/>
        <v/>
      </c>
      <c r="GE1121" s="101" t="str">
        <f t="shared" si="557"/>
        <v/>
      </c>
      <c r="GF1121" s="101">
        <f t="shared" si="562"/>
        <v>0.04</v>
      </c>
      <c r="GG1121" s="101">
        <f t="shared" si="563"/>
        <v>1</v>
      </c>
      <c r="GH1121" s="101">
        <f t="shared" si="564"/>
        <v>35</v>
      </c>
      <c r="GI1121" s="101">
        <f t="shared" si="565"/>
        <v>0</v>
      </c>
      <c r="GJ1121" s="101">
        <f t="shared" si="566"/>
        <v>1</v>
      </c>
      <c r="GK1121" s="101">
        <f t="shared" si="567"/>
        <v>8</v>
      </c>
      <c r="GL1121" s="101">
        <f t="shared" si="568"/>
        <v>2.12E-2</v>
      </c>
      <c r="GM1121" s="101">
        <f t="shared" si="569"/>
        <v>1</v>
      </c>
      <c r="GN1121" s="101">
        <f t="shared" si="570"/>
        <v>17</v>
      </c>
      <c r="GO1121" s="101">
        <f t="shared" si="571"/>
        <v>8.4699999999999998E-2</v>
      </c>
      <c r="GP1121" s="101">
        <f t="shared" si="572"/>
        <v>1</v>
      </c>
      <c r="GQ1121" s="101">
        <f t="shared" si="573"/>
        <v>35</v>
      </c>
    </row>
    <row r="1122" spans="175:199" ht="16.5" x14ac:dyDescent="0.2">
      <c r="FS1122" s="101">
        <v>1117</v>
      </c>
      <c r="FT1122" s="101">
        <f t="shared" si="558"/>
        <v>69</v>
      </c>
      <c r="FU1122" s="101">
        <f t="shared" si="551"/>
        <v>14</v>
      </c>
      <c r="FV1122" s="14">
        <f t="shared" si="552"/>
        <v>3</v>
      </c>
      <c r="FW1122" s="101" t="str">
        <f t="shared" si="559"/>
        <v>飞廉专属武器-魂珠-8 6级</v>
      </c>
      <c r="FX1122" s="101">
        <f t="shared" si="560"/>
        <v>8</v>
      </c>
      <c r="FY1122" s="101">
        <f t="shared" si="561"/>
        <v>6</v>
      </c>
      <c r="FZ1122" s="101" t="str">
        <f t="shared" si="553"/>
        <v>金币</v>
      </c>
      <c r="GA1122" s="139">
        <f>IF($FY1122&gt;0,IF(INDEX($EM$6:$EM$77,$FT1122)&gt;=GA$3,ROUND(INDEX(EO$6:EO$77,$FT1122)*INDEX(卡牌消耗!$B$8:$F$8,FV1122)/5,0)*5,""),"")</f>
        <v>12580</v>
      </c>
      <c r="GB1122" s="101" t="str">
        <f t="shared" si="554"/>
        <v>专属强化石4</v>
      </c>
      <c r="GC1122" s="101">
        <f t="shared" si="555"/>
        <v>18</v>
      </c>
      <c r="GD1122" s="101" t="str">
        <f t="shared" si="556"/>
        <v/>
      </c>
      <c r="GE1122" s="101" t="str">
        <f t="shared" si="557"/>
        <v/>
      </c>
      <c r="GF1122" s="101">
        <f t="shared" si="562"/>
        <v>0.03</v>
      </c>
      <c r="GG1122" s="101">
        <f t="shared" si="563"/>
        <v>1</v>
      </c>
      <c r="GH1122" s="101">
        <f t="shared" si="564"/>
        <v>48</v>
      </c>
      <c r="GI1122" s="101">
        <f t="shared" si="565"/>
        <v>0</v>
      </c>
      <c r="GJ1122" s="101">
        <f t="shared" si="566"/>
        <v>1</v>
      </c>
      <c r="GK1122" s="101">
        <f t="shared" si="567"/>
        <v>11</v>
      </c>
      <c r="GL1122" s="101">
        <f t="shared" si="568"/>
        <v>1.5599999999999999E-2</v>
      </c>
      <c r="GM1122" s="101">
        <f t="shared" si="569"/>
        <v>1</v>
      </c>
      <c r="GN1122" s="101">
        <f t="shared" si="570"/>
        <v>22</v>
      </c>
      <c r="GO1122" s="101">
        <f t="shared" si="571"/>
        <v>6.2600000000000003E-2</v>
      </c>
      <c r="GP1122" s="101">
        <f t="shared" si="572"/>
        <v>1</v>
      </c>
      <c r="GQ1122" s="101">
        <f t="shared" si="573"/>
        <v>48</v>
      </c>
    </row>
    <row r="1123" spans="175:199" ht="16.5" x14ac:dyDescent="0.2">
      <c r="FS1123" s="101">
        <v>1118</v>
      </c>
      <c r="FT1123" s="101">
        <f t="shared" si="558"/>
        <v>70</v>
      </c>
      <c r="FU1123" s="101">
        <f t="shared" si="551"/>
        <v>14</v>
      </c>
      <c r="FV1123" s="14">
        <f t="shared" si="552"/>
        <v>3</v>
      </c>
      <c r="FW1123" s="101" t="str">
        <f t="shared" si="559"/>
        <v>飞廉专属武器-魂珠-8 7级</v>
      </c>
      <c r="FX1123" s="101">
        <f t="shared" si="560"/>
        <v>8</v>
      </c>
      <c r="FY1123" s="101">
        <f t="shared" si="561"/>
        <v>7</v>
      </c>
      <c r="FZ1123" s="101" t="str">
        <f t="shared" si="553"/>
        <v>金币</v>
      </c>
      <c r="GA1123" s="139">
        <f>IF($FY1123&gt;0,IF(INDEX($EM$6:$EM$77,$FT1123)&gt;=GA$3,ROUND(INDEX(EO$6:EO$77,$FT1123)*INDEX(卡牌消耗!$B$8:$F$8,FV1123)/5,0)*5,""),"")</f>
        <v>17515</v>
      </c>
      <c r="GB1123" s="101" t="str">
        <f t="shared" si="554"/>
        <v>专属强化石4</v>
      </c>
      <c r="GC1123" s="101">
        <f t="shared" si="555"/>
        <v>25</v>
      </c>
      <c r="GD1123" s="101" t="str">
        <f t="shared" si="556"/>
        <v/>
      </c>
      <c r="GE1123" s="101" t="str">
        <f t="shared" si="557"/>
        <v/>
      </c>
      <c r="GF1123" s="101">
        <f t="shared" si="562"/>
        <v>0.03</v>
      </c>
      <c r="GG1123" s="101">
        <f t="shared" si="563"/>
        <v>1</v>
      </c>
      <c r="GH1123" s="101">
        <f t="shared" si="564"/>
        <v>56</v>
      </c>
      <c r="GI1123" s="101">
        <f t="shared" si="565"/>
        <v>0</v>
      </c>
      <c r="GJ1123" s="101">
        <f t="shared" si="566"/>
        <v>1</v>
      </c>
      <c r="GK1123" s="101">
        <f t="shared" si="567"/>
        <v>13</v>
      </c>
      <c r="GL1123" s="101">
        <f t="shared" si="568"/>
        <v>1.35E-2</v>
      </c>
      <c r="GM1123" s="101">
        <f t="shared" si="569"/>
        <v>1</v>
      </c>
      <c r="GN1123" s="101">
        <f t="shared" si="570"/>
        <v>26</v>
      </c>
      <c r="GO1123" s="101">
        <f t="shared" si="571"/>
        <v>5.3800000000000001E-2</v>
      </c>
      <c r="GP1123" s="101">
        <f t="shared" si="572"/>
        <v>1</v>
      </c>
      <c r="GQ1123" s="101">
        <f t="shared" si="573"/>
        <v>56</v>
      </c>
    </row>
    <row r="1124" spans="175:199" ht="16.5" x14ac:dyDescent="0.2">
      <c r="FS1124" s="101">
        <v>1119</v>
      </c>
      <c r="FT1124" s="101">
        <f t="shared" si="558"/>
        <v>71</v>
      </c>
      <c r="FU1124" s="101">
        <f t="shared" si="551"/>
        <v>14</v>
      </c>
      <c r="FV1124" s="14">
        <f t="shared" si="552"/>
        <v>3</v>
      </c>
      <c r="FW1124" s="101" t="str">
        <f t="shared" si="559"/>
        <v>飞廉专属武器-魂珠-8 8级</v>
      </c>
      <c r="FX1124" s="101">
        <f t="shared" si="560"/>
        <v>8</v>
      </c>
      <c r="FY1124" s="101">
        <f t="shared" si="561"/>
        <v>8</v>
      </c>
      <c r="FZ1124" s="101" t="str">
        <f t="shared" si="553"/>
        <v>金币</v>
      </c>
      <c r="GA1124" s="139">
        <f>IF($FY1124&gt;0,IF(INDEX($EM$6:$EM$77,$FT1124)&gt;=GA$3,ROUND(INDEX(EO$6:EO$77,$FT1124)*INDEX(卡牌消耗!$B$8:$F$8,FV1124)/5,0)*5,""),"")</f>
        <v>21000</v>
      </c>
      <c r="GB1124" s="101" t="str">
        <f t="shared" si="554"/>
        <v>专属强化石4</v>
      </c>
      <c r="GC1124" s="101">
        <f t="shared" si="555"/>
        <v>30</v>
      </c>
      <c r="GD1124" s="101" t="str">
        <f t="shared" si="556"/>
        <v/>
      </c>
      <c r="GE1124" s="101" t="str">
        <f t="shared" si="557"/>
        <v/>
      </c>
      <c r="GF1124" s="101">
        <f t="shared" si="562"/>
        <v>0.02</v>
      </c>
      <c r="GG1124" s="101">
        <f t="shared" si="563"/>
        <v>1</v>
      </c>
      <c r="GH1124" s="101">
        <f t="shared" si="564"/>
        <v>75</v>
      </c>
      <c r="GI1124" s="101">
        <f t="shared" si="565"/>
        <v>0</v>
      </c>
      <c r="GJ1124" s="101">
        <f t="shared" si="566"/>
        <v>1</v>
      </c>
      <c r="GK1124" s="101">
        <f t="shared" si="567"/>
        <v>18</v>
      </c>
      <c r="GL1124" s="101">
        <f t="shared" si="568"/>
        <v>0.01</v>
      </c>
      <c r="GM1124" s="101">
        <f t="shared" si="569"/>
        <v>1</v>
      </c>
      <c r="GN1124" s="101">
        <f t="shared" si="570"/>
        <v>35</v>
      </c>
      <c r="GO1124" s="101">
        <f t="shared" si="571"/>
        <v>3.9899999999999998E-2</v>
      </c>
      <c r="GP1124" s="101">
        <f t="shared" si="572"/>
        <v>1</v>
      </c>
      <c r="GQ1124" s="101">
        <f t="shared" si="573"/>
        <v>75</v>
      </c>
    </row>
    <row r="1125" spans="175:199" ht="16.5" x14ac:dyDescent="0.2">
      <c r="FS1125" s="101">
        <v>1120</v>
      </c>
      <c r="FT1125" s="101">
        <f t="shared" si="558"/>
        <v>72</v>
      </c>
      <c r="FU1125" s="101">
        <f t="shared" si="551"/>
        <v>14</v>
      </c>
      <c r="FV1125" s="14">
        <f t="shared" si="552"/>
        <v>3</v>
      </c>
      <c r="FW1125" s="101" t="str">
        <f t="shared" si="559"/>
        <v>飞廉专属武器-魂珠-8 9级</v>
      </c>
      <c r="FX1125" s="101">
        <f t="shared" si="560"/>
        <v>8</v>
      </c>
      <c r="FY1125" s="101">
        <f t="shared" si="561"/>
        <v>9</v>
      </c>
      <c r="FZ1125" s="101" t="str">
        <f t="shared" si="553"/>
        <v>金币</v>
      </c>
      <c r="GA1125" s="139">
        <f>IF($FY1125&gt;0,IF(INDEX($EM$6:$EM$77,$FT1125)&gt;=GA$3,ROUND(INDEX(EO$6:EO$77,$FT1125)*INDEX(卡牌消耗!$B$8:$F$8,FV1125)/5,0)*5,""),"")</f>
        <v>21005</v>
      </c>
      <c r="GB1125" s="101" t="str">
        <f t="shared" si="554"/>
        <v>专属强化石4</v>
      </c>
      <c r="GC1125" s="101">
        <f t="shared" si="555"/>
        <v>30</v>
      </c>
      <c r="GD1125" s="101" t="str">
        <f t="shared" si="556"/>
        <v/>
      </c>
      <c r="GE1125" s="101" t="str">
        <f t="shared" si="557"/>
        <v/>
      </c>
      <c r="GF1125" s="101">
        <f t="shared" si="562"/>
        <v>0.01</v>
      </c>
      <c r="GG1125" s="101">
        <f t="shared" si="563"/>
        <v>1</v>
      </c>
      <c r="GH1125" s="101">
        <f t="shared" si="564"/>
        <v>122</v>
      </c>
      <c r="GI1125" s="101">
        <f t="shared" si="565"/>
        <v>0</v>
      </c>
      <c r="GJ1125" s="101">
        <f t="shared" si="566"/>
        <v>1</v>
      </c>
      <c r="GK1125" s="101">
        <f t="shared" si="567"/>
        <v>28</v>
      </c>
      <c r="GL1125" s="101">
        <f t="shared" si="568"/>
        <v>6.1999999999999998E-3</v>
      </c>
      <c r="GM1125" s="101">
        <f t="shared" si="569"/>
        <v>1</v>
      </c>
      <c r="GN1125" s="101">
        <f t="shared" si="570"/>
        <v>57</v>
      </c>
      <c r="GO1125" s="101">
        <f t="shared" si="571"/>
        <v>2.47E-2</v>
      </c>
      <c r="GP1125" s="101">
        <f t="shared" si="572"/>
        <v>1</v>
      </c>
      <c r="GQ1125" s="101">
        <f t="shared" si="573"/>
        <v>122</v>
      </c>
    </row>
    <row r="1126" spans="175:199" ht="16.5" x14ac:dyDescent="0.2">
      <c r="FS1126" s="101">
        <v>1121</v>
      </c>
      <c r="FT1126" s="101">
        <f t="shared" si="558"/>
        <v>0</v>
      </c>
      <c r="FU1126" s="101">
        <f t="shared" si="551"/>
        <v>15</v>
      </c>
      <c r="FV1126" s="14">
        <f t="shared" si="552"/>
        <v>3</v>
      </c>
      <c r="FW1126" s="101" t="str">
        <f t="shared" si="559"/>
        <v>高顺专属武器-魂珠-1 0级</v>
      </c>
      <c r="FX1126" s="101">
        <f t="shared" si="560"/>
        <v>1</v>
      </c>
      <c r="FY1126" s="101">
        <f t="shared" si="561"/>
        <v>0</v>
      </c>
      <c r="FZ1126" s="101" t="str">
        <f t="shared" si="553"/>
        <v/>
      </c>
      <c r="GA1126" s="139" t="str">
        <f>IF($FY1126&gt;0,IF(INDEX($EM$6:$EM$77,$FT1126)&gt;=GA$3,ROUND(INDEX(EO$6:EO$77,$FT1126)*INDEX(卡牌消耗!$B$8:$F$8,FV1126)/5,0)*5,""),"")</f>
        <v/>
      </c>
      <c r="GB1126" s="101" t="str">
        <f t="shared" si="554"/>
        <v/>
      </c>
      <c r="GC1126" s="101" t="str">
        <f t="shared" si="555"/>
        <v/>
      </c>
      <c r="GD1126" s="101" t="str">
        <f t="shared" si="556"/>
        <v/>
      </c>
      <c r="GE1126" s="101" t="str">
        <f t="shared" si="557"/>
        <v/>
      </c>
      <c r="GF1126" s="101" t="str">
        <f t="shared" si="562"/>
        <v/>
      </c>
      <c r="GG1126" s="101" t="str">
        <f t="shared" si="563"/>
        <v/>
      </c>
      <c r="GH1126" s="101" t="str">
        <f t="shared" si="564"/>
        <v/>
      </c>
      <c r="GI1126" s="101" t="str">
        <f t="shared" si="565"/>
        <v/>
      </c>
      <c r="GJ1126" s="101" t="str">
        <f t="shared" si="566"/>
        <v/>
      </c>
      <c r="GK1126" s="101" t="str">
        <f t="shared" si="567"/>
        <v/>
      </c>
      <c r="GL1126" s="101" t="str">
        <f t="shared" si="568"/>
        <v/>
      </c>
      <c r="GM1126" s="101" t="str">
        <f t="shared" si="569"/>
        <v/>
      </c>
      <c r="GN1126" s="101" t="str">
        <f t="shared" si="570"/>
        <v/>
      </c>
      <c r="GO1126" s="101" t="str">
        <f t="shared" si="571"/>
        <v/>
      </c>
      <c r="GP1126" s="101" t="str">
        <f t="shared" si="572"/>
        <v/>
      </c>
      <c r="GQ1126" s="101" t="str">
        <f t="shared" si="573"/>
        <v/>
      </c>
    </row>
    <row r="1127" spans="175:199" ht="16.5" x14ac:dyDescent="0.2">
      <c r="FS1127" s="101">
        <v>1122</v>
      </c>
      <c r="FT1127" s="101">
        <f t="shared" si="558"/>
        <v>1</v>
      </c>
      <c r="FU1127" s="101">
        <f t="shared" si="551"/>
        <v>15</v>
      </c>
      <c r="FV1127" s="14">
        <f t="shared" si="552"/>
        <v>3</v>
      </c>
      <c r="FW1127" s="101" t="str">
        <f t="shared" si="559"/>
        <v>高顺专属武器-魂珠-1 1级</v>
      </c>
      <c r="FX1127" s="101">
        <f t="shared" si="560"/>
        <v>1</v>
      </c>
      <c r="FY1127" s="101">
        <f t="shared" si="561"/>
        <v>1</v>
      </c>
      <c r="FZ1127" s="101" t="str">
        <f t="shared" si="553"/>
        <v>金币</v>
      </c>
      <c r="GA1127" s="139">
        <f>IF($FY1127&gt;0,IF(INDEX($EM$6:$EM$77,$FT1127)&gt;=GA$3,ROUND(INDEX(EO$6:EO$77,$FT1127)*INDEX(卡牌消耗!$B$8:$F$8,FV1127)/5,0)*5,""),"")</f>
        <v>95</v>
      </c>
      <c r="GB1127" s="101" t="str">
        <f t="shared" si="554"/>
        <v>专属强化石1</v>
      </c>
      <c r="GC1127" s="101">
        <f t="shared" si="555"/>
        <v>1</v>
      </c>
      <c r="GD1127" s="101" t="str">
        <f t="shared" si="556"/>
        <v/>
      </c>
      <c r="GE1127" s="101" t="str">
        <f t="shared" si="557"/>
        <v/>
      </c>
      <c r="GF1127" s="101">
        <f t="shared" si="562"/>
        <v>0.32</v>
      </c>
      <c r="GG1127" s="101">
        <f t="shared" si="563"/>
        <v>1</v>
      </c>
      <c r="GH1127" s="101">
        <f t="shared" si="564"/>
        <v>5</v>
      </c>
      <c r="GI1127" s="101">
        <f t="shared" si="565"/>
        <v>0</v>
      </c>
      <c r="GJ1127" s="101">
        <f t="shared" si="566"/>
        <v>1</v>
      </c>
      <c r="GK1127" s="101">
        <f t="shared" si="567"/>
        <v>1</v>
      </c>
      <c r="GL1127" s="101">
        <f t="shared" si="568"/>
        <v>0.1595</v>
      </c>
      <c r="GM1127" s="101">
        <f t="shared" si="569"/>
        <v>1</v>
      </c>
      <c r="GN1127" s="101">
        <f t="shared" si="570"/>
        <v>2</v>
      </c>
      <c r="GO1127" s="101">
        <f t="shared" si="571"/>
        <v>0.63819999999999999</v>
      </c>
      <c r="GP1127" s="101">
        <f t="shared" si="572"/>
        <v>1</v>
      </c>
      <c r="GQ1127" s="101">
        <f t="shared" si="573"/>
        <v>5</v>
      </c>
    </row>
    <row r="1128" spans="175:199" ht="16.5" x14ac:dyDescent="0.2">
      <c r="FS1128" s="101">
        <v>1123</v>
      </c>
      <c r="FT1128" s="101">
        <f t="shared" si="558"/>
        <v>2</v>
      </c>
      <c r="FU1128" s="101">
        <f t="shared" si="551"/>
        <v>15</v>
      </c>
      <c r="FV1128" s="14">
        <f t="shared" si="552"/>
        <v>3</v>
      </c>
      <c r="FW1128" s="101" t="str">
        <f t="shared" si="559"/>
        <v>高顺专属武器-魂珠-1 2级</v>
      </c>
      <c r="FX1128" s="101">
        <f t="shared" si="560"/>
        <v>1</v>
      </c>
      <c r="FY1128" s="101">
        <f t="shared" si="561"/>
        <v>2</v>
      </c>
      <c r="FZ1128" s="101" t="str">
        <f t="shared" si="553"/>
        <v>金币</v>
      </c>
      <c r="GA1128" s="139">
        <f>IF($FY1128&gt;0,IF(INDEX($EM$6:$EM$77,$FT1128)&gt;=GA$3,ROUND(INDEX(EO$6:EO$77,$FT1128)*INDEX(卡牌消耗!$B$8:$F$8,FV1128)/5,0)*5,""),"")</f>
        <v>140</v>
      </c>
      <c r="GB1128" s="101" t="str">
        <f t="shared" si="554"/>
        <v>专属强化石1</v>
      </c>
      <c r="GC1128" s="101">
        <f t="shared" si="555"/>
        <v>2</v>
      </c>
      <c r="GD1128" s="101" t="str">
        <f t="shared" si="556"/>
        <v/>
      </c>
      <c r="GE1128" s="101" t="str">
        <f t="shared" si="557"/>
        <v/>
      </c>
      <c r="GF1128" s="101">
        <f t="shared" si="562"/>
        <v>0.32</v>
      </c>
      <c r="GG1128" s="101">
        <f t="shared" si="563"/>
        <v>1</v>
      </c>
      <c r="GH1128" s="101">
        <f t="shared" si="564"/>
        <v>5</v>
      </c>
      <c r="GI1128" s="101">
        <f t="shared" si="565"/>
        <v>0</v>
      </c>
      <c r="GJ1128" s="101">
        <f t="shared" si="566"/>
        <v>1</v>
      </c>
      <c r="GK1128" s="101">
        <f t="shared" si="567"/>
        <v>1</v>
      </c>
      <c r="GL1128" s="101">
        <f t="shared" si="568"/>
        <v>0.1595</v>
      </c>
      <c r="GM1128" s="101">
        <f t="shared" si="569"/>
        <v>1</v>
      </c>
      <c r="GN1128" s="101">
        <f t="shared" si="570"/>
        <v>2</v>
      </c>
      <c r="GO1128" s="101">
        <f t="shared" si="571"/>
        <v>0.63819999999999999</v>
      </c>
      <c r="GP1128" s="101">
        <f t="shared" si="572"/>
        <v>1</v>
      </c>
      <c r="GQ1128" s="101">
        <f t="shared" si="573"/>
        <v>5</v>
      </c>
    </row>
    <row r="1129" spans="175:199" ht="16.5" x14ac:dyDescent="0.2">
      <c r="FS1129" s="101">
        <v>1124</v>
      </c>
      <c r="FT1129" s="101">
        <f t="shared" si="558"/>
        <v>3</v>
      </c>
      <c r="FU1129" s="101">
        <f t="shared" si="551"/>
        <v>15</v>
      </c>
      <c r="FV1129" s="14">
        <f t="shared" si="552"/>
        <v>3</v>
      </c>
      <c r="FW1129" s="101" t="str">
        <f t="shared" si="559"/>
        <v>高顺专属武器-魂珠-1 3级</v>
      </c>
      <c r="FX1129" s="101">
        <f t="shared" si="560"/>
        <v>1</v>
      </c>
      <c r="FY1129" s="101">
        <f t="shared" si="561"/>
        <v>3</v>
      </c>
      <c r="FZ1129" s="101" t="str">
        <f t="shared" si="553"/>
        <v>金币</v>
      </c>
      <c r="GA1129" s="139">
        <f>IF($FY1129&gt;0,IF(INDEX($EM$6:$EM$77,$FT1129)&gt;=GA$3,ROUND(INDEX(EO$6:EO$77,$FT1129)*INDEX(卡牌消耗!$B$8:$F$8,FV1129)/5,0)*5,""),"")</f>
        <v>235</v>
      </c>
      <c r="GB1129" s="101" t="str">
        <f t="shared" si="554"/>
        <v>专属强化石1</v>
      </c>
      <c r="GC1129" s="101">
        <f t="shared" si="555"/>
        <v>3</v>
      </c>
      <c r="GD1129" s="101" t="str">
        <f t="shared" si="556"/>
        <v/>
      </c>
      <c r="GE1129" s="101" t="str">
        <f t="shared" si="557"/>
        <v/>
      </c>
      <c r="GF1129" s="101">
        <f t="shared" si="562"/>
        <v>0.32</v>
      </c>
      <c r="GG1129" s="101">
        <f t="shared" si="563"/>
        <v>1</v>
      </c>
      <c r="GH1129" s="101">
        <f t="shared" si="564"/>
        <v>5</v>
      </c>
      <c r="GI1129" s="101">
        <f t="shared" si="565"/>
        <v>0</v>
      </c>
      <c r="GJ1129" s="101">
        <f t="shared" si="566"/>
        <v>1</v>
      </c>
      <c r="GK1129" s="101">
        <f t="shared" si="567"/>
        <v>1</v>
      </c>
      <c r="GL1129" s="101">
        <f t="shared" si="568"/>
        <v>0.1595</v>
      </c>
      <c r="GM1129" s="101">
        <f t="shared" si="569"/>
        <v>1</v>
      </c>
      <c r="GN1129" s="101">
        <f t="shared" si="570"/>
        <v>2</v>
      </c>
      <c r="GO1129" s="101">
        <f t="shared" si="571"/>
        <v>0.63819999999999999</v>
      </c>
      <c r="GP1129" s="101">
        <f t="shared" si="572"/>
        <v>1</v>
      </c>
      <c r="GQ1129" s="101">
        <f t="shared" si="573"/>
        <v>5</v>
      </c>
    </row>
    <row r="1130" spans="175:199" ht="16.5" x14ac:dyDescent="0.2">
      <c r="FS1130" s="101">
        <v>1125</v>
      </c>
      <c r="FT1130" s="101">
        <f t="shared" si="558"/>
        <v>4</v>
      </c>
      <c r="FU1130" s="101">
        <f t="shared" si="551"/>
        <v>15</v>
      </c>
      <c r="FV1130" s="14">
        <f t="shared" si="552"/>
        <v>3</v>
      </c>
      <c r="FW1130" s="101" t="str">
        <f t="shared" si="559"/>
        <v>高顺专属武器-魂珠-1 4级</v>
      </c>
      <c r="FX1130" s="101">
        <f t="shared" si="560"/>
        <v>1</v>
      </c>
      <c r="FY1130" s="101">
        <f t="shared" si="561"/>
        <v>4</v>
      </c>
      <c r="FZ1130" s="101" t="str">
        <f t="shared" si="553"/>
        <v>金币</v>
      </c>
      <c r="GA1130" s="139">
        <f>IF($FY1130&gt;0,IF(INDEX($EM$6:$EM$77,$FT1130)&gt;=GA$3,ROUND(INDEX(EO$6:EO$77,$FT1130)*INDEX(卡牌消耗!$B$8:$F$8,FV1130)/5,0)*5,""),"")</f>
        <v>305</v>
      </c>
      <c r="GB1130" s="101" t="str">
        <f t="shared" si="554"/>
        <v>专属强化石1</v>
      </c>
      <c r="GC1130" s="101">
        <f t="shared" si="555"/>
        <v>4</v>
      </c>
      <c r="GD1130" s="101" t="str">
        <f t="shared" si="556"/>
        <v/>
      </c>
      <c r="GE1130" s="101" t="str">
        <f t="shared" si="557"/>
        <v/>
      </c>
      <c r="GF1130" s="101">
        <f t="shared" si="562"/>
        <v>0.26</v>
      </c>
      <c r="GG1130" s="101">
        <f t="shared" si="563"/>
        <v>1</v>
      </c>
      <c r="GH1130" s="101">
        <f t="shared" si="564"/>
        <v>6</v>
      </c>
      <c r="GI1130" s="101">
        <f t="shared" si="565"/>
        <v>0</v>
      </c>
      <c r="GJ1130" s="101">
        <f t="shared" si="566"/>
        <v>1</v>
      </c>
      <c r="GK1130" s="101">
        <f t="shared" si="567"/>
        <v>1</v>
      </c>
      <c r="GL1130" s="101">
        <f t="shared" si="568"/>
        <v>0.12759999999999999</v>
      </c>
      <c r="GM1130" s="101">
        <f t="shared" si="569"/>
        <v>1</v>
      </c>
      <c r="GN1130" s="101">
        <f t="shared" si="570"/>
        <v>3</v>
      </c>
      <c r="GO1130" s="101">
        <f t="shared" si="571"/>
        <v>0.51060000000000005</v>
      </c>
      <c r="GP1130" s="101">
        <f t="shared" si="572"/>
        <v>1</v>
      </c>
      <c r="GQ1130" s="101">
        <f t="shared" si="573"/>
        <v>6</v>
      </c>
    </row>
    <row r="1131" spans="175:199" ht="16.5" x14ac:dyDescent="0.2">
      <c r="FS1131" s="101">
        <v>1126</v>
      </c>
      <c r="FT1131" s="101">
        <f t="shared" si="558"/>
        <v>5</v>
      </c>
      <c r="FU1131" s="101">
        <f t="shared" si="551"/>
        <v>15</v>
      </c>
      <c r="FV1131" s="14">
        <f t="shared" si="552"/>
        <v>3</v>
      </c>
      <c r="FW1131" s="101" t="str">
        <f t="shared" si="559"/>
        <v>高顺专属武器-魂珠-1 5级</v>
      </c>
      <c r="FX1131" s="101">
        <f t="shared" si="560"/>
        <v>1</v>
      </c>
      <c r="FY1131" s="101">
        <f t="shared" si="561"/>
        <v>5</v>
      </c>
      <c r="FZ1131" s="101" t="str">
        <f t="shared" si="553"/>
        <v>金币</v>
      </c>
      <c r="GA1131" s="139">
        <f>IF($FY1131&gt;0,IF(INDEX($EM$6:$EM$77,$FT1131)&gt;=GA$3,ROUND(INDEX(EO$6:EO$77,$FT1131)*INDEX(卡牌消耗!$B$8:$F$8,FV1131)/5,0)*5,""),"")</f>
        <v>385</v>
      </c>
      <c r="GB1131" s="101" t="str">
        <f t="shared" si="554"/>
        <v>专属强化石1</v>
      </c>
      <c r="GC1131" s="101">
        <f t="shared" si="555"/>
        <v>5</v>
      </c>
      <c r="GD1131" s="101" t="str">
        <f t="shared" si="556"/>
        <v/>
      </c>
      <c r="GE1131" s="101" t="str">
        <f t="shared" si="557"/>
        <v/>
      </c>
      <c r="GF1131" s="101">
        <f t="shared" si="562"/>
        <v>0.2</v>
      </c>
      <c r="GG1131" s="101">
        <f t="shared" si="563"/>
        <v>1</v>
      </c>
      <c r="GH1131" s="101">
        <f t="shared" si="564"/>
        <v>8</v>
      </c>
      <c r="GI1131" s="101">
        <f t="shared" si="565"/>
        <v>0</v>
      </c>
      <c r="GJ1131" s="101">
        <f t="shared" si="566"/>
        <v>1</v>
      </c>
      <c r="GK1131" s="101">
        <f t="shared" si="567"/>
        <v>2</v>
      </c>
      <c r="GL1131" s="101">
        <f t="shared" si="568"/>
        <v>9.9699999999999997E-2</v>
      </c>
      <c r="GM1131" s="101">
        <f t="shared" si="569"/>
        <v>1</v>
      </c>
      <c r="GN1131" s="101">
        <f t="shared" si="570"/>
        <v>4</v>
      </c>
      <c r="GO1131" s="101">
        <f t="shared" si="571"/>
        <v>0.39889999999999998</v>
      </c>
      <c r="GP1131" s="101">
        <f t="shared" si="572"/>
        <v>1</v>
      </c>
      <c r="GQ1131" s="101">
        <f t="shared" si="573"/>
        <v>8</v>
      </c>
    </row>
    <row r="1132" spans="175:199" ht="16.5" x14ac:dyDescent="0.2">
      <c r="FS1132" s="101">
        <v>1127</v>
      </c>
      <c r="FT1132" s="101">
        <f t="shared" si="558"/>
        <v>6</v>
      </c>
      <c r="FU1132" s="101">
        <f t="shared" si="551"/>
        <v>15</v>
      </c>
      <c r="FV1132" s="14">
        <f t="shared" si="552"/>
        <v>3</v>
      </c>
      <c r="FW1132" s="101" t="str">
        <f t="shared" si="559"/>
        <v>高顺专属武器-魂珠-1 6级</v>
      </c>
      <c r="FX1132" s="101">
        <f t="shared" si="560"/>
        <v>1</v>
      </c>
      <c r="FY1132" s="101">
        <f t="shared" si="561"/>
        <v>6</v>
      </c>
      <c r="FZ1132" s="101" t="str">
        <f t="shared" si="553"/>
        <v>金币</v>
      </c>
      <c r="GA1132" s="139">
        <f>IF($FY1132&gt;0,IF(INDEX($EM$6:$EM$77,$FT1132)&gt;=GA$3,ROUND(INDEX(EO$6:EO$77,$FT1132)*INDEX(卡牌消耗!$B$8:$F$8,FV1132)/5,0)*5,""),"")</f>
        <v>460</v>
      </c>
      <c r="GB1132" s="101" t="str">
        <f t="shared" si="554"/>
        <v>专属强化石1</v>
      </c>
      <c r="GC1132" s="101">
        <f t="shared" si="555"/>
        <v>6</v>
      </c>
      <c r="GD1132" s="101" t="str">
        <f t="shared" si="556"/>
        <v/>
      </c>
      <c r="GE1132" s="101" t="str">
        <f t="shared" si="557"/>
        <v/>
      </c>
      <c r="GF1132" s="101">
        <f t="shared" si="562"/>
        <v>0.15</v>
      </c>
      <c r="GG1132" s="101">
        <f t="shared" si="563"/>
        <v>1</v>
      </c>
      <c r="GH1132" s="101">
        <f t="shared" si="564"/>
        <v>10</v>
      </c>
      <c r="GI1132" s="101">
        <f t="shared" si="565"/>
        <v>0</v>
      </c>
      <c r="GJ1132" s="101">
        <f t="shared" si="566"/>
        <v>1</v>
      </c>
      <c r="GK1132" s="101">
        <f t="shared" si="567"/>
        <v>2</v>
      </c>
      <c r="GL1132" s="101">
        <f t="shared" si="568"/>
        <v>7.3599999999999999E-2</v>
      </c>
      <c r="GM1132" s="101">
        <f t="shared" si="569"/>
        <v>1</v>
      </c>
      <c r="GN1132" s="101">
        <f t="shared" si="570"/>
        <v>5</v>
      </c>
      <c r="GO1132" s="101">
        <f t="shared" si="571"/>
        <v>0.29459999999999997</v>
      </c>
      <c r="GP1132" s="101">
        <f t="shared" si="572"/>
        <v>1</v>
      </c>
      <c r="GQ1132" s="101">
        <f t="shared" si="573"/>
        <v>10</v>
      </c>
    </row>
    <row r="1133" spans="175:199" ht="16.5" x14ac:dyDescent="0.2">
      <c r="FS1133" s="101">
        <v>1128</v>
      </c>
      <c r="FT1133" s="101">
        <f t="shared" si="558"/>
        <v>7</v>
      </c>
      <c r="FU1133" s="101">
        <f t="shared" si="551"/>
        <v>15</v>
      </c>
      <c r="FV1133" s="14">
        <f t="shared" si="552"/>
        <v>3</v>
      </c>
      <c r="FW1133" s="101" t="str">
        <f t="shared" si="559"/>
        <v>高顺专属武器-魂珠-1 7级</v>
      </c>
      <c r="FX1133" s="101">
        <f t="shared" si="560"/>
        <v>1</v>
      </c>
      <c r="FY1133" s="101">
        <f t="shared" si="561"/>
        <v>7</v>
      </c>
      <c r="FZ1133" s="101" t="str">
        <f t="shared" si="553"/>
        <v>金币</v>
      </c>
      <c r="GA1133" s="139">
        <f>IF($FY1133&gt;0,IF(INDEX($EM$6:$EM$77,$FT1133)&gt;=GA$3,ROUND(INDEX(EO$6:EO$77,$FT1133)*INDEX(卡牌消耗!$B$8:$F$8,FV1133)/5,0)*5,""),"")</f>
        <v>535</v>
      </c>
      <c r="GB1133" s="101" t="str">
        <f t="shared" si="554"/>
        <v>专属强化石1</v>
      </c>
      <c r="GC1133" s="101">
        <f t="shared" si="555"/>
        <v>7</v>
      </c>
      <c r="GD1133" s="101" t="str">
        <f t="shared" si="556"/>
        <v/>
      </c>
      <c r="GE1133" s="101" t="str">
        <f t="shared" si="557"/>
        <v/>
      </c>
      <c r="GF1133" s="101">
        <f t="shared" si="562"/>
        <v>0.11</v>
      </c>
      <c r="GG1133" s="101">
        <f t="shared" si="563"/>
        <v>1</v>
      </c>
      <c r="GH1133" s="101">
        <f t="shared" si="564"/>
        <v>14</v>
      </c>
      <c r="GI1133" s="101">
        <f t="shared" si="565"/>
        <v>0</v>
      </c>
      <c r="GJ1133" s="101">
        <f t="shared" si="566"/>
        <v>1</v>
      </c>
      <c r="GK1133" s="101">
        <f t="shared" si="567"/>
        <v>3</v>
      </c>
      <c r="GL1133" s="101">
        <f t="shared" si="568"/>
        <v>5.3199999999999997E-2</v>
      </c>
      <c r="GM1133" s="101">
        <f t="shared" si="569"/>
        <v>1</v>
      </c>
      <c r="GN1133" s="101">
        <f t="shared" si="570"/>
        <v>7</v>
      </c>
      <c r="GO1133" s="101">
        <f t="shared" si="571"/>
        <v>0.2127</v>
      </c>
      <c r="GP1133" s="101">
        <f t="shared" si="572"/>
        <v>1</v>
      </c>
      <c r="GQ1133" s="101">
        <f t="shared" si="573"/>
        <v>14</v>
      </c>
    </row>
    <row r="1134" spans="175:199" ht="16.5" x14ac:dyDescent="0.2">
      <c r="FS1134" s="101">
        <v>1129</v>
      </c>
      <c r="FT1134" s="101">
        <f t="shared" si="558"/>
        <v>8</v>
      </c>
      <c r="FU1134" s="101">
        <f t="shared" si="551"/>
        <v>15</v>
      </c>
      <c r="FV1134" s="14">
        <f t="shared" si="552"/>
        <v>3</v>
      </c>
      <c r="FW1134" s="101" t="str">
        <f t="shared" si="559"/>
        <v>高顺专属武器-魂珠-1 8级</v>
      </c>
      <c r="FX1134" s="101">
        <f t="shared" si="560"/>
        <v>1</v>
      </c>
      <c r="FY1134" s="101">
        <f t="shared" si="561"/>
        <v>8</v>
      </c>
      <c r="FZ1134" s="101" t="str">
        <f t="shared" si="553"/>
        <v>金币</v>
      </c>
      <c r="GA1134" s="139">
        <f>IF($FY1134&gt;0,IF(INDEX($EM$6:$EM$77,$FT1134)&gt;=GA$3,ROUND(INDEX(EO$6:EO$77,$FT1134)*INDEX(卡牌消耗!$B$8:$F$8,FV1134)/5,0)*5,""),"")</f>
        <v>615</v>
      </c>
      <c r="GB1134" s="101" t="str">
        <f t="shared" si="554"/>
        <v>专属强化石1</v>
      </c>
      <c r="GC1134" s="101">
        <f t="shared" si="555"/>
        <v>8</v>
      </c>
      <c r="GD1134" s="101" t="str">
        <f t="shared" si="556"/>
        <v/>
      </c>
      <c r="GE1134" s="101" t="str">
        <f t="shared" si="557"/>
        <v/>
      </c>
      <c r="GF1134" s="101">
        <f t="shared" si="562"/>
        <v>0.08</v>
      </c>
      <c r="GG1134" s="101">
        <f t="shared" si="563"/>
        <v>1</v>
      </c>
      <c r="GH1134" s="101">
        <f t="shared" si="564"/>
        <v>20</v>
      </c>
      <c r="GI1134" s="101">
        <f t="shared" si="565"/>
        <v>0</v>
      </c>
      <c r="GJ1134" s="101">
        <f t="shared" si="566"/>
        <v>1</v>
      </c>
      <c r="GK1134" s="101">
        <f t="shared" si="567"/>
        <v>5</v>
      </c>
      <c r="GL1134" s="101">
        <f t="shared" si="568"/>
        <v>3.7499999999999999E-2</v>
      </c>
      <c r="GM1134" s="101">
        <f t="shared" si="569"/>
        <v>1</v>
      </c>
      <c r="GN1134" s="101">
        <f t="shared" si="570"/>
        <v>9</v>
      </c>
      <c r="GO1134" s="101">
        <f t="shared" si="571"/>
        <v>0.1502</v>
      </c>
      <c r="GP1134" s="101">
        <f t="shared" si="572"/>
        <v>1</v>
      </c>
      <c r="GQ1134" s="101">
        <f t="shared" si="573"/>
        <v>20</v>
      </c>
    </row>
    <row r="1135" spans="175:199" ht="16.5" x14ac:dyDescent="0.2">
      <c r="FS1135" s="101">
        <v>1130</v>
      </c>
      <c r="FT1135" s="101">
        <f t="shared" si="558"/>
        <v>9</v>
      </c>
      <c r="FU1135" s="101">
        <f t="shared" si="551"/>
        <v>15</v>
      </c>
      <c r="FV1135" s="14">
        <f t="shared" si="552"/>
        <v>3</v>
      </c>
      <c r="FW1135" s="101" t="str">
        <f t="shared" si="559"/>
        <v>高顺专属武器-魂珠-1 9级</v>
      </c>
      <c r="FX1135" s="101">
        <f t="shared" si="560"/>
        <v>1</v>
      </c>
      <c r="FY1135" s="101">
        <f t="shared" si="561"/>
        <v>9</v>
      </c>
      <c r="FZ1135" s="101" t="str">
        <f t="shared" si="553"/>
        <v>金币</v>
      </c>
      <c r="GA1135" s="139">
        <f>IF($FY1135&gt;0,IF(INDEX($EM$6:$EM$77,$FT1135)&gt;=GA$3,ROUND(INDEX(EO$6:EO$77,$FT1135)*INDEX(卡牌消耗!$B$8:$F$8,FV1135)/5,0)*5,""),"")</f>
        <v>765</v>
      </c>
      <c r="GB1135" s="101" t="str">
        <f t="shared" si="554"/>
        <v>专属强化石1</v>
      </c>
      <c r="GC1135" s="101">
        <f t="shared" si="555"/>
        <v>10</v>
      </c>
      <c r="GD1135" s="101" t="str">
        <f t="shared" si="556"/>
        <v/>
      </c>
      <c r="GE1135" s="101" t="str">
        <f t="shared" si="557"/>
        <v/>
      </c>
      <c r="GF1135" s="101">
        <f t="shared" si="562"/>
        <v>0.06</v>
      </c>
      <c r="GG1135" s="101">
        <f t="shared" si="563"/>
        <v>1</v>
      </c>
      <c r="GH1135" s="101">
        <f t="shared" si="564"/>
        <v>26</v>
      </c>
      <c r="GI1135" s="101">
        <f t="shared" si="565"/>
        <v>0</v>
      </c>
      <c r="GJ1135" s="101">
        <f t="shared" si="566"/>
        <v>1</v>
      </c>
      <c r="GK1135" s="101">
        <f t="shared" si="567"/>
        <v>6</v>
      </c>
      <c r="GL1135" s="101">
        <f t="shared" si="568"/>
        <v>2.9000000000000001E-2</v>
      </c>
      <c r="GM1135" s="101">
        <f t="shared" si="569"/>
        <v>1</v>
      </c>
      <c r="GN1135" s="101">
        <f t="shared" si="570"/>
        <v>12</v>
      </c>
      <c r="GO1135" s="101">
        <f t="shared" si="571"/>
        <v>0.11600000000000001</v>
      </c>
      <c r="GP1135" s="101">
        <f t="shared" si="572"/>
        <v>1</v>
      </c>
      <c r="GQ1135" s="101">
        <f t="shared" si="573"/>
        <v>26</v>
      </c>
    </row>
    <row r="1136" spans="175:199" ht="16.5" x14ac:dyDescent="0.2">
      <c r="FS1136" s="101">
        <v>1131</v>
      </c>
      <c r="FT1136" s="101">
        <f t="shared" si="558"/>
        <v>0</v>
      </c>
      <c r="FU1136" s="101">
        <f t="shared" si="551"/>
        <v>15</v>
      </c>
      <c r="FV1136" s="14">
        <f t="shared" si="552"/>
        <v>3</v>
      </c>
      <c r="FW1136" s="101" t="str">
        <f t="shared" si="559"/>
        <v>高顺专属武器-魂珠-2 0级</v>
      </c>
      <c r="FX1136" s="101">
        <f t="shared" si="560"/>
        <v>2</v>
      </c>
      <c r="FY1136" s="101">
        <f t="shared" si="561"/>
        <v>0</v>
      </c>
      <c r="FZ1136" s="101" t="str">
        <f t="shared" si="553"/>
        <v/>
      </c>
      <c r="GA1136" s="139" t="str">
        <f>IF($FY1136&gt;0,IF(INDEX($EM$6:$EM$77,$FT1136)&gt;=GA$3,ROUND(INDEX(EO$6:EO$77,$FT1136)*INDEX(卡牌消耗!$B$8:$F$8,FV1136)/5,0)*5,""),"")</f>
        <v/>
      </c>
      <c r="GB1136" s="101" t="str">
        <f t="shared" si="554"/>
        <v/>
      </c>
      <c r="GC1136" s="101" t="str">
        <f t="shared" si="555"/>
        <v/>
      </c>
      <c r="GD1136" s="101" t="str">
        <f t="shared" si="556"/>
        <v/>
      </c>
      <c r="GE1136" s="101" t="str">
        <f t="shared" si="557"/>
        <v/>
      </c>
      <c r="GF1136" s="101" t="str">
        <f t="shared" si="562"/>
        <v/>
      </c>
      <c r="GG1136" s="101" t="str">
        <f t="shared" si="563"/>
        <v/>
      </c>
      <c r="GH1136" s="101" t="str">
        <f t="shared" si="564"/>
        <v/>
      </c>
      <c r="GI1136" s="101" t="str">
        <f t="shared" si="565"/>
        <v/>
      </c>
      <c r="GJ1136" s="101" t="str">
        <f t="shared" si="566"/>
        <v/>
      </c>
      <c r="GK1136" s="101" t="str">
        <f t="shared" si="567"/>
        <v/>
      </c>
      <c r="GL1136" s="101" t="str">
        <f t="shared" si="568"/>
        <v/>
      </c>
      <c r="GM1136" s="101" t="str">
        <f t="shared" si="569"/>
        <v/>
      </c>
      <c r="GN1136" s="101" t="str">
        <f t="shared" si="570"/>
        <v/>
      </c>
      <c r="GO1136" s="101" t="str">
        <f t="shared" si="571"/>
        <v/>
      </c>
      <c r="GP1136" s="101" t="str">
        <f t="shared" si="572"/>
        <v/>
      </c>
      <c r="GQ1136" s="101" t="str">
        <f t="shared" si="573"/>
        <v/>
      </c>
    </row>
    <row r="1137" spans="175:199" ht="16.5" x14ac:dyDescent="0.2">
      <c r="FS1137" s="101">
        <v>1132</v>
      </c>
      <c r="FT1137" s="101">
        <f t="shared" si="558"/>
        <v>10</v>
      </c>
      <c r="FU1137" s="101">
        <f t="shared" si="551"/>
        <v>15</v>
      </c>
      <c r="FV1137" s="14">
        <f t="shared" si="552"/>
        <v>3</v>
      </c>
      <c r="FW1137" s="101" t="str">
        <f t="shared" si="559"/>
        <v>高顺专属武器-魂珠-2 1级</v>
      </c>
      <c r="FX1137" s="101">
        <f t="shared" si="560"/>
        <v>2</v>
      </c>
      <c r="FY1137" s="101">
        <f t="shared" si="561"/>
        <v>1</v>
      </c>
      <c r="FZ1137" s="101" t="str">
        <f t="shared" si="553"/>
        <v>金币</v>
      </c>
      <c r="GA1137" s="139">
        <f>IF($FY1137&gt;0,IF(INDEX($EM$6:$EM$77,$FT1137)&gt;=GA$3,ROUND(INDEX(EO$6:EO$77,$FT1137)*INDEX(卡牌消耗!$B$8:$F$8,FV1137)/5,0)*5,""),"")</f>
        <v>260</v>
      </c>
      <c r="GB1137" s="101" t="str">
        <f t="shared" si="554"/>
        <v>专属强化石1</v>
      </c>
      <c r="GC1137" s="101">
        <f t="shared" si="555"/>
        <v>3</v>
      </c>
      <c r="GD1137" s="101" t="str">
        <f t="shared" si="556"/>
        <v>专属强化石2</v>
      </c>
      <c r="GE1137" s="101">
        <f t="shared" si="557"/>
        <v>1</v>
      </c>
      <c r="GF1137" s="101">
        <f t="shared" si="562"/>
        <v>0.39</v>
      </c>
      <c r="GG1137" s="101">
        <f t="shared" si="563"/>
        <v>1</v>
      </c>
      <c r="GH1137" s="101">
        <f t="shared" si="564"/>
        <v>4</v>
      </c>
      <c r="GI1137" s="101">
        <f t="shared" si="565"/>
        <v>0</v>
      </c>
      <c r="GJ1137" s="101">
        <f t="shared" si="566"/>
        <v>1</v>
      </c>
      <c r="GK1137" s="101">
        <f t="shared" si="567"/>
        <v>1</v>
      </c>
      <c r="GL1137" s="101">
        <f t="shared" si="568"/>
        <v>0.19270000000000001</v>
      </c>
      <c r="GM1137" s="101">
        <f t="shared" si="569"/>
        <v>1</v>
      </c>
      <c r="GN1137" s="101">
        <f t="shared" si="570"/>
        <v>2</v>
      </c>
      <c r="GO1137" s="101">
        <f t="shared" si="571"/>
        <v>0.77070000000000005</v>
      </c>
      <c r="GP1137" s="101">
        <f t="shared" si="572"/>
        <v>1</v>
      </c>
      <c r="GQ1137" s="101">
        <f t="shared" si="573"/>
        <v>4</v>
      </c>
    </row>
    <row r="1138" spans="175:199" ht="16.5" x14ac:dyDescent="0.2">
      <c r="FS1138" s="101">
        <v>1133</v>
      </c>
      <c r="FT1138" s="101">
        <f t="shared" si="558"/>
        <v>11</v>
      </c>
      <c r="FU1138" s="101">
        <f t="shared" si="551"/>
        <v>15</v>
      </c>
      <c r="FV1138" s="14">
        <f t="shared" si="552"/>
        <v>3</v>
      </c>
      <c r="FW1138" s="101" t="str">
        <f t="shared" si="559"/>
        <v>高顺专属武器-魂珠-2 2级</v>
      </c>
      <c r="FX1138" s="101">
        <f t="shared" si="560"/>
        <v>2</v>
      </c>
      <c r="FY1138" s="101">
        <f t="shared" si="561"/>
        <v>2</v>
      </c>
      <c r="FZ1138" s="101" t="str">
        <f t="shared" si="553"/>
        <v>金币</v>
      </c>
      <c r="GA1138" s="139">
        <f>IF($FY1138&gt;0,IF(INDEX($EM$6:$EM$77,$FT1138)&gt;=GA$3,ROUND(INDEX(EO$6:EO$77,$FT1138)*INDEX(卡牌消耗!$B$8:$F$8,FV1138)/5,0)*5,""),"")</f>
        <v>195</v>
      </c>
      <c r="GB1138" s="101" t="str">
        <f t="shared" si="554"/>
        <v>专属强化石1</v>
      </c>
      <c r="GC1138" s="101">
        <f t="shared" si="555"/>
        <v>3</v>
      </c>
      <c r="GD1138" s="101" t="str">
        <f t="shared" si="556"/>
        <v>专属强化石2</v>
      </c>
      <c r="GE1138" s="101">
        <f t="shared" si="557"/>
        <v>1</v>
      </c>
      <c r="GF1138" s="101">
        <f t="shared" si="562"/>
        <v>0.19</v>
      </c>
      <c r="GG1138" s="101">
        <f t="shared" si="563"/>
        <v>1</v>
      </c>
      <c r="GH1138" s="101">
        <f t="shared" si="564"/>
        <v>8</v>
      </c>
      <c r="GI1138" s="101">
        <f t="shared" si="565"/>
        <v>0</v>
      </c>
      <c r="GJ1138" s="101">
        <f t="shared" si="566"/>
        <v>1</v>
      </c>
      <c r="GK1138" s="101">
        <f t="shared" si="567"/>
        <v>2</v>
      </c>
      <c r="GL1138" s="101">
        <f t="shared" si="568"/>
        <v>9.6299999999999997E-2</v>
      </c>
      <c r="GM1138" s="101">
        <f t="shared" si="569"/>
        <v>1</v>
      </c>
      <c r="GN1138" s="101">
        <f t="shared" si="570"/>
        <v>4</v>
      </c>
      <c r="GO1138" s="101">
        <f t="shared" si="571"/>
        <v>0.38529999999999998</v>
      </c>
      <c r="GP1138" s="101">
        <f t="shared" si="572"/>
        <v>1</v>
      </c>
      <c r="GQ1138" s="101">
        <f t="shared" si="573"/>
        <v>8</v>
      </c>
    </row>
    <row r="1139" spans="175:199" ht="16.5" x14ac:dyDescent="0.2">
      <c r="FS1139" s="101">
        <v>1134</v>
      </c>
      <c r="FT1139" s="101">
        <f t="shared" si="558"/>
        <v>12</v>
      </c>
      <c r="FU1139" s="101">
        <f t="shared" si="551"/>
        <v>15</v>
      </c>
      <c r="FV1139" s="14">
        <f t="shared" si="552"/>
        <v>3</v>
      </c>
      <c r="FW1139" s="101" t="str">
        <f t="shared" si="559"/>
        <v>高顺专属武器-魂珠-2 3级</v>
      </c>
      <c r="FX1139" s="101">
        <f t="shared" si="560"/>
        <v>2</v>
      </c>
      <c r="FY1139" s="101">
        <f t="shared" si="561"/>
        <v>3</v>
      </c>
      <c r="FZ1139" s="101" t="str">
        <f t="shared" si="553"/>
        <v>金币</v>
      </c>
      <c r="GA1139" s="139">
        <f>IF($FY1139&gt;0,IF(INDEX($EM$6:$EM$77,$FT1139)&gt;=GA$3,ROUND(INDEX(EO$6:EO$77,$FT1139)*INDEX(卡牌消耗!$B$8:$F$8,FV1139)/5,0)*5,""),"")</f>
        <v>435</v>
      </c>
      <c r="GB1139" s="101" t="str">
        <f t="shared" si="554"/>
        <v>专属强化石1</v>
      </c>
      <c r="GC1139" s="101">
        <f t="shared" si="555"/>
        <v>6</v>
      </c>
      <c r="GD1139" s="101" t="str">
        <f t="shared" si="556"/>
        <v>专属强化石2</v>
      </c>
      <c r="GE1139" s="101">
        <f t="shared" si="557"/>
        <v>2</v>
      </c>
      <c r="GF1139" s="101">
        <f t="shared" si="562"/>
        <v>0.26</v>
      </c>
      <c r="GG1139" s="101">
        <f t="shared" si="563"/>
        <v>1</v>
      </c>
      <c r="GH1139" s="101">
        <f t="shared" si="564"/>
        <v>6</v>
      </c>
      <c r="GI1139" s="101">
        <f t="shared" si="565"/>
        <v>0</v>
      </c>
      <c r="GJ1139" s="101">
        <f t="shared" si="566"/>
        <v>1</v>
      </c>
      <c r="GK1139" s="101">
        <f t="shared" si="567"/>
        <v>1</v>
      </c>
      <c r="GL1139" s="101">
        <f t="shared" si="568"/>
        <v>0.12839999999999999</v>
      </c>
      <c r="GM1139" s="101">
        <f t="shared" si="569"/>
        <v>1</v>
      </c>
      <c r="GN1139" s="101">
        <f t="shared" si="570"/>
        <v>3</v>
      </c>
      <c r="GO1139" s="101">
        <f t="shared" si="571"/>
        <v>0.51380000000000003</v>
      </c>
      <c r="GP1139" s="101">
        <f t="shared" si="572"/>
        <v>1</v>
      </c>
      <c r="GQ1139" s="101">
        <f t="shared" si="573"/>
        <v>6</v>
      </c>
    </row>
    <row r="1140" spans="175:199" ht="16.5" x14ac:dyDescent="0.2">
      <c r="FS1140" s="101">
        <v>1135</v>
      </c>
      <c r="FT1140" s="101">
        <f t="shared" si="558"/>
        <v>13</v>
      </c>
      <c r="FU1140" s="101">
        <f t="shared" si="551"/>
        <v>15</v>
      </c>
      <c r="FV1140" s="14">
        <f t="shared" si="552"/>
        <v>3</v>
      </c>
      <c r="FW1140" s="101" t="str">
        <f t="shared" si="559"/>
        <v>高顺专属武器-魂珠-2 4级</v>
      </c>
      <c r="FX1140" s="101">
        <f t="shared" si="560"/>
        <v>2</v>
      </c>
      <c r="FY1140" s="101">
        <f t="shared" si="561"/>
        <v>4</v>
      </c>
      <c r="FZ1140" s="101" t="str">
        <f t="shared" si="553"/>
        <v>金币</v>
      </c>
      <c r="GA1140" s="139">
        <f>IF($FY1140&gt;0,IF(INDEX($EM$6:$EM$77,$FT1140)&gt;=GA$3,ROUND(INDEX(EO$6:EO$77,$FT1140)*INDEX(卡牌消耗!$B$8:$F$8,FV1140)/5,0)*5,""),"")</f>
        <v>420</v>
      </c>
      <c r="GB1140" s="101" t="str">
        <f t="shared" si="554"/>
        <v>专属强化石1</v>
      </c>
      <c r="GC1140" s="101">
        <f t="shared" si="555"/>
        <v>6</v>
      </c>
      <c r="GD1140" s="101" t="str">
        <f t="shared" si="556"/>
        <v>专属强化石2</v>
      </c>
      <c r="GE1140" s="101">
        <f t="shared" si="557"/>
        <v>2</v>
      </c>
      <c r="GF1140" s="101">
        <f t="shared" si="562"/>
        <v>0.15</v>
      </c>
      <c r="GG1140" s="101">
        <f t="shared" si="563"/>
        <v>1</v>
      </c>
      <c r="GH1140" s="101">
        <f t="shared" si="564"/>
        <v>10</v>
      </c>
      <c r="GI1140" s="101">
        <f t="shared" si="565"/>
        <v>0</v>
      </c>
      <c r="GJ1140" s="101">
        <f t="shared" si="566"/>
        <v>1</v>
      </c>
      <c r="GK1140" s="101">
        <f t="shared" si="567"/>
        <v>2</v>
      </c>
      <c r="GL1140" s="101">
        <f t="shared" si="568"/>
        <v>7.7100000000000002E-2</v>
      </c>
      <c r="GM1140" s="101">
        <f t="shared" si="569"/>
        <v>1</v>
      </c>
      <c r="GN1140" s="101">
        <f t="shared" si="570"/>
        <v>5</v>
      </c>
      <c r="GO1140" s="101">
        <f t="shared" si="571"/>
        <v>0.30830000000000002</v>
      </c>
      <c r="GP1140" s="101">
        <f t="shared" si="572"/>
        <v>1</v>
      </c>
      <c r="GQ1140" s="101">
        <f t="shared" si="573"/>
        <v>10</v>
      </c>
    </row>
    <row r="1141" spans="175:199" ht="16.5" x14ac:dyDescent="0.2">
      <c r="FS1141" s="101">
        <v>1136</v>
      </c>
      <c r="FT1141" s="101">
        <f t="shared" si="558"/>
        <v>14</v>
      </c>
      <c r="FU1141" s="101">
        <f t="shared" si="551"/>
        <v>15</v>
      </c>
      <c r="FV1141" s="14">
        <f t="shared" si="552"/>
        <v>3</v>
      </c>
      <c r="FW1141" s="101" t="str">
        <f t="shared" si="559"/>
        <v>高顺专属武器-魂珠-2 5级</v>
      </c>
      <c r="FX1141" s="101">
        <f t="shared" si="560"/>
        <v>2</v>
      </c>
      <c r="FY1141" s="101">
        <f t="shared" si="561"/>
        <v>5</v>
      </c>
      <c r="FZ1141" s="101" t="str">
        <f t="shared" si="553"/>
        <v>金币</v>
      </c>
      <c r="GA1141" s="139">
        <f>IF($FY1141&gt;0,IF(INDEX($EM$6:$EM$77,$FT1141)&gt;=GA$3,ROUND(INDEX(EO$6:EO$77,$FT1141)*INDEX(卡牌消耗!$B$8:$F$8,FV1141)/5,0)*5,""),"")</f>
        <v>635</v>
      </c>
      <c r="GB1141" s="101" t="str">
        <f t="shared" si="554"/>
        <v>专属强化石1</v>
      </c>
      <c r="GC1141" s="101">
        <f t="shared" si="555"/>
        <v>9</v>
      </c>
      <c r="GD1141" s="101" t="str">
        <f t="shared" si="556"/>
        <v>专属强化石2</v>
      </c>
      <c r="GE1141" s="101">
        <f t="shared" si="557"/>
        <v>3</v>
      </c>
      <c r="GF1141" s="101">
        <f t="shared" si="562"/>
        <v>0.14000000000000001</v>
      </c>
      <c r="GG1141" s="101">
        <f t="shared" si="563"/>
        <v>1</v>
      </c>
      <c r="GH1141" s="101">
        <f t="shared" si="564"/>
        <v>10</v>
      </c>
      <c r="GI1141" s="101">
        <f t="shared" si="565"/>
        <v>0</v>
      </c>
      <c r="GJ1141" s="101">
        <f t="shared" si="566"/>
        <v>1</v>
      </c>
      <c r="GK1141" s="101">
        <f t="shared" si="567"/>
        <v>2</v>
      </c>
      <c r="GL1141" s="101">
        <f t="shared" si="568"/>
        <v>7.22E-2</v>
      </c>
      <c r="GM1141" s="101">
        <f t="shared" si="569"/>
        <v>1</v>
      </c>
      <c r="GN1141" s="101">
        <f t="shared" si="570"/>
        <v>5</v>
      </c>
      <c r="GO1141" s="101">
        <f t="shared" si="571"/>
        <v>0.28899999999999998</v>
      </c>
      <c r="GP1141" s="101">
        <f t="shared" si="572"/>
        <v>1</v>
      </c>
      <c r="GQ1141" s="101">
        <f t="shared" si="573"/>
        <v>10</v>
      </c>
    </row>
    <row r="1142" spans="175:199" ht="16.5" x14ac:dyDescent="0.2">
      <c r="FS1142" s="101">
        <v>1137</v>
      </c>
      <c r="FT1142" s="101">
        <f t="shared" si="558"/>
        <v>15</v>
      </c>
      <c r="FU1142" s="101">
        <f t="shared" si="551"/>
        <v>15</v>
      </c>
      <c r="FV1142" s="14">
        <f t="shared" si="552"/>
        <v>3</v>
      </c>
      <c r="FW1142" s="101" t="str">
        <f t="shared" si="559"/>
        <v>高顺专属武器-魂珠-2 6级</v>
      </c>
      <c r="FX1142" s="101">
        <f t="shared" si="560"/>
        <v>2</v>
      </c>
      <c r="FY1142" s="101">
        <f t="shared" si="561"/>
        <v>6</v>
      </c>
      <c r="FZ1142" s="101" t="str">
        <f t="shared" si="553"/>
        <v>金币</v>
      </c>
      <c r="GA1142" s="139">
        <f>IF($FY1142&gt;0,IF(INDEX($EM$6:$EM$77,$FT1142)&gt;=GA$3,ROUND(INDEX(EO$6:EO$77,$FT1142)*INDEX(卡牌消耗!$B$8:$F$8,FV1142)/5,0)*5,""),"")</f>
        <v>845</v>
      </c>
      <c r="GB1142" s="101" t="str">
        <f t="shared" si="554"/>
        <v>专属强化石1</v>
      </c>
      <c r="GC1142" s="101">
        <f t="shared" si="555"/>
        <v>12</v>
      </c>
      <c r="GD1142" s="101" t="str">
        <f t="shared" si="556"/>
        <v>专属强化石2</v>
      </c>
      <c r="GE1142" s="101">
        <f t="shared" si="557"/>
        <v>4</v>
      </c>
      <c r="GF1142" s="101">
        <f t="shared" si="562"/>
        <v>0.12</v>
      </c>
      <c r="GG1142" s="101">
        <f t="shared" si="563"/>
        <v>1</v>
      </c>
      <c r="GH1142" s="101">
        <f t="shared" si="564"/>
        <v>13</v>
      </c>
      <c r="GI1142" s="101">
        <f t="shared" si="565"/>
        <v>0</v>
      </c>
      <c r="GJ1142" s="101">
        <f t="shared" si="566"/>
        <v>1</v>
      </c>
      <c r="GK1142" s="101">
        <f t="shared" si="567"/>
        <v>3</v>
      </c>
      <c r="GL1142" s="101">
        <f t="shared" si="568"/>
        <v>5.9299999999999999E-2</v>
      </c>
      <c r="GM1142" s="101">
        <f t="shared" si="569"/>
        <v>1</v>
      </c>
      <c r="GN1142" s="101">
        <f t="shared" si="570"/>
        <v>6</v>
      </c>
      <c r="GO1142" s="101">
        <f t="shared" si="571"/>
        <v>0.23710000000000001</v>
      </c>
      <c r="GP1142" s="101">
        <f t="shared" si="572"/>
        <v>1</v>
      </c>
      <c r="GQ1142" s="101">
        <f t="shared" si="573"/>
        <v>13</v>
      </c>
    </row>
    <row r="1143" spans="175:199" ht="16.5" x14ac:dyDescent="0.2">
      <c r="FS1143" s="101">
        <v>1138</v>
      </c>
      <c r="FT1143" s="101">
        <f t="shared" si="558"/>
        <v>16</v>
      </c>
      <c r="FU1143" s="101">
        <f t="shared" si="551"/>
        <v>15</v>
      </c>
      <c r="FV1143" s="14">
        <f t="shared" si="552"/>
        <v>3</v>
      </c>
      <c r="FW1143" s="101" t="str">
        <f t="shared" si="559"/>
        <v>高顺专属武器-魂珠-2 7级</v>
      </c>
      <c r="FX1143" s="101">
        <f t="shared" si="560"/>
        <v>2</v>
      </c>
      <c r="FY1143" s="101">
        <f t="shared" si="561"/>
        <v>7</v>
      </c>
      <c r="FZ1143" s="101" t="str">
        <f t="shared" si="553"/>
        <v>金币</v>
      </c>
      <c r="GA1143" s="139">
        <f>IF($FY1143&gt;0,IF(INDEX($EM$6:$EM$77,$FT1143)&gt;=GA$3,ROUND(INDEX(EO$6:EO$77,$FT1143)*INDEX(卡牌消耗!$B$8:$F$8,FV1143)/5,0)*5,""),"")</f>
        <v>1060</v>
      </c>
      <c r="GB1143" s="101" t="str">
        <f t="shared" si="554"/>
        <v>专属强化石1</v>
      </c>
      <c r="GC1143" s="101">
        <f t="shared" si="555"/>
        <v>15</v>
      </c>
      <c r="GD1143" s="101" t="str">
        <f t="shared" si="556"/>
        <v>专属强化石2</v>
      </c>
      <c r="GE1143" s="101">
        <f t="shared" si="557"/>
        <v>5</v>
      </c>
      <c r="GF1143" s="101">
        <f t="shared" si="562"/>
        <v>0.09</v>
      </c>
      <c r="GG1143" s="101">
        <f t="shared" si="563"/>
        <v>1</v>
      </c>
      <c r="GH1143" s="101">
        <f t="shared" si="564"/>
        <v>16</v>
      </c>
      <c r="GI1143" s="101">
        <f t="shared" si="565"/>
        <v>0</v>
      </c>
      <c r="GJ1143" s="101">
        <f t="shared" si="566"/>
        <v>1</v>
      </c>
      <c r="GK1143" s="101">
        <f t="shared" si="567"/>
        <v>4</v>
      </c>
      <c r="GL1143" s="101">
        <f t="shared" si="568"/>
        <v>4.5900000000000003E-2</v>
      </c>
      <c r="GM1143" s="101">
        <f t="shared" si="569"/>
        <v>1</v>
      </c>
      <c r="GN1143" s="101">
        <f t="shared" si="570"/>
        <v>8</v>
      </c>
      <c r="GO1143" s="101">
        <f t="shared" si="571"/>
        <v>0.1835</v>
      </c>
      <c r="GP1143" s="101">
        <f t="shared" si="572"/>
        <v>1</v>
      </c>
      <c r="GQ1143" s="101">
        <f t="shared" si="573"/>
        <v>16</v>
      </c>
    </row>
    <row r="1144" spans="175:199" ht="16.5" x14ac:dyDescent="0.2">
      <c r="FS1144" s="101">
        <v>1139</v>
      </c>
      <c r="FT1144" s="101">
        <f t="shared" si="558"/>
        <v>17</v>
      </c>
      <c r="FU1144" s="101">
        <f t="shared" si="551"/>
        <v>15</v>
      </c>
      <c r="FV1144" s="14">
        <f t="shared" si="552"/>
        <v>3</v>
      </c>
      <c r="FW1144" s="101" t="str">
        <f t="shared" si="559"/>
        <v>高顺专属武器-魂珠-2 8级</v>
      </c>
      <c r="FX1144" s="101">
        <f t="shared" si="560"/>
        <v>2</v>
      </c>
      <c r="FY1144" s="101">
        <f t="shared" si="561"/>
        <v>8</v>
      </c>
      <c r="FZ1144" s="101" t="str">
        <f t="shared" si="553"/>
        <v>金币</v>
      </c>
      <c r="GA1144" s="139">
        <f>IF($FY1144&gt;0,IF(INDEX($EM$6:$EM$77,$FT1144)&gt;=GA$3,ROUND(INDEX(EO$6:EO$77,$FT1144)*INDEX(卡牌消耗!$B$8:$F$8,FV1144)/5,0)*5,""),"")</f>
        <v>1270</v>
      </c>
      <c r="GB1144" s="101" t="str">
        <f t="shared" si="554"/>
        <v>专属强化石1</v>
      </c>
      <c r="GC1144" s="101">
        <f t="shared" si="555"/>
        <v>18</v>
      </c>
      <c r="GD1144" s="101" t="str">
        <f t="shared" si="556"/>
        <v>专属强化石2</v>
      </c>
      <c r="GE1144" s="101">
        <f t="shared" si="557"/>
        <v>6</v>
      </c>
      <c r="GF1144" s="101">
        <f t="shared" si="562"/>
        <v>7.0000000000000007E-2</v>
      </c>
      <c r="GG1144" s="101">
        <f t="shared" si="563"/>
        <v>1</v>
      </c>
      <c r="GH1144" s="101">
        <f t="shared" si="564"/>
        <v>22</v>
      </c>
      <c r="GI1144" s="101">
        <f t="shared" si="565"/>
        <v>0</v>
      </c>
      <c r="GJ1144" s="101">
        <f t="shared" si="566"/>
        <v>1</v>
      </c>
      <c r="GK1144" s="101">
        <f t="shared" si="567"/>
        <v>5</v>
      </c>
      <c r="GL1144" s="101">
        <f t="shared" si="568"/>
        <v>3.4000000000000002E-2</v>
      </c>
      <c r="GM1144" s="101">
        <f t="shared" si="569"/>
        <v>1</v>
      </c>
      <c r="GN1144" s="101">
        <f t="shared" si="570"/>
        <v>10</v>
      </c>
      <c r="GO1144" s="101">
        <f t="shared" si="571"/>
        <v>0.13600000000000001</v>
      </c>
      <c r="GP1144" s="101">
        <f t="shared" si="572"/>
        <v>1</v>
      </c>
      <c r="GQ1144" s="101">
        <f t="shared" si="573"/>
        <v>22</v>
      </c>
    </row>
    <row r="1145" spans="175:199" ht="16.5" x14ac:dyDescent="0.2">
      <c r="FS1145" s="101">
        <v>1140</v>
      </c>
      <c r="FT1145" s="101">
        <f t="shared" si="558"/>
        <v>18</v>
      </c>
      <c r="FU1145" s="101">
        <f t="shared" si="551"/>
        <v>15</v>
      </c>
      <c r="FV1145" s="14">
        <f t="shared" si="552"/>
        <v>3</v>
      </c>
      <c r="FW1145" s="101" t="str">
        <f t="shared" si="559"/>
        <v>高顺专属武器-魂珠-2 9级</v>
      </c>
      <c r="FX1145" s="101">
        <f t="shared" si="560"/>
        <v>2</v>
      </c>
      <c r="FY1145" s="101">
        <f t="shared" si="561"/>
        <v>9</v>
      </c>
      <c r="FZ1145" s="101" t="str">
        <f t="shared" si="553"/>
        <v>金币</v>
      </c>
      <c r="GA1145" s="139">
        <f>IF($FY1145&gt;0,IF(INDEX($EM$6:$EM$77,$FT1145)&gt;=GA$3,ROUND(INDEX(EO$6:EO$77,$FT1145)*INDEX(卡牌消耗!$B$8:$F$8,FV1145)/5,0)*5,""),"")</f>
        <v>1695</v>
      </c>
      <c r="GB1145" s="101" t="str">
        <f t="shared" si="554"/>
        <v>专属强化石1</v>
      </c>
      <c r="GC1145" s="101">
        <f t="shared" si="555"/>
        <v>24</v>
      </c>
      <c r="GD1145" s="101" t="str">
        <f t="shared" si="556"/>
        <v>专属强化石2</v>
      </c>
      <c r="GE1145" s="101">
        <f t="shared" si="557"/>
        <v>8</v>
      </c>
      <c r="GF1145" s="101">
        <f t="shared" si="562"/>
        <v>0.06</v>
      </c>
      <c r="GG1145" s="101">
        <f t="shared" si="563"/>
        <v>1</v>
      </c>
      <c r="GH1145" s="101">
        <f t="shared" si="564"/>
        <v>27</v>
      </c>
      <c r="GI1145" s="101">
        <f t="shared" si="565"/>
        <v>0</v>
      </c>
      <c r="GJ1145" s="101">
        <f t="shared" si="566"/>
        <v>1</v>
      </c>
      <c r="GK1145" s="101">
        <f t="shared" si="567"/>
        <v>6</v>
      </c>
      <c r="GL1145" s="101">
        <f t="shared" si="568"/>
        <v>2.8000000000000001E-2</v>
      </c>
      <c r="GM1145" s="101">
        <f t="shared" si="569"/>
        <v>1</v>
      </c>
      <c r="GN1145" s="101">
        <f t="shared" si="570"/>
        <v>12</v>
      </c>
      <c r="GO1145" s="101">
        <f t="shared" si="571"/>
        <v>0.11210000000000001</v>
      </c>
      <c r="GP1145" s="101">
        <f t="shared" si="572"/>
        <v>1</v>
      </c>
      <c r="GQ1145" s="101">
        <f t="shared" si="573"/>
        <v>27</v>
      </c>
    </row>
    <row r="1146" spans="175:199" ht="16.5" x14ac:dyDescent="0.2">
      <c r="FS1146" s="101">
        <v>1141</v>
      </c>
      <c r="FT1146" s="101">
        <f t="shared" si="558"/>
        <v>0</v>
      </c>
      <c r="FU1146" s="101">
        <f t="shared" si="551"/>
        <v>15</v>
      </c>
      <c r="FV1146" s="14">
        <f t="shared" si="552"/>
        <v>3</v>
      </c>
      <c r="FW1146" s="101" t="str">
        <f t="shared" si="559"/>
        <v>高顺专属武器-魂珠-3 0级</v>
      </c>
      <c r="FX1146" s="101">
        <f t="shared" si="560"/>
        <v>3</v>
      </c>
      <c r="FY1146" s="101">
        <f t="shared" si="561"/>
        <v>0</v>
      </c>
      <c r="FZ1146" s="101" t="str">
        <f t="shared" si="553"/>
        <v/>
      </c>
      <c r="GA1146" s="139" t="str">
        <f>IF($FY1146&gt;0,IF(INDEX($EM$6:$EM$77,$FT1146)&gt;=GA$3,ROUND(INDEX(EO$6:EO$77,$FT1146)*INDEX(卡牌消耗!$B$8:$F$8,FV1146)/5,0)*5,""),"")</f>
        <v/>
      </c>
      <c r="GB1146" s="101" t="str">
        <f t="shared" si="554"/>
        <v/>
      </c>
      <c r="GC1146" s="101" t="str">
        <f t="shared" si="555"/>
        <v/>
      </c>
      <c r="GD1146" s="101" t="str">
        <f t="shared" si="556"/>
        <v/>
      </c>
      <c r="GE1146" s="101" t="str">
        <f t="shared" si="557"/>
        <v/>
      </c>
      <c r="GF1146" s="101" t="str">
        <f t="shared" si="562"/>
        <v/>
      </c>
      <c r="GG1146" s="101" t="str">
        <f t="shared" si="563"/>
        <v/>
      </c>
      <c r="GH1146" s="101" t="str">
        <f t="shared" si="564"/>
        <v/>
      </c>
      <c r="GI1146" s="101" t="str">
        <f t="shared" si="565"/>
        <v/>
      </c>
      <c r="GJ1146" s="101" t="str">
        <f t="shared" si="566"/>
        <v/>
      </c>
      <c r="GK1146" s="101" t="str">
        <f t="shared" si="567"/>
        <v/>
      </c>
      <c r="GL1146" s="101" t="str">
        <f t="shared" si="568"/>
        <v/>
      </c>
      <c r="GM1146" s="101" t="str">
        <f t="shared" si="569"/>
        <v/>
      </c>
      <c r="GN1146" s="101" t="str">
        <f t="shared" si="570"/>
        <v/>
      </c>
      <c r="GO1146" s="101" t="str">
        <f t="shared" si="571"/>
        <v/>
      </c>
      <c r="GP1146" s="101" t="str">
        <f t="shared" si="572"/>
        <v/>
      </c>
      <c r="GQ1146" s="101" t="str">
        <f t="shared" si="573"/>
        <v/>
      </c>
    </row>
    <row r="1147" spans="175:199" ht="16.5" x14ac:dyDescent="0.2">
      <c r="FS1147" s="101">
        <v>1142</v>
      </c>
      <c r="FT1147" s="101">
        <f t="shared" si="558"/>
        <v>19</v>
      </c>
      <c r="FU1147" s="101">
        <f t="shared" si="551"/>
        <v>15</v>
      </c>
      <c r="FV1147" s="14">
        <f t="shared" si="552"/>
        <v>3</v>
      </c>
      <c r="FW1147" s="101" t="str">
        <f t="shared" si="559"/>
        <v>高顺专属武器-魂珠-3 1级</v>
      </c>
      <c r="FX1147" s="101">
        <f t="shared" si="560"/>
        <v>3</v>
      </c>
      <c r="FY1147" s="101">
        <f t="shared" si="561"/>
        <v>1</v>
      </c>
      <c r="FZ1147" s="101" t="str">
        <f t="shared" si="553"/>
        <v>金币</v>
      </c>
      <c r="GA1147" s="139">
        <f>IF($FY1147&gt;0,IF(INDEX($EM$6:$EM$77,$FT1147)&gt;=GA$3,ROUND(INDEX(EO$6:EO$77,$FT1147)*INDEX(卡牌消耗!$B$8:$F$8,FV1147)/5,0)*5,""),"")</f>
        <v>545</v>
      </c>
      <c r="GB1147" s="101" t="str">
        <f t="shared" si="554"/>
        <v>专属强化石1</v>
      </c>
      <c r="GC1147" s="101">
        <f t="shared" si="555"/>
        <v>4</v>
      </c>
      <c r="GD1147" s="101" t="str">
        <f t="shared" si="556"/>
        <v>专属强化石2</v>
      </c>
      <c r="GE1147" s="101">
        <f t="shared" si="557"/>
        <v>2</v>
      </c>
      <c r="GF1147" s="101">
        <f t="shared" si="562"/>
        <v>0.31</v>
      </c>
      <c r="GG1147" s="101">
        <f t="shared" si="563"/>
        <v>1</v>
      </c>
      <c r="GH1147" s="101">
        <f t="shared" si="564"/>
        <v>5</v>
      </c>
      <c r="GI1147" s="101">
        <f t="shared" si="565"/>
        <v>0</v>
      </c>
      <c r="GJ1147" s="101">
        <f t="shared" si="566"/>
        <v>1</v>
      </c>
      <c r="GK1147" s="101">
        <f t="shared" si="567"/>
        <v>1</v>
      </c>
      <c r="GL1147" s="101">
        <f t="shared" si="568"/>
        <v>0.15409999999999999</v>
      </c>
      <c r="GM1147" s="101">
        <f t="shared" si="569"/>
        <v>1</v>
      </c>
      <c r="GN1147" s="101">
        <f t="shared" si="570"/>
        <v>2</v>
      </c>
      <c r="GO1147" s="101">
        <f t="shared" si="571"/>
        <v>0.61650000000000005</v>
      </c>
      <c r="GP1147" s="101">
        <f t="shared" si="572"/>
        <v>1</v>
      </c>
      <c r="GQ1147" s="101">
        <f t="shared" si="573"/>
        <v>5</v>
      </c>
    </row>
    <row r="1148" spans="175:199" ht="16.5" x14ac:dyDescent="0.2">
      <c r="FS1148" s="101">
        <v>1143</v>
      </c>
      <c r="FT1148" s="101">
        <f t="shared" si="558"/>
        <v>20</v>
      </c>
      <c r="FU1148" s="101">
        <f t="shared" si="551"/>
        <v>15</v>
      </c>
      <c r="FV1148" s="14">
        <f t="shared" si="552"/>
        <v>3</v>
      </c>
      <c r="FW1148" s="101" t="str">
        <f t="shared" si="559"/>
        <v>高顺专属武器-魂珠-3 2级</v>
      </c>
      <c r="FX1148" s="101">
        <f t="shared" si="560"/>
        <v>3</v>
      </c>
      <c r="FY1148" s="101">
        <f t="shared" si="561"/>
        <v>2</v>
      </c>
      <c r="FZ1148" s="101" t="str">
        <f t="shared" si="553"/>
        <v>金币</v>
      </c>
      <c r="GA1148" s="139">
        <f>IF($FY1148&gt;0,IF(INDEX($EM$6:$EM$77,$FT1148)&gt;=GA$3,ROUND(INDEX(EO$6:EO$77,$FT1148)*INDEX(卡牌消耗!$B$8:$F$8,FV1148)/5,0)*5,""),"")</f>
        <v>410</v>
      </c>
      <c r="GB1148" s="101" t="str">
        <f t="shared" si="554"/>
        <v>专属强化石1</v>
      </c>
      <c r="GC1148" s="101">
        <f t="shared" si="555"/>
        <v>4</v>
      </c>
      <c r="GD1148" s="101" t="str">
        <f t="shared" si="556"/>
        <v>专属强化石2</v>
      </c>
      <c r="GE1148" s="101">
        <f t="shared" si="557"/>
        <v>2</v>
      </c>
      <c r="GF1148" s="101">
        <f t="shared" si="562"/>
        <v>0.15</v>
      </c>
      <c r="GG1148" s="101">
        <f t="shared" si="563"/>
        <v>1</v>
      </c>
      <c r="GH1148" s="101">
        <f t="shared" si="564"/>
        <v>10</v>
      </c>
      <c r="GI1148" s="101">
        <f t="shared" si="565"/>
        <v>0</v>
      </c>
      <c r="GJ1148" s="101">
        <f t="shared" si="566"/>
        <v>1</v>
      </c>
      <c r="GK1148" s="101">
        <f t="shared" si="567"/>
        <v>2</v>
      </c>
      <c r="GL1148" s="101">
        <f t="shared" si="568"/>
        <v>7.7100000000000002E-2</v>
      </c>
      <c r="GM1148" s="101">
        <f t="shared" si="569"/>
        <v>1</v>
      </c>
      <c r="GN1148" s="101">
        <f t="shared" si="570"/>
        <v>5</v>
      </c>
      <c r="GO1148" s="101">
        <f t="shared" si="571"/>
        <v>0.30830000000000002</v>
      </c>
      <c r="GP1148" s="101">
        <f t="shared" si="572"/>
        <v>1</v>
      </c>
      <c r="GQ1148" s="101">
        <f t="shared" si="573"/>
        <v>10</v>
      </c>
    </row>
    <row r="1149" spans="175:199" ht="16.5" x14ac:dyDescent="0.2">
      <c r="FS1149" s="101">
        <v>1144</v>
      </c>
      <c r="FT1149" s="101">
        <f t="shared" si="558"/>
        <v>21</v>
      </c>
      <c r="FU1149" s="101">
        <f t="shared" si="551"/>
        <v>15</v>
      </c>
      <c r="FV1149" s="14">
        <f t="shared" si="552"/>
        <v>3</v>
      </c>
      <c r="FW1149" s="101" t="str">
        <f t="shared" si="559"/>
        <v>高顺专属武器-魂珠-3 3级</v>
      </c>
      <c r="FX1149" s="101">
        <f t="shared" si="560"/>
        <v>3</v>
      </c>
      <c r="FY1149" s="101">
        <f t="shared" si="561"/>
        <v>3</v>
      </c>
      <c r="FZ1149" s="101" t="str">
        <f t="shared" si="553"/>
        <v>金币</v>
      </c>
      <c r="GA1149" s="139">
        <f>IF($FY1149&gt;0,IF(INDEX($EM$6:$EM$77,$FT1149)&gt;=GA$3,ROUND(INDEX(EO$6:EO$77,$FT1149)*INDEX(卡牌消耗!$B$8:$F$8,FV1149)/5,0)*5,""),"")</f>
        <v>680</v>
      </c>
      <c r="GB1149" s="101" t="str">
        <f t="shared" si="554"/>
        <v>专属强化石1</v>
      </c>
      <c r="GC1149" s="101">
        <f t="shared" si="555"/>
        <v>6</v>
      </c>
      <c r="GD1149" s="101" t="str">
        <f t="shared" si="556"/>
        <v>专属强化石2</v>
      </c>
      <c r="GE1149" s="101">
        <f t="shared" si="557"/>
        <v>3</v>
      </c>
      <c r="GF1149" s="101">
        <f t="shared" si="562"/>
        <v>0.15</v>
      </c>
      <c r="GG1149" s="101">
        <f t="shared" si="563"/>
        <v>1</v>
      </c>
      <c r="GH1149" s="101">
        <f t="shared" si="564"/>
        <v>10</v>
      </c>
      <c r="GI1149" s="101">
        <f t="shared" si="565"/>
        <v>0</v>
      </c>
      <c r="GJ1149" s="101">
        <f t="shared" si="566"/>
        <v>1</v>
      </c>
      <c r="GK1149" s="101">
        <f t="shared" si="567"/>
        <v>2</v>
      </c>
      <c r="GL1149" s="101">
        <f t="shared" si="568"/>
        <v>7.7100000000000002E-2</v>
      </c>
      <c r="GM1149" s="101">
        <f t="shared" si="569"/>
        <v>1</v>
      </c>
      <c r="GN1149" s="101">
        <f t="shared" si="570"/>
        <v>5</v>
      </c>
      <c r="GO1149" s="101">
        <f t="shared" si="571"/>
        <v>0.30830000000000002</v>
      </c>
      <c r="GP1149" s="101">
        <f t="shared" si="572"/>
        <v>1</v>
      </c>
      <c r="GQ1149" s="101">
        <f t="shared" si="573"/>
        <v>10</v>
      </c>
    </row>
    <row r="1150" spans="175:199" ht="16.5" x14ac:dyDescent="0.2">
      <c r="FS1150" s="101">
        <v>1145</v>
      </c>
      <c r="FT1150" s="101">
        <f t="shared" si="558"/>
        <v>22</v>
      </c>
      <c r="FU1150" s="101">
        <f t="shared" si="551"/>
        <v>15</v>
      </c>
      <c r="FV1150" s="14">
        <f t="shared" si="552"/>
        <v>3</v>
      </c>
      <c r="FW1150" s="101" t="str">
        <f t="shared" si="559"/>
        <v>高顺专属武器-魂珠-3 4级</v>
      </c>
      <c r="FX1150" s="101">
        <f t="shared" si="560"/>
        <v>3</v>
      </c>
      <c r="FY1150" s="101">
        <f t="shared" si="561"/>
        <v>4</v>
      </c>
      <c r="FZ1150" s="101" t="str">
        <f t="shared" si="553"/>
        <v>金币</v>
      </c>
      <c r="GA1150" s="139">
        <f>IF($FY1150&gt;0,IF(INDEX($EM$6:$EM$77,$FT1150)&gt;=GA$3,ROUND(INDEX(EO$6:EO$77,$FT1150)*INDEX(卡牌消耗!$B$8:$F$8,FV1150)/5,0)*5,""),"")</f>
        <v>655</v>
      </c>
      <c r="GB1150" s="101" t="str">
        <f t="shared" si="554"/>
        <v>专属强化石1</v>
      </c>
      <c r="GC1150" s="101">
        <f t="shared" si="555"/>
        <v>6</v>
      </c>
      <c r="GD1150" s="101" t="str">
        <f t="shared" si="556"/>
        <v>专属强化石2</v>
      </c>
      <c r="GE1150" s="101">
        <f t="shared" si="557"/>
        <v>3</v>
      </c>
      <c r="GF1150" s="101">
        <f t="shared" si="562"/>
        <v>0.09</v>
      </c>
      <c r="GG1150" s="101">
        <f t="shared" si="563"/>
        <v>1</v>
      </c>
      <c r="GH1150" s="101">
        <f t="shared" si="564"/>
        <v>16</v>
      </c>
      <c r="GI1150" s="101">
        <f t="shared" si="565"/>
        <v>0</v>
      </c>
      <c r="GJ1150" s="101">
        <f t="shared" si="566"/>
        <v>1</v>
      </c>
      <c r="GK1150" s="101">
        <f t="shared" si="567"/>
        <v>4</v>
      </c>
      <c r="GL1150" s="101">
        <f t="shared" si="568"/>
        <v>4.6199999999999998E-2</v>
      </c>
      <c r="GM1150" s="101">
        <f t="shared" si="569"/>
        <v>1</v>
      </c>
      <c r="GN1150" s="101">
        <f t="shared" si="570"/>
        <v>8</v>
      </c>
      <c r="GO1150" s="101">
        <f t="shared" si="571"/>
        <v>0.185</v>
      </c>
      <c r="GP1150" s="101">
        <f t="shared" si="572"/>
        <v>1</v>
      </c>
      <c r="GQ1150" s="101">
        <f t="shared" si="573"/>
        <v>16</v>
      </c>
    </row>
    <row r="1151" spans="175:199" ht="16.5" x14ac:dyDescent="0.2">
      <c r="FS1151" s="101">
        <v>1146</v>
      </c>
      <c r="FT1151" s="101">
        <f t="shared" si="558"/>
        <v>23</v>
      </c>
      <c r="FU1151" s="101">
        <f t="shared" si="551"/>
        <v>15</v>
      </c>
      <c r="FV1151" s="14">
        <f t="shared" si="552"/>
        <v>3</v>
      </c>
      <c r="FW1151" s="101" t="str">
        <f t="shared" si="559"/>
        <v>高顺专属武器-魂珠-3 5级</v>
      </c>
      <c r="FX1151" s="101">
        <f t="shared" si="560"/>
        <v>3</v>
      </c>
      <c r="FY1151" s="101">
        <f t="shared" si="561"/>
        <v>5</v>
      </c>
      <c r="FZ1151" s="101" t="str">
        <f t="shared" si="553"/>
        <v>金币</v>
      </c>
      <c r="GA1151" s="139">
        <f>IF($FY1151&gt;0,IF(INDEX($EM$6:$EM$77,$FT1151)&gt;=GA$3,ROUND(INDEX(EO$6:EO$77,$FT1151)*INDEX(卡牌消耗!$B$8:$F$8,FV1151)/5,0)*5,""),"")</f>
        <v>885</v>
      </c>
      <c r="GB1151" s="101" t="str">
        <f t="shared" si="554"/>
        <v>专属强化石1</v>
      </c>
      <c r="GC1151" s="101">
        <f t="shared" si="555"/>
        <v>8</v>
      </c>
      <c r="GD1151" s="101" t="str">
        <f t="shared" si="556"/>
        <v>专属强化石2</v>
      </c>
      <c r="GE1151" s="101">
        <f t="shared" si="557"/>
        <v>4</v>
      </c>
      <c r="GF1151" s="101">
        <f t="shared" si="562"/>
        <v>0.08</v>
      </c>
      <c r="GG1151" s="101">
        <f t="shared" si="563"/>
        <v>1</v>
      </c>
      <c r="GH1151" s="101">
        <f t="shared" si="564"/>
        <v>19</v>
      </c>
      <c r="GI1151" s="101">
        <f t="shared" si="565"/>
        <v>0</v>
      </c>
      <c r="GJ1151" s="101">
        <f t="shared" si="566"/>
        <v>1</v>
      </c>
      <c r="GK1151" s="101">
        <f t="shared" si="567"/>
        <v>5</v>
      </c>
      <c r="GL1151" s="101">
        <f t="shared" si="568"/>
        <v>3.85E-2</v>
      </c>
      <c r="GM1151" s="101">
        <f t="shared" si="569"/>
        <v>1</v>
      </c>
      <c r="GN1151" s="101">
        <f t="shared" si="570"/>
        <v>9</v>
      </c>
      <c r="GO1151" s="101">
        <f t="shared" si="571"/>
        <v>0.15409999999999999</v>
      </c>
      <c r="GP1151" s="101">
        <f t="shared" si="572"/>
        <v>1</v>
      </c>
      <c r="GQ1151" s="101">
        <f t="shared" si="573"/>
        <v>19</v>
      </c>
    </row>
    <row r="1152" spans="175:199" ht="16.5" x14ac:dyDescent="0.2">
      <c r="FS1152" s="101">
        <v>1147</v>
      </c>
      <c r="FT1152" s="101">
        <f t="shared" si="558"/>
        <v>24</v>
      </c>
      <c r="FU1152" s="101">
        <f t="shared" si="551"/>
        <v>15</v>
      </c>
      <c r="FV1152" s="14">
        <f t="shared" si="552"/>
        <v>3</v>
      </c>
      <c r="FW1152" s="101" t="str">
        <f t="shared" si="559"/>
        <v>高顺专属武器-魂珠-3 6级</v>
      </c>
      <c r="FX1152" s="101">
        <f t="shared" si="560"/>
        <v>3</v>
      </c>
      <c r="FY1152" s="101">
        <f t="shared" si="561"/>
        <v>6</v>
      </c>
      <c r="FZ1152" s="101" t="str">
        <f t="shared" si="553"/>
        <v>金币</v>
      </c>
      <c r="GA1152" s="139">
        <f>IF($FY1152&gt;0,IF(INDEX($EM$6:$EM$77,$FT1152)&gt;=GA$3,ROUND(INDEX(EO$6:EO$77,$FT1152)*INDEX(卡牌消耗!$B$8:$F$8,FV1152)/5,0)*5,""),"")</f>
        <v>1100</v>
      </c>
      <c r="GB1152" s="101" t="str">
        <f t="shared" si="554"/>
        <v>专属强化石1</v>
      </c>
      <c r="GC1152" s="101">
        <f t="shared" si="555"/>
        <v>10</v>
      </c>
      <c r="GD1152" s="101" t="str">
        <f t="shared" si="556"/>
        <v>专属强化石2</v>
      </c>
      <c r="GE1152" s="101">
        <f t="shared" si="557"/>
        <v>5</v>
      </c>
      <c r="GF1152" s="101">
        <f t="shared" si="562"/>
        <v>0.06</v>
      </c>
      <c r="GG1152" s="101">
        <f t="shared" si="563"/>
        <v>1</v>
      </c>
      <c r="GH1152" s="101">
        <f t="shared" si="564"/>
        <v>25</v>
      </c>
      <c r="GI1152" s="101">
        <f t="shared" si="565"/>
        <v>0</v>
      </c>
      <c r="GJ1152" s="101">
        <f t="shared" si="566"/>
        <v>1</v>
      </c>
      <c r="GK1152" s="101">
        <f t="shared" si="567"/>
        <v>6</v>
      </c>
      <c r="GL1152" s="101">
        <f t="shared" si="568"/>
        <v>2.9600000000000001E-2</v>
      </c>
      <c r="GM1152" s="101">
        <f t="shared" si="569"/>
        <v>1</v>
      </c>
      <c r="GN1152" s="101">
        <f t="shared" si="570"/>
        <v>12</v>
      </c>
      <c r="GO1152" s="101">
        <f t="shared" si="571"/>
        <v>0.1186</v>
      </c>
      <c r="GP1152" s="101">
        <f t="shared" si="572"/>
        <v>1</v>
      </c>
      <c r="GQ1152" s="101">
        <f t="shared" si="573"/>
        <v>25</v>
      </c>
    </row>
    <row r="1153" spans="175:199" ht="16.5" x14ac:dyDescent="0.2">
      <c r="FS1153" s="101">
        <v>1148</v>
      </c>
      <c r="FT1153" s="101">
        <f t="shared" si="558"/>
        <v>25</v>
      </c>
      <c r="FU1153" s="101">
        <f t="shared" si="551"/>
        <v>15</v>
      </c>
      <c r="FV1153" s="14">
        <f t="shared" si="552"/>
        <v>3</v>
      </c>
      <c r="FW1153" s="101" t="str">
        <f t="shared" si="559"/>
        <v>高顺专属武器-魂珠-3 7级</v>
      </c>
      <c r="FX1153" s="101">
        <f t="shared" si="560"/>
        <v>3</v>
      </c>
      <c r="FY1153" s="101">
        <f t="shared" si="561"/>
        <v>7</v>
      </c>
      <c r="FZ1153" s="101" t="str">
        <f t="shared" si="553"/>
        <v>金币</v>
      </c>
      <c r="GA1153" s="139">
        <f>IF($FY1153&gt;0,IF(INDEX($EM$6:$EM$77,$FT1153)&gt;=GA$3,ROUND(INDEX(EO$6:EO$77,$FT1153)*INDEX(卡牌消耗!$B$8:$F$8,FV1153)/5,0)*5,""),"")</f>
        <v>1325</v>
      </c>
      <c r="GB1153" s="101" t="str">
        <f t="shared" si="554"/>
        <v>专属强化石1</v>
      </c>
      <c r="GC1153" s="101">
        <f t="shared" si="555"/>
        <v>12</v>
      </c>
      <c r="GD1153" s="101" t="str">
        <f t="shared" si="556"/>
        <v>专属强化石2</v>
      </c>
      <c r="GE1153" s="101">
        <f t="shared" si="557"/>
        <v>6</v>
      </c>
      <c r="GF1153" s="101">
        <f t="shared" si="562"/>
        <v>0.04</v>
      </c>
      <c r="GG1153" s="101">
        <f t="shared" si="563"/>
        <v>1</v>
      </c>
      <c r="GH1153" s="101">
        <f t="shared" si="564"/>
        <v>34</v>
      </c>
      <c r="GI1153" s="101">
        <f t="shared" si="565"/>
        <v>0</v>
      </c>
      <c r="GJ1153" s="101">
        <f t="shared" si="566"/>
        <v>1</v>
      </c>
      <c r="GK1153" s="101">
        <f t="shared" si="567"/>
        <v>8</v>
      </c>
      <c r="GL1153" s="101">
        <f t="shared" si="568"/>
        <v>2.1999999999999999E-2</v>
      </c>
      <c r="GM1153" s="101">
        <f t="shared" si="569"/>
        <v>1</v>
      </c>
      <c r="GN1153" s="101">
        <f t="shared" si="570"/>
        <v>16</v>
      </c>
      <c r="GO1153" s="101">
        <f t="shared" si="571"/>
        <v>8.8099999999999998E-2</v>
      </c>
      <c r="GP1153" s="101">
        <f t="shared" si="572"/>
        <v>1</v>
      </c>
      <c r="GQ1153" s="101">
        <f t="shared" si="573"/>
        <v>34</v>
      </c>
    </row>
    <row r="1154" spans="175:199" ht="16.5" x14ac:dyDescent="0.2">
      <c r="FS1154" s="101">
        <v>1149</v>
      </c>
      <c r="FT1154" s="101">
        <f t="shared" si="558"/>
        <v>26</v>
      </c>
      <c r="FU1154" s="101">
        <f t="shared" si="551"/>
        <v>15</v>
      </c>
      <c r="FV1154" s="14">
        <f t="shared" si="552"/>
        <v>3</v>
      </c>
      <c r="FW1154" s="101" t="str">
        <f t="shared" si="559"/>
        <v>高顺专属武器-魂珠-3 8级</v>
      </c>
      <c r="FX1154" s="101">
        <f t="shared" si="560"/>
        <v>3</v>
      </c>
      <c r="FY1154" s="101">
        <f t="shared" si="561"/>
        <v>8</v>
      </c>
      <c r="FZ1154" s="101" t="str">
        <f t="shared" si="553"/>
        <v>金币</v>
      </c>
      <c r="GA1154" s="139">
        <f>IF($FY1154&gt;0,IF(INDEX($EM$6:$EM$77,$FT1154)&gt;=GA$3,ROUND(INDEX(EO$6:EO$77,$FT1154)*INDEX(卡牌消耗!$B$8:$F$8,FV1154)/5,0)*5,""),"")</f>
        <v>1765</v>
      </c>
      <c r="GB1154" s="101" t="str">
        <f t="shared" si="554"/>
        <v>专属强化石1</v>
      </c>
      <c r="GC1154" s="101">
        <f t="shared" si="555"/>
        <v>16</v>
      </c>
      <c r="GD1154" s="101" t="str">
        <f t="shared" si="556"/>
        <v>专属强化石2</v>
      </c>
      <c r="GE1154" s="101">
        <f t="shared" si="557"/>
        <v>8</v>
      </c>
      <c r="GF1154" s="101">
        <f t="shared" si="562"/>
        <v>0.04</v>
      </c>
      <c r="GG1154" s="101">
        <f t="shared" si="563"/>
        <v>1</v>
      </c>
      <c r="GH1154" s="101">
        <f t="shared" si="564"/>
        <v>41</v>
      </c>
      <c r="GI1154" s="101">
        <f t="shared" si="565"/>
        <v>0</v>
      </c>
      <c r="GJ1154" s="101">
        <f t="shared" si="566"/>
        <v>1</v>
      </c>
      <c r="GK1154" s="101">
        <f t="shared" si="567"/>
        <v>10</v>
      </c>
      <c r="GL1154" s="101">
        <f t="shared" si="568"/>
        <v>1.8100000000000002E-2</v>
      </c>
      <c r="GM1154" s="101">
        <f t="shared" si="569"/>
        <v>1</v>
      </c>
      <c r="GN1154" s="101">
        <f t="shared" si="570"/>
        <v>19</v>
      </c>
      <c r="GO1154" s="101">
        <f t="shared" si="571"/>
        <v>7.2499999999999995E-2</v>
      </c>
      <c r="GP1154" s="101">
        <f t="shared" si="572"/>
        <v>1</v>
      </c>
      <c r="GQ1154" s="101">
        <f t="shared" si="573"/>
        <v>41</v>
      </c>
    </row>
    <row r="1155" spans="175:199" ht="16.5" x14ac:dyDescent="0.2">
      <c r="FS1155" s="101">
        <v>1150</v>
      </c>
      <c r="FT1155" s="101">
        <f t="shared" si="558"/>
        <v>27</v>
      </c>
      <c r="FU1155" s="101">
        <f t="shared" si="551"/>
        <v>15</v>
      </c>
      <c r="FV1155" s="14">
        <f t="shared" si="552"/>
        <v>3</v>
      </c>
      <c r="FW1155" s="101" t="str">
        <f t="shared" si="559"/>
        <v>高顺专属武器-魂珠-3 9级</v>
      </c>
      <c r="FX1155" s="101">
        <f t="shared" si="560"/>
        <v>3</v>
      </c>
      <c r="FY1155" s="101">
        <f t="shared" si="561"/>
        <v>9</v>
      </c>
      <c r="FZ1155" s="101" t="str">
        <f t="shared" si="553"/>
        <v>金币</v>
      </c>
      <c r="GA1155" s="139">
        <f>IF($FY1155&gt;0,IF(INDEX($EM$6:$EM$77,$FT1155)&gt;=GA$3,ROUND(INDEX(EO$6:EO$77,$FT1155)*INDEX(卡牌消耗!$B$8:$F$8,FV1155)/5,0)*5,""),"")</f>
        <v>2205</v>
      </c>
      <c r="GB1155" s="101" t="str">
        <f t="shared" si="554"/>
        <v>专属强化石1</v>
      </c>
      <c r="GC1155" s="101">
        <f t="shared" si="555"/>
        <v>20</v>
      </c>
      <c r="GD1155" s="101" t="str">
        <f t="shared" si="556"/>
        <v>专属强化石2</v>
      </c>
      <c r="GE1155" s="101">
        <f t="shared" si="557"/>
        <v>10</v>
      </c>
      <c r="GF1155" s="101">
        <f t="shared" si="562"/>
        <v>0.03</v>
      </c>
      <c r="GG1155" s="101">
        <f t="shared" si="563"/>
        <v>1</v>
      </c>
      <c r="GH1155" s="101">
        <f t="shared" si="564"/>
        <v>54</v>
      </c>
      <c r="GI1155" s="101">
        <f t="shared" si="565"/>
        <v>0</v>
      </c>
      <c r="GJ1155" s="101">
        <f t="shared" si="566"/>
        <v>1</v>
      </c>
      <c r="GK1155" s="101">
        <f t="shared" si="567"/>
        <v>12</v>
      </c>
      <c r="GL1155" s="101">
        <f t="shared" si="568"/>
        <v>1.4E-2</v>
      </c>
      <c r="GM1155" s="101">
        <f t="shared" si="569"/>
        <v>1</v>
      </c>
      <c r="GN1155" s="101">
        <f t="shared" si="570"/>
        <v>25</v>
      </c>
      <c r="GO1155" s="101">
        <f t="shared" si="571"/>
        <v>5.6000000000000001E-2</v>
      </c>
      <c r="GP1155" s="101">
        <f t="shared" si="572"/>
        <v>1</v>
      </c>
      <c r="GQ1155" s="101">
        <f t="shared" si="573"/>
        <v>54</v>
      </c>
    </row>
    <row r="1156" spans="175:199" ht="16.5" x14ac:dyDescent="0.2">
      <c r="FS1156" s="101">
        <v>1151</v>
      </c>
      <c r="FT1156" s="101">
        <f t="shared" si="558"/>
        <v>0</v>
      </c>
      <c r="FU1156" s="101">
        <f t="shared" si="551"/>
        <v>15</v>
      </c>
      <c r="FV1156" s="14">
        <f t="shared" si="552"/>
        <v>3</v>
      </c>
      <c r="FW1156" s="101" t="str">
        <f t="shared" si="559"/>
        <v>高顺专属武器-魂珠-4 0级</v>
      </c>
      <c r="FX1156" s="101">
        <f t="shared" si="560"/>
        <v>4</v>
      </c>
      <c r="FY1156" s="101">
        <f t="shared" si="561"/>
        <v>0</v>
      </c>
      <c r="FZ1156" s="101" t="str">
        <f t="shared" si="553"/>
        <v/>
      </c>
      <c r="GA1156" s="139" t="str">
        <f>IF($FY1156&gt;0,IF(INDEX($EM$6:$EM$77,$FT1156)&gt;=GA$3,ROUND(INDEX(EO$6:EO$77,$FT1156)*INDEX(卡牌消耗!$B$8:$F$8,FV1156)/5,0)*5,""),"")</f>
        <v/>
      </c>
      <c r="GB1156" s="101" t="str">
        <f t="shared" si="554"/>
        <v/>
      </c>
      <c r="GC1156" s="101" t="str">
        <f t="shared" si="555"/>
        <v/>
      </c>
      <c r="GD1156" s="101" t="str">
        <f t="shared" si="556"/>
        <v/>
      </c>
      <c r="GE1156" s="101" t="str">
        <f t="shared" si="557"/>
        <v/>
      </c>
      <c r="GF1156" s="101" t="str">
        <f t="shared" si="562"/>
        <v/>
      </c>
      <c r="GG1156" s="101" t="str">
        <f t="shared" si="563"/>
        <v/>
      </c>
      <c r="GH1156" s="101" t="str">
        <f t="shared" si="564"/>
        <v/>
      </c>
      <c r="GI1156" s="101" t="str">
        <f t="shared" si="565"/>
        <v/>
      </c>
      <c r="GJ1156" s="101" t="str">
        <f t="shared" si="566"/>
        <v/>
      </c>
      <c r="GK1156" s="101" t="str">
        <f t="shared" si="567"/>
        <v/>
      </c>
      <c r="GL1156" s="101" t="str">
        <f t="shared" si="568"/>
        <v/>
      </c>
      <c r="GM1156" s="101" t="str">
        <f t="shared" si="569"/>
        <v/>
      </c>
      <c r="GN1156" s="101" t="str">
        <f t="shared" si="570"/>
        <v/>
      </c>
      <c r="GO1156" s="101" t="str">
        <f t="shared" si="571"/>
        <v/>
      </c>
      <c r="GP1156" s="101" t="str">
        <f t="shared" si="572"/>
        <v/>
      </c>
      <c r="GQ1156" s="101" t="str">
        <f t="shared" si="573"/>
        <v/>
      </c>
    </row>
    <row r="1157" spans="175:199" ht="16.5" x14ac:dyDescent="0.2">
      <c r="FS1157" s="101">
        <v>1152</v>
      </c>
      <c r="FT1157" s="101">
        <f t="shared" si="558"/>
        <v>28</v>
      </c>
      <c r="FU1157" s="101">
        <f t="shared" si="551"/>
        <v>15</v>
      </c>
      <c r="FV1157" s="14">
        <f t="shared" si="552"/>
        <v>3</v>
      </c>
      <c r="FW1157" s="101" t="str">
        <f t="shared" si="559"/>
        <v>高顺专属武器-魂珠-4 1级</v>
      </c>
      <c r="FX1157" s="101">
        <f t="shared" si="560"/>
        <v>4</v>
      </c>
      <c r="FY1157" s="101">
        <f t="shared" si="561"/>
        <v>1</v>
      </c>
      <c r="FZ1157" s="101" t="str">
        <f t="shared" si="553"/>
        <v>金币</v>
      </c>
      <c r="GA1157" s="139">
        <f>IF($FY1157&gt;0,IF(INDEX($EM$6:$EM$77,$FT1157)&gt;=GA$3,ROUND(INDEX(EO$6:EO$77,$FT1157)*INDEX(卡牌消耗!$B$8:$F$8,FV1157)/5,0)*5,""),"")</f>
        <v>730</v>
      </c>
      <c r="GB1157" s="101" t="str">
        <f t="shared" si="554"/>
        <v>专属强化石2</v>
      </c>
      <c r="GC1157" s="101">
        <f t="shared" si="555"/>
        <v>3</v>
      </c>
      <c r="GD1157" s="101" t="str">
        <f t="shared" si="556"/>
        <v>专属强化石3</v>
      </c>
      <c r="GE1157" s="101">
        <f t="shared" si="557"/>
        <v>1</v>
      </c>
      <c r="GF1157" s="101">
        <f t="shared" si="562"/>
        <v>0.2</v>
      </c>
      <c r="GG1157" s="101">
        <f t="shared" si="563"/>
        <v>1</v>
      </c>
      <c r="GH1157" s="101">
        <f t="shared" si="564"/>
        <v>7</v>
      </c>
      <c r="GI1157" s="101">
        <f t="shared" si="565"/>
        <v>0</v>
      </c>
      <c r="GJ1157" s="101">
        <f t="shared" si="566"/>
        <v>1</v>
      </c>
      <c r="GK1157" s="101">
        <f t="shared" si="567"/>
        <v>2</v>
      </c>
      <c r="GL1157" s="101">
        <f t="shared" si="568"/>
        <v>0.1012</v>
      </c>
      <c r="GM1157" s="101">
        <f t="shared" si="569"/>
        <v>1</v>
      </c>
      <c r="GN1157" s="101">
        <f t="shared" si="570"/>
        <v>3</v>
      </c>
      <c r="GO1157" s="101">
        <f t="shared" si="571"/>
        <v>0.40479999999999999</v>
      </c>
      <c r="GP1157" s="101">
        <f t="shared" si="572"/>
        <v>1</v>
      </c>
      <c r="GQ1157" s="101">
        <f t="shared" si="573"/>
        <v>7</v>
      </c>
    </row>
    <row r="1158" spans="175:199" ht="16.5" x14ac:dyDescent="0.2">
      <c r="FS1158" s="101">
        <v>1153</v>
      </c>
      <c r="FT1158" s="101">
        <f t="shared" si="558"/>
        <v>29</v>
      </c>
      <c r="FU1158" s="101">
        <f t="shared" si="551"/>
        <v>15</v>
      </c>
      <c r="FV1158" s="14">
        <f t="shared" si="552"/>
        <v>3</v>
      </c>
      <c r="FW1158" s="101" t="str">
        <f t="shared" si="559"/>
        <v>高顺专属武器-魂珠-4 2级</v>
      </c>
      <c r="FX1158" s="101">
        <f t="shared" si="560"/>
        <v>4</v>
      </c>
      <c r="FY1158" s="101">
        <f t="shared" si="561"/>
        <v>2</v>
      </c>
      <c r="FZ1158" s="101" t="str">
        <f t="shared" si="553"/>
        <v>金币</v>
      </c>
      <c r="GA1158" s="139">
        <f>IF($FY1158&gt;0,IF(INDEX($EM$6:$EM$77,$FT1158)&gt;=GA$3,ROUND(INDEX(EO$6:EO$77,$FT1158)*INDEX(卡牌消耗!$B$8:$F$8,FV1158)/5,0)*5,""),"")</f>
        <v>545</v>
      </c>
      <c r="GB1158" s="101" t="str">
        <f t="shared" si="554"/>
        <v>专属强化石2</v>
      </c>
      <c r="GC1158" s="101">
        <f t="shared" si="555"/>
        <v>3</v>
      </c>
      <c r="GD1158" s="101" t="str">
        <f t="shared" si="556"/>
        <v>专属强化石3</v>
      </c>
      <c r="GE1158" s="101">
        <f t="shared" si="557"/>
        <v>1</v>
      </c>
      <c r="GF1158" s="101">
        <f t="shared" si="562"/>
        <v>0.1</v>
      </c>
      <c r="GG1158" s="101">
        <f t="shared" si="563"/>
        <v>1</v>
      </c>
      <c r="GH1158" s="101">
        <f t="shared" si="564"/>
        <v>15</v>
      </c>
      <c r="GI1158" s="101">
        <f t="shared" si="565"/>
        <v>0</v>
      </c>
      <c r="GJ1158" s="101">
        <f t="shared" si="566"/>
        <v>1</v>
      </c>
      <c r="GK1158" s="101">
        <f t="shared" si="567"/>
        <v>3</v>
      </c>
      <c r="GL1158" s="101">
        <f t="shared" si="568"/>
        <v>5.0599999999999999E-2</v>
      </c>
      <c r="GM1158" s="101">
        <f t="shared" si="569"/>
        <v>1</v>
      </c>
      <c r="GN1158" s="101">
        <f t="shared" si="570"/>
        <v>7</v>
      </c>
      <c r="GO1158" s="101">
        <f t="shared" si="571"/>
        <v>0.2024</v>
      </c>
      <c r="GP1158" s="101">
        <f t="shared" si="572"/>
        <v>1</v>
      </c>
      <c r="GQ1158" s="101">
        <f t="shared" si="573"/>
        <v>15</v>
      </c>
    </row>
    <row r="1159" spans="175:199" ht="16.5" x14ac:dyDescent="0.2">
      <c r="FS1159" s="101">
        <v>1154</v>
      </c>
      <c r="FT1159" s="101">
        <f t="shared" si="558"/>
        <v>30</v>
      </c>
      <c r="FU1159" s="101">
        <f t="shared" ref="FU1159:FU1222" si="574">INT((FS1159-1)/80+1)</f>
        <v>15</v>
      </c>
      <c r="FV1159" s="14">
        <f t="shared" ref="FV1159:FV1222" si="575">INDEX($FO$6:$FO$26,FU1159)</f>
        <v>3</v>
      </c>
      <c r="FW1159" s="101" t="str">
        <f t="shared" si="559"/>
        <v>高顺专属武器-魂珠-4 3级</v>
      </c>
      <c r="FX1159" s="101">
        <f t="shared" si="560"/>
        <v>4</v>
      </c>
      <c r="FY1159" s="101">
        <f t="shared" si="561"/>
        <v>3</v>
      </c>
      <c r="FZ1159" s="101" t="str">
        <f t="shared" ref="FZ1159:FZ1222" si="576">IF($FY1159&gt;0,IF(INDEX($EM$6:$EM$77,$FT1159)&gt;=FZ$3,INDEX(EN$6:EN$77,$FT1159),""),"")</f>
        <v>金币</v>
      </c>
      <c r="GA1159" s="139">
        <f>IF($FY1159&gt;0,IF(INDEX($EM$6:$EM$77,$FT1159)&gt;=GA$3,ROUND(INDEX(EO$6:EO$77,$FT1159)*INDEX(卡牌消耗!$B$8:$F$8,FV1159)/5,0)*5,""),"")</f>
        <v>610</v>
      </c>
      <c r="GB1159" s="101" t="str">
        <f t="shared" ref="GB1159:GB1222" si="577">IF($FY1159&gt;0,IF(INDEX($EM$6:$EM$77,$FT1159)&gt;=GB$3,INDEX(EP$6:EP$77,$FT1159),""),"")</f>
        <v>专属强化石2</v>
      </c>
      <c r="GC1159" s="101">
        <f t="shared" ref="GC1159:GC1222" si="578">IF($FY1159&gt;0,IF(INDEX($EM$6:$EM$77,$FT1159)&gt;=GC$3,INDEX(EQ$6:EQ$77,$FT1159),""),"")</f>
        <v>3</v>
      </c>
      <c r="GD1159" s="101" t="str">
        <f t="shared" ref="GD1159:GD1222" si="579">IF($FY1159&gt;0,IF(INDEX($EM$6:$EM$77,$FT1159)&gt;=GD$3,INDEX(ER$6:ER$77,$FT1159),""),"")</f>
        <v>专属强化石3</v>
      </c>
      <c r="GE1159" s="101">
        <f t="shared" ref="GE1159:GE1222" si="580">IF($FY1159&gt;0,IF(INDEX($EM$6:$EM$77,$FT1159)&gt;=GE$3,INDEX(ES$6:ES$77,$FT1159),""),"")</f>
        <v>1</v>
      </c>
      <c r="GF1159" s="101">
        <f t="shared" si="562"/>
        <v>7.0000000000000007E-2</v>
      </c>
      <c r="GG1159" s="101">
        <f t="shared" si="563"/>
        <v>1</v>
      </c>
      <c r="GH1159" s="101">
        <f t="shared" si="564"/>
        <v>22</v>
      </c>
      <c r="GI1159" s="101">
        <f t="shared" si="565"/>
        <v>0</v>
      </c>
      <c r="GJ1159" s="101">
        <f t="shared" si="566"/>
        <v>1</v>
      </c>
      <c r="GK1159" s="101">
        <f t="shared" si="567"/>
        <v>5</v>
      </c>
      <c r="GL1159" s="101">
        <f t="shared" si="568"/>
        <v>3.3700000000000001E-2</v>
      </c>
      <c r="GM1159" s="101">
        <f t="shared" si="569"/>
        <v>1</v>
      </c>
      <c r="GN1159" s="101">
        <f t="shared" si="570"/>
        <v>10</v>
      </c>
      <c r="GO1159" s="101">
        <f t="shared" si="571"/>
        <v>0.13489999999999999</v>
      </c>
      <c r="GP1159" s="101">
        <f t="shared" si="572"/>
        <v>1</v>
      </c>
      <c r="GQ1159" s="101">
        <f t="shared" si="573"/>
        <v>22</v>
      </c>
    </row>
    <row r="1160" spans="175:199" ht="16.5" x14ac:dyDescent="0.2">
      <c r="FS1160" s="101">
        <v>1155</v>
      </c>
      <c r="FT1160" s="101">
        <f t="shared" si="558"/>
        <v>31</v>
      </c>
      <c r="FU1160" s="101">
        <f t="shared" si="574"/>
        <v>15</v>
      </c>
      <c r="FV1160" s="14">
        <f t="shared" si="575"/>
        <v>3</v>
      </c>
      <c r="FW1160" s="101" t="str">
        <f t="shared" si="559"/>
        <v>高顺专属武器-魂珠-4 4级</v>
      </c>
      <c r="FX1160" s="101">
        <f t="shared" si="560"/>
        <v>4</v>
      </c>
      <c r="FY1160" s="101">
        <f t="shared" si="561"/>
        <v>4</v>
      </c>
      <c r="FZ1160" s="101" t="str">
        <f t="shared" si="576"/>
        <v>金币</v>
      </c>
      <c r="GA1160" s="139">
        <f>IF($FY1160&gt;0,IF(INDEX($EM$6:$EM$77,$FT1160)&gt;=GA$3,ROUND(INDEX(EO$6:EO$77,$FT1160)*INDEX(卡牌消耗!$B$8:$F$8,FV1160)/5,0)*5,""),"")</f>
        <v>1165</v>
      </c>
      <c r="GB1160" s="101" t="str">
        <f t="shared" si="577"/>
        <v>专属强化石2</v>
      </c>
      <c r="GC1160" s="101">
        <f t="shared" si="578"/>
        <v>5</v>
      </c>
      <c r="GD1160" s="101" t="str">
        <f t="shared" si="579"/>
        <v>专属强化石3</v>
      </c>
      <c r="GE1160" s="101">
        <f t="shared" si="580"/>
        <v>2</v>
      </c>
      <c r="GF1160" s="101">
        <f t="shared" si="562"/>
        <v>0.08</v>
      </c>
      <c r="GG1160" s="101">
        <f t="shared" si="563"/>
        <v>1</v>
      </c>
      <c r="GH1160" s="101">
        <f t="shared" si="564"/>
        <v>19</v>
      </c>
      <c r="GI1160" s="101">
        <f t="shared" si="565"/>
        <v>0</v>
      </c>
      <c r="GJ1160" s="101">
        <f t="shared" si="566"/>
        <v>1</v>
      </c>
      <c r="GK1160" s="101">
        <f t="shared" si="567"/>
        <v>4</v>
      </c>
      <c r="GL1160" s="101">
        <f t="shared" si="568"/>
        <v>4.0500000000000001E-2</v>
      </c>
      <c r="GM1160" s="101">
        <f t="shared" si="569"/>
        <v>1</v>
      </c>
      <c r="GN1160" s="101">
        <f t="shared" si="570"/>
        <v>9</v>
      </c>
      <c r="GO1160" s="101">
        <f t="shared" si="571"/>
        <v>0.16189999999999999</v>
      </c>
      <c r="GP1160" s="101">
        <f t="shared" si="572"/>
        <v>1</v>
      </c>
      <c r="GQ1160" s="101">
        <f t="shared" si="573"/>
        <v>19</v>
      </c>
    </row>
    <row r="1161" spans="175:199" ht="16.5" x14ac:dyDescent="0.2">
      <c r="FS1161" s="101">
        <v>1156</v>
      </c>
      <c r="FT1161" s="101">
        <f t="shared" si="558"/>
        <v>32</v>
      </c>
      <c r="FU1161" s="101">
        <f t="shared" si="574"/>
        <v>15</v>
      </c>
      <c r="FV1161" s="14">
        <f t="shared" si="575"/>
        <v>3</v>
      </c>
      <c r="FW1161" s="101" t="str">
        <f t="shared" si="559"/>
        <v>高顺专属武器-魂珠-4 5级</v>
      </c>
      <c r="FX1161" s="101">
        <f t="shared" si="560"/>
        <v>4</v>
      </c>
      <c r="FY1161" s="101">
        <f t="shared" si="561"/>
        <v>5</v>
      </c>
      <c r="FZ1161" s="101" t="str">
        <f t="shared" si="576"/>
        <v>金币</v>
      </c>
      <c r="GA1161" s="139">
        <f>IF($FY1161&gt;0,IF(INDEX($EM$6:$EM$77,$FT1161)&gt;=GA$3,ROUND(INDEX(EO$6:EO$77,$FT1161)*INDEX(卡牌消耗!$B$8:$F$8,FV1161)/5,0)*5,""),"")</f>
        <v>1185</v>
      </c>
      <c r="GB1161" s="101" t="str">
        <f t="shared" si="577"/>
        <v>专属强化石2</v>
      </c>
      <c r="GC1161" s="101">
        <f t="shared" si="578"/>
        <v>5</v>
      </c>
      <c r="GD1161" s="101" t="str">
        <f t="shared" si="579"/>
        <v>专属强化石3</v>
      </c>
      <c r="GE1161" s="101">
        <f t="shared" si="580"/>
        <v>2</v>
      </c>
      <c r="GF1161" s="101">
        <f t="shared" si="562"/>
        <v>0.05</v>
      </c>
      <c r="GG1161" s="101">
        <f t="shared" si="563"/>
        <v>1</v>
      </c>
      <c r="GH1161" s="101">
        <f t="shared" si="564"/>
        <v>30</v>
      </c>
      <c r="GI1161" s="101">
        <f t="shared" si="565"/>
        <v>0</v>
      </c>
      <c r="GJ1161" s="101">
        <f t="shared" si="566"/>
        <v>1</v>
      </c>
      <c r="GK1161" s="101">
        <f t="shared" si="567"/>
        <v>7</v>
      </c>
      <c r="GL1161" s="101">
        <f t="shared" si="568"/>
        <v>2.53E-2</v>
      </c>
      <c r="GM1161" s="101">
        <f t="shared" si="569"/>
        <v>1</v>
      </c>
      <c r="GN1161" s="101">
        <f t="shared" si="570"/>
        <v>14</v>
      </c>
      <c r="GO1161" s="101">
        <f t="shared" si="571"/>
        <v>0.1012</v>
      </c>
      <c r="GP1161" s="101">
        <f t="shared" si="572"/>
        <v>1</v>
      </c>
      <c r="GQ1161" s="101">
        <f t="shared" si="573"/>
        <v>30</v>
      </c>
    </row>
    <row r="1162" spans="175:199" ht="16.5" x14ac:dyDescent="0.2">
      <c r="FS1162" s="101">
        <v>1157</v>
      </c>
      <c r="FT1162" s="101">
        <f t="shared" si="558"/>
        <v>33</v>
      </c>
      <c r="FU1162" s="101">
        <f t="shared" si="574"/>
        <v>15</v>
      </c>
      <c r="FV1162" s="14">
        <f t="shared" si="575"/>
        <v>3</v>
      </c>
      <c r="FW1162" s="101" t="str">
        <f t="shared" si="559"/>
        <v>高顺专属武器-魂珠-4 6级</v>
      </c>
      <c r="FX1162" s="101">
        <f t="shared" si="560"/>
        <v>4</v>
      </c>
      <c r="FY1162" s="101">
        <f t="shared" si="561"/>
        <v>6</v>
      </c>
      <c r="FZ1162" s="101" t="str">
        <f t="shared" si="576"/>
        <v>金币</v>
      </c>
      <c r="GA1162" s="139">
        <f>IF($FY1162&gt;0,IF(INDEX($EM$6:$EM$77,$FT1162)&gt;=GA$3,ROUND(INDEX(EO$6:EO$77,$FT1162)*INDEX(卡牌消耗!$B$8:$F$8,FV1162)/5,0)*5,""),"")</f>
        <v>1180</v>
      </c>
      <c r="GB1162" s="101" t="str">
        <f t="shared" si="577"/>
        <v>专属强化石2</v>
      </c>
      <c r="GC1162" s="101">
        <f t="shared" si="578"/>
        <v>5</v>
      </c>
      <c r="GD1162" s="101" t="str">
        <f t="shared" si="579"/>
        <v>专属强化石3</v>
      </c>
      <c r="GE1162" s="101">
        <f t="shared" si="580"/>
        <v>2</v>
      </c>
      <c r="GF1162" s="101">
        <f t="shared" si="562"/>
        <v>0.03</v>
      </c>
      <c r="GG1162" s="101">
        <f t="shared" si="563"/>
        <v>1</v>
      </c>
      <c r="GH1162" s="101">
        <f t="shared" si="564"/>
        <v>48</v>
      </c>
      <c r="GI1162" s="101">
        <f t="shared" si="565"/>
        <v>0</v>
      </c>
      <c r="GJ1162" s="101">
        <f t="shared" si="566"/>
        <v>1</v>
      </c>
      <c r="GK1162" s="101">
        <f t="shared" si="567"/>
        <v>11</v>
      </c>
      <c r="GL1162" s="101">
        <f t="shared" si="568"/>
        <v>1.5599999999999999E-2</v>
      </c>
      <c r="GM1162" s="101">
        <f t="shared" si="569"/>
        <v>1</v>
      </c>
      <c r="GN1162" s="101">
        <f t="shared" si="570"/>
        <v>22</v>
      </c>
      <c r="GO1162" s="101">
        <f t="shared" si="571"/>
        <v>6.2300000000000001E-2</v>
      </c>
      <c r="GP1162" s="101">
        <f t="shared" si="572"/>
        <v>1</v>
      </c>
      <c r="GQ1162" s="101">
        <f t="shared" si="573"/>
        <v>48</v>
      </c>
    </row>
    <row r="1163" spans="175:199" ht="16.5" x14ac:dyDescent="0.2">
      <c r="FS1163" s="101">
        <v>1158</v>
      </c>
      <c r="FT1163" s="101">
        <f t="shared" si="558"/>
        <v>34</v>
      </c>
      <c r="FU1163" s="101">
        <f t="shared" si="574"/>
        <v>15</v>
      </c>
      <c r="FV1163" s="14">
        <f t="shared" si="575"/>
        <v>3</v>
      </c>
      <c r="FW1163" s="101" t="str">
        <f t="shared" si="559"/>
        <v>高顺专属武器-魂珠-4 7级</v>
      </c>
      <c r="FX1163" s="101">
        <f t="shared" si="560"/>
        <v>4</v>
      </c>
      <c r="FY1163" s="101">
        <f t="shared" si="561"/>
        <v>7</v>
      </c>
      <c r="FZ1163" s="101" t="str">
        <f t="shared" si="576"/>
        <v>金币</v>
      </c>
      <c r="GA1163" s="139">
        <f>IF($FY1163&gt;0,IF(INDEX($EM$6:$EM$77,$FT1163)&gt;=GA$3,ROUND(INDEX(EO$6:EO$77,$FT1163)*INDEX(卡牌消耗!$B$8:$F$8,FV1163)/5,0)*5,""),"")</f>
        <v>1770</v>
      </c>
      <c r="GB1163" s="101" t="str">
        <f t="shared" si="577"/>
        <v>专属强化石2</v>
      </c>
      <c r="GC1163" s="101">
        <f t="shared" si="578"/>
        <v>8</v>
      </c>
      <c r="GD1163" s="101" t="str">
        <f t="shared" si="579"/>
        <v>专属强化石3</v>
      </c>
      <c r="GE1163" s="101">
        <f t="shared" si="580"/>
        <v>3</v>
      </c>
      <c r="GF1163" s="101">
        <f t="shared" si="562"/>
        <v>0.03</v>
      </c>
      <c r="GG1163" s="101">
        <f t="shared" si="563"/>
        <v>1</v>
      </c>
      <c r="GH1163" s="101">
        <f t="shared" si="564"/>
        <v>52</v>
      </c>
      <c r="GI1163" s="101">
        <f t="shared" si="565"/>
        <v>0</v>
      </c>
      <c r="GJ1163" s="101">
        <f t="shared" si="566"/>
        <v>1</v>
      </c>
      <c r="GK1163" s="101">
        <f t="shared" si="567"/>
        <v>12</v>
      </c>
      <c r="GL1163" s="101">
        <f t="shared" si="568"/>
        <v>1.4500000000000001E-2</v>
      </c>
      <c r="GM1163" s="101">
        <f t="shared" si="569"/>
        <v>1</v>
      </c>
      <c r="GN1163" s="101">
        <f t="shared" si="570"/>
        <v>24</v>
      </c>
      <c r="GO1163" s="101">
        <f t="shared" si="571"/>
        <v>5.7799999999999997E-2</v>
      </c>
      <c r="GP1163" s="101">
        <f t="shared" si="572"/>
        <v>1</v>
      </c>
      <c r="GQ1163" s="101">
        <f t="shared" si="573"/>
        <v>52</v>
      </c>
    </row>
    <row r="1164" spans="175:199" ht="16.5" x14ac:dyDescent="0.2">
      <c r="FS1164" s="101">
        <v>1159</v>
      </c>
      <c r="FT1164" s="101">
        <f t="shared" si="558"/>
        <v>35</v>
      </c>
      <c r="FU1164" s="101">
        <f t="shared" si="574"/>
        <v>15</v>
      </c>
      <c r="FV1164" s="14">
        <f t="shared" si="575"/>
        <v>3</v>
      </c>
      <c r="FW1164" s="101" t="str">
        <f t="shared" si="559"/>
        <v>高顺专属武器-魂珠-4 8级</v>
      </c>
      <c r="FX1164" s="101">
        <f t="shared" si="560"/>
        <v>4</v>
      </c>
      <c r="FY1164" s="101">
        <f t="shared" si="561"/>
        <v>8</v>
      </c>
      <c r="FZ1164" s="101" t="str">
        <f t="shared" si="576"/>
        <v>金币</v>
      </c>
      <c r="GA1164" s="139">
        <f>IF($FY1164&gt;0,IF(INDEX($EM$6:$EM$77,$FT1164)&gt;=GA$3,ROUND(INDEX(EO$6:EO$77,$FT1164)*INDEX(卡牌消耗!$B$8:$F$8,FV1164)/5,0)*5,""),"")</f>
        <v>2360</v>
      </c>
      <c r="GB1164" s="101" t="str">
        <f t="shared" si="577"/>
        <v>专属强化石2</v>
      </c>
      <c r="GC1164" s="101">
        <f t="shared" si="578"/>
        <v>11</v>
      </c>
      <c r="GD1164" s="101" t="str">
        <f t="shared" si="579"/>
        <v>专属强化石3</v>
      </c>
      <c r="GE1164" s="101">
        <f t="shared" si="580"/>
        <v>4</v>
      </c>
      <c r="GF1164" s="101">
        <f t="shared" si="562"/>
        <v>0.02</v>
      </c>
      <c r="GG1164" s="101">
        <f t="shared" si="563"/>
        <v>1</v>
      </c>
      <c r="GH1164" s="101">
        <f t="shared" si="564"/>
        <v>63</v>
      </c>
      <c r="GI1164" s="101">
        <f t="shared" si="565"/>
        <v>0</v>
      </c>
      <c r="GJ1164" s="101">
        <f t="shared" si="566"/>
        <v>1</v>
      </c>
      <c r="GK1164" s="101">
        <f t="shared" si="567"/>
        <v>15</v>
      </c>
      <c r="GL1164" s="101">
        <f t="shared" si="568"/>
        <v>1.1900000000000001E-2</v>
      </c>
      <c r="GM1164" s="101">
        <f t="shared" si="569"/>
        <v>1</v>
      </c>
      <c r="GN1164" s="101">
        <f t="shared" si="570"/>
        <v>29</v>
      </c>
      <c r="GO1164" s="101">
        <f t="shared" si="571"/>
        <v>4.7600000000000003E-2</v>
      </c>
      <c r="GP1164" s="101">
        <f t="shared" si="572"/>
        <v>1</v>
      </c>
      <c r="GQ1164" s="101">
        <f t="shared" si="573"/>
        <v>63</v>
      </c>
    </row>
    <row r="1165" spans="175:199" ht="16.5" x14ac:dyDescent="0.2">
      <c r="FS1165" s="101">
        <v>1160</v>
      </c>
      <c r="FT1165" s="101">
        <f t="shared" si="558"/>
        <v>36</v>
      </c>
      <c r="FU1165" s="101">
        <f t="shared" si="574"/>
        <v>15</v>
      </c>
      <c r="FV1165" s="14">
        <f t="shared" si="575"/>
        <v>3</v>
      </c>
      <c r="FW1165" s="101" t="str">
        <f t="shared" si="559"/>
        <v>高顺专属武器-魂珠-4 9级</v>
      </c>
      <c r="FX1165" s="101">
        <f t="shared" si="560"/>
        <v>4</v>
      </c>
      <c r="FY1165" s="101">
        <f t="shared" si="561"/>
        <v>9</v>
      </c>
      <c r="FZ1165" s="101" t="str">
        <f t="shared" si="576"/>
        <v>金币</v>
      </c>
      <c r="GA1165" s="139">
        <f>IF($FY1165&gt;0,IF(INDEX($EM$6:$EM$77,$FT1165)&gt;=GA$3,ROUND(INDEX(EO$6:EO$77,$FT1165)*INDEX(卡牌消耗!$B$8:$F$8,FV1165)/5,0)*5,""),"")</f>
        <v>3540</v>
      </c>
      <c r="GB1165" s="101" t="str">
        <f t="shared" si="577"/>
        <v>专属强化石2</v>
      </c>
      <c r="GC1165" s="101">
        <f t="shared" si="578"/>
        <v>16</v>
      </c>
      <c r="GD1165" s="101" t="str">
        <f t="shared" si="579"/>
        <v>专属强化石3</v>
      </c>
      <c r="GE1165" s="101">
        <f t="shared" si="580"/>
        <v>6</v>
      </c>
      <c r="GF1165" s="101">
        <f t="shared" si="562"/>
        <v>0.02</v>
      </c>
      <c r="GG1165" s="101">
        <f t="shared" si="563"/>
        <v>1</v>
      </c>
      <c r="GH1165" s="101">
        <f t="shared" si="564"/>
        <v>68</v>
      </c>
      <c r="GI1165" s="101">
        <f t="shared" si="565"/>
        <v>0</v>
      </c>
      <c r="GJ1165" s="101">
        <f t="shared" si="566"/>
        <v>1</v>
      </c>
      <c r="GK1165" s="101">
        <f t="shared" si="567"/>
        <v>16</v>
      </c>
      <c r="GL1165" s="101">
        <f t="shared" si="568"/>
        <v>1.0999999999999999E-2</v>
      </c>
      <c r="GM1165" s="101">
        <f t="shared" si="569"/>
        <v>1</v>
      </c>
      <c r="GN1165" s="101">
        <f t="shared" si="570"/>
        <v>32</v>
      </c>
      <c r="GO1165" s="101">
        <f t="shared" si="571"/>
        <v>4.4200000000000003E-2</v>
      </c>
      <c r="GP1165" s="101">
        <f t="shared" si="572"/>
        <v>1</v>
      </c>
      <c r="GQ1165" s="101">
        <f t="shared" si="573"/>
        <v>68</v>
      </c>
    </row>
    <row r="1166" spans="175:199" ht="16.5" x14ac:dyDescent="0.2">
      <c r="FS1166" s="101">
        <v>1161</v>
      </c>
      <c r="FT1166" s="101">
        <f t="shared" si="558"/>
        <v>0</v>
      </c>
      <c r="FU1166" s="101">
        <f t="shared" si="574"/>
        <v>15</v>
      </c>
      <c r="FV1166" s="14">
        <f t="shared" si="575"/>
        <v>3</v>
      </c>
      <c r="FW1166" s="101" t="str">
        <f t="shared" si="559"/>
        <v>高顺专属武器-魂珠-5 0级</v>
      </c>
      <c r="FX1166" s="101">
        <f t="shared" si="560"/>
        <v>5</v>
      </c>
      <c r="FY1166" s="101">
        <f t="shared" si="561"/>
        <v>0</v>
      </c>
      <c r="FZ1166" s="101" t="str">
        <f t="shared" si="576"/>
        <v/>
      </c>
      <c r="GA1166" s="139" t="str">
        <f>IF($FY1166&gt;0,IF(INDEX($EM$6:$EM$77,$FT1166)&gt;=GA$3,ROUND(INDEX(EO$6:EO$77,$FT1166)*INDEX(卡牌消耗!$B$8:$F$8,FV1166)/5,0)*5,""),"")</f>
        <v/>
      </c>
      <c r="GB1166" s="101" t="str">
        <f t="shared" si="577"/>
        <v/>
      </c>
      <c r="GC1166" s="101" t="str">
        <f t="shared" si="578"/>
        <v/>
      </c>
      <c r="GD1166" s="101" t="str">
        <f t="shared" si="579"/>
        <v/>
      </c>
      <c r="GE1166" s="101" t="str">
        <f t="shared" si="580"/>
        <v/>
      </c>
      <c r="GF1166" s="101" t="str">
        <f t="shared" si="562"/>
        <v/>
      </c>
      <c r="GG1166" s="101" t="str">
        <f t="shared" si="563"/>
        <v/>
      </c>
      <c r="GH1166" s="101" t="str">
        <f t="shared" si="564"/>
        <v/>
      </c>
      <c r="GI1166" s="101" t="str">
        <f t="shared" si="565"/>
        <v/>
      </c>
      <c r="GJ1166" s="101" t="str">
        <f t="shared" si="566"/>
        <v/>
      </c>
      <c r="GK1166" s="101" t="str">
        <f t="shared" si="567"/>
        <v/>
      </c>
      <c r="GL1166" s="101" t="str">
        <f t="shared" si="568"/>
        <v/>
      </c>
      <c r="GM1166" s="101" t="str">
        <f t="shared" si="569"/>
        <v/>
      </c>
      <c r="GN1166" s="101" t="str">
        <f t="shared" si="570"/>
        <v/>
      </c>
      <c r="GO1166" s="101" t="str">
        <f t="shared" si="571"/>
        <v/>
      </c>
      <c r="GP1166" s="101" t="str">
        <f t="shared" si="572"/>
        <v/>
      </c>
      <c r="GQ1166" s="101" t="str">
        <f t="shared" si="573"/>
        <v/>
      </c>
    </row>
    <row r="1167" spans="175:199" ht="16.5" x14ac:dyDescent="0.2">
      <c r="FS1167" s="101">
        <v>1162</v>
      </c>
      <c r="FT1167" s="101">
        <f t="shared" si="558"/>
        <v>37</v>
      </c>
      <c r="FU1167" s="101">
        <f t="shared" si="574"/>
        <v>15</v>
      </c>
      <c r="FV1167" s="14">
        <f t="shared" si="575"/>
        <v>3</v>
      </c>
      <c r="FW1167" s="101" t="str">
        <f t="shared" si="559"/>
        <v>高顺专属武器-魂珠-5 1级</v>
      </c>
      <c r="FX1167" s="101">
        <f t="shared" si="560"/>
        <v>5</v>
      </c>
      <c r="FY1167" s="101">
        <f t="shared" si="561"/>
        <v>1</v>
      </c>
      <c r="FZ1167" s="101" t="str">
        <f t="shared" si="576"/>
        <v>金币</v>
      </c>
      <c r="GA1167" s="139">
        <f>IF($FY1167&gt;0,IF(INDEX($EM$6:$EM$77,$FT1167)&gt;=GA$3,ROUND(INDEX(EO$6:EO$77,$FT1167)*INDEX(卡牌消耗!$B$8:$F$8,FV1167)/5,0)*5,""),"")</f>
        <v>1495</v>
      </c>
      <c r="GB1167" s="101" t="str">
        <f t="shared" si="577"/>
        <v>专属强化石2</v>
      </c>
      <c r="GC1167" s="101">
        <f t="shared" si="578"/>
        <v>3</v>
      </c>
      <c r="GD1167" s="101" t="str">
        <f t="shared" si="579"/>
        <v>专属强化石3</v>
      </c>
      <c r="GE1167" s="101">
        <f t="shared" si="580"/>
        <v>2</v>
      </c>
      <c r="GF1167" s="101">
        <f t="shared" si="562"/>
        <v>0.2</v>
      </c>
      <c r="GG1167" s="101">
        <f t="shared" si="563"/>
        <v>1</v>
      </c>
      <c r="GH1167" s="101">
        <f t="shared" si="564"/>
        <v>7</v>
      </c>
      <c r="GI1167" s="101">
        <f t="shared" si="565"/>
        <v>0</v>
      </c>
      <c r="GJ1167" s="101">
        <f t="shared" si="566"/>
        <v>1</v>
      </c>
      <c r="GK1167" s="101">
        <f t="shared" si="567"/>
        <v>2</v>
      </c>
      <c r="GL1167" s="101">
        <f t="shared" si="568"/>
        <v>0.1012</v>
      </c>
      <c r="GM1167" s="101">
        <f t="shared" si="569"/>
        <v>1</v>
      </c>
      <c r="GN1167" s="101">
        <f t="shared" si="570"/>
        <v>3</v>
      </c>
      <c r="GO1167" s="101">
        <f t="shared" si="571"/>
        <v>0.40479999999999999</v>
      </c>
      <c r="GP1167" s="101">
        <f t="shared" si="572"/>
        <v>1</v>
      </c>
      <c r="GQ1167" s="101">
        <f t="shared" si="573"/>
        <v>7</v>
      </c>
    </row>
    <row r="1168" spans="175:199" ht="16.5" x14ac:dyDescent="0.2">
      <c r="FS1168" s="101">
        <v>1163</v>
      </c>
      <c r="FT1168" s="101">
        <f t="shared" si="558"/>
        <v>38</v>
      </c>
      <c r="FU1168" s="101">
        <f t="shared" si="574"/>
        <v>15</v>
      </c>
      <c r="FV1168" s="14">
        <f t="shared" si="575"/>
        <v>3</v>
      </c>
      <c r="FW1168" s="101" t="str">
        <f t="shared" si="559"/>
        <v>高顺专属武器-魂珠-5 2级</v>
      </c>
      <c r="FX1168" s="101">
        <f t="shared" si="560"/>
        <v>5</v>
      </c>
      <c r="FY1168" s="101">
        <f t="shared" si="561"/>
        <v>2</v>
      </c>
      <c r="FZ1168" s="101" t="str">
        <f t="shared" si="576"/>
        <v>金币</v>
      </c>
      <c r="GA1168" s="139">
        <f>IF($FY1168&gt;0,IF(INDEX($EM$6:$EM$77,$FT1168)&gt;=GA$3,ROUND(INDEX(EO$6:EO$77,$FT1168)*INDEX(卡牌消耗!$B$8:$F$8,FV1168)/5,0)*5,""),"")</f>
        <v>1120</v>
      </c>
      <c r="GB1168" s="101" t="str">
        <f t="shared" si="577"/>
        <v>专属强化石2</v>
      </c>
      <c r="GC1168" s="101">
        <f t="shared" si="578"/>
        <v>3</v>
      </c>
      <c r="GD1168" s="101" t="str">
        <f t="shared" si="579"/>
        <v>专属强化石3</v>
      </c>
      <c r="GE1168" s="101">
        <f t="shared" si="580"/>
        <v>2</v>
      </c>
      <c r="GF1168" s="101">
        <f t="shared" si="562"/>
        <v>0.1</v>
      </c>
      <c r="GG1168" s="101">
        <f t="shared" si="563"/>
        <v>1</v>
      </c>
      <c r="GH1168" s="101">
        <f t="shared" si="564"/>
        <v>15</v>
      </c>
      <c r="GI1168" s="101">
        <f t="shared" si="565"/>
        <v>0</v>
      </c>
      <c r="GJ1168" s="101">
        <f t="shared" si="566"/>
        <v>1</v>
      </c>
      <c r="GK1168" s="101">
        <f t="shared" si="567"/>
        <v>3</v>
      </c>
      <c r="GL1168" s="101">
        <f t="shared" si="568"/>
        <v>5.0599999999999999E-2</v>
      </c>
      <c r="GM1168" s="101">
        <f t="shared" si="569"/>
        <v>1</v>
      </c>
      <c r="GN1168" s="101">
        <f t="shared" si="570"/>
        <v>7</v>
      </c>
      <c r="GO1168" s="101">
        <f t="shared" si="571"/>
        <v>0.2024</v>
      </c>
      <c r="GP1168" s="101">
        <f t="shared" si="572"/>
        <v>1</v>
      </c>
      <c r="GQ1168" s="101">
        <f t="shared" si="573"/>
        <v>15</v>
      </c>
    </row>
    <row r="1169" spans="175:199" ht="16.5" x14ac:dyDescent="0.2">
      <c r="FS1169" s="101">
        <v>1164</v>
      </c>
      <c r="FT1169" s="101">
        <f t="shared" si="558"/>
        <v>39</v>
      </c>
      <c r="FU1169" s="101">
        <f t="shared" si="574"/>
        <v>15</v>
      </c>
      <c r="FV1169" s="14">
        <f t="shared" si="575"/>
        <v>3</v>
      </c>
      <c r="FW1169" s="101" t="str">
        <f t="shared" si="559"/>
        <v>高顺专属武器-魂珠-5 3级</v>
      </c>
      <c r="FX1169" s="101">
        <f t="shared" si="560"/>
        <v>5</v>
      </c>
      <c r="FY1169" s="101">
        <f t="shared" si="561"/>
        <v>3</v>
      </c>
      <c r="FZ1169" s="101" t="str">
        <f t="shared" si="576"/>
        <v>金币</v>
      </c>
      <c r="GA1169" s="139">
        <f>IF($FY1169&gt;0,IF(INDEX($EM$6:$EM$77,$FT1169)&gt;=GA$3,ROUND(INDEX(EO$6:EO$77,$FT1169)*INDEX(卡牌消耗!$B$8:$F$8,FV1169)/5,0)*5,""),"")</f>
        <v>1245</v>
      </c>
      <c r="GB1169" s="101" t="str">
        <f t="shared" si="577"/>
        <v>专属强化石2</v>
      </c>
      <c r="GC1169" s="101">
        <f t="shared" si="578"/>
        <v>3</v>
      </c>
      <c r="GD1169" s="101" t="str">
        <f t="shared" si="579"/>
        <v>专属强化石3</v>
      </c>
      <c r="GE1169" s="101">
        <f t="shared" si="580"/>
        <v>2</v>
      </c>
      <c r="GF1169" s="101">
        <f t="shared" si="562"/>
        <v>7.0000000000000007E-2</v>
      </c>
      <c r="GG1169" s="101">
        <f t="shared" si="563"/>
        <v>1</v>
      </c>
      <c r="GH1169" s="101">
        <f t="shared" si="564"/>
        <v>22</v>
      </c>
      <c r="GI1169" s="101">
        <f t="shared" si="565"/>
        <v>0</v>
      </c>
      <c r="GJ1169" s="101">
        <f t="shared" si="566"/>
        <v>1</v>
      </c>
      <c r="GK1169" s="101">
        <f t="shared" si="567"/>
        <v>5</v>
      </c>
      <c r="GL1169" s="101">
        <f t="shared" si="568"/>
        <v>3.3700000000000001E-2</v>
      </c>
      <c r="GM1169" s="101">
        <f t="shared" si="569"/>
        <v>1</v>
      </c>
      <c r="GN1169" s="101">
        <f t="shared" si="570"/>
        <v>10</v>
      </c>
      <c r="GO1169" s="101">
        <f t="shared" si="571"/>
        <v>0.13489999999999999</v>
      </c>
      <c r="GP1169" s="101">
        <f t="shared" si="572"/>
        <v>1</v>
      </c>
      <c r="GQ1169" s="101">
        <f t="shared" si="573"/>
        <v>22</v>
      </c>
    </row>
    <row r="1170" spans="175:199" ht="16.5" x14ac:dyDescent="0.2">
      <c r="FS1170" s="101">
        <v>1165</v>
      </c>
      <c r="FT1170" s="101">
        <f t="shared" si="558"/>
        <v>40</v>
      </c>
      <c r="FU1170" s="101">
        <f t="shared" si="574"/>
        <v>15</v>
      </c>
      <c r="FV1170" s="14">
        <f t="shared" si="575"/>
        <v>3</v>
      </c>
      <c r="FW1170" s="101" t="str">
        <f t="shared" si="559"/>
        <v>高顺专属武器-魂珠-5 4级</v>
      </c>
      <c r="FX1170" s="101">
        <f t="shared" si="560"/>
        <v>5</v>
      </c>
      <c r="FY1170" s="101">
        <f t="shared" si="561"/>
        <v>4</v>
      </c>
      <c r="FZ1170" s="101" t="str">
        <f t="shared" si="576"/>
        <v>金币</v>
      </c>
      <c r="GA1170" s="139">
        <f>IF($FY1170&gt;0,IF(INDEX($EM$6:$EM$77,$FT1170)&gt;=GA$3,ROUND(INDEX(EO$6:EO$77,$FT1170)*INDEX(卡牌消耗!$B$8:$F$8,FV1170)/5,0)*5,""),"")</f>
        <v>1795</v>
      </c>
      <c r="GB1170" s="101" t="str">
        <f t="shared" si="577"/>
        <v>专属强化石2</v>
      </c>
      <c r="GC1170" s="101">
        <f t="shared" si="578"/>
        <v>5</v>
      </c>
      <c r="GD1170" s="101" t="str">
        <f t="shared" si="579"/>
        <v>专属强化石3</v>
      </c>
      <c r="GE1170" s="101">
        <f t="shared" si="580"/>
        <v>3</v>
      </c>
      <c r="GF1170" s="101">
        <f t="shared" si="562"/>
        <v>0.06</v>
      </c>
      <c r="GG1170" s="101">
        <f t="shared" si="563"/>
        <v>1</v>
      </c>
      <c r="GH1170" s="101">
        <f t="shared" si="564"/>
        <v>25</v>
      </c>
      <c r="GI1170" s="101">
        <f t="shared" si="565"/>
        <v>0</v>
      </c>
      <c r="GJ1170" s="101">
        <f t="shared" si="566"/>
        <v>1</v>
      </c>
      <c r="GK1170" s="101">
        <f t="shared" si="567"/>
        <v>6</v>
      </c>
      <c r="GL1170" s="101">
        <f t="shared" si="568"/>
        <v>3.04E-2</v>
      </c>
      <c r="GM1170" s="101">
        <f t="shared" si="569"/>
        <v>1</v>
      </c>
      <c r="GN1170" s="101">
        <f t="shared" si="570"/>
        <v>12</v>
      </c>
      <c r="GO1170" s="101">
        <f t="shared" si="571"/>
        <v>0.12139999999999999</v>
      </c>
      <c r="GP1170" s="101">
        <f t="shared" si="572"/>
        <v>1</v>
      </c>
      <c r="GQ1170" s="101">
        <f t="shared" si="573"/>
        <v>25</v>
      </c>
    </row>
    <row r="1171" spans="175:199" ht="16.5" x14ac:dyDescent="0.2">
      <c r="FS1171" s="101">
        <v>1166</v>
      </c>
      <c r="FT1171" s="101">
        <f t="shared" si="558"/>
        <v>41</v>
      </c>
      <c r="FU1171" s="101">
        <f t="shared" si="574"/>
        <v>15</v>
      </c>
      <c r="FV1171" s="14">
        <f t="shared" si="575"/>
        <v>3</v>
      </c>
      <c r="FW1171" s="101" t="str">
        <f t="shared" si="559"/>
        <v>高顺专属武器-魂珠-5 5级</v>
      </c>
      <c r="FX1171" s="101">
        <f t="shared" si="560"/>
        <v>5</v>
      </c>
      <c r="FY1171" s="101">
        <f t="shared" si="561"/>
        <v>5</v>
      </c>
      <c r="FZ1171" s="101" t="str">
        <f t="shared" si="576"/>
        <v>金币</v>
      </c>
      <c r="GA1171" s="139">
        <f>IF($FY1171&gt;0,IF(INDEX($EM$6:$EM$77,$FT1171)&gt;=GA$3,ROUND(INDEX(EO$6:EO$77,$FT1171)*INDEX(卡牌消耗!$B$8:$F$8,FV1171)/5,0)*5,""),"")</f>
        <v>1825</v>
      </c>
      <c r="GB1171" s="101" t="str">
        <f t="shared" si="577"/>
        <v>专属强化石2</v>
      </c>
      <c r="GC1171" s="101">
        <f t="shared" si="578"/>
        <v>5</v>
      </c>
      <c r="GD1171" s="101" t="str">
        <f t="shared" si="579"/>
        <v>专属强化石3</v>
      </c>
      <c r="GE1171" s="101">
        <f t="shared" si="580"/>
        <v>3</v>
      </c>
      <c r="GF1171" s="101">
        <f t="shared" si="562"/>
        <v>0.04</v>
      </c>
      <c r="GG1171" s="101">
        <f t="shared" si="563"/>
        <v>1</v>
      </c>
      <c r="GH1171" s="101">
        <f t="shared" si="564"/>
        <v>40</v>
      </c>
      <c r="GI1171" s="101">
        <f t="shared" si="565"/>
        <v>0</v>
      </c>
      <c r="GJ1171" s="101">
        <f t="shared" si="566"/>
        <v>1</v>
      </c>
      <c r="GK1171" s="101">
        <f t="shared" si="567"/>
        <v>9</v>
      </c>
      <c r="GL1171" s="101">
        <f t="shared" si="568"/>
        <v>1.9E-2</v>
      </c>
      <c r="GM1171" s="101">
        <f t="shared" si="569"/>
        <v>1</v>
      </c>
      <c r="GN1171" s="101">
        <f t="shared" si="570"/>
        <v>18</v>
      </c>
      <c r="GO1171" s="101">
        <f t="shared" si="571"/>
        <v>7.5899999999999995E-2</v>
      </c>
      <c r="GP1171" s="101">
        <f t="shared" si="572"/>
        <v>1</v>
      </c>
      <c r="GQ1171" s="101">
        <f t="shared" si="573"/>
        <v>40</v>
      </c>
    </row>
    <row r="1172" spans="175:199" ht="16.5" x14ac:dyDescent="0.2">
      <c r="FS1172" s="101">
        <v>1167</v>
      </c>
      <c r="FT1172" s="101">
        <f t="shared" si="558"/>
        <v>42</v>
      </c>
      <c r="FU1172" s="101">
        <f t="shared" si="574"/>
        <v>15</v>
      </c>
      <c r="FV1172" s="14">
        <f t="shared" si="575"/>
        <v>3</v>
      </c>
      <c r="FW1172" s="101" t="str">
        <f t="shared" si="559"/>
        <v>高顺专属武器-魂珠-5 6级</v>
      </c>
      <c r="FX1172" s="101">
        <f t="shared" si="560"/>
        <v>5</v>
      </c>
      <c r="FY1172" s="101">
        <f t="shared" si="561"/>
        <v>6</v>
      </c>
      <c r="FZ1172" s="101" t="str">
        <f t="shared" si="576"/>
        <v>金币</v>
      </c>
      <c r="GA1172" s="139">
        <f>IF($FY1172&gt;0,IF(INDEX($EM$6:$EM$77,$FT1172)&gt;=GA$3,ROUND(INDEX(EO$6:EO$77,$FT1172)*INDEX(卡牌消耗!$B$8:$F$8,FV1172)/5,0)*5,""),"")</f>
        <v>3020</v>
      </c>
      <c r="GB1172" s="101" t="str">
        <f t="shared" si="577"/>
        <v>专属强化石2</v>
      </c>
      <c r="GC1172" s="101">
        <f t="shared" si="578"/>
        <v>8</v>
      </c>
      <c r="GD1172" s="101" t="str">
        <f t="shared" si="579"/>
        <v>专属强化石3</v>
      </c>
      <c r="GE1172" s="101">
        <f t="shared" si="580"/>
        <v>5</v>
      </c>
      <c r="GF1172" s="101">
        <f t="shared" si="562"/>
        <v>0.04</v>
      </c>
      <c r="GG1172" s="101">
        <f t="shared" si="563"/>
        <v>1</v>
      </c>
      <c r="GH1172" s="101">
        <f t="shared" si="564"/>
        <v>39</v>
      </c>
      <c r="GI1172" s="101">
        <f t="shared" si="565"/>
        <v>0</v>
      </c>
      <c r="GJ1172" s="101">
        <f t="shared" si="566"/>
        <v>1</v>
      </c>
      <c r="GK1172" s="101">
        <f t="shared" si="567"/>
        <v>9</v>
      </c>
      <c r="GL1172" s="101">
        <f t="shared" si="568"/>
        <v>1.95E-2</v>
      </c>
      <c r="GM1172" s="101">
        <f t="shared" si="569"/>
        <v>1</v>
      </c>
      <c r="GN1172" s="101">
        <f t="shared" si="570"/>
        <v>18</v>
      </c>
      <c r="GO1172" s="101">
        <f t="shared" si="571"/>
        <v>7.7799999999999994E-2</v>
      </c>
      <c r="GP1172" s="101">
        <f t="shared" si="572"/>
        <v>1</v>
      </c>
      <c r="GQ1172" s="101">
        <f t="shared" si="573"/>
        <v>39</v>
      </c>
    </row>
    <row r="1173" spans="175:199" ht="16.5" x14ac:dyDescent="0.2">
      <c r="FS1173" s="101">
        <v>1168</v>
      </c>
      <c r="FT1173" s="101">
        <f t="shared" si="558"/>
        <v>43</v>
      </c>
      <c r="FU1173" s="101">
        <f t="shared" si="574"/>
        <v>15</v>
      </c>
      <c r="FV1173" s="14">
        <f t="shared" si="575"/>
        <v>3</v>
      </c>
      <c r="FW1173" s="101" t="str">
        <f t="shared" si="559"/>
        <v>高顺专属武器-魂珠-5 7级</v>
      </c>
      <c r="FX1173" s="101">
        <f t="shared" si="560"/>
        <v>5</v>
      </c>
      <c r="FY1173" s="101">
        <f t="shared" si="561"/>
        <v>7</v>
      </c>
      <c r="FZ1173" s="101" t="str">
        <f t="shared" si="576"/>
        <v>金币</v>
      </c>
      <c r="GA1173" s="139">
        <f>IF($FY1173&gt;0,IF(INDEX($EM$6:$EM$77,$FT1173)&gt;=GA$3,ROUND(INDEX(EO$6:EO$77,$FT1173)*INDEX(卡牌消耗!$B$8:$F$8,FV1173)/5,0)*5,""),"")</f>
        <v>3025</v>
      </c>
      <c r="GB1173" s="101" t="str">
        <f t="shared" si="577"/>
        <v>专属强化石2</v>
      </c>
      <c r="GC1173" s="101">
        <f t="shared" si="578"/>
        <v>8</v>
      </c>
      <c r="GD1173" s="101" t="str">
        <f t="shared" si="579"/>
        <v>专属强化石3</v>
      </c>
      <c r="GE1173" s="101">
        <f t="shared" si="580"/>
        <v>5</v>
      </c>
      <c r="GF1173" s="101">
        <f t="shared" si="562"/>
        <v>0.02</v>
      </c>
      <c r="GG1173" s="101">
        <f t="shared" si="563"/>
        <v>1</v>
      </c>
      <c r="GH1173" s="101">
        <f t="shared" si="564"/>
        <v>62</v>
      </c>
      <c r="GI1173" s="101">
        <f t="shared" si="565"/>
        <v>0</v>
      </c>
      <c r="GJ1173" s="101">
        <f t="shared" si="566"/>
        <v>1</v>
      </c>
      <c r="GK1173" s="101">
        <f t="shared" si="567"/>
        <v>15</v>
      </c>
      <c r="GL1173" s="101">
        <f t="shared" si="568"/>
        <v>1.2E-2</v>
      </c>
      <c r="GM1173" s="101">
        <f t="shared" si="569"/>
        <v>1</v>
      </c>
      <c r="GN1173" s="101">
        <f t="shared" si="570"/>
        <v>29</v>
      </c>
      <c r="GO1173" s="101">
        <f t="shared" si="571"/>
        <v>4.82E-2</v>
      </c>
      <c r="GP1173" s="101">
        <f t="shared" si="572"/>
        <v>1</v>
      </c>
      <c r="GQ1173" s="101">
        <f t="shared" si="573"/>
        <v>62</v>
      </c>
    </row>
    <row r="1174" spans="175:199" ht="16.5" x14ac:dyDescent="0.2">
      <c r="FS1174" s="101">
        <v>1169</v>
      </c>
      <c r="FT1174" s="101">
        <f t="shared" ref="FT1174:FT1237" si="581">IF(FY1174&gt;0,(FX1174-1)*9+FY1174,0)</f>
        <v>44</v>
      </c>
      <c r="FU1174" s="101">
        <f t="shared" si="574"/>
        <v>15</v>
      </c>
      <c r="FV1174" s="14">
        <f t="shared" si="575"/>
        <v>3</v>
      </c>
      <c r="FW1174" s="101" t="str">
        <f t="shared" ref="FW1174:FW1237" si="582">INDEX($FN$6:$FN$26,FU1174)&amp;"专属武器-魂珠-"&amp;FX1174&amp;" "&amp;FY1174&amp;"级"</f>
        <v>高顺专属武器-魂珠-5 8级</v>
      </c>
      <c r="FX1174" s="101">
        <f t="shared" ref="FX1174:FX1237" si="583">INT((FS1174-(FU1174-1)*80-1)/10)+1</f>
        <v>5</v>
      </c>
      <c r="FY1174" s="101">
        <f t="shared" ref="FY1174:FY1237" si="584">FS1174-(FU1174-1)*80-(FX1174-1)*10-1</f>
        <v>8</v>
      </c>
      <c r="FZ1174" s="101" t="str">
        <f t="shared" si="576"/>
        <v>金币</v>
      </c>
      <c r="GA1174" s="139">
        <f>IF($FY1174&gt;0,IF(INDEX($EM$6:$EM$77,$FT1174)&gt;=GA$3,ROUND(INDEX(EO$6:EO$77,$FT1174)*INDEX(卡牌消耗!$B$8:$F$8,FV1174)/5,0)*5,""),"")</f>
        <v>4235</v>
      </c>
      <c r="GB1174" s="101" t="str">
        <f t="shared" si="577"/>
        <v>专属强化石2</v>
      </c>
      <c r="GC1174" s="101">
        <f t="shared" si="578"/>
        <v>11</v>
      </c>
      <c r="GD1174" s="101" t="str">
        <f t="shared" si="579"/>
        <v>专属强化石3</v>
      </c>
      <c r="GE1174" s="101">
        <f t="shared" si="580"/>
        <v>7</v>
      </c>
      <c r="GF1174" s="101">
        <f t="shared" ref="GF1174:GF1237" si="585">IF($FY1174&gt;0,INDEX(ET$6:ET$77,$FT1174),"")</f>
        <v>0.02</v>
      </c>
      <c r="GG1174" s="101">
        <f t="shared" ref="GG1174:GG1237" si="586">IF($FY1174&gt;0,INDEX(EU$6:EU$77,$FT1174),"")</f>
        <v>1</v>
      </c>
      <c r="GH1174" s="101">
        <f t="shared" ref="GH1174:GH1237" si="587">IF($FY1174&gt;0,INDEX(EV$6:EV$77,$FT1174),"")</f>
        <v>72</v>
      </c>
      <c r="GI1174" s="101">
        <f t="shared" ref="GI1174:GI1237" si="588">IF($FY1174&gt;0,INDEX(FA$6:FA$77,$FT1174),"")</f>
        <v>0</v>
      </c>
      <c r="GJ1174" s="101">
        <f t="shared" ref="GJ1174:GJ1237" si="589">IF($FY1174&gt;0,INDEX(FB$6:FB$77,$FT1174),"")</f>
        <v>1</v>
      </c>
      <c r="GK1174" s="101">
        <f t="shared" ref="GK1174:GK1237" si="590">IF($FY1174&gt;0,INDEX(FC$6:FC$77,$FT1174),"")</f>
        <v>17</v>
      </c>
      <c r="GL1174" s="101">
        <f t="shared" ref="GL1174:GL1237" si="591">IF($FY1174&gt;0,INDEX(FD$6:FD$77,$FT1174),"")</f>
        <v>1.04E-2</v>
      </c>
      <c r="GM1174" s="101">
        <f t="shared" ref="GM1174:GM1237" si="592">IF($FY1174&gt;0,INDEX(FE$6:FE$77,$FT1174),"")</f>
        <v>1</v>
      </c>
      <c r="GN1174" s="101">
        <f t="shared" ref="GN1174:GN1237" si="593">IF($FY1174&gt;0,INDEX(FF$6:FF$77,$FT1174),"")</f>
        <v>34</v>
      </c>
      <c r="GO1174" s="101">
        <f t="shared" ref="GO1174:GO1237" si="594">IF($FY1174&gt;0,INDEX(FG$6:FG$77,$FT1174),"")</f>
        <v>4.1700000000000001E-2</v>
      </c>
      <c r="GP1174" s="101">
        <f t="shared" ref="GP1174:GP1237" si="595">IF($FY1174&gt;0,INDEX(FH$6:FH$77,$FT1174),"")</f>
        <v>1</v>
      </c>
      <c r="GQ1174" s="101">
        <f t="shared" ref="GQ1174:GQ1237" si="596">IF($FY1174&gt;0,INDEX(FI$6:FI$77,$FT1174),"")</f>
        <v>72</v>
      </c>
    </row>
    <row r="1175" spans="175:199" ht="16.5" x14ac:dyDescent="0.2">
      <c r="FS1175" s="101">
        <v>1170</v>
      </c>
      <c r="FT1175" s="101">
        <f t="shared" si="581"/>
        <v>45</v>
      </c>
      <c r="FU1175" s="101">
        <f t="shared" si="574"/>
        <v>15</v>
      </c>
      <c r="FV1175" s="14">
        <f t="shared" si="575"/>
        <v>3</v>
      </c>
      <c r="FW1175" s="101" t="str">
        <f t="shared" si="582"/>
        <v>高顺专属武器-魂珠-5 9级</v>
      </c>
      <c r="FX1175" s="101">
        <f t="shared" si="583"/>
        <v>5</v>
      </c>
      <c r="FY1175" s="101">
        <f t="shared" si="584"/>
        <v>9</v>
      </c>
      <c r="FZ1175" s="101" t="str">
        <f t="shared" si="576"/>
        <v>金币</v>
      </c>
      <c r="GA1175" s="139">
        <f>IF($FY1175&gt;0,IF(INDEX($EM$6:$EM$77,$FT1175)&gt;=GA$3,ROUND(INDEX(EO$6:EO$77,$FT1175)*INDEX(卡牌消耗!$B$8:$F$8,FV1175)/5,0)*5,""),"")</f>
        <v>5445</v>
      </c>
      <c r="GB1175" s="101" t="str">
        <f t="shared" si="577"/>
        <v>专属强化石2</v>
      </c>
      <c r="GC1175" s="101">
        <f t="shared" si="578"/>
        <v>14</v>
      </c>
      <c r="GD1175" s="101" t="str">
        <f t="shared" si="579"/>
        <v>专属强化石3</v>
      </c>
      <c r="GE1175" s="101">
        <f t="shared" si="580"/>
        <v>9</v>
      </c>
      <c r="GF1175" s="101">
        <f t="shared" si="585"/>
        <v>0.02</v>
      </c>
      <c r="GG1175" s="101">
        <f t="shared" si="586"/>
        <v>1</v>
      </c>
      <c r="GH1175" s="101">
        <f t="shared" si="587"/>
        <v>91</v>
      </c>
      <c r="GI1175" s="101">
        <f t="shared" si="588"/>
        <v>0</v>
      </c>
      <c r="GJ1175" s="101">
        <f t="shared" si="589"/>
        <v>1</v>
      </c>
      <c r="GK1175" s="101">
        <f t="shared" si="590"/>
        <v>21</v>
      </c>
      <c r="GL1175" s="101">
        <f t="shared" si="591"/>
        <v>8.3000000000000001E-3</v>
      </c>
      <c r="GM1175" s="101">
        <f t="shared" si="592"/>
        <v>1</v>
      </c>
      <c r="GN1175" s="101">
        <f t="shared" si="593"/>
        <v>42</v>
      </c>
      <c r="GO1175" s="101">
        <f t="shared" si="594"/>
        <v>3.3099999999999997E-2</v>
      </c>
      <c r="GP1175" s="101">
        <f t="shared" si="595"/>
        <v>1</v>
      </c>
      <c r="GQ1175" s="101">
        <f t="shared" si="596"/>
        <v>91</v>
      </c>
    </row>
    <row r="1176" spans="175:199" ht="16.5" x14ac:dyDescent="0.2">
      <c r="FS1176" s="101">
        <v>1171</v>
      </c>
      <c r="FT1176" s="101">
        <f t="shared" si="581"/>
        <v>0</v>
      </c>
      <c r="FU1176" s="101">
        <f t="shared" si="574"/>
        <v>15</v>
      </c>
      <c r="FV1176" s="14">
        <f t="shared" si="575"/>
        <v>3</v>
      </c>
      <c r="FW1176" s="101" t="str">
        <f t="shared" si="582"/>
        <v>高顺专属武器-魂珠-6 0级</v>
      </c>
      <c r="FX1176" s="101">
        <f t="shared" si="583"/>
        <v>6</v>
      </c>
      <c r="FY1176" s="101">
        <f t="shared" si="584"/>
        <v>0</v>
      </c>
      <c r="FZ1176" s="101" t="str">
        <f t="shared" si="576"/>
        <v/>
      </c>
      <c r="GA1176" s="139" t="str">
        <f>IF($FY1176&gt;0,IF(INDEX($EM$6:$EM$77,$FT1176)&gt;=GA$3,ROUND(INDEX(EO$6:EO$77,$FT1176)*INDEX(卡牌消耗!$B$8:$F$8,FV1176)/5,0)*5,""),"")</f>
        <v/>
      </c>
      <c r="GB1176" s="101" t="str">
        <f t="shared" si="577"/>
        <v/>
      </c>
      <c r="GC1176" s="101" t="str">
        <f t="shared" si="578"/>
        <v/>
      </c>
      <c r="GD1176" s="101" t="str">
        <f t="shared" si="579"/>
        <v/>
      </c>
      <c r="GE1176" s="101" t="str">
        <f t="shared" si="580"/>
        <v/>
      </c>
      <c r="GF1176" s="101" t="str">
        <f t="shared" si="585"/>
        <v/>
      </c>
      <c r="GG1176" s="101" t="str">
        <f t="shared" si="586"/>
        <v/>
      </c>
      <c r="GH1176" s="101" t="str">
        <f t="shared" si="587"/>
        <v/>
      </c>
      <c r="GI1176" s="101" t="str">
        <f t="shared" si="588"/>
        <v/>
      </c>
      <c r="GJ1176" s="101" t="str">
        <f t="shared" si="589"/>
        <v/>
      </c>
      <c r="GK1176" s="101" t="str">
        <f t="shared" si="590"/>
        <v/>
      </c>
      <c r="GL1176" s="101" t="str">
        <f t="shared" si="591"/>
        <v/>
      </c>
      <c r="GM1176" s="101" t="str">
        <f t="shared" si="592"/>
        <v/>
      </c>
      <c r="GN1176" s="101" t="str">
        <f t="shared" si="593"/>
        <v/>
      </c>
      <c r="GO1176" s="101" t="str">
        <f t="shared" si="594"/>
        <v/>
      </c>
      <c r="GP1176" s="101" t="str">
        <f t="shared" si="595"/>
        <v/>
      </c>
      <c r="GQ1176" s="101" t="str">
        <f t="shared" si="596"/>
        <v/>
      </c>
    </row>
    <row r="1177" spans="175:199" ht="16.5" x14ac:dyDescent="0.2">
      <c r="FS1177" s="101">
        <v>1172</v>
      </c>
      <c r="FT1177" s="101">
        <f t="shared" si="581"/>
        <v>46</v>
      </c>
      <c r="FU1177" s="101">
        <f t="shared" si="574"/>
        <v>15</v>
      </c>
      <c r="FV1177" s="14">
        <f t="shared" si="575"/>
        <v>3</v>
      </c>
      <c r="FW1177" s="101" t="str">
        <f t="shared" si="582"/>
        <v>高顺专属武器-魂珠-6 1级</v>
      </c>
      <c r="FX1177" s="101">
        <f t="shared" si="583"/>
        <v>6</v>
      </c>
      <c r="FY1177" s="101">
        <f t="shared" si="584"/>
        <v>1</v>
      </c>
      <c r="FZ1177" s="101" t="str">
        <f t="shared" si="576"/>
        <v>金币</v>
      </c>
      <c r="GA1177" s="139">
        <f>IF($FY1177&gt;0,IF(INDEX($EM$6:$EM$77,$FT1177)&gt;=GA$3,ROUND(INDEX(EO$6:EO$77,$FT1177)*INDEX(卡牌消耗!$B$8:$F$8,FV1177)/5,0)*5,""),"")</f>
        <v>1455</v>
      </c>
      <c r="GB1177" s="101" t="str">
        <f t="shared" si="577"/>
        <v>专属强化石3</v>
      </c>
      <c r="GC1177" s="101">
        <f t="shared" si="578"/>
        <v>5</v>
      </c>
      <c r="GD1177" s="101" t="str">
        <f t="shared" si="579"/>
        <v>专属强化石4</v>
      </c>
      <c r="GE1177" s="101">
        <f t="shared" si="580"/>
        <v>1</v>
      </c>
      <c r="GF1177" s="101">
        <f t="shared" si="585"/>
        <v>0.17</v>
      </c>
      <c r="GG1177" s="101">
        <f t="shared" si="586"/>
        <v>1</v>
      </c>
      <c r="GH1177" s="101">
        <f t="shared" si="587"/>
        <v>9</v>
      </c>
      <c r="GI1177" s="101">
        <f t="shared" si="588"/>
        <v>0</v>
      </c>
      <c r="GJ1177" s="101">
        <f t="shared" si="589"/>
        <v>1</v>
      </c>
      <c r="GK1177" s="101">
        <f t="shared" si="590"/>
        <v>2</v>
      </c>
      <c r="GL1177" s="101">
        <f t="shared" si="591"/>
        <v>8.2900000000000001E-2</v>
      </c>
      <c r="GM1177" s="101">
        <f t="shared" si="592"/>
        <v>1</v>
      </c>
      <c r="GN1177" s="101">
        <f t="shared" si="593"/>
        <v>4</v>
      </c>
      <c r="GO1177" s="101">
        <f t="shared" si="594"/>
        <v>0.33139999999999997</v>
      </c>
      <c r="GP1177" s="101">
        <f t="shared" si="595"/>
        <v>1</v>
      </c>
      <c r="GQ1177" s="101">
        <f t="shared" si="596"/>
        <v>9</v>
      </c>
    </row>
    <row r="1178" spans="175:199" ht="16.5" x14ac:dyDescent="0.2">
      <c r="FS1178" s="101">
        <v>1173</v>
      </c>
      <c r="FT1178" s="101">
        <f t="shared" si="581"/>
        <v>47</v>
      </c>
      <c r="FU1178" s="101">
        <f t="shared" si="574"/>
        <v>15</v>
      </c>
      <c r="FV1178" s="14">
        <f t="shared" si="575"/>
        <v>3</v>
      </c>
      <c r="FW1178" s="101" t="str">
        <f t="shared" si="582"/>
        <v>高顺专属武器-魂珠-6 2级</v>
      </c>
      <c r="FX1178" s="101">
        <f t="shared" si="583"/>
        <v>6</v>
      </c>
      <c r="FY1178" s="101">
        <f t="shared" si="584"/>
        <v>2</v>
      </c>
      <c r="FZ1178" s="101" t="str">
        <f t="shared" si="576"/>
        <v>金币</v>
      </c>
      <c r="GA1178" s="139">
        <f>IF($FY1178&gt;0,IF(INDEX($EM$6:$EM$77,$FT1178)&gt;=GA$3,ROUND(INDEX(EO$6:EO$77,$FT1178)*INDEX(卡牌消耗!$B$8:$F$8,FV1178)/5,0)*5,""),"")</f>
        <v>2180</v>
      </c>
      <c r="GB1178" s="101" t="str">
        <f t="shared" si="577"/>
        <v>专属强化石3</v>
      </c>
      <c r="GC1178" s="101">
        <f t="shared" si="578"/>
        <v>10</v>
      </c>
      <c r="GD1178" s="101" t="str">
        <f t="shared" si="579"/>
        <v>专属强化石4</v>
      </c>
      <c r="GE1178" s="101">
        <f t="shared" si="580"/>
        <v>2</v>
      </c>
      <c r="GF1178" s="101">
        <f t="shared" si="585"/>
        <v>0.17</v>
      </c>
      <c r="GG1178" s="101">
        <f t="shared" si="586"/>
        <v>1</v>
      </c>
      <c r="GH1178" s="101">
        <f t="shared" si="587"/>
        <v>9</v>
      </c>
      <c r="GI1178" s="101">
        <f t="shared" si="588"/>
        <v>0</v>
      </c>
      <c r="GJ1178" s="101">
        <f t="shared" si="589"/>
        <v>1</v>
      </c>
      <c r="GK1178" s="101">
        <f t="shared" si="590"/>
        <v>2</v>
      </c>
      <c r="GL1178" s="101">
        <f t="shared" si="591"/>
        <v>8.2900000000000001E-2</v>
      </c>
      <c r="GM1178" s="101">
        <f t="shared" si="592"/>
        <v>1</v>
      </c>
      <c r="GN1178" s="101">
        <f t="shared" si="593"/>
        <v>4</v>
      </c>
      <c r="GO1178" s="101">
        <f t="shared" si="594"/>
        <v>0.33139999999999997</v>
      </c>
      <c r="GP1178" s="101">
        <f t="shared" si="595"/>
        <v>1</v>
      </c>
      <c r="GQ1178" s="101">
        <f t="shared" si="596"/>
        <v>9</v>
      </c>
    </row>
    <row r="1179" spans="175:199" ht="16.5" x14ac:dyDescent="0.2">
      <c r="FS1179" s="101">
        <v>1174</v>
      </c>
      <c r="FT1179" s="101">
        <f t="shared" si="581"/>
        <v>48</v>
      </c>
      <c r="FU1179" s="101">
        <f t="shared" si="574"/>
        <v>15</v>
      </c>
      <c r="FV1179" s="14">
        <f t="shared" si="575"/>
        <v>3</v>
      </c>
      <c r="FW1179" s="101" t="str">
        <f t="shared" si="582"/>
        <v>高顺专属武器-魂珠-6 3级</v>
      </c>
      <c r="FX1179" s="101">
        <f t="shared" si="583"/>
        <v>6</v>
      </c>
      <c r="FY1179" s="101">
        <f t="shared" si="584"/>
        <v>3</v>
      </c>
      <c r="FZ1179" s="101" t="str">
        <f t="shared" si="576"/>
        <v>金币</v>
      </c>
      <c r="GA1179" s="139">
        <f>IF($FY1179&gt;0,IF(INDEX($EM$6:$EM$77,$FT1179)&gt;=GA$3,ROUND(INDEX(EO$6:EO$77,$FT1179)*INDEX(卡牌消耗!$B$8:$F$8,FV1179)/5,0)*5,""),"")</f>
        <v>2425</v>
      </c>
      <c r="GB1179" s="101" t="str">
        <f t="shared" si="577"/>
        <v>专属强化石3</v>
      </c>
      <c r="GC1179" s="101">
        <f t="shared" si="578"/>
        <v>10</v>
      </c>
      <c r="GD1179" s="101" t="str">
        <f t="shared" si="579"/>
        <v>专属强化石4</v>
      </c>
      <c r="GE1179" s="101">
        <f t="shared" si="580"/>
        <v>2</v>
      </c>
      <c r="GF1179" s="101">
        <f t="shared" si="585"/>
        <v>0.11</v>
      </c>
      <c r="GG1179" s="101">
        <f t="shared" si="586"/>
        <v>1</v>
      </c>
      <c r="GH1179" s="101">
        <f t="shared" si="587"/>
        <v>14</v>
      </c>
      <c r="GI1179" s="101">
        <f t="shared" si="588"/>
        <v>0</v>
      </c>
      <c r="GJ1179" s="101">
        <f t="shared" si="589"/>
        <v>1</v>
      </c>
      <c r="GK1179" s="101">
        <f t="shared" si="590"/>
        <v>3</v>
      </c>
      <c r="GL1179" s="101">
        <f t="shared" si="591"/>
        <v>5.5199999999999999E-2</v>
      </c>
      <c r="GM1179" s="101">
        <f t="shared" si="592"/>
        <v>1</v>
      </c>
      <c r="GN1179" s="101">
        <f t="shared" si="593"/>
        <v>6</v>
      </c>
      <c r="GO1179" s="101">
        <f t="shared" si="594"/>
        <v>0.221</v>
      </c>
      <c r="GP1179" s="101">
        <f t="shared" si="595"/>
        <v>1</v>
      </c>
      <c r="GQ1179" s="101">
        <f t="shared" si="596"/>
        <v>14</v>
      </c>
    </row>
    <row r="1180" spans="175:199" ht="16.5" x14ac:dyDescent="0.2">
      <c r="FS1180" s="101">
        <v>1175</v>
      </c>
      <c r="FT1180" s="101">
        <f t="shared" si="581"/>
        <v>49</v>
      </c>
      <c r="FU1180" s="101">
        <f t="shared" si="574"/>
        <v>15</v>
      </c>
      <c r="FV1180" s="14">
        <f t="shared" si="575"/>
        <v>3</v>
      </c>
      <c r="FW1180" s="101" t="str">
        <f t="shared" si="582"/>
        <v>高顺专属武器-魂珠-6 4级</v>
      </c>
      <c r="FX1180" s="101">
        <f t="shared" si="583"/>
        <v>6</v>
      </c>
      <c r="FY1180" s="101">
        <f t="shared" si="584"/>
        <v>4</v>
      </c>
      <c r="FZ1180" s="101" t="str">
        <f t="shared" si="576"/>
        <v>金币</v>
      </c>
      <c r="GA1180" s="139">
        <f>IF($FY1180&gt;0,IF(INDEX($EM$6:$EM$77,$FT1180)&gt;=GA$3,ROUND(INDEX(EO$6:EO$77,$FT1180)*INDEX(卡牌消耗!$B$8:$F$8,FV1180)/5,0)*5,""),"")</f>
        <v>3490</v>
      </c>
      <c r="GB1180" s="101" t="str">
        <f t="shared" si="577"/>
        <v>专属强化石3</v>
      </c>
      <c r="GC1180" s="101">
        <f t="shared" si="578"/>
        <v>15</v>
      </c>
      <c r="GD1180" s="101" t="str">
        <f t="shared" si="579"/>
        <v>专属强化石4</v>
      </c>
      <c r="GE1180" s="101">
        <f t="shared" si="580"/>
        <v>3</v>
      </c>
      <c r="GF1180" s="101">
        <f t="shared" si="585"/>
        <v>0.1</v>
      </c>
      <c r="GG1180" s="101">
        <f t="shared" si="586"/>
        <v>1</v>
      </c>
      <c r="GH1180" s="101">
        <f t="shared" si="587"/>
        <v>15</v>
      </c>
      <c r="GI1180" s="101">
        <f t="shared" si="588"/>
        <v>0</v>
      </c>
      <c r="GJ1180" s="101">
        <f t="shared" si="589"/>
        <v>1</v>
      </c>
      <c r="GK1180" s="101">
        <f t="shared" si="590"/>
        <v>4</v>
      </c>
      <c r="GL1180" s="101">
        <f t="shared" si="591"/>
        <v>4.9700000000000001E-2</v>
      </c>
      <c r="GM1180" s="101">
        <f t="shared" si="592"/>
        <v>1</v>
      </c>
      <c r="GN1180" s="101">
        <f t="shared" si="593"/>
        <v>7</v>
      </c>
      <c r="GO1180" s="101">
        <f t="shared" si="594"/>
        <v>0.19889999999999999</v>
      </c>
      <c r="GP1180" s="101">
        <f t="shared" si="595"/>
        <v>1</v>
      </c>
      <c r="GQ1180" s="101">
        <f t="shared" si="596"/>
        <v>15</v>
      </c>
    </row>
    <row r="1181" spans="175:199" ht="16.5" x14ac:dyDescent="0.2">
      <c r="FS1181" s="101">
        <v>1176</v>
      </c>
      <c r="FT1181" s="101">
        <f t="shared" si="581"/>
        <v>50</v>
      </c>
      <c r="FU1181" s="101">
        <f t="shared" si="574"/>
        <v>15</v>
      </c>
      <c r="FV1181" s="14">
        <f t="shared" si="575"/>
        <v>3</v>
      </c>
      <c r="FW1181" s="101" t="str">
        <f t="shared" si="582"/>
        <v>高顺专属武器-魂珠-6 5级</v>
      </c>
      <c r="FX1181" s="101">
        <f t="shared" si="583"/>
        <v>6</v>
      </c>
      <c r="FY1181" s="101">
        <f t="shared" si="584"/>
        <v>5</v>
      </c>
      <c r="FZ1181" s="101" t="str">
        <f t="shared" si="576"/>
        <v>金币</v>
      </c>
      <c r="GA1181" s="139">
        <f>IF($FY1181&gt;0,IF(INDEX($EM$6:$EM$77,$FT1181)&gt;=GA$3,ROUND(INDEX(EO$6:EO$77,$FT1181)*INDEX(卡牌消耗!$B$8:$F$8,FV1181)/5,0)*5,""),"")</f>
        <v>3545</v>
      </c>
      <c r="GB1181" s="101" t="str">
        <f t="shared" si="577"/>
        <v>专属强化石3</v>
      </c>
      <c r="GC1181" s="101">
        <f t="shared" si="578"/>
        <v>15</v>
      </c>
      <c r="GD1181" s="101" t="str">
        <f t="shared" si="579"/>
        <v>专属强化石4</v>
      </c>
      <c r="GE1181" s="101">
        <f t="shared" si="580"/>
        <v>3</v>
      </c>
      <c r="GF1181" s="101">
        <f t="shared" si="585"/>
        <v>0.06</v>
      </c>
      <c r="GG1181" s="101">
        <f t="shared" si="586"/>
        <v>1</v>
      </c>
      <c r="GH1181" s="101">
        <f t="shared" si="587"/>
        <v>24</v>
      </c>
      <c r="GI1181" s="101">
        <f t="shared" si="588"/>
        <v>0</v>
      </c>
      <c r="GJ1181" s="101">
        <f t="shared" si="589"/>
        <v>1</v>
      </c>
      <c r="GK1181" s="101">
        <f t="shared" si="590"/>
        <v>6</v>
      </c>
      <c r="GL1181" s="101">
        <f t="shared" si="591"/>
        <v>3.1099999999999999E-2</v>
      </c>
      <c r="GM1181" s="101">
        <f t="shared" si="592"/>
        <v>1</v>
      </c>
      <c r="GN1181" s="101">
        <f t="shared" si="593"/>
        <v>11</v>
      </c>
      <c r="GO1181" s="101">
        <f t="shared" si="594"/>
        <v>0.12429999999999999</v>
      </c>
      <c r="GP1181" s="101">
        <f t="shared" si="595"/>
        <v>1</v>
      </c>
      <c r="GQ1181" s="101">
        <f t="shared" si="596"/>
        <v>24</v>
      </c>
    </row>
    <row r="1182" spans="175:199" ht="16.5" x14ac:dyDescent="0.2">
      <c r="FS1182" s="101">
        <v>1177</v>
      </c>
      <c r="FT1182" s="101">
        <f t="shared" si="581"/>
        <v>51</v>
      </c>
      <c r="FU1182" s="101">
        <f t="shared" si="574"/>
        <v>15</v>
      </c>
      <c r="FV1182" s="14">
        <f t="shared" si="575"/>
        <v>3</v>
      </c>
      <c r="FW1182" s="101" t="str">
        <f t="shared" si="582"/>
        <v>高顺专属武器-魂珠-6 6级</v>
      </c>
      <c r="FX1182" s="101">
        <f t="shared" si="583"/>
        <v>6</v>
      </c>
      <c r="FY1182" s="101">
        <f t="shared" si="584"/>
        <v>6</v>
      </c>
      <c r="FZ1182" s="101" t="str">
        <f t="shared" si="576"/>
        <v>金币</v>
      </c>
      <c r="GA1182" s="139">
        <f>IF($FY1182&gt;0,IF(INDEX($EM$6:$EM$77,$FT1182)&gt;=GA$3,ROUND(INDEX(EO$6:EO$77,$FT1182)*INDEX(卡牌消耗!$B$8:$F$8,FV1182)/5,0)*5,""),"")</f>
        <v>4700</v>
      </c>
      <c r="GB1182" s="101" t="str">
        <f t="shared" si="577"/>
        <v>专属强化石3</v>
      </c>
      <c r="GC1182" s="101">
        <f t="shared" si="578"/>
        <v>20</v>
      </c>
      <c r="GD1182" s="101" t="str">
        <f t="shared" si="579"/>
        <v>专属强化石4</v>
      </c>
      <c r="GE1182" s="101">
        <f t="shared" si="580"/>
        <v>4</v>
      </c>
      <c r="GF1182" s="101">
        <f t="shared" si="585"/>
        <v>0.05</v>
      </c>
      <c r="GG1182" s="101">
        <f t="shared" si="586"/>
        <v>1</v>
      </c>
      <c r="GH1182" s="101">
        <f t="shared" si="587"/>
        <v>29</v>
      </c>
      <c r="GI1182" s="101">
        <f t="shared" si="588"/>
        <v>0</v>
      </c>
      <c r="GJ1182" s="101">
        <f t="shared" si="589"/>
        <v>1</v>
      </c>
      <c r="GK1182" s="101">
        <f t="shared" si="590"/>
        <v>7</v>
      </c>
      <c r="GL1182" s="101">
        <f t="shared" si="591"/>
        <v>2.5499999999999998E-2</v>
      </c>
      <c r="GM1182" s="101">
        <f t="shared" si="592"/>
        <v>1</v>
      </c>
      <c r="GN1182" s="101">
        <f t="shared" si="593"/>
        <v>14</v>
      </c>
      <c r="GO1182" s="101">
        <f t="shared" si="594"/>
        <v>0.10199999999999999</v>
      </c>
      <c r="GP1182" s="101">
        <f t="shared" si="595"/>
        <v>1</v>
      </c>
      <c r="GQ1182" s="101">
        <f t="shared" si="596"/>
        <v>29</v>
      </c>
    </row>
    <row r="1183" spans="175:199" ht="16.5" x14ac:dyDescent="0.2">
      <c r="FS1183" s="101">
        <v>1178</v>
      </c>
      <c r="FT1183" s="101">
        <f t="shared" si="581"/>
        <v>52</v>
      </c>
      <c r="FU1183" s="101">
        <f t="shared" si="574"/>
        <v>15</v>
      </c>
      <c r="FV1183" s="14">
        <f t="shared" si="575"/>
        <v>3</v>
      </c>
      <c r="FW1183" s="101" t="str">
        <f t="shared" si="582"/>
        <v>高顺专属武器-魂珠-6 7级</v>
      </c>
      <c r="FX1183" s="101">
        <f t="shared" si="583"/>
        <v>6</v>
      </c>
      <c r="FY1183" s="101">
        <f t="shared" si="584"/>
        <v>7</v>
      </c>
      <c r="FZ1183" s="101" t="str">
        <f t="shared" si="576"/>
        <v>金币</v>
      </c>
      <c r="GA1183" s="139">
        <f>IF($FY1183&gt;0,IF(INDEX($EM$6:$EM$77,$FT1183)&gt;=GA$3,ROUND(INDEX(EO$6:EO$77,$FT1183)*INDEX(卡牌消耗!$B$8:$F$8,FV1183)/5,0)*5,""),"")</f>
        <v>5885</v>
      </c>
      <c r="GB1183" s="101" t="str">
        <f t="shared" si="577"/>
        <v>专属强化石3</v>
      </c>
      <c r="GC1183" s="101">
        <f t="shared" si="578"/>
        <v>25</v>
      </c>
      <c r="GD1183" s="101" t="str">
        <f t="shared" si="579"/>
        <v>专属强化石4</v>
      </c>
      <c r="GE1183" s="101">
        <f t="shared" si="580"/>
        <v>5</v>
      </c>
      <c r="GF1183" s="101">
        <f t="shared" si="585"/>
        <v>0.04</v>
      </c>
      <c r="GG1183" s="101">
        <f t="shared" si="586"/>
        <v>1</v>
      </c>
      <c r="GH1183" s="101">
        <f t="shared" si="587"/>
        <v>38</v>
      </c>
      <c r="GI1183" s="101">
        <f t="shared" si="588"/>
        <v>0</v>
      </c>
      <c r="GJ1183" s="101">
        <f t="shared" si="589"/>
        <v>1</v>
      </c>
      <c r="GK1183" s="101">
        <f t="shared" si="590"/>
        <v>9</v>
      </c>
      <c r="GL1183" s="101">
        <f t="shared" si="591"/>
        <v>1.9699999999999999E-2</v>
      </c>
      <c r="GM1183" s="101">
        <f t="shared" si="592"/>
        <v>1</v>
      </c>
      <c r="GN1183" s="101">
        <f t="shared" si="593"/>
        <v>18</v>
      </c>
      <c r="GO1183" s="101">
        <f t="shared" si="594"/>
        <v>7.8899999999999998E-2</v>
      </c>
      <c r="GP1183" s="101">
        <f t="shared" si="595"/>
        <v>1</v>
      </c>
      <c r="GQ1183" s="101">
        <f t="shared" si="596"/>
        <v>38</v>
      </c>
    </row>
    <row r="1184" spans="175:199" ht="16.5" x14ac:dyDescent="0.2">
      <c r="FS1184" s="101">
        <v>1179</v>
      </c>
      <c r="FT1184" s="101">
        <f t="shared" si="581"/>
        <v>53</v>
      </c>
      <c r="FU1184" s="101">
        <f t="shared" si="574"/>
        <v>15</v>
      </c>
      <c r="FV1184" s="14">
        <f t="shared" si="575"/>
        <v>3</v>
      </c>
      <c r="FW1184" s="101" t="str">
        <f t="shared" si="582"/>
        <v>高顺专属武器-魂珠-6 8级</v>
      </c>
      <c r="FX1184" s="101">
        <f t="shared" si="583"/>
        <v>6</v>
      </c>
      <c r="FY1184" s="101">
        <f t="shared" si="584"/>
        <v>8</v>
      </c>
      <c r="FZ1184" s="101" t="str">
        <f t="shared" si="576"/>
        <v>金币</v>
      </c>
      <c r="GA1184" s="139">
        <f>IF($FY1184&gt;0,IF(INDEX($EM$6:$EM$77,$FT1184)&gt;=GA$3,ROUND(INDEX(EO$6:EO$77,$FT1184)*INDEX(卡牌消耗!$B$8:$F$8,FV1184)/5,0)*5,""),"")</f>
        <v>8235</v>
      </c>
      <c r="GB1184" s="101" t="str">
        <f t="shared" si="577"/>
        <v>专属强化石3</v>
      </c>
      <c r="GC1184" s="101">
        <f t="shared" si="578"/>
        <v>35</v>
      </c>
      <c r="GD1184" s="101" t="str">
        <f t="shared" si="579"/>
        <v>专属强化石4</v>
      </c>
      <c r="GE1184" s="101">
        <f t="shared" si="580"/>
        <v>7</v>
      </c>
      <c r="GF1184" s="101">
        <f t="shared" si="585"/>
        <v>0.03</v>
      </c>
      <c r="GG1184" s="101">
        <f t="shared" si="586"/>
        <v>1</v>
      </c>
      <c r="GH1184" s="101">
        <f t="shared" si="587"/>
        <v>44</v>
      </c>
      <c r="GI1184" s="101">
        <f t="shared" si="588"/>
        <v>0</v>
      </c>
      <c r="GJ1184" s="101">
        <f t="shared" si="589"/>
        <v>1</v>
      </c>
      <c r="GK1184" s="101">
        <f t="shared" si="590"/>
        <v>10</v>
      </c>
      <c r="GL1184" s="101">
        <f t="shared" si="591"/>
        <v>1.7100000000000001E-2</v>
      </c>
      <c r="GM1184" s="101">
        <f t="shared" si="592"/>
        <v>1</v>
      </c>
      <c r="GN1184" s="101">
        <f t="shared" si="593"/>
        <v>21</v>
      </c>
      <c r="GO1184" s="101">
        <f t="shared" si="594"/>
        <v>6.8199999999999997E-2</v>
      </c>
      <c r="GP1184" s="101">
        <f t="shared" si="595"/>
        <v>1</v>
      </c>
      <c r="GQ1184" s="101">
        <f t="shared" si="596"/>
        <v>44</v>
      </c>
    </row>
    <row r="1185" spans="175:199" ht="16.5" x14ac:dyDescent="0.2">
      <c r="FS1185" s="101">
        <v>1180</v>
      </c>
      <c r="FT1185" s="101">
        <f t="shared" si="581"/>
        <v>54</v>
      </c>
      <c r="FU1185" s="101">
        <f t="shared" si="574"/>
        <v>15</v>
      </c>
      <c r="FV1185" s="14">
        <f t="shared" si="575"/>
        <v>3</v>
      </c>
      <c r="FW1185" s="101" t="str">
        <f t="shared" si="582"/>
        <v>高顺专属武器-魂珠-6 9级</v>
      </c>
      <c r="FX1185" s="101">
        <f t="shared" si="583"/>
        <v>6</v>
      </c>
      <c r="FY1185" s="101">
        <f t="shared" si="584"/>
        <v>9</v>
      </c>
      <c r="FZ1185" s="101" t="str">
        <f t="shared" si="576"/>
        <v>金币</v>
      </c>
      <c r="GA1185" s="139">
        <f>IF($FY1185&gt;0,IF(INDEX($EM$6:$EM$77,$FT1185)&gt;=GA$3,ROUND(INDEX(EO$6:EO$77,$FT1185)*INDEX(卡牌消耗!$B$8:$F$8,FV1185)/5,0)*5,""),"")</f>
        <v>9410</v>
      </c>
      <c r="GB1185" s="101" t="str">
        <f t="shared" si="577"/>
        <v>专属强化石3</v>
      </c>
      <c r="GC1185" s="101">
        <f t="shared" si="578"/>
        <v>40</v>
      </c>
      <c r="GD1185" s="101" t="str">
        <f t="shared" si="579"/>
        <v>专属强化石4</v>
      </c>
      <c r="GE1185" s="101">
        <f t="shared" si="580"/>
        <v>8</v>
      </c>
      <c r="GF1185" s="101">
        <f t="shared" si="585"/>
        <v>0.02</v>
      </c>
      <c r="GG1185" s="101">
        <f t="shared" si="586"/>
        <v>1</v>
      </c>
      <c r="GH1185" s="101">
        <f t="shared" si="587"/>
        <v>62</v>
      </c>
      <c r="GI1185" s="101">
        <f t="shared" si="588"/>
        <v>0</v>
      </c>
      <c r="GJ1185" s="101">
        <f t="shared" si="589"/>
        <v>1</v>
      </c>
      <c r="GK1185" s="101">
        <f t="shared" si="590"/>
        <v>15</v>
      </c>
      <c r="GL1185" s="101">
        <f t="shared" si="591"/>
        <v>1.21E-2</v>
      </c>
      <c r="GM1185" s="101">
        <f t="shared" si="592"/>
        <v>1</v>
      </c>
      <c r="GN1185" s="101">
        <f t="shared" si="593"/>
        <v>29</v>
      </c>
      <c r="GO1185" s="101">
        <f t="shared" si="594"/>
        <v>4.82E-2</v>
      </c>
      <c r="GP1185" s="101">
        <f t="shared" si="595"/>
        <v>1</v>
      </c>
      <c r="GQ1185" s="101">
        <f t="shared" si="596"/>
        <v>62</v>
      </c>
    </row>
    <row r="1186" spans="175:199" ht="16.5" x14ac:dyDescent="0.2">
      <c r="FS1186" s="101">
        <v>1181</v>
      </c>
      <c r="FT1186" s="101">
        <f t="shared" si="581"/>
        <v>0</v>
      </c>
      <c r="FU1186" s="101">
        <f t="shared" si="574"/>
        <v>15</v>
      </c>
      <c r="FV1186" s="14">
        <f t="shared" si="575"/>
        <v>3</v>
      </c>
      <c r="FW1186" s="101" t="str">
        <f t="shared" si="582"/>
        <v>高顺专属武器-魂珠-7 0级</v>
      </c>
      <c r="FX1186" s="101">
        <f t="shared" si="583"/>
        <v>7</v>
      </c>
      <c r="FY1186" s="101">
        <f t="shared" si="584"/>
        <v>0</v>
      </c>
      <c r="FZ1186" s="101" t="str">
        <f t="shared" si="576"/>
        <v/>
      </c>
      <c r="GA1186" s="139" t="str">
        <f>IF($FY1186&gt;0,IF(INDEX($EM$6:$EM$77,$FT1186)&gt;=GA$3,ROUND(INDEX(EO$6:EO$77,$FT1186)*INDEX(卡牌消耗!$B$8:$F$8,FV1186)/5,0)*5,""),"")</f>
        <v/>
      </c>
      <c r="GB1186" s="101" t="str">
        <f t="shared" si="577"/>
        <v/>
      </c>
      <c r="GC1186" s="101" t="str">
        <f t="shared" si="578"/>
        <v/>
      </c>
      <c r="GD1186" s="101" t="str">
        <f t="shared" si="579"/>
        <v/>
      </c>
      <c r="GE1186" s="101" t="str">
        <f t="shared" si="580"/>
        <v/>
      </c>
      <c r="GF1186" s="101" t="str">
        <f t="shared" si="585"/>
        <v/>
      </c>
      <c r="GG1186" s="101" t="str">
        <f t="shared" si="586"/>
        <v/>
      </c>
      <c r="GH1186" s="101" t="str">
        <f t="shared" si="587"/>
        <v/>
      </c>
      <c r="GI1186" s="101" t="str">
        <f t="shared" si="588"/>
        <v/>
      </c>
      <c r="GJ1186" s="101" t="str">
        <f t="shared" si="589"/>
        <v/>
      </c>
      <c r="GK1186" s="101" t="str">
        <f t="shared" si="590"/>
        <v/>
      </c>
      <c r="GL1186" s="101" t="str">
        <f t="shared" si="591"/>
        <v/>
      </c>
      <c r="GM1186" s="101" t="str">
        <f t="shared" si="592"/>
        <v/>
      </c>
      <c r="GN1186" s="101" t="str">
        <f t="shared" si="593"/>
        <v/>
      </c>
      <c r="GO1186" s="101" t="str">
        <f t="shared" si="594"/>
        <v/>
      </c>
      <c r="GP1186" s="101" t="str">
        <f t="shared" si="595"/>
        <v/>
      </c>
      <c r="GQ1186" s="101" t="str">
        <f t="shared" si="596"/>
        <v/>
      </c>
    </row>
    <row r="1187" spans="175:199" ht="16.5" x14ac:dyDescent="0.2">
      <c r="FS1187" s="101">
        <v>1182</v>
      </c>
      <c r="FT1187" s="101">
        <f t="shared" si="581"/>
        <v>55</v>
      </c>
      <c r="FU1187" s="101">
        <f t="shared" si="574"/>
        <v>15</v>
      </c>
      <c r="FV1187" s="14">
        <f t="shared" si="575"/>
        <v>3</v>
      </c>
      <c r="FW1187" s="101" t="str">
        <f t="shared" si="582"/>
        <v>高顺专属武器-魂珠-7 1级</v>
      </c>
      <c r="FX1187" s="101">
        <f t="shared" si="583"/>
        <v>7</v>
      </c>
      <c r="FY1187" s="101">
        <f t="shared" si="584"/>
        <v>1</v>
      </c>
      <c r="FZ1187" s="101" t="str">
        <f t="shared" si="576"/>
        <v>金币</v>
      </c>
      <c r="GA1187" s="139">
        <f>IF($FY1187&gt;0,IF(INDEX($EM$6:$EM$77,$FT1187)&gt;=GA$3,ROUND(INDEX(EO$6:EO$77,$FT1187)*INDEX(卡牌消耗!$B$8:$F$8,FV1187)/5,0)*5,""),"")</f>
        <v>5075</v>
      </c>
      <c r="GB1187" s="101" t="str">
        <f t="shared" si="577"/>
        <v>专属强化石3</v>
      </c>
      <c r="GC1187" s="101">
        <f t="shared" si="578"/>
        <v>6</v>
      </c>
      <c r="GD1187" s="101" t="str">
        <f t="shared" si="579"/>
        <v>专属强化石4</v>
      </c>
      <c r="GE1187" s="101">
        <f t="shared" si="580"/>
        <v>2</v>
      </c>
      <c r="GF1187" s="101">
        <f t="shared" si="585"/>
        <v>0.2</v>
      </c>
      <c r="GG1187" s="101">
        <f t="shared" si="586"/>
        <v>1</v>
      </c>
      <c r="GH1187" s="101">
        <f t="shared" si="587"/>
        <v>8</v>
      </c>
      <c r="GI1187" s="101">
        <f t="shared" si="588"/>
        <v>0</v>
      </c>
      <c r="GJ1187" s="101">
        <f t="shared" si="589"/>
        <v>1</v>
      </c>
      <c r="GK1187" s="101">
        <f t="shared" si="590"/>
        <v>2</v>
      </c>
      <c r="GL1187" s="101">
        <f t="shared" si="591"/>
        <v>9.9400000000000002E-2</v>
      </c>
      <c r="GM1187" s="101">
        <f t="shared" si="592"/>
        <v>1</v>
      </c>
      <c r="GN1187" s="101">
        <f t="shared" si="593"/>
        <v>4</v>
      </c>
      <c r="GO1187" s="101">
        <f t="shared" si="594"/>
        <v>0.3977</v>
      </c>
      <c r="GP1187" s="101">
        <f t="shared" si="595"/>
        <v>1</v>
      </c>
      <c r="GQ1187" s="101">
        <f t="shared" si="596"/>
        <v>8</v>
      </c>
    </row>
    <row r="1188" spans="175:199" ht="16.5" x14ac:dyDescent="0.2">
      <c r="FS1188" s="101">
        <v>1183</v>
      </c>
      <c r="FT1188" s="101">
        <f t="shared" si="581"/>
        <v>56</v>
      </c>
      <c r="FU1188" s="101">
        <f t="shared" si="574"/>
        <v>15</v>
      </c>
      <c r="FV1188" s="14">
        <f t="shared" si="575"/>
        <v>3</v>
      </c>
      <c r="FW1188" s="101" t="str">
        <f t="shared" si="582"/>
        <v>高顺专属武器-魂珠-7 2级</v>
      </c>
      <c r="FX1188" s="101">
        <f t="shared" si="583"/>
        <v>7</v>
      </c>
      <c r="FY1188" s="101">
        <f t="shared" si="584"/>
        <v>2</v>
      </c>
      <c r="FZ1188" s="101" t="str">
        <f t="shared" si="576"/>
        <v>金币</v>
      </c>
      <c r="GA1188" s="139">
        <f>IF($FY1188&gt;0,IF(INDEX($EM$6:$EM$77,$FT1188)&gt;=GA$3,ROUND(INDEX(EO$6:EO$77,$FT1188)*INDEX(卡牌消耗!$B$8:$F$8,FV1188)/5,0)*5,""),"")</f>
        <v>3810</v>
      </c>
      <c r="GB1188" s="101" t="str">
        <f t="shared" si="577"/>
        <v>专属强化石3</v>
      </c>
      <c r="GC1188" s="101">
        <f t="shared" si="578"/>
        <v>6</v>
      </c>
      <c r="GD1188" s="101" t="str">
        <f t="shared" si="579"/>
        <v>专属强化石4</v>
      </c>
      <c r="GE1188" s="101">
        <f t="shared" si="580"/>
        <v>2</v>
      </c>
      <c r="GF1188" s="101">
        <f t="shared" si="585"/>
        <v>0.1</v>
      </c>
      <c r="GG1188" s="101">
        <f t="shared" si="586"/>
        <v>1</v>
      </c>
      <c r="GH1188" s="101">
        <f t="shared" si="587"/>
        <v>15</v>
      </c>
      <c r="GI1188" s="101">
        <f t="shared" si="588"/>
        <v>0</v>
      </c>
      <c r="GJ1188" s="101">
        <f t="shared" si="589"/>
        <v>1</v>
      </c>
      <c r="GK1188" s="101">
        <f t="shared" si="590"/>
        <v>4</v>
      </c>
      <c r="GL1188" s="101">
        <f t="shared" si="591"/>
        <v>4.9700000000000001E-2</v>
      </c>
      <c r="GM1188" s="101">
        <f t="shared" si="592"/>
        <v>1</v>
      </c>
      <c r="GN1188" s="101">
        <f t="shared" si="593"/>
        <v>7</v>
      </c>
      <c r="GO1188" s="101">
        <f t="shared" si="594"/>
        <v>0.19889999999999999</v>
      </c>
      <c r="GP1188" s="101">
        <f t="shared" si="595"/>
        <v>1</v>
      </c>
      <c r="GQ1188" s="101">
        <f t="shared" si="596"/>
        <v>15</v>
      </c>
    </row>
    <row r="1189" spans="175:199" ht="16.5" x14ac:dyDescent="0.2">
      <c r="FS1189" s="101">
        <v>1184</v>
      </c>
      <c r="FT1189" s="101">
        <f t="shared" si="581"/>
        <v>57</v>
      </c>
      <c r="FU1189" s="101">
        <f t="shared" si="574"/>
        <v>15</v>
      </c>
      <c r="FV1189" s="14">
        <f t="shared" si="575"/>
        <v>3</v>
      </c>
      <c r="FW1189" s="101" t="str">
        <f t="shared" si="582"/>
        <v>高顺专属武器-魂珠-7 3级</v>
      </c>
      <c r="FX1189" s="101">
        <f t="shared" si="583"/>
        <v>7</v>
      </c>
      <c r="FY1189" s="101">
        <f t="shared" si="584"/>
        <v>3</v>
      </c>
      <c r="FZ1189" s="101" t="str">
        <f t="shared" si="576"/>
        <v>金币</v>
      </c>
      <c r="GA1189" s="139">
        <f>IF($FY1189&gt;0,IF(INDEX($EM$6:$EM$77,$FT1189)&gt;=GA$3,ROUND(INDEX(EO$6:EO$77,$FT1189)*INDEX(卡牌消耗!$B$8:$F$8,FV1189)/5,0)*5,""),"")</f>
        <v>6345</v>
      </c>
      <c r="GB1189" s="101" t="str">
        <f t="shared" si="577"/>
        <v>专属强化石3</v>
      </c>
      <c r="GC1189" s="101">
        <f t="shared" si="578"/>
        <v>9</v>
      </c>
      <c r="GD1189" s="101" t="str">
        <f t="shared" si="579"/>
        <v>专属强化石4</v>
      </c>
      <c r="GE1189" s="101">
        <f t="shared" si="580"/>
        <v>3</v>
      </c>
      <c r="GF1189" s="101">
        <f t="shared" si="585"/>
        <v>0.1</v>
      </c>
      <c r="GG1189" s="101">
        <f t="shared" si="586"/>
        <v>1</v>
      </c>
      <c r="GH1189" s="101">
        <f t="shared" si="587"/>
        <v>15</v>
      </c>
      <c r="GI1189" s="101">
        <f t="shared" si="588"/>
        <v>0</v>
      </c>
      <c r="GJ1189" s="101">
        <f t="shared" si="589"/>
        <v>1</v>
      </c>
      <c r="GK1189" s="101">
        <f t="shared" si="590"/>
        <v>4</v>
      </c>
      <c r="GL1189" s="101">
        <f t="shared" si="591"/>
        <v>4.9700000000000001E-2</v>
      </c>
      <c r="GM1189" s="101">
        <f t="shared" si="592"/>
        <v>1</v>
      </c>
      <c r="GN1189" s="101">
        <f t="shared" si="593"/>
        <v>7</v>
      </c>
      <c r="GO1189" s="101">
        <f t="shared" si="594"/>
        <v>0.19889999999999999</v>
      </c>
      <c r="GP1189" s="101">
        <f t="shared" si="595"/>
        <v>1</v>
      </c>
      <c r="GQ1189" s="101">
        <f t="shared" si="596"/>
        <v>15</v>
      </c>
    </row>
    <row r="1190" spans="175:199" ht="16.5" x14ac:dyDescent="0.2">
      <c r="FS1190" s="101">
        <v>1185</v>
      </c>
      <c r="FT1190" s="101">
        <f t="shared" si="581"/>
        <v>58</v>
      </c>
      <c r="FU1190" s="101">
        <f t="shared" si="574"/>
        <v>15</v>
      </c>
      <c r="FV1190" s="14">
        <f t="shared" si="575"/>
        <v>3</v>
      </c>
      <c r="FW1190" s="101" t="str">
        <f t="shared" si="582"/>
        <v>高顺专属武器-魂珠-7 4级</v>
      </c>
      <c r="FX1190" s="101">
        <f t="shared" si="583"/>
        <v>7</v>
      </c>
      <c r="FY1190" s="101">
        <f t="shared" si="584"/>
        <v>4</v>
      </c>
      <c r="FZ1190" s="101" t="str">
        <f t="shared" si="576"/>
        <v>金币</v>
      </c>
      <c r="GA1190" s="139">
        <f>IF($FY1190&gt;0,IF(INDEX($EM$6:$EM$77,$FT1190)&gt;=GA$3,ROUND(INDEX(EO$6:EO$77,$FT1190)*INDEX(卡牌消耗!$B$8:$F$8,FV1190)/5,0)*5,""),"")</f>
        <v>8125</v>
      </c>
      <c r="GB1190" s="101" t="str">
        <f t="shared" si="577"/>
        <v>专属强化石3</v>
      </c>
      <c r="GC1190" s="101">
        <f t="shared" si="578"/>
        <v>12</v>
      </c>
      <c r="GD1190" s="101" t="str">
        <f t="shared" si="579"/>
        <v>专属强化石4</v>
      </c>
      <c r="GE1190" s="101">
        <f t="shared" si="580"/>
        <v>4</v>
      </c>
      <c r="GF1190" s="101">
        <f t="shared" si="585"/>
        <v>0.08</v>
      </c>
      <c r="GG1190" s="101">
        <f t="shared" si="586"/>
        <v>1</v>
      </c>
      <c r="GH1190" s="101">
        <f t="shared" si="587"/>
        <v>19</v>
      </c>
      <c r="GI1190" s="101">
        <f t="shared" si="588"/>
        <v>0</v>
      </c>
      <c r="GJ1190" s="101">
        <f t="shared" si="589"/>
        <v>1</v>
      </c>
      <c r="GK1190" s="101">
        <f t="shared" si="590"/>
        <v>4</v>
      </c>
      <c r="GL1190" s="101">
        <f t="shared" si="591"/>
        <v>3.9800000000000002E-2</v>
      </c>
      <c r="GM1190" s="101">
        <f t="shared" si="592"/>
        <v>1</v>
      </c>
      <c r="GN1190" s="101">
        <f t="shared" si="593"/>
        <v>9</v>
      </c>
      <c r="GO1190" s="101">
        <f t="shared" si="594"/>
        <v>0.15909999999999999</v>
      </c>
      <c r="GP1190" s="101">
        <f t="shared" si="595"/>
        <v>1</v>
      </c>
      <c r="GQ1190" s="101">
        <f t="shared" si="596"/>
        <v>19</v>
      </c>
    </row>
    <row r="1191" spans="175:199" ht="16.5" x14ac:dyDescent="0.2">
      <c r="FS1191" s="101">
        <v>1186</v>
      </c>
      <c r="FT1191" s="101">
        <f t="shared" si="581"/>
        <v>59</v>
      </c>
      <c r="FU1191" s="101">
        <f t="shared" si="574"/>
        <v>15</v>
      </c>
      <c r="FV1191" s="14">
        <f t="shared" si="575"/>
        <v>3</v>
      </c>
      <c r="FW1191" s="101" t="str">
        <f t="shared" si="582"/>
        <v>高顺专属武器-魂珠-7 5级</v>
      </c>
      <c r="FX1191" s="101">
        <f t="shared" si="583"/>
        <v>7</v>
      </c>
      <c r="FY1191" s="101">
        <f t="shared" si="584"/>
        <v>5</v>
      </c>
      <c r="FZ1191" s="101" t="str">
        <f t="shared" si="576"/>
        <v>金币</v>
      </c>
      <c r="GA1191" s="139">
        <f>IF($FY1191&gt;0,IF(INDEX($EM$6:$EM$77,$FT1191)&gt;=GA$3,ROUND(INDEX(EO$6:EO$77,$FT1191)*INDEX(卡牌消耗!$B$8:$F$8,FV1191)/5,0)*5,""),"")</f>
        <v>8250</v>
      </c>
      <c r="GB1191" s="101" t="str">
        <f t="shared" si="577"/>
        <v>专属强化石3</v>
      </c>
      <c r="GC1191" s="101">
        <f t="shared" si="578"/>
        <v>12</v>
      </c>
      <c r="GD1191" s="101" t="str">
        <f t="shared" si="579"/>
        <v>专属强化石4</v>
      </c>
      <c r="GE1191" s="101">
        <f t="shared" si="580"/>
        <v>4</v>
      </c>
      <c r="GF1191" s="101">
        <f t="shared" si="585"/>
        <v>0.05</v>
      </c>
      <c r="GG1191" s="101">
        <f t="shared" si="586"/>
        <v>1</v>
      </c>
      <c r="GH1191" s="101">
        <f t="shared" si="587"/>
        <v>30</v>
      </c>
      <c r="GI1191" s="101">
        <f t="shared" si="588"/>
        <v>0</v>
      </c>
      <c r="GJ1191" s="101">
        <f t="shared" si="589"/>
        <v>1</v>
      </c>
      <c r="GK1191" s="101">
        <f t="shared" si="590"/>
        <v>7</v>
      </c>
      <c r="GL1191" s="101">
        <f t="shared" si="591"/>
        <v>2.4899999999999999E-2</v>
      </c>
      <c r="GM1191" s="101">
        <f t="shared" si="592"/>
        <v>1</v>
      </c>
      <c r="GN1191" s="101">
        <f t="shared" si="593"/>
        <v>14</v>
      </c>
      <c r="GO1191" s="101">
        <f t="shared" si="594"/>
        <v>9.9400000000000002E-2</v>
      </c>
      <c r="GP1191" s="101">
        <f t="shared" si="595"/>
        <v>1</v>
      </c>
      <c r="GQ1191" s="101">
        <f t="shared" si="596"/>
        <v>30</v>
      </c>
    </row>
    <row r="1192" spans="175:199" ht="16.5" x14ac:dyDescent="0.2">
      <c r="FS1192" s="101">
        <v>1187</v>
      </c>
      <c r="FT1192" s="101">
        <f t="shared" si="581"/>
        <v>60</v>
      </c>
      <c r="FU1192" s="101">
        <f t="shared" si="574"/>
        <v>15</v>
      </c>
      <c r="FV1192" s="14">
        <f t="shared" si="575"/>
        <v>3</v>
      </c>
      <c r="FW1192" s="101" t="str">
        <f t="shared" si="582"/>
        <v>高顺专属武器-魂珠-7 6级</v>
      </c>
      <c r="FX1192" s="101">
        <f t="shared" si="583"/>
        <v>7</v>
      </c>
      <c r="FY1192" s="101">
        <f t="shared" si="584"/>
        <v>6</v>
      </c>
      <c r="FZ1192" s="101" t="str">
        <f t="shared" si="576"/>
        <v>金币</v>
      </c>
      <c r="GA1192" s="139">
        <f>IF($FY1192&gt;0,IF(INDEX($EM$6:$EM$77,$FT1192)&gt;=GA$3,ROUND(INDEX(EO$6:EO$77,$FT1192)*INDEX(卡牌消耗!$B$8:$F$8,FV1192)/5,0)*5,""),"")</f>
        <v>10250</v>
      </c>
      <c r="GB1192" s="101" t="str">
        <f t="shared" si="577"/>
        <v>专属强化石3</v>
      </c>
      <c r="GC1192" s="101">
        <f t="shared" si="578"/>
        <v>15</v>
      </c>
      <c r="GD1192" s="101" t="str">
        <f t="shared" si="579"/>
        <v>专属强化石4</v>
      </c>
      <c r="GE1192" s="101">
        <f t="shared" si="580"/>
        <v>5</v>
      </c>
      <c r="GF1192" s="101">
        <f t="shared" si="585"/>
        <v>0.04</v>
      </c>
      <c r="GG1192" s="101">
        <f t="shared" si="586"/>
        <v>1</v>
      </c>
      <c r="GH1192" s="101">
        <f t="shared" si="587"/>
        <v>39</v>
      </c>
      <c r="GI1192" s="101">
        <f t="shared" si="588"/>
        <v>0</v>
      </c>
      <c r="GJ1192" s="101">
        <f t="shared" si="589"/>
        <v>1</v>
      </c>
      <c r="GK1192" s="101">
        <f t="shared" si="590"/>
        <v>9</v>
      </c>
      <c r="GL1192" s="101">
        <f t="shared" si="591"/>
        <v>1.9099999999999999E-2</v>
      </c>
      <c r="GM1192" s="101">
        <f t="shared" si="592"/>
        <v>1</v>
      </c>
      <c r="GN1192" s="101">
        <f t="shared" si="593"/>
        <v>18</v>
      </c>
      <c r="GO1192" s="101">
        <f t="shared" si="594"/>
        <v>7.6499999999999999E-2</v>
      </c>
      <c r="GP1192" s="101">
        <f t="shared" si="595"/>
        <v>1</v>
      </c>
      <c r="GQ1192" s="101">
        <f t="shared" si="596"/>
        <v>39</v>
      </c>
    </row>
    <row r="1193" spans="175:199" ht="16.5" x14ac:dyDescent="0.2">
      <c r="FS1193" s="101">
        <v>1188</v>
      </c>
      <c r="FT1193" s="101">
        <f t="shared" si="581"/>
        <v>61</v>
      </c>
      <c r="FU1193" s="101">
        <f t="shared" si="574"/>
        <v>15</v>
      </c>
      <c r="FV1193" s="14">
        <f t="shared" si="575"/>
        <v>3</v>
      </c>
      <c r="FW1193" s="101" t="str">
        <f t="shared" si="582"/>
        <v>高顺专属武器-魂珠-7 7级</v>
      </c>
      <c r="FX1193" s="101">
        <f t="shared" si="583"/>
        <v>7</v>
      </c>
      <c r="FY1193" s="101">
        <f t="shared" si="584"/>
        <v>7</v>
      </c>
      <c r="FZ1193" s="101" t="str">
        <f t="shared" si="576"/>
        <v>金币</v>
      </c>
      <c r="GA1193" s="139">
        <f>IF($FY1193&gt;0,IF(INDEX($EM$6:$EM$77,$FT1193)&gt;=GA$3,ROUND(INDEX(EO$6:EO$77,$FT1193)*INDEX(卡牌消耗!$B$8:$F$8,FV1193)/5,0)*5,""),"")</f>
        <v>14385</v>
      </c>
      <c r="GB1193" s="101" t="str">
        <f t="shared" si="577"/>
        <v>专属强化石3</v>
      </c>
      <c r="GC1193" s="101">
        <f t="shared" si="578"/>
        <v>21</v>
      </c>
      <c r="GD1193" s="101" t="str">
        <f t="shared" si="579"/>
        <v>专属强化石4</v>
      </c>
      <c r="GE1193" s="101">
        <f t="shared" si="580"/>
        <v>7</v>
      </c>
      <c r="GF1193" s="101">
        <f t="shared" si="585"/>
        <v>0.03</v>
      </c>
      <c r="GG1193" s="101">
        <f t="shared" si="586"/>
        <v>1</v>
      </c>
      <c r="GH1193" s="101">
        <f t="shared" si="587"/>
        <v>45</v>
      </c>
      <c r="GI1193" s="101">
        <f t="shared" si="588"/>
        <v>0</v>
      </c>
      <c r="GJ1193" s="101">
        <f t="shared" si="589"/>
        <v>1</v>
      </c>
      <c r="GK1193" s="101">
        <f t="shared" si="590"/>
        <v>11</v>
      </c>
      <c r="GL1193" s="101">
        <f t="shared" si="591"/>
        <v>1.66E-2</v>
      </c>
      <c r="GM1193" s="101">
        <f t="shared" si="592"/>
        <v>1</v>
      </c>
      <c r="GN1193" s="101">
        <f t="shared" si="593"/>
        <v>21</v>
      </c>
      <c r="GO1193" s="101">
        <f t="shared" si="594"/>
        <v>6.6299999999999998E-2</v>
      </c>
      <c r="GP1193" s="101">
        <f t="shared" si="595"/>
        <v>1</v>
      </c>
      <c r="GQ1193" s="101">
        <f t="shared" si="596"/>
        <v>45</v>
      </c>
    </row>
    <row r="1194" spans="175:199" ht="16.5" x14ac:dyDescent="0.2">
      <c r="FS1194" s="101">
        <v>1189</v>
      </c>
      <c r="FT1194" s="101">
        <f t="shared" si="581"/>
        <v>62</v>
      </c>
      <c r="FU1194" s="101">
        <f t="shared" si="574"/>
        <v>15</v>
      </c>
      <c r="FV1194" s="14">
        <f t="shared" si="575"/>
        <v>3</v>
      </c>
      <c r="FW1194" s="101" t="str">
        <f t="shared" si="582"/>
        <v>高顺专属武器-魂珠-7 8级</v>
      </c>
      <c r="FX1194" s="101">
        <f t="shared" si="583"/>
        <v>7</v>
      </c>
      <c r="FY1194" s="101">
        <f t="shared" si="584"/>
        <v>8</v>
      </c>
      <c r="FZ1194" s="101" t="str">
        <f t="shared" si="576"/>
        <v>金币</v>
      </c>
      <c r="GA1194" s="139">
        <f>IF($FY1194&gt;0,IF(INDEX($EM$6:$EM$77,$FT1194)&gt;=GA$3,ROUND(INDEX(EO$6:EO$77,$FT1194)*INDEX(卡牌消耗!$B$8:$F$8,FV1194)/5,0)*5,""),"")</f>
        <v>16425</v>
      </c>
      <c r="GB1194" s="101" t="str">
        <f t="shared" si="577"/>
        <v>专属强化石3</v>
      </c>
      <c r="GC1194" s="101">
        <f t="shared" si="578"/>
        <v>24</v>
      </c>
      <c r="GD1194" s="101" t="str">
        <f t="shared" si="579"/>
        <v>专属强化石4</v>
      </c>
      <c r="GE1194" s="101">
        <f t="shared" si="580"/>
        <v>8</v>
      </c>
      <c r="GF1194" s="101">
        <f t="shared" si="585"/>
        <v>0.02</v>
      </c>
      <c r="GG1194" s="101">
        <f t="shared" si="586"/>
        <v>1</v>
      </c>
      <c r="GH1194" s="101">
        <f t="shared" si="587"/>
        <v>64</v>
      </c>
      <c r="GI1194" s="101">
        <f t="shared" si="588"/>
        <v>0</v>
      </c>
      <c r="GJ1194" s="101">
        <f t="shared" si="589"/>
        <v>1</v>
      </c>
      <c r="GK1194" s="101">
        <f t="shared" si="590"/>
        <v>15</v>
      </c>
      <c r="GL1194" s="101">
        <f t="shared" si="591"/>
        <v>1.17E-2</v>
      </c>
      <c r="GM1194" s="101">
        <f t="shared" si="592"/>
        <v>1</v>
      </c>
      <c r="GN1194" s="101">
        <f t="shared" si="593"/>
        <v>30</v>
      </c>
      <c r="GO1194" s="101">
        <f t="shared" si="594"/>
        <v>4.6800000000000001E-2</v>
      </c>
      <c r="GP1194" s="101">
        <f t="shared" si="595"/>
        <v>1</v>
      </c>
      <c r="GQ1194" s="101">
        <f t="shared" si="596"/>
        <v>64</v>
      </c>
    </row>
    <row r="1195" spans="175:199" ht="16.5" x14ac:dyDescent="0.2">
      <c r="FS1195" s="101">
        <v>1190</v>
      </c>
      <c r="FT1195" s="101">
        <f t="shared" si="581"/>
        <v>63</v>
      </c>
      <c r="FU1195" s="101">
        <f t="shared" si="574"/>
        <v>15</v>
      </c>
      <c r="FV1195" s="14">
        <f t="shared" si="575"/>
        <v>3</v>
      </c>
      <c r="FW1195" s="101" t="str">
        <f t="shared" si="582"/>
        <v>高顺专属武器-魂珠-7 9级</v>
      </c>
      <c r="FX1195" s="101">
        <f t="shared" si="583"/>
        <v>7</v>
      </c>
      <c r="FY1195" s="101">
        <f t="shared" si="584"/>
        <v>9</v>
      </c>
      <c r="FZ1195" s="101" t="str">
        <f t="shared" si="576"/>
        <v>金币</v>
      </c>
      <c r="GA1195" s="139">
        <f>IF($FY1195&gt;0,IF(INDEX($EM$6:$EM$77,$FT1195)&gt;=GA$3,ROUND(INDEX(EO$6:EO$77,$FT1195)*INDEX(卡牌消耗!$B$8:$F$8,FV1195)/5,0)*5,""),"")</f>
        <v>20540</v>
      </c>
      <c r="GB1195" s="101" t="str">
        <f t="shared" si="577"/>
        <v>专属强化石3</v>
      </c>
      <c r="GC1195" s="101">
        <f t="shared" si="578"/>
        <v>30</v>
      </c>
      <c r="GD1195" s="101" t="str">
        <f t="shared" si="579"/>
        <v>专属强化石4</v>
      </c>
      <c r="GE1195" s="101">
        <f t="shared" si="580"/>
        <v>10</v>
      </c>
      <c r="GF1195" s="101">
        <f t="shared" si="585"/>
        <v>0.02</v>
      </c>
      <c r="GG1195" s="101">
        <f t="shared" si="586"/>
        <v>1</v>
      </c>
      <c r="GH1195" s="101">
        <f t="shared" si="587"/>
        <v>83</v>
      </c>
      <c r="GI1195" s="101">
        <f t="shared" si="588"/>
        <v>0</v>
      </c>
      <c r="GJ1195" s="101">
        <f t="shared" si="589"/>
        <v>1</v>
      </c>
      <c r="GK1195" s="101">
        <f t="shared" si="590"/>
        <v>19</v>
      </c>
      <c r="GL1195" s="101">
        <f t="shared" si="591"/>
        <v>8.9999999999999993E-3</v>
      </c>
      <c r="GM1195" s="101">
        <f t="shared" si="592"/>
        <v>1</v>
      </c>
      <c r="GN1195" s="101">
        <f t="shared" si="593"/>
        <v>39</v>
      </c>
      <c r="GO1195" s="101">
        <f t="shared" si="594"/>
        <v>3.6200000000000003E-2</v>
      </c>
      <c r="GP1195" s="101">
        <f t="shared" si="595"/>
        <v>1</v>
      </c>
      <c r="GQ1195" s="101">
        <f t="shared" si="596"/>
        <v>83</v>
      </c>
    </row>
    <row r="1196" spans="175:199" ht="16.5" x14ac:dyDescent="0.2">
      <c r="FS1196" s="101">
        <v>1191</v>
      </c>
      <c r="FT1196" s="101">
        <f t="shared" si="581"/>
        <v>0</v>
      </c>
      <c r="FU1196" s="101">
        <f t="shared" si="574"/>
        <v>15</v>
      </c>
      <c r="FV1196" s="14">
        <f t="shared" si="575"/>
        <v>3</v>
      </c>
      <c r="FW1196" s="101" t="str">
        <f t="shared" si="582"/>
        <v>高顺专属武器-魂珠-8 0级</v>
      </c>
      <c r="FX1196" s="101">
        <f t="shared" si="583"/>
        <v>8</v>
      </c>
      <c r="FY1196" s="101">
        <f t="shared" si="584"/>
        <v>0</v>
      </c>
      <c r="FZ1196" s="101" t="str">
        <f t="shared" si="576"/>
        <v/>
      </c>
      <c r="GA1196" s="139" t="str">
        <f>IF($FY1196&gt;0,IF(INDEX($EM$6:$EM$77,$FT1196)&gt;=GA$3,ROUND(INDEX(EO$6:EO$77,$FT1196)*INDEX(卡牌消耗!$B$8:$F$8,FV1196)/5,0)*5,""),"")</f>
        <v/>
      </c>
      <c r="GB1196" s="101" t="str">
        <f t="shared" si="577"/>
        <v/>
      </c>
      <c r="GC1196" s="101" t="str">
        <f t="shared" si="578"/>
        <v/>
      </c>
      <c r="GD1196" s="101" t="str">
        <f t="shared" si="579"/>
        <v/>
      </c>
      <c r="GE1196" s="101" t="str">
        <f t="shared" si="580"/>
        <v/>
      </c>
      <c r="GF1196" s="101" t="str">
        <f t="shared" si="585"/>
        <v/>
      </c>
      <c r="GG1196" s="101" t="str">
        <f t="shared" si="586"/>
        <v/>
      </c>
      <c r="GH1196" s="101" t="str">
        <f t="shared" si="587"/>
        <v/>
      </c>
      <c r="GI1196" s="101" t="str">
        <f t="shared" si="588"/>
        <v/>
      </c>
      <c r="GJ1196" s="101" t="str">
        <f t="shared" si="589"/>
        <v/>
      </c>
      <c r="GK1196" s="101" t="str">
        <f t="shared" si="590"/>
        <v/>
      </c>
      <c r="GL1196" s="101" t="str">
        <f t="shared" si="591"/>
        <v/>
      </c>
      <c r="GM1196" s="101" t="str">
        <f t="shared" si="592"/>
        <v/>
      </c>
      <c r="GN1196" s="101" t="str">
        <f t="shared" si="593"/>
        <v/>
      </c>
      <c r="GO1196" s="101" t="str">
        <f t="shared" si="594"/>
        <v/>
      </c>
      <c r="GP1196" s="101" t="str">
        <f t="shared" si="595"/>
        <v/>
      </c>
      <c r="GQ1196" s="101" t="str">
        <f t="shared" si="596"/>
        <v/>
      </c>
    </row>
    <row r="1197" spans="175:199" ht="16.5" x14ac:dyDescent="0.2">
      <c r="FS1197" s="101">
        <v>1192</v>
      </c>
      <c r="FT1197" s="101">
        <f t="shared" si="581"/>
        <v>64</v>
      </c>
      <c r="FU1197" s="101">
        <f t="shared" si="574"/>
        <v>15</v>
      </c>
      <c r="FV1197" s="14">
        <f t="shared" si="575"/>
        <v>3</v>
      </c>
      <c r="FW1197" s="101" t="str">
        <f t="shared" si="582"/>
        <v>高顺专属武器-魂珠-8 1级</v>
      </c>
      <c r="FX1197" s="101">
        <f t="shared" si="583"/>
        <v>8</v>
      </c>
      <c r="FY1197" s="101">
        <f t="shared" si="584"/>
        <v>1</v>
      </c>
      <c r="FZ1197" s="101" t="str">
        <f t="shared" si="576"/>
        <v>金币</v>
      </c>
      <c r="GA1197" s="139">
        <f>IF($FY1197&gt;0,IF(INDEX($EM$6:$EM$77,$FT1197)&gt;=GA$3,ROUND(INDEX(EO$6:EO$77,$FT1197)*INDEX(卡牌消耗!$B$8:$F$8,FV1197)/5,0)*5,""),"")</f>
        <v>4325</v>
      </c>
      <c r="GB1197" s="101" t="str">
        <f t="shared" si="577"/>
        <v>专属强化石4</v>
      </c>
      <c r="GC1197" s="101">
        <f t="shared" si="578"/>
        <v>5</v>
      </c>
      <c r="GD1197" s="101" t="str">
        <f t="shared" si="579"/>
        <v/>
      </c>
      <c r="GE1197" s="101" t="str">
        <f t="shared" si="580"/>
        <v/>
      </c>
      <c r="GF1197" s="101">
        <f t="shared" si="585"/>
        <v>0.11</v>
      </c>
      <c r="GG1197" s="101">
        <f t="shared" si="586"/>
        <v>1</v>
      </c>
      <c r="GH1197" s="101">
        <f t="shared" si="587"/>
        <v>13</v>
      </c>
      <c r="GI1197" s="101">
        <f t="shared" si="588"/>
        <v>0</v>
      </c>
      <c r="GJ1197" s="101">
        <f t="shared" si="589"/>
        <v>1</v>
      </c>
      <c r="GK1197" s="101">
        <f t="shared" si="590"/>
        <v>3</v>
      </c>
      <c r="GL1197" s="101">
        <f t="shared" si="591"/>
        <v>5.6500000000000002E-2</v>
      </c>
      <c r="GM1197" s="101">
        <f t="shared" si="592"/>
        <v>1</v>
      </c>
      <c r="GN1197" s="101">
        <f t="shared" si="593"/>
        <v>6</v>
      </c>
      <c r="GO1197" s="101">
        <f t="shared" si="594"/>
        <v>0.22600000000000001</v>
      </c>
      <c r="GP1197" s="101">
        <f t="shared" si="595"/>
        <v>1</v>
      </c>
      <c r="GQ1197" s="101">
        <f t="shared" si="596"/>
        <v>13</v>
      </c>
    </row>
    <row r="1198" spans="175:199" ht="16.5" x14ac:dyDescent="0.2">
      <c r="FS1198" s="101">
        <v>1193</v>
      </c>
      <c r="FT1198" s="101">
        <f t="shared" si="581"/>
        <v>65</v>
      </c>
      <c r="FU1198" s="101">
        <f t="shared" si="574"/>
        <v>15</v>
      </c>
      <c r="FV1198" s="14">
        <f t="shared" si="575"/>
        <v>3</v>
      </c>
      <c r="FW1198" s="101" t="str">
        <f t="shared" si="582"/>
        <v>高顺专属武器-魂珠-8 2级</v>
      </c>
      <c r="FX1198" s="101">
        <f t="shared" si="583"/>
        <v>8</v>
      </c>
      <c r="FY1198" s="101">
        <f t="shared" si="584"/>
        <v>2</v>
      </c>
      <c r="FZ1198" s="101" t="str">
        <f t="shared" si="576"/>
        <v>金币</v>
      </c>
      <c r="GA1198" s="139">
        <f>IF($FY1198&gt;0,IF(INDEX($EM$6:$EM$77,$FT1198)&gt;=GA$3,ROUND(INDEX(EO$6:EO$77,$FT1198)*INDEX(卡牌消耗!$B$8:$F$8,FV1198)/5,0)*5,""),"")</f>
        <v>5190</v>
      </c>
      <c r="GB1198" s="101" t="str">
        <f t="shared" si="577"/>
        <v>专属强化石4</v>
      </c>
      <c r="GC1198" s="101">
        <f t="shared" si="578"/>
        <v>8</v>
      </c>
      <c r="GD1198" s="101" t="str">
        <f t="shared" si="579"/>
        <v/>
      </c>
      <c r="GE1198" s="101" t="str">
        <f t="shared" si="580"/>
        <v/>
      </c>
      <c r="GF1198" s="101">
        <f t="shared" si="585"/>
        <v>0.09</v>
      </c>
      <c r="GG1198" s="101">
        <f t="shared" si="586"/>
        <v>1</v>
      </c>
      <c r="GH1198" s="101">
        <f t="shared" si="587"/>
        <v>17</v>
      </c>
      <c r="GI1198" s="101">
        <f t="shared" si="588"/>
        <v>0</v>
      </c>
      <c r="GJ1198" s="101">
        <f t="shared" si="589"/>
        <v>1</v>
      </c>
      <c r="GK1198" s="101">
        <f t="shared" si="590"/>
        <v>4</v>
      </c>
      <c r="GL1198" s="101">
        <f t="shared" si="591"/>
        <v>4.5199999999999997E-2</v>
      </c>
      <c r="GM1198" s="101">
        <f t="shared" si="592"/>
        <v>1</v>
      </c>
      <c r="GN1198" s="101">
        <f t="shared" si="593"/>
        <v>8</v>
      </c>
      <c r="GO1198" s="101">
        <f t="shared" si="594"/>
        <v>0.18079999999999999</v>
      </c>
      <c r="GP1198" s="101">
        <f t="shared" si="595"/>
        <v>1</v>
      </c>
      <c r="GQ1198" s="101">
        <f t="shared" si="596"/>
        <v>17</v>
      </c>
    </row>
    <row r="1199" spans="175:199" ht="16.5" x14ac:dyDescent="0.2">
      <c r="FS1199" s="101">
        <v>1194</v>
      </c>
      <c r="FT1199" s="101">
        <f t="shared" si="581"/>
        <v>66</v>
      </c>
      <c r="FU1199" s="101">
        <f t="shared" si="574"/>
        <v>15</v>
      </c>
      <c r="FV1199" s="14">
        <f t="shared" si="575"/>
        <v>3</v>
      </c>
      <c r="FW1199" s="101" t="str">
        <f t="shared" si="582"/>
        <v>高顺专属武器-魂珠-8 3级</v>
      </c>
      <c r="FX1199" s="101">
        <f t="shared" si="583"/>
        <v>8</v>
      </c>
      <c r="FY1199" s="101">
        <f t="shared" si="584"/>
        <v>3</v>
      </c>
      <c r="FZ1199" s="101" t="str">
        <f t="shared" si="576"/>
        <v>金币</v>
      </c>
      <c r="GA1199" s="139">
        <f>IF($FY1199&gt;0,IF(INDEX($EM$6:$EM$77,$FT1199)&gt;=GA$3,ROUND(INDEX(EO$6:EO$77,$FT1199)*INDEX(卡牌消耗!$B$8:$F$8,FV1199)/5,0)*5,""),"")</f>
        <v>7210</v>
      </c>
      <c r="GB1199" s="101" t="str">
        <f t="shared" si="577"/>
        <v>专属强化石4</v>
      </c>
      <c r="GC1199" s="101">
        <f t="shared" si="578"/>
        <v>10</v>
      </c>
      <c r="GD1199" s="101" t="str">
        <f t="shared" si="579"/>
        <v/>
      </c>
      <c r="GE1199" s="101" t="str">
        <f t="shared" si="580"/>
        <v/>
      </c>
      <c r="GF1199" s="101">
        <f t="shared" si="585"/>
        <v>0.08</v>
      </c>
      <c r="GG1199" s="101">
        <f t="shared" si="586"/>
        <v>1</v>
      </c>
      <c r="GH1199" s="101">
        <f t="shared" si="587"/>
        <v>20</v>
      </c>
      <c r="GI1199" s="101">
        <f t="shared" si="588"/>
        <v>0</v>
      </c>
      <c r="GJ1199" s="101">
        <f t="shared" si="589"/>
        <v>1</v>
      </c>
      <c r="GK1199" s="101">
        <f t="shared" si="590"/>
        <v>5</v>
      </c>
      <c r="GL1199" s="101">
        <f t="shared" si="591"/>
        <v>3.7699999999999997E-2</v>
      </c>
      <c r="GM1199" s="101">
        <f t="shared" si="592"/>
        <v>1</v>
      </c>
      <c r="GN1199" s="101">
        <f t="shared" si="593"/>
        <v>9</v>
      </c>
      <c r="GO1199" s="101">
        <f t="shared" si="594"/>
        <v>0.1507</v>
      </c>
      <c r="GP1199" s="101">
        <f t="shared" si="595"/>
        <v>1</v>
      </c>
      <c r="GQ1199" s="101">
        <f t="shared" si="596"/>
        <v>20</v>
      </c>
    </row>
    <row r="1200" spans="175:199" ht="16.5" x14ac:dyDescent="0.2">
      <c r="FS1200" s="101">
        <v>1195</v>
      </c>
      <c r="FT1200" s="101">
        <f t="shared" si="581"/>
        <v>67</v>
      </c>
      <c r="FU1200" s="101">
        <f t="shared" si="574"/>
        <v>15</v>
      </c>
      <c r="FV1200" s="14">
        <f t="shared" si="575"/>
        <v>3</v>
      </c>
      <c r="FW1200" s="101" t="str">
        <f t="shared" si="582"/>
        <v>高顺专属武器-魂珠-8 4级</v>
      </c>
      <c r="FX1200" s="101">
        <f t="shared" si="583"/>
        <v>8</v>
      </c>
      <c r="FY1200" s="101">
        <f t="shared" si="584"/>
        <v>4</v>
      </c>
      <c r="FZ1200" s="101" t="str">
        <f t="shared" si="576"/>
        <v>金币</v>
      </c>
      <c r="GA1200" s="139">
        <f>IF($FY1200&gt;0,IF(INDEX($EM$6:$EM$77,$FT1200)&gt;=GA$3,ROUND(INDEX(EO$6:EO$77,$FT1200)*INDEX(卡牌消耗!$B$8:$F$8,FV1200)/5,0)*5,""),"")</f>
        <v>8310</v>
      </c>
      <c r="GB1200" s="101" t="str">
        <f t="shared" si="577"/>
        <v>专属强化石4</v>
      </c>
      <c r="GC1200" s="101">
        <f t="shared" si="578"/>
        <v>12</v>
      </c>
      <c r="GD1200" s="101" t="str">
        <f t="shared" si="579"/>
        <v/>
      </c>
      <c r="GE1200" s="101" t="str">
        <f t="shared" si="580"/>
        <v/>
      </c>
      <c r="GF1200" s="101">
        <f t="shared" si="585"/>
        <v>0.05</v>
      </c>
      <c r="GG1200" s="101">
        <f t="shared" si="586"/>
        <v>1</v>
      </c>
      <c r="GH1200" s="101">
        <f t="shared" si="587"/>
        <v>28</v>
      </c>
      <c r="GI1200" s="101">
        <f t="shared" si="588"/>
        <v>0</v>
      </c>
      <c r="GJ1200" s="101">
        <f t="shared" si="589"/>
        <v>1</v>
      </c>
      <c r="GK1200" s="101">
        <f t="shared" si="590"/>
        <v>6</v>
      </c>
      <c r="GL1200" s="101">
        <f t="shared" si="591"/>
        <v>2.7099999999999999E-2</v>
      </c>
      <c r="GM1200" s="101">
        <f t="shared" si="592"/>
        <v>1</v>
      </c>
      <c r="GN1200" s="101">
        <f t="shared" si="593"/>
        <v>13</v>
      </c>
      <c r="GO1200" s="101">
        <f t="shared" si="594"/>
        <v>0.1085</v>
      </c>
      <c r="GP1200" s="101">
        <f t="shared" si="595"/>
        <v>1</v>
      </c>
      <c r="GQ1200" s="101">
        <f t="shared" si="596"/>
        <v>28</v>
      </c>
    </row>
    <row r="1201" spans="175:199" ht="16.5" x14ac:dyDescent="0.2">
      <c r="FS1201" s="101">
        <v>1196</v>
      </c>
      <c r="FT1201" s="101">
        <f t="shared" si="581"/>
        <v>68</v>
      </c>
      <c r="FU1201" s="101">
        <f t="shared" si="574"/>
        <v>15</v>
      </c>
      <c r="FV1201" s="14">
        <f t="shared" si="575"/>
        <v>3</v>
      </c>
      <c r="FW1201" s="101" t="str">
        <f t="shared" si="582"/>
        <v>高顺专属武器-魂珠-8 5级</v>
      </c>
      <c r="FX1201" s="101">
        <f t="shared" si="583"/>
        <v>8</v>
      </c>
      <c r="FY1201" s="101">
        <f t="shared" si="584"/>
        <v>5</v>
      </c>
      <c r="FZ1201" s="101" t="str">
        <f t="shared" si="576"/>
        <v>金币</v>
      </c>
      <c r="GA1201" s="139">
        <f>IF($FY1201&gt;0,IF(INDEX($EM$6:$EM$77,$FT1201)&gt;=GA$3,ROUND(INDEX(EO$6:EO$77,$FT1201)*INDEX(卡牌消耗!$B$8:$F$8,FV1201)/5,0)*5,""),"")</f>
        <v>10545</v>
      </c>
      <c r="GB1201" s="101" t="str">
        <f t="shared" si="577"/>
        <v>专属强化石4</v>
      </c>
      <c r="GC1201" s="101">
        <f t="shared" si="578"/>
        <v>15</v>
      </c>
      <c r="GD1201" s="101" t="str">
        <f t="shared" si="579"/>
        <v/>
      </c>
      <c r="GE1201" s="101" t="str">
        <f t="shared" si="580"/>
        <v/>
      </c>
      <c r="GF1201" s="101">
        <f t="shared" si="585"/>
        <v>0.04</v>
      </c>
      <c r="GG1201" s="101">
        <f t="shared" si="586"/>
        <v>1</v>
      </c>
      <c r="GH1201" s="101">
        <f t="shared" si="587"/>
        <v>35</v>
      </c>
      <c r="GI1201" s="101">
        <f t="shared" si="588"/>
        <v>0</v>
      </c>
      <c r="GJ1201" s="101">
        <f t="shared" si="589"/>
        <v>1</v>
      </c>
      <c r="GK1201" s="101">
        <f t="shared" si="590"/>
        <v>8</v>
      </c>
      <c r="GL1201" s="101">
        <f t="shared" si="591"/>
        <v>2.12E-2</v>
      </c>
      <c r="GM1201" s="101">
        <f t="shared" si="592"/>
        <v>1</v>
      </c>
      <c r="GN1201" s="101">
        <f t="shared" si="593"/>
        <v>17</v>
      </c>
      <c r="GO1201" s="101">
        <f t="shared" si="594"/>
        <v>8.4699999999999998E-2</v>
      </c>
      <c r="GP1201" s="101">
        <f t="shared" si="595"/>
        <v>1</v>
      </c>
      <c r="GQ1201" s="101">
        <f t="shared" si="596"/>
        <v>35</v>
      </c>
    </row>
    <row r="1202" spans="175:199" ht="16.5" x14ac:dyDescent="0.2">
      <c r="FS1202" s="101">
        <v>1197</v>
      </c>
      <c r="FT1202" s="101">
        <f t="shared" si="581"/>
        <v>69</v>
      </c>
      <c r="FU1202" s="101">
        <f t="shared" si="574"/>
        <v>15</v>
      </c>
      <c r="FV1202" s="14">
        <f t="shared" si="575"/>
        <v>3</v>
      </c>
      <c r="FW1202" s="101" t="str">
        <f t="shared" si="582"/>
        <v>高顺专属武器-魂珠-8 6级</v>
      </c>
      <c r="FX1202" s="101">
        <f t="shared" si="583"/>
        <v>8</v>
      </c>
      <c r="FY1202" s="101">
        <f t="shared" si="584"/>
        <v>6</v>
      </c>
      <c r="FZ1202" s="101" t="str">
        <f t="shared" si="576"/>
        <v>金币</v>
      </c>
      <c r="GA1202" s="139">
        <f>IF($FY1202&gt;0,IF(INDEX($EM$6:$EM$77,$FT1202)&gt;=GA$3,ROUND(INDEX(EO$6:EO$77,$FT1202)*INDEX(卡牌消耗!$B$8:$F$8,FV1202)/5,0)*5,""),"")</f>
        <v>12580</v>
      </c>
      <c r="GB1202" s="101" t="str">
        <f t="shared" si="577"/>
        <v>专属强化石4</v>
      </c>
      <c r="GC1202" s="101">
        <f t="shared" si="578"/>
        <v>18</v>
      </c>
      <c r="GD1202" s="101" t="str">
        <f t="shared" si="579"/>
        <v/>
      </c>
      <c r="GE1202" s="101" t="str">
        <f t="shared" si="580"/>
        <v/>
      </c>
      <c r="GF1202" s="101">
        <f t="shared" si="585"/>
        <v>0.03</v>
      </c>
      <c r="GG1202" s="101">
        <f t="shared" si="586"/>
        <v>1</v>
      </c>
      <c r="GH1202" s="101">
        <f t="shared" si="587"/>
        <v>48</v>
      </c>
      <c r="GI1202" s="101">
        <f t="shared" si="588"/>
        <v>0</v>
      </c>
      <c r="GJ1202" s="101">
        <f t="shared" si="589"/>
        <v>1</v>
      </c>
      <c r="GK1202" s="101">
        <f t="shared" si="590"/>
        <v>11</v>
      </c>
      <c r="GL1202" s="101">
        <f t="shared" si="591"/>
        <v>1.5599999999999999E-2</v>
      </c>
      <c r="GM1202" s="101">
        <f t="shared" si="592"/>
        <v>1</v>
      </c>
      <c r="GN1202" s="101">
        <f t="shared" si="593"/>
        <v>22</v>
      </c>
      <c r="GO1202" s="101">
        <f t="shared" si="594"/>
        <v>6.2600000000000003E-2</v>
      </c>
      <c r="GP1202" s="101">
        <f t="shared" si="595"/>
        <v>1</v>
      </c>
      <c r="GQ1202" s="101">
        <f t="shared" si="596"/>
        <v>48</v>
      </c>
    </row>
    <row r="1203" spans="175:199" ht="16.5" x14ac:dyDescent="0.2">
      <c r="FS1203" s="101">
        <v>1198</v>
      </c>
      <c r="FT1203" s="101">
        <f t="shared" si="581"/>
        <v>70</v>
      </c>
      <c r="FU1203" s="101">
        <f t="shared" si="574"/>
        <v>15</v>
      </c>
      <c r="FV1203" s="14">
        <f t="shared" si="575"/>
        <v>3</v>
      </c>
      <c r="FW1203" s="101" t="str">
        <f t="shared" si="582"/>
        <v>高顺专属武器-魂珠-8 7级</v>
      </c>
      <c r="FX1203" s="101">
        <f t="shared" si="583"/>
        <v>8</v>
      </c>
      <c r="FY1203" s="101">
        <f t="shared" si="584"/>
        <v>7</v>
      </c>
      <c r="FZ1203" s="101" t="str">
        <f t="shared" si="576"/>
        <v>金币</v>
      </c>
      <c r="GA1203" s="139">
        <f>IF($FY1203&gt;0,IF(INDEX($EM$6:$EM$77,$FT1203)&gt;=GA$3,ROUND(INDEX(EO$6:EO$77,$FT1203)*INDEX(卡牌消耗!$B$8:$F$8,FV1203)/5,0)*5,""),"")</f>
        <v>17515</v>
      </c>
      <c r="GB1203" s="101" t="str">
        <f t="shared" si="577"/>
        <v>专属强化石4</v>
      </c>
      <c r="GC1203" s="101">
        <f t="shared" si="578"/>
        <v>25</v>
      </c>
      <c r="GD1203" s="101" t="str">
        <f t="shared" si="579"/>
        <v/>
      </c>
      <c r="GE1203" s="101" t="str">
        <f t="shared" si="580"/>
        <v/>
      </c>
      <c r="GF1203" s="101">
        <f t="shared" si="585"/>
        <v>0.03</v>
      </c>
      <c r="GG1203" s="101">
        <f t="shared" si="586"/>
        <v>1</v>
      </c>
      <c r="GH1203" s="101">
        <f t="shared" si="587"/>
        <v>56</v>
      </c>
      <c r="GI1203" s="101">
        <f t="shared" si="588"/>
        <v>0</v>
      </c>
      <c r="GJ1203" s="101">
        <f t="shared" si="589"/>
        <v>1</v>
      </c>
      <c r="GK1203" s="101">
        <f t="shared" si="590"/>
        <v>13</v>
      </c>
      <c r="GL1203" s="101">
        <f t="shared" si="591"/>
        <v>1.35E-2</v>
      </c>
      <c r="GM1203" s="101">
        <f t="shared" si="592"/>
        <v>1</v>
      </c>
      <c r="GN1203" s="101">
        <f t="shared" si="593"/>
        <v>26</v>
      </c>
      <c r="GO1203" s="101">
        <f t="shared" si="594"/>
        <v>5.3800000000000001E-2</v>
      </c>
      <c r="GP1203" s="101">
        <f t="shared" si="595"/>
        <v>1</v>
      </c>
      <c r="GQ1203" s="101">
        <f t="shared" si="596"/>
        <v>56</v>
      </c>
    </row>
    <row r="1204" spans="175:199" ht="16.5" x14ac:dyDescent="0.2">
      <c r="FS1204" s="101">
        <v>1199</v>
      </c>
      <c r="FT1204" s="101">
        <f t="shared" si="581"/>
        <v>71</v>
      </c>
      <c r="FU1204" s="101">
        <f t="shared" si="574"/>
        <v>15</v>
      </c>
      <c r="FV1204" s="14">
        <f t="shared" si="575"/>
        <v>3</v>
      </c>
      <c r="FW1204" s="101" t="str">
        <f t="shared" si="582"/>
        <v>高顺专属武器-魂珠-8 8级</v>
      </c>
      <c r="FX1204" s="101">
        <f t="shared" si="583"/>
        <v>8</v>
      </c>
      <c r="FY1204" s="101">
        <f t="shared" si="584"/>
        <v>8</v>
      </c>
      <c r="FZ1204" s="101" t="str">
        <f t="shared" si="576"/>
        <v>金币</v>
      </c>
      <c r="GA1204" s="139">
        <f>IF($FY1204&gt;0,IF(INDEX($EM$6:$EM$77,$FT1204)&gt;=GA$3,ROUND(INDEX(EO$6:EO$77,$FT1204)*INDEX(卡牌消耗!$B$8:$F$8,FV1204)/5,0)*5,""),"")</f>
        <v>21000</v>
      </c>
      <c r="GB1204" s="101" t="str">
        <f t="shared" si="577"/>
        <v>专属强化石4</v>
      </c>
      <c r="GC1204" s="101">
        <f t="shared" si="578"/>
        <v>30</v>
      </c>
      <c r="GD1204" s="101" t="str">
        <f t="shared" si="579"/>
        <v/>
      </c>
      <c r="GE1204" s="101" t="str">
        <f t="shared" si="580"/>
        <v/>
      </c>
      <c r="GF1204" s="101">
        <f t="shared" si="585"/>
        <v>0.02</v>
      </c>
      <c r="GG1204" s="101">
        <f t="shared" si="586"/>
        <v>1</v>
      </c>
      <c r="GH1204" s="101">
        <f t="shared" si="587"/>
        <v>75</v>
      </c>
      <c r="GI1204" s="101">
        <f t="shared" si="588"/>
        <v>0</v>
      </c>
      <c r="GJ1204" s="101">
        <f t="shared" si="589"/>
        <v>1</v>
      </c>
      <c r="GK1204" s="101">
        <f t="shared" si="590"/>
        <v>18</v>
      </c>
      <c r="GL1204" s="101">
        <f t="shared" si="591"/>
        <v>0.01</v>
      </c>
      <c r="GM1204" s="101">
        <f t="shared" si="592"/>
        <v>1</v>
      </c>
      <c r="GN1204" s="101">
        <f t="shared" si="593"/>
        <v>35</v>
      </c>
      <c r="GO1204" s="101">
        <f t="shared" si="594"/>
        <v>3.9899999999999998E-2</v>
      </c>
      <c r="GP1204" s="101">
        <f t="shared" si="595"/>
        <v>1</v>
      </c>
      <c r="GQ1204" s="101">
        <f t="shared" si="596"/>
        <v>75</v>
      </c>
    </row>
    <row r="1205" spans="175:199" ht="16.5" x14ac:dyDescent="0.2">
      <c r="FS1205" s="101">
        <v>1200</v>
      </c>
      <c r="FT1205" s="101">
        <f t="shared" si="581"/>
        <v>72</v>
      </c>
      <c r="FU1205" s="101">
        <f t="shared" si="574"/>
        <v>15</v>
      </c>
      <c r="FV1205" s="14">
        <f t="shared" si="575"/>
        <v>3</v>
      </c>
      <c r="FW1205" s="101" t="str">
        <f t="shared" si="582"/>
        <v>高顺专属武器-魂珠-8 9级</v>
      </c>
      <c r="FX1205" s="101">
        <f t="shared" si="583"/>
        <v>8</v>
      </c>
      <c r="FY1205" s="101">
        <f t="shared" si="584"/>
        <v>9</v>
      </c>
      <c r="FZ1205" s="101" t="str">
        <f t="shared" si="576"/>
        <v>金币</v>
      </c>
      <c r="GA1205" s="139">
        <f>IF($FY1205&gt;0,IF(INDEX($EM$6:$EM$77,$FT1205)&gt;=GA$3,ROUND(INDEX(EO$6:EO$77,$FT1205)*INDEX(卡牌消耗!$B$8:$F$8,FV1205)/5,0)*5,""),"")</f>
        <v>21005</v>
      </c>
      <c r="GB1205" s="101" t="str">
        <f t="shared" si="577"/>
        <v>专属强化石4</v>
      </c>
      <c r="GC1205" s="101">
        <f t="shared" si="578"/>
        <v>30</v>
      </c>
      <c r="GD1205" s="101" t="str">
        <f t="shared" si="579"/>
        <v/>
      </c>
      <c r="GE1205" s="101" t="str">
        <f t="shared" si="580"/>
        <v/>
      </c>
      <c r="GF1205" s="101">
        <f t="shared" si="585"/>
        <v>0.01</v>
      </c>
      <c r="GG1205" s="101">
        <f t="shared" si="586"/>
        <v>1</v>
      </c>
      <c r="GH1205" s="101">
        <f t="shared" si="587"/>
        <v>122</v>
      </c>
      <c r="GI1205" s="101">
        <f t="shared" si="588"/>
        <v>0</v>
      </c>
      <c r="GJ1205" s="101">
        <f t="shared" si="589"/>
        <v>1</v>
      </c>
      <c r="GK1205" s="101">
        <f t="shared" si="590"/>
        <v>28</v>
      </c>
      <c r="GL1205" s="101">
        <f t="shared" si="591"/>
        <v>6.1999999999999998E-3</v>
      </c>
      <c r="GM1205" s="101">
        <f t="shared" si="592"/>
        <v>1</v>
      </c>
      <c r="GN1205" s="101">
        <f t="shared" si="593"/>
        <v>57</v>
      </c>
      <c r="GO1205" s="101">
        <f t="shared" si="594"/>
        <v>2.47E-2</v>
      </c>
      <c r="GP1205" s="101">
        <f t="shared" si="595"/>
        <v>1</v>
      </c>
      <c r="GQ1205" s="101">
        <f t="shared" si="596"/>
        <v>122</v>
      </c>
    </row>
    <row r="1206" spans="175:199" ht="16.5" x14ac:dyDescent="0.2">
      <c r="FS1206" s="101">
        <v>1201</v>
      </c>
      <c r="FT1206" s="101">
        <f t="shared" si="581"/>
        <v>0</v>
      </c>
      <c r="FU1206" s="101">
        <f t="shared" si="574"/>
        <v>16</v>
      </c>
      <c r="FV1206" s="14">
        <f t="shared" si="575"/>
        <v>3</v>
      </c>
      <c r="FW1206" s="101" t="str">
        <f t="shared" si="582"/>
        <v>烈风螳螂专属武器-魂珠-1 0级</v>
      </c>
      <c r="FX1206" s="101">
        <f t="shared" si="583"/>
        <v>1</v>
      </c>
      <c r="FY1206" s="101">
        <f t="shared" si="584"/>
        <v>0</v>
      </c>
      <c r="FZ1206" s="101" t="str">
        <f t="shared" si="576"/>
        <v/>
      </c>
      <c r="GA1206" s="139" t="str">
        <f>IF($FY1206&gt;0,IF(INDEX($EM$6:$EM$77,$FT1206)&gt;=GA$3,ROUND(INDEX(EO$6:EO$77,$FT1206)*INDEX(卡牌消耗!$B$8:$F$8,FV1206)/5,0)*5,""),"")</f>
        <v/>
      </c>
      <c r="GB1206" s="101" t="str">
        <f t="shared" si="577"/>
        <v/>
      </c>
      <c r="GC1206" s="101" t="str">
        <f t="shared" si="578"/>
        <v/>
      </c>
      <c r="GD1206" s="101" t="str">
        <f t="shared" si="579"/>
        <v/>
      </c>
      <c r="GE1206" s="101" t="str">
        <f t="shared" si="580"/>
        <v/>
      </c>
      <c r="GF1206" s="101" t="str">
        <f t="shared" si="585"/>
        <v/>
      </c>
      <c r="GG1206" s="101" t="str">
        <f t="shared" si="586"/>
        <v/>
      </c>
      <c r="GH1206" s="101" t="str">
        <f t="shared" si="587"/>
        <v/>
      </c>
      <c r="GI1206" s="101" t="str">
        <f t="shared" si="588"/>
        <v/>
      </c>
      <c r="GJ1206" s="101" t="str">
        <f t="shared" si="589"/>
        <v/>
      </c>
      <c r="GK1206" s="101" t="str">
        <f t="shared" si="590"/>
        <v/>
      </c>
      <c r="GL1206" s="101" t="str">
        <f t="shared" si="591"/>
        <v/>
      </c>
      <c r="GM1206" s="101" t="str">
        <f t="shared" si="592"/>
        <v/>
      </c>
      <c r="GN1206" s="101" t="str">
        <f t="shared" si="593"/>
        <v/>
      </c>
      <c r="GO1206" s="101" t="str">
        <f t="shared" si="594"/>
        <v/>
      </c>
      <c r="GP1206" s="101" t="str">
        <f t="shared" si="595"/>
        <v/>
      </c>
      <c r="GQ1206" s="101" t="str">
        <f t="shared" si="596"/>
        <v/>
      </c>
    </row>
    <row r="1207" spans="175:199" ht="16.5" x14ac:dyDescent="0.2">
      <c r="FS1207" s="101">
        <v>1202</v>
      </c>
      <c r="FT1207" s="101">
        <f t="shared" si="581"/>
        <v>1</v>
      </c>
      <c r="FU1207" s="101">
        <f t="shared" si="574"/>
        <v>16</v>
      </c>
      <c r="FV1207" s="14">
        <f t="shared" si="575"/>
        <v>3</v>
      </c>
      <c r="FW1207" s="101" t="str">
        <f t="shared" si="582"/>
        <v>烈风螳螂专属武器-魂珠-1 1级</v>
      </c>
      <c r="FX1207" s="101">
        <f t="shared" si="583"/>
        <v>1</v>
      </c>
      <c r="FY1207" s="101">
        <f t="shared" si="584"/>
        <v>1</v>
      </c>
      <c r="FZ1207" s="101" t="str">
        <f t="shared" si="576"/>
        <v>金币</v>
      </c>
      <c r="GA1207" s="139">
        <f>IF($FY1207&gt;0,IF(INDEX($EM$6:$EM$77,$FT1207)&gt;=GA$3,ROUND(INDEX(EO$6:EO$77,$FT1207)*INDEX(卡牌消耗!$B$8:$F$8,FV1207)/5,0)*5,""),"")</f>
        <v>95</v>
      </c>
      <c r="GB1207" s="101" t="str">
        <f t="shared" si="577"/>
        <v>专属强化石1</v>
      </c>
      <c r="GC1207" s="101">
        <f t="shared" si="578"/>
        <v>1</v>
      </c>
      <c r="GD1207" s="101" t="str">
        <f t="shared" si="579"/>
        <v/>
      </c>
      <c r="GE1207" s="101" t="str">
        <f t="shared" si="580"/>
        <v/>
      </c>
      <c r="GF1207" s="101">
        <f t="shared" si="585"/>
        <v>0.32</v>
      </c>
      <c r="GG1207" s="101">
        <f t="shared" si="586"/>
        <v>1</v>
      </c>
      <c r="GH1207" s="101">
        <f t="shared" si="587"/>
        <v>5</v>
      </c>
      <c r="GI1207" s="101">
        <f t="shared" si="588"/>
        <v>0</v>
      </c>
      <c r="GJ1207" s="101">
        <f t="shared" si="589"/>
        <v>1</v>
      </c>
      <c r="GK1207" s="101">
        <f t="shared" si="590"/>
        <v>1</v>
      </c>
      <c r="GL1207" s="101">
        <f t="shared" si="591"/>
        <v>0.1595</v>
      </c>
      <c r="GM1207" s="101">
        <f t="shared" si="592"/>
        <v>1</v>
      </c>
      <c r="GN1207" s="101">
        <f t="shared" si="593"/>
        <v>2</v>
      </c>
      <c r="GO1207" s="101">
        <f t="shared" si="594"/>
        <v>0.63819999999999999</v>
      </c>
      <c r="GP1207" s="101">
        <f t="shared" si="595"/>
        <v>1</v>
      </c>
      <c r="GQ1207" s="101">
        <f t="shared" si="596"/>
        <v>5</v>
      </c>
    </row>
    <row r="1208" spans="175:199" ht="16.5" x14ac:dyDescent="0.2">
      <c r="FS1208" s="101">
        <v>1203</v>
      </c>
      <c r="FT1208" s="101">
        <f t="shared" si="581"/>
        <v>2</v>
      </c>
      <c r="FU1208" s="101">
        <f t="shared" si="574"/>
        <v>16</v>
      </c>
      <c r="FV1208" s="14">
        <f t="shared" si="575"/>
        <v>3</v>
      </c>
      <c r="FW1208" s="101" t="str">
        <f t="shared" si="582"/>
        <v>烈风螳螂专属武器-魂珠-1 2级</v>
      </c>
      <c r="FX1208" s="101">
        <f t="shared" si="583"/>
        <v>1</v>
      </c>
      <c r="FY1208" s="101">
        <f t="shared" si="584"/>
        <v>2</v>
      </c>
      <c r="FZ1208" s="101" t="str">
        <f t="shared" si="576"/>
        <v>金币</v>
      </c>
      <c r="GA1208" s="139">
        <f>IF($FY1208&gt;0,IF(INDEX($EM$6:$EM$77,$FT1208)&gt;=GA$3,ROUND(INDEX(EO$6:EO$77,$FT1208)*INDEX(卡牌消耗!$B$8:$F$8,FV1208)/5,0)*5,""),"")</f>
        <v>140</v>
      </c>
      <c r="GB1208" s="101" t="str">
        <f t="shared" si="577"/>
        <v>专属强化石1</v>
      </c>
      <c r="GC1208" s="101">
        <f t="shared" si="578"/>
        <v>2</v>
      </c>
      <c r="GD1208" s="101" t="str">
        <f t="shared" si="579"/>
        <v/>
      </c>
      <c r="GE1208" s="101" t="str">
        <f t="shared" si="580"/>
        <v/>
      </c>
      <c r="GF1208" s="101">
        <f t="shared" si="585"/>
        <v>0.32</v>
      </c>
      <c r="GG1208" s="101">
        <f t="shared" si="586"/>
        <v>1</v>
      </c>
      <c r="GH1208" s="101">
        <f t="shared" si="587"/>
        <v>5</v>
      </c>
      <c r="GI1208" s="101">
        <f t="shared" si="588"/>
        <v>0</v>
      </c>
      <c r="GJ1208" s="101">
        <f t="shared" si="589"/>
        <v>1</v>
      </c>
      <c r="GK1208" s="101">
        <f t="shared" si="590"/>
        <v>1</v>
      </c>
      <c r="GL1208" s="101">
        <f t="shared" si="591"/>
        <v>0.1595</v>
      </c>
      <c r="GM1208" s="101">
        <f t="shared" si="592"/>
        <v>1</v>
      </c>
      <c r="GN1208" s="101">
        <f t="shared" si="593"/>
        <v>2</v>
      </c>
      <c r="GO1208" s="101">
        <f t="shared" si="594"/>
        <v>0.63819999999999999</v>
      </c>
      <c r="GP1208" s="101">
        <f t="shared" si="595"/>
        <v>1</v>
      </c>
      <c r="GQ1208" s="101">
        <f t="shared" si="596"/>
        <v>5</v>
      </c>
    </row>
    <row r="1209" spans="175:199" ht="16.5" x14ac:dyDescent="0.2">
      <c r="FS1209" s="101">
        <v>1204</v>
      </c>
      <c r="FT1209" s="101">
        <f t="shared" si="581"/>
        <v>3</v>
      </c>
      <c r="FU1209" s="101">
        <f t="shared" si="574"/>
        <v>16</v>
      </c>
      <c r="FV1209" s="14">
        <f t="shared" si="575"/>
        <v>3</v>
      </c>
      <c r="FW1209" s="101" t="str">
        <f t="shared" si="582"/>
        <v>烈风螳螂专属武器-魂珠-1 3级</v>
      </c>
      <c r="FX1209" s="101">
        <f t="shared" si="583"/>
        <v>1</v>
      </c>
      <c r="FY1209" s="101">
        <f t="shared" si="584"/>
        <v>3</v>
      </c>
      <c r="FZ1209" s="101" t="str">
        <f t="shared" si="576"/>
        <v>金币</v>
      </c>
      <c r="GA1209" s="139">
        <f>IF($FY1209&gt;0,IF(INDEX($EM$6:$EM$77,$FT1209)&gt;=GA$3,ROUND(INDEX(EO$6:EO$77,$FT1209)*INDEX(卡牌消耗!$B$8:$F$8,FV1209)/5,0)*5,""),"")</f>
        <v>235</v>
      </c>
      <c r="GB1209" s="101" t="str">
        <f t="shared" si="577"/>
        <v>专属强化石1</v>
      </c>
      <c r="GC1209" s="101">
        <f t="shared" si="578"/>
        <v>3</v>
      </c>
      <c r="GD1209" s="101" t="str">
        <f t="shared" si="579"/>
        <v/>
      </c>
      <c r="GE1209" s="101" t="str">
        <f t="shared" si="580"/>
        <v/>
      </c>
      <c r="GF1209" s="101">
        <f t="shared" si="585"/>
        <v>0.32</v>
      </c>
      <c r="GG1209" s="101">
        <f t="shared" si="586"/>
        <v>1</v>
      </c>
      <c r="GH1209" s="101">
        <f t="shared" si="587"/>
        <v>5</v>
      </c>
      <c r="GI1209" s="101">
        <f t="shared" si="588"/>
        <v>0</v>
      </c>
      <c r="GJ1209" s="101">
        <f t="shared" si="589"/>
        <v>1</v>
      </c>
      <c r="GK1209" s="101">
        <f t="shared" si="590"/>
        <v>1</v>
      </c>
      <c r="GL1209" s="101">
        <f t="shared" si="591"/>
        <v>0.1595</v>
      </c>
      <c r="GM1209" s="101">
        <f t="shared" si="592"/>
        <v>1</v>
      </c>
      <c r="GN1209" s="101">
        <f t="shared" si="593"/>
        <v>2</v>
      </c>
      <c r="GO1209" s="101">
        <f t="shared" si="594"/>
        <v>0.63819999999999999</v>
      </c>
      <c r="GP1209" s="101">
        <f t="shared" si="595"/>
        <v>1</v>
      </c>
      <c r="GQ1209" s="101">
        <f t="shared" si="596"/>
        <v>5</v>
      </c>
    </row>
    <row r="1210" spans="175:199" ht="16.5" x14ac:dyDescent="0.2">
      <c r="FS1210" s="101">
        <v>1205</v>
      </c>
      <c r="FT1210" s="101">
        <f t="shared" si="581"/>
        <v>4</v>
      </c>
      <c r="FU1210" s="101">
        <f t="shared" si="574"/>
        <v>16</v>
      </c>
      <c r="FV1210" s="14">
        <f t="shared" si="575"/>
        <v>3</v>
      </c>
      <c r="FW1210" s="101" t="str">
        <f t="shared" si="582"/>
        <v>烈风螳螂专属武器-魂珠-1 4级</v>
      </c>
      <c r="FX1210" s="101">
        <f t="shared" si="583"/>
        <v>1</v>
      </c>
      <c r="FY1210" s="101">
        <f t="shared" si="584"/>
        <v>4</v>
      </c>
      <c r="FZ1210" s="101" t="str">
        <f t="shared" si="576"/>
        <v>金币</v>
      </c>
      <c r="GA1210" s="139">
        <f>IF($FY1210&gt;0,IF(INDEX($EM$6:$EM$77,$FT1210)&gt;=GA$3,ROUND(INDEX(EO$6:EO$77,$FT1210)*INDEX(卡牌消耗!$B$8:$F$8,FV1210)/5,0)*5,""),"")</f>
        <v>305</v>
      </c>
      <c r="GB1210" s="101" t="str">
        <f t="shared" si="577"/>
        <v>专属强化石1</v>
      </c>
      <c r="GC1210" s="101">
        <f t="shared" si="578"/>
        <v>4</v>
      </c>
      <c r="GD1210" s="101" t="str">
        <f t="shared" si="579"/>
        <v/>
      </c>
      <c r="GE1210" s="101" t="str">
        <f t="shared" si="580"/>
        <v/>
      </c>
      <c r="GF1210" s="101">
        <f t="shared" si="585"/>
        <v>0.26</v>
      </c>
      <c r="GG1210" s="101">
        <f t="shared" si="586"/>
        <v>1</v>
      </c>
      <c r="GH1210" s="101">
        <f t="shared" si="587"/>
        <v>6</v>
      </c>
      <c r="GI1210" s="101">
        <f t="shared" si="588"/>
        <v>0</v>
      </c>
      <c r="GJ1210" s="101">
        <f t="shared" si="589"/>
        <v>1</v>
      </c>
      <c r="GK1210" s="101">
        <f t="shared" si="590"/>
        <v>1</v>
      </c>
      <c r="GL1210" s="101">
        <f t="shared" si="591"/>
        <v>0.12759999999999999</v>
      </c>
      <c r="GM1210" s="101">
        <f t="shared" si="592"/>
        <v>1</v>
      </c>
      <c r="GN1210" s="101">
        <f t="shared" si="593"/>
        <v>3</v>
      </c>
      <c r="GO1210" s="101">
        <f t="shared" si="594"/>
        <v>0.51060000000000005</v>
      </c>
      <c r="GP1210" s="101">
        <f t="shared" si="595"/>
        <v>1</v>
      </c>
      <c r="GQ1210" s="101">
        <f t="shared" si="596"/>
        <v>6</v>
      </c>
    </row>
    <row r="1211" spans="175:199" ht="16.5" x14ac:dyDescent="0.2">
      <c r="FS1211" s="101">
        <v>1206</v>
      </c>
      <c r="FT1211" s="101">
        <f t="shared" si="581"/>
        <v>5</v>
      </c>
      <c r="FU1211" s="101">
        <f t="shared" si="574"/>
        <v>16</v>
      </c>
      <c r="FV1211" s="14">
        <f t="shared" si="575"/>
        <v>3</v>
      </c>
      <c r="FW1211" s="101" t="str">
        <f t="shared" si="582"/>
        <v>烈风螳螂专属武器-魂珠-1 5级</v>
      </c>
      <c r="FX1211" s="101">
        <f t="shared" si="583"/>
        <v>1</v>
      </c>
      <c r="FY1211" s="101">
        <f t="shared" si="584"/>
        <v>5</v>
      </c>
      <c r="FZ1211" s="101" t="str">
        <f t="shared" si="576"/>
        <v>金币</v>
      </c>
      <c r="GA1211" s="139">
        <f>IF($FY1211&gt;0,IF(INDEX($EM$6:$EM$77,$FT1211)&gt;=GA$3,ROUND(INDEX(EO$6:EO$77,$FT1211)*INDEX(卡牌消耗!$B$8:$F$8,FV1211)/5,0)*5,""),"")</f>
        <v>385</v>
      </c>
      <c r="GB1211" s="101" t="str">
        <f t="shared" si="577"/>
        <v>专属强化石1</v>
      </c>
      <c r="GC1211" s="101">
        <f t="shared" si="578"/>
        <v>5</v>
      </c>
      <c r="GD1211" s="101" t="str">
        <f t="shared" si="579"/>
        <v/>
      </c>
      <c r="GE1211" s="101" t="str">
        <f t="shared" si="580"/>
        <v/>
      </c>
      <c r="GF1211" s="101">
        <f t="shared" si="585"/>
        <v>0.2</v>
      </c>
      <c r="GG1211" s="101">
        <f t="shared" si="586"/>
        <v>1</v>
      </c>
      <c r="GH1211" s="101">
        <f t="shared" si="587"/>
        <v>8</v>
      </c>
      <c r="GI1211" s="101">
        <f t="shared" si="588"/>
        <v>0</v>
      </c>
      <c r="GJ1211" s="101">
        <f t="shared" si="589"/>
        <v>1</v>
      </c>
      <c r="GK1211" s="101">
        <f t="shared" si="590"/>
        <v>2</v>
      </c>
      <c r="GL1211" s="101">
        <f t="shared" si="591"/>
        <v>9.9699999999999997E-2</v>
      </c>
      <c r="GM1211" s="101">
        <f t="shared" si="592"/>
        <v>1</v>
      </c>
      <c r="GN1211" s="101">
        <f t="shared" si="593"/>
        <v>4</v>
      </c>
      <c r="GO1211" s="101">
        <f t="shared" si="594"/>
        <v>0.39889999999999998</v>
      </c>
      <c r="GP1211" s="101">
        <f t="shared" si="595"/>
        <v>1</v>
      </c>
      <c r="GQ1211" s="101">
        <f t="shared" si="596"/>
        <v>8</v>
      </c>
    </row>
    <row r="1212" spans="175:199" ht="16.5" x14ac:dyDescent="0.2">
      <c r="FS1212" s="101">
        <v>1207</v>
      </c>
      <c r="FT1212" s="101">
        <f t="shared" si="581"/>
        <v>6</v>
      </c>
      <c r="FU1212" s="101">
        <f t="shared" si="574"/>
        <v>16</v>
      </c>
      <c r="FV1212" s="14">
        <f t="shared" si="575"/>
        <v>3</v>
      </c>
      <c r="FW1212" s="101" t="str">
        <f t="shared" si="582"/>
        <v>烈风螳螂专属武器-魂珠-1 6级</v>
      </c>
      <c r="FX1212" s="101">
        <f t="shared" si="583"/>
        <v>1</v>
      </c>
      <c r="FY1212" s="101">
        <f t="shared" si="584"/>
        <v>6</v>
      </c>
      <c r="FZ1212" s="101" t="str">
        <f t="shared" si="576"/>
        <v>金币</v>
      </c>
      <c r="GA1212" s="139">
        <f>IF($FY1212&gt;0,IF(INDEX($EM$6:$EM$77,$FT1212)&gt;=GA$3,ROUND(INDEX(EO$6:EO$77,$FT1212)*INDEX(卡牌消耗!$B$8:$F$8,FV1212)/5,0)*5,""),"")</f>
        <v>460</v>
      </c>
      <c r="GB1212" s="101" t="str">
        <f t="shared" si="577"/>
        <v>专属强化石1</v>
      </c>
      <c r="GC1212" s="101">
        <f t="shared" si="578"/>
        <v>6</v>
      </c>
      <c r="GD1212" s="101" t="str">
        <f t="shared" si="579"/>
        <v/>
      </c>
      <c r="GE1212" s="101" t="str">
        <f t="shared" si="580"/>
        <v/>
      </c>
      <c r="GF1212" s="101">
        <f t="shared" si="585"/>
        <v>0.15</v>
      </c>
      <c r="GG1212" s="101">
        <f t="shared" si="586"/>
        <v>1</v>
      </c>
      <c r="GH1212" s="101">
        <f t="shared" si="587"/>
        <v>10</v>
      </c>
      <c r="GI1212" s="101">
        <f t="shared" si="588"/>
        <v>0</v>
      </c>
      <c r="GJ1212" s="101">
        <f t="shared" si="589"/>
        <v>1</v>
      </c>
      <c r="GK1212" s="101">
        <f t="shared" si="590"/>
        <v>2</v>
      </c>
      <c r="GL1212" s="101">
        <f t="shared" si="591"/>
        <v>7.3599999999999999E-2</v>
      </c>
      <c r="GM1212" s="101">
        <f t="shared" si="592"/>
        <v>1</v>
      </c>
      <c r="GN1212" s="101">
        <f t="shared" si="593"/>
        <v>5</v>
      </c>
      <c r="GO1212" s="101">
        <f t="shared" si="594"/>
        <v>0.29459999999999997</v>
      </c>
      <c r="GP1212" s="101">
        <f t="shared" si="595"/>
        <v>1</v>
      </c>
      <c r="GQ1212" s="101">
        <f t="shared" si="596"/>
        <v>10</v>
      </c>
    </row>
    <row r="1213" spans="175:199" ht="16.5" x14ac:dyDescent="0.2">
      <c r="FS1213" s="101">
        <v>1208</v>
      </c>
      <c r="FT1213" s="101">
        <f t="shared" si="581"/>
        <v>7</v>
      </c>
      <c r="FU1213" s="101">
        <f t="shared" si="574"/>
        <v>16</v>
      </c>
      <c r="FV1213" s="14">
        <f t="shared" si="575"/>
        <v>3</v>
      </c>
      <c r="FW1213" s="101" t="str">
        <f t="shared" si="582"/>
        <v>烈风螳螂专属武器-魂珠-1 7级</v>
      </c>
      <c r="FX1213" s="101">
        <f t="shared" si="583"/>
        <v>1</v>
      </c>
      <c r="FY1213" s="101">
        <f t="shared" si="584"/>
        <v>7</v>
      </c>
      <c r="FZ1213" s="101" t="str">
        <f t="shared" si="576"/>
        <v>金币</v>
      </c>
      <c r="GA1213" s="139">
        <f>IF($FY1213&gt;0,IF(INDEX($EM$6:$EM$77,$FT1213)&gt;=GA$3,ROUND(INDEX(EO$6:EO$77,$FT1213)*INDEX(卡牌消耗!$B$8:$F$8,FV1213)/5,0)*5,""),"")</f>
        <v>535</v>
      </c>
      <c r="GB1213" s="101" t="str">
        <f t="shared" si="577"/>
        <v>专属强化石1</v>
      </c>
      <c r="GC1213" s="101">
        <f t="shared" si="578"/>
        <v>7</v>
      </c>
      <c r="GD1213" s="101" t="str">
        <f t="shared" si="579"/>
        <v/>
      </c>
      <c r="GE1213" s="101" t="str">
        <f t="shared" si="580"/>
        <v/>
      </c>
      <c r="GF1213" s="101">
        <f t="shared" si="585"/>
        <v>0.11</v>
      </c>
      <c r="GG1213" s="101">
        <f t="shared" si="586"/>
        <v>1</v>
      </c>
      <c r="GH1213" s="101">
        <f t="shared" si="587"/>
        <v>14</v>
      </c>
      <c r="GI1213" s="101">
        <f t="shared" si="588"/>
        <v>0</v>
      </c>
      <c r="GJ1213" s="101">
        <f t="shared" si="589"/>
        <v>1</v>
      </c>
      <c r="GK1213" s="101">
        <f t="shared" si="590"/>
        <v>3</v>
      </c>
      <c r="GL1213" s="101">
        <f t="shared" si="591"/>
        <v>5.3199999999999997E-2</v>
      </c>
      <c r="GM1213" s="101">
        <f t="shared" si="592"/>
        <v>1</v>
      </c>
      <c r="GN1213" s="101">
        <f t="shared" si="593"/>
        <v>7</v>
      </c>
      <c r="GO1213" s="101">
        <f t="shared" si="594"/>
        <v>0.2127</v>
      </c>
      <c r="GP1213" s="101">
        <f t="shared" si="595"/>
        <v>1</v>
      </c>
      <c r="GQ1213" s="101">
        <f t="shared" si="596"/>
        <v>14</v>
      </c>
    </row>
    <row r="1214" spans="175:199" ht="16.5" x14ac:dyDescent="0.2">
      <c r="FS1214" s="101">
        <v>1209</v>
      </c>
      <c r="FT1214" s="101">
        <f t="shared" si="581"/>
        <v>8</v>
      </c>
      <c r="FU1214" s="101">
        <f t="shared" si="574"/>
        <v>16</v>
      </c>
      <c r="FV1214" s="14">
        <f t="shared" si="575"/>
        <v>3</v>
      </c>
      <c r="FW1214" s="101" t="str">
        <f t="shared" si="582"/>
        <v>烈风螳螂专属武器-魂珠-1 8级</v>
      </c>
      <c r="FX1214" s="101">
        <f t="shared" si="583"/>
        <v>1</v>
      </c>
      <c r="FY1214" s="101">
        <f t="shared" si="584"/>
        <v>8</v>
      </c>
      <c r="FZ1214" s="101" t="str">
        <f t="shared" si="576"/>
        <v>金币</v>
      </c>
      <c r="GA1214" s="139">
        <f>IF($FY1214&gt;0,IF(INDEX($EM$6:$EM$77,$FT1214)&gt;=GA$3,ROUND(INDEX(EO$6:EO$77,$FT1214)*INDEX(卡牌消耗!$B$8:$F$8,FV1214)/5,0)*5,""),"")</f>
        <v>615</v>
      </c>
      <c r="GB1214" s="101" t="str">
        <f t="shared" si="577"/>
        <v>专属强化石1</v>
      </c>
      <c r="GC1214" s="101">
        <f t="shared" si="578"/>
        <v>8</v>
      </c>
      <c r="GD1214" s="101" t="str">
        <f t="shared" si="579"/>
        <v/>
      </c>
      <c r="GE1214" s="101" t="str">
        <f t="shared" si="580"/>
        <v/>
      </c>
      <c r="GF1214" s="101">
        <f t="shared" si="585"/>
        <v>0.08</v>
      </c>
      <c r="GG1214" s="101">
        <f t="shared" si="586"/>
        <v>1</v>
      </c>
      <c r="GH1214" s="101">
        <f t="shared" si="587"/>
        <v>20</v>
      </c>
      <c r="GI1214" s="101">
        <f t="shared" si="588"/>
        <v>0</v>
      </c>
      <c r="GJ1214" s="101">
        <f t="shared" si="589"/>
        <v>1</v>
      </c>
      <c r="GK1214" s="101">
        <f t="shared" si="590"/>
        <v>5</v>
      </c>
      <c r="GL1214" s="101">
        <f t="shared" si="591"/>
        <v>3.7499999999999999E-2</v>
      </c>
      <c r="GM1214" s="101">
        <f t="shared" si="592"/>
        <v>1</v>
      </c>
      <c r="GN1214" s="101">
        <f t="shared" si="593"/>
        <v>9</v>
      </c>
      <c r="GO1214" s="101">
        <f t="shared" si="594"/>
        <v>0.1502</v>
      </c>
      <c r="GP1214" s="101">
        <f t="shared" si="595"/>
        <v>1</v>
      </c>
      <c r="GQ1214" s="101">
        <f t="shared" si="596"/>
        <v>20</v>
      </c>
    </row>
    <row r="1215" spans="175:199" ht="16.5" x14ac:dyDescent="0.2">
      <c r="FS1215" s="101">
        <v>1210</v>
      </c>
      <c r="FT1215" s="101">
        <f t="shared" si="581"/>
        <v>9</v>
      </c>
      <c r="FU1215" s="101">
        <f t="shared" si="574"/>
        <v>16</v>
      </c>
      <c r="FV1215" s="14">
        <f t="shared" si="575"/>
        <v>3</v>
      </c>
      <c r="FW1215" s="101" t="str">
        <f t="shared" si="582"/>
        <v>烈风螳螂专属武器-魂珠-1 9级</v>
      </c>
      <c r="FX1215" s="101">
        <f t="shared" si="583"/>
        <v>1</v>
      </c>
      <c r="FY1215" s="101">
        <f t="shared" si="584"/>
        <v>9</v>
      </c>
      <c r="FZ1215" s="101" t="str">
        <f t="shared" si="576"/>
        <v>金币</v>
      </c>
      <c r="GA1215" s="139">
        <f>IF($FY1215&gt;0,IF(INDEX($EM$6:$EM$77,$FT1215)&gt;=GA$3,ROUND(INDEX(EO$6:EO$77,$FT1215)*INDEX(卡牌消耗!$B$8:$F$8,FV1215)/5,0)*5,""),"")</f>
        <v>765</v>
      </c>
      <c r="GB1215" s="101" t="str">
        <f t="shared" si="577"/>
        <v>专属强化石1</v>
      </c>
      <c r="GC1215" s="101">
        <f t="shared" si="578"/>
        <v>10</v>
      </c>
      <c r="GD1215" s="101" t="str">
        <f t="shared" si="579"/>
        <v/>
      </c>
      <c r="GE1215" s="101" t="str">
        <f t="shared" si="580"/>
        <v/>
      </c>
      <c r="GF1215" s="101">
        <f t="shared" si="585"/>
        <v>0.06</v>
      </c>
      <c r="GG1215" s="101">
        <f t="shared" si="586"/>
        <v>1</v>
      </c>
      <c r="GH1215" s="101">
        <f t="shared" si="587"/>
        <v>26</v>
      </c>
      <c r="GI1215" s="101">
        <f t="shared" si="588"/>
        <v>0</v>
      </c>
      <c r="GJ1215" s="101">
        <f t="shared" si="589"/>
        <v>1</v>
      </c>
      <c r="GK1215" s="101">
        <f t="shared" si="590"/>
        <v>6</v>
      </c>
      <c r="GL1215" s="101">
        <f t="shared" si="591"/>
        <v>2.9000000000000001E-2</v>
      </c>
      <c r="GM1215" s="101">
        <f t="shared" si="592"/>
        <v>1</v>
      </c>
      <c r="GN1215" s="101">
        <f t="shared" si="593"/>
        <v>12</v>
      </c>
      <c r="GO1215" s="101">
        <f t="shared" si="594"/>
        <v>0.11600000000000001</v>
      </c>
      <c r="GP1215" s="101">
        <f t="shared" si="595"/>
        <v>1</v>
      </c>
      <c r="GQ1215" s="101">
        <f t="shared" si="596"/>
        <v>26</v>
      </c>
    </row>
    <row r="1216" spans="175:199" ht="16.5" x14ac:dyDescent="0.2">
      <c r="FS1216" s="101">
        <v>1211</v>
      </c>
      <c r="FT1216" s="101">
        <f t="shared" si="581"/>
        <v>0</v>
      </c>
      <c r="FU1216" s="101">
        <f t="shared" si="574"/>
        <v>16</v>
      </c>
      <c r="FV1216" s="14">
        <f t="shared" si="575"/>
        <v>3</v>
      </c>
      <c r="FW1216" s="101" t="str">
        <f t="shared" si="582"/>
        <v>烈风螳螂专属武器-魂珠-2 0级</v>
      </c>
      <c r="FX1216" s="101">
        <f t="shared" si="583"/>
        <v>2</v>
      </c>
      <c r="FY1216" s="101">
        <f t="shared" si="584"/>
        <v>0</v>
      </c>
      <c r="FZ1216" s="101" t="str">
        <f t="shared" si="576"/>
        <v/>
      </c>
      <c r="GA1216" s="139" t="str">
        <f>IF($FY1216&gt;0,IF(INDEX($EM$6:$EM$77,$FT1216)&gt;=GA$3,ROUND(INDEX(EO$6:EO$77,$FT1216)*INDEX(卡牌消耗!$B$8:$F$8,FV1216)/5,0)*5,""),"")</f>
        <v/>
      </c>
      <c r="GB1216" s="101" t="str">
        <f t="shared" si="577"/>
        <v/>
      </c>
      <c r="GC1216" s="101" t="str">
        <f t="shared" si="578"/>
        <v/>
      </c>
      <c r="GD1216" s="101" t="str">
        <f t="shared" si="579"/>
        <v/>
      </c>
      <c r="GE1216" s="101" t="str">
        <f t="shared" si="580"/>
        <v/>
      </c>
      <c r="GF1216" s="101" t="str">
        <f t="shared" si="585"/>
        <v/>
      </c>
      <c r="GG1216" s="101" t="str">
        <f t="shared" si="586"/>
        <v/>
      </c>
      <c r="GH1216" s="101" t="str">
        <f t="shared" si="587"/>
        <v/>
      </c>
      <c r="GI1216" s="101" t="str">
        <f t="shared" si="588"/>
        <v/>
      </c>
      <c r="GJ1216" s="101" t="str">
        <f t="shared" si="589"/>
        <v/>
      </c>
      <c r="GK1216" s="101" t="str">
        <f t="shared" si="590"/>
        <v/>
      </c>
      <c r="GL1216" s="101" t="str">
        <f t="shared" si="591"/>
        <v/>
      </c>
      <c r="GM1216" s="101" t="str">
        <f t="shared" si="592"/>
        <v/>
      </c>
      <c r="GN1216" s="101" t="str">
        <f t="shared" si="593"/>
        <v/>
      </c>
      <c r="GO1216" s="101" t="str">
        <f t="shared" si="594"/>
        <v/>
      </c>
      <c r="GP1216" s="101" t="str">
        <f t="shared" si="595"/>
        <v/>
      </c>
      <c r="GQ1216" s="101" t="str">
        <f t="shared" si="596"/>
        <v/>
      </c>
    </row>
    <row r="1217" spans="175:199" ht="16.5" x14ac:dyDescent="0.2">
      <c r="FS1217" s="101">
        <v>1212</v>
      </c>
      <c r="FT1217" s="101">
        <f t="shared" si="581"/>
        <v>10</v>
      </c>
      <c r="FU1217" s="101">
        <f t="shared" si="574"/>
        <v>16</v>
      </c>
      <c r="FV1217" s="14">
        <f t="shared" si="575"/>
        <v>3</v>
      </c>
      <c r="FW1217" s="101" t="str">
        <f t="shared" si="582"/>
        <v>烈风螳螂专属武器-魂珠-2 1级</v>
      </c>
      <c r="FX1217" s="101">
        <f t="shared" si="583"/>
        <v>2</v>
      </c>
      <c r="FY1217" s="101">
        <f t="shared" si="584"/>
        <v>1</v>
      </c>
      <c r="FZ1217" s="101" t="str">
        <f t="shared" si="576"/>
        <v>金币</v>
      </c>
      <c r="GA1217" s="139">
        <f>IF($FY1217&gt;0,IF(INDEX($EM$6:$EM$77,$FT1217)&gt;=GA$3,ROUND(INDEX(EO$6:EO$77,$FT1217)*INDEX(卡牌消耗!$B$8:$F$8,FV1217)/5,0)*5,""),"")</f>
        <v>260</v>
      </c>
      <c r="GB1217" s="101" t="str">
        <f t="shared" si="577"/>
        <v>专属强化石1</v>
      </c>
      <c r="GC1217" s="101">
        <f t="shared" si="578"/>
        <v>3</v>
      </c>
      <c r="GD1217" s="101" t="str">
        <f t="shared" si="579"/>
        <v>专属强化石2</v>
      </c>
      <c r="GE1217" s="101">
        <f t="shared" si="580"/>
        <v>1</v>
      </c>
      <c r="GF1217" s="101">
        <f t="shared" si="585"/>
        <v>0.39</v>
      </c>
      <c r="GG1217" s="101">
        <f t="shared" si="586"/>
        <v>1</v>
      </c>
      <c r="GH1217" s="101">
        <f t="shared" si="587"/>
        <v>4</v>
      </c>
      <c r="GI1217" s="101">
        <f t="shared" si="588"/>
        <v>0</v>
      </c>
      <c r="GJ1217" s="101">
        <f t="shared" si="589"/>
        <v>1</v>
      </c>
      <c r="GK1217" s="101">
        <f t="shared" si="590"/>
        <v>1</v>
      </c>
      <c r="GL1217" s="101">
        <f t="shared" si="591"/>
        <v>0.19270000000000001</v>
      </c>
      <c r="GM1217" s="101">
        <f t="shared" si="592"/>
        <v>1</v>
      </c>
      <c r="GN1217" s="101">
        <f t="shared" si="593"/>
        <v>2</v>
      </c>
      <c r="GO1217" s="101">
        <f t="shared" si="594"/>
        <v>0.77070000000000005</v>
      </c>
      <c r="GP1217" s="101">
        <f t="shared" si="595"/>
        <v>1</v>
      </c>
      <c r="GQ1217" s="101">
        <f t="shared" si="596"/>
        <v>4</v>
      </c>
    </row>
    <row r="1218" spans="175:199" ht="16.5" x14ac:dyDescent="0.2">
      <c r="FS1218" s="101">
        <v>1213</v>
      </c>
      <c r="FT1218" s="101">
        <f t="shared" si="581"/>
        <v>11</v>
      </c>
      <c r="FU1218" s="101">
        <f t="shared" si="574"/>
        <v>16</v>
      </c>
      <c r="FV1218" s="14">
        <f t="shared" si="575"/>
        <v>3</v>
      </c>
      <c r="FW1218" s="101" t="str">
        <f t="shared" si="582"/>
        <v>烈风螳螂专属武器-魂珠-2 2级</v>
      </c>
      <c r="FX1218" s="101">
        <f t="shared" si="583"/>
        <v>2</v>
      </c>
      <c r="FY1218" s="101">
        <f t="shared" si="584"/>
        <v>2</v>
      </c>
      <c r="FZ1218" s="101" t="str">
        <f t="shared" si="576"/>
        <v>金币</v>
      </c>
      <c r="GA1218" s="139">
        <f>IF($FY1218&gt;0,IF(INDEX($EM$6:$EM$77,$FT1218)&gt;=GA$3,ROUND(INDEX(EO$6:EO$77,$FT1218)*INDEX(卡牌消耗!$B$8:$F$8,FV1218)/5,0)*5,""),"")</f>
        <v>195</v>
      </c>
      <c r="GB1218" s="101" t="str">
        <f t="shared" si="577"/>
        <v>专属强化石1</v>
      </c>
      <c r="GC1218" s="101">
        <f t="shared" si="578"/>
        <v>3</v>
      </c>
      <c r="GD1218" s="101" t="str">
        <f t="shared" si="579"/>
        <v>专属强化石2</v>
      </c>
      <c r="GE1218" s="101">
        <f t="shared" si="580"/>
        <v>1</v>
      </c>
      <c r="GF1218" s="101">
        <f t="shared" si="585"/>
        <v>0.19</v>
      </c>
      <c r="GG1218" s="101">
        <f t="shared" si="586"/>
        <v>1</v>
      </c>
      <c r="GH1218" s="101">
        <f t="shared" si="587"/>
        <v>8</v>
      </c>
      <c r="GI1218" s="101">
        <f t="shared" si="588"/>
        <v>0</v>
      </c>
      <c r="GJ1218" s="101">
        <f t="shared" si="589"/>
        <v>1</v>
      </c>
      <c r="GK1218" s="101">
        <f t="shared" si="590"/>
        <v>2</v>
      </c>
      <c r="GL1218" s="101">
        <f t="shared" si="591"/>
        <v>9.6299999999999997E-2</v>
      </c>
      <c r="GM1218" s="101">
        <f t="shared" si="592"/>
        <v>1</v>
      </c>
      <c r="GN1218" s="101">
        <f t="shared" si="593"/>
        <v>4</v>
      </c>
      <c r="GO1218" s="101">
        <f t="shared" si="594"/>
        <v>0.38529999999999998</v>
      </c>
      <c r="GP1218" s="101">
        <f t="shared" si="595"/>
        <v>1</v>
      </c>
      <c r="GQ1218" s="101">
        <f t="shared" si="596"/>
        <v>8</v>
      </c>
    </row>
    <row r="1219" spans="175:199" ht="16.5" x14ac:dyDescent="0.2">
      <c r="FS1219" s="101">
        <v>1214</v>
      </c>
      <c r="FT1219" s="101">
        <f t="shared" si="581"/>
        <v>12</v>
      </c>
      <c r="FU1219" s="101">
        <f t="shared" si="574"/>
        <v>16</v>
      </c>
      <c r="FV1219" s="14">
        <f t="shared" si="575"/>
        <v>3</v>
      </c>
      <c r="FW1219" s="101" t="str">
        <f t="shared" si="582"/>
        <v>烈风螳螂专属武器-魂珠-2 3级</v>
      </c>
      <c r="FX1219" s="101">
        <f t="shared" si="583"/>
        <v>2</v>
      </c>
      <c r="FY1219" s="101">
        <f t="shared" si="584"/>
        <v>3</v>
      </c>
      <c r="FZ1219" s="101" t="str">
        <f t="shared" si="576"/>
        <v>金币</v>
      </c>
      <c r="GA1219" s="139">
        <f>IF($FY1219&gt;0,IF(INDEX($EM$6:$EM$77,$FT1219)&gt;=GA$3,ROUND(INDEX(EO$6:EO$77,$FT1219)*INDEX(卡牌消耗!$B$8:$F$8,FV1219)/5,0)*5,""),"")</f>
        <v>435</v>
      </c>
      <c r="GB1219" s="101" t="str">
        <f t="shared" si="577"/>
        <v>专属强化石1</v>
      </c>
      <c r="GC1219" s="101">
        <f t="shared" si="578"/>
        <v>6</v>
      </c>
      <c r="GD1219" s="101" t="str">
        <f t="shared" si="579"/>
        <v>专属强化石2</v>
      </c>
      <c r="GE1219" s="101">
        <f t="shared" si="580"/>
        <v>2</v>
      </c>
      <c r="GF1219" s="101">
        <f t="shared" si="585"/>
        <v>0.26</v>
      </c>
      <c r="GG1219" s="101">
        <f t="shared" si="586"/>
        <v>1</v>
      </c>
      <c r="GH1219" s="101">
        <f t="shared" si="587"/>
        <v>6</v>
      </c>
      <c r="GI1219" s="101">
        <f t="shared" si="588"/>
        <v>0</v>
      </c>
      <c r="GJ1219" s="101">
        <f t="shared" si="589"/>
        <v>1</v>
      </c>
      <c r="GK1219" s="101">
        <f t="shared" si="590"/>
        <v>1</v>
      </c>
      <c r="GL1219" s="101">
        <f t="shared" si="591"/>
        <v>0.12839999999999999</v>
      </c>
      <c r="GM1219" s="101">
        <f t="shared" si="592"/>
        <v>1</v>
      </c>
      <c r="GN1219" s="101">
        <f t="shared" si="593"/>
        <v>3</v>
      </c>
      <c r="GO1219" s="101">
        <f t="shared" si="594"/>
        <v>0.51380000000000003</v>
      </c>
      <c r="GP1219" s="101">
        <f t="shared" si="595"/>
        <v>1</v>
      </c>
      <c r="GQ1219" s="101">
        <f t="shared" si="596"/>
        <v>6</v>
      </c>
    </row>
    <row r="1220" spans="175:199" ht="16.5" x14ac:dyDescent="0.2">
      <c r="FS1220" s="101">
        <v>1215</v>
      </c>
      <c r="FT1220" s="101">
        <f t="shared" si="581"/>
        <v>13</v>
      </c>
      <c r="FU1220" s="101">
        <f t="shared" si="574"/>
        <v>16</v>
      </c>
      <c r="FV1220" s="14">
        <f t="shared" si="575"/>
        <v>3</v>
      </c>
      <c r="FW1220" s="101" t="str">
        <f t="shared" si="582"/>
        <v>烈风螳螂专属武器-魂珠-2 4级</v>
      </c>
      <c r="FX1220" s="101">
        <f t="shared" si="583"/>
        <v>2</v>
      </c>
      <c r="FY1220" s="101">
        <f t="shared" si="584"/>
        <v>4</v>
      </c>
      <c r="FZ1220" s="101" t="str">
        <f t="shared" si="576"/>
        <v>金币</v>
      </c>
      <c r="GA1220" s="139">
        <f>IF($FY1220&gt;0,IF(INDEX($EM$6:$EM$77,$FT1220)&gt;=GA$3,ROUND(INDEX(EO$6:EO$77,$FT1220)*INDEX(卡牌消耗!$B$8:$F$8,FV1220)/5,0)*5,""),"")</f>
        <v>420</v>
      </c>
      <c r="GB1220" s="101" t="str">
        <f t="shared" si="577"/>
        <v>专属强化石1</v>
      </c>
      <c r="GC1220" s="101">
        <f t="shared" si="578"/>
        <v>6</v>
      </c>
      <c r="GD1220" s="101" t="str">
        <f t="shared" si="579"/>
        <v>专属强化石2</v>
      </c>
      <c r="GE1220" s="101">
        <f t="shared" si="580"/>
        <v>2</v>
      </c>
      <c r="GF1220" s="101">
        <f t="shared" si="585"/>
        <v>0.15</v>
      </c>
      <c r="GG1220" s="101">
        <f t="shared" si="586"/>
        <v>1</v>
      </c>
      <c r="GH1220" s="101">
        <f t="shared" si="587"/>
        <v>10</v>
      </c>
      <c r="GI1220" s="101">
        <f t="shared" si="588"/>
        <v>0</v>
      </c>
      <c r="GJ1220" s="101">
        <f t="shared" si="589"/>
        <v>1</v>
      </c>
      <c r="GK1220" s="101">
        <f t="shared" si="590"/>
        <v>2</v>
      </c>
      <c r="GL1220" s="101">
        <f t="shared" si="591"/>
        <v>7.7100000000000002E-2</v>
      </c>
      <c r="GM1220" s="101">
        <f t="shared" si="592"/>
        <v>1</v>
      </c>
      <c r="GN1220" s="101">
        <f t="shared" si="593"/>
        <v>5</v>
      </c>
      <c r="GO1220" s="101">
        <f t="shared" si="594"/>
        <v>0.30830000000000002</v>
      </c>
      <c r="GP1220" s="101">
        <f t="shared" si="595"/>
        <v>1</v>
      </c>
      <c r="GQ1220" s="101">
        <f t="shared" si="596"/>
        <v>10</v>
      </c>
    </row>
    <row r="1221" spans="175:199" ht="16.5" x14ac:dyDescent="0.2">
      <c r="FS1221" s="101">
        <v>1216</v>
      </c>
      <c r="FT1221" s="101">
        <f t="shared" si="581"/>
        <v>14</v>
      </c>
      <c r="FU1221" s="101">
        <f t="shared" si="574"/>
        <v>16</v>
      </c>
      <c r="FV1221" s="14">
        <f t="shared" si="575"/>
        <v>3</v>
      </c>
      <c r="FW1221" s="101" t="str">
        <f t="shared" si="582"/>
        <v>烈风螳螂专属武器-魂珠-2 5级</v>
      </c>
      <c r="FX1221" s="101">
        <f t="shared" si="583"/>
        <v>2</v>
      </c>
      <c r="FY1221" s="101">
        <f t="shared" si="584"/>
        <v>5</v>
      </c>
      <c r="FZ1221" s="101" t="str">
        <f t="shared" si="576"/>
        <v>金币</v>
      </c>
      <c r="GA1221" s="139">
        <f>IF($FY1221&gt;0,IF(INDEX($EM$6:$EM$77,$FT1221)&gt;=GA$3,ROUND(INDEX(EO$6:EO$77,$FT1221)*INDEX(卡牌消耗!$B$8:$F$8,FV1221)/5,0)*5,""),"")</f>
        <v>635</v>
      </c>
      <c r="GB1221" s="101" t="str">
        <f t="shared" si="577"/>
        <v>专属强化石1</v>
      </c>
      <c r="GC1221" s="101">
        <f t="shared" si="578"/>
        <v>9</v>
      </c>
      <c r="GD1221" s="101" t="str">
        <f t="shared" si="579"/>
        <v>专属强化石2</v>
      </c>
      <c r="GE1221" s="101">
        <f t="shared" si="580"/>
        <v>3</v>
      </c>
      <c r="GF1221" s="101">
        <f t="shared" si="585"/>
        <v>0.14000000000000001</v>
      </c>
      <c r="GG1221" s="101">
        <f t="shared" si="586"/>
        <v>1</v>
      </c>
      <c r="GH1221" s="101">
        <f t="shared" si="587"/>
        <v>10</v>
      </c>
      <c r="GI1221" s="101">
        <f t="shared" si="588"/>
        <v>0</v>
      </c>
      <c r="GJ1221" s="101">
        <f t="shared" si="589"/>
        <v>1</v>
      </c>
      <c r="GK1221" s="101">
        <f t="shared" si="590"/>
        <v>2</v>
      </c>
      <c r="GL1221" s="101">
        <f t="shared" si="591"/>
        <v>7.22E-2</v>
      </c>
      <c r="GM1221" s="101">
        <f t="shared" si="592"/>
        <v>1</v>
      </c>
      <c r="GN1221" s="101">
        <f t="shared" si="593"/>
        <v>5</v>
      </c>
      <c r="GO1221" s="101">
        <f t="shared" si="594"/>
        <v>0.28899999999999998</v>
      </c>
      <c r="GP1221" s="101">
        <f t="shared" si="595"/>
        <v>1</v>
      </c>
      <c r="GQ1221" s="101">
        <f t="shared" si="596"/>
        <v>10</v>
      </c>
    </row>
    <row r="1222" spans="175:199" ht="16.5" x14ac:dyDescent="0.2">
      <c r="FS1222" s="101">
        <v>1217</v>
      </c>
      <c r="FT1222" s="101">
        <f t="shared" si="581"/>
        <v>15</v>
      </c>
      <c r="FU1222" s="101">
        <f t="shared" si="574"/>
        <v>16</v>
      </c>
      <c r="FV1222" s="14">
        <f t="shared" si="575"/>
        <v>3</v>
      </c>
      <c r="FW1222" s="101" t="str">
        <f t="shared" si="582"/>
        <v>烈风螳螂专属武器-魂珠-2 6级</v>
      </c>
      <c r="FX1222" s="101">
        <f t="shared" si="583"/>
        <v>2</v>
      </c>
      <c r="FY1222" s="101">
        <f t="shared" si="584"/>
        <v>6</v>
      </c>
      <c r="FZ1222" s="101" t="str">
        <f t="shared" si="576"/>
        <v>金币</v>
      </c>
      <c r="GA1222" s="139">
        <f>IF($FY1222&gt;0,IF(INDEX($EM$6:$EM$77,$FT1222)&gt;=GA$3,ROUND(INDEX(EO$6:EO$77,$FT1222)*INDEX(卡牌消耗!$B$8:$F$8,FV1222)/5,0)*5,""),"")</f>
        <v>845</v>
      </c>
      <c r="GB1222" s="101" t="str">
        <f t="shared" si="577"/>
        <v>专属强化石1</v>
      </c>
      <c r="GC1222" s="101">
        <f t="shared" si="578"/>
        <v>12</v>
      </c>
      <c r="GD1222" s="101" t="str">
        <f t="shared" si="579"/>
        <v>专属强化石2</v>
      </c>
      <c r="GE1222" s="101">
        <f t="shared" si="580"/>
        <v>4</v>
      </c>
      <c r="GF1222" s="101">
        <f t="shared" si="585"/>
        <v>0.12</v>
      </c>
      <c r="GG1222" s="101">
        <f t="shared" si="586"/>
        <v>1</v>
      </c>
      <c r="GH1222" s="101">
        <f t="shared" si="587"/>
        <v>13</v>
      </c>
      <c r="GI1222" s="101">
        <f t="shared" si="588"/>
        <v>0</v>
      </c>
      <c r="GJ1222" s="101">
        <f t="shared" si="589"/>
        <v>1</v>
      </c>
      <c r="GK1222" s="101">
        <f t="shared" si="590"/>
        <v>3</v>
      </c>
      <c r="GL1222" s="101">
        <f t="shared" si="591"/>
        <v>5.9299999999999999E-2</v>
      </c>
      <c r="GM1222" s="101">
        <f t="shared" si="592"/>
        <v>1</v>
      </c>
      <c r="GN1222" s="101">
        <f t="shared" si="593"/>
        <v>6</v>
      </c>
      <c r="GO1222" s="101">
        <f t="shared" si="594"/>
        <v>0.23710000000000001</v>
      </c>
      <c r="GP1222" s="101">
        <f t="shared" si="595"/>
        <v>1</v>
      </c>
      <c r="GQ1222" s="101">
        <f t="shared" si="596"/>
        <v>13</v>
      </c>
    </row>
    <row r="1223" spans="175:199" ht="16.5" x14ac:dyDescent="0.2">
      <c r="FS1223" s="101">
        <v>1218</v>
      </c>
      <c r="FT1223" s="101">
        <f t="shared" si="581"/>
        <v>16</v>
      </c>
      <c r="FU1223" s="101">
        <f t="shared" ref="FU1223:FU1286" si="597">INT((FS1223-1)/80+1)</f>
        <v>16</v>
      </c>
      <c r="FV1223" s="14">
        <f t="shared" ref="FV1223:FV1286" si="598">INDEX($FO$6:$FO$26,FU1223)</f>
        <v>3</v>
      </c>
      <c r="FW1223" s="101" t="str">
        <f t="shared" si="582"/>
        <v>烈风螳螂专属武器-魂珠-2 7级</v>
      </c>
      <c r="FX1223" s="101">
        <f t="shared" si="583"/>
        <v>2</v>
      </c>
      <c r="FY1223" s="101">
        <f t="shared" si="584"/>
        <v>7</v>
      </c>
      <c r="FZ1223" s="101" t="str">
        <f t="shared" ref="FZ1223:FZ1286" si="599">IF($FY1223&gt;0,IF(INDEX($EM$6:$EM$77,$FT1223)&gt;=FZ$3,INDEX(EN$6:EN$77,$FT1223),""),"")</f>
        <v>金币</v>
      </c>
      <c r="GA1223" s="139">
        <f>IF($FY1223&gt;0,IF(INDEX($EM$6:$EM$77,$FT1223)&gt;=GA$3,ROUND(INDEX(EO$6:EO$77,$FT1223)*INDEX(卡牌消耗!$B$8:$F$8,FV1223)/5,0)*5,""),"")</f>
        <v>1060</v>
      </c>
      <c r="GB1223" s="101" t="str">
        <f t="shared" ref="GB1223:GB1286" si="600">IF($FY1223&gt;0,IF(INDEX($EM$6:$EM$77,$FT1223)&gt;=GB$3,INDEX(EP$6:EP$77,$FT1223),""),"")</f>
        <v>专属强化石1</v>
      </c>
      <c r="GC1223" s="101">
        <f t="shared" ref="GC1223:GC1286" si="601">IF($FY1223&gt;0,IF(INDEX($EM$6:$EM$77,$FT1223)&gt;=GC$3,INDEX(EQ$6:EQ$77,$FT1223),""),"")</f>
        <v>15</v>
      </c>
      <c r="GD1223" s="101" t="str">
        <f t="shared" ref="GD1223:GD1286" si="602">IF($FY1223&gt;0,IF(INDEX($EM$6:$EM$77,$FT1223)&gt;=GD$3,INDEX(ER$6:ER$77,$FT1223),""),"")</f>
        <v>专属强化石2</v>
      </c>
      <c r="GE1223" s="101">
        <f t="shared" ref="GE1223:GE1286" si="603">IF($FY1223&gt;0,IF(INDEX($EM$6:$EM$77,$FT1223)&gt;=GE$3,INDEX(ES$6:ES$77,$FT1223),""),"")</f>
        <v>5</v>
      </c>
      <c r="GF1223" s="101">
        <f t="shared" si="585"/>
        <v>0.09</v>
      </c>
      <c r="GG1223" s="101">
        <f t="shared" si="586"/>
        <v>1</v>
      </c>
      <c r="GH1223" s="101">
        <f t="shared" si="587"/>
        <v>16</v>
      </c>
      <c r="GI1223" s="101">
        <f t="shared" si="588"/>
        <v>0</v>
      </c>
      <c r="GJ1223" s="101">
        <f t="shared" si="589"/>
        <v>1</v>
      </c>
      <c r="GK1223" s="101">
        <f t="shared" si="590"/>
        <v>4</v>
      </c>
      <c r="GL1223" s="101">
        <f t="shared" si="591"/>
        <v>4.5900000000000003E-2</v>
      </c>
      <c r="GM1223" s="101">
        <f t="shared" si="592"/>
        <v>1</v>
      </c>
      <c r="GN1223" s="101">
        <f t="shared" si="593"/>
        <v>8</v>
      </c>
      <c r="GO1223" s="101">
        <f t="shared" si="594"/>
        <v>0.1835</v>
      </c>
      <c r="GP1223" s="101">
        <f t="shared" si="595"/>
        <v>1</v>
      </c>
      <c r="GQ1223" s="101">
        <f t="shared" si="596"/>
        <v>16</v>
      </c>
    </row>
    <row r="1224" spans="175:199" ht="16.5" x14ac:dyDescent="0.2">
      <c r="FS1224" s="101">
        <v>1219</v>
      </c>
      <c r="FT1224" s="101">
        <f t="shared" si="581"/>
        <v>17</v>
      </c>
      <c r="FU1224" s="101">
        <f t="shared" si="597"/>
        <v>16</v>
      </c>
      <c r="FV1224" s="14">
        <f t="shared" si="598"/>
        <v>3</v>
      </c>
      <c r="FW1224" s="101" t="str">
        <f t="shared" si="582"/>
        <v>烈风螳螂专属武器-魂珠-2 8级</v>
      </c>
      <c r="FX1224" s="101">
        <f t="shared" si="583"/>
        <v>2</v>
      </c>
      <c r="FY1224" s="101">
        <f t="shared" si="584"/>
        <v>8</v>
      </c>
      <c r="FZ1224" s="101" t="str">
        <f t="shared" si="599"/>
        <v>金币</v>
      </c>
      <c r="GA1224" s="139">
        <f>IF($FY1224&gt;0,IF(INDEX($EM$6:$EM$77,$FT1224)&gt;=GA$3,ROUND(INDEX(EO$6:EO$77,$FT1224)*INDEX(卡牌消耗!$B$8:$F$8,FV1224)/5,0)*5,""),"")</f>
        <v>1270</v>
      </c>
      <c r="GB1224" s="101" t="str">
        <f t="shared" si="600"/>
        <v>专属强化石1</v>
      </c>
      <c r="GC1224" s="101">
        <f t="shared" si="601"/>
        <v>18</v>
      </c>
      <c r="GD1224" s="101" t="str">
        <f t="shared" si="602"/>
        <v>专属强化石2</v>
      </c>
      <c r="GE1224" s="101">
        <f t="shared" si="603"/>
        <v>6</v>
      </c>
      <c r="GF1224" s="101">
        <f t="shared" si="585"/>
        <v>7.0000000000000007E-2</v>
      </c>
      <c r="GG1224" s="101">
        <f t="shared" si="586"/>
        <v>1</v>
      </c>
      <c r="GH1224" s="101">
        <f t="shared" si="587"/>
        <v>22</v>
      </c>
      <c r="GI1224" s="101">
        <f t="shared" si="588"/>
        <v>0</v>
      </c>
      <c r="GJ1224" s="101">
        <f t="shared" si="589"/>
        <v>1</v>
      </c>
      <c r="GK1224" s="101">
        <f t="shared" si="590"/>
        <v>5</v>
      </c>
      <c r="GL1224" s="101">
        <f t="shared" si="591"/>
        <v>3.4000000000000002E-2</v>
      </c>
      <c r="GM1224" s="101">
        <f t="shared" si="592"/>
        <v>1</v>
      </c>
      <c r="GN1224" s="101">
        <f t="shared" si="593"/>
        <v>10</v>
      </c>
      <c r="GO1224" s="101">
        <f t="shared" si="594"/>
        <v>0.13600000000000001</v>
      </c>
      <c r="GP1224" s="101">
        <f t="shared" si="595"/>
        <v>1</v>
      </c>
      <c r="GQ1224" s="101">
        <f t="shared" si="596"/>
        <v>22</v>
      </c>
    </row>
    <row r="1225" spans="175:199" ht="16.5" x14ac:dyDescent="0.2">
      <c r="FS1225" s="101">
        <v>1220</v>
      </c>
      <c r="FT1225" s="101">
        <f t="shared" si="581"/>
        <v>18</v>
      </c>
      <c r="FU1225" s="101">
        <f t="shared" si="597"/>
        <v>16</v>
      </c>
      <c r="FV1225" s="14">
        <f t="shared" si="598"/>
        <v>3</v>
      </c>
      <c r="FW1225" s="101" t="str">
        <f t="shared" si="582"/>
        <v>烈风螳螂专属武器-魂珠-2 9级</v>
      </c>
      <c r="FX1225" s="101">
        <f t="shared" si="583"/>
        <v>2</v>
      </c>
      <c r="FY1225" s="101">
        <f t="shared" si="584"/>
        <v>9</v>
      </c>
      <c r="FZ1225" s="101" t="str">
        <f t="shared" si="599"/>
        <v>金币</v>
      </c>
      <c r="GA1225" s="139">
        <f>IF($FY1225&gt;0,IF(INDEX($EM$6:$EM$77,$FT1225)&gt;=GA$3,ROUND(INDEX(EO$6:EO$77,$FT1225)*INDEX(卡牌消耗!$B$8:$F$8,FV1225)/5,0)*5,""),"")</f>
        <v>1695</v>
      </c>
      <c r="GB1225" s="101" t="str">
        <f t="shared" si="600"/>
        <v>专属强化石1</v>
      </c>
      <c r="GC1225" s="101">
        <f t="shared" si="601"/>
        <v>24</v>
      </c>
      <c r="GD1225" s="101" t="str">
        <f t="shared" si="602"/>
        <v>专属强化石2</v>
      </c>
      <c r="GE1225" s="101">
        <f t="shared" si="603"/>
        <v>8</v>
      </c>
      <c r="GF1225" s="101">
        <f t="shared" si="585"/>
        <v>0.06</v>
      </c>
      <c r="GG1225" s="101">
        <f t="shared" si="586"/>
        <v>1</v>
      </c>
      <c r="GH1225" s="101">
        <f t="shared" si="587"/>
        <v>27</v>
      </c>
      <c r="GI1225" s="101">
        <f t="shared" si="588"/>
        <v>0</v>
      </c>
      <c r="GJ1225" s="101">
        <f t="shared" si="589"/>
        <v>1</v>
      </c>
      <c r="GK1225" s="101">
        <f t="shared" si="590"/>
        <v>6</v>
      </c>
      <c r="GL1225" s="101">
        <f t="shared" si="591"/>
        <v>2.8000000000000001E-2</v>
      </c>
      <c r="GM1225" s="101">
        <f t="shared" si="592"/>
        <v>1</v>
      </c>
      <c r="GN1225" s="101">
        <f t="shared" si="593"/>
        <v>12</v>
      </c>
      <c r="GO1225" s="101">
        <f t="shared" si="594"/>
        <v>0.11210000000000001</v>
      </c>
      <c r="GP1225" s="101">
        <f t="shared" si="595"/>
        <v>1</v>
      </c>
      <c r="GQ1225" s="101">
        <f t="shared" si="596"/>
        <v>27</v>
      </c>
    </row>
    <row r="1226" spans="175:199" ht="16.5" x14ac:dyDescent="0.2">
      <c r="FS1226" s="101">
        <v>1221</v>
      </c>
      <c r="FT1226" s="101">
        <f t="shared" si="581"/>
        <v>0</v>
      </c>
      <c r="FU1226" s="101">
        <f t="shared" si="597"/>
        <v>16</v>
      </c>
      <c r="FV1226" s="14">
        <f t="shared" si="598"/>
        <v>3</v>
      </c>
      <c r="FW1226" s="101" t="str">
        <f t="shared" si="582"/>
        <v>烈风螳螂专属武器-魂珠-3 0级</v>
      </c>
      <c r="FX1226" s="101">
        <f t="shared" si="583"/>
        <v>3</v>
      </c>
      <c r="FY1226" s="101">
        <f t="shared" si="584"/>
        <v>0</v>
      </c>
      <c r="FZ1226" s="101" t="str">
        <f t="shared" si="599"/>
        <v/>
      </c>
      <c r="GA1226" s="139" t="str">
        <f>IF($FY1226&gt;0,IF(INDEX($EM$6:$EM$77,$FT1226)&gt;=GA$3,ROUND(INDEX(EO$6:EO$77,$FT1226)*INDEX(卡牌消耗!$B$8:$F$8,FV1226)/5,0)*5,""),"")</f>
        <v/>
      </c>
      <c r="GB1226" s="101" t="str">
        <f t="shared" si="600"/>
        <v/>
      </c>
      <c r="GC1226" s="101" t="str">
        <f t="shared" si="601"/>
        <v/>
      </c>
      <c r="GD1226" s="101" t="str">
        <f t="shared" si="602"/>
        <v/>
      </c>
      <c r="GE1226" s="101" t="str">
        <f t="shared" si="603"/>
        <v/>
      </c>
      <c r="GF1226" s="101" t="str">
        <f t="shared" si="585"/>
        <v/>
      </c>
      <c r="GG1226" s="101" t="str">
        <f t="shared" si="586"/>
        <v/>
      </c>
      <c r="GH1226" s="101" t="str">
        <f t="shared" si="587"/>
        <v/>
      </c>
      <c r="GI1226" s="101" t="str">
        <f t="shared" si="588"/>
        <v/>
      </c>
      <c r="GJ1226" s="101" t="str">
        <f t="shared" si="589"/>
        <v/>
      </c>
      <c r="GK1226" s="101" t="str">
        <f t="shared" si="590"/>
        <v/>
      </c>
      <c r="GL1226" s="101" t="str">
        <f t="shared" si="591"/>
        <v/>
      </c>
      <c r="GM1226" s="101" t="str">
        <f t="shared" si="592"/>
        <v/>
      </c>
      <c r="GN1226" s="101" t="str">
        <f t="shared" si="593"/>
        <v/>
      </c>
      <c r="GO1226" s="101" t="str">
        <f t="shared" si="594"/>
        <v/>
      </c>
      <c r="GP1226" s="101" t="str">
        <f t="shared" si="595"/>
        <v/>
      </c>
      <c r="GQ1226" s="101" t="str">
        <f t="shared" si="596"/>
        <v/>
      </c>
    </row>
    <row r="1227" spans="175:199" ht="16.5" x14ac:dyDescent="0.2">
      <c r="FS1227" s="101">
        <v>1222</v>
      </c>
      <c r="FT1227" s="101">
        <f t="shared" si="581"/>
        <v>19</v>
      </c>
      <c r="FU1227" s="101">
        <f t="shared" si="597"/>
        <v>16</v>
      </c>
      <c r="FV1227" s="14">
        <f t="shared" si="598"/>
        <v>3</v>
      </c>
      <c r="FW1227" s="101" t="str">
        <f t="shared" si="582"/>
        <v>烈风螳螂专属武器-魂珠-3 1级</v>
      </c>
      <c r="FX1227" s="101">
        <f t="shared" si="583"/>
        <v>3</v>
      </c>
      <c r="FY1227" s="101">
        <f t="shared" si="584"/>
        <v>1</v>
      </c>
      <c r="FZ1227" s="101" t="str">
        <f t="shared" si="599"/>
        <v>金币</v>
      </c>
      <c r="GA1227" s="139">
        <f>IF($FY1227&gt;0,IF(INDEX($EM$6:$EM$77,$FT1227)&gt;=GA$3,ROUND(INDEX(EO$6:EO$77,$FT1227)*INDEX(卡牌消耗!$B$8:$F$8,FV1227)/5,0)*5,""),"")</f>
        <v>545</v>
      </c>
      <c r="GB1227" s="101" t="str">
        <f t="shared" si="600"/>
        <v>专属强化石1</v>
      </c>
      <c r="GC1227" s="101">
        <f t="shared" si="601"/>
        <v>4</v>
      </c>
      <c r="GD1227" s="101" t="str">
        <f t="shared" si="602"/>
        <v>专属强化石2</v>
      </c>
      <c r="GE1227" s="101">
        <f t="shared" si="603"/>
        <v>2</v>
      </c>
      <c r="GF1227" s="101">
        <f t="shared" si="585"/>
        <v>0.31</v>
      </c>
      <c r="GG1227" s="101">
        <f t="shared" si="586"/>
        <v>1</v>
      </c>
      <c r="GH1227" s="101">
        <f t="shared" si="587"/>
        <v>5</v>
      </c>
      <c r="GI1227" s="101">
        <f t="shared" si="588"/>
        <v>0</v>
      </c>
      <c r="GJ1227" s="101">
        <f t="shared" si="589"/>
        <v>1</v>
      </c>
      <c r="GK1227" s="101">
        <f t="shared" si="590"/>
        <v>1</v>
      </c>
      <c r="GL1227" s="101">
        <f t="shared" si="591"/>
        <v>0.15409999999999999</v>
      </c>
      <c r="GM1227" s="101">
        <f t="shared" si="592"/>
        <v>1</v>
      </c>
      <c r="GN1227" s="101">
        <f t="shared" si="593"/>
        <v>2</v>
      </c>
      <c r="GO1227" s="101">
        <f t="shared" si="594"/>
        <v>0.61650000000000005</v>
      </c>
      <c r="GP1227" s="101">
        <f t="shared" si="595"/>
        <v>1</v>
      </c>
      <c r="GQ1227" s="101">
        <f t="shared" si="596"/>
        <v>5</v>
      </c>
    </row>
    <row r="1228" spans="175:199" ht="16.5" x14ac:dyDescent="0.2">
      <c r="FS1228" s="101">
        <v>1223</v>
      </c>
      <c r="FT1228" s="101">
        <f t="shared" si="581"/>
        <v>20</v>
      </c>
      <c r="FU1228" s="101">
        <f t="shared" si="597"/>
        <v>16</v>
      </c>
      <c r="FV1228" s="14">
        <f t="shared" si="598"/>
        <v>3</v>
      </c>
      <c r="FW1228" s="101" t="str">
        <f t="shared" si="582"/>
        <v>烈风螳螂专属武器-魂珠-3 2级</v>
      </c>
      <c r="FX1228" s="101">
        <f t="shared" si="583"/>
        <v>3</v>
      </c>
      <c r="FY1228" s="101">
        <f t="shared" si="584"/>
        <v>2</v>
      </c>
      <c r="FZ1228" s="101" t="str">
        <f t="shared" si="599"/>
        <v>金币</v>
      </c>
      <c r="GA1228" s="139">
        <f>IF($FY1228&gt;0,IF(INDEX($EM$6:$EM$77,$FT1228)&gt;=GA$3,ROUND(INDEX(EO$6:EO$77,$FT1228)*INDEX(卡牌消耗!$B$8:$F$8,FV1228)/5,0)*5,""),"")</f>
        <v>410</v>
      </c>
      <c r="GB1228" s="101" t="str">
        <f t="shared" si="600"/>
        <v>专属强化石1</v>
      </c>
      <c r="GC1228" s="101">
        <f t="shared" si="601"/>
        <v>4</v>
      </c>
      <c r="GD1228" s="101" t="str">
        <f t="shared" si="602"/>
        <v>专属强化石2</v>
      </c>
      <c r="GE1228" s="101">
        <f t="shared" si="603"/>
        <v>2</v>
      </c>
      <c r="GF1228" s="101">
        <f t="shared" si="585"/>
        <v>0.15</v>
      </c>
      <c r="GG1228" s="101">
        <f t="shared" si="586"/>
        <v>1</v>
      </c>
      <c r="GH1228" s="101">
        <f t="shared" si="587"/>
        <v>10</v>
      </c>
      <c r="GI1228" s="101">
        <f t="shared" si="588"/>
        <v>0</v>
      </c>
      <c r="GJ1228" s="101">
        <f t="shared" si="589"/>
        <v>1</v>
      </c>
      <c r="GK1228" s="101">
        <f t="shared" si="590"/>
        <v>2</v>
      </c>
      <c r="GL1228" s="101">
        <f t="shared" si="591"/>
        <v>7.7100000000000002E-2</v>
      </c>
      <c r="GM1228" s="101">
        <f t="shared" si="592"/>
        <v>1</v>
      </c>
      <c r="GN1228" s="101">
        <f t="shared" si="593"/>
        <v>5</v>
      </c>
      <c r="GO1228" s="101">
        <f t="shared" si="594"/>
        <v>0.30830000000000002</v>
      </c>
      <c r="GP1228" s="101">
        <f t="shared" si="595"/>
        <v>1</v>
      </c>
      <c r="GQ1228" s="101">
        <f t="shared" si="596"/>
        <v>10</v>
      </c>
    </row>
    <row r="1229" spans="175:199" ht="16.5" x14ac:dyDescent="0.2">
      <c r="FS1229" s="101">
        <v>1224</v>
      </c>
      <c r="FT1229" s="101">
        <f t="shared" si="581"/>
        <v>21</v>
      </c>
      <c r="FU1229" s="101">
        <f t="shared" si="597"/>
        <v>16</v>
      </c>
      <c r="FV1229" s="14">
        <f t="shared" si="598"/>
        <v>3</v>
      </c>
      <c r="FW1229" s="101" t="str">
        <f t="shared" si="582"/>
        <v>烈风螳螂专属武器-魂珠-3 3级</v>
      </c>
      <c r="FX1229" s="101">
        <f t="shared" si="583"/>
        <v>3</v>
      </c>
      <c r="FY1229" s="101">
        <f t="shared" si="584"/>
        <v>3</v>
      </c>
      <c r="FZ1229" s="101" t="str">
        <f t="shared" si="599"/>
        <v>金币</v>
      </c>
      <c r="GA1229" s="139">
        <f>IF($FY1229&gt;0,IF(INDEX($EM$6:$EM$77,$FT1229)&gt;=GA$3,ROUND(INDEX(EO$6:EO$77,$FT1229)*INDEX(卡牌消耗!$B$8:$F$8,FV1229)/5,0)*5,""),"")</f>
        <v>680</v>
      </c>
      <c r="GB1229" s="101" t="str">
        <f t="shared" si="600"/>
        <v>专属强化石1</v>
      </c>
      <c r="GC1229" s="101">
        <f t="shared" si="601"/>
        <v>6</v>
      </c>
      <c r="GD1229" s="101" t="str">
        <f t="shared" si="602"/>
        <v>专属强化石2</v>
      </c>
      <c r="GE1229" s="101">
        <f t="shared" si="603"/>
        <v>3</v>
      </c>
      <c r="GF1229" s="101">
        <f t="shared" si="585"/>
        <v>0.15</v>
      </c>
      <c r="GG1229" s="101">
        <f t="shared" si="586"/>
        <v>1</v>
      </c>
      <c r="GH1229" s="101">
        <f t="shared" si="587"/>
        <v>10</v>
      </c>
      <c r="GI1229" s="101">
        <f t="shared" si="588"/>
        <v>0</v>
      </c>
      <c r="GJ1229" s="101">
        <f t="shared" si="589"/>
        <v>1</v>
      </c>
      <c r="GK1229" s="101">
        <f t="shared" si="590"/>
        <v>2</v>
      </c>
      <c r="GL1229" s="101">
        <f t="shared" si="591"/>
        <v>7.7100000000000002E-2</v>
      </c>
      <c r="GM1229" s="101">
        <f t="shared" si="592"/>
        <v>1</v>
      </c>
      <c r="GN1229" s="101">
        <f t="shared" si="593"/>
        <v>5</v>
      </c>
      <c r="GO1229" s="101">
        <f t="shared" si="594"/>
        <v>0.30830000000000002</v>
      </c>
      <c r="GP1229" s="101">
        <f t="shared" si="595"/>
        <v>1</v>
      </c>
      <c r="GQ1229" s="101">
        <f t="shared" si="596"/>
        <v>10</v>
      </c>
    </row>
    <row r="1230" spans="175:199" ht="16.5" x14ac:dyDescent="0.2">
      <c r="FS1230" s="101">
        <v>1225</v>
      </c>
      <c r="FT1230" s="101">
        <f t="shared" si="581"/>
        <v>22</v>
      </c>
      <c r="FU1230" s="101">
        <f t="shared" si="597"/>
        <v>16</v>
      </c>
      <c r="FV1230" s="14">
        <f t="shared" si="598"/>
        <v>3</v>
      </c>
      <c r="FW1230" s="101" t="str">
        <f t="shared" si="582"/>
        <v>烈风螳螂专属武器-魂珠-3 4级</v>
      </c>
      <c r="FX1230" s="101">
        <f t="shared" si="583"/>
        <v>3</v>
      </c>
      <c r="FY1230" s="101">
        <f t="shared" si="584"/>
        <v>4</v>
      </c>
      <c r="FZ1230" s="101" t="str">
        <f t="shared" si="599"/>
        <v>金币</v>
      </c>
      <c r="GA1230" s="139">
        <f>IF($FY1230&gt;0,IF(INDEX($EM$6:$EM$77,$FT1230)&gt;=GA$3,ROUND(INDEX(EO$6:EO$77,$FT1230)*INDEX(卡牌消耗!$B$8:$F$8,FV1230)/5,0)*5,""),"")</f>
        <v>655</v>
      </c>
      <c r="GB1230" s="101" t="str">
        <f t="shared" si="600"/>
        <v>专属强化石1</v>
      </c>
      <c r="GC1230" s="101">
        <f t="shared" si="601"/>
        <v>6</v>
      </c>
      <c r="GD1230" s="101" t="str">
        <f t="shared" si="602"/>
        <v>专属强化石2</v>
      </c>
      <c r="GE1230" s="101">
        <f t="shared" si="603"/>
        <v>3</v>
      </c>
      <c r="GF1230" s="101">
        <f t="shared" si="585"/>
        <v>0.09</v>
      </c>
      <c r="GG1230" s="101">
        <f t="shared" si="586"/>
        <v>1</v>
      </c>
      <c r="GH1230" s="101">
        <f t="shared" si="587"/>
        <v>16</v>
      </c>
      <c r="GI1230" s="101">
        <f t="shared" si="588"/>
        <v>0</v>
      </c>
      <c r="GJ1230" s="101">
        <f t="shared" si="589"/>
        <v>1</v>
      </c>
      <c r="GK1230" s="101">
        <f t="shared" si="590"/>
        <v>4</v>
      </c>
      <c r="GL1230" s="101">
        <f t="shared" si="591"/>
        <v>4.6199999999999998E-2</v>
      </c>
      <c r="GM1230" s="101">
        <f t="shared" si="592"/>
        <v>1</v>
      </c>
      <c r="GN1230" s="101">
        <f t="shared" si="593"/>
        <v>8</v>
      </c>
      <c r="GO1230" s="101">
        <f t="shared" si="594"/>
        <v>0.185</v>
      </c>
      <c r="GP1230" s="101">
        <f t="shared" si="595"/>
        <v>1</v>
      </c>
      <c r="GQ1230" s="101">
        <f t="shared" si="596"/>
        <v>16</v>
      </c>
    </row>
    <row r="1231" spans="175:199" ht="16.5" x14ac:dyDescent="0.2">
      <c r="FS1231" s="101">
        <v>1226</v>
      </c>
      <c r="FT1231" s="101">
        <f t="shared" si="581"/>
        <v>23</v>
      </c>
      <c r="FU1231" s="101">
        <f t="shared" si="597"/>
        <v>16</v>
      </c>
      <c r="FV1231" s="14">
        <f t="shared" si="598"/>
        <v>3</v>
      </c>
      <c r="FW1231" s="101" t="str">
        <f t="shared" si="582"/>
        <v>烈风螳螂专属武器-魂珠-3 5级</v>
      </c>
      <c r="FX1231" s="101">
        <f t="shared" si="583"/>
        <v>3</v>
      </c>
      <c r="FY1231" s="101">
        <f t="shared" si="584"/>
        <v>5</v>
      </c>
      <c r="FZ1231" s="101" t="str">
        <f t="shared" si="599"/>
        <v>金币</v>
      </c>
      <c r="GA1231" s="139">
        <f>IF($FY1231&gt;0,IF(INDEX($EM$6:$EM$77,$FT1231)&gt;=GA$3,ROUND(INDEX(EO$6:EO$77,$FT1231)*INDEX(卡牌消耗!$B$8:$F$8,FV1231)/5,0)*5,""),"")</f>
        <v>885</v>
      </c>
      <c r="GB1231" s="101" t="str">
        <f t="shared" si="600"/>
        <v>专属强化石1</v>
      </c>
      <c r="GC1231" s="101">
        <f t="shared" si="601"/>
        <v>8</v>
      </c>
      <c r="GD1231" s="101" t="str">
        <f t="shared" si="602"/>
        <v>专属强化石2</v>
      </c>
      <c r="GE1231" s="101">
        <f t="shared" si="603"/>
        <v>4</v>
      </c>
      <c r="GF1231" s="101">
        <f t="shared" si="585"/>
        <v>0.08</v>
      </c>
      <c r="GG1231" s="101">
        <f t="shared" si="586"/>
        <v>1</v>
      </c>
      <c r="GH1231" s="101">
        <f t="shared" si="587"/>
        <v>19</v>
      </c>
      <c r="GI1231" s="101">
        <f t="shared" si="588"/>
        <v>0</v>
      </c>
      <c r="GJ1231" s="101">
        <f t="shared" si="589"/>
        <v>1</v>
      </c>
      <c r="GK1231" s="101">
        <f t="shared" si="590"/>
        <v>5</v>
      </c>
      <c r="GL1231" s="101">
        <f t="shared" si="591"/>
        <v>3.85E-2</v>
      </c>
      <c r="GM1231" s="101">
        <f t="shared" si="592"/>
        <v>1</v>
      </c>
      <c r="GN1231" s="101">
        <f t="shared" si="593"/>
        <v>9</v>
      </c>
      <c r="GO1231" s="101">
        <f t="shared" si="594"/>
        <v>0.15409999999999999</v>
      </c>
      <c r="GP1231" s="101">
        <f t="shared" si="595"/>
        <v>1</v>
      </c>
      <c r="GQ1231" s="101">
        <f t="shared" si="596"/>
        <v>19</v>
      </c>
    </row>
    <row r="1232" spans="175:199" ht="16.5" x14ac:dyDescent="0.2">
      <c r="FS1232" s="101">
        <v>1227</v>
      </c>
      <c r="FT1232" s="101">
        <f t="shared" si="581"/>
        <v>24</v>
      </c>
      <c r="FU1232" s="101">
        <f t="shared" si="597"/>
        <v>16</v>
      </c>
      <c r="FV1232" s="14">
        <f t="shared" si="598"/>
        <v>3</v>
      </c>
      <c r="FW1232" s="101" t="str">
        <f t="shared" si="582"/>
        <v>烈风螳螂专属武器-魂珠-3 6级</v>
      </c>
      <c r="FX1232" s="101">
        <f t="shared" si="583"/>
        <v>3</v>
      </c>
      <c r="FY1232" s="101">
        <f t="shared" si="584"/>
        <v>6</v>
      </c>
      <c r="FZ1232" s="101" t="str">
        <f t="shared" si="599"/>
        <v>金币</v>
      </c>
      <c r="GA1232" s="139">
        <f>IF($FY1232&gt;0,IF(INDEX($EM$6:$EM$77,$FT1232)&gt;=GA$3,ROUND(INDEX(EO$6:EO$77,$FT1232)*INDEX(卡牌消耗!$B$8:$F$8,FV1232)/5,0)*5,""),"")</f>
        <v>1100</v>
      </c>
      <c r="GB1232" s="101" t="str">
        <f t="shared" si="600"/>
        <v>专属强化石1</v>
      </c>
      <c r="GC1232" s="101">
        <f t="shared" si="601"/>
        <v>10</v>
      </c>
      <c r="GD1232" s="101" t="str">
        <f t="shared" si="602"/>
        <v>专属强化石2</v>
      </c>
      <c r="GE1232" s="101">
        <f t="shared" si="603"/>
        <v>5</v>
      </c>
      <c r="GF1232" s="101">
        <f t="shared" si="585"/>
        <v>0.06</v>
      </c>
      <c r="GG1232" s="101">
        <f t="shared" si="586"/>
        <v>1</v>
      </c>
      <c r="GH1232" s="101">
        <f t="shared" si="587"/>
        <v>25</v>
      </c>
      <c r="GI1232" s="101">
        <f t="shared" si="588"/>
        <v>0</v>
      </c>
      <c r="GJ1232" s="101">
        <f t="shared" si="589"/>
        <v>1</v>
      </c>
      <c r="GK1232" s="101">
        <f t="shared" si="590"/>
        <v>6</v>
      </c>
      <c r="GL1232" s="101">
        <f t="shared" si="591"/>
        <v>2.9600000000000001E-2</v>
      </c>
      <c r="GM1232" s="101">
        <f t="shared" si="592"/>
        <v>1</v>
      </c>
      <c r="GN1232" s="101">
        <f t="shared" si="593"/>
        <v>12</v>
      </c>
      <c r="GO1232" s="101">
        <f t="shared" si="594"/>
        <v>0.1186</v>
      </c>
      <c r="GP1232" s="101">
        <f t="shared" si="595"/>
        <v>1</v>
      </c>
      <c r="GQ1232" s="101">
        <f t="shared" si="596"/>
        <v>25</v>
      </c>
    </row>
    <row r="1233" spans="175:199" ht="16.5" x14ac:dyDescent="0.2">
      <c r="FS1233" s="101">
        <v>1228</v>
      </c>
      <c r="FT1233" s="101">
        <f t="shared" si="581"/>
        <v>25</v>
      </c>
      <c r="FU1233" s="101">
        <f t="shared" si="597"/>
        <v>16</v>
      </c>
      <c r="FV1233" s="14">
        <f t="shared" si="598"/>
        <v>3</v>
      </c>
      <c r="FW1233" s="101" t="str">
        <f t="shared" si="582"/>
        <v>烈风螳螂专属武器-魂珠-3 7级</v>
      </c>
      <c r="FX1233" s="101">
        <f t="shared" si="583"/>
        <v>3</v>
      </c>
      <c r="FY1233" s="101">
        <f t="shared" si="584"/>
        <v>7</v>
      </c>
      <c r="FZ1233" s="101" t="str">
        <f t="shared" si="599"/>
        <v>金币</v>
      </c>
      <c r="GA1233" s="139">
        <f>IF($FY1233&gt;0,IF(INDEX($EM$6:$EM$77,$FT1233)&gt;=GA$3,ROUND(INDEX(EO$6:EO$77,$FT1233)*INDEX(卡牌消耗!$B$8:$F$8,FV1233)/5,0)*5,""),"")</f>
        <v>1325</v>
      </c>
      <c r="GB1233" s="101" t="str">
        <f t="shared" si="600"/>
        <v>专属强化石1</v>
      </c>
      <c r="GC1233" s="101">
        <f t="shared" si="601"/>
        <v>12</v>
      </c>
      <c r="GD1233" s="101" t="str">
        <f t="shared" si="602"/>
        <v>专属强化石2</v>
      </c>
      <c r="GE1233" s="101">
        <f t="shared" si="603"/>
        <v>6</v>
      </c>
      <c r="GF1233" s="101">
        <f t="shared" si="585"/>
        <v>0.04</v>
      </c>
      <c r="GG1233" s="101">
        <f t="shared" si="586"/>
        <v>1</v>
      </c>
      <c r="GH1233" s="101">
        <f t="shared" si="587"/>
        <v>34</v>
      </c>
      <c r="GI1233" s="101">
        <f t="shared" si="588"/>
        <v>0</v>
      </c>
      <c r="GJ1233" s="101">
        <f t="shared" si="589"/>
        <v>1</v>
      </c>
      <c r="GK1233" s="101">
        <f t="shared" si="590"/>
        <v>8</v>
      </c>
      <c r="GL1233" s="101">
        <f t="shared" si="591"/>
        <v>2.1999999999999999E-2</v>
      </c>
      <c r="GM1233" s="101">
        <f t="shared" si="592"/>
        <v>1</v>
      </c>
      <c r="GN1233" s="101">
        <f t="shared" si="593"/>
        <v>16</v>
      </c>
      <c r="GO1233" s="101">
        <f t="shared" si="594"/>
        <v>8.8099999999999998E-2</v>
      </c>
      <c r="GP1233" s="101">
        <f t="shared" si="595"/>
        <v>1</v>
      </c>
      <c r="GQ1233" s="101">
        <f t="shared" si="596"/>
        <v>34</v>
      </c>
    </row>
    <row r="1234" spans="175:199" ht="16.5" x14ac:dyDescent="0.2">
      <c r="FS1234" s="101">
        <v>1229</v>
      </c>
      <c r="FT1234" s="101">
        <f t="shared" si="581"/>
        <v>26</v>
      </c>
      <c r="FU1234" s="101">
        <f t="shared" si="597"/>
        <v>16</v>
      </c>
      <c r="FV1234" s="14">
        <f t="shared" si="598"/>
        <v>3</v>
      </c>
      <c r="FW1234" s="101" t="str">
        <f t="shared" si="582"/>
        <v>烈风螳螂专属武器-魂珠-3 8级</v>
      </c>
      <c r="FX1234" s="101">
        <f t="shared" si="583"/>
        <v>3</v>
      </c>
      <c r="FY1234" s="101">
        <f t="shared" si="584"/>
        <v>8</v>
      </c>
      <c r="FZ1234" s="101" t="str">
        <f t="shared" si="599"/>
        <v>金币</v>
      </c>
      <c r="GA1234" s="139">
        <f>IF($FY1234&gt;0,IF(INDEX($EM$6:$EM$77,$FT1234)&gt;=GA$3,ROUND(INDEX(EO$6:EO$77,$FT1234)*INDEX(卡牌消耗!$B$8:$F$8,FV1234)/5,0)*5,""),"")</f>
        <v>1765</v>
      </c>
      <c r="GB1234" s="101" t="str">
        <f t="shared" si="600"/>
        <v>专属强化石1</v>
      </c>
      <c r="GC1234" s="101">
        <f t="shared" si="601"/>
        <v>16</v>
      </c>
      <c r="GD1234" s="101" t="str">
        <f t="shared" si="602"/>
        <v>专属强化石2</v>
      </c>
      <c r="GE1234" s="101">
        <f t="shared" si="603"/>
        <v>8</v>
      </c>
      <c r="GF1234" s="101">
        <f t="shared" si="585"/>
        <v>0.04</v>
      </c>
      <c r="GG1234" s="101">
        <f t="shared" si="586"/>
        <v>1</v>
      </c>
      <c r="GH1234" s="101">
        <f t="shared" si="587"/>
        <v>41</v>
      </c>
      <c r="GI1234" s="101">
        <f t="shared" si="588"/>
        <v>0</v>
      </c>
      <c r="GJ1234" s="101">
        <f t="shared" si="589"/>
        <v>1</v>
      </c>
      <c r="GK1234" s="101">
        <f t="shared" si="590"/>
        <v>10</v>
      </c>
      <c r="GL1234" s="101">
        <f t="shared" si="591"/>
        <v>1.8100000000000002E-2</v>
      </c>
      <c r="GM1234" s="101">
        <f t="shared" si="592"/>
        <v>1</v>
      </c>
      <c r="GN1234" s="101">
        <f t="shared" si="593"/>
        <v>19</v>
      </c>
      <c r="GO1234" s="101">
        <f t="shared" si="594"/>
        <v>7.2499999999999995E-2</v>
      </c>
      <c r="GP1234" s="101">
        <f t="shared" si="595"/>
        <v>1</v>
      </c>
      <c r="GQ1234" s="101">
        <f t="shared" si="596"/>
        <v>41</v>
      </c>
    </row>
    <row r="1235" spans="175:199" ht="16.5" x14ac:dyDescent="0.2">
      <c r="FS1235" s="101">
        <v>1230</v>
      </c>
      <c r="FT1235" s="101">
        <f t="shared" si="581"/>
        <v>27</v>
      </c>
      <c r="FU1235" s="101">
        <f t="shared" si="597"/>
        <v>16</v>
      </c>
      <c r="FV1235" s="14">
        <f t="shared" si="598"/>
        <v>3</v>
      </c>
      <c r="FW1235" s="101" t="str">
        <f t="shared" si="582"/>
        <v>烈风螳螂专属武器-魂珠-3 9级</v>
      </c>
      <c r="FX1235" s="101">
        <f t="shared" si="583"/>
        <v>3</v>
      </c>
      <c r="FY1235" s="101">
        <f t="shared" si="584"/>
        <v>9</v>
      </c>
      <c r="FZ1235" s="101" t="str">
        <f t="shared" si="599"/>
        <v>金币</v>
      </c>
      <c r="GA1235" s="139">
        <f>IF($FY1235&gt;0,IF(INDEX($EM$6:$EM$77,$FT1235)&gt;=GA$3,ROUND(INDEX(EO$6:EO$77,$FT1235)*INDEX(卡牌消耗!$B$8:$F$8,FV1235)/5,0)*5,""),"")</f>
        <v>2205</v>
      </c>
      <c r="GB1235" s="101" t="str">
        <f t="shared" si="600"/>
        <v>专属强化石1</v>
      </c>
      <c r="GC1235" s="101">
        <f t="shared" si="601"/>
        <v>20</v>
      </c>
      <c r="GD1235" s="101" t="str">
        <f t="shared" si="602"/>
        <v>专属强化石2</v>
      </c>
      <c r="GE1235" s="101">
        <f t="shared" si="603"/>
        <v>10</v>
      </c>
      <c r="GF1235" s="101">
        <f t="shared" si="585"/>
        <v>0.03</v>
      </c>
      <c r="GG1235" s="101">
        <f t="shared" si="586"/>
        <v>1</v>
      </c>
      <c r="GH1235" s="101">
        <f t="shared" si="587"/>
        <v>54</v>
      </c>
      <c r="GI1235" s="101">
        <f t="shared" si="588"/>
        <v>0</v>
      </c>
      <c r="GJ1235" s="101">
        <f t="shared" si="589"/>
        <v>1</v>
      </c>
      <c r="GK1235" s="101">
        <f t="shared" si="590"/>
        <v>12</v>
      </c>
      <c r="GL1235" s="101">
        <f t="shared" si="591"/>
        <v>1.4E-2</v>
      </c>
      <c r="GM1235" s="101">
        <f t="shared" si="592"/>
        <v>1</v>
      </c>
      <c r="GN1235" s="101">
        <f t="shared" si="593"/>
        <v>25</v>
      </c>
      <c r="GO1235" s="101">
        <f t="shared" si="594"/>
        <v>5.6000000000000001E-2</v>
      </c>
      <c r="GP1235" s="101">
        <f t="shared" si="595"/>
        <v>1</v>
      </c>
      <c r="GQ1235" s="101">
        <f t="shared" si="596"/>
        <v>54</v>
      </c>
    </row>
    <row r="1236" spans="175:199" ht="16.5" x14ac:dyDescent="0.2">
      <c r="FS1236" s="101">
        <v>1231</v>
      </c>
      <c r="FT1236" s="101">
        <f t="shared" si="581"/>
        <v>0</v>
      </c>
      <c r="FU1236" s="101">
        <f t="shared" si="597"/>
        <v>16</v>
      </c>
      <c r="FV1236" s="14">
        <f t="shared" si="598"/>
        <v>3</v>
      </c>
      <c r="FW1236" s="101" t="str">
        <f t="shared" si="582"/>
        <v>烈风螳螂专属武器-魂珠-4 0级</v>
      </c>
      <c r="FX1236" s="101">
        <f t="shared" si="583"/>
        <v>4</v>
      </c>
      <c r="FY1236" s="101">
        <f t="shared" si="584"/>
        <v>0</v>
      </c>
      <c r="FZ1236" s="101" t="str">
        <f t="shared" si="599"/>
        <v/>
      </c>
      <c r="GA1236" s="139" t="str">
        <f>IF($FY1236&gt;0,IF(INDEX($EM$6:$EM$77,$FT1236)&gt;=GA$3,ROUND(INDEX(EO$6:EO$77,$FT1236)*INDEX(卡牌消耗!$B$8:$F$8,FV1236)/5,0)*5,""),"")</f>
        <v/>
      </c>
      <c r="GB1236" s="101" t="str">
        <f t="shared" si="600"/>
        <v/>
      </c>
      <c r="GC1236" s="101" t="str">
        <f t="shared" si="601"/>
        <v/>
      </c>
      <c r="GD1236" s="101" t="str">
        <f t="shared" si="602"/>
        <v/>
      </c>
      <c r="GE1236" s="101" t="str">
        <f t="shared" si="603"/>
        <v/>
      </c>
      <c r="GF1236" s="101" t="str">
        <f t="shared" si="585"/>
        <v/>
      </c>
      <c r="GG1236" s="101" t="str">
        <f t="shared" si="586"/>
        <v/>
      </c>
      <c r="GH1236" s="101" t="str">
        <f t="shared" si="587"/>
        <v/>
      </c>
      <c r="GI1236" s="101" t="str">
        <f t="shared" si="588"/>
        <v/>
      </c>
      <c r="GJ1236" s="101" t="str">
        <f t="shared" si="589"/>
        <v/>
      </c>
      <c r="GK1236" s="101" t="str">
        <f t="shared" si="590"/>
        <v/>
      </c>
      <c r="GL1236" s="101" t="str">
        <f t="shared" si="591"/>
        <v/>
      </c>
      <c r="GM1236" s="101" t="str">
        <f t="shared" si="592"/>
        <v/>
      </c>
      <c r="GN1236" s="101" t="str">
        <f t="shared" si="593"/>
        <v/>
      </c>
      <c r="GO1236" s="101" t="str">
        <f t="shared" si="594"/>
        <v/>
      </c>
      <c r="GP1236" s="101" t="str">
        <f t="shared" si="595"/>
        <v/>
      </c>
      <c r="GQ1236" s="101" t="str">
        <f t="shared" si="596"/>
        <v/>
      </c>
    </row>
    <row r="1237" spans="175:199" ht="16.5" x14ac:dyDescent="0.2">
      <c r="FS1237" s="101">
        <v>1232</v>
      </c>
      <c r="FT1237" s="101">
        <f t="shared" si="581"/>
        <v>28</v>
      </c>
      <c r="FU1237" s="101">
        <f t="shared" si="597"/>
        <v>16</v>
      </c>
      <c r="FV1237" s="14">
        <f t="shared" si="598"/>
        <v>3</v>
      </c>
      <c r="FW1237" s="101" t="str">
        <f t="shared" si="582"/>
        <v>烈风螳螂专属武器-魂珠-4 1级</v>
      </c>
      <c r="FX1237" s="101">
        <f t="shared" si="583"/>
        <v>4</v>
      </c>
      <c r="FY1237" s="101">
        <f t="shared" si="584"/>
        <v>1</v>
      </c>
      <c r="FZ1237" s="101" t="str">
        <f t="shared" si="599"/>
        <v>金币</v>
      </c>
      <c r="GA1237" s="139">
        <f>IF($FY1237&gt;0,IF(INDEX($EM$6:$EM$77,$FT1237)&gt;=GA$3,ROUND(INDEX(EO$6:EO$77,$FT1237)*INDEX(卡牌消耗!$B$8:$F$8,FV1237)/5,0)*5,""),"")</f>
        <v>730</v>
      </c>
      <c r="GB1237" s="101" t="str">
        <f t="shared" si="600"/>
        <v>专属强化石2</v>
      </c>
      <c r="GC1237" s="101">
        <f t="shared" si="601"/>
        <v>3</v>
      </c>
      <c r="GD1237" s="101" t="str">
        <f t="shared" si="602"/>
        <v>专属强化石3</v>
      </c>
      <c r="GE1237" s="101">
        <f t="shared" si="603"/>
        <v>1</v>
      </c>
      <c r="GF1237" s="101">
        <f t="shared" si="585"/>
        <v>0.2</v>
      </c>
      <c r="GG1237" s="101">
        <f t="shared" si="586"/>
        <v>1</v>
      </c>
      <c r="GH1237" s="101">
        <f t="shared" si="587"/>
        <v>7</v>
      </c>
      <c r="GI1237" s="101">
        <f t="shared" si="588"/>
        <v>0</v>
      </c>
      <c r="GJ1237" s="101">
        <f t="shared" si="589"/>
        <v>1</v>
      </c>
      <c r="GK1237" s="101">
        <f t="shared" si="590"/>
        <v>2</v>
      </c>
      <c r="GL1237" s="101">
        <f t="shared" si="591"/>
        <v>0.1012</v>
      </c>
      <c r="GM1237" s="101">
        <f t="shared" si="592"/>
        <v>1</v>
      </c>
      <c r="GN1237" s="101">
        <f t="shared" si="593"/>
        <v>3</v>
      </c>
      <c r="GO1237" s="101">
        <f t="shared" si="594"/>
        <v>0.40479999999999999</v>
      </c>
      <c r="GP1237" s="101">
        <f t="shared" si="595"/>
        <v>1</v>
      </c>
      <c r="GQ1237" s="101">
        <f t="shared" si="596"/>
        <v>7</v>
      </c>
    </row>
    <row r="1238" spans="175:199" ht="16.5" x14ac:dyDescent="0.2">
      <c r="FS1238" s="101">
        <v>1233</v>
      </c>
      <c r="FT1238" s="101">
        <f t="shared" ref="FT1238:FT1301" si="604">IF(FY1238&gt;0,(FX1238-1)*9+FY1238,0)</f>
        <v>29</v>
      </c>
      <c r="FU1238" s="101">
        <f t="shared" si="597"/>
        <v>16</v>
      </c>
      <c r="FV1238" s="14">
        <f t="shared" si="598"/>
        <v>3</v>
      </c>
      <c r="FW1238" s="101" t="str">
        <f t="shared" ref="FW1238:FW1301" si="605">INDEX($FN$6:$FN$26,FU1238)&amp;"专属武器-魂珠-"&amp;FX1238&amp;" "&amp;FY1238&amp;"级"</f>
        <v>烈风螳螂专属武器-魂珠-4 2级</v>
      </c>
      <c r="FX1238" s="101">
        <f t="shared" ref="FX1238:FX1301" si="606">INT((FS1238-(FU1238-1)*80-1)/10)+1</f>
        <v>4</v>
      </c>
      <c r="FY1238" s="101">
        <f t="shared" ref="FY1238:FY1301" si="607">FS1238-(FU1238-1)*80-(FX1238-1)*10-1</f>
        <v>2</v>
      </c>
      <c r="FZ1238" s="101" t="str">
        <f t="shared" si="599"/>
        <v>金币</v>
      </c>
      <c r="GA1238" s="139">
        <f>IF($FY1238&gt;0,IF(INDEX($EM$6:$EM$77,$FT1238)&gt;=GA$3,ROUND(INDEX(EO$6:EO$77,$FT1238)*INDEX(卡牌消耗!$B$8:$F$8,FV1238)/5,0)*5,""),"")</f>
        <v>545</v>
      </c>
      <c r="GB1238" s="101" t="str">
        <f t="shared" si="600"/>
        <v>专属强化石2</v>
      </c>
      <c r="GC1238" s="101">
        <f t="shared" si="601"/>
        <v>3</v>
      </c>
      <c r="GD1238" s="101" t="str">
        <f t="shared" si="602"/>
        <v>专属强化石3</v>
      </c>
      <c r="GE1238" s="101">
        <f t="shared" si="603"/>
        <v>1</v>
      </c>
      <c r="GF1238" s="101">
        <f t="shared" ref="GF1238:GF1301" si="608">IF($FY1238&gt;0,INDEX(ET$6:ET$77,$FT1238),"")</f>
        <v>0.1</v>
      </c>
      <c r="GG1238" s="101">
        <f t="shared" ref="GG1238:GG1301" si="609">IF($FY1238&gt;0,INDEX(EU$6:EU$77,$FT1238),"")</f>
        <v>1</v>
      </c>
      <c r="GH1238" s="101">
        <f t="shared" ref="GH1238:GH1301" si="610">IF($FY1238&gt;0,INDEX(EV$6:EV$77,$FT1238),"")</f>
        <v>15</v>
      </c>
      <c r="GI1238" s="101">
        <f t="shared" ref="GI1238:GI1301" si="611">IF($FY1238&gt;0,INDEX(FA$6:FA$77,$FT1238),"")</f>
        <v>0</v>
      </c>
      <c r="GJ1238" s="101">
        <f t="shared" ref="GJ1238:GJ1301" si="612">IF($FY1238&gt;0,INDEX(FB$6:FB$77,$FT1238),"")</f>
        <v>1</v>
      </c>
      <c r="GK1238" s="101">
        <f t="shared" ref="GK1238:GK1301" si="613">IF($FY1238&gt;0,INDEX(FC$6:FC$77,$FT1238),"")</f>
        <v>3</v>
      </c>
      <c r="GL1238" s="101">
        <f t="shared" ref="GL1238:GL1301" si="614">IF($FY1238&gt;0,INDEX(FD$6:FD$77,$FT1238),"")</f>
        <v>5.0599999999999999E-2</v>
      </c>
      <c r="GM1238" s="101">
        <f t="shared" ref="GM1238:GM1301" si="615">IF($FY1238&gt;0,INDEX(FE$6:FE$77,$FT1238),"")</f>
        <v>1</v>
      </c>
      <c r="GN1238" s="101">
        <f t="shared" ref="GN1238:GN1301" si="616">IF($FY1238&gt;0,INDEX(FF$6:FF$77,$FT1238),"")</f>
        <v>7</v>
      </c>
      <c r="GO1238" s="101">
        <f t="shared" ref="GO1238:GO1301" si="617">IF($FY1238&gt;0,INDEX(FG$6:FG$77,$FT1238),"")</f>
        <v>0.2024</v>
      </c>
      <c r="GP1238" s="101">
        <f t="shared" ref="GP1238:GP1301" si="618">IF($FY1238&gt;0,INDEX(FH$6:FH$77,$FT1238),"")</f>
        <v>1</v>
      </c>
      <c r="GQ1238" s="101">
        <f t="shared" ref="GQ1238:GQ1301" si="619">IF($FY1238&gt;0,INDEX(FI$6:FI$77,$FT1238),"")</f>
        <v>15</v>
      </c>
    </row>
    <row r="1239" spans="175:199" ht="16.5" x14ac:dyDescent="0.2">
      <c r="FS1239" s="101">
        <v>1234</v>
      </c>
      <c r="FT1239" s="101">
        <f t="shared" si="604"/>
        <v>30</v>
      </c>
      <c r="FU1239" s="101">
        <f t="shared" si="597"/>
        <v>16</v>
      </c>
      <c r="FV1239" s="14">
        <f t="shared" si="598"/>
        <v>3</v>
      </c>
      <c r="FW1239" s="101" t="str">
        <f t="shared" si="605"/>
        <v>烈风螳螂专属武器-魂珠-4 3级</v>
      </c>
      <c r="FX1239" s="101">
        <f t="shared" si="606"/>
        <v>4</v>
      </c>
      <c r="FY1239" s="101">
        <f t="shared" si="607"/>
        <v>3</v>
      </c>
      <c r="FZ1239" s="101" t="str">
        <f t="shared" si="599"/>
        <v>金币</v>
      </c>
      <c r="GA1239" s="139">
        <f>IF($FY1239&gt;0,IF(INDEX($EM$6:$EM$77,$FT1239)&gt;=GA$3,ROUND(INDEX(EO$6:EO$77,$FT1239)*INDEX(卡牌消耗!$B$8:$F$8,FV1239)/5,0)*5,""),"")</f>
        <v>610</v>
      </c>
      <c r="GB1239" s="101" t="str">
        <f t="shared" si="600"/>
        <v>专属强化石2</v>
      </c>
      <c r="GC1239" s="101">
        <f t="shared" si="601"/>
        <v>3</v>
      </c>
      <c r="GD1239" s="101" t="str">
        <f t="shared" si="602"/>
        <v>专属强化石3</v>
      </c>
      <c r="GE1239" s="101">
        <f t="shared" si="603"/>
        <v>1</v>
      </c>
      <c r="GF1239" s="101">
        <f t="shared" si="608"/>
        <v>7.0000000000000007E-2</v>
      </c>
      <c r="GG1239" s="101">
        <f t="shared" si="609"/>
        <v>1</v>
      </c>
      <c r="GH1239" s="101">
        <f t="shared" si="610"/>
        <v>22</v>
      </c>
      <c r="GI1239" s="101">
        <f t="shared" si="611"/>
        <v>0</v>
      </c>
      <c r="GJ1239" s="101">
        <f t="shared" si="612"/>
        <v>1</v>
      </c>
      <c r="GK1239" s="101">
        <f t="shared" si="613"/>
        <v>5</v>
      </c>
      <c r="GL1239" s="101">
        <f t="shared" si="614"/>
        <v>3.3700000000000001E-2</v>
      </c>
      <c r="GM1239" s="101">
        <f t="shared" si="615"/>
        <v>1</v>
      </c>
      <c r="GN1239" s="101">
        <f t="shared" si="616"/>
        <v>10</v>
      </c>
      <c r="GO1239" s="101">
        <f t="shared" si="617"/>
        <v>0.13489999999999999</v>
      </c>
      <c r="GP1239" s="101">
        <f t="shared" si="618"/>
        <v>1</v>
      </c>
      <c r="GQ1239" s="101">
        <f t="shared" si="619"/>
        <v>22</v>
      </c>
    </row>
    <row r="1240" spans="175:199" ht="16.5" x14ac:dyDescent="0.2">
      <c r="FS1240" s="101">
        <v>1235</v>
      </c>
      <c r="FT1240" s="101">
        <f t="shared" si="604"/>
        <v>31</v>
      </c>
      <c r="FU1240" s="101">
        <f t="shared" si="597"/>
        <v>16</v>
      </c>
      <c r="FV1240" s="14">
        <f t="shared" si="598"/>
        <v>3</v>
      </c>
      <c r="FW1240" s="101" t="str">
        <f t="shared" si="605"/>
        <v>烈风螳螂专属武器-魂珠-4 4级</v>
      </c>
      <c r="FX1240" s="101">
        <f t="shared" si="606"/>
        <v>4</v>
      </c>
      <c r="FY1240" s="101">
        <f t="shared" si="607"/>
        <v>4</v>
      </c>
      <c r="FZ1240" s="101" t="str">
        <f t="shared" si="599"/>
        <v>金币</v>
      </c>
      <c r="GA1240" s="139">
        <f>IF($FY1240&gt;0,IF(INDEX($EM$6:$EM$77,$FT1240)&gt;=GA$3,ROUND(INDEX(EO$6:EO$77,$FT1240)*INDEX(卡牌消耗!$B$8:$F$8,FV1240)/5,0)*5,""),"")</f>
        <v>1165</v>
      </c>
      <c r="GB1240" s="101" t="str">
        <f t="shared" si="600"/>
        <v>专属强化石2</v>
      </c>
      <c r="GC1240" s="101">
        <f t="shared" si="601"/>
        <v>5</v>
      </c>
      <c r="GD1240" s="101" t="str">
        <f t="shared" si="602"/>
        <v>专属强化石3</v>
      </c>
      <c r="GE1240" s="101">
        <f t="shared" si="603"/>
        <v>2</v>
      </c>
      <c r="GF1240" s="101">
        <f t="shared" si="608"/>
        <v>0.08</v>
      </c>
      <c r="GG1240" s="101">
        <f t="shared" si="609"/>
        <v>1</v>
      </c>
      <c r="GH1240" s="101">
        <f t="shared" si="610"/>
        <v>19</v>
      </c>
      <c r="GI1240" s="101">
        <f t="shared" si="611"/>
        <v>0</v>
      </c>
      <c r="GJ1240" s="101">
        <f t="shared" si="612"/>
        <v>1</v>
      </c>
      <c r="GK1240" s="101">
        <f t="shared" si="613"/>
        <v>4</v>
      </c>
      <c r="GL1240" s="101">
        <f t="shared" si="614"/>
        <v>4.0500000000000001E-2</v>
      </c>
      <c r="GM1240" s="101">
        <f t="shared" si="615"/>
        <v>1</v>
      </c>
      <c r="GN1240" s="101">
        <f t="shared" si="616"/>
        <v>9</v>
      </c>
      <c r="GO1240" s="101">
        <f t="shared" si="617"/>
        <v>0.16189999999999999</v>
      </c>
      <c r="GP1240" s="101">
        <f t="shared" si="618"/>
        <v>1</v>
      </c>
      <c r="GQ1240" s="101">
        <f t="shared" si="619"/>
        <v>19</v>
      </c>
    </row>
    <row r="1241" spans="175:199" ht="16.5" x14ac:dyDescent="0.2">
      <c r="FS1241" s="101">
        <v>1236</v>
      </c>
      <c r="FT1241" s="101">
        <f t="shared" si="604"/>
        <v>32</v>
      </c>
      <c r="FU1241" s="101">
        <f t="shared" si="597"/>
        <v>16</v>
      </c>
      <c r="FV1241" s="14">
        <f t="shared" si="598"/>
        <v>3</v>
      </c>
      <c r="FW1241" s="101" t="str">
        <f t="shared" si="605"/>
        <v>烈风螳螂专属武器-魂珠-4 5级</v>
      </c>
      <c r="FX1241" s="101">
        <f t="shared" si="606"/>
        <v>4</v>
      </c>
      <c r="FY1241" s="101">
        <f t="shared" si="607"/>
        <v>5</v>
      </c>
      <c r="FZ1241" s="101" t="str">
        <f t="shared" si="599"/>
        <v>金币</v>
      </c>
      <c r="GA1241" s="139">
        <f>IF($FY1241&gt;0,IF(INDEX($EM$6:$EM$77,$FT1241)&gt;=GA$3,ROUND(INDEX(EO$6:EO$77,$FT1241)*INDEX(卡牌消耗!$B$8:$F$8,FV1241)/5,0)*5,""),"")</f>
        <v>1185</v>
      </c>
      <c r="GB1241" s="101" t="str">
        <f t="shared" si="600"/>
        <v>专属强化石2</v>
      </c>
      <c r="GC1241" s="101">
        <f t="shared" si="601"/>
        <v>5</v>
      </c>
      <c r="GD1241" s="101" t="str">
        <f t="shared" si="602"/>
        <v>专属强化石3</v>
      </c>
      <c r="GE1241" s="101">
        <f t="shared" si="603"/>
        <v>2</v>
      </c>
      <c r="GF1241" s="101">
        <f t="shared" si="608"/>
        <v>0.05</v>
      </c>
      <c r="GG1241" s="101">
        <f t="shared" si="609"/>
        <v>1</v>
      </c>
      <c r="GH1241" s="101">
        <f t="shared" si="610"/>
        <v>30</v>
      </c>
      <c r="GI1241" s="101">
        <f t="shared" si="611"/>
        <v>0</v>
      </c>
      <c r="GJ1241" s="101">
        <f t="shared" si="612"/>
        <v>1</v>
      </c>
      <c r="GK1241" s="101">
        <f t="shared" si="613"/>
        <v>7</v>
      </c>
      <c r="GL1241" s="101">
        <f t="shared" si="614"/>
        <v>2.53E-2</v>
      </c>
      <c r="GM1241" s="101">
        <f t="shared" si="615"/>
        <v>1</v>
      </c>
      <c r="GN1241" s="101">
        <f t="shared" si="616"/>
        <v>14</v>
      </c>
      <c r="GO1241" s="101">
        <f t="shared" si="617"/>
        <v>0.1012</v>
      </c>
      <c r="GP1241" s="101">
        <f t="shared" si="618"/>
        <v>1</v>
      </c>
      <c r="GQ1241" s="101">
        <f t="shared" si="619"/>
        <v>30</v>
      </c>
    </row>
    <row r="1242" spans="175:199" ht="16.5" x14ac:dyDescent="0.2">
      <c r="FS1242" s="101">
        <v>1237</v>
      </c>
      <c r="FT1242" s="101">
        <f t="shared" si="604"/>
        <v>33</v>
      </c>
      <c r="FU1242" s="101">
        <f t="shared" si="597"/>
        <v>16</v>
      </c>
      <c r="FV1242" s="14">
        <f t="shared" si="598"/>
        <v>3</v>
      </c>
      <c r="FW1242" s="101" t="str">
        <f t="shared" si="605"/>
        <v>烈风螳螂专属武器-魂珠-4 6级</v>
      </c>
      <c r="FX1242" s="101">
        <f t="shared" si="606"/>
        <v>4</v>
      </c>
      <c r="FY1242" s="101">
        <f t="shared" si="607"/>
        <v>6</v>
      </c>
      <c r="FZ1242" s="101" t="str">
        <f t="shared" si="599"/>
        <v>金币</v>
      </c>
      <c r="GA1242" s="139">
        <f>IF($FY1242&gt;0,IF(INDEX($EM$6:$EM$77,$FT1242)&gt;=GA$3,ROUND(INDEX(EO$6:EO$77,$FT1242)*INDEX(卡牌消耗!$B$8:$F$8,FV1242)/5,0)*5,""),"")</f>
        <v>1180</v>
      </c>
      <c r="GB1242" s="101" t="str">
        <f t="shared" si="600"/>
        <v>专属强化石2</v>
      </c>
      <c r="GC1242" s="101">
        <f t="shared" si="601"/>
        <v>5</v>
      </c>
      <c r="GD1242" s="101" t="str">
        <f t="shared" si="602"/>
        <v>专属强化石3</v>
      </c>
      <c r="GE1242" s="101">
        <f t="shared" si="603"/>
        <v>2</v>
      </c>
      <c r="GF1242" s="101">
        <f t="shared" si="608"/>
        <v>0.03</v>
      </c>
      <c r="GG1242" s="101">
        <f t="shared" si="609"/>
        <v>1</v>
      </c>
      <c r="GH1242" s="101">
        <f t="shared" si="610"/>
        <v>48</v>
      </c>
      <c r="GI1242" s="101">
        <f t="shared" si="611"/>
        <v>0</v>
      </c>
      <c r="GJ1242" s="101">
        <f t="shared" si="612"/>
        <v>1</v>
      </c>
      <c r="GK1242" s="101">
        <f t="shared" si="613"/>
        <v>11</v>
      </c>
      <c r="GL1242" s="101">
        <f t="shared" si="614"/>
        <v>1.5599999999999999E-2</v>
      </c>
      <c r="GM1242" s="101">
        <f t="shared" si="615"/>
        <v>1</v>
      </c>
      <c r="GN1242" s="101">
        <f t="shared" si="616"/>
        <v>22</v>
      </c>
      <c r="GO1242" s="101">
        <f t="shared" si="617"/>
        <v>6.2300000000000001E-2</v>
      </c>
      <c r="GP1242" s="101">
        <f t="shared" si="618"/>
        <v>1</v>
      </c>
      <c r="GQ1242" s="101">
        <f t="shared" si="619"/>
        <v>48</v>
      </c>
    </row>
    <row r="1243" spans="175:199" ht="16.5" x14ac:dyDescent="0.2">
      <c r="FS1243" s="101">
        <v>1238</v>
      </c>
      <c r="FT1243" s="101">
        <f t="shared" si="604"/>
        <v>34</v>
      </c>
      <c r="FU1243" s="101">
        <f t="shared" si="597"/>
        <v>16</v>
      </c>
      <c r="FV1243" s="14">
        <f t="shared" si="598"/>
        <v>3</v>
      </c>
      <c r="FW1243" s="101" t="str">
        <f t="shared" si="605"/>
        <v>烈风螳螂专属武器-魂珠-4 7级</v>
      </c>
      <c r="FX1243" s="101">
        <f t="shared" si="606"/>
        <v>4</v>
      </c>
      <c r="FY1243" s="101">
        <f t="shared" si="607"/>
        <v>7</v>
      </c>
      <c r="FZ1243" s="101" t="str">
        <f t="shared" si="599"/>
        <v>金币</v>
      </c>
      <c r="GA1243" s="139">
        <f>IF($FY1243&gt;0,IF(INDEX($EM$6:$EM$77,$FT1243)&gt;=GA$3,ROUND(INDEX(EO$6:EO$77,$FT1243)*INDEX(卡牌消耗!$B$8:$F$8,FV1243)/5,0)*5,""),"")</f>
        <v>1770</v>
      </c>
      <c r="GB1243" s="101" t="str">
        <f t="shared" si="600"/>
        <v>专属强化石2</v>
      </c>
      <c r="GC1243" s="101">
        <f t="shared" si="601"/>
        <v>8</v>
      </c>
      <c r="GD1243" s="101" t="str">
        <f t="shared" si="602"/>
        <v>专属强化石3</v>
      </c>
      <c r="GE1243" s="101">
        <f t="shared" si="603"/>
        <v>3</v>
      </c>
      <c r="GF1243" s="101">
        <f t="shared" si="608"/>
        <v>0.03</v>
      </c>
      <c r="GG1243" s="101">
        <f t="shared" si="609"/>
        <v>1</v>
      </c>
      <c r="GH1243" s="101">
        <f t="shared" si="610"/>
        <v>52</v>
      </c>
      <c r="GI1243" s="101">
        <f t="shared" si="611"/>
        <v>0</v>
      </c>
      <c r="GJ1243" s="101">
        <f t="shared" si="612"/>
        <v>1</v>
      </c>
      <c r="GK1243" s="101">
        <f t="shared" si="613"/>
        <v>12</v>
      </c>
      <c r="GL1243" s="101">
        <f t="shared" si="614"/>
        <v>1.4500000000000001E-2</v>
      </c>
      <c r="GM1243" s="101">
        <f t="shared" si="615"/>
        <v>1</v>
      </c>
      <c r="GN1243" s="101">
        <f t="shared" si="616"/>
        <v>24</v>
      </c>
      <c r="GO1243" s="101">
        <f t="shared" si="617"/>
        <v>5.7799999999999997E-2</v>
      </c>
      <c r="GP1243" s="101">
        <f t="shared" si="618"/>
        <v>1</v>
      </c>
      <c r="GQ1243" s="101">
        <f t="shared" si="619"/>
        <v>52</v>
      </c>
    </row>
    <row r="1244" spans="175:199" ht="16.5" x14ac:dyDescent="0.2">
      <c r="FS1244" s="101">
        <v>1239</v>
      </c>
      <c r="FT1244" s="101">
        <f t="shared" si="604"/>
        <v>35</v>
      </c>
      <c r="FU1244" s="101">
        <f t="shared" si="597"/>
        <v>16</v>
      </c>
      <c r="FV1244" s="14">
        <f t="shared" si="598"/>
        <v>3</v>
      </c>
      <c r="FW1244" s="101" t="str">
        <f t="shared" si="605"/>
        <v>烈风螳螂专属武器-魂珠-4 8级</v>
      </c>
      <c r="FX1244" s="101">
        <f t="shared" si="606"/>
        <v>4</v>
      </c>
      <c r="FY1244" s="101">
        <f t="shared" si="607"/>
        <v>8</v>
      </c>
      <c r="FZ1244" s="101" t="str">
        <f t="shared" si="599"/>
        <v>金币</v>
      </c>
      <c r="GA1244" s="139">
        <f>IF($FY1244&gt;0,IF(INDEX($EM$6:$EM$77,$FT1244)&gt;=GA$3,ROUND(INDEX(EO$6:EO$77,$FT1244)*INDEX(卡牌消耗!$B$8:$F$8,FV1244)/5,0)*5,""),"")</f>
        <v>2360</v>
      </c>
      <c r="GB1244" s="101" t="str">
        <f t="shared" si="600"/>
        <v>专属强化石2</v>
      </c>
      <c r="GC1244" s="101">
        <f t="shared" si="601"/>
        <v>11</v>
      </c>
      <c r="GD1244" s="101" t="str">
        <f t="shared" si="602"/>
        <v>专属强化石3</v>
      </c>
      <c r="GE1244" s="101">
        <f t="shared" si="603"/>
        <v>4</v>
      </c>
      <c r="GF1244" s="101">
        <f t="shared" si="608"/>
        <v>0.02</v>
      </c>
      <c r="GG1244" s="101">
        <f t="shared" si="609"/>
        <v>1</v>
      </c>
      <c r="GH1244" s="101">
        <f t="shared" si="610"/>
        <v>63</v>
      </c>
      <c r="GI1244" s="101">
        <f t="shared" si="611"/>
        <v>0</v>
      </c>
      <c r="GJ1244" s="101">
        <f t="shared" si="612"/>
        <v>1</v>
      </c>
      <c r="GK1244" s="101">
        <f t="shared" si="613"/>
        <v>15</v>
      </c>
      <c r="GL1244" s="101">
        <f t="shared" si="614"/>
        <v>1.1900000000000001E-2</v>
      </c>
      <c r="GM1244" s="101">
        <f t="shared" si="615"/>
        <v>1</v>
      </c>
      <c r="GN1244" s="101">
        <f t="shared" si="616"/>
        <v>29</v>
      </c>
      <c r="GO1244" s="101">
        <f t="shared" si="617"/>
        <v>4.7600000000000003E-2</v>
      </c>
      <c r="GP1244" s="101">
        <f t="shared" si="618"/>
        <v>1</v>
      </c>
      <c r="GQ1244" s="101">
        <f t="shared" si="619"/>
        <v>63</v>
      </c>
    </row>
    <row r="1245" spans="175:199" ht="16.5" x14ac:dyDescent="0.2">
      <c r="FS1245" s="101">
        <v>1240</v>
      </c>
      <c r="FT1245" s="101">
        <f t="shared" si="604"/>
        <v>36</v>
      </c>
      <c r="FU1245" s="101">
        <f t="shared" si="597"/>
        <v>16</v>
      </c>
      <c r="FV1245" s="14">
        <f t="shared" si="598"/>
        <v>3</v>
      </c>
      <c r="FW1245" s="101" t="str">
        <f t="shared" si="605"/>
        <v>烈风螳螂专属武器-魂珠-4 9级</v>
      </c>
      <c r="FX1245" s="101">
        <f t="shared" si="606"/>
        <v>4</v>
      </c>
      <c r="FY1245" s="101">
        <f t="shared" si="607"/>
        <v>9</v>
      </c>
      <c r="FZ1245" s="101" t="str">
        <f t="shared" si="599"/>
        <v>金币</v>
      </c>
      <c r="GA1245" s="139">
        <f>IF($FY1245&gt;0,IF(INDEX($EM$6:$EM$77,$FT1245)&gt;=GA$3,ROUND(INDEX(EO$6:EO$77,$FT1245)*INDEX(卡牌消耗!$B$8:$F$8,FV1245)/5,0)*5,""),"")</f>
        <v>3540</v>
      </c>
      <c r="GB1245" s="101" t="str">
        <f t="shared" si="600"/>
        <v>专属强化石2</v>
      </c>
      <c r="GC1245" s="101">
        <f t="shared" si="601"/>
        <v>16</v>
      </c>
      <c r="GD1245" s="101" t="str">
        <f t="shared" si="602"/>
        <v>专属强化石3</v>
      </c>
      <c r="GE1245" s="101">
        <f t="shared" si="603"/>
        <v>6</v>
      </c>
      <c r="GF1245" s="101">
        <f t="shared" si="608"/>
        <v>0.02</v>
      </c>
      <c r="GG1245" s="101">
        <f t="shared" si="609"/>
        <v>1</v>
      </c>
      <c r="GH1245" s="101">
        <f t="shared" si="610"/>
        <v>68</v>
      </c>
      <c r="GI1245" s="101">
        <f t="shared" si="611"/>
        <v>0</v>
      </c>
      <c r="GJ1245" s="101">
        <f t="shared" si="612"/>
        <v>1</v>
      </c>
      <c r="GK1245" s="101">
        <f t="shared" si="613"/>
        <v>16</v>
      </c>
      <c r="GL1245" s="101">
        <f t="shared" si="614"/>
        <v>1.0999999999999999E-2</v>
      </c>
      <c r="GM1245" s="101">
        <f t="shared" si="615"/>
        <v>1</v>
      </c>
      <c r="GN1245" s="101">
        <f t="shared" si="616"/>
        <v>32</v>
      </c>
      <c r="GO1245" s="101">
        <f t="shared" si="617"/>
        <v>4.4200000000000003E-2</v>
      </c>
      <c r="GP1245" s="101">
        <f t="shared" si="618"/>
        <v>1</v>
      </c>
      <c r="GQ1245" s="101">
        <f t="shared" si="619"/>
        <v>68</v>
      </c>
    </row>
    <row r="1246" spans="175:199" ht="16.5" x14ac:dyDescent="0.2">
      <c r="FS1246" s="101">
        <v>1241</v>
      </c>
      <c r="FT1246" s="101">
        <f t="shared" si="604"/>
        <v>0</v>
      </c>
      <c r="FU1246" s="101">
        <f t="shared" si="597"/>
        <v>16</v>
      </c>
      <c r="FV1246" s="14">
        <f t="shared" si="598"/>
        <v>3</v>
      </c>
      <c r="FW1246" s="101" t="str">
        <f t="shared" si="605"/>
        <v>烈风螳螂专属武器-魂珠-5 0级</v>
      </c>
      <c r="FX1246" s="101">
        <f t="shared" si="606"/>
        <v>5</v>
      </c>
      <c r="FY1246" s="101">
        <f t="shared" si="607"/>
        <v>0</v>
      </c>
      <c r="FZ1246" s="101" t="str">
        <f t="shared" si="599"/>
        <v/>
      </c>
      <c r="GA1246" s="139" t="str">
        <f>IF($FY1246&gt;0,IF(INDEX($EM$6:$EM$77,$FT1246)&gt;=GA$3,ROUND(INDEX(EO$6:EO$77,$FT1246)*INDEX(卡牌消耗!$B$8:$F$8,FV1246)/5,0)*5,""),"")</f>
        <v/>
      </c>
      <c r="GB1246" s="101" t="str">
        <f t="shared" si="600"/>
        <v/>
      </c>
      <c r="GC1246" s="101" t="str">
        <f t="shared" si="601"/>
        <v/>
      </c>
      <c r="GD1246" s="101" t="str">
        <f t="shared" si="602"/>
        <v/>
      </c>
      <c r="GE1246" s="101" t="str">
        <f t="shared" si="603"/>
        <v/>
      </c>
      <c r="GF1246" s="101" t="str">
        <f t="shared" si="608"/>
        <v/>
      </c>
      <c r="GG1246" s="101" t="str">
        <f t="shared" si="609"/>
        <v/>
      </c>
      <c r="GH1246" s="101" t="str">
        <f t="shared" si="610"/>
        <v/>
      </c>
      <c r="GI1246" s="101" t="str">
        <f t="shared" si="611"/>
        <v/>
      </c>
      <c r="GJ1246" s="101" t="str">
        <f t="shared" si="612"/>
        <v/>
      </c>
      <c r="GK1246" s="101" t="str">
        <f t="shared" si="613"/>
        <v/>
      </c>
      <c r="GL1246" s="101" t="str">
        <f t="shared" si="614"/>
        <v/>
      </c>
      <c r="GM1246" s="101" t="str">
        <f t="shared" si="615"/>
        <v/>
      </c>
      <c r="GN1246" s="101" t="str">
        <f t="shared" si="616"/>
        <v/>
      </c>
      <c r="GO1246" s="101" t="str">
        <f t="shared" si="617"/>
        <v/>
      </c>
      <c r="GP1246" s="101" t="str">
        <f t="shared" si="618"/>
        <v/>
      </c>
      <c r="GQ1246" s="101" t="str">
        <f t="shared" si="619"/>
        <v/>
      </c>
    </row>
    <row r="1247" spans="175:199" ht="16.5" x14ac:dyDescent="0.2">
      <c r="FS1247" s="101">
        <v>1242</v>
      </c>
      <c r="FT1247" s="101">
        <f t="shared" si="604"/>
        <v>37</v>
      </c>
      <c r="FU1247" s="101">
        <f t="shared" si="597"/>
        <v>16</v>
      </c>
      <c r="FV1247" s="14">
        <f t="shared" si="598"/>
        <v>3</v>
      </c>
      <c r="FW1247" s="101" t="str">
        <f t="shared" si="605"/>
        <v>烈风螳螂专属武器-魂珠-5 1级</v>
      </c>
      <c r="FX1247" s="101">
        <f t="shared" si="606"/>
        <v>5</v>
      </c>
      <c r="FY1247" s="101">
        <f t="shared" si="607"/>
        <v>1</v>
      </c>
      <c r="FZ1247" s="101" t="str">
        <f t="shared" si="599"/>
        <v>金币</v>
      </c>
      <c r="GA1247" s="139">
        <f>IF($FY1247&gt;0,IF(INDEX($EM$6:$EM$77,$FT1247)&gt;=GA$3,ROUND(INDEX(EO$6:EO$77,$FT1247)*INDEX(卡牌消耗!$B$8:$F$8,FV1247)/5,0)*5,""),"")</f>
        <v>1495</v>
      </c>
      <c r="GB1247" s="101" t="str">
        <f t="shared" si="600"/>
        <v>专属强化石2</v>
      </c>
      <c r="GC1247" s="101">
        <f t="shared" si="601"/>
        <v>3</v>
      </c>
      <c r="GD1247" s="101" t="str">
        <f t="shared" si="602"/>
        <v>专属强化石3</v>
      </c>
      <c r="GE1247" s="101">
        <f t="shared" si="603"/>
        <v>2</v>
      </c>
      <c r="GF1247" s="101">
        <f t="shared" si="608"/>
        <v>0.2</v>
      </c>
      <c r="GG1247" s="101">
        <f t="shared" si="609"/>
        <v>1</v>
      </c>
      <c r="GH1247" s="101">
        <f t="shared" si="610"/>
        <v>7</v>
      </c>
      <c r="GI1247" s="101">
        <f t="shared" si="611"/>
        <v>0</v>
      </c>
      <c r="GJ1247" s="101">
        <f t="shared" si="612"/>
        <v>1</v>
      </c>
      <c r="GK1247" s="101">
        <f t="shared" si="613"/>
        <v>2</v>
      </c>
      <c r="GL1247" s="101">
        <f t="shared" si="614"/>
        <v>0.1012</v>
      </c>
      <c r="GM1247" s="101">
        <f t="shared" si="615"/>
        <v>1</v>
      </c>
      <c r="GN1247" s="101">
        <f t="shared" si="616"/>
        <v>3</v>
      </c>
      <c r="GO1247" s="101">
        <f t="shared" si="617"/>
        <v>0.40479999999999999</v>
      </c>
      <c r="GP1247" s="101">
        <f t="shared" si="618"/>
        <v>1</v>
      </c>
      <c r="GQ1247" s="101">
        <f t="shared" si="619"/>
        <v>7</v>
      </c>
    </row>
    <row r="1248" spans="175:199" ht="16.5" x14ac:dyDescent="0.2">
      <c r="FS1248" s="101">
        <v>1243</v>
      </c>
      <c r="FT1248" s="101">
        <f t="shared" si="604"/>
        <v>38</v>
      </c>
      <c r="FU1248" s="101">
        <f t="shared" si="597"/>
        <v>16</v>
      </c>
      <c r="FV1248" s="14">
        <f t="shared" si="598"/>
        <v>3</v>
      </c>
      <c r="FW1248" s="101" t="str">
        <f t="shared" si="605"/>
        <v>烈风螳螂专属武器-魂珠-5 2级</v>
      </c>
      <c r="FX1248" s="101">
        <f t="shared" si="606"/>
        <v>5</v>
      </c>
      <c r="FY1248" s="101">
        <f t="shared" si="607"/>
        <v>2</v>
      </c>
      <c r="FZ1248" s="101" t="str">
        <f t="shared" si="599"/>
        <v>金币</v>
      </c>
      <c r="GA1248" s="139">
        <f>IF($FY1248&gt;0,IF(INDEX($EM$6:$EM$77,$FT1248)&gt;=GA$3,ROUND(INDEX(EO$6:EO$77,$FT1248)*INDEX(卡牌消耗!$B$8:$F$8,FV1248)/5,0)*5,""),"")</f>
        <v>1120</v>
      </c>
      <c r="GB1248" s="101" t="str">
        <f t="shared" si="600"/>
        <v>专属强化石2</v>
      </c>
      <c r="GC1248" s="101">
        <f t="shared" si="601"/>
        <v>3</v>
      </c>
      <c r="GD1248" s="101" t="str">
        <f t="shared" si="602"/>
        <v>专属强化石3</v>
      </c>
      <c r="GE1248" s="101">
        <f t="shared" si="603"/>
        <v>2</v>
      </c>
      <c r="GF1248" s="101">
        <f t="shared" si="608"/>
        <v>0.1</v>
      </c>
      <c r="GG1248" s="101">
        <f t="shared" si="609"/>
        <v>1</v>
      </c>
      <c r="GH1248" s="101">
        <f t="shared" si="610"/>
        <v>15</v>
      </c>
      <c r="GI1248" s="101">
        <f t="shared" si="611"/>
        <v>0</v>
      </c>
      <c r="GJ1248" s="101">
        <f t="shared" si="612"/>
        <v>1</v>
      </c>
      <c r="GK1248" s="101">
        <f t="shared" si="613"/>
        <v>3</v>
      </c>
      <c r="GL1248" s="101">
        <f t="shared" si="614"/>
        <v>5.0599999999999999E-2</v>
      </c>
      <c r="GM1248" s="101">
        <f t="shared" si="615"/>
        <v>1</v>
      </c>
      <c r="GN1248" s="101">
        <f t="shared" si="616"/>
        <v>7</v>
      </c>
      <c r="GO1248" s="101">
        <f t="shared" si="617"/>
        <v>0.2024</v>
      </c>
      <c r="GP1248" s="101">
        <f t="shared" si="618"/>
        <v>1</v>
      </c>
      <c r="GQ1248" s="101">
        <f t="shared" si="619"/>
        <v>15</v>
      </c>
    </row>
    <row r="1249" spans="175:199" ht="16.5" x14ac:dyDescent="0.2">
      <c r="FS1249" s="101">
        <v>1244</v>
      </c>
      <c r="FT1249" s="101">
        <f t="shared" si="604"/>
        <v>39</v>
      </c>
      <c r="FU1249" s="101">
        <f t="shared" si="597"/>
        <v>16</v>
      </c>
      <c r="FV1249" s="14">
        <f t="shared" si="598"/>
        <v>3</v>
      </c>
      <c r="FW1249" s="101" t="str">
        <f t="shared" si="605"/>
        <v>烈风螳螂专属武器-魂珠-5 3级</v>
      </c>
      <c r="FX1249" s="101">
        <f t="shared" si="606"/>
        <v>5</v>
      </c>
      <c r="FY1249" s="101">
        <f t="shared" si="607"/>
        <v>3</v>
      </c>
      <c r="FZ1249" s="101" t="str">
        <f t="shared" si="599"/>
        <v>金币</v>
      </c>
      <c r="GA1249" s="139">
        <f>IF($FY1249&gt;0,IF(INDEX($EM$6:$EM$77,$FT1249)&gt;=GA$3,ROUND(INDEX(EO$6:EO$77,$FT1249)*INDEX(卡牌消耗!$B$8:$F$8,FV1249)/5,0)*5,""),"")</f>
        <v>1245</v>
      </c>
      <c r="GB1249" s="101" t="str">
        <f t="shared" si="600"/>
        <v>专属强化石2</v>
      </c>
      <c r="GC1249" s="101">
        <f t="shared" si="601"/>
        <v>3</v>
      </c>
      <c r="GD1249" s="101" t="str">
        <f t="shared" si="602"/>
        <v>专属强化石3</v>
      </c>
      <c r="GE1249" s="101">
        <f t="shared" si="603"/>
        <v>2</v>
      </c>
      <c r="GF1249" s="101">
        <f t="shared" si="608"/>
        <v>7.0000000000000007E-2</v>
      </c>
      <c r="GG1249" s="101">
        <f t="shared" si="609"/>
        <v>1</v>
      </c>
      <c r="GH1249" s="101">
        <f t="shared" si="610"/>
        <v>22</v>
      </c>
      <c r="GI1249" s="101">
        <f t="shared" si="611"/>
        <v>0</v>
      </c>
      <c r="GJ1249" s="101">
        <f t="shared" si="612"/>
        <v>1</v>
      </c>
      <c r="GK1249" s="101">
        <f t="shared" si="613"/>
        <v>5</v>
      </c>
      <c r="GL1249" s="101">
        <f t="shared" si="614"/>
        <v>3.3700000000000001E-2</v>
      </c>
      <c r="GM1249" s="101">
        <f t="shared" si="615"/>
        <v>1</v>
      </c>
      <c r="GN1249" s="101">
        <f t="shared" si="616"/>
        <v>10</v>
      </c>
      <c r="GO1249" s="101">
        <f t="shared" si="617"/>
        <v>0.13489999999999999</v>
      </c>
      <c r="GP1249" s="101">
        <f t="shared" si="618"/>
        <v>1</v>
      </c>
      <c r="GQ1249" s="101">
        <f t="shared" si="619"/>
        <v>22</v>
      </c>
    </row>
    <row r="1250" spans="175:199" ht="16.5" x14ac:dyDescent="0.2">
      <c r="FS1250" s="101">
        <v>1245</v>
      </c>
      <c r="FT1250" s="101">
        <f t="shared" si="604"/>
        <v>40</v>
      </c>
      <c r="FU1250" s="101">
        <f t="shared" si="597"/>
        <v>16</v>
      </c>
      <c r="FV1250" s="14">
        <f t="shared" si="598"/>
        <v>3</v>
      </c>
      <c r="FW1250" s="101" t="str">
        <f t="shared" si="605"/>
        <v>烈风螳螂专属武器-魂珠-5 4级</v>
      </c>
      <c r="FX1250" s="101">
        <f t="shared" si="606"/>
        <v>5</v>
      </c>
      <c r="FY1250" s="101">
        <f t="shared" si="607"/>
        <v>4</v>
      </c>
      <c r="FZ1250" s="101" t="str">
        <f t="shared" si="599"/>
        <v>金币</v>
      </c>
      <c r="GA1250" s="139">
        <f>IF($FY1250&gt;0,IF(INDEX($EM$6:$EM$77,$FT1250)&gt;=GA$3,ROUND(INDEX(EO$6:EO$77,$FT1250)*INDEX(卡牌消耗!$B$8:$F$8,FV1250)/5,0)*5,""),"")</f>
        <v>1795</v>
      </c>
      <c r="GB1250" s="101" t="str">
        <f t="shared" si="600"/>
        <v>专属强化石2</v>
      </c>
      <c r="GC1250" s="101">
        <f t="shared" si="601"/>
        <v>5</v>
      </c>
      <c r="GD1250" s="101" t="str">
        <f t="shared" si="602"/>
        <v>专属强化石3</v>
      </c>
      <c r="GE1250" s="101">
        <f t="shared" si="603"/>
        <v>3</v>
      </c>
      <c r="GF1250" s="101">
        <f t="shared" si="608"/>
        <v>0.06</v>
      </c>
      <c r="GG1250" s="101">
        <f t="shared" si="609"/>
        <v>1</v>
      </c>
      <c r="GH1250" s="101">
        <f t="shared" si="610"/>
        <v>25</v>
      </c>
      <c r="GI1250" s="101">
        <f t="shared" si="611"/>
        <v>0</v>
      </c>
      <c r="GJ1250" s="101">
        <f t="shared" si="612"/>
        <v>1</v>
      </c>
      <c r="GK1250" s="101">
        <f t="shared" si="613"/>
        <v>6</v>
      </c>
      <c r="GL1250" s="101">
        <f t="shared" si="614"/>
        <v>3.04E-2</v>
      </c>
      <c r="GM1250" s="101">
        <f t="shared" si="615"/>
        <v>1</v>
      </c>
      <c r="GN1250" s="101">
        <f t="shared" si="616"/>
        <v>12</v>
      </c>
      <c r="GO1250" s="101">
        <f t="shared" si="617"/>
        <v>0.12139999999999999</v>
      </c>
      <c r="GP1250" s="101">
        <f t="shared" si="618"/>
        <v>1</v>
      </c>
      <c r="GQ1250" s="101">
        <f t="shared" si="619"/>
        <v>25</v>
      </c>
    </row>
    <row r="1251" spans="175:199" ht="16.5" x14ac:dyDescent="0.2">
      <c r="FS1251" s="101">
        <v>1246</v>
      </c>
      <c r="FT1251" s="101">
        <f t="shared" si="604"/>
        <v>41</v>
      </c>
      <c r="FU1251" s="101">
        <f t="shared" si="597"/>
        <v>16</v>
      </c>
      <c r="FV1251" s="14">
        <f t="shared" si="598"/>
        <v>3</v>
      </c>
      <c r="FW1251" s="101" t="str">
        <f t="shared" si="605"/>
        <v>烈风螳螂专属武器-魂珠-5 5级</v>
      </c>
      <c r="FX1251" s="101">
        <f t="shared" si="606"/>
        <v>5</v>
      </c>
      <c r="FY1251" s="101">
        <f t="shared" si="607"/>
        <v>5</v>
      </c>
      <c r="FZ1251" s="101" t="str">
        <f t="shared" si="599"/>
        <v>金币</v>
      </c>
      <c r="GA1251" s="139">
        <f>IF($FY1251&gt;0,IF(INDEX($EM$6:$EM$77,$FT1251)&gt;=GA$3,ROUND(INDEX(EO$6:EO$77,$FT1251)*INDEX(卡牌消耗!$B$8:$F$8,FV1251)/5,0)*5,""),"")</f>
        <v>1825</v>
      </c>
      <c r="GB1251" s="101" t="str">
        <f t="shared" si="600"/>
        <v>专属强化石2</v>
      </c>
      <c r="GC1251" s="101">
        <f t="shared" si="601"/>
        <v>5</v>
      </c>
      <c r="GD1251" s="101" t="str">
        <f t="shared" si="602"/>
        <v>专属强化石3</v>
      </c>
      <c r="GE1251" s="101">
        <f t="shared" si="603"/>
        <v>3</v>
      </c>
      <c r="GF1251" s="101">
        <f t="shared" si="608"/>
        <v>0.04</v>
      </c>
      <c r="GG1251" s="101">
        <f t="shared" si="609"/>
        <v>1</v>
      </c>
      <c r="GH1251" s="101">
        <f t="shared" si="610"/>
        <v>40</v>
      </c>
      <c r="GI1251" s="101">
        <f t="shared" si="611"/>
        <v>0</v>
      </c>
      <c r="GJ1251" s="101">
        <f t="shared" si="612"/>
        <v>1</v>
      </c>
      <c r="GK1251" s="101">
        <f t="shared" si="613"/>
        <v>9</v>
      </c>
      <c r="GL1251" s="101">
        <f t="shared" si="614"/>
        <v>1.9E-2</v>
      </c>
      <c r="GM1251" s="101">
        <f t="shared" si="615"/>
        <v>1</v>
      </c>
      <c r="GN1251" s="101">
        <f t="shared" si="616"/>
        <v>18</v>
      </c>
      <c r="GO1251" s="101">
        <f t="shared" si="617"/>
        <v>7.5899999999999995E-2</v>
      </c>
      <c r="GP1251" s="101">
        <f t="shared" si="618"/>
        <v>1</v>
      </c>
      <c r="GQ1251" s="101">
        <f t="shared" si="619"/>
        <v>40</v>
      </c>
    </row>
    <row r="1252" spans="175:199" ht="16.5" x14ac:dyDescent="0.2">
      <c r="FS1252" s="101">
        <v>1247</v>
      </c>
      <c r="FT1252" s="101">
        <f t="shared" si="604"/>
        <v>42</v>
      </c>
      <c r="FU1252" s="101">
        <f t="shared" si="597"/>
        <v>16</v>
      </c>
      <c r="FV1252" s="14">
        <f t="shared" si="598"/>
        <v>3</v>
      </c>
      <c r="FW1252" s="101" t="str">
        <f t="shared" si="605"/>
        <v>烈风螳螂专属武器-魂珠-5 6级</v>
      </c>
      <c r="FX1252" s="101">
        <f t="shared" si="606"/>
        <v>5</v>
      </c>
      <c r="FY1252" s="101">
        <f t="shared" si="607"/>
        <v>6</v>
      </c>
      <c r="FZ1252" s="101" t="str">
        <f t="shared" si="599"/>
        <v>金币</v>
      </c>
      <c r="GA1252" s="139">
        <f>IF($FY1252&gt;0,IF(INDEX($EM$6:$EM$77,$FT1252)&gt;=GA$3,ROUND(INDEX(EO$6:EO$77,$FT1252)*INDEX(卡牌消耗!$B$8:$F$8,FV1252)/5,0)*5,""),"")</f>
        <v>3020</v>
      </c>
      <c r="GB1252" s="101" t="str">
        <f t="shared" si="600"/>
        <v>专属强化石2</v>
      </c>
      <c r="GC1252" s="101">
        <f t="shared" si="601"/>
        <v>8</v>
      </c>
      <c r="GD1252" s="101" t="str">
        <f t="shared" si="602"/>
        <v>专属强化石3</v>
      </c>
      <c r="GE1252" s="101">
        <f t="shared" si="603"/>
        <v>5</v>
      </c>
      <c r="GF1252" s="101">
        <f t="shared" si="608"/>
        <v>0.04</v>
      </c>
      <c r="GG1252" s="101">
        <f t="shared" si="609"/>
        <v>1</v>
      </c>
      <c r="GH1252" s="101">
        <f t="shared" si="610"/>
        <v>39</v>
      </c>
      <c r="GI1252" s="101">
        <f t="shared" si="611"/>
        <v>0</v>
      </c>
      <c r="GJ1252" s="101">
        <f t="shared" si="612"/>
        <v>1</v>
      </c>
      <c r="GK1252" s="101">
        <f t="shared" si="613"/>
        <v>9</v>
      </c>
      <c r="GL1252" s="101">
        <f t="shared" si="614"/>
        <v>1.95E-2</v>
      </c>
      <c r="GM1252" s="101">
        <f t="shared" si="615"/>
        <v>1</v>
      </c>
      <c r="GN1252" s="101">
        <f t="shared" si="616"/>
        <v>18</v>
      </c>
      <c r="GO1252" s="101">
        <f t="shared" si="617"/>
        <v>7.7799999999999994E-2</v>
      </c>
      <c r="GP1252" s="101">
        <f t="shared" si="618"/>
        <v>1</v>
      </c>
      <c r="GQ1252" s="101">
        <f t="shared" si="619"/>
        <v>39</v>
      </c>
    </row>
    <row r="1253" spans="175:199" ht="16.5" x14ac:dyDescent="0.2">
      <c r="FS1253" s="101">
        <v>1248</v>
      </c>
      <c r="FT1253" s="101">
        <f t="shared" si="604"/>
        <v>43</v>
      </c>
      <c r="FU1253" s="101">
        <f t="shared" si="597"/>
        <v>16</v>
      </c>
      <c r="FV1253" s="14">
        <f t="shared" si="598"/>
        <v>3</v>
      </c>
      <c r="FW1253" s="101" t="str">
        <f t="shared" si="605"/>
        <v>烈风螳螂专属武器-魂珠-5 7级</v>
      </c>
      <c r="FX1253" s="101">
        <f t="shared" si="606"/>
        <v>5</v>
      </c>
      <c r="FY1253" s="101">
        <f t="shared" si="607"/>
        <v>7</v>
      </c>
      <c r="FZ1253" s="101" t="str">
        <f t="shared" si="599"/>
        <v>金币</v>
      </c>
      <c r="GA1253" s="139">
        <f>IF($FY1253&gt;0,IF(INDEX($EM$6:$EM$77,$FT1253)&gt;=GA$3,ROUND(INDEX(EO$6:EO$77,$FT1253)*INDEX(卡牌消耗!$B$8:$F$8,FV1253)/5,0)*5,""),"")</f>
        <v>3025</v>
      </c>
      <c r="GB1253" s="101" t="str">
        <f t="shared" si="600"/>
        <v>专属强化石2</v>
      </c>
      <c r="GC1253" s="101">
        <f t="shared" si="601"/>
        <v>8</v>
      </c>
      <c r="GD1253" s="101" t="str">
        <f t="shared" si="602"/>
        <v>专属强化石3</v>
      </c>
      <c r="GE1253" s="101">
        <f t="shared" si="603"/>
        <v>5</v>
      </c>
      <c r="GF1253" s="101">
        <f t="shared" si="608"/>
        <v>0.02</v>
      </c>
      <c r="GG1253" s="101">
        <f t="shared" si="609"/>
        <v>1</v>
      </c>
      <c r="GH1253" s="101">
        <f t="shared" si="610"/>
        <v>62</v>
      </c>
      <c r="GI1253" s="101">
        <f t="shared" si="611"/>
        <v>0</v>
      </c>
      <c r="GJ1253" s="101">
        <f t="shared" si="612"/>
        <v>1</v>
      </c>
      <c r="GK1253" s="101">
        <f t="shared" si="613"/>
        <v>15</v>
      </c>
      <c r="GL1253" s="101">
        <f t="shared" si="614"/>
        <v>1.2E-2</v>
      </c>
      <c r="GM1253" s="101">
        <f t="shared" si="615"/>
        <v>1</v>
      </c>
      <c r="GN1253" s="101">
        <f t="shared" si="616"/>
        <v>29</v>
      </c>
      <c r="GO1253" s="101">
        <f t="shared" si="617"/>
        <v>4.82E-2</v>
      </c>
      <c r="GP1253" s="101">
        <f t="shared" si="618"/>
        <v>1</v>
      </c>
      <c r="GQ1253" s="101">
        <f t="shared" si="619"/>
        <v>62</v>
      </c>
    </row>
    <row r="1254" spans="175:199" ht="16.5" x14ac:dyDescent="0.2">
      <c r="FS1254" s="101">
        <v>1249</v>
      </c>
      <c r="FT1254" s="101">
        <f t="shared" si="604"/>
        <v>44</v>
      </c>
      <c r="FU1254" s="101">
        <f t="shared" si="597"/>
        <v>16</v>
      </c>
      <c r="FV1254" s="14">
        <f t="shared" si="598"/>
        <v>3</v>
      </c>
      <c r="FW1254" s="101" t="str">
        <f t="shared" si="605"/>
        <v>烈风螳螂专属武器-魂珠-5 8级</v>
      </c>
      <c r="FX1254" s="101">
        <f t="shared" si="606"/>
        <v>5</v>
      </c>
      <c r="FY1254" s="101">
        <f t="shared" si="607"/>
        <v>8</v>
      </c>
      <c r="FZ1254" s="101" t="str">
        <f t="shared" si="599"/>
        <v>金币</v>
      </c>
      <c r="GA1254" s="139">
        <f>IF($FY1254&gt;0,IF(INDEX($EM$6:$EM$77,$FT1254)&gt;=GA$3,ROUND(INDEX(EO$6:EO$77,$FT1254)*INDEX(卡牌消耗!$B$8:$F$8,FV1254)/5,0)*5,""),"")</f>
        <v>4235</v>
      </c>
      <c r="GB1254" s="101" t="str">
        <f t="shared" si="600"/>
        <v>专属强化石2</v>
      </c>
      <c r="GC1254" s="101">
        <f t="shared" si="601"/>
        <v>11</v>
      </c>
      <c r="GD1254" s="101" t="str">
        <f t="shared" si="602"/>
        <v>专属强化石3</v>
      </c>
      <c r="GE1254" s="101">
        <f t="shared" si="603"/>
        <v>7</v>
      </c>
      <c r="GF1254" s="101">
        <f t="shared" si="608"/>
        <v>0.02</v>
      </c>
      <c r="GG1254" s="101">
        <f t="shared" si="609"/>
        <v>1</v>
      </c>
      <c r="GH1254" s="101">
        <f t="shared" si="610"/>
        <v>72</v>
      </c>
      <c r="GI1254" s="101">
        <f t="shared" si="611"/>
        <v>0</v>
      </c>
      <c r="GJ1254" s="101">
        <f t="shared" si="612"/>
        <v>1</v>
      </c>
      <c r="GK1254" s="101">
        <f t="shared" si="613"/>
        <v>17</v>
      </c>
      <c r="GL1254" s="101">
        <f t="shared" si="614"/>
        <v>1.04E-2</v>
      </c>
      <c r="GM1254" s="101">
        <f t="shared" si="615"/>
        <v>1</v>
      </c>
      <c r="GN1254" s="101">
        <f t="shared" si="616"/>
        <v>34</v>
      </c>
      <c r="GO1254" s="101">
        <f t="shared" si="617"/>
        <v>4.1700000000000001E-2</v>
      </c>
      <c r="GP1254" s="101">
        <f t="shared" si="618"/>
        <v>1</v>
      </c>
      <c r="GQ1254" s="101">
        <f t="shared" si="619"/>
        <v>72</v>
      </c>
    </row>
    <row r="1255" spans="175:199" ht="16.5" x14ac:dyDescent="0.2">
      <c r="FS1255" s="101">
        <v>1250</v>
      </c>
      <c r="FT1255" s="101">
        <f t="shared" si="604"/>
        <v>45</v>
      </c>
      <c r="FU1255" s="101">
        <f t="shared" si="597"/>
        <v>16</v>
      </c>
      <c r="FV1255" s="14">
        <f t="shared" si="598"/>
        <v>3</v>
      </c>
      <c r="FW1255" s="101" t="str">
        <f t="shared" si="605"/>
        <v>烈风螳螂专属武器-魂珠-5 9级</v>
      </c>
      <c r="FX1255" s="101">
        <f t="shared" si="606"/>
        <v>5</v>
      </c>
      <c r="FY1255" s="101">
        <f t="shared" si="607"/>
        <v>9</v>
      </c>
      <c r="FZ1255" s="101" t="str">
        <f t="shared" si="599"/>
        <v>金币</v>
      </c>
      <c r="GA1255" s="139">
        <f>IF($FY1255&gt;0,IF(INDEX($EM$6:$EM$77,$FT1255)&gt;=GA$3,ROUND(INDEX(EO$6:EO$77,$FT1255)*INDEX(卡牌消耗!$B$8:$F$8,FV1255)/5,0)*5,""),"")</f>
        <v>5445</v>
      </c>
      <c r="GB1255" s="101" t="str">
        <f t="shared" si="600"/>
        <v>专属强化石2</v>
      </c>
      <c r="GC1255" s="101">
        <f t="shared" si="601"/>
        <v>14</v>
      </c>
      <c r="GD1255" s="101" t="str">
        <f t="shared" si="602"/>
        <v>专属强化石3</v>
      </c>
      <c r="GE1255" s="101">
        <f t="shared" si="603"/>
        <v>9</v>
      </c>
      <c r="GF1255" s="101">
        <f t="shared" si="608"/>
        <v>0.02</v>
      </c>
      <c r="GG1255" s="101">
        <f t="shared" si="609"/>
        <v>1</v>
      </c>
      <c r="GH1255" s="101">
        <f t="shared" si="610"/>
        <v>91</v>
      </c>
      <c r="GI1255" s="101">
        <f t="shared" si="611"/>
        <v>0</v>
      </c>
      <c r="GJ1255" s="101">
        <f t="shared" si="612"/>
        <v>1</v>
      </c>
      <c r="GK1255" s="101">
        <f t="shared" si="613"/>
        <v>21</v>
      </c>
      <c r="GL1255" s="101">
        <f t="shared" si="614"/>
        <v>8.3000000000000001E-3</v>
      </c>
      <c r="GM1255" s="101">
        <f t="shared" si="615"/>
        <v>1</v>
      </c>
      <c r="GN1255" s="101">
        <f t="shared" si="616"/>
        <v>42</v>
      </c>
      <c r="GO1255" s="101">
        <f t="shared" si="617"/>
        <v>3.3099999999999997E-2</v>
      </c>
      <c r="GP1255" s="101">
        <f t="shared" si="618"/>
        <v>1</v>
      </c>
      <c r="GQ1255" s="101">
        <f t="shared" si="619"/>
        <v>91</v>
      </c>
    </row>
    <row r="1256" spans="175:199" ht="16.5" x14ac:dyDescent="0.2">
      <c r="FS1256" s="101">
        <v>1251</v>
      </c>
      <c r="FT1256" s="101">
        <f t="shared" si="604"/>
        <v>0</v>
      </c>
      <c r="FU1256" s="101">
        <f t="shared" si="597"/>
        <v>16</v>
      </c>
      <c r="FV1256" s="14">
        <f t="shared" si="598"/>
        <v>3</v>
      </c>
      <c r="FW1256" s="101" t="str">
        <f t="shared" si="605"/>
        <v>烈风螳螂专属武器-魂珠-6 0级</v>
      </c>
      <c r="FX1256" s="101">
        <f t="shared" si="606"/>
        <v>6</v>
      </c>
      <c r="FY1256" s="101">
        <f t="shared" si="607"/>
        <v>0</v>
      </c>
      <c r="FZ1256" s="101" t="str">
        <f t="shared" si="599"/>
        <v/>
      </c>
      <c r="GA1256" s="139" t="str">
        <f>IF($FY1256&gt;0,IF(INDEX($EM$6:$EM$77,$FT1256)&gt;=GA$3,ROUND(INDEX(EO$6:EO$77,$FT1256)*INDEX(卡牌消耗!$B$8:$F$8,FV1256)/5,0)*5,""),"")</f>
        <v/>
      </c>
      <c r="GB1256" s="101" t="str">
        <f t="shared" si="600"/>
        <v/>
      </c>
      <c r="GC1256" s="101" t="str">
        <f t="shared" si="601"/>
        <v/>
      </c>
      <c r="GD1256" s="101" t="str">
        <f t="shared" si="602"/>
        <v/>
      </c>
      <c r="GE1256" s="101" t="str">
        <f t="shared" si="603"/>
        <v/>
      </c>
      <c r="GF1256" s="101" t="str">
        <f t="shared" si="608"/>
        <v/>
      </c>
      <c r="GG1256" s="101" t="str">
        <f t="shared" si="609"/>
        <v/>
      </c>
      <c r="GH1256" s="101" t="str">
        <f t="shared" si="610"/>
        <v/>
      </c>
      <c r="GI1256" s="101" t="str">
        <f t="shared" si="611"/>
        <v/>
      </c>
      <c r="GJ1256" s="101" t="str">
        <f t="shared" si="612"/>
        <v/>
      </c>
      <c r="GK1256" s="101" t="str">
        <f t="shared" si="613"/>
        <v/>
      </c>
      <c r="GL1256" s="101" t="str">
        <f t="shared" si="614"/>
        <v/>
      </c>
      <c r="GM1256" s="101" t="str">
        <f t="shared" si="615"/>
        <v/>
      </c>
      <c r="GN1256" s="101" t="str">
        <f t="shared" si="616"/>
        <v/>
      </c>
      <c r="GO1256" s="101" t="str">
        <f t="shared" si="617"/>
        <v/>
      </c>
      <c r="GP1256" s="101" t="str">
        <f t="shared" si="618"/>
        <v/>
      </c>
      <c r="GQ1256" s="101" t="str">
        <f t="shared" si="619"/>
        <v/>
      </c>
    </row>
    <row r="1257" spans="175:199" ht="16.5" x14ac:dyDescent="0.2">
      <c r="FS1257" s="101">
        <v>1252</v>
      </c>
      <c r="FT1257" s="101">
        <f t="shared" si="604"/>
        <v>46</v>
      </c>
      <c r="FU1257" s="101">
        <f t="shared" si="597"/>
        <v>16</v>
      </c>
      <c r="FV1257" s="14">
        <f t="shared" si="598"/>
        <v>3</v>
      </c>
      <c r="FW1257" s="101" t="str">
        <f t="shared" si="605"/>
        <v>烈风螳螂专属武器-魂珠-6 1级</v>
      </c>
      <c r="FX1257" s="101">
        <f t="shared" si="606"/>
        <v>6</v>
      </c>
      <c r="FY1257" s="101">
        <f t="shared" si="607"/>
        <v>1</v>
      </c>
      <c r="FZ1257" s="101" t="str">
        <f t="shared" si="599"/>
        <v>金币</v>
      </c>
      <c r="GA1257" s="139">
        <f>IF($FY1257&gt;0,IF(INDEX($EM$6:$EM$77,$FT1257)&gt;=GA$3,ROUND(INDEX(EO$6:EO$77,$FT1257)*INDEX(卡牌消耗!$B$8:$F$8,FV1257)/5,0)*5,""),"")</f>
        <v>1455</v>
      </c>
      <c r="GB1257" s="101" t="str">
        <f t="shared" si="600"/>
        <v>专属强化石3</v>
      </c>
      <c r="GC1257" s="101">
        <f t="shared" si="601"/>
        <v>5</v>
      </c>
      <c r="GD1257" s="101" t="str">
        <f t="shared" si="602"/>
        <v>专属强化石4</v>
      </c>
      <c r="GE1257" s="101">
        <f t="shared" si="603"/>
        <v>1</v>
      </c>
      <c r="GF1257" s="101">
        <f t="shared" si="608"/>
        <v>0.17</v>
      </c>
      <c r="GG1257" s="101">
        <f t="shared" si="609"/>
        <v>1</v>
      </c>
      <c r="GH1257" s="101">
        <f t="shared" si="610"/>
        <v>9</v>
      </c>
      <c r="GI1257" s="101">
        <f t="shared" si="611"/>
        <v>0</v>
      </c>
      <c r="GJ1257" s="101">
        <f t="shared" si="612"/>
        <v>1</v>
      </c>
      <c r="GK1257" s="101">
        <f t="shared" si="613"/>
        <v>2</v>
      </c>
      <c r="GL1257" s="101">
        <f t="shared" si="614"/>
        <v>8.2900000000000001E-2</v>
      </c>
      <c r="GM1257" s="101">
        <f t="shared" si="615"/>
        <v>1</v>
      </c>
      <c r="GN1257" s="101">
        <f t="shared" si="616"/>
        <v>4</v>
      </c>
      <c r="GO1257" s="101">
        <f t="shared" si="617"/>
        <v>0.33139999999999997</v>
      </c>
      <c r="GP1257" s="101">
        <f t="shared" si="618"/>
        <v>1</v>
      </c>
      <c r="GQ1257" s="101">
        <f t="shared" si="619"/>
        <v>9</v>
      </c>
    </row>
    <row r="1258" spans="175:199" ht="16.5" x14ac:dyDescent="0.2">
      <c r="FS1258" s="101">
        <v>1253</v>
      </c>
      <c r="FT1258" s="101">
        <f t="shared" si="604"/>
        <v>47</v>
      </c>
      <c r="FU1258" s="101">
        <f t="shared" si="597"/>
        <v>16</v>
      </c>
      <c r="FV1258" s="14">
        <f t="shared" si="598"/>
        <v>3</v>
      </c>
      <c r="FW1258" s="101" t="str">
        <f t="shared" si="605"/>
        <v>烈风螳螂专属武器-魂珠-6 2级</v>
      </c>
      <c r="FX1258" s="101">
        <f t="shared" si="606"/>
        <v>6</v>
      </c>
      <c r="FY1258" s="101">
        <f t="shared" si="607"/>
        <v>2</v>
      </c>
      <c r="FZ1258" s="101" t="str">
        <f t="shared" si="599"/>
        <v>金币</v>
      </c>
      <c r="GA1258" s="139">
        <f>IF($FY1258&gt;0,IF(INDEX($EM$6:$EM$77,$FT1258)&gt;=GA$3,ROUND(INDEX(EO$6:EO$77,$FT1258)*INDEX(卡牌消耗!$B$8:$F$8,FV1258)/5,0)*5,""),"")</f>
        <v>2180</v>
      </c>
      <c r="GB1258" s="101" t="str">
        <f t="shared" si="600"/>
        <v>专属强化石3</v>
      </c>
      <c r="GC1258" s="101">
        <f t="shared" si="601"/>
        <v>10</v>
      </c>
      <c r="GD1258" s="101" t="str">
        <f t="shared" si="602"/>
        <v>专属强化石4</v>
      </c>
      <c r="GE1258" s="101">
        <f t="shared" si="603"/>
        <v>2</v>
      </c>
      <c r="GF1258" s="101">
        <f t="shared" si="608"/>
        <v>0.17</v>
      </c>
      <c r="GG1258" s="101">
        <f t="shared" si="609"/>
        <v>1</v>
      </c>
      <c r="GH1258" s="101">
        <f t="shared" si="610"/>
        <v>9</v>
      </c>
      <c r="GI1258" s="101">
        <f t="shared" si="611"/>
        <v>0</v>
      </c>
      <c r="GJ1258" s="101">
        <f t="shared" si="612"/>
        <v>1</v>
      </c>
      <c r="GK1258" s="101">
        <f t="shared" si="613"/>
        <v>2</v>
      </c>
      <c r="GL1258" s="101">
        <f t="shared" si="614"/>
        <v>8.2900000000000001E-2</v>
      </c>
      <c r="GM1258" s="101">
        <f t="shared" si="615"/>
        <v>1</v>
      </c>
      <c r="GN1258" s="101">
        <f t="shared" si="616"/>
        <v>4</v>
      </c>
      <c r="GO1258" s="101">
        <f t="shared" si="617"/>
        <v>0.33139999999999997</v>
      </c>
      <c r="GP1258" s="101">
        <f t="shared" si="618"/>
        <v>1</v>
      </c>
      <c r="GQ1258" s="101">
        <f t="shared" si="619"/>
        <v>9</v>
      </c>
    </row>
    <row r="1259" spans="175:199" ht="16.5" x14ac:dyDescent="0.2">
      <c r="FS1259" s="101">
        <v>1254</v>
      </c>
      <c r="FT1259" s="101">
        <f t="shared" si="604"/>
        <v>48</v>
      </c>
      <c r="FU1259" s="101">
        <f t="shared" si="597"/>
        <v>16</v>
      </c>
      <c r="FV1259" s="14">
        <f t="shared" si="598"/>
        <v>3</v>
      </c>
      <c r="FW1259" s="101" t="str">
        <f t="shared" si="605"/>
        <v>烈风螳螂专属武器-魂珠-6 3级</v>
      </c>
      <c r="FX1259" s="101">
        <f t="shared" si="606"/>
        <v>6</v>
      </c>
      <c r="FY1259" s="101">
        <f t="shared" si="607"/>
        <v>3</v>
      </c>
      <c r="FZ1259" s="101" t="str">
        <f t="shared" si="599"/>
        <v>金币</v>
      </c>
      <c r="GA1259" s="139">
        <f>IF($FY1259&gt;0,IF(INDEX($EM$6:$EM$77,$FT1259)&gt;=GA$3,ROUND(INDEX(EO$6:EO$77,$FT1259)*INDEX(卡牌消耗!$B$8:$F$8,FV1259)/5,0)*5,""),"")</f>
        <v>2425</v>
      </c>
      <c r="GB1259" s="101" t="str">
        <f t="shared" si="600"/>
        <v>专属强化石3</v>
      </c>
      <c r="GC1259" s="101">
        <f t="shared" si="601"/>
        <v>10</v>
      </c>
      <c r="GD1259" s="101" t="str">
        <f t="shared" si="602"/>
        <v>专属强化石4</v>
      </c>
      <c r="GE1259" s="101">
        <f t="shared" si="603"/>
        <v>2</v>
      </c>
      <c r="GF1259" s="101">
        <f t="shared" si="608"/>
        <v>0.11</v>
      </c>
      <c r="GG1259" s="101">
        <f t="shared" si="609"/>
        <v>1</v>
      </c>
      <c r="GH1259" s="101">
        <f t="shared" si="610"/>
        <v>14</v>
      </c>
      <c r="GI1259" s="101">
        <f t="shared" si="611"/>
        <v>0</v>
      </c>
      <c r="GJ1259" s="101">
        <f t="shared" si="612"/>
        <v>1</v>
      </c>
      <c r="GK1259" s="101">
        <f t="shared" si="613"/>
        <v>3</v>
      </c>
      <c r="GL1259" s="101">
        <f t="shared" si="614"/>
        <v>5.5199999999999999E-2</v>
      </c>
      <c r="GM1259" s="101">
        <f t="shared" si="615"/>
        <v>1</v>
      </c>
      <c r="GN1259" s="101">
        <f t="shared" si="616"/>
        <v>6</v>
      </c>
      <c r="GO1259" s="101">
        <f t="shared" si="617"/>
        <v>0.221</v>
      </c>
      <c r="GP1259" s="101">
        <f t="shared" si="618"/>
        <v>1</v>
      </c>
      <c r="GQ1259" s="101">
        <f t="shared" si="619"/>
        <v>14</v>
      </c>
    </row>
    <row r="1260" spans="175:199" ht="16.5" x14ac:dyDescent="0.2">
      <c r="FS1260" s="101">
        <v>1255</v>
      </c>
      <c r="FT1260" s="101">
        <f t="shared" si="604"/>
        <v>49</v>
      </c>
      <c r="FU1260" s="101">
        <f t="shared" si="597"/>
        <v>16</v>
      </c>
      <c r="FV1260" s="14">
        <f t="shared" si="598"/>
        <v>3</v>
      </c>
      <c r="FW1260" s="101" t="str">
        <f t="shared" si="605"/>
        <v>烈风螳螂专属武器-魂珠-6 4级</v>
      </c>
      <c r="FX1260" s="101">
        <f t="shared" si="606"/>
        <v>6</v>
      </c>
      <c r="FY1260" s="101">
        <f t="shared" si="607"/>
        <v>4</v>
      </c>
      <c r="FZ1260" s="101" t="str">
        <f t="shared" si="599"/>
        <v>金币</v>
      </c>
      <c r="GA1260" s="139">
        <f>IF($FY1260&gt;0,IF(INDEX($EM$6:$EM$77,$FT1260)&gt;=GA$3,ROUND(INDEX(EO$6:EO$77,$FT1260)*INDEX(卡牌消耗!$B$8:$F$8,FV1260)/5,0)*5,""),"")</f>
        <v>3490</v>
      </c>
      <c r="GB1260" s="101" t="str">
        <f t="shared" si="600"/>
        <v>专属强化石3</v>
      </c>
      <c r="GC1260" s="101">
        <f t="shared" si="601"/>
        <v>15</v>
      </c>
      <c r="GD1260" s="101" t="str">
        <f t="shared" si="602"/>
        <v>专属强化石4</v>
      </c>
      <c r="GE1260" s="101">
        <f t="shared" si="603"/>
        <v>3</v>
      </c>
      <c r="GF1260" s="101">
        <f t="shared" si="608"/>
        <v>0.1</v>
      </c>
      <c r="GG1260" s="101">
        <f t="shared" si="609"/>
        <v>1</v>
      </c>
      <c r="GH1260" s="101">
        <f t="shared" si="610"/>
        <v>15</v>
      </c>
      <c r="GI1260" s="101">
        <f t="shared" si="611"/>
        <v>0</v>
      </c>
      <c r="GJ1260" s="101">
        <f t="shared" si="612"/>
        <v>1</v>
      </c>
      <c r="GK1260" s="101">
        <f t="shared" si="613"/>
        <v>4</v>
      </c>
      <c r="GL1260" s="101">
        <f t="shared" si="614"/>
        <v>4.9700000000000001E-2</v>
      </c>
      <c r="GM1260" s="101">
        <f t="shared" si="615"/>
        <v>1</v>
      </c>
      <c r="GN1260" s="101">
        <f t="shared" si="616"/>
        <v>7</v>
      </c>
      <c r="GO1260" s="101">
        <f t="shared" si="617"/>
        <v>0.19889999999999999</v>
      </c>
      <c r="GP1260" s="101">
        <f t="shared" si="618"/>
        <v>1</v>
      </c>
      <c r="GQ1260" s="101">
        <f t="shared" si="619"/>
        <v>15</v>
      </c>
    </row>
    <row r="1261" spans="175:199" ht="16.5" x14ac:dyDescent="0.2">
      <c r="FS1261" s="101">
        <v>1256</v>
      </c>
      <c r="FT1261" s="101">
        <f t="shared" si="604"/>
        <v>50</v>
      </c>
      <c r="FU1261" s="101">
        <f t="shared" si="597"/>
        <v>16</v>
      </c>
      <c r="FV1261" s="14">
        <f t="shared" si="598"/>
        <v>3</v>
      </c>
      <c r="FW1261" s="101" t="str">
        <f t="shared" si="605"/>
        <v>烈风螳螂专属武器-魂珠-6 5级</v>
      </c>
      <c r="FX1261" s="101">
        <f t="shared" si="606"/>
        <v>6</v>
      </c>
      <c r="FY1261" s="101">
        <f t="shared" si="607"/>
        <v>5</v>
      </c>
      <c r="FZ1261" s="101" t="str">
        <f t="shared" si="599"/>
        <v>金币</v>
      </c>
      <c r="GA1261" s="139">
        <f>IF($FY1261&gt;0,IF(INDEX($EM$6:$EM$77,$FT1261)&gt;=GA$3,ROUND(INDEX(EO$6:EO$77,$FT1261)*INDEX(卡牌消耗!$B$8:$F$8,FV1261)/5,0)*5,""),"")</f>
        <v>3545</v>
      </c>
      <c r="GB1261" s="101" t="str">
        <f t="shared" si="600"/>
        <v>专属强化石3</v>
      </c>
      <c r="GC1261" s="101">
        <f t="shared" si="601"/>
        <v>15</v>
      </c>
      <c r="GD1261" s="101" t="str">
        <f t="shared" si="602"/>
        <v>专属强化石4</v>
      </c>
      <c r="GE1261" s="101">
        <f t="shared" si="603"/>
        <v>3</v>
      </c>
      <c r="GF1261" s="101">
        <f t="shared" si="608"/>
        <v>0.06</v>
      </c>
      <c r="GG1261" s="101">
        <f t="shared" si="609"/>
        <v>1</v>
      </c>
      <c r="GH1261" s="101">
        <f t="shared" si="610"/>
        <v>24</v>
      </c>
      <c r="GI1261" s="101">
        <f t="shared" si="611"/>
        <v>0</v>
      </c>
      <c r="GJ1261" s="101">
        <f t="shared" si="612"/>
        <v>1</v>
      </c>
      <c r="GK1261" s="101">
        <f t="shared" si="613"/>
        <v>6</v>
      </c>
      <c r="GL1261" s="101">
        <f t="shared" si="614"/>
        <v>3.1099999999999999E-2</v>
      </c>
      <c r="GM1261" s="101">
        <f t="shared" si="615"/>
        <v>1</v>
      </c>
      <c r="GN1261" s="101">
        <f t="shared" si="616"/>
        <v>11</v>
      </c>
      <c r="GO1261" s="101">
        <f t="shared" si="617"/>
        <v>0.12429999999999999</v>
      </c>
      <c r="GP1261" s="101">
        <f t="shared" si="618"/>
        <v>1</v>
      </c>
      <c r="GQ1261" s="101">
        <f t="shared" si="619"/>
        <v>24</v>
      </c>
    </row>
    <row r="1262" spans="175:199" ht="16.5" x14ac:dyDescent="0.2">
      <c r="FS1262" s="101">
        <v>1257</v>
      </c>
      <c r="FT1262" s="101">
        <f t="shared" si="604"/>
        <v>51</v>
      </c>
      <c r="FU1262" s="101">
        <f t="shared" si="597"/>
        <v>16</v>
      </c>
      <c r="FV1262" s="14">
        <f t="shared" si="598"/>
        <v>3</v>
      </c>
      <c r="FW1262" s="101" t="str">
        <f t="shared" si="605"/>
        <v>烈风螳螂专属武器-魂珠-6 6级</v>
      </c>
      <c r="FX1262" s="101">
        <f t="shared" si="606"/>
        <v>6</v>
      </c>
      <c r="FY1262" s="101">
        <f t="shared" si="607"/>
        <v>6</v>
      </c>
      <c r="FZ1262" s="101" t="str">
        <f t="shared" si="599"/>
        <v>金币</v>
      </c>
      <c r="GA1262" s="139">
        <f>IF($FY1262&gt;0,IF(INDEX($EM$6:$EM$77,$FT1262)&gt;=GA$3,ROUND(INDEX(EO$6:EO$77,$FT1262)*INDEX(卡牌消耗!$B$8:$F$8,FV1262)/5,0)*5,""),"")</f>
        <v>4700</v>
      </c>
      <c r="GB1262" s="101" t="str">
        <f t="shared" si="600"/>
        <v>专属强化石3</v>
      </c>
      <c r="GC1262" s="101">
        <f t="shared" si="601"/>
        <v>20</v>
      </c>
      <c r="GD1262" s="101" t="str">
        <f t="shared" si="602"/>
        <v>专属强化石4</v>
      </c>
      <c r="GE1262" s="101">
        <f t="shared" si="603"/>
        <v>4</v>
      </c>
      <c r="GF1262" s="101">
        <f t="shared" si="608"/>
        <v>0.05</v>
      </c>
      <c r="GG1262" s="101">
        <f t="shared" si="609"/>
        <v>1</v>
      </c>
      <c r="GH1262" s="101">
        <f t="shared" si="610"/>
        <v>29</v>
      </c>
      <c r="GI1262" s="101">
        <f t="shared" si="611"/>
        <v>0</v>
      </c>
      <c r="GJ1262" s="101">
        <f t="shared" si="612"/>
        <v>1</v>
      </c>
      <c r="GK1262" s="101">
        <f t="shared" si="613"/>
        <v>7</v>
      </c>
      <c r="GL1262" s="101">
        <f t="shared" si="614"/>
        <v>2.5499999999999998E-2</v>
      </c>
      <c r="GM1262" s="101">
        <f t="shared" si="615"/>
        <v>1</v>
      </c>
      <c r="GN1262" s="101">
        <f t="shared" si="616"/>
        <v>14</v>
      </c>
      <c r="GO1262" s="101">
        <f t="shared" si="617"/>
        <v>0.10199999999999999</v>
      </c>
      <c r="GP1262" s="101">
        <f t="shared" si="618"/>
        <v>1</v>
      </c>
      <c r="GQ1262" s="101">
        <f t="shared" si="619"/>
        <v>29</v>
      </c>
    </row>
    <row r="1263" spans="175:199" ht="16.5" x14ac:dyDescent="0.2">
      <c r="FS1263" s="101">
        <v>1258</v>
      </c>
      <c r="FT1263" s="101">
        <f t="shared" si="604"/>
        <v>52</v>
      </c>
      <c r="FU1263" s="101">
        <f t="shared" si="597"/>
        <v>16</v>
      </c>
      <c r="FV1263" s="14">
        <f t="shared" si="598"/>
        <v>3</v>
      </c>
      <c r="FW1263" s="101" t="str">
        <f t="shared" si="605"/>
        <v>烈风螳螂专属武器-魂珠-6 7级</v>
      </c>
      <c r="FX1263" s="101">
        <f t="shared" si="606"/>
        <v>6</v>
      </c>
      <c r="FY1263" s="101">
        <f t="shared" si="607"/>
        <v>7</v>
      </c>
      <c r="FZ1263" s="101" t="str">
        <f t="shared" si="599"/>
        <v>金币</v>
      </c>
      <c r="GA1263" s="139">
        <f>IF($FY1263&gt;0,IF(INDEX($EM$6:$EM$77,$FT1263)&gt;=GA$3,ROUND(INDEX(EO$6:EO$77,$FT1263)*INDEX(卡牌消耗!$B$8:$F$8,FV1263)/5,0)*5,""),"")</f>
        <v>5885</v>
      </c>
      <c r="GB1263" s="101" t="str">
        <f t="shared" si="600"/>
        <v>专属强化石3</v>
      </c>
      <c r="GC1263" s="101">
        <f t="shared" si="601"/>
        <v>25</v>
      </c>
      <c r="GD1263" s="101" t="str">
        <f t="shared" si="602"/>
        <v>专属强化石4</v>
      </c>
      <c r="GE1263" s="101">
        <f t="shared" si="603"/>
        <v>5</v>
      </c>
      <c r="GF1263" s="101">
        <f t="shared" si="608"/>
        <v>0.04</v>
      </c>
      <c r="GG1263" s="101">
        <f t="shared" si="609"/>
        <v>1</v>
      </c>
      <c r="GH1263" s="101">
        <f t="shared" si="610"/>
        <v>38</v>
      </c>
      <c r="GI1263" s="101">
        <f t="shared" si="611"/>
        <v>0</v>
      </c>
      <c r="GJ1263" s="101">
        <f t="shared" si="612"/>
        <v>1</v>
      </c>
      <c r="GK1263" s="101">
        <f t="shared" si="613"/>
        <v>9</v>
      </c>
      <c r="GL1263" s="101">
        <f t="shared" si="614"/>
        <v>1.9699999999999999E-2</v>
      </c>
      <c r="GM1263" s="101">
        <f t="shared" si="615"/>
        <v>1</v>
      </c>
      <c r="GN1263" s="101">
        <f t="shared" si="616"/>
        <v>18</v>
      </c>
      <c r="GO1263" s="101">
        <f t="shared" si="617"/>
        <v>7.8899999999999998E-2</v>
      </c>
      <c r="GP1263" s="101">
        <f t="shared" si="618"/>
        <v>1</v>
      </c>
      <c r="GQ1263" s="101">
        <f t="shared" si="619"/>
        <v>38</v>
      </c>
    </row>
    <row r="1264" spans="175:199" ht="16.5" x14ac:dyDescent="0.2">
      <c r="FS1264" s="101">
        <v>1259</v>
      </c>
      <c r="FT1264" s="101">
        <f t="shared" si="604"/>
        <v>53</v>
      </c>
      <c r="FU1264" s="101">
        <f t="shared" si="597"/>
        <v>16</v>
      </c>
      <c r="FV1264" s="14">
        <f t="shared" si="598"/>
        <v>3</v>
      </c>
      <c r="FW1264" s="101" t="str">
        <f t="shared" si="605"/>
        <v>烈风螳螂专属武器-魂珠-6 8级</v>
      </c>
      <c r="FX1264" s="101">
        <f t="shared" si="606"/>
        <v>6</v>
      </c>
      <c r="FY1264" s="101">
        <f t="shared" si="607"/>
        <v>8</v>
      </c>
      <c r="FZ1264" s="101" t="str">
        <f t="shared" si="599"/>
        <v>金币</v>
      </c>
      <c r="GA1264" s="139">
        <f>IF($FY1264&gt;0,IF(INDEX($EM$6:$EM$77,$FT1264)&gt;=GA$3,ROUND(INDEX(EO$6:EO$77,$FT1264)*INDEX(卡牌消耗!$B$8:$F$8,FV1264)/5,0)*5,""),"")</f>
        <v>8235</v>
      </c>
      <c r="GB1264" s="101" t="str">
        <f t="shared" si="600"/>
        <v>专属强化石3</v>
      </c>
      <c r="GC1264" s="101">
        <f t="shared" si="601"/>
        <v>35</v>
      </c>
      <c r="GD1264" s="101" t="str">
        <f t="shared" si="602"/>
        <v>专属强化石4</v>
      </c>
      <c r="GE1264" s="101">
        <f t="shared" si="603"/>
        <v>7</v>
      </c>
      <c r="GF1264" s="101">
        <f t="shared" si="608"/>
        <v>0.03</v>
      </c>
      <c r="GG1264" s="101">
        <f t="shared" si="609"/>
        <v>1</v>
      </c>
      <c r="GH1264" s="101">
        <f t="shared" si="610"/>
        <v>44</v>
      </c>
      <c r="GI1264" s="101">
        <f t="shared" si="611"/>
        <v>0</v>
      </c>
      <c r="GJ1264" s="101">
        <f t="shared" si="612"/>
        <v>1</v>
      </c>
      <c r="GK1264" s="101">
        <f t="shared" si="613"/>
        <v>10</v>
      </c>
      <c r="GL1264" s="101">
        <f t="shared" si="614"/>
        <v>1.7100000000000001E-2</v>
      </c>
      <c r="GM1264" s="101">
        <f t="shared" si="615"/>
        <v>1</v>
      </c>
      <c r="GN1264" s="101">
        <f t="shared" si="616"/>
        <v>21</v>
      </c>
      <c r="GO1264" s="101">
        <f t="shared" si="617"/>
        <v>6.8199999999999997E-2</v>
      </c>
      <c r="GP1264" s="101">
        <f t="shared" si="618"/>
        <v>1</v>
      </c>
      <c r="GQ1264" s="101">
        <f t="shared" si="619"/>
        <v>44</v>
      </c>
    </row>
    <row r="1265" spans="175:199" ht="16.5" x14ac:dyDescent="0.2">
      <c r="FS1265" s="101">
        <v>1260</v>
      </c>
      <c r="FT1265" s="101">
        <f t="shared" si="604"/>
        <v>54</v>
      </c>
      <c r="FU1265" s="101">
        <f t="shared" si="597"/>
        <v>16</v>
      </c>
      <c r="FV1265" s="14">
        <f t="shared" si="598"/>
        <v>3</v>
      </c>
      <c r="FW1265" s="101" t="str">
        <f t="shared" si="605"/>
        <v>烈风螳螂专属武器-魂珠-6 9级</v>
      </c>
      <c r="FX1265" s="101">
        <f t="shared" si="606"/>
        <v>6</v>
      </c>
      <c r="FY1265" s="101">
        <f t="shared" si="607"/>
        <v>9</v>
      </c>
      <c r="FZ1265" s="101" t="str">
        <f t="shared" si="599"/>
        <v>金币</v>
      </c>
      <c r="GA1265" s="139">
        <f>IF($FY1265&gt;0,IF(INDEX($EM$6:$EM$77,$FT1265)&gt;=GA$3,ROUND(INDEX(EO$6:EO$77,$FT1265)*INDEX(卡牌消耗!$B$8:$F$8,FV1265)/5,0)*5,""),"")</f>
        <v>9410</v>
      </c>
      <c r="GB1265" s="101" t="str">
        <f t="shared" si="600"/>
        <v>专属强化石3</v>
      </c>
      <c r="GC1265" s="101">
        <f t="shared" si="601"/>
        <v>40</v>
      </c>
      <c r="GD1265" s="101" t="str">
        <f t="shared" si="602"/>
        <v>专属强化石4</v>
      </c>
      <c r="GE1265" s="101">
        <f t="shared" si="603"/>
        <v>8</v>
      </c>
      <c r="GF1265" s="101">
        <f t="shared" si="608"/>
        <v>0.02</v>
      </c>
      <c r="GG1265" s="101">
        <f t="shared" si="609"/>
        <v>1</v>
      </c>
      <c r="GH1265" s="101">
        <f t="shared" si="610"/>
        <v>62</v>
      </c>
      <c r="GI1265" s="101">
        <f t="shared" si="611"/>
        <v>0</v>
      </c>
      <c r="GJ1265" s="101">
        <f t="shared" si="612"/>
        <v>1</v>
      </c>
      <c r="GK1265" s="101">
        <f t="shared" si="613"/>
        <v>15</v>
      </c>
      <c r="GL1265" s="101">
        <f t="shared" si="614"/>
        <v>1.21E-2</v>
      </c>
      <c r="GM1265" s="101">
        <f t="shared" si="615"/>
        <v>1</v>
      </c>
      <c r="GN1265" s="101">
        <f t="shared" si="616"/>
        <v>29</v>
      </c>
      <c r="GO1265" s="101">
        <f t="shared" si="617"/>
        <v>4.82E-2</v>
      </c>
      <c r="GP1265" s="101">
        <f t="shared" si="618"/>
        <v>1</v>
      </c>
      <c r="GQ1265" s="101">
        <f t="shared" si="619"/>
        <v>62</v>
      </c>
    </row>
    <row r="1266" spans="175:199" ht="16.5" x14ac:dyDescent="0.2">
      <c r="FS1266" s="101">
        <v>1261</v>
      </c>
      <c r="FT1266" s="101">
        <f t="shared" si="604"/>
        <v>0</v>
      </c>
      <c r="FU1266" s="101">
        <f t="shared" si="597"/>
        <v>16</v>
      </c>
      <c r="FV1266" s="14">
        <f t="shared" si="598"/>
        <v>3</v>
      </c>
      <c r="FW1266" s="101" t="str">
        <f t="shared" si="605"/>
        <v>烈风螳螂专属武器-魂珠-7 0级</v>
      </c>
      <c r="FX1266" s="101">
        <f t="shared" si="606"/>
        <v>7</v>
      </c>
      <c r="FY1266" s="101">
        <f t="shared" si="607"/>
        <v>0</v>
      </c>
      <c r="FZ1266" s="101" t="str">
        <f t="shared" si="599"/>
        <v/>
      </c>
      <c r="GA1266" s="139" t="str">
        <f>IF($FY1266&gt;0,IF(INDEX($EM$6:$EM$77,$FT1266)&gt;=GA$3,ROUND(INDEX(EO$6:EO$77,$FT1266)*INDEX(卡牌消耗!$B$8:$F$8,FV1266)/5,0)*5,""),"")</f>
        <v/>
      </c>
      <c r="GB1266" s="101" t="str">
        <f t="shared" si="600"/>
        <v/>
      </c>
      <c r="GC1266" s="101" t="str">
        <f t="shared" si="601"/>
        <v/>
      </c>
      <c r="GD1266" s="101" t="str">
        <f t="shared" si="602"/>
        <v/>
      </c>
      <c r="GE1266" s="101" t="str">
        <f t="shared" si="603"/>
        <v/>
      </c>
      <c r="GF1266" s="101" t="str">
        <f t="shared" si="608"/>
        <v/>
      </c>
      <c r="GG1266" s="101" t="str">
        <f t="shared" si="609"/>
        <v/>
      </c>
      <c r="GH1266" s="101" t="str">
        <f t="shared" si="610"/>
        <v/>
      </c>
      <c r="GI1266" s="101" t="str">
        <f t="shared" si="611"/>
        <v/>
      </c>
      <c r="GJ1266" s="101" t="str">
        <f t="shared" si="612"/>
        <v/>
      </c>
      <c r="GK1266" s="101" t="str">
        <f t="shared" si="613"/>
        <v/>
      </c>
      <c r="GL1266" s="101" t="str">
        <f t="shared" si="614"/>
        <v/>
      </c>
      <c r="GM1266" s="101" t="str">
        <f t="shared" si="615"/>
        <v/>
      </c>
      <c r="GN1266" s="101" t="str">
        <f t="shared" si="616"/>
        <v/>
      </c>
      <c r="GO1266" s="101" t="str">
        <f t="shared" si="617"/>
        <v/>
      </c>
      <c r="GP1266" s="101" t="str">
        <f t="shared" si="618"/>
        <v/>
      </c>
      <c r="GQ1266" s="101" t="str">
        <f t="shared" si="619"/>
        <v/>
      </c>
    </row>
    <row r="1267" spans="175:199" ht="16.5" x14ac:dyDescent="0.2">
      <c r="FS1267" s="101">
        <v>1262</v>
      </c>
      <c r="FT1267" s="101">
        <f t="shared" si="604"/>
        <v>55</v>
      </c>
      <c r="FU1267" s="101">
        <f t="shared" si="597"/>
        <v>16</v>
      </c>
      <c r="FV1267" s="14">
        <f t="shared" si="598"/>
        <v>3</v>
      </c>
      <c r="FW1267" s="101" t="str">
        <f t="shared" si="605"/>
        <v>烈风螳螂专属武器-魂珠-7 1级</v>
      </c>
      <c r="FX1267" s="101">
        <f t="shared" si="606"/>
        <v>7</v>
      </c>
      <c r="FY1267" s="101">
        <f t="shared" si="607"/>
        <v>1</v>
      </c>
      <c r="FZ1267" s="101" t="str">
        <f t="shared" si="599"/>
        <v>金币</v>
      </c>
      <c r="GA1267" s="139">
        <f>IF($FY1267&gt;0,IF(INDEX($EM$6:$EM$77,$FT1267)&gt;=GA$3,ROUND(INDEX(EO$6:EO$77,$FT1267)*INDEX(卡牌消耗!$B$8:$F$8,FV1267)/5,0)*5,""),"")</f>
        <v>5075</v>
      </c>
      <c r="GB1267" s="101" t="str">
        <f t="shared" si="600"/>
        <v>专属强化石3</v>
      </c>
      <c r="GC1267" s="101">
        <f t="shared" si="601"/>
        <v>6</v>
      </c>
      <c r="GD1267" s="101" t="str">
        <f t="shared" si="602"/>
        <v>专属强化石4</v>
      </c>
      <c r="GE1267" s="101">
        <f t="shared" si="603"/>
        <v>2</v>
      </c>
      <c r="GF1267" s="101">
        <f t="shared" si="608"/>
        <v>0.2</v>
      </c>
      <c r="GG1267" s="101">
        <f t="shared" si="609"/>
        <v>1</v>
      </c>
      <c r="GH1267" s="101">
        <f t="shared" si="610"/>
        <v>8</v>
      </c>
      <c r="GI1267" s="101">
        <f t="shared" si="611"/>
        <v>0</v>
      </c>
      <c r="GJ1267" s="101">
        <f t="shared" si="612"/>
        <v>1</v>
      </c>
      <c r="GK1267" s="101">
        <f t="shared" si="613"/>
        <v>2</v>
      </c>
      <c r="GL1267" s="101">
        <f t="shared" si="614"/>
        <v>9.9400000000000002E-2</v>
      </c>
      <c r="GM1267" s="101">
        <f t="shared" si="615"/>
        <v>1</v>
      </c>
      <c r="GN1267" s="101">
        <f t="shared" si="616"/>
        <v>4</v>
      </c>
      <c r="GO1267" s="101">
        <f t="shared" si="617"/>
        <v>0.3977</v>
      </c>
      <c r="GP1267" s="101">
        <f t="shared" si="618"/>
        <v>1</v>
      </c>
      <c r="GQ1267" s="101">
        <f t="shared" si="619"/>
        <v>8</v>
      </c>
    </row>
    <row r="1268" spans="175:199" ht="16.5" x14ac:dyDescent="0.2">
      <c r="FS1268" s="101">
        <v>1263</v>
      </c>
      <c r="FT1268" s="101">
        <f t="shared" si="604"/>
        <v>56</v>
      </c>
      <c r="FU1268" s="101">
        <f t="shared" si="597"/>
        <v>16</v>
      </c>
      <c r="FV1268" s="14">
        <f t="shared" si="598"/>
        <v>3</v>
      </c>
      <c r="FW1268" s="101" t="str">
        <f t="shared" si="605"/>
        <v>烈风螳螂专属武器-魂珠-7 2级</v>
      </c>
      <c r="FX1268" s="101">
        <f t="shared" si="606"/>
        <v>7</v>
      </c>
      <c r="FY1268" s="101">
        <f t="shared" si="607"/>
        <v>2</v>
      </c>
      <c r="FZ1268" s="101" t="str">
        <f t="shared" si="599"/>
        <v>金币</v>
      </c>
      <c r="GA1268" s="139">
        <f>IF($FY1268&gt;0,IF(INDEX($EM$6:$EM$77,$FT1268)&gt;=GA$3,ROUND(INDEX(EO$6:EO$77,$FT1268)*INDEX(卡牌消耗!$B$8:$F$8,FV1268)/5,0)*5,""),"")</f>
        <v>3810</v>
      </c>
      <c r="GB1268" s="101" t="str">
        <f t="shared" si="600"/>
        <v>专属强化石3</v>
      </c>
      <c r="GC1268" s="101">
        <f t="shared" si="601"/>
        <v>6</v>
      </c>
      <c r="GD1268" s="101" t="str">
        <f t="shared" si="602"/>
        <v>专属强化石4</v>
      </c>
      <c r="GE1268" s="101">
        <f t="shared" si="603"/>
        <v>2</v>
      </c>
      <c r="GF1268" s="101">
        <f t="shared" si="608"/>
        <v>0.1</v>
      </c>
      <c r="GG1268" s="101">
        <f t="shared" si="609"/>
        <v>1</v>
      </c>
      <c r="GH1268" s="101">
        <f t="shared" si="610"/>
        <v>15</v>
      </c>
      <c r="GI1268" s="101">
        <f t="shared" si="611"/>
        <v>0</v>
      </c>
      <c r="GJ1268" s="101">
        <f t="shared" si="612"/>
        <v>1</v>
      </c>
      <c r="GK1268" s="101">
        <f t="shared" si="613"/>
        <v>4</v>
      </c>
      <c r="GL1268" s="101">
        <f t="shared" si="614"/>
        <v>4.9700000000000001E-2</v>
      </c>
      <c r="GM1268" s="101">
        <f t="shared" si="615"/>
        <v>1</v>
      </c>
      <c r="GN1268" s="101">
        <f t="shared" si="616"/>
        <v>7</v>
      </c>
      <c r="GO1268" s="101">
        <f t="shared" si="617"/>
        <v>0.19889999999999999</v>
      </c>
      <c r="GP1268" s="101">
        <f t="shared" si="618"/>
        <v>1</v>
      </c>
      <c r="GQ1268" s="101">
        <f t="shared" si="619"/>
        <v>15</v>
      </c>
    </row>
    <row r="1269" spans="175:199" ht="16.5" x14ac:dyDescent="0.2">
      <c r="FS1269" s="101">
        <v>1264</v>
      </c>
      <c r="FT1269" s="101">
        <f t="shared" si="604"/>
        <v>57</v>
      </c>
      <c r="FU1269" s="101">
        <f t="shared" si="597"/>
        <v>16</v>
      </c>
      <c r="FV1269" s="14">
        <f t="shared" si="598"/>
        <v>3</v>
      </c>
      <c r="FW1269" s="101" t="str">
        <f t="shared" si="605"/>
        <v>烈风螳螂专属武器-魂珠-7 3级</v>
      </c>
      <c r="FX1269" s="101">
        <f t="shared" si="606"/>
        <v>7</v>
      </c>
      <c r="FY1269" s="101">
        <f t="shared" si="607"/>
        <v>3</v>
      </c>
      <c r="FZ1269" s="101" t="str">
        <f t="shared" si="599"/>
        <v>金币</v>
      </c>
      <c r="GA1269" s="139">
        <f>IF($FY1269&gt;0,IF(INDEX($EM$6:$EM$77,$FT1269)&gt;=GA$3,ROUND(INDEX(EO$6:EO$77,$FT1269)*INDEX(卡牌消耗!$B$8:$F$8,FV1269)/5,0)*5,""),"")</f>
        <v>6345</v>
      </c>
      <c r="GB1269" s="101" t="str">
        <f t="shared" si="600"/>
        <v>专属强化石3</v>
      </c>
      <c r="GC1269" s="101">
        <f t="shared" si="601"/>
        <v>9</v>
      </c>
      <c r="GD1269" s="101" t="str">
        <f t="shared" si="602"/>
        <v>专属强化石4</v>
      </c>
      <c r="GE1269" s="101">
        <f t="shared" si="603"/>
        <v>3</v>
      </c>
      <c r="GF1269" s="101">
        <f t="shared" si="608"/>
        <v>0.1</v>
      </c>
      <c r="GG1269" s="101">
        <f t="shared" si="609"/>
        <v>1</v>
      </c>
      <c r="GH1269" s="101">
        <f t="shared" si="610"/>
        <v>15</v>
      </c>
      <c r="GI1269" s="101">
        <f t="shared" si="611"/>
        <v>0</v>
      </c>
      <c r="GJ1269" s="101">
        <f t="shared" si="612"/>
        <v>1</v>
      </c>
      <c r="GK1269" s="101">
        <f t="shared" si="613"/>
        <v>4</v>
      </c>
      <c r="GL1269" s="101">
        <f t="shared" si="614"/>
        <v>4.9700000000000001E-2</v>
      </c>
      <c r="GM1269" s="101">
        <f t="shared" si="615"/>
        <v>1</v>
      </c>
      <c r="GN1269" s="101">
        <f t="shared" si="616"/>
        <v>7</v>
      </c>
      <c r="GO1269" s="101">
        <f t="shared" si="617"/>
        <v>0.19889999999999999</v>
      </c>
      <c r="GP1269" s="101">
        <f t="shared" si="618"/>
        <v>1</v>
      </c>
      <c r="GQ1269" s="101">
        <f t="shared" si="619"/>
        <v>15</v>
      </c>
    </row>
    <row r="1270" spans="175:199" ht="16.5" x14ac:dyDescent="0.2">
      <c r="FS1270" s="101">
        <v>1265</v>
      </c>
      <c r="FT1270" s="101">
        <f t="shared" si="604"/>
        <v>58</v>
      </c>
      <c r="FU1270" s="101">
        <f t="shared" si="597"/>
        <v>16</v>
      </c>
      <c r="FV1270" s="14">
        <f t="shared" si="598"/>
        <v>3</v>
      </c>
      <c r="FW1270" s="101" t="str">
        <f t="shared" si="605"/>
        <v>烈风螳螂专属武器-魂珠-7 4级</v>
      </c>
      <c r="FX1270" s="101">
        <f t="shared" si="606"/>
        <v>7</v>
      </c>
      <c r="FY1270" s="101">
        <f t="shared" si="607"/>
        <v>4</v>
      </c>
      <c r="FZ1270" s="101" t="str">
        <f t="shared" si="599"/>
        <v>金币</v>
      </c>
      <c r="GA1270" s="139">
        <f>IF($FY1270&gt;0,IF(INDEX($EM$6:$EM$77,$FT1270)&gt;=GA$3,ROUND(INDEX(EO$6:EO$77,$FT1270)*INDEX(卡牌消耗!$B$8:$F$8,FV1270)/5,0)*5,""),"")</f>
        <v>8125</v>
      </c>
      <c r="GB1270" s="101" t="str">
        <f t="shared" si="600"/>
        <v>专属强化石3</v>
      </c>
      <c r="GC1270" s="101">
        <f t="shared" si="601"/>
        <v>12</v>
      </c>
      <c r="GD1270" s="101" t="str">
        <f t="shared" si="602"/>
        <v>专属强化石4</v>
      </c>
      <c r="GE1270" s="101">
        <f t="shared" si="603"/>
        <v>4</v>
      </c>
      <c r="GF1270" s="101">
        <f t="shared" si="608"/>
        <v>0.08</v>
      </c>
      <c r="GG1270" s="101">
        <f t="shared" si="609"/>
        <v>1</v>
      </c>
      <c r="GH1270" s="101">
        <f t="shared" si="610"/>
        <v>19</v>
      </c>
      <c r="GI1270" s="101">
        <f t="shared" si="611"/>
        <v>0</v>
      </c>
      <c r="GJ1270" s="101">
        <f t="shared" si="612"/>
        <v>1</v>
      </c>
      <c r="GK1270" s="101">
        <f t="shared" si="613"/>
        <v>4</v>
      </c>
      <c r="GL1270" s="101">
        <f t="shared" si="614"/>
        <v>3.9800000000000002E-2</v>
      </c>
      <c r="GM1270" s="101">
        <f t="shared" si="615"/>
        <v>1</v>
      </c>
      <c r="GN1270" s="101">
        <f t="shared" si="616"/>
        <v>9</v>
      </c>
      <c r="GO1270" s="101">
        <f t="shared" si="617"/>
        <v>0.15909999999999999</v>
      </c>
      <c r="GP1270" s="101">
        <f t="shared" si="618"/>
        <v>1</v>
      </c>
      <c r="GQ1270" s="101">
        <f t="shared" si="619"/>
        <v>19</v>
      </c>
    </row>
    <row r="1271" spans="175:199" ht="16.5" x14ac:dyDescent="0.2">
      <c r="FS1271" s="101">
        <v>1266</v>
      </c>
      <c r="FT1271" s="101">
        <f t="shared" si="604"/>
        <v>59</v>
      </c>
      <c r="FU1271" s="101">
        <f t="shared" si="597"/>
        <v>16</v>
      </c>
      <c r="FV1271" s="14">
        <f t="shared" si="598"/>
        <v>3</v>
      </c>
      <c r="FW1271" s="101" t="str">
        <f t="shared" si="605"/>
        <v>烈风螳螂专属武器-魂珠-7 5级</v>
      </c>
      <c r="FX1271" s="101">
        <f t="shared" si="606"/>
        <v>7</v>
      </c>
      <c r="FY1271" s="101">
        <f t="shared" si="607"/>
        <v>5</v>
      </c>
      <c r="FZ1271" s="101" t="str">
        <f t="shared" si="599"/>
        <v>金币</v>
      </c>
      <c r="GA1271" s="139">
        <f>IF($FY1271&gt;0,IF(INDEX($EM$6:$EM$77,$FT1271)&gt;=GA$3,ROUND(INDEX(EO$6:EO$77,$FT1271)*INDEX(卡牌消耗!$B$8:$F$8,FV1271)/5,0)*5,""),"")</f>
        <v>8250</v>
      </c>
      <c r="GB1271" s="101" t="str">
        <f t="shared" si="600"/>
        <v>专属强化石3</v>
      </c>
      <c r="GC1271" s="101">
        <f t="shared" si="601"/>
        <v>12</v>
      </c>
      <c r="GD1271" s="101" t="str">
        <f t="shared" si="602"/>
        <v>专属强化石4</v>
      </c>
      <c r="GE1271" s="101">
        <f t="shared" si="603"/>
        <v>4</v>
      </c>
      <c r="GF1271" s="101">
        <f t="shared" si="608"/>
        <v>0.05</v>
      </c>
      <c r="GG1271" s="101">
        <f t="shared" si="609"/>
        <v>1</v>
      </c>
      <c r="GH1271" s="101">
        <f t="shared" si="610"/>
        <v>30</v>
      </c>
      <c r="GI1271" s="101">
        <f t="shared" si="611"/>
        <v>0</v>
      </c>
      <c r="GJ1271" s="101">
        <f t="shared" si="612"/>
        <v>1</v>
      </c>
      <c r="GK1271" s="101">
        <f t="shared" si="613"/>
        <v>7</v>
      </c>
      <c r="GL1271" s="101">
        <f t="shared" si="614"/>
        <v>2.4899999999999999E-2</v>
      </c>
      <c r="GM1271" s="101">
        <f t="shared" si="615"/>
        <v>1</v>
      </c>
      <c r="GN1271" s="101">
        <f t="shared" si="616"/>
        <v>14</v>
      </c>
      <c r="GO1271" s="101">
        <f t="shared" si="617"/>
        <v>9.9400000000000002E-2</v>
      </c>
      <c r="GP1271" s="101">
        <f t="shared" si="618"/>
        <v>1</v>
      </c>
      <c r="GQ1271" s="101">
        <f t="shared" si="619"/>
        <v>30</v>
      </c>
    </row>
    <row r="1272" spans="175:199" ht="16.5" x14ac:dyDescent="0.2">
      <c r="FS1272" s="101">
        <v>1267</v>
      </c>
      <c r="FT1272" s="101">
        <f t="shared" si="604"/>
        <v>60</v>
      </c>
      <c r="FU1272" s="101">
        <f t="shared" si="597"/>
        <v>16</v>
      </c>
      <c r="FV1272" s="14">
        <f t="shared" si="598"/>
        <v>3</v>
      </c>
      <c r="FW1272" s="101" t="str">
        <f t="shared" si="605"/>
        <v>烈风螳螂专属武器-魂珠-7 6级</v>
      </c>
      <c r="FX1272" s="101">
        <f t="shared" si="606"/>
        <v>7</v>
      </c>
      <c r="FY1272" s="101">
        <f t="shared" si="607"/>
        <v>6</v>
      </c>
      <c r="FZ1272" s="101" t="str">
        <f t="shared" si="599"/>
        <v>金币</v>
      </c>
      <c r="GA1272" s="139">
        <f>IF($FY1272&gt;0,IF(INDEX($EM$6:$EM$77,$FT1272)&gt;=GA$3,ROUND(INDEX(EO$6:EO$77,$FT1272)*INDEX(卡牌消耗!$B$8:$F$8,FV1272)/5,0)*5,""),"")</f>
        <v>10250</v>
      </c>
      <c r="GB1272" s="101" t="str">
        <f t="shared" si="600"/>
        <v>专属强化石3</v>
      </c>
      <c r="GC1272" s="101">
        <f t="shared" si="601"/>
        <v>15</v>
      </c>
      <c r="GD1272" s="101" t="str">
        <f t="shared" si="602"/>
        <v>专属强化石4</v>
      </c>
      <c r="GE1272" s="101">
        <f t="shared" si="603"/>
        <v>5</v>
      </c>
      <c r="GF1272" s="101">
        <f t="shared" si="608"/>
        <v>0.04</v>
      </c>
      <c r="GG1272" s="101">
        <f t="shared" si="609"/>
        <v>1</v>
      </c>
      <c r="GH1272" s="101">
        <f t="shared" si="610"/>
        <v>39</v>
      </c>
      <c r="GI1272" s="101">
        <f t="shared" si="611"/>
        <v>0</v>
      </c>
      <c r="GJ1272" s="101">
        <f t="shared" si="612"/>
        <v>1</v>
      </c>
      <c r="GK1272" s="101">
        <f t="shared" si="613"/>
        <v>9</v>
      </c>
      <c r="GL1272" s="101">
        <f t="shared" si="614"/>
        <v>1.9099999999999999E-2</v>
      </c>
      <c r="GM1272" s="101">
        <f t="shared" si="615"/>
        <v>1</v>
      </c>
      <c r="GN1272" s="101">
        <f t="shared" si="616"/>
        <v>18</v>
      </c>
      <c r="GO1272" s="101">
        <f t="shared" si="617"/>
        <v>7.6499999999999999E-2</v>
      </c>
      <c r="GP1272" s="101">
        <f t="shared" si="618"/>
        <v>1</v>
      </c>
      <c r="GQ1272" s="101">
        <f t="shared" si="619"/>
        <v>39</v>
      </c>
    </row>
    <row r="1273" spans="175:199" ht="16.5" x14ac:dyDescent="0.2">
      <c r="FS1273" s="101">
        <v>1268</v>
      </c>
      <c r="FT1273" s="101">
        <f t="shared" si="604"/>
        <v>61</v>
      </c>
      <c r="FU1273" s="101">
        <f t="shared" si="597"/>
        <v>16</v>
      </c>
      <c r="FV1273" s="14">
        <f t="shared" si="598"/>
        <v>3</v>
      </c>
      <c r="FW1273" s="101" t="str">
        <f t="shared" si="605"/>
        <v>烈风螳螂专属武器-魂珠-7 7级</v>
      </c>
      <c r="FX1273" s="101">
        <f t="shared" si="606"/>
        <v>7</v>
      </c>
      <c r="FY1273" s="101">
        <f t="shared" si="607"/>
        <v>7</v>
      </c>
      <c r="FZ1273" s="101" t="str">
        <f t="shared" si="599"/>
        <v>金币</v>
      </c>
      <c r="GA1273" s="139">
        <f>IF($FY1273&gt;0,IF(INDEX($EM$6:$EM$77,$FT1273)&gt;=GA$3,ROUND(INDEX(EO$6:EO$77,$FT1273)*INDEX(卡牌消耗!$B$8:$F$8,FV1273)/5,0)*5,""),"")</f>
        <v>14385</v>
      </c>
      <c r="GB1273" s="101" t="str">
        <f t="shared" si="600"/>
        <v>专属强化石3</v>
      </c>
      <c r="GC1273" s="101">
        <f t="shared" si="601"/>
        <v>21</v>
      </c>
      <c r="GD1273" s="101" t="str">
        <f t="shared" si="602"/>
        <v>专属强化石4</v>
      </c>
      <c r="GE1273" s="101">
        <f t="shared" si="603"/>
        <v>7</v>
      </c>
      <c r="GF1273" s="101">
        <f t="shared" si="608"/>
        <v>0.03</v>
      </c>
      <c r="GG1273" s="101">
        <f t="shared" si="609"/>
        <v>1</v>
      </c>
      <c r="GH1273" s="101">
        <f t="shared" si="610"/>
        <v>45</v>
      </c>
      <c r="GI1273" s="101">
        <f t="shared" si="611"/>
        <v>0</v>
      </c>
      <c r="GJ1273" s="101">
        <f t="shared" si="612"/>
        <v>1</v>
      </c>
      <c r="GK1273" s="101">
        <f t="shared" si="613"/>
        <v>11</v>
      </c>
      <c r="GL1273" s="101">
        <f t="shared" si="614"/>
        <v>1.66E-2</v>
      </c>
      <c r="GM1273" s="101">
        <f t="shared" si="615"/>
        <v>1</v>
      </c>
      <c r="GN1273" s="101">
        <f t="shared" si="616"/>
        <v>21</v>
      </c>
      <c r="GO1273" s="101">
        <f t="shared" si="617"/>
        <v>6.6299999999999998E-2</v>
      </c>
      <c r="GP1273" s="101">
        <f t="shared" si="618"/>
        <v>1</v>
      </c>
      <c r="GQ1273" s="101">
        <f t="shared" si="619"/>
        <v>45</v>
      </c>
    </row>
    <row r="1274" spans="175:199" ht="16.5" x14ac:dyDescent="0.2">
      <c r="FS1274" s="101">
        <v>1269</v>
      </c>
      <c r="FT1274" s="101">
        <f t="shared" si="604"/>
        <v>62</v>
      </c>
      <c r="FU1274" s="101">
        <f t="shared" si="597"/>
        <v>16</v>
      </c>
      <c r="FV1274" s="14">
        <f t="shared" si="598"/>
        <v>3</v>
      </c>
      <c r="FW1274" s="101" t="str">
        <f t="shared" si="605"/>
        <v>烈风螳螂专属武器-魂珠-7 8级</v>
      </c>
      <c r="FX1274" s="101">
        <f t="shared" si="606"/>
        <v>7</v>
      </c>
      <c r="FY1274" s="101">
        <f t="shared" si="607"/>
        <v>8</v>
      </c>
      <c r="FZ1274" s="101" t="str">
        <f t="shared" si="599"/>
        <v>金币</v>
      </c>
      <c r="GA1274" s="139">
        <f>IF($FY1274&gt;0,IF(INDEX($EM$6:$EM$77,$FT1274)&gt;=GA$3,ROUND(INDEX(EO$6:EO$77,$FT1274)*INDEX(卡牌消耗!$B$8:$F$8,FV1274)/5,0)*5,""),"")</f>
        <v>16425</v>
      </c>
      <c r="GB1274" s="101" t="str">
        <f t="shared" si="600"/>
        <v>专属强化石3</v>
      </c>
      <c r="GC1274" s="101">
        <f t="shared" si="601"/>
        <v>24</v>
      </c>
      <c r="GD1274" s="101" t="str">
        <f t="shared" si="602"/>
        <v>专属强化石4</v>
      </c>
      <c r="GE1274" s="101">
        <f t="shared" si="603"/>
        <v>8</v>
      </c>
      <c r="GF1274" s="101">
        <f t="shared" si="608"/>
        <v>0.02</v>
      </c>
      <c r="GG1274" s="101">
        <f t="shared" si="609"/>
        <v>1</v>
      </c>
      <c r="GH1274" s="101">
        <f t="shared" si="610"/>
        <v>64</v>
      </c>
      <c r="GI1274" s="101">
        <f t="shared" si="611"/>
        <v>0</v>
      </c>
      <c r="GJ1274" s="101">
        <f t="shared" si="612"/>
        <v>1</v>
      </c>
      <c r="GK1274" s="101">
        <f t="shared" si="613"/>
        <v>15</v>
      </c>
      <c r="GL1274" s="101">
        <f t="shared" si="614"/>
        <v>1.17E-2</v>
      </c>
      <c r="GM1274" s="101">
        <f t="shared" si="615"/>
        <v>1</v>
      </c>
      <c r="GN1274" s="101">
        <f t="shared" si="616"/>
        <v>30</v>
      </c>
      <c r="GO1274" s="101">
        <f t="shared" si="617"/>
        <v>4.6800000000000001E-2</v>
      </c>
      <c r="GP1274" s="101">
        <f t="shared" si="618"/>
        <v>1</v>
      </c>
      <c r="GQ1274" s="101">
        <f t="shared" si="619"/>
        <v>64</v>
      </c>
    </row>
    <row r="1275" spans="175:199" ht="16.5" x14ac:dyDescent="0.2">
      <c r="FS1275" s="101">
        <v>1270</v>
      </c>
      <c r="FT1275" s="101">
        <f t="shared" si="604"/>
        <v>63</v>
      </c>
      <c r="FU1275" s="101">
        <f t="shared" si="597"/>
        <v>16</v>
      </c>
      <c r="FV1275" s="14">
        <f t="shared" si="598"/>
        <v>3</v>
      </c>
      <c r="FW1275" s="101" t="str">
        <f t="shared" si="605"/>
        <v>烈风螳螂专属武器-魂珠-7 9级</v>
      </c>
      <c r="FX1275" s="101">
        <f t="shared" si="606"/>
        <v>7</v>
      </c>
      <c r="FY1275" s="101">
        <f t="shared" si="607"/>
        <v>9</v>
      </c>
      <c r="FZ1275" s="101" t="str">
        <f t="shared" si="599"/>
        <v>金币</v>
      </c>
      <c r="GA1275" s="139">
        <f>IF($FY1275&gt;0,IF(INDEX($EM$6:$EM$77,$FT1275)&gt;=GA$3,ROUND(INDEX(EO$6:EO$77,$FT1275)*INDEX(卡牌消耗!$B$8:$F$8,FV1275)/5,0)*5,""),"")</f>
        <v>20540</v>
      </c>
      <c r="GB1275" s="101" t="str">
        <f t="shared" si="600"/>
        <v>专属强化石3</v>
      </c>
      <c r="GC1275" s="101">
        <f t="shared" si="601"/>
        <v>30</v>
      </c>
      <c r="GD1275" s="101" t="str">
        <f t="shared" si="602"/>
        <v>专属强化石4</v>
      </c>
      <c r="GE1275" s="101">
        <f t="shared" si="603"/>
        <v>10</v>
      </c>
      <c r="GF1275" s="101">
        <f t="shared" si="608"/>
        <v>0.02</v>
      </c>
      <c r="GG1275" s="101">
        <f t="shared" si="609"/>
        <v>1</v>
      </c>
      <c r="GH1275" s="101">
        <f t="shared" si="610"/>
        <v>83</v>
      </c>
      <c r="GI1275" s="101">
        <f t="shared" si="611"/>
        <v>0</v>
      </c>
      <c r="GJ1275" s="101">
        <f t="shared" si="612"/>
        <v>1</v>
      </c>
      <c r="GK1275" s="101">
        <f t="shared" si="613"/>
        <v>19</v>
      </c>
      <c r="GL1275" s="101">
        <f t="shared" si="614"/>
        <v>8.9999999999999993E-3</v>
      </c>
      <c r="GM1275" s="101">
        <f t="shared" si="615"/>
        <v>1</v>
      </c>
      <c r="GN1275" s="101">
        <f t="shared" si="616"/>
        <v>39</v>
      </c>
      <c r="GO1275" s="101">
        <f t="shared" si="617"/>
        <v>3.6200000000000003E-2</v>
      </c>
      <c r="GP1275" s="101">
        <f t="shared" si="618"/>
        <v>1</v>
      </c>
      <c r="GQ1275" s="101">
        <f t="shared" si="619"/>
        <v>83</v>
      </c>
    </row>
    <row r="1276" spans="175:199" ht="16.5" x14ac:dyDescent="0.2">
      <c r="FS1276" s="101">
        <v>1271</v>
      </c>
      <c r="FT1276" s="101">
        <f t="shared" si="604"/>
        <v>0</v>
      </c>
      <c r="FU1276" s="101">
        <f t="shared" si="597"/>
        <v>16</v>
      </c>
      <c r="FV1276" s="14">
        <f t="shared" si="598"/>
        <v>3</v>
      </c>
      <c r="FW1276" s="101" t="str">
        <f t="shared" si="605"/>
        <v>烈风螳螂专属武器-魂珠-8 0级</v>
      </c>
      <c r="FX1276" s="101">
        <f t="shared" si="606"/>
        <v>8</v>
      </c>
      <c r="FY1276" s="101">
        <f t="shared" si="607"/>
        <v>0</v>
      </c>
      <c r="FZ1276" s="101" t="str">
        <f t="shared" si="599"/>
        <v/>
      </c>
      <c r="GA1276" s="139" t="str">
        <f>IF($FY1276&gt;0,IF(INDEX($EM$6:$EM$77,$FT1276)&gt;=GA$3,ROUND(INDEX(EO$6:EO$77,$FT1276)*INDEX(卡牌消耗!$B$8:$F$8,FV1276)/5,0)*5,""),"")</f>
        <v/>
      </c>
      <c r="GB1276" s="101" t="str">
        <f t="shared" si="600"/>
        <v/>
      </c>
      <c r="GC1276" s="101" t="str">
        <f t="shared" si="601"/>
        <v/>
      </c>
      <c r="GD1276" s="101" t="str">
        <f t="shared" si="602"/>
        <v/>
      </c>
      <c r="GE1276" s="101" t="str">
        <f t="shared" si="603"/>
        <v/>
      </c>
      <c r="GF1276" s="101" t="str">
        <f t="shared" si="608"/>
        <v/>
      </c>
      <c r="GG1276" s="101" t="str">
        <f t="shared" si="609"/>
        <v/>
      </c>
      <c r="GH1276" s="101" t="str">
        <f t="shared" si="610"/>
        <v/>
      </c>
      <c r="GI1276" s="101" t="str">
        <f t="shared" si="611"/>
        <v/>
      </c>
      <c r="GJ1276" s="101" t="str">
        <f t="shared" si="612"/>
        <v/>
      </c>
      <c r="GK1276" s="101" t="str">
        <f t="shared" si="613"/>
        <v/>
      </c>
      <c r="GL1276" s="101" t="str">
        <f t="shared" si="614"/>
        <v/>
      </c>
      <c r="GM1276" s="101" t="str">
        <f t="shared" si="615"/>
        <v/>
      </c>
      <c r="GN1276" s="101" t="str">
        <f t="shared" si="616"/>
        <v/>
      </c>
      <c r="GO1276" s="101" t="str">
        <f t="shared" si="617"/>
        <v/>
      </c>
      <c r="GP1276" s="101" t="str">
        <f t="shared" si="618"/>
        <v/>
      </c>
      <c r="GQ1276" s="101" t="str">
        <f t="shared" si="619"/>
        <v/>
      </c>
    </row>
    <row r="1277" spans="175:199" ht="16.5" x14ac:dyDescent="0.2">
      <c r="FS1277" s="101">
        <v>1272</v>
      </c>
      <c r="FT1277" s="101">
        <f t="shared" si="604"/>
        <v>64</v>
      </c>
      <c r="FU1277" s="101">
        <f t="shared" si="597"/>
        <v>16</v>
      </c>
      <c r="FV1277" s="14">
        <f t="shared" si="598"/>
        <v>3</v>
      </c>
      <c r="FW1277" s="101" t="str">
        <f t="shared" si="605"/>
        <v>烈风螳螂专属武器-魂珠-8 1级</v>
      </c>
      <c r="FX1277" s="101">
        <f t="shared" si="606"/>
        <v>8</v>
      </c>
      <c r="FY1277" s="101">
        <f t="shared" si="607"/>
        <v>1</v>
      </c>
      <c r="FZ1277" s="101" t="str">
        <f t="shared" si="599"/>
        <v>金币</v>
      </c>
      <c r="GA1277" s="139">
        <f>IF($FY1277&gt;0,IF(INDEX($EM$6:$EM$77,$FT1277)&gt;=GA$3,ROUND(INDEX(EO$6:EO$77,$FT1277)*INDEX(卡牌消耗!$B$8:$F$8,FV1277)/5,0)*5,""),"")</f>
        <v>4325</v>
      </c>
      <c r="GB1277" s="101" t="str">
        <f t="shared" si="600"/>
        <v>专属强化石4</v>
      </c>
      <c r="GC1277" s="101">
        <f t="shared" si="601"/>
        <v>5</v>
      </c>
      <c r="GD1277" s="101" t="str">
        <f t="shared" si="602"/>
        <v/>
      </c>
      <c r="GE1277" s="101" t="str">
        <f t="shared" si="603"/>
        <v/>
      </c>
      <c r="GF1277" s="101">
        <f t="shared" si="608"/>
        <v>0.11</v>
      </c>
      <c r="GG1277" s="101">
        <f t="shared" si="609"/>
        <v>1</v>
      </c>
      <c r="GH1277" s="101">
        <f t="shared" si="610"/>
        <v>13</v>
      </c>
      <c r="GI1277" s="101">
        <f t="shared" si="611"/>
        <v>0</v>
      </c>
      <c r="GJ1277" s="101">
        <f t="shared" si="612"/>
        <v>1</v>
      </c>
      <c r="GK1277" s="101">
        <f t="shared" si="613"/>
        <v>3</v>
      </c>
      <c r="GL1277" s="101">
        <f t="shared" si="614"/>
        <v>5.6500000000000002E-2</v>
      </c>
      <c r="GM1277" s="101">
        <f t="shared" si="615"/>
        <v>1</v>
      </c>
      <c r="GN1277" s="101">
        <f t="shared" si="616"/>
        <v>6</v>
      </c>
      <c r="GO1277" s="101">
        <f t="shared" si="617"/>
        <v>0.22600000000000001</v>
      </c>
      <c r="GP1277" s="101">
        <f t="shared" si="618"/>
        <v>1</v>
      </c>
      <c r="GQ1277" s="101">
        <f t="shared" si="619"/>
        <v>13</v>
      </c>
    </row>
    <row r="1278" spans="175:199" ht="16.5" x14ac:dyDescent="0.2">
      <c r="FS1278" s="101">
        <v>1273</v>
      </c>
      <c r="FT1278" s="101">
        <f t="shared" si="604"/>
        <v>65</v>
      </c>
      <c r="FU1278" s="101">
        <f t="shared" si="597"/>
        <v>16</v>
      </c>
      <c r="FV1278" s="14">
        <f t="shared" si="598"/>
        <v>3</v>
      </c>
      <c r="FW1278" s="101" t="str">
        <f t="shared" si="605"/>
        <v>烈风螳螂专属武器-魂珠-8 2级</v>
      </c>
      <c r="FX1278" s="101">
        <f t="shared" si="606"/>
        <v>8</v>
      </c>
      <c r="FY1278" s="101">
        <f t="shared" si="607"/>
        <v>2</v>
      </c>
      <c r="FZ1278" s="101" t="str">
        <f t="shared" si="599"/>
        <v>金币</v>
      </c>
      <c r="GA1278" s="139">
        <f>IF($FY1278&gt;0,IF(INDEX($EM$6:$EM$77,$FT1278)&gt;=GA$3,ROUND(INDEX(EO$6:EO$77,$FT1278)*INDEX(卡牌消耗!$B$8:$F$8,FV1278)/5,0)*5,""),"")</f>
        <v>5190</v>
      </c>
      <c r="GB1278" s="101" t="str">
        <f t="shared" si="600"/>
        <v>专属强化石4</v>
      </c>
      <c r="GC1278" s="101">
        <f t="shared" si="601"/>
        <v>8</v>
      </c>
      <c r="GD1278" s="101" t="str">
        <f t="shared" si="602"/>
        <v/>
      </c>
      <c r="GE1278" s="101" t="str">
        <f t="shared" si="603"/>
        <v/>
      </c>
      <c r="GF1278" s="101">
        <f t="shared" si="608"/>
        <v>0.09</v>
      </c>
      <c r="GG1278" s="101">
        <f t="shared" si="609"/>
        <v>1</v>
      </c>
      <c r="GH1278" s="101">
        <f t="shared" si="610"/>
        <v>17</v>
      </c>
      <c r="GI1278" s="101">
        <f t="shared" si="611"/>
        <v>0</v>
      </c>
      <c r="GJ1278" s="101">
        <f t="shared" si="612"/>
        <v>1</v>
      </c>
      <c r="GK1278" s="101">
        <f t="shared" si="613"/>
        <v>4</v>
      </c>
      <c r="GL1278" s="101">
        <f t="shared" si="614"/>
        <v>4.5199999999999997E-2</v>
      </c>
      <c r="GM1278" s="101">
        <f t="shared" si="615"/>
        <v>1</v>
      </c>
      <c r="GN1278" s="101">
        <f t="shared" si="616"/>
        <v>8</v>
      </c>
      <c r="GO1278" s="101">
        <f t="shared" si="617"/>
        <v>0.18079999999999999</v>
      </c>
      <c r="GP1278" s="101">
        <f t="shared" si="618"/>
        <v>1</v>
      </c>
      <c r="GQ1278" s="101">
        <f t="shared" si="619"/>
        <v>17</v>
      </c>
    </row>
    <row r="1279" spans="175:199" ht="16.5" x14ac:dyDescent="0.2">
      <c r="FS1279" s="101">
        <v>1274</v>
      </c>
      <c r="FT1279" s="101">
        <f t="shared" si="604"/>
        <v>66</v>
      </c>
      <c r="FU1279" s="101">
        <f t="shared" si="597"/>
        <v>16</v>
      </c>
      <c r="FV1279" s="14">
        <f t="shared" si="598"/>
        <v>3</v>
      </c>
      <c r="FW1279" s="101" t="str">
        <f t="shared" si="605"/>
        <v>烈风螳螂专属武器-魂珠-8 3级</v>
      </c>
      <c r="FX1279" s="101">
        <f t="shared" si="606"/>
        <v>8</v>
      </c>
      <c r="FY1279" s="101">
        <f t="shared" si="607"/>
        <v>3</v>
      </c>
      <c r="FZ1279" s="101" t="str">
        <f t="shared" si="599"/>
        <v>金币</v>
      </c>
      <c r="GA1279" s="139">
        <f>IF($FY1279&gt;0,IF(INDEX($EM$6:$EM$77,$FT1279)&gt;=GA$3,ROUND(INDEX(EO$6:EO$77,$FT1279)*INDEX(卡牌消耗!$B$8:$F$8,FV1279)/5,0)*5,""),"")</f>
        <v>7210</v>
      </c>
      <c r="GB1279" s="101" t="str">
        <f t="shared" si="600"/>
        <v>专属强化石4</v>
      </c>
      <c r="GC1279" s="101">
        <f t="shared" si="601"/>
        <v>10</v>
      </c>
      <c r="GD1279" s="101" t="str">
        <f t="shared" si="602"/>
        <v/>
      </c>
      <c r="GE1279" s="101" t="str">
        <f t="shared" si="603"/>
        <v/>
      </c>
      <c r="GF1279" s="101">
        <f t="shared" si="608"/>
        <v>0.08</v>
      </c>
      <c r="GG1279" s="101">
        <f t="shared" si="609"/>
        <v>1</v>
      </c>
      <c r="GH1279" s="101">
        <f t="shared" si="610"/>
        <v>20</v>
      </c>
      <c r="GI1279" s="101">
        <f t="shared" si="611"/>
        <v>0</v>
      </c>
      <c r="GJ1279" s="101">
        <f t="shared" si="612"/>
        <v>1</v>
      </c>
      <c r="GK1279" s="101">
        <f t="shared" si="613"/>
        <v>5</v>
      </c>
      <c r="GL1279" s="101">
        <f t="shared" si="614"/>
        <v>3.7699999999999997E-2</v>
      </c>
      <c r="GM1279" s="101">
        <f t="shared" si="615"/>
        <v>1</v>
      </c>
      <c r="GN1279" s="101">
        <f t="shared" si="616"/>
        <v>9</v>
      </c>
      <c r="GO1279" s="101">
        <f t="shared" si="617"/>
        <v>0.1507</v>
      </c>
      <c r="GP1279" s="101">
        <f t="shared" si="618"/>
        <v>1</v>
      </c>
      <c r="GQ1279" s="101">
        <f t="shared" si="619"/>
        <v>20</v>
      </c>
    </row>
    <row r="1280" spans="175:199" ht="16.5" x14ac:dyDescent="0.2">
      <c r="FS1280" s="101">
        <v>1275</v>
      </c>
      <c r="FT1280" s="101">
        <f t="shared" si="604"/>
        <v>67</v>
      </c>
      <c r="FU1280" s="101">
        <f t="shared" si="597"/>
        <v>16</v>
      </c>
      <c r="FV1280" s="14">
        <f t="shared" si="598"/>
        <v>3</v>
      </c>
      <c r="FW1280" s="101" t="str">
        <f t="shared" si="605"/>
        <v>烈风螳螂专属武器-魂珠-8 4级</v>
      </c>
      <c r="FX1280" s="101">
        <f t="shared" si="606"/>
        <v>8</v>
      </c>
      <c r="FY1280" s="101">
        <f t="shared" si="607"/>
        <v>4</v>
      </c>
      <c r="FZ1280" s="101" t="str">
        <f t="shared" si="599"/>
        <v>金币</v>
      </c>
      <c r="GA1280" s="139">
        <f>IF($FY1280&gt;0,IF(INDEX($EM$6:$EM$77,$FT1280)&gt;=GA$3,ROUND(INDEX(EO$6:EO$77,$FT1280)*INDEX(卡牌消耗!$B$8:$F$8,FV1280)/5,0)*5,""),"")</f>
        <v>8310</v>
      </c>
      <c r="GB1280" s="101" t="str">
        <f t="shared" si="600"/>
        <v>专属强化石4</v>
      </c>
      <c r="GC1280" s="101">
        <f t="shared" si="601"/>
        <v>12</v>
      </c>
      <c r="GD1280" s="101" t="str">
        <f t="shared" si="602"/>
        <v/>
      </c>
      <c r="GE1280" s="101" t="str">
        <f t="shared" si="603"/>
        <v/>
      </c>
      <c r="GF1280" s="101">
        <f t="shared" si="608"/>
        <v>0.05</v>
      </c>
      <c r="GG1280" s="101">
        <f t="shared" si="609"/>
        <v>1</v>
      </c>
      <c r="GH1280" s="101">
        <f t="shared" si="610"/>
        <v>28</v>
      </c>
      <c r="GI1280" s="101">
        <f t="shared" si="611"/>
        <v>0</v>
      </c>
      <c r="GJ1280" s="101">
        <f t="shared" si="612"/>
        <v>1</v>
      </c>
      <c r="GK1280" s="101">
        <f t="shared" si="613"/>
        <v>6</v>
      </c>
      <c r="GL1280" s="101">
        <f t="shared" si="614"/>
        <v>2.7099999999999999E-2</v>
      </c>
      <c r="GM1280" s="101">
        <f t="shared" si="615"/>
        <v>1</v>
      </c>
      <c r="GN1280" s="101">
        <f t="shared" si="616"/>
        <v>13</v>
      </c>
      <c r="GO1280" s="101">
        <f t="shared" si="617"/>
        <v>0.1085</v>
      </c>
      <c r="GP1280" s="101">
        <f t="shared" si="618"/>
        <v>1</v>
      </c>
      <c r="GQ1280" s="101">
        <f t="shared" si="619"/>
        <v>28</v>
      </c>
    </row>
    <row r="1281" spans="175:199" ht="16.5" x14ac:dyDescent="0.2">
      <c r="FS1281" s="101">
        <v>1276</v>
      </c>
      <c r="FT1281" s="101">
        <f t="shared" si="604"/>
        <v>68</v>
      </c>
      <c r="FU1281" s="101">
        <f t="shared" si="597"/>
        <v>16</v>
      </c>
      <c r="FV1281" s="14">
        <f t="shared" si="598"/>
        <v>3</v>
      </c>
      <c r="FW1281" s="101" t="str">
        <f t="shared" si="605"/>
        <v>烈风螳螂专属武器-魂珠-8 5级</v>
      </c>
      <c r="FX1281" s="101">
        <f t="shared" si="606"/>
        <v>8</v>
      </c>
      <c r="FY1281" s="101">
        <f t="shared" si="607"/>
        <v>5</v>
      </c>
      <c r="FZ1281" s="101" t="str">
        <f t="shared" si="599"/>
        <v>金币</v>
      </c>
      <c r="GA1281" s="139">
        <f>IF($FY1281&gt;0,IF(INDEX($EM$6:$EM$77,$FT1281)&gt;=GA$3,ROUND(INDEX(EO$6:EO$77,$FT1281)*INDEX(卡牌消耗!$B$8:$F$8,FV1281)/5,0)*5,""),"")</f>
        <v>10545</v>
      </c>
      <c r="GB1281" s="101" t="str">
        <f t="shared" si="600"/>
        <v>专属强化石4</v>
      </c>
      <c r="GC1281" s="101">
        <f t="shared" si="601"/>
        <v>15</v>
      </c>
      <c r="GD1281" s="101" t="str">
        <f t="shared" si="602"/>
        <v/>
      </c>
      <c r="GE1281" s="101" t="str">
        <f t="shared" si="603"/>
        <v/>
      </c>
      <c r="GF1281" s="101">
        <f t="shared" si="608"/>
        <v>0.04</v>
      </c>
      <c r="GG1281" s="101">
        <f t="shared" si="609"/>
        <v>1</v>
      </c>
      <c r="GH1281" s="101">
        <f t="shared" si="610"/>
        <v>35</v>
      </c>
      <c r="GI1281" s="101">
        <f t="shared" si="611"/>
        <v>0</v>
      </c>
      <c r="GJ1281" s="101">
        <f t="shared" si="612"/>
        <v>1</v>
      </c>
      <c r="GK1281" s="101">
        <f t="shared" si="613"/>
        <v>8</v>
      </c>
      <c r="GL1281" s="101">
        <f t="shared" si="614"/>
        <v>2.12E-2</v>
      </c>
      <c r="GM1281" s="101">
        <f t="shared" si="615"/>
        <v>1</v>
      </c>
      <c r="GN1281" s="101">
        <f t="shared" si="616"/>
        <v>17</v>
      </c>
      <c r="GO1281" s="101">
        <f t="shared" si="617"/>
        <v>8.4699999999999998E-2</v>
      </c>
      <c r="GP1281" s="101">
        <f t="shared" si="618"/>
        <v>1</v>
      </c>
      <c r="GQ1281" s="101">
        <f t="shared" si="619"/>
        <v>35</v>
      </c>
    </row>
    <row r="1282" spans="175:199" ht="16.5" x14ac:dyDescent="0.2">
      <c r="FS1282" s="101">
        <v>1277</v>
      </c>
      <c r="FT1282" s="101">
        <f t="shared" si="604"/>
        <v>69</v>
      </c>
      <c r="FU1282" s="101">
        <f t="shared" si="597"/>
        <v>16</v>
      </c>
      <c r="FV1282" s="14">
        <f t="shared" si="598"/>
        <v>3</v>
      </c>
      <c r="FW1282" s="101" t="str">
        <f t="shared" si="605"/>
        <v>烈风螳螂专属武器-魂珠-8 6级</v>
      </c>
      <c r="FX1282" s="101">
        <f t="shared" si="606"/>
        <v>8</v>
      </c>
      <c r="FY1282" s="101">
        <f t="shared" si="607"/>
        <v>6</v>
      </c>
      <c r="FZ1282" s="101" t="str">
        <f t="shared" si="599"/>
        <v>金币</v>
      </c>
      <c r="GA1282" s="139">
        <f>IF($FY1282&gt;0,IF(INDEX($EM$6:$EM$77,$FT1282)&gt;=GA$3,ROUND(INDEX(EO$6:EO$77,$FT1282)*INDEX(卡牌消耗!$B$8:$F$8,FV1282)/5,0)*5,""),"")</f>
        <v>12580</v>
      </c>
      <c r="GB1282" s="101" t="str">
        <f t="shared" si="600"/>
        <v>专属强化石4</v>
      </c>
      <c r="GC1282" s="101">
        <f t="shared" si="601"/>
        <v>18</v>
      </c>
      <c r="GD1282" s="101" t="str">
        <f t="shared" si="602"/>
        <v/>
      </c>
      <c r="GE1282" s="101" t="str">
        <f t="shared" si="603"/>
        <v/>
      </c>
      <c r="GF1282" s="101">
        <f t="shared" si="608"/>
        <v>0.03</v>
      </c>
      <c r="GG1282" s="101">
        <f t="shared" si="609"/>
        <v>1</v>
      </c>
      <c r="GH1282" s="101">
        <f t="shared" si="610"/>
        <v>48</v>
      </c>
      <c r="GI1282" s="101">
        <f t="shared" si="611"/>
        <v>0</v>
      </c>
      <c r="GJ1282" s="101">
        <f t="shared" si="612"/>
        <v>1</v>
      </c>
      <c r="GK1282" s="101">
        <f t="shared" si="613"/>
        <v>11</v>
      </c>
      <c r="GL1282" s="101">
        <f t="shared" si="614"/>
        <v>1.5599999999999999E-2</v>
      </c>
      <c r="GM1282" s="101">
        <f t="shared" si="615"/>
        <v>1</v>
      </c>
      <c r="GN1282" s="101">
        <f t="shared" si="616"/>
        <v>22</v>
      </c>
      <c r="GO1282" s="101">
        <f t="shared" si="617"/>
        <v>6.2600000000000003E-2</v>
      </c>
      <c r="GP1282" s="101">
        <f t="shared" si="618"/>
        <v>1</v>
      </c>
      <c r="GQ1282" s="101">
        <f t="shared" si="619"/>
        <v>48</v>
      </c>
    </row>
    <row r="1283" spans="175:199" ht="16.5" x14ac:dyDescent="0.2">
      <c r="FS1283" s="101">
        <v>1278</v>
      </c>
      <c r="FT1283" s="101">
        <f t="shared" si="604"/>
        <v>70</v>
      </c>
      <c r="FU1283" s="101">
        <f t="shared" si="597"/>
        <v>16</v>
      </c>
      <c r="FV1283" s="14">
        <f t="shared" si="598"/>
        <v>3</v>
      </c>
      <c r="FW1283" s="101" t="str">
        <f t="shared" si="605"/>
        <v>烈风螳螂专属武器-魂珠-8 7级</v>
      </c>
      <c r="FX1283" s="101">
        <f t="shared" si="606"/>
        <v>8</v>
      </c>
      <c r="FY1283" s="101">
        <f t="shared" si="607"/>
        <v>7</v>
      </c>
      <c r="FZ1283" s="101" t="str">
        <f t="shared" si="599"/>
        <v>金币</v>
      </c>
      <c r="GA1283" s="139">
        <f>IF($FY1283&gt;0,IF(INDEX($EM$6:$EM$77,$FT1283)&gt;=GA$3,ROUND(INDEX(EO$6:EO$77,$FT1283)*INDEX(卡牌消耗!$B$8:$F$8,FV1283)/5,0)*5,""),"")</f>
        <v>17515</v>
      </c>
      <c r="GB1283" s="101" t="str">
        <f t="shared" si="600"/>
        <v>专属强化石4</v>
      </c>
      <c r="GC1283" s="101">
        <f t="shared" si="601"/>
        <v>25</v>
      </c>
      <c r="GD1283" s="101" t="str">
        <f t="shared" si="602"/>
        <v/>
      </c>
      <c r="GE1283" s="101" t="str">
        <f t="shared" si="603"/>
        <v/>
      </c>
      <c r="GF1283" s="101">
        <f t="shared" si="608"/>
        <v>0.03</v>
      </c>
      <c r="GG1283" s="101">
        <f t="shared" si="609"/>
        <v>1</v>
      </c>
      <c r="GH1283" s="101">
        <f t="shared" si="610"/>
        <v>56</v>
      </c>
      <c r="GI1283" s="101">
        <f t="shared" si="611"/>
        <v>0</v>
      </c>
      <c r="GJ1283" s="101">
        <f t="shared" si="612"/>
        <v>1</v>
      </c>
      <c r="GK1283" s="101">
        <f t="shared" si="613"/>
        <v>13</v>
      </c>
      <c r="GL1283" s="101">
        <f t="shared" si="614"/>
        <v>1.35E-2</v>
      </c>
      <c r="GM1283" s="101">
        <f t="shared" si="615"/>
        <v>1</v>
      </c>
      <c r="GN1283" s="101">
        <f t="shared" si="616"/>
        <v>26</v>
      </c>
      <c r="GO1283" s="101">
        <f t="shared" si="617"/>
        <v>5.3800000000000001E-2</v>
      </c>
      <c r="GP1283" s="101">
        <f t="shared" si="618"/>
        <v>1</v>
      </c>
      <c r="GQ1283" s="101">
        <f t="shared" si="619"/>
        <v>56</v>
      </c>
    </row>
    <row r="1284" spans="175:199" ht="16.5" x14ac:dyDescent="0.2">
      <c r="FS1284" s="101">
        <v>1279</v>
      </c>
      <c r="FT1284" s="101">
        <f t="shared" si="604"/>
        <v>71</v>
      </c>
      <c r="FU1284" s="101">
        <f t="shared" si="597"/>
        <v>16</v>
      </c>
      <c r="FV1284" s="14">
        <f t="shared" si="598"/>
        <v>3</v>
      </c>
      <c r="FW1284" s="101" t="str">
        <f t="shared" si="605"/>
        <v>烈风螳螂专属武器-魂珠-8 8级</v>
      </c>
      <c r="FX1284" s="101">
        <f t="shared" si="606"/>
        <v>8</v>
      </c>
      <c r="FY1284" s="101">
        <f t="shared" si="607"/>
        <v>8</v>
      </c>
      <c r="FZ1284" s="101" t="str">
        <f t="shared" si="599"/>
        <v>金币</v>
      </c>
      <c r="GA1284" s="139">
        <f>IF($FY1284&gt;0,IF(INDEX($EM$6:$EM$77,$FT1284)&gt;=GA$3,ROUND(INDEX(EO$6:EO$77,$FT1284)*INDEX(卡牌消耗!$B$8:$F$8,FV1284)/5,0)*5,""),"")</f>
        <v>21000</v>
      </c>
      <c r="GB1284" s="101" t="str">
        <f t="shared" si="600"/>
        <v>专属强化石4</v>
      </c>
      <c r="GC1284" s="101">
        <f t="shared" si="601"/>
        <v>30</v>
      </c>
      <c r="GD1284" s="101" t="str">
        <f t="shared" si="602"/>
        <v/>
      </c>
      <c r="GE1284" s="101" t="str">
        <f t="shared" si="603"/>
        <v/>
      </c>
      <c r="GF1284" s="101">
        <f t="shared" si="608"/>
        <v>0.02</v>
      </c>
      <c r="GG1284" s="101">
        <f t="shared" si="609"/>
        <v>1</v>
      </c>
      <c r="GH1284" s="101">
        <f t="shared" si="610"/>
        <v>75</v>
      </c>
      <c r="GI1284" s="101">
        <f t="shared" si="611"/>
        <v>0</v>
      </c>
      <c r="GJ1284" s="101">
        <f t="shared" si="612"/>
        <v>1</v>
      </c>
      <c r="GK1284" s="101">
        <f t="shared" si="613"/>
        <v>18</v>
      </c>
      <c r="GL1284" s="101">
        <f t="shared" si="614"/>
        <v>0.01</v>
      </c>
      <c r="GM1284" s="101">
        <f t="shared" si="615"/>
        <v>1</v>
      </c>
      <c r="GN1284" s="101">
        <f t="shared" si="616"/>
        <v>35</v>
      </c>
      <c r="GO1284" s="101">
        <f t="shared" si="617"/>
        <v>3.9899999999999998E-2</v>
      </c>
      <c r="GP1284" s="101">
        <f t="shared" si="618"/>
        <v>1</v>
      </c>
      <c r="GQ1284" s="101">
        <f t="shared" si="619"/>
        <v>75</v>
      </c>
    </row>
    <row r="1285" spans="175:199" ht="16.5" x14ac:dyDescent="0.2">
      <c r="FS1285" s="101">
        <v>1280</v>
      </c>
      <c r="FT1285" s="101">
        <f t="shared" si="604"/>
        <v>72</v>
      </c>
      <c r="FU1285" s="101">
        <f t="shared" si="597"/>
        <v>16</v>
      </c>
      <c r="FV1285" s="14">
        <f t="shared" si="598"/>
        <v>3</v>
      </c>
      <c r="FW1285" s="101" t="str">
        <f t="shared" si="605"/>
        <v>烈风螳螂专属武器-魂珠-8 9级</v>
      </c>
      <c r="FX1285" s="101">
        <f t="shared" si="606"/>
        <v>8</v>
      </c>
      <c r="FY1285" s="101">
        <f t="shared" si="607"/>
        <v>9</v>
      </c>
      <c r="FZ1285" s="101" t="str">
        <f t="shared" si="599"/>
        <v>金币</v>
      </c>
      <c r="GA1285" s="139">
        <f>IF($FY1285&gt;0,IF(INDEX($EM$6:$EM$77,$FT1285)&gt;=GA$3,ROUND(INDEX(EO$6:EO$77,$FT1285)*INDEX(卡牌消耗!$B$8:$F$8,FV1285)/5,0)*5,""),"")</f>
        <v>21005</v>
      </c>
      <c r="GB1285" s="101" t="str">
        <f t="shared" si="600"/>
        <v>专属强化石4</v>
      </c>
      <c r="GC1285" s="101">
        <f t="shared" si="601"/>
        <v>30</v>
      </c>
      <c r="GD1285" s="101" t="str">
        <f t="shared" si="602"/>
        <v/>
      </c>
      <c r="GE1285" s="101" t="str">
        <f t="shared" si="603"/>
        <v/>
      </c>
      <c r="GF1285" s="101">
        <f t="shared" si="608"/>
        <v>0.01</v>
      </c>
      <c r="GG1285" s="101">
        <f t="shared" si="609"/>
        <v>1</v>
      </c>
      <c r="GH1285" s="101">
        <f t="shared" si="610"/>
        <v>122</v>
      </c>
      <c r="GI1285" s="101">
        <f t="shared" si="611"/>
        <v>0</v>
      </c>
      <c r="GJ1285" s="101">
        <f t="shared" si="612"/>
        <v>1</v>
      </c>
      <c r="GK1285" s="101">
        <f t="shared" si="613"/>
        <v>28</v>
      </c>
      <c r="GL1285" s="101">
        <f t="shared" si="614"/>
        <v>6.1999999999999998E-3</v>
      </c>
      <c r="GM1285" s="101">
        <f t="shared" si="615"/>
        <v>1</v>
      </c>
      <c r="GN1285" s="101">
        <f t="shared" si="616"/>
        <v>57</v>
      </c>
      <c r="GO1285" s="101">
        <f t="shared" si="617"/>
        <v>2.47E-2</v>
      </c>
      <c r="GP1285" s="101">
        <f t="shared" si="618"/>
        <v>1</v>
      </c>
      <c r="GQ1285" s="101">
        <f t="shared" si="619"/>
        <v>122</v>
      </c>
    </row>
    <row r="1286" spans="175:199" ht="16.5" x14ac:dyDescent="0.2">
      <c r="FS1286" s="101">
        <v>1281</v>
      </c>
      <c r="FT1286" s="101">
        <f t="shared" si="604"/>
        <v>0</v>
      </c>
      <c r="FU1286" s="101">
        <f t="shared" si="597"/>
        <v>17</v>
      </c>
      <c r="FV1286" s="14">
        <f t="shared" si="598"/>
        <v>3</v>
      </c>
      <c r="FW1286" s="101" t="str">
        <f t="shared" si="605"/>
        <v>朱仙专属武器-魂珠-1 0级</v>
      </c>
      <c r="FX1286" s="101">
        <f t="shared" si="606"/>
        <v>1</v>
      </c>
      <c r="FY1286" s="101">
        <f t="shared" si="607"/>
        <v>0</v>
      </c>
      <c r="FZ1286" s="101" t="str">
        <f t="shared" si="599"/>
        <v/>
      </c>
      <c r="GA1286" s="139" t="str">
        <f>IF($FY1286&gt;0,IF(INDEX($EM$6:$EM$77,$FT1286)&gt;=GA$3,ROUND(INDEX(EO$6:EO$77,$FT1286)*INDEX(卡牌消耗!$B$8:$F$8,FV1286)/5,0)*5,""),"")</f>
        <v/>
      </c>
      <c r="GB1286" s="101" t="str">
        <f t="shared" si="600"/>
        <v/>
      </c>
      <c r="GC1286" s="101" t="str">
        <f t="shared" si="601"/>
        <v/>
      </c>
      <c r="GD1286" s="101" t="str">
        <f t="shared" si="602"/>
        <v/>
      </c>
      <c r="GE1286" s="101" t="str">
        <f t="shared" si="603"/>
        <v/>
      </c>
      <c r="GF1286" s="101" t="str">
        <f t="shared" si="608"/>
        <v/>
      </c>
      <c r="GG1286" s="101" t="str">
        <f t="shared" si="609"/>
        <v/>
      </c>
      <c r="GH1286" s="101" t="str">
        <f t="shared" si="610"/>
        <v/>
      </c>
      <c r="GI1286" s="101" t="str">
        <f t="shared" si="611"/>
        <v/>
      </c>
      <c r="GJ1286" s="101" t="str">
        <f t="shared" si="612"/>
        <v/>
      </c>
      <c r="GK1286" s="101" t="str">
        <f t="shared" si="613"/>
        <v/>
      </c>
      <c r="GL1286" s="101" t="str">
        <f t="shared" si="614"/>
        <v/>
      </c>
      <c r="GM1286" s="101" t="str">
        <f t="shared" si="615"/>
        <v/>
      </c>
      <c r="GN1286" s="101" t="str">
        <f t="shared" si="616"/>
        <v/>
      </c>
      <c r="GO1286" s="101" t="str">
        <f t="shared" si="617"/>
        <v/>
      </c>
      <c r="GP1286" s="101" t="str">
        <f t="shared" si="618"/>
        <v/>
      </c>
      <c r="GQ1286" s="101" t="str">
        <f t="shared" si="619"/>
        <v/>
      </c>
    </row>
    <row r="1287" spans="175:199" ht="16.5" x14ac:dyDescent="0.2">
      <c r="FS1287" s="101">
        <v>1282</v>
      </c>
      <c r="FT1287" s="101">
        <f t="shared" si="604"/>
        <v>1</v>
      </c>
      <c r="FU1287" s="101">
        <f t="shared" ref="FU1287:FU1350" si="620">INT((FS1287-1)/80+1)</f>
        <v>17</v>
      </c>
      <c r="FV1287" s="14">
        <f t="shared" ref="FV1287:FV1350" si="621">INDEX($FO$6:$FO$26,FU1287)</f>
        <v>3</v>
      </c>
      <c r="FW1287" s="101" t="str">
        <f t="shared" si="605"/>
        <v>朱仙专属武器-魂珠-1 1级</v>
      </c>
      <c r="FX1287" s="101">
        <f t="shared" si="606"/>
        <v>1</v>
      </c>
      <c r="FY1287" s="101">
        <f t="shared" si="607"/>
        <v>1</v>
      </c>
      <c r="FZ1287" s="101" t="str">
        <f t="shared" ref="FZ1287:FZ1350" si="622">IF($FY1287&gt;0,IF(INDEX($EM$6:$EM$77,$FT1287)&gt;=FZ$3,INDEX(EN$6:EN$77,$FT1287),""),"")</f>
        <v>金币</v>
      </c>
      <c r="GA1287" s="139">
        <f>IF($FY1287&gt;0,IF(INDEX($EM$6:$EM$77,$FT1287)&gt;=GA$3,ROUND(INDEX(EO$6:EO$77,$FT1287)*INDEX(卡牌消耗!$B$8:$F$8,FV1287)/5,0)*5,""),"")</f>
        <v>95</v>
      </c>
      <c r="GB1287" s="101" t="str">
        <f t="shared" ref="GB1287:GB1350" si="623">IF($FY1287&gt;0,IF(INDEX($EM$6:$EM$77,$FT1287)&gt;=GB$3,INDEX(EP$6:EP$77,$FT1287),""),"")</f>
        <v>专属强化石1</v>
      </c>
      <c r="GC1287" s="101">
        <f t="shared" ref="GC1287:GC1350" si="624">IF($FY1287&gt;0,IF(INDEX($EM$6:$EM$77,$FT1287)&gt;=GC$3,INDEX(EQ$6:EQ$77,$FT1287),""),"")</f>
        <v>1</v>
      </c>
      <c r="GD1287" s="101" t="str">
        <f t="shared" ref="GD1287:GD1350" si="625">IF($FY1287&gt;0,IF(INDEX($EM$6:$EM$77,$FT1287)&gt;=GD$3,INDEX(ER$6:ER$77,$FT1287),""),"")</f>
        <v/>
      </c>
      <c r="GE1287" s="101" t="str">
        <f t="shared" ref="GE1287:GE1350" si="626">IF($FY1287&gt;0,IF(INDEX($EM$6:$EM$77,$FT1287)&gt;=GE$3,INDEX(ES$6:ES$77,$FT1287),""),"")</f>
        <v/>
      </c>
      <c r="GF1287" s="101">
        <f t="shared" si="608"/>
        <v>0.32</v>
      </c>
      <c r="GG1287" s="101">
        <f t="shared" si="609"/>
        <v>1</v>
      </c>
      <c r="GH1287" s="101">
        <f t="shared" si="610"/>
        <v>5</v>
      </c>
      <c r="GI1287" s="101">
        <f t="shared" si="611"/>
        <v>0</v>
      </c>
      <c r="GJ1287" s="101">
        <f t="shared" si="612"/>
        <v>1</v>
      </c>
      <c r="GK1287" s="101">
        <f t="shared" si="613"/>
        <v>1</v>
      </c>
      <c r="GL1287" s="101">
        <f t="shared" si="614"/>
        <v>0.1595</v>
      </c>
      <c r="GM1287" s="101">
        <f t="shared" si="615"/>
        <v>1</v>
      </c>
      <c r="GN1287" s="101">
        <f t="shared" si="616"/>
        <v>2</v>
      </c>
      <c r="GO1287" s="101">
        <f t="shared" si="617"/>
        <v>0.63819999999999999</v>
      </c>
      <c r="GP1287" s="101">
        <f t="shared" si="618"/>
        <v>1</v>
      </c>
      <c r="GQ1287" s="101">
        <f t="shared" si="619"/>
        <v>5</v>
      </c>
    </row>
    <row r="1288" spans="175:199" ht="16.5" x14ac:dyDescent="0.2">
      <c r="FS1288" s="101">
        <v>1283</v>
      </c>
      <c r="FT1288" s="101">
        <f t="shared" si="604"/>
        <v>2</v>
      </c>
      <c r="FU1288" s="101">
        <f t="shared" si="620"/>
        <v>17</v>
      </c>
      <c r="FV1288" s="14">
        <f t="shared" si="621"/>
        <v>3</v>
      </c>
      <c r="FW1288" s="101" t="str">
        <f t="shared" si="605"/>
        <v>朱仙专属武器-魂珠-1 2级</v>
      </c>
      <c r="FX1288" s="101">
        <f t="shared" si="606"/>
        <v>1</v>
      </c>
      <c r="FY1288" s="101">
        <f t="shared" si="607"/>
        <v>2</v>
      </c>
      <c r="FZ1288" s="101" t="str">
        <f t="shared" si="622"/>
        <v>金币</v>
      </c>
      <c r="GA1288" s="139">
        <f>IF($FY1288&gt;0,IF(INDEX($EM$6:$EM$77,$FT1288)&gt;=GA$3,ROUND(INDEX(EO$6:EO$77,$FT1288)*INDEX(卡牌消耗!$B$8:$F$8,FV1288)/5,0)*5,""),"")</f>
        <v>140</v>
      </c>
      <c r="GB1288" s="101" t="str">
        <f t="shared" si="623"/>
        <v>专属强化石1</v>
      </c>
      <c r="GC1288" s="101">
        <f t="shared" si="624"/>
        <v>2</v>
      </c>
      <c r="GD1288" s="101" t="str">
        <f t="shared" si="625"/>
        <v/>
      </c>
      <c r="GE1288" s="101" t="str">
        <f t="shared" si="626"/>
        <v/>
      </c>
      <c r="GF1288" s="101">
        <f t="shared" si="608"/>
        <v>0.32</v>
      </c>
      <c r="GG1288" s="101">
        <f t="shared" si="609"/>
        <v>1</v>
      </c>
      <c r="GH1288" s="101">
        <f t="shared" si="610"/>
        <v>5</v>
      </c>
      <c r="GI1288" s="101">
        <f t="shared" si="611"/>
        <v>0</v>
      </c>
      <c r="GJ1288" s="101">
        <f t="shared" si="612"/>
        <v>1</v>
      </c>
      <c r="GK1288" s="101">
        <f t="shared" si="613"/>
        <v>1</v>
      </c>
      <c r="GL1288" s="101">
        <f t="shared" si="614"/>
        <v>0.1595</v>
      </c>
      <c r="GM1288" s="101">
        <f t="shared" si="615"/>
        <v>1</v>
      </c>
      <c r="GN1288" s="101">
        <f t="shared" si="616"/>
        <v>2</v>
      </c>
      <c r="GO1288" s="101">
        <f t="shared" si="617"/>
        <v>0.63819999999999999</v>
      </c>
      <c r="GP1288" s="101">
        <f t="shared" si="618"/>
        <v>1</v>
      </c>
      <c r="GQ1288" s="101">
        <f t="shared" si="619"/>
        <v>5</v>
      </c>
    </row>
    <row r="1289" spans="175:199" ht="16.5" x14ac:dyDescent="0.2">
      <c r="FS1289" s="101">
        <v>1284</v>
      </c>
      <c r="FT1289" s="101">
        <f t="shared" si="604"/>
        <v>3</v>
      </c>
      <c r="FU1289" s="101">
        <f t="shared" si="620"/>
        <v>17</v>
      </c>
      <c r="FV1289" s="14">
        <f t="shared" si="621"/>
        <v>3</v>
      </c>
      <c r="FW1289" s="101" t="str">
        <f t="shared" si="605"/>
        <v>朱仙专属武器-魂珠-1 3级</v>
      </c>
      <c r="FX1289" s="101">
        <f t="shared" si="606"/>
        <v>1</v>
      </c>
      <c r="FY1289" s="101">
        <f t="shared" si="607"/>
        <v>3</v>
      </c>
      <c r="FZ1289" s="101" t="str">
        <f t="shared" si="622"/>
        <v>金币</v>
      </c>
      <c r="GA1289" s="139">
        <f>IF($FY1289&gt;0,IF(INDEX($EM$6:$EM$77,$FT1289)&gt;=GA$3,ROUND(INDEX(EO$6:EO$77,$FT1289)*INDEX(卡牌消耗!$B$8:$F$8,FV1289)/5,0)*5,""),"")</f>
        <v>235</v>
      </c>
      <c r="GB1289" s="101" t="str">
        <f t="shared" si="623"/>
        <v>专属强化石1</v>
      </c>
      <c r="GC1289" s="101">
        <f t="shared" si="624"/>
        <v>3</v>
      </c>
      <c r="GD1289" s="101" t="str">
        <f t="shared" si="625"/>
        <v/>
      </c>
      <c r="GE1289" s="101" t="str">
        <f t="shared" si="626"/>
        <v/>
      </c>
      <c r="GF1289" s="101">
        <f t="shared" si="608"/>
        <v>0.32</v>
      </c>
      <c r="GG1289" s="101">
        <f t="shared" si="609"/>
        <v>1</v>
      </c>
      <c r="GH1289" s="101">
        <f t="shared" si="610"/>
        <v>5</v>
      </c>
      <c r="GI1289" s="101">
        <f t="shared" si="611"/>
        <v>0</v>
      </c>
      <c r="GJ1289" s="101">
        <f t="shared" si="612"/>
        <v>1</v>
      </c>
      <c r="GK1289" s="101">
        <f t="shared" si="613"/>
        <v>1</v>
      </c>
      <c r="GL1289" s="101">
        <f t="shared" si="614"/>
        <v>0.1595</v>
      </c>
      <c r="GM1289" s="101">
        <f t="shared" si="615"/>
        <v>1</v>
      </c>
      <c r="GN1289" s="101">
        <f t="shared" si="616"/>
        <v>2</v>
      </c>
      <c r="GO1289" s="101">
        <f t="shared" si="617"/>
        <v>0.63819999999999999</v>
      </c>
      <c r="GP1289" s="101">
        <f t="shared" si="618"/>
        <v>1</v>
      </c>
      <c r="GQ1289" s="101">
        <f t="shared" si="619"/>
        <v>5</v>
      </c>
    </row>
    <row r="1290" spans="175:199" ht="16.5" x14ac:dyDescent="0.2">
      <c r="FS1290" s="101">
        <v>1285</v>
      </c>
      <c r="FT1290" s="101">
        <f t="shared" si="604"/>
        <v>4</v>
      </c>
      <c r="FU1290" s="101">
        <f t="shared" si="620"/>
        <v>17</v>
      </c>
      <c r="FV1290" s="14">
        <f t="shared" si="621"/>
        <v>3</v>
      </c>
      <c r="FW1290" s="101" t="str">
        <f t="shared" si="605"/>
        <v>朱仙专属武器-魂珠-1 4级</v>
      </c>
      <c r="FX1290" s="101">
        <f t="shared" si="606"/>
        <v>1</v>
      </c>
      <c r="FY1290" s="101">
        <f t="shared" si="607"/>
        <v>4</v>
      </c>
      <c r="FZ1290" s="101" t="str">
        <f t="shared" si="622"/>
        <v>金币</v>
      </c>
      <c r="GA1290" s="139">
        <f>IF($FY1290&gt;0,IF(INDEX($EM$6:$EM$77,$FT1290)&gt;=GA$3,ROUND(INDEX(EO$6:EO$77,$FT1290)*INDEX(卡牌消耗!$B$8:$F$8,FV1290)/5,0)*5,""),"")</f>
        <v>305</v>
      </c>
      <c r="GB1290" s="101" t="str">
        <f t="shared" si="623"/>
        <v>专属强化石1</v>
      </c>
      <c r="GC1290" s="101">
        <f t="shared" si="624"/>
        <v>4</v>
      </c>
      <c r="GD1290" s="101" t="str">
        <f t="shared" si="625"/>
        <v/>
      </c>
      <c r="GE1290" s="101" t="str">
        <f t="shared" si="626"/>
        <v/>
      </c>
      <c r="GF1290" s="101">
        <f t="shared" si="608"/>
        <v>0.26</v>
      </c>
      <c r="GG1290" s="101">
        <f t="shared" si="609"/>
        <v>1</v>
      </c>
      <c r="GH1290" s="101">
        <f t="shared" si="610"/>
        <v>6</v>
      </c>
      <c r="GI1290" s="101">
        <f t="shared" si="611"/>
        <v>0</v>
      </c>
      <c r="GJ1290" s="101">
        <f t="shared" si="612"/>
        <v>1</v>
      </c>
      <c r="GK1290" s="101">
        <f t="shared" si="613"/>
        <v>1</v>
      </c>
      <c r="GL1290" s="101">
        <f t="shared" si="614"/>
        <v>0.12759999999999999</v>
      </c>
      <c r="GM1290" s="101">
        <f t="shared" si="615"/>
        <v>1</v>
      </c>
      <c r="GN1290" s="101">
        <f t="shared" si="616"/>
        <v>3</v>
      </c>
      <c r="GO1290" s="101">
        <f t="shared" si="617"/>
        <v>0.51060000000000005</v>
      </c>
      <c r="GP1290" s="101">
        <f t="shared" si="618"/>
        <v>1</v>
      </c>
      <c r="GQ1290" s="101">
        <f t="shared" si="619"/>
        <v>6</v>
      </c>
    </row>
    <row r="1291" spans="175:199" ht="16.5" x14ac:dyDescent="0.2">
      <c r="FS1291" s="101">
        <v>1286</v>
      </c>
      <c r="FT1291" s="101">
        <f t="shared" si="604"/>
        <v>5</v>
      </c>
      <c r="FU1291" s="101">
        <f t="shared" si="620"/>
        <v>17</v>
      </c>
      <c r="FV1291" s="14">
        <f t="shared" si="621"/>
        <v>3</v>
      </c>
      <c r="FW1291" s="101" t="str">
        <f t="shared" si="605"/>
        <v>朱仙专属武器-魂珠-1 5级</v>
      </c>
      <c r="FX1291" s="101">
        <f t="shared" si="606"/>
        <v>1</v>
      </c>
      <c r="FY1291" s="101">
        <f t="shared" si="607"/>
        <v>5</v>
      </c>
      <c r="FZ1291" s="101" t="str">
        <f t="shared" si="622"/>
        <v>金币</v>
      </c>
      <c r="GA1291" s="139">
        <f>IF($FY1291&gt;0,IF(INDEX($EM$6:$EM$77,$FT1291)&gt;=GA$3,ROUND(INDEX(EO$6:EO$77,$FT1291)*INDEX(卡牌消耗!$B$8:$F$8,FV1291)/5,0)*5,""),"")</f>
        <v>385</v>
      </c>
      <c r="GB1291" s="101" t="str">
        <f t="shared" si="623"/>
        <v>专属强化石1</v>
      </c>
      <c r="GC1291" s="101">
        <f t="shared" si="624"/>
        <v>5</v>
      </c>
      <c r="GD1291" s="101" t="str">
        <f t="shared" si="625"/>
        <v/>
      </c>
      <c r="GE1291" s="101" t="str">
        <f t="shared" si="626"/>
        <v/>
      </c>
      <c r="GF1291" s="101">
        <f t="shared" si="608"/>
        <v>0.2</v>
      </c>
      <c r="GG1291" s="101">
        <f t="shared" si="609"/>
        <v>1</v>
      </c>
      <c r="GH1291" s="101">
        <f t="shared" si="610"/>
        <v>8</v>
      </c>
      <c r="GI1291" s="101">
        <f t="shared" si="611"/>
        <v>0</v>
      </c>
      <c r="GJ1291" s="101">
        <f t="shared" si="612"/>
        <v>1</v>
      </c>
      <c r="GK1291" s="101">
        <f t="shared" si="613"/>
        <v>2</v>
      </c>
      <c r="GL1291" s="101">
        <f t="shared" si="614"/>
        <v>9.9699999999999997E-2</v>
      </c>
      <c r="GM1291" s="101">
        <f t="shared" si="615"/>
        <v>1</v>
      </c>
      <c r="GN1291" s="101">
        <f t="shared" si="616"/>
        <v>4</v>
      </c>
      <c r="GO1291" s="101">
        <f t="shared" si="617"/>
        <v>0.39889999999999998</v>
      </c>
      <c r="GP1291" s="101">
        <f t="shared" si="618"/>
        <v>1</v>
      </c>
      <c r="GQ1291" s="101">
        <f t="shared" si="619"/>
        <v>8</v>
      </c>
    </row>
    <row r="1292" spans="175:199" ht="16.5" x14ac:dyDescent="0.2">
      <c r="FS1292" s="101">
        <v>1287</v>
      </c>
      <c r="FT1292" s="101">
        <f t="shared" si="604"/>
        <v>6</v>
      </c>
      <c r="FU1292" s="101">
        <f t="shared" si="620"/>
        <v>17</v>
      </c>
      <c r="FV1292" s="14">
        <f t="shared" si="621"/>
        <v>3</v>
      </c>
      <c r="FW1292" s="101" t="str">
        <f t="shared" si="605"/>
        <v>朱仙专属武器-魂珠-1 6级</v>
      </c>
      <c r="FX1292" s="101">
        <f t="shared" si="606"/>
        <v>1</v>
      </c>
      <c r="FY1292" s="101">
        <f t="shared" si="607"/>
        <v>6</v>
      </c>
      <c r="FZ1292" s="101" t="str">
        <f t="shared" si="622"/>
        <v>金币</v>
      </c>
      <c r="GA1292" s="139">
        <f>IF($FY1292&gt;0,IF(INDEX($EM$6:$EM$77,$FT1292)&gt;=GA$3,ROUND(INDEX(EO$6:EO$77,$FT1292)*INDEX(卡牌消耗!$B$8:$F$8,FV1292)/5,0)*5,""),"")</f>
        <v>460</v>
      </c>
      <c r="GB1292" s="101" t="str">
        <f t="shared" si="623"/>
        <v>专属强化石1</v>
      </c>
      <c r="GC1292" s="101">
        <f t="shared" si="624"/>
        <v>6</v>
      </c>
      <c r="GD1292" s="101" t="str">
        <f t="shared" si="625"/>
        <v/>
      </c>
      <c r="GE1292" s="101" t="str">
        <f t="shared" si="626"/>
        <v/>
      </c>
      <c r="GF1292" s="101">
        <f t="shared" si="608"/>
        <v>0.15</v>
      </c>
      <c r="GG1292" s="101">
        <f t="shared" si="609"/>
        <v>1</v>
      </c>
      <c r="GH1292" s="101">
        <f t="shared" si="610"/>
        <v>10</v>
      </c>
      <c r="GI1292" s="101">
        <f t="shared" si="611"/>
        <v>0</v>
      </c>
      <c r="GJ1292" s="101">
        <f t="shared" si="612"/>
        <v>1</v>
      </c>
      <c r="GK1292" s="101">
        <f t="shared" si="613"/>
        <v>2</v>
      </c>
      <c r="GL1292" s="101">
        <f t="shared" si="614"/>
        <v>7.3599999999999999E-2</v>
      </c>
      <c r="GM1292" s="101">
        <f t="shared" si="615"/>
        <v>1</v>
      </c>
      <c r="GN1292" s="101">
        <f t="shared" si="616"/>
        <v>5</v>
      </c>
      <c r="GO1292" s="101">
        <f t="shared" si="617"/>
        <v>0.29459999999999997</v>
      </c>
      <c r="GP1292" s="101">
        <f t="shared" si="618"/>
        <v>1</v>
      </c>
      <c r="GQ1292" s="101">
        <f t="shared" si="619"/>
        <v>10</v>
      </c>
    </row>
    <row r="1293" spans="175:199" ht="16.5" x14ac:dyDescent="0.2">
      <c r="FS1293" s="101">
        <v>1288</v>
      </c>
      <c r="FT1293" s="101">
        <f t="shared" si="604"/>
        <v>7</v>
      </c>
      <c r="FU1293" s="101">
        <f t="shared" si="620"/>
        <v>17</v>
      </c>
      <c r="FV1293" s="14">
        <f t="shared" si="621"/>
        <v>3</v>
      </c>
      <c r="FW1293" s="101" t="str">
        <f t="shared" si="605"/>
        <v>朱仙专属武器-魂珠-1 7级</v>
      </c>
      <c r="FX1293" s="101">
        <f t="shared" si="606"/>
        <v>1</v>
      </c>
      <c r="FY1293" s="101">
        <f t="shared" si="607"/>
        <v>7</v>
      </c>
      <c r="FZ1293" s="101" t="str">
        <f t="shared" si="622"/>
        <v>金币</v>
      </c>
      <c r="GA1293" s="139">
        <f>IF($FY1293&gt;0,IF(INDEX($EM$6:$EM$77,$FT1293)&gt;=GA$3,ROUND(INDEX(EO$6:EO$77,$FT1293)*INDEX(卡牌消耗!$B$8:$F$8,FV1293)/5,0)*5,""),"")</f>
        <v>535</v>
      </c>
      <c r="GB1293" s="101" t="str">
        <f t="shared" si="623"/>
        <v>专属强化石1</v>
      </c>
      <c r="GC1293" s="101">
        <f t="shared" si="624"/>
        <v>7</v>
      </c>
      <c r="GD1293" s="101" t="str">
        <f t="shared" si="625"/>
        <v/>
      </c>
      <c r="GE1293" s="101" t="str">
        <f t="shared" si="626"/>
        <v/>
      </c>
      <c r="GF1293" s="101">
        <f t="shared" si="608"/>
        <v>0.11</v>
      </c>
      <c r="GG1293" s="101">
        <f t="shared" si="609"/>
        <v>1</v>
      </c>
      <c r="GH1293" s="101">
        <f t="shared" si="610"/>
        <v>14</v>
      </c>
      <c r="GI1293" s="101">
        <f t="shared" si="611"/>
        <v>0</v>
      </c>
      <c r="GJ1293" s="101">
        <f t="shared" si="612"/>
        <v>1</v>
      </c>
      <c r="GK1293" s="101">
        <f t="shared" si="613"/>
        <v>3</v>
      </c>
      <c r="GL1293" s="101">
        <f t="shared" si="614"/>
        <v>5.3199999999999997E-2</v>
      </c>
      <c r="GM1293" s="101">
        <f t="shared" si="615"/>
        <v>1</v>
      </c>
      <c r="GN1293" s="101">
        <f t="shared" si="616"/>
        <v>7</v>
      </c>
      <c r="GO1293" s="101">
        <f t="shared" si="617"/>
        <v>0.2127</v>
      </c>
      <c r="GP1293" s="101">
        <f t="shared" si="618"/>
        <v>1</v>
      </c>
      <c r="GQ1293" s="101">
        <f t="shared" si="619"/>
        <v>14</v>
      </c>
    </row>
    <row r="1294" spans="175:199" ht="16.5" x14ac:dyDescent="0.2">
      <c r="FS1294" s="101">
        <v>1289</v>
      </c>
      <c r="FT1294" s="101">
        <f t="shared" si="604"/>
        <v>8</v>
      </c>
      <c r="FU1294" s="101">
        <f t="shared" si="620"/>
        <v>17</v>
      </c>
      <c r="FV1294" s="14">
        <f t="shared" si="621"/>
        <v>3</v>
      </c>
      <c r="FW1294" s="101" t="str">
        <f t="shared" si="605"/>
        <v>朱仙专属武器-魂珠-1 8级</v>
      </c>
      <c r="FX1294" s="101">
        <f t="shared" si="606"/>
        <v>1</v>
      </c>
      <c r="FY1294" s="101">
        <f t="shared" si="607"/>
        <v>8</v>
      </c>
      <c r="FZ1294" s="101" t="str">
        <f t="shared" si="622"/>
        <v>金币</v>
      </c>
      <c r="GA1294" s="139">
        <f>IF($FY1294&gt;0,IF(INDEX($EM$6:$EM$77,$FT1294)&gt;=GA$3,ROUND(INDEX(EO$6:EO$77,$FT1294)*INDEX(卡牌消耗!$B$8:$F$8,FV1294)/5,0)*5,""),"")</f>
        <v>615</v>
      </c>
      <c r="GB1294" s="101" t="str">
        <f t="shared" si="623"/>
        <v>专属强化石1</v>
      </c>
      <c r="GC1294" s="101">
        <f t="shared" si="624"/>
        <v>8</v>
      </c>
      <c r="GD1294" s="101" t="str">
        <f t="shared" si="625"/>
        <v/>
      </c>
      <c r="GE1294" s="101" t="str">
        <f t="shared" si="626"/>
        <v/>
      </c>
      <c r="GF1294" s="101">
        <f t="shared" si="608"/>
        <v>0.08</v>
      </c>
      <c r="GG1294" s="101">
        <f t="shared" si="609"/>
        <v>1</v>
      </c>
      <c r="GH1294" s="101">
        <f t="shared" si="610"/>
        <v>20</v>
      </c>
      <c r="GI1294" s="101">
        <f t="shared" si="611"/>
        <v>0</v>
      </c>
      <c r="GJ1294" s="101">
        <f t="shared" si="612"/>
        <v>1</v>
      </c>
      <c r="GK1294" s="101">
        <f t="shared" si="613"/>
        <v>5</v>
      </c>
      <c r="GL1294" s="101">
        <f t="shared" si="614"/>
        <v>3.7499999999999999E-2</v>
      </c>
      <c r="GM1294" s="101">
        <f t="shared" si="615"/>
        <v>1</v>
      </c>
      <c r="GN1294" s="101">
        <f t="shared" si="616"/>
        <v>9</v>
      </c>
      <c r="GO1294" s="101">
        <f t="shared" si="617"/>
        <v>0.1502</v>
      </c>
      <c r="GP1294" s="101">
        <f t="shared" si="618"/>
        <v>1</v>
      </c>
      <c r="GQ1294" s="101">
        <f t="shared" si="619"/>
        <v>20</v>
      </c>
    </row>
    <row r="1295" spans="175:199" ht="16.5" x14ac:dyDescent="0.2">
      <c r="FS1295" s="101">
        <v>1290</v>
      </c>
      <c r="FT1295" s="101">
        <f t="shared" si="604"/>
        <v>9</v>
      </c>
      <c r="FU1295" s="101">
        <f t="shared" si="620"/>
        <v>17</v>
      </c>
      <c r="FV1295" s="14">
        <f t="shared" si="621"/>
        <v>3</v>
      </c>
      <c r="FW1295" s="101" t="str">
        <f t="shared" si="605"/>
        <v>朱仙专属武器-魂珠-1 9级</v>
      </c>
      <c r="FX1295" s="101">
        <f t="shared" si="606"/>
        <v>1</v>
      </c>
      <c r="FY1295" s="101">
        <f t="shared" si="607"/>
        <v>9</v>
      </c>
      <c r="FZ1295" s="101" t="str">
        <f t="shared" si="622"/>
        <v>金币</v>
      </c>
      <c r="GA1295" s="139">
        <f>IF($FY1295&gt;0,IF(INDEX($EM$6:$EM$77,$FT1295)&gt;=GA$3,ROUND(INDEX(EO$6:EO$77,$FT1295)*INDEX(卡牌消耗!$B$8:$F$8,FV1295)/5,0)*5,""),"")</f>
        <v>765</v>
      </c>
      <c r="GB1295" s="101" t="str">
        <f t="shared" si="623"/>
        <v>专属强化石1</v>
      </c>
      <c r="GC1295" s="101">
        <f t="shared" si="624"/>
        <v>10</v>
      </c>
      <c r="GD1295" s="101" t="str">
        <f t="shared" si="625"/>
        <v/>
      </c>
      <c r="GE1295" s="101" t="str">
        <f t="shared" si="626"/>
        <v/>
      </c>
      <c r="GF1295" s="101">
        <f t="shared" si="608"/>
        <v>0.06</v>
      </c>
      <c r="GG1295" s="101">
        <f t="shared" si="609"/>
        <v>1</v>
      </c>
      <c r="GH1295" s="101">
        <f t="shared" si="610"/>
        <v>26</v>
      </c>
      <c r="GI1295" s="101">
        <f t="shared" si="611"/>
        <v>0</v>
      </c>
      <c r="GJ1295" s="101">
        <f t="shared" si="612"/>
        <v>1</v>
      </c>
      <c r="GK1295" s="101">
        <f t="shared" si="613"/>
        <v>6</v>
      </c>
      <c r="GL1295" s="101">
        <f t="shared" si="614"/>
        <v>2.9000000000000001E-2</v>
      </c>
      <c r="GM1295" s="101">
        <f t="shared" si="615"/>
        <v>1</v>
      </c>
      <c r="GN1295" s="101">
        <f t="shared" si="616"/>
        <v>12</v>
      </c>
      <c r="GO1295" s="101">
        <f t="shared" si="617"/>
        <v>0.11600000000000001</v>
      </c>
      <c r="GP1295" s="101">
        <f t="shared" si="618"/>
        <v>1</v>
      </c>
      <c r="GQ1295" s="101">
        <f t="shared" si="619"/>
        <v>26</v>
      </c>
    </row>
    <row r="1296" spans="175:199" ht="16.5" x14ac:dyDescent="0.2">
      <c r="FS1296" s="101">
        <v>1291</v>
      </c>
      <c r="FT1296" s="101">
        <f t="shared" si="604"/>
        <v>0</v>
      </c>
      <c r="FU1296" s="101">
        <f t="shared" si="620"/>
        <v>17</v>
      </c>
      <c r="FV1296" s="14">
        <f t="shared" si="621"/>
        <v>3</v>
      </c>
      <c r="FW1296" s="101" t="str">
        <f t="shared" si="605"/>
        <v>朱仙专属武器-魂珠-2 0级</v>
      </c>
      <c r="FX1296" s="101">
        <f t="shared" si="606"/>
        <v>2</v>
      </c>
      <c r="FY1296" s="101">
        <f t="shared" si="607"/>
        <v>0</v>
      </c>
      <c r="FZ1296" s="101" t="str">
        <f t="shared" si="622"/>
        <v/>
      </c>
      <c r="GA1296" s="139" t="str">
        <f>IF($FY1296&gt;0,IF(INDEX($EM$6:$EM$77,$FT1296)&gt;=GA$3,ROUND(INDEX(EO$6:EO$77,$FT1296)*INDEX(卡牌消耗!$B$8:$F$8,FV1296)/5,0)*5,""),"")</f>
        <v/>
      </c>
      <c r="GB1296" s="101" t="str">
        <f t="shared" si="623"/>
        <v/>
      </c>
      <c r="GC1296" s="101" t="str">
        <f t="shared" si="624"/>
        <v/>
      </c>
      <c r="GD1296" s="101" t="str">
        <f t="shared" si="625"/>
        <v/>
      </c>
      <c r="GE1296" s="101" t="str">
        <f t="shared" si="626"/>
        <v/>
      </c>
      <c r="GF1296" s="101" t="str">
        <f t="shared" si="608"/>
        <v/>
      </c>
      <c r="GG1296" s="101" t="str">
        <f t="shared" si="609"/>
        <v/>
      </c>
      <c r="GH1296" s="101" t="str">
        <f t="shared" si="610"/>
        <v/>
      </c>
      <c r="GI1296" s="101" t="str">
        <f t="shared" si="611"/>
        <v/>
      </c>
      <c r="GJ1296" s="101" t="str">
        <f t="shared" si="612"/>
        <v/>
      </c>
      <c r="GK1296" s="101" t="str">
        <f t="shared" si="613"/>
        <v/>
      </c>
      <c r="GL1296" s="101" t="str">
        <f t="shared" si="614"/>
        <v/>
      </c>
      <c r="GM1296" s="101" t="str">
        <f t="shared" si="615"/>
        <v/>
      </c>
      <c r="GN1296" s="101" t="str">
        <f t="shared" si="616"/>
        <v/>
      </c>
      <c r="GO1296" s="101" t="str">
        <f t="shared" si="617"/>
        <v/>
      </c>
      <c r="GP1296" s="101" t="str">
        <f t="shared" si="618"/>
        <v/>
      </c>
      <c r="GQ1296" s="101" t="str">
        <f t="shared" si="619"/>
        <v/>
      </c>
    </row>
    <row r="1297" spans="175:199" ht="16.5" x14ac:dyDescent="0.2">
      <c r="FS1297" s="101">
        <v>1292</v>
      </c>
      <c r="FT1297" s="101">
        <f t="shared" si="604"/>
        <v>10</v>
      </c>
      <c r="FU1297" s="101">
        <f t="shared" si="620"/>
        <v>17</v>
      </c>
      <c r="FV1297" s="14">
        <f t="shared" si="621"/>
        <v>3</v>
      </c>
      <c r="FW1297" s="101" t="str">
        <f t="shared" si="605"/>
        <v>朱仙专属武器-魂珠-2 1级</v>
      </c>
      <c r="FX1297" s="101">
        <f t="shared" si="606"/>
        <v>2</v>
      </c>
      <c r="FY1297" s="101">
        <f t="shared" si="607"/>
        <v>1</v>
      </c>
      <c r="FZ1297" s="101" t="str">
        <f t="shared" si="622"/>
        <v>金币</v>
      </c>
      <c r="GA1297" s="139">
        <f>IF($FY1297&gt;0,IF(INDEX($EM$6:$EM$77,$FT1297)&gt;=GA$3,ROUND(INDEX(EO$6:EO$77,$FT1297)*INDEX(卡牌消耗!$B$8:$F$8,FV1297)/5,0)*5,""),"")</f>
        <v>260</v>
      </c>
      <c r="GB1297" s="101" t="str">
        <f t="shared" si="623"/>
        <v>专属强化石1</v>
      </c>
      <c r="GC1297" s="101">
        <f t="shared" si="624"/>
        <v>3</v>
      </c>
      <c r="GD1297" s="101" t="str">
        <f t="shared" si="625"/>
        <v>专属强化石2</v>
      </c>
      <c r="GE1297" s="101">
        <f t="shared" si="626"/>
        <v>1</v>
      </c>
      <c r="GF1297" s="101">
        <f t="shared" si="608"/>
        <v>0.39</v>
      </c>
      <c r="GG1297" s="101">
        <f t="shared" si="609"/>
        <v>1</v>
      </c>
      <c r="GH1297" s="101">
        <f t="shared" si="610"/>
        <v>4</v>
      </c>
      <c r="GI1297" s="101">
        <f t="shared" si="611"/>
        <v>0</v>
      </c>
      <c r="GJ1297" s="101">
        <f t="shared" si="612"/>
        <v>1</v>
      </c>
      <c r="GK1297" s="101">
        <f t="shared" si="613"/>
        <v>1</v>
      </c>
      <c r="GL1297" s="101">
        <f t="shared" si="614"/>
        <v>0.19270000000000001</v>
      </c>
      <c r="GM1297" s="101">
        <f t="shared" si="615"/>
        <v>1</v>
      </c>
      <c r="GN1297" s="101">
        <f t="shared" si="616"/>
        <v>2</v>
      </c>
      <c r="GO1297" s="101">
        <f t="shared" si="617"/>
        <v>0.77070000000000005</v>
      </c>
      <c r="GP1297" s="101">
        <f t="shared" si="618"/>
        <v>1</v>
      </c>
      <c r="GQ1297" s="101">
        <f t="shared" si="619"/>
        <v>4</v>
      </c>
    </row>
    <row r="1298" spans="175:199" ht="16.5" x14ac:dyDescent="0.2">
      <c r="FS1298" s="101">
        <v>1293</v>
      </c>
      <c r="FT1298" s="101">
        <f t="shared" si="604"/>
        <v>11</v>
      </c>
      <c r="FU1298" s="101">
        <f t="shared" si="620"/>
        <v>17</v>
      </c>
      <c r="FV1298" s="14">
        <f t="shared" si="621"/>
        <v>3</v>
      </c>
      <c r="FW1298" s="101" t="str">
        <f t="shared" si="605"/>
        <v>朱仙专属武器-魂珠-2 2级</v>
      </c>
      <c r="FX1298" s="101">
        <f t="shared" si="606"/>
        <v>2</v>
      </c>
      <c r="FY1298" s="101">
        <f t="shared" si="607"/>
        <v>2</v>
      </c>
      <c r="FZ1298" s="101" t="str">
        <f t="shared" si="622"/>
        <v>金币</v>
      </c>
      <c r="GA1298" s="139">
        <f>IF($FY1298&gt;0,IF(INDEX($EM$6:$EM$77,$FT1298)&gt;=GA$3,ROUND(INDEX(EO$6:EO$77,$FT1298)*INDEX(卡牌消耗!$B$8:$F$8,FV1298)/5,0)*5,""),"")</f>
        <v>195</v>
      </c>
      <c r="GB1298" s="101" t="str">
        <f t="shared" si="623"/>
        <v>专属强化石1</v>
      </c>
      <c r="GC1298" s="101">
        <f t="shared" si="624"/>
        <v>3</v>
      </c>
      <c r="GD1298" s="101" t="str">
        <f t="shared" si="625"/>
        <v>专属强化石2</v>
      </c>
      <c r="GE1298" s="101">
        <f t="shared" si="626"/>
        <v>1</v>
      </c>
      <c r="GF1298" s="101">
        <f t="shared" si="608"/>
        <v>0.19</v>
      </c>
      <c r="GG1298" s="101">
        <f t="shared" si="609"/>
        <v>1</v>
      </c>
      <c r="GH1298" s="101">
        <f t="shared" si="610"/>
        <v>8</v>
      </c>
      <c r="GI1298" s="101">
        <f t="shared" si="611"/>
        <v>0</v>
      </c>
      <c r="GJ1298" s="101">
        <f t="shared" si="612"/>
        <v>1</v>
      </c>
      <c r="GK1298" s="101">
        <f t="shared" si="613"/>
        <v>2</v>
      </c>
      <c r="GL1298" s="101">
        <f t="shared" si="614"/>
        <v>9.6299999999999997E-2</v>
      </c>
      <c r="GM1298" s="101">
        <f t="shared" si="615"/>
        <v>1</v>
      </c>
      <c r="GN1298" s="101">
        <f t="shared" si="616"/>
        <v>4</v>
      </c>
      <c r="GO1298" s="101">
        <f t="shared" si="617"/>
        <v>0.38529999999999998</v>
      </c>
      <c r="GP1298" s="101">
        <f t="shared" si="618"/>
        <v>1</v>
      </c>
      <c r="GQ1298" s="101">
        <f t="shared" si="619"/>
        <v>8</v>
      </c>
    </row>
    <row r="1299" spans="175:199" ht="16.5" x14ac:dyDescent="0.2">
      <c r="FS1299" s="101">
        <v>1294</v>
      </c>
      <c r="FT1299" s="101">
        <f t="shared" si="604"/>
        <v>12</v>
      </c>
      <c r="FU1299" s="101">
        <f t="shared" si="620"/>
        <v>17</v>
      </c>
      <c r="FV1299" s="14">
        <f t="shared" si="621"/>
        <v>3</v>
      </c>
      <c r="FW1299" s="101" t="str">
        <f t="shared" si="605"/>
        <v>朱仙专属武器-魂珠-2 3级</v>
      </c>
      <c r="FX1299" s="101">
        <f t="shared" si="606"/>
        <v>2</v>
      </c>
      <c r="FY1299" s="101">
        <f t="shared" si="607"/>
        <v>3</v>
      </c>
      <c r="FZ1299" s="101" t="str">
        <f t="shared" si="622"/>
        <v>金币</v>
      </c>
      <c r="GA1299" s="139">
        <f>IF($FY1299&gt;0,IF(INDEX($EM$6:$EM$77,$FT1299)&gt;=GA$3,ROUND(INDEX(EO$6:EO$77,$FT1299)*INDEX(卡牌消耗!$B$8:$F$8,FV1299)/5,0)*5,""),"")</f>
        <v>435</v>
      </c>
      <c r="GB1299" s="101" t="str">
        <f t="shared" si="623"/>
        <v>专属强化石1</v>
      </c>
      <c r="GC1299" s="101">
        <f t="shared" si="624"/>
        <v>6</v>
      </c>
      <c r="GD1299" s="101" t="str">
        <f t="shared" si="625"/>
        <v>专属强化石2</v>
      </c>
      <c r="GE1299" s="101">
        <f t="shared" si="626"/>
        <v>2</v>
      </c>
      <c r="GF1299" s="101">
        <f t="shared" si="608"/>
        <v>0.26</v>
      </c>
      <c r="GG1299" s="101">
        <f t="shared" si="609"/>
        <v>1</v>
      </c>
      <c r="GH1299" s="101">
        <f t="shared" si="610"/>
        <v>6</v>
      </c>
      <c r="GI1299" s="101">
        <f t="shared" si="611"/>
        <v>0</v>
      </c>
      <c r="GJ1299" s="101">
        <f t="shared" si="612"/>
        <v>1</v>
      </c>
      <c r="GK1299" s="101">
        <f t="shared" si="613"/>
        <v>1</v>
      </c>
      <c r="GL1299" s="101">
        <f t="shared" si="614"/>
        <v>0.12839999999999999</v>
      </c>
      <c r="GM1299" s="101">
        <f t="shared" si="615"/>
        <v>1</v>
      </c>
      <c r="GN1299" s="101">
        <f t="shared" si="616"/>
        <v>3</v>
      </c>
      <c r="GO1299" s="101">
        <f t="shared" si="617"/>
        <v>0.51380000000000003</v>
      </c>
      <c r="GP1299" s="101">
        <f t="shared" si="618"/>
        <v>1</v>
      </c>
      <c r="GQ1299" s="101">
        <f t="shared" si="619"/>
        <v>6</v>
      </c>
    </row>
    <row r="1300" spans="175:199" ht="16.5" x14ac:dyDescent="0.2">
      <c r="FS1300" s="101">
        <v>1295</v>
      </c>
      <c r="FT1300" s="101">
        <f t="shared" si="604"/>
        <v>13</v>
      </c>
      <c r="FU1300" s="101">
        <f t="shared" si="620"/>
        <v>17</v>
      </c>
      <c r="FV1300" s="14">
        <f t="shared" si="621"/>
        <v>3</v>
      </c>
      <c r="FW1300" s="101" t="str">
        <f t="shared" si="605"/>
        <v>朱仙专属武器-魂珠-2 4级</v>
      </c>
      <c r="FX1300" s="101">
        <f t="shared" si="606"/>
        <v>2</v>
      </c>
      <c r="FY1300" s="101">
        <f t="shared" si="607"/>
        <v>4</v>
      </c>
      <c r="FZ1300" s="101" t="str">
        <f t="shared" si="622"/>
        <v>金币</v>
      </c>
      <c r="GA1300" s="139">
        <f>IF($FY1300&gt;0,IF(INDEX($EM$6:$EM$77,$FT1300)&gt;=GA$3,ROUND(INDEX(EO$6:EO$77,$FT1300)*INDEX(卡牌消耗!$B$8:$F$8,FV1300)/5,0)*5,""),"")</f>
        <v>420</v>
      </c>
      <c r="GB1300" s="101" t="str">
        <f t="shared" si="623"/>
        <v>专属强化石1</v>
      </c>
      <c r="GC1300" s="101">
        <f t="shared" si="624"/>
        <v>6</v>
      </c>
      <c r="GD1300" s="101" t="str">
        <f t="shared" si="625"/>
        <v>专属强化石2</v>
      </c>
      <c r="GE1300" s="101">
        <f t="shared" si="626"/>
        <v>2</v>
      </c>
      <c r="GF1300" s="101">
        <f t="shared" si="608"/>
        <v>0.15</v>
      </c>
      <c r="GG1300" s="101">
        <f t="shared" si="609"/>
        <v>1</v>
      </c>
      <c r="GH1300" s="101">
        <f t="shared" si="610"/>
        <v>10</v>
      </c>
      <c r="GI1300" s="101">
        <f t="shared" si="611"/>
        <v>0</v>
      </c>
      <c r="GJ1300" s="101">
        <f t="shared" si="612"/>
        <v>1</v>
      </c>
      <c r="GK1300" s="101">
        <f t="shared" si="613"/>
        <v>2</v>
      </c>
      <c r="GL1300" s="101">
        <f t="shared" si="614"/>
        <v>7.7100000000000002E-2</v>
      </c>
      <c r="GM1300" s="101">
        <f t="shared" si="615"/>
        <v>1</v>
      </c>
      <c r="GN1300" s="101">
        <f t="shared" si="616"/>
        <v>5</v>
      </c>
      <c r="GO1300" s="101">
        <f t="shared" si="617"/>
        <v>0.30830000000000002</v>
      </c>
      <c r="GP1300" s="101">
        <f t="shared" si="618"/>
        <v>1</v>
      </c>
      <c r="GQ1300" s="101">
        <f t="shared" si="619"/>
        <v>10</v>
      </c>
    </row>
    <row r="1301" spans="175:199" ht="16.5" x14ac:dyDescent="0.2">
      <c r="FS1301" s="101">
        <v>1296</v>
      </c>
      <c r="FT1301" s="101">
        <f t="shared" si="604"/>
        <v>14</v>
      </c>
      <c r="FU1301" s="101">
        <f t="shared" si="620"/>
        <v>17</v>
      </c>
      <c r="FV1301" s="14">
        <f t="shared" si="621"/>
        <v>3</v>
      </c>
      <c r="FW1301" s="101" t="str">
        <f t="shared" si="605"/>
        <v>朱仙专属武器-魂珠-2 5级</v>
      </c>
      <c r="FX1301" s="101">
        <f t="shared" si="606"/>
        <v>2</v>
      </c>
      <c r="FY1301" s="101">
        <f t="shared" si="607"/>
        <v>5</v>
      </c>
      <c r="FZ1301" s="101" t="str">
        <f t="shared" si="622"/>
        <v>金币</v>
      </c>
      <c r="GA1301" s="139">
        <f>IF($FY1301&gt;0,IF(INDEX($EM$6:$EM$77,$FT1301)&gt;=GA$3,ROUND(INDEX(EO$6:EO$77,$FT1301)*INDEX(卡牌消耗!$B$8:$F$8,FV1301)/5,0)*5,""),"")</f>
        <v>635</v>
      </c>
      <c r="GB1301" s="101" t="str">
        <f t="shared" si="623"/>
        <v>专属强化石1</v>
      </c>
      <c r="GC1301" s="101">
        <f t="shared" si="624"/>
        <v>9</v>
      </c>
      <c r="GD1301" s="101" t="str">
        <f t="shared" si="625"/>
        <v>专属强化石2</v>
      </c>
      <c r="GE1301" s="101">
        <f t="shared" si="626"/>
        <v>3</v>
      </c>
      <c r="GF1301" s="101">
        <f t="shared" si="608"/>
        <v>0.14000000000000001</v>
      </c>
      <c r="GG1301" s="101">
        <f t="shared" si="609"/>
        <v>1</v>
      </c>
      <c r="GH1301" s="101">
        <f t="shared" si="610"/>
        <v>10</v>
      </c>
      <c r="GI1301" s="101">
        <f t="shared" si="611"/>
        <v>0</v>
      </c>
      <c r="GJ1301" s="101">
        <f t="shared" si="612"/>
        <v>1</v>
      </c>
      <c r="GK1301" s="101">
        <f t="shared" si="613"/>
        <v>2</v>
      </c>
      <c r="GL1301" s="101">
        <f t="shared" si="614"/>
        <v>7.22E-2</v>
      </c>
      <c r="GM1301" s="101">
        <f t="shared" si="615"/>
        <v>1</v>
      </c>
      <c r="GN1301" s="101">
        <f t="shared" si="616"/>
        <v>5</v>
      </c>
      <c r="GO1301" s="101">
        <f t="shared" si="617"/>
        <v>0.28899999999999998</v>
      </c>
      <c r="GP1301" s="101">
        <f t="shared" si="618"/>
        <v>1</v>
      </c>
      <c r="GQ1301" s="101">
        <f t="shared" si="619"/>
        <v>10</v>
      </c>
    </row>
    <row r="1302" spans="175:199" ht="16.5" x14ac:dyDescent="0.2">
      <c r="FS1302" s="101">
        <v>1297</v>
      </c>
      <c r="FT1302" s="101">
        <f t="shared" ref="FT1302:FT1365" si="627">IF(FY1302&gt;0,(FX1302-1)*9+FY1302,0)</f>
        <v>15</v>
      </c>
      <c r="FU1302" s="101">
        <f t="shared" si="620"/>
        <v>17</v>
      </c>
      <c r="FV1302" s="14">
        <f t="shared" si="621"/>
        <v>3</v>
      </c>
      <c r="FW1302" s="101" t="str">
        <f t="shared" ref="FW1302:FW1365" si="628">INDEX($FN$6:$FN$26,FU1302)&amp;"专属武器-魂珠-"&amp;FX1302&amp;" "&amp;FY1302&amp;"级"</f>
        <v>朱仙专属武器-魂珠-2 6级</v>
      </c>
      <c r="FX1302" s="101">
        <f t="shared" ref="FX1302:FX1365" si="629">INT((FS1302-(FU1302-1)*80-1)/10)+1</f>
        <v>2</v>
      </c>
      <c r="FY1302" s="101">
        <f t="shared" ref="FY1302:FY1365" si="630">FS1302-(FU1302-1)*80-(FX1302-1)*10-1</f>
        <v>6</v>
      </c>
      <c r="FZ1302" s="101" t="str">
        <f t="shared" si="622"/>
        <v>金币</v>
      </c>
      <c r="GA1302" s="139">
        <f>IF($FY1302&gt;0,IF(INDEX($EM$6:$EM$77,$FT1302)&gt;=GA$3,ROUND(INDEX(EO$6:EO$77,$FT1302)*INDEX(卡牌消耗!$B$8:$F$8,FV1302)/5,0)*5,""),"")</f>
        <v>845</v>
      </c>
      <c r="GB1302" s="101" t="str">
        <f t="shared" si="623"/>
        <v>专属强化石1</v>
      </c>
      <c r="GC1302" s="101">
        <f t="shared" si="624"/>
        <v>12</v>
      </c>
      <c r="GD1302" s="101" t="str">
        <f t="shared" si="625"/>
        <v>专属强化石2</v>
      </c>
      <c r="GE1302" s="101">
        <f t="shared" si="626"/>
        <v>4</v>
      </c>
      <c r="GF1302" s="101">
        <f t="shared" ref="GF1302:GF1365" si="631">IF($FY1302&gt;0,INDEX(ET$6:ET$77,$FT1302),"")</f>
        <v>0.12</v>
      </c>
      <c r="GG1302" s="101">
        <f t="shared" ref="GG1302:GG1365" si="632">IF($FY1302&gt;0,INDEX(EU$6:EU$77,$FT1302),"")</f>
        <v>1</v>
      </c>
      <c r="GH1302" s="101">
        <f t="shared" ref="GH1302:GH1365" si="633">IF($FY1302&gt;0,INDEX(EV$6:EV$77,$FT1302),"")</f>
        <v>13</v>
      </c>
      <c r="GI1302" s="101">
        <f t="shared" ref="GI1302:GI1365" si="634">IF($FY1302&gt;0,INDEX(FA$6:FA$77,$FT1302),"")</f>
        <v>0</v>
      </c>
      <c r="GJ1302" s="101">
        <f t="shared" ref="GJ1302:GJ1365" si="635">IF($FY1302&gt;0,INDEX(FB$6:FB$77,$FT1302),"")</f>
        <v>1</v>
      </c>
      <c r="GK1302" s="101">
        <f t="shared" ref="GK1302:GK1365" si="636">IF($FY1302&gt;0,INDEX(FC$6:FC$77,$FT1302),"")</f>
        <v>3</v>
      </c>
      <c r="GL1302" s="101">
        <f t="shared" ref="GL1302:GL1365" si="637">IF($FY1302&gt;0,INDEX(FD$6:FD$77,$FT1302),"")</f>
        <v>5.9299999999999999E-2</v>
      </c>
      <c r="GM1302" s="101">
        <f t="shared" ref="GM1302:GM1365" si="638">IF($FY1302&gt;0,INDEX(FE$6:FE$77,$FT1302),"")</f>
        <v>1</v>
      </c>
      <c r="GN1302" s="101">
        <f t="shared" ref="GN1302:GN1365" si="639">IF($FY1302&gt;0,INDEX(FF$6:FF$77,$FT1302),"")</f>
        <v>6</v>
      </c>
      <c r="GO1302" s="101">
        <f t="shared" ref="GO1302:GO1365" si="640">IF($FY1302&gt;0,INDEX(FG$6:FG$77,$FT1302),"")</f>
        <v>0.23710000000000001</v>
      </c>
      <c r="GP1302" s="101">
        <f t="shared" ref="GP1302:GP1365" si="641">IF($FY1302&gt;0,INDEX(FH$6:FH$77,$FT1302),"")</f>
        <v>1</v>
      </c>
      <c r="GQ1302" s="101">
        <f t="shared" ref="GQ1302:GQ1365" si="642">IF($FY1302&gt;0,INDEX(FI$6:FI$77,$FT1302),"")</f>
        <v>13</v>
      </c>
    </row>
    <row r="1303" spans="175:199" ht="16.5" x14ac:dyDescent="0.2">
      <c r="FS1303" s="101">
        <v>1298</v>
      </c>
      <c r="FT1303" s="101">
        <f t="shared" si="627"/>
        <v>16</v>
      </c>
      <c r="FU1303" s="101">
        <f t="shared" si="620"/>
        <v>17</v>
      </c>
      <c r="FV1303" s="14">
        <f t="shared" si="621"/>
        <v>3</v>
      </c>
      <c r="FW1303" s="101" t="str">
        <f t="shared" si="628"/>
        <v>朱仙专属武器-魂珠-2 7级</v>
      </c>
      <c r="FX1303" s="101">
        <f t="shared" si="629"/>
        <v>2</v>
      </c>
      <c r="FY1303" s="101">
        <f t="shared" si="630"/>
        <v>7</v>
      </c>
      <c r="FZ1303" s="101" t="str">
        <f t="shared" si="622"/>
        <v>金币</v>
      </c>
      <c r="GA1303" s="139">
        <f>IF($FY1303&gt;0,IF(INDEX($EM$6:$EM$77,$FT1303)&gt;=GA$3,ROUND(INDEX(EO$6:EO$77,$FT1303)*INDEX(卡牌消耗!$B$8:$F$8,FV1303)/5,0)*5,""),"")</f>
        <v>1060</v>
      </c>
      <c r="GB1303" s="101" t="str">
        <f t="shared" si="623"/>
        <v>专属强化石1</v>
      </c>
      <c r="GC1303" s="101">
        <f t="shared" si="624"/>
        <v>15</v>
      </c>
      <c r="GD1303" s="101" t="str">
        <f t="shared" si="625"/>
        <v>专属强化石2</v>
      </c>
      <c r="GE1303" s="101">
        <f t="shared" si="626"/>
        <v>5</v>
      </c>
      <c r="GF1303" s="101">
        <f t="shared" si="631"/>
        <v>0.09</v>
      </c>
      <c r="GG1303" s="101">
        <f t="shared" si="632"/>
        <v>1</v>
      </c>
      <c r="GH1303" s="101">
        <f t="shared" si="633"/>
        <v>16</v>
      </c>
      <c r="GI1303" s="101">
        <f t="shared" si="634"/>
        <v>0</v>
      </c>
      <c r="GJ1303" s="101">
        <f t="shared" si="635"/>
        <v>1</v>
      </c>
      <c r="GK1303" s="101">
        <f t="shared" si="636"/>
        <v>4</v>
      </c>
      <c r="GL1303" s="101">
        <f t="shared" si="637"/>
        <v>4.5900000000000003E-2</v>
      </c>
      <c r="GM1303" s="101">
        <f t="shared" si="638"/>
        <v>1</v>
      </c>
      <c r="GN1303" s="101">
        <f t="shared" si="639"/>
        <v>8</v>
      </c>
      <c r="GO1303" s="101">
        <f t="shared" si="640"/>
        <v>0.1835</v>
      </c>
      <c r="GP1303" s="101">
        <f t="shared" si="641"/>
        <v>1</v>
      </c>
      <c r="GQ1303" s="101">
        <f t="shared" si="642"/>
        <v>16</v>
      </c>
    </row>
    <row r="1304" spans="175:199" ht="16.5" x14ac:dyDescent="0.2">
      <c r="FS1304" s="101">
        <v>1299</v>
      </c>
      <c r="FT1304" s="101">
        <f t="shared" si="627"/>
        <v>17</v>
      </c>
      <c r="FU1304" s="101">
        <f t="shared" si="620"/>
        <v>17</v>
      </c>
      <c r="FV1304" s="14">
        <f t="shared" si="621"/>
        <v>3</v>
      </c>
      <c r="FW1304" s="101" t="str">
        <f t="shared" si="628"/>
        <v>朱仙专属武器-魂珠-2 8级</v>
      </c>
      <c r="FX1304" s="101">
        <f t="shared" si="629"/>
        <v>2</v>
      </c>
      <c r="FY1304" s="101">
        <f t="shared" si="630"/>
        <v>8</v>
      </c>
      <c r="FZ1304" s="101" t="str">
        <f t="shared" si="622"/>
        <v>金币</v>
      </c>
      <c r="GA1304" s="139">
        <f>IF($FY1304&gt;0,IF(INDEX($EM$6:$EM$77,$FT1304)&gt;=GA$3,ROUND(INDEX(EO$6:EO$77,$FT1304)*INDEX(卡牌消耗!$B$8:$F$8,FV1304)/5,0)*5,""),"")</f>
        <v>1270</v>
      </c>
      <c r="GB1304" s="101" t="str">
        <f t="shared" si="623"/>
        <v>专属强化石1</v>
      </c>
      <c r="GC1304" s="101">
        <f t="shared" si="624"/>
        <v>18</v>
      </c>
      <c r="GD1304" s="101" t="str">
        <f t="shared" si="625"/>
        <v>专属强化石2</v>
      </c>
      <c r="GE1304" s="101">
        <f t="shared" si="626"/>
        <v>6</v>
      </c>
      <c r="GF1304" s="101">
        <f t="shared" si="631"/>
        <v>7.0000000000000007E-2</v>
      </c>
      <c r="GG1304" s="101">
        <f t="shared" si="632"/>
        <v>1</v>
      </c>
      <c r="GH1304" s="101">
        <f t="shared" si="633"/>
        <v>22</v>
      </c>
      <c r="GI1304" s="101">
        <f t="shared" si="634"/>
        <v>0</v>
      </c>
      <c r="GJ1304" s="101">
        <f t="shared" si="635"/>
        <v>1</v>
      </c>
      <c r="GK1304" s="101">
        <f t="shared" si="636"/>
        <v>5</v>
      </c>
      <c r="GL1304" s="101">
        <f t="shared" si="637"/>
        <v>3.4000000000000002E-2</v>
      </c>
      <c r="GM1304" s="101">
        <f t="shared" si="638"/>
        <v>1</v>
      </c>
      <c r="GN1304" s="101">
        <f t="shared" si="639"/>
        <v>10</v>
      </c>
      <c r="GO1304" s="101">
        <f t="shared" si="640"/>
        <v>0.13600000000000001</v>
      </c>
      <c r="GP1304" s="101">
        <f t="shared" si="641"/>
        <v>1</v>
      </c>
      <c r="GQ1304" s="101">
        <f t="shared" si="642"/>
        <v>22</v>
      </c>
    </row>
    <row r="1305" spans="175:199" ht="16.5" x14ac:dyDescent="0.2">
      <c r="FS1305" s="101">
        <v>1300</v>
      </c>
      <c r="FT1305" s="101">
        <f t="shared" si="627"/>
        <v>18</v>
      </c>
      <c r="FU1305" s="101">
        <f t="shared" si="620"/>
        <v>17</v>
      </c>
      <c r="FV1305" s="14">
        <f t="shared" si="621"/>
        <v>3</v>
      </c>
      <c r="FW1305" s="101" t="str">
        <f t="shared" si="628"/>
        <v>朱仙专属武器-魂珠-2 9级</v>
      </c>
      <c r="FX1305" s="101">
        <f t="shared" si="629"/>
        <v>2</v>
      </c>
      <c r="FY1305" s="101">
        <f t="shared" si="630"/>
        <v>9</v>
      </c>
      <c r="FZ1305" s="101" t="str">
        <f t="shared" si="622"/>
        <v>金币</v>
      </c>
      <c r="GA1305" s="139">
        <f>IF($FY1305&gt;0,IF(INDEX($EM$6:$EM$77,$FT1305)&gt;=GA$3,ROUND(INDEX(EO$6:EO$77,$FT1305)*INDEX(卡牌消耗!$B$8:$F$8,FV1305)/5,0)*5,""),"")</f>
        <v>1695</v>
      </c>
      <c r="GB1305" s="101" t="str">
        <f t="shared" si="623"/>
        <v>专属强化石1</v>
      </c>
      <c r="GC1305" s="101">
        <f t="shared" si="624"/>
        <v>24</v>
      </c>
      <c r="GD1305" s="101" t="str">
        <f t="shared" si="625"/>
        <v>专属强化石2</v>
      </c>
      <c r="GE1305" s="101">
        <f t="shared" si="626"/>
        <v>8</v>
      </c>
      <c r="GF1305" s="101">
        <f t="shared" si="631"/>
        <v>0.06</v>
      </c>
      <c r="GG1305" s="101">
        <f t="shared" si="632"/>
        <v>1</v>
      </c>
      <c r="GH1305" s="101">
        <f t="shared" si="633"/>
        <v>27</v>
      </c>
      <c r="GI1305" s="101">
        <f t="shared" si="634"/>
        <v>0</v>
      </c>
      <c r="GJ1305" s="101">
        <f t="shared" si="635"/>
        <v>1</v>
      </c>
      <c r="GK1305" s="101">
        <f t="shared" si="636"/>
        <v>6</v>
      </c>
      <c r="GL1305" s="101">
        <f t="shared" si="637"/>
        <v>2.8000000000000001E-2</v>
      </c>
      <c r="GM1305" s="101">
        <f t="shared" si="638"/>
        <v>1</v>
      </c>
      <c r="GN1305" s="101">
        <f t="shared" si="639"/>
        <v>12</v>
      </c>
      <c r="GO1305" s="101">
        <f t="shared" si="640"/>
        <v>0.11210000000000001</v>
      </c>
      <c r="GP1305" s="101">
        <f t="shared" si="641"/>
        <v>1</v>
      </c>
      <c r="GQ1305" s="101">
        <f t="shared" si="642"/>
        <v>27</v>
      </c>
    </row>
    <row r="1306" spans="175:199" ht="16.5" x14ac:dyDescent="0.2">
      <c r="FS1306" s="101">
        <v>1301</v>
      </c>
      <c r="FT1306" s="101">
        <f t="shared" si="627"/>
        <v>0</v>
      </c>
      <c r="FU1306" s="101">
        <f t="shared" si="620"/>
        <v>17</v>
      </c>
      <c r="FV1306" s="14">
        <f t="shared" si="621"/>
        <v>3</v>
      </c>
      <c r="FW1306" s="101" t="str">
        <f t="shared" si="628"/>
        <v>朱仙专属武器-魂珠-3 0级</v>
      </c>
      <c r="FX1306" s="101">
        <f t="shared" si="629"/>
        <v>3</v>
      </c>
      <c r="FY1306" s="101">
        <f t="shared" si="630"/>
        <v>0</v>
      </c>
      <c r="FZ1306" s="101" t="str">
        <f t="shared" si="622"/>
        <v/>
      </c>
      <c r="GA1306" s="139" t="str">
        <f>IF($FY1306&gt;0,IF(INDEX($EM$6:$EM$77,$FT1306)&gt;=GA$3,ROUND(INDEX(EO$6:EO$77,$FT1306)*INDEX(卡牌消耗!$B$8:$F$8,FV1306)/5,0)*5,""),"")</f>
        <v/>
      </c>
      <c r="GB1306" s="101" t="str">
        <f t="shared" si="623"/>
        <v/>
      </c>
      <c r="GC1306" s="101" t="str">
        <f t="shared" si="624"/>
        <v/>
      </c>
      <c r="GD1306" s="101" t="str">
        <f t="shared" si="625"/>
        <v/>
      </c>
      <c r="GE1306" s="101" t="str">
        <f t="shared" si="626"/>
        <v/>
      </c>
      <c r="GF1306" s="101" t="str">
        <f t="shared" si="631"/>
        <v/>
      </c>
      <c r="GG1306" s="101" t="str">
        <f t="shared" si="632"/>
        <v/>
      </c>
      <c r="GH1306" s="101" t="str">
        <f t="shared" si="633"/>
        <v/>
      </c>
      <c r="GI1306" s="101" t="str">
        <f t="shared" si="634"/>
        <v/>
      </c>
      <c r="GJ1306" s="101" t="str">
        <f t="shared" si="635"/>
        <v/>
      </c>
      <c r="GK1306" s="101" t="str">
        <f t="shared" si="636"/>
        <v/>
      </c>
      <c r="GL1306" s="101" t="str">
        <f t="shared" si="637"/>
        <v/>
      </c>
      <c r="GM1306" s="101" t="str">
        <f t="shared" si="638"/>
        <v/>
      </c>
      <c r="GN1306" s="101" t="str">
        <f t="shared" si="639"/>
        <v/>
      </c>
      <c r="GO1306" s="101" t="str">
        <f t="shared" si="640"/>
        <v/>
      </c>
      <c r="GP1306" s="101" t="str">
        <f t="shared" si="641"/>
        <v/>
      </c>
      <c r="GQ1306" s="101" t="str">
        <f t="shared" si="642"/>
        <v/>
      </c>
    </row>
    <row r="1307" spans="175:199" ht="16.5" x14ac:dyDescent="0.2">
      <c r="FS1307" s="101">
        <v>1302</v>
      </c>
      <c r="FT1307" s="101">
        <f t="shared" si="627"/>
        <v>19</v>
      </c>
      <c r="FU1307" s="101">
        <f t="shared" si="620"/>
        <v>17</v>
      </c>
      <c r="FV1307" s="14">
        <f t="shared" si="621"/>
        <v>3</v>
      </c>
      <c r="FW1307" s="101" t="str">
        <f t="shared" si="628"/>
        <v>朱仙专属武器-魂珠-3 1级</v>
      </c>
      <c r="FX1307" s="101">
        <f t="shared" si="629"/>
        <v>3</v>
      </c>
      <c r="FY1307" s="101">
        <f t="shared" si="630"/>
        <v>1</v>
      </c>
      <c r="FZ1307" s="101" t="str">
        <f t="shared" si="622"/>
        <v>金币</v>
      </c>
      <c r="GA1307" s="139">
        <f>IF($FY1307&gt;0,IF(INDEX($EM$6:$EM$77,$FT1307)&gt;=GA$3,ROUND(INDEX(EO$6:EO$77,$FT1307)*INDEX(卡牌消耗!$B$8:$F$8,FV1307)/5,0)*5,""),"")</f>
        <v>545</v>
      </c>
      <c r="GB1307" s="101" t="str">
        <f t="shared" si="623"/>
        <v>专属强化石1</v>
      </c>
      <c r="GC1307" s="101">
        <f t="shared" si="624"/>
        <v>4</v>
      </c>
      <c r="GD1307" s="101" t="str">
        <f t="shared" si="625"/>
        <v>专属强化石2</v>
      </c>
      <c r="GE1307" s="101">
        <f t="shared" si="626"/>
        <v>2</v>
      </c>
      <c r="GF1307" s="101">
        <f t="shared" si="631"/>
        <v>0.31</v>
      </c>
      <c r="GG1307" s="101">
        <f t="shared" si="632"/>
        <v>1</v>
      </c>
      <c r="GH1307" s="101">
        <f t="shared" si="633"/>
        <v>5</v>
      </c>
      <c r="GI1307" s="101">
        <f t="shared" si="634"/>
        <v>0</v>
      </c>
      <c r="GJ1307" s="101">
        <f t="shared" si="635"/>
        <v>1</v>
      </c>
      <c r="GK1307" s="101">
        <f t="shared" si="636"/>
        <v>1</v>
      </c>
      <c r="GL1307" s="101">
        <f t="shared" si="637"/>
        <v>0.15409999999999999</v>
      </c>
      <c r="GM1307" s="101">
        <f t="shared" si="638"/>
        <v>1</v>
      </c>
      <c r="GN1307" s="101">
        <f t="shared" si="639"/>
        <v>2</v>
      </c>
      <c r="GO1307" s="101">
        <f t="shared" si="640"/>
        <v>0.61650000000000005</v>
      </c>
      <c r="GP1307" s="101">
        <f t="shared" si="641"/>
        <v>1</v>
      </c>
      <c r="GQ1307" s="101">
        <f t="shared" si="642"/>
        <v>5</v>
      </c>
    </row>
    <row r="1308" spans="175:199" ht="16.5" x14ac:dyDescent="0.2">
      <c r="FS1308" s="101">
        <v>1303</v>
      </c>
      <c r="FT1308" s="101">
        <f t="shared" si="627"/>
        <v>20</v>
      </c>
      <c r="FU1308" s="101">
        <f t="shared" si="620"/>
        <v>17</v>
      </c>
      <c r="FV1308" s="14">
        <f t="shared" si="621"/>
        <v>3</v>
      </c>
      <c r="FW1308" s="101" t="str">
        <f t="shared" si="628"/>
        <v>朱仙专属武器-魂珠-3 2级</v>
      </c>
      <c r="FX1308" s="101">
        <f t="shared" si="629"/>
        <v>3</v>
      </c>
      <c r="FY1308" s="101">
        <f t="shared" si="630"/>
        <v>2</v>
      </c>
      <c r="FZ1308" s="101" t="str">
        <f t="shared" si="622"/>
        <v>金币</v>
      </c>
      <c r="GA1308" s="139">
        <f>IF($FY1308&gt;0,IF(INDEX($EM$6:$EM$77,$FT1308)&gt;=GA$3,ROUND(INDEX(EO$6:EO$77,$FT1308)*INDEX(卡牌消耗!$B$8:$F$8,FV1308)/5,0)*5,""),"")</f>
        <v>410</v>
      </c>
      <c r="GB1308" s="101" t="str">
        <f t="shared" si="623"/>
        <v>专属强化石1</v>
      </c>
      <c r="GC1308" s="101">
        <f t="shared" si="624"/>
        <v>4</v>
      </c>
      <c r="GD1308" s="101" t="str">
        <f t="shared" si="625"/>
        <v>专属强化石2</v>
      </c>
      <c r="GE1308" s="101">
        <f t="shared" si="626"/>
        <v>2</v>
      </c>
      <c r="GF1308" s="101">
        <f t="shared" si="631"/>
        <v>0.15</v>
      </c>
      <c r="GG1308" s="101">
        <f t="shared" si="632"/>
        <v>1</v>
      </c>
      <c r="GH1308" s="101">
        <f t="shared" si="633"/>
        <v>10</v>
      </c>
      <c r="GI1308" s="101">
        <f t="shared" si="634"/>
        <v>0</v>
      </c>
      <c r="GJ1308" s="101">
        <f t="shared" si="635"/>
        <v>1</v>
      </c>
      <c r="GK1308" s="101">
        <f t="shared" si="636"/>
        <v>2</v>
      </c>
      <c r="GL1308" s="101">
        <f t="shared" si="637"/>
        <v>7.7100000000000002E-2</v>
      </c>
      <c r="GM1308" s="101">
        <f t="shared" si="638"/>
        <v>1</v>
      </c>
      <c r="GN1308" s="101">
        <f t="shared" si="639"/>
        <v>5</v>
      </c>
      <c r="GO1308" s="101">
        <f t="shared" si="640"/>
        <v>0.30830000000000002</v>
      </c>
      <c r="GP1308" s="101">
        <f t="shared" si="641"/>
        <v>1</v>
      </c>
      <c r="GQ1308" s="101">
        <f t="shared" si="642"/>
        <v>10</v>
      </c>
    </row>
    <row r="1309" spans="175:199" ht="16.5" x14ac:dyDescent="0.2">
      <c r="FS1309" s="101">
        <v>1304</v>
      </c>
      <c r="FT1309" s="101">
        <f t="shared" si="627"/>
        <v>21</v>
      </c>
      <c r="FU1309" s="101">
        <f t="shared" si="620"/>
        <v>17</v>
      </c>
      <c r="FV1309" s="14">
        <f t="shared" si="621"/>
        <v>3</v>
      </c>
      <c r="FW1309" s="101" t="str">
        <f t="shared" si="628"/>
        <v>朱仙专属武器-魂珠-3 3级</v>
      </c>
      <c r="FX1309" s="101">
        <f t="shared" si="629"/>
        <v>3</v>
      </c>
      <c r="FY1309" s="101">
        <f t="shared" si="630"/>
        <v>3</v>
      </c>
      <c r="FZ1309" s="101" t="str">
        <f t="shared" si="622"/>
        <v>金币</v>
      </c>
      <c r="GA1309" s="139">
        <f>IF($FY1309&gt;0,IF(INDEX($EM$6:$EM$77,$FT1309)&gt;=GA$3,ROUND(INDEX(EO$6:EO$77,$FT1309)*INDEX(卡牌消耗!$B$8:$F$8,FV1309)/5,0)*5,""),"")</f>
        <v>680</v>
      </c>
      <c r="GB1309" s="101" t="str">
        <f t="shared" si="623"/>
        <v>专属强化石1</v>
      </c>
      <c r="GC1309" s="101">
        <f t="shared" si="624"/>
        <v>6</v>
      </c>
      <c r="GD1309" s="101" t="str">
        <f t="shared" si="625"/>
        <v>专属强化石2</v>
      </c>
      <c r="GE1309" s="101">
        <f t="shared" si="626"/>
        <v>3</v>
      </c>
      <c r="GF1309" s="101">
        <f t="shared" si="631"/>
        <v>0.15</v>
      </c>
      <c r="GG1309" s="101">
        <f t="shared" si="632"/>
        <v>1</v>
      </c>
      <c r="GH1309" s="101">
        <f t="shared" si="633"/>
        <v>10</v>
      </c>
      <c r="GI1309" s="101">
        <f t="shared" si="634"/>
        <v>0</v>
      </c>
      <c r="GJ1309" s="101">
        <f t="shared" si="635"/>
        <v>1</v>
      </c>
      <c r="GK1309" s="101">
        <f t="shared" si="636"/>
        <v>2</v>
      </c>
      <c r="GL1309" s="101">
        <f t="shared" si="637"/>
        <v>7.7100000000000002E-2</v>
      </c>
      <c r="GM1309" s="101">
        <f t="shared" si="638"/>
        <v>1</v>
      </c>
      <c r="GN1309" s="101">
        <f t="shared" si="639"/>
        <v>5</v>
      </c>
      <c r="GO1309" s="101">
        <f t="shared" si="640"/>
        <v>0.30830000000000002</v>
      </c>
      <c r="GP1309" s="101">
        <f t="shared" si="641"/>
        <v>1</v>
      </c>
      <c r="GQ1309" s="101">
        <f t="shared" si="642"/>
        <v>10</v>
      </c>
    </row>
    <row r="1310" spans="175:199" ht="16.5" x14ac:dyDescent="0.2">
      <c r="FS1310" s="101">
        <v>1305</v>
      </c>
      <c r="FT1310" s="101">
        <f t="shared" si="627"/>
        <v>22</v>
      </c>
      <c r="FU1310" s="101">
        <f t="shared" si="620"/>
        <v>17</v>
      </c>
      <c r="FV1310" s="14">
        <f t="shared" si="621"/>
        <v>3</v>
      </c>
      <c r="FW1310" s="101" t="str">
        <f t="shared" si="628"/>
        <v>朱仙专属武器-魂珠-3 4级</v>
      </c>
      <c r="FX1310" s="101">
        <f t="shared" si="629"/>
        <v>3</v>
      </c>
      <c r="FY1310" s="101">
        <f t="shared" si="630"/>
        <v>4</v>
      </c>
      <c r="FZ1310" s="101" t="str">
        <f t="shared" si="622"/>
        <v>金币</v>
      </c>
      <c r="GA1310" s="139">
        <f>IF($FY1310&gt;0,IF(INDEX($EM$6:$EM$77,$FT1310)&gt;=GA$3,ROUND(INDEX(EO$6:EO$77,$FT1310)*INDEX(卡牌消耗!$B$8:$F$8,FV1310)/5,0)*5,""),"")</f>
        <v>655</v>
      </c>
      <c r="GB1310" s="101" t="str">
        <f t="shared" si="623"/>
        <v>专属强化石1</v>
      </c>
      <c r="GC1310" s="101">
        <f t="shared" si="624"/>
        <v>6</v>
      </c>
      <c r="GD1310" s="101" t="str">
        <f t="shared" si="625"/>
        <v>专属强化石2</v>
      </c>
      <c r="GE1310" s="101">
        <f t="shared" si="626"/>
        <v>3</v>
      </c>
      <c r="GF1310" s="101">
        <f t="shared" si="631"/>
        <v>0.09</v>
      </c>
      <c r="GG1310" s="101">
        <f t="shared" si="632"/>
        <v>1</v>
      </c>
      <c r="GH1310" s="101">
        <f t="shared" si="633"/>
        <v>16</v>
      </c>
      <c r="GI1310" s="101">
        <f t="shared" si="634"/>
        <v>0</v>
      </c>
      <c r="GJ1310" s="101">
        <f t="shared" si="635"/>
        <v>1</v>
      </c>
      <c r="GK1310" s="101">
        <f t="shared" si="636"/>
        <v>4</v>
      </c>
      <c r="GL1310" s="101">
        <f t="shared" si="637"/>
        <v>4.6199999999999998E-2</v>
      </c>
      <c r="GM1310" s="101">
        <f t="shared" si="638"/>
        <v>1</v>
      </c>
      <c r="GN1310" s="101">
        <f t="shared" si="639"/>
        <v>8</v>
      </c>
      <c r="GO1310" s="101">
        <f t="shared" si="640"/>
        <v>0.185</v>
      </c>
      <c r="GP1310" s="101">
        <f t="shared" si="641"/>
        <v>1</v>
      </c>
      <c r="GQ1310" s="101">
        <f t="shared" si="642"/>
        <v>16</v>
      </c>
    </row>
    <row r="1311" spans="175:199" ht="16.5" x14ac:dyDescent="0.2">
      <c r="FS1311" s="101">
        <v>1306</v>
      </c>
      <c r="FT1311" s="101">
        <f t="shared" si="627"/>
        <v>23</v>
      </c>
      <c r="FU1311" s="101">
        <f t="shared" si="620"/>
        <v>17</v>
      </c>
      <c r="FV1311" s="14">
        <f t="shared" si="621"/>
        <v>3</v>
      </c>
      <c r="FW1311" s="101" t="str">
        <f t="shared" si="628"/>
        <v>朱仙专属武器-魂珠-3 5级</v>
      </c>
      <c r="FX1311" s="101">
        <f t="shared" si="629"/>
        <v>3</v>
      </c>
      <c r="FY1311" s="101">
        <f t="shared" si="630"/>
        <v>5</v>
      </c>
      <c r="FZ1311" s="101" t="str">
        <f t="shared" si="622"/>
        <v>金币</v>
      </c>
      <c r="GA1311" s="139">
        <f>IF($FY1311&gt;0,IF(INDEX($EM$6:$EM$77,$FT1311)&gt;=GA$3,ROUND(INDEX(EO$6:EO$77,$FT1311)*INDEX(卡牌消耗!$B$8:$F$8,FV1311)/5,0)*5,""),"")</f>
        <v>885</v>
      </c>
      <c r="GB1311" s="101" t="str">
        <f t="shared" si="623"/>
        <v>专属强化石1</v>
      </c>
      <c r="GC1311" s="101">
        <f t="shared" si="624"/>
        <v>8</v>
      </c>
      <c r="GD1311" s="101" t="str">
        <f t="shared" si="625"/>
        <v>专属强化石2</v>
      </c>
      <c r="GE1311" s="101">
        <f t="shared" si="626"/>
        <v>4</v>
      </c>
      <c r="GF1311" s="101">
        <f t="shared" si="631"/>
        <v>0.08</v>
      </c>
      <c r="GG1311" s="101">
        <f t="shared" si="632"/>
        <v>1</v>
      </c>
      <c r="GH1311" s="101">
        <f t="shared" si="633"/>
        <v>19</v>
      </c>
      <c r="GI1311" s="101">
        <f t="shared" si="634"/>
        <v>0</v>
      </c>
      <c r="GJ1311" s="101">
        <f t="shared" si="635"/>
        <v>1</v>
      </c>
      <c r="GK1311" s="101">
        <f t="shared" si="636"/>
        <v>5</v>
      </c>
      <c r="GL1311" s="101">
        <f t="shared" si="637"/>
        <v>3.85E-2</v>
      </c>
      <c r="GM1311" s="101">
        <f t="shared" si="638"/>
        <v>1</v>
      </c>
      <c r="GN1311" s="101">
        <f t="shared" si="639"/>
        <v>9</v>
      </c>
      <c r="GO1311" s="101">
        <f t="shared" si="640"/>
        <v>0.15409999999999999</v>
      </c>
      <c r="GP1311" s="101">
        <f t="shared" si="641"/>
        <v>1</v>
      </c>
      <c r="GQ1311" s="101">
        <f t="shared" si="642"/>
        <v>19</v>
      </c>
    </row>
    <row r="1312" spans="175:199" ht="16.5" x14ac:dyDescent="0.2">
      <c r="FS1312" s="101">
        <v>1307</v>
      </c>
      <c r="FT1312" s="101">
        <f t="shared" si="627"/>
        <v>24</v>
      </c>
      <c r="FU1312" s="101">
        <f t="shared" si="620"/>
        <v>17</v>
      </c>
      <c r="FV1312" s="14">
        <f t="shared" si="621"/>
        <v>3</v>
      </c>
      <c r="FW1312" s="101" t="str">
        <f t="shared" si="628"/>
        <v>朱仙专属武器-魂珠-3 6级</v>
      </c>
      <c r="FX1312" s="101">
        <f t="shared" si="629"/>
        <v>3</v>
      </c>
      <c r="FY1312" s="101">
        <f t="shared" si="630"/>
        <v>6</v>
      </c>
      <c r="FZ1312" s="101" t="str">
        <f t="shared" si="622"/>
        <v>金币</v>
      </c>
      <c r="GA1312" s="139">
        <f>IF($FY1312&gt;0,IF(INDEX($EM$6:$EM$77,$FT1312)&gt;=GA$3,ROUND(INDEX(EO$6:EO$77,$FT1312)*INDEX(卡牌消耗!$B$8:$F$8,FV1312)/5,0)*5,""),"")</f>
        <v>1100</v>
      </c>
      <c r="GB1312" s="101" t="str">
        <f t="shared" si="623"/>
        <v>专属强化石1</v>
      </c>
      <c r="GC1312" s="101">
        <f t="shared" si="624"/>
        <v>10</v>
      </c>
      <c r="GD1312" s="101" t="str">
        <f t="shared" si="625"/>
        <v>专属强化石2</v>
      </c>
      <c r="GE1312" s="101">
        <f t="shared" si="626"/>
        <v>5</v>
      </c>
      <c r="GF1312" s="101">
        <f t="shared" si="631"/>
        <v>0.06</v>
      </c>
      <c r="GG1312" s="101">
        <f t="shared" si="632"/>
        <v>1</v>
      </c>
      <c r="GH1312" s="101">
        <f t="shared" si="633"/>
        <v>25</v>
      </c>
      <c r="GI1312" s="101">
        <f t="shared" si="634"/>
        <v>0</v>
      </c>
      <c r="GJ1312" s="101">
        <f t="shared" si="635"/>
        <v>1</v>
      </c>
      <c r="GK1312" s="101">
        <f t="shared" si="636"/>
        <v>6</v>
      </c>
      <c r="GL1312" s="101">
        <f t="shared" si="637"/>
        <v>2.9600000000000001E-2</v>
      </c>
      <c r="GM1312" s="101">
        <f t="shared" si="638"/>
        <v>1</v>
      </c>
      <c r="GN1312" s="101">
        <f t="shared" si="639"/>
        <v>12</v>
      </c>
      <c r="GO1312" s="101">
        <f t="shared" si="640"/>
        <v>0.1186</v>
      </c>
      <c r="GP1312" s="101">
        <f t="shared" si="641"/>
        <v>1</v>
      </c>
      <c r="GQ1312" s="101">
        <f t="shared" si="642"/>
        <v>25</v>
      </c>
    </row>
    <row r="1313" spans="175:199" ht="16.5" x14ac:dyDescent="0.2">
      <c r="FS1313" s="101">
        <v>1308</v>
      </c>
      <c r="FT1313" s="101">
        <f t="shared" si="627"/>
        <v>25</v>
      </c>
      <c r="FU1313" s="101">
        <f t="shared" si="620"/>
        <v>17</v>
      </c>
      <c r="FV1313" s="14">
        <f t="shared" si="621"/>
        <v>3</v>
      </c>
      <c r="FW1313" s="101" t="str">
        <f t="shared" si="628"/>
        <v>朱仙专属武器-魂珠-3 7级</v>
      </c>
      <c r="FX1313" s="101">
        <f t="shared" si="629"/>
        <v>3</v>
      </c>
      <c r="FY1313" s="101">
        <f t="shared" si="630"/>
        <v>7</v>
      </c>
      <c r="FZ1313" s="101" t="str">
        <f t="shared" si="622"/>
        <v>金币</v>
      </c>
      <c r="GA1313" s="139">
        <f>IF($FY1313&gt;0,IF(INDEX($EM$6:$EM$77,$FT1313)&gt;=GA$3,ROUND(INDEX(EO$6:EO$77,$FT1313)*INDEX(卡牌消耗!$B$8:$F$8,FV1313)/5,0)*5,""),"")</f>
        <v>1325</v>
      </c>
      <c r="GB1313" s="101" t="str">
        <f t="shared" si="623"/>
        <v>专属强化石1</v>
      </c>
      <c r="GC1313" s="101">
        <f t="shared" si="624"/>
        <v>12</v>
      </c>
      <c r="GD1313" s="101" t="str">
        <f t="shared" si="625"/>
        <v>专属强化石2</v>
      </c>
      <c r="GE1313" s="101">
        <f t="shared" si="626"/>
        <v>6</v>
      </c>
      <c r="GF1313" s="101">
        <f t="shared" si="631"/>
        <v>0.04</v>
      </c>
      <c r="GG1313" s="101">
        <f t="shared" si="632"/>
        <v>1</v>
      </c>
      <c r="GH1313" s="101">
        <f t="shared" si="633"/>
        <v>34</v>
      </c>
      <c r="GI1313" s="101">
        <f t="shared" si="634"/>
        <v>0</v>
      </c>
      <c r="GJ1313" s="101">
        <f t="shared" si="635"/>
        <v>1</v>
      </c>
      <c r="GK1313" s="101">
        <f t="shared" si="636"/>
        <v>8</v>
      </c>
      <c r="GL1313" s="101">
        <f t="shared" si="637"/>
        <v>2.1999999999999999E-2</v>
      </c>
      <c r="GM1313" s="101">
        <f t="shared" si="638"/>
        <v>1</v>
      </c>
      <c r="GN1313" s="101">
        <f t="shared" si="639"/>
        <v>16</v>
      </c>
      <c r="GO1313" s="101">
        <f t="shared" si="640"/>
        <v>8.8099999999999998E-2</v>
      </c>
      <c r="GP1313" s="101">
        <f t="shared" si="641"/>
        <v>1</v>
      </c>
      <c r="GQ1313" s="101">
        <f t="shared" si="642"/>
        <v>34</v>
      </c>
    </row>
    <row r="1314" spans="175:199" ht="16.5" x14ac:dyDescent="0.2">
      <c r="FS1314" s="101">
        <v>1309</v>
      </c>
      <c r="FT1314" s="101">
        <f t="shared" si="627"/>
        <v>26</v>
      </c>
      <c r="FU1314" s="101">
        <f t="shared" si="620"/>
        <v>17</v>
      </c>
      <c r="FV1314" s="14">
        <f t="shared" si="621"/>
        <v>3</v>
      </c>
      <c r="FW1314" s="101" t="str">
        <f t="shared" si="628"/>
        <v>朱仙专属武器-魂珠-3 8级</v>
      </c>
      <c r="FX1314" s="101">
        <f t="shared" si="629"/>
        <v>3</v>
      </c>
      <c r="FY1314" s="101">
        <f t="shared" si="630"/>
        <v>8</v>
      </c>
      <c r="FZ1314" s="101" t="str">
        <f t="shared" si="622"/>
        <v>金币</v>
      </c>
      <c r="GA1314" s="139">
        <f>IF($FY1314&gt;0,IF(INDEX($EM$6:$EM$77,$FT1314)&gt;=GA$3,ROUND(INDEX(EO$6:EO$77,$FT1314)*INDEX(卡牌消耗!$B$8:$F$8,FV1314)/5,0)*5,""),"")</f>
        <v>1765</v>
      </c>
      <c r="GB1314" s="101" t="str">
        <f t="shared" si="623"/>
        <v>专属强化石1</v>
      </c>
      <c r="GC1314" s="101">
        <f t="shared" si="624"/>
        <v>16</v>
      </c>
      <c r="GD1314" s="101" t="str">
        <f t="shared" si="625"/>
        <v>专属强化石2</v>
      </c>
      <c r="GE1314" s="101">
        <f t="shared" si="626"/>
        <v>8</v>
      </c>
      <c r="GF1314" s="101">
        <f t="shared" si="631"/>
        <v>0.04</v>
      </c>
      <c r="GG1314" s="101">
        <f t="shared" si="632"/>
        <v>1</v>
      </c>
      <c r="GH1314" s="101">
        <f t="shared" si="633"/>
        <v>41</v>
      </c>
      <c r="GI1314" s="101">
        <f t="shared" si="634"/>
        <v>0</v>
      </c>
      <c r="GJ1314" s="101">
        <f t="shared" si="635"/>
        <v>1</v>
      </c>
      <c r="GK1314" s="101">
        <f t="shared" si="636"/>
        <v>10</v>
      </c>
      <c r="GL1314" s="101">
        <f t="shared" si="637"/>
        <v>1.8100000000000002E-2</v>
      </c>
      <c r="GM1314" s="101">
        <f t="shared" si="638"/>
        <v>1</v>
      </c>
      <c r="GN1314" s="101">
        <f t="shared" si="639"/>
        <v>19</v>
      </c>
      <c r="GO1314" s="101">
        <f t="shared" si="640"/>
        <v>7.2499999999999995E-2</v>
      </c>
      <c r="GP1314" s="101">
        <f t="shared" si="641"/>
        <v>1</v>
      </c>
      <c r="GQ1314" s="101">
        <f t="shared" si="642"/>
        <v>41</v>
      </c>
    </row>
    <row r="1315" spans="175:199" ht="16.5" x14ac:dyDescent="0.2">
      <c r="FS1315" s="101">
        <v>1310</v>
      </c>
      <c r="FT1315" s="101">
        <f t="shared" si="627"/>
        <v>27</v>
      </c>
      <c r="FU1315" s="101">
        <f t="shared" si="620"/>
        <v>17</v>
      </c>
      <c r="FV1315" s="14">
        <f t="shared" si="621"/>
        <v>3</v>
      </c>
      <c r="FW1315" s="101" t="str">
        <f t="shared" si="628"/>
        <v>朱仙专属武器-魂珠-3 9级</v>
      </c>
      <c r="FX1315" s="101">
        <f t="shared" si="629"/>
        <v>3</v>
      </c>
      <c r="FY1315" s="101">
        <f t="shared" si="630"/>
        <v>9</v>
      </c>
      <c r="FZ1315" s="101" t="str">
        <f t="shared" si="622"/>
        <v>金币</v>
      </c>
      <c r="GA1315" s="139">
        <f>IF($FY1315&gt;0,IF(INDEX($EM$6:$EM$77,$FT1315)&gt;=GA$3,ROUND(INDEX(EO$6:EO$77,$FT1315)*INDEX(卡牌消耗!$B$8:$F$8,FV1315)/5,0)*5,""),"")</f>
        <v>2205</v>
      </c>
      <c r="GB1315" s="101" t="str">
        <f t="shared" si="623"/>
        <v>专属强化石1</v>
      </c>
      <c r="GC1315" s="101">
        <f t="shared" si="624"/>
        <v>20</v>
      </c>
      <c r="GD1315" s="101" t="str">
        <f t="shared" si="625"/>
        <v>专属强化石2</v>
      </c>
      <c r="GE1315" s="101">
        <f t="shared" si="626"/>
        <v>10</v>
      </c>
      <c r="GF1315" s="101">
        <f t="shared" si="631"/>
        <v>0.03</v>
      </c>
      <c r="GG1315" s="101">
        <f t="shared" si="632"/>
        <v>1</v>
      </c>
      <c r="GH1315" s="101">
        <f t="shared" si="633"/>
        <v>54</v>
      </c>
      <c r="GI1315" s="101">
        <f t="shared" si="634"/>
        <v>0</v>
      </c>
      <c r="GJ1315" s="101">
        <f t="shared" si="635"/>
        <v>1</v>
      </c>
      <c r="GK1315" s="101">
        <f t="shared" si="636"/>
        <v>12</v>
      </c>
      <c r="GL1315" s="101">
        <f t="shared" si="637"/>
        <v>1.4E-2</v>
      </c>
      <c r="GM1315" s="101">
        <f t="shared" si="638"/>
        <v>1</v>
      </c>
      <c r="GN1315" s="101">
        <f t="shared" si="639"/>
        <v>25</v>
      </c>
      <c r="GO1315" s="101">
        <f t="shared" si="640"/>
        <v>5.6000000000000001E-2</v>
      </c>
      <c r="GP1315" s="101">
        <f t="shared" si="641"/>
        <v>1</v>
      </c>
      <c r="GQ1315" s="101">
        <f t="shared" si="642"/>
        <v>54</v>
      </c>
    </row>
    <row r="1316" spans="175:199" ht="16.5" x14ac:dyDescent="0.2">
      <c r="FS1316" s="101">
        <v>1311</v>
      </c>
      <c r="FT1316" s="101">
        <f t="shared" si="627"/>
        <v>0</v>
      </c>
      <c r="FU1316" s="101">
        <f t="shared" si="620"/>
        <v>17</v>
      </c>
      <c r="FV1316" s="14">
        <f t="shared" si="621"/>
        <v>3</v>
      </c>
      <c r="FW1316" s="101" t="str">
        <f t="shared" si="628"/>
        <v>朱仙专属武器-魂珠-4 0级</v>
      </c>
      <c r="FX1316" s="101">
        <f t="shared" si="629"/>
        <v>4</v>
      </c>
      <c r="FY1316" s="101">
        <f t="shared" si="630"/>
        <v>0</v>
      </c>
      <c r="FZ1316" s="101" t="str">
        <f t="shared" si="622"/>
        <v/>
      </c>
      <c r="GA1316" s="139" t="str">
        <f>IF($FY1316&gt;0,IF(INDEX($EM$6:$EM$77,$FT1316)&gt;=GA$3,ROUND(INDEX(EO$6:EO$77,$FT1316)*INDEX(卡牌消耗!$B$8:$F$8,FV1316)/5,0)*5,""),"")</f>
        <v/>
      </c>
      <c r="GB1316" s="101" t="str">
        <f t="shared" si="623"/>
        <v/>
      </c>
      <c r="GC1316" s="101" t="str">
        <f t="shared" si="624"/>
        <v/>
      </c>
      <c r="GD1316" s="101" t="str">
        <f t="shared" si="625"/>
        <v/>
      </c>
      <c r="GE1316" s="101" t="str">
        <f t="shared" si="626"/>
        <v/>
      </c>
      <c r="GF1316" s="101" t="str">
        <f t="shared" si="631"/>
        <v/>
      </c>
      <c r="GG1316" s="101" t="str">
        <f t="shared" si="632"/>
        <v/>
      </c>
      <c r="GH1316" s="101" t="str">
        <f t="shared" si="633"/>
        <v/>
      </c>
      <c r="GI1316" s="101" t="str">
        <f t="shared" si="634"/>
        <v/>
      </c>
      <c r="GJ1316" s="101" t="str">
        <f t="shared" si="635"/>
        <v/>
      </c>
      <c r="GK1316" s="101" t="str">
        <f t="shared" si="636"/>
        <v/>
      </c>
      <c r="GL1316" s="101" t="str">
        <f t="shared" si="637"/>
        <v/>
      </c>
      <c r="GM1316" s="101" t="str">
        <f t="shared" si="638"/>
        <v/>
      </c>
      <c r="GN1316" s="101" t="str">
        <f t="shared" si="639"/>
        <v/>
      </c>
      <c r="GO1316" s="101" t="str">
        <f t="shared" si="640"/>
        <v/>
      </c>
      <c r="GP1316" s="101" t="str">
        <f t="shared" si="641"/>
        <v/>
      </c>
      <c r="GQ1316" s="101" t="str">
        <f t="shared" si="642"/>
        <v/>
      </c>
    </row>
    <row r="1317" spans="175:199" ht="16.5" x14ac:dyDescent="0.2">
      <c r="FS1317" s="101">
        <v>1312</v>
      </c>
      <c r="FT1317" s="101">
        <f t="shared" si="627"/>
        <v>28</v>
      </c>
      <c r="FU1317" s="101">
        <f t="shared" si="620"/>
        <v>17</v>
      </c>
      <c r="FV1317" s="14">
        <f t="shared" si="621"/>
        <v>3</v>
      </c>
      <c r="FW1317" s="101" t="str">
        <f t="shared" si="628"/>
        <v>朱仙专属武器-魂珠-4 1级</v>
      </c>
      <c r="FX1317" s="101">
        <f t="shared" si="629"/>
        <v>4</v>
      </c>
      <c r="FY1317" s="101">
        <f t="shared" si="630"/>
        <v>1</v>
      </c>
      <c r="FZ1317" s="101" t="str">
        <f t="shared" si="622"/>
        <v>金币</v>
      </c>
      <c r="GA1317" s="139">
        <f>IF($FY1317&gt;0,IF(INDEX($EM$6:$EM$77,$FT1317)&gt;=GA$3,ROUND(INDEX(EO$6:EO$77,$FT1317)*INDEX(卡牌消耗!$B$8:$F$8,FV1317)/5,0)*5,""),"")</f>
        <v>730</v>
      </c>
      <c r="GB1317" s="101" t="str">
        <f t="shared" si="623"/>
        <v>专属强化石2</v>
      </c>
      <c r="GC1317" s="101">
        <f t="shared" si="624"/>
        <v>3</v>
      </c>
      <c r="GD1317" s="101" t="str">
        <f t="shared" si="625"/>
        <v>专属强化石3</v>
      </c>
      <c r="GE1317" s="101">
        <f t="shared" si="626"/>
        <v>1</v>
      </c>
      <c r="GF1317" s="101">
        <f t="shared" si="631"/>
        <v>0.2</v>
      </c>
      <c r="GG1317" s="101">
        <f t="shared" si="632"/>
        <v>1</v>
      </c>
      <c r="GH1317" s="101">
        <f t="shared" si="633"/>
        <v>7</v>
      </c>
      <c r="GI1317" s="101">
        <f t="shared" si="634"/>
        <v>0</v>
      </c>
      <c r="GJ1317" s="101">
        <f t="shared" si="635"/>
        <v>1</v>
      </c>
      <c r="GK1317" s="101">
        <f t="shared" si="636"/>
        <v>2</v>
      </c>
      <c r="GL1317" s="101">
        <f t="shared" si="637"/>
        <v>0.1012</v>
      </c>
      <c r="GM1317" s="101">
        <f t="shared" si="638"/>
        <v>1</v>
      </c>
      <c r="GN1317" s="101">
        <f t="shared" si="639"/>
        <v>3</v>
      </c>
      <c r="GO1317" s="101">
        <f t="shared" si="640"/>
        <v>0.40479999999999999</v>
      </c>
      <c r="GP1317" s="101">
        <f t="shared" si="641"/>
        <v>1</v>
      </c>
      <c r="GQ1317" s="101">
        <f t="shared" si="642"/>
        <v>7</v>
      </c>
    </row>
    <row r="1318" spans="175:199" ht="16.5" x14ac:dyDescent="0.2">
      <c r="FS1318" s="101">
        <v>1313</v>
      </c>
      <c r="FT1318" s="101">
        <f t="shared" si="627"/>
        <v>29</v>
      </c>
      <c r="FU1318" s="101">
        <f t="shared" si="620"/>
        <v>17</v>
      </c>
      <c r="FV1318" s="14">
        <f t="shared" si="621"/>
        <v>3</v>
      </c>
      <c r="FW1318" s="101" t="str">
        <f t="shared" si="628"/>
        <v>朱仙专属武器-魂珠-4 2级</v>
      </c>
      <c r="FX1318" s="101">
        <f t="shared" si="629"/>
        <v>4</v>
      </c>
      <c r="FY1318" s="101">
        <f t="shared" si="630"/>
        <v>2</v>
      </c>
      <c r="FZ1318" s="101" t="str">
        <f t="shared" si="622"/>
        <v>金币</v>
      </c>
      <c r="GA1318" s="139">
        <f>IF($FY1318&gt;0,IF(INDEX($EM$6:$EM$77,$FT1318)&gt;=GA$3,ROUND(INDEX(EO$6:EO$77,$FT1318)*INDEX(卡牌消耗!$B$8:$F$8,FV1318)/5,0)*5,""),"")</f>
        <v>545</v>
      </c>
      <c r="GB1318" s="101" t="str">
        <f t="shared" si="623"/>
        <v>专属强化石2</v>
      </c>
      <c r="GC1318" s="101">
        <f t="shared" si="624"/>
        <v>3</v>
      </c>
      <c r="GD1318" s="101" t="str">
        <f t="shared" si="625"/>
        <v>专属强化石3</v>
      </c>
      <c r="GE1318" s="101">
        <f t="shared" si="626"/>
        <v>1</v>
      </c>
      <c r="GF1318" s="101">
        <f t="shared" si="631"/>
        <v>0.1</v>
      </c>
      <c r="GG1318" s="101">
        <f t="shared" si="632"/>
        <v>1</v>
      </c>
      <c r="GH1318" s="101">
        <f t="shared" si="633"/>
        <v>15</v>
      </c>
      <c r="GI1318" s="101">
        <f t="shared" si="634"/>
        <v>0</v>
      </c>
      <c r="GJ1318" s="101">
        <f t="shared" si="635"/>
        <v>1</v>
      </c>
      <c r="GK1318" s="101">
        <f t="shared" si="636"/>
        <v>3</v>
      </c>
      <c r="GL1318" s="101">
        <f t="shared" si="637"/>
        <v>5.0599999999999999E-2</v>
      </c>
      <c r="GM1318" s="101">
        <f t="shared" si="638"/>
        <v>1</v>
      </c>
      <c r="GN1318" s="101">
        <f t="shared" si="639"/>
        <v>7</v>
      </c>
      <c r="GO1318" s="101">
        <f t="shared" si="640"/>
        <v>0.2024</v>
      </c>
      <c r="GP1318" s="101">
        <f t="shared" si="641"/>
        <v>1</v>
      </c>
      <c r="GQ1318" s="101">
        <f t="shared" si="642"/>
        <v>15</v>
      </c>
    </row>
    <row r="1319" spans="175:199" ht="16.5" x14ac:dyDescent="0.2">
      <c r="FS1319" s="101">
        <v>1314</v>
      </c>
      <c r="FT1319" s="101">
        <f t="shared" si="627"/>
        <v>30</v>
      </c>
      <c r="FU1319" s="101">
        <f t="shared" si="620"/>
        <v>17</v>
      </c>
      <c r="FV1319" s="14">
        <f t="shared" si="621"/>
        <v>3</v>
      </c>
      <c r="FW1319" s="101" t="str">
        <f t="shared" si="628"/>
        <v>朱仙专属武器-魂珠-4 3级</v>
      </c>
      <c r="FX1319" s="101">
        <f t="shared" si="629"/>
        <v>4</v>
      </c>
      <c r="FY1319" s="101">
        <f t="shared" si="630"/>
        <v>3</v>
      </c>
      <c r="FZ1319" s="101" t="str">
        <f t="shared" si="622"/>
        <v>金币</v>
      </c>
      <c r="GA1319" s="139">
        <f>IF($FY1319&gt;0,IF(INDEX($EM$6:$EM$77,$FT1319)&gt;=GA$3,ROUND(INDEX(EO$6:EO$77,$FT1319)*INDEX(卡牌消耗!$B$8:$F$8,FV1319)/5,0)*5,""),"")</f>
        <v>610</v>
      </c>
      <c r="GB1319" s="101" t="str">
        <f t="shared" si="623"/>
        <v>专属强化石2</v>
      </c>
      <c r="GC1319" s="101">
        <f t="shared" si="624"/>
        <v>3</v>
      </c>
      <c r="GD1319" s="101" t="str">
        <f t="shared" si="625"/>
        <v>专属强化石3</v>
      </c>
      <c r="GE1319" s="101">
        <f t="shared" si="626"/>
        <v>1</v>
      </c>
      <c r="GF1319" s="101">
        <f t="shared" si="631"/>
        <v>7.0000000000000007E-2</v>
      </c>
      <c r="GG1319" s="101">
        <f t="shared" si="632"/>
        <v>1</v>
      </c>
      <c r="GH1319" s="101">
        <f t="shared" si="633"/>
        <v>22</v>
      </c>
      <c r="GI1319" s="101">
        <f t="shared" si="634"/>
        <v>0</v>
      </c>
      <c r="GJ1319" s="101">
        <f t="shared" si="635"/>
        <v>1</v>
      </c>
      <c r="GK1319" s="101">
        <f t="shared" si="636"/>
        <v>5</v>
      </c>
      <c r="GL1319" s="101">
        <f t="shared" si="637"/>
        <v>3.3700000000000001E-2</v>
      </c>
      <c r="GM1319" s="101">
        <f t="shared" si="638"/>
        <v>1</v>
      </c>
      <c r="GN1319" s="101">
        <f t="shared" si="639"/>
        <v>10</v>
      </c>
      <c r="GO1319" s="101">
        <f t="shared" si="640"/>
        <v>0.13489999999999999</v>
      </c>
      <c r="GP1319" s="101">
        <f t="shared" si="641"/>
        <v>1</v>
      </c>
      <c r="GQ1319" s="101">
        <f t="shared" si="642"/>
        <v>22</v>
      </c>
    </row>
    <row r="1320" spans="175:199" ht="16.5" x14ac:dyDescent="0.2">
      <c r="FS1320" s="101">
        <v>1315</v>
      </c>
      <c r="FT1320" s="101">
        <f t="shared" si="627"/>
        <v>31</v>
      </c>
      <c r="FU1320" s="101">
        <f t="shared" si="620"/>
        <v>17</v>
      </c>
      <c r="FV1320" s="14">
        <f t="shared" si="621"/>
        <v>3</v>
      </c>
      <c r="FW1320" s="101" t="str">
        <f t="shared" si="628"/>
        <v>朱仙专属武器-魂珠-4 4级</v>
      </c>
      <c r="FX1320" s="101">
        <f t="shared" si="629"/>
        <v>4</v>
      </c>
      <c r="FY1320" s="101">
        <f t="shared" si="630"/>
        <v>4</v>
      </c>
      <c r="FZ1320" s="101" t="str">
        <f t="shared" si="622"/>
        <v>金币</v>
      </c>
      <c r="GA1320" s="139">
        <f>IF($FY1320&gt;0,IF(INDEX($EM$6:$EM$77,$FT1320)&gt;=GA$3,ROUND(INDEX(EO$6:EO$77,$FT1320)*INDEX(卡牌消耗!$B$8:$F$8,FV1320)/5,0)*5,""),"")</f>
        <v>1165</v>
      </c>
      <c r="GB1320" s="101" t="str">
        <f t="shared" si="623"/>
        <v>专属强化石2</v>
      </c>
      <c r="GC1320" s="101">
        <f t="shared" si="624"/>
        <v>5</v>
      </c>
      <c r="GD1320" s="101" t="str">
        <f t="shared" si="625"/>
        <v>专属强化石3</v>
      </c>
      <c r="GE1320" s="101">
        <f t="shared" si="626"/>
        <v>2</v>
      </c>
      <c r="GF1320" s="101">
        <f t="shared" si="631"/>
        <v>0.08</v>
      </c>
      <c r="GG1320" s="101">
        <f t="shared" si="632"/>
        <v>1</v>
      </c>
      <c r="GH1320" s="101">
        <f t="shared" si="633"/>
        <v>19</v>
      </c>
      <c r="GI1320" s="101">
        <f t="shared" si="634"/>
        <v>0</v>
      </c>
      <c r="GJ1320" s="101">
        <f t="shared" si="635"/>
        <v>1</v>
      </c>
      <c r="GK1320" s="101">
        <f t="shared" si="636"/>
        <v>4</v>
      </c>
      <c r="GL1320" s="101">
        <f t="shared" si="637"/>
        <v>4.0500000000000001E-2</v>
      </c>
      <c r="GM1320" s="101">
        <f t="shared" si="638"/>
        <v>1</v>
      </c>
      <c r="GN1320" s="101">
        <f t="shared" si="639"/>
        <v>9</v>
      </c>
      <c r="GO1320" s="101">
        <f t="shared" si="640"/>
        <v>0.16189999999999999</v>
      </c>
      <c r="GP1320" s="101">
        <f t="shared" si="641"/>
        <v>1</v>
      </c>
      <c r="GQ1320" s="101">
        <f t="shared" si="642"/>
        <v>19</v>
      </c>
    </row>
    <row r="1321" spans="175:199" ht="16.5" x14ac:dyDescent="0.2">
      <c r="FS1321" s="101">
        <v>1316</v>
      </c>
      <c r="FT1321" s="101">
        <f t="shared" si="627"/>
        <v>32</v>
      </c>
      <c r="FU1321" s="101">
        <f t="shared" si="620"/>
        <v>17</v>
      </c>
      <c r="FV1321" s="14">
        <f t="shared" si="621"/>
        <v>3</v>
      </c>
      <c r="FW1321" s="101" t="str">
        <f t="shared" si="628"/>
        <v>朱仙专属武器-魂珠-4 5级</v>
      </c>
      <c r="FX1321" s="101">
        <f t="shared" si="629"/>
        <v>4</v>
      </c>
      <c r="FY1321" s="101">
        <f t="shared" si="630"/>
        <v>5</v>
      </c>
      <c r="FZ1321" s="101" t="str">
        <f t="shared" si="622"/>
        <v>金币</v>
      </c>
      <c r="GA1321" s="139">
        <f>IF($FY1321&gt;0,IF(INDEX($EM$6:$EM$77,$FT1321)&gt;=GA$3,ROUND(INDEX(EO$6:EO$77,$FT1321)*INDEX(卡牌消耗!$B$8:$F$8,FV1321)/5,0)*5,""),"")</f>
        <v>1185</v>
      </c>
      <c r="GB1321" s="101" t="str">
        <f t="shared" si="623"/>
        <v>专属强化石2</v>
      </c>
      <c r="GC1321" s="101">
        <f t="shared" si="624"/>
        <v>5</v>
      </c>
      <c r="GD1321" s="101" t="str">
        <f t="shared" si="625"/>
        <v>专属强化石3</v>
      </c>
      <c r="GE1321" s="101">
        <f t="shared" si="626"/>
        <v>2</v>
      </c>
      <c r="GF1321" s="101">
        <f t="shared" si="631"/>
        <v>0.05</v>
      </c>
      <c r="GG1321" s="101">
        <f t="shared" si="632"/>
        <v>1</v>
      </c>
      <c r="GH1321" s="101">
        <f t="shared" si="633"/>
        <v>30</v>
      </c>
      <c r="GI1321" s="101">
        <f t="shared" si="634"/>
        <v>0</v>
      </c>
      <c r="GJ1321" s="101">
        <f t="shared" si="635"/>
        <v>1</v>
      </c>
      <c r="GK1321" s="101">
        <f t="shared" si="636"/>
        <v>7</v>
      </c>
      <c r="GL1321" s="101">
        <f t="shared" si="637"/>
        <v>2.53E-2</v>
      </c>
      <c r="GM1321" s="101">
        <f t="shared" si="638"/>
        <v>1</v>
      </c>
      <c r="GN1321" s="101">
        <f t="shared" si="639"/>
        <v>14</v>
      </c>
      <c r="GO1321" s="101">
        <f t="shared" si="640"/>
        <v>0.1012</v>
      </c>
      <c r="GP1321" s="101">
        <f t="shared" si="641"/>
        <v>1</v>
      </c>
      <c r="GQ1321" s="101">
        <f t="shared" si="642"/>
        <v>30</v>
      </c>
    </row>
    <row r="1322" spans="175:199" ht="16.5" x14ac:dyDescent="0.2">
      <c r="FS1322" s="101">
        <v>1317</v>
      </c>
      <c r="FT1322" s="101">
        <f t="shared" si="627"/>
        <v>33</v>
      </c>
      <c r="FU1322" s="101">
        <f t="shared" si="620"/>
        <v>17</v>
      </c>
      <c r="FV1322" s="14">
        <f t="shared" si="621"/>
        <v>3</v>
      </c>
      <c r="FW1322" s="101" t="str">
        <f t="shared" si="628"/>
        <v>朱仙专属武器-魂珠-4 6级</v>
      </c>
      <c r="FX1322" s="101">
        <f t="shared" si="629"/>
        <v>4</v>
      </c>
      <c r="FY1322" s="101">
        <f t="shared" si="630"/>
        <v>6</v>
      </c>
      <c r="FZ1322" s="101" t="str">
        <f t="shared" si="622"/>
        <v>金币</v>
      </c>
      <c r="GA1322" s="139">
        <f>IF($FY1322&gt;0,IF(INDEX($EM$6:$EM$77,$FT1322)&gt;=GA$3,ROUND(INDEX(EO$6:EO$77,$FT1322)*INDEX(卡牌消耗!$B$8:$F$8,FV1322)/5,0)*5,""),"")</f>
        <v>1180</v>
      </c>
      <c r="GB1322" s="101" t="str">
        <f t="shared" si="623"/>
        <v>专属强化石2</v>
      </c>
      <c r="GC1322" s="101">
        <f t="shared" si="624"/>
        <v>5</v>
      </c>
      <c r="GD1322" s="101" t="str">
        <f t="shared" si="625"/>
        <v>专属强化石3</v>
      </c>
      <c r="GE1322" s="101">
        <f t="shared" si="626"/>
        <v>2</v>
      </c>
      <c r="GF1322" s="101">
        <f t="shared" si="631"/>
        <v>0.03</v>
      </c>
      <c r="GG1322" s="101">
        <f t="shared" si="632"/>
        <v>1</v>
      </c>
      <c r="GH1322" s="101">
        <f t="shared" si="633"/>
        <v>48</v>
      </c>
      <c r="GI1322" s="101">
        <f t="shared" si="634"/>
        <v>0</v>
      </c>
      <c r="GJ1322" s="101">
        <f t="shared" si="635"/>
        <v>1</v>
      </c>
      <c r="GK1322" s="101">
        <f t="shared" si="636"/>
        <v>11</v>
      </c>
      <c r="GL1322" s="101">
        <f t="shared" si="637"/>
        <v>1.5599999999999999E-2</v>
      </c>
      <c r="GM1322" s="101">
        <f t="shared" si="638"/>
        <v>1</v>
      </c>
      <c r="GN1322" s="101">
        <f t="shared" si="639"/>
        <v>22</v>
      </c>
      <c r="GO1322" s="101">
        <f t="shared" si="640"/>
        <v>6.2300000000000001E-2</v>
      </c>
      <c r="GP1322" s="101">
        <f t="shared" si="641"/>
        <v>1</v>
      </c>
      <c r="GQ1322" s="101">
        <f t="shared" si="642"/>
        <v>48</v>
      </c>
    </row>
    <row r="1323" spans="175:199" ht="16.5" x14ac:dyDescent="0.2">
      <c r="FS1323" s="101">
        <v>1318</v>
      </c>
      <c r="FT1323" s="101">
        <f t="shared" si="627"/>
        <v>34</v>
      </c>
      <c r="FU1323" s="101">
        <f t="shared" si="620"/>
        <v>17</v>
      </c>
      <c r="FV1323" s="14">
        <f t="shared" si="621"/>
        <v>3</v>
      </c>
      <c r="FW1323" s="101" t="str">
        <f t="shared" si="628"/>
        <v>朱仙专属武器-魂珠-4 7级</v>
      </c>
      <c r="FX1323" s="101">
        <f t="shared" si="629"/>
        <v>4</v>
      </c>
      <c r="FY1323" s="101">
        <f t="shared" si="630"/>
        <v>7</v>
      </c>
      <c r="FZ1323" s="101" t="str">
        <f t="shared" si="622"/>
        <v>金币</v>
      </c>
      <c r="GA1323" s="139">
        <f>IF($FY1323&gt;0,IF(INDEX($EM$6:$EM$77,$FT1323)&gt;=GA$3,ROUND(INDEX(EO$6:EO$77,$FT1323)*INDEX(卡牌消耗!$B$8:$F$8,FV1323)/5,0)*5,""),"")</f>
        <v>1770</v>
      </c>
      <c r="GB1323" s="101" t="str">
        <f t="shared" si="623"/>
        <v>专属强化石2</v>
      </c>
      <c r="GC1323" s="101">
        <f t="shared" si="624"/>
        <v>8</v>
      </c>
      <c r="GD1323" s="101" t="str">
        <f t="shared" si="625"/>
        <v>专属强化石3</v>
      </c>
      <c r="GE1323" s="101">
        <f t="shared" si="626"/>
        <v>3</v>
      </c>
      <c r="GF1323" s="101">
        <f t="shared" si="631"/>
        <v>0.03</v>
      </c>
      <c r="GG1323" s="101">
        <f t="shared" si="632"/>
        <v>1</v>
      </c>
      <c r="GH1323" s="101">
        <f t="shared" si="633"/>
        <v>52</v>
      </c>
      <c r="GI1323" s="101">
        <f t="shared" si="634"/>
        <v>0</v>
      </c>
      <c r="GJ1323" s="101">
        <f t="shared" si="635"/>
        <v>1</v>
      </c>
      <c r="GK1323" s="101">
        <f t="shared" si="636"/>
        <v>12</v>
      </c>
      <c r="GL1323" s="101">
        <f t="shared" si="637"/>
        <v>1.4500000000000001E-2</v>
      </c>
      <c r="GM1323" s="101">
        <f t="shared" si="638"/>
        <v>1</v>
      </c>
      <c r="GN1323" s="101">
        <f t="shared" si="639"/>
        <v>24</v>
      </c>
      <c r="GO1323" s="101">
        <f t="shared" si="640"/>
        <v>5.7799999999999997E-2</v>
      </c>
      <c r="GP1323" s="101">
        <f t="shared" si="641"/>
        <v>1</v>
      </c>
      <c r="GQ1323" s="101">
        <f t="shared" si="642"/>
        <v>52</v>
      </c>
    </row>
    <row r="1324" spans="175:199" ht="16.5" x14ac:dyDescent="0.2">
      <c r="FS1324" s="101">
        <v>1319</v>
      </c>
      <c r="FT1324" s="101">
        <f t="shared" si="627"/>
        <v>35</v>
      </c>
      <c r="FU1324" s="101">
        <f t="shared" si="620"/>
        <v>17</v>
      </c>
      <c r="FV1324" s="14">
        <f t="shared" si="621"/>
        <v>3</v>
      </c>
      <c r="FW1324" s="101" t="str">
        <f t="shared" si="628"/>
        <v>朱仙专属武器-魂珠-4 8级</v>
      </c>
      <c r="FX1324" s="101">
        <f t="shared" si="629"/>
        <v>4</v>
      </c>
      <c r="FY1324" s="101">
        <f t="shared" si="630"/>
        <v>8</v>
      </c>
      <c r="FZ1324" s="101" t="str">
        <f t="shared" si="622"/>
        <v>金币</v>
      </c>
      <c r="GA1324" s="139">
        <f>IF($FY1324&gt;0,IF(INDEX($EM$6:$EM$77,$FT1324)&gt;=GA$3,ROUND(INDEX(EO$6:EO$77,$FT1324)*INDEX(卡牌消耗!$B$8:$F$8,FV1324)/5,0)*5,""),"")</f>
        <v>2360</v>
      </c>
      <c r="GB1324" s="101" t="str">
        <f t="shared" si="623"/>
        <v>专属强化石2</v>
      </c>
      <c r="GC1324" s="101">
        <f t="shared" si="624"/>
        <v>11</v>
      </c>
      <c r="GD1324" s="101" t="str">
        <f t="shared" si="625"/>
        <v>专属强化石3</v>
      </c>
      <c r="GE1324" s="101">
        <f t="shared" si="626"/>
        <v>4</v>
      </c>
      <c r="GF1324" s="101">
        <f t="shared" si="631"/>
        <v>0.02</v>
      </c>
      <c r="GG1324" s="101">
        <f t="shared" si="632"/>
        <v>1</v>
      </c>
      <c r="GH1324" s="101">
        <f t="shared" si="633"/>
        <v>63</v>
      </c>
      <c r="GI1324" s="101">
        <f t="shared" si="634"/>
        <v>0</v>
      </c>
      <c r="GJ1324" s="101">
        <f t="shared" si="635"/>
        <v>1</v>
      </c>
      <c r="GK1324" s="101">
        <f t="shared" si="636"/>
        <v>15</v>
      </c>
      <c r="GL1324" s="101">
        <f t="shared" si="637"/>
        <v>1.1900000000000001E-2</v>
      </c>
      <c r="GM1324" s="101">
        <f t="shared" si="638"/>
        <v>1</v>
      </c>
      <c r="GN1324" s="101">
        <f t="shared" si="639"/>
        <v>29</v>
      </c>
      <c r="GO1324" s="101">
        <f t="shared" si="640"/>
        <v>4.7600000000000003E-2</v>
      </c>
      <c r="GP1324" s="101">
        <f t="shared" si="641"/>
        <v>1</v>
      </c>
      <c r="GQ1324" s="101">
        <f t="shared" si="642"/>
        <v>63</v>
      </c>
    </row>
    <row r="1325" spans="175:199" ht="16.5" x14ac:dyDescent="0.2">
      <c r="FS1325" s="101">
        <v>1320</v>
      </c>
      <c r="FT1325" s="101">
        <f t="shared" si="627"/>
        <v>36</v>
      </c>
      <c r="FU1325" s="101">
        <f t="shared" si="620"/>
        <v>17</v>
      </c>
      <c r="FV1325" s="14">
        <f t="shared" si="621"/>
        <v>3</v>
      </c>
      <c r="FW1325" s="101" t="str">
        <f t="shared" si="628"/>
        <v>朱仙专属武器-魂珠-4 9级</v>
      </c>
      <c r="FX1325" s="101">
        <f t="shared" si="629"/>
        <v>4</v>
      </c>
      <c r="FY1325" s="101">
        <f t="shared" si="630"/>
        <v>9</v>
      </c>
      <c r="FZ1325" s="101" t="str">
        <f t="shared" si="622"/>
        <v>金币</v>
      </c>
      <c r="GA1325" s="139">
        <f>IF($FY1325&gt;0,IF(INDEX($EM$6:$EM$77,$FT1325)&gt;=GA$3,ROUND(INDEX(EO$6:EO$77,$FT1325)*INDEX(卡牌消耗!$B$8:$F$8,FV1325)/5,0)*5,""),"")</f>
        <v>3540</v>
      </c>
      <c r="GB1325" s="101" t="str">
        <f t="shared" si="623"/>
        <v>专属强化石2</v>
      </c>
      <c r="GC1325" s="101">
        <f t="shared" si="624"/>
        <v>16</v>
      </c>
      <c r="GD1325" s="101" t="str">
        <f t="shared" si="625"/>
        <v>专属强化石3</v>
      </c>
      <c r="GE1325" s="101">
        <f t="shared" si="626"/>
        <v>6</v>
      </c>
      <c r="GF1325" s="101">
        <f t="shared" si="631"/>
        <v>0.02</v>
      </c>
      <c r="GG1325" s="101">
        <f t="shared" si="632"/>
        <v>1</v>
      </c>
      <c r="GH1325" s="101">
        <f t="shared" si="633"/>
        <v>68</v>
      </c>
      <c r="GI1325" s="101">
        <f t="shared" si="634"/>
        <v>0</v>
      </c>
      <c r="GJ1325" s="101">
        <f t="shared" si="635"/>
        <v>1</v>
      </c>
      <c r="GK1325" s="101">
        <f t="shared" si="636"/>
        <v>16</v>
      </c>
      <c r="GL1325" s="101">
        <f t="shared" si="637"/>
        <v>1.0999999999999999E-2</v>
      </c>
      <c r="GM1325" s="101">
        <f t="shared" si="638"/>
        <v>1</v>
      </c>
      <c r="GN1325" s="101">
        <f t="shared" si="639"/>
        <v>32</v>
      </c>
      <c r="GO1325" s="101">
        <f t="shared" si="640"/>
        <v>4.4200000000000003E-2</v>
      </c>
      <c r="GP1325" s="101">
        <f t="shared" si="641"/>
        <v>1</v>
      </c>
      <c r="GQ1325" s="101">
        <f t="shared" si="642"/>
        <v>68</v>
      </c>
    </row>
    <row r="1326" spans="175:199" ht="16.5" x14ac:dyDescent="0.2">
      <c r="FS1326" s="101">
        <v>1321</v>
      </c>
      <c r="FT1326" s="101">
        <f t="shared" si="627"/>
        <v>0</v>
      </c>
      <c r="FU1326" s="101">
        <f t="shared" si="620"/>
        <v>17</v>
      </c>
      <c r="FV1326" s="14">
        <f t="shared" si="621"/>
        <v>3</v>
      </c>
      <c r="FW1326" s="101" t="str">
        <f t="shared" si="628"/>
        <v>朱仙专属武器-魂珠-5 0级</v>
      </c>
      <c r="FX1326" s="101">
        <f t="shared" si="629"/>
        <v>5</v>
      </c>
      <c r="FY1326" s="101">
        <f t="shared" si="630"/>
        <v>0</v>
      </c>
      <c r="FZ1326" s="101" t="str">
        <f t="shared" si="622"/>
        <v/>
      </c>
      <c r="GA1326" s="139" t="str">
        <f>IF($FY1326&gt;0,IF(INDEX($EM$6:$EM$77,$FT1326)&gt;=GA$3,ROUND(INDEX(EO$6:EO$77,$FT1326)*INDEX(卡牌消耗!$B$8:$F$8,FV1326)/5,0)*5,""),"")</f>
        <v/>
      </c>
      <c r="GB1326" s="101" t="str">
        <f t="shared" si="623"/>
        <v/>
      </c>
      <c r="GC1326" s="101" t="str">
        <f t="shared" si="624"/>
        <v/>
      </c>
      <c r="GD1326" s="101" t="str">
        <f t="shared" si="625"/>
        <v/>
      </c>
      <c r="GE1326" s="101" t="str">
        <f t="shared" si="626"/>
        <v/>
      </c>
      <c r="GF1326" s="101" t="str">
        <f t="shared" si="631"/>
        <v/>
      </c>
      <c r="GG1326" s="101" t="str">
        <f t="shared" si="632"/>
        <v/>
      </c>
      <c r="GH1326" s="101" t="str">
        <f t="shared" si="633"/>
        <v/>
      </c>
      <c r="GI1326" s="101" t="str">
        <f t="shared" si="634"/>
        <v/>
      </c>
      <c r="GJ1326" s="101" t="str">
        <f t="shared" si="635"/>
        <v/>
      </c>
      <c r="GK1326" s="101" t="str">
        <f t="shared" si="636"/>
        <v/>
      </c>
      <c r="GL1326" s="101" t="str">
        <f t="shared" si="637"/>
        <v/>
      </c>
      <c r="GM1326" s="101" t="str">
        <f t="shared" si="638"/>
        <v/>
      </c>
      <c r="GN1326" s="101" t="str">
        <f t="shared" si="639"/>
        <v/>
      </c>
      <c r="GO1326" s="101" t="str">
        <f t="shared" si="640"/>
        <v/>
      </c>
      <c r="GP1326" s="101" t="str">
        <f t="shared" si="641"/>
        <v/>
      </c>
      <c r="GQ1326" s="101" t="str">
        <f t="shared" si="642"/>
        <v/>
      </c>
    </row>
    <row r="1327" spans="175:199" ht="16.5" x14ac:dyDescent="0.2">
      <c r="FS1327" s="101">
        <v>1322</v>
      </c>
      <c r="FT1327" s="101">
        <f t="shared" si="627"/>
        <v>37</v>
      </c>
      <c r="FU1327" s="101">
        <f t="shared" si="620"/>
        <v>17</v>
      </c>
      <c r="FV1327" s="14">
        <f t="shared" si="621"/>
        <v>3</v>
      </c>
      <c r="FW1327" s="101" t="str">
        <f t="shared" si="628"/>
        <v>朱仙专属武器-魂珠-5 1级</v>
      </c>
      <c r="FX1327" s="101">
        <f t="shared" si="629"/>
        <v>5</v>
      </c>
      <c r="FY1327" s="101">
        <f t="shared" si="630"/>
        <v>1</v>
      </c>
      <c r="FZ1327" s="101" t="str">
        <f t="shared" si="622"/>
        <v>金币</v>
      </c>
      <c r="GA1327" s="139">
        <f>IF($FY1327&gt;0,IF(INDEX($EM$6:$EM$77,$FT1327)&gt;=GA$3,ROUND(INDEX(EO$6:EO$77,$FT1327)*INDEX(卡牌消耗!$B$8:$F$8,FV1327)/5,0)*5,""),"")</f>
        <v>1495</v>
      </c>
      <c r="GB1327" s="101" t="str">
        <f t="shared" si="623"/>
        <v>专属强化石2</v>
      </c>
      <c r="GC1327" s="101">
        <f t="shared" si="624"/>
        <v>3</v>
      </c>
      <c r="GD1327" s="101" t="str">
        <f t="shared" si="625"/>
        <v>专属强化石3</v>
      </c>
      <c r="GE1327" s="101">
        <f t="shared" si="626"/>
        <v>2</v>
      </c>
      <c r="GF1327" s="101">
        <f t="shared" si="631"/>
        <v>0.2</v>
      </c>
      <c r="GG1327" s="101">
        <f t="shared" si="632"/>
        <v>1</v>
      </c>
      <c r="GH1327" s="101">
        <f t="shared" si="633"/>
        <v>7</v>
      </c>
      <c r="GI1327" s="101">
        <f t="shared" si="634"/>
        <v>0</v>
      </c>
      <c r="GJ1327" s="101">
        <f t="shared" si="635"/>
        <v>1</v>
      </c>
      <c r="GK1327" s="101">
        <f t="shared" si="636"/>
        <v>2</v>
      </c>
      <c r="GL1327" s="101">
        <f t="shared" si="637"/>
        <v>0.1012</v>
      </c>
      <c r="GM1327" s="101">
        <f t="shared" si="638"/>
        <v>1</v>
      </c>
      <c r="GN1327" s="101">
        <f t="shared" si="639"/>
        <v>3</v>
      </c>
      <c r="GO1327" s="101">
        <f t="shared" si="640"/>
        <v>0.40479999999999999</v>
      </c>
      <c r="GP1327" s="101">
        <f t="shared" si="641"/>
        <v>1</v>
      </c>
      <c r="GQ1327" s="101">
        <f t="shared" si="642"/>
        <v>7</v>
      </c>
    </row>
    <row r="1328" spans="175:199" ht="16.5" x14ac:dyDescent="0.2">
      <c r="FS1328" s="101">
        <v>1323</v>
      </c>
      <c r="FT1328" s="101">
        <f t="shared" si="627"/>
        <v>38</v>
      </c>
      <c r="FU1328" s="101">
        <f t="shared" si="620"/>
        <v>17</v>
      </c>
      <c r="FV1328" s="14">
        <f t="shared" si="621"/>
        <v>3</v>
      </c>
      <c r="FW1328" s="101" t="str">
        <f t="shared" si="628"/>
        <v>朱仙专属武器-魂珠-5 2级</v>
      </c>
      <c r="FX1328" s="101">
        <f t="shared" si="629"/>
        <v>5</v>
      </c>
      <c r="FY1328" s="101">
        <f t="shared" si="630"/>
        <v>2</v>
      </c>
      <c r="FZ1328" s="101" t="str">
        <f t="shared" si="622"/>
        <v>金币</v>
      </c>
      <c r="GA1328" s="139">
        <f>IF($FY1328&gt;0,IF(INDEX($EM$6:$EM$77,$FT1328)&gt;=GA$3,ROUND(INDEX(EO$6:EO$77,$FT1328)*INDEX(卡牌消耗!$B$8:$F$8,FV1328)/5,0)*5,""),"")</f>
        <v>1120</v>
      </c>
      <c r="GB1328" s="101" t="str">
        <f t="shared" si="623"/>
        <v>专属强化石2</v>
      </c>
      <c r="GC1328" s="101">
        <f t="shared" si="624"/>
        <v>3</v>
      </c>
      <c r="GD1328" s="101" t="str">
        <f t="shared" si="625"/>
        <v>专属强化石3</v>
      </c>
      <c r="GE1328" s="101">
        <f t="shared" si="626"/>
        <v>2</v>
      </c>
      <c r="GF1328" s="101">
        <f t="shared" si="631"/>
        <v>0.1</v>
      </c>
      <c r="GG1328" s="101">
        <f t="shared" si="632"/>
        <v>1</v>
      </c>
      <c r="GH1328" s="101">
        <f t="shared" si="633"/>
        <v>15</v>
      </c>
      <c r="GI1328" s="101">
        <f t="shared" si="634"/>
        <v>0</v>
      </c>
      <c r="GJ1328" s="101">
        <f t="shared" si="635"/>
        <v>1</v>
      </c>
      <c r="GK1328" s="101">
        <f t="shared" si="636"/>
        <v>3</v>
      </c>
      <c r="GL1328" s="101">
        <f t="shared" si="637"/>
        <v>5.0599999999999999E-2</v>
      </c>
      <c r="GM1328" s="101">
        <f t="shared" si="638"/>
        <v>1</v>
      </c>
      <c r="GN1328" s="101">
        <f t="shared" si="639"/>
        <v>7</v>
      </c>
      <c r="GO1328" s="101">
        <f t="shared" si="640"/>
        <v>0.2024</v>
      </c>
      <c r="GP1328" s="101">
        <f t="shared" si="641"/>
        <v>1</v>
      </c>
      <c r="GQ1328" s="101">
        <f t="shared" si="642"/>
        <v>15</v>
      </c>
    </row>
    <row r="1329" spans="175:199" ht="16.5" x14ac:dyDescent="0.2">
      <c r="FS1329" s="101">
        <v>1324</v>
      </c>
      <c r="FT1329" s="101">
        <f t="shared" si="627"/>
        <v>39</v>
      </c>
      <c r="FU1329" s="101">
        <f t="shared" si="620"/>
        <v>17</v>
      </c>
      <c r="FV1329" s="14">
        <f t="shared" si="621"/>
        <v>3</v>
      </c>
      <c r="FW1329" s="101" t="str">
        <f t="shared" si="628"/>
        <v>朱仙专属武器-魂珠-5 3级</v>
      </c>
      <c r="FX1329" s="101">
        <f t="shared" si="629"/>
        <v>5</v>
      </c>
      <c r="FY1329" s="101">
        <f t="shared" si="630"/>
        <v>3</v>
      </c>
      <c r="FZ1329" s="101" t="str">
        <f t="shared" si="622"/>
        <v>金币</v>
      </c>
      <c r="GA1329" s="139">
        <f>IF($FY1329&gt;0,IF(INDEX($EM$6:$EM$77,$FT1329)&gt;=GA$3,ROUND(INDEX(EO$6:EO$77,$FT1329)*INDEX(卡牌消耗!$B$8:$F$8,FV1329)/5,0)*5,""),"")</f>
        <v>1245</v>
      </c>
      <c r="GB1329" s="101" t="str">
        <f t="shared" si="623"/>
        <v>专属强化石2</v>
      </c>
      <c r="GC1329" s="101">
        <f t="shared" si="624"/>
        <v>3</v>
      </c>
      <c r="GD1329" s="101" t="str">
        <f t="shared" si="625"/>
        <v>专属强化石3</v>
      </c>
      <c r="GE1329" s="101">
        <f t="shared" si="626"/>
        <v>2</v>
      </c>
      <c r="GF1329" s="101">
        <f t="shared" si="631"/>
        <v>7.0000000000000007E-2</v>
      </c>
      <c r="GG1329" s="101">
        <f t="shared" si="632"/>
        <v>1</v>
      </c>
      <c r="GH1329" s="101">
        <f t="shared" si="633"/>
        <v>22</v>
      </c>
      <c r="GI1329" s="101">
        <f t="shared" si="634"/>
        <v>0</v>
      </c>
      <c r="GJ1329" s="101">
        <f t="shared" si="635"/>
        <v>1</v>
      </c>
      <c r="GK1329" s="101">
        <f t="shared" si="636"/>
        <v>5</v>
      </c>
      <c r="GL1329" s="101">
        <f t="shared" si="637"/>
        <v>3.3700000000000001E-2</v>
      </c>
      <c r="GM1329" s="101">
        <f t="shared" si="638"/>
        <v>1</v>
      </c>
      <c r="GN1329" s="101">
        <f t="shared" si="639"/>
        <v>10</v>
      </c>
      <c r="GO1329" s="101">
        <f t="shared" si="640"/>
        <v>0.13489999999999999</v>
      </c>
      <c r="GP1329" s="101">
        <f t="shared" si="641"/>
        <v>1</v>
      </c>
      <c r="GQ1329" s="101">
        <f t="shared" si="642"/>
        <v>22</v>
      </c>
    </row>
    <row r="1330" spans="175:199" ht="16.5" x14ac:dyDescent="0.2">
      <c r="FS1330" s="101">
        <v>1325</v>
      </c>
      <c r="FT1330" s="101">
        <f t="shared" si="627"/>
        <v>40</v>
      </c>
      <c r="FU1330" s="101">
        <f t="shared" si="620"/>
        <v>17</v>
      </c>
      <c r="FV1330" s="14">
        <f t="shared" si="621"/>
        <v>3</v>
      </c>
      <c r="FW1330" s="101" t="str">
        <f t="shared" si="628"/>
        <v>朱仙专属武器-魂珠-5 4级</v>
      </c>
      <c r="FX1330" s="101">
        <f t="shared" si="629"/>
        <v>5</v>
      </c>
      <c r="FY1330" s="101">
        <f t="shared" si="630"/>
        <v>4</v>
      </c>
      <c r="FZ1330" s="101" t="str">
        <f t="shared" si="622"/>
        <v>金币</v>
      </c>
      <c r="GA1330" s="139">
        <f>IF($FY1330&gt;0,IF(INDEX($EM$6:$EM$77,$FT1330)&gt;=GA$3,ROUND(INDEX(EO$6:EO$77,$FT1330)*INDEX(卡牌消耗!$B$8:$F$8,FV1330)/5,0)*5,""),"")</f>
        <v>1795</v>
      </c>
      <c r="GB1330" s="101" t="str">
        <f t="shared" si="623"/>
        <v>专属强化石2</v>
      </c>
      <c r="GC1330" s="101">
        <f t="shared" si="624"/>
        <v>5</v>
      </c>
      <c r="GD1330" s="101" t="str">
        <f t="shared" si="625"/>
        <v>专属强化石3</v>
      </c>
      <c r="GE1330" s="101">
        <f t="shared" si="626"/>
        <v>3</v>
      </c>
      <c r="GF1330" s="101">
        <f t="shared" si="631"/>
        <v>0.06</v>
      </c>
      <c r="GG1330" s="101">
        <f t="shared" si="632"/>
        <v>1</v>
      </c>
      <c r="GH1330" s="101">
        <f t="shared" si="633"/>
        <v>25</v>
      </c>
      <c r="GI1330" s="101">
        <f t="shared" si="634"/>
        <v>0</v>
      </c>
      <c r="GJ1330" s="101">
        <f t="shared" si="635"/>
        <v>1</v>
      </c>
      <c r="GK1330" s="101">
        <f t="shared" si="636"/>
        <v>6</v>
      </c>
      <c r="GL1330" s="101">
        <f t="shared" si="637"/>
        <v>3.04E-2</v>
      </c>
      <c r="GM1330" s="101">
        <f t="shared" si="638"/>
        <v>1</v>
      </c>
      <c r="GN1330" s="101">
        <f t="shared" si="639"/>
        <v>12</v>
      </c>
      <c r="GO1330" s="101">
        <f t="shared" si="640"/>
        <v>0.12139999999999999</v>
      </c>
      <c r="GP1330" s="101">
        <f t="shared" si="641"/>
        <v>1</v>
      </c>
      <c r="GQ1330" s="101">
        <f t="shared" si="642"/>
        <v>25</v>
      </c>
    </row>
    <row r="1331" spans="175:199" ht="16.5" x14ac:dyDescent="0.2">
      <c r="FS1331" s="101">
        <v>1326</v>
      </c>
      <c r="FT1331" s="101">
        <f t="shared" si="627"/>
        <v>41</v>
      </c>
      <c r="FU1331" s="101">
        <f t="shared" si="620"/>
        <v>17</v>
      </c>
      <c r="FV1331" s="14">
        <f t="shared" si="621"/>
        <v>3</v>
      </c>
      <c r="FW1331" s="101" t="str">
        <f t="shared" si="628"/>
        <v>朱仙专属武器-魂珠-5 5级</v>
      </c>
      <c r="FX1331" s="101">
        <f t="shared" si="629"/>
        <v>5</v>
      </c>
      <c r="FY1331" s="101">
        <f t="shared" si="630"/>
        <v>5</v>
      </c>
      <c r="FZ1331" s="101" t="str">
        <f t="shared" si="622"/>
        <v>金币</v>
      </c>
      <c r="GA1331" s="139">
        <f>IF($FY1331&gt;0,IF(INDEX($EM$6:$EM$77,$FT1331)&gt;=GA$3,ROUND(INDEX(EO$6:EO$77,$FT1331)*INDEX(卡牌消耗!$B$8:$F$8,FV1331)/5,0)*5,""),"")</f>
        <v>1825</v>
      </c>
      <c r="GB1331" s="101" t="str">
        <f t="shared" si="623"/>
        <v>专属强化石2</v>
      </c>
      <c r="GC1331" s="101">
        <f t="shared" si="624"/>
        <v>5</v>
      </c>
      <c r="GD1331" s="101" t="str">
        <f t="shared" si="625"/>
        <v>专属强化石3</v>
      </c>
      <c r="GE1331" s="101">
        <f t="shared" si="626"/>
        <v>3</v>
      </c>
      <c r="GF1331" s="101">
        <f t="shared" si="631"/>
        <v>0.04</v>
      </c>
      <c r="GG1331" s="101">
        <f t="shared" si="632"/>
        <v>1</v>
      </c>
      <c r="GH1331" s="101">
        <f t="shared" si="633"/>
        <v>40</v>
      </c>
      <c r="GI1331" s="101">
        <f t="shared" si="634"/>
        <v>0</v>
      </c>
      <c r="GJ1331" s="101">
        <f t="shared" si="635"/>
        <v>1</v>
      </c>
      <c r="GK1331" s="101">
        <f t="shared" si="636"/>
        <v>9</v>
      </c>
      <c r="GL1331" s="101">
        <f t="shared" si="637"/>
        <v>1.9E-2</v>
      </c>
      <c r="GM1331" s="101">
        <f t="shared" si="638"/>
        <v>1</v>
      </c>
      <c r="GN1331" s="101">
        <f t="shared" si="639"/>
        <v>18</v>
      </c>
      <c r="GO1331" s="101">
        <f t="shared" si="640"/>
        <v>7.5899999999999995E-2</v>
      </c>
      <c r="GP1331" s="101">
        <f t="shared" si="641"/>
        <v>1</v>
      </c>
      <c r="GQ1331" s="101">
        <f t="shared" si="642"/>
        <v>40</v>
      </c>
    </row>
    <row r="1332" spans="175:199" ht="16.5" x14ac:dyDescent="0.2">
      <c r="FS1332" s="101">
        <v>1327</v>
      </c>
      <c r="FT1332" s="101">
        <f t="shared" si="627"/>
        <v>42</v>
      </c>
      <c r="FU1332" s="101">
        <f t="shared" si="620"/>
        <v>17</v>
      </c>
      <c r="FV1332" s="14">
        <f t="shared" si="621"/>
        <v>3</v>
      </c>
      <c r="FW1332" s="101" t="str">
        <f t="shared" si="628"/>
        <v>朱仙专属武器-魂珠-5 6级</v>
      </c>
      <c r="FX1332" s="101">
        <f t="shared" si="629"/>
        <v>5</v>
      </c>
      <c r="FY1332" s="101">
        <f t="shared" si="630"/>
        <v>6</v>
      </c>
      <c r="FZ1332" s="101" t="str">
        <f t="shared" si="622"/>
        <v>金币</v>
      </c>
      <c r="GA1332" s="139">
        <f>IF($FY1332&gt;0,IF(INDEX($EM$6:$EM$77,$FT1332)&gt;=GA$3,ROUND(INDEX(EO$6:EO$77,$FT1332)*INDEX(卡牌消耗!$B$8:$F$8,FV1332)/5,0)*5,""),"")</f>
        <v>3020</v>
      </c>
      <c r="GB1332" s="101" t="str">
        <f t="shared" si="623"/>
        <v>专属强化石2</v>
      </c>
      <c r="GC1332" s="101">
        <f t="shared" si="624"/>
        <v>8</v>
      </c>
      <c r="GD1332" s="101" t="str">
        <f t="shared" si="625"/>
        <v>专属强化石3</v>
      </c>
      <c r="GE1332" s="101">
        <f t="shared" si="626"/>
        <v>5</v>
      </c>
      <c r="GF1332" s="101">
        <f t="shared" si="631"/>
        <v>0.04</v>
      </c>
      <c r="GG1332" s="101">
        <f t="shared" si="632"/>
        <v>1</v>
      </c>
      <c r="GH1332" s="101">
        <f t="shared" si="633"/>
        <v>39</v>
      </c>
      <c r="GI1332" s="101">
        <f t="shared" si="634"/>
        <v>0</v>
      </c>
      <c r="GJ1332" s="101">
        <f t="shared" si="635"/>
        <v>1</v>
      </c>
      <c r="GK1332" s="101">
        <f t="shared" si="636"/>
        <v>9</v>
      </c>
      <c r="GL1332" s="101">
        <f t="shared" si="637"/>
        <v>1.95E-2</v>
      </c>
      <c r="GM1332" s="101">
        <f t="shared" si="638"/>
        <v>1</v>
      </c>
      <c r="GN1332" s="101">
        <f t="shared" si="639"/>
        <v>18</v>
      </c>
      <c r="GO1332" s="101">
        <f t="shared" si="640"/>
        <v>7.7799999999999994E-2</v>
      </c>
      <c r="GP1332" s="101">
        <f t="shared" si="641"/>
        <v>1</v>
      </c>
      <c r="GQ1332" s="101">
        <f t="shared" si="642"/>
        <v>39</v>
      </c>
    </row>
    <row r="1333" spans="175:199" ht="16.5" x14ac:dyDescent="0.2">
      <c r="FS1333" s="101">
        <v>1328</v>
      </c>
      <c r="FT1333" s="101">
        <f t="shared" si="627"/>
        <v>43</v>
      </c>
      <c r="FU1333" s="101">
        <f t="shared" si="620"/>
        <v>17</v>
      </c>
      <c r="FV1333" s="14">
        <f t="shared" si="621"/>
        <v>3</v>
      </c>
      <c r="FW1333" s="101" t="str">
        <f t="shared" si="628"/>
        <v>朱仙专属武器-魂珠-5 7级</v>
      </c>
      <c r="FX1333" s="101">
        <f t="shared" si="629"/>
        <v>5</v>
      </c>
      <c r="FY1333" s="101">
        <f t="shared" si="630"/>
        <v>7</v>
      </c>
      <c r="FZ1333" s="101" t="str">
        <f t="shared" si="622"/>
        <v>金币</v>
      </c>
      <c r="GA1333" s="139">
        <f>IF($FY1333&gt;0,IF(INDEX($EM$6:$EM$77,$FT1333)&gt;=GA$3,ROUND(INDEX(EO$6:EO$77,$FT1333)*INDEX(卡牌消耗!$B$8:$F$8,FV1333)/5,0)*5,""),"")</f>
        <v>3025</v>
      </c>
      <c r="GB1333" s="101" t="str">
        <f t="shared" si="623"/>
        <v>专属强化石2</v>
      </c>
      <c r="GC1333" s="101">
        <f t="shared" si="624"/>
        <v>8</v>
      </c>
      <c r="GD1333" s="101" t="str">
        <f t="shared" si="625"/>
        <v>专属强化石3</v>
      </c>
      <c r="GE1333" s="101">
        <f t="shared" si="626"/>
        <v>5</v>
      </c>
      <c r="GF1333" s="101">
        <f t="shared" si="631"/>
        <v>0.02</v>
      </c>
      <c r="GG1333" s="101">
        <f t="shared" si="632"/>
        <v>1</v>
      </c>
      <c r="GH1333" s="101">
        <f t="shared" si="633"/>
        <v>62</v>
      </c>
      <c r="GI1333" s="101">
        <f t="shared" si="634"/>
        <v>0</v>
      </c>
      <c r="GJ1333" s="101">
        <f t="shared" si="635"/>
        <v>1</v>
      </c>
      <c r="GK1333" s="101">
        <f t="shared" si="636"/>
        <v>15</v>
      </c>
      <c r="GL1333" s="101">
        <f t="shared" si="637"/>
        <v>1.2E-2</v>
      </c>
      <c r="GM1333" s="101">
        <f t="shared" si="638"/>
        <v>1</v>
      </c>
      <c r="GN1333" s="101">
        <f t="shared" si="639"/>
        <v>29</v>
      </c>
      <c r="GO1333" s="101">
        <f t="shared" si="640"/>
        <v>4.82E-2</v>
      </c>
      <c r="GP1333" s="101">
        <f t="shared" si="641"/>
        <v>1</v>
      </c>
      <c r="GQ1333" s="101">
        <f t="shared" si="642"/>
        <v>62</v>
      </c>
    </row>
    <row r="1334" spans="175:199" ht="16.5" x14ac:dyDescent="0.2">
      <c r="FS1334" s="101">
        <v>1329</v>
      </c>
      <c r="FT1334" s="101">
        <f t="shared" si="627"/>
        <v>44</v>
      </c>
      <c r="FU1334" s="101">
        <f t="shared" si="620"/>
        <v>17</v>
      </c>
      <c r="FV1334" s="14">
        <f t="shared" si="621"/>
        <v>3</v>
      </c>
      <c r="FW1334" s="101" t="str">
        <f t="shared" si="628"/>
        <v>朱仙专属武器-魂珠-5 8级</v>
      </c>
      <c r="FX1334" s="101">
        <f t="shared" si="629"/>
        <v>5</v>
      </c>
      <c r="FY1334" s="101">
        <f t="shared" si="630"/>
        <v>8</v>
      </c>
      <c r="FZ1334" s="101" t="str">
        <f t="shared" si="622"/>
        <v>金币</v>
      </c>
      <c r="GA1334" s="139">
        <f>IF($FY1334&gt;0,IF(INDEX($EM$6:$EM$77,$FT1334)&gt;=GA$3,ROUND(INDEX(EO$6:EO$77,$FT1334)*INDEX(卡牌消耗!$B$8:$F$8,FV1334)/5,0)*5,""),"")</f>
        <v>4235</v>
      </c>
      <c r="GB1334" s="101" t="str">
        <f t="shared" si="623"/>
        <v>专属强化石2</v>
      </c>
      <c r="GC1334" s="101">
        <f t="shared" si="624"/>
        <v>11</v>
      </c>
      <c r="GD1334" s="101" t="str">
        <f t="shared" si="625"/>
        <v>专属强化石3</v>
      </c>
      <c r="GE1334" s="101">
        <f t="shared" si="626"/>
        <v>7</v>
      </c>
      <c r="GF1334" s="101">
        <f t="shared" si="631"/>
        <v>0.02</v>
      </c>
      <c r="GG1334" s="101">
        <f t="shared" si="632"/>
        <v>1</v>
      </c>
      <c r="GH1334" s="101">
        <f t="shared" si="633"/>
        <v>72</v>
      </c>
      <c r="GI1334" s="101">
        <f t="shared" si="634"/>
        <v>0</v>
      </c>
      <c r="GJ1334" s="101">
        <f t="shared" si="635"/>
        <v>1</v>
      </c>
      <c r="GK1334" s="101">
        <f t="shared" si="636"/>
        <v>17</v>
      </c>
      <c r="GL1334" s="101">
        <f t="shared" si="637"/>
        <v>1.04E-2</v>
      </c>
      <c r="GM1334" s="101">
        <f t="shared" si="638"/>
        <v>1</v>
      </c>
      <c r="GN1334" s="101">
        <f t="shared" si="639"/>
        <v>34</v>
      </c>
      <c r="GO1334" s="101">
        <f t="shared" si="640"/>
        <v>4.1700000000000001E-2</v>
      </c>
      <c r="GP1334" s="101">
        <f t="shared" si="641"/>
        <v>1</v>
      </c>
      <c r="GQ1334" s="101">
        <f t="shared" si="642"/>
        <v>72</v>
      </c>
    </row>
    <row r="1335" spans="175:199" ht="16.5" x14ac:dyDescent="0.2">
      <c r="FS1335" s="101">
        <v>1330</v>
      </c>
      <c r="FT1335" s="101">
        <f t="shared" si="627"/>
        <v>45</v>
      </c>
      <c r="FU1335" s="101">
        <f t="shared" si="620"/>
        <v>17</v>
      </c>
      <c r="FV1335" s="14">
        <f t="shared" si="621"/>
        <v>3</v>
      </c>
      <c r="FW1335" s="101" t="str">
        <f t="shared" si="628"/>
        <v>朱仙专属武器-魂珠-5 9级</v>
      </c>
      <c r="FX1335" s="101">
        <f t="shared" si="629"/>
        <v>5</v>
      </c>
      <c r="FY1335" s="101">
        <f t="shared" si="630"/>
        <v>9</v>
      </c>
      <c r="FZ1335" s="101" t="str">
        <f t="shared" si="622"/>
        <v>金币</v>
      </c>
      <c r="GA1335" s="139">
        <f>IF($FY1335&gt;0,IF(INDEX($EM$6:$EM$77,$FT1335)&gt;=GA$3,ROUND(INDEX(EO$6:EO$77,$FT1335)*INDEX(卡牌消耗!$B$8:$F$8,FV1335)/5,0)*5,""),"")</f>
        <v>5445</v>
      </c>
      <c r="GB1335" s="101" t="str">
        <f t="shared" si="623"/>
        <v>专属强化石2</v>
      </c>
      <c r="GC1335" s="101">
        <f t="shared" si="624"/>
        <v>14</v>
      </c>
      <c r="GD1335" s="101" t="str">
        <f t="shared" si="625"/>
        <v>专属强化石3</v>
      </c>
      <c r="GE1335" s="101">
        <f t="shared" si="626"/>
        <v>9</v>
      </c>
      <c r="GF1335" s="101">
        <f t="shared" si="631"/>
        <v>0.02</v>
      </c>
      <c r="GG1335" s="101">
        <f t="shared" si="632"/>
        <v>1</v>
      </c>
      <c r="GH1335" s="101">
        <f t="shared" si="633"/>
        <v>91</v>
      </c>
      <c r="GI1335" s="101">
        <f t="shared" si="634"/>
        <v>0</v>
      </c>
      <c r="GJ1335" s="101">
        <f t="shared" si="635"/>
        <v>1</v>
      </c>
      <c r="GK1335" s="101">
        <f t="shared" si="636"/>
        <v>21</v>
      </c>
      <c r="GL1335" s="101">
        <f t="shared" si="637"/>
        <v>8.3000000000000001E-3</v>
      </c>
      <c r="GM1335" s="101">
        <f t="shared" si="638"/>
        <v>1</v>
      </c>
      <c r="GN1335" s="101">
        <f t="shared" si="639"/>
        <v>42</v>
      </c>
      <c r="GO1335" s="101">
        <f t="shared" si="640"/>
        <v>3.3099999999999997E-2</v>
      </c>
      <c r="GP1335" s="101">
        <f t="shared" si="641"/>
        <v>1</v>
      </c>
      <c r="GQ1335" s="101">
        <f t="shared" si="642"/>
        <v>91</v>
      </c>
    </row>
    <row r="1336" spans="175:199" ht="16.5" x14ac:dyDescent="0.2">
      <c r="FS1336" s="101">
        <v>1331</v>
      </c>
      <c r="FT1336" s="101">
        <f t="shared" si="627"/>
        <v>0</v>
      </c>
      <c r="FU1336" s="101">
        <f t="shared" si="620"/>
        <v>17</v>
      </c>
      <c r="FV1336" s="14">
        <f t="shared" si="621"/>
        <v>3</v>
      </c>
      <c r="FW1336" s="101" t="str">
        <f t="shared" si="628"/>
        <v>朱仙专属武器-魂珠-6 0级</v>
      </c>
      <c r="FX1336" s="101">
        <f t="shared" si="629"/>
        <v>6</v>
      </c>
      <c r="FY1336" s="101">
        <f t="shared" si="630"/>
        <v>0</v>
      </c>
      <c r="FZ1336" s="101" t="str">
        <f t="shared" si="622"/>
        <v/>
      </c>
      <c r="GA1336" s="139" t="str">
        <f>IF($FY1336&gt;0,IF(INDEX($EM$6:$EM$77,$FT1336)&gt;=GA$3,ROUND(INDEX(EO$6:EO$77,$FT1336)*INDEX(卡牌消耗!$B$8:$F$8,FV1336)/5,0)*5,""),"")</f>
        <v/>
      </c>
      <c r="GB1336" s="101" t="str">
        <f t="shared" si="623"/>
        <v/>
      </c>
      <c r="GC1336" s="101" t="str">
        <f t="shared" si="624"/>
        <v/>
      </c>
      <c r="GD1336" s="101" t="str">
        <f t="shared" si="625"/>
        <v/>
      </c>
      <c r="GE1336" s="101" t="str">
        <f t="shared" si="626"/>
        <v/>
      </c>
      <c r="GF1336" s="101" t="str">
        <f t="shared" si="631"/>
        <v/>
      </c>
      <c r="GG1336" s="101" t="str">
        <f t="shared" si="632"/>
        <v/>
      </c>
      <c r="GH1336" s="101" t="str">
        <f t="shared" si="633"/>
        <v/>
      </c>
      <c r="GI1336" s="101" t="str">
        <f t="shared" si="634"/>
        <v/>
      </c>
      <c r="GJ1336" s="101" t="str">
        <f t="shared" si="635"/>
        <v/>
      </c>
      <c r="GK1336" s="101" t="str">
        <f t="shared" si="636"/>
        <v/>
      </c>
      <c r="GL1336" s="101" t="str">
        <f t="shared" si="637"/>
        <v/>
      </c>
      <c r="GM1336" s="101" t="str">
        <f t="shared" si="638"/>
        <v/>
      </c>
      <c r="GN1336" s="101" t="str">
        <f t="shared" si="639"/>
        <v/>
      </c>
      <c r="GO1336" s="101" t="str">
        <f t="shared" si="640"/>
        <v/>
      </c>
      <c r="GP1336" s="101" t="str">
        <f t="shared" si="641"/>
        <v/>
      </c>
      <c r="GQ1336" s="101" t="str">
        <f t="shared" si="642"/>
        <v/>
      </c>
    </row>
    <row r="1337" spans="175:199" ht="16.5" x14ac:dyDescent="0.2">
      <c r="FS1337" s="101">
        <v>1332</v>
      </c>
      <c r="FT1337" s="101">
        <f t="shared" si="627"/>
        <v>46</v>
      </c>
      <c r="FU1337" s="101">
        <f t="shared" si="620"/>
        <v>17</v>
      </c>
      <c r="FV1337" s="14">
        <f t="shared" si="621"/>
        <v>3</v>
      </c>
      <c r="FW1337" s="101" t="str">
        <f t="shared" si="628"/>
        <v>朱仙专属武器-魂珠-6 1级</v>
      </c>
      <c r="FX1337" s="101">
        <f t="shared" si="629"/>
        <v>6</v>
      </c>
      <c r="FY1337" s="101">
        <f t="shared" si="630"/>
        <v>1</v>
      </c>
      <c r="FZ1337" s="101" t="str">
        <f t="shared" si="622"/>
        <v>金币</v>
      </c>
      <c r="GA1337" s="139">
        <f>IF($FY1337&gt;0,IF(INDEX($EM$6:$EM$77,$FT1337)&gt;=GA$3,ROUND(INDEX(EO$6:EO$77,$FT1337)*INDEX(卡牌消耗!$B$8:$F$8,FV1337)/5,0)*5,""),"")</f>
        <v>1455</v>
      </c>
      <c r="GB1337" s="101" t="str">
        <f t="shared" si="623"/>
        <v>专属强化石3</v>
      </c>
      <c r="GC1337" s="101">
        <f t="shared" si="624"/>
        <v>5</v>
      </c>
      <c r="GD1337" s="101" t="str">
        <f t="shared" si="625"/>
        <v>专属强化石4</v>
      </c>
      <c r="GE1337" s="101">
        <f t="shared" si="626"/>
        <v>1</v>
      </c>
      <c r="GF1337" s="101">
        <f t="shared" si="631"/>
        <v>0.17</v>
      </c>
      <c r="GG1337" s="101">
        <f t="shared" si="632"/>
        <v>1</v>
      </c>
      <c r="GH1337" s="101">
        <f t="shared" si="633"/>
        <v>9</v>
      </c>
      <c r="GI1337" s="101">
        <f t="shared" si="634"/>
        <v>0</v>
      </c>
      <c r="GJ1337" s="101">
        <f t="shared" si="635"/>
        <v>1</v>
      </c>
      <c r="GK1337" s="101">
        <f t="shared" si="636"/>
        <v>2</v>
      </c>
      <c r="GL1337" s="101">
        <f t="shared" si="637"/>
        <v>8.2900000000000001E-2</v>
      </c>
      <c r="GM1337" s="101">
        <f t="shared" si="638"/>
        <v>1</v>
      </c>
      <c r="GN1337" s="101">
        <f t="shared" si="639"/>
        <v>4</v>
      </c>
      <c r="GO1337" s="101">
        <f t="shared" si="640"/>
        <v>0.33139999999999997</v>
      </c>
      <c r="GP1337" s="101">
        <f t="shared" si="641"/>
        <v>1</v>
      </c>
      <c r="GQ1337" s="101">
        <f t="shared" si="642"/>
        <v>9</v>
      </c>
    </row>
    <row r="1338" spans="175:199" ht="16.5" x14ac:dyDescent="0.2">
      <c r="FS1338" s="101">
        <v>1333</v>
      </c>
      <c r="FT1338" s="101">
        <f t="shared" si="627"/>
        <v>47</v>
      </c>
      <c r="FU1338" s="101">
        <f t="shared" si="620"/>
        <v>17</v>
      </c>
      <c r="FV1338" s="14">
        <f t="shared" si="621"/>
        <v>3</v>
      </c>
      <c r="FW1338" s="101" t="str">
        <f t="shared" si="628"/>
        <v>朱仙专属武器-魂珠-6 2级</v>
      </c>
      <c r="FX1338" s="101">
        <f t="shared" si="629"/>
        <v>6</v>
      </c>
      <c r="FY1338" s="101">
        <f t="shared" si="630"/>
        <v>2</v>
      </c>
      <c r="FZ1338" s="101" t="str">
        <f t="shared" si="622"/>
        <v>金币</v>
      </c>
      <c r="GA1338" s="139">
        <f>IF($FY1338&gt;0,IF(INDEX($EM$6:$EM$77,$FT1338)&gt;=GA$3,ROUND(INDEX(EO$6:EO$77,$FT1338)*INDEX(卡牌消耗!$B$8:$F$8,FV1338)/5,0)*5,""),"")</f>
        <v>2180</v>
      </c>
      <c r="GB1338" s="101" t="str">
        <f t="shared" si="623"/>
        <v>专属强化石3</v>
      </c>
      <c r="GC1338" s="101">
        <f t="shared" si="624"/>
        <v>10</v>
      </c>
      <c r="GD1338" s="101" t="str">
        <f t="shared" si="625"/>
        <v>专属强化石4</v>
      </c>
      <c r="GE1338" s="101">
        <f t="shared" si="626"/>
        <v>2</v>
      </c>
      <c r="GF1338" s="101">
        <f t="shared" si="631"/>
        <v>0.17</v>
      </c>
      <c r="GG1338" s="101">
        <f t="shared" si="632"/>
        <v>1</v>
      </c>
      <c r="GH1338" s="101">
        <f t="shared" si="633"/>
        <v>9</v>
      </c>
      <c r="GI1338" s="101">
        <f t="shared" si="634"/>
        <v>0</v>
      </c>
      <c r="GJ1338" s="101">
        <f t="shared" si="635"/>
        <v>1</v>
      </c>
      <c r="GK1338" s="101">
        <f t="shared" si="636"/>
        <v>2</v>
      </c>
      <c r="GL1338" s="101">
        <f t="shared" si="637"/>
        <v>8.2900000000000001E-2</v>
      </c>
      <c r="GM1338" s="101">
        <f t="shared" si="638"/>
        <v>1</v>
      </c>
      <c r="GN1338" s="101">
        <f t="shared" si="639"/>
        <v>4</v>
      </c>
      <c r="GO1338" s="101">
        <f t="shared" si="640"/>
        <v>0.33139999999999997</v>
      </c>
      <c r="GP1338" s="101">
        <f t="shared" si="641"/>
        <v>1</v>
      </c>
      <c r="GQ1338" s="101">
        <f t="shared" si="642"/>
        <v>9</v>
      </c>
    </row>
    <row r="1339" spans="175:199" ht="16.5" x14ac:dyDescent="0.2">
      <c r="FS1339" s="101">
        <v>1334</v>
      </c>
      <c r="FT1339" s="101">
        <f t="shared" si="627"/>
        <v>48</v>
      </c>
      <c r="FU1339" s="101">
        <f t="shared" si="620"/>
        <v>17</v>
      </c>
      <c r="FV1339" s="14">
        <f t="shared" si="621"/>
        <v>3</v>
      </c>
      <c r="FW1339" s="101" t="str">
        <f t="shared" si="628"/>
        <v>朱仙专属武器-魂珠-6 3级</v>
      </c>
      <c r="FX1339" s="101">
        <f t="shared" si="629"/>
        <v>6</v>
      </c>
      <c r="FY1339" s="101">
        <f t="shared" si="630"/>
        <v>3</v>
      </c>
      <c r="FZ1339" s="101" t="str">
        <f t="shared" si="622"/>
        <v>金币</v>
      </c>
      <c r="GA1339" s="139">
        <f>IF($FY1339&gt;0,IF(INDEX($EM$6:$EM$77,$FT1339)&gt;=GA$3,ROUND(INDEX(EO$6:EO$77,$FT1339)*INDEX(卡牌消耗!$B$8:$F$8,FV1339)/5,0)*5,""),"")</f>
        <v>2425</v>
      </c>
      <c r="GB1339" s="101" t="str">
        <f t="shared" si="623"/>
        <v>专属强化石3</v>
      </c>
      <c r="GC1339" s="101">
        <f t="shared" si="624"/>
        <v>10</v>
      </c>
      <c r="GD1339" s="101" t="str">
        <f t="shared" si="625"/>
        <v>专属强化石4</v>
      </c>
      <c r="GE1339" s="101">
        <f t="shared" si="626"/>
        <v>2</v>
      </c>
      <c r="GF1339" s="101">
        <f t="shared" si="631"/>
        <v>0.11</v>
      </c>
      <c r="GG1339" s="101">
        <f t="shared" si="632"/>
        <v>1</v>
      </c>
      <c r="GH1339" s="101">
        <f t="shared" si="633"/>
        <v>14</v>
      </c>
      <c r="GI1339" s="101">
        <f t="shared" si="634"/>
        <v>0</v>
      </c>
      <c r="GJ1339" s="101">
        <f t="shared" si="635"/>
        <v>1</v>
      </c>
      <c r="GK1339" s="101">
        <f t="shared" si="636"/>
        <v>3</v>
      </c>
      <c r="GL1339" s="101">
        <f t="shared" si="637"/>
        <v>5.5199999999999999E-2</v>
      </c>
      <c r="GM1339" s="101">
        <f t="shared" si="638"/>
        <v>1</v>
      </c>
      <c r="GN1339" s="101">
        <f t="shared" si="639"/>
        <v>6</v>
      </c>
      <c r="GO1339" s="101">
        <f t="shared" si="640"/>
        <v>0.221</v>
      </c>
      <c r="GP1339" s="101">
        <f t="shared" si="641"/>
        <v>1</v>
      </c>
      <c r="GQ1339" s="101">
        <f t="shared" si="642"/>
        <v>14</v>
      </c>
    </row>
    <row r="1340" spans="175:199" ht="16.5" x14ac:dyDescent="0.2">
      <c r="FS1340" s="101">
        <v>1335</v>
      </c>
      <c r="FT1340" s="101">
        <f t="shared" si="627"/>
        <v>49</v>
      </c>
      <c r="FU1340" s="101">
        <f t="shared" si="620"/>
        <v>17</v>
      </c>
      <c r="FV1340" s="14">
        <f t="shared" si="621"/>
        <v>3</v>
      </c>
      <c r="FW1340" s="101" t="str">
        <f t="shared" si="628"/>
        <v>朱仙专属武器-魂珠-6 4级</v>
      </c>
      <c r="FX1340" s="101">
        <f t="shared" si="629"/>
        <v>6</v>
      </c>
      <c r="FY1340" s="101">
        <f t="shared" si="630"/>
        <v>4</v>
      </c>
      <c r="FZ1340" s="101" t="str">
        <f t="shared" si="622"/>
        <v>金币</v>
      </c>
      <c r="GA1340" s="139">
        <f>IF($FY1340&gt;0,IF(INDEX($EM$6:$EM$77,$FT1340)&gt;=GA$3,ROUND(INDEX(EO$6:EO$77,$FT1340)*INDEX(卡牌消耗!$B$8:$F$8,FV1340)/5,0)*5,""),"")</f>
        <v>3490</v>
      </c>
      <c r="GB1340" s="101" t="str">
        <f t="shared" si="623"/>
        <v>专属强化石3</v>
      </c>
      <c r="GC1340" s="101">
        <f t="shared" si="624"/>
        <v>15</v>
      </c>
      <c r="GD1340" s="101" t="str">
        <f t="shared" si="625"/>
        <v>专属强化石4</v>
      </c>
      <c r="GE1340" s="101">
        <f t="shared" si="626"/>
        <v>3</v>
      </c>
      <c r="GF1340" s="101">
        <f t="shared" si="631"/>
        <v>0.1</v>
      </c>
      <c r="GG1340" s="101">
        <f t="shared" si="632"/>
        <v>1</v>
      </c>
      <c r="GH1340" s="101">
        <f t="shared" si="633"/>
        <v>15</v>
      </c>
      <c r="GI1340" s="101">
        <f t="shared" si="634"/>
        <v>0</v>
      </c>
      <c r="GJ1340" s="101">
        <f t="shared" si="635"/>
        <v>1</v>
      </c>
      <c r="GK1340" s="101">
        <f t="shared" si="636"/>
        <v>4</v>
      </c>
      <c r="GL1340" s="101">
        <f t="shared" si="637"/>
        <v>4.9700000000000001E-2</v>
      </c>
      <c r="GM1340" s="101">
        <f t="shared" si="638"/>
        <v>1</v>
      </c>
      <c r="GN1340" s="101">
        <f t="shared" si="639"/>
        <v>7</v>
      </c>
      <c r="GO1340" s="101">
        <f t="shared" si="640"/>
        <v>0.19889999999999999</v>
      </c>
      <c r="GP1340" s="101">
        <f t="shared" si="641"/>
        <v>1</v>
      </c>
      <c r="GQ1340" s="101">
        <f t="shared" si="642"/>
        <v>15</v>
      </c>
    </row>
    <row r="1341" spans="175:199" ht="16.5" x14ac:dyDescent="0.2">
      <c r="FS1341" s="101">
        <v>1336</v>
      </c>
      <c r="FT1341" s="101">
        <f t="shared" si="627"/>
        <v>50</v>
      </c>
      <c r="FU1341" s="101">
        <f t="shared" si="620"/>
        <v>17</v>
      </c>
      <c r="FV1341" s="14">
        <f t="shared" si="621"/>
        <v>3</v>
      </c>
      <c r="FW1341" s="101" t="str">
        <f t="shared" si="628"/>
        <v>朱仙专属武器-魂珠-6 5级</v>
      </c>
      <c r="FX1341" s="101">
        <f t="shared" si="629"/>
        <v>6</v>
      </c>
      <c r="FY1341" s="101">
        <f t="shared" si="630"/>
        <v>5</v>
      </c>
      <c r="FZ1341" s="101" t="str">
        <f t="shared" si="622"/>
        <v>金币</v>
      </c>
      <c r="GA1341" s="139">
        <f>IF($FY1341&gt;0,IF(INDEX($EM$6:$EM$77,$FT1341)&gt;=GA$3,ROUND(INDEX(EO$6:EO$77,$FT1341)*INDEX(卡牌消耗!$B$8:$F$8,FV1341)/5,0)*5,""),"")</f>
        <v>3545</v>
      </c>
      <c r="GB1341" s="101" t="str">
        <f t="shared" si="623"/>
        <v>专属强化石3</v>
      </c>
      <c r="GC1341" s="101">
        <f t="shared" si="624"/>
        <v>15</v>
      </c>
      <c r="GD1341" s="101" t="str">
        <f t="shared" si="625"/>
        <v>专属强化石4</v>
      </c>
      <c r="GE1341" s="101">
        <f t="shared" si="626"/>
        <v>3</v>
      </c>
      <c r="GF1341" s="101">
        <f t="shared" si="631"/>
        <v>0.06</v>
      </c>
      <c r="GG1341" s="101">
        <f t="shared" si="632"/>
        <v>1</v>
      </c>
      <c r="GH1341" s="101">
        <f t="shared" si="633"/>
        <v>24</v>
      </c>
      <c r="GI1341" s="101">
        <f t="shared" si="634"/>
        <v>0</v>
      </c>
      <c r="GJ1341" s="101">
        <f t="shared" si="635"/>
        <v>1</v>
      </c>
      <c r="GK1341" s="101">
        <f t="shared" si="636"/>
        <v>6</v>
      </c>
      <c r="GL1341" s="101">
        <f t="shared" si="637"/>
        <v>3.1099999999999999E-2</v>
      </c>
      <c r="GM1341" s="101">
        <f t="shared" si="638"/>
        <v>1</v>
      </c>
      <c r="GN1341" s="101">
        <f t="shared" si="639"/>
        <v>11</v>
      </c>
      <c r="GO1341" s="101">
        <f t="shared" si="640"/>
        <v>0.12429999999999999</v>
      </c>
      <c r="GP1341" s="101">
        <f t="shared" si="641"/>
        <v>1</v>
      </c>
      <c r="GQ1341" s="101">
        <f t="shared" si="642"/>
        <v>24</v>
      </c>
    </row>
    <row r="1342" spans="175:199" ht="16.5" x14ac:dyDescent="0.2">
      <c r="FS1342" s="101">
        <v>1337</v>
      </c>
      <c r="FT1342" s="101">
        <f t="shared" si="627"/>
        <v>51</v>
      </c>
      <c r="FU1342" s="101">
        <f t="shared" si="620"/>
        <v>17</v>
      </c>
      <c r="FV1342" s="14">
        <f t="shared" si="621"/>
        <v>3</v>
      </c>
      <c r="FW1342" s="101" t="str">
        <f t="shared" si="628"/>
        <v>朱仙专属武器-魂珠-6 6级</v>
      </c>
      <c r="FX1342" s="101">
        <f t="shared" si="629"/>
        <v>6</v>
      </c>
      <c r="FY1342" s="101">
        <f t="shared" si="630"/>
        <v>6</v>
      </c>
      <c r="FZ1342" s="101" t="str">
        <f t="shared" si="622"/>
        <v>金币</v>
      </c>
      <c r="GA1342" s="139">
        <f>IF($FY1342&gt;0,IF(INDEX($EM$6:$EM$77,$FT1342)&gt;=GA$3,ROUND(INDEX(EO$6:EO$77,$FT1342)*INDEX(卡牌消耗!$B$8:$F$8,FV1342)/5,0)*5,""),"")</f>
        <v>4700</v>
      </c>
      <c r="GB1342" s="101" t="str">
        <f t="shared" si="623"/>
        <v>专属强化石3</v>
      </c>
      <c r="GC1342" s="101">
        <f t="shared" si="624"/>
        <v>20</v>
      </c>
      <c r="GD1342" s="101" t="str">
        <f t="shared" si="625"/>
        <v>专属强化石4</v>
      </c>
      <c r="GE1342" s="101">
        <f t="shared" si="626"/>
        <v>4</v>
      </c>
      <c r="GF1342" s="101">
        <f t="shared" si="631"/>
        <v>0.05</v>
      </c>
      <c r="GG1342" s="101">
        <f t="shared" si="632"/>
        <v>1</v>
      </c>
      <c r="GH1342" s="101">
        <f t="shared" si="633"/>
        <v>29</v>
      </c>
      <c r="GI1342" s="101">
        <f t="shared" si="634"/>
        <v>0</v>
      </c>
      <c r="GJ1342" s="101">
        <f t="shared" si="635"/>
        <v>1</v>
      </c>
      <c r="GK1342" s="101">
        <f t="shared" si="636"/>
        <v>7</v>
      </c>
      <c r="GL1342" s="101">
        <f t="shared" si="637"/>
        <v>2.5499999999999998E-2</v>
      </c>
      <c r="GM1342" s="101">
        <f t="shared" si="638"/>
        <v>1</v>
      </c>
      <c r="GN1342" s="101">
        <f t="shared" si="639"/>
        <v>14</v>
      </c>
      <c r="GO1342" s="101">
        <f t="shared" si="640"/>
        <v>0.10199999999999999</v>
      </c>
      <c r="GP1342" s="101">
        <f t="shared" si="641"/>
        <v>1</v>
      </c>
      <c r="GQ1342" s="101">
        <f t="shared" si="642"/>
        <v>29</v>
      </c>
    </row>
    <row r="1343" spans="175:199" ht="16.5" x14ac:dyDescent="0.2">
      <c r="FS1343" s="101">
        <v>1338</v>
      </c>
      <c r="FT1343" s="101">
        <f t="shared" si="627"/>
        <v>52</v>
      </c>
      <c r="FU1343" s="101">
        <f t="shared" si="620"/>
        <v>17</v>
      </c>
      <c r="FV1343" s="14">
        <f t="shared" si="621"/>
        <v>3</v>
      </c>
      <c r="FW1343" s="101" t="str">
        <f t="shared" si="628"/>
        <v>朱仙专属武器-魂珠-6 7级</v>
      </c>
      <c r="FX1343" s="101">
        <f t="shared" si="629"/>
        <v>6</v>
      </c>
      <c r="FY1343" s="101">
        <f t="shared" si="630"/>
        <v>7</v>
      </c>
      <c r="FZ1343" s="101" t="str">
        <f t="shared" si="622"/>
        <v>金币</v>
      </c>
      <c r="GA1343" s="139">
        <f>IF($FY1343&gt;0,IF(INDEX($EM$6:$EM$77,$FT1343)&gt;=GA$3,ROUND(INDEX(EO$6:EO$77,$FT1343)*INDEX(卡牌消耗!$B$8:$F$8,FV1343)/5,0)*5,""),"")</f>
        <v>5885</v>
      </c>
      <c r="GB1343" s="101" t="str">
        <f t="shared" si="623"/>
        <v>专属强化石3</v>
      </c>
      <c r="GC1343" s="101">
        <f t="shared" si="624"/>
        <v>25</v>
      </c>
      <c r="GD1343" s="101" t="str">
        <f t="shared" si="625"/>
        <v>专属强化石4</v>
      </c>
      <c r="GE1343" s="101">
        <f t="shared" si="626"/>
        <v>5</v>
      </c>
      <c r="GF1343" s="101">
        <f t="shared" si="631"/>
        <v>0.04</v>
      </c>
      <c r="GG1343" s="101">
        <f t="shared" si="632"/>
        <v>1</v>
      </c>
      <c r="GH1343" s="101">
        <f t="shared" si="633"/>
        <v>38</v>
      </c>
      <c r="GI1343" s="101">
        <f t="shared" si="634"/>
        <v>0</v>
      </c>
      <c r="GJ1343" s="101">
        <f t="shared" si="635"/>
        <v>1</v>
      </c>
      <c r="GK1343" s="101">
        <f t="shared" si="636"/>
        <v>9</v>
      </c>
      <c r="GL1343" s="101">
        <f t="shared" si="637"/>
        <v>1.9699999999999999E-2</v>
      </c>
      <c r="GM1343" s="101">
        <f t="shared" si="638"/>
        <v>1</v>
      </c>
      <c r="GN1343" s="101">
        <f t="shared" si="639"/>
        <v>18</v>
      </c>
      <c r="GO1343" s="101">
        <f t="shared" si="640"/>
        <v>7.8899999999999998E-2</v>
      </c>
      <c r="GP1343" s="101">
        <f t="shared" si="641"/>
        <v>1</v>
      </c>
      <c r="GQ1343" s="101">
        <f t="shared" si="642"/>
        <v>38</v>
      </c>
    </row>
    <row r="1344" spans="175:199" ht="16.5" x14ac:dyDescent="0.2">
      <c r="FS1344" s="101">
        <v>1339</v>
      </c>
      <c r="FT1344" s="101">
        <f t="shared" si="627"/>
        <v>53</v>
      </c>
      <c r="FU1344" s="101">
        <f t="shared" si="620"/>
        <v>17</v>
      </c>
      <c r="FV1344" s="14">
        <f t="shared" si="621"/>
        <v>3</v>
      </c>
      <c r="FW1344" s="101" t="str">
        <f t="shared" si="628"/>
        <v>朱仙专属武器-魂珠-6 8级</v>
      </c>
      <c r="FX1344" s="101">
        <f t="shared" si="629"/>
        <v>6</v>
      </c>
      <c r="FY1344" s="101">
        <f t="shared" si="630"/>
        <v>8</v>
      </c>
      <c r="FZ1344" s="101" t="str">
        <f t="shared" si="622"/>
        <v>金币</v>
      </c>
      <c r="GA1344" s="139">
        <f>IF($FY1344&gt;0,IF(INDEX($EM$6:$EM$77,$FT1344)&gt;=GA$3,ROUND(INDEX(EO$6:EO$77,$FT1344)*INDEX(卡牌消耗!$B$8:$F$8,FV1344)/5,0)*5,""),"")</f>
        <v>8235</v>
      </c>
      <c r="GB1344" s="101" t="str">
        <f t="shared" si="623"/>
        <v>专属强化石3</v>
      </c>
      <c r="GC1344" s="101">
        <f t="shared" si="624"/>
        <v>35</v>
      </c>
      <c r="GD1344" s="101" t="str">
        <f t="shared" si="625"/>
        <v>专属强化石4</v>
      </c>
      <c r="GE1344" s="101">
        <f t="shared" si="626"/>
        <v>7</v>
      </c>
      <c r="GF1344" s="101">
        <f t="shared" si="631"/>
        <v>0.03</v>
      </c>
      <c r="GG1344" s="101">
        <f t="shared" si="632"/>
        <v>1</v>
      </c>
      <c r="GH1344" s="101">
        <f t="shared" si="633"/>
        <v>44</v>
      </c>
      <c r="GI1344" s="101">
        <f t="shared" si="634"/>
        <v>0</v>
      </c>
      <c r="GJ1344" s="101">
        <f t="shared" si="635"/>
        <v>1</v>
      </c>
      <c r="GK1344" s="101">
        <f t="shared" si="636"/>
        <v>10</v>
      </c>
      <c r="GL1344" s="101">
        <f t="shared" si="637"/>
        <v>1.7100000000000001E-2</v>
      </c>
      <c r="GM1344" s="101">
        <f t="shared" si="638"/>
        <v>1</v>
      </c>
      <c r="GN1344" s="101">
        <f t="shared" si="639"/>
        <v>21</v>
      </c>
      <c r="GO1344" s="101">
        <f t="shared" si="640"/>
        <v>6.8199999999999997E-2</v>
      </c>
      <c r="GP1344" s="101">
        <f t="shared" si="641"/>
        <v>1</v>
      </c>
      <c r="GQ1344" s="101">
        <f t="shared" si="642"/>
        <v>44</v>
      </c>
    </row>
    <row r="1345" spans="175:199" ht="16.5" x14ac:dyDescent="0.2">
      <c r="FS1345" s="101">
        <v>1340</v>
      </c>
      <c r="FT1345" s="101">
        <f t="shared" si="627"/>
        <v>54</v>
      </c>
      <c r="FU1345" s="101">
        <f t="shared" si="620"/>
        <v>17</v>
      </c>
      <c r="FV1345" s="14">
        <f t="shared" si="621"/>
        <v>3</v>
      </c>
      <c r="FW1345" s="101" t="str">
        <f t="shared" si="628"/>
        <v>朱仙专属武器-魂珠-6 9级</v>
      </c>
      <c r="FX1345" s="101">
        <f t="shared" si="629"/>
        <v>6</v>
      </c>
      <c r="FY1345" s="101">
        <f t="shared" si="630"/>
        <v>9</v>
      </c>
      <c r="FZ1345" s="101" t="str">
        <f t="shared" si="622"/>
        <v>金币</v>
      </c>
      <c r="GA1345" s="139">
        <f>IF($FY1345&gt;0,IF(INDEX($EM$6:$EM$77,$FT1345)&gt;=GA$3,ROUND(INDEX(EO$6:EO$77,$FT1345)*INDEX(卡牌消耗!$B$8:$F$8,FV1345)/5,0)*5,""),"")</f>
        <v>9410</v>
      </c>
      <c r="GB1345" s="101" t="str">
        <f t="shared" si="623"/>
        <v>专属强化石3</v>
      </c>
      <c r="GC1345" s="101">
        <f t="shared" si="624"/>
        <v>40</v>
      </c>
      <c r="GD1345" s="101" t="str">
        <f t="shared" si="625"/>
        <v>专属强化石4</v>
      </c>
      <c r="GE1345" s="101">
        <f t="shared" si="626"/>
        <v>8</v>
      </c>
      <c r="GF1345" s="101">
        <f t="shared" si="631"/>
        <v>0.02</v>
      </c>
      <c r="GG1345" s="101">
        <f t="shared" si="632"/>
        <v>1</v>
      </c>
      <c r="GH1345" s="101">
        <f t="shared" si="633"/>
        <v>62</v>
      </c>
      <c r="GI1345" s="101">
        <f t="shared" si="634"/>
        <v>0</v>
      </c>
      <c r="GJ1345" s="101">
        <f t="shared" si="635"/>
        <v>1</v>
      </c>
      <c r="GK1345" s="101">
        <f t="shared" si="636"/>
        <v>15</v>
      </c>
      <c r="GL1345" s="101">
        <f t="shared" si="637"/>
        <v>1.21E-2</v>
      </c>
      <c r="GM1345" s="101">
        <f t="shared" si="638"/>
        <v>1</v>
      </c>
      <c r="GN1345" s="101">
        <f t="shared" si="639"/>
        <v>29</v>
      </c>
      <c r="GO1345" s="101">
        <f t="shared" si="640"/>
        <v>4.82E-2</v>
      </c>
      <c r="GP1345" s="101">
        <f t="shared" si="641"/>
        <v>1</v>
      </c>
      <c r="GQ1345" s="101">
        <f t="shared" si="642"/>
        <v>62</v>
      </c>
    </row>
    <row r="1346" spans="175:199" ht="16.5" x14ac:dyDescent="0.2">
      <c r="FS1346" s="101">
        <v>1341</v>
      </c>
      <c r="FT1346" s="101">
        <f t="shared" si="627"/>
        <v>0</v>
      </c>
      <c r="FU1346" s="101">
        <f t="shared" si="620"/>
        <v>17</v>
      </c>
      <c r="FV1346" s="14">
        <f t="shared" si="621"/>
        <v>3</v>
      </c>
      <c r="FW1346" s="101" t="str">
        <f t="shared" si="628"/>
        <v>朱仙专属武器-魂珠-7 0级</v>
      </c>
      <c r="FX1346" s="101">
        <f t="shared" si="629"/>
        <v>7</v>
      </c>
      <c r="FY1346" s="101">
        <f t="shared" si="630"/>
        <v>0</v>
      </c>
      <c r="FZ1346" s="101" t="str">
        <f t="shared" si="622"/>
        <v/>
      </c>
      <c r="GA1346" s="139" t="str">
        <f>IF($FY1346&gt;0,IF(INDEX($EM$6:$EM$77,$FT1346)&gt;=GA$3,ROUND(INDEX(EO$6:EO$77,$FT1346)*INDEX(卡牌消耗!$B$8:$F$8,FV1346)/5,0)*5,""),"")</f>
        <v/>
      </c>
      <c r="GB1346" s="101" t="str">
        <f t="shared" si="623"/>
        <v/>
      </c>
      <c r="GC1346" s="101" t="str">
        <f t="shared" si="624"/>
        <v/>
      </c>
      <c r="GD1346" s="101" t="str">
        <f t="shared" si="625"/>
        <v/>
      </c>
      <c r="GE1346" s="101" t="str">
        <f t="shared" si="626"/>
        <v/>
      </c>
      <c r="GF1346" s="101" t="str">
        <f t="shared" si="631"/>
        <v/>
      </c>
      <c r="GG1346" s="101" t="str">
        <f t="shared" si="632"/>
        <v/>
      </c>
      <c r="GH1346" s="101" t="str">
        <f t="shared" si="633"/>
        <v/>
      </c>
      <c r="GI1346" s="101" t="str">
        <f t="shared" si="634"/>
        <v/>
      </c>
      <c r="GJ1346" s="101" t="str">
        <f t="shared" si="635"/>
        <v/>
      </c>
      <c r="GK1346" s="101" t="str">
        <f t="shared" si="636"/>
        <v/>
      </c>
      <c r="GL1346" s="101" t="str">
        <f t="shared" si="637"/>
        <v/>
      </c>
      <c r="GM1346" s="101" t="str">
        <f t="shared" si="638"/>
        <v/>
      </c>
      <c r="GN1346" s="101" t="str">
        <f t="shared" si="639"/>
        <v/>
      </c>
      <c r="GO1346" s="101" t="str">
        <f t="shared" si="640"/>
        <v/>
      </c>
      <c r="GP1346" s="101" t="str">
        <f t="shared" si="641"/>
        <v/>
      </c>
      <c r="GQ1346" s="101" t="str">
        <f t="shared" si="642"/>
        <v/>
      </c>
    </row>
    <row r="1347" spans="175:199" ht="16.5" x14ac:dyDescent="0.2">
      <c r="FS1347" s="101">
        <v>1342</v>
      </c>
      <c r="FT1347" s="101">
        <f t="shared" si="627"/>
        <v>55</v>
      </c>
      <c r="FU1347" s="101">
        <f t="shared" si="620"/>
        <v>17</v>
      </c>
      <c r="FV1347" s="14">
        <f t="shared" si="621"/>
        <v>3</v>
      </c>
      <c r="FW1347" s="101" t="str">
        <f t="shared" si="628"/>
        <v>朱仙专属武器-魂珠-7 1级</v>
      </c>
      <c r="FX1347" s="101">
        <f t="shared" si="629"/>
        <v>7</v>
      </c>
      <c r="FY1347" s="101">
        <f t="shared" si="630"/>
        <v>1</v>
      </c>
      <c r="FZ1347" s="101" t="str">
        <f t="shared" si="622"/>
        <v>金币</v>
      </c>
      <c r="GA1347" s="139">
        <f>IF($FY1347&gt;0,IF(INDEX($EM$6:$EM$77,$FT1347)&gt;=GA$3,ROUND(INDEX(EO$6:EO$77,$FT1347)*INDEX(卡牌消耗!$B$8:$F$8,FV1347)/5,0)*5,""),"")</f>
        <v>5075</v>
      </c>
      <c r="GB1347" s="101" t="str">
        <f t="shared" si="623"/>
        <v>专属强化石3</v>
      </c>
      <c r="GC1347" s="101">
        <f t="shared" si="624"/>
        <v>6</v>
      </c>
      <c r="GD1347" s="101" t="str">
        <f t="shared" si="625"/>
        <v>专属强化石4</v>
      </c>
      <c r="GE1347" s="101">
        <f t="shared" si="626"/>
        <v>2</v>
      </c>
      <c r="GF1347" s="101">
        <f t="shared" si="631"/>
        <v>0.2</v>
      </c>
      <c r="GG1347" s="101">
        <f t="shared" si="632"/>
        <v>1</v>
      </c>
      <c r="GH1347" s="101">
        <f t="shared" si="633"/>
        <v>8</v>
      </c>
      <c r="GI1347" s="101">
        <f t="shared" si="634"/>
        <v>0</v>
      </c>
      <c r="GJ1347" s="101">
        <f t="shared" si="635"/>
        <v>1</v>
      </c>
      <c r="GK1347" s="101">
        <f t="shared" si="636"/>
        <v>2</v>
      </c>
      <c r="GL1347" s="101">
        <f t="shared" si="637"/>
        <v>9.9400000000000002E-2</v>
      </c>
      <c r="GM1347" s="101">
        <f t="shared" si="638"/>
        <v>1</v>
      </c>
      <c r="GN1347" s="101">
        <f t="shared" si="639"/>
        <v>4</v>
      </c>
      <c r="GO1347" s="101">
        <f t="shared" si="640"/>
        <v>0.3977</v>
      </c>
      <c r="GP1347" s="101">
        <f t="shared" si="641"/>
        <v>1</v>
      </c>
      <c r="GQ1347" s="101">
        <f t="shared" si="642"/>
        <v>8</v>
      </c>
    </row>
    <row r="1348" spans="175:199" ht="16.5" x14ac:dyDescent="0.2">
      <c r="FS1348" s="101">
        <v>1343</v>
      </c>
      <c r="FT1348" s="101">
        <f t="shared" si="627"/>
        <v>56</v>
      </c>
      <c r="FU1348" s="101">
        <f t="shared" si="620"/>
        <v>17</v>
      </c>
      <c r="FV1348" s="14">
        <f t="shared" si="621"/>
        <v>3</v>
      </c>
      <c r="FW1348" s="101" t="str">
        <f t="shared" si="628"/>
        <v>朱仙专属武器-魂珠-7 2级</v>
      </c>
      <c r="FX1348" s="101">
        <f t="shared" si="629"/>
        <v>7</v>
      </c>
      <c r="FY1348" s="101">
        <f t="shared" si="630"/>
        <v>2</v>
      </c>
      <c r="FZ1348" s="101" t="str">
        <f t="shared" si="622"/>
        <v>金币</v>
      </c>
      <c r="GA1348" s="139">
        <f>IF($FY1348&gt;0,IF(INDEX($EM$6:$EM$77,$FT1348)&gt;=GA$3,ROUND(INDEX(EO$6:EO$77,$FT1348)*INDEX(卡牌消耗!$B$8:$F$8,FV1348)/5,0)*5,""),"")</f>
        <v>3810</v>
      </c>
      <c r="GB1348" s="101" t="str">
        <f t="shared" si="623"/>
        <v>专属强化石3</v>
      </c>
      <c r="GC1348" s="101">
        <f t="shared" si="624"/>
        <v>6</v>
      </c>
      <c r="GD1348" s="101" t="str">
        <f t="shared" si="625"/>
        <v>专属强化石4</v>
      </c>
      <c r="GE1348" s="101">
        <f t="shared" si="626"/>
        <v>2</v>
      </c>
      <c r="GF1348" s="101">
        <f t="shared" si="631"/>
        <v>0.1</v>
      </c>
      <c r="GG1348" s="101">
        <f t="shared" si="632"/>
        <v>1</v>
      </c>
      <c r="GH1348" s="101">
        <f t="shared" si="633"/>
        <v>15</v>
      </c>
      <c r="GI1348" s="101">
        <f t="shared" si="634"/>
        <v>0</v>
      </c>
      <c r="GJ1348" s="101">
        <f t="shared" si="635"/>
        <v>1</v>
      </c>
      <c r="GK1348" s="101">
        <f t="shared" si="636"/>
        <v>4</v>
      </c>
      <c r="GL1348" s="101">
        <f t="shared" si="637"/>
        <v>4.9700000000000001E-2</v>
      </c>
      <c r="GM1348" s="101">
        <f t="shared" si="638"/>
        <v>1</v>
      </c>
      <c r="GN1348" s="101">
        <f t="shared" si="639"/>
        <v>7</v>
      </c>
      <c r="GO1348" s="101">
        <f t="shared" si="640"/>
        <v>0.19889999999999999</v>
      </c>
      <c r="GP1348" s="101">
        <f t="shared" si="641"/>
        <v>1</v>
      </c>
      <c r="GQ1348" s="101">
        <f t="shared" si="642"/>
        <v>15</v>
      </c>
    </row>
    <row r="1349" spans="175:199" ht="16.5" x14ac:dyDescent="0.2">
      <c r="FS1349" s="101">
        <v>1344</v>
      </c>
      <c r="FT1349" s="101">
        <f t="shared" si="627"/>
        <v>57</v>
      </c>
      <c r="FU1349" s="101">
        <f t="shared" si="620"/>
        <v>17</v>
      </c>
      <c r="FV1349" s="14">
        <f t="shared" si="621"/>
        <v>3</v>
      </c>
      <c r="FW1349" s="101" t="str">
        <f t="shared" si="628"/>
        <v>朱仙专属武器-魂珠-7 3级</v>
      </c>
      <c r="FX1349" s="101">
        <f t="shared" si="629"/>
        <v>7</v>
      </c>
      <c r="FY1349" s="101">
        <f t="shared" si="630"/>
        <v>3</v>
      </c>
      <c r="FZ1349" s="101" t="str">
        <f t="shared" si="622"/>
        <v>金币</v>
      </c>
      <c r="GA1349" s="139">
        <f>IF($FY1349&gt;0,IF(INDEX($EM$6:$EM$77,$FT1349)&gt;=GA$3,ROUND(INDEX(EO$6:EO$77,$FT1349)*INDEX(卡牌消耗!$B$8:$F$8,FV1349)/5,0)*5,""),"")</f>
        <v>6345</v>
      </c>
      <c r="GB1349" s="101" t="str">
        <f t="shared" si="623"/>
        <v>专属强化石3</v>
      </c>
      <c r="GC1349" s="101">
        <f t="shared" si="624"/>
        <v>9</v>
      </c>
      <c r="GD1349" s="101" t="str">
        <f t="shared" si="625"/>
        <v>专属强化石4</v>
      </c>
      <c r="GE1349" s="101">
        <f t="shared" si="626"/>
        <v>3</v>
      </c>
      <c r="GF1349" s="101">
        <f t="shared" si="631"/>
        <v>0.1</v>
      </c>
      <c r="GG1349" s="101">
        <f t="shared" si="632"/>
        <v>1</v>
      </c>
      <c r="GH1349" s="101">
        <f t="shared" si="633"/>
        <v>15</v>
      </c>
      <c r="GI1349" s="101">
        <f t="shared" si="634"/>
        <v>0</v>
      </c>
      <c r="GJ1349" s="101">
        <f t="shared" si="635"/>
        <v>1</v>
      </c>
      <c r="GK1349" s="101">
        <f t="shared" si="636"/>
        <v>4</v>
      </c>
      <c r="GL1349" s="101">
        <f t="shared" si="637"/>
        <v>4.9700000000000001E-2</v>
      </c>
      <c r="GM1349" s="101">
        <f t="shared" si="638"/>
        <v>1</v>
      </c>
      <c r="GN1349" s="101">
        <f t="shared" si="639"/>
        <v>7</v>
      </c>
      <c r="GO1349" s="101">
        <f t="shared" si="640"/>
        <v>0.19889999999999999</v>
      </c>
      <c r="GP1349" s="101">
        <f t="shared" si="641"/>
        <v>1</v>
      </c>
      <c r="GQ1349" s="101">
        <f t="shared" si="642"/>
        <v>15</v>
      </c>
    </row>
    <row r="1350" spans="175:199" ht="16.5" x14ac:dyDescent="0.2">
      <c r="FS1350" s="101">
        <v>1345</v>
      </c>
      <c r="FT1350" s="101">
        <f t="shared" si="627"/>
        <v>58</v>
      </c>
      <c r="FU1350" s="101">
        <f t="shared" si="620"/>
        <v>17</v>
      </c>
      <c r="FV1350" s="14">
        <f t="shared" si="621"/>
        <v>3</v>
      </c>
      <c r="FW1350" s="101" t="str">
        <f t="shared" si="628"/>
        <v>朱仙专属武器-魂珠-7 4级</v>
      </c>
      <c r="FX1350" s="101">
        <f t="shared" si="629"/>
        <v>7</v>
      </c>
      <c r="FY1350" s="101">
        <f t="shared" si="630"/>
        <v>4</v>
      </c>
      <c r="FZ1350" s="101" t="str">
        <f t="shared" si="622"/>
        <v>金币</v>
      </c>
      <c r="GA1350" s="139">
        <f>IF($FY1350&gt;0,IF(INDEX($EM$6:$EM$77,$FT1350)&gt;=GA$3,ROUND(INDEX(EO$6:EO$77,$FT1350)*INDEX(卡牌消耗!$B$8:$F$8,FV1350)/5,0)*5,""),"")</f>
        <v>8125</v>
      </c>
      <c r="GB1350" s="101" t="str">
        <f t="shared" si="623"/>
        <v>专属强化石3</v>
      </c>
      <c r="GC1350" s="101">
        <f t="shared" si="624"/>
        <v>12</v>
      </c>
      <c r="GD1350" s="101" t="str">
        <f t="shared" si="625"/>
        <v>专属强化石4</v>
      </c>
      <c r="GE1350" s="101">
        <f t="shared" si="626"/>
        <v>4</v>
      </c>
      <c r="GF1350" s="101">
        <f t="shared" si="631"/>
        <v>0.08</v>
      </c>
      <c r="GG1350" s="101">
        <f t="shared" si="632"/>
        <v>1</v>
      </c>
      <c r="GH1350" s="101">
        <f t="shared" si="633"/>
        <v>19</v>
      </c>
      <c r="GI1350" s="101">
        <f t="shared" si="634"/>
        <v>0</v>
      </c>
      <c r="GJ1350" s="101">
        <f t="shared" si="635"/>
        <v>1</v>
      </c>
      <c r="GK1350" s="101">
        <f t="shared" si="636"/>
        <v>4</v>
      </c>
      <c r="GL1350" s="101">
        <f t="shared" si="637"/>
        <v>3.9800000000000002E-2</v>
      </c>
      <c r="GM1350" s="101">
        <f t="shared" si="638"/>
        <v>1</v>
      </c>
      <c r="GN1350" s="101">
        <f t="shared" si="639"/>
        <v>9</v>
      </c>
      <c r="GO1350" s="101">
        <f t="shared" si="640"/>
        <v>0.15909999999999999</v>
      </c>
      <c r="GP1350" s="101">
        <f t="shared" si="641"/>
        <v>1</v>
      </c>
      <c r="GQ1350" s="101">
        <f t="shared" si="642"/>
        <v>19</v>
      </c>
    </row>
    <row r="1351" spans="175:199" ht="16.5" x14ac:dyDescent="0.2">
      <c r="FS1351" s="101">
        <v>1346</v>
      </c>
      <c r="FT1351" s="101">
        <f t="shared" si="627"/>
        <v>59</v>
      </c>
      <c r="FU1351" s="101">
        <f t="shared" ref="FU1351:FU1414" si="643">INT((FS1351-1)/80+1)</f>
        <v>17</v>
      </c>
      <c r="FV1351" s="14">
        <f t="shared" ref="FV1351:FV1414" si="644">INDEX($FO$6:$FO$26,FU1351)</f>
        <v>3</v>
      </c>
      <c r="FW1351" s="101" t="str">
        <f t="shared" si="628"/>
        <v>朱仙专属武器-魂珠-7 5级</v>
      </c>
      <c r="FX1351" s="101">
        <f t="shared" si="629"/>
        <v>7</v>
      </c>
      <c r="FY1351" s="101">
        <f t="shared" si="630"/>
        <v>5</v>
      </c>
      <c r="FZ1351" s="101" t="str">
        <f t="shared" ref="FZ1351:FZ1414" si="645">IF($FY1351&gt;0,IF(INDEX($EM$6:$EM$77,$FT1351)&gt;=FZ$3,INDEX(EN$6:EN$77,$FT1351),""),"")</f>
        <v>金币</v>
      </c>
      <c r="GA1351" s="139">
        <f>IF($FY1351&gt;0,IF(INDEX($EM$6:$EM$77,$FT1351)&gt;=GA$3,ROUND(INDEX(EO$6:EO$77,$FT1351)*INDEX(卡牌消耗!$B$8:$F$8,FV1351)/5,0)*5,""),"")</f>
        <v>8250</v>
      </c>
      <c r="GB1351" s="101" t="str">
        <f t="shared" ref="GB1351:GB1414" si="646">IF($FY1351&gt;0,IF(INDEX($EM$6:$EM$77,$FT1351)&gt;=GB$3,INDEX(EP$6:EP$77,$FT1351),""),"")</f>
        <v>专属强化石3</v>
      </c>
      <c r="GC1351" s="101">
        <f t="shared" ref="GC1351:GC1414" si="647">IF($FY1351&gt;0,IF(INDEX($EM$6:$EM$77,$FT1351)&gt;=GC$3,INDEX(EQ$6:EQ$77,$FT1351),""),"")</f>
        <v>12</v>
      </c>
      <c r="GD1351" s="101" t="str">
        <f t="shared" ref="GD1351:GD1414" si="648">IF($FY1351&gt;0,IF(INDEX($EM$6:$EM$77,$FT1351)&gt;=GD$3,INDEX(ER$6:ER$77,$FT1351),""),"")</f>
        <v>专属强化石4</v>
      </c>
      <c r="GE1351" s="101">
        <f t="shared" ref="GE1351:GE1414" si="649">IF($FY1351&gt;0,IF(INDEX($EM$6:$EM$77,$FT1351)&gt;=GE$3,INDEX(ES$6:ES$77,$FT1351),""),"")</f>
        <v>4</v>
      </c>
      <c r="GF1351" s="101">
        <f t="shared" si="631"/>
        <v>0.05</v>
      </c>
      <c r="GG1351" s="101">
        <f t="shared" si="632"/>
        <v>1</v>
      </c>
      <c r="GH1351" s="101">
        <f t="shared" si="633"/>
        <v>30</v>
      </c>
      <c r="GI1351" s="101">
        <f t="shared" si="634"/>
        <v>0</v>
      </c>
      <c r="GJ1351" s="101">
        <f t="shared" si="635"/>
        <v>1</v>
      </c>
      <c r="GK1351" s="101">
        <f t="shared" si="636"/>
        <v>7</v>
      </c>
      <c r="GL1351" s="101">
        <f t="shared" si="637"/>
        <v>2.4899999999999999E-2</v>
      </c>
      <c r="GM1351" s="101">
        <f t="shared" si="638"/>
        <v>1</v>
      </c>
      <c r="GN1351" s="101">
        <f t="shared" si="639"/>
        <v>14</v>
      </c>
      <c r="GO1351" s="101">
        <f t="shared" si="640"/>
        <v>9.9400000000000002E-2</v>
      </c>
      <c r="GP1351" s="101">
        <f t="shared" si="641"/>
        <v>1</v>
      </c>
      <c r="GQ1351" s="101">
        <f t="shared" si="642"/>
        <v>30</v>
      </c>
    </row>
    <row r="1352" spans="175:199" ht="16.5" x14ac:dyDescent="0.2">
      <c r="FS1352" s="101">
        <v>1347</v>
      </c>
      <c r="FT1352" s="101">
        <f t="shared" si="627"/>
        <v>60</v>
      </c>
      <c r="FU1352" s="101">
        <f t="shared" si="643"/>
        <v>17</v>
      </c>
      <c r="FV1352" s="14">
        <f t="shared" si="644"/>
        <v>3</v>
      </c>
      <c r="FW1352" s="101" t="str">
        <f t="shared" si="628"/>
        <v>朱仙专属武器-魂珠-7 6级</v>
      </c>
      <c r="FX1352" s="101">
        <f t="shared" si="629"/>
        <v>7</v>
      </c>
      <c r="FY1352" s="101">
        <f t="shared" si="630"/>
        <v>6</v>
      </c>
      <c r="FZ1352" s="101" t="str">
        <f t="shared" si="645"/>
        <v>金币</v>
      </c>
      <c r="GA1352" s="139">
        <f>IF($FY1352&gt;0,IF(INDEX($EM$6:$EM$77,$FT1352)&gt;=GA$3,ROUND(INDEX(EO$6:EO$77,$FT1352)*INDEX(卡牌消耗!$B$8:$F$8,FV1352)/5,0)*5,""),"")</f>
        <v>10250</v>
      </c>
      <c r="GB1352" s="101" t="str">
        <f t="shared" si="646"/>
        <v>专属强化石3</v>
      </c>
      <c r="GC1352" s="101">
        <f t="shared" si="647"/>
        <v>15</v>
      </c>
      <c r="GD1352" s="101" t="str">
        <f t="shared" si="648"/>
        <v>专属强化石4</v>
      </c>
      <c r="GE1352" s="101">
        <f t="shared" si="649"/>
        <v>5</v>
      </c>
      <c r="GF1352" s="101">
        <f t="shared" si="631"/>
        <v>0.04</v>
      </c>
      <c r="GG1352" s="101">
        <f t="shared" si="632"/>
        <v>1</v>
      </c>
      <c r="GH1352" s="101">
        <f t="shared" si="633"/>
        <v>39</v>
      </c>
      <c r="GI1352" s="101">
        <f t="shared" si="634"/>
        <v>0</v>
      </c>
      <c r="GJ1352" s="101">
        <f t="shared" si="635"/>
        <v>1</v>
      </c>
      <c r="GK1352" s="101">
        <f t="shared" si="636"/>
        <v>9</v>
      </c>
      <c r="GL1352" s="101">
        <f t="shared" si="637"/>
        <v>1.9099999999999999E-2</v>
      </c>
      <c r="GM1352" s="101">
        <f t="shared" si="638"/>
        <v>1</v>
      </c>
      <c r="GN1352" s="101">
        <f t="shared" si="639"/>
        <v>18</v>
      </c>
      <c r="GO1352" s="101">
        <f t="shared" si="640"/>
        <v>7.6499999999999999E-2</v>
      </c>
      <c r="GP1352" s="101">
        <f t="shared" si="641"/>
        <v>1</v>
      </c>
      <c r="GQ1352" s="101">
        <f t="shared" si="642"/>
        <v>39</v>
      </c>
    </row>
    <row r="1353" spans="175:199" ht="16.5" x14ac:dyDescent="0.2">
      <c r="FS1353" s="101">
        <v>1348</v>
      </c>
      <c r="FT1353" s="101">
        <f t="shared" si="627"/>
        <v>61</v>
      </c>
      <c r="FU1353" s="101">
        <f t="shared" si="643"/>
        <v>17</v>
      </c>
      <c r="FV1353" s="14">
        <f t="shared" si="644"/>
        <v>3</v>
      </c>
      <c r="FW1353" s="101" t="str">
        <f t="shared" si="628"/>
        <v>朱仙专属武器-魂珠-7 7级</v>
      </c>
      <c r="FX1353" s="101">
        <f t="shared" si="629"/>
        <v>7</v>
      </c>
      <c r="FY1353" s="101">
        <f t="shared" si="630"/>
        <v>7</v>
      </c>
      <c r="FZ1353" s="101" t="str">
        <f t="shared" si="645"/>
        <v>金币</v>
      </c>
      <c r="GA1353" s="139">
        <f>IF($FY1353&gt;0,IF(INDEX($EM$6:$EM$77,$FT1353)&gt;=GA$3,ROUND(INDEX(EO$6:EO$77,$FT1353)*INDEX(卡牌消耗!$B$8:$F$8,FV1353)/5,0)*5,""),"")</f>
        <v>14385</v>
      </c>
      <c r="GB1353" s="101" t="str">
        <f t="shared" si="646"/>
        <v>专属强化石3</v>
      </c>
      <c r="GC1353" s="101">
        <f t="shared" si="647"/>
        <v>21</v>
      </c>
      <c r="GD1353" s="101" t="str">
        <f t="shared" si="648"/>
        <v>专属强化石4</v>
      </c>
      <c r="GE1353" s="101">
        <f t="shared" si="649"/>
        <v>7</v>
      </c>
      <c r="GF1353" s="101">
        <f t="shared" si="631"/>
        <v>0.03</v>
      </c>
      <c r="GG1353" s="101">
        <f t="shared" si="632"/>
        <v>1</v>
      </c>
      <c r="GH1353" s="101">
        <f t="shared" si="633"/>
        <v>45</v>
      </c>
      <c r="GI1353" s="101">
        <f t="shared" si="634"/>
        <v>0</v>
      </c>
      <c r="GJ1353" s="101">
        <f t="shared" si="635"/>
        <v>1</v>
      </c>
      <c r="GK1353" s="101">
        <f t="shared" si="636"/>
        <v>11</v>
      </c>
      <c r="GL1353" s="101">
        <f t="shared" si="637"/>
        <v>1.66E-2</v>
      </c>
      <c r="GM1353" s="101">
        <f t="shared" si="638"/>
        <v>1</v>
      </c>
      <c r="GN1353" s="101">
        <f t="shared" si="639"/>
        <v>21</v>
      </c>
      <c r="GO1353" s="101">
        <f t="shared" si="640"/>
        <v>6.6299999999999998E-2</v>
      </c>
      <c r="GP1353" s="101">
        <f t="shared" si="641"/>
        <v>1</v>
      </c>
      <c r="GQ1353" s="101">
        <f t="shared" si="642"/>
        <v>45</v>
      </c>
    </row>
    <row r="1354" spans="175:199" ht="16.5" x14ac:dyDescent="0.2">
      <c r="FS1354" s="101">
        <v>1349</v>
      </c>
      <c r="FT1354" s="101">
        <f t="shared" si="627"/>
        <v>62</v>
      </c>
      <c r="FU1354" s="101">
        <f t="shared" si="643"/>
        <v>17</v>
      </c>
      <c r="FV1354" s="14">
        <f t="shared" si="644"/>
        <v>3</v>
      </c>
      <c r="FW1354" s="101" t="str">
        <f t="shared" si="628"/>
        <v>朱仙专属武器-魂珠-7 8级</v>
      </c>
      <c r="FX1354" s="101">
        <f t="shared" si="629"/>
        <v>7</v>
      </c>
      <c r="FY1354" s="101">
        <f t="shared" si="630"/>
        <v>8</v>
      </c>
      <c r="FZ1354" s="101" t="str">
        <f t="shared" si="645"/>
        <v>金币</v>
      </c>
      <c r="GA1354" s="139">
        <f>IF($FY1354&gt;0,IF(INDEX($EM$6:$EM$77,$FT1354)&gt;=GA$3,ROUND(INDEX(EO$6:EO$77,$FT1354)*INDEX(卡牌消耗!$B$8:$F$8,FV1354)/5,0)*5,""),"")</f>
        <v>16425</v>
      </c>
      <c r="GB1354" s="101" t="str">
        <f t="shared" si="646"/>
        <v>专属强化石3</v>
      </c>
      <c r="GC1354" s="101">
        <f t="shared" si="647"/>
        <v>24</v>
      </c>
      <c r="GD1354" s="101" t="str">
        <f t="shared" si="648"/>
        <v>专属强化石4</v>
      </c>
      <c r="GE1354" s="101">
        <f t="shared" si="649"/>
        <v>8</v>
      </c>
      <c r="GF1354" s="101">
        <f t="shared" si="631"/>
        <v>0.02</v>
      </c>
      <c r="GG1354" s="101">
        <f t="shared" si="632"/>
        <v>1</v>
      </c>
      <c r="GH1354" s="101">
        <f t="shared" si="633"/>
        <v>64</v>
      </c>
      <c r="GI1354" s="101">
        <f t="shared" si="634"/>
        <v>0</v>
      </c>
      <c r="GJ1354" s="101">
        <f t="shared" si="635"/>
        <v>1</v>
      </c>
      <c r="GK1354" s="101">
        <f t="shared" si="636"/>
        <v>15</v>
      </c>
      <c r="GL1354" s="101">
        <f t="shared" si="637"/>
        <v>1.17E-2</v>
      </c>
      <c r="GM1354" s="101">
        <f t="shared" si="638"/>
        <v>1</v>
      </c>
      <c r="GN1354" s="101">
        <f t="shared" si="639"/>
        <v>30</v>
      </c>
      <c r="GO1354" s="101">
        <f t="shared" si="640"/>
        <v>4.6800000000000001E-2</v>
      </c>
      <c r="GP1354" s="101">
        <f t="shared" si="641"/>
        <v>1</v>
      </c>
      <c r="GQ1354" s="101">
        <f t="shared" si="642"/>
        <v>64</v>
      </c>
    </row>
    <row r="1355" spans="175:199" ht="16.5" x14ac:dyDescent="0.2">
      <c r="FS1355" s="101">
        <v>1350</v>
      </c>
      <c r="FT1355" s="101">
        <f t="shared" si="627"/>
        <v>63</v>
      </c>
      <c r="FU1355" s="101">
        <f t="shared" si="643"/>
        <v>17</v>
      </c>
      <c r="FV1355" s="14">
        <f t="shared" si="644"/>
        <v>3</v>
      </c>
      <c r="FW1355" s="101" t="str">
        <f t="shared" si="628"/>
        <v>朱仙专属武器-魂珠-7 9级</v>
      </c>
      <c r="FX1355" s="101">
        <f t="shared" si="629"/>
        <v>7</v>
      </c>
      <c r="FY1355" s="101">
        <f t="shared" si="630"/>
        <v>9</v>
      </c>
      <c r="FZ1355" s="101" t="str">
        <f t="shared" si="645"/>
        <v>金币</v>
      </c>
      <c r="GA1355" s="139">
        <f>IF($FY1355&gt;0,IF(INDEX($EM$6:$EM$77,$FT1355)&gt;=GA$3,ROUND(INDEX(EO$6:EO$77,$FT1355)*INDEX(卡牌消耗!$B$8:$F$8,FV1355)/5,0)*5,""),"")</f>
        <v>20540</v>
      </c>
      <c r="GB1355" s="101" t="str">
        <f t="shared" si="646"/>
        <v>专属强化石3</v>
      </c>
      <c r="GC1355" s="101">
        <f t="shared" si="647"/>
        <v>30</v>
      </c>
      <c r="GD1355" s="101" t="str">
        <f t="shared" si="648"/>
        <v>专属强化石4</v>
      </c>
      <c r="GE1355" s="101">
        <f t="shared" si="649"/>
        <v>10</v>
      </c>
      <c r="GF1355" s="101">
        <f t="shared" si="631"/>
        <v>0.02</v>
      </c>
      <c r="GG1355" s="101">
        <f t="shared" si="632"/>
        <v>1</v>
      </c>
      <c r="GH1355" s="101">
        <f t="shared" si="633"/>
        <v>83</v>
      </c>
      <c r="GI1355" s="101">
        <f t="shared" si="634"/>
        <v>0</v>
      </c>
      <c r="GJ1355" s="101">
        <f t="shared" si="635"/>
        <v>1</v>
      </c>
      <c r="GK1355" s="101">
        <f t="shared" si="636"/>
        <v>19</v>
      </c>
      <c r="GL1355" s="101">
        <f t="shared" si="637"/>
        <v>8.9999999999999993E-3</v>
      </c>
      <c r="GM1355" s="101">
        <f t="shared" si="638"/>
        <v>1</v>
      </c>
      <c r="GN1355" s="101">
        <f t="shared" si="639"/>
        <v>39</v>
      </c>
      <c r="GO1355" s="101">
        <f t="shared" si="640"/>
        <v>3.6200000000000003E-2</v>
      </c>
      <c r="GP1355" s="101">
        <f t="shared" si="641"/>
        <v>1</v>
      </c>
      <c r="GQ1355" s="101">
        <f t="shared" si="642"/>
        <v>83</v>
      </c>
    </row>
    <row r="1356" spans="175:199" ht="16.5" x14ac:dyDescent="0.2">
      <c r="FS1356" s="101">
        <v>1351</v>
      </c>
      <c r="FT1356" s="101">
        <f t="shared" si="627"/>
        <v>0</v>
      </c>
      <c r="FU1356" s="101">
        <f t="shared" si="643"/>
        <v>17</v>
      </c>
      <c r="FV1356" s="14">
        <f t="shared" si="644"/>
        <v>3</v>
      </c>
      <c r="FW1356" s="101" t="str">
        <f t="shared" si="628"/>
        <v>朱仙专属武器-魂珠-8 0级</v>
      </c>
      <c r="FX1356" s="101">
        <f t="shared" si="629"/>
        <v>8</v>
      </c>
      <c r="FY1356" s="101">
        <f t="shared" si="630"/>
        <v>0</v>
      </c>
      <c r="FZ1356" s="101" t="str">
        <f t="shared" si="645"/>
        <v/>
      </c>
      <c r="GA1356" s="139" t="str">
        <f>IF($FY1356&gt;0,IF(INDEX($EM$6:$EM$77,$FT1356)&gt;=GA$3,ROUND(INDEX(EO$6:EO$77,$FT1356)*INDEX(卡牌消耗!$B$8:$F$8,FV1356)/5,0)*5,""),"")</f>
        <v/>
      </c>
      <c r="GB1356" s="101" t="str">
        <f t="shared" si="646"/>
        <v/>
      </c>
      <c r="GC1356" s="101" t="str">
        <f t="shared" si="647"/>
        <v/>
      </c>
      <c r="GD1356" s="101" t="str">
        <f t="shared" si="648"/>
        <v/>
      </c>
      <c r="GE1356" s="101" t="str">
        <f t="shared" si="649"/>
        <v/>
      </c>
      <c r="GF1356" s="101" t="str">
        <f t="shared" si="631"/>
        <v/>
      </c>
      <c r="GG1356" s="101" t="str">
        <f t="shared" si="632"/>
        <v/>
      </c>
      <c r="GH1356" s="101" t="str">
        <f t="shared" si="633"/>
        <v/>
      </c>
      <c r="GI1356" s="101" t="str">
        <f t="shared" si="634"/>
        <v/>
      </c>
      <c r="GJ1356" s="101" t="str">
        <f t="shared" si="635"/>
        <v/>
      </c>
      <c r="GK1356" s="101" t="str">
        <f t="shared" si="636"/>
        <v/>
      </c>
      <c r="GL1356" s="101" t="str">
        <f t="shared" si="637"/>
        <v/>
      </c>
      <c r="GM1356" s="101" t="str">
        <f t="shared" si="638"/>
        <v/>
      </c>
      <c r="GN1356" s="101" t="str">
        <f t="shared" si="639"/>
        <v/>
      </c>
      <c r="GO1356" s="101" t="str">
        <f t="shared" si="640"/>
        <v/>
      </c>
      <c r="GP1356" s="101" t="str">
        <f t="shared" si="641"/>
        <v/>
      </c>
      <c r="GQ1356" s="101" t="str">
        <f t="shared" si="642"/>
        <v/>
      </c>
    </row>
    <row r="1357" spans="175:199" ht="16.5" x14ac:dyDescent="0.2">
      <c r="FS1357" s="101">
        <v>1352</v>
      </c>
      <c r="FT1357" s="101">
        <f t="shared" si="627"/>
        <v>64</v>
      </c>
      <c r="FU1357" s="101">
        <f t="shared" si="643"/>
        <v>17</v>
      </c>
      <c r="FV1357" s="14">
        <f t="shared" si="644"/>
        <v>3</v>
      </c>
      <c r="FW1357" s="101" t="str">
        <f t="shared" si="628"/>
        <v>朱仙专属武器-魂珠-8 1级</v>
      </c>
      <c r="FX1357" s="101">
        <f t="shared" si="629"/>
        <v>8</v>
      </c>
      <c r="FY1357" s="101">
        <f t="shared" si="630"/>
        <v>1</v>
      </c>
      <c r="FZ1357" s="101" t="str">
        <f t="shared" si="645"/>
        <v>金币</v>
      </c>
      <c r="GA1357" s="139">
        <f>IF($FY1357&gt;0,IF(INDEX($EM$6:$EM$77,$FT1357)&gt;=GA$3,ROUND(INDEX(EO$6:EO$77,$FT1357)*INDEX(卡牌消耗!$B$8:$F$8,FV1357)/5,0)*5,""),"")</f>
        <v>4325</v>
      </c>
      <c r="GB1357" s="101" t="str">
        <f t="shared" si="646"/>
        <v>专属强化石4</v>
      </c>
      <c r="GC1357" s="101">
        <f t="shared" si="647"/>
        <v>5</v>
      </c>
      <c r="GD1357" s="101" t="str">
        <f t="shared" si="648"/>
        <v/>
      </c>
      <c r="GE1357" s="101" t="str">
        <f t="shared" si="649"/>
        <v/>
      </c>
      <c r="GF1357" s="101">
        <f t="shared" si="631"/>
        <v>0.11</v>
      </c>
      <c r="GG1357" s="101">
        <f t="shared" si="632"/>
        <v>1</v>
      </c>
      <c r="GH1357" s="101">
        <f t="shared" si="633"/>
        <v>13</v>
      </c>
      <c r="GI1357" s="101">
        <f t="shared" si="634"/>
        <v>0</v>
      </c>
      <c r="GJ1357" s="101">
        <f t="shared" si="635"/>
        <v>1</v>
      </c>
      <c r="GK1357" s="101">
        <f t="shared" si="636"/>
        <v>3</v>
      </c>
      <c r="GL1357" s="101">
        <f t="shared" si="637"/>
        <v>5.6500000000000002E-2</v>
      </c>
      <c r="GM1357" s="101">
        <f t="shared" si="638"/>
        <v>1</v>
      </c>
      <c r="GN1357" s="101">
        <f t="shared" si="639"/>
        <v>6</v>
      </c>
      <c r="GO1357" s="101">
        <f t="shared" si="640"/>
        <v>0.22600000000000001</v>
      </c>
      <c r="GP1357" s="101">
        <f t="shared" si="641"/>
        <v>1</v>
      </c>
      <c r="GQ1357" s="101">
        <f t="shared" si="642"/>
        <v>13</v>
      </c>
    </row>
    <row r="1358" spans="175:199" ht="16.5" x14ac:dyDescent="0.2">
      <c r="FS1358" s="101">
        <v>1353</v>
      </c>
      <c r="FT1358" s="101">
        <f t="shared" si="627"/>
        <v>65</v>
      </c>
      <c r="FU1358" s="101">
        <f t="shared" si="643"/>
        <v>17</v>
      </c>
      <c r="FV1358" s="14">
        <f t="shared" si="644"/>
        <v>3</v>
      </c>
      <c r="FW1358" s="101" t="str">
        <f t="shared" si="628"/>
        <v>朱仙专属武器-魂珠-8 2级</v>
      </c>
      <c r="FX1358" s="101">
        <f t="shared" si="629"/>
        <v>8</v>
      </c>
      <c r="FY1358" s="101">
        <f t="shared" si="630"/>
        <v>2</v>
      </c>
      <c r="FZ1358" s="101" t="str">
        <f t="shared" si="645"/>
        <v>金币</v>
      </c>
      <c r="GA1358" s="139">
        <f>IF($FY1358&gt;0,IF(INDEX($EM$6:$EM$77,$FT1358)&gt;=GA$3,ROUND(INDEX(EO$6:EO$77,$FT1358)*INDEX(卡牌消耗!$B$8:$F$8,FV1358)/5,0)*5,""),"")</f>
        <v>5190</v>
      </c>
      <c r="GB1358" s="101" t="str">
        <f t="shared" si="646"/>
        <v>专属强化石4</v>
      </c>
      <c r="GC1358" s="101">
        <f t="shared" si="647"/>
        <v>8</v>
      </c>
      <c r="GD1358" s="101" t="str">
        <f t="shared" si="648"/>
        <v/>
      </c>
      <c r="GE1358" s="101" t="str">
        <f t="shared" si="649"/>
        <v/>
      </c>
      <c r="GF1358" s="101">
        <f t="shared" si="631"/>
        <v>0.09</v>
      </c>
      <c r="GG1358" s="101">
        <f t="shared" si="632"/>
        <v>1</v>
      </c>
      <c r="GH1358" s="101">
        <f t="shared" si="633"/>
        <v>17</v>
      </c>
      <c r="GI1358" s="101">
        <f t="shared" si="634"/>
        <v>0</v>
      </c>
      <c r="GJ1358" s="101">
        <f t="shared" si="635"/>
        <v>1</v>
      </c>
      <c r="GK1358" s="101">
        <f t="shared" si="636"/>
        <v>4</v>
      </c>
      <c r="GL1358" s="101">
        <f t="shared" si="637"/>
        <v>4.5199999999999997E-2</v>
      </c>
      <c r="GM1358" s="101">
        <f t="shared" si="638"/>
        <v>1</v>
      </c>
      <c r="GN1358" s="101">
        <f t="shared" si="639"/>
        <v>8</v>
      </c>
      <c r="GO1358" s="101">
        <f t="shared" si="640"/>
        <v>0.18079999999999999</v>
      </c>
      <c r="GP1358" s="101">
        <f t="shared" si="641"/>
        <v>1</v>
      </c>
      <c r="GQ1358" s="101">
        <f t="shared" si="642"/>
        <v>17</v>
      </c>
    </row>
    <row r="1359" spans="175:199" ht="16.5" x14ac:dyDescent="0.2">
      <c r="FS1359" s="101">
        <v>1354</v>
      </c>
      <c r="FT1359" s="101">
        <f t="shared" si="627"/>
        <v>66</v>
      </c>
      <c r="FU1359" s="101">
        <f t="shared" si="643"/>
        <v>17</v>
      </c>
      <c r="FV1359" s="14">
        <f t="shared" si="644"/>
        <v>3</v>
      </c>
      <c r="FW1359" s="101" t="str">
        <f t="shared" si="628"/>
        <v>朱仙专属武器-魂珠-8 3级</v>
      </c>
      <c r="FX1359" s="101">
        <f t="shared" si="629"/>
        <v>8</v>
      </c>
      <c r="FY1359" s="101">
        <f t="shared" si="630"/>
        <v>3</v>
      </c>
      <c r="FZ1359" s="101" t="str">
        <f t="shared" si="645"/>
        <v>金币</v>
      </c>
      <c r="GA1359" s="139">
        <f>IF($FY1359&gt;0,IF(INDEX($EM$6:$EM$77,$FT1359)&gt;=GA$3,ROUND(INDEX(EO$6:EO$77,$FT1359)*INDEX(卡牌消耗!$B$8:$F$8,FV1359)/5,0)*5,""),"")</f>
        <v>7210</v>
      </c>
      <c r="GB1359" s="101" t="str">
        <f t="shared" si="646"/>
        <v>专属强化石4</v>
      </c>
      <c r="GC1359" s="101">
        <f t="shared" si="647"/>
        <v>10</v>
      </c>
      <c r="GD1359" s="101" t="str">
        <f t="shared" si="648"/>
        <v/>
      </c>
      <c r="GE1359" s="101" t="str">
        <f t="shared" si="649"/>
        <v/>
      </c>
      <c r="GF1359" s="101">
        <f t="shared" si="631"/>
        <v>0.08</v>
      </c>
      <c r="GG1359" s="101">
        <f t="shared" si="632"/>
        <v>1</v>
      </c>
      <c r="GH1359" s="101">
        <f t="shared" si="633"/>
        <v>20</v>
      </c>
      <c r="GI1359" s="101">
        <f t="shared" si="634"/>
        <v>0</v>
      </c>
      <c r="GJ1359" s="101">
        <f t="shared" si="635"/>
        <v>1</v>
      </c>
      <c r="GK1359" s="101">
        <f t="shared" si="636"/>
        <v>5</v>
      </c>
      <c r="GL1359" s="101">
        <f t="shared" si="637"/>
        <v>3.7699999999999997E-2</v>
      </c>
      <c r="GM1359" s="101">
        <f t="shared" si="638"/>
        <v>1</v>
      </c>
      <c r="GN1359" s="101">
        <f t="shared" si="639"/>
        <v>9</v>
      </c>
      <c r="GO1359" s="101">
        <f t="shared" si="640"/>
        <v>0.1507</v>
      </c>
      <c r="GP1359" s="101">
        <f t="shared" si="641"/>
        <v>1</v>
      </c>
      <c r="GQ1359" s="101">
        <f t="shared" si="642"/>
        <v>20</v>
      </c>
    </row>
    <row r="1360" spans="175:199" ht="16.5" x14ac:dyDescent="0.2">
      <c r="FS1360" s="101">
        <v>1355</v>
      </c>
      <c r="FT1360" s="101">
        <f t="shared" si="627"/>
        <v>67</v>
      </c>
      <c r="FU1360" s="101">
        <f t="shared" si="643"/>
        <v>17</v>
      </c>
      <c r="FV1360" s="14">
        <f t="shared" si="644"/>
        <v>3</v>
      </c>
      <c r="FW1360" s="101" t="str">
        <f t="shared" si="628"/>
        <v>朱仙专属武器-魂珠-8 4级</v>
      </c>
      <c r="FX1360" s="101">
        <f t="shared" si="629"/>
        <v>8</v>
      </c>
      <c r="FY1360" s="101">
        <f t="shared" si="630"/>
        <v>4</v>
      </c>
      <c r="FZ1360" s="101" t="str">
        <f t="shared" si="645"/>
        <v>金币</v>
      </c>
      <c r="GA1360" s="139">
        <f>IF($FY1360&gt;0,IF(INDEX($EM$6:$EM$77,$FT1360)&gt;=GA$3,ROUND(INDEX(EO$6:EO$77,$FT1360)*INDEX(卡牌消耗!$B$8:$F$8,FV1360)/5,0)*5,""),"")</f>
        <v>8310</v>
      </c>
      <c r="GB1360" s="101" t="str">
        <f t="shared" si="646"/>
        <v>专属强化石4</v>
      </c>
      <c r="GC1360" s="101">
        <f t="shared" si="647"/>
        <v>12</v>
      </c>
      <c r="GD1360" s="101" t="str">
        <f t="shared" si="648"/>
        <v/>
      </c>
      <c r="GE1360" s="101" t="str">
        <f t="shared" si="649"/>
        <v/>
      </c>
      <c r="GF1360" s="101">
        <f t="shared" si="631"/>
        <v>0.05</v>
      </c>
      <c r="GG1360" s="101">
        <f t="shared" si="632"/>
        <v>1</v>
      </c>
      <c r="GH1360" s="101">
        <f t="shared" si="633"/>
        <v>28</v>
      </c>
      <c r="GI1360" s="101">
        <f t="shared" si="634"/>
        <v>0</v>
      </c>
      <c r="GJ1360" s="101">
        <f t="shared" si="635"/>
        <v>1</v>
      </c>
      <c r="GK1360" s="101">
        <f t="shared" si="636"/>
        <v>6</v>
      </c>
      <c r="GL1360" s="101">
        <f t="shared" si="637"/>
        <v>2.7099999999999999E-2</v>
      </c>
      <c r="GM1360" s="101">
        <f t="shared" si="638"/>
        <v>1</v>
      </c>
      <c r="GN1360" s="101">
        <f t="shared" si="639"/>
        <v>13</v>
      </c>
      <c r="GO1360" s="101">
        <f t="shared" si="640"/>
        <v>0.1085</v>
      </c>
      <c r="GP1360" s="101">
        <f t="shared" si="641"/>
        <v>1</v>
      </c>
      <c r="GQ1360" s="101">
        <f t="shared" si="642"/>
        <v>28</v>
      </c>
    </row>
    <row r="1361" spans="175:199" ht="16.5" x14ac:dyDescent="0.2">
      <c r="FS1361" s="101">
        <v>1356</v>
      </c>
      <c r="FT1361" s="101">
        <f t="shared" si="627"/>
        <v>68</v>
      </c>
      <c r="FU1361" s="101">
        <f t="shared" si="643"/>
        <v>17</v>
      </c>
      <c r="FV1361" s="14">
        <f t="shared" si="644"/>
        <v>3</v>
      </c>
      <c r="FW1361" s="101" t="str">
        <f t="shared" si="628"/>
        <v>朱仙专属武器-魂珠-8 5级</v>
      </c>
      <c r="FX1361" s="101">
        <f t="shared" si="629"/>
        <v>8</v>
      </c>
      <c r="FY1361" s="101">
        <f t="shared" si="630"/>
        <v>5</v>
      </c>
      <c r="FZ1361" s="101" t="str">
        <f t="shared" si="645"/>
        <v>金币</v>
      </c>
      <c r="GA1361" s="139">
        <f>IF($FY1361&gt;0,IF(INDEX($EM$6:$EM$77,$FT1361)&gt;=GA$3,ROUND(INDEX(EO$6:EO$77,$FT1361)*INDEX(卡牌消耗!$B$8:$F$8,FV1361)/5,0)*5,""),"")</f>
        <v>10545</v>
      </c>
      <c r="GB1361" s="101" t="str">
        <f t="shared" si="646"/>
        <v>专属强化石4</v>
      </c>
      <c r="GC1361" s="101">
        <f t="shared" si="647"/>
        <v>15</v>
      </c>
      <c r="GD1361" s="101" t="str">
        <f t="shared" si="648"/>
        <v/>
      </c>
      <c r="GE1361" s="101" t="str">
        <f t="shared" si="649"/>
        <v/>
      </c>
      <c r="GF1361" s="101">
        <f t="shared" si="631"/>
        <v>0.04</v>
      </c>
      <c r="GG1361" s="101">
        <f t="shared" si="632"/>
        <v>1</v>
      </c>
      <c r="GH1361" s="101">
        <f t="shared" si="633"/>
        <v>35</v>
      </c>
      <c r="GI1361" s="101">
        <f t="shared" si="634"/>
        <v>0</v>
      </c>
      <c r="GJ1361" s="101">
        <f t="shared" si="635"/>
        <v>1</v>
      </c>
      <c r="GK1361" s="101">
        <f t="shared" si="636"/>
        <v>8</v>
      </c>
      <c r="GL1361" s="101">
        <f t="shared" si="637"/>
        <v>2.12E-2</v>
      </c>
      <c r="GM1361" s="101">
        <f t="shared" si="638"/>
        <v>1</v>
      </c>
      <c r="GN1361" s="101">
        <f t="shared" si="639"/>
        <v>17</v>
      </c>
      <c r="GO1361" s="101">
        <f t="shared" si="640"/>
        <v>8.4699999999999998E-2</v>
      </c>
      <c r="GP1361" s="101">
        <f t="shared" si="641"/>
        <v>1</v>
      </c>
      <c r="GQ1361" s="101">
        <f t="shared" si="642"/>
        <v>35</v>
      </c>
    </row>
    <row r="1362" spans="175:199" ht="16.5" x14ac:dyDescent="0.2">
      <c r="FS1362" s="101">
        <v>1357</v>
      </c>
      <c r="FT1362" s="101">
        <f t="shared" si="627"/>
        <v>69</v>
      </c>
      <c r="FU1362" s="101">
        <f t="shared" si="643"/>
        <v>17</v>
      </c>
      <c r="FV1362" s="14">
        <f t="shared" si="644"/>
        <v>3</v>
      </c>
      <c r="FW1362" s="101" t="str">
        <f t="shared" si="628"/>
        <v>朱仙专属武器-魂珠-8 6级</v>
      </c>
      <c r="FX1362" s="101">
        <f t="shared" si="629"/>
        <v>8</v>
      </c>
      <c r="FY1362" s="101">
        <f t="shared" si="630"/>
        <v>6</v>
      </c>
      <c r="FZ1362" s="101" t="str">
        <f t="shared" si="645"/>
        <v>金币</v>
      </c>
      <c r="GA1362" s="139">
        <f>IF($FY1362&gt;0,IF(INDEX($EM$6:$EM$77,$FT1362)&gt;=GA$3,ROUND(INDEX(EO$6:EO$77,$FT1362)*INDEX(卡牌消耗!$B$8:$F$8,FV1362)/5,0)*5,""),"")</f>
        <v>12580</v>
      </c>
      <c r="GB1362" s="101" t="str">
        <f t="shared" si="646"/>
        <v>专属强化石4</v>
      </c>
      <c r="GC1362" s="101">
        <f t="shared" si="647"/>
        <v>18</v>
      </c>
      <c r="GD1362" s="101" t="str">
        <f t="shared" si="648"/>
        <v/>
      </c>
      <c r="GE1362" s="101" t="str">
        <f t="shared" si="649"/>
        <v/>
      </c>
      <c r="GF1362" s="101">
        <f t="shared" si="631"/>
        <v>0.03</v>
      </c>
      <c r="GG1362" s="101">
        <f t="shared" si="632"/>
        <v>1</v>
      </c>
      <c r="GH1362" s="101">
        <f t="shared" si="633"/>
        <v>48</v>
      </c>
      <c r="GI1362" s="101">
        <f t="shared" si="634"/>
        <v>0</v>
      </c>
      <c r="GJ1362" s="101">
        <f t="shared" si="635"/>
        <v>1</v>
      </c>
      <c r="GK1362" s="101">
        <f t="shared" si="636"/>
        <v>11</v>
      </c>
      <c r="GL1362" s="101">
        <f t="shared" si="637"/>
        <v>1.5599999999999999E-2</v>
      </c>
      <c r="GM1362" s="101">
        <f t="shared" si="638"/>
        <v>1</v>
      </c>
      <c r="GN1362" s="101">
        <f t="shared" si="639"/>
        <v>22</v>
      </c>
      <c r="GO1362" s="101">
        <f t="shared" si="640"/>
        <v>6.2600000000000003E-2</v>
      </c>
      <c r="GP1362" s="101">
        <f t="shared" si="641"/>
        <v>1</v>
      </c>
      <c r="GQ1362" s="101">
        <f t="shared" si="642"/>
        <v>48</v>
      </c>
    </row>
    <row r="1363" spans="175:199" ht="16.5" x14ac:dyDescent="0.2">
      <c r="FS1363" s="101">
        <v>1358</v>
      </c>
      <c r="FT1363" s="101">
        <f t="shared" si="627"/>
        <v>70</v>
      </c>
      <c r="FU1363" s="101">
        <f t="shared" si="643"/>
        <v>17</v>
      </c>
      <c r="FV1363" s="14">
        <f t="shared" si="644"/>
        <v>3</v>
      </c>
      <c r="FW1363" s="101" t="str">
        <f t="shared" si="628"/>
        <v>朱仙专属武器-魂珠-8 7级</v>
      </c>
      <c r="FX1363" s="101">
        <f t="shared" si="629"/>
        <v>8</v>
      </c>
      <c r="FY1363" s="101">
        <f t="shared" si="630"/>
        <v>7</v>
      </c>
      <c r="FZ1363" s="101" t="str">
        <f t="shared" si="645"/>
        <v>金币</v>
      </c>
      <c r="GA1363" s="139">
        <f>IF($FY1363&gt;0,IF(INDEX($EM$6:$EM$77,$FT1363)&gt;=GA$3,ROUND(INDEX(EO$6:EO$77,$FT1363)*INDEX(卡牌消耗!$B$8:$F$8,FV1363)/5,0)*5,""),"")</f>
        <v>17515</v>
      </c>
      <c r="GB1363" s="101" t="str">
        <f t="shared" si="646"/>
        <v>专属强化石4</v>
      </c>
      <c r="GC1363" s="101">
        <f t="shared" si="647"/>
        <v>25</v>
      </c>
      <c r="GD1363" s="101" t="str">
        <f t="shared" si="648"/>
        <v/>
      </c>
      <c r="GE1363" s="101" t="str">
        <f t="shared" si="649"/>
        <v/>
      </c>
      <c r="GF1363" s="101">
        <f t="shared" si="631"/>
        <v>0.03</v>
      </c>
      <c r="GG1363" s="101">
        <f t="shared" si="632"/>
        <v>1</v>
      </c>
      <c r="GH1363" s="101">
        <f t="shared" si="633"/>
        <v>56</v>
      </c>
      <c r="GI1363" s="101">
        <f t="shared" si="634"/>
        <v>0</v>
      </c>
      <c r="GJ1363" s="101">
        <f t="shared" si="635"/>
        <v>1</v>
      </c>
      <c r="GK1363" s="101">
        <f t="shared" si="636"/>
        <v>13</v>
      </c>
      <c r="GL1363" s="101">
        <f t="shared" si="637"/>
        <v>1.35E-2</v>
      </c>
      <c r="GM1363" s="101">
        <f t="shared" si="638"/>
        <v>1</v>
      </c>
      <c r="GN1363" s="101">
        <f t="shared" si="639"/>
        <v>26</v>
      </c>
      <c r="GO1363" s="101">
        <f t="shared" si="640"/>
        <v>5.3800000000000001E-2</v>
      </c>
      <c r="GP1363" s="101">
        <f t="shared" si="641"/>
        <v>1</v>
      </c>
      <c r="GQ1363" s="101">
        <f t="shared" si="642"/>
        <v>56</v>
      </c>
    </row>
    <row r="1364" spans="175:199" ht="16.5" x14ac:dyDescent="0.2">
      <c r="FS1364" s="101">
        <v>1359</v>
      </c>
      <c r="FT1364" s="101">
        <f t="shared" si="627"/>
        <v>71</v>
      </c>
      <c r="FU1364" s="101">
        <f t="shared" si="643"/>
        <v>17</v>
      </c>
      <c r="FV1364" s="14">
        <f t="shared" si="644"/>
        <v>3</v>
      </c>
      <c r="FW1364" s="101" t="str">
        <f t="shared" si="628"/>
        <v>朱仙专属武器-魂珠-8 8级</v>
      </c>
      <c r="FX1364" s="101">
        <f t="shared" si="629"/>
        <v>8</v>
      </c>
      <c r="FY1364" s="101">
        <f t="shared" si="630"/>
        <v>8</v>
      </c>
      <c r="FZ1364" s="101" t="str">
        <f t="shared" si="645"/>
        <v>金币</v>
      </c>
      <c r="GA1364" s="139">
        <f>IF($FY1364&gt;0,IF(INDEX($EM$6:$EM$77,$FT1364)&gt;=GA$3,ROUND(INDEX(EO$6:EO$77,$FT1364)*INDEX(卡牌消耗!$B$8:$F$8,FV1364)/5,0)*5,""),"")</f>
        <v>21000</v>
      </c>
      <c r="GB1364" s="101" t="str">
        <f t="shared" si="646"/>
        <v>专属强化石4</v>
      </c>
      <c r="GC1364" s="101">
        <f t="shared" si="647"/>
        <v>30</v>
      </c>
      <c r="GD1364" s="101" t="str">
        <f t="shared" si="648"/>
        <v/>
      </c>
      <c r="GE1364" s="101" t="str">
        <f t="shared" si="649"/>
        <v/>
      </c>
      <c r="GF1364" s="101">
        <f t="shared" si="631"/>
        <v>0.02</v>
      </c>
      <c r="GG1364" s="101">
        <f t="shared" si="632"/>
        <v>1</v>
      </c>
      <c r="GH1364" s="101">
        <f t="shared" si="633"/>
        <v>75</v>
      </c>
      <c r="GI1364" s="101">
        <f t="shared" si="634"/>
        <v>0</v>
      </c>
      <c r="GJ1364" s="101">
        <f t="shared" si="635"/>
        <v>1</v>
      </c>
      <c r="GK1364" s="101">
        <f t="shared" si="636"/>
        <v>18</v>
      </c>
      <c r="GL1364" s="101">
        <f t="shared" si="637"/>
        <v>0.01</v>
      </c>
      <c r="GM1364" s="101">
        <f t="shared" si="638"/>
        <v>1</v>
      </c>
      <c r="GN1364" s="101">
        <f t="shared" si="639"/>
        <v>35</v>
      </c>
      <c r="GO1364" s="101">
        <f t="shared" si="640"/>
        <v>3.9899999999999998E-2</v>
      </c>
      <c r="GP1364" s="101">
        <f t="shared" si="641"/>
        <v>1</v>
      </c>
      <c r="GQ1364" s="101">
        <f t="shared" si="642"/>
        <v>75</v>
      </c>
    </row>
    <row r="1365" spans="175:199" ht="16.5" x14ac:dyDescent="0.2">
      <c r="FS1365" s="101">
        <v>1360</v>
      </c>
      <c r="FT1365" s="101">
        <f t="shared" si="627"/>
        <v>72</v>
      </c>
      <c r="FU1365" s="101">
        <f t="shared" si="643"/>
        <v>17</v>
      </c>
      <c r="FV1365" s="14">
        <f t="shared" si="644"/>
        <v>3</v>
      </c>
      <c r="FW1365" s="101" t="str">
        <f t="shared" si="628"/>
        <v>朱仙专属武器-魂珠-8 9级</v>
      </c>
      <c r="FX1365" s="101">
        <f t="shared" si="629"/>
        <v>8</v>
      </c>
      <c r="FY1365" s="101">
        <f t="shared" si="630"/>
        <v>9</v>
      </c>
      <c r="FZ1365" s="101" t="str">
        <f t="shared" si="645"/>
        <v>金币</v>
      </c>
      <c r="GA1365" s="139">
        <f>IF($FY1365&gt;0,IF(INDEX($EM$6:$EM$77,$FT1365)&gt;=GA$3,ROUND(INDEX(EO$6:EO$77,$FT1365)*INDEX(卡牌消耗!$B$8:$F$8,FV1365)/5,0)*5,""),"")</f>
        <v>21005</v>
      </c>
      <c r="GB1365" s="101" t="str">
        <f t="shared" si="646"/>
        <v>专属强化石4</v>
      </c>
      <c r="GC1365" s="101">
        <f t="shared" si="647"/>
        <v>30</v>
      </c>
      <c r="GD1365" s="101" t="str">
        <f t="shared" si="648"/>
        <v/>
      </c>
      <c r="GE1365" s="101" t="str">
        <f t="shared" si="649"/>
        <v/>
      </c>
      <c r="GF1365" s="101">
        <f t="shared" si="631"/>
        <v>0.01</v>
      </c>
      <c r="GG1365" s="101">
        <f t="shared" si="632"/>
        <v>1</v>
      </c>
      <c r="GH1365" s="101">
        <f t="shared" si="633"/>
        <v>122</v>
      </c>
      <c r="GI1365" s="101">
        <f t="shared" si="634"/>
        <v>0</v>
      </c>
      <c r="GJ1365" s="101">
        <f t="shared" si="635"/>
        <v>1</v>
      </c>
      <c r="GK1365" s="101">
        <f t="shared" si="636"/>
        <v>28</v>
      </c>
      <c r="GL1365" s="101">
        <f t="shared" si="637"/>
        <v>6.1999999999999998E-3</v>
      </c>
      <c r="GM1365" s="101">
        <f t="shared" si="638"/>
        <v>1</v>
      </c>
      <c r="GN1365" s="101">
        <f t="shared" si="639"/>
        <v>57</v>
      </c>
      <c r="GO1365" s="101">
        <f t="shared" si="640"/>
        <v>2.47E-2</v>
      </c>
      <c r="GP1365" s="101">
        <f t="shared" si="641"/>
        <v>1</v>
      </c>
      <c r="GQ1365" s="101">
        <f t="shared" si="642"/>
        <v>122</v>
      </c>
    </row>
    <row r="1366" spans="175:199" ht="16.5" x14ac:dyDescent="0.2">
      <c r="FS1366" s="101">
        <v>1361</v>
      </c>
      <c r="FT1366" s="101">
        <f t="shared" ref="FT1366:FT1429" si="650">IF(FY1366&gt;0,(FX1366-1)*9+FY1366,0)</f>
        <v>0</v>
      </c>
      <c r="FU1366" s="101">
        <f t="shared" si="643"/>
        <v>18</v>
      </c>
      <c r="FV1366" s="14">
        <f t="shared" si="644"/>
        <v>3</v>
      </c>
      <c r="FW1366" s="101" t="str">
        <f t="shared" ref="FW1366:FW1429" si="651">INDEX($FN$6:$FN$26,FU1366)&amp;"专属武器-魂珠-"&amp;FX1366&amp;" "&amp;FY1366&amp;"级"</f>
        <v>雷震子专属武器-魂珠-1 0级</v>
      </c>
      <c r="FX1366" s="101">
        <f t="shared" ref="FX1366:FX1429" si="652">INT((FS1366-(FU1366-1)*80-1)/10)+1</f>
        <v>1</v>
      </c>
      <c r="FY1366" s="101">
        <f t="shared" ref="FY1366:FY1429" si="653">FS1366-(FU1366-1)*80-(FX1366-1)*10-1</f>
        <v>0</v>
      </c>
      <c r="FZ1366" s="101" t="str">
        <f t="shared" si="645"/>
        <v/>
      </c>
      <c r="GA1366" s="139" t="str">
        <f>IF($FY1366&gt;0,IF(INDEX($EM$6:$EM$77,$FT1366)&gt;=GA$3,ROUND(INDEX(EO$6:EO$77,$FT1366)*INDEX(卡牌消耗!$B$8:$F$8,FV1366)/5,0)*5,""),"")</f>
        <v/>
      </c>
      <c r="GB1366" s="101" t="str">
        <f t="shared" si="646"/>
        <v/>
      </c>
      <c r="GC1366" s="101" t="str">
        <f t="shared" si="647"/>
        <v/>
      </c>
      <c r="GD1366" s="101" t="str">
        <f t="shared" si="648"/>
        <v/>
      </c>
      <c r="GE1366" s="101" t="str">
        <f t="shared" si="649"/>
        <v/>
      </c>
      <c r="GF1366" s="101" t="str">
        <f t="shared" ref="GF1366:GF1429" si="654">IF($FY1366&gt;0,INDEX(ET$6:ET$77,$FT1366),"")</f>
        <v/>
      </c>
      <c r="GG1366" s="101" t="str">
        <f t="shared" ref="GG1366:GG1429" si="655">IF($FY1366&gt;0,INDEX(EU$6:EU$77,$FT1366),"")</f>
        <v/>
      </c>
      <c r="GH1366" s="101" t="str">
        <f t="shared" ref="GH1366:GH1429" si="656">IF($FY1366&gt;0,INDEX(EV$6:EV$77,$FT1366),"")</f>
        <v/>
      </c>
      <c r="GI1366" s="101" t="str">
        <f t="shared" ref="GI1366:GI1429" si="657">IF($FY1366&gt;0,INDEX(FA$6:FA$77,$FT1366),"")</f>
        <v/>
      </c>
      <c r="GJ1366" s="101" t="str">
        <f t="shared" ref="GJ1366:GJ1429" si="658">IF($FY1366&gt;0,INDEX(FB$6:FB$77,$FT1366),"")</f>
        <v/>
      </c>
      <c r="GK1366" s="101" t="str">
        <f t="shared" ref="GK1366:GK1429" si="659">IF($FY1366&gt;0,INDEX(FC$6:FC$77,$FT1366),"")</f>
        <v/>
      </c>
      <c r="GL1366" s="101" t="str">
        <f t="shared" ref="GL1366:GL1429" si="660">IF($FY1366&gt;0,INDEX(FD$6:FD$77,$FT1366),"")</f>
        <v/>
      </c>
      <c r="GM1366" s="101" t="str">
        <f t="shared" ref="GM1366:GM1429" si="661">IF($FY1366&gt;0,INDEX(FE$6:FE$77,$FT1366),"")</f>
        <v/>
      </c>
      <c r="GN1366" s="101" t="str">
        <f t="shared" ref="GN1366:GN1429" si="662">IF($FY1366&gt;0,INDEX(FF$6:FF$77,$FT1366),"")</f>
        <v/>
      </c>
      <c r="GO1366" s="101" t="str">
        <f t="shared" ref="GO1366:GO1429" si="663">IF($FY1366&gt;0,INDEX(FG$6:FG$77,$FT1366),"")</f>
        <v/>
      </c>
      <c r="GP1366" s="101" t="str">
        <f t="shared" ref="GP1366:GP1429" si="664">IF($FY1366&gt;0,INDEX(FH$6:FH$77,$FT1366),"")</f>
        <v/>
      </c>
      <c r="GQ1366" s="101" t="str">
        <f t="shared" ref="GQ1366:GQ1429" si="665">IF($FY1366&gt;0,INDEX(FI$6:FI$77,$FT1366),"")</f>
        <v/>
      </c>
    </row>
    <row r="1367" spans="175:199" ht="16.5" x14ac:dyDescent="0.2">
      <c r="FS1367" s="101">
        <v>1362</v>
      </c>
      <c r="FT1367" s="101">
        <f t="shared" si="650"/>
        <v>1</v>
      </c>
      <c r="FU1367" s="101">
        <f t="shared" si="643"/>
        <v>18</v>
      </c>
      <c r="FV1367" s="14">
        <f t="shared" si="644"/>
        <v>3</v>
      </c>
      <c r="FW1367" s="101" t="str">
        <f t="shared" si="651"/>
        <v>雷震子专属武器-魂珠-1 1级</v>
      </c>
      <c r="FX1367" s="101">
        <f t="shared" si="652"/>
        <v>1</v>
      </c>
      <c r="FY1367" s="101">
        <f t="shared" si="653"/>
        <v>1</v>
      </c>
      <c r="FZ1367" s="101" t="str">
        <f t="shared" si="645"/>
        <v>金币</v>
      </c>
      <c r="GA1367" s="139">
        <f>IF($FY1367&gt;0,IF(INDEX($EM$6:$EM$77,$FT1367)&gt;=GA$3,ROUND(INDEX(EO$6:EO$77,$FT1367)*INDEX(卡牌消耗!$B$8:$F$8,FV1367)/5,0)*5,""),"")</f>
        <v>95</v>
      </c>
      <c r="GB1367" s="101" t="str">
        <f t="shared" si="646"/>
        <v>专属强化石1</v>
      </c>
      <c r="GC1367" s="101">
        <f t="shared" si="647"/>
        <v>1</v>
      </c>
      <c r="GD1367" s="101" t="str">
        <f t="shared" si="648"/>
        <v/>
      </c>
      <c r="GE1367" s="101" t="str">
        <f t="shared" si="649"/>
        <v/>
      </c>
      <c r="GF1367" s="101">
        <f t="shared" si="654"/>
        <v>0.32</v>
      </c>
      <c r="GG1367" s="101">
        <f t="shared" si="655"/>
        <v>1</v>
      </c>
      <c r="GH1367" s="101">
        <f t="shared" si="656"/>
        <v>5</v>
      </c>
      <c r="GI1367" s="101">
        <f t="shared" si="657"/>
        <v>0</v>
      </c>
      <c r="GJ1367" s="101">
        <f t="shared" si="658"/>
        <v>1</v>
      </c>
      <c r="GK1367" s="101">
        <f t="shared" si="659"/>
        <v>1</v>
      </c>
      <c r="GL1367" s="101">
        <f t="shared" si="660"/>
        <v>0.1595</v>
      </c>
      <c r="GM1367" s="101">
        <f t="shared" si="661"/>
        <v>1</v>
      </c>
      <c r="GN1367" s="101">
        <f t="shared" si="662"/>
        <v>2</v>
      </c>
      <c r="GO1367" s="101">
        <f t="shared" si="663"/>
        <v>0.63819999999999999</v>
      </c>
      <c r="GP1367" s="101">
        <f t="shared" si="664"/>
        <v>1</v>
      </c>
      <c r="GQ1367" s="101">
        <f t="shared" si="665"/>
        <v>5</v>
      </c>
    </row>
    <row r="1368" spans="175:199" ht="16.5" x14ac:dyDescent="0.2">
      <c r="FS1368" s="101">
        <v>1363</v>
      </c>
      <c r="FT1368" s="101">
        <f t="shared" si="650"/>
        <v>2</v>
      </c>
      <c r="FU1368" s="101">
        <f t="shared" si="643"/>
        <v>18</v>
      </c>
      <c r="FV1368" s="14">
        <f t="shared" si="644"/>
        <v>3</v>
      </c>
      <c r="FW1368" s="101" t="str">
        <f t="shared" si="651"/>
        <v>雷震子专属武器-魂珠-1 2级</v>
      </c>
      <c r="FX1368" s="101">
        <f t="shared" si="652"/>
        <v>1</v>
      </c>
      <c r="FY1368" s="101">
        <f t="shared" si="653"/>
        <v>2</v>
      </c>
      <c r="FZ1368" s="101" t="str">
        <f t="shared" si="645"/>
        <v>金币</v>
      </c>
      <c r="GA1368" s="139">
        <f>IF($FY1368&gt;0,IF(INDEX($EM$6:$EM$77,$FT1368)&gt;=GA$3,ROUND(INDEX(EO$6:EO$77,$FT1368)*INDEX(卡牌消耗!$B$8:$F$8,FV1368)/5,0)*5,""),"")</f>
        <v>140</v>
      </c>
      <c r="GB1368" s="101" t="str">
        <f t="shared" si="646"/>
        <v>专属强化石1</v>
      </c>
      <c r="GC1368" s="101">
        <f t="shared" si="647"/>
        <v>2</v>
      </c>
      <c r="GD1368" s="101" t="str">
        <f t="shared" si="648"/>
        <v/>
      </c>
      <c r="GE1368" s="101" t="str">
        <f t="shared" si="649"/>
        <v/>
      </c>
      <c r="GF1368" s="101">
        <f t="shared" si="654"/>
        <v>0.32</v>
      </c>
      <c r="GG1368" s="101">
        <f t="shared" si="655"/>
        <v>1</v>
      </c>
      <c r="GH1368" s="101">
        <f t="shared" si="656"/>
        <v>5</v>
      </c>
      <c r="GI1368" s="101">
        <f t="shared" si="657"/>
        <v>0</v>
      </c>
      <c r="GJ1368" s="101">
        <f t="shared" si="658"/>
        <v>1</v>
      </c>
      <c r="GK1368" s="101">
        <f t="shared" si="659"/>
        <v>1</v>
      </c>
      <c r="GL1368" s="101">
        <f t="shared" si="660"/>
        <v>0.1595</v>
      </c>
      <c r="GM1368" s="101">
        <f t="shared" si="661"/>
        <v>1</v>
      </c>
      <c r="GN1368" s="101">
        <f t="shared" si="662"/>
        <v>2</v>
      </c>
      <c r="GO1368" s="101">
        <f t="shared" si="663"/>
        <v>0.63819999999999999</v>
      </c>
      <c r="GP1368" s="101">
        <f t="shared" si="664"/>
        <v>1</v>
      </c>
      <c r="GQ1368" s="101">
        <f t="shared" si="665"/>
        <v>5</v>
      </c>
    </row>
    <row r="1369" spans="175:199" ht="16.5" x14ac:dyDescent="0.2">
      <c r="FS1369" s="101">
        <v>1364</v>
      </c>
      <c r="FT1369" s="101">
        <f t="shared" si="650"/>
        <v>3</v>
      </c>
      <c r="FU1369" s="101">
        <f t="shared" si="643"/>
        <v>18</v>
      </c>
      <c r="FV1369" s="14">
        <f t="shared" si="644"/>
        <v>3</v>
      </c>
      <c r="FW1369" s="101" t="str">
        <f t="shared" si="651"/>
        <v>雷震子专属武器-魂珠-1 3级</v>
      </c>
      <c r="FX1369" s="101">
        <f t="shared" si="652"/>
        <v>1</v>
      </c>
      <c r="FY1369" s="101">
        <f t="shared" si="653"/>
        <v>3</v>
      </c>
      <c r="FZ1369" s="101" t="str">
        <f t="shared" si="645"/>
        <v>金币</v>
      </c>
      <c r="GA1369" s="139">
        <f>IF($FY1369&gt;0,IF(INDEX($EM$6:$EM$77,$FT1369)&gt;=GA$3,ROUND(INDEX(EO$6:EO$77,$FT1369)*INDEX(卡牌消耗!$B$8:$F$8,FV1369)/5,0)*5,""),"")</f>
        <v>235</v>
      </c>
      <c r="GB1369" s="101" t="str">
        <f t="shared" si="646"/>
        <v>专属强化石1</v>
      </c>
      <c r="GC1369" s="101">
        <f t="shared" si="647"/>
        <v>3</v>
      </c>
      <c r="GD1369" s="101" t="str">
        <f t="shared" si="648"/>
        <v/>
      </c>
      <c r="GE1369" s="101" t="str">
        <f t="shared" si="649"/>
        <v/>
      </c>
      <c r="GF1369" s="101">
        <f t="shared" si="654"/>
        <v>0.32</v>
      </c>
      <c r="GG1369" s="101">
        <f t="shared" si="655"/>
        <v>1</v>
      </c>
      <c r="GH1369" s="101">
        <f t="shared" si="656"/>
        <v>5</v>
      </c>
      <c r="GI1369" s="101">
        <f t="shared" si="657"/>
        <v>0</v>
      </c>
      <c r="GJ1369" s="101">
        <f t="shared" si="658"/>
        <v>1</v>
      </c>
      <c r="GK1369" s="101">
        <f t="shared" si="659"/>
        <v>1</v>
      </c>
      <c r="GL1369" s="101">
        <f t="shared" si="660"/>
        <v>0.1595</v>
      </c>
      <c r="GM1369" s="101">
        <f t="shared" si="661"/>
        <v>1</v>
      </c>
      <c r="GN1369" s="101">
        <f t="shared" si="662"/>
        <v>2</v>
      </c>
      <c r="GO1369" s="101">
        <f t="shared" si="663"/>
        <v>0.63819999999999999</v>
      </c>
      <c r="GP1369" s="101">
        <f t="shared" si="664"/>
        <v>1</v>
      </c>
      <c r="GQ1369" s="101">
        <f t="shared" si="665"/>
        <v>5</v>
      </c>
    </row>
    <row r="1370" spans="175:199" ht="16.5" x14ac:dyDescent="0.2">
      <c r="FS1370" s="101">
        <v>1365</v>
      </c>
      <c r="FT1370" s="101">
        <f t="shared" si="650"/>
        <v>4</v>
      </c>
      <c r="FU1370" s="101">
        <f t="shared" si="643"/>
        <v>18</v>
      </c>
      <c r="FV1370" s="14">
        <f t="shared" si="644"/>
        <v>3</v>
      </c>
      <c r="FW1370" s="101" t="str">
        <f t="shared" si="651"/>
        <v>雷震子专属武器-魂珠-1 4级</v>
      </c>
      <c r="FX1370" s="101">
        <f t="shared" si="652"/>
        <v>1</v>
      </c>
      <c r="FY1370" s="101">
        <f t="shared" si="653"/>
        <v>4</v>
      </c>
      <c r="FZ1370" s="101" t="str">
        <f t="shared" si="645"/>
        <v>金币</v>
      </c>
      <c r="GA1370" s="139">
        <f>IF($FY1370&gt;0,IF(INDEX($EM$6:$EM$77,$FT1370)&gt;=GA$3,ROUND(INDEX(EO$6:EO$77,$FT1370)*INDEX(卡牌消耗!$B$8:$F$8,FV1370)/5,0)*5,""),"")</f>
        <v>305</v>
      </c>
      <c r="GB1370" s="101" t="str">
        <f t="shared" si="646"/>
        <v>专属强化石1</v>
      </c>
      <c r="GC1370" s="101">
        <f t="shared" si="647"/>
        <v>4</v>
      </c>
      <c r="GD1370" s="101" t="str">
        <f t="shared" si="648"/>
        <v/>
      </c>
      <c r="GE1370" s="101" t="str">
        <f t="shared" si="649"/>
        <v/>
      </c>
      <c r="GF1370" s="101">
        <f t="shared" si="654"/>
        <v>0.26</v>
      </c>
      <c r="GG1370" s="101">
        <f t="shared" si="655"/>
        <v>1</v>
      </c>
      <c r="GH1370" s="101">
        <f t="shared" si="656"/>
        <v>6</v>
      </c>
      <c r="GI1370" s="101">
        <f t="shared" si="657"/>
        <v>0</v>
      </c>
      <c r="GJ1370" s="101">
        <f t="shared" si="658"/>
        <v>1</v>
      </c>
      <c r="GK1370" s="101">
        <f t="shared" si="659"/>
        <v>1</v>
      </c>
      <c r="GL1370" s="101">
        <f t="shared" si="660"/>
        <v>0.12759999999999999</v>
      </c>
      <c r="GM1370" s="101">
        <f t="shared" si="661"/>
        <v>1</v>
      </c>
      <c r="GN1370" s="101">
        <f t="shared" si="662"/>
        <v>3</v>
      </c>
      <c r="GO1370" s="101">
        <f t="shared" si="663"/>
        <v>0.51060000000000005</v>
      </c>
      <c r="GP1370" s="101">
        <f t="shared" si="664"/>
        <v>1</v>
      </c>
      <c r="GQ1370" s="101">
        <f t="shared" si="665"/>
        <v>6</v>
      </c>
    </row>
    <row r="1371" spans="175:199" ht="16.5" x14ac:dyDescent="0.2">
      <c r="FS1371" s="101">
        <v>1366</v>
      </c>
      <c r="FT1371" s="101">
        <f t="shared" si="650"/>
        <v>5</v>
      </c>
      <c r="FU1371" s="101">
        <f t="shared" si="643"/>
        <v>18</v>
      </c>
      <c r="FV1371" s="14">
        <f t="shared" si="644"/>
        <v>3</v>
      </c>
      <c r="FW1371" s="101" t="str">
        <f t="shared" si="651"/>
        <v>雷震子专属武器-魂珠-1 5级</v>
      </c>
      <c r="FX1371" s="101">
        <f t="shared" si="652"/>
        <v>1</v>
      </c>
      <c r="FY1371" s="101">
        <f t="shared" si="653"/>
        <v>5</v>
      </c>
      <c r="FZ1371" s="101" t="str">
        <f t="shared" si="645"/>
        <v>金币</v>
      </c>
      <c r="GA1371" s="139">
        <f>IF($FY1371&gt;0,IF(INDEX($EM$6:$EM$77,$FT1371)&gt;=GA$3,ROUND(INDEX(EO$6:EO$77,$FT1371)*INDEX(卡牌消耗!$B$8:$F$8,FV1371)/5,0)*5,""),"")</f>
        <v>385</v>
      </c>
      <c r="GB1371" s="101" t="str">
        <f t="shared" si="646"/>
        <v>专属强化石1</v>
      </c>
      <c r="GC1371" s="101">
        <f t="shared" si="647"/>
        <v>5</v>
      </c>
      <c r="GD1371" s="101" t="str">
        <f t="shared" si="648"/>
        <v/>
      </c>
      <c r="GE1371" s="101" t="str">
        <f t="shared" si="649"/>
        <v/>
      </c>
      <c r="GF1371" s="101">
        <f t="shared" si="654"/>
        <v>0.2</v>
      </c>
      <c r="GG1371" s="101">
        <f t="shared" si="655"/>
        <v>1</v>
      </c>
      <c r="GH1371" s="101">
        <f t="shared" si="656"/>
        <v>8</v>
      </c>
      <c r="GI1371" s="101">
        <f t="shared" si="657"/>
        <v>0</v>
      </c>
      <c r="GJ1371" s="101">
        <f t="shared" si="658"/>
        <v>1</v>
      </c>
      <c r="GK1371" s="101">
        <f t="shared" si="659"/>
        <v>2</v>
      </c>
      <c r="GL1371" s="101">
        <f t="shared" si="660"/>
        <v>9.9699999999999997E-2</v>
      </c>
      <c r="GM1371" s="101">
        <f t="shared" si="661"/>
        <v>1</v>
      </c>
      <c r="GN1371" s="101">
        <f t="shared" si="662"/>
        <v>4</v>
      </c>
      <c r="GO1371" s="101">
        <f t="shared" si="663"/>
        <v>0.39889999999999998</v>
      </c>
      <c r="GP1371" s="101">
        <f t="shared" si="664"/>
        <v>1</v>
      </c>
      <c r="GQ1371" s="101">
        <f t="shared" si="665"/>
        <v>8</v>
      </c>
    </row>
    <row r="1372" spans="175:199" ht="16.5" x14ac:dyDescent="0.2">
      <c r="FS1372" s="101">
        <v>1367</v>
      </c>
      <c r="FT1372" s="101">
        <f t="shared" si="650"/>
        <v>6</v>
      </c>
      <c r="FU1372" s="101">
        <f t="shared" si="643"/>
        <v>18</v>
      </c>
      <c r="FV1372" s="14">
        <f t="shared" si="644"/>
        <v>3</v>
      </c>
      <c r="FW1372" s="101" t="str">
        <f t="shared" si="651"/>
        <v>雷震子专属武器-魂珠-1 6级</v>
      </c>
      <c r="FX1372" s="101">
        <f t="shared" si="652"/>
        <v>1</v>
      </c>
      <c r="FY1372" s="101">
        <f t="shared" si="653"/>
        <v>6</v>
      </c>
      <c r="FZ1372" s="101" t="str">
        <f t="shared" si="645"/>
        <v>金币</v>
      </c>
      <c r="GA1372" s="139">
        <f>IF($FY1372&gt;0,IF(INDEX($EM$6:$EM$77,$FT1372)&gt;=GA$3,ROUND(INDEX(EO$6:EO$77,$FT1372)*INDEX(卡牌消耗!$B$8:$F$8,FV1372)/5,0)*5,""),"")</f>
        <v>460</v>
      </c>
      <c r="GB1372" s="101" t="str">
        <f t="shared" si="646"/>
        <v>专属强化石1</v>
      </c>
      <c r="GC1372" s="101">
        <f t="shared" si="647"/>
        <v>6</v>
      </c>
      <c r="GD1372" s="101" t="str">
        <f t="shared" si="648"/>
        <v/>
      </c>
      <c r="GE1372" s="101" t="str">
        <f t="shared" si="649"/>
        <v/>
      </c>
      <c r="GF1372" s="101">
        <f t="shared" si="654"/>
        <v>0.15</v>
      </c>
      <c r="GG1372" s="101">
        <f t="shared" si="655"/>
        <v>1</v>
      </c>
      <c r="GH1372" s="101">
        <f t="shared" si="656"/>
        <v>10</v>
      </c>
      <c r="GI1372" s="101">
        <f t="shared" si="657"/>
        <v>0</v>
      </c>
      <c r="GJ1372" s="101">
        <f t="shared" si="658"/>
        <v>1</v>
      </c>
      <c r="GK1372" s="101">
        <f t="shared" si="659"/>
        <v>2</v>
      </c>
      <c r="GL1372" s="101">
        <f t="shared" si="660"/>
        <v>7.3599999999999999E-2</v>
      </c>
      <c r="GM1372" s="101">
        <f t="shared" si="661"/>
        <v>1</v>
      </c>
      <c r="GN1372" s="101">
        <f t="shared" si="662"/>
        <v>5</v>
      </c>
      <c r="GO1372" s="101">
        <f t="shared" si="663"/>
        <v>0.29459999999999997</v>
      </c>
      <c r="GP1372" s="101">
        <f t="shared" si="664"/>
        <v>1</v>
      </c>
      <c r="GQ1372" s="101">
        <f t="shared" si="665"/>
        <v>10</v>
      </c>
    </row>
    <row r="1373" spans="175:199" ht="16.5" x14ac:dyDescent="0.2">
      <c r="FS1373" s="101">
        <v>1368</v>
      </c>
      <c r="FT1373" s="101">
        <f t="shared" si="650"/>
        <v>7</v>
      </c>
      <c r="FU1373" s="101">
        <f t="shared" si="643"/>
        <v>18</v>
      </c>
      <c r="FV1373" s="14">
        <f t="shared" si="644"/>
        <v>3</v>
      </c>
      <c r="FW1373" s="101" t="str">
        <f t="shared" si="651"/>
        <v>雷震子专属武器-魂珠-1 7级</v>
      </c>
      <c r="FX1373" s="101">
        <f t="shared" si="652"/>
        <v>1</v>
      </c>
      <c r="FY1373" s="101">
        <f t="shared" si="653"/>
        <v>7</v>
      </c>
      <c r="FZ1373" s="101" t="str">
        <f t="shared" si="645"/>
        <v>金币</v>
      </c>
      <c r="GA1373" s="139">
        <f>IF($FY1373&gt;0,IF(INDEX($EM$6:$EM$77,$FT1373)&gt;=GA$3,ROUND(INDEX(EO$6:EO$77,$FT1373)*INDEX(卡牌消耗!$B$8:$F$8,FV1373)/5,0)*5,""),"")</f>
        <v>535</v>
      </c>
      <c r="GB1373" s="101" t="str">
        <f t="shared" si="646"/>
        <v>专属强化石1</v>
      </c>
      <c r="GC1373" s="101">
        <f t="shared" si="647"/>
        <v>7</v>
      </c>
      <c r="GD1373" s="101" t="str">
        <f t="shared" si="648"/>
        <v/>
      </c>
      <c r="GE1373" s="101" t="str">
        <f t="shared" si="649"/>
        <v/>
      </c>
      <c r="GF1373" s="101">
        <f t="shared" si="654"/>
        <v>0.11</v>
      </c>
      <c r="GG1373" s="101">
        <f t="shared" si="655"/>
        <v>1</v>
      </c>
      <c r="GH1373" s="101">
        <f t="shared" si="656"/>
        <v>14</v>
      </c>
      <c r="GI1373" s="101">
        <f t="shared" si="657"/>
        <v>0</v>
      </c>
      <c r="GJ1373" s="101">
        <f t="shared" si="658"/>
        <v>1</v>
      </c>
      <c r="GK1373" s="101">
        <f t="shared" si="659"/>
        <v>3</v>
      </c>
      <c r="GL1373" s="101">
        <f t="shared" si="660"/>
        <v>5.3199999999999997E-2</v>
      </c>
      <c r="GM1373" s="101">
        <f t="shared" si="661"/>
        <v>1</v>
      </c>
      <c r="GN1373" s="101">
        <f t="shared" si="662"/>
        <v>7</v>
      </c>
      <c r="GO1373" s="101">
        <f t="shared" si="663"/>
        <v>0.2127</v>
      </c>
      <c r="GP1373" s="101">
        <f t="shared" si="664"/>
        <v>1</v>
      </c>
      <c r="GQ1373" s="101">
        <f t="shared" si="665"/>
        <v>14</v>
      </c>
    </row>
    <row r="1374" spans="175:199" ht="16.5" x14ac:dyDescent="0.2">
      <c r="FS1374" s="101">
        <v>1369</v>
      </c>
      <c r="FT1374" s="101">
        <f t="shared" si="650"/>
        <v>8</v>
      </c>
      <c r="FU1374" s="101">
        <f t="shared" si="643"/>
        <v>18</v>
      </c>
      <c r="FV1374" s="14">
        <f t="shared" si="644"/>
        <v>3</v>
      </c>
      <c r="FW1374" s="101" t="str">
        <f t="shared" si="651"/>
        <v>雷震子专属武器-魂珠-1 8级</v>
      </c>
      <c r="FX1374" s="101">
        <f t="shared" si="652"/>
        <v>1</v>
      </c>
      <c r="FY1374" s="101">
        <f t="shared" si="653"/>
        <v>8</v>
      </c>
      <c r="FZ1374" s="101" t="str">
        <f t="shared" si="645"/>
        <v>金币</v>
      </c>
      <c r="GA1374" s="139">
        <f>IF($FY1374&gt;0,IF(INDEX($EM$6:$EM$77,$FT1374)&gt;=GA$3,ROUND(INDEX(EO$6:EO$77,$FT1374)*INDEX(卡牌消耗!$B$8:$F$8,FV1374)/5,0)*5,""),"")</f>
        <v>615</v>
      </c>
      <c r="GB1374" s="101" t="str">
        <f t="shared" si="646"/>
        <v>专属强化石1</v>
      </c>
      <c r="GC1374" s="101">
        <f t="shared" si="647"/>
        <v>8</v>
      </c>
      <c r="GD1374" s="101" t="str">
        <f t="shared" si="648"/>
        <v/>
      </c>
      <c r="GE1374" s="101" t="str">
        <f t="shared" si="649"/>
        <v/>
      </c>
      <c r="GF1374" s="101">
        <f t="shared" si="654"/>
        <v>0.08</v>
      </c>
      <c r="GG1374" s="101">
        <f t="shared" si="655"/>
        <v>1</v>
      </c>
      <c r="GH1374" s="101">
        <f t="shared" si="656"/>
        <v>20</v>
      </c>
      <c r="GI1374" s="101">
        <f t="shared" si="657"/>
        <v>0</v>
      </c>
      <c r="GJ1374" s="101">
        <f t="shared" si="658"/>
        <v>1</v>
      </c>
      <c r="GK1374" s="101">
        <f t="shared" si="659"/>
        <v>5</v>
      </c>
      <c r="GL1374" s="101">
        <f t="shared" si="660"/>
        <v>3.7499999999999999E-2</v>
      </c>
      <c r="GM1374" s="101">
        <f t="shared" si="661"/>
        <v>1</v>
      </c>
      <c r="GN1374" s="101">
        <f t="shared" si="662"/>
        <v>9</v>
      </c>
      <c r="GO1374" s="101">
        <f t="shared" si="663"/>
        <v>0.1502</v>
      </c>
      <c r="GP1374" s="101">
        <f t="shared" si="664"/>
        <v>1</v>
      </c>
      <c r="GQ1374" s="101">
        <f t="shared" si="665"/>
        <v>20</v>
      </c>
    </row>
    <row r="1375" spans="175:199" ht="16.5" x14ac:dyDescent="0.2">
      <c r="FS1375" s="101">
        <v>1370</v>
      </c>
      <c r="FT1375" s="101">
        <f t="shared" si="650"/>
        <v>9</v>
      </c>
      <c r="FU1375" s="101">
        <f t="shared" si="643"/>
        <v>18</v>
      </c>
      <c r="FV1375" s="14">
        <f t="shared" si="644"/>
        <v>3</v>
      </c>
      <c r="FW1375" s="101" t="str">
        <f t="shared" si="651"/>
        <v>雷震子专属武器-魂珠-1 9级</v>
      </c>
      <c r="FX1375" s="101">
        <f t="shared" si="652"/>
        <v>1</v>
      </c>
      <c r="FY1375" s="101">
        <f t="shared" si="653"/>
        <v>9</v>
      </c>
      <c r="FZ1375" s="101" t="str">
        <f t="shared" si="645"/>
        <v>金币</v>
      </c>
      <c r="GA1375" s="139">
        <f>IF($FY1375&gt;0,IF(INDEX($EM$6:$EM$77,$FT1375)&gt;=GA$3,ROUND(INDEX(EO$6:EO$77,$FT1375)*INDEX(卡牌消耗!$B$8:$F$8,FV1375)/5,0)*5,""),"")</f>
        <v>765</v>
      </c>
      <c r="GB1375" s="101" t="str">
        <f t="shared" si="646"/>
        <v>专属强化石1</v>
      </c>
      <c r="GC1375" s="101">
        <f t="shared" si="647"/>
        <v>10</v>
      </c>
      <c r="GD1375" s="101" t="str">
        <f t="shared" si="648"/>
        <v/>
      </c>
      <c r="GE1375" s="101" t="str">
        <f t="shared" si="649"/>
        <v/>
      </c>
      <c r="GF1375" s="101">
        <f t="shared" si="654"/>
        <v>0.06</v>
      </c>
      <c r="GG1375" s="101">
        <f t="shared" si="655"/>
        <v>1</v>
      </c>
      <c r="GH1375" s="101">
        <f t="shared" si="656"/>
        <v>26</v>
      </c>
      <c r="GI1375" s="101">
        <f t="shared" si="657"/>
        <v>0</v>
      </c>
      <c r="GJ1375" s="101">
        <f t="shared" si="658"/>
        <v>1</v>
      </c>
      <c r="GK1375" s="101">
        <f t="shared" si="659"/>
        <v>6</v>
      </c>
      <c r="GL1375" s="101">
        <f t="shared" si="660"/>
        <v>2.9000000000000001E-2</v>
      </c>
      <c r="GM1375" s="101">
        <f t="shared" si="661"/>
        <v>1</v>
      </c>
      <c r="GN1375" s="101">
        <f t="shared" si="662"/>
        <v>12</v>
      </c>
      <c r="GO1375" s="101">
        <f t="shared" si="663"/>
        <v>0.11600000000000001</v>
      </c>
      <c r="GP1375" s="101">
        <f t="shared" si="664"/>
        <v>1</v>
      </c>
      <c r="GQ1375" s="101">
        <f t="shared" si="665"/>
        <v>26</v>
      </c>
    </row>
    <row r="1376" spans="175:199" ht="16.5" x14ac:dyDescent="0.2">
      <c r="FS1376" s="101">
        <v>1371</v>
      </c>
      <c r="FT1376" s="101">
        <f t="shared" si="650"/>
        <v>0</v>
      </c>
      <c r="FU1376" s="101">
        <f t="shared" si="643"/>
        <v>18</v>
      </c>
      <c r="FV1376" s="14">
        <f t="shared" si="644"/>
        <v>3</v>
      </c>
      <c r="FW1376" s="101" t="str">
        <f t="shared" si="651"/>
        <v>雷震子专属武器-魂珠-2 0级</v>
      </c>
      <c r="FX1376" s="101">
        <f t="shared" si="652"/>
        <v>2</v>
      </c>
      <c r="FY1376" s="101">
        <f t="shared" si="653"/>
        <v>0</v>
      </c>
      <c r="FZ1376" s="101" t="str">
        <f t="shared" si="645"/>
        <v/>
      </c>
      <c r="GA1376" s="139" t="str">
        <f>IF($FY1376&gt;0,IF(INDEX($EM$6:$EM$77,$FT1376)&gt;=GA$3,ROUND(INDEX(EO$6:EO$77,$FT1376)*INDEX(卡牌消耗!$B$8:$F$8,FV1376)/5,0)*5,""),"")</f>
        <v/>
      </c>
      <c r="GB1376" s="101" t="str">
        <f t="shared" si="646"/>
        <v/>
      </c>
      <c r="GC1376" s="101" t="str">
        <f t="shared" si="647"/>
        <v/>
      </c>
      <c r="GD1376" s="101" t="str">
        <f t="shared" si="648"/>
        <v/>
      </c>
      <c r="GE1376" s="101" t="str">
        <f t="shared" si="649"/>
        <v/>
      </c>
      <c r="GF1376" s="101" t="str">
        <f t="shared" si="654"/>
        <v/>
      </c>
      <c r="GG1376" s="101" t="str">
        <f t="shared" si="655"/>
        <v/>
      </c>
      <c r="GH1376" s="101" t="str">
        <f t="shared" si="656"/>
        <v/>
      </c>
      <c r="GI1376" s="101" t="str">
        <f t="shared" si="657"/>
        <v/>
      </c>
      <c r="GJ1376" s="101" t="str">
        <f t="shared" si="658"/>
        <v/>
      </c>
      <c r="GK1376" s="101" t="str">
        <f t="shared" si="659"/>
        <v/>
      </c>
      <c r="GL1376" s="101" t="str">
        <f t="shared" si="660"/>
        <v/>
      </c>
      <c r="GM1376" s="101" t="str">
        <f t="shared" si="661"/>
        <v/>
      </c>
      <c r="GN1376" s="101" t="str">
        <f t="shared" si="662"/>
        <v/>
      </c>
      <c r="GO1376" s="101" t="str">
        <f t="shared" si="663"/>
        <v/>
      </c>
      <c r="GP1376" s="101" t="str">
        <f t="shared" si="664"/>
        <v/>
      </c>
      <c r="GQ1376" s="101" t="str">
        <f t="shared" si="665"/>
        <v/>
      </c>
    </row>
    <row r="1377" spans="175:199" ht="16.5" x14ac:dyDescent="0.2">
      <c r="FS1377" s="101">
        <v>1372</v>
      </c>
      <c r="FT1377" s="101">
        <f t="shared" si="650"/>
        <v>10</v>
      </c>
      <c r="FU1377" s="101">
        <f t="shared" si="643"/>
        <v>18</v>
      </c>
      <c r="FV1377" s="14">
        <f t="shared" si="644"/>
        <v>3</v>
      </c>
      <c r="FW1377" s="101" t="str">
        <f t="shared" si="651"/>
        <v>雷震子专属武器-魂珠-2 1级</v>
      </c>
      <c r="FX1377" s="101">
        <f t="shared" si="652"/>
        <v>2</v>
      </c>
      <c r="FY1377" s="101">
        <f t="shared" si="653"/>
        <v>1</v>
      </c>
      <c r="FZ1377" s="101" t="str">
        <f t="shared" si="645"/>
        <v>金币</v>
      </c>
      <c r="GA1377" s="139">
        <f>IF($FY1377&gt;0,IF(INDEX($EM$6:$EM$77,$FT1377)&gt;=GA$3,ROUND(INDEX(EO$6:EO$77,$FT1377)*INDEX(卡牌消耗!$B$8:$F$8,FV1377)/5,0)*5,""),"")</f>
        <v>260</v>
      </c>
      <c r="GB1377" s="101" t="str">
        <f t="shared" si="646"/>
        <v>专属强化石1</v>
      </c>
      <c r="GC1377" s="101">
        <f t="shared" si="647"/>
        <v>3</v>
      </c>
      <c r="GD1377" s="101" t="str">
        <f t="shared" si="648"/>
        <v>专属强化石2</v>
      </c>
      <c r="GE1377" s="101">
        <f t="shared" si="649"/>
        <v>1</v>
      </c>
      <c r="GF1377" s="101">
        <f t="shared" si="654"/>
        <v>0.39</v>
      </c>
      <c r="GG1377" s="101">
        <f t="shared" si="655"/>
        <v>1</v>
      </c>
      <c r="GH1377" s="101">
        <f t="shared" si="656"/>
        <v>4</v>
      </c>
      <c r="GI1377" s="101">
        <f t="shared" si="657"/>
        <v>0</v>
      </c>
      <c r="GJ1377" s="101">
        <f t="shared" si="658"/>
        <v>1</v>
      </c>
      <c r="GK1377" s="101">
        <f t="shared" si="659"/>
        <v>1</v>
      </c>
      <c r="GL1377" s="101">
        <f t="shared" si="660"/>
        <v>0.19270000000000001</v>
      </c>
      <c r="GM1377" s="101">
        <f t="shared" si="661"/>
        <v>1</v>
      </c>
      <c r="GN1377" s="101">
        <f t="shared" si="662"/>
        <v>2</v>
      </c>
      <c r="GO1377" s="101">
        <f t="shared" si="663"/>
        <v>0.77070000000000005</v>
      </c>
      <c r="GP1377" s="101">
        <f t="shared" si="664"/>
        <v>1</v>
      </c>
      <c r="GQ1377" s="101">
        <f t="shared" si="665"/>
        <v>4</v>
      </c>
    </row>
    <row r="1378" spans="175:199" ht="16.5" x14ac:dyDescent="0.2">
      <c r="FS1378" s="101">
        <v>1373</v>
      </c>
      <c r="FT1378" s="101">
        <f t="shared" si="650"/>
        <v>11</v>
      </c>
      <c r="FU1378" s="101">
        <f t="shared" si="643"/>
        <v>18</v>
      </c>
      <c r="FV1378" s="14">
        <f t="shared" si="644"/>
        <v>3</v>
      </c>
      <c r="FW1378" s="101" t="str">
        <f t="shared" si="651"/>
        <v>雷震子专属武器-魂珠-2 2级</v>
      </c>
      <c r="FX1378" s="101">
        <f t="shared" si="652"/>
        <v>2</v>
      </c>
      <c r="FY1378" s="101">
        <f t="shared" si="653"/>
        <v>2</v>
      </c>
      <c r="FZ1378" s="101" t="str">
        <f t="shared" si="645"/>
        <v>金币</v>
      </c>
      <c r="GA1378" s="139">
        <f>IF($FY1378&gt;0,IF(INDEX($EM$6:$EM$77,$FT1378)&gt;=GA$3,ROUND(INDEX(EO$6:EO$77,$FT1378)*INDEX(卡牌消耗!$B$8:$F$8,FV1378)/5,0)*5,""),"")</f>
        <v>195</v>
      </c>
      <c r="GB1378" s="101" t="str">
        <f t="shared" si="646"/>
        <v>专属强化石1</v>
      </c>
      <c r="GC1378" s="101">
        <f t="shared" si="647"/>
        <v>3</v>
      </c>
      <c r="GD1378" s="101" t="str">
        <f t="shared" si="648"/>
        <v>专属强化石2</v>
      </c>
      <c r="GE1378" s="101">
        <f t="shared" si="649"/>
        <v>1</v>
      </c>
      <c r="GF1378" s="101">
        <f t="shared" si="654"/>
        <v>0.19</v>
      </c>
      <c r="GG1378" s="101">
        <f t="shared" si="655"/>
        <v>1</v>
      </c>
      <c r="GH1378" s="101">
        <f t="shared" si="656"/>
        <v>8</v>
      </c>
      <c r="GI1378" s="101">
        <f t="shared" si="657"/>
        <v>0</v>
      </c>
      <c r="GJ1378" s="101">
        <f t="shared" si="658"/>
        <v>1</v>
      </c>
      <c r="GK1378" s="101">
        <f t="shared" si="659"/>
        <v>2</v>
      </c>
      <c r="GL1378" s="101">
        <f t="shared" si="660"/>
        <v>9.6299999999999997E-2</v>
      </c>
      <c r="GM1378" s="101">
        <f t="shared" si="661"/>
        <v>1</v>
      </c>
      <c r="GN1378" s="101">
        <f t="shared" si="662"/>
        <v>4</v>
      </c>
      <c r="GO1378" s="101">
        <f t="shared" si="663"/>
        <v>0.38529999999999998</v>
      </c>
      <c r="GP1378" s="101">
        <f t="shared" si="664"/>
        <v>1</v>
      </c>
      <c r="GQ1378" s="101">
        <f t="shared" si="665"/>
        <v>8</v>
      </c>
    </row>
    <row r="1379" spans="175:199" ht="16.5" x14ac:dyDescent="0.2">
      <c r="FS1379" s="101">
        <v>1374</v>
      </c>
      <c r="FT1379" s="101">
        <f t="shared" si="650"/>
        <v>12</v>
      </c>
      <c r="FU1379" s="101">
        <f t="shared" si="643"/>
        <v>18</v>
      </c>
      <c r="FV1379" s="14">
        <f t="shared" si="644"/>
        <v>3</v>
      </c>
      <c r="FW1379" s="101" t="str">
        <f t="shared" si="651"/>
        <v>雷震子专属武器-魂珠-2 3级</v>
      </c>
      <c r="FX1379" s="101">
        <f t="shared" si="652"/>
        <v>2</v>
      </c>
      <c r="FY1379" s="101">
        <f t="shared" si="653"/>
        <v>3</v>
      </c>
      <c r="FZ1379" s="101" t="str">
        <f t="shared" si="645"/>
        <v>金币</v>
      </c>
      <c r="GA1379" s="139">
        <f>IF($FY1379&gt;0,IF(INDEX($EM$6:$EM$77,$FT1379)&gt;=GA$3,ROUND(INDEX(EO$6:EO$77,$FT1379)*INDEX(卡牌消耗!$B$8:$F$8,FV1379)/5,0)*5,""),"")</f>
        <v>435</v>
      </c>
      <c r="GB1379" s="101" t="str">
        <f t="shared" si="646"/>
        <v>专属强化石1</v>
      </c>
      <c r="GC1379" s="101">
        <f t="shared" si="647"/>
        <v>6</v>
      </c>
      <c r="GD1379" s="101" t="str">
        <f t="shared" si="648"/>
        <v>专属强化石2</v>
      </c>
      <c r="GE1379" s="101">
        <f t="shared" si="649"/>
        <v>2</v>
      </c>
      <c r="GF1379" s="101">
        <f t="shared" si="654"/>
        <v>0.26</v>
      </c>
      <c r="GG1379" s="101">
        <f t="shared" si="655"/>
        <v>1</v>
      </c>
      <c r="GH1379" s="101">
        <f t="shared" si="656"/>
        <v>6</v>
      </c>
      <c r="GI1379" s="101">
        <f t="shared" si="657"/>
        <v>0</v>
      </c>
      <c r="GJ1379" s="101">
        <f t="shared" si="658"/>
        <v>1</v>
      </c>
      <c r="GK1379" s="101">
        <f t="shared" si="659"/>
        <v>1</v>
      </c>
      <c r="GL1379" s="101">
        <f t="shared" si="660"/>
        <v>0.12839999999999999</v>
      </c>
      <c r="GM1379" s="101">
        <f t="shared" si="661"/>
        <v>1</v>
      </c>
      <c r="GN1379" s="101">
        <f t="shared" si="662"/>
        <v>3</v>
      </c>
      <c r="GO1379" s="101">
        <f t="shared" si="663"/>
        <v>0.51380000000000003</v>
      </c>
      <c r="GP1379" s="101">
        <f t="shared" si="664"/>
        <v>1</v>
      </c>
      <c r="GQ1379" s="101">
        <f t="shared" si="665"/>
        <v>6</v>
      </c>
    </row>
    <row r="1380" spans="175:199" ht="16.5" x14ac:dyDescent="0.2">
      <c r="FS1380" s="101">
        <v>1375</v>
      </c>
      <c r="FT1380" s="101">
        <f t="shared" si="650"/>
        <v>13</v>
      </c>
      <c r="FU1380" s="101">
        <f t="shared" si="643"/>
        <v>18</v>
      </c>
      <c r="FV1380" s="14">
        <f t="shared" si="644"/>
        <v>3</v>
      </c>
      <c r="FW1380" s="101" t="str">
        <f t="shared" si="651"/>
        <v>雷震子专属武器-魂珠-2 4级</v>
      </c>
      <c r="FX1380" s="101">
        <f t="shared" si="652"/>
        <v>2</v>
      </c>
      <c r="FY1380" s="101">
        <f t="shared" si="653"/>
        <v>4</v>
      </c>
      <c r="FZ1380" s="101" t="str">
        <f t="shared" si="645"/>
        <v>金币</v>
      </c>
      <c r="GA1380" s="139">
        <f>IF($FY1380&gt;0,IF(INDEX($EM$6:$EM$77,$FT1380)&gt;=GA$3,ROUND(INDEX(EO$6:EO$77,$FT1380)*INDEX(卡牌消耗!$B$8:$F$8,FV1380)/5,0)*5,""),"")</f>
        <v>420</v>
      </c>
      <c r="GB1380" s="101" t="str">
        <f t="shared" si="646"/>
        <v>专属强化石1</v>
      </c>
      <c r="GC1380" s="101">
        <f t="shared" si="647"/>
        <v>6</v>
      </c>
      <c r="GD1380" s="101" t="str">
        <f t="shared" si="648"/>
        <v>专属强化石2</v>
      </c>
      <c r="GE1380" s="101">
        <f t="shared" si="649"/>
        <v>2</v>
      </c>
      <c r="GF1380" s="101">
        <f t="shared" si="654"/>
        <v>0.15</v>
      </c>
      <c r="GG1380" s="101">
        <f t="shared" si="655"/>
        <v>1</v>
      </c>
      <c r="GH1380" s="101">
        <f t="shared" si="656"/>
        <v>10</v>
      </c>
      <c r="GI1380" s="101">
        <f t="shared" si="657"/>
        <v>0</v>
      </c>
      <c r="GJ1380" s="101">
        <f t="shared" si="658"/>
        <v>1</v>
      </c>
      <c r="GK1380" s="101">
        <f t="shared" si="659"/>
        <v>2</v>
      </c>
      <c r="GL1380" s="101">
        <f t="shared" si="660"/>
        <v>7.7100000000000002E-2</v>
      </c>
      <c r="GM1380" s="101">
        <f t="shared" si="661"/>
        <v>1</v>
      </c>
      <c r="GN1380" s="101">
        <f t="shared" si="662"/>
        <v>5</v>
      </c>
      <c r="GO1380" s="101">
        <f t="shared" si="663"/>
        <v>0.30830000000000002</v>
      </c>
      <c r="GP1380" s="101">
        <f t="shared" si="664"/>
        <v>1</v>
      </c>
      <c r="GQ1380" s="101">
        <f t="shared" si="665"/>
        <v>10</v>
      </c>
    </row>
    <row r="1381" spans="175:199" ht="16.5" x14ac:dyDescent="0.2">
      <c r="FS1381" s="101">
        <v>1376</v>
      </c>
      <c r="FT1381" s="101">
        <f t="shared" si="650"/>
        <v>14</v>
      </c>
      <c r="FU1381" s="101">
        <f t="shared" si="643"/>
        <v>18</v>
      </c>
      <c r="FV1381" s="14">
        <f t="shared" si="644"/>
        <v>3</v>
      </c>
      <c r="FW1381" s="101" t="str">
        <f t="shared" si="651"/>
        <v>雷震子专属武器-魂珠-2 5级</v>
      </c>
      <c r="FX1381" s="101">
        <f t="shared" si="652"/>
        <v>2</v>
      </c>
      <c r="FY1381" s="101">
        <f t="shared" si="653"/>
        <v>5</v>
      </c>
      <c r="FZ1381" s="101" t="str">
        <f t="shared" si="645"/>
        <v>金币</v>
      </c>
      <c r="GA1381" s="139">
        <f>IF($FY1381&gt;0,IF(INDEX($EM$6:$EM$77,$FT1381)&gt;=GA$3,ROUND(INDEX(EO$6:EO$77,$FT1381)*INDEX(卡牌消耗!$B$8:$F$8,FV1381)/5,0)*5,""),"")</f>
        <v>635</v>
      </c>
      <c r="GB1381" s="101" t="str">
        <f t="shared" si="646"/>
        <v>专属强化石1</v>
      </c>
      <c r="GC1381" s="101">
        <f t="shared" si="647"/>
        <v>9</v>
      </c>
      <c r="GD1381" s="101" t="str">
        <f t="shared" si="648"/>
        <v>专属强化石2</v>
      </c>
      <c r="GE1381" s="101">
        <f t="shared" si="649"/>
        <v>3</v>
      </c>
      <c r="GF1381" s="101">
        <f t="shared" si="654"/>
        <v>0.14000000000000001</v>
      </c>
      <c r="GG1381" s="101">
        <f t="shared" si="655"/>
        <v>1</v>
      </c>
      <c r="GH1381" s="101">
        <f t="shared" si="656"/>
        <v>10</v>
      </c>
      <c r="GI1381" s="101">
        <f t="shared" si="657"/>
        <v>0</v>
      </c>
      <c r="GJ1381" s="101">
        <f t="shared" si="658"/>
        <v>1</v>
      </c>
      <c r="GK1381" s="101">
        <f t="shared" si="659"/>
        <v>2</v>
      </c>
      <c r="GL1381" s="101">
        <f t="shared" si="660"/>
        <v>7.22E-2</v>
      </c>
      <c r="GM1381" s="101">
        <f t="shared" si="661"/>
        <v>1</v>
      </c>
      <c r="GN1381" s="101">
        <f t="shared" si="662"/>
        <v>5</v>
      </c>
      <c r="GO1381" s="101">
        <f t="shared" si="663"/>
        <v>0.28899999999999998</v>
      </c>
      <c r="GP1381" s="101">
        <f t="shared" si="664"/>
        <v>1</v>
      </c>
      <c r="GQ1381" s="101">
        <f t="shared" si="665"/>
        <v>10</v>
      </c>
    </row>
    <row r="1382" spans="175:199" ht="16.5" x14ac:dyDescent="0.2">
      <c r="FS1382" s="101">
        <v>1377</v>
      </c>
      <c r="FT1382" s="101">
        <f t="shared" si="650"/>
        <v>15</v>
      </c>
      <c r="FU1382" s="101">
        <f t="shared" si="643"/>
        <v>18</v>
      </c>
      <c r="FV1382" s="14">
        <f t="shared" si="644"/>
        <v>3</v>
      </c>
      <c r="FW1382" s="101" t="str">
        <f t="shared" si="651"/>
        <v>雷震子专属武器-魂珠-2 6级</v>
      </c>
      <c r="FX1382" s="101">
        <f t="shared" si="652"/>
        <v>2</v>
      </c>
      <c r="FY1382" s="101">
        <f t="shared" si="653"/>
        <v>6</v>
      </c>
      <c r="FZ1382" s="101" t="str">
        <f t="shared" si="645"/>
        <v>金币</v>
      </c>
      <c r="GA1382" s="139">
        <f>IF($FY1382&gt;0,IF(INDEX($EM$6:$EM$77,$FT1382)&gt;=GA$3,ROUND(INDEX(EO$6:EO$77,$FT1382)*INDEX(卡牌消耗!$B$8:$F$8,FV1382)/5,0)*5,""),"")</f>
        <v>845</v>
      </c>
      <c r="GB1382" s="101" t="str">
        <f t="shared" si="646"/>
        <v>专属强化石1</v>
      </c>
      <c r="GC1382" s="101">
        <f t="shared" si="647"/>
        <v>12</v>
      </c>
      <c r="GD1382" s="101" t="str">
        <f t="shared" si="648"/>
        <v>专属强化石2</v>
      </c>
      <c r="GE1382" s="101">
        <f t="shared" si="649"/>
        <v>4</v>
      </c>
      <c r="GF1382" s="101">
        <f t="shared" si="654"/>
        <v>0.12</v>
      </c>
      <c r="GG1382" s="101">
        <f t="shared" si="655"/>
        <v>1</v>
      </c>
      <c r="GH1382" s="101">
        <f t="shared" si="656"/>
        <v>13</v>
      </c>
      <c r="GI1382" s="101">
        <f t="shared" si="657"/>
        <v>0</v>
      </c>
      <c r="GJ1382" s="101">
        <f t="shared" si="658"/>
        <v>1</v>
      </c>
      <c r="GK1382" s="101">
        <f t="shared" si="659"/>
        <v>3</v>
      </c>
      <c r="GL1382" s="101">
        <f t="shared" si="660"/>
        <v>5.9299999999999999E-2</v>
      </c>
      <c r="GM1382" s="101">
        <f t="shared" si="661"/>
        <v>1</v>
      </c>
      <c r="GN1382" s="101">
        <f t="shared" si="662"/>
        <v>6</v>
      </c>
      <c r="GO1382" s="101">
        <f t="shared" si="663"/>
        <v>0.23710000000000001</v>
      </c>
      <c r="GP1382" s="101">
        <f t="shared" si="664"/>
        <v>1</v>
      </c>
      <c r="GQ1382" s="101">
        <f t="shared" si="665"/>
        <v>13</v>
      </c>
    </row>
    <row r="1383" spans="175:199" ht="16.5" x14ac:dyDescent="0.2">
      <c r="FS1383" s="101">
        <v>1378</v>
      </c>
      <c r="FT1383" s="101">
        <f t="shared" si="650"/>
        <v>16</v>
      </c>
      <c r="FU1383" s="101">
        <f t="shared" si="643"/>
        <v>18</v>
      </c>
      <c r="FV1383" s="14">
        <f t="shared" si="644"/>
        <v>3</v>
      </c>
      <c r="FW1383" s="101" t="str">
        <f t="shared" si="651"/>
        <v>雷震子专属武器-魂珠-2 7级</v>
      </c>
      <c r="FX1383" s="101">
        <f t="shared" si="652"/>
        <v>2</v>
      </c>
      <c r="FY1383" s="101">
        <f t="shared" si="653"/>
        <v>7</v>
      </c>
      <c r="FZ1383" s="101" t="str">
        <f t="shared" si="645"/>
        <v>金币</v>
      </c>
      <c r="GA1383" s="139">
        <f>IF($FY1383&gt;0,IF(INDEX($EM$6:$EM$77,$FT1383)&gt;=GA$3,ROUND(INDEX(EO$6:EO$77,$FT1383)*INDEX(卡牌消耗!$B$8:$F$8,FV1383)/5,0)*5,""),"")</f>
        <v>1060</v>
      </c>
      <c r="GB1383" s="101" t="str">
        <f t="shared" si="646"/>
        <v>专属强化石1</v>
      </c>
      <c r="GC1383" s="101">
        <f t="shared" si="647"/>
        <v>15</v>
      </c>
      <c r="GD1383" s="101" t="str">
        <f t="shared" si="648"/>
        <v>专属强化石2</v>
      </c>
      <c r="GE1383" s="101">
        <f t="shared" si="649"/>
        <v>5</v>
      </c>
      <c r="GF1383" s="101">
        <f t="shared" si="654"/>
        <v>0.09</v>
      </c>
      <c r="GG1383" s="101">
        <f t="shared" si="655"/>
        <v>1</v>
      </c>
      <c r="GH1383" s="101">
        <f t="shared" si="656"/>
        <v>16</v>
      </c>
      <c r="GI1383" s="101">
        <f t="shared" si="657"/>
        <v>0</v>
      </c>
      <c r="GJ1383" s="101">
        <f t="shared" si="658"/>
        <v>1</v>
      </c>
      <c r="GK1383" s="101">
        <f t="shared" si="659"/>
        <v>4</v>
      </c>
      <c r="GL1383" s="101">
        <f t="shared" si="660"/>
        <v>4.5900000000000003E-2</v>
      </c>
      <c r="GM1383" s="101">
        <f t="shared" si="661"/>
        <v>1</v>
      </c>
      <c r="GN1383" s="101">
        <f t="shared" si="662"/>
        <v>8</v>
      </c>
      <c r="GO1383" s="101">
        <f t="shared" si="663"/>
        <v>0.1835</v>
      </c>
      <c r="GP1383" s="101">
        <f t="shared" si="664"/>
        <v>1</v>
      </c>
      <c r="GQ1383" s="101">
        <f t="shared" si="665"/>
        <v>16</v>
      </c>
    </row>
    <row r="1384" spans="175:199" ht="16.5" x14ac:dyDescent="0.2">
      <c r="FS1384" s="101">
        <v>1379</v>
      </c>
      <c r="FT1384" s="101">
        <f t="shared" si="650"/>
        <v>17</v>
      </c>
      <c r="FU1384" s="101">
        <f t="shared" si="643"/>
        <v>18</v>
      </c>
      <c r="FV1384" s="14">
        <f t="shared" si="644"/>
        <v>3</v>
      </c>
      <c r="FW1384" s="101" t="str">
        <f t="shared" si="651"/>
        <v>雷震子专属武器-魂珠-2 8级</v>
      </c>
      <c r="FX1384" s="101">
        <f t="shared" si="652"/>
        <v>2</v>
      </c>
      <c r="FY1384" s="101">
        <f t="shared" si="653"/>
        <v>8</v>
      </c>
      <c r="FZ1384" s="101" t="str">
        <f t="shared" si="645"/>
        <v>金币</v>
      </c>
      <c r="GA1384" s="139">
        <f>IF($FY1384&gt;0,IF(INDEX($EM$6:$EM$77,$FT1384)&gt;=GA$3,ROUND(INDEX(EO$6:EO$77,$FT1384)*INDEX(卡牌消耗!$B$8:$F$8,FV1384)/5,0)*5,""),"")</f>
        <v>1270</v>
      </c>
      <c r="GB1384" s="101" t="str">
        <f t="shared" si="646"/>
        <v>专属强化石1</v>
      </c>
      <c r="GC1384" s="101">
        <f t="shared" si="647"/>
        <v>18</v>
      </c>
      <c r="GD1384" s="101" t="str">
        <f t="shared" si="648"/>
        <v>专属强化石2</v>
      </c>
      <c r="GE1384" s="101">
        <f t="shared" si="649"/>
        <v>6</v>
      </c>
      <c r="GF1384" s="101">
        <f t="shared" si="654"/>
        <v>7.0000000000000007E-2</v>
      </c>
      <c r="GG1384" s="101">
        <f t="shared" si="655"/>
        <v>1</v>
      </c>
      <c r="GH1384" s="101">
        <f t="shared" si="656"/>
        <v>22</v>
      </c>
      <c r="GI1384" s="101">
        <f t="shared" si="657"/>
        <v>0</v>
      </c>
      <c r="GJ1384" s="101">
        <f t="shared" si="658"/>
        <v>1</v>
      </c>
      <c r="GK1384" s="101">
        <f t="shared" si="659"/>
        <v>5</v>
      </c>
      <c r="GL1384" s="101">
        <f t="shared" si="660"/>
        <v>3.4000000000000002E-2</v>
      </c>
      <c r="GM1384" s="101">
        <f t="shared" si="661"/>
        <v>1</v>
      </c>
      <c r="GN1384" s="101">
        <f t="shared" si="662"/>
        <v>10</v>
      </c>
      <c r="GO1384" s="101">
        <f t="shared" si="663"/>
        <v>0.13600000000000001</v>
      </c>
      <c r="GP1384" s="101">
        <f t="shared" si="664"/>
        <v>1</v>
      </c>
      <c r="GQ1384" s="101">
        <f t="shared" si="665"/>
        <v>22</v>
      </c>
    </row>
    <row r="1385" spans="175:199" ht="16.5" x14ac:dyDescent="0.2">
      <c r="FS1385" s="101">
        <v>1380</v>
      </c>
      <c r="FT1385" s="101">
        <f t="shared" si="650"/>
        <v>18</v>
      </c>
      <c r="FU1385" s="101">
        <f t="shared" si="643"/>
        <v>18</v>
      </c>
      <c r="FV1385" s="14">
        <f t="shared" si="644"/>
        <v>3</v>
      </c>
      <c r="FW1385" s="101" t="str">
        <f t="shared" si="651"/>
        <v>雷震子专属武器-魂珠-2 9级</v>
      </c>
      <c r="FX1385" s="101">
        <f t="shared" si="652"/>
        <v>2</v>
      </c>
      <c r="FY1385" s="101">
        <f t="shared" si="653"/>
        <v>9</v>
      </c>
      <c r="FZ1385" s="101" t="str">
        <f t="shared" si="645"/>
        <v>金币</v>
      </c>
      <c r="GA1385" s="139">
        <f>IF($FY1385&gt;0,IF(INDEX($EM$6:$EM$77,$FT1385)&gt;=GA$3,ROUND(INDEX(EO$6:EO$77,$FT1385)*INDEX(卡牌消耗!$B$8:$F$8,FV1385)/5,0)*5,""),"")</f>
        <v>1695</v>
      </c>
      <c r="GB1385" s="101" t="str">
        <f t="shared" si="646"/>
        <v>专属强化石1</v>
      </c>
      <c r="GC1385" s="101">
        <f t="shared" si="647"/>
        <v>24</v>
      </c>
      <c r="GD1385" s="101" t="str">
        <f t="shared" si="648"/>
        <v>专属强化石2</v>
      </c>
      <c r="GE1385" s="101">
        <f t="shared" si="649"/>
        <v>8</v>
      </c>
      <c r="GF1385" s="101">
        <f t="shared" si="654"/>
        <v>0.06</v>
      </c>
      <c r="GG1385" s="101">
        <f t="shared" si="655"/>
        <v>1</v>
      </c>
      <c r="GH1385" s="101">
        <f t="shared" si="656"/>
        <v>27</v>
      </c>
      <c r="GI1385" s="101">
        <f t="shared" si="657"/>
        <v>0</v>
      </c>
      <c r="GJ1385" s="101">
        <f t="shared" si="658"/>
        <v>1</v>
      </c>
      <c r="GK1385" s="101">
        <f t="shared" si="659"/>
        <v>6</v>
      </c>
      <c r="GL1385" s="101">
        <f t="shared" si="660"/>
        <v>2.8000000000000001E-2</v>
      </c>
      <c r="GM1385" s="101">
        <f t="shared" si="661"/>
        <v>1</v>
      </c>
      <c r="GN1385" s="101">
        <f t="shared" si="662"/>
        <v>12</v>
      </c>
      <c r="GO1385" s="101">
        <f t="shared" si="663"/>
        <v>0.11210000000000001</v>
      </c>
      <c r="GP1385" s="101">
        <f t="shared" si="664"/>
        <v>1</v>
      </c>
      <c r="GQ1385" s="101">
        <f t="shared" si="665"/>
        <v>27</v>
      </c>
    </row>
    <row r="1386" spans="175:199" ht="16.5" x14ac:dyDescent="0.2">
      <c r="FS1386" s="101">
        <v>1381</v>
      </c>
      <c r="FT1386" s="101">
        <f t="shared" si="650"/>
        <v>0</v>
      </c>
      <c r="FU1386" s="101">
        <f t="shared" si="643"/>
        <v>18</v>
      </c>
      <c r="FV1386" s="14">
        <f t="shared" si="644"/>
        <v>3</v>
      </c>
      <c r="FW1386" s="101" t="str">
        <f t="shared" si="651"/>
        <v>雷震子专属武器-魂珠-3 0级</v>
      </c>
      <c r="FX1386" s="101">
        <f t="shared" si="652"/>
        <v>3</v>
      </c>
      <c r="FY1386" s="101">
        <f t="shared" si="653"/>
        <v>0</v>
      </c>
      <c r="FZ1386" s="101" t="str">
        <f t="shared" si="645"/>
        <v/>
      </c>
      <c r="GA1386" s="139" t="str">
        <f>IF($FY1386&gt;0,IF(INDEX($EM$6:$EM$77,$FT1386)&gt;=GA$3,ROUND(INDEX(EO$6:EO$77,$FT1386)*INDEX(卡牌消耗!$B$8:$F$8,FV1386)/5,0)*5,""),"")</f>
        <v/>
      </c>
      <c r="GB1386" s="101" t="str">
        <f t="shared" si="646"/>
        <v/>
      </c>
      <c r="GC1386" s="101" t="str">
        <f t="shared" si="647"/>
        <v/>
      </c>
      <c r="GD1386" s="101" t="str">
        <f t="shared" si="648"/>
        <v/>
      </c>
      <c r="GE1386" s="101" t="str">
        <f t="shared" si="649"/>
        <v/>
      </c>
      <c r="GF1386" s="101" t="str">
        <f t="shared" si="654"/>
        <v/>
      </c>
      <c r="GG1386" s="101" t="str">
        <f t="shared" si="655"/>
        <v/>
      </c>
      <c r="GH1386" s="101" t="str">
        <f t="shared" si="656"/>
        <v/>
      </c>
      <c r="GI1386" s="101" t="str">
        <f t="shared" si="657"/>
        <v/>
      </c>
      <c r="GJ1386" s="101" t="str">
        <f t="shared" si="658"/>
        <v/>
      </c>
      <c r="GK1386" s="101" t="str">
        <f t="shared" si="659"/>
        <v/>
      </c>
      <c r="GL1386" s="101" t="str">
        <f t="shared" si="660"/>
        <v/>
      </c>
      <c r="GM1386" s="101" t="str">
        <f t="shared" si="661"/>
        <v/>
      </c>
      <c r="GN1386" s="101" t="str">
        <f t="shared" si="662"/>
        <v/>
      </c>
      <c r="GO1386" s="101" t="str">
        <f t="shared" si="663"/>
        <v/>
      </c>
      <c r="GP1386" s="101" t="str">
        <f t="shared" si="664"/>
        <v/>
      </c>
      <c r="GQ1386" s="101" t="str">
        <f t="shared" si="665"/>
        <v/>
      </c>
    </row>
    <row r="1387" spans="175:199" ht="16.5" x14ac:dyDescent="0.2">
      <c r="FS1387" s="101">
        <v>1382</v>
      </c>
      <c r="FT1387" s="101">
        <f t="shared" si="650"/>
        <v>19</v>
      </c>
      <c r="FU1387" s="101">
        <f t="shared" si="643"/>
        <v>18</v>
      </c>
      <c r="FV1387" s="14">
        <f t="shared" si="644"/>
        <v>3</v>
      </c>
      <c r="FW1387" s="101" t="str">
        <f t="shared" si="651"/>
        <v>雷震子专属武器-魂珠-3 1级</v>
      </c>
      <c r="FX1387" s="101">
        <f t="shared" si="652"/>
        <v>3</v>
      </c>
      <c r="FY1387" s="101">
        <f t="shared" si="653"/>
        <v>1</v>
      </c>
      <c r="FZ1387" s="101" t="str">
        <f t="shared" si="645"/>
        <v>金币</v>
      </c>
      <c r="GA1387" s="139">
        <f>IF($FY1387&gt;0,IF(INDEX($EM$6:$EM$77,$FT1387)&gt;=GA$3,ROUND(INDEX(EO$6:EO$77,$FT1387)*INDEX(卡牌消耗!$B$8:$F$8,FV1387)/5,0)*5,""),"")</f>
        <v>545</v>
      </c>
      <c r="GB1387" s="101" t="str">
        <f t="shared" si="646"/>
        <v>专属强化石1</v>
      </c>
      <c r="GC1387" s="101">
        <f t="shared" si="647"/>
        <v>4</v>
      </c>
      <c r="GD1387" s="101" t="str">
        <f t="shared" si="648"/>
        <v>专属强化石2</v>
      </c>
      <c r="GE1387" s="101">
        <f t="shared" si="649"/>
        <v>2</v>
      </c>
      <c r="GF1387" s="101">
        <f t="shared" si="654"/>
        <v>0.31</v>
      </c>
      <c r="GG1387" s="101">
        <f t="shared" si="655"/>
        <v>1</v>
      </c>
      <c r="GH1387" s="101">
        <f t="shared" si="656"/>
        <v>5</v>
      </c>
      <c r="GI1387" s="101">
        <f t="shared" si="657"/>
        <v>0</v>
      </c>
      <c r="GJ1387" s="101">
        <f t="shared" si="658"/>
        <v>1</v>
      </c>
      <c r="GK1387" s="101">
        <f t="shared" si="659"/>
        <v>1</v>
      </c>
      <c r="GL1387" s="101">
        <f t="shared" si="660"/>
        <v>0.15409999999999999</v>
      </c>
      <c r="GM1387" s="101">
        <f t="shared" si="661"/>
        <v>1</v>
      </c>
      <c r="GN1387" s="101">
        <f t="shared" si="662"/>
        <v>2</v>
      </c>
      <c r="GO1387" s="101">
        <f t="shared" si="663"/>
        <v>0.61650000000000005</v>
      </c>
      <c r="GP1387" s="101">
        <f t="shared" si="664"/>
        <v>1</v>
      </c>
      <c r="GQ1387" s="101">
        <f t="shared" si="665"/>
        <v>5</v>
      </c>
    </row>
    <row r="1388" spans="175:199" ht="16.5" x14ac:dyDescent="0.2">
      <c r="FS1388" s="101">
        <v>1383</v>
      </c>
      <c r="FT1388" s="101">
        <f t="shared" si="650"/>
        <v>20</v>
      </c>
      <c r="FU1388" s="101">
        <f t="shared" si="643"/>
        <v>18</v>
      </c>
      <c r="FV1388" s="14">
        <f t="shared" si="644"/>
        <v>3</v>
      </c>
      <c r="FW1388" s="101" t="str">
        <f t="shared" si="651"/>
        <v>雷震子专属武器-魂珠-3 2级</v>
      </c>
      <c r="FX1388" s="101">
        <f t="shared" si="652"/>
        <v>3</v>
      </c>
      <c r="FY1388" s="101">
        <f t="shared" si="653"/>
        <v>2</v>
      </c>
      <c r="FZ1388" s="101" t="str">
        <f t="shared" si="645"/>
        <v>金币</v>
      </c>
      <c r="GA1388" s="139">
        <f>IF($FY1388&gt;0,IF(INDEX($EM$6:$EM$77,$FT1388)&gt;=GA$3,ROUND(INDEX(EO$6:EO$77,$FT1388)*INDEX(卡牌消耗!$B$8:$F$8,FV1388)/5,0)*5,""),"")</f>
        <v>410</v>
      </c>
      <c r="GB1388" s="101" t="str">
        <f t="shared" si="646"/>
        <v>专属强化石1</v>
      </c>
      <c r="GC1388" s="101">
        <f t="shared" si="647"/>
        <v>4</v>
      </c>
      <c r="GD1388" s="101" t="str">
        <f t="shared" si="648"/>
        <v>专属强化石2</v>
      </c>
      <c r="GE1388" s="101">
        <f t="shared" si="649"/>
        <v>2</v>
      </c>
      <c r="GF1388" s="101">
        <f t="shared" si="654"/>
        <v>0.15</v>
      </c>
      <c r="GG1388" s="101">
        <f t="shared" si="655"/>
        <v>1</v>
      </c>
      <c r="GH1388" s="101">
        <f t="shared" si="656"/>
        <v>10</v>
      </c>
      <c r="GI1388" s="101">
        <f t="shared" si="657"/>
        <v>0</v>
      </c>
      <c r="GJ1388" s="101">
        <f t="shared" si="658"/>
        <v>1</v>
      </c>
      <c r="GK1388" s="101">
        <f t="shared" si="659"/>
        <v>2</v>
      </c>
      <c r="GL1388" s="101">
        <f t="shared" si="660"/>
        <v>7.7100000000000002E-2</v>
      </c>
      <c r="GM1388" s="101">
        <f t="shared" si="661"/>
        <v>1</v>
      </c>
      <c r="GN1388" s="101">
        <f t="shared" si="662"/>
        <v>5</v>
      </c>
      <c r="GO1388" s="101">
        <f t="shared" si="663"/>
        <v>0.30830000000000002</v>
      </c>
      <c r="GP1388" s="101">
        <f t="shared" si="664"/>
        <v>1</v>
      </c>
      <c r="GQ1388" s="101">
        <f t="shared" si="665"/>
        <v>10</v>
      </c>
    </row>
    <row r="1389" spans="175:199" ht="16.5" x14ac:dyDescent="0.2">
      <c r="FS1389" s="101">
        <v>1384</v>
      </c>
      <c r="FT1389" s="101">
        <f t="shared" si="650"/>
        <v>21</v>
      </c>
      <c r="FU1389" s="101">
        <f t="shared" si="643"/>
        <v>18</v>
      </c>
      <c r="FV1389" s="14">
        <f t="shared" si="644"/>
        <v>3</v>
      </c>
      <c r="FW1389" s="101" t="str">
        <f t="shared" si="651"/>
        <v>雷震子专属武器-魂珠-3 3级</v>
      </c>
      <c r="FX1389" s="101">
        <f t="shared" si="652"/>
        <v>3</v>
      </c>
      <c r="FY1389" s="101">
        <f t="shared" si="653"/>
        <v>3</v>
      </c>
      <c r="FZ1389" s="101" t="str">
        <f t="shared" si="645"/>
        <v>金币</v>
      </c>
      <c r="GA1389" s="139">
        <f>IF($FY1389&gt;0,IF(INDEX($EM$6:$EM$77,$FT1389)&gt;=GA$3,ROUND(INDEX(EO$6:EO$77,$FT1389)*INDEX(卡牌消耗!$B$8:$F$8,FV1389)/5,0)*5,""),"")</f>
        <v>680</v>
      </c>
      <c r="GB1389" s="101" t="str">
        <f t="shared" si="646"/>
        <v>专属强化石1</v>
      </c>
      <c r="GC1389" s="101">
        <f t="shared" si="647"/>
        <v>6</v>
      </c>
      <c r="GD1389" s="101" t="str">
        <f t="shared" si="648"/>
        <v>专属强化石2</v>
      </c>
      <c r="GE1389" s="101">
        <f t="shared" si="649"/>
        <v>3</v>
      </c>
      <c r="GF1389" s="101">
        <f t="shared" si="654"/>
        <v>0.15</v>
      </c>
      <c r="GG1389" s="101">
        <f t="shared" si="655"/>
        <v>1</v>
      </c>
      <c r="GH1389" s="101">
        <f t="shared" si="656"/>
        <v>10</v>
      </c>
      <c r="GI1389" s="101">
        <f t="shared" si="657"/>
        <v>0</v>
      </c>
      <c r="GJ1389" s="101">
        <f t="shared" si="658"/>
        <v>1</v>
      </c>
      <c r="GK1389" s="101">
        <f t="shared" si="659"/>
        <v>2</v>
      </c>
      <c r="GL1389" s="101">
        <f t="shared" si="660"/>
        <v>7.7100000000000002E-2</v>
      </c>
      <c r="GM1389" s="101">
        <f t="shared" si="661"/>
        <v>1</v>
      </c>
      <c r="GN1389" s="101">
        <f t="shared" si="662"/>
        <v>5</v>
      </c>
      <c r="GO1389" s="101">
        <f t="shared" si="663"/>
        <v>0.30830000000000002</v>
      </c>
      <c r="GP1389" s="101">
        <f t="shared" si="664"/>
        <v>1</v>
      </c>
      <c r="GQ1389" s="101">
        <f t="shared" si="665"/>
        <v>10</v>
      </c>
    </row>
    <row r="1390" spans="175:199" ht="16.5" x14ac:dyDescent="0.2">
      <c r="FS1390" s="101">
        <v>1385</v>
      </c>
      <c r="FT1390" s="101">
        <f t="shared" si="650"/>
        <v>22</v>
      </c>
      <c r="FU1390" s="101">
        <f t="shared" si="643"/>
        <v>18</v>
      </c>
      <c r="FV1390" s="14">
        <f t="shared" si="644"/>
        <v>3</v>
      </c>
      <c r="FW1390" s="101" t="str">
        <f t="shared" si="651"/>
        <v>雷震子专属武器-魂珠-3 4级</v>
      </c>
      <c r="FX1390" s="101">
        <f t="shared" si="652"/>
        <v>3</v>
      </c>
      <c r="FY1390" s="101">
        <f t="shared" si="653"/>
        <v>4</v>
      </c>
      <c r="FZ1390" s="101" t="str">
        <f t="shared" si="645"/>
        <v>金币</v>
      </c>
      <c r="GA1390" s="139">
        <f>IF($FY1390&gt;0,IF(INDEX($EM$6:$EM$77,$FT1390)&gt;=GA$3,ROUND(INDEX(EO$6:EO$77,$FT1390)*INDEX(卡牌消耗!$B$8:$F$8,FV1390)/5,0)*5,""),"")</f>
        <v>655</v>
      </c>
      <c r="GB1390" s="101" t="str">
        <f t="shared" si="646"/>
        <v>专属强化石1</v>
      </c>
      <c r="GC1390" s="101">
        <f t="shared" si="647"/>
        <v>6</v>
      </c>
      <c r="GD1390" s="101" t="str">
        <f t="shared" si="648"/>
        <v>专属强化石2</v>
      </c>
      <c r="GE1390" s="101">
        <f t="shared" si="649"/>
        <v>3</v>
      </c>
      <c r="GF1390" s="101">
        <f t="shared" si="654"/>
        <v>0.09</v>
      </c>
      <c r="GG1390" s="101">
        <f t="shared" si="655"/>
        <v>1</v>
      </c>
      <c r="GH1390" s="101">
        <f t="shared" si="656"/>
        <v>16</v>
      </c>
      <c r="GI1390" s="101">
        <f t="shared" si="657"/>
        <v>0</v>
      </c>
      <c r="GJ1390" s="101">
        <f t="shared" si="658"/>
        <v>1</v>
      </c>
      <c r="GK1390" s="101">
        <f t="shared" si="659"/>
        <v>4</v>
      </c>
      <c r="GL1390" s="101">
        <f t="shared" si="660"/>
        <v>4.6199999999999998E-2</v>
      </c>
      <c r="GM1390" s="101">
        <f t="shared" si="661"/>
        <v>1</v>
      </c>
      <c r="GN1390" s="101">
        <f t="shared" si="662"/>
        <v>8</v>
      </c>
      <c r="GO1390" s="101">
        <f t="shared" si="663"/>
        <v>0.185</v>
      </c>
      <c r="GP1390" s="101">
        <f t="shared" si="664"/>
        <v>1</v>
      </c>
      <c r="GQ1390" s="101">
        <f t="shared" si="665"/>
        <v>16</v>
      </c>
    </row>
    <row r="1391" spans="175:199" ht="16.5" x14ac:dyDescent="0.2">
      <c r="FS1391" s="101">
        <v>1386</v>
      </c>
      <c r="FT1391" s="101">
        <f t="shared" si="650"/>
        <v>23</v>
      </c>
      <c r="FU1391" s="101">
        <f t="shared" si="643"/>
        <v>18</v>
      </c>
      <c r="FV1391" s="14">
        <f t="shared" si="644"/>
        <v>3</v>
      </c>
      <c r="FW1391" s="101" t="str">
        <f t="shared" si="651"/>
        <v>雷震子专属武器-魂珠-3 5级</v>
      </c>
      <c r="FX1391" s="101">
        <f t="shared" si="652"/>
        <v>3</v>
      </c>
      <c r="FY1391" s="101">
        <f t="shared" si="653"/>
        <v>5</v>
      </c>
      <c r="FZ1391" s="101" t="str">
        <f t="shared" si="645"/>
        <v>金币</v>
      </c>
      <c r="GA1391" s="139">
        <f>IF($FY1391&gt;0,IF(INDEX($EM$6:$EM$77,$FT1391)&gt;=GA$3,ROUND(INDEX(EO$6:EO$77,$FT1391)*INDEX(卡牌消耗!$B$8:$F$8,FV1391)/5,0)*5,""),"")</f>
        <v>885</v>
      </c>
      <c r="GB1391" s="101" t="str">
        <f t="shared" si="646"/>
        <v>专属强化石1</v>
      </c>
      <c r="GC1391" s="101">
        <f t="shared" si="647"/>
        <v>8</v>
      </c>
      <c r="GD1391" s="101" t="str">
        <f t="shared" si="648"/>
        <v>专属强化石2</v>
      </c>
      <c r="GE1391" s="101">
        <f t="shared" si="649"/>
        <v>4</v>
      </c>
      <c r="GF1391" s="101">
        <f t="shared" si="654"/>
        <v>0.08</v>
      </c>
      <c r="GG1391" s="101">
        <f t="shared" si="655"/>
        <v>1</v>
      </c>
      <c r="GH1391" s="101">
        <f t="shared" si="656"/>
        <v>19</v>
      </c>
      <c r="GI1391" s="101">
        <f t="shared" si="657"/>
        <v>0</v>
      </c>
      <c r="GJ1391" s="101">
        <f t="shared" si="658"/>
        <v>1</v>
      </c>
      <c r="GK1391" s="101">
        <f t="shared" si="659"/>
        <v>5</v>
      </c>
      <c r="GL1391" s="101">
        <f t="shared" si="660"/>
        <v>3.85E-2</v>
      </c>
      <c r="GM1391" s="101">
        <f t="shared" si="661"/>
        <v>1</v>
      </c>
      <c r="GN1391" s="101">
        <f t="shared" si="662"/>
        <v>9</v>
      </c>
      <c r="GO1391" s="101">
        <f t="shared" si="663"/>
        <v>0.15409999999999999</v>
      </c>
      <c r="GP1391" s="101">
        <f t="shared" si="664"/>
        <v>1</v>
      </c>
      <c r="GQ1391" s="101">
        <f t="shared" si="665"/>
        <v>19</v>
      </c>
    </row>
    <row r="1392" spans="175:199" ht="16.5" x14ac:dyDescent="0.2">
      <c r="FS1392" s="101">
        <v>1387</v>
      </c>
      <c r="FT1392" s="101">
        <f t="shared" si="650"/>
        <v>24</v>
      </c>
      <c r="FU1392" s="101">
        <f t="shared" si="643"/>
        <v>18</v>
      </c>
      <c r="FV1392" s="14">
        <f t="shared" si="644"/>
        <v>3</v>
      </c>
      <c r="FW1392" s="101" t="str">
        <f t="shared" si="651"/>
        <v>雷震子专属武器-魂珠-3 6级</v>
      </c>
      <c r="FX1392" s="101">
        <f t="shared" si="652"/>
        <v>3</v>
      </c>
      <c r="FY1392" s="101">
        <f t="shared" si="653"/>
        <v>6</v>
      </c>
      <c r="FZ1392" s="101" t="str">
        <f t="shared" si="645"/>
        <v>金币</v>
      </c>
      <c r="GA1392" s="139">
        <f>IF($FY1392&gt;0,IF(INDEX($EM$6:$EM$77,$FT1392)&gt;=GA$3,ROUND(INDEX(EO$6:EO$77,$FT1392)*INDEX(卡牌消耗!$B$8:$F$8,FV1392)/5,0)*5,""),"")</f>
        <v>1100</v>
      </c>
      <c r="GB1392" s="101" t="str">
        <f t="shared" si="646"/>
        <v>专属强化石1</v>
      </c>
      <c r="GC1392" s="101">
        <f t="shared" si="647"/>
        <v>10</v>
      </c>
      <c r="GD1392" s="101" t="str">
        <f t="shared" si="648"/>
        <v>专属强化石2</v>
      </c>
      <c r="GE1392" s="101">
        <f t="shared" si="649"/>
        <v>5</v>
      </c>
      <c r="GF1392" s="101">
        <f t="shared" si="654"/>
        <v>0.06</v>
      </c>
      <c r="GG1392" s="101">
        <f t="shared" si="655"/>
        <v>1</v>
      </c>
      <c r="GH1392" s="101">
        <f t="shared" si="656"/>
        <v>25</v>
      </c>
      <c r="GI1392" s="101">
        <f t="shared" si="657"/>
        <v>0</v>
      </c>
      <c r="GJ1392" s="101">
        <f t="shared" si="658"/>
        <v>1</v>
      </c>
      <c r="GK1392" s="101">
        <f t="shared" si="659"/>
        <v>6</v>
      </c>
      <c r="GL1392" s="101">
        <f t="shared" si="660"/>
        <v>2.9600000000000001E-2</v>
      </c>
      <c r="GM1392" s="101">
        <f t="shared" si="661"/>
        <v>1</v>
      </c>
      <c r="GN1392" s="101">
        <f t="shared" si="662"/>
        <v>12</v>
      </c>
      <c r="GO1392" s="101">
        <f t="shared" si="663"/>
        <v>0.1186</v>
      </c>
      <c r="GP1392" s="101">
        <f t="shared" si="664"/>
        <v>1</v>
      </c>
      <c r="GQ1392" s="101">
        <f t="shared" si="665"/>
        <v>25</v>
      </c>
    </row>
    <row r="1393" spans="175:199" ht="16.5" x14ac:dyDescent="0.2">
      <c r="FS1393" s="101">
        <v>1388</v>
      </c>
      <c r="FT1393" s="101">
        <f t="shared" si="650"/>
        <v>25</v>
      </c>
      <c r="FU1393" s="101">
        <f t="shared" si="643"/>
        <v>18</v>
      </c>
      <c r="FV1393" s="14">
        <f t="shared" si="644"/>
        <v>3</v>
      </c>
      <c r="FW1393" s="101" t="str">
        <f t="shared" si="651"/>
        <v>雷震子专属武器-魂珠-3 7级</v>
      </c>
      <c r="FX1393" s="101">
        <f t="shared" si="652"/>
        <v>3</v>
      </c>
      <c r="FY1393" s="101">
        <f t="shared" si="653"/>
        <v>7</v>
      </c>
      <c r="FZ1393" s="101" t="str">
        <f t="shared" si="645"/>
        <v>金币</v>
      </c>
      <c r="GA1393" s="139">
        <f>IF($FY1393&gt;0,IF(INDEX($EM$6:$EM$77,$FT1393)&gt;=GA$3,ROUND(INDEX(EO$6:EO$77,$FT1393)*INDEX(卡牌消耗!$B$8:$F$8,FV1393)/5,0)*5,""),"")</f>
        <v>1325</v>
      </c>
      <c r="GB1393" s="101" t="str">
        <f t="shared" si="646"/>
        <v>专属强化石1</v>
      </c>
      <c r="GC1393" s="101">
        <f t="shared" si="647"/>
        <v>12</v>
      </c>
      <c r="GD1393" s="101" t="str">
        <f t="shared" si="648"/>
        <v>专属强化石2</v>
      </c>
      <c r="GE1393" s="101">
        <f t="shared" si="649"/>
        <v>6</v>
      </c>
      <c r="GF1393" s="101">
        <f t="shared" si="654"/>
        <v>0.04</v>
      </c>
      <c r="GG1393" s="101">
        <f t="shared" si="655"/>
        <v>1</v>
      </c>
      <c r="GH1393" s="101">
        <f t="shared" si="656"/>
        <v>34</v>
      </c>
      <c r="GI1393" s="101">
        <f t="shared" si="657"/>
        <v>0</v>
      </c>
      <c r="GJ1393" s="101">
        <f t="shared" si="658"/>
        <v>1</v>
      </c>
      <c r="GK1393" s="101">
        <f t="shared" si="659"/>
        <v>8</v>
      </c>
      <c r="GL1393" s="101">
        <f t="shared" si="660"/>
        <v>2.1999999999999999E-2</v>
      </c>
      <c r="GM1393" s="101">
        <f t="shared" si="661"/>
        <v>1</v>
      </c>
      <c r="GN1393" s="101">
        <f t="shared" si="662"/>
        <v>16</v>
      </c>
      <c r="GO1393" s="101">
        <f t="shared" si="663"/>
        <v>8.8099999999999998E-2</v>
      </c>
      <c r="GP1393" s="101">
        <f t="shared" si="664"/>
        <v>1</v>
      </c>
      <c r="GQ1393" s="101">
        <f t="shared" si="665"/>
        <v>34</v>
      </c>
    </row>
    <row r="1394" spans="175:199" ht="16.5" x14ac:dyDescent="0.2">
      <c r="FS1394" s="101">
        <v>1389</v>
      </c>
      <c r="FT1394" s="101">
        <f t="shared" si="650"/>
        <v>26</v>
      </c>
      <c r="FU1394" s="101">
        <f t="shared" si="643"/>
        <v>18</v>
      </c>
      <c r="FV1394" s="14">
        <f t="shared" si="644"/>
        <v>3</v>
      </c>
      <c r="FW1394" s="101" t="str">
        <f t="shared" si="651"/>
        <v>雷震子专属武器-魂珠-3 8级</v>
      </c>
      <c r="FX1394" s="101">
        <f t="shared" si="652"/>
        <v>3</v>
      </c>
      <c r="FY1394" s="101">
        <f t="shared" si="653"/>
        <v>8</v>
      </c>
      <c r="FZ1394" s="101" t="str">
        <f t="shared" si="645"/>
        <v>金币</v>
      </c>
      <c r="GA1394" s="139">
        <f>IF($FY1394&gt;0,IF(INDEX($EM$6:$EM$77,$FT1394)&gt;=GA$3,ROUND(INDEX(EO$6:EO$77,$FT1394)*INDEX(卡牌消耗!$B$8:$F$8,FV1394)/5,0)*5,""),"")</f>
        <v>1765</v>
      </c>
      <c r="GB1394" s="101" t="str">
        <f t="shared" si="646"/>
        <v>专属强化石1</v>
      </c>
      <c r="GC1394" s="101">
        <f t="shared" si="647"/>
        <v>16</v>
      </c>
      <c r="GD1394" s="101" t="str">
        <f t="shared" si="648"/>
        <v>专属强化石2</v>
      </c>
      <c r="GE1394" s="101">
        <f t="shared" si="649"/>
        <v>8</v>
      </c>
      <c r="GF1394" s="101">
        <f t="shared" si="654"/>
        <v>0.04</v>
      </c>
      <c r="GG1394" s="101">
        <f t="shared" si="655"/>
        <v>1</v>
      </c>
      <c r="GH1394" s="101">
        <f t="shared" si="656"/>
        <v>41</v>
      </c>
      <c r="GI1394" s="101">
        <f t="shared" si="657"/>
        <v>0</v>
      </c>
      <c r="GJ1394" s="101">
        <f t="shared" si="658"/>
        <v>1</v>
      </c>
      <c r="GK1394" s="101">
        <f t="shared" si="659"/>
        <v>10</v>
      </c>
      <c r="GL1394" s="101">
        <f t="shared" si="660"/>
        <v>1.8100000000000002E-2</v>
      </c>
      <c r="GM1394" s="101">
        <f t="shared" si="661"/>
        <v>1</v>
      </c>
      <c r="GN1394" s="101">
        <f t="shared" si="662"/>
        <v>19</v>
      </c>
      <c r="GO1394" s="101">
        <f t="shared" si="663"/>
        <v>7.2499999999999995E-2</v>
      </c>
      <c r="GP1394" s="101">
        <f t="shared" si="664"/>
        <v>1</v>
      </c>
      <c r="GQ1394" s="101">
        <f t="shared" si="665"/>
        <v>41</v>
      </c>
    </row>
    <row r="1395" spans="175:199" ht="16.5" x14ac:dyDescent="0.2">
      <c r="FS1395" s="101">
        <v>1390</v>
      </c>
      <c r="FT1395" s="101">
        <f t="shared" si="650"/>
        <v>27</v>
      </c>
      <c r="FU1395" s="101">
        <f t="shared" si="643"/>
        <v>18</v>
      </c>
      <c r="FV1395" s="14">
        <f t="shared" si="644"/>
        <v>3</v>
      </c>
      <c r="FW1395" s="101" t="str">
        <f t="shared" si="651"/>
        <v>雷震子专属武器-魂珠-3 9级</v>
      </c>
      <c r="FX1395" s="101">
        <f t="shared" si="652"/>
        <v>3</v>
      </c>
      <c r="FY1395" s="101">
        <f t="shared" si="653"/>
        <v>9</v>
      </c>
      <c r="FZ1395" s="101" t="str">
        <f t="shared" si="645"/>
        <v>金币</v>
      </c>
      <c r="GA1395" s="139">
        <f>IF($FY1395&gt;0,IF(INDEX($EM$6:$EM$77,$FT1395)&gt;=GA$3,ROUND(INDEX(EO$6:EO$77,$FT1395)*INDEX(卡牌消耗!$B$8:$F$8,FV1395)/5,0)*5,""),"")</f>
        <v>2205</v>
      </c>
      <c r="GB1395" s="101" t="str">
        <f t="shared" si="646"/>
        <v>专属强化石1</v>
      </c>
      <c r="GC1395" s="101">
        <f t="shared" si="647"/>
        <v>20</v>
      </c>
      <c r="GD1395" s="101" t="str">
        <f t="shared" si="648"/>
        <v>专属强化石2</v>
      </c>
      <c r="GE1395" s="101">
        <f t="shared" si="649"/>
        <v>10</v>
      </c>
      <c r="GF1395" s="101">
        <f t="shared" si="654"/>
        <v>0.03</v>
      </c>
      <c r="GG1395" s="101">
        <f t="shared" si="655"/>
        <v>1</v>
      </c>
      <c r="GH1395" s="101">
        <f t="shared" si="656"/>
        <v>54</v>
      </c>
      <c r="GI1395" s="101">
        <f t="shared" si="657"/>
        <v>0</v>
      </c>
      <c r="GJ1395" s="101">
        <f t="shared" si="658"/>
        <v>1</v>
      </c>
      <c r="GK1395" s="101">
        <f t="shared" si="659"/>
        <v>12</v>
      </c>
      <c r="GL1395" s="101">
        <f t="shared" si="660"/>
        <v>1.4E-2</v>
      </c>
      <c r="GM1395" s="101">
        <f t="shared" si="661"/>
        <v>1</v>
      </c>
      <c r="GN1395" s="101">
        <f t="shared" si="662"/>
        <v>25</v>
      </c>
      <c r="GO1395" s="101">
        <f t="shared" si="663"/>
        <v>5.6000000000000001E-2</v>
      </c>
      <c r="GP1395" s="101">
        <f t="shared" si="664"/>
        <v>1</v>
      </c>
      <c r="GQ1395" s="101">
        <f t="shared" si="665"/>
        <v>54</v>
      </c>
    </row>
    <row r="1396" spans="175:199" ht="16.5" x14ac:dyDescent="0.2">
      <c r="FS1396" s="101">
        <v>1391</v>
      </c>
      <c r="FT1396" s="101">
        <f t="shared" si="650"/>
        <v>0</v>
      </c>
      <c r="FU1396" s="101">
        <f t="shared" si="643"/>
        <v>18</v>
      </c>
      <c r="FV1396" s="14">
        <f t="shared" si="644"/>
        <v>3</v>
      </c>
      <c r="FW1396" s="101" t="str">
        <f t="shared" si="651"/>
        <v>雷震子专属武器-魂珠-4 0级</v>
      </c>
      <c r="FX1396" s="101">
        <f t="shared" si="652"/>
        <v>4</v>
      </c>
      <c r="FY1396" s="101">
        <f t="shared" si="653"/>
        <v>0</v>
      </c>
      <c r="FZ1396" s="101" t="str">
        <f t="shared" si="645"/>
        <v/>
      </c>
      <c r="GA1396" s="139" t="str">
        <f>IF($FY1396&gt;0,IF(INDEX($EM$6:$EM$77,$FT1396)&gt;=GA$3,ROUND(INDEX(EO$6:EO$77,$FT1396)*INDEX(卡牌消耗!$B$8:$F$8,FV1396)/5,0)*5,""),"")</f>
        <v/>
      </c>
      <c r="GB1396" s="101" t="str">
        <f t="shared" si="646"/>
        <v/>
      </c>
      <c r="GC1396" s="101" t="str">
        <f t="shared" si="647"/>
        <v/>
      </c>
      <c r="GD1396" s="101" t="str">
        <f t="shared" si="648"/>
        <v/>
      </c>
      <c r="GE1396" s="101" t="str">
        <f t="shared" si="649"/>
        <v/>
      </c>
      <c r="GF1396" s="101" t="str">
        <f t="shared" si="654"/>
        <v/>
      </c>
      <c r="GG1396" s="101" t="str">
        <f t="shared" si="655"/>
        <v/>
      </c>
      <c r="GH1396" s="101" t="str">
        <f t="shared" si="656"/>
        <v/>
      </c>
      <c r="GI1396" s="101" t="str">
        <f t="shared" si="657"/>
        <v/>
      </c>
      <c r="GJ1396" s="101" t="str">
        <f t="shared" si="658"/>
        <v/>
      </c>
      <c r="GK1396" s="101" t="str">
        <f t="shared" si="659"/>
        <v/>
      </c>
      <c r="GL1396" s="101" t="str">
        <f t="shared" si="660"/>
        <v/>
      </c>
      <c r="GM1396" s="101" t="str">
        <f t="shared" si="661"/>
        <v/>
      </c>
      <c r="GN1396" s="101" t="str">
        <f t="shared" si="662"/>
        <v/>
      </c>
      <c r="GO1396" s="101" t="str">
        <f t="shared" si="663"/>
        <v/>
      </c>
      <c r="GP1396" s="101" t="str">
        <f t="shared" si="664"/>
        <v/>
      </c>
      <c r="GQ1396" s="101" t="str">
        <f t="shared" si="665"/>
        <v/>
      </c>
    </row>
    <row r="1397" spans="175:199" ht="16.5" x14ac:dyDescent="0.2">
      <c r="FS1397" s="101">
        <v>1392</v>
      </c>
      <c r="FT1397" s="101">
        <f t="shared" si="650"/>
        <v>28</v>
      </c>
      <c r="FU1397" s="101">
        <f t="shared" si="643"/>
        <v>18</v>
      </c>
      <c r="FV1397" s="14">
        <f t="shared" si="644"/>
        <v>3</v>
      </c>
      <c r="FW1397" s="101" t="str">
        <f t="shared" si="651"/>
        <v>雷震子专属武器-魂珠-4 1级</v>
      </c>
      <c r="FX1397" s="101">
        <f t="shared" si="652"/>
        <v>4</v>
      </c>
      <c r="FY1397" s="101">
        <f t="shared" si="653"/>
        <v>1</v>
      </c>
      <c r="FZ1397" s="101" t="str">
        <f t="shared" si="645"/>
        <v>金币</v>
      </c>
      <c r="GA1397" s="139">
        <f>IF($FY1397&gt;0,IF(INDEX($EM$6:$EM$77,$FT1397)&gt;=GA$3,ROUND(INDEX(EO$6:EO$77,$FT1397)*INDEX(卡牌消耗!$B$8:$F$8,FV1397)/5,0)*5,""),"")</f>
        <v>730</v>
      </c>
      <c r="GB1397" s="101" t="str">
        <f t="shared" si="646"/>
        <v>专属强化石2</v>
      </c>
      <c r="GC1397" s="101">
        <f t="shared" si="647"/>
        <v>3</v>
      </c>
      <c r="GD1397" s="101" t="str">
        <f t="shared" si="648"/>
        <v>专属强化石3</v>
      </c>
      <c r="GE1397" s="101">
        <f t="shared" si="649"/>
        <v>1</v>
      </c>
      <c r="GF1397" s="101">
        <f t="shared" si="654"/>
        <v>0.2</v>
      </c>
      <c r="GG1397" s="101">
        <f t="shared" si="655"/>
        <v>1</v>
      </c>
      <c r="GH1397" s="101">
        <f t="shared" si="656"/>
        <v>7</v>
      </c>
      <c r="GI1397" s="101">
        <f t="shared" si="657"/>
        <v>0</v>
      </c>
      <c r="GJ1397" s="101">
        <f t="shared" si="658"/>
        <v>1</v>
      </c>
      <c r="GK1397" s="101">
        <f t="shared" si="659"/>
        <v>2</v>
      </c>
      <c r="GL1397" s="101">
        <f t="shared" si="660"/>
        <v>0.1012</v>
      </c>
      <c r="GM1397" s="101">
        <f t="shared" si="661"/>
        <v>1</v>
      </c>
      <c r="GN1397" s="101">
        <f t="shared" si="662"/>
        <v>3</v>
      </c>
      <c r="GO1397" s="101">
        <f t="shared" si="663"/>
        <v>0.40479999999999999</v>
      </c>
      <c r="GP1397" s="101">
        <f t="shared" si="664"/>
        <v>1</v>
      </c>
      <c r="GQ1397" s="101">
        <f t="shared" si="665"/>
        <v>7</v>
      </c>
    </row>
    <row r="1398" spans="175:199" ht="16.5" x14ac:dyDescent="0.2">
      <c r="FS1398" s="101">
        <v>1393</v>
      </c>
      <c r="FT1398" s="101">
        <f t="shared" si="650"/>
        <v>29</v>
      </c>
      <c r="FU1398" s="101">
        <f t="shared" si="643"/>
        <v>18</v>
      </c>
      <c r="FV1398" s="14">
        <f t="shared" si="644"/>
        <v>3</v>
      </c>
      <c r="FW1398" s="101" t="str">
        <f t="shared" si="651"/>
        <v>雷震子专属武器-魂珠-4 2级</v>
      </c>
      <c r="FX1398" s="101">
        <f t="shared" si="652"/>
        <v>4</v>
      </c>
      <c r="FY1398" s="101">
        <f t="shared" si="653"/>
        <v>2</v>
      </c>
      <c r="FZ1398" s="101" t="str">
        <f t="shared" si="645"/>
        <v>金币</v>
      </c>
      <c r="GA1398" s="139">
        <f>IF($FY1398&gt;0,IF(INDEX($EM$6:$EM$77,$FT1398)&gt;=GA$3,ROUND(INDEX(EO$6:EO$77,$FT1398)*INDEX(卡牌消耗!$B$8:$F$8,FV1398)/5,0)*5,""),"")</f>
        <v>545</v>
      </c>
      <c r="GB1398" s="101" t="str">
        <f t="shared" si="646"/>
        <v>专属强化石2</v>
      </c>
      <c r="GC1398" s="101">
        <f t="shared" si="647"/>
        <v>3</v>
      </c>
      <c r="GD1398" s="101" t="str">
        <f t="shared" si="648"/>
        <v>专属强化石3</v>
      </c>
      <c r="GE1398" s="101">
        <f t="shared" si="649"/>
        <v>1</v>
      </c>
      <c r="GF1398" s="101">
        <f t="shared" si="654"/>
        <v>0.1</v>
      </c>
      <c r="GG1398" s="101">
        <f t="shared" si="655"/>
        <v>1</v>
      </c>
      <c r="GH1398" s="101">
        <f t="shared" si="656"/>
        <v>15</v>
      </c>
      <c r="GI1398" s="101">
        <f t="shared" si="657"/>
        <v>0</v>
      </c>
      <c r="GJ1398" s="101">
        <f t="shared" si="658"/>
        <v>1</v>
      </c>
      <c r="GK1398" s="101">
        <f t="shared" si="659"/>
        <v>3</v>
      </c>
      <c r="GL1398" s="101">
        <f t="shared" si="660"/>
        <v>5.0599999999999999E-2</v>
      </c>
      <c r="GM1398" s="101">
        <f t="shared" si="661"/>
        <v>1</v>
      </c>
      <c r="GN1398" s="101">
        <f t="shared" si="662"/>
        <v>7</v>
      </c>
      <c r="GO1398" s="101">
        <f t="shared" si="663"/>
        <v>0.2024</v>
      </c>
      <c r="GP1398" s="101">
        <f t="shared" si="664"/>
        <v>1</v>
      </c>
      <c r="GQ1398" s="101">
        <f t="shared" si="665"/>
        <v>15</v>
      </c>
    </row>
    <row r="1399" spans="175:199" ht="16.5" x14ac:dyDescent="0.2">
      <c r="FS1399" s="101">
        <v>1394</v>
      </c>
      <c r="FT1399" s="101">
        <f t="shared" si="650"/>
        <v>30</v>
      </c>
      <c r="FU1399" s="101">
        <f t="shared" si="643"/>
        <v>18</v>
      </c>
      <c r="FV1399" s="14">
        <f t="shared" si="644"/>
        <v>3</v>
      </c>
      <c r="FW1399" s="101" t="str">
        <f t="shared" si="651"/>
        <v>雷震子专属武器-魂珠-4 3级</v>
      </c>
      <c r="FX1399" s="101">
        <f t="shared" si="652"/>
        <v>4</v>
      </c>
      <c r="FY1399" s="101">
        <f t="shared" si="653"/>
        <v>3</v>
      </c>
      <c r="FZ1399" s="101" t="str">
        <f t="shared" si="645"/>
        <v>金币</v>
      </c>
      <c r="GA1399" s="139">
        <f>IF($FY1399&gt;0,IF(INDEX($EM$6:$EM$77,$FT1399)&gt;=GA$3,ROUND(INDEX(EO$6:EO$77,$FT1399)*INDEX(卡牌消耗!$B$8:$F$8,FV1399)/5,0)*5,""),"")</f>
        <v>610</v>
      </c>
      <c r="GB1399" s="101" t="str">
        <f t="shared" si="646"/>
        <v>专属强化石2</v>
      </c>
      <c r="GC1399" s="101">
        <f t="shared" si="647"/>
        <v>3</v>
      </c>
      <c r="GD1399" s="101" t="str">
        <f t="shared" si="648"/>
        <v>专属强化石3</v>
      </c>
      <c r="GE1399" s="101">
        <f t="shared" si="649"/>
        <v>1</v>
      </c>
      <c r="GF1399" s="101">
        <f t="shared" si="654"/>
        <v>7.0000000000000007E-2</v>
      </c>
      <c r="GG1399" s="101">
        <f t="shared" si="655"/>
        <v>1</v>
      </c>
      <c r="GH1399" s="101">
        <f t="shared" si="656"/>
        <v>22</v>
      </c>
      <c r="GI1399" s="101">
        <f t="shared" si="657"/>
        <v>0</v>
      </c>
      <c r="GJ1399" s="101">
        <f t="shared" si="658"/>
        <v>1</v>
      </c>
      <c r="GK1399" s="101">
        <f t="shared" si="659"/>
        <v>5</v>
      </c>
      <c r="GL1399" s="101">
        <f t="shared" si="660"/>
        <v>3.3700000000000001E-2</v>
      </c>
      <c r="GM1399" s="101">
        <f t="shared" si="661"/>
        <v>1</v>
      </c>
      <c r="GN1399" s="101">
        <f t="shared" si="662"/>
        <v>10</v>
      </c>
      <c r="GO1399" s="101">
        <f t="shared" si="663"/>
        <v>0.13489999999999999</v>
      </c>
      <c r="GP1399" s="101">
        <f t="shared" si="664"/>
        <v>1</v>
      </c>
      <c r="GQ1399" s="101">
        <f t="shared" si="665"/>
        <v>22</v>
      </c>
    </row>
    <row r="1400" spans="175:199" ht="16.5" x14ac:dyDescent="0.2">
      <c r="FS1400" s="101">
        <v>1395</v>
      </c>
      <c r="FT1400" s="101">
        <f t="shared" si="650"/>
        <v>31</v>
      </c>
      <c r="FU1400" s="101">
        <f t="shared" si="643"/>
        <v>18</v>
      </c>
      <c r="FV1400" s="14">
        <f t="shared" si="644"/>
        <v>3</v>
      </c>
      <c r="FW1400" s="101" t="str">
        <f t="shared" si="651"/>
        <v>雷震子专属武器-魂珠-4 4级</v>
      </c>
      <c r="FX1400" s="101">
        <f t="shared" si="652"/>
        <v>4</v>
      </c>
      <c r="FY1400" s="101">
        <f t="shared" si="653"/>
        <v>4</v>
      </c>
      <c r="FZ1400" s="101" t="str">
        <f t="shared" si="645"/>
        <v>金币</v>
      </c>
      <c r="GA1400" s="139">
        <f>IF($FY1400&gt;0,IF(INDEX($EM$6:$EM$77,$FT1400)&gt;=GA$3,ROUND(INDEX(EO$6:EO$77,$FT1400)*INDEX(卡牌消耗!$B$8:$F$8,FV1400)/5,0)*5,""),"")</f>
        <v>1165</v>
      </c>
      <c r="GB1400" s="101" t="str">
        <f t="shared" si="646"/>
        <v>专属强化石2</v>
      </c>
      <c r="GC1400" s="101">
        <f t="shared" si="647"/>
        <v>5</v>
      </c>
      <c r="GD1400" s="101" t="str">
        <f t="shared" si="648"/>
        <v>专属强化石3</v>
      </c>
      <c r="GE1400" s="101">
        <f t="shared" si="649"/>
        <v>2</v>
      </c>
      <c r="GF1400" s="101">
        <f t="shared" si="654"/>
        <v>0.08</v>
      </c>
      <c r="GG1400" s="101">
        <f t="shared" si="655"/>
        <v>1</v>
      </c>
      <c r="GH1400" s="101">
        <f t="shared" si="656"/>
        <v>19</v>
      </c>
      <c r="GI1400" s="101">
        <f t="shared" si="657"/>
        <v>0</v>
      </c>
      <c r="GJ1400" s="101">
        <f t="shared" si="658"/>
        <v>1</v>
      </c>
      <c r="GK1400" s="101">
        <f t="shared" si="659"/>
        <v>4</v>
      </c>
      <c r="GL1400" s="101">
        <f t="shared" si="660"/>
        <v>4.0500000000000001E-2</v>
      </c>
      <c r="GM1400" s="101">
        <f t="shared" si="661"/>
        <v>1</v>
      </c>
      <c r="GN1400" s="101">
        <f t="shared" si="662"/>
        <v>9</v>
      </c>
      <c r="GO1400" s="101">
        <f t="shared" si="663"/>
        <v>0.16189999999999999</v>
      </c>
      <c r="GP1400" s="101">
        <f t="shared" si="664"/>
        <v>1</v>
      </c>
      <c r="GQ1400" s="101">
        <f t="shared" si="665"/>
        <v>19</v>
      </c>
    </row>
    <row r="1401" spans="175:199" ht="16.5" x14ac:dyDescent="0.2">
      <c r="FS1401" s="101">
        <v>1396</v>
      </c>
      <c r="FT1401" s="101">
        <f t="shared" si="650"/>
        <v>32</v>
      </c>
      <c r="FU1401" s="101">
        <f t="shared" si="643"/>
        <v>18</v>
      </c>
      <c r="FV1401" s="14">
        <f t="shared" si="644"/>
        <v>3</v>
      </c>
      <c r="FW1401" s="101" t="str">
        <f t="shared" si="651"/>
        <v>雷震子专属武器-魂珠-4 5级</v>
      </c>
      <c r="FX1401" s="101">
        <f t="shared" si="652"/>
        <v>4</v>
      </c>
      <c r="FY1401" s="101">
        <f t="shared" si="653"/>
        <v>5</v>
      </c>
      <c r="FZ1401" s="101" t="str">
        <f t="shared" si="645"/>
        <v>金币</v>
      </c>
      <c r="GA1401" s="139">
        <f>IF($FY1401&gt;0,IF(INDEX($EM$6:$EM$77,$FT1401)&gt;=GA$3,ROUND(INDEX(EO$6:EO$77,$FT1401)*INDEX(卡牌消耗!$B$8:$F$8,FV1401)/5,0)*5,""),"")</f>
        <v>1185</v>
      </c>
      <c r="GB1401" s="101" t="str">
        <f t="shared" si="646"/>
        <v>专属强化石2</v>
      </c>
      <c r="GC1401" s="101">
        <f t="shared" si="647"/>
        <v>5</v>
      </c>
      <c r="GD1401" s="101" t="str">
        <f t="shared" si="648"/>
        <v>专属强化石3</v>
      </c>
      <c r="GE1401" s="101">
        <f t="shared" si="649"/>
        <v>2</v>
      </c>
      <c r="GF1401" s="101">
        <f t="shared" si="654"/>
        <v>0.05</v>
      </c>
      <c r="GG1401" s="101">
        <f t="shared" si="655"/>
        <v>1</v>
      </c>
      <c r="GH1401" s="101">
        <f t="shared" si="656"/>
        <v>30</v>
      </c>
      <c r="GI1401" s="101">
        <f t="shared" si="657"/>
        <v>0</v>
      </c>
      <c r="GJ1401" s="101">
        <f t="shared" si="658"/>
        <v>1</v>
      </c>
      <c r="GK1401" s="101">
        <f t="shared" si="659"/>
        <v>7</v>
      </c>
      <c r="GL1401" s="101">
        <f t="shared" si="660"/>
        <v>2.53E-2</v>
      </c>
      <c r="GM1401" s="101">
        <f t="shared" si="661"/>
        <v>1</v>
      </c>
      <c r="GN1401" s="101">
        <f t="shared" si="662"/>
        <v>14</v>
      </c>
      <c r="GO1401" s="101">
        <f t="shared" si="663"/>
        <v>0.1012</v>
      </c>
      <c r="GP1401" s="101">
        <f t="shared" si="664"/>
        <v>1</v>
      </c>
      <c r="GQ1401" s="101">
        <f t="shared" si="665"/>
        <v>30</v>
      </c>
    </row>
    <row r="1402" spans="175:199" ht="16.5" x14ac:dyDescent="0.2">
      <c r="FS1402" s="101">
        <v>1397</v>
      </c>
      <c r="FT1402" s="101">
        <f t="shared" si="650"/>
        <v>33</v>
      </c>
      <c r="FU1402" s="101">
        <f t="shared" si="643"/>
        <v>18</v>
      </c>
      <c r="FV1402" s="14">
        <f t="shared" si="644"/>
        <v>3</v>
      </c>
      <c r="FW1402" s="101" t="str">
        <f t="shared" si="651"/>
        <v>雷震子专属武器-魂珠-4 6级</v>
      </c>
      <c r="FX1402" s="101">
        <f t="shared" si="652"/>
        <v>4</v>
      </c>
      <c r="FY1402" s="101">
        <f t="shared" si="653"/>
        <v>6</v>
      </c>
      <c r="FZ1402" s="101" t="str">
        <f t="shared" si="645"/>
        <v>金币</v>
      </c>
      <c r="GA1402" s="139">
        <f>IF($FY1402&gt;0,IF(INDEX($EM$6:$EM$77,$FT1402)&gt;=GA$3,ROUND(INDEX(EO$6:EO$77,$FT1402)*INDEX(卡牌消耗!$B$8:$F$8,FV1402)/5,0)*5,""),"")</f>
        <v>1180</v>
      </c>
      <c r="GB1402" s="101" t="str">
        <f t="shared" si="646"/>
        <v>专属强化石2</v>
      </c>
      <c r="GC1402" s="101">
        <f t="shared" si="647"/>
        <v>5</v>
      </c>
      <c r="GD1402" s="101" t="str">
        <f t="shared" si="648"/>
        <v>专属强化石3</v>
      </c>
      <c r="GE1402" s="101">
        <f t="shared" si="649"/>
        <v>2</v>
      </c>
      <c r="GF1402" s="101">
        <f t="shared" si="654"/>
        <v>0.03</v>
      </c>
      <c r="GG1402" s="101">
        <f t="shared" si="655"/>
        <v>1</v>
      </c>
      <c r="GH1402" s="101">
        <f t="shared" si="656"/>
        <v>48</v>
      </c>
      <c r="GI1402" s="101">
        <f t="shared" si="657"/>
        <v>0</v>
      </c>
      <c r="GJ1402" s="101">
        <f t="shared" si="658"/>
        <v>1</v>
      </c>
      <c r="GK1402" s="101">
        <f t="shared" si="659"/>
        <v>11</v>
      </c>
      <c r="GL1402" s="101">
        <f t="shared" si="660"/>
        <v>1.5599999999999999E-2</v>
      </c>
      <c r="GM1402" s="101">
        <f t="shared" si="661"/>
        <v>1</v>
      </c>
      <c r="GN1402" s="101">
        <f t="shared" si="662"/>
        <v>22</v>
      </c>
      <c r="GO1402" s="101">
        <f t="shared" si="663"/>
        <v>6.2300000000000001E-2</v>
      </c>
      <c r="GP1402" s="101">
        <f t="shared" si="664"/>
        <v>1</v>
      </c>
      <c r="GQ1402" s="101">
        <f t="shared" si="665"/>
        <v>48</v>
      </c>
    </row>
    <row r="1403" spans="175:199" ht="16.5" x14ac:dyDescent="0.2">
      <c r="FS1403" s="101">
        <v>1398</v>
      </c>
      <c r="FT1403" s="101">
        <f t="shared" si="650"/>
        <v>34</v>
      </c>
      <c r="FU1403" s="101">
        <f t="shared" si="643"/>
        <v>18</v>
      </c>
      <c r="FV1403" s="14">
        <f t="shared" si="644"/>
        <v>3</v>
      </c>
      <c r="FW1403" s="101" t="str">
        <f t="shared" si="651"/>
        <v>雷震子专属武器-魂珠-4 7级</v>
      </c>
      <c r="FX1403" s="101">
        <f t="shared" si="652"/>
        <v>4</v>
      </c>
      <c r="FY1403" s="101">
        <f t="shared" si="653"/>
        <v>7</v>
      </c>
      <c r="FZ1403" s="101" t="str">
        <f t="shared" si="645"/>
        <v>金币</v>
      </c>
      <c r="GA1403" s="139">
        <f>IF($FY1403&gt;0,IF(INDEX($EM$6:$EM$77,$FT1403)&gt;=GA$3,ROUND(INDEX(EO$6:EO$77,$FT1403)*INDEX(卡牌消耗!$B$8:$F$8,FV1403)/5,0)*5,""),"")</f>
        <v>1770</v>
      </c>
      <c r="GB1403" s="101" t="str">
        <f t="shared" si="646"/>
        <v>专属强化石2</v>
      </c>
      <c r="GC1403" s="101">
        <f t="shared" si="647"/>
        <v>8</v>
      </c>
      <c r="GD1403" s="101" t="str">
        <f t="shared" si="648"/>
        <v>专属强化石3</v>
      </c>
      <c r="GE1403" s="101">
        <f t="shared" si="649"/>
        <v>3</v>
      </c>
      <c r="GF1403" s="101">
        <f t="shared" si="654"/>
        <v>0.03</v>
      </c>
      <c r="GG1403" s="101">
        <f t="shared" si="655"/>
        <v>1</v>
      </c>
      <c r="GH1403" s="101">
        <f t="shared" si="656"/>
        <v>52</v>
      </c>
      <c r="GI1403" s="101">
        <f t="shared" si="657"/>
        <v>0</v>
      </c>
      <c r="GJ1403" s="101">
        <f t="shared" si="658"/>
        <v>1</v>
      </c>
      <c r="GK1403" s="101">
        <f t="shared" si="659"/>
        <v>12</v>
      </c>
      <c r="GL1403" s="101">
        <f t="shared" si="660"/>
        <v>1.4500000000000001E-2</v>
      </c>
      <c r="GM1403" s="101">
        <f t="shared" si="661"/>
        <v>1</v>
      </c>
      <c r="GN1403" s="101">
        <f t="shared" si="662"/>
        <v>24</v>
      </c>
      <c r="GO1403" s="101">
        <f t="shared" si="663"/>
        <v>5.7799999999999997E-2</v>
      </c>
      <c r="GP1403" s="101">
        <f t="shared" si="664"/>
        <v>1</v>
      </c>
      <c r="GQ1403" s="101">
        <f t="shared" si="665"/>
        <v>52</v>
      </c>
    </row>
    <row r="1404" spans="175:199" ht="16.5" x14ac:dyDescent="0.2">
      <c r="FS1404" s="101">
        <v>1399</v>
      </c>
      <c r="FT1404" s="101">
        <f t="shared" si="650"/>
        <v>35</v>
      </c>
      <c r="FU1404" s="101">
        <f t="shared" si="643"/>
        <v>18</v>
      </c>
      <c r="FV1404" s="14">
        <f t="shared" si="644"/>
        <v>3</v>
      </c>
      <c r="FW1404" s="101" t="str">
        <f t="shared" si="651"/>
        <v>雷震子专属武器-魂珠-4 8级</v>
      </c>
      <c r="FX1404" s="101">
        <f t="shared" si="652"/>
        <v>4</v>
      </c>
      <c r="FY1404" s="101">
        <f t="shared" si="653"/>
        <v>8</v>
      </c>
      <c r="FZ1404" s="101" t="str">
        <f t="shared" si="645"/>
        <v>金币</v>
      </c>
      <c r="GA1404" s="139">
        <f>IF($FY1404&gt;0,IF(INDEX($EM$6:$EM$77,$FT1404)&gt;=GA$3,ROUND(INDEX(EO$6:EO$77,$FT1404)*INDEX(卡牌消耗!$B$8:$F$8,FV1404)/5,0)*5,""),"")</f>
        <v>2360</v>
      </c>
      <c r="GB1404" s="101" t="str">
        <f t="shared" si="646"/>
        <v>专属强化石2</v>
      </c>
      <c r="GC1404" s="101">
        <f t="shared" si="647"/>
        <v>11</v>
      </c>
      <c r="GD1404" s="101" t="str">
        <f t="shared" si="648"/>
        <v>专属强化石3</v>
      </c>
      <c r="GE1404" s="101">
        <f t="shared" si="649"/>
        <v>4</v>
      </c>
      <c r="GF1404" s="101">
        <f t="shared" si="654"/>
        <v>0.02</v>
      </c>
      <c r="GG1404" s="101">
        <f t="shared" si="655"/>
        <v>1</v>
      </c>
      <c r="GH1404" s="101">
        <f t="shared" si="656"/>
        <v>63</v>
      </c>
      <c r="GI1404" s="101">
        <f t="shared" si="657"/>
        <v>0</v>
      </c>
      <c r="GJ1404" s="101">
        <f t="shared" si="658"/>
        <v>1</v>
      </c>
      <c r="GK1404" s="101">
        <f t="shared" si="659"/>
        <v>15</v>
      </c>
      <c r="GL1404" s="101">
        <f t="shared" si="660"/>
        <v>1.1900000000000001E-2</v>
      </c>
      <c r="GM1404" s="101">
        <f t="shared" si="661"/>
        <v>1</v>
      </c>
      <c r="GN1404" s="101">
        <f t="shared" si="662"/>
        <v>29</v>
      </c>
      <c r="GO1404" s="101">
        <f t="shared" si="663"/>
        <v>4.7600000000000003E-2</v>
      </c>
      <c r="GP1404" s="101">
        <f t="shared" si="664"/>
        <v>1</v>
      </c>
      <c r="GQ1404" s="101">
        <f t="shared" si="665"/>
        <v>63</v>
      </c>
    </row>
    <row r="1405" spans="175:199" ht="16.5" x14ac:dyDescent="0.2">
      <c r="FS1405" s="101">
        <v>1400</v>
      </c>
      <c r="FT1405" s="101">
        <f t="shared" si="650"/>
        <v>36</v>
      </c>
      <c r="FU1405" s="101">
        <f t="shared" si="643"/>
        <v>18</v>
      </c>
      <c r="FV1405" s="14">
        <f t="shared" si="644"/>
        <v>3</v>
      </c>
      <c r="FW1405" s="101" t="str">
        <f t="shared" si="651"/>
        <v>雷震子专属武器-魂珠-4 9级</v>
      </c>
      <c r="FX1405" s="101">
        <f t="shared" si="652"/>
        <v>4</v>
      </c>
      <c r="FY1405" s="101">
        <f t="shared" si="653"/>
        <v>9</v>
      </c>
      <c r="FZ1405" s="101" t="str">
        <f t="shared" si="645"/>
        <v>金币</v>
      </c>
      <c r="GA1405" s="139">
        <f>IF($FY1405&gt;0,IF(INDEX($EM$6:$EM$77,$FT1405)&gt;=GA$3,ROUND(INDEX(EO$6:EO$77,$FT1405)*INDEX(卡牌消耗!$B$8:$F$8,FV1405)/5,0)*5,""),"")</f>
        <v>3540</v>
      </c>
      <c r="GB1405" s="101" t="str">
        <f t="shared" si="646"/>
        <v>专属强化石2</v>
      </c>
      <c r="GC1405" s="101">
        <f t="shared" si="647"/>
        <v>16</v>
      </c>
      <c r="GD1405" s="101" t="str">
        <f t="shared" si="648"/>
        <v>专属强化石3</v>
      </c>
      <c r="GE1405" s="101">
        <f t="shared" si="649"/>
        <v>6</v>
      </c>
      <c r="GF1405" s="101">
        <f t="shared" si="654"/>
        <v>0.02</v>
      </c>
      <c r="GG1405" s="101">
        <f t="shared" si="655"/>
        <v>1</v>
      </c>
      <c r="GH1405" s="101">
        <f t="shared" si="656"/>
        <v>68</v>
      </c>
      <c r="GI1405" s="101">
        <f t="shared" si="657"/>
        <v>0</v>
      </c>
      <c r="GJ1405" s="101">
        <f t="shared" si="658"/>
        <v>1</v>
      </c>
      <c r="GK1405" s="101">
        <f t="shared" si="659"/>
        <v>16</v>
      </c>
      <c r="GL1405" s="101">
        <f t="shared" si="660"/>
        <v>1.0999999999999999E-2</v>
      </c>
      <c r="GM1405" s="101">
        <f t="shared" si="661"/>
        <v>1</v>
      </c>
      <c r="GN1405" s="101">
        <f t="shared" si="662"/>
        <v>32</v>
      </c>
      <c r="GO1405" s="101">
        <f t="shared" si="663"/>
        <v>4.4200000000000003E-2</v>
      </c>
      <c r="GP1405" s="101">
        <f t="shared" si="664"/>
        <v>1</v>
      </c>
      <c r="GQ1405" s="101">
        <f t="shared" si="665"/>
        <v>68</v>
      </c>
    </row>
    <row r="1406" spans="175:199" ht="16.5" x14ac:dyDescent="0.2">
      <c r="FS1406" s="101">
        <v>1401</v>
      </c>
      <c r="FT1406" s="101">
        <f t="shared" si="650"/>
        <v>0</v>
      </c>
      <c r="FU1406" s="101">
        <f t="shared" si="643"/>
        <v>18</v>
      </c>
      <c r="FV1406" s="14">
        <f t="shared" si="644"/>
        <v>3</v>
      </c>
      <c r="FW1406" s="101" t="str">
        <f t="shared" si="651"/>
        <v>雷震子专属武器-魂珠-5 0级</v>
      </c>
      <c r="FX1406" s="101">
        <f t="shared" si="652"/>
        <v>5</v>
      </c>
      <c r="FY1406" s="101">
        <f t="shared" si="653"/>
        <v>0</v>
      </c>
      <c r="FZ1406" s="101" t="str">
        <f t="shared" si="645"/>
        <v/>
      </c>
      <c r="GA1406" s="139" t="str">
        <f>IF($FY1406&gt;0,IF(INDEX($EM$6:$EM$77,$FT1406)&gt;=GA$3,ROUND(INDEX(EO$6:EO$77,$FT1406)*INDEX(卡牌消耗!$B$8:$F$8,FV1406)/5,0)*5,""),"")</f>
        <v/>
      </c>
      <c r="GB1406" s="101" t="str">
        <f t="shared" si="646"/>
        <v/>
      </c>
      <c r="GC1406" s="101" t="str">
        <f t="shared" si="647"/>
        <v/>
      </c>
      <c r="GD1406" s="101" t="str">
        <f t="shared" si="648"/>
        <v/>
      </c>
      <c r="GE1406" s="101" t="str">
        <f t="shared" si="649"/>
        <v/>
      </c>
      <c r="GF1406" s="101" t="str">
        <f t="shared" si="654"/>
        <v/>
      </c>
      <c r="GG1406" s="101" t="str">
        <f t="shared" si="655"/>
        <v/>
      </c>
      <c r="GH1406" s="101" t="str">
        <f t="shared" si="656"/>
        <v/>
      </c>
      <c r="GI1406" s="101" t="str">
        <f t="shared" si="657"/>
        <v/>
      </c>
      <c r="GJ1406" s="101" t="str">
        <f t="shared" si="658"/>
        <v/>
      </c>
      <c r="GK1406" s="101" t="str">
        <f t="shared" si="659"/>
        <v/>
      </c>
      <c r="GL1406" s="101" t="str">
        <f t="shared" si="660"/>
        <v/>
      </c>
      <c r="GM1406" s="101" t="str">
        <f t="shared" si="661"/>
        <v/>
      </c>
      <c r="GN1406" s="101" t="str">
        <f t="shared" si="662"/>
        <v/>
      </c>
      <c r="GO1406" s="101" t="str">
        <f t="shared" si="663"/>
        <v/>
      </c>
      <c r="GP1406" s="101" t="str">
        <f t="shared" si="664"/>
        <v/>
      </c>
      <c r="GQ1406" s="101" t="str">
        <f t="shared" si="665"/>
        <v/>
      </c>
    </row>
    <row r="1407" spans="175:199" ht="16.5" x14ac:dyDescent="0.2">
      <c r="FS1407" s="101">
        <v>1402</v>
      </c>
      <c r="FT1407" s="101">
        <f t="shared" si="650"/>
        <v>37</v>
      </c>
      <c r="FU1407" s="101">
        <f t="shared" si="643"/>
        <v>18</v>
      </c>
      <c r="FV1407" s="14">
        <f t="shared" si="644"/>
        <v>3</v>
      </c>
      <c r="FW1407" s="101" t="str">
        <f t="shared" si="651"/>
        <v>雷震子专属武器-魂珠-5 1级</v>
      </c>
      <c r="FX1407" s="101">
        <f t="shared" si="652"/>
        <v>5</v>
      </c>
      <c r="FY1407" s="101">
        <f t="shared" si="653"/>
        <v>1</v>
      </c>
      <c r="FZ1407" s="101" t="str">
        <f t="shared" si="645"/>
        <v>金币</v>
      </c>
      <c r="GA1407" s="139">
        <f>IF($FY1407&gt;0,IF(INDEX($EM$6:$EM$77,$FT1407)&gt;=GA$3,ROUND(INDEX(EO$6:EO$77,$FT1407)*INDEX(卡牌消耗!$B$8:$F$8,FV1407)/5,0)*5,""),"")</f>
        <v>1495</v>
      </c>
      <c r="GB1407" s="101" t="str">
        <f t="shared" si="646"/>
        <v>专属强化石2</v>
      </c>
      <c r="GC1407" s="101">
        <f t="shared" si="647"/>
        <v>3</v>
      </c>
      <c r="GD1407" s="101" t="str">
        <f t="shared" si="648"/>
        <v>专属强化石3</v>
      </c>
      <c r="GE1407" s="101">
        <f t="shared" si="649"/>
        <v>2</v>
      </c>
      <c r="GF1407" s="101">
        <f t="shared" si="654"/>
        <v>0.2</v>
      </c>
      <c r="GG1407" s="101">
        <f t="shared" si="655"/>
        <v>1</v>
      </c>
      <c r="GH1407" s="101">
        <f t="shared" si="656"/>
        <v>7</v>
      </c>
      <c r="GI1407" s="101">
        <f t="shared" si="657"/>
        <v>0</v>
      </c>
      <c r="GJ1407" s="101">
        <f t="shared" si="658"/>
        <v>1</v>
      </c>
      <c r="GK1407" s="101">
        <f t="shared" si="659"/>
        <v>2</v>
      </c>
      <c r="GL1407" s="101">
        <f t="shared" si="660"/>
        <v>0.1012</v>
      </c>
      <c r="GM1407" s="101">
        <f t="shared" si="661"/>
        <v>1</v>
      </c>
      <c r="GN1407" s="101">
        <f t="shared" si="662"/>
        <v>3</v>
      </c>
      <c r="GO1407" s="101">
        <f t="shared" si="663"/>
        <v>0.40479999999999999</v>
      </c>
      <c r="GP1407" s="101">
        <f t="shared" si="664"/>
        <v>1</v>
      </c>
      <c r="GQ1407" s="101">
        <f t="shared" si="665"/>
        <v>7</v>
      </c>
    </row>
    <row r="1408" spans="175:199" ht="16.5" x14ac:dyDescent="0.2">
      <c r="FS1408" s="101">
        <v>1403</v>
      </c>
      <c r="FT1408" s="101">
        <f t="shared" si="650"/>
        <v>38</v>
      </c>
      <c r="FU1408" s="101">
        <f t="shared" si="643"/>
        <v>18</v>
      </c>
      <c r="FV1408" s="14">
        <f t="shared" si="644"/>
        <v>3</v>
      </c>
      <c r="FW1408" s="101" t="str">
        <f t="shared" si="651"/>
        <v>雷震子专属武器-魂珠-5 2级</v>
      </c>
      <c r="FX1408" s="101">
        <f t="shared" si="652"/>
        <v>5</v>
      </c>
      <c r="FY1408" s="101">
        <f t="shared" si="653"/>
        <v>2</v>
      </c>
      <c r="FZ1408" s="101" t="str">
        <f t="shared" si="645"/>
        <v>金币</v>
      </c>
      <c r="GA1408" s="139">
        <f>IF($FY1408&gt;0,IF(INDEX($EM$6:$EM$77,$FT1408)&gt;=GA$3,ROUND(INDEX(EO$6:EO$77,$FT1408)*INDEX(卡牌消耗!$B$8:$F$8,FV1408)/5,0)*5,""),"")</f>
        <v>1120</v>
      </c>
      <c r="GB1408" s="101" t="str">
        <f t="shared" si="646"/>
        <v>专属强化石2</v>
      </c>
      <c r="GC1408" s="101">
        <f t="shared" si="647"/>
        <v>3</v>
      </c>
      <c r="GD1408" s="101" t="str">
        <f t="shared" si="648"/>
        <v>专属强化石3</v>
      </c>
      <c r="GE1408" s="101">
        <f t="shared" si="649"/>
        <v>2</v>
      </c>
      <c r="GF1408" s="101">
        <f t="shared" si="654"/>
        <v>0.1</v>
      </c>
      <c r="GG1408" s="101">
        <f t="shared" si="655"/>
        <v>1</v>
      </c>
      <c r="GH1408" s="101">
        <f t="shared" si="656"/>
        <v>15</v>
      </c>
      <c r="GI1408" s="101">
        <f t="shared" si="657"/>
        <v>0</v>
      </c>
      <c r="GJ1408" s="101">
        <f t="shared" si="658"/>
        <v>1</v>
      </c>
      <c r="GK1408" s="101">
        <f t="shared" si="659"/>
        <v>3</v>
      </c>
      <c r="GL1408" s="101">
        <f t="shared" si="660"/>
        <v>5.0599999999999999E-2</v>
      </c>
      <c r="GM1408" s="101">
        <f t="shared" si="661"/>
        <v>1</v>
      </c>
      <c r="GN1408" s="101">
        <f t="shared" si="662"/>
        <v>7</v>
      </c>
      <c r="GO1408" s="101">
        <f t="shared" si="663"/>
        <v>0.2024</v>
      </c>
      <c r="GP1408" s="101">
        <f t="shared" si="664"/>
        <v>1</v>
      </c>
      <c r="GQ1408" s="101">
        <f t="shared" si="665"/>
        <v>15</v>
      </c>
    </row>
    <row r="1409" spans="175:199" ht="16.5" x14ac:dyDescent="0.2">
      <c r="FS1409" s="101">
        <v>1404</v>
      </c>
      <c r="FT1409" s="101">
        <f t="shared" si="650"/>
        <v>39</v>
      </c>
      <c r="FU1409" s="101">
        <f t="shared" si="643"/>
        <v>18</v>
      </c>
      <c r="FV1409" s="14">
        <f t="shared" si="644"/>
        <v>3</v>
      </c>
      <c r="FW1409" s="101" t="str">
        <f t="shared" si="651"/>
        <v>雷震子专属武器-魂珠-5 3级</v>
      </c>
      <c r="FX1409" s="101">
        <f t="shared" si="652"/>
        <v>5</v>
      </c>
      <c r="FY1409" s="101">
        <f t="shared" si="653"/>
        <v>3</v>
      </c>
      <c r="FZ1409" s="101" t="str">
        <f t="shared" si="645"/>
        <v>金币</v>
      </c>
      <c r="GA1409" s="139">
        <f>IF($FY1409&gt;0,IF(INDEX($EM$6:$EM$77,$FT1409)&gt;=GA$3,ROUND(INDEX(EO$6:EO$77,$FT1409)*INDEX(卡牌消耗!$B$8:$F$8,FV1409)/5,0)*5,""),"")</f>
        <v>1245</v>
      </c>
      <c r="GB1409" s="101" t="str">
        <f t="shared" si="646"/>
        <v>专属强化石2</v>
      </c>
      <c r="GC1409" s="101">
        <f t="shared" si="647"/>
        <v>3</v>
      </c>
      <c r="GD1409" s="101" t="str">
        <f t="shared" si="648"/>
        <v>专属强化石3</v>
      </c>
      <c r="GE1409" s="101">
        <f t="shared" si="649"/>
        <v>2</v>
      </c>
      <c r="GF1409" s="101">
        <f t="shared" si="654"/>
        <v>7.0000000000000007E-2</v>
      </c>
      <c r="GG1409" s="101">
        <f t="shared" si="655"/>
        <v>1</v>
      </c>
      <c r="GH1409" s="101">
        <f t="shared" si="656"/>
        <v>22</v>
      </c>
      <c r="GI1409" s="101">
        <f t="shared" si="657"/>
        <v>0</v>
      </c>
      <c r="GJ1409" s="101">
        <f t="shared" si="658"/>
        <v>1</v>
      </c>
      <c r="GK1409" s="101">
        <f t="shared" si="659"/>
        <v>5</v>
      </c>
      <c r="GL1409" s="101">
        <f t="shared" si="660"/>
        <v>3.3700000000000001E-2</v>
      </c>
      <c r="GM1409" s="101">
        <f t="shared" si="661"/>
        <v>1</v>
      </c>
      <c r="GN1409" s="101">
        <f t="shared" si="662"/>
        <v>10</v>
      </c>
      <c r="GO1409" s="101">
        <f t="shared" si="663"/>
        <v>0.13489999999999999</v>
      </c>
      <c r="GP1409" s="101">
        <f t="shared" si="664"/>
        <v>1</v>
      </c>
      <c r="GQ1409" s="101">
        <f t="shared" si="665"/>
        <v>22</v>
      </c>
    </row>
    <row r="1410" spans="175:199" ht="16.5" x14ac:dyDescent="0.2">
      <c r="FS1410" s="101">
        <v>1405</v>
      </c>
      <c r="FT1410" s="101">
        <f t="shared" si="650"/>
        <v>40</v>
      </c>
      <c r="FU1410" s="101">
        <f t="shared" si="643"/>
        <v>18</v>
      </c>
      <c r="FV1410" s="14">
        <f t="shared" si="644"/>
        <v>3</v>
      </c>
      <c r="FW1410" s="101" t="str">
        <f t="shared" si="651"/>
        <v>雷震子专属武器-魂珠-5 4级</v>
      </c>
      <c r="FX1410" s="101">
        <f t="shared" si="652"/>
        <v>5</v>
      </c>
      <c r="FY1410" s="101">
        <f t="shared" si="653"/>
        <v>4</v>
      </c>
      <c r="FZ1410" s="101" t="str">
        <f t="shared" si="645"/>
        <v>金币</v>
      </c>
      <c r="GA1410" s="139">
        <f>IF($FY1410&gt;0,IF(INDEX($EM$6:$EM$77,$FT1410)&gt;=GA$3,ROUND(INDEX(EO$6:EO$77,$FT1410)*INDEX(卡牌消耗!$B$8:$F$8,FV1410)/5,0)*5,""),"")</f>
        <v>1795</v>
      </c>
      <c r="GB1410" s="101" t="str">
        <f t="shared" si="646"/>
        <v>专属强化石2</v>
      </c>
      <c r="GC1410" s="101">
        <f t="shared" si="647"/>
        <v>5</v>
      </c>
      <c r="GD1410" s="101" t="str">
        <f t="shared" si="648"/>
        <v>专属强化石3</v>
      </c>
      <c r="GE1410" s="101">
        <f t="shared" si="649"/>
        <v>3</v>
      </c>
      <c r="GF1410" s="101">
        <f t="shared" si="654"/>
        <v>0.06</v>
      </c>
      <c r="GG1410" s="101">
        <f t="shared" si="655"/>
        <v>1</v>
      </c>
      <c r="GH1410" s="101">
        <f t="shared" si="656"/>
        <v>25</v>
      </c>
      <c r="GI1410" s="101">
        <f t="shared" si="657"/>
        <v>0</v>
      </c>
      <c r="GJ1410" s="101">
        <f t="shared" si="658"/>
        <v>1</v>
      </c>
      <c r="GK1410" s="101">
        <f t="shared" si="659"/>
        <v>6</v>
      </c>
      <c r="GL1410" s="101">
        <f t="shared" si="660"/>
        <v>3.04E-2</v>
      </c>
      <c r="GM1410" s="101">
        <f t="shared" si="661"/>
        <v>1</v>
      </c>
      <c r="GN1410" s="101">
        <f t="shared" si="662"/>
        <v>12</v>
      </c>
      <c r="GO1410" s="101">
        <f t="shared" si="663"/>
        <v>0.12139999999999999</v>
      </c>
      <c r="GP1410" s="101">
        <f t="shared" si="664"/>
        <v>1</v>
      </c>
      <c r="GQ1410" s="101">
        <f t="shared" si="665"/>
        <v>25</v>
      </c>
    </row>
    <row r="1411" spans="175:199" ht="16.5" x14ac:dyDescent="0.2">
      <c r="FS1411" s="101">
        <v>1406</v>
      </c>
      <c r="FT1411" s="101">
        <f t="shared" si="650"/>
        <v>41</v>
      </c>
      <c r="FU1411" s="101">
        <f t="shared" si="643"/>
        <v>18</v>
      </c>
      <c r="FV1411" s="14">
        <f t="shared" si="644"/>
        <v>3</v>
      </c>
      <c r="FW1411" s="101" t="str">
        <f t="shared" si="651"/>
        <v>雷震子专属武器-魂珠-5 5级</v>
      </c>
      <c r="FX1411" s="101">
        <f t="shared" si="652"/>
        <v>5</v>
      </c>
      <c r="FY1411" s="101">
        <f t="shared" si="653"/>
        <v>5</v>
      </c>
      <c r="FZ1411" s="101" t="str">
        <f t="shared" si="645"/>
        <v>金币</v>
      </c>
      <c r="GA1411" s="139">
        <f>IF($FY1411&gt;0,IF(INDEX($EM$6:$EM$77,$FT1411)&gt;=GA$3,ROUND(INDEX(EO$6:EO$77,$FT1411)*INDEX(卡牌消耗!$B$8:$F$8,FV1411)/5,0)*5,""),"")</f>
        <v>1825</v>
      </c>
      <c r="GB1411" s="101" t="str">
        <f t="shared" si="646"/>
        <v>专属强化石2</v>
      </c>
      <c r="GC1411" s="101">
        <f t="shared" si="647"/>
        <v>5</v>
      </c>
      <c r="GD1411" s="101" t="str">
        <f t="shared" si="648"/>
        <v>专属强化石3</v>
      </c>
      <c r="GE1411" s="101">
        <f t="shared" si="649"/>
        <v>3</v>
      </c>
      <c r="GF1411" s="101">
        <f t="shared" si="654"/>
        <v>0.04</v>
      </c>
      <c r="GG1411" s="101">
        <f t="shared" si="655"/>
        <v>1</v>
      </c>
      <c r="GH1411" s="101">
        <f t="shared" si="656"/>
        <v>40</v>
      </c>
      <c r="GI1411" s="101">
        <f t="shared" si="657"/>
        <v>0</v>
      </c>
      <c r="GJ1411" s="101">
        <f t="shared" si="658"/>
        <v>1</v>
      </c>
      <c r="GK1411" s="101">
        <f t="shared" si="659"/>
        <v>9</v>
      </c>
      <c r="GL1411" s="101">
        <f t="shared" si="660"/>
        <v>1.9E-2</v>
      </c>
      <c r="GM1411" s="101">
        <f t="shared" si="661"/>
        <v>1</v>
      </c>
      <c r="GN1411" s="101">
        <f t="shared" si="662"/>
        <v>18</v>
      </c>
      <c r="GO1411" s="101">
        <f t="shared" si="663"/>
        <v>7.5899999999999995E-2</v>
      </c>
      <c r="GP1411" s="101">
        <f t="shared" si="664"/>
        <v>1</v>
      </c>
      <c r="GQ1411" s="101">
        <f t="shared" si="665"/>
        <v>40</v>
      </c>
    </row>
    <row r="1412" spans="175:199" ht="16.5" x14ac:dyDescent="0.2">
      <c r="FS1412" s="101">
        <v>1407</v>
      </c>
      <c r="FT1412" s="101">
        <f t="shared" si="650"/>
        <v>42</v>
      </c>
      <c r="FU1412" s="101">
        <f t="shared" si="643"/>
        <v>18</v>
      </c>
      <c r="FV1412" s="14">
        <f t="shared" si="644"/>
        <v>3</v>
      </c>
      <c r="FW1412" s="101" t="str">
        <f t="shared" si="651"/>
        <v>雷震子专属武器-魂珠-5 6级</v>
      </c>
      <c r="FX1412" s="101">
        <f t="shared" si="652"/>
        <v>5</v>
      </c>
      <c r="FY1412" s="101">
        <f t="shared" si="653"/>
        <v>6</v>
      </c>
      <c r="FZ1412" s="101" t="str">
        <f t="shared" si="645"/>
        <v>金币</v>
      </c>
      <c r="GA1412" s="139">
        <f>IF($FY1412&gt;0,IF(INDEX($EM$6:$EM$77,$FT1412)&gt;=GA$3,ROUND(INDEX(EO$6:EO$77,$FT1412)*INDEX(卡牌消耗!$B$8:$F$8,FV1412)/5,0)*5,""),"")</f>
        <v>3020</v>
      </c>
      <c r="GB1412" s="101" t="str">
        <f t="shared" si="646"/>
        <v>专属强化石2</v>
      </c>
      <c r="GC1412" s="101">
        <f t="shared" si="647"/>
        <v>8</v>
      </c>
      <c r="GD1412" s="101" t="str">
        <f t="shared" si="648"/>
        <v>专属强化石3</v>
      </c>
      <c r="GE1412" s="101">
        <f t="shared" si="649"/>
        <v>5</v>
      </c>
      <c r="GF1412" s="101">
        <f t="shared" si="654"/>
        <v>0.04</v>
      </c>
      <c r="GG1412" s="101">
        <f t="shared" si="655"/>
        <v>1</v>
      </c>
      <c r="GH1412" s="101">
        <f t="shared" si="656"/>
        <v>39</v>
      </c>
      <c r="GI1412" s="101">
        <f t="shared" si="657"/>
        <v>0</v>
      </c>
      <c r="GJ1412" s="101">
        <f t="shared" si="658"/>
        <v>1</v>
      </c>
      <c r="GK1412" s="101">
        <f t="shared" si="659"/>
        <v>9</v>
      </c>
      <c r="GL1412" s="101">
        <f t="shared" si="660"/>
        <v>1.95E-2</v>
      </c>
      <c r="GM1412" s="101">
        <f t="shared" si="661"/>
        <v>1</v>
      </c>
      <c r="GN1412" s="101">
        <f t="shared" si="662"/>
        <v>18</v>
      </c>
      <c r="GO1412" s="101">
        <f t="shared" si="663"/>
        <v>7.7799999999999994E-2</v>
      </c>
      <c r="GP1412" s="101">
        <f t="shared" si="664"/>
        <v>1</v>
      </c>
      <c r="GQ1412" s="101">
        <f t="shared" si="665"/>
        <v>39</v>
      </c>
    </row>
    <row r="1413" spans="175:199" ht="16.5" x14ac:dyDescent="0.2">
      <c r="FS1413" s="101">
        <v>1408</v>
      </c>
      <c r="FT1413" s="101">
        <f t="shared" si="650"/>
        <v>43</v>
      </c>
      <c r="FU1413" s="101">
        <f t="shared" si="643"/>
        <v>18</v>
      </c>
      <c r="FV1413" s="14">
        <f t="shared" si="644"/>
        <v>3</v>
      </c>
      <c r="FW1413" s="101" t="str">
        <f t="shared" si="651"/>
        <v>雷震子专属武器-魂珠-5 7级</v>
      </c>
      <c r="FX1413" s="101">
        <f t="shared" si="652"/>
        <v>5</v>
      </c>
      <c r="FY1413" s="101">
        <f t="shared" si="653"/>
        <v>7</v>
      </c>
      <c r="FZ1413" s="101" t="str">
        <f t="shared" si="645"/>
        <v>金币</v>
      </c>
      <c r="GA1413" s="139">
        <f>IF($FY1413&gt;0,IF(INDEX($EM$6:$EM$77,$FT1413)&gt;=GA$3,ROUND(INDEX(EO$6:EO$77,$FT1413)*INDEX(卡牌消耗!$B$8:$F$8,FV1413)/5,0)*5,""),"")</f>
        <v>3025</v>
      </c>
      <c r="GB1413" s="101" t="str">
        <f t="shared" si="646"/>
        <v>专属强化石2</v>
      </c>
      <c r="GC1413" s="101">
        <f t="shared" si="647"/>
        <v>8</v>
      </c>
      <c r="GD1413" s="101" t="str">
        <f t="shared" si="648"/>
        <v>专属强化石3</v>
      </c>
      <c r="GE1413" s="101">
        <f t="shared" si="649"/>
        <v>5</v>
      </c>
      <c r="GF1413" s="101">
        <f t="shared" si="654"/>
        <v>0.02</v>
      </c>
      <c r="GG1413" s="101">
        <f t="shared" si="655"/>
        <v>1</v>
      </c>
      <c r="GH1413" s="101">
        <f t="shared" si="656"/>
        <v>62</v>
      </c>
      <c r="GI1413" s="101">
        <f t="shared" si="657"/>
        <v>0</v>
      </c>
      <c r="GJ1413" s="101">
        <f t="shared" si="658"/>
        <v>1</v>
      </c>
      <c r="GK1413" s="101">
        <f t="shared" si="659"/>
        <v>15</v>
      </c>
      <c r="GL1413" s="101">
        <f t="shared" si="660"/>
        <v>1.2E-2</v>
      </c>
      <c r="GM1413" s="101">
        <f t="shared" si="661"/>
        <v>1</v>
      </c>
      <c r="GN1413" s="101">
        <f t="shared" si="662"/>
        <v>29</v>
      </c>
      <c r="GO1413" s="101">
        <f t="shared" si="663"/>
        <v>4.82E-2</v>
      </c>
      <c r="GP1413" s="101">
        <f t="shared" si="664"/>
        <v>1</v>
      </c>
      <c r="GQ1413" s="101">
        <f t="shared" si="665"/>
        <v>62</v>
      </c>
    </row>
    <row r="1414" spans="175:199" ht="16.5" x14ac:dyDescent="0.2">
      <c r="FS1414" s="101">
        <v>1409</v>
      </c>
      <c r="FT1414" s="101">
        <f t="shared" si="650"/>
        <v>44</v>
      </c>
      <c r="FU1414" s="101">
        <f t="shared" si="643"/>
        <v>18</v>
      </c>
      <c r="FV1414" s="14">
        <f t="shared" si="644"/>
        <v>3</v>
      </c>
      <c r="FW1414" s="101" t="str">
        <f t="shared" si="651"/>
        <v>雷震子专属武器-魂珠-5 8级</v>
      </c>
      <c r="FX1414" s="101">
        <f t="shared" si="652"/>
        <v>5</v>
      </c>
      <c r="FY1414" s="101">
        <f t="shared" si="653"/>
        <v>8</v>
      </c>
      <c r="FZ1414" s="101" t="str">
        <f t="shared" si="645"/>
        <v>金币</v>
      </c>
      <c r="GA1414" s="139">
        <f>IF($FY1414&gt;0,IF(INDEX($EM$6:$EM$77,$FT1414)&gt;=GA$3,ROUND(INDEX(EO$6:EO$77,$FT1414)*INDEX(卡牌消耗!$B$8:$F$8,FV1414)/5,0)*5,""),"")</f>
        <v>4235</v>
      </c>
      <c r="GB1414" s="101" t="str">
        <f t="shared" si="646"/>
        <v>专属强化石2</v>
      </c>
      <c r="GC1414" s="101">
        <f t="shared" si="647"/>
        <v>11</v>
      </c>
      <c r="GD1414" s="101" t="str">
        <f t="shared" si="648"/>
        <v>专属强化石3</v>
      </c>
      <c r="GE1414" s="101">
        <f t="shared" si="649"/>
        <v>7</v>
      </c>
      <c r="GF1414" s="101">
        <f t="shared" si="654"/>
        <v>0.02</v>
      </c>
      <c r="GG1414" s="101">
        <f t="shared" si="655"/>
        <v>1</v>
      </c>
      <c r="GH1414" s="101">
        <f t="shared" si="656"/>
        <v>72</v>
      </c>
      <c r="GI1414" s="101">
        <f t="shared" si="657"/>
        <v>0</v>
      </c>
      <c r="GJ1414" s="101">
        <f t="shared" si="658"/>
        <v>1</v>
      </c>
      <c r="GK1414" s="101">
        <f t="shared" si="659"/>
        <v>17</v>
      </c>
      <c r="GL1414" s="101">
        <f t="shared" si="660"/>
        <v>1.04E-2</v>
      </c>
      <c r="GM1414" s="101">
        <f t="shared" si="661"/>
        <v>1</v>
      </c>
      <c r="GN1414" s="101">
        <f t="shared" si="662"/>
        <v>34</v>
      </c>
      <c r="GO1414" s="101">
        <f t="shared" si="663"/>
        <v>4.1700000000000001E-2</v>
      </c>
      <c r="GP1414" s="101">
        <f t="shared" si="664"/>
        <v>1</v>
      </c>
      <c r="GQ1414" s="101">
        <f t="shared" si="665"/>
        <v>72</v>
      </c>
    </row>
    <row r="1415" spans="175:199" ht="16.5" x14ac:dyDescent="0.2">
      <c r="FS1415" s="101">
        <v>1410</v>
      </c>
      <c r="FT1415" s="101">
        <f t="shared" si="650"/>
        <v>45</v>
      </c>
      <c r="FU1415" s="101">
        <f t="shared" ref="FU1415:FU1478" si="666">INT((FS1415-1)/80+1)</f>
        <v>18</v>
      </c>
      <c r="FV1415" s="14">
        <f t="shared" ref="FV1415:FV1478" si="667">INDEX($FO$6:$FO$26,FU1415)</f>
        <v>3</v>
      </c>
      <c r="FW1415" s="101" t="str">
        <f t="shared" si="651"/>
        <v>雷震子专属武器-魂珠-5 9级</v>
      </c>
      <c r="FX1415" s="101">
        <f t="shared" si="652"/>
        <v>5</v>
      </c>
      <c r="FY1415" s="101">
        <f t="shared" si="653"/>
        <v>9</v>
      </c>
      <c r="FZ1415" s="101" t="str">
        <f t="shared" ref="FZ1415:FZ1478" si="668">IF($FY1415&gt;0,IF(INDEX($EM$6:$EM$77,$FT1415)&gt;=FZ$3,INDEX(EN$6:EN$77,$FT1415),""),"")</f>
        <v>金币</v>
      </c>
      <c r="GA1415" s="139">
        <f>IF($FY1415&gt;0,IF(INDEX($EM$6:$EM$77,$FT1415)&gt;=GA$3,ROUND(INDEX(EO$6:EO$77,$FT1415)*INDEX(卡牌消耗!$B$8:$F$8,FV1415)/5,0)*5,""),"")</f>
        <v>5445</v>
      </c>
      <c r="GB1415" s="101" t="str">
        <f t="shared" ref="GB1415:GB1478" si="669">IF($FY1415&gt;0,IF(INDEX($EM$6:$EM$77,$FT1415)&gt;=GB$3,INDEX(EP$6:EP$77,$FT1415),""),"")</f>
        <v>专属强化石2</v>
      </c>
      <c r="GC1415" s="101">
        <f t="shared" ref="GC1415:GC1478" si="670">IF($FY1415&gt;0,IF(INDEX($EM$6:$EM$77,$FT1415)&gt;=GC$3,INDEX(EQ$6:EQ$77,$FT1415),""),"")</f>
        <v>14</v>
      </c>
      <c r="GD1415" s="101" t="str">
        <f t="shared" ref="GD1415:GD1478" si="671">IF($FY1415&gt;0,IF(INDEX($EM$6:$EM$77,$FT1415)&gt;=GD$3,INDEX(ER$6:ER$77,$FT1415),""),"")</f>
        <v>专属强化石3</v>
      </c>
      <c r="GE1415" s="101">
        <f t="shared" ref="GE1415:GE1478" si="672">IF($FY1415&gt;0,IF(INDEX($EM$6:$EM$77,$FT1415)&gt;=GE$3,INDEX(ES$6:ES$77,$FT1415),""),"")</f>
        <v>9</v>
      </c>
      <c r="GF1415" s="101">
        <f t="shared" si="654"/>
        <v>0.02</v>
      </c>
      <c r="GG1415" s="101">
        <f t="shared" si="655"/>
        <v>1</v>
      </c>
      <c r="GH1415" s="101">
        <f t="shared" si="656"/>
        <v>91</v>
      </c>
      <c r="GI1415" s="101">
        <f t="shared" si="657"/>
        <v>0</v>
      </c>
      <c r="GJ1415" s="101">
        <f t="shared" si="658"/>
        <v>1</v>
      </c>
      <c r="GK1415" s="101">
        <f t="shared" si="659"/>
        <v>21</v>
      </c>
      <c r="GL1415" s="101">
        <f t="shared" si="660"/>
        <v>8.3000000000000001E-3</v>
      </c>
      <c r="GM1415" s="101">
        <f t="shared" si="661"/>
        <v>1</v>
      </c>
      <c r="GN1415" s="101">
        <f t="shared" si="662"/>
        <v>42</v>
      </c>
      <c r="GO1415" s="101">
        <f t="shared" si="663"/>
        <v>3.3099999999999997E-2</v>
      </c>
      <c r="GP1415" s="101">
        <f t="shared" si="664"/>
        <v>1</v>
      </c>
      <c r="GQ1415" s="101">
        <f t="shared" si="665"/>
        <v>91</v>
      </c>
    </row>
    <row r="1416" spans="175:199" ht="16.5" x14ac:dyDescent="0.2">
      <c r="FS1416" s="101">
        <v>1411</v>
      </c>
      <c r="FT1416" s="101">
        <f t="shared" si="650"/>
        <v>0</v>
      </c>
      <c r="FU1416" s="101">
        <f t="shared" si="666"/>
        <v>18</v>
      </c>
      <c r="FV1416" s="14">
        <f t="shared" si="667"/>
        <v>3</v>
      </c>
      <c r="FW1416" s="101" t="str">
        <f t="shared" si="651"/>
        <v>雷震子专属武器-魂珠-6 0级</v>
      </c>
      <c r="FX1416" s="101">
        <f t="shared" si="652"/>
        <v>6</v>
      </c>
      <c r="FY1416" s="101">
        <f t="shared" si="653"/>
        <v>0</v>
      </c>
      <c r="FZ1416" s="101" t="str">
        <f t="shared" si="668"/>
        <v/>
      </c>
      <c r="GA1416" s="139" t="str">
        <f>IF($FY1416&gt;0,IF(INDEX($EM$6:$EM$77,$FT1416)&gt;=GA$3,ROUND(INDEX(EO$6:EO$77,$FT1416)*INDEX(卡牌消耗!$B$8:$F$8,FV1416)/5,0)*5,""),"")</f>
        <v/>
      </c>
      <c r="GB1416" s="101" t="str">
        <f t="shared" si="669"/>
        <v/>
      </c>
      <c r="GC1416" s="101" t="str">
        <f t="shared" si="670"/>
        <v/>
      </c>
      <c r="GD1416" s="101" t="str">
        <f t="shared" si="671"/>
        <v/>
      </c>
      <c r="GE1416" s="101" t="str">
        <f t="shared" si="672"/>
        <v/>
      </c>
      <c r="GF1416" s="101" t="str">
        <f t="shared" si="654"/>
        <v/>
      </c>
      <c r="GG1416" s="101" t="str">
        <f t="shared" si="655"/>
        <v/>
      </c>
      <c r="GH1416" s="101" t="str">
        <f t="shared" si="656"/>
        <v/>
      </c>
      <c r="GI1416" s="101" t="str">
        <f t="shared" si="657"/>
        <v/>
      </c>
      <c r="GJ1416" s="101" t="str">
        <f t="shared" si="658"/>
        <v/>
      </c>
      <c r="GK1416" s="101" t="str">
        <f t="shared" si="659"/>
        <v/>
      </c>
      <c r="GL1416" s="101" t="str">
        <f t="shared" si="660"/>
        <v/>
      </c>
      <c r="GM1416" s="101" t="str">
        <f t="shared" si="661"/>
        <v/>
      </c>
      <c r="GN1416" s="101" t="str">
        <f t="shared" si="662"/>
        <v/>
      </c>
      <c r="GO1416" s="101" t="str">
        <f t="shared" si="663"/>
        <v/>
      </c>
      <c r="GP1416" s="101" t="str">
        <f t="shared" si="664"/>
        <v/>
      </c>
      <c r="GQ1416" s="101" t="str">
        <f t="shared" si="665"/>
        <v/>
      </c>
    </row>
    <row r="1417" spans="175:199" ht="16.5" x14ac:dyDescent="0.2">
      <c r="FS1417" s="101">
        <v>1412</v>
      </c>
      <c r="FT1417" s="101">
        <f t="shared" si="650"/>
        <v>46</v>
      </c>
      <c r="FU1417" s="101">
        <f t="shared" si="666"/>
        <v>18</v>
      </c>
      <c r="FV1417" s="14">
        <f t="shared" si="667"/>
        <v>3</v>
      </c>
      <c r="FW1417" s="101" t="str">
        <f t="shared" si="651"/>
        <v>雷震子专属武器-魂珠-6 1级</v>
      </c>
      <c r="FX1417" s="101">
        <f t="shared" si="652"/>
        <v>6</v>
      </c>
      <c r="FY1417" s="101">
        <f t="shared" si="653"/>
        <v>1</v>
      </c>
      <c r="FZ1417" s="101" t="str">
        <f t="shared" si="668"/>
        <v>金币</v>
      </c>
      <c r="GA1417" s="139">
        <f>IF($FY1417&gt;0,IF(INDEX($EM$6:$EM$77,$FT1417)&gt;=GA$3,ROUND(INDEX(EO$6:EO$77,$FT1417)*INDEX(卡牌消耗!$B$8:$F$8,FV1417)/5,0)*5,""),"")</f>
        <v>1455</v>
      </c>
      <c r="GB1417" s="101" t="str">
        <f t="shared" si="669"/>
        <v>专属强化石3</v>
      </c>
      <c r="GC1417" s="101">
        <f t="shared" si="670"/>
        <v>5</v>
      </c>
      <c r="GD1417" s="101" t="str">
        <f t="shared" si="671"/>
        <v>专属强化石4</v>
      </c>
      <c r="GE1417" s="101">
        <f t="shared" si="672"/>
        <v>1</v>
      </c>
      <c r="GF1417" s="101">
        <f t="shared" si="654"/>
        <v>0.17</v>
      </c>
      <c r="GG1417" s="101">
        <f t="shared" si="655"/>
        <v>1</v>
      </c>
      <c r="GH1417" s="101">
        <f t="shared" si="656"/>
        <v>9</v>
      </c>
      <c r="GI1417" s="101">
        <f t="shared" si="657"/>
        <v>0</v>
      </c>
      <c r="GJ1417" s="101">
        <f t="shared" si="658"/>
        <v>1</v>
      </c>
      <c r="GK1417" s="101">
        <f t="shared" si="659"/>
        <v>2</v>
      </c>
      <c r="GL1417" s="101">
        <f t="shared" si="660"/>
        <v>8.2900000000000001E-2</v>
      </c>
      <c r="GM1417" s="101">
        <f t="shared" si="661"/>
        <v>1</v>
      </c>
      <c r="GN1417" s="101">
        <f t="shared" si="662"/>
        <v>4</v>
      </c>
      <c r="GO1417" s="101">
        <f t="shared" si="663"/>
        <v>0.33139999999999997</v>
      </c>
      <c r="GP1417" s="101">
        <f t="shared" si="664"/>
        <v>1</v>
      </c>
      <c r="GQ1417" s="101">
        <f t="shared" si="665"/>
        <v>9</v>
      </c>
    </row>
    <row r="1418" spans="175:199" ht="16.5" x14ac:dyDescent="0.2">
      <c r="FS1418" s="101">
        <v>1413</v>
      </c>
      <c r="FT1418" s="101">
        <f t="shared" si="650"/>
        <v>47</v>
      </c>
      <c r="FU1418" s="101">
        <f t="shared" si="666"/>
        <v>18</v>
      </c>
      <c r="FV1418" s="14">
        <f t="shared" si="667"/>
        <v>3</v>
      </c>
      <c r="FW1418" s="101" t="str">
        <f t="shared" si="651"/>
        <v>雷震子专属武器-魂珠-6 2级</v>
      </c>
      <c r="FX1418" s="101">
        <f t="shared" si="652"/>
        <v>6</v>
      </c>
      <c r="FY1418" s="101">
        <f t="shared" si="653"/>
        <v>2</v>
      </c>
      <c r="FZ1418" s="101" t="str">
        <f t="shared" si="668"/>
        <v>金币</v>
      </c>
      <c r="GA1418" s="139">
        <f>IF($FY1418&gt;0,IF(INDEX($EM$6:$EM$77,$FT1418)&gt;=GA$3,ROUND(INDEX(EO$6:EO$77,$FT1418)*INDEX(卡牌消耗!$B$8:$F$8,FV1418)/5,0)*5,""),"")</f>
        <v>2180</v>
      </c>
      <c r="GB1418" s="101" t="str">
        <f t="shared" si="669"/>
        <v>专属强化石3</v>
      </c>
      <c r="GC1418" s="101">
        <f t="shared" si="670"/>
        <v>10</v>
      </c>
      <c r="GD1418" s="101" t="str">
        <f t="shared" si="671"/>
        <v>专属强化石4</v>
      </c>
      <c r="GE1418" s="101">
        <f t="shared" si="672"/>
        <v>2</v>
      </c>
      <c r="GF1418" s="101">
        <f t="shared" si="654"/>
        <v>0.17</v>
      </c>
      <c r="GG1418" s="101">
        <f t="shared" si="655"/>
        <v>1</v>
      </c>
      <c r="GH1418" s="101">
        <f t="shared" si="656"/>
        <v>9</v>
      </c>
      <c r="GI1418" s="101">
        <f t="shared" si="657"/>
        <v>0</v>
      </c>
      <c r="GJ1418" s="101">
        <f t="shared" si="658"/>
        <v>1</v>
      </c>
      <c r="GK1418" s="101">
        <f t="shared" si="659"/>
        <v>2</v>
      </c>
      <c r="GL1418" s="101">
        <f t="shared" si="660"/>
        <v>8.2900000000000001E-2</v>
      </c>
      <c r="GM1418" s="101">
        <f t="shared" si="661"/>
        <v>1</v>
      </c>
      <c r="GN1418" s="101">
        <f t="shared" si="662"/>
        <v>4</v>
      </c>
      <c r="GO1418" s="101">
        <f t="shared" si="663"/>
        <v>0.33139999999999997</v>
      </c>
      <c r="GP1418" s="101">
        <f t="shared" si="664"/>
        <v>1</v>
      </c>
      <c r="GQ1418" s="101">
        <f t="shared" si="665"/>
        <v>9</v>
      </c>
    </row>
    <row r="1419" spans="175:199" ht="16.5" x14ac:dyDescent="0.2">
      <c r="FS1419" s="101">
        <v>1414</v>
      </c>
      <c r="FT1419" s="101">
        <f t="shared" si="650"/>
        <v>48</v>
      </c>
      <c r="FU1419" s="101">
        <f t="shared" si="666"/>
        <v>18</v>
      </c>
      <c r="FV1419" s="14">
        <f t="shared" si="667"/>
        <v>3</v>
      </c>
      <c r="FW1419" s="101" t="str">
        <f t="shared" si="651"/>
        <v>雷震子专属武器-魂珠-6 3级</v>
      </c>
      <c r="FX1419" s="101">
        <f t="shared" si="652"/>
        <v>6</v>
      </c>
      <c r="FY1419" s="101">
        <f t="shared" si="653"/>
        <v>3</v>
      </c>
      <c r="FZ1419" s="101" t="str">
        <f t="shared" si="668"/>
        <v>金币</v>
      </c>
      <c r="GA1419" s="139">
        <f>IF($FY1419&gt;0,IF(INDEX($EM$6:$EM$77,$FT1419)&gt;=GA$3,ROUND(INDEX(EO$6:EO$77,$FT1419)*INDEX(卡牌消耗!$B$8:$F$8,FV1419)/5,0)*5,""),"")</f>
        <v>2425</v>
      </c>
      <c r="GB1419" s="101" t="str">
        <f t="shared" si="669"/>
        <v>专属强化石3</v>
      </c>
      <c r="GC1419" s="101">
        <f t="shared" si="670"/>
        <v>10</v>
      </c>
      <c r="GD1419" s="101" t="str">
        <f t="shared" si="671"/>
        <v>专属强化石4</v>
      </c>
      <c r="GE1419" s="101">
        <f t="shared" si="672"/>
        <v>2</v>
      </c>
      <c r="GF1419" s="101">
        <f t="shared" si="654"/>
        <v>0.11</v>
      </c>
      <c r="GG1419" s="101">
        <f t="shared" si="655"/>
        <v>1</v>
      </c>
      <c r="GH1419" s="101">
        <f t="shared" si="656"/>
        <v>14</v>
      </c>
      <c r="GI1419" s="101">
        <f t="shared" si="657"/>
        <v>0</v>
      </c>
      <c r="GJ1419" s="101">
        <f t="shared" si="658"/>
        <v>1</v>
      </c>
      <c r="GK1419" s="101">
        <f t="shared" si="659"/>
        <v>3</v>
      </c>
      <c r="GL1419" s="101">
        <f t="shared" si="660"/>
        <v>5.5199999999999999E-2</v>
      </c>
      <c r="GM1419" s="101">
        <f t="shared" si="661"/>
        <v>1</v>
      </c>
      <c r="GN1419" s="101">
        <f t="shared" si="662"/>
        <v>6</v>
      </c>
      <c r="GO1419" s="101">
        <f t="shared" si="663"/>
        <v>0.221</v>
      </c>
      <c r="GP1419" s="101">
        <f t="shared" si="664"/>
        <v>1</v>
      </c>
      <c r="GQ1419" s="101">
        <f t="shared" si="665"/>
        <v>14</v>
      </c>
    </row>
    <row r="1420" spans="175:199" ht="16.5" x14ac:dyDescent="0.2">
      <c r="FS1420" s="101">
        <v>1415</v>
      </c>
      <c r="FT1420" s="101">
        <f t="shared" si="650"/>
        <v>49</v>
      </c>
      <c r="FU1420" s="101">
        <f t="shared" si="666"/>
        <v>18</v>
      </c>
      <c r="FV1420" s="14">
        <f t="shared" si="667"/>
        <v>3</v>
      </c>
      <c r="FW1420" s="101" t="str">
        <f t="shared" si="651"/>
        <v>雷震子专属武器-魂珠-6 4级</v>
      </c>
      <c r="FX1420" s="101">
        <f t="shared" si="652"/>
        <v>6</v>
      </c>
      <c r="FY1420" s="101">
        <f t="shared" si="653"/>
        <v>4</v>
      </c>
      <c r="FZ1420" s="101" t="str">
        <f t="shared" si="668"/>
        <v>金币</v>
      </c>
      <c r="GA1420" s="139">
        <f>IF($FY1420&gt;0,IF(INDEX($EM$6:$EM$77,$FT1420)&gt;=GA$3,ROUND(INDEX(EO$6:EO$77,$FT1420)*INDEX(卡牌消耗!$B$8:$F$8,FV1420)/5,0)*5,""),"")</f>
        <v>3490</v>
      </c>
      <c r="GB1420" s="101" t="str">
        <f t="shared" si="669"/>
        <v>专属强化石3</v>
      </c>
      <c r="GC1420" s="101">
        <f t="shared" si="670"/>
        <v>15</v>
      </c>
      <c r="GD1420" s="101" t="str">
        <f t="shared" si="671"/>
        <v>专属强化石4</v>
      </c>
      <c r="GE1420" s="101">
        <f t="shared" si="672"/>
        <v>3</v>
      </c>
      <c r="GF1420" s="101">
        <f t="shared" si="654"/>
        <v>0.1</v>
      </c>
      <c r="GG1420" s="101">
        <f t="shared" si="655"/>
        <v>1</v>
      </c>
      <c r="GH1420" s="101">
        <f t="shared" si="656"/>
        <v>15</v>
      </c>
      <c r="GI1420" s="101">
        <f t="shared" si="657"/>
        <v>0</v>
      </c>
      <c r="GJ1420" s="101">
        <f t="shared" si="658"/>
        <v>1</v>
      </c>
      <c r="GK1420" s="101">
        <f t="shared" si="659"/>
        <v>4</v>
      </c>
      <c r="GL1420" s="101">
        <f t="shared" si="660"/>
        <v>4.9700000000000001E-2</v>
      </c>
      <c r="GM1420" s="101">
        <f t="shared" si="661"/>
        <v>1</v>
      </c>
      <c r="GN1420" s="101">
        <f t="shared" si="662"/>
        <v>7</v>
      </c>
      <c r="GO1420" s="101">
        <f t="shared" si="663"/>
        <v>0.19889999999999999</v>
      </c>
      <c r="GP1420" s="101">
        <f t="shared" si="664"/>
        <v>1</v>
      </c>
      <c r="GQ1420" s="101">
        <f t="shared" si="665"/>
        <v>15</v>
      </c>
    </row>
    <row r="1421" spans="175:199" ht="16.5" x14ac:dyDescent="0.2">
      <c r="FS1421" s="101">
        <v>1416</v>
      </c>
      <c r="FT1421" s="101">
        <f t="shared" si="650"/>
        <v>50</v>
      </c>
      <c r="FU1421" s="101">
        <f t="shared" si="666"/>
        <v>18</v>
      </c>
      <c r="FV1421" s="14">
        <f t="shared" si="667"/>
        <v>3</v>
      </c>
      <c r="FW1421" s="101" t="str">
        <f t="shared" si="651"/>
        <v>雷震子专属武器-魂珠-6 5级</v>
      </c>
      <c r="FX1421" s="101">
        <f t="shared" si="652"/>
        <v>6</v>
      </c>
      <c r="FY1421" s="101">
        <f t="shared" si="653"/>
        <v>5</v>
      </c>
      <c r="FZ1421" s="101" t="str">
        <f t="shared" si="668"/>
        <v>金币</v>
      </c>
      <c r="GA1421" s="139">
        <f>IF($FY1421&gt;0,IF(INDEX($EM$6:$EM$77,$FT1421)&gt;=GA$3,ROUND(INDEX(EO$6:EO$77,$FT1421)*INDEX(卡牌消耗!$B$8:$F$8,FV1421)/5,0)*5,""),"")</f>
        <v>3545</v>
      </c>
      <c r="GB1421" s="101" t="str">
        <f t="shared" si="669"/>
        <v>专属强化石3</v>
      </c>
      <c r="GC1421" s="101">
        <f t="shared" si="670"/>
        <v>15</v>
      </c>
      <c r="GD1421" s="101" t="str">
        <f t="shared" si="671"/>
        <v>专属强化石4</v>
      </c>
      <c r="GE1421" s="101">
        <f t="shared" si="672"/>
        <v>3</v>
      </c>
      <c r="GF1421" s="101">
        <f t="shared" si="654"/>
        <v>0.06</v>
      </c>
      <c r="GG1421" s="101">
        <f t="shared" si="655"/>
        <v>1</v>
      </c>
      <c r="GH1421" s="101">
        <f t="shared" si="656"/>
        <v>24</v>
      </c>
      <c r="GI1421" s="101">
        <f t="shared" si="657"/>
        <v>0</v>
      </c>
      <c r="GJ1421" s="101">
        <f t="shared" si="658"/>
        <v>1</v>
      </c>
      <c r="GK1421" s="101">
        <f t="shared" si="659"/>
        <v>6</v>
      </c>
      <c r="GL1421" s="101">
        <f t="shared" si="660"/>
        <v>3.1099999999999999E-2</v>
      </c>
      <c r="GM1421" s="101">
        <f t="shared" si="661"/>
        <v>1</v>
      </c>
      <c r="GN1421" s="101">
        <f t="shared" si="662"/>
        <v>11</v>
      </c>
      <c r="GO1421" s="101">
        <f t="shared" si="663"/>
        <v>0.12429999999999999</v>
      </c>
      <c r="GP1421" s="101">
        <f t="shared" si="664"/>
        <v>1</v>
      </c>
      <c r="GQ1421" s="101">
        <f t="shared" si="665"/>
        <v>24</v>
      </c>
    </row>
    <row r="1422" spans="175:199" ht="16.5" x14ac:dyDescent="0.2">
      <c r="FS1422" s="101">
        <v>1417</v>
      </c>
      <c r="FT1422" s="101">
        <f t="shared" si="650"/>
        <v>51</v>
      </c>
      <c r="FU1422" s="101">
        <f t="shared" si="666"/>
        <v>18</v>
      </c>
      <c r="FV1422" s="14">
        <f t="shared" si="667"/>
        <v>3</v>
      </c>
      <c r="FW1422" s="101" t="str">
        <f t="shared" si="651"/>
        <v>雷震子专属武器-魂珠-6 6级</v>
      </c>
      <c r="FX1422" s="101">
        <f t="shared" si="652"/>
        <v>6</v>
      </c>
      <c r="FY1422" s="101">
        <f t="shared" si="653"/>
        <v>6</v>
      </c>
      <c r="FZ1422" s="101" t="str">
        <f t="shared" si="668"/>
        <v>金币</v>
      </c>
      <c r="GA1422" s="139">
        <f>IF($FY1422&gt;0,IF(INDEX($EM$6:$EM$77,$FT1422)&gt;=GA$3,ROUND(INDEX(EO$6:EO$77,$FT1422)*INDEX(卡牌消耗!$B$8:$F$8,FV1422)/5,0)*5,""),"")</f>
        <v>4700</v>
      </c>
      <c r="GB1422" s="101" t="str">
        <f t="shared" si="669"/>
        <v>专属强化石3</v>
      </c>
      <c r="GC1422" s="101">
        <f t="shared" si="670"/>
        <v>20</v>
      </c>
      <c r="GD1422" s="101" t="str">
        <f t="shared" si="671"/>
        <v>专属强化石4</v>
      </c>
      <c r="GE1422" s="101">
        <f t="shared" si="672"/>
        <v>4</v>
      </c>
      <c r="GF1422" s="101">
        <f t="shared" si="654"/>
        <v>0.05</v>
      </c>
      <c r="GG1422" s="101">
        <f t="shared" si="655"/>
        <v>1</v>
      </c>
      <c r="GH1422" s="101">
        <f t="shared" si="656"/>
        <v>29</v>
      </c>
      <c r="GI1422" s="101">
        <f t="shared" si="657"/>
        <v>0</v>
      </c>
      <c r="GJ1422" s="101">
        <f t="shared" si="658"/>
        <v>1</v>
      </c>
      <c r="GK1422" s="101">
        <f t="shared" si="659"/>
        <v>7</v>
      </c>
      <c r="GL1422" s="101">
        <f t="shared" si="660"/>
        <v>2.5499999999999998E-2</v>
      </c>
      <c r="GM1422" s="101">
        <f t="shared" si="661"/>
        <v>1</v>
      </c>
      <c r="GN1422" s="101">
        <f t="shared" si="662"/>
        <v>14</v>
      </c>
      <c r="GO1422" s="101">
        <f t="shared" si="663"/>
        <v>0.10199999999999999</v>
      </c>
      <c r="GP1422" s="101">
        <f t="shared" si="664"/>
        <v>1</v>
      </c>
      <c r="GQ1422" s="101">
        <f t="shared" si="665"/>
        <v>29</v>
      </c>
    </row>
    <row r="1423" spans="175:199" ht="16.5" x14ac:dyDescent="0.2">
      <c r="FS1423" s="101">
        <v>1418</v>
      </c>
      <c r="FT1423" s="101">
        <f t="shared" si="650"/>
        <v>52</v>
      </c>
      <c r="FU1423" s="101">
        <f t="shared" si="666"/>
        <v>18</v>
      </c>
      <c r="FV1423" s="14">
        <f t="shared" si="667"/>
        <v>3</v>
      </c>
      <c r="FW1423" s="101" t="str">
        <f t="shared" si="651"/>
        <v>雷震子专属武器-魂珠-6 7级</v>
      </c>
      <c r="FX1423" s="101">
        <f t="shared" si="652"/>
        <v>6</v>
      </c>
      <c r="FY1423" s="101">
        <f t="shared" si="653"/>
        <v>7</v>
      </c>
      <c r="FZ1423" s="101" t="str">
        <f t="shared" si="668"/>
        <v>金币</v>
      </c>
      <c r="GA1423" s="139">
        <f>IF($FY1423&gt;0,IF(INDEX($EM$6:$EM$77,$FT1423)&gt;=GA$3,ROUND(INDEX(EO$6:EO$77,$FT1423)*INDEX(卡牌消耗!$B$8:$F$8,FV1423)/5,0)*5,""),"")</f>
        <v>5885</v>
      </c>
      <c r="GB1423" s="101" t="str">
        <f t="shared" si="669"/>
        <v>专属强化石3</v>
      </c>
      <c r="GC1423" s="101">
        <f t="shared" si="670"/>
        <v>25</v>
      </c>
      <c r="GD1423" s="101" t="str">
        <f t="shared" si="671"/>
        <v>专属强化石4</v>
      </c>
      <c r="GE1423" s="101">
        <f t="shared" si="672"/>
        <v>5</v>
      </c>
      <c r="GF1423" s="101">
        <f t="shared" si="654"/>
        <v>0.04</v>
      </c>
      <c r="GG1423" s="101">
        <f t="shared" si="655"/>
        <v>1</v>
      </c>
      <c r="GH1423" s="101">
        <f t="shared" si="656"/>
        <v>38</v>
      </c>
      <c r="GI1423" s="101">
        <f t="shared" si="657"/>
        <v>0</v>
      </c>
      <c r="GJ1423" s="101">
        <f t="shared" si="658"/>
        <v>1</v>
      </c>
      <c r="GK1423" s="101">
        <f t="shared" si="659"/>
        <v>9</v>
      </c>
      <c r="GL1423" s="101">
        <f t="shared" si="660"/>
        <v>1.9699999999999999E-2</v>
      </c>
      <c r="GM1423" s="101">
        <f t="shared" si="661"/>
        <v>1</v>
      </c>
      <c r="GN1423" s="101">
        <f t="shared" si="662"/>
        <v>18</v>
      </c>
      <c r="GO1423" s="101">
        <f t="shared" si="663"/>
        <v>7.8899999999999998E-2</v>
      </c>
      <c r="GP1423" s="101">
        <f t="shared" si="664"/>
        <v>1</v>
      </c>
      <c r="GQ1423" s="101">
        <f t="shared" si="665"/>
        <v>38</v>
      </c>
    </row>
    <row r="1424" spans="175:199" ht="16.5" x14ac:dyDescent="0.2">
      <c r="FS1424" s="101">
        <v>1419</v>
      </c>
      <c r="FT1424" s="101">
        <f t="shared" si="650"/>
        <v>53</v>
      </c>
      <c r="FU1424" s="101">
        <f t="shared" si="666"/>
        <v>18</v>
      </c>
      <c r="FV1424" s="14">
        <f t="shared" si="667"/>
        <v>3</v>
      </c>
      <c r="FW1424" s="101" t="str">
        <f t="shared" si="651"/>
        <v>雷震子专属武器-魂珠-6 8级</v>
      </c>
      <c r="FX1424" s="101">
        <f t="shared" si="652"/>
        <v>6</v>
      </c>
      <c r="FY1424" s="101">
        <f t="shared" si="653"/>
        <v>8</v>
      </c>
      <c r="FZ1424" s="101" t="str">
        <f t="shared" si="668"/>
        <v>金币</v>
      </c>
      <c r="GA1424" s="139">
        <f>IF($FY1424&gt;0,IF(INDEX($EM$6:$EM$77,$FT1424)&gt;=GA$3,ROUND(INDEX(EO$6:EO$77,$FT1424)*INDEX(卡牌消耗!$B$8:$F$8,FV1424)/5,0)*5,""),"")</f>
        <v>8235</v>
      </c>
      <c r="GB1424" s="101" t="str">
        <f t="shared" si="669"/>
        <v>专属强化石3</v>
      </c>
      <c r="GC1424" s="101">
        <f t="shared" si="670"/>
        <v>35</v>
      </c>
      <c r="GD1424" s="101" t="str">
        <f t="shared" si="671"/>
        <v>专属强化石4</v>
      </c>
      <c r="GE1424" s="101">
        <f t="shared" si="672"/>
        <v>7</v>
      </c>
      <c r="GF1424" s="101">
        <f t="shared" si="654"/>
        <v>0.03</v>
      </c>
      <c r="GG1424" s="101">
        <f t="shared" si="655"/>
        <v>1</v>
      </c>
      <c r="GH1424" s="101">
        <f t="shared" si="656"/>
        <v>44</v>
      </c>
      <c r="GI1424" s="101">
        <f t="shared" si="657"/>
        <v>0</v>
      </c>
      <c r="GJ1424" s="101">
        <f t="shared" si="658"/>
        <v>1</v>
      </c>
      <c r="GK1424" s="101">
        <f t="shared" si="659"/>
        <v>10</v>
      </c>
      <c r="GL1424" s="101">
        <f t="shared" si="660"/>
        <v>1.7100000000000001E-2</v>
      </c>
      <c r="GM1424" s="101">
        <f t="shared" si="661"/>
        <v>1</v>
      </c>
      <c r="GN1424" s="101">
        <f t="shared" si="662"/>
        <v>21</v>
      </c>
      <c r="GO1424" s="101">
        <f t="shared" si="663"/>
        <v>6.8199999999999997E-2</v>
      </c>
      <c r="GP1424" s="101">
        <f t="shared" si="664"/>
        <v>1</v>
      </c>
      <c r="GQ1424" s="101">
        <f t="shared" si="665"/>
        <v>44</v>
      </c>
    </row>
    <row r="1425" spans="175:199" ht="16.5" x14ac:dyDescent="0.2">
      <c r="FS1425" s="101">
        <v>1420</v>
      </c>
      <c r="FT1425" s="101">
        <f t="shared" si="650"/>
        <v>54</v>
      </c>
      <c r="FU1425" s="101">
        <f t="shared" si="666"/>
        <v>18</v>
      </c>
      <c r="FV1425" s="14">
        <f t="shared" si="667"/>
        <v>3</v>
      </c>
      <c r="FW1425" s="101" t="str">
        <f t="shared" si="651"/>
        <v>雷震子专属武器-魂珠-6 9级</v>
      </c>
      <c r="FX1425" s="101">
        <f t="shared" si="652"/>
        <v>6</v>
      </c>
      <c r="FY1425" s="101">
        <f t="shared" si="653"/>
        <v>9</v>
      </c>
      <c r="FZ1425" s="101" t="str">
        <f t="shared" si="668"/>
        <v>金币</v>
      </c>
      <c r="GA1425" s="139">
        <f>IF($FY1425&gt;0,IF(INDEX($EM$6:$EM$77,$FT1425)&gt;=GA$3,ROUND(INDEX(EO$6:EO$77,$FT1425)*INDEX(卡牌消耗!$B$8:$F$8,FV1425)/5,0)*5,""),"")</f>
        <v>9410</v>
      </c>
      <c r="GB1425" s="101" t="str">
        <f t="shared" si="669"/>
        <v>专属强化石3</v>
      </c>
      <c r="GC1425" s="101">
        <f t="shared" si="670"/>
        <v>40</v>
      </c>
      <c r="GD1425" s="101" t="str">
        <f t="shared" si="671"/>
        <v>专属强化石4</v>
      </c>
      <c r="GE1425" s="101">
        <f t="shared" si="672"/>
        <v>8</v>
      </c>
      <c r="GF1425" s="101">
        <f t="shared" si="654"/>
        <v>0.02</v>
      </c>
      <c r="GG1425" s="101">
        <f t="shared" si="655"/>
        <v>1</v>
      </c>
      <c r="GH1425" s="101">
        <f t="shared" si="656"/>
        <v>62</v>
      </c>
      <c r="GI1425" s="101">
        <f t="shared" si="657"/>
        <v>0</v>
      </c>
      <c r="GJ1425" s="101">
        <f t="shared" si="658"/>
        <v>1</v>
      </c>
      <c r="GK1425" s="101">
        <f t="shared" si="659"/>
        <v>15</v>
      </c>
      <c r="GL1425" s="101">
        <f t="shared" si="660"/>
        <v>1.21E-2</v>
      </c>
      <c r="GM1425" s="101">
        <f t="shared" si="661"/>
        <v>1</v>
      </c>
      <c r="GN1425" s="101">
        <f t="shared" si="662"/>
        <v>29</v>
      </c>
      <c r="GO1425" s="101">
        <f t="shared" si="663"/>
        <v>4.82E-2</v>
      </c>
      <c r="GP1425" s="101">
        <f t="shared" si="664"/>
        <v>1</v>
      </c>
      <c r="GQ1425" s="101">
        <f t="shared" si="665"/>
        <v>62</v>
      </c>
    </row>
    <row r="1426" spans="175:199" ht="16.5" x14ac:dyDescent="0.2">
      <c r="FS1426" s="101">
        <v>1421</v>
      </c>
      <c r="FT1426" s="101">
        <f t="shared" si="650"/>
        <v>0</v>
      </c>
      <c r="FU1426" s="101">
        <f t="shared" si="666"/>
        <v>18</v>
      </c>
      <c r="FV1426" s="14">
        <f t="shared" si="667"/>
        <v>3</v>
      </c>
      <c r="FW1426" s="101" t="str">
        <f t="shared" si="651"/>
        <v>雷震子专属武器-魂珠-7 0级</v>
      </c>
      <c r="FX1426" s="101">
        <f t="shared" si="652"/>
        <v>7</v>
      </c>
      <c r="FY1426" s="101">
        <f t="shared" si="653"/>
        <v>0</v>
      </c>
      <c r="FZ1426" s="101" t="str">
        <f t="shared" si="668"/>
        <v/>
      </c>
      <c r="GA1426" s="139" t="str">
        <f>IF($FY1426&gt;0,IF(INDEX($EM$6:$EM$77,$FT1426)&gt;=GA$3,ROUND(INDEX(EO$6:EO$77,$FT1426)*INDEX(卡牌消耗!$B$8:$F$8,FV1426)/5,0)*5,""),"")</f>
        <v/>
      </c>
      <c r="GB1426" s="101" t="str">
        <f t="shared" si="669"/>
        <v/>
      </c>
      <c r="GC1426" s="101" t="str">
        <f t="shared" si="670"/>
        <v/>
      </c>
      <c r="GD1426" s="101" t="str">
        <f t="shared" si="671"/>
        <v/>
      </c>
      <c r="GE1426" s="101" t="str">
        <f t="shared" si="672"/>
        <v/>
      </c>
      <c r="GF1426" s="101" t="str">
        <f t="shared" si="654"/>
        <v/>
      </c>
      <c r="GG1426" s="101" t="str">
        <f t="shared" si="655"/>
        <v/>
      </c>
      <c r="GH1426" s="101" t="str">
        <f t="shared" si="656"/>
        <v/>
      </c>
      <c r="GI1426" s="101" t="str">
        <f t="shared" si="657"/>
        <v/>
      </c>
      <c r="GJ1426" s="101" t="str">
        <f t="shared" si="658"/>
        <v/>
      </c>
      <c r="GK1426" s="101" t="str">
        <f t="shared" si="659"/>
        <v/>
      </c>
      <c r="GL1426" s="101" t="str">
        <f t="shared" si="660"/>
        <v/>
      </c>
      <c r="GM1426" s="101" t="str">
        <f t="shared" si="661"/>
        <v/>
      </c>
      <c r="GN1426" s="101" t="str">
        <f t="shared" si="662"/>
        <v/>
      </c>
      <c r="GO1426" s="101" t="str">
        <f t="shared" si="663"/>
        <v/>
      </c>
      <c r="GP1426" s="101" t="str">
        <f t="shared" si="664"/>
        <v/>
      </c>
      <c r="GQ1426" s="101" t="str">
        <f t="shared" si="665"/>
        <v/>
      </c>
    </row>
    <row r="1427" spans="175:199" ht="16.5" x14ac:dyDescent="0.2">
      <c r="FS1427" s="101">
        <v>1422</v>
      </c>
      <c r="FT1427" s="101">
        <f t="shared" si="650"/>
        <v>55</v>
      </c>
      <c r="FU1427" s="101">
        <f t="shared" si="666"/>
        <v>18</v>
      </c>
      <c r="FV1427" s="14">
        <f t="shared" si="667"/>
        <v>3</v>
      </c>
      <c r="FW1427" s="101" t="str">
        <f t="shared" si="651"/>
        <v>雷震子专属武器-魂珠-7 1级</v>
      </c>
      <c r="FX1427" s="101">
        <f t="shared" si="652"/>
        <v>7</v>
      </c>
      <c r="FY1427" s="101">
        <f t="shared" si="653"/>
        <v>1</v>
      </c>
      <c r="FZ1427" s="101" t="str">
        <f t="shared" si="668"/>
        <v>金币</v>
      </c>
      <c r="GA1427" s="139">
        <f>IF($FY1427&gt;0,IF(INDEX($EM$6:$EM$77,$FT1427)&gt;=GA$3,ROUND(INDEX(EO$6:EO$77,$FT1427)*INDEX(卡牌消耗!$B$8:$F$8,FV1427)/5,0)*5,""),"")</f>
        <v>5075</v>
      </c>
      <c r="GB1427" s="101" t="str">
        <f t="shared" si="669"/>
        <v>专属强化石3</v>
      </c>
      <c r="GC1427" s="101">
        <f t="shared" si="670"/>
        <v>6</v>
      </c>
      <c r="GD1427" s="101" t="str">
        <f t="shared" si="671"/>
        <v>专属强化石4</v>
      </c>
      <c r="GE1427" s="101">
        <f t="shared" si="672"/>
        <v>2</v>
      </c>
      <c r="GF1427" s="101">
        <f t="shared" si="654"/>
        <v>0.2</v>
      </c>
      <c r="GG1427" s="101">
        <f t="shared" si="655"/>
        <v>1</v>
      </c>
      <c r="GH1427" s="101">
        <f t="shared" si="656"/>
        <v>8</v>
      </c>
      <c r="GI1427" s="101">
        <f t="shared" si="657"/>
        <v>0</v>
      </c>
      <c r="GJ1427" s="101">
        <f t="shared" si="658"/>
        <v>1</v>
      </c>
      <c r="GK1427" s="101">
        <f t="shared" si="659"/>
        <v>2</v>
      </c>
      <c r="GL1427" s="101">
        <f t="shared" si="660"/>
        <v>9.9400000000000002E-2</v>
      </c>
      <c r="GM1427" s="101">
        <f t="shared" si="661"/>
        <v>1</v>
      </c>
      <c r="GN1427" s="101">
        <f t="shared" si="662"/>
        <v>4</v>
      </c>
      <c r="GO1427" s="101">
        <f t="shared" si="663"/>
        <v>0.3977</v>
      </c>
      <c r="GP1427" s="101">
        <f t="shared" si="664"/>
        <v>1</v>
      </c>
      <c r="GQ1427" s="101">
        <f t="shared" si="665"/>
        <v>8</v>
      </c>
    </row>
    <row r="1428" spans="175:199" ht="16.5" x14ac:dyDescent="0.2">
      <c r="FS1428" s="101">
        <v>1423</v>
      </c>
      <c r="FT1428" s="101">
        <f t="shared" si="650"/>
        <v>56</v>
      </c>
      <c r="FU1428" s="101">
        <f t="shared" si="666"/>
        <v>18</v>
      </c>
      <c r="FV1428" s="14">
        <f t="shared" si="667"/>
        <v>3</v>
      </c>
      <c r="FW1428" s="101" t="str">
        <f t="shared" si="651"/>
        <v>雷震子专属武器-魂珠-7 2级</v>
      </c>
      <c r="FX1428" s="101">
        <f t="shared" si="652"/>
        <v>7</v>
      </c>
      <c r="FY1428" s="101">
        <f t="shared" si="653"/>
        <v>2</v>
      </c>
      <c r="FZ1428" s="101" t="str">
        <f t="shared" si="668"/>
        <v>金币</v>
      </c>
      <c r="GA1428" s="139">
        <f>IF($FY1428&gt;0,IF(INDEX($EM$6:$EM$77,$FT1428)&gt;=GA$3,ROUND(INDEX(EO$6:EO$77,$FT1428)*INDEX(卡牌消耗!$B$8:$F$8,FV1428)/5,0)*5,""),"")</f>
        <v>3810</v>
      </c>
      <c r="GB1428" s="101" t="str">
        <f t="shared" si="669"/>
        <v>专属强化石3</v>
      </c>
      <c r="GC1428" s="101">
        <f t="shared" si="670"/>
        <v>6</v>
      </c>
      <c r="GD1428" s="101" t="str">
        <f t="shared" si="671"/>
        <v>专属强化石4</v>
      </c>
      <c r="GE1428" s="101">
        <f t="shared" si="672"/>
        <v>2</v>
      </c>
      <c r="GF1428" s="101">
        <f t="shared" si="654"/>
        <v>0.1</v>
      </c>
      <c r="GG1428" s="101">
        <f t="shared" si="655"/>
        <v>1</v>
      </c>
      <c r="GH1428" s="101">
        <f t="shared" si="656"/>
        <v>15</v>
      </c>
      <c r="GI1428" s="101">
        <f t="shared" si="657"/>
        <v>0</v>
      </c>
      <c r="GJ1428" s="101">
        <f t="shared" si="658"/>
        <v>1</v>
      </c>
      <c r="GK1428" s="101">
        <f t="shared" si="659"/>
        <v>4</v>
      </c>
      <c r="GL1428" s="101">
        <f t="shared" si="660"/>
        <v>4.9700000000000001E-2</v>
      </c>
      <c r="GM1428" s="101">
        <f t="shared" si="661"/>
        <v>1</v>
      </c>
      <c r="GN1428" s="101">
        <f t="shared" si="662"/>
        <v>7</v>
      </c>
      <c r="GO1428" s="101">
        <f t="shared" si="663"/>
        <v>0.19889999999999999</v>
      </c>
      <c r="GP1428" s="101">
        <f t="shared" si="664"/>
        <v>1</v>
      </c>
      <c r="GQ1428" s="101">
        <f t="shared" si="665"/>
        <v>15</v>
      </c>
    </row>
    <row r="1429" spans="175:199" ht="16.5" x14ac:dyDescent="0.2">
      <c r="FS1429" s="101">
        <v>1424</v>
      </c>
      <c r="FT1429" s="101">
        <f t="shared" si="650"/>
        <v>57</v>
      </c>
      <c r="FU1429" s="101">
        <f t="shared" si="666"/>
        <v>18</v>
      </c>
      <c r="FV1429" s="14">
        <f t="shared" si="667"/>
        <v>3</v>
      </c>
      <c r="FW1429" s="101" t="str">
        <f t="shared" si="651"/>
        <v>雷震子专属武器-魂珠-7 3级</v>
      </c>
      <c r="FX1429" s="101">
        <f t="shared" si="652"/>
        <v>7</v>
      </c>
      <c r="FY1429" s="101">
        <f t="shared" si="653"/>
        <v>3</v>
      </c>
      <c r="FZ1429" s="101" t="str">
        <f t="shared" si="668"/>
        <v>金币</v>
      </c>
      <c r="GA1429" s="139">
        <f>IF($FY1429&gt;0,IF(INDEX($EM$6:$EM$77,$FT1429)&gt;=GA$3,ROUND(INDEX(EO$6:EO$77,$FT1429)*INDEX(卡牌消耗!$B$8:$F$8,FV1429)/5,0)*5,""),"")</f>
        <v>6345</v>
      </c>
      <c r="GB1429" s="101" t="str">
        <f t="shared" si="669"/>
        <v>专属强化石3</v>
      </c>
      <c r="GC1429" s="101">
        <f t="shared" si="670"/>
        <v>9</v>
      </c>
      <c r="GD1429" s="101" t="str">
        <f t="shared" si="671"/>
        <v>专属强化石4</v>
      </c>
      <c r="GE1429" s="101">
        <f t="shared" si="672"/>
        <v>3</v>
      </c>
      <c r="GF1429" s="101">
        <f t="shared" si="654"/>
        <v>0.1</v>
      </c>
      <c r="GG1429" s="101">
        <f t="shared" si="655"/>
        <v>1</v>
      </c>
      <c r="GH1429" s="101">
        <f t="shared" si="656"/>
        <v>15</v>
      </c>
      <c r="GI1429" s="101">
        <f t="shared" si="657"/>
        <v>0</v>
      </c>
      <c r="GJ1429" s="101">
        <f t="shared" si="658"/>
        <v>1</v>
      </c>
      <c r="GK1429" s="101">
        <f t="shared" si="659"/>
        <v>4</v>
      </c>
      <c r="GL1429" s="101">
        <f t="shared" si="660"/>
        <v>4.9700000000000001E-2</v>
      </c>
      <c r="GM1429" s="101">
        <f t="shared" si="661"/>
        <v>1</v>
      </c>
      <c r="GN1429" s="101">
        <f t="shared" si="662"/>
        <v>7</v>
      </c>
      <c r="GO1429" s="101">
        <f t="shared" si="663"/>
        <v>0.19889999999999999</v>
      </c>
      <c r="GP1429" s="101">
        <f t="shared" si="664"/>
        <v>1</v>
      </c>
      <c r="GQ1429" s="101">
        <f t="shared" si="665"/>
        <v>15</v>
      </c>
    </row>
    <row r="1430" spans="175:199" ht="16.5" x14ac:dyDescent="0.2">
      <c r="FS1430" s="101">
        <v>1425</v>
      </c>
      <c r="FT1430" s="101">
        <f t="shared" ref="FT1430:FT1493" si="673">IF(FY1430&gt;0,(FX1430-1)*9+FY1430,0)</f>
        <v>58</v>
      </c>
      <c r="FU1430" s="101">
        <f t="shared" si="666"/>
        <v>18</v>
      </c>
      <c r="FV1430" s="14">
        <f t="shared" si="667"/>
        <v>3</v>
      </c>
      <c r="FW1430" s="101" t="str">
        <f t="shared" ref="FW1430:FW1493" si="674">INDEX($FN$6:$FN$26,FU1430)&amp;"专属武器-魂珠-"&amp;FX1430&amp;" "&amp;FY1430&amp;"级"</f>
        <v>雷震子专属武器-魂珠-7 4级</v>
      </c>
      <c r="FX1430" s="101">
        <f t="shared" ref="FX1430:FX1493" si="675">INT((FS1430-(FU1430-1)*80-1)/10)+1</f>
        <v>7</v>
      </c>
      <c r="FY1430" s="101">
        <f t="shared" ref="FY1430:FY1493" si="676">FS1430-(FU1430-1)*80-(FX1430-1)*10-1</f>
        <v>4</v>
      </c>
      <c r="FZ1430" s="101" t="str">
        <f t="shared" si="668"/>
        <v>金币</v>
      </c>
      <c r="GA1430" s="139">
        <f>IF($FY1430&gt;0,IF(INDEX($EM$6:$EM$77,$FT1430)&gt;=GA$3,ROUND(INDEX(EO$6:EO$77,$FT1430)*INDEX(卡牌消耗!$B$8:$F$8,FV1430)/5,0)*5,""),"")</f>
        <v>8125</v>
      </c>
      <c r="GB1430" s="101" t="str">
        <f t="shared" si="669"/>
        <v>专属强化石3</v>
      </c>
      <c r="GC1430" s="101">
        <f t="shared" si="670"/>
        <v>12</v>
      </c>
      <c r="GD1430" s="101" t="str">
        <f t="shared" si="671"/>
        <v>专属强化石4</v>
      </c>
      <c r="GE1430" s="101">
        <f t="shared" si="672"/>
        <v>4</v>
      </c>
      <c r="GF1430" s="101">
        <f t="shared" ref="GF1430:GF1493" si="677">IF($FY1430&gt;0,INDEX(ET$6:ET$77,$FT1430),"")</f>
        <v>0.08</v>
      </c>
      <c r="GG1430" s="101">
        <f t="shared" ref="GG1430:GG1493" si="678">IF($FY1430&gt;0,INDEX(EU$6:EU$77,$FT1430),"")</f>
        <v>1</v>
      </c>
      <c r="GH1430" s="101">
        <f t="shared" ref="GH1430:GH1493" si="679">IF($FY1430&gt;0,INDEX(EV$6:EV$77,$FT1430),"")</f>
        <v>19</v>
      </c>
      <c r="GI1430" s="101">
        <f t="shared" ref="GI1430:GI1493" si="680">IF($FY1430&gt;0,INDEX(FA$6:FA$77,$FT1430),"")</f>
        <v>0</v>
      </c>
      <c r="GJ1430" s="101">
        <f t="shared" ref="GJ1430:GJ1493" si="681">IF($FY1430&gt;0,INDEX(FB$6:FB$77,$FT1430),"")</f>
        <v>1</v>
      </c>
      <c r="GK1430" s="101">
        <f t="shared" ref="GK1430:GK1493" si="682">IF($FY1430&gt;0,INDEX(FC$6:FC$77,$FT1430),"")</f>
        <v>4</v>
      </c>
      <c r="GL1430" s="101">
        <f t="shared" ref="GL1430:GL1493" si="683">IF($FY1430&gt;0,INDEX(FD$6:FD$77,$FT1430),"")</f>
        <v>3.9800000000000002E-2</v>
      </c>
      <c r="GM1430" s="101">
        <f t="shared" ref="GM1430:GM1493" si="684">IF($FY1430&gt;0,INDEX(FE$6:FE$77,$FT1430),"")</f>
        <v>1</v>
      </c>
      <c r="GN1430" s="101">
        <f t="shared" ref="GN1430:GN1493" si="685">IF($FY1430&gt;0,INDEX(FF$6:FF$77,$FT1430),"")</f>
        <v>9</v>
      </c>
      <c r="GO1430" s="101">
        <f t="shared" ref="GO1430:GO1493" si="686">IF($FY1430&gt;0,INDEX(FG$6:FG$77,$FT1430),"")</f>
        <v>0.15909999999999999</v>
      </c>
      <c r="GP1430" s="101">
        <f t="shared" ref="GP1430:GP1493" si="687">IF($FY1430&gt;0,INDEX(FH$6:FH$77,$FT1430),"")</f>
        <v>1</v>
      </c>
      <c r="GQ1430" s="101">
        <f t="shared" ref="GQ1430:GQ1493" si="688">IF($FY1430&gt;0,INDEX(FI$6:FI$77,$FT1430),"")</f>
        <v>19</v>
      </c>
    </row>
    <row r="1431" spans="175:199" ht="16.5" x14ac:dyDescent="0.2">
      <c r="FS1431" s="101">
        <v>1426</v>
      </c>
      <c r="FT1431" s="101">
        <f t="shared" si="673"/>
        <v>59</v>
      </c>
      <c r="FU1431" s="101">
        <f t="shared" si="666"/>
        <v>18</v>
      </c>
      <c r="FV1431" s="14">
        <f t="shared" si="667"/>
        <v>3</v>
      </c>
      <c r="FW1431" s="101" t="str">
        <f t="shared" si="674"/>
        <v>雷震子专属武器-魂珠-7 5级</v>
      </c>
      <c r="FX1431" s="101">
        <f t="shared" si="675"/>
        <v>7</v>
      </c>
      <c r="FY1431" s="101">
        <f t="shared" si="676"/>
        <v>5</v>
      </c>
      <c r="FZ1431" s="101" t="str">
        <f t="shared" si="668"/>
        <v>金币</v>
      </c>
      <c r="GA1431" s="139">
        <f>IF($FY1431&gt;0,IF(INDEX($EM$6:$EM$77,$FT1431)&gt;=GA$3,ROUND(INDEX(EO$6:EO$77,$FT1431)*INDEX(卡牌消耗!$B$8:$F$8,FV1431)/5,0)*5,""),"")</f>
        <v>8250</v>
      </c>
      <c r="GB1431" s="101" t="str">
        <f t="shared" si="669"/>
        <v>专属强化石3</v>
      </c>
      <c r="GC1431" s="101">
        <f t="shared" si="670"/>
        <v>12</v>
      </c>
      <c r="GD1431" s="101" t="str">
        <f t="shared" si="671"/>
        <v>专属强化石4</v>
      </c>
      <c r="GE1431" s="101">
        <f t="shared" si="672"/>
        <v>4</v>
      </c>
      <c r="GF1431" s="101">
        <f t="shared" si="677"/>
        <v>0.05</v>
      </c>
      <c r="GG1431" s="101">
        <f t="shared" si="678"/>
        <v>1</v>
      </c>
      <c r="GH1431" s="101">
        <f t="shared" si="679"/>
        <v>30</v>
      </c>
      <c r="GI1431" s="101">
        <f t="shared" si="680"/>
        <v>0</v>
      </c>
      <c r="GJ1431" s="101">
        <f t="shared" si="681"/>
        <v>1</v>
      </c>
      <c r="GK1431" s="101">
        <f t="shared" si="682"/>
        <v>7</v>
      </c>
      <c r="GL1431" s="101">
        <f t="shared" si="683"/>
        <v>2.4899999999999999E-2</v>
      </c>
      <c r="GM1431" s="101">
        <f t="shared" si="684"/>
        <v>1</v>
      </c>
      <c r="GN1431" s="101">
        <f t="shared" si="685"/>
        <v>14</v>
      </c>
      <c r="GO1431" s="101">
        <f t="shared" si="686"/>
        <v>9.9400000000000002E-2</v>
      </c>
      <c r="GP1431" s="101">
        <f t="shared" si="687"/>
        <v>1</v>
      </c>
      <c r="GQ1431" s="101">
        <f t="shared" si="688"/>
        <v>30</v>
      </c>
    </row>
    <row r="1432" spans="175:199" ht="16.5" x14ac:dyDescent="0.2">
      <c r="FS1432" s="101">
        <v>1427</v>
      </c>
      <c r="FT1432" s="101">
        <f t="shared" si="673"/>
        <v>60</v>
      </c>
      <c r="FU1432" s="101">
        <f t="shared" si="666"/>
        <v>18</v>
      </c>
      <c r="FV1432" s="14">
        <f t="shared" si="667"/>
        <v>3</v>
      </c>
      <c r="FW1432" s="101" t="str">
        <f t="shared" si="674"/>
        <v>雷震子专属武器-魂珠-7 6级</v>
      </c>
      <c r="FX1432" s="101">
        <f t="shared" si="675"/>
        <v>7</v>
      </c>
      <c r="FY1432" s="101">
        <f t="shared" si="676"/>
        <v>6</v>
      </c>
      <c r="FZ1432" s="101" t="str">
        <f t="shared" si="668"/>
        <v>金币</v>
      </c>
      <c r="GA1432" s="139">
        <f>IF($FY1432&gt;0,IF(INDEX($EM$6:$EM$77,$FT1432)&gt;=GA$3,ROUND(INDEX(EO$6:EO$77,$FT1432)*INDEX(卡牌消耗!$B$8:$F$8,FV1432)/5,0)*5,""),"")</f>
        <v>10250</v>
      </c>
      <c r="GB1432" s="101" t="str">
        <f t="shared" si="669"/>
        <v>专属强化石3</v>
      </c>
      <c r="GC1432" s="101">
        <f t="shared" si="670"/>
        <v>15</v>
      </c>
      <c r="GD1432" s="101" t="str">
        <f t="shared" si="671"/>
        <v>专属强化石4</v>
      </c>
      <c r="GE1432" s="101">
        <f t="shared" si="672"/>
        <v>5</v>
      </c>
      <c r="GF1432" s="101">
        <f t="shared" si="677"/>
        <v>0.04</v>
      </c>
      <c r="GG1432" s="101">
        <f t="shared" si="678"/>
        <v>1</v>
      </c>
      <c r="GH1432" s="101">
        <f t="shared" si="679"/>
        <v>39</v>
      </c>
      <c r="GI1432" s="101">
        <f t="shared" si="680"/>
        <v>0</v>
      </c>
      <c r="GJ1432" s="101">
        <f t="shared" si="681"/>
        <v>1</v>
      </c>
      <c r="GK1432" s="101">
        <f t="shared" si="682"/>
        <v>9</v>
      </c>
      <c r="GL1432" s="101">
        <f t="shared" si="683"/>
        <v>1.9099999999999999E-2</v>
      </c>
      <c r="GM1432" s="101">
        <f t="shared" si="684"/>
        <v>1</v>
      </c>
      <c r="GN1432" s="101">
        <f t="shared" si="685"/>
        <v>18</v>
      </c>
      <c r="GO1432" s="101">
        <f t="shared" si="686"/>
        <v>7.6499999999999999E-2</v>
      </c>
      <c r="GP1432" s="101">
        <f t="shared" si="687"/>
        <v>1</v>
      </c>
      <c r="GQ1432" s="101">
        <f t="shared" si="688"/>
        <v>39</v>
      </c>
    </row>
    <row r="1433" spans="175:199" ht="16.5" x14ac:dyDescent="0.2">
      <c r="FS1433" s="101">
        <v>1428</v>
      </c>
      <c r="FT1433" s="101">
        <f t="shared" si="673"/>
        <v>61</v>
      </c>
      <c r="FU1433" s="101">
        <f t="shared" si="666"/>
        <v>18</v>
      </c>
      <c r="FV1433" s="14">
        <f t="shared" si="667"/>
        <v>3</v>
      </c>
      <c r="FW1433" s="101" t="str">
        <f t="shared" si="674"/>
        <v>雷震子专属武器-魂珠-7 7级</v>
      </c>
      <c r="FX1433" s="101">
        <f t="shared" si="675"/>
        <v>7</v>
      </c>
      <c r="FY1433" s="101">
        <f t="shared" si="676"/>
        <v>7</v>
      </c>
      <c r="FZ1433" s="101" t="str">
        <f t="shared" si="668"/>
        <v>金币</v>
      </c>
      <c r="GA1433" s="139">
        <f>IF($FY1433&gt;0,IF(INDEX($EM$6:$EM$77,$FT1433)&gt;=GA$3,ROUND(INDEX(EO$6:EO$77,$FT1433)*INDEX(卡牌消耗!$B$8:$F$8,FV1433)/5,0)*5,""),"")</f>
        <v>14385</v>
      </c>
      <c r="GB1433" s="101" t="str">
        <f t="shared" si="669"/>
        <v>专属强化石3</v>
      </c>
      <c r="GC1433" s="101">
        <f t="shared" si="670"/>
        <v>21</v>
      </c>
      <c r="GD1433" s="101" t="str">
        <f t="shared" si="671"/>
        <v>专属强化石4</v>
      </c>
      <c r="GE1433" s="101">
        <f t="shared" si="672"/>
        <v>7</v>
      </c>
      <c r="GF1433" s="101">
        <f t="shared" si="677"/>
        <v>0.03</v>
      </c>
      <c r="GG1433" s="101">
        <f t="shared" si="678"/>
        <v>1</v>
      </c>
      <c r="GH1433" s="101">
        <f t="shared" si="679"/>
        <v>45</v>
      </c>
      <c r="GI1433" s="101">
        <f t="shared" si="680"/>
        <v>0</v>
      </c>
      <c r="GJ1433" s="101">
        <f t="shared" si="681"/>
        <v>1</v>
      </c>
      <c r="GK1433" s="101">
        <f t="shared" si="682"/>
        <v>11</v>
      </c>
      <c r="GL1433" s="101">
        <f t="shared" si="683"/>
        <v>1.66E-2</v>
      </c>
      <c r="GM1433" s="101">
        <f t="shared" si="684"/>
        <v>1</v>
      </c>
      <c r="GN1433" s="101">
        <f t="shared" si="685"/>
        <v>21</v>
      </c>
      <c r="GO1433" s="101">
        <f t="shared" si="686"/>
        <v>6.6299999999999998E-2</v>
      </c>
      <c r="GP1433" s="101">
        <f t="shared" si="687"/>
        <v>1</v>
      </c>
      <c r="GQ1433" s="101">
        <f t="shared" si="688"/>
        <v>45</v>
      </c>
    </row>
    <row r="1434" spans="175:199" ht="16.5" x14ac:dyDescent="0.2">
      <c r="FS1434" s="101">
        <v>1429</v>
      </c>
      <c r="FT1434" s="101">
        <f t="shared" si="673"/>
        <v>62</v>
      </c>
      <c r="FU1434" s="101">
        <f t="shared" si="666"/>
        <v>18</v>
      </c>
      <c r="FV1434" s="14">
        <f t="shared" si="667"/>
        <v>3</v>
      </c>
      <c r="FW1434" s="101" t="str">
        <f t="shared" si="674"/>
        <v>雷震子专属武器-魂珠-7 8级</v>
      </c>
      <c r="FX1434" s="101">
        <f t="shared" si="675"/>
        <v>7</v>
      </c>
      <c r="FY1434" s="101">
        <f t="shared" si="676"/>
        <v>8</v>
      </c>
      <c r="FZ1434" s="101" t="str">
        <f t="shared" si="668"/>
        <v>金币</v>
      </c>
      <c r="GA1434" s="139">
        <f>IF($FY1434&gt;0,IF(INDEX($EM$6:$EM$77,$FT1434)&gt;=GA$3,ROUND(INDEX(EO$6:EO$77,$FT1434)*INDEX(卡牌消耗!$B$8:$F$8,FV1434)/5,0)*5,""),"")</f>
        <v>16425</v>
      </c>
      <c r="GB1434" s="101" t="str">
        <f t="shared" si="669"/>
        <v>专属强化石3</v>
      </c>
      <c r="GC1434" s="101">
        <f t="shared" si="670"/>
        <v>24</v>
      </c>
      <c r="GD1434" s="101" t="str">
        <f t="shared" si="671"/>
        <v>专属强化石4</v>
      </c>
      <c r="GE1434" s="101">
        <f t="shared" si="672"/>
        <v>8</v>
      </c>
      <c r="GF1434" s="101">
        <f t="shared" si="677"/>
        <v>0.02</v>
      </c>
      <c r="GG1434" s="101">
        <f t="shared" si="678"/>
        <v>1</v>
      </c>
      <c r="GH1434" s="101">
        <f t="shared" si="679"/>
        <v>64</v>
      </c>
      <c r="GI1434" s="101">
        <f t="shared" si="680"/>
        <v>0</v>
      </c>
      <c r="GJ1434" s="101">
        <f t="shared" si="681"/>
        <v>1</v>
      </c>
      <c r="GK1434" s="101">
        <f t="shared" si="682"/>
        <v>15</v>
      </c>
      <c r="GL1434" s="101">
        <f t="shared" si="683"/>
        <v>1.17E-2</v>
      </c>
      <c r="GM1434" s="101">
        <f t="shared" si="684"/>
        <v>1</v>
      </c>
      <c r="GN1434" s="101">
        <f t="shared" si="685"/>
        <v>30</v>
      </c>
      <c r="GO1434" s="101">
        <f t="shared" si="686"/>
        <v>4.6800000000000001E-2</v>
      </c>
      <c r="GP1434" s="101">
        <f t="shared" si="687"/>
        <v>1</v>
      </c>
      <c r="GQ1434" s="101">
        <f t="shared" si="688"/>
        <v>64</v>
      </c>
    </row>
    <row r="1435" spans="175:199" ht="16.5" x14ac:dyDescent="0.2">
      <c r="FS1435" s="101">
        <v>1430</v>
      </c>
      <c r="FT1435" s="101">
        <f t="shared" si="673"/>
        <v>63</v>
      </c>
      <c r="FU1435" s="101">
        <f t="shared" si="666"/>
        <v>18</v>
      </c>
      <c r="FV1435" s="14">
        <f t="shared" si="667"/>
        <v>3</v>
      </c>
      <c r="FW1435" s="101" t="str">
        <f t="shared" si="674"/>
        <v>雷震子专属武器-魂珠-7 9级</v>
      </c>
      <c r="FX1435" s="101">
        <f t="shared" si="675"/>
        <v>7</v>
      </c>
      <c r="FY1435" s="101">
        <f t="shared" si="676"/>
        <v>9</v>
      </c>
      <c r="FZ1435" s="101" t="str">
        <f t="shared" si="668"/>
        <v>金币</v>
      </c>
      <c r="GA1435" s="139">
        <f>IF($FY1435&gt;0,IF(INDEX($EM$6:$EM$77,$FT1435)&gt;=GA$3,ROUND(INDEX(EO$6:EO$77,$FT1435)*INDEX(卡牌消耗!$B$8:$F$8,FV1435)/5,0)*5,""),"")</f>
        <v>20540</v>
      </c>
      <c r="GB1435" s="101" t="str">
        <f t="shared" si="669"/>
        <v>专属强化石3</v>
      </c>
      <c r="GC1435" s="101">
        <f t="shared" si="670"/>
        <v>30</v>
      </c>
      <c r="GD1435" s="101" t="str">
        <f t="shared" si="671"/>
        <v>专属强化石4</v>
      </c>
      <c r="GE1435" s="101">
        <f t="shared" si="672"/>
        <v>10</v>
      </c>
      <c r="GF1435" s="101">
        <f t="shared" si="677"/>
        <v>0.02</v>
      </c>
      <c r="GG1435" s="101">
        <f t="shared" si="678"/>
        <v>1</v>
      </c>
      <c r="GH1435" s="101">
        <f t="shared" si="679"/>
        <v>83</v>
      </c>
      <c r="GI1435" s="101">
        <f t="shared" si="680"/>
        <v>0</v>
      </c>
      <c r="GJ1435" s="101">
        <f t="shared" si="681"/>
        <v>1</v>
      </c>
      <c r="GK1435" s="101">
        <f t="shared" si="682"/>
        <v>19</v>
      </c>
      <c r="GL1435" s="101">
        <f t="shared" si="683"/>
        <v>8.9999999999999993E-3</v>
      </c>
      <c r="GM1435" s="101">
        <f t="shared" si="684"/>
        <v>1</v>
      </c>
      <c r="GN1435" s="101">
        <f t="shared" si="685"/>
        <v>39</v>
      </c>
      <c r="GO1435" s="101">
        <f t="shared" si="686"/>
        <v>3.6200000000000003E-2</v>
      </c>
      <c r="GP1435" s="101">
        <f t="shared" si="687"/>
        <v>1</v>
      </c>
      <c r="GQ1435" s="101">
        <f t="shared" si="688"/>
        <v>83</v>
      </c>
    </row>
    <row r="1436" spans="175:199" ht="16.5" x14ac:dyDescent="0.2">
      <c r="FS1436" s="101">
        <v>1431</v>
      </c>
      <c r="FT1436" s="101">
        <f t="shared" si="673"/>
        <v>0</v>
      </c>
      <c r="FU1436" s="101">
        <f t="shared" si="666"/>
        <v>18</v>
      </c>
      <c r="FV1436" s="14">
        <f t="shared" si="667"/>
        <v>3</v>
      </c>
      <c r="FW1436" s="101" t="str">
        <f t="shared" si="674"/>
        <v>雷震子专属武器-魂珠-8 0级</v>
      </c>
      <c r="FX1436" s="101">
        <f t="shared" si="675"/>
        <v>8</v>
      </c>
      <c r="FY1436" s="101">
        <f t="shared" si="676"/>
        <v>0</v>
      </c>
      <c r="FZ1436" s="101" t="str">
        <f t="shared" si="668"/>
        <v/>
      </c>
      <c r="GA1436" s="139" t="str">
        <f>IF($FY1436&gt;0,IF(INDEX($EM$6:$EM$77,$FT1436)&gt;=GA$3,ROUND(INDEX(EO$6:EO$77,$FT1436)*INDEX(卡牌消耗!$B$8:$F$8,FV1436)/5,0)*5,""),"")</f>
        <v/>
      </c>
      <c r="GB1436" s="101" t="str">
        <f t="shared" si="669"/>
        <v/>
      </c>
      <c r="GC1436" s="101" t="str">
        <f t="shared" si="670"/>
        <v/>
      </c>
      <c r="GD1436" s="101" t="str">
        <f t="shared" si="671"/>
        <v/>
      </c>
      <c r="GE1436" s="101" t="str">
        <f t="shared" si="672"/>
        <v/>
      </c>
      <c r="GF1436" s="101" t="str">
        <f t="shared" si="677"/>
        <v/>
      </c>
      <c r="GG1436" s="101" t="str">
        <f t="shared" si="678"/>
        <v/>
      </c>
      <c r="GH1436" s="101" t="str">
        <f t="shared" si="679"/>
        <v/>
      </c>
      <c r="GI1436" s="101" t="str">
        <f t="shared" si="680"/>
        <v/>
      </c>
      <c r="GJ1436" s="101" t="str">
        <f t="shared" si="681"/>
        <v/>
      </c>
      <c r="GK1436" s="101" t="str">
        <f t="shared" si="682"/>
        <v/>
      </c>
      <c r="GL1436" s="101" t="str">
        <f t="shared" si="683"/>
        <v/>
      </c>
      <c r="GM1436" s="101" t="str">
        <f t="shared" si="684"/>
        <v/>
      </c>
      <c r="GN1436" s="101" t="str">
        <f t="shared" si="685"/>
        <v/>
      </c>
      <c r="GO1436" s="101" t="str">
        <f t="shared" si="686"/>
        <v/>
      </c>
      <c r="GP1436" s="101" t="str">
        <f t="shared" si="687"/>
        <v/>
      </c>
      <c r="GQ1436" s="101" t="str">
        <f t="shared" si="688"/>
        <v/>
      </c>
    </row>
    <row r="1437" spans="175:199" ht="16.5" x14ac:dyDescent="0.2">
      <c r="FS1437" s="101">
        <v>1432</v>
      </c>
      <c r="FT1437" s="101">
        <f t="shared" si="673"/>
        <v>64</v>
      </c>
      <c r="FU1437" s="101">
        <f t="shared" si="666"/>
        <v>18</v>
      </c>
      <c r="FV1437" s="14">
        <f t="shared" si="667"/>
        <v>3</v>
      </c>
      <c r="FW1437" s="101" t="str">
        <f t="shared" si="674"/>
        <v>雷震子专属武器-魂珠-8 1级</v>
      </c>
      <c r="FX1437" s="101">
        <f t="shared" si="675"/>
        <v>8</v>
      </c>
      <c r="FY1437" s="101">
        <f t="shared" si="676"/>
        <v>1</v>
      </c>
      <c r="FZ1437" s="101" t="str">
        <f t="shared" si="668"/>
        <v>金币</v>
      </c>
      <c r="GA1437" s="139">
        <f>IF($FY1437&gt;0,IF(INDEX($EM$6:$EM$77,$FT1437)&gt;=GA$3,ROUND(INDEX(EO$6:EO$77,$FT1437)*INDEX(卡牌消耗!$B$8:$F$8,FV1437)/5,0)*5,""),"")</f>
        <v>4325</v>
      </c>
      <c r="GB1437" s="101" t="str">
        <f t="shared" si="669"/>
        <v>专属强化石4</v>
      </c>
      <c r="GC1437" s="101">
        <f t="shared" si="670"/>
        <v>5</v>
      </c>
      <c r="GD1437" s="101" t="str">
        <f t="shared" si="671"/>
        <v/>
      </c>
      <c r="GE1437" s="101" t="str">
        <f t="shared" si="672"/>
        <v/>
      </c>
      <c r="GF1437" s="101">
        <f t="shared" si="677"/>
        <v>0.11</v>
      </c>
      <c r="GG1437" s="101">
        <f t="shared" si="678"/>
        <v>1</v>
      </c>
      <c r="GH1437" s="101">
        <f t="shared" si="679"/>
        <v>13</v>
      </c>
      <c r="GI1437" s="101">
        <f t="shared" si="680"/>
        <v>0</v>
      </c>
      <c r="GJ1437" s="101">
        <f t="shared" si="681"/>
        <v>1</v>
      </c>
      <c r="GK1437" s="101">
        <f t="shared" si="682"/>
        <v>3</v>
      </c>
      <c r="GL1437" s="101">
        <f t="shared" si="683"/>
        <v>5.6500000000000002E-2</v>
      </c>
      <c r="GM1437" s="101">
        <f t="shared" si="684"/>
        <v>1</v>
      </c>
      <c r="GN1437" s="101">
        <f t="shared" si="685"/>
        <v>6</v>
      </c>
      <c r="GO1437" s="101">
        <f t="shared" si="686"/>
        <v>0.22600000000000001</v>
      </c>
      <c r="GP1437" s="101">
        <f t="shared" si="687"/>
        <v>1</v>
      </c>
      <c r="GQ1437" s="101">
        <f t="shared" si="688"/>
        <v>13</v>
      </c>
    </row>
    <row r="1438" spans="175:199" ht="16.5" x14ac:dyDescent="0.2">
      <c r="FS1438" s="101">
        <v>1433</v>
      </c>
      <c r="FT1438" s="101">
        <f t="shared" si="673"/>
        <v>65</v>
      </c>
      <c r="FU1438" s="101">
        <f t="shared" si="666"/>
        <v>18</v>
      </c>
      <c r="FV1438" s="14">
        <f t="shared" si="667"/>
        <v>3</v>
      </c>
      <c r="FW1438" s="101" t="str">
        <f t="shared" si="674"/>
        <v>雷震子专属武器-魂珠-8 2级</v>
      </c>
      <c r="FX1438" s="101">
        <f t="shared" si="675"/>
        <v>8</v>
      </c>
      <c r="FY1438" s="101">
        <f t="shared" si="676"/>
        <v>2</v>
      </c>
      <c r="FZ1438" s="101" t="str">
        <f t="shared" si="668"/>
        <v>金币</v>
      </c>
      <c r="GA1438" s="139">
        <f>IF($FY1438&gt;0,IF(INDEX($EM$6:$EM$77,$FT1438)&gt;=GA$3,ROUND(INDEX(EO$6:EO$77,$FT1438)*INDEX(卡牌消耗!$B$8:$F$8,FV1438)/5,0)*5,""),"")</f>
        <v>5190</v>
      </c>
      <c r="GB1438" s="101" t="str">
        <f t="shared" si="669"/>
        <v>专属强化石4</v>
      </c>
      <c r="GC1438" s="101">
        <f t="shared" si="670"/>
        <v>8</v>
      </c>
      <c r="GD1438" s="101" t="str">
        <f t="shared" si="671"/>
        <v/>
      </c>
      <c r="GE1438" s="101" t="str">
        <f t="shared" si="672"/>
        <v/>
      </c>
      <c r="GF1438" s="101">
        <f t="shared" si="677"/>
        <v>0.09</v>
      </c>
      <c r="GG1438" s="101">
        <f t="shared" si="678"/>
        <v>1</v>
      </c>
      <c r="GH1438" s="101">
        <f t="shared" si="679"/>
        <v>17</v>
      </c>
      <c r="GI1438" s="101">
        <f t="shared" si="680"/>
        <v>0</v>
      </c>
      <c r="GJ1438" s="101">
        <f t="shared" si="681"/>
        <v>1</v>
      </c>
      <c r="GK1438" s="101">
        <f t="shared" si="682"/>
        <v>4</v>
      </c>
      <c r="GL1438" s="101">
        <f t="shared" si="683"/>
        <v>4.5199999999999997E-2</v>
      </c>
      <c r="GM1438" s="101">
        <f t="shared" si="684"/>
        <v>1</v>
      </c>
      <c r="GN1438" s="101">
        <f t="shared" si="685"/>
        <v>8</v>
      </c>
      <c r="GO1438" s="101">
        <f t="shared" si="686"/>
        <v>0.18079999999999999</v>
      </c>
      <c r="GP1438" s="101">
        <f t="shared" si="687"/>
        <v>1</v>
      </c>
      <c r="GQ1438" s="101">
        <f t="shared" si="688"/>
        <v>17</v>
      </c>
    </row>
    <row r="1439" spans="175:199" ht="16.5" x14ac:dyDescent="0.2">
      <c r="FS1439" s="101">
        <v>1434</v>
      </c>
      <c r="FT1439" s="101">
        <f t="shared" si="673"/>
        <v>66</v>
      </c>
      <c r="FU1439" s="101">
        <f t="shared" si="666"/>
        <v>18</v>
      </c>
      <c r="FV1439" s="14">
        <f t="shared" si="667"/>
        <v>3</v>
      </c>
      <c r="FW1439" s="101" t="str">
        <f t="shared" si="674"/>
        <v>雷震子专属武器-魂珠-8 3级</v>
      </c>
      <c r="FX1439" s="101">
        <f t="shared" si="675"/>
        <v>8</v>
      </c>
      <c r="FY1439" s="101">
        <f t="shared" si="676"/>
        <v>3</v>
      </c>
      <c r="FZ1439" s="101" t="str">
        <f t="shared" si="668"/>
        <v>金币</v>
      </c>
      <c r="GA1439" s="139">
        <f>IF($FY1439&gt;0,IF(INDEX($EM$6:$EM$77,$FT1439)&gt;=GA$3,ROUND(INDEX(EO$6:EO$77,$FT1439)*INDEX(卡牌消耗!$B$8:$F$8,FV1439)/5,0)*5,""),"")</f>
        <v>7210</v>
      </c>
      <c r="GB1439" s="101" t="str">
        <f t="shared" si="669"/>
        <v>专属强化石4</v>
      </c>
      <c r="GC1439" s="101">
        <f t="shared" si="670"/>
        <v>10</v>
      </c>
      <c r="GD1439" s="101" t="str">
        <f t="shared" si="671"/>
        <v/>
      </c>
      <c r="GE1439" s="101" t="str">
        <f t="shared" si="672"/>
        <v/>
      </c>
      <c r="GF1439" s="101">
        <f t="shared" si="677"/>
        <v>0.08</v>
      </c>
      <c r="GG1439" s="101">
        <f t="shared" si="678"/>
        <v>1</v>
      </c>
      <c r="GH1439" s="101">
        <f t="shared" si="679"/>
        <v>20</v>
      </c>
      <c r="GI1439" s="101">
        <f t="shared" si="680"/>
        <v>0</v>
      </c>
      <c r="GJ1439" s="101">
        <f t="shared" si="681"/>
        <v>1</v>
      </c>
      <c r="GK1439" s="101">
        <f t="shared" si="682"/>
        <v>5</v>
      </c>
      <c r="GL1439" s="101">
        <f t="shared" si="683"/>
        <v>3.7699999999999997E-2</v>
      </c>
      <c r="GM1439" s="101">
        <f t="shared" si="684"/>
        <v>1</v>
      </c>
      <c r="GN1439" s="101">
        <f t="shared" si="685"/>
        <v>9</v>
      </c>
      <c r="GO1439" s="101">
        <f t="shared" si="686"/>
        <v>0.1507</v>
      </c>
      <c r="GP1439" s="101">
        <f t="shared" si="687"/>
        <v>1</v>
      </c>
      <c r="GQ1439" s="101">
        <f t="shared" si="688"/>
        <v>20</v>
      </c>
    </row>
    <row r="1440" spans="175:199" ht="16.5" x14ac:dyDescent="0.2">
      <c r="FS1440" s="101">
        <v>1435</v>
      </c>
      <c r="FT1440" s="101">
        <f t="shared" si="673"/>
        <v>67</v>
      </c>
      <c r="FU1440" s="101">
        <f t="shared" si="666"/>
        <v>18</v>
      </c>
      <c r="FV1440" s="14">
        <f t="shared" si="667"/>
        <v>3</v>
      </c>
      <c r="FW1440" s="101" t="str">
        <f t="shared" si="674"/>
        <v>雷震子专属武器-魂珠-8 4级</v>
      </c>
      <c r="FX1440" s="101">
        <f t="shared" si="675"/>
        <v>8</v>
      </c>
      <c r="FY1440" s="101">
        <f t="shared" si="676"/>
        <v>4</v>
      </c>
      <c r="FZ1440" s="101" t="str">
        <f t="shared" si="668"/>
        <v>金币</v>
      </c>
      <c r="GA1440" s="139">
        <f>IF($FY1440&gt;0,IF(INDEX($EM$6:$EM$77,$FT1440)&gt;=GA$3,ROUND(INDEX(EO$6:EO$77,$FT1440)*INDEX(卡牌消耗!$B$8:$F$8,FV1440)/5,0)*5,""),"")</f>
        <v>8310</v>
      </c>
      <c r="GB1440" s="101" t="str">
        <f t="shared" si="669"/>
        <v>专属强化石4</v>
      </c>
      <c r="GC1440" s="101">
        <f t="shared" si="670"/>
        <v>12</v>
      </c>
      <c r="GD1440" s="101" t="str">
        <f t="shared" si="671"/>
        <v/>
      </c>
      <c r="GE1440" s="101" t="str">
        <f t="shared" si="672"/>
        <v/>
      </c>
      <c r="GF1440" s="101">
        <f t="shared" si="677"/>
        <v>0.05</v>
      </c>
      <c r="GG1440" s="101">
        <f t="shared" si="678"/>
        <v>1</v>
      </c>
      <c r="GH1440" s="101">
        <f t="shared" si="679"/>
        <v>28</v>
      </c>
      <c r="GI1440" s="101">
        <f t="shared" si="680"/>
        <v>0</v>
      </c>
      <c r="GJ1440" s="101">
        <f t="shared" si="681"/>
        <v>1</v>
      </c>
      <c r="GK1440" s="101">
        <f t="shared" si="682"/>
        <v>6</v>
      </c>
      <c r="GL1440" s="101">
        <f t="shared" si="683"/>
        <v>2.7099999999999999E-2</v>
      </c>
      <c r="GM1440" s="101">
        <f t="shared" si="684"/>
        <v>1</v>
      </c>
      <c r="GN1440" s="101">
        <f t="shared" si="685"/>
        <v>13</v>
      </c>
      <c r="GO1440" s="101">
        <f t="shared" si="686"/>
        <v>0.1085</v>
      </c>
      <c r="GP1440" s="101">
        <f t="shared" si="687"/>
        <v>1</v>
      </c>
      <c r="GQ1440" s="101">
        <f t="shared" si="688"/>
        <v>28</v>
      </c>
    </row>
    <row r="1441" spans="175:199" ht="16.5" x14ac:dyDescent="0.2">
      <c r="FS1441" s="101">
        <v>1436</v>
      </c>
      <c r="FT1441" s="101">
        <f t="shared" si="673"/>
        <v>68</v>
      </c>
      <c r="FU1441" s="101">
        <f t="shared" si="666"/>
        <v>18</v>
      </c>
      <c r="FV1441" s="14">
        <f t="shared" si="667"/>
        <v>3</v>
      </c>
      <c r="FW1441" s="101" t="str">
        <f t="shared" si="674"/>
        <v>雷震子专属武器-魂珠-8 5级</v>
      </c>
      <c r="FX1441" s="101">
        <f t="shared" si="675"/>
        <v>8</v>
      </c>
      <c r="FY1441" s="101">
        <f t="shared" si="676"/>
        <v>5</v>
      </c>
      <c r="FZ1441" s="101" t="str">
        <f t="shared" si="668"/>
        <v>金币</v>
      </c>
      <c r="GA1441" s="139">
        <f>IF($FY1441&gt;0,IF(INDEX($EM$6:$EM$77,$FT1441)&gt;=GA$3,ROUND(INDEX(EO$6:EO$77,$FT1441)*INDEX(卡牌消耗!$B$8:$F$8,FV1441)/5,0)*5,""),"")</f>
        <v>10545</v>
      </c>
      <c r="GB1441" s="101" t="str">
        <f t="shared" si="669"/>
        <v>专属强化石4</v>
      </c>
      <c r="GC1441" s="101">
        <f t="shared" si="670"/>
        <v>15</v>
      </c>
      <c r="GD1441" s="101" t="str">
        <f t="shared" si="671"/>
        <v/>
      </c>
      <c r="GE1441" s="101" t="str">
        <f t="shared" si="672"/>
        <v/>
      </c>
      <c r="GF1441" s="101">
        <f t="shared" si="677"/>
        <v>0.04</v>
      </c>
      <c r="GG1441" s="101">
        <f t="shared" si="678"/>
        <v>1</v>
      </c>
      <c r="GH1441" s="101">
        <f t="shared" si="679"/>
        <v>35</v>
      </c>
      <c r="GI1441" s="101">
        <f t="shared" si="680"/>
        <v>0</v>
      </c>
      <c r="GJ1441" s="101">
        <f t="shared" si="681"/>
        <v>1</v>
      </c>
      <c r="GK1441" s="101">
        <f t="shared" si="682"/>
        <v>8</v>
      </c>
      <c r="GL1441" s="101">
        <f t="shared" si="683"/>
        <v>2.12E-2</v>
      </c>
      <c r="GM1441" s="101">
        <f t="shared" si="684"/>
        <v>1</v>
      </c>
      <c r="GN1441" s="101">
        <f t="shared" si="685"/>
        <v>17</v>
      </c>
      <c r="GO1441" s="101">
        <f t="shared" si="686"/>
        <v>8.4699999999999998E-2</v>
      </c>
      <c r="GP1441" s="101">
        <f t="shared" si="687"/>
        <v>1</v>
      </c>
      <c r="GQ1441" s="101">
        <f t="shared" si="688"/>
        <v>35</v>
      </c>
    </row>
    <row r="1442" spans="175:199" ht="16.5" x14ac:dyDescent="0.2">
      <c r="FS1442" s="101">
        <v>1437</v>
      </c>
      <c r="FT1442" s="101">
        <f t="shared" si="673"/>
        <v>69</v>
      </c>
      <c r="FU1442" s="101">
        <f t="shared" si="666"/>
        <v>18</v>
      </c>
      <c r="FV1442" s="14">
        <f t="shared" si="667"/>
        <v>3</v>
      </c>
      <c r="FW1442" s="101" t="str">
        <f t="shared" si="674"/>
        <v>雷震子专属武器-魂珠-8 6级</v>
      </c>
      <c r="FX1442" s="101">
        <f t="shared" si="675"/>
        <v>8</v>
      </c>
      <c r="FY1442" s="101">
        <f t="shared" si="676"/>
        <v>6</v>
      </c>
      <c r="FZ1442" s="101" t="str">
        <f t="shared" si="668"/>
        <v>金币</v>
      </c>
      <c r="GA1442" s="139">
        <f>IF($FY1442&gt;0,IF(INDEX($EM$6:$EM$77,$FT1442)&gt;=GA$3,ROUND(INDEX(EO$6:EO$77,$FT1442)*INDEX(卡牌消耗!$B$8:$F$8,FV1442)/5,0)*5,""),"")</f>
        <v>12580</v>
      </c>
      <c r="GB1442" s="101" t="str">
        <f t="shared" si="669"/>
        <v>专属强化石4</v>
      </c>
      <c r="GC1442" s="101">
        <f t="shared" si="670"/>
        <v>18</v>
      </c>
      <c r="GD1442" s="101" t="str">
        <f t="shared" si="671"/>
        <v/>
      </c>
      <c r="GE1442" s="101" t="str">
        <f t="shared" si="672"/>
        <v/>
      </c>
      <c r="GF1442" s="101">
        <f t="shared" si="677"/>
        <v>0.03</v>
      </c>
      <c r="GG1442" s="101">
        <f t="shared" si="678"/>
        <v>1</v>
      </c>
      <c r="GH1442" s="101">
        <f t="shared" si="679"/>
        <v>48</v>
      </c>
      <c r="GI1442" s="101">
        <f t="shared" si="680"/>
        <v>0</v>
      </c>
      <c r="GJ1442" s="101">
        <f t="shared" si="681"/>
        <v>1</v>
      </c>
      <c r="GK1442" s="101">
        <f t="shared" si="682"/>
        <v>11</v>
      </c>
      <c r="GL1442" s="101">
        <f t="shared" si="683"/>
        <v>1.5599999999999999E-2</v>
      </c>
      <c r="GM1442" s="101">
        <f t="shared" si="684"/>
        <v>1</v>
      </c>
      <c r="GN1442" s="101">
        <f t="shared" si="685"/>
        <v>22</v>
      </c>
      <c r="GO1442" s="101">
        <f t="shared" si="686"/>
        <v>6.2600000000000003E-2</v>
      </c>
      <c r="GP1442" s="101">
        <f t="shared" si="687"/>
        <v>1</v>
      </c>
      <c r="GQ1442" s="101">
        <f t="shared" si="688"/>
        <v>48</v>
      </c>
    </row>
    <row r="1443" spans="175:199" ht="16.5" x14ac:dyDescent="0.2">
      <c r="FS1443" s="101">
        <v>1438</v>
      </c>
      <c r="FT1443" s="101">
        <f t="shared" si="673"/>
        <v>70</v>
      </c>
      <c r="FU1443" s="101">
        <f t="shared" si="666"/>
        <v>18</v>
      </c>
      <c r="FV1443" s="14">
        <f t="shared" si="667"/>
        <v>3</v>
      </c>
      <c r="FW1443" s="101" t="str">
        <f t="shared" si="674"/>
        <v>雷震子专属武器-魂珠-8 7级</v>
      </c>
      <c r="FX1443" s="101">
        <f t="shared" si="675"/>
        <v>8</v>
      </c>
      <c r="FY1443" s="101">
        <f t="shared" si="676"/>
        <v>7</v>
      </c>
      <c r="FZ1443" s="101" t="str">
        <f t="shared" si="668"/>
        <v>金币</v>
      </c>
      <c r="GA1443" s="139">
        <f>IF($FY1443&gt;0,IF(INDEX($EM$6:$EM$77,$FT1443)&gt;=GA$3,ROUND(INDEX(EO$6:EO$77,$FT1443)*INDEX(卡牌消耗!$B$8:$F$8,FV1443)/5,0)*5,""),"")</f>
        <v>17515</v>
      </c>
      <c r="GB1443" s="101" t="str">
        <f t="shared" si="669"/>
        <v>专属强化石4</v>
      </c>
      <c r="GC1443" s="101">
        <f t="shared" si="670"/>
        <v>25</v>
      </c>
      <c r="GD1443" s="101" t="str">
        <f t="shared" si="671"/>
        <v/>
      </c>
      <c r="GE1443" s="101" t="str">
        <f t="shared" si="672"/>
        <v/>
      </c>
      <c r="GF1443" s="101">
        <f t="shared" si="677"/>
        <v>0.03</v>
      </c>
      <c r="GG1443" s="101">
        <f t="shared" si="678"/>
        <v>1</v>
      </c>
      <c r="GH1443" s="101">
        <f t="shared" si="679"/>
        <v>56</v>
      </c>
      <c r="GI1443" s="101">
        <f t="shared" si="680"/>
        <v>0</v>
      </c>
      <c r="GJ1443" s="101">
        <f t="shared" si="681"/>
        <v>1</v>
      </c>
      <c r="GK1443" s="101">
        <f t="shared" si="682"/>
        <v>13</v>
      </c>
      <c r="GL1443" s="101">
        <f t="shared" si="683"/>
        <v>1.35E-2</v>
      </c>
      <c r="GM1443" s="101">
        <f t="shared" si="684"/>
        <v>1</v>
      </c>
      <c r="GN1443" s="101">
        <f t="shared" si="685"/>
        <v>26</v>
      </c>
      <c r="GO1443" s="101">
        <f t="shared" si="686"/>
        <v>5.3800000000000001E-2</v>
      </c>
      <c r="GP1443" s="101">
        <f t="shared" si="687"/>
        <v>1</v>
      </c>
      <c r="GQ1443" s="101">
        <f t="shared" si="688"/>
        <v>56</v>
      </c>
    </row>
    <row r="1444" spans="175:199" ht="16.5" x14ac:dyDescent="0.2">
      <c r="FS1444" s="101">
        <v>1439</v>
      </c>
      <c r="FT1444" s="101">
        <f t="shared" si="673"/>
        <v>71</v>
      </c>
      <c r="FU1444" s="101">
        <f t="shared" si="666"/>
        <v>18</v>
      </c>
      <c r="FV1444" s="14">
        <f t="shared" si="667"/>
        <v>3</v>
      </c>
      <c r="FW1444" s="101" t="str">
        <f t="shared" si="674"/>
        <v>雷震子专属武器-魂珠-8 8级</v>
      </c>
      <c r="FX1444" s="101">
        <f t="shared" si="675"/>
        <v>8</v>
      </c>
      <c r="FY1444" s="101">
        <f t="shared" si="676"/>
        <v>8</v>
      </c>
      <c r="FZ1444" s="101" t="str">
        <f t="shared" si="668"/>
        <v>金币</v>
      </c>
      <c r="GA1444" s="139">
        <f>IF($FY1444&gt;0,IF(INDEX($EM$6:$EM$77,$FT1444)&gt;=GA$3,ROUND(INDEX(EO$6:EO$77,$FT1444)*INDEX(卡牌消耗!$B$8:$F$8,FV1444)/5,0)*5,""),"")</f>
        <v>21000</v>
      </c>
      <c r="GB1444" s="101" t="str">
        <f t="shared" si="669"/>
        <v>专属强化石4</v>
      </c>
      <c r="GC1444" s="101">
        <f t="shared" si="670"/>
        <v>30</v>
      </c>
      <c r="GD1444" s="101" t="str">
        <f t="shared" si="671"/>
        <v/>
      </c>
      <c r="GE1444" s="101" t="str">
        <f t="shared" si="672"/>
        <v/>
      </c>
      <c r="GF1444" s="101">
        <f t="shared" si="677"/>
        <v>0.02</v>
      </c>
      <c r="GG1444" s="101">
        <f t="shared" si="678"/>
        <v>1</v>
      </c>
      <c r="GH1444" s="101">
        <f t="shared" si="679"/>
        <v>75</v>
      </c>
      <c r="GI1444" s="101">
        <f t="shared" si="680"/>
        <v>0</v>
      </c>
      <c r="GJ1444" s="101">
        <f t="shared" si="681"/>
        <v>1</v>
      </c>
      <c r="GK1444" s="101">
        <f t="shared" si="682"/>
        <v>18</v>
      </c>
      <c r="GL1444" s="101">
        <f t="shared" si="683"/>
        <v>0.01</v>
      </c>
      <c r="GM1444" s="101">
        <f t="shared" si="684"/>
        <v>1</v>
      </c>
      <c r="GN1444" s="101">
        <f t="shared" si="685"/>
        <v>35</v>
      </c>
      <c r="GO1444" s="101">
        <f t="shared" si="686"/>
        <v>3.9899999999999998E-2</v>
      </c>
      <c r="GP1444" s="101">
        <f t="shared" si="687"/>
        <v>1</v>
      </c>
      <c r="GQ1444" s="101">
        <f t="shared" si="688"/>
        <v>75</v>
      </c>
    </row>
    <row r="1445" spans="175:199" ht="16.5" x14ac:dyDescent="0.2">
      <c r="FS1445" s="101">
        <v>1440</v>
      </c>
      <c r="FT1445" s="101">
        <f t="shared" si="673"/>
        <v>72</v>
      </c>
      <c r="FU1445" s="101">
        <f t="shared" si="666"/>
        <v>18</v>
      </c>
      <c r="FV1445" s="14">
        <f t="shared" si="667"/>
        <v>3</v>
      </c>
      <c r="FW1445" s="101" t="str">
        <f t="shared" si="674"/>
        <v>雷震子专属武器-魂珠-8 9级</v>
      </c>
      <c r="FX1445" s="101">
        <f t="shared" si="675"/>
        <v>8</v>
      </c>
      <c r="FY1445" s="101">
        <f t="shared" si="676"/>
        <v>9</v>
      </c>
      <c r="FZ1445" s="101" t="str">
        <f t="shared" si="668"/>
        <v>金币</v>
      </c>
      <c r="GA1445" s="139">
        <f>IF($FY1445&gt;0,IF(INDEX($EM$6:$EM$77,$FT1445)&gt;=GA$3,ROUND(INDEX(EO$6:EO$77,$FT1445)*INDEX(卡牌消耗!$B$8:$F$8,FV1445)/5,0)*5,""),"")</f>
        <v>21005</v>
      </c>
      <c r="GB1445" s="101" t="str">
        <f t="shared" si="669"/>
        <v>专属强化石4</v>
      </c>
      <c r="GC1445" s="101">
        <f t="shared" si="670"/>
        <v>30</v>
      </c>
      <c r="GD1445" s="101" t="str">
        <f t="shared" si="671"/>
        <v/>
      </c>
      <c r="GE1445" s="101" t="str">
        <f t="shared" si="672"/>
        <v/>
      </c>
      <c r="GF1445" s="101">
        <f t="shared" si="677"/>
        <v>0.01</v>
      </c>
      <c r="GG1445" s="101">
        <f t="shared" si="678"/>
        <v>1</v>
      </c>
      <c r="GH1445" s="101">
        <f t="shared" si="679"/>
        <v>122</v>
      </c>
      <c r="GI1445" s="101">
        <f t="shared" si="680"/>
        <v>0</v>
      </c>
      <c r="GJ1445" s="101">
        <f t="shared" si="681"/>
        <v>1</v>
      </c>
      <c r="GK1445" s="101">
        <f t="shared" si="682"/>
        <v>28</v>
      </c>
      <c r="GL1445" s="101">
        <f t="shared" si="683"/>
        <v>6.1999999999999998E-3</v>
      </c>
      <c r="GM1445" s="101">
        <f t="shared" si="684"/>
        <v>1</v>
      </c>
      <c r="GN1445" s="101">
        <f t="shared" si="685"/>
        <v>57</v>
      </c>
      <c r="GO1445" s="101">
        <f t="shared" si="686"/>
        <v>2.47E-2</v>
      </c>
      <c r="GP1445" s="101">
        <f t="shared" si="687"/>
        <v>1</v>
      </c>
      <c r="GQ1445" s="101">
        <f t="shared" si="688"/>
        <v>122</v>
      </c>
    </row>
    <row r="1446" spans="175:199" ht="16.5" x14ac:dyDescent="0.2">
      <c r="FS1446" s="101">
        <v>1441</v>
      </c>
      <c r="FT1446" s="101">
        <f t="shared" si="673"/>
        <v>0</v>
      </c>
      <c r="FU1446" s="101">
        <f t="shared" si="666"/>
        <v>19</v>
      </c>
      <c r="FV1446" s="14">
        <f t="shared" si="667"/>
        <v>5</v>
      </c>
      <c r="FW1446" s="101" t="str">
        <f t="shared" si="674"/>
        <v>吕布专属武器-魂珠-1 0级</v>
      </c>
      <c r="FX1446" s="101">
        <f t="shared" si="675"/>
        <v>1</v>
      </c>
      <c r="FY1446" s="101">
        <f t="shared" si="676"/>
        <v>0</v>
      </c>
      <c r="FZ1446" s="101" t="str">
        <f t="shared" si="668"/>
        <v/>
      </c>
      <c r="GA1446" s="139" t="str">
        <f>IF($FY1446&gt;0,IF(INDEX($EM$6:$EM$77,$FT1446)&gt;=GA$3,ROUND(INDEX(EO$6:EO$77,$FT1446)*INDEX(卡牌消耗!$B$8:$F$8,FV1446)/5,0)*5,""),"")</f>
        <v/>
      </c>
      <c r="GB1446" s="101" t="str">
        <f t="shared" si="669"/>
        <v/>
      </c>
      <c r="GC1446" s="101" t="str">
        <f t="shared" si="670"/>
        <v/>
      </c>
      <c r="GD1446" s="101" t="str">
        <f t="shared" si="671"/>
        <v/>
      </c>
      <c r="GE1446" s="101" t="str">
        <f t="shared" si="672"/>
        <v/>
      </c>
      <c r="GF1446" s="101" t="str">
        <f t="shared" si="677"/>
        <v/>
      </c>
      <c r="GG1446" s="101" t="str">
        <f t="shared" si="678"/>
        <v/>
      </c>
      <c r="GH1446" s="101" t="str">
        <f t="shared" si="679"/>
        <v/>
      </c>
      <c r="GI1446" s="101" t="str">
        <f t="shared" si="680"/>
        <v/>
      </c>
      <c r="GJ1446" s="101" t="str">
        <f t="shared" si="681"/>
        <v/>
      </c>
      <c r="GK1446" s="101" t="str">
        <f t="shared" si="682"/>
        <v/>
      </c>
      <c r="GL1446" s="101" t="str">
        <f t="shared" si="683"/>
        <v/>
      </c>
      <c r="GM1446" s="101" t="str">
        <f t="shared" si="684"/>
        <v/>
      </c>
      <c r="GN1446" s="101" t="str">
        <f t="shared" si="685"/>
        <v/>
      </c>
      <c r="GO1446" s="101" t="str">
        <f t="shared" si="686"/>
        <v/>
      </c>
      <c r="GP1446" s="101" t="str">
        <f t="shared" si="687"/>
        <v/>
      </c>
      <c r="GQ1446" s="101" t="str">
        <f t="shared" si="688"/>
        <v/>
      </c>
    </row>
    <row r="1447" spans="175:199" ht="16.5" x14ac:dyDescent="0.2">
      <c r="FS1447" s="101">
        <v>1442</v>
      </c>
      <c r="FT1447" s="101">
        <f t="shared" si="673"/>
        <v>1</v>
      </c>
      <c r="FU1447" s="101">
        <f t="shared" si="666"/>
        <v>19</v>
      </c>
      <c r="FV1447" s="14">
        <f t="shared" si="667"/>
        <v>5</v>
      </c>
      <c r="FW1447" s="101" t="str">
        <f t="shared" si="674"/>
        <v>吕布专属武器-魂珠-1 1级</v>
      </c>
      <c r="FX1447" s="101">
        <f t="shared" si="675"/>
        <v>1</v>
      </c>
      <c r="FY1447" s="101">
        <f t="shared" si="676"/>
        <v>1</v>
      </c>
      <c r="FZ1447" s="101" t="str">
        <f t="shared" si="668"/>
        <v>金币</v>
      </c>
      <c r="GA1447" s="139">
        <f>IF($FY1447&gt;0,IF(INDEX($EM$6:$EM$77,$FT1447)&gt;=GA$3,ROUND(INDEX(EO$6:EO$77,$FT1447)*INDEX(卡牌消耗!$B$8:$F$8,FV1447)/5,0)*5,""),"")</f>
        <v>190</v>
      </c>
      <c r="GB1447" s="101" t="str">
        <f t="shared" si="669"/>
        <v>专属强化石1</v>
      </c>
      <c r="GC1447" s="101">
        <f t="shared" si="670"/>
        <v>1</v>
      </c>
      <c r="GD1447" s="101" t="str">
        <f t="shared" si="671"/>
        <v/>
      </c>
      <c r="GE1447" s="101" t="str">
        <f t="shared" si="672"/>
        <v/>
      </c>
      <c r="GF1447" s="101">
        <f t="shared" si="677"/>
        <v>0.32</v>
      </c>
      <c r="GG1447" s="101">
        <f t="shared" si="678"/>
        <v>1</v>
      </c>
      <c r="GH1447" s="101">
        <f t="shared" si="679"/>
        <v>5</v>
      </c>
      <c r="GI1447" s="101">
        <f t="shared" si="680"/>
        <v>0</v>
      </c>
      <c r="GJ1447" s="101">
        <f t="shared" si="681"/>
        <v>1</v>
      </c>
      <c r="GK1447" s="101">
        <f t="shared" si="682"/>
        <v>1</v>
      </c>
      <c r="GL1447" s="101">
        <f t="shared" si="683"/>
        <v>0.1595</v>
      </c>
      <c r="GM1447" s="101">
        <f t="shared" si="684"/>
        <v>1</v>
      </c>
      <c r="GN1447" s="101">
        <f t="shared" si="685"/>
        <v>2</v>
      </c>
      <c r="GO1447" s="101">
        <f t="shared" si="686"/>
        <v>0.63819999999999999</v>
      </c>
      <c r="GP1447" s="101">
        <f t="shared" si="687"/>
        <v>1</v>
      </c>
      <c r="GQ1447" s="101">
        <f t="shared" si="688"/>
        <v>5</v>
      </c>
    </row>
    <row r="1448" spans="175:199" ht="16.5" x14ac:dyDescent="0.2">
      <c r="FS1448" s="101">
        <v>1443</v>
      </c>
      <c r="FT1448" s="101">
        <f t="shared" si="673"/>
        <v>2</v>
      </c>
      <c r="FU1448" s="101">
        <f t="shared" si="666"/>
        <v>19</v>
      </c>
      <c r="FV1448" s="14">
        <f t="shared" si="667"/>
        <v>5</v>
      </c>
      <c r="FW1448" s="101" t="str">
        <f t="shared" si="674"/>
        <v>吕布专属武器-魂珠-1 2级</v>
      </c>
      <c r="FX1448" s="101">
        <f t="shared" si="675"/>
        <v>1</v>
      </c>
      <c r="FY1448" s="101">
        <f t="shared" si="676"/>
        <v>2</v>
      </c>
      <c r="FZ1448" s="101" t="str">
        <f t="shared" si="668"/>
        <v>金币</v>
      </c>
      <c r="GA1448" s="139">
        <f>IF($FY1448&gt;0,IF(INDEX($EM$6:$EM$77,$FT1448)&gt;=GA$3,ROUND(INDEX(EO$6:EO$77,$FT1448)*INDEX(卡牌消耗!$B$8:$F$8,FV1448)/5,0)*5,""),"")</f>
        <v>285</v>
      </c>
      <c r="GB1448" s="101" t="str">
        <f t="shared" si="669"/>
        <v>专属强化石1</v>
      </c>
      <c r="GC1448" s="101">
        <f t="shared" si="670"/>
        <v>2</v>
      </c>
      <c r="GD1448" s="101" t="str">
        <f t="shared" si="671"/>
        <v/>
      </c>
      <c r="GE1448" s="101" t="str">
        <f t="shared" si="672"/>
        <v/>
      </c>
      <c r="GF1448" s="101">
        <f t="shared" si="677"/>
        <v>0.32</v>
      </c>
      <c r="GG1448" s="101">
        <f t="shared" si="678"/>
        <v>1</v>
      </c>
      <c r="GH1448" s="101">
        <f t="shared" si="679"/>
        <v>5</v>
      </c>
      <c r="GI1448" s="101">
        <f t="shared" si="680"/>
        <v>0</v>
      </c>
      <c r="GJ1448" s="101">
        <f t="shared" si="681"/>
        <v>1</v>
      </c>
      <c r="GK1448" s="101">
        <f t="shared" si="682"/>
        <v>1</v>
      </c>
      <c r="GL1448" s="101">
        <f t="shared" si="683"/>
        <v>0.1595</v>
      </c>
      <c r="GM1448" s="101">
        <f t="shared" si="684"/>
        <v>1</v>
      </c>
      <c r="GN1448" s="101">
        <f t="shared" si="685"/>
        <v>2</v>
      </c>
      <c r="GO1448" s="101">
        <f t="shared" si="686"/>
        <v>0.63819999999999999</v>
      </c>
      <c r="GP1448" s="101">
        <f t="shared" si="687"/>
        <v>1</v>
      </c>
      <c r="GQ1448" s="101">
        <f t="shared" si="688"/>
        <v>5</v>
      </c>
    </row>
    <row r="1449" spans="175:199" ht="16.5" x14ac:dyDescent="0.2">
      <c r="FS1449" s="101">
        <v>1444</v>
      </c>
      <c r="FT1449" s="101">
        <f t="shared" si="673"/>
        <v>3</v>
      </c>
      <c r="FU1449" s="101">
        <f t="shared" si="666"/>
        <v>19</v>
      </c>
      <c r="FV1449" s="14">
        <f t="shared" si="667"/>
        <v>5</v>
      </c>
      <c r="FW1449" s="101" t="str">
        <f t="shared" si="674"/>
        <v>吕布专属武器-魂珠-1 3级</v>
      </c>
      <c r="FX1449" s="101">
        <f t="shared" si="675"/>
        <v>1</v>
      </c>
      <c r="FY1449" s="101">
        <f t="shared" si="676"/>
        <v>3</v>
      </c>
      <c r="FZ1449" s="101" t="str">
        <f t="shared" si="668"/>
        <v>金币</v>
      </c>
      <c r="GA1449" s="139">
        <f>IF($FY1449&gt;0,IF(INDEX($EM$6:$EM$77,$FT1449)&gt;=GA$3,ROUND(INDEX(EO$6:EO$77,$FT1449)*INDEX(卡牌消耗!$B$8:$F$8,FV1449)/5,0)*5,""),"")</f>
        <v>475</v>
      </c>
      <c r="GB1449" s="101" t="str">
        <f t="shared" si="669"/>
        <v>专属强化石1</v>
      </c>
      <c r="GC1449" s="101">
        <f t="shared" si="670"/>
        <v>3</v>
      </c>
      <c r="GD1449" s="101" t="str">
        <f t="shared" si="671"/>
        <v/>
      </c>
      <c r="GE1449" s="101" t="str">
        <f t="shared" si="672"/>
        <v/>
      </c>
      <c r="GF1449" s="101">
        <f t="shared" si="677"/>
        <v>0.32</v>
      </c>
      <c r="GG1449" s="101">
        <f t="shared" si="678"/>
        <v>1</v>
      </c>
      <c r="GH1449" s="101">
        <f t="shared" si="679"/>
        <v>5</v>
      </c>
      <c r="GI1449" s="101">
        <f t="shared" si="680"/>
        <v>0</v>
      </c>
      <c r="GJ1449" s="101">
        <f t="shared" si="681"/>
        <v>1</v>
      </c>
      <c r="GK1449" s="101">
        <f t="shared" si="682"/>
        <v>1</v>
      </c>
      <c r="GL1449" s="101">
        <f t="shared" si="683"/>
        <v>0.1595</v>
      </c>
      <c r="GM1449" s="101">
        <f t="shared" si="684"/>
        <v>1</v>
      </c>
      <c r="GN1449" s="101">
        <f t="shared" si="685"/>
        <v>2</v>
      </c>
      <c r="GO1449" s="101">
        <f t="shared" si="686"/>
        <v>0.63819999999999999</v>
      </c>
      <c r="GP1449" s="101">
        <f t="shared" si="687"/>
        <v>1</v>
      </c>
      <c r="GQ1449" s="101">
        <f t="shared" si="688"/>
        <v>5</v>
      </c>
    </row>
    <row r="1450" spans="175:199" ht="16.5" x14ac:dyDescent="0.2">
      <c r="FS1450" s="101">
        <v>1445</v>
      </c>
      <c r="FT1450" s="101">
        <f t="shared" si="673"/>
        <v>4</v>
      </c>
      <c r="FU1450" s="101">
        <f t="shared" si="666"/>
        <v>19</v>
      </c>
      <c r="FV1450" s="14">
        <f t="shared" si="667"/>
        <v>5</v>
      </c>
      <c r="FW1450" s="101" t="str">
        <f t="shared" si="674"/>
        <v>吕布专属武器-魂珠-1 4级</v>
      </c>
      <c r="FX1450" s="101">
        <f t="shared" si="675"/>
        <v>1</v>
      </c>
      <c r="FY1450" s="101">
        <f t="shared" si="676"/>
        <v>4</v>
      </c>
      <c r="FZ1450" s="101" t="str">
        <f t="shared" si="668"/>
        <v>金币</v>
      </c>
      <c r="GA1450" s="139">
        <f>IF($FY1450&gt;0,IF(INDEX($EM$6:$EM$77,$FT1450)&gt;=GA$3,ROUND(INDEX(EO$6:EO$77,$FT1450)*INDEX(卡牌消耗!$B$8:$F$8,FV1450)/5,0)*5,""),"")</f>
        <v>605</v>
      </c>
      <c r="GB1450" s="101" t="str">
        <f t="shared" si="669"/>
        <v>专属强化石1</v>
      </c>
      <c r="GC1450" s="101">
        <f t="shared" si="670"/>
        <v>4</v>
      </c>
      <c r="GD1450" s="101" t="str">
        <f t="shared" si="671"/>
        <v/>
      </c>
      <c r="GE1450" s="101" t="str">
        <f t="shared" si="672"/>
        <v/>
      </c>
      <c r="GF1450" s="101">
        <f t="shared" si="677"/>
        <v>0.26</v>
      </c>
      <c r="GG1450" s="101">
        <f t="shared" si="678"/>
        <v>1</v>
      </c>
      <c r="GH1450" s="101">
        <f t="shared" si="679"/>
        <v>6</v>
      </c>
      <c r="GI1450" s="101">
        <f t="shared" si="680"/>
        <v>0</v>
      </c>
      <c r="GJ1450" s="101">
        <f t="shared" si="681"/>
        <v>1</v>
      </c>
      <c r="GK1450" s="101">
        <f t="shared" si="682"/>
        <v>1</v>
      </c>
      <c r="GL1450" s="101">
        <f t="shared" si="683"/>
        <v>0.12759999999999999</v>
      </c>
      <c r="GM1450" s="101">
        <f t="shared" si="684"/>
        <v>1</v>
      </c>
      <c r="GN1450" s="101">
        <f t="shared" si="685"/>
        <v>3</v>
      </c>
      <c r="GO1450" s="101">
        <f t="shared" si="686"/>
        <v>0.51060000000000005</v>
      </c>
      <c r="GP1450" s="101">
        <f t="shared" si="687"/>
        <v>1</v>
      </c>
      <c r="GQ1450" s="101">
        <f t="shared" si="688"/>
        <v>6</v>
      </c>
    </row>
    <row r="1451" spans="175:199" ht="16.5" x14ac:dyDescent="0.2">
      <c r="FS1451" s="101">
        <v>1446</v>
      </c>
      <c r="FT1451" s="101">
        <f t="shared" si="673"/>
        <v>5</v>
      </c>
      <c r="FU1451" s="101">
        <f t="shared" si="666"/>
        <v>19</v>
      </c>
      <c r="FV1451" s="14">
        <f t="shared" si="667"/>
        <v>5</v>
      </c>
      <c r="FW1451" s="101" t="str">
        <f t="shared" si="674"/>
        <v>吕布专属武器-魂珠-1 5级</v>
      </c>
      <c r="FX1451" s="101">
        <f t="shared" si="675"/>
        <v>1</v>
      </c>
      <c r="FY1451" s="101">
        <f t="shared" si="676"/>
        <v>5</v>
      </c>
      <c r="FZ1451" s="101" t="str">
        <f t="shared" si="668"/>
        <v>金币</v>
      </c>
      <c r="GA1451" s="139">
        <f>IF($FY1451&gt;0,IF(INDEX($EM$6:$EM$77,$FT1451)&gt;=GA$3,ROUND(INDEX(EO$6:EO$77,$FT1451)*INDEX(卡牌消耗!$B$8:$F$8,FV1451)/5,0)*5,""),"")</f>
        <v>770</v>
      </c>
      <c r="GB1451" s="101" t="str">
        <f t="shared" si="669"/>
        <v>专属强化石1</v>
      </c>
      <c r="GC1451" s="101">
        <f t="shared" si="670"/>
        <v>5</v>
      </c>
      <c r="GD1451" s="101" t="str">
        <f t="shared" si="671"/>
        <v/>
      </c>
      <c r="GE1451" s="101" t="str">
        <f t="shared" si="672"/>
        <v/>
      </c>
      <c r="GF1451" s="101">
        <f t="shared" si="677"/>
        <v>0.2</v>
      </c>
      <c r="GG1451" s="101">
        <f t="shared" si="678"/>
        <v>1</v>
      </c>
      <c r="GH1451" s="101">
        <f t="shared" si="679"/>
        <v>8</v>
      </c>
      <c r="GI1451" s="101">
        <f t="shared" si="680"/>
        <v>0</v>
      </c>
      <c r="GJ1451" s="101">
        <f t="shared" si="681"/>
        <v>1</v>
      </c>
      <c r="GK1451" s="101">
        <f t="shared" si="682"/>
        <v>2</v>
      </c>
      <c r="GL1451" s="101">
        <f t="shared" si="683"/>
        <v>9.9699999999999997E-2</v>
      </c>
      <c r="GM1451" s="101">
        <f t="shared" si="684"/>
        <v>1</v>
      </c>
      <c r="GN1451" s="101">
        <f t="shared" si="685"/>
        <v>4</v>
      </c>
      <c r="GO1451" s="101">
        <f t="shared" si="686"/>
        <v>0.39889999999999998</v>
      </c>
      <c r="GP1451" s="101">
        <f t="shared" si="687"/>
        <v>1</v>
      </c>
      <c r="GQ1451" s="101">
        <f t="shared" si="688"/>
        <v>8</v>
      </c>
    </row>
    <row r="1452" spans="175:199" ht="16.5" x14ac:dyDescent="0.2">
      <c r="FS1452" s="101">
        <v>1447</v>
      </c>
      <c r="FT1452" s="101">
        <f t="shared" si="673"/>
        <v>6</v>
      </c>
      <c r="FU1452" s="101">
        <f t="shared" si="666"/>
        <v>19</v>
      </c>
      <c r="FV1452" s="14">
        <f t="shared" si="667"/>
        <v>5</v>
      </c>
      <c r="FW1452" s="101" t="str">
        <f t="shared" si="674"/>
        <v>吕布专属武器-魂珠-1 6级</v>
      </c>
      <c r="FX1452" s="101">
        <f t="shared" si="675"/>
        <v>1</v>
      </c>
      <c r="FY1452" s="101">
        <f t="shared" si="676"/>
        <v>6</v>
      </c>
      <c r="FZ1452" s="101" t="str">
        <f t="shared" si="668"/>
        <v>金币</v>
      </c>
      <c r="GA1452" s="139">
        <f>IF($FY1452&gt;0,IF(INDEX($EM$6:$EM$77,$FT1452)&gt;=GA$3,ROUND(INDEX(EO$6:EO$77,$FT1452)*INDEX(卡牌消耗!$B$8:$F$8,FV1452)/5,0)*5,""),"")</f>
        <v>920</v>
      </c>
      <c r="GB1452" s="101" t="str">
        <f t="shared" si="669"/>
        <v>专属强化石1</v>
      </c>
      <c r="GC1452" s="101">
        <f t="shared" si="670"/>
        <v>6</v>
      </c>
      <c r="GD1452" s="101" t="str">
        <f t="shared" si="671"/>
        <v/>
      </c>
      <c r="GE1452" s="101" t="str">
        <f t="shared" si="672"/>
        <v/>
      </c>
      <c r="GF1452" s="101">
        <f t="shared" si="677"/>
        <v>0.15</v>
      </c>
      <c r="GG1452" s="101">
        <f t="shared" si="678"/>
        <v>1</v>
      </c>
      <c r="GH1452" s="101">
        <f t="shared" si="679"/>
        <v>10</v>
      </c>
      <c r="GI1452" s="101">
        <f t="shared" si="680"/>
        <v>0</v>
      </c>
      <c r="GJ1452" s="101">
        <f t="shared" si="681"/>
        <v>1</v>
      </c>
      <c r="GK1452" s="101">
        <f t="shared" si="682"/>
        <v>2</v>
      </c>
      <c r="GL1452" s="101">
        <f t="shared" si="683"/>
        <v>7.3599999999999999E-2</v>
      </c>
      <c r="GM1452" s="101">
        <f t="shared" si="684"/>
        <v>1</v>
      </c>
      <c r="GN1452" s="101">
        <f t="shared" si="685"/>
        <v>5</v>
      </c>
      <c r="GO1452" s="101">
        <f t="shared" si="686"/>
        <v>0.29459999999999997</v>
      </c>
      <c r="GP1452" s="101">
        <f t="shared" si="687"/>
        <v>1</v>
      </c>
      <c r="GQ1452" s="101">
        <f t="shared" si="688"/>
        <v>10</v>
      </c>
    </row>
    <row r="1453" spans="175:199" ht="16.5" x14ac:dyDescent="0.2">
      <c r="FS1453" s="101">
        <v>1448</v>
      </c>
      <c r="FT1453" s="101">
        <f t="shared" si="673"/>
        <v>7</v>
      </c>
      <c r="FU1453" s="101">
        <f t="shared" si="666"/>
        <v>19</v>
      </c>
      <c r="FV1453" s="14">
        <f t="shared" si="667"/>
        <v>5</v>
      </c>
      <c r="FW1453" s="101" t="str">
        <f t="shared" si="674"/>
        <v>吕布专属武器-魂珠-1 7级</v>
      </c>
      <c r="FX1453" s="101">
        <f t="shared" si="675"/>
        <v>1</v>
      </c>
      <c r="FY1453" s="101">
        <f t="shared" si="676"/>
        <v>7</v>
      </c>
      <c r="FZ1453" s="101" t="str">
        <f t="shared" si="668"/>
        <v>金币</v>
      </c>
      <c r="GA1453" s="139">
        <f>IF($FY1453&gt;0,IF(INDEX($EM$6:$EM$77,$FT1453)&gt;=GA$3,ROUND(INDEX(EO$6:EO$77,$FT1453)*INDEX(卡牌消耗!$B$8:$F$8,FV1453)/5,0)*5,""),"")</f>
        <v>1070</v>
      </c>
      <c r="GB1453" s="101" t="str">
        <f t="shared" si="669"/>
        <v>专属强化石1</v>
      </c>
      <c r="GC1453" s="101">
        <f t="shared" si="670"/>
        <v>7</v>
      </c>
      <c r="GD1453" s="101" t="str">
        <f t="shared" si="671"/>
        <v/>
      </c>
      <c r="GE1453" s="101" t="str">
        <f t="shared" si="672"/>
        <v/>
      </c>
      <c r="GF1453" s="101">
        <f t="shared" si="677"/>
        <v>0.11</v>
      </c>
      <c r="GG1453" s="101">
        <f t="shared" si="678"/>
        <v>1</v>
      </c>
      <c r="GH1453" s="101">
        <f t="shared" si="679"/>
        <v>14</v>
      </c>
      <c r="GI1453" s="101">
        <f t="shared" si="680"/>
        <v>0</v>
      </c>
      <c r="GJ1453" s="101">
        <f t="shared" si="681"/>
        <v>1</v>
      </c>
      <c r="GK1453" s="101">
        <f t="shared" si="682"/>
        <v>3</v>
      </c>
      <c r="GL1453" s="101">
        <f t="shared" si="683"/>
        <v>5.3199999999999997E-2</v>
      </c>
      <c r="GM1453" s="101">
        <f t="shared" si="684"/>
        <v>1</v>
      </c>
      <c r="GN1453" s="101">
        <f t="shared" si="685"/>
        <v>7</v>
      </c>
      <c r="GO1453" s="101">
        <f t="shared" si="686"/>
        <v>0.2127</v>
      </c>
      <c r="GP1453" s="101">
        <f t="shared" si="687"/>
        <v>1</v>
      </c>
      <c r="GQ1453" s="101">
        <f t="shared" si="688"/>
        <v>14</v>
      </c>
    </row>
    <row r="1454" spans="175:199" ht="16.5" x14ac:dyDescent="0.2">
      <c r="FS1454" s="101">
        <v>1449</v>
      </c>
      <c r="FT1454" s="101">
        <f t="shared" si="673"/>
        <v>8</v>
      </c>
      <c r="FU1454" s="101">
        <f t="shared" si="666"/>
        <v>19</v>
      </c>
      <c r="FV1454" s="14">
        <f t="shared" si="667"/>
        <v>5</v>
      </c>
      <c r="FW1454" s="101" t="str">
        <f t="shared" si="674"/>
        <v>吕布专属武器-魂珠-1 8级</v>
      </c>
      <c r="FX1454" s="101">
        <f t="shared" si="675"/>
        <v>1</v>
      </c>
      <c r="FY1454" s="101">
        <f t="shared" si="676"/>
        <v>8</v>
      </c>
      <c r="FZ1454" s="101" t="str">
        <f t="shared" si="668"/>
        <v>金币</v>
      </c>
      <c r="GA1454" s="139">
        <f>IF($FY1454&gt;0,IF(INDEX($EM$6:$EM$77,$FT1454)&gt;=GA$3,ROUND(INDEX(EO$6:EO$77,$FT1454)*INDEX(卡牌消耗!$B$8:$F$8,FV1454)/5,0)*5,""),"")</f>
        <v>1225</v>
      </c>
      <c r="GB1454" s="101" t="str">
        <f t="shared" si="669"/>
        <v>专属强化石1</v>
      </c>
      <c r="GC1454" s="101">
        <f t="shared" si="670"/>
        <v>8</v>
      </c>
      <c r="GD1454" s="101" t="str">
        <f t="shared" si="671"/>
        <v/>
      </c>
      <c r="GE1454" s="101" t="str">
        <f t="shared" si="672"/>
        <v/>
      </c>
      <c r="GF1454" s="101">
        <f t="shared" si="677"/>
        <v>0.08</v>
      </c>
      <c r="GG1454" s="101">
        <f t="shared" si="678"/>
        <v>1</v>
      </c>
      <c r="GH1454" s="101">
        <f t="shared" si="679"/>
        <v>20</v>
      </c>
      <c r="GI1454" s="101">
        <f t="shared" si="680"/>
        <v>0</v>
      </c>
      <c r="GJ1454" s="101">
        <f t="shared" si="681"/>
        <v>1</v>
      </c>
      <c r="GK1454" s="101">
        <f t="shared" si="682"/>
        <v>5</v>
      </c>
      <c r="GL1454" s="101">
        <f t="shared" si="683"/>
        <v>3.7499999999999999E-2</v>
      </c>
      <c r="GM1454" s="101">
        <f t="shared" si="684"/>
        <v>1</v>
      </c>
      <c r="GN1454" s="101">
        <f t="shared" si="685"/>
        <v>9</v>
      </c>
      <c r="GO1454" s="101">
        <f t="shared" si="686"/>
        <v>0.1502</v>
      </c>
      <c r="GP1454" s="101">
        <f t="shared" si="687"/>
        <v>1</v>
      </c>
      <c r="GQ1454" s="101">
        <f t="shared" si="688"/>
        <v>20</v>
      </c>
    </row>
    <row r="1455" spans="175:199" ht="16.5" x14ac:dyDescent="0.2">
      <c r="FS1455" s="101">
        <v>1450</v>
      </c>
      <c r="FT1455" s="101">
        <f t="shared" si="673"/>
        <v>9</v>
      </c>
      <c r="FU1455" s="101">
        <f t="shared" si="666"/>
        <v>19</v>
      </c>
      <c r="FV1455" s="14">
        <f t="shared" si="667"/>
        <v>5</v>
      </c>
      <c r="FW1455" s="101" t="str">
        <f t="shared" si="674"/>
        <v>吕布专属武器-魂珠-1 9级</v>
      </c>
      <c r="FX1455" s="101">
        <f t="shared" si="675"/>
        <v>1</v>
      </c>
      <c r="FY1455" s="101">
        <f t="shared" si="676"/>
        <v>9</v>
      </c>
      <c r="FZ1455" s="101" t="str">
        <f t="shared" si="668"/>
        <v>金币</v>
      </c>
      <c r="GA1455" s="139">
        <f>IF($FY1455&gt;0,IF(INDEX($EM$6:$EM$77,$FT1455)&gt;=GA$3,ROUND(INDEX(EO$6:EO$77,$FT1455)*INDEX(卡牌消耗!$B$8:$F$8,FV1455)/5,0)*5,""),"")</f>
        <v>1530</v>
      </c>
      <c r="GB1455" s="101" t="str">
        <f t="shared" si="669"/>
        <v>专属强化石1</v>
      </c>
      <c r="GC1455" s="101">
        <f t="shared" si="670"/>
        <v>10</v>
      </c>
      <c r="GD1455" s="101" t="str">
        <f t="shared" si="671"/>
        <v/>
      </c>
      <c r="GE1455" s="101" t="str">
        <f t="shared" si="672"/>
        <v/>
      </c>
      <c r="GF1455" s="101">
        <f t="shared" si="677"/>
        <v>0.06</v>
      </c>
      <c r="GG1455" s="101">
        <f t="shared" si="678"/>
        <v>1</v>
      </c>
      <c r="GH1455" s="101">
        <f t="shared" si="679"/>
        <v>26</v>
      </c>
      <c r="GI1455" s="101">
        <f t="shared" si="680"/>
        <v>0</v>
      </c>
      <c r="GJ1455" s="101">
        <f t="shared" si="681"/>
        <v>1</v>
      </c>
      <c r="GK1455" s="101">
        <f t="shared" si="682"/>
        <v>6</v>
      </c>
      <c r="GL1455" s="101">
        <f t="shared" si="683"/>
        <v>2.9000000000000001E-2</v>
      </c>
      <c r="GM1455" s="101">
        <f t="shared" si="684"/>
        <v>1</v>
      </c>
      <c r="GN1455" s="101">
        <f t="shared" si="685"/>
        <v>12</v>
      </c>
      <c r="GO1455" s="101">
        <f t="shared" si="686"/>
        <v>0.11600000000000001</v>
      </c>
      <c r="GP1455" s="101">
        <f t="shared" si="687"/>
        <v>1</v>
      </c>
      <c r="GQ1455" s="101">
        <f t="shared" si="688"/>
        <v>26</v>
      </c>
    </row>
    <row r="1456" spans="175:199" ht="16.5" x14ac:dyDescent="0.2">
      <c r="FS1456" s="101">
        <v>1451</v>
      </c>
      <c r="FT1456" s="101">
        <f t="shared" si="673"/>
        <v>0</v>
      </c>
      <c r="FU1456" s="101">
        <f t="shared" si="666"/>
        <v>19</v>
      </c>
      <c r="FV1456" s="14">
        <f t="shared" si="667"/>
        <v>5</v>
      </c>
      <c r="FW1456" s="101" t="str">
        <f t="shared" si="674"/>
        <v>吕布专属武器-魂珠-2 0级</v>
      </c>
      <c r="FX1456" s="101">
        <f t="shared" si="675"/>
        <v>2</v>
      </c>
      <c r="FY1456" s="101">
        <f t="shared" si="676"/>
        <v>0</v>
      </c>
      <c r="FZ1456" s="101" t="str">
        <f t="shared" si="668"/>
        <v/>
      </c>
      <c r="GA1456" s="139" t="str">
        <f>IF($FY1456&gt;0,IF(INDEX($EM$6:$EM$77,$FT1456)&gt;=GA$3,ROUND(INDEX(EO$6:EO$77,$FT1456)*INDEX(卡牌消耗!$B$8:$F$8,FV1456)/5,0)*5,""),"")</f>
        <v/>
      </c>
      <c r="GB1456" s="101" t="str">
        <f t="shared" si="669"/>
        <v/>
      </c>
      <c r="GC1456" s="101" t="str">
        <f t="shared" si="670"/>
        <v/>
      </c>
      <c r="GD1456" s="101" t="str">
        <f t="shared" si="671"/>
        <v/>
      </c>
      <c r="GE1456" s="101" t="str">
        <f t="shared" si="672"/>
        <v/>
      </c>
      <c r="GF1456" s="101" t="str">
        <f t="shared" si="677"/>
        <v/>
      </c>
      <c r="GG1456" s="101" t="str">
        <f t="shared" si="678"/>
        <v/>
      </c>
      <c r="GH1456" s="101" t="str">
        <f t="shared" si="679"/>
        <v/>
      </c>
      <c r="GI1456" s="101" t="str">
        <f t="shared" si="680"/>
        <v/>
      </c>
      <c r="GJ1456" s="101" t="str">
        <f t="shared" si="681"/>
        <v/>
      </c>
      <c r="GK1456" s="101" t="str">
        <f t="shared" si="682"/>
        <v/>
      </c>
      <c r="GL1456" s="101" t="str">
        <f t="shared" si="683"/>
        <v/>
      </c>
      <c r="GM1456" s="101" t="str">
        <f t="shared" si="684"/>
        <v/>
      </c>
      <c r="GN1456" s="101" t="str">
        <f t="shared" si="685"/>
        <v/>
      </c>
      <c r="GO1456" s="101" t="str">
        <f t="shared" si="686"/>
        <v/>
      </c>
      <c r="GP1456" s="101" t="str">
        <f t="shared" si="687"/>
        <v/>
      </c>
      <c r="GQ1456" s="101" t="str">
        <f t="shared" si="688"/>
        <v/>
      </c>
    </row>
    <row r="1457" spans="175:199" ht="16.5" x14ac:dyDescent="0.2">
      <c r="FS1457" s="101">
        <v>1452</v>
      </c>
      <c r="FT1457" s="101">
        <f t="shared" si="673"/>
        <v>10</v>
      </c>
      <c r="FU1457" s="101">
        <f t="shared" si="666"/>
        <v>19</v>
      </c>
      <c r="FV1457" s="14">
        <f t="shared" si="667"/>
        <v>5</v>
      </c>
      <c r="FW1457" s="101" t="str">
        <f t="shared" si="674"/>
        <v>吕布专属武器-魂珠-2 1级</v>
      </c>
      <c r="FX1457" s="101">
        <f t="shared" si="675"/>
        <v>2</v>
      </c>
      <c r="FY1457" s="101">
        <f t="shared" si="676"/>
        <v>1</v>
      </c>
      <c r="FZ1457" s="101" t="str">
        <f t="shared" si="668"/>
        <v>金币</v>
      </c>
      <c r="GA1457" s="139">
        <f>IF($FY1457&gt;0,IF(INDEX($EM$6:$EM$77,$FT1457)&gt;=GA$3,ROUND(INDEX(EO$6:EO$77,$FT1457)*INDEX(卡牌消耗!$B$8:$F$8,FV1457)/5,0)*5,""),"")</f>
        <v>525</v>
      </c>
      <c r="GB1457" s="101" t="str">
        <f t="shared" si="669"/>
        <v>专属强化石1</v>
      </c>
      <c r="GC1457" s="101">
        <f t="shared" si="670"/>
        <v>3</v>
      </c>
      <c r="GD1457" s="101" t="str">
        <f t="shared" si="671"/>
        <v>专属强化石2</v>
      </c>
      <c r="GE1457" s="101">
        <f t="shared" si="672"/>
        <v>1</v>
      </c>
      <c r="GF1457" s="101">
        <f t="shared" si="677"/>
        <v>0.39</v>
      </c>
      <c r="GG1457" s="101">
        <f t="shared" si="678"/>
        <v>1</v>
      </c>
      <c r="GH1457" s="101">
        <f t="shared" si="679"/>
        <v>4</v>
      </c>
      <c r="GI1457" s="101">
        <f t="shared" si="680"/>
        <v>0</v>
      </c>
      <c r="GJ1457" s="101">
        <f t="shared" si="681"/>
        <v>1</v>
      </c>
      <c r="GK1457" s="101">
        <f t="shared" si="682"/>
        <v>1</v>
      </c>
      <c r="GL1457" s="101">
        <f t="shared" si="683"/>
        <v>0.19270000000000001</v>
      </c>
      <c r="GM1457" s="101">
        <f t="shared" si="684"/>
        <v>1</v>
      </c>
      <c r="GN1457" s="101">
        <f t="shared" si="685"/>
        <v>2</v>
      </c>
      <c r="GO1457" s="101">
        <f t="shared" si="686"/>
        <v>0.77070000000000005</v>
      </c>
      <c r="GP1457" s="101">
        <f t="shared" si="687"/>
        <v>1</v>
      </c>
      <c r="GQ1457" s="101">
        <f t="shared" si="688"/>
        <v>4</v>
      </c>
    </row>
    <row r="1458" spans="175:199" ht="16.5" x14ac:dyDescent="0.2">
      <c r="FS1458" s="101">
        <v>1453</v>
      </c>
      <c r="FT1458" s="101">
        <f t="shared" si="673"/>
        <v>11</v>
      </c>
      <c r="FU1458" s="101">
        <f t="shared" si="666"/>
        <v>19</v>
      </c>
      <c r="FV1458" s="14">
        <f t="shared" si="667"/>
        <v>5</v>
      </c>
      <c r="FW1458" s="101" t="str">
        <f t="shared" si="674"/>
        <v>吕布专属武器-魂珠-2 2级</v>
      </c>
      <c r="FX1458" s="101">
        <f t="shared" si="675"/>
        <v>2</v>
      </c>
      <c r="FY1458" s="101">
        <f t="shared" si="676"/>
        <v>2</v>
      </c>
      <c r="FZ1458" s="101" t="str">
        <f t="shared" si="668"/>
        <v>金币</v>
      </c>
      <c r="GA1458" s="139">
        <f>IF($FY1458&gt;0,IF(INDEX($EM$6:$EM$77,$FT1458)&gt;=GA$3,ROUND(INDEX(EO$6:EO$77,$FT1458)*INDEX(卡牌消耗!$B$8:$F$8,FV1458)/5,0)*5,""),"")</f>
        <v>390</v>
      </c>
      <c r="GB1458" s="101" t="str">
        <f t="shared" si="669"/>
        <v>专属强化石1</v>
      </c>
      <c r="GC1458" s="101">
        <f t="shared" si="670"/>
        <v>3</v>
      </c>
      <c r="GD1458" s="101" t="str">
        <f t="shared" si="671"/>
        <v>专属强化石2</v>
      </c>
      <c r="GE1458" s="101">
        <f t="shared" si="672"/>
        <v>1</v>
      </c>
      <c r="GF1458" s="101">
        <f t="shared" si="677"/>
        <v>0.19</v>
      </c>
      <c r="GG1458" s="101">
        <f t="shared" si="678"/>
        <v>1</v>
      </c>
      <c r="GH1458" s="101">
        <f t="shared" si="679"/>
        <v>8</v>
      </c>
      <c r="GI1458" s="101">
        <f t="shared" si="680"/>
        <v>0</v>
      </c>
      <c r="GJ1458" s="101">
        <f t="shared" si="681"/>
        <v>1</v>
      </c>
      <c r="GK1458" s="101">
        <f t="shared" si="682"/>
        <v>2</v>
      </c>
      <c r="GL1458" s="101">
        <f t="shared" si="683"/>
        <v>9.6299999999999997E-2</v>
      </c>
      <c r="GM1458" s="101">
        <f t="shared" si="684"/>
        <v>1</v>
      </c>
      <c r="GN1458" s="101">
        <f t="shared" si="685"/>
        <v>4</v>
      </c>
      <c r="GO1458" s="101">
        <f t="shared" si="686"/>
        <v>0.38529999999999998</v>
      </c>
      <c r="GP1458" s="101">
        <f t="shared" si="687"/>
        <v>1</v>
      </c>
      <c r="GQ1458" s="101">
        <f t="shared" si="688"/>
        <v>8</v>
      </c>
    </row>
    <row r="1459" spans="175:199" ht="16.5" x14ac:dyDescent="0.2">
      <c r="FS1459" s="101">
        <v>1454</v>
      </c>
      <c r="FT1459" s="101">
        <f t="shared" si="673"/>
        <v>12</v>
      </c>
      <c r="FU1459" s="101">
        <f t="shared" si="666"/>
        <v>19</v>
      </c>
      <c r="FV1459" s="14">
        <f t="shared" si="667"/>
        <v>5</v>
      </c>
      <c r="FW1459" s="101" t="str">
        <f t="shared" si="674"/>
        <v>吕布专属武器-魂珠-2 3级</v>
      </c>
      <c r="FX1459" s="101">
        <f t="shared" si="675"/>
        <v>2</v>
      </c>
      <c r="FY1459" s="101">
        <f t="shared" si="676"/>
        <v>3</v>
      </c>
      <c r="FZ1459" s="101" t="str">
        <f t="shared" si="668"/>
        <v>金币</v>
      </c>
      <c r="GA1459" s="139">
        <f>IF($FY1459&gt;0,IF(INDEX($EM$6:$EM$77,$FT1459)&gt;=GA$3,ROUND(INDEX(EO$6:EO$77,$FT1459)*INDEX(卡牌消耗!$B$8:$F$8,FV1459)/5,0)*5,""),"")</f>
        <v>870</v>
      </c>
      <c r="GB1459" s="101" t="str">
        <f t="shared" si="669"/>
        <v>专属强化石1</v>
      </c>
      <c r="GC1459" s="101">
        <f t="shared" si="670"/>
        <v>6</v>
      </c>
      <c r="GD1459" s="101" t="str">
        <f t="shared" si="671"/>
        <v>专属强化石2</v>
      </c>
      <c r="GE1459" s="101">
        <f t="shared" si="672"/>
        <v>2</v>
      </c>
      <c r="GF1459" s="101">
        <f t="shared" si="677"/>
        <v>0.26</v>
      </c>
      <c r="GG1459" s="101">
        <f t="shared" si="678"/>
        <v>1</v>
      </c>
      <c r="GH1459" s="101">
        <f t="shared" si="679"/>
        <v>6</v>
      </c>
      <c r="GI1459" s="101">
        <f t="shared" si="680"/>
        <v>0</v>
      </c>
      <c r="GJ1459" s="101">
        <f t="shared" si="681"/>
        <v>1</v>
      </c>
      <c r="GK1459" s="101">
        <f t="shared" si="682"/>
        <v>1</v>
      </c>
      <c r="GL1459" s="101">
        <f t="shared" si="683"/>
        <v>0.12839999999999999</v>
      </c>
      <c r="GM1459" s="101">
        <f t="shared" si="684"/>
        <v>1</v>
      </c>
      <c r="GN1459" s="101">
        <f t="shared" si="685"/>
        <v>3</v>
      </c>
      <c r="GO1459" s="101">
        <f t="shared" si="686"/>
        <v>0.51380000000000003</v>
      </c>
      <c r="GP1459" s="101">
        <f t="shared" si="687"/>
        <v>1</v>
      </c>
      <c r="GQ1459" s="101">
        <f t="shared" si="688"/>
        <v>6</v>
      </c>
    </row>
    <row r="1460" spans="175:199" ht="16.5" x14ac:dyDescent="0.2">
      <c r="FS1460" s="101">
        <v>1455</v>
      </c>
      <c r="FT1460" s="101">
        <f t="shared" si="673"/>
        <v>13</v>
      </c>
      <c r="FU1460" s="101">
        <f t="shared" si="666"/>
        <v>19</v>
      </c>
      <c r="FV1460" s="14">
        <f t="shared" si="667"/>
        <v>5</v>
      </c>
      <c r="FW1460" s="101" t="str">
        <f t="shared" si="674"/>
        <v>吕布专属武器-魂珠-2 4级</v>
      </c>
      <c r="FX1460" s="101">
        <f t="shared" si="675"/>
        <v>2</v>
      </c>
      <c r="FY1460" s="101">
        <f t="shared" si="676"/>
        <v>4</v>
      </c>
      <c r="FZ1460" s="101" t="str">
        <f t="shared" si="668"/>
        <v>金币</v>
      </c>
      <c r="GA1460" s="139">
        <f>IF($FY1460&gt;0,IF(INDEX($EM$6:$EM$77,$FT1460)&gt;=GA$3,ROUND(INDEX(EO$6:EO$77,$FT1460)*INDEX(卡牌消耗!$B$8:$F$8,FV1460)/5,0)*5,""),"")</f>
        <v>835</v>
      </c>
      <c r="GB1460" s="101" t="str">
        <f t="shared" si="669"/>
        <v>专属强化石1</v>
      </c>
      <c r="GC1460" s="101">
        <f t="shared" si="670"/>
        <v>6</v>
      </c>
      <c r="GD1460" s="101" t="str">
        <f t="shared" si="671"/>
        <v>专属强化石2</v>
      </c>
      <c r="GE1460" s="101">
        <f t="shared" si="672"/>
        <v>2</v>
      </c>
      <c r="GF1460" s="101">
        <f t="shared" si="677"/>
        <v>0.15</v>
      </c>
      <c r="GG1460" s="101">
        <f t="shared" si="678"/>
        <v>1</v>
      </c>
      <c r="GH1460" s="101">
        <f t="shared" si="679"/>
        <v>10</v>
      </c>
      <c r="GI1460" s="101">
        <f t="shared" si="680"/>
        <v>0</v>
      </c>
      <c r="GJ1460" s="101">
        <f t="shared" si="681"/>
        <v>1</v>
      </c>
      <c r="GK1460" s="101">
        <f t="shared" si="682"/>
        <v>2</v>
      </c>
      <c r="GL1460" s="101">
        <f t="shared" si="683"/>
        <v>7.7100000000000002E-2</v>
      </c>
      <c r="GM1460" s="101">
        <f t="shared" si="684"/>
        <v>1</v>
      </c>
      <c r="GN1460" s="101">
        <f t="shared" si="685"/>
        <v>5</v>
      </c>
      <c r="GO1460" s="101">
        <f t="shared" si="686"/>
        <v>0.30830000000000002</v>
      </c>
      <c r="GP1460" s="101">
        <f t="shared" si="687"/>
        <v>1</v>
      </c>
      <c r="GQ1460" s="101">
        <f t="shared" si="688"/>
        <v>10</v>
      </c>
    </row>
    <row r="1461" spans="175:199" ht="16.5" x14ac:dyDescent="0.2">
      <c r="FS1461" s="101">
        <v>1456</v>
      </c>
      <c r="FT1461" s="101">
        <f t="shared" si="673"/>
        <v>14</v>
      </c>
      <c r="FU1461" s="101">
        <f t="shared" si="666"/>
        <v>19</v>
      </c>
      <c r="FV1461" s="14">
        <f t="shared" si="667"/>
        <v>5</v>
      </c>
      <c r="FW1461" s="101" t="str">
        <f t="shared" si="674"/>
        <v>吕布专属武器-魂珠-2 5级</v>
      </c>
      <c r="FX1461" s="101">
        <f t="shared" si="675"/>
        <v>2</v>
      </c>
      <c r="FY1461" s="101">
        <f t="shared" si="676"/>
        <v>5</v>
      </c>
      <c r="FZ1461" s="101" t="str">
        <f t="shared" si="668"/>
        <v>金币</v>
      </c>
      <c r="GA1461" s="139">
        <f>IF($FY1461&gt;0,IF(INDEX($EM$6:$EM$77,$FT1461)&gt;=GA$3,ROUND(INDEX(EO$6:EO$77,$FT1461)*INDEX(卡牌消耗!$B$8:$F$8,FV1461)/5,0)*5,""),"")</f>
        <v>1275</v>
      </c>
      <c r="GB1461" s="101" t="str">
        <f t="shared" si="669"/>
        <v>专属强化石1</v>
      </c>
      <c r="GC1461" s="101">
        <f t="shared" si="670"/>
        <v>9</v>
      </c>
      <c r="GD1461" s="101" t="str">
        <f t="shared" si="671"/>
        <v>专属强化石2</v>
      </c>
      <c r="GE1461" s="101">
        <f t="shared" si="672"/>
        <v>3</v>
      </c>
      <c r="GF1461" s="101">
        <f t="shared" si="677"/>
        <v>0.14000000000000001</v>
      </c>
      <c r="GG1461" s="101">
        <f t="shared" si="678"/>
        <v>1</v>
      </c>
      <c r="GH1461" s="101">
        <f t="shared" si="679"/>
        <v>10</v>
      </c>
      <c r="GI1461" s="101">
        <f t="shared" si="680"/>
        <v>0</v>
      </c>
      <c r="GJ1461" s="101">
        <f t="shared" si="681"/>
        <v>1</v>
      </c>
      <c r="GK1461" s="101">
        <f t="shared" si="682"/>
        <v>2</v>
      </c>
      <c r="GL1461" s="101">
        <f t="shared" si="683"/>
        <v>7.22E-2</v>
      </c>
      <c r="GM1461" s="101">
        <f t="shared" si="684"/>
        <v>1</v>
      </c>
      <c r="GN1461" s="101">
        <f t="shared" si="685"/>
        <v>5</v>
      </c>
      <c r="GO1461" s="101">
        <f t="shared" si="686"/>
        <v>0.28899999999999998</v>
      </c>
      <c r="GP1461" s="101">
        <f t="shared" si="687"/>
        <v>1</v>
      </c>
      <c r="GQ1461" s="101">
        <f t="shared" si="688"/>
        <v>10</v>
      </c>
    </row>
    <row r="1462" spans="175:199" ht="16.5" x14ac:dyDescent="0.2">
      <c r="FS1462" s="101">
        <v>1457</v>
      </c>
      <c r="FT1462" s="101">
        <f t="shared" si="673"/>
        <v>15</v>
      </c>
      <c r="FU1462" s="101">
        <f t="shared" si="666"/>
        <v>19</v>
      </c>
      <c r="FV1462" s="14">
        <f t="shared" si="667"/>
        <v>5</v>
      </c>
      <c r="FW1462" s="101" t="str">
        <f t="shared" si="674"/>
        <v>吕布专属武器-魂珠-2 6级</v>
      </c>
      <c r="FX1462" s="101">
        <f t="shared" si="675"/>
        <v>2</v>
      </c>
      <c r="FY1462" s="101">
        <f t="shared" si="676"/>
        <v>6</v>
      </c>
      <c r="FZ1462" s="101" t="str">
        <f t="shared" si="668"/>
        <v>金币</v>
      </c>
      <c r="GA1462" s="139">
        <f>IF($FY1462&gt;0,IF(INDEX($EM$6:$EM$77,$FT1462)&gt;=GA$3,ROUND(INDEX(EO$6:EO$77,$FT1462)*INDEX(卡牌消耗!$B$8:$F$8,FV1462)/5,0)*5,""),"")</f>
        <v>1690</v>
      </c>
      <c r="GB1462" s="101" t="str">
        <f t="shared" si="669"/>
        <v>专属强化石1</v>
      </c>
      <c r="GC1462" s="101">
        <f t="shared" si="670"/>
        <v>12</v>
      </c>
      <c r="GD1462" s="101" t="str">
        <f t="shared" si="671"/>
        <v>专属强化石2</v>
      </c>
      <c r="GE1462" s="101">
        <f t="shared" si="672"/>
        <v>4</v>
      </c>
      <c r="GF1462" s="101">
        <f t="shared" si="677"/>
        <v>0.12</v>
      </c>
      <c r="GG1462" s="101">
        <f t="shared" si="678"/>
        <v>1</v>
      </c>
      <c r="GH1462" s="101">
        <f t="shared" si="679"/>
        <v>13</v>
      </c>
      <c r="GI1462" s="101">
        <f t="shared" si="680"/>
        <v>0</v>
      </c>
      <c r="GJ1462" s="101">
        <f t="shared" si="681"/>
        <v>1</v>
      </c>
      <c r="GK1462" s="101">
        <f t="shared" si="682"/>
        <v>3</v>
      </c>
      <c r="GL1462" s="101">
        <f t="shared" si="683"/>
        <v>5.9299999999999999E-2</v>
      </c>
      <c r="GM1462" s="101">
        <f t="shared" si="684"/>
        <v>1</v>
      </c>
      <c r="GN1462" s="101">
        <f t="shared" si="685"/>
        <v>6</v>
      </c>
      <c r="GO1462" s="101">
        <f t="shared" si="686"/>
        <v>0.23710000000000001</v>
      </c>
      <c r="GP1462" s="101">
        <f t="shared" si="687"/>
        <v>1</v>
      </c>
      <c r="GQ1462" s="101">
        <f t="shared" si="688"/>
        <v>13</v>
      </c>
    </row>
    <row r="1463" spans="175:199" ht="16.5" x14ac:dyDescent="0.2">
      <c r="FS1463" s="101">
        <v>1458</v>
      </c>
      <c r="FT1463" s="101">
        <f t="shared" si="673"/>
        <v>16</v>
      </c>
      <c r="FU1463" s="101">
        <f t="shared" si="666"/>
        <v>19</v>
      </c>
      <c r="FV1463" s="14">
        <f t="shared" si="667"/>
        <v>5</v>
      </c>
      <c r="FW1463" s="101" t="str">
        <f t="shared" si="674"/>
        <v>吕布专属武器-魂珠-2 7级</v>
      </c>
      <c r="FX1463" s="101">
        <f t="shared" si="675"/>
        <v>2</v>
      </c>
      <c r="FY1463" s="101">
        <f t="shared" si="676"/>
        <v>7</v>
      </c>
      <c r="FZ1463" s="101" t="str">
        <f t="shared" si="668"/>
        <v>金币</v>
      </c>
      <c r="GA1463" s="139">
        <f>IF($FY1463&gt;0,IF(INDEX($EM$6:$EM$77,$FT1463)&gt;=GA$3,ROUND(INDEX(EO$6:EO$77,$FT1463)*INDEX(卡牌消耗!$B$8:$F$8,FV1463)/5,0)*5,""),"")</f>
        <v>2120</v>
      </c>
      <c r="GB1463" s="101" t="str">
        <f t="shared" si="669"/>
        <v>专属强化石1</v>
      </c>
      <c r="GC1463" s="101">
        <f t="shared" si="670"/>
        <v>15</v>
      </c>
      <c r="GD1463" s="101" t="str">
        <f t="shared" si="671"/>
        <v>专属强化石2</v>
      </c>
      <c r="GE1463" s="101">
        <f t="shared" si="672"/>
        <v>5</v>
      </c>
      <c r="GF1463" s="101">
        <f t="shared" si="677"/>
        <v>0.09</v>
      </c>
      <c r="GG1463" s="101">
        <f t="shared" si="678"/>
        <v>1</v>
      </c>
      <c r="GH1463" s="101">
        <f t="shared" si="679"/>
        <v>16</v>
      </c>
      <c r="GI1463" s="101">
        <f t="shared" si="680"/>
        <v>0</v>
      </c>
      <c r="GJ1463" s="101">
        <f t="shared" si="681"/>
        <v>1</v>
      </c>
      <c r="GK1463" s="101">
        <f t="shared" si="682"/>
        <v>4</v>
      </c>
      <c r="GL1463" s="101">
        <f t="shared" si="683"/>
        <v>4.5900000000000003E-2</v>
      </c>
      <c r="GM1463" s="101">
        <f t="shared" si="684"/>
        <v>1</v>
      </c>
      <c r="GN1463" s="101">
        <f t="shared" si="685"/>
        <v>8</v>
      </c>
      <c r="GO1463" s="101">
        <f t="shared" si="686"/>
        <v>0.1835</v>
      </c>
      <c r="GP1463" s="101">
        <f t="shared" si="687"/>
        <v>1</v>
      </c>
      <c r="GQ1463" s="101">
        <f t="shared" si="688"/>
        <v>16</v>
      </c>
    </row>
    <row r="1464" spans="175:199" ht="16.5" x14ac:dyDescent="0.2">
      <c r="FS1464" s="101">
        <v>1459</v>
      </c>
      <c r="FT1464" s="101">
        <f t="shared" si="673"/>
        <v>17</v>
      </c>
      <c r="FU1464" s="101">
        <f t="shared" si="666"/>
        <v>19</v>
      </c>
      <c r="FV1464" s="14">
        <f t="shared" si="667"/>
        <v>5</v>
      </c>
      <c r="FW1464" s="101" t="str">
        <f t="shared" si="674"/>
        <v>吕布专属武器-魂珠-2 8级</v>
      </c>
      <c r="FX1464" s="101">
        <f t="shared" si="675"/>
        <v>2</v>
      </c>
      <c r="FY1464" s="101">
        <f t="shared" si="676"/>
        <v>8</v>
      </c>
      <c r="FZ1464" s="101" t="str">
        <f t="shared" si="668"/>
        <v>金币</v>
      </c>
      <c r="GA1464" s="139">
        <f>IF($FY1464&gt;0,IF(INDEX($EM$6:$EM$77,$FT1464)&gt;=GA$3,ROUND(INDEX(EO$6:EO$77,$FT1464)*INDEX(卡牌消耗!$B$8:$F$8,FV1464)/5,0)*5,""),"")</f>
        <v>2540</v>
      </c>
      <c r="GB1464" s="101" t="str">
        <f t="shared" si="669"/>
        <v>专属强化石1</v>
      </c>
      <c r="GC1464" s="101">
        <f t="shared" si="670"/>
        <v>18</v>
      </c>
      <c r="GD1464" s="101" t="str">
        <f t="shared" si="671"/>
        <v>专属强化石2</v>
      </c>
      <c r="GE1464" s="101">
        <f t="shared" si="672"/>
        <v>6</v>
      </c>
      <c r="GF1464" s="101">
        <f t="shared" si="677"/>
        <v>7.0000000000000007E-2</v>
      </c>
      <c r="GG1464" s="101">
        <f t="shared" si="678"/>
        <v>1</v>
      </c>
      <c r="GH1464" s="101">
        <f t="shared" si="679"/>
        <v>22</v>
      </c>
      <c r="GI1464" s="101">
        <f t="shared" si="680"/>
        <v>0</v>
      </c>
      <c r="GJ1464" s="101">
        <f t="shared" si="681"/>
        <v>1</v>
      </c>
      <c r="GK1464" s="101">
        <f t="shared" si="682"/>
        <v>5</v>
      </c>
      <c r="GL1464" s="101">
        <f t="shared" si="683"/>
        <v>3.4000000000000002E-2</v>
      </c>
      <c r="GM1464" s="101">
        <f t="shared" si="684"/>
        <v>1</v>
      </c>
      <c r="GN1464" s="101">
        <f t="shared" si="685"/>
        <v>10</v>
      </c>
      <c r="GO1464" s="101">
        <f t="shared" si="686"/>
        <v>0.13600000000000001</v>
      </c>
      <c r="GP1464" s="101">
        <f t="shared" si="687"/>
        <v>1</v>
      </c>
      <c r="GQ1464" s="101">
        <f t="shared" si="688"/>
        <v>22</v>
      </c>
    </row>
    <row r="1465" spans="175:199" ht="16.5" x14ac:dyDescent="0.2">
      <c r="FS1465" s="101">
        <v>1460</v>
      </c>
      <c r="FT1465" s="101">
        <f t="shared" si="673"/>
        <v>18</v>
      </c>
      <c r="FU1465" s="101">
        <f t="shared" si="666"/>
        <v>19</v>
      </c>
      <c r="FV1465" s="14">
        <f t="shared" si="667"/>
        <v>5</v>
      </c>
      <c r="FW1465" s="101" t="str">
        <f t="shared" si="674"/>
        <v>吕布专属武器-魂珠-2 9级</v>
      </c>
      <c r="FX1465" s="101">
        <f t="shared" si="675"/>
        <v>2</v>
      </c>
      <c r="FY1465" s="101">
        <f t="shared" si="676"/>
        <v>9</v>
      </c>
      <c r="FZ1465" s="101" t="str">
        <f t="shared" si="668"/>
        <v>金币</v>
      </c>
      <c r="GA1465" s="139">
        <f>IF($FY1465&gt;0,IF(INDEX($EM$6:$EM$77,$FT1465)&gt;=GA$3,ROUND(INDEX(EO$6:EO$77,$FT1465)*INDEX(卡牌消耗!$B$8:$F$8,FV1465)/5,0)*5,""),"")</f>
        <v>3385</v>
      </c>
      <c r="GB1465" s="101" t="str">
        <f t="shared" si="669"/>
        <v>专属强化石1</v>
      </c>
      <c r="GC1465" s="101">
        <f t="shared" si="670"/>
        <v>24</v>
      </c>
      <c r="GD1465" s="101" t="str">
        <f t="shared" si="671"/>
        <v>专属强化石2</v>
      </c>
      <c r="GE1465" s="101">
        <f t="shared" si="672"/>
        <v>8</v>
      </c>
      <c r="GF1465" s="101">
        <f t="shared" si="677"/>
        <v>0.06</v>
      </c>
      <c r="GG1465" s="101">
        <f t="shared" si="678"/>
        <v>1</v>
      </c>
      <c r="GH1465" s="101">
        <f t="shared" si="679"/>
        <v>27</v>
      </c>
      <c r="GI1465" s="101">
        <f t="shared" si="680"/>
        <v>0</v>
      </c>
      <c r="GJ1465" s="101">
        <f t="shared" si="681"/>
        <v>1</v>
      </c>
      <c r="GK1465" s="101">
        <f t="shared" si="682"/>
        <v>6</v>
      </c>
      <c r="GL1465" s="101">
        <f t="shared" si="683"/>
        <v>2.8000000000000001E-2</v>
      </c>
      <c r="GM1465" s="101">
        <f t="shared" si="684"/>
        <v>1</v>
      </c>
      <c r="GN1465" s="101">
        <f t="shared" si="685"/>
        <v>12</v>
      </c>
      <c r="GO1465" s="101">
        <f t="shared" si="686"/>
        <v>0.11210000000000001</v>
      </c>
      <c r="GP1465" s="101">
        <f t="shared" si="687"/>
        <v>1</v>
      </c>
      <c r="GQ1465" s="101">
        <f t="shared" si="688"/>
        <v>27</v>
      </c>
    </row>
    <row r="1466" spans="175:199" ht="16.5" x14ac:dyDescent="0.2">
      <c r="FS1466" s="101">
        <v>1461</v>
      </c>
      <c r="FT1466" s="101">
        <f t="shared" si="673"/>
        <v>0</v>
      </c>
      <c r="FU1466" s="101">
        <f t="shared" si="666"/>
        <v>19</v>
      </c>
      <c r="FV1466" s="14">
        <f t="shared" si="667"/>
        <v>5</v>
      </c>
      <c r="FW1466" s="101" t="str">
        <f t="shared" si="674"/>
        <v>吕布专属武器-魂珠-3 0级</v>
      </c>
      <c r="FX1466" s="101">
        <f t="shared" si="675"/>
        <v>3</v>
      </c>
      <c r="FY1466" s="101">
        <f t="shared" si="676"/>
        <v>0</v>
      </c>
      <c r="FZ1466" s="101" t="str">
        <f t="shared" si="668"/>
        <v/>
      </c>
      <c r="GA1466" s="139" t="str">
        <f>IF($FY1466&gt;0,IF(INDEX($EM$6:$EM$77,$FT1466)&gt;=GA$3,ROUND(INDEX(EO$6:EO$77,$FT1466)*INDEX(卡牌消耗!$B$8:$F$8,FV1466)/5,0)*5,""),"")</f>
        <v/>
      </c>
      <c r="GB1466" s="101" t="str">
        <f t="shared" si="669"/>
        <v/>
      </c>
      <c r="GC1466" s="101" t="str">
        <f t="shared" si="670"/>
        <v/>
      </c>
      <c r="GD1466" s="101" t="str">
        <f t="shared" si="671"/>
        <v/>
      </c>
      <c r="GE1466" s="101" t="str">
        <f t="shared" si="672"/>
        <v/>
      </c>
      <c r="GF1466" s="101" t="str">
        <f t="shared" si="677"/>
        <v/>
      </c>
      <c r="GG1466" s="101" t="str">
        <f t="shared" si="678"/>
        <v/>
      </c>
      <c r="GH1466" s="101" t="str">
        <f t="shared" si="679"/>
        <v/>
      </c>
      <c r="GI1466" s="101" t="str">
        <f t="shared" si="680"/>
        <v/>
      </c>
      <c r="GJ1466" s="101" t="str">
        <f t="shared" si="681"/>
        <v/>
      </c>
      <c r="GK1466" s="101" t="str">
        <f t="shared" si="682"/>
        <v/>
      </c>
      <c r="GL1466" s="101" t="str">
        <f t="shared" si="683"/>
        <v/>
      </c>
      <c r="GM1466" s="101" t="str">
        <f t="shared" si="684"/>
        <v/>
      </c>
      <c r="GN1466" s="101" t="str">
        <f t="shared" si="685"/>
        <v/>
      </c>
      <c r="GO1466" s="101" t="str">
        <f t="shared" si="686"/>
        <v/>
      </c>
      <c r="GP1466" s="101" t="str">
        <f t="shared" si="687"/>
        <v/>
      </c>
      <c r="GQ1466" s="101" t="str">
        <f t="shared" si="688"/>
        <v/>
      </c>
    </row>
    <row r="1467" spans="175:199" ht="16.5" x14ac:dyDescent="0.2">
      <c r="FS1467" s="101">
        <v>1462</v>
      </c>
      <c r="FT1467" s="101">
        <f t="shared" si="673"/>
        <v>19</v>
      </c>
      <c r="FU1467" s="101">
        <f t="shared" si="666"/>
        <v>19</v>
      </c>
      <c r="FV1467" s="14">
        <f t="shared" si="667"/>
        <v>5</v>
      </c>
      <c r="FW1467" s="101" t="str">
        <f t="shared" si="674"/>
        <v>吕布专属武器-魂珠-3 1级</v>
      </c>
      <c r="FX1467" s="101">
        <f t="shared" si="675"/>
        <v>3</v>
      </c>
      <c r="FY1467" s="101">
        <f t="shared" si="676"/>
        <v>1</v>
      </c>
      <c r="FZ1467" s="101" t="str">
        <f t="shared" si="668"/>
        <v>金币</v>
      </c>
      <c r="GA1467" s="139">
        <f>IF($FY1467&gt;0,IF(INDEX($EM$6:$EM$77,$FT1467)&gt;=GA$3,ROUND(INDEX(EO$6:EO$77,$FT1467)*INDEX(卡牌消耗!$B$8:$F$8,FV1467)/5,0)*5,""),"")</f>
        <v>1090</v>
      </c>
      <c r="GB1467" s="101" t="str">
        <f t="shared" si="669"/>
        <v>专属强化石1</v>
      </c>
      <c r="GC1467" s="101">
        <f t="shared" si="670"/>
        <v>4</v>
      </c>
      <c r="GD1467" s="101" t="str">
        <f t="shared" si="671"/>
        <v>专属强化石2</v>
      </c>
      <c r="GE1467" s="101">
        <f t="shared" si="672"/>
        <v>2</v>
      </c>
      <c r="GF1467" s="101">
        <f t="shared" si="677"/>
        <v>0.31</v>
      </c>
      <c r="GG1467" s="101">
        <f t="shared" si="678"/>
        <v>1</v>
      </c>
      <c r="GH1467" s="101">
        <f t="shared" si="679"/>
        <v>5</v>
      </c>
      <c r="GI1467" s="101">
        <f t="shared" si="680"/>
        <v>0</v>
      </c>
      <c r="GJ1467" s="101">
        <f t="shared" si="681"/>
        <v>1</v>
      </c>
      <c r="GK1467" s="101">
        <f t="shared" si="682"/>
        <v>1</v>
      </c>
      <c r="GL1467" s="101">
        <f t="shared" si="683"/>
        <v>0.15409999999999999</v>
      </c>
      <c r="GM1467" s="101">
        <f t="shared" si="684"/>
        <v>1</v>
      </c>
      <c r="GN1467" s="101">
        <f t="shared" si="685"/>
        <v>2</v>
      </c>
      <c r="GO1467" s="101">
        <f t="shared" si="686"/>
        <v>0.61650000000000005</v>
      </c>
      <c r="GP1467" s="101">
        <f t="shared" si="687"/>
        <v>1</v>
      </c>
      <c r="GQ1467" s="101">
        <f t="shared" si="688"/>
        <v>5</v>
      </c>
    </row>
    <row r="1468" spans="175:199" ht="16.5" x14ac:dyDescent="0.2">
      <c r="FS1468" s="101">
        <v>1463</v>
      </c>
      <c r="FT1468" s="101">
        <f t="shared" si="673"/>
        <v>20</v>
      </c>
      <c r="FU1468" s="101">
        <f t="shared" si="666"/>
        <v>19</v>
      </c>
      <c r="FV1468" s="14">
        <f t="shared" si="667"/>
        <v>5</v>
      </c>
      <c r="FW1468" s="101" t="str">
        <f t="shared" si="674"/>
        <v>吕布专属武器-魂珠-3 2级</v>
      </c>
      <c r="FX1468" s="101">
        <f t="shared" si="675"/>
        <v>3</v>
      </c>
      <c r="FY1468" s="101">
        <f t="shared" si="676"/>
        <v>2</v>
      </c>
      <c r="FZ1468" s="101" t="str">
        <f t="shared" si="668"/>
        <v>金币</v>
      </c>
      <c r="GA1468" s="139">
        <f>IF($FY1468&gt;0,IF(INDEX($EM$6:$EM$77,$FT1468)&gt;=GA$3,ROUND(INDEX(EO$6:EO$77,$FT1468)*INDEX(卡牌消耗!$B$8:$F$8,FV1468)/5,0)*5,""),"")</f>
        <v>820</v>
      </c>
      <c r="GB1468" s="101" t="str">
        <f t="shared" si="669"/>
        <v>专属强化石1</v>
      </c>
      <c r="GC1468" s="101">
        <f t="shared" si="670"/>
        <v>4</v>
      </c>
      <c r="GD1468" s="101" t="str">
        <f t="shared" si="671"/>
        <v>专属强化石2</v>
      </c>
      <c r="GE1468" s="101">
        <f t="shared" si="672"/>
        <v>2</v>
      </c>
      <c r="GF1468" s="101">
        <f t="shared" si="677"/>
        <v>0.15</v>
      </c>
      <c r="GG1468" s="101">
        <f t="shared" si="678"/>
        <v>1</v>
      </c>
      <c r="GH1468" s="101">
        <f t="shared" si="679"/>
        <v>10</v>
      </c>
      <c r="GI1468" s="101">
        <f t="shared" si="680"/>
        <v>0</v>
      </c>
      <c r="GJ1468" s="101">
        <f t="shared" si="681"/>
        <v>1</v>
      </c>
      <c r="GK1468" s="101">
        <f t="shared" si="682"/>
        <v>2</v>
      </c>
      <c r="GL1468" s="101">
        <f t="shared" si="683"/>
        <v>7.7100000000000002E-2</v>
      </c>
      <c r="GM1468" s="101">
        <f t="shared" si="684"/>
        <v>1</v>
      </c>
      <c r="GN1468" s="101">
        <f t="shared" si="685"/>
        <v>5</v>
      </c>
      <c r="GO1468" s="101">
        <f t="shared" si="686"/>
        <v>0.30830000000000002</v>
      </c>
      <c r="GP1468" s="101">
        <f t="shared" si="687"/>
        <v>1</v>
      </c>
      <c r="GQ1468" s="101">
        <f t="shared" si="688"/>
        <v>10</v>
      </c>
    </row>
    <row r="1469" spans="175:199" ht="16.5" x14ac:dyDescent="0.2">
      <c r="FS1469" s="101">
        <v>1464</v>
      </c>
      <c r="FT1469" s="101">
        <f t="shared" si="673"/>
        <v>21</v>
      </c>
      <c r="FU1469" s="101">
        <f t="shared" si="666"/>
        <v>19</v>
      </c>
      <c r="FV1469" s="14">
        <f t="shared" si="667"/>
        <v>5</v>
      </c>
      <c r="FW1469" s="101" t="str">
        <f t="shared" si="674"/>
        <v>吕布专属武器-魂珠-3 3级</v>
      </c>
      <c r="FX1469" s="101">
        <f t="shared" si="675"/>
        <v>3</v>
      </c>
      <c r="FY1469" s="101">
        <f t="shared" si="676"/>
        <v>3</v>
      </c>
      <c r="FZ1469" s="101" t="str">
        <f t="shared" si="668"/>
        <v>金币</v>
      </c>
      <c r="GA1469" s="139">
        <f>IF($FY1469&gt;0,IF(INDEX($EM$6:$EM$77,$FT1469)&gt;=GA$3,ROUND(INDEX(EO$6:EO$77,$FT1469)*INDEX(卡牌消耗!$B$8:$F$8,FV1469)/5,0)*5,""),"")</f>
        <v>1365</v>
      </c>
      <c r="GB1469" s="101" t="str">
        <f t="shared" si="669"/>
        <v>专属强化石1</v>
      </c>
      <c r="GC1469" s="101">
        <f t="shared" si="670"/>
        <v>6</v>
      </c>
      <c r="GD1469" s="101" t="str">
        <f t="shared" si="671"/>
        <v>专属强化石2</v>
      </c>
      <c r="GE1469" s="101">
        <f t="shared" si="672"/>
        <v>3</v>
      </c>
      <c r="GF1469" s="101">
        <f t="shared" si="677"/>
        <v>0.15</v>
      </c>
      <c r="GG1469" s="101">
        <f t="shared" si="678"/>
        <v>1</v>
      </c>
      <c r="GH1469" s="101">
        <f t="shared" si="679"/>
        <v>10</v>
      </c>
      <c r="GI1469" s="101">
        <f t="shared" si="680"/>
        <v>0</v>
      </c>
      <c r="GJ1469" s="101">
        <f t="shared" si="681"/>
        <v>1</v>
      </c>
      <c r="GK1469" s="101">
        <f t="shared" si="682"/>
        <v>2</v>
      </c>
      <c r="GL1469" s="101">
        <f t="shared" si="683"/>
        <v>7.7100000000000002E-2</v>
      </c>
      <c r="GM1469" s="101">
        <f t="shared" si="684"/>
        <v>1</v>
      </c>
      <c r="GN1469" s="101">
        <f t="shared" si="685"/>
        <v>5</v>
      </c>
      <c r="GO1469" s="101">
        <f t="shared" si="686"/>
        <v>0.30830000000000002</v>
      </c>
      <c r="GP1469" s="101">
        <f t="shared" si="687"/>
        <v>1</v>
      </c>
      <c r="GQ1469" s="101">
        <f t="shared" si="688"/>
        <v>10</v>
      </c>
    </row>
    <row r="1470" spans="175:199" ht="16.5" x14ac:dyDescent="0.2">
      <c r="FS1470" s="101">
        <v>1465</v>
      </c>
      <c r="FT1470" s="101">
        <f t="shared" si="673"/>
        <v>22</v>
      </c>
      <c r="FU1470" s="101">
        <f t="shared" si="666"/>
        <v>19</v>
      </c>
      <c r="FV1470" s="14">
        <f t="shared" si="667"/>
        <v>5</v>
      </c>
      <c r="FW1470" s="101" t="str">
        <f t="shared" si="674"/>
        <v>吕布专属武器-魂珠-3 4级</v>
      </c>
      <c r="FX1470" s="101">
        <f t="shared" si="675"/>
        <v>3</v>
      </c>
      <c r="FY1470" s="101">
        <f t="shared" si="676"/>
        <v>4</v>
      </c>
      <c r="FZ1470" s="101" t="str">
        <f t="shared" si="668"/>
        <v>金币</v>
      </c>
      <c r="GA1470" s="139">
        <f>IF($FY1470&gt;0,IF(INDEX($EM$6:$EM$77,$FT1470)&gt;=GA$3,ROUND(INDEX(EO$6:EO$77,$FT1470)*INDEX(卡牌消耗!$B$8:$F$8,FV1470)/5,0)*5,""),"")</f>
        <v>1310</v>
      </c>
      <c r="GB1470" s="101" t="str">
        <f t="shared" si="669"/>
        <v>专属强化石1</v>
      </c>
      <c r="GC1470" s="101">
        <f t="shared" si="670"/>
        <v>6</v>
      </c>
      <c r="GD1470" s="101" t="str">
        <f t="shared" si="671"/>
        <v>专属强化石2</v>
      </c>
      <c r="GE1470" s="101">
        <f t="shared" si="672"/>
        <v>3</v>
      </c>
      <c r="GF1470" s="101">
        <f t="shared" si="677"/>
        <v>0.09</v>
      </c>
      <c r="GG1470" s="101">
        <f t="shared" si="678"/>
        <v>1</v>
      </c>
      <c r="GH1470" s="101">
        <f t="shared" si="679"/>
        <v>16</v>
      </c>
      <c r="GI1470" s="101">
        <f t="shared" si="680"/>
        <v>0</v>
      </c>
      <c r="GJ1470" s="101">
        <f t="shared" si="681"/>
        <v>1</v>
      </c>
      <c r="GK1470" s="101">
        <f t="shared" si="682"/>
        <v>4</v>
      </c>
      <c r="GL1470" s="101">
        <f t="shared" si="683"/>
        <v>4.6199999999999998E-2</v>
      </c>
      <c r="GM1470" s="101">
        <f t="shared" si="684"/>
        <v>1</v>
      </c>
      <c r="GN1470" s="101">
        <f t="shared" si="685"/>
        <v>8</v>
      </c>
      <c r="GO1470" s="101">
        <f t="shared" si="686"/>
        <v>0.185</v>
      </c>
      <c r="GP1470" s="101">
        <f t="shared" si="687"/>
        <v>1</v>
      </c>
      <c r="GQ1470" s="101">
        <f t="shared" si="688"/>
        <v>16</v>
      </c>
    </row>
    <row r="1471" spans="175:199" ht="16.5" x14ac:dyDescent="0.2">
      <c r="FS1471" s="101">
        <v>1466</v>
      </c>
      <c r="FT1471" s="101">
        <f t="shared" si="673"/>
        <v>23</v>
      </c>
      <c r="FU1471" s="101">
        <f t="shared" si="666"/>
        <v>19</v>
      </c>
      <c r="FV1471" s="14">
        <f t="shared" si="667"/>
        <v>5</v>
      </c>
      <c r="FW1471" s="101" t="str">
        <f t="shared" si="674"/>
        <v>吕布专属武器-魂珠-3 5级</v>
      </c>
      <c r="FX1471" s="101">
        <f t="shared" si="675"/>
        <v>3</v>
      </c>
      <c r="FY1471" s="101">
        <f t="shared" si="676"/>
        <v>5</v>
      </c>
      <c r="FZ1471" s="101" t="str">
        <f t="shared" si="668"/>
        <v>金币</v>
      </c>
      <c r="GA1471" s="139">
        <f>IF($FY1471&gt;0,IF(INDEX($EM$6:$EM$77,$FT1471)&gt;=GA$3,ROUND(INDEX(EO$6:EO$77,$FT1471)*INDEX(卡牌消耗!$B$8:$F$8,FV1471)/5,0)*5,""),"")</f>
        <v>1770</v>
      </c>
      <c r="GB1471" s="101" t="str">
        <f t="shared" si="669"/>
        <v>专属强化石1</v>
      </c>
      <c r="GC1471" s="101">
        <f t="shared" si="670"/>
        <v>8</v>
      </c>
      <c r="GD1471" s="101" t="str">
        <f t="shared" si="671"/>
        <v>专属强化石2</v>
      </c>
      <c r="GE1471" s="101">
        <f t="shared" si="672"/>
        <v>4</v>
      </c>
      <c r="GF1471" s="101">
        <f t="shared" si="677"/>
        <v>0.08</v>
      </c>
      <c r="GG1471" s="101">
        <f t="shared" si="678"/>
        <v>1</v>
      </c>
      <c r="GH1471" s="101">
        <f t="shared" si="679"/>
        <v>19</v>
      </c>
      <c r="GI1471" s="101">
        <f t="shared" si="680"/>
        <v>0</v>
      </c>
      <c r="GJ1471" s="101">
        <f t="shared" si="681"/>
        <v>1</v>
      </c>
      <c r="GK1471" s="101">
        <f t="shared" si="682"/>
        <v>5</v>
      </c>
      <c r="GL1471" s="101">
        <f t="shared" si="683"/>
        <v>3.85E-2</v>
      </c>
      <c r="GM1471" s="101">
        <f t="shared" si="684"/>
        <v>1</v>
      </c>
      <c r="GN1471" s="101">
        <f t="shared" si="685"/>
        <v>9</v>
      </c>
      <c r="GO1471" s="101">
        <f t="shared" si="686"/>
        <v>0.15409999999999999</v>
      </c>
      <c r="GP1471" s="101">
        <f t="shared" si="687"/>
        <v>1</v>
      </c>
      <c r="GQ1471" s="101">
        <f t="shared" si="688"/>
        <v>19</v>
      </c>
    </row>
    <row r="1472" spans="175:199" ht="16.5" x14ac:dyDescent="0.2">
      <c r="FS1472" s="101">
        <v>1467</v>
      </c>
      <c r="FT1472" s="101">
        <f t="shared" si="673"/>
        <v>24</v>
      </c>
      <c r="FU1472" s="101">
        <f t="shared" si="666"/>
        <v>19</v>
      </c>
      <c r="FV1472" s="14">
        <f t="shared" si="667"/>
        <v>5</v>
      </c>
      <c r="FW1472" s="101" t="str">
        <f t="shared" si="674"/>
        <v>吕布专属武器-魂珠-3 6级</v>
      </c>
      <c r="FX1472" s="101">
        <f t="shared" si="675"/>
        <v>3</v>
      </c>
      <c r="FY1472" s="101">
        <f t="shared" si="676"/>
        <v>6</v>
      </c>
      <c r="FZ1472" s="101" t="str">
        <f t="shared" si="668"/>
        <v>金币</v>
      </c>
      <c r="GA1472" s="139">
        <f>IF($FY1472&gt;0,IF(INDEX($EM$6:$EM$77,$FT1472)&gt;=GA$3,ROUND(INDEX(EO$6:EO$77,$FT1472)*INDEX(卡牌消耗!$B$8:$F$8,FV1472)/5,0)*5,""),"")</f>
        <v>2200</v>
      </c>
      <c r="GB1472" s="101" t="str">
        <f t="shared" si="669"/>
        <v>专属强化石1</v>
      </c>
      <c r="GC1472" s="101">
        <f t="shared" si="670"/>
        <v>10</v>
      </c>
      <c r="GD1472" s="101" t="str">
        <f t="shared" si="671"/>
        <v>专属强化石2</v>
      </c>
      <c r="GE1472" s="101">
        <f t="shared" si="672"/>
        <v>5</v>
      </c>
      <c r="GF1472" s="101">
        <f t="shared" si="677"/>
        <v>0.06</v>
      </c>
      <c r="GG1472" s="101">
        <f t="shared" si="678"/>
        <v>1</v>
      </c>
      <c r="GH1472" s="101">
        <f t="shared" si="679"/>
        <v>25</v>
      </c>
      <c r="GI1472" s="101">
        <f t="shared" si="680"/>
        <v>0</v>
      </c>
      <c r="GJ1472" s="101">
        <f t="shared" si="681"/>
        <v>1</v>
      </c>
      <c r="GK1472" s="101">
        <f t="shared" si="682"/>
        <v>6</v>
      </c>
      <c r="GL1472" s="101">
        <f t="shared" si="683"/>
        <v>2.9600000000000001E-2</v>
      </c>
      <c r="GM1472" s="101">
        <f t="shared" si="684"/>
        <v>1</v>
      </c>
      <c r="GN1472" s="101">
        <f t="shared" si="685"/>
        <v>12</v>
      </c>
      <c r="GO1472" s="101">
        <f t="shared" si="686"/>
        <v>0.1186</v>
      </c>
      <c r="GP1472" s="101">
        <f t="shared" si="687"/>
        <v>1</v>
      </c>
      <c r="GQ1472" s="101">
        <f t="shared" si="688"/>
        <v>25</v>
      </c>
    </row>
    <row r="1473" spans="175:199" ht="16.5" x14ac:dyDescent="0.2">
      <c r="FS1473" s="101">
        <v>1468</v>
      </c>
      <c r="FT1473" s="101">
        <f t="shared" si="673"/>
        <v>25</v>
      </c>
      <c r="FU1473" s="101">
        <f t="shared" si="666"/>
        <v>19</v>
      </c>
      <c r="FV1473" s="14">
        <f t="shared" si="667"/>
        <v>5</v>
      </c>
      <c r="FW1473" s="101" t="str">
        <f t="shared" si="674"/>
        <v>吕布专属武器-魂珠-3 7级</v>
      </c>
      <c r="FX1473" s="101">
        <f t="shared" si="675"/>
        <v>3</v>
      </c>
      <c r="FY1473" s="101">
        <f t="shared" si="676"/>
        <v>7</v>
      </c>
      <c r="FZ1473" s="101" t="str">
        <f t="shared" si="668"/>
        <v>金币</v>
      </c>
      <c r="GA1473" s="139">
        <f>IF($FY1473&gt;0,IF(INDEX($EM$6:$EM$77,$FT1473)&gt;=GA$3,ROUND(INDEX(EO$6:EO$77,$FT1473)*INDEX(卡牌消耗!$B$8:$F$8,FV1473)/5,0)*5,""),"")</f>
        <v>2650</v>
      </c>
      <c r="GB1473" s="101" t="str">
        <f t="shared" si="669"/>
        <v>专属强化石1</v>
      </c>
      <c r="GC1473" s="101">
        <f t="shared" si="670"/>
        <v>12</v>
      </c>
      <c r="GD1473" s="101" t="str">
        <f t="shared" si="671"/>
        <v>专属强化石2</v>
      </c>
      <c r="GE1473" s="101">
        <f t="shared" si="672"/>
        <v>6</v>
      </c>
      <c r="GF1473" s="101">
        <f t="shared" si="677"/>
        <v>0.04</v>
      </c>
      <c r="GG1473" s="101">
        <f t="shared" si="678"/>
        <v>1</v>
      </c>
      <c r="GH1473" s="101">
        <f t="shared" si="679"/>
        <v>34</v>
      </c>
      <c r="GI1473" s="101">
        <f t="shared" si="680"/>
        <v>0</v>
      </c>
      <c r="GJ1473" s="101">
        <f t="shared" si="681"/>
        <v>1</v>
      </c>
      <c r="GK1473" s="101">
        <f t="shared" si="682"/>
        <v>8</v>
      </c>
      <c r="GL1473" s="101">
        <f t="shared" si="683"/>
        <v>2.1999999999999999E-2</v>
      </c>
      <c r="GM1473" s="101">
        <f t="shared" si="684"/>
        <v>1</v>
      </c>
      <c r="GN1473" s="101">
        <f t="shared" si="685"/>
        <v>16</v>
      </c>
      <c r="GO1473" s="101">
        <f t="shared" si="686"/>
        <v>8.8099999999999998E-2</v>
      </c>
      <c r="GP1473" s="101">
        <f t="shared" si="687"/>
        <v>1</v>
      </c>
      <c r="GQ1473" s="101">
        <f t="shared" si="688"/>
        <v>34</v>
      </c>
    </row>
    <row r="1474" spans="175:199" ht="16.5" x14ac:dyDescent="0.2">
      <c r="FS1474" s="101">
        <v>1469</v>
      </c>
      <c r="FT1474" s="101">
        <f t="shared" si="673"/>
        <v>26</v>
      </c>
      <c r="FU1474" s="101">
        <f t="shared" si="666"/>
        <v>19</v>
      </c>
      <c r="FV1474" s="14">
        <f t="shared" si="667"/>
        <v>5</v>
      </c>
      <c r="FW1474" s="101" t="str">
        <f t="shared" si="674"/>
        <v>吕布专属武器-魂珠-3 8级</v>
      </c>
      <c r="FX1474" s="101">
        <f t="shared" si="675"/>
        <v>3</v>
      </c>
      <c r="FY1474" s="101">
        <f t="shared" si="676"/>
        <v>8</v>
      </c>
      <c r="FZ1474" s="101" t="str">
        <f t="shared" si="668"/>
        <v>金币</v>
      </c>
      <c r="GA1474" s="139">
        <f>IF($FY1474&gt;0,IF(INDEX($EM$6:$EM$77,$FT1474)&gt;=GA$3,ROUND(INDEX(EO$6:EO$77,$FT1474)*INDEX(卡牌消耗!$B$8:$F$8,FV1474)/5,0)*5,""),"")</f>
        <v>3530</v>
      </c>
      <c r="GB1474" s="101" t="str">
        <f t="shared" si="669"/>
        <v>专属强化石1</v>
      </c>
      <c r="GC1474" s="101">
        <f t="shared" si="670"/>
        <v>16</v>
      </c>
      <c r="GD1474" s="101" t="str">
        <f t="shared" si="671"/>
        <v>专属强化石2</v>
      </c>
      <c r="GE1474" s="101">
        <f t="shared" si="672"/>
        <v>8</v>
      </c>
      <c r="GF1474" s="101">
        <f t="shared" si="677"/>
        <v>0.04</v>
      </c>
      <c r="GG1474" s="101">
        <f t="shared" si="678"/>
        <v>1</v>
      </c>
      <c r="GH1474" s="101">
        <f t="shared" si="679"/>
        <v>41</v>
      </c>
      <c r="GI1474" s="101">
        <f t="shared" si="680"/>
        <v>0</v>
      </c>
      <c r="GJ1474" s="101">
        <f t="shared" si="681"/>
        <v>1</v>
      </c>
      <c r="GK1474" s="101">
        <f t="shared" si="682"/>
        <v>10</v>
      </c>
      <c r="GL1474" s="101">
        <f t="shared" si="683"/>
        <v>1.8100000000000002E-2</v>
      </c>
      <c r="GM1474" s="101">
        <f t="shared" si="684"/>
        <v>1</v>
      </c>
      <c r="GN1474" s="101">
        <f t="shared" si="685"/>
        <v>19</v>
      </c>
      <c r="GO1474" s="101">
        <f t="shared" si="686"/>
        <v>7.2499999999999995E-2</v>
      </c>
      <c r="GP1474" s="101">
        <f t="shared" si="687"/>
        <v>1</v>
      </c>
      <c r="GQ1474" s="101">
        <f t="shared" si="688"/>
        <v>41</v>
      </c>
    </row>
    <row r="1475" spans="175:199" ht="16.5" x14ac:dyDescent="0.2">
      <c r="FS1475" s="101">
        <v>1470</v>
      </c>
      <c r="FT1475" s="101">
        <f t="shared" si="673"/>
        <v>27</v>
      </c>
      <c r="FU1475" s="101">
        <f t="shared" si="666"/>
        <v>19</v>
      </c>
      <c r="FV1475" s="14">
        <f t="shared" si="667"/>
        <v>5</v>
      </c>
      <c r="FW1475" s="101" t="str">
        <f t="shared" si="674"/>
        <v>吕布专属武器-魂珠-3 9级</v>
      </c>
      <c r="FX1475" s="101">
        <f t="shared" si="675"/>
        <v>3</v>
      </c>
      <c r="FY1475" s="101">
        <f t="shared" si="676"/>
        <v>9</v>
      </c>
      <c r="FZ1475" s="101" t="str">
        <f t="shared" si="668"/>
        <v>金币</v>
      </c>
      <c r="GA1475" s="139">
        <f>IF($FY1475&gt;0,IF(INDEX($EM$6:$EM$77,$FT1475)&gt;=GA$3,ROUND(INDEX(EO$6:EO$77,$FT1475)*INDEX(卡牌消耗!$B$8:$F$8,FV1475)/5,0)*5,""),"")</f>
        <v>4415</v>
      </c>
      <c r="GB1475" s="101" t="str">
        <f t="shared" si="669"/>
        <v>专属强化石1</v>
      </c>
      <c r="GC1475" s="101">
        <f t="shared" si="670"/>
        <v>20</v>
      </c>
      <c r="GD1475" s="101" t="str">
        <f t="shared" si="671"/>
        <v>专属强化石2</v>
      </c>
      <c r="GE1475" s="101">
        <f t="shared" si="672"/>
        <v>10</v>
      </c>
      <c r="GF1475" s="101">
        <f t="shared" si="677"/>
        <v>0.03</v>
      </c>
      <c r="GG1475" s="101">
        <f t="shared" si="678"/>
        <v>1</v>
      </c>
      <c r="GH1475" s="101">
        <f t="shared" si="679"/>
        <v>54</v>
      </c>
      <c r="GI1475" s="101">
        <f t="shared" si="680"/>
        <v>0</v>
      </c>
      <c r="GJ1475" s="101">
        <f t="shared" si="681"/>
        <v>1</v>
      </c>
      <c r="GK1475" s="101">
        <f t="shared" si="682"/>
        <v>12</v>
      </c>
      <c r="GL1475" s="101">
        <f t="shared" si="683"/>
        <v>1.4E-2</v>
      </c>
      <c r="GM1475" s="101">
        <f t="shared" si="684"/>
        <v>1</v>
      </c>
      <c r="GN1475" s="101">
        <f t="shared" si="685"/>
        <v>25</v>
      </c>
      <c r="GO1475" s="101">
        <f t="shared" si="686"/>
        <v>5.6000000000000001E-2</v>
      </c>
      <c r="GP1475" s="101">
        <f t="shared" si="687"/>
        <v>1</v>
      </c>
      <c r="GQ1475" s="101">
        <f t="shared" si="688"/>
        <v>54</v>
      </c>
    </row>
    <row r="1476" spans="175:199" ht="16.5" x14ac:dyDescent="0.2">
      <c r="FS1476" s="101">
        <v>1471</v>
      </c>
      <c r="FT1476" s="101">
        <f t="shared" si="673"/>
        <v>0</v>
      </c>
      <c r="FU1476" s="101">
        <f t="shared" si="666"/>
        <v>19</v>
      </c>
      <c r="FV1476" s="14">
        <f t="shared" si="667"/>
        <v>5</v>
      </c>
      <c r="FW1476" s="101" t="str">
        <f t="shared" si="674"/>
        <v>吕布专属武器-魂珠-4 0级</v>
      </c>
      <c r="FX1476" s="101">
        <f t="shared" si="675"/>
        <v>4</v>
      </c>
      <c r="FY1476" s="101">
        <f t="shared" si="676"/>
        <v>0</v>
      </c>
      <c r="FZ1476" s="101" t="str">
        <f t="shared" si="668"/>
        <v/>
      </c>
      <c r="GA1476" s="139" t="str">
        <f>IF($FY1476&gt;0,IF(INDEX($EM$6:$EM$77,$FT1476)&gt;=GA$3,ROUND(INDEX(EO$6:EO$77,$FT1476)*INDEX(卡牌消耗!$B$8:$F$8,FV1476)/5,0)*5,""),"")</f>
        <v/>
      </c>
      <c r="GB1476" s="101" t="str">
        <f t="shared" si="669"/>
        <v/>
      </c>
      <c r="GC1476" s="101" t="str">
        <f t="shared" si="670"/>
        <v/>
      </c>
      <c r="GD1476" s="101" t="str">
        <f t="shared" si="671"/>
        <v/>
      </c>
      <c r="GE1476" s="101" t="str">
        <f t="shared" si="672"/>
        <v/>
      </c>
      <c r="GF1476" s="101" t="str">
        <f t="shared" si="677"/>
        <v/>
      </c>
      <c r="GG1476" s="101" t="str">
        <f t="shared" si="678"/>
        <v/>
      </c>
      <c r="GH1476" s="101" t="str">
        <f t="shared" si="679"/>
        <v/>
      </c>
      <c r="GI1476" s="101" t="str">
        <f t="shared" si="680"/>
        <v/>
      </c>
      <c r="GJ1476" s="101" t="str">
        <f t="shared" si="681"/>
        <v/>
      </c>
      <c r="GK1476" s="101" t="str">
        <f t="shared" si="682"/>
        <v/>
      </c>
      <c r="GL1476" s="101" t="str">
        <f t="shared" si="683"/>
        <v/>
      </c>
      <c r="GM1476" s="101" t="str">
        <f t="shared" si="684"/>
        <v/>
      </c>
      <c r="GN1476" s="101" t="str">
        <f t="shared" si="685"/>
        <v/>
      </c>
      <c r="GO1476" s="101" t="str">
        <f t="shared" si="686"/>
        <v/>
      </c>
      <c r="GP1476" s="101" t="str">
        <f t="shared" si="687"/>
        <v/>
      </c>
      <c r="GQ1476" s="101" t="str">
        <f t="shared" si="688"/>
        <v/>
      </c>
    </row>
    <row r="1477" spans="175:199" ht="16.5" x14ac:dyDescent="0.2">
      <c r="FS1477" s="101">
        <v>1472</v>
      </c>
      <c r="FT1477" s="101">
        <f t="shared" si="673"/>
        <v>28</v>
      </c>
      <c r="FU1477" s="101">
        <f t="shared" si="666"/>
        <v>19</v>
      </c>
      <c r="FV1477" s="14">
        <f t="shared" si="667"/>
        <v>5</v>
      </c>
      <c r="FW1477" s="101" t="str">
        <f t="shared" si="674"/>
        <v>吕布专属武器-魂珠-4 1级</v>
      </c>
      <c r="FX1477" s="101">
        <f t="shared" si="675"/>
        <v>4</v>
      </c>
      <c r="FY1477" s="101">
        <f t="shared" si="676"/>
        <v>1</v>
      </c>
      <c r="FZ1477" s="101" t="str">
        <f t="shared" si="668"/>
        <v>金币</v>
      </c>
      <c r="GA1477" s="139">
        <f>IF($FY1477&gt;0,IF(INDEX($EM$6:$EM$77,$FT1477)&gt;=GA$3,ROUND(INDEX(EO$6:EO$77,$FT1477)*INDEX(卡牌消耗!$B$8:$F$8,FV1477)/5,0)*5,""),"")</f>
        <v>1460</v>
      </c>
      <c r="GB1477" s="101" t="str">
        <f t="shared" si="669"/>
        <v>专属强化石2</v>
      </c>
      <c r="GC1477" s="101">
        <f t="shared" si="670"/>
        <v>3</v>
      </c>
      <c r="GD1477" s="101" t="str">
        <f t="shared" si="671"/>
        <v>专属强化石3</v>
      </c>
      <c r="GE1477" s="101">
        <f t="shared" si="672"/>
        <v>1</v>
      </c>
      <c r="GF1477" s="101">
        <f t="shared" si="677"/>
        <v>0.2</v>
      </c>
      <c r="GG1477" s="101">
        <f t="shared" si="678"/>
        <v>1</v>
      </c>
      <c r="GH1477" s="101">
        <f t="shared" si="679"/>
        <v>7</v>
      </c>
      <c r="GI1477" s="101">
        <f t="shared" si="680"/>
        <v>0</v>
      </c>
      <c r="GJ1477" s="101">
        <f t="shared" si="681"/>
        <v>1</v>
      </c>
      <c r="GK1477" s="101">
        <f t="shared" si="682"/>
        <v>2</v>
      </c>
      <c r="GL1477" s="101">
        <f t="shared" si="683"/>
        <v>0.1012</v>
      </c>
      <c r="GM1477" s="101">
        <f t="shared" si="684"/>
        <v>1</v>
      </c>
      <c r="GN1477" s="101">
        <f t="shared" si="685"/>
        <v>3</v>
      </c>
      <c r="GO1477" s="101">
        <f t="shared" si="686"/>
        <v>0.40479999999999999</v>
      </c>
      <c r="GP1477" s="101">
        <f t="shared" si="687"/>
        <v>1</v>
      </c>
      <c r="GQ1477" s="101">
        <f t="shared" si="688"/>
        <v>7</v>
      </c>
    </row>
    <row r="1478" spans="175:199" ht="16.5" x14ac:dyDescent="0.2">
      <c r="FS1478" s="101">
        <v>1473</v>
      </c>
      <c r="FT1478" s="101">
        <f t="shared" si="673"/>
        <v>29</v>
      </c>
      <c r="FU1478" s="101">
        <f t="shared" si="666"/>
        <v>19</v>
      </c>
      <c r="FV1478" s="14">
        <f t="shared" si="667"/>
        <v>5</v>
      </c>
      <c r="FW1478" s="101" t="str">
        <f t="shared" si="674"/>
        <v>吕布专属武器-魂珠-4 2级</v>
      </c>
      <c r="FX1478" s="101">
        <f t="shared" si="675"/>
        <v>4</v>
      </c>
      <c r="FY1478" s="101">
        <f t="shared" si="676"/>
        <v>2</v>
      </c>
      <c r="FZ1478" s="101" t="str">
        <f t="shared" si="668"/>
        <v>金币</v>
      </c>
      <c r="GA1478" s="139">
        <f>IF($FY1478&gt;0,IF(INDEX($EM$6:$EM$77,$FT1478)&gt;=GA$3,ROUND(INDEX(EO$6:EO$77,$FT1478)*INDEX(卡牌消耗!$B$8:$F$8,FV1478)/5,0)*5,""),"")</f>
        <v>1095</v>
      </c>
      <c r="GB1478" s="101" t="str">
        <f t="shared" si="669"/>
        <v>专属强化石2</v>
      </c>
      <c r="GC1478" s="101">
        <f t="shared" si="670"/>
        <v>3</v>
      </c>
      <c r="GD1478" s="101" t="str">
        <f t="shared" si="671"/>
        <v>专属强化石3</v>
      </c>
      <c r="GE1478" s="101">
        <f t="shared" si="672"/>
        <v>1</v>
      </c>
      <c r="GF1478" s="101">
        <f t="shared" si="677"/>
        <v>0.1</v>
      </c>
      <c r="GG1478" s="101">
        <f t="shared" si="678"/>
        <v>1</v>
      </c>
      <c r="GH1478" s="101">
        <f t="shared" si="679"/>
        <v>15</v>
      </c>
      <c r="GI1478" s="101">
        <f t="shared" si="680"/>
        <v>0</v>
      </c>
      <c r="GJ1478" s="101">
        <f t="shared" si="681"/>
        <v>1</v>
      </c>
      <c r="GK1478" s="101">
        <f t="shared" si="682"/>
        <v>3</v>
      </c>
      <c r="GL1478" s="101">
        <f t="shared" si="683"/>
        <v>5.0599999999999999E-2</v>
      </c>
      <c r="GM1478" s="101">
        <f t="shared" si="684"/>
        <v>1</v>
      </c>
      <c r="GN1478" s="101">
        <f t="shared" si="685"/>
        <v>7</v>
      </c>
      <c r="GO1478" s="101">
        <f t="shared" si="686"/>
        <v>0.2024</v>
      </c>
      <c r="GP1478" s="101">
        <f t="shared" si="687"/>
        <v>1</v>
      </c>
      <c r="GQ1478" s="101">
        <f t="shared" si="688"/>
        <v>15</v>
      </c>
    </row>
    <row r="1479" spans="175:199" ht="16.5" x14ac:dyDescent="0.2">
      <c r="FS1479" s="101">
        <v>1474</v>
      </c>
      <c r="FT1479" s="101">
        <f t="shared" si="673"/>
        <v>30</v>
      </c>
      <c r="FU1479" s="101">
        <f t="shared" ref="FU1479:FU1542" si="689">INT((FS1479-1)/80+1)</f>
        <v>19</v>
      </c>
      <c r="FV1479" s="14">
        <f t="shared" ref="FV1479:FV1542" si="690">INDEX($FO$6:$FO$26,FU1479)</f>
        <v>5</v>
      </c>
      <c r="FW1479" s="101" t="str">
        <f t="shared" si="674"/>
        <v>吕布专属武器-魂珠-4 3级</v>
      </c>
      <c r="FX1479" s="101">
        <f t="shared" si="675"/>
        <v>4</v>
      </c>
      <c r="FY1479" s="101">
        <f t="shared" si="676"/>
        <v>3</v>
      </c>
      <c r="FZ1479" s="101" t="str">
        <f t="shared" ref="FZ1479:FZ1542" si="691">IF($FY1479&gt;0,IF(INDEX($EM$6:$EM$77,$FT1479)&gt;=FZ$3,INDEX(EN$6:EN$77,$FT1479),""),"")</f>
        <v>金币</v>
      </c>
      <c r="GA1479" s="139">
        <f>IF($FY1479&gt;0,IF(INDEX($EM$6:$EM$77,$FT1479)&gt;=GA$3,ROUND(INDEX(EO$6:EO$77,$FT1479)*INDEX(卡牌消耗!$B$8:$F$8,FV1479)/5,0)*5,""),"")</f>
        <v>1215</v>
      </c>
      <c r="GB1479" s="101" t="str">
        <f t="shared" ref="GB1479:GB1542" si="692">IF($FY1479&gt;0,IF(INDEX($EM$6:$EM$77,$FT1479)&gt;=GB$3,INDEX(EP$6:EP$77,$FT1479),""),"")</f>
        <v>专属强化石2</v>
      </c>
      <c r="GC1479" s="101">
        <f t="shared" ref="GC1479:GC1542" si="693">IF($FY1479&gt;0,IF(INDEX($EM$6:$EM$77,$FT1479)&gt;=GC$3,INDEX(EQ$6:EQ$77,$FT1479),""),"")</f>
        <v>3</v>
      </c>
      <c r="GD1479" s="101" t="str">
        <f t="shared" ref="GD1479:GD1542" si="694">IF($FY1479&gt;0,IF(INDEX($EM$6:$EM$77,$FT1479)&gt;=GD$3,INDEX(ER$6:ER$77,$FT1479),""),"")</f>
        <v>专属强化石3</v>
      </c>
      <c r="GE1479" s="101">
        <f t="shared" ref="GE1479:GE1542" si="695">IF($FY1479&gt;0,IF(INDEX($EM$6:$EM$77,$FT1479)&gt;=GE$3,INDEX(ES$6:ES$77,$FT1479),""),"")</f>
        <v>1</v>
      </c>
      <c r="GF1479" s="101">
        <f t="shared" si="677"/>
        <v>7.0000000000000007E-2</v>
      </c>
      <c r="GG1479" s="101">
        <f t="shared" si="678"/>
        <v>1</v>
      </c>
      <c r="GH1479" s="101">
        <f t="shared" si="679"/>
        <v>22</v>
      </c>
      <c r="GI1479" s="101">
        <f t="shared" si="680"/>
        <v>0</v>
      </c>
      <c r="GJ1479" s="101">
        <f t="shared" si="681"/>
        <v>1</v>
      </c>
      <c r="GK1479" s="101">
        <f t="shared" si="682"/>
        <v>5</v>
      </c>
      <c r="GL1479" s="101">
        <f t="shared" si="683"/>
        <v>3.3700000000000001E-2</v>
      </c>
      <c r="GM1479" s="101">
        <f t="shared" si="684"/>
        <v>1</v>
      </c>
      <c r="GN1479" s="101">
        <f t="shared" si="685"/>
        <v>10</v>
      </c>
      <c r="GO1479" s="101">
        <f t="shared" si="686"/>
        <v>0.13489999999999999</v>
      </c>
      <c r="GP1479" s="101">
        <f t="shared" si="687"/>
        <v>1</v>
      </c>
      <c r="GQ1479" s="101">
        <f t="shared" si="688"/>
        <v>22</v>
      </c>
    </row>
    <row r="1480" spans="175:199" ht="16.5" x14ac:dyDescent="0.2">
      <c r="FS1480" s="101">
        <v>1475</v>
      </c>
      <c r="FT1480" s="101">
        <f t="shared" si="673"/>
        <v>31</v>
      </c>
      <c r="FU1480" s="101">
        <f t="shared" si="689"/>
        <v>19</v>
      </c>
      <c r="FV1480" s="14">
        <f t="shared" si="690"/>
        <v>5</v>
      </c>
      <c r="FW1480" s="101" t="str">
        <f t="shared" si="674"/>
        <v>吕布专属武器-魂珠-4 4级</v>
      </c>
      <c r="FX1480" s="101">
        <f t="shared" si="675"/>
        <v>4</v>
      </c>
      <c r="FY1480" s="101">
        <f t="shared" si="676"/>
        <v>4</v>
      </c>
      <c r="FZ1480" s="101" t="str">
        <f t="shared" si="691"/>
        <v>金币</v>
      </c>
      <c r="GA1480" s="139">
        <f>IF($FY1480&gt;0,IF(INDEX($EM$6:$EM$77,$FT1480)&gt;=GA$3,ROUND(INDEX(EO$6:EO$77,$FT1480)*INDEX(卡牌消耗!$B$8:$F$8,FV1480)/5,0)*5,""),"")</f>
        <v>2335</v>
      </c>
      <c r="GB1480" s="101" t="str">
        <f t="shared" si="692"/>
        <v>专属强化石2</v>
      </c>
      <c r="GC1480" s="101">
        <f t="shared" si="693"/>
        <v>5</v>
      </c>
      <c r="GD1480" s="101" t="str">
        <f t="shared" si="694"/>
        <v>专属强化石3</v>
      </c>
      <c r="GE1480" s="101">
        <f t="shared" si="695"/>
        <v>2</v>
      </c>
      <c r="GF1480" s="101">
        <f t="shared" si="677"/>
        <v>0.08</v>
      </c>
      <c r="GG1480" s="101">
        <f t="shared" si="678"/>
        <v>1</v>
      </c>
      <c r="GH1480" s="101">
        <f t="shared" si="679"/>
        <v>19</v>
      </c>
      <c r="GI1480" s="101">
        <f t="shared" si="680"/>
        <v>0</v>
      </c>
      <c r="GJ1480" s="101">
        <f t="shared" si="681"/>
        <v>1</v>
      </c>
      <c r="GK1480" s="101">
        <f t="shared" si="682"/>
        <v>4</v>
      </c>
      <c r="GL1480" s="101">
        <f t="shared" si="683"/>
        <v>4.0500000000000001E-2</v>
      </c>
      <c r="GM1480" s="101">
        <f t="shared" si="684"/>
        <v>1</v>
      </c>
      <c r="GN1480" s="101">
        <f t="shared" si="685"/>
        <v>9</v>
      </c>
      <c r="GO1480" s="101">
        <f t="shared" si="686"/>
        <v>0.16189999999999999</v>
      </c>
      <c r="GP1480" s="101">
        <f t="shared" si="687"/>
        <v>1</v>
      </c>
      <c r="GQ1480" s="101">
        <f t="shared" si="688"/>
        <v>19</v>
      </c>
    </row>
    <row r="1481" spans="175:199" ht="16.5" x14ac:dyDescent="0.2">
      <c r="FS1481" s="101">
        <v>1476</v>
      </c>
      <c r="FT1481" s="101">
        <f t="shared" si="673"/>
        <v>32</v>
      </c>
      <c r="FU1481" s="101">
        <f t="shared" si="689"/>
        <v>19</v>
      </c>
      <c r="FV1481" s="14">
        <f t="shared" si="690"/>
        <v>5</v>
      </c>
      <c r="FW1481" s="101" t="str">
        <f t="shared" si="674"/>
        <v>吕布专属武器-魂珠-4 5级</v>
      </c>
      <c r="FX1481" s="101">
        <f t="shared" si="675"/>
        <v>4</v>
      </c>
      <c r="FY1481" s="101">
        <f t="shared" si="676"/>
        <v>5</v>
      </c>
      <c r="FZ1481" s="101" t="str">
        <f t="shared" si="691"/>
        <v>金币</v>
      </c>
      <c r="GA1481" s="139">
        <f>IF($FY1481&gt;0,IF(INDEX($EM$6:$EM$77,$FT1481)&gt;=GA$3,ROUND(INDEX(EO$6:EO$77,$FT1481)*INDEX(卡牌消耗!$B$8:$F$8,FV1481)/5,0)*5,""),"")</f>
        <v>2370</v>
      </c>
      <c r="GB1481" s="101" t="str">
        <f t="shared" si="692"/>
        <v>专属强化石2</v>
      </c>
      <c r="GC1481" s="101">
        <f t="shared" si="693"/>
        <v>5</v>
      </c>
      <c r="GD1481" s="101" t="str">
        <f t="shared" si="694"/>
        <v>专属强化石3</v>
      </c>
      <c r="GE1481" s="101">
        <f t="shared" si="695"/>
        <v>2</v>
      </c>
      <c r="GF1481" s="101">
        <f t="shared" si="677"/>
        <v>0.05</v>
      </c>
      <c r="GG1481" s="101">
        <f t="shared" si="678"/>
        <v>1</v>
      </c>
      <c r="GH1481" s="101">
        <f t="shared" si="679"/>
        <v>30</v>
      </c>
      <c r="GI1481" s="101">
        <f t="shared" si="680"/>
        <v>0</v>
      </c>
      <c r="GJ1481" s="101">
        <f t="shared" si="681"/>
        <v>1</v>
      </c>
      <c r="GK1481" s="101">
        <f t="shared" si="682"/>
        <v>7</v>
      </c>
      <c r="GL1481" s="101">
        <f t="shared" si="683"/>
        <v>2.53E-2</v>
      </c>
      <c r="GM1481" s="101">
        <f t="shared" si="684"/>
        <v>1</v>
      </c>
      <c r="GN1481" s="101">
        <f t="shared" si="685"/>
        <v>14</v>
      </c>
      <c r="GO1481" s="101">
        <f t="shared" si="686"/>
        <v>0.1012</v>
      </c>
      <c r="GP1481" s="101">
        <f t="shared" si="687"/>
        <v>1</v>
      </c>
      <c r="GQ1481" s="101">
        <f t="shared" si="688"/>
        <v>30</v>
      </c>
    </row>
    <row r="1482" spans="175:199" ht="16.5" x14ac:dyDescent="0.2">
      <c r="FS1482" s="101">
        <v>1477</v>
      </c>
      <c r="FT1482" s="101">
        <f t="shared" si="673"/>
        <v>33</v>
      </c>
      <c r="FU1482" s="101">
        <f t="shared" si="689"/>
        <v>19</v>
      </c>
      <c r="FV1482" s="14">
        <f t="shared" si="690"/>
        <v>5</v>
      </c>
      <c r="FW1482" s="101" t="str">
        <f t="shared" si="674"/>
        <v>吕布专属武器-魂珠-4 6级</v>
      </c>
      <c r="FX1482" s="101">
        <f t="shared" si="675"/>
        <v>4</v>
      </c>
      <c r="FY1482" s="101">
        <f t="shared" si="676"/>
        <v>6</v>
      </c>
      <c r="FZ1482" s="101" t="str">
        <f t="shared" si="691"/>
        <v>金币</v>
      </c>
      <c r="GA1482" s="139">
        <f>IF($FY1482&gt;0,IF(INDEX($EM$6:$EM$77,$FT1482)&gt;=GA$3,ROUND(INDEX(EO$6:EO$77,$FT1482)*INDEX(卡牌消耗!$B$8:$F$8,FV1482)/5,0)*5,""),"")</f>
        <v>2360</v>
      </c>
      <c r="GB1482" s="101" t="str">
        <f t="shared" si="692"/>
        <v>专属强化石2</v>
      </c>
      <c r="GC1482" s="101">
        <f t="shared" si="693"/>
        <v>5</v>
      </c>
      <c r="GD1482" s="101" t="str">
        <f t="shared" si="694"/>
        <v>专属强化石3</v>
      </c>
      <c r="GE1482" s="101">
        <f t="shared" si="695"/>
        <v>2</v>
      </c>
      <c r="GF1482" s="101">
        <f t="shared" si="677"/>
        <v>0.03</v>
      </c>
      <c r="GG1482" s="101">
        <f t="shared" si="678"/>
        <v>1</v>
      </c>
      <c r="GH1482" s="101">
        <f t="shared" si="679"/>
        <v>48</v>
      </c>
      <c r="GI1482" s="101">
        <f t="shared" si="680"/>
        <v>0</v>
      </c>
      <c r="GJ1482" s="101">
        <f t="shared" si="681"/>
        <v>1</v>
      </c>
      <c r="GK1482" s="101">
        <f t="shared" si="682"/>
        <v>11</v>
      </c>
      <c r="GL1482" s="101">
        <f t="shared" si="683"/>
        <v>1.5599999999999999E-2</v>
      </c>
      <c r="GM1482" s="101">
        <f t="shared" si="684"/>
        <v>1</v>
      </c>
      <c r="GN1482" s="101">
        <f t="shared" si="685"/>
        <v>22</v>
      </c>
      <c r="GO1482" s="101">
        <f t="shared" si="686"/>
        <v>6.2300000000000001E-2</v>
      </c>
      <c r="GP1482" s="101">
        <f t="shared" si="687"/>
        <v>1</v>
      </c>
      <c r="GQ1482" s="101">
        <f t="shared" si="688"/>
        <v>48</v>
      </c>
    </row>
    <row r="1483" spans="175:199" ht="16.5" x14ac:dyDescent="0.2">
      <c r="FS1483" s="101">
        <v>1478</v>
      </c>
      <c r="FT1483" s="101">
        <f t="shared" si="673"/>
        <v>34</v>
      </c>
      <c r="FU1483" s="101">
        <f t="shared" si="689"/>
        <v>19</v>
      </c>
      <c r="FV1483" s="14">
        <f t="shared" si="690"/>
        <v>5</v>
      </c>
      <c r="FW1483" s="101" t="str">
        <f t="shared" si="674"/>
        <v>吕布专属武器-魂珠-4 7级</v>
      </c>
      <c r="FX1483" s="101">
        <f t="shared" si="675"/>
        <v>4</v>
      </c>
      <c r="FY1483" s="101">
        <f t="shared" si="676"/>
        <v>7</v>
      </c>
      <c r="FZ1483" s="101" t="str">
        <f t="shared" si="691"/>
        <v>金币</v>
      </c>
      <c r="GA1483" s="139">
        <f>IF($FY1483&gt;0,IF(INDEX($EM$6:$EM$77,$FT1483)&gt;=GA$3,ROUND(INDEX(EO$6:EO$77,$FT1483)*INDEX(卡牌消耗!$B$8:$F$8,FV1483)/5,0)*5,""),"")</f>
        <v>3545</v>
      </c>
      <c r="GB1483" s="101" t="str">
        <f t="shared" si="692"/>
        <v>专属强化石2</v>
      </c>
      <c r="GC1483" s="101">
        <f t="shared" si="693"/>
        <v>8</v>
      </c>
      <c r="GD1483" s="101" t="str">
        <f t="shared" si="694"/>
        <v>专属强化石3</v>
      </c>
      <c r="GE1483" s="101">
        <f t="shared" si="695"/>
        <v>3</v>
      </c>
      <c r="GF1483" s="101">
        <f t="shared" si="677"/>
        <v>0.03</v>
      </c>
      <c r="GG1483" s="101">
        <f t="shared" si="678"/>
        <v>1</v>
      </c>
      <c r="GH1483" s="101">
        <f t="shared" si="679"/>
        <v>52</v>
      </c>
      <c r="GI1483" s="101">
        <f t="shared" si="680"/>
        <v>0</v>
      </c>
      <c r="GJ1483" s="101">
        <f t="shared" si="681"/>
        <v>1</v>
      </c>
      <c r="GK1483" s="101">
        <f t="shared" si="682"/>
        <v>12</v>
      </c>
      <c r="GL1483" s="101">
        <f t="shared" si="683"/>
        <v>1.4500000000000001E-2</v>
      </c>
      <c r="GM1483" s="101">
        <f t="shared" si="684"/>
        <v>1</v>
      </c>
      <c r="GN1483" s="101">
        <f t="shared" si="685"/>
        <v>24</v>
      </c>
      <c r="GO1483" s="101">
        <f t="shared" si="686"/>
        <v>5.7799999999999997E-2</v>
      </c>
      <c r="GP1483" s="101">
        <f t="shared" si="687"/>
        <v>1</v>
      </c>
      <c r="GQ1483" s="101">
        <f t="shared" si="688"/>
        <v>52</v>
      </c>
    </row>
    <row r="1484" spans="175:199" ht="16.5" x14ac:dyDescent="0.2">
      <c r="FS1484" s="101">
        <v>1479</v>
      </c>
      <c r="FT1484" s="101">
        <f t="shared" si="673"/>
        <v>35</v>
      </c>
      <c r="FU1484" s="101">
        <f t="shared" si="689"/>
        <v>19</v>
      </c>
      <c r="FV1484" s="14">
        <f t="shared" si="690"/>
        <v>5</v>
      </c>
      <c r="FW1484" s="101" t="str">
        <f t="shared" si="674"/>
        <v>吕布专属武器-魂珠-4 8级</v>
      </c>
      <c r="FX1484" s="101">
        <f t="shared" si="675"/>
        <v>4</v>
      </c>
      <c r="FY1484" s="101">
        <f t="shared" si="676"/>
        <v>8</v>
      </c>
      <c r="FZ1484" s="101" t="str">
        <f t="shared" si="691"/>
        <v>金币</v>
      </c>
      <c r="GA1484" s="139">
        <f>IF($FY1484&gt;0,IF(INDEX($EM$6:$EM$77,$FT1484)&gt;=GA$3,ROUND(INDEX(EO$6:EO$77,$FT1484)*INDEX(卡牌消耗!$B$8:$F$8,FV1484)/5,0)*5,""),"")</f>
        <v>4720</v>
      </c>
      <c r="GB1484" s="101" t="str">
        <f t="shared" si="692"/>
        <v>专属强化石2</v>
      </c>
      <c r="GC1484" s="101">
        <f t="shared" si="693"/>
        <v>11</v>
      </c>
      <c r="GD1484" s="101" t="str">
        <f t="shared" si="694"/>
        <v>专属强化石3</v>
      </c>
      <c r="GE1484" s="101">
        <f t="shared" si="695"/>
        <v>4</v>
      </c>
      <c r="GF1484" s="101">
        <f t="shared" si="677"/>
        <v>0.02</v>
      </c>
      <c r="GG1484" s="101">
        <f t="shared" si="678"/>
        <v>1</v>
      </c>
      <c r="GH1484" s="101">
        <f t="shared" si="679"/>
        <v>63</v>
      </c>
      <c r="GI1484" s="101">
        <f t="shared" si="680"/>
        <v>0</v>
      </c>
      <c r="GJ1484" s="101">
        <f t="shared" si="681"/>
        <v>1</v>
      </c>
      <c r="GK1484" s="101">
        <f t="shared" si="682"/>
        <v>15</v>
      </c>
      <c r="GL1484" s="101">
        <f t="shared" si="683"/>
        <v>1.1900000000000001E-2</v>
      </c>
      <c r="GM1484" s="101">
        <f t="shared" si="684"/>
        <v>1</v>
      </c>
      <c r="GN1484" s="101">
        <f t="shared" si="685"/>
        <v>29</v>
      </c>
      <c r="GO1484" s="101">
        <f t="shared" si="686"/>
        <v>4.7600000000000003E-2</v>
      </c>
      <c r="GP1484" s="101">
        <f t="shared" si="687"/>
        <v>1</v>
      </c>
      <c r="GQ1484" s="101">
        <f t="shared" si="688"/>
        <v>63</v>
      </c>
    </row>
    <row r="1485" spans="175:199" ht="16.5" x14ac:dyDescent="0.2">
      <c r="FS1485" s="101">
        <v>1480</v>
      </c>
      <c r="FT1485" s="101">
        <f t="shared" si="673"/>
        <v>36</v>
      </c>
      <c r="FU1485" s="101">
        <f t="shared" si="689"/>
        <v>19</v>
      </c>
      <c r="FV1485" s="14">
        <f t="shared" si="690"/>
        <v>5</v>
      </c>
      <c r="FW1485" s="101" t="str">
        <f t="shared" si="674"/>
        <v>吕布专属武器-魂珠-4 9级</v>
      </c>
      <c r="FX1485" s="101">
        <f t="shared" si="675"/>
        <v>4</v>
      </c>
      <c r="FY1485" s="101">
        <f t="shared" si="676"/>
        <v>9</v>
      </c>
      <c r="FZ1485" s="101" t="str">
        <f t="shared" si="691"/>
        <v>金币</v>
      </c>
      <c r="GA1485" s="139">
        <f>IF($FY1485&gt;0,IF(INDEX($EM$6:$EM$77,$FT1485)&gt;=GA$3,ROUND(INDEX(EO$6:EO$77,$FT1485)*INDEX(卡牌消耗!$B$8:$F$8,FV1485)/5,0)*5,""),"")</f>
        <v>7085</v>
      </c>
      <c r="GB1485" s="101" t="str">
        <f t="shared" si="692"/>
        <v>专属强化石2</v>
      </c>
      <c r="GC1485" s="101">
        <f t="shared" si="693"/>
        <v>16</v>
      </c>
      <c r="GD1485" s="101" t="str">
        <f t="shared" si="694"/>
        <v>专属强化石3</v>
      </c>
      <c r="GE1485" s="101">
        <f t="shared" si="695"/>
        <v>6</v>
      </c>
      <c r="GF1485" s="101">
        <f t="shared" si="677"/>
        <v>0.02</v>
      </c>
      <c r="GG1485" s="101">
        <f t="shared" si="678"/>
        <v>1</v>
      </c>
      <c r="GH1485" s="101">
        <f t="shared" si="679"/>
        <v>68</v>
      </c>
      <c r="GI1485" s="101">
        <f t="shared" si="680"/>
        <v>0</v>
      </c>
      <c r="GJ1485" s="101">
        <f t="shared" si="681"/>
        <v>1</v>
      </c>
      <c r="GK1485" s="101">
        <f t="shared" si="682"/>
        <v>16</v>
      </c>
      <c r="GL1485" s="101">
        <f t="shared" si="683"/>
        <v>1.0999999999999999E-2</v>
      </c>
      <c r="GM1485" s="101">
        <f t="shared" si="684"/>
        <v>1</v>
      </c>
      <c r="GN1485" s="101">
        <f t="shared" si="685"/>
        <v>32</v>
      </c>
      <c r="GO1485" s="101">
        <f t="shared" si="686"/>
        <v>4.4200000000000003E-2</v>
      </c>
      <c r="GP1485" s="101">
        <f t="shared" si="687"/>
        <v>1</v>
      </c>
      <c r="GQ1485" s="101">
        <f t="shared" si="688"/>
        <v>68</v>
      </c>
    </row>
    <row r="1486" spans="175:199" ht="16.5" x14ac:dyDescent="0.2">
      <c r="FS1486" s="101">
        <v>1481</v>
      </c>
      <c r="FT1486" s="101">
        <f t="shared" si="673"/>
        <v>0</v>
      </c>
      <c r="FU1486" s="101">
        <f t="shared" si="689"/>
        <v>19</v>
      </c>
      <c r="FV1486" s="14">
        <f t="shared" si="690"/>
        <v>5</v>
      </c>
      <c r="FW1486" s="101" t="str">
        <f t="shared" si="674"/>
        <v>吕布专属武器-魂珠-5 0级</v>
      </c>
      <c r="FX1486" s="101">
        <f t="shared" si="675"/>
        <v>5</v>
      </c>
      <c r="FY1486" s="101">
        <f t="shared" si="676"/>
        <v>0</v>
      </c>
      <c r="FZ1486" s="101" t="str">
        <f t="shared" si="691"/>
        <v/>
      </c>
      <c r="GA1486" s="139" t="str">
        <f>IF($FY1486&gt;0,IF(INDEX($EM$6:$EM$77,$FT1486)&gt;=GA$3,ROUND(INDEX(EO$6:EO$77,$FT1486)*INDEX(卡牌消耗!$B$8:$F$8,FV1486)/5,0)*5,""),"")</f>
        <v/>
      </c>
      <c r="GB1486" s="101" t="str">
        <f t="shared" si="692"/>
        <v/>
      </c>
      <c r="GC1486" s="101" t="str">
        <f t="shared" si="693"/>
        <v/>
      </c>
      <c r="GD1486" s="101" t="str">
        <f t="shared" si="694"/>
        <v/>
      </c>
      <c r="GE1486" s="101" t="str">
        <f t="shared" si="695"/>
        <v/>
      </c>
      <c r="GF1486" s="101" t="str">
        <f t="shared" si="677"/>
        <v/>
      </c>
      <c r="GG1486" s="101" t="str">
        <f t="shared" si="678"/>
        <v/>
      </c>
      <c r="GH1486" s="101" t="str">
        <f t="shared" si="679"/>
        <v/>
      </c>
      <c r="GI1486" s="101" t="str">
        <f t="shared" si="680"/>
        <v/>
      </c>
      <c r="GJ1486" s="101" t="str">
        <f t="shared" si="681"/>
        <v/>
      </c>
      <c r="GK1486" s="101" t="str">
        <f t="shared" si="682"/>
        <v/>
      </c>
      <c r="GL1486" s="101" t="str">
        <f t="shared" si="683"/>
        <v/>
      </c>
      <c r="GM1486" s="101" t="str">
        <f t="shared" si="684"/>
        <v/>
      </c>
      <c r="GN1486" s="101" t="str">
        <f t="shared" si="685"/>
        <v/>
      </c>
      <c r="GO1486" s="101" t="str">
        <f t="shared" si="686"/>
        <v/>
      </c>
      <c r="GP1486" s="101" t="str">
        <f t="shared" si="687"/>
        <v/>
      </c>
      <c r="GQ1486" s="101" t="str">
        <f t="shared" si="688"/>
        <v/>
      </c>
    </row>
    <row r="1487" spans="175:199" ht="16.5" x14ac:dyDescent="0.2">
      <c r="FS1487" s="101">
        <v>1482</v>
      </c>
      <c r="FT1487" s="101">
        <f t="shared" si="673"/>
        <v>37</v>
      </c>
      <c r="FU1487" s="101">
        <f t="shared" si="689"/>
        <v>19</v>
      </c>
      <c r="FV1487" s="14">
        <f t="shared" si="690"/>
        <v>5</v>
      </c>
      <c r="FW1487" s="101" t="str">
        <f t="shared" si="674"/>
        <v>吕布专属武器-魂珠-5 1级</v>
      </c>
      <c r="FX1487" s="101">
        <f t="shared" si="675"/>
        <v>5</v>
      </c>
      <c r="FY1487" s="101">
        <f t="shared" si="676"/>
        <v>1</v>
      </c>
      <c r="FZ1487" s="101" t="str">
        <f t="shared" si="691"/>
        <v>金币</v>
      </c>
      <c r="GA1487" s="139">
        <f>IF($FY1487&gt;0,IF(INDEX($EM$6:$EM$77,$FT1487)&gt;=GA$3,ROUND(INDEX(EO$6:EO$77,$FT1487)*INDEX(卡牌消耗!$B$8:$F$8,FV1487)/5,0)*5,""),"")</f>
        <v>2990</v>
      </c>
      <c r="GB1487" s="101" t="str">
        <f t="shared" si="692"/>
        <v>专属强化石2</v>
      </c>
      <c r="GC1487" s="101">
        <f t="shared" si="693"/>
        <v>3</v>
      </c>
      <c r="GD1487" s="101" t="str">
        <f t="shared" si="694"/>
        <v>专属强化石3</v>
      </c>
      <c r="GE1487" s="101">
        <f t="shared" si="695"/>
        <v>2</v>
      </c>
      <c r="GF1487" s="101">
        <f t="shared" si="677"/>
        <v>0.2</v>
      </c>
      <c r="GG1487" s="101">
        <f t="shared" si="678"/>
        <v>1</v>
      </c>
      <c r="GH1487" s="101">
        <f t="shared" si="679"/>
        <v>7</v>
      </c>
      <c r="GI1487" s="101">
        <f t="shared" si="680"/>
        <v>0</v>
      </c>
      <c r="GJ1487" s="101">
        <f t="shared" si="681"/>
        <v>1</v>
      </c>
      <c r="GK1487" s="101">
        <f t="shared" si="682"/>
        <v>2</v>
      </c>
      <c r="GL1487" s="101">
        <f t="shared" si="683"/>
        <v>0.1012</v>
      </c>
      <c r="GM1487" s="101">
        <f t="shared" si="684"/>
        <v>1</v>
      </c>
      <c r="GN1487" s="101">
        <f t="shared" si="685"/>
        <v>3</v>
      </c>
      <c r="GO1487" s="101">
        <f t="shared" si="686"/>
        <v>0.40479999999999999</v>
      </c>
      <c r="GP1487" s="101">
        <f t="shared" si="687"/>
        <v>1</v>
      </c>
      <c r="GQ1487" s="101">
        <f t="shared" si="688"/>
        <v>7</v>
      </c>
    </row>
    <row r="1488" spans="175:199" ht="16.5" x14ac:dyDescent="0.2">
      <c r="FS1488" s="101">
        <v>1483</v>
      </c>
      <c r="FT1488" s="101">
        <f t="shared" si="673"/>
        <v>38</v>
      </c>
      <c r="FU1488" s="101">
        <f t="shared" si="689"/>
        <v>19</v>
      </c>
      <c r="FV1488" s="14">
        <f t="shared" si="690"/>
        <v>5</v>
      </c>
      <c r="FW1488" s="101" t="str">
        <f t="shared" si="674"/>
        <v>吕布专属武器-魂珠-5 2级</v>
      </c>
      <c r="FX1488" s="101">
        <f t="shared" si="675"/>
        <v>5</v>
      </c>
      <c r="FY1488" s="101">
        <f t="shared" si="676"/>
        <v>2</v>
      </c>
      <c r="FZ1488" s="101" t="str">
        <f t="shared" si="691"/>
        <v>金币</v>
      </c>
      <c r="GA1488" s="139">
        <f>IF($FY1488&gt;0,IF(INDEX($EM$6:$EM$77,$FT1488)&gt;=GA$3,ROUND(INDEX(EO$6:EO$77,$FT1488)*INDEX(卡牌消耗!$B$8:$F$8,FV1488)/5,0)*5,""),"")</f>
        <v>2245</v>
      </c>
      <c r="GB1488" s="101" t="str">
        <f t="shared" si="692"/>
        <v>专属强化石2</v>
      </c>
      <c r="GC1488" s="101">
        <f t="shared" si="693"/>
        <v>3</v>
      </c>
      <c r="GD1488" s="101" t="str">
        <f t="shared" si="694"/>
        <v>专属强化石3</v>
      </c>
      <c r="GE1488" s="101">
        <f t="shared" si="695"/>
        <v>2</v>
      </c>
      <c r="GF1488" s="101">
        <f t="shared" si="677"/>
        <v>0.1</v>
      </c>
      <c r="GG1488" s="101">
        <f t="shared" si="678"/>
        <v>1</v>
      </c>
      <c r="GH1488" s="101">
        <f t="shared" si="679"/>
        <v>15</v>
      </c>
      <c r="GI1488" s="101">
        <f t="shared" si="680"/>
        <v>0</v>
      </c>
      <c r="GJ1488" s="101">
        <f t="shared" si="681"/>
        <v>1</v>
      </c>
      <c r="GK1488" s="101">
        <f t="shared" si="682"/>
        <v>3</v>
      </c>
      <c r="GL1488" s="101">
        <f t="shared" si="683"/>
        <v>5.0599999999999999E-2</v>
      </c>
      <c r="GM1488" s="101">
        <f t="shared" si="684"/>
        <v>1</v>
      </c>
      <c r="GN1488" s="101">
        <f t="shared" si="685"/>
        <v>7</v>
      </c>
      <c r="GO1488" s="101">
        <f t="shared" si="686"/>
        <v>0.2024</v>
      </c>
      <c r="GP1488" s="101">
        <f t="shared" si="687"/>
        <v>1</v>
      </c>
      <c r="GQ1488" s="101">
        <f t="shared" si="688"/>
        <v>15</v>
      </c>
    </row>
    <row r="1489" spans="175:199" ht="16.5" x14ac:dyDescent="0.2">
      <c r="FS1489" s="101">
        <v>1484</v>
      </c>
      <c r="FT1489" s="101">
        <f t="shared" si="673"/>
        <v>39</v>
      </c>
      <c r="FU1489" s="101">
        <f t="shared" si="689"/>
        <v>19</v>
      </c>
      <c r="FV1489" s="14">
        <f t="shared" si="690"/>
        <v>5</v>
      </c>
      <c r="FW1489" s="101" t="str">
        <f t="shared" si="674"/>
        <v>吕布专属武器-魂珠-5 3级</v>
      </c>
      <c r="FX1489" s="101">
        <f t="shared" si="675"/>
        <v>5</v>
      </c>
      <c r="FY1489" s="101">
        <f t="shared" si="676"/>
        <v>3</v>
      </c>
      <c r="FZ1489" s="101" t="str">
        <f t="shared" si="691"/>
        <v>金币</v>
      </c>
      <c r="GA1489" s="139">
        <f>IF($FY1489&gt;0,IF(INDEX($EM$6:$EM$77,$FT1489)&gt;=GA$3,ROUND(INDEX(EO$6:EO$77,$FT1489)*INDEX(卡牌消耗!$B$8:$F$8,FV1489)/5,0)*5,""),"")</f>
        <v>2490</v>
      </c>
      <c r="GB1489" s="101" t="str">
        <f t="shared" si="692"/>
        <v>专属强化石2</v>
      </c>
      <c r="GC1489" s="101">
        <f t="shared" si="693"/>
        <v>3</v>
      </c>
      <c r="GD1489" s="101" t="str">
        <f t="shared" si="694"/>
        <v>专属强化石3</v>
      </c>
      <c r="GE1489" s="101">
        <f t="shared" si="695"/>
        <v>2</v>
      </c>
      <c r="GF1489" s="101">
        <f t="shared" si="677"/>
        <v>7.0000000000000007E-2</v>
      </c>
      <c r="GG1489" s="101">
        <f t="shared" si="678"/>
        <v>1</v>
      </c>
      <c r="GH1489" s="101">
        <f t="shared" si="679"/>
        <v>22</v>
      </c>
      <c r="GI1489" s="101">
        <f t="shared" si="680"/>
        <v>0</v>
      </c>
      <c r="GJ1489" s="101">
        <f t="shared" si="681"/>
        <v>1</v>
      </c>
      <c r="GK1489" s="101">
        <f t="shared" si="682"/>
        <v>5</v>
      </c>
      <c r="GL1489" s="101">
        <f t="shared" si="683"/>
        <v>3.3700000000000001E-2</v>
      </c>
      <c r="GM1489" s="101">
        <f t="shared" si="684"/>
        <v>1</v>
      </c>
      <c r="GN1489" s="101">
        <f t="shared" si="685"/>
        <v>10</v>
      </c>
      <c r="GO1489" s="101">
        <f t="shared" si="686"/>
        <v>0.13489999999999999</v>
      </c>
      <c r="GP1489" s="101">
        <f t="shared" si="687"/>
        <v>1</v>
      </c>
      <c r="GQ1489" s="101">
        <f t="shared" si="688"/>
        <v>22</v>
      </c>
    </row>
    <row r="1490" spans="175:199" ht="16.5" x14ac:dyDescent="0.2">
      <c r="FS1490" s="101">
        <v>1485</v>
      </c>
      <c r="FT1490" s="101">
        <f t="shared" si="673"/>
        <v>40</v>
      </c>
      <c r="FU1490" s="101">
        <f t="shared" si="689"/>
        <v>19</v>
      </c>
      <c r="FV1490" s="14">
        <f t="shared" si="690"/>
        <v>5</v>
      </c>
      <c r="FW1490" s="101" t="str">
        <f t="shared" si="674"/>
        <v>吕布专属武器-魂珠-5 4级</v>
      </c>
      <c r="FX1490" s="101">
        <f t="shared" si="675"/>
        <v>5</v>
      </c>
      <c r="FY1490" s="101">
        <f t="shared" si="676"/>
        <v>4</v>
      </c>
      <c r="FZ1490" s="101" t="str">
        <f t="shared" si="691"/>
        <v>金币</v>
      </c>
      <c r="GA1490" s="139">
        <f>IF($FY1490&gt;0,IF(INDEX($EM$6:$EM$77,$FT1490)&gt;=GA$3,ROUND(INDEX(EO$6:EO$77,$FT1490)*INDEX(卡牌消耗!$B$8:$F$8,FV1490)/5,0)*5,""),"")</f>
        <v>3590</v>
      </c>
      <c r="GB1490" s="101" t="str">
        <f t="shared" si="692"/>
        <v>专属强化石2</v>
      </c>
      <c r="GC1490" s="101">
        <f t="shared" si="693"/>
        <v>5</v>
      </c>
      <c r="GD1490" s="101" t="str">
        <f t="shared" si="694"/>
        <v>专属强化石3</v>
      </c>
      <c r="GE1490" s="101">
        <f t="shared" si="695"/>
        <v>3</v>
      </c>
      <c r="GF1490" s="101">
        <f t="shared" si="677"/>
        <v>0.06</v>
      </c>
      <c r="GG1490" s="101">
        <f t="shared" si="678"/>
        <v>1</v>
      </c>
      <c r="GH1490" s="101">
        <f t="shared" si="679"/>
        <v>25</v>
      </c>
      <c r="GI1490" s="101">
        <f t="shared" si="680"/>
        <v>0</v>
      </c>
      <c r="GJ1490" s="101">
        <f t="shared" si="681"/>
        <v>1</v>
      </c>
      <c r="GK1490" s="101">
        <f t="shared" si="682"/>
        <v>6</v>
      </c>
      <c r="GL1490" s="101">
        <f t="shared" si="683"/>
        <v>3.04E-2</v>
      </c>
      <c r="GM1490" s="101">
        <f t="shared" si="684"/>
        <v>1</v>
      </c>
      <c r="GN1490" s="101">
        <f t="shared" si="685"/>
        <v>12</v>
      </c>
      <c r="GO1490" s="101">
        <f t="shared" si="686"/>
        <v>0.12139999999999999</v>
      </c>
      <c r="GP1490" s="101">
        <f t="shared" si="687"/>
        <v>1</v>
      </c>
      <c r="GQ1490" s="101">
        <f t="shared" si="688"/>
        <v>25</v>
      </c>
    </row>
    <row r="1491" spans="175:199" ht="16.5" x14ac:dyDescent="0.2">
      <c r="FS1491" s="101">
        <v>1486</v>
      </c>
      <c r="FT1491" s="101">
        <f t="shared" si="673"/>
        <v>41</v>
      </c>
      <c r="FU1491" s="101">
        <f t="shared" si="689"/>
        <v>19</v>
      </c>
      <c r="FV1491" s="14">
        <f t="shared" si="690"/>
        <v>5</v>
      </c>
      <c r="FW1491" s="101" t="str">
        <f t="shared" si="674"/>
        <v>吕布专属武器-魂珠-5 5级</v>
      </c>
      <c r="FX1491" s="101">
        <f t="shared" si="675"/>
        <v>5</v>
      </c>
      <c r="FY1491" s="101">
        <f t="shared" si="676"/>
        <v>5</v>
      </c>
      <c r="FZ1491" s="101" t="str">
        <f t="shared" si="691"/>
        <v>金币</v>
      </c>
      <c r="GA1491" s="139">
        <f>IF($FY1491&gt;0,IF(INDEX($EM$6:$EM$77,$FT1491)&gt;=GA$3,ROUND(INDEX(EO$6:EO$77,$FT1491)*INDEX(卡牌消耗!$B$8:$F$8,FV1491)/5,0)*5,""),"")</f>
        <v>3645</v>
      </c>
      <c r="GB1491" s="101" t="str">
        <f t="shared" si="692"/>
        <v>专属强化石2</v>
      </c>
      <c r="GC1491" s="101">
        <f t="shared" si="693"/>
        <v>5</v>
      </c>
      <c r="GD1491" s="101" t="str">
        <f t="shared" si="694"/>
        <v>专属强化石3</v>
      </c>
      <c r="GE1491" s="101">
        <f t="shared" si="695"/>
        <v>3</v>
      </c>
      <c r="GF1491" s="101">
        <f t="shared" si="677"/>
        <v>0.04</v>
      </c>
      <c r="GG1491" s="101">
        <f t="shared" si="678"/>
        <v>1</v>
      </c>
      <c r="GH1491" s="101">
        <f t="shared" si="679"/>
        <v>40</v>
      </c>
      <c r="GI1491" s="101">
        <f t="shared" si="680"/>
        <v>0</v>
      </c>
      <c r="GJ1491" s="101">
        <f t="shared" si="681"/>
        <v>1</v>
      </c>
      <c r="GK1491" s="101">
        <f t="shared" si="682"/>
        <v>9</v>
      </c>
      <c r="GL1491" s="101">
        <f t="shared" si="683"/>
        <v>1.9E-2</v>
      </c>
      <c r="GM1491" s="101">
        <f t="shared" si="684"/>
        <v>1</v>
      </c>
      <c r="GN1491" s="101">
        <f t="shared" si="685"/>
        <v>18</v>
      </c>
      <c r="GO1491" s="101">
        <f t="shared" si="686"/>
        <v>7.5899999999999995E-2</v>
      </c>
      <c r="GP1491" s="101">
        <f t="shared" si="687"/>
        <v>1</v>
      </c>
      <c r="GQ1491" s="101">
        <f t="shared" si="688"/>
        <v>40</v>
      </c>
    </row>
    <row r="1492" spans="175:199" ht="16.5" x14ac:dyDescent="0.2">
      <c r="FS1492" s="101">
        <v>1487</v>
      </c>
      <c r="FT1492" s="101">
        <f t="shared" si="673"/>
        <v>42</v>
      </c>
      <c r="FU1492" s="101">
        <f t="shared" si="689"/>
        <v>19</v>
      </c>
      <c r="FV1492" s="14">
        <f t="shared" si="690"/>
        <v>5</v>
      </c>
      <c r="FW1492" s="101" t="str">
        <f t="shared" si="674"/>
        <v>吕布专属武器-魂珠-5 6级</v>
      </c>
      <c r="FX1492" s="101">
        <f t="shared" si="675"/>
        <v>5</v>
      </c>
      <c r="FY1492" s="101">
        <f t="shared" si="676"/>
        <v>6</v>
      </c>
      <c r="FZ1492" s="101" t="str">
        <f t="shared" si="691"/>
        <v>金币</v>
      </c>
      <c r="GA1492" s="139">
        <f>IF($FY1492&gt;0,IF(INDEX($EM$6:$EM$77,$FT1492)&gt;=GA$3,ROUND(INDEX(EO$6:EO$77,$FT1492)*INDEX(卡牌消耗!$B$8:$F$8,FV1492)/5,0)*5,""),"")</f>
        <v>6040</v>
      </c>
      <c r="GB1492" s="101" t="str">
        <f t="shared" si="692"/>
        <v>专属强化石2</v>
      </c>
      <c r="GC1492" s="101">
        <f t="shared" si="693"/>
        <v>8</v>
      </c>
      <c r="GD1492" s="101" t="str">
        <f t="shared" si="694"/>
        <v>专属强化石3</v>
      </c>
      <c r="GE1492" s="101">
        <f t="shared" si="695"/>
        <v>5</v>
      </c>
      <c r="GF1492" s="101">
        <f t="shared" si="677"/>
        <v>0.04</v>
      </c>
      <c r="GG1492" s="101">
        <f t="shared" si="678"/>
        <v>1</v>
      </c>
      <c r="GH1492" s="101">
        <f t="shared" si="679"/>
        <v>39</v>
      </c>
      <c r="GI1492" s="101">
        <f t="shared" si="680"/>
        <v>0</v>
      </c>
      <c r="GJ1492" s="101">
        <f t="shared" si="681"/>
        <v>1</v>
      </c>
      <c r="GK1492" s="101">
        <f t="shared" si="682"/>
        <v>9</v>
      </c>
      <c r="GL1492" s="101">
        <f t="shared" si="683"/>
        <v>1.95E-2</v>
      </c>
      <c r="GM1492" s="101">
        <f t="shared" si="684"/>
        <v>1</v>
      </c>
      <c r="GN1492" s="101">
        <f t="shared" si="685"/>
        <v>18</v>
      </c>
      <c r="GO1492" s="101">
        <f t="shared" si="686"/>
        <v>7.7799999999999994E-2</v>
      </c>
      <c r="GP1492" s="101">
        <f t="shared" si="687"/>
        <v>1</v>
      </c>
      <c r="GQ1492" s="101">
        <f t="shared" si="688"/>
        <v>39</v>
      </c>
    </row>
    <row r="1493" spans="175:199" ht="16.5" x14ac:dyDescent="0.2">
      <c r="FS1493" s="101">
        <v>1488</v>
      </c>
      <c r="FT1493" s="101">
        <f t="shared" si="673"/>
        <v>43</v>
      </c>
      <c r="FU1493" s="101">
        <f t="shared" si="689"/>
        <v>19</v>
      </c>
      <c r="FV1493" s="14">
        <f t="shared" si="690"/>
        <v>5</v>
      </c>
      <c r="FW1493" s="101" t="str">
        <f t="shared" si="674"/>
        <v>吕布专属武器-魂珠-5 7级</v>
      </c>
      <c r="FX1493" s="101">
        <f t="shared" si="675"/>
        <v>5</v>
      </c>
      <c r="FY1493" s="101">
        <f t="shared" si="676"/>
        <v>7</v>
      </c>
      <c r="FZ1493" s="101" t="str">
        <f t="shared" si="691"/>
        <v>金币</v>
      </c>
      <c r="GA1493" s="139">
        <f>IF($FY1493&gt;0,IF(INDEX($EM$6:$EM$77,$FT1493)&gt;=GA$3,ROUND(INDEX(EO$6:EO$77,$FT1493)*INDEX(卡牌消耗!$B$8:$F$8,FV1493)/5,0)*5,""),"")</f>
        <v>6055</v>
      </c>
      <c r="GB1493" s="101" t="str">
        <f t="shared" si="692"/>
        <v>专属强化石2</v>
      </c>
      <c r="GC1493" s="101">
        <f t="shared" si="693"/>
        <v>8</v>
      </c>
      <c r="GD1493" s="101" t="str">
        <f t="shared" si="694"/>
        <v>专属强化石3</v>
      </c>
      <c r="GE1493" s="101">
        <f t="shared" si="695"/>
        <v>5</v>
      </c>
      <c r="GF1493" s="101">
        <f t="shared" si="677"/>
        <v>0.02</v>
      </c>
      <c r="GG1493" s="101">
        <f t="shared" si="678"/>
        <v>1</v>
      </c>
      <c r="GH1493" s="101">
        <f t="shared" si="679"/>
        <v>62</v>
      </c>
      <c r="GI1493" s="101">
        <f t="shared" si="680"/>
        <v>0</v>
      </c>
      <c r="GJ1493" s="101">
        <f t="shared" si="681"/>
        <v>1</v>
      </c>
      <c r="GK1493" s="101">
        <f t="shared" si="682"/>
        <v>15</v>
      </c>
      <c r="GL1493" s="101">
        <f t="shared" si="683"/>
        <v>1.2E-2</v>
      </c>
      <c r="GM1493" s="101">
        <f t="shared" si="684"/>
        <v>1</v>
      </c>
      <c r="GN1493" s="101">
        <f t="shared" si="685"/>
        <v>29</v>
      </c>
      <c r="GO1493" s="101">
        <f t="shared" si="686"/>
        <v>4.82E-2</v>
      </c>
      <c r="GP1493" s="101">
        <f t="shared" si="687"/>
        <v>1</v>
      </c>
      <c r="GQ1493" s="101">
        <f t="shared" si="688"/>
        <v>62</v>
      </c>
    </row>
    <row r="1494" spans="175:199" ht="16.5" x14ac:dyDescent="0.2">
      <c r="FS1494" s="101">
        <v>1489</v>
      </c>
      <c r="FT1494" s="101">
        <f t="shared" ref="FT1494:FT1557" si="696">IF(FY1494&gt;0,(FX1494-1)*9+FY1494,0)</f>
        <v>44</v>
      </c>
      <c r="FU1494" s="101">
        <f t="shared" si="689"/>
        <v>19</v>
      </c>
      <c r="FV1494" s="14">
        <f t="shared" si="690"/>
        <v>5</v>
      </c>
      <c r="FW1494" s="101" t="str">
        <f t="shared" ref="FW1494:FW1557" si="697">INDEX($FN$6:$FN$26,FU1494)&amp;"专属武器-魂珠-"&amp;FX1494&amp;" "&amp;FY1494&amp;"级"</f>
        <v>吕布专属武器-魂珠-5 8级</v>
      </c>
      <c r="FX1494" s="101">
        <f t="shared" ref="FX1494:FX1557" si="698">INT((FS1494-(FU1494-1)*80-1)/10)+1</f>
        <v>5</v>
      </c>
      <c r="FY1494" s="101">
        <f t="shared" ref="FY1494:FY1557" si="699">FS1494-(FU1494-1)*80-(FX1494-1)*10-1</f>
        <v>8</v>
      </c>
      <c r="FZ1494" s="101" t="str">
        <f t="shared" si="691"/>
        <v>金币</v>
      </c>
      <c r="GA1494" s="139">
        <f>IF($FY1494&gt;0,IF(INDEX($EM$6:$EM$77,$FT1494)&gt;=GA$3,ROUND(INDEX(EO$6:EO$77,$FT1494)*INDEX(卡牌消耗!$B$8:$F$8,FV1494)/5,0)*5,""),"")</f>
        <v>8470</v>
      </c>
      <c r="GB1494" s="101" t="str">
        <f t="shared" si="692"/>
        <v>专属强化石2</v>
      </c>
      <c r="GC1494" s="101">
        <f t="shared" si="693"/>
        <v>11</v>
      </c>
      <c r="GD1494" s="101" t="str">
        <f t="shared" si="694"/>
        <v>专属强化石3</v>
      </c>
      <c r="GE1494" s="101">
        <f t="shared" si="695"/>
        <v>7</v>
      </c>
      <c r="GF1494" s="101">
        <f t="shared" ref="GF1494:GF1557" si="700">IF($FY1494&gt;0,INDEX(ET$6:ET$77,$FT1494),"")</f>
        <v>0.02</v>
      </c>
      <c r="GG1494" s="101">
        <f t="shared" ref="GG1494:GG1557" si="701">IF($FY1494&gt;0,INDEX(EU$6:EU$77,$FT1494),"")</f>
        <v>1</v>
      </c>
      <c r="GH1494" s="101">
        <f t="shared" ref="GH1494:GH1557" si="702">IF($FY1494&gt;0,INDEX(EV$6:EV$77,$FT1494),"")</f>
        <v>72</v>
      </c>
      <c r="GI1494" s="101">
        <f t="shared" ref="GI1494:GI1557" si="703">IF($FY1494&gt;0,INDEX(FA$6:FA$77,$FT1494),"")</f>
        <v>0</v>
      </c>
      <c r="GJ1494" s="101">
        <f t="shared" ref="GJ1494:GJ1557" si="704">IF($FY1494&gt;0,INDEX(FB$6:FB$77,$FT1494),"")</f>
        <v>1</v>
      </c>
      <c r="GK1494" s="101">
        <f t="shared" ref="GK1494:GK1557" si="705">IF($FY1494&gt;0,INDEX(FC$6:FC$77,$FT1494),"")</f>
        <v>17</v>
      </c>
      <c r="GL1494" s="101">
        <f t="shared" ref="GL1494:GL1557" si="706">IF($FY1494&gt;0,INDEX(FD$6:FD$77,$FT1494),"")</f>
        <v>1.04E-2</v>
      </c>
      <c r="GM1494" s="101">
        <f t="shared" ref="GM1494:GM1557" si="707">IF($FY1494&gt;0,INDEX(FE$6:FE$77,$FT1494),"")</f>
        <v>1</v>
      </c>
      <c r="GN1494" s="101">
        <f t="shared" ref="GN1494:GN1557" si="708">IF($FY1494&gt;0,INDEX(FF$6:FF$77,$FT1494),"")</f>
        <v>34</v>
      </c>
      <c r="GO1494" s="101">
        <f t="shared" ref="GO1494:GO1557" si="709">IF($FY1494&gt;0,INDEX(FG$6:FG$77,$FT1494),"")</f>
        <v>4.1700000000000001E-2</v>
      </c>
      <c r="GP1494" s="101">
        <f t="shared" ref="GP1494:GP1557" si="710">IF($FY1494&gt;0,INDEX(FH$6:FH$77,$FT1494),"")</f>
        <v>1</v>
      </c>
      <c r="GQ1494" s="101">
        <f t="shared" ref="GQ1494:GQ1557" si="711">IF($FY1494&gt;0,INDEX(FI$6:FI$77,$FT1494),"")</f>
        <v>72</v>
      </c>
    </row>
    <row r="1495" spans="175:199" ht="16.5" x14ac:dyDescent="0.2">
      <c r="FS1495" s="101">
        <v>1490</v>
      </c>
      <c r="FT1495" s="101">
        <f t="shared" si="696"/>
        <v>45</v>
      </c>
      <c r="FU1495" s="101">
        <f t="shared" si="689"/>
        <v>19</v>
      </c>
      <c r="FV1495" s="14">
        <f t="shared" si="690"/>
        <v>5</v>
      </c>
      <c r="FW1495" s="101" t="str">
        <f t="shared" si="697"/>
        <v>吕布专属武器-魂珠-5 9级</v>
      </c>
      <c r="FX1495" s="101">
        <f t="shared" si="698"/>
        <v>5</v>
      </c>
      <c r="FY1495" s="101">
        <f t="shared" si="699"/>
        <v>9</v>
      </c>
      <c r="FZ1495" s="101" t="str">
        <f t="shared" si="691"/>
        <v>金币</v>
      </c>
      <c r="GA1495" s="139">
        <f>IF($FY1495&gt;0,IF(INDEX($EM$6:$EM$77,$FT1495)&gt;=GA$3,ROUND(INDEX(EO$6:EO$77,$FT1495)*INDEX(卡牌消耗!$B$8:$F$8,FV1495)/5,0)*5,""),"")</f>
        <v>10890</v>
      </c>
      <c r="GB1495" s="101" t="str">
        <f t="shared" si="692"/>
        <v>专属强化石2</v>
      </c>
      <c r="GC1495" s="101">
        <f t="shared" si="693"/>
        <v>14</v>
      </c>
      <c r="GD1495" s="101" t="str">
        <f t="shared" si="694"/>
        <v>专属强化石3</v>
      </c>
      <c r="GE1495" s="101">
        <f t="shared" si="695"/>
        <v>9</v>
      </c>
      <c r="GF1495" s="101">
        <f t="shared" si="700"/>
        <v>0.02</v>
      </c>
      <c r="GG1495" s="101">
        <f t="shared" si="701"/>
        <v>1</v>
      </c>
      <c r="GH1495" s="101">
        <f t="shared" si="702"/>
        <v>91</v>
      </c>
      <c r="GI1495" s="101">
        <f t="shared" si="703"/>
        <v>0</v>
      </c>
      <c r="GJ1495" s="101">
        <f t="shared" si="704"/>
        <v>1</v>
      </c>
      <c r="GK1495" s="101">
        <f t="shared" si="705"/>
        <v>21</v>
      </c>
      <c r="GL1495" s="101">
        <f t="shared" si="706"/>
        <v>8.3000000000000001E-3</v>
      </c>
      <c r="GM1495" s="101">
        <f t="shared" si="707"/>
        <v>1</v>
      </c>
      <c r="GN1495" s="101">
        <f t="shared" si="708"/>
        <v>42</v>
      </c>
      <c r="GO1495" s="101">
        <f t="shared" si="709"/>
        <v>3.3099999999999997E-2</v>
      </c>
      <c r="GP1495" s="101">
        <f t="shared" si="710"/>
        <v>1</v>
      </c>
      <c r="GQ1495" s="101">
        <f t="shared" si="711"/>
        <v>91</v>
      </c>
    </row>
    <row r="1496" spans="175:199" ht="16.5" x14ac:dyDescent="0.2">
      <c r="FS1496" s="101">
        <v>1491</v>
      </c>
      <c r="FT1496" s="101">
        <f t="shared" si="696"/>
        <v>0</v>
      </c>
      <c r="FU1496" s="101">
        <f t="shared" si="689"/>
        <v>19</v>
      </c>
      <c r="FV1496" s="14">
        <f t="shared" si="690"/>
        <v>5</v>
      </c>
      <c r="FW1496" s="101" t="str">
        <f t="shared" si="697"/>
        <v>吕布专属武器-魂珠-6 0级</v>
      </c>
      <c r="FX1496" s="101">
        <f t="shared" si="698"/>
        <v>6</v>
      </c>
      <c r="FY1496" s="101">
        <f t="shared" si="699"/>
        <v>0</v>
      </c>
      <c r="FZ1496" s="101" t="str">
        <f t="shared" si="691"/>
        <v/>
      </c>
      <c r="GA1496" s="139" t="str">
        <f>IF($FY1496&gt;0,IF(INDEX($EM$6:$EM$77,$FT1496)&gt;=GA$3,ROUND(INDEX(EO$6:EO$77,$FT1496)*INDEX(卡牌消耗!$B$8:$F$8,FV1496)/5,0)*5,""),"")</f>
        <v/>
      </c>
      <c r="GB1496" s="101" t="str">
        <f t="shared" si="692"/>
        <v/>
      </c>
      <c r="GC1496" s="101" t="str">
        <f t="shared" si="693"/>
        <v/>
      </c>
      <c r="GD1496" s="101" t="str">
        <f t="shared" si="694"/>
        <v/>
      </c>
      <c r="GE1496" s="101" t="str">
        <f t="shared" si="695"/>
        <v/>
      </c>
      <c r="GF1496" s="101" t="str">
        <f t="shared" si="700"/>
        <v/>
      </c>
      <c r="GG1496" s="101" t="str">
        <f t="shared" si="701"/>
        <v/>
      </c>
      <c r="GH1496" s="101" t="str">
        <f t="shared" si="702"/>
        <v/>
      </c>
      <c r="GI1496" s="101" t="str">
        <f t="shared" si="703"/>
        <v/>
      </c>
      <c r="GJ1496" s="101" t="str">
        <f t="shared" si="704"/>
        <v/>
      </c>
      <c r="GK1496" s="101" t="str">
        <f t="shared" si="705"/>
        <v/>
      </c>
      <c r="GL1496" s="101" t="str">
        <f t="shared" si="706"/>
        <v/>
      </c>
      <c r="GM1496" s="101" t="str">
        <f t="shared" si="707"/>
        <v/>
      </c>
      <c r="GN1496" s="101" t="str">
        <f t="shared" si="708"/>
        <v/>
      </c>
      <c r="GO1496" s="101" t="str">
        <f t="shared" si="709"/>
        <v/>
      </c>
      <c r="GP1496" s="101" t="str">
        <f t="shared" si="710"/>
        <v/>
      </c>
      <c r="GQ1496" s="101" t="str">
        <f t="shared" si="711"/>
        <v/>
      </c>
    </row>
    <row r="1497" spans="175:199" ht="16.5" x14ac:dyDescent="0.2">
      <c r="FS1497" s="101">
        <v>1492</v>
      </c>
      <c r="FT1497" s="101">
        <f t="shared" si="696"/>
        <v>46</v>
      </c>
      <c r="FU1497" s="101">
        <f t="shared" si="689"/>
        <v>19</v>
      </c>
      <c r="FV1497" s="14">
        <f t="shared" si="690"/>
        <v>5</v>
      </c>
      <c r="FW1497" s="101" t="str">
        <f t="shared" si="697"/>
        <v>吕布专属武器-魂珠-6 1级</v>
      </c>
      <c r="FX1497" s="101">
        <f t="shared" si="698"/>
        <v>6</v>
      </c>
      <c r="FY1497" s="101">
        <f t="shared" si="699"/>
        <v>1</v>
      </c>
      <c r="FZ1497" s="101" t="str">
        <f t="shared" si="691"/>
        <v>金币</v>
      </c>
      <c r="GA1497" s="139">
        <f>IF($FY1497&gt;0,IF(INDEX($EM$6:$EM$77,$FT1497)&gt;=GA$3,ROUND(INDEX(EO$6:EO$77,$FT1497)*INDEX(卡牌消耗!$B$8:$F$8,FV1497)/5,0)*5,""),"")</f>
        <v>2910</v>
      </c>
      <c r="GB1497" s="101" t="str">
        <f t="shared" si="692"/>
        <v>专属强化石3</v>
      </c>
      <c r="GC1497" s="101">
        <f t="shared" si="693"/>
        <v>5</v>
      </c>
      <c r="GD1497" s="101" t="str">
        <f t="shared" si="694"/>
        <v>专属强化石4</v>
      </c>
      <c r="GE1497" s="101">
        <f t="shared" si="695"/>
        <v>1</v>
      </c>
      <c r="GF1497" s="101">
        <f t="shared" si="700"/>
        <v>0.17</v>
      </c>
      <c r="GG1497" s="101">
        <f t="shared" si="701"/>
        <v>1</v>
      </c>
      <c r="GH1497" s="101">
        <f t="shared" si="702"/>
        <v>9</v>
      </c>
      <c r="GI1497" s="101">
        <f t="shared" si="703"/>
        <v>0</v>
      </c>
      <c r="GJ1497" s="101">
        <f t="shared" si="704"/>
        <v>1</v>
      </c>
      <c r="GK1497" s="101">
        <f t="shared" si="705"/>
        <v>2</v>
      </c>
      <c r="GL1497" s="101">
        <f t="shared" si="706"/>
        <v>8.2900000000000001E-2</v>
      </c>
      <c r="GM1497" s="101">
        <f t="shared" si="707"/>
        <v>1</v>
      </c>
      <c r="GN1497" s="101">
        <f t="shared" si="708"/>
        <v>4</v>
      </c>
      <c r="GO1497" s="101">
        <f t="shared" si="709"/>
        <v>0.33139999999999997</v>
      </c>
      <c r="GP1497" s="101">
        <f t="shared" si="710"/>
        <v>1</v>
      </c>
      <c r="GQ1497" s="101">
        <f t="shared" si="711"/>
        <v>9</v>
      </c>
    </row>
    <row r="1498" spans="175:199" ht="16.5" x14ac:dyDescent="0.2">
      <c r="FS1498" s="101">
        <v>1493</v>
      </c>
      <c r="FT1498" s="101">
        <f t="shared" si="696"/>
        <v>47</v>
      </c>
      <c r="FU1498" s="101">
        <f t="shared" si="689"/>
        <v>19</v>
      </c>
      <c r="FV1498" s="14">
        <f t="shared" si="690"/>
        <v>5</v>
      </c>
      <c r="FW1498" s="101" t="str">
        <f t="shared" si="697"/>
        <v>吕布专属武器-魂珠-6 2级</v>
      </c>
      <c r="FX1498" s="101">
        <f t="shared" si="698"/>
        <v>6</v>
      </c>
      <c r="FY1498" s="101">
        <f t="shared" si="699"/>
        <v>2</v>
      </c>
      <c r="FZ1498" s="101" t="str">
        <f t="shared" si="691"/>
        <v>金币</v>
      </c>
      <c r="GA1498" s="139">
        <f>IF($FY1498&gt;0,IF(INDEX($EM$6:$EM$77,$FT1498)&gt;=GA$3,ROUND(INDEX(EO$6:EO$77,$FT1498)*INDEX(卡牌消耗!$B$8:$F$8,FV1498)/5,0)*5,""),"")</f>
        <v>4360</v>
      </c>
      <c r="GB1498" s="101" t="str">
        <f t="shared" si="692"/>
        <v>专属强化石3</v>
      </c>
      <c r="GC1498" s="101">
        <f t="shared" si="693"/>
        <v>10</v>
      </c>
      <c r="GD1498" s="101" t="str">
        <f t="shared" si="694"/>
        <v>专属强化石4</v>
      </c>
      <c r="GE1498" s="101">
        <f t="shared" si="695"/>
        <v>2</v>
      </c>
      <c r="GF1498" s="101">
        <f t="shared" si="700"/>
        <v>0.17</v>
      </c>
      <c r="GG1498" s="101">
        <f t="shared" si="701"/>
        <v>1</v>
      </c>
      <c r="GH1498" s="101">
        <f t="shared" si="702"/>
        <v>9</v>
      </c>
      <c r="GI1498" s="101">
        <f t="shared" si="703"/>
        <v>0</v>
      </c>
      <c r="GJ1498" s="101">
        <f t="shared" si="704"/>
        <v>1</v>
      </c>
      <c r="GK1498" s="101">
        <f t="shared" si="705"/>
        <v>2</v>
      </c>
      <c r="GL1498" s="101">
        <f t="shared" si="706"/>
        <v>8.2900000000000001E-2</v>
      </c>
      <c r="GM1498" s="101">
        <f t="shared" si="707"/>
        <v>1</v>
      </c>
      <c r="GN1498" s="101">
        <f t="shared" si="708"/>
        <v>4</v>
      </c>
      <c r="GO1498" s="101">
        <f t="shared" si="709"/>
        <v>0.33139999999999997</v>
      </c>
      <c r="GP1498" s="101">
        <f t="shared" si="710"/>
        <v>1</v>
      </c>
      <c r="GQ1498" s="101">
        <f t="shared" si="711"/>
        <v>9</v>
      </c>
    </row>
    <row r="1499" spans="175:199" ht="16.5" x14ac:dyDescent="0.2">
      <c r="FS1499" s="101">
        <v>1494</v>
      </c>
      <c r="FT1499" s="101">
        <f t="shared" si="696"/>
        <v>48</v>
      </c>
      <c r="FU1499" s="101">
        <f t="shared" si="689"/>
        <v>19</v>
      </c>
      <c r="FV1499" s="14">
        <f t="shared" si="690"/>
        <v>5</v>
      </c>
      <c r="FW1499" s="101" t="str">
        <f t="shared" si="697"/>
        <v>吕布专属武器-魂珠-6 3级</v>
      </c>
      <c r="FX1499" s="101">
        <f t="shared" si="698"/>
        <v>6</v>
      </c>
      <c r="FY1499" s="101">
        <f t="shared" si="699"/>
        <v>3</v>
      </c>
      <c r="FZ1499" s="101" t="str">
        <f t="shared" si="691"/>
        <v>金币</v>
      </c>
      <c r="GA1499" s="139">
        <f>IF($FY1499&gt;0,IF(INDEX($EM$6:$EM$77,$FT1499)&gt;=GA$3,ROUND(INDEX(EO$6:EO$77,$FT1499)*INDEX(卡牌消耗!$B$8:$F$8,FV1499)/5,0)*5,""),"")</f>
        <v>4845</v>
      </c>
      <c r="GB1499" s="101" t="str">
        <f t="shared" si="692"/>
        <v>专属强化石3</v>
      </c>
      <c r="GC1499" s="101">
        <f t="shared" si="693"/>
        <v>10</v>
      </c>
      <c r="GD1499" s="101" t="str">
        <f t="shared" si="694"/>
        <v>专属强化石4</v>
      </c>
      <c r="GE1499" s="101">
        <f t="shared" si="695"/>
        <v>2</v>
      </c>
      <c r="GF1499" s="101">
        <f t="shared" si="700"/>
        <v>0.11</v>
      </c>
      <c r="GG1499" s="101">
        <f t="shared" si="701"/>
        <v>1</v>
      </c>
      <c r="GH1499" s="101">
        <f t="shared" si="702"/>
        <v>14</v>
      </c>
      <c r="GI1499" s="101">
        <f t="shared" si="703"/>
        <v>0</v>
      </c>
      <c r="GJ1499" s="101">
        <f t="shared" si="704"/>
        <v>1</v>
      </c>
      <c r="GK1499" s="101">
        <f t="shared" si="705"/>
        <v>3</v>
      </c>
      <c r="GL1499" s="101">
        <f t="shared" si="706"/>
        <v>5.5199999999999999E-2</v>
      </c>
      <c r="GM1499" s="101">
        <f t="shared" si="707"/>
        <v>1</v>
      </c>
      <c r="GN1499" s="101">
        <f t="shared" si="708"/>
        <v>6</v>
      </c>
      <c r="GO1499" s="101">
        <f t="shared" si="709"/>
        <v>0.221</v>
      </c>
      <c r="GP1499" s="101">
        <f t="shared" si="710"/>
        <v>1</v>
      </c>
      <c r="GQ1499" s="101">
        <f t="shared" si="711"/>
        <v>14</v>
      </c>
    </row>
    <row r="1500" spans="175:199" ht="16.5" x14ac:dyDescent="0.2">
      <c r="FS1500" s="101">
        <v>1495</v>
      </c>
      <c r="FT1500" s="101">
        <f t="shared" si="696"/>
        <v>49</v>
      </c>
      <c r="FU1500" s="101">
        <f t="shared" si="689"/>
        <v>19</v>
      </c>
      <c r="FV1500" s="14">
        <f t="shared" si="690"/>
        <v>5</v>
      </c>
      <c r="FW1500" s="101" t="str">
        <f t="shared" si="697"/>
        <v>吕布专属武器-魂珠-6 4级</v>
      </c>
      <c r="FX1500" s="101">
        <f t="shared" si="698"/>
        <v>6</v>
      </c>
      <c r="FY1500" s="101">
        <f t="shared" si="699"/>
        <v>4</v>
      </c>
      <c r="FZ1500" s="101" t="str">
        <f t="shared" si="691"/>
        <v>金币</v>
      </c>
      <c r="GA1500" s="139">
        <f>IF($FY1500&gt;0,IF(INDEX($EM$6:$EM$77,$FT1500)&gt;=GA$3,ROUND(INDEX(EO$6:EO$77,$FT1500)*INDEX(卡牌消耗!$B$8:$F$8,FV1500)/5,0)*5,""),"")</f>
        <v>6980</v>
      </c>
      <c r="GB1500" s="101" t="str">
        <f t="shared" si="692"/>
        <v>专属强化石3</v>
      </c>
      <c r="GC1500" s="101">
        <f t="shared" si="693"/>
        <v>15</v>
      </c>
      <c r="GD1500" s="101" t="str">
        <f t="shared" si="694"/>
        <v>专属强化石4</v>
      </c>
      <c r="GE1500" s="101">
        <f t="shared" si="695"/>
        <v>3</v>
      </c>
      <c r="GF1500" s="101">
        <f t="shared" si="700"/>
        <v>0.1</v>
      </c>
      <c r="GG1500" s="101">
        <f t="shared" si="701"/>
        <v>1</v>
      </c>
      <c r="GH1500" s="101">
        <f t="shared" si="702"/>
        <v>15</v>
      </c>
      <c r="GI1500" s="101">
        <f t="shared" si="703"/>
        <v>0</v>
      </c>
      <c r="GJ1500" s="101">
        <f t="shared" si="704"/>
        <v>1</v>
      </c>
      <c r="GK1500" s="101">
        <f t="shared" si="705"/>
        <v>4</v>
      </c>
      <c r="GL1500" s="101">
        <f t="shared" si="706"/>
        <v>4.9700000000000001E-2</v>
      </c>
      <c r="GM1500" s="101">
        <f t="shared" si="707"/>
        <v>1</v>
      </c>
      <c r="GN1500" s="101">
        <f t="shared" si="708"/>
        <v>7</v>
      </c>
      <c r="GO1500" s="101">
        <f t="shared" si="709"/>
        <v>0.19889999999999999</v>
      </c>
      <c r="GP1500" s="101">
        <f t="shared" si="710"/>
        <v>1</v>
      </c>
      <c r="GQ1500" s="101">
        <f t="shared" si="711"/>
        <v>15</v>
      </c>
    </row>
    <row r="1501" spans="175:199" ht="16.5" x14ac:dyDescent="0.2">
      <c r="FS1501" s="101">
        <v>1496</v>
      </c>
      <c r="FT1501" s="101">
        <f t="shared" si="696"/>
        <v>50</v>
      </c>
      <c r="FU1501" s="101">
        <f t="shared" si="689"/>
        <v>19</v>
      </c>
      <c r="FV1501" s="14">
        <f t="shared" si="690"/>
        <v>5</v>
      </c>
      <c r="FW1501" s="101" t="str">
        <f t="shared" si="697"/>
        <v>吕布专属武器-魂珠-6 5级</v>
      </c>
      <c r="FX1501" s="101">
        <f t="shared" si="698"/>
        <v>6</v>
      </c>
      <c r="FY1501" s="101">
        <f t="shared" si="699"/>
        <v>5</v>
      </c>
      <c r="FZ1501" s="101" t="str">
        <f t="shared" si="691"/>
        <v>金币</v>
      </c>
      <c r="GA1501" s="139">
        <f>IF($FY1501&gt;0,IF(INDEX($EM$6:$EM$77,$FT1501)&gt;=GA$3,ROUND(INDEX(EO$6:EO$77,$FT1501)*INDEX(卡牌消耗!$B$8:$F$8,FV1501)/5,0)*5,""),"")</f>
        <v>7090</v>
      </c>
      <c r="GB1501" s="101" t="str">
        <f t="shared" si="692"/>
        <v>专属强化石3</v>
      </c>
      <c r="GC1501" s="101">
        <f t="shared" si="693"/>
        <v>15</v>
      </c>
      <c r="GD1501" s="101" t="str">
        <f t="shared" si="694"/>
        <v>专属强化石4</v>
      </c>
      <c r="GE1501" s="101">
        <f t="shared" si="695"/>
        <v>3</v>
      </c>
      <c r="GF1501" s="101">
        <f t="shared" si="700"/>
        <v>0.06</v>
      </c>
      <c r="GG1501" s="101">
        <f t="shared" si="701"/>
        <v>1</v>
      </c>
      <c r="GH1501" s="101">
        <f t="shared" si="702"/>
        <v>24</v>
      </c>
      <c r="GI1501" s="101">
        <f t="shared" si="703"/>
        <v>0</v>
      </c>
      <c r="GJ1501" s="101">
        <f t="shared" si="704"/>
        <v>1</v>
      </c>
      <c r="GK1501" s="101">
        <f t="shared" si="705"/>
        <v>6</v>
      </c>
      <c r="GL1501" s="101">
        <f t="shared" si="706"/>
        <v>3.1099999999999999E-2</v>
      </c>
      <c r="GM1501" s="101">
        <f t="shared" si="707"/>
        <v>1</v>
      </c>
      <c r="GN1501" s="101">
        <f t="shared" si="708"/>
        <v>11</v>
      </c>
      <c r="GO1501" s="101">
        <f t="shared" si="709"/>
        <v>0.12429999999999999</v>
      </c>
      <c r="GP1501" s="101">
        <f t="shared" si="710"/>
        <v>1</v>
      </c>
      <c r="GQ1501" s="101">
        <f t="shared" si="711"/>
        <v>24</v>
      </c>
    </row>
    <row r="1502" spans="175:199" ht="16.5" x14ac:dyDescent="0.2">
      <c r="FS1502" s="101">
        <v>1497</v>
      </c>
      <c r="FT1502" s="101">
        <f t="shared" si="696"/>
        <v>51</v>
      </c>
      <c r="FU1502" s="101">
        <f t="shared" si="689"/>
        <v>19</v>
      </c>
      <c r="FV1502" s="14">
        <f t="shared" si="690"/>
        <v>5</v>
      </c>
      <c r="FW1502" s="101" t="str">
        <f t="shared" si="697"/>
        <v>吕布专属武器-魂珠-6 6级</v>
      </c>
      <c r="FX1502" s="101">
        <f t="shared" si="698"/>
        <v>6</v>
      </c>
      <c r="FY1502" s="101">
        <f t="shared" si="699"/>
        <v>6</v>
      </c>
      <c r="FZ1502" s="101" t="str">
        <f t="shared" si="691"/>
        <v>金币</v>
      </c>
      <c r="GA1502" s="139">
        <f>IF($FY1502&gt;0,IF(INDEX($EM$6:$EM$77,$FT1502)&gt;=GA$3,ROUND(INDEX(EO$6:EO$77,$FT1502)*INDEX(卡牌消耗!$B$8:$F$8,FV1502)/5,0)*5,""),"")</f>
        <v>9395</v>
      </c>
      <c r="GB1502" s="101" t="str">
        <f t="shared" si="692"/>
        <v>专属强化石3</v>
      </c>
      <c r="GC1502" s="101">
        <f t="shared" si="693"/>
        <v>20</v>
      </c>
      <c r="GD1502" s="101" t="str">
        <f t="shared" si="694"/>
        <v>专属强化石4</v>
      </c>
      <c r="GE1502" s="101">
        <f t="shared" si="695"/>
        <v>4</v>
      </c>
      <c r="GF1502" s="101">
        <f t="shared" si="700"/>
        <v>0.05</v>
      </c>
      <c r="GG1502" s="101">
        <f t="shared" si="701"/>
        <v>1</v>
      </c>
      <c r="GH1502" s="101">
        <f t="shared" si="702"/>
        <v>29</v>
      </c>
      <c r="GI1502" s="101">
        <f t="shared" si="703"/>
        <v>0</v>
      </c>
      <c r="GJ1502" s="101">
        <f t="shared" si="704"/>
        <v>1</v>
      </c>
      <c r="GK1502" s="101">
        <f t="shared" si="705"/>
        <v>7</v>
      </c>
      <c r="GL1502" s="101">
        <f t="shared" si="706"/>
        <v>2.5499999999999998E-2</v>
      </c>
      <c r="GM1502" s="101">
        <f t="shared" si="707"/>
        <v>1</v>
      </c>
      <c r="GN1502" s="101">
        <f t="shared" si="708"/>
        <v>14</v>
      </c>
      <c r="GO1502" s="101">
        <f t="shared" si="709"/>
        <v>0.10199999999999999</v>
      </c>
      <c r="GP1502" s="101">
        <f t="shared" si="710"/>
        <v>1</v>
      </c>
      <c r="GQ1502" s="101">
        <f t="shared" si="711"/>
        <v>29</v>
      </c>
    </row>
    <row r="1503" spans="175:199" ht="16.5" x14ac:dyDescent="0.2">
      <c r="FS1503" s="101">
        <v>1498</v>
      </c>
      <c r="FT1503" s="101">
        <f t="shared" si="696"/>
        <v>52</v>
      </c>
      <c r="FU1503" s="101">
        <f t="shared" si="689"/>
        <v>19</v>
      </c>
      <c r="FV1503" s="14">
        <f t="shared" si="690"/>
        <v>5</v>
      </c>
      <c r="FW1503" s="101" t="str">
        <f t="shared" si="697"/>
        <v>吕布专属武器-魂珠-6 7级</v>
      </c>
      <c r="FX1503" s="101">
        <f t="shared" si="698"/>
        <v>6</v>
      </c>
      <c r="FY1503" s="101">
        <f t="shared" si="699"/>
        <v>7</v>
      </c>
      <c r="FZ1503" s="101" t="str">
        <f t="shared" si="691"/>
        <v>金币</v>
      </c>
      <c r="GA1503" s="139">
        <f>IF($FY1503&gt;0,IF(INDEX($EM$6:$EM$77,$FT1503)&gt;=GA$3,ROUND(INDEX(EO$6:EO$77,$FT1503)*INDEX(卡牌消耗!$B$8:$F$8,FV1503)/5,0)*5,""),"")</f>
        <v>11770</v>
      </c>
      <c r="GB1503" s="101" t="str">
        <f t="shared" si="692"/>
        <v>专属强化石3</v>
      </c>
      <c r="GC1503" s="101">
        <f t="shared" si="693"/>
        <v>25</v>
      </c>
      <c r="GD1503" s="101" t="str">
        <f t="shared" si="694"/>
        <v>专属强化石4</v>
      </c>
      <c r="GE1503" s="101">
        <f t="shared" si="695"/>
        <v>5</v>
      </c>
      <c r="GF1503" s="101">
        <f t="shared" si="700"/>
        <v>0.04</v>
      </c>
      <c r="GG1503" s="101">
        <f t="shared" si="701"/>
        <v>1</v>
      </c>
      <c r="GH1503" s="101">
        <f t="shared" si="702"/>
        <v>38</v>
      </c>
      <c r="GI1503" s="101">
        <f t="shared" si="703"/>
        <v>0</v>
      </c>
      <c r="GJ1503" s="101">
        <f t="shared" si="704"/>
        <v>1</v>
      </c>
      <c r="GK1503" s="101">
        <f t="shared" si="705"/>
        <v>9</v>
      </c>
      <c r="GL1503" s="101">
        <f t="shared" si="706"/>
        <v>1.9699999999999999E-2</v>
      </c>
      <c r="GM1503" s="101">
        <f t="shared" si="707"/>
        <v>1</v>
      </c>
      <c r="GN1503" s="101">
        <f t="shared" si="708"/>
        <v>18</v>
      </c>
      <c r="GO1503" s="101">
        <f t="shared" si="709"/>
        <v>7.8899999999999998E-2</v>
      </c>
      <c r="GP1503" s="101">
        <f t="shared" si="710"/>
        <v>1</v>
      </c>
      <c r="GQ1503" s="101">
        <f t="shared" si="711"/>
        <v>38</v>
      </c>
    </row>
    <row r="1504" spans="175:199" ht="16.5" x14ac:dyDescent="0.2">
      <c r="FS1504" s="101">
        <v>1499</v>
      </c>
      <c r="FT1504" s="101">
        <f t="shared" si="696"/>
        <v>53</v>
      </c>
      <c r="FU1504" s="101">
        <f t="shared" si="689"/>
        <v>19</v>
      </c>
      <c r="FV1504" s="14">
        <f t="shared" si="690"/>
        <v>5</v>
      </c>
      <c r="FW1504" s="101" t="str">
        <f t="shared" si="697"/>
        <v>吕布专属武器-魂珠-6 8级</v>
      </c>
      <c r="FX1504" s="101">
        <f t="shared" si="698"/>
        <v>6</v>
      </c>
      <c r="FY1504" s="101">
        <f t="shared" si="699"/>
        <v>8</v>
      </c>
      <c r="FZ1504" s="101" t="str">
        <f t="shared" si="691"/>
        <v>金币</v>
      </c>
      <c r="GA1504" s="139">
        <f>IF($FY1504&gt;0,IF(INDEX($EM$6:$EM$77,$FT1504)&gt;=GA$3,ROUND(INDEX(EO$6:EO$77,$FT1504)*INDEX(卡牌消耗!$B$8:$F$8,FV1504)/5,0)*5,""),"")</f>
        <v>16465</v>
      </c>
      <c r="GB1504" s="101" t="str">
        <f t="shared" si="692"/>
        <v>专属强化石3</v>
      </c>
      <c r="GC1504" s="101">
        <f t="shared" si="693"/>
        <v>35</v>
      </c>
      <c r="GD1504" s="101" t="str">
        <f t="shared" si="694"/>
        <v>专属强化石4</v>
      </c>
      <c r="GE1504" s="101">
        <f t="shared" si="695"/>
        <v>7</v>
      </c>
      <c r="GF1504" s="101">
        <f t="shared" si="700"/>
        <v>0.03</v>
      </c>
      <c r="GG1504" s="101">
        <f t="shared" si="701"/>
        <v>1</v>
      </c>
      <c r="GH1504" s="101">
        <f t="shared" si="702"/>
        <v>44</v>
      </c>
      <c r="GI1504" s="101">
        <f t="shared" si="703"/>
        <v>0</v>
      </c>
      <c r="GJ1504" s="101">
        <f t="shared" si="704"/>
        <v>1</v>
      </c>
      <c r="GK1504" s="101">
        <f t="shared" si="705"/>
        <v>10</v>
      </c>
      <c r="GL1504" s="101">
        <f t="shared" si="706"/>
        <v>1.7100000000000001E-2</v>
      </c>
      <c r="GM1504" s="101">
        <f t="shared" si="707"/>
        <v>1</v>
      </c>
      <c r="GN1504" s="101">
        <f t="shared" si="708"/>
        <v>21</v>
      </c>
      <c r="GO1504" s="101">
        <f t="shared" si="709"/>
        <v>6.8199999999999997E-2</v>
      </c>
      <c r="GP1504" s="101">
        <f t="shared" si="710"/>
        <v>1</v>
      </c>
      <c r="GQ1504" s="101">
        <f t="shared" si="711"/>
        <v>44</v>
      </c>
    </row>
    <row r="1505" spans="175:199" ht="16.5" x14ac:dyDescent="0.2">
      <c r="FS1505" s="101">
        <v>1500</v>
      </c>
      <c r="FT1505" s="101">
        <f t="shared" si="696"/>
        <v>54</v>
      </c>
      <c r="FU1505" s="101">
        <f t="shared" si="689"/>
        <v>19</v>
      </c>
      <c r="FV1505" s="14">
        <f t="shared" si="690"/>
        <v>5</v>
      </c>
      <c r="FW1505" s="101" t="str">
        <f t="shared" si="697"/>
        <v>吕布专属武器-魂珠-6 9级</v>
      </c>
      <c r="FX1505" s="101">
        <f t="shared" si="698"/>
        <v>6</v>
      </c>
      <c r="FY1505" s="101">
        <f t="shared" si="699"/>
        <v>9</v>
      </c>
      <c r="FZ1505" s="101" t="str">
        <f t="shared" si="691"/>
        <v>金币</v>
      </c>
      <c r="GA1505" s="139">
        <f>IF($FY1505&gt;0,IF(INDEX($EM$6:$EM$77,$FT1505)&gt;=GA$3,ROUND(INDEX(EO$6:EO$77,$FT1505)*INDEX(卡牌消耗!$B$8:$F$8,FV1505)/5,0)*5,""),"")</f>
        <v>18825</v>
      </c>
      <c r="GB1505" s="101" t="str">
        <f t="shared" si="692"/>
        <v>专属强化石3</v>
      </c>
      <c r="GC1505" s="101">
        <f t="shared" si="693"/>
        <v>40</v>
      </c>
      <c r="GD1505" s="101" t="str">
        <f t="shared" si="694"/>
        <v>专属强化石4</v>
      </c>
      <c r="GE1505" s="101">
        <f t="shared" si="695"/>
        <v>8</v>
      </c>
      <c r="GF1505" s="101">
        <f t="shared" si="700"/>
        <v>0.02</v>
      </c>
      <c r="GG1505" s="101">
        <f t="shared" si="701"/>
        <v>1</v>
      </c>
      <c r="GH1505" s="101">
        <f t="shared" si="702"/>
        <v>62</v>
      </c>
      <c r="GI1505" s="101">
        <f t="shared" si="703"/>
        <v>0</v>
      </c>
      <c r="GJ1505" s="101">
        <f t="shared" si="704"/>
        <v>1</v>
      </c>
      <c r="GK1505" s="101">
        <f t="shared" si="705"/>
        <v>15</v>
      </c>
      <c r="GL1505" s="101">
        <f t="shared" si="706"/>
        <v>1.21E-2</v>
      </c>
      <c r="GM1505" s="101">
        <f t="shared" si="707"/>
        <v>1</v>
      </c>
      <c r="GN1505" s="101">
        <f t="shared" si="708"/>
        <v>29</v>
      </c>
      <c r="GO1505" s="101">
        <f t="shared" si="709"/>
        <v>4.82E-2</v>
      </c>
      <c r="GP1505" s="101">
        <f t="shared" si="710"/>
        <v>1</v>
      </c>
      <c r="GQ1505" s="101">
        <f t="shared" si="711"/>
        <v>62</v>
      </c>
    </row>
    <row r="1506" spans="175:199" ht="16.5" x14ac:dyDescent="0.2">
      <c r="FS1506" s="101">
        <v>1501</v>
      </c>
      <c r="FT1506" s="101">
        <f t="shared" si="696"/>
        <v>0</v>
      </c>
      <c r="FU1506" s="101">
        <f t="shared" si="689"/>
        <v>19</v>
      </c>
      <c r="FV1506" s="14">
        <f t="shared" si="690"/>
        <v>5</v>
      </c>
      <c r="FW1506" s="101" t="str">
        <f t="shared" si="697"/>
        <v>吕布专属武器-魂珠-7 0级</v>
      </c>
      <c r="FX1506" s="101">
        <f t="shared" si="698"/>
        <v>7</v>
      </c>
      <c r="FY1506" s="101">
        <f t="shared" si="699"/>
        <v>0</v>
      </c>
      <c r="FZ1506" s="101" t="str">
        <f t="shared" si="691"/>
        <v/>
      </c>
      <c r="GA1506" s="139" t="str">
        <f>IF($FY1506&gt;0,IF(INDEX($EM$6:$EM$77,$FT1506)&gt;=GA$3,ROUND(INDEX(EO$6:EO$77,$FT1506)*INDEX(卡牌消耗!$B$8:$F$8,FV1506)/5,0)*5,""),"")</f>
        <v/>
      </c>
      <c r="GB1506" s="101" t="str">
        <f t="shared" si="692"/>
        <v/>
      </c>
      <c r="GC1506" s="101" t="str">
        <f t="shared" si="693"/>
        <v/>
      </c>
      <c r="GD1506" s="101" t="str">
        <f t="shared" si="694"/>
        <v/>
      </c>
      <c r="GE1506" s="101" t="str">
        <f t="shared" si="695"/>
        <v/>
      </c>
      <c r="GF1506" s="101" t="str">
        <f t="shared" si="700"/>
        <v/>
      </c>
      <c r="GG1506" s="101" t="str">
        <f t="shared" si="701"/>
        <v/>
      </c>
      <c r="GH1506" s="101" t="str">
        <f t="shared" si="702"/>
        <v/>
      </c>
      <c r="GI1506" s="101" t="str">
        <f t="shared" si="703"/>
        <v/>
      </c>
      <c r="GJ1506" s="101" t="str">
        <f t="shared" si="704"/>
        <v/>
      </c>
      <c r="GK1506" s="101" t="str">
        <f t="shared" si="705"/>
        <v/>
      </c>
      <c r="GL1506" s="101" t="str">
        <f t="shared" si="706"/>
        <v/>
      </c>
      <c r="GM1506" s="101" t="str">
        <f t="shared" si="707"/>
        <v/>
      </c>
      <c r="GN1506" s="101" t="str">
        <f t="shared" si="708"/>
        <v/>
      </c>
      <c r="GO1506" s="101" t="str">
        <f t="shared" si="709"/>
        <v/>
      </c>
      <c r="GP1506" s="101" t="str">
        <f t="shared" si="710"/>
        <v/>
      </c>
      <c r="GQ1506" s="101" t="str">
        <f t="shared" si="711"/>
        <v/>
      </c>
    </row>
    <row r="1507" spans="175:199" ht="16.5" x14ac:dyDescent="0.2">
      <c r="FS1507" s="101">
        <v>1502</v>
      </c>
      <c r="FT1507" s="101">
        <f t="shared" si="696"/>
        <v>55</v>
      </c>
      <c r="FU1507" s="101">
        <f t="shared" si="689"/>
        <v>19</v>
      </c>
      <c r="FV1507" s="14">
        <f t="shared" si="690"/>
        <v>5</v>
      </c>
      <c r="FW1507" s="101" t="str">
        <f t="shared" si="697"/>
        <v>吕布专属武器-魂珠-7 1级</v>
      </c>
      <c r="FX1507" s="101">
        <f t="shared" si="698"/>
        <v>7</v>
      </c>
      <c r="FY1507" s="101">
        <f t="shared" si="699"/>
        <v>1</v>
      </c>
      <c r="FZ1507" s="101" t="str">
        <f t="shared" si="691"/>
        <v>金币</v>
      </c>
      <c r="GA1507" s="139">
        <f>IF($FY1507&gt;0,IF(INDEX($EM$6:$EM$77,$FT1507)&gt;=GA$3,ROUND(INDEX(EO$6:EO$77,$FT1507)*INDEX(卡牌消耗!$B$8:$F$8,FV1507)/5,0)*5,""),"")</f>
        <v>10155</v>
      </c>
      <c r="GB1507" s="101" t="str">
        <f t="shared" si="692"/>
        <v>专属强化石3</v>
      </c>
      <c r="GC1507" s="101">
        <f t="shared" si="693"/>
        <v>6</v>
      </c>
      <c r="GD1507" s="101" t="str">
        <f t="shared" si="694"/>
        <v>专属强化石4</v>
      </c>
      <c r="GE1507" s="101">
        <f t="shared" si="695"/>
        <v>2</v>
      </c>
      <c r="GF1507" s="101">
        <f t="shared" si="700"/>
        <v>0.2</v>
      </c>
      <c r="GG1507" s="101">
        <f t="shared" si="701"/>
        <v>1</v>
      </c>
      <c r="GH1507" s="101">
        <f t="shared" si="702"/>
        <v>8</v>
      </c>
      <c r="GI1507" s="101">
        <f t="shared" si="703"/>
        <v>0</v>
      </c>
      <c r="GJ1507" s="101">
        <f t="shared" si="704"/>
        <v>1</v>
      </c>
      <c r="GK1507" s="101">
        <f t="shared" si="705"/>
        <v>2</v>
      </c>
      <c r="GL1507" s="101">
        <f t="shared" si="706"/>
        <v>9.9400000000000002E-2</v>
      </c>
      <c r="GM1507" s="101">
        <f t="shared" si="707"/>
        <v>1</v>
      </c>
      <c r="GN1507" s="101">
        <f t="shared" si="708"/>
        <v>4</v>
      </c>
      <c r="GO1507" s="101">
        <f t="shared" si="709"/>
        <v>0.3977</v>
      </c>
      <c r="GP1507" s="101">
        <f t="shared" si="710"/>
        <v>1</v>
      </c>
      <c r="GQ1507" s="101">
        <f t="shared" si="711"/>
        <v>8</v>
      </c>
    </row>
    <row r="1508" spans="175:199" ht="16.5" x14ac:dyDescent="0.2">
      <c r="FS1508" s="101">
        <v>1503</v>
      </c>
      <c r="FT1508" s="101">
        <f t="shared" si="696"/>
        <v>56</v>
      </c>
      <c r="FU1508" s="101">
        <f t="shared" si="689"/>
        <v>19</v>
      </c>
      <c r="FV1508" s="14">
        <f t="shared" si="690"/>
        <v>5</v>
      </c>
      <c r="FW1508" s="101" t="str">
        <f t="shared" si="697"/>
        <v>吕布专属武器-魂珠-7 2级</v>
      </c>
      <c r="FX1508" s="101">
        <f t="shared" si="698"/>
        <v>7</v>
      </c>
      <c r="FY1508" s="101">
        <f t="shared" si="699"/>
        <v>2</v>
      </c>
      <c r="FZ1508" s="101" t="str">
        <f t="shared" si="691"/>
        <v>金币</v>
      </c>
      <c r="GA1508" s="139">
        <f>IF($FY1508&gt;0,IF(INDEX($EM$6:$EM$77,$FT1508)&gt;=GA$3,ROUND(INDEX(EO$6:EO$77,$FT1508)*INDEX(卡牌消耗!$B$8:$F$8,FV1508)/5,0)*5,""),"")</f>
        <v>7615</v>
      </c>
      <c r="GB1508" s="101" t="str">
        <f t="shared" si="692"/>
        <v>专属强化石3</v>
      </c>
      <c r="GC1508" s="101">
        <f t="shared" si="693"/>
        <v>6</v>
      </c>
      <c r="GD1508" s="101" t="str">
        <f t="shared" si="694"/>
        <v>专属强化石4</v>
      </c>
      <c r="GE1508" s="101">
        <f t="shared" si="695"/>
        <v>2</v>
      </c>
      <c r="GF1508" s="101">
        <f t="shared" si="700"/>
        <v>0.1</v>
      </c>
      <c r="GG1508" s="101">
        <f t="shared" si="701"/>
        <v>1</v>
      </c>
      <c r="GH1508" s="101">
        <f t="shared" si="702"/>
        <v>15</v>
      </c>
      <c r="GI1508" s="101">
        <f t="shared" si="703"/>
        <v>0</v>
      </c>
      <c r="GJ1508" s="101">
        <f t="shared" si="704"/>
        <v>1</v>
      </c>
      <c r="GK1508" s="101">
        <f t="shared" si="705"/>
        <v>4</v>
      </c>
      <c r="GL1508" s="101">
        <f t="shared" si="706"/>
        <v>4.9700000000000001E-2</v>
      </c>
      <c r="GM1508" s="101">
        <f t="shared" si="707"/>
        <v>1</v>
      </c>
      <c r="GN1508" s="101">
        <f t="shared" si="708"/>
        <v>7</v>
      </c>
      <c r="GO1508" s="101">
        <f t="shared" si="709"/>
        <v>0.19889999999999999</v>
      </c>
      <c r="GP1508" s="101">
        <f t="shared" si="710"/>
        <v>1</v>
      </c>
      <c r="GQ1508" s="101">
        <f t="shared" si="711"/>
        <v>15</v>
      </c>
    </row>
    <row r="1509" spans="175:199" ht="16.5" x14ac:dyDescent="0.2">
      <c r="FS1509" s="101">
        <v>1504</v>
      </c>
      <c r="FT1509" s="101">
        <f t="shared" si="696"/>
        <v>57</v>
      </c>
      <c r="FU1509" s="101">
        <f t="shared" si="689"/>
        <v>19</v>
      </c>
      <c r="FV1509" s="14">
        <f t="shared" si="690"/>
        <v>5</v>
      </c>
      <c r="FW1509" s="101" t="str">
        <f t="shared" si="697"/>
        <v>吕布专属武器-魂珠-7 3级</v>
      </c>
      <c r="FX1509" s="101">
        <f t="shared" si="698"/>
        <v>7</v>
      </c>
      <c r="FY1509" s="101">
        <f t="shared" si="699"/>
        <v>3</v>
      </c>
      <c r="FZ1509" s="101" t="str">
        <f t="shared" si="691"/>
        <v>金币</v>
      </c>
      <c r="GA1509" s="139">
        <f>IF($FY1509&gt;0,IF(INDEX($EM$6:$EM$77,$FT1509)&gt;=GA$3,ROUND(INDEX(EO$6:EO$77,$FT1509)*INDEX(卡牌消耗!$B$8:$F$8,FV1509)/5,0)*5,""),"")</f>
        <v>12690</v>
      </c>
      <c r="GB1509" s="101" t="str">
        <f t="shared" si="692"/>
        <v>专属强化石3</v>
      </c>
      <c r="GC1509" s="101">
        <f t="shared" si="693"/>
        <v>9</v>
      </c>
      <c r="GD1509" s="101" t="str">
        <f t="shared" si="694"/>
        <v>专属强化石4</v>
      </c>
      <c r="GE1509" s="101">
        <f t="shared" si="695"/>
        <v>3</v>
      </c>
      <c r="GF1509" s="101">
        <f t="shared" si="700"/>
        <v>0.1</v>
      </c>
      <c r="GG1509" s="101">
        <f t="shared" si="701"/>
        <v>1</v>
      </c>
      <c r="GH1509" s="101">
        <f t="shared" si="702"/>
        <v>15</v>
      </c>
      <c r="GI1509" s="101">
        <f t="shared" si="703"/>
        <v>0</v>
      </c>
      <c r="GJ1509" s="101">
        <f t="shared" si="704"/>
        <v>1</v>
      </c>
      <c r="GK1509" s="101">
        <f t="shared" si="705"/>
        <v>4</v>
      </c>
      <c r="GL1509" s="101">
        <f t="shared" si="706"/>
        <v>4.9700000000000001E-2</v>
      </c>
      <c r="GM1509" s="101">
        <f t="shared" si="707"/>
        <v>1</v>
      </c>
      <c r="GN1509" s="101">
        <f t="shared" si="708"/>
        <v>7</v>
      </c>
      <c r="GO1509" s="101">
        <f t="shared" si="709"/>
        <v>0.19889999999999999</v>
      </c>
      <c r="GP1509" s="101">
        <f t="shared" si="710"/>
        <v>1</v>
      </c>
      <c r="GQ1509" s="101">
        <f t="shared" si="711"/>
        <v>15</v>
      </c>
    </row>
    <row r="1510" spans="175:199" ht="16.5" x14ac:dyDescent="0.2">
      <c r="FS1510" s="101">
        <v>1505</v>
      </c>
      <c r="FT1510" s="101">
        <f t="shared" si="696"/>
        <v>58</v>
      </c>
      <c r="FU1510" s="101">
        <f t="shared" si="689"/>
        <v>19</v>
      </c>
      <c r="FV1510" s="14">
        <f t="shared" si="690"/>
        <v>5</v>
      </c>
      <c r="FW1510" s="101" t="str">
        <f t="shared" si="697"/>
        <v>吕布专属武器-魂珠-7 4级</v>
      </c>
      <c r="FX1510" s="101">
        <f t="shared" si="698"/>
        <v>7</v>
      </c>
      <c r="FY1510" s="101">
        <f t="shared" si="699"/>
        <v>4</v>
      </c>
      <c r="FZ1510" s="101" t="str">
        <f t="shared" si="691"/>
        <v>金币</v>
      </c>
      <c r="GA1510" s="139">
        <f>IF($FY1510&gt;0,IF(INDEX($EM$6:$EM$77,$FT1510)&gt;=GA$3,ROUND(INDEX(EO$6:EO$77,$FT1510)*INDEX(卡牌消耗!$B$8:$F$8,FV1510)/5,0)*5,""),"")</f>
        <v>16245</v>
      </c>
      <c r="GB1510" s="101" t="str">
        <f t="shared" si="692"/>
        <v>专属强化石3</v>
      </c>
      <c r="GC1510" s="101">
        <f t="shared" si="693"/>
        <v>12</v>
      </c>
      <c r="GD1510" s="101" t="str">
        <f t="shared" si="694"/>
        <v>专属强化石4</v>
      </c>
      <c r="GE1510" s="101">
        <f t="shared" si="695"/>
        <v>4</v>
      </c>
      <c r="GF1510" s="101">
        <f t="shared" si="700"/>
        <v>0.08</v>
      </c>
      <c r="GG1510" s="101">
        <f t="shared" si="701"/>
        <v>1</v>
      </c>
      <c r="GH1510" s="101">
        <f t="shared" si="702"/>
        <v>19</v>
      </c>
      <c r="GI1510" s="101">
        <f t="shared" si="703"/>
        <v>0</v>
      </c>
      <c r="GJ1510" s="101">
        <f t="shared" si="704"/>
        <v>1</v>
      </c>
      <c r="GK1510" s="101">
        <f t="shared" si="705"/>
        <v>4</v>
      </c>
      <c r="GL1510" s="101">
        <f t="shared" si="706"/>
        <v>3.9800000000000002E-2</v>
      </c>
      <c r="GM1510" s="101">
        <f t="shared" si="707"/>
        <v>1</v>
      </c>
      <c r="GN1510" s="101">
        <f t="shared" si="708"/>
        <v>9</v>
      </c>
      <c r="GO1510" s="101">
        <f t="shared" si="709"/>
        <v>0.15909999999999999</v>
      </c>
      <c r="GP1510" s="101">
        <f t="shared" si="710"/>
        <v>1</v>
      </c>
      <c r="GQ1510" s="101">
        <f t="shared" si="711"/>
        <v>19</v>
      </c>
    </row>
    <row r="1511" spans="175:199" ht="16.5" x14ac:dyDescent="0.2">
      <c r="FS1511" s="101">
        <v>1506</v>
      </c>
      <c r="FT1511" s="101">
        <f t="shared" si="696"/>
        <v>59</v>
      </c>
      <c r="FU1511" s="101">
        <f t="shared" si="689"/>
        <v>19</v>
      </c>
      <c r="FV1511" s="14">
        <f t="shared" si="690"/>
        <v>5</v>
      </c>
      <c r="FW1511" s="101" t="str">
        <f t="shared" si="697"/>
        <v>吕布专属武器-魂珠-7 5级</v>
      </c>
      <c r="FX1511" s="101">
        <f t="shared" si="698"/>
        <v>7</v>
      </c>
      <c r="FY1511" s="101">
        <f t="shared" si="699"/>
        <v>5</v>
      </c>
      <c r="FZ1511" s="101" t="str">
        <f t="shared" si="691"/>
        <v>金币</v>
      </c>
      <c r="GA1511" s="139">
        <f>IF($FY1511&gt;0,IF(INDEX($EM$6:$EM$77,$FT1511)&gt;=GA$3,ROUND(INDEX(EO$6:EO$77,$FT1511)*INDEX(卡牌消耗!$B$8:$F$8,FV1511)/5,0)*5,""),"")</f>
        <v>16500</v>
      </c>
      <c r="GB1511" s="101" t="str">
        <f t="shared" si="692"/>
        <v>专属强化石3</v>
      </c>
      <c r="GC1511" s="101">
        <f t="shared" si="693"/>
        <v>12</v>
      </c>
      <c r="GD1511" s="101" t="str">
        <f t="shared" si="694"/>
        <v>专属强化石4</v>
      </c>
      <c r="GE1511" s="101">
        <f t="shared" si="695"/>
        <v>4</v>
      </c>
      <c r="GF1511" s="101">
        <f t="shared" si="700"/>
        <v>0.05</v>
      </c>
      <c r="GG1511" s="101">
        <f t="shared" si="701"/>
        <v>1</v>
      </c>
      <c r="GH1511" s="101">
        <f t="shared" si="702"/>
        <v>30</v>
      </c>
      <c r="GI1511" s="101">
        <f t="shared" si="703"/>
        <v>0</v>
      </c>
      <c r="GJ1511" s="101">
        <f t="shared" si="704"/>
        <v>1</v>
      </c>
      <c r="GK1511" s="101">
        <f t="shared" si="705"/>
        <v>7</v>
      </c>
      <c r="GL1511" s="101">
        <f t="shared" si="706"/>
        <v>2.4899999999999999E-2</v>
      </c>
      <c r="GM1511" s="101">
        <f t="shared" si="707"/>
        <v>1</v>
      </c>
      <c r="GN1511" s="101">
        <f t="shared" si="708"/>
        <v>14</v>
      </c>
      <c r="GO1511" s="101">
        <f t="shared" si="709"/>
        <v>9.9400000000000002E-2</v>
      </c>
      <c r="GP1511" s="101">
        <f t="shared" si="710"/>
        <v>1</v>
      </c>
      <c r="GQ1511" s="101">
        <f t="shared" si="711"/>
        <v>30</v>
      </c>
    </row>
    <row r="1512" spans="175:199" ht="16.5" x14ac:dyDescent="0.2">
      <c r="FS1512" s="101">
        <v>1507</v>
      </c>
      <c r="FT1512" s="101">
        <f t="shared" si="696"/>
        <v>60</v>
      </c>
      <c r="FU1512" s="101">
        <f t="shared" si="689"/>
        <v>19</v>
      </c>
      <c r="FV1512" s="14">
        <f t="shared" si="690"/>
        <v>5</v>
      </c>
      <c r="FW1512" s="101" t="str">
        <f t="shared" si="697"/>
        <v>吕布专属武器-魂珠-7 6级</v>
      </c>
      <c r="FX1512" s="101">
        <f t="shared" si="698"/>
        <v>7</v>
      </c>
      <c r="FY1512" s="101">
        <f t="shared" si="699"/>
        <v>6</v>
      </c>
      <c r="FZ1512" s="101" t="str">
        <f t="shared" si="691"/>
        <v>金币</v>
      </c>
      <c r="GA1512" s="139">
        <f>IF($FY1512&gt;0,IF(INDEX($EM$6:$EM$77,$FT1512)&gt;=GA$3,ROUND(INDEX(EO$6:EO$77,$FT1512)*INDEX(卡牌消耗!$B$8:$F$8,FV1512)/5,0)*5,""),"")</f>
        <v>20505</v>
      </c>
      <c r="GB1512" s="101" t="str">
        <f t="shared" si="692"/>
        <v>专属强化石3</v>
      </c>
      <c r="GC1512" s="101">
        <f t="shared" si="693"/>
        <v>15</v>
      </c>
      <c r="GD1512" s="101" t="str">
        <f t="shared" si="694"/>
        <v>专属强化石4</v>
      </c>
      <c r="GE1512" s="101">
        <f t="shared" si="695"/>
        <v>5</v>
      </c>
      <c r="GF1512" s="101">
        <f t="shared" si="700"/>
        <v>0.04</v>
      </c>
      <c r="GG1512" s="101">
        <f t="shared" si="701"/>
        <v>1</v>
      </c>
      <c r="GH1512" s="101">
        <f t="shared" si="702"/>
        <v>39</v>
      </c>
      <c r="GI1512" s="101">
        <f t="shared" si="703"/>
        <v>0</v>
      </c>
      <c r="GJ1512" s="101">
        <f t="shared" si="704"/>
        <v>1</v>
      </c>
      <c r="GK1512" s="101">
        <f t="shared" si="705"/>
        <v>9</v>
      </c>
      <c r="GL1512" s="101">
        <f t="shared" si="706"/>
        <v>1.9099999999999999E-2</v>
      </c>
      <c r="GM1512" s="101">
        <f t="shared" si="707"/>
        <v>1</v>
      </c>
      <c r="GN1512" s="101">
        <f t="shared" si="708"/>
        <v>18</v>
      </c>
      <c r="GO1512" s="101">
        <f t="shared" si="709"/>
        <v>7.6499999999999999E-2</v>
      </c>
      <c r="GP1512" s="101">
        <f t="shared" si="710"/>
        <v>1</v>
      </c>
      <c r="GQ1512" s="101">
        <f t="shared" si="711"/>
        <v>39</v>
      </c>
    </row>
    <row r="1513" spans="175:199" ht="16.5" x14ac:dyDescent="0.2">
      <c r="FS1513" s="101">
        <v>1508</v>
      </c>
      <c r="FT1513" s="101">
        <f t="shared" si="696"/>
        <v>61</v>
      </c>
      <c r="FU1513" s="101">
        <f t="shared" si="689"/>
        <v>19</v>
      </c>
      <c r="FV1513" s="14">
        <f t="shared" si="690"/>
        <v>5</v>
      </c>
      <c r="FW1513" s="101" t="str">
        <f t="shared" si="697"/>
        <v>吕布专属武器-魂珠-7 7级</v>
      </c>
      <c r="FX1513" s="101">
        <f t="shared" si="698"/>
        <v>7</v>
      </c>
      <c r="FY1513" s="101">
        <f t="shared" si="699"/>
        <v>7</v>
      </c>
      <c r="FZ1513" s="101" t="str">
        <f t="shared" si="691"/>
        <v>金币</v>
      </c>
      <c r="GA1513" s="139">
        <f>IF($FY1513&gt;0,IF(INDEX($EM$6:$EM$77,$FT1513)&gt;=GA$3,ROUND(INDEX(EO$6:EO$77,$FT1513)*INDEX(卡牌消耗!$B$8:$F$8,FV1513)/5,0)*5,""),"")</f>
        <v>28770</v>
      </c>
      <c r="GB1513" s="101" t="str">
        <f t="shared" si="692"/>
        <v>专属强化石3</v>
      </c>
      <c r="GC1513" s="101">
        <f t="shared" si="693"/>
        <v>21</v>
      </c>
      <c r="GD1513" s="101" t="str">
        <f t="shared" si="694"/>
        <v>专属强化石4</v>
      </c>
      <c r="GE1513" s="101">
        <f t="shared" si="695"/>
        <v>7</v>
      </c>
      <c r="GF1513" s="101">
        <f t="shared" si="700"/>
        <v>0.03</v>
      </c>
      <c r="GG1513" s="101">
        <f t="shared" si="701"/>
        <v>1</v>
      </c>
      <c r="GH1513" s="101">
        <f t="shared" si="702"/>
        <v>45</v>
      </c>
      <c r="GI1513" s="101">
        <f t="shared" si="703"/>
        <v>0</v>
      </c>
      <c r="GJ1513" s="101">
        <f t="shared" si="704"/>
        <v>1</v>
      </c>
      <c r="GK1513" s="101">
        <f t="shared" si="705"/>
        <v>11</v>
      </c>
      <c r="GL1513" s="101">
        <f t="shared" si="706"/>
        <v>1.66E-2</v>
      </c>
      <c r="GM1513" s="101">
        <f t="shared" si="707"/>
        <v>1</v>
      </c>
      <c r="GN1513" s="101">
        <f t="shared" si="708"/>
        <v>21</v>
      </c>
      <c r="GO1513" s="101">
        <f t="shared" si="709"/>
        <v>6.6299999999999998E-2</v>
      </c>
      <c r="GP1513" s="101">
        <f t="shared" si="710"/>
        <v>1</v>
      </c>
      <c r="GQ1513" s="101">
        <f t="shared" si="711"/>
        <v>45</v>
      </c>
    </row>
    <row r="1514" spans="175:199" ht="16.5" x14ac:dyDescent="0.2">
      <c r="FS1514" s="101">
        <v>1509</v>
      </c>
      <c r="FT1514" s="101">
        <f t="shared" si="696"/>
        <v>62</v>
      </c>
      <c r="FU1514" s="101">
        <f t="shared" si="689"/>
        <v>19</v>
      </c>
      <c r="FV1514" s="14">
        <f t="shared" si="690"/>
        <v>5</v>
      </c>
      <c r="FW1514" s="101" t="str">
        <f t="shared" si="697"/>
        <v>吕布专属武器-魂珠-7 8级</v>
      </c>
      <c r="FX1514" s="101">
        <f t="shared" si="698"/>
        <v>7</v>
      </c>
      <c r="FY1514" s="101">
        <f t="shared" si="699"/>
        <v>8</v>
      </c>
      <c r="FZ1514" s="101" t="str">
        <f t="shared" si="691"/>
        <v>金币</v>
      </c>
      <c r="GA1514" s="139">
        <f>IF($FY1514&gt;0,IF(INDEX($EM$6:$EM$77,$FT1514)&gt;=GA$3,ROUND(INDEX(EO$6:EO$77,$FT1514)*INDEX(卡牌消耗!$B$8:$F$8,FV1514)/5,0)*5,""),"")</f>
        <v>32850</v>
      </c>
      <c r="GB1514" s="101" t="str">
        <f t="shared" si="692"/>
        <v>专属强化石3</v>
      </c>
      <c r="GC1514" s="101">
        <f t="shared" si="693"/>
        <v>24</v>
      </c>
      <c r="GD1514" s="101" t="str">
        <f t="shared" si="694"/>
        <v>专属强化石4</v>
      </c>
      <c r="GE1514" s="101">
        <f t="shared" si="695"/>
        <v>8</v>
      </c>
      <c r="GF1514" s="101">
        <f t="shared" si="700"/>
        <v>0.02</v>
      </c>
      <c r="GG1514" s="101">
        <f t="shared" si="701"/>
        <v>1</v>
      </c>
      <c r="GH1514" s="101">
        <f t="shared" si="702"/>
        <v>64</v>
      </c>
      <c r="GI1514" s="101">
        <f t="shared" si="703"/>
        <v>0</v>
      </c>
      <c r="GJ1514" s="101">
        <f t="shared" si="704"/>
        <v>1</v>
      </c>
      <c r="GK1514" s="101">
        <f t="shared" si="705"/>
        <v>15</v>
      </c>
      <c r="GL1514" s="101">
        <f t="shared" si="706"/>
        <v>1.17E-2</v>
      </c>
      <c r="GM1514" s="101">
        <f t="shared" si="707"/>
        <v>1</v>
      </c>
      <c r="GN1514" s="101">
        <f t="shared" si="708"/>
        <v>30</v>
      </c>
      <c r="GO1514" s="101">
        <f t="shared" si="709"/>
        <v>4.6800000000000001E-2</v>
      </c>
      <c r="GP1514" s="101">
        <f t="shared" si="710"/>
        <v>1</v>
      </c>
      <c r="GQ1514" s="101">
        <f t="shared" si="711"/>
        <v>64</v>
      </c>
    </row>
    <row r="1515" spans="175:199" ht="16.5" x14ac:dyDescent="0.2">
      <c r="FS1515" s="101">
        <v>1510</v>
      </c>
      <c r="FT1515" s="101">
        <f t="shared" si="696"/>
        <v>63</v>
      </c>
      <c r="FU1515" s="101">
        <f t="shared" si="689"/>
        <v>19</v>
      </c>
      <c r="FV1515" s="14">
        <f t="shared" si="690"/>
        <v>5</v>
      </c>
      <c r="FW1515" s="101" t="str">
        <f t="shared" si="697"/>
        <v>吕布专属武器-魂珠-7 9级</v>
      </c>
      <c r="FX1515" s="101">
        <f t="shared" si="698"/>
        <v>7</v>
      </c>
      <c r="FY1515" s="101">
        <f t="shared" si="699"/>
        <v>9</v>
      </c>
      <c r="FZ1515" s="101" t="str">
        <f t="shared" si="691"/>
        <v>金币</v>
      </c>
      <c r="GA1515" s="139">
        <f>IF($FY1515&gt;0,IF(INDEX($EM$6:$EM$77,$FT1515)&gt;=GA$3,ROUND(INDEX(EO$6:EO$77,$FT1515)*INDEX(卡牌消耗!$B$8:$F$8,FV1515)/5,0)*5,""),"")</f>
        <v>41080</v>
      </c>
      <c r="GB1515" s="101" t="str">
        <f t="shared" si="692"/>
        <v>专属强化石3</v>
      </c>
      <c r="GC1515" s="101">
        <f t="shared" si="693"/>
        <v>30</v>
      </c>
      <c r="GD1515" s="101" t="str">
        <f t="shared" si="694"/>
        <v>专属强化石4</v>
      </c>
      <c r="GE1515" s="101">
        <f t="shared" si="695"/>
        <v>10</v>
      </c>
      <c r="GF1515" s="101">
        <f t="shared" si="700"/>
        <v>0.02</v>
      </c>
      <c r="GG1515" s="101">
        <f t="shared" si="701"/>
        <v>1</v>
      </c>
      <c r="GH1515" s="101">
        <f t="shared" si="702"/>
        <v>83</v>
      </c>
      <c r="GI1515" s="101">
        <f t="shared" si="703"/>
        <v>0</v>
      </c>
      <c r="GJ1515" s="101">
        <f t="shared" si="704"/>
        <v>1</v>
      </c>
      <c r="GK1515" s="101">
        <f t="shared" si="705"/>
        <v>19</v>
      </c>
      <c r="GL1515" s="101">
        <f t="shared" si="706"/>
        <v>8.9999999999999993E-3</v>
      </c>
      <c r="GM1515" s="101">
        <f t="shared" si="707"/>
        <v>1</v>
      </c>
      <c r="GN1515" s="101">
        <f t="shared" si="708"/>
        <v>39</v>
      </c>
      <c r="GO1515" s="101">
        <f t="shared" si="709"/>
        <v>3.6200000000000003E-2</v>
      </c>
      <c r="GP1515" s="101">
        <f t="shared" si="710"/>
        <v>1</v>
      </c>
      <c r="GQ1515" s="101">
        <f t="shared" si="711"/>
        <v>83</v>
      </c>
    </row>
    <row r="1516" spans="175:199" ht="16.5" x14ac:dyDescent="0.2">
      <c r="FS1516" s="101">
        <v>1511</v>
      </c>
      <c r="FT1516" s="101">
        <f t="shared" si="696"/>
        <v>0</v>
      </c>
      <c r="FU1516" s="101">
        <f t="shared" si="689"/>
        <v>19</v>
      </c>
      <c r="FV1516" s="14">
        <f t="shared" si="690"/>
        <v>5</v>
      </c>
      <c r="FW1516" s="101" t="str">
        <f t="shared" si="697"/>
        <v>吕布专属武器-魂珠-8 0级</v>
      </c>
      <c r="FX1516" s="101">
        <f t="shared" si="698"/>
        <v>8</v>
      </c>
      <c r="FY1516" s="101">
        <f t="shared" si="699"/>
        <v>0</v>
      </c>
      <c r="FZ1516" s="101" t="str">
        <f t="shared" si="691"/>
        <v/>
      </c>
      <c r="GA1516" s="139" t="str">
        <f>IF($FY1516&gt;0,IF(INDEX($EM$6:$EM$77,$FT1516)&gt;=GA$3,ROUND(INDEX(EO$6:EO$77,$FT1516)*INDEX(卡牌消耗!$B$8:$F$8,FV1516)/5,0)*5,""),"")</f>
        <v/>
      </c>
      <c r="GB1516" s="101" t="str">
        <f t="shared" si="692"/>
        <v/>
      </c>
      <c r="GC1516" s="101" t="str">
        <f t="shared" si="693"/>
        <v/>
      </c>
      <c r="GD1516" s="101" t="str">
        <f t="shared" si="694"/>
        <v/>
      </c>
      <c r="GE1516" s="101" t="str">
        <f t="shared" si="695"/>
        <v/>
      </c>
      <c r="GF1516" s="101" t="str">
        <f t="shared" si="700"/>
        <v/>
      </c>
      <c r="GG1516" s="101" t="str">
        <f t="shared" si="701"/>
        <v/>
      </c>
      <c r="GH1516" s="101" t="str">
        <f t="shared" si="702"/>
        <v/>
      </c>
      <c r="GI1516" s="101" t="str">
        <f t="shared" si="703"/>
        <v/>
      </c>
      <c r="GJ1516" s="101" t="str">
        <f t="shared" si="704"/>
        <v/>
      </c>
      <c r="GK1516" s="101" t="str">
        <f t="shared" si="705"/>
        <v/>
      </c>
      <c r="GL1516" s="101" t="str">
        <f t="shared" si="706"/>
        <v/>
      </c>
      <c r="GM1516" s="101" t="str">
        <f t="shared" si="707"/>
        <v/>
      </c>
      <c r="GN1516" s="101" t="str">
        <f t="shared" si="708"/>
        <v/>
      </c>
      <c r="GO1516" s="101" t="str">
        <f t="shared" si="709"/>
        <v/>
      </c>
      <c r="GP1516" s="101" t="str">
        <f t="shared" si="710"/>
        <v/>
      </c>
      <c r="GQ1516" s="101" t="str">
        <f t="shared" si="711"/>
        <v/>
      </c>
    </row>
    <row r="1517" spans="175:199" ht="16.5" x14ac:dyDescent="0.2">
      <c r="FS1517" s="101">
        <v>1512</v>
      </c>
      <c r="FT1517" s="101">
        <f t="shared" si="696"/>
        <v>64</v>
      </c>
      <c r="FU1517" s="101">
        <f t="shared" si="689"/>
        <v>19</v>
      </c>
      <c r="FV1517" s="14">
        <f t="shared" si="690"/>
        <v>5</v>
      </c>
      <c r="FW1517" s="101" t="str">
        <f t="shared" si="697"/>
        <v>吕布专属武器-魂珠-8 1级</v>
      </c>
      <c r="FX1517" s="101">
        <f t="shared" si="698"/>
        <v>8</v>
      </c>
      <c r="FY1517" s="101">
        <f t="shared" si="699"/>
        <v>1</v>
      </c>
      <c r="FZ1517" s="101" t="str">
        <f t="shared" si="691"/>
        <v>金币</v>
      </c>
      <c r="GA1517" s="139">
        <f>IF($FY1517&gt;0,IF(INDEX($EM$6:$EM$77,$FT1517)&gt;=GA$3,ROUND(INDEX(EO$6:EO$77,$FT1517)*INDEX(卡牌消耗!$B$8:$F$8,FV1517)/5,0)*5,""),"")</f>
        <v>8655</v>
      </c>
      <c r="GB1517" s="101" t="str">
        <f t="shared" si="692"/>
        <v>专属强化石4</v>
      </c>
      <c r="GC1517" s="101">
        <f t="shared" si="693"/>
        <v>5</v>
      </c>
      <c r="GD1517" s="101" t="str">
        <f t="shared" si="694"/>
        <v/>
      </c>
      <c r="GE1517" s="101" t="str">
        <f t="shared" si="695"/>
        <v/>
      </c>
      <c r="GF1517" s="101">
        <f t="shared" si="700"/>
        <v>0.11</v>
      </c>
      <c r="GG1517" s="101">
        <f t="shared" si="701"/>
        <v>1</v>
      </c>
      <c r="GH1517" s="101">
        <f t="shared" si="702"/>
        <v>13</v>
      </c>
      <c r="GI1517" s="101">
        <f t="shared" si="703"/>
        <v>0</v>
      </c>
      <c r="GJ1517" s="101">
        <f t="shared" si="704"/>
        <v>1</v>
      </c>
      <c r="GK1517" s="101">
        <f t="shared" si="705"/>
        <v>3</v>
      </c>
      <c r="GL1517" s="101">
        <f t="shared" si="706"/>
        <v>5.6500000000000002E-2</v>
      </c>
      <c r="GM1517" s="101">
        <f t="shared" si="707"/>
        <v>1</v>
      </c>
      <c r="GN1517" s="101">
        <f t="shared" si="708"/>
        <v>6</v>
      </c>
      <c r="GO1517" s="101">
        <f t="shared" si="709"/>
        <v>0.22600000000000001</v>
      </c>
      <c r="GP1517" s="101">
        <f t="shared" si="710"/>
        <v>1</v>
      </c>
      <c r="GQ1517" s="101">
        <f t="shared" si="711"/>
        <v>13</v>
      </c>
    </row>
    <row r="1518" spans="175:199" ht="16.5" x14ac:dyDescent="0.2">
      <c r="FS1518" s="101">
        <v>1513</v>
      </c>
      <c r="FT1518" s="101">
        <f t="shared" si="696"/>
        <v>65</v>
      </c>
      <c r="FU1518" s="101">
        <f t="shared" si="689"/>
        <v>19</v>
      </c>
      <c r="FV1518" s="14">
        <f t="shared" si="690"/>
        <v>5</v>
      </c>
      <c r="FW1518" s="101" t="str">
        <f t="shared" si="697"/>
        <v>吕布专属武器-魂珠-8 2级</v>
      </c>
      <c r="FX1518" s="101">
        <f t="shared" si="698"/>
        <v>8</v>
      </c>
      <c r="FY1518" s="101">
        <f t="shared" si="699"/>
        <v>2</v>
      </c>
      <c r="FZ1518" s="101" t="str">
        <f t="shared" si="691"/>
        <v>金币</v>
      </c>
      <c r="GA1518" s="139">
        <f>IF($FY1518&gt;0,IF(INDEX($EM$6:$EM$77,$FT1518)&gt;=GA$3,ROUND(INDEX(EO$6:EO$77,$FT1518)*INDEX(卡牌消耗!$B$8:$F$8,FV1518)/5,0)*5,""),"")</f>
        <v>10385</v>
      </c>
      <c r="GB1518" s="101" t="str">
        <f t="shared" si="692"/>
        <v>专属强化石4</v>
      </c>
      <c r="GC1518" s="101">
        <f t="shared" si="693"/>
        <v>8</v>
      </c>
      <c r="GD1518" s="101" t="str">
        <f t="shared" si="694"/>
        <v/>
      </c>
      <c r="GE1518" s="101" t="str">
        <f t="shared" si="695"/>
        <v/>
      </c>
      <c r="GF1518" s="101">
        <f t="shared" si="700"/>
        <v>0.09</v>
      </c>
      <c r="GG1518" s="101">
        <f t="shared" si="701"/>
        <v>1</v>
      </c>
      <c r="GH1518" s="101">
        <f t="shared" si="702"/>
        <v>17</v>
      </c>
      <c r="GI1518" s="101">
        <f t="shared" si="703"/>
        <v>0</v>
      </c>
      <c r="GJ1518" s="101">
        <f t="shared" si="704"/>
        <v>1</v>
      </c>
      <c r="GK1518" s="101">
        <f t="shared" si="705"/>
        <v>4</v>
      </c>
      <c r="GL1518" s="101">
        <f t="shared" si="706"/>
        <v>4.5199999999999997E-2</v>
      </c>
      <c r="GM1518" s="101">
        <f t="shared" si="707"/>
        <v>1</v>
      </c>
      <c r="GN1518" s="101">
        <f t="shared" si="708"/>
        <v>8</v>
      </c>
      <c r="GO1518" s="101">
        <f t="shared" si="709"/>
        <v>0.18079999999999999</v>
      </c>
      <c r="GP1518" s="101">
        <f t="shared" si="710"/>
        <v>1</v>
      </c>
      <c r="GQ1518" s="101">
        <f t="shared" si="711"/>
        <v>17</v>
      </c>
    </row>
    <row r="1519" spans="175:199" ht="16.5" x14ac:dyDescent="0.2">
      <c r="FS1519" s="101">
        <v>1514</v>
      </c>
      <c r="FT1519" s="101">
        <f t="shared" si="696"/>
        <v>66</v>
      </c>
      <c r="FU1519" s="101">
        <f t="shared" si="689"/>
        <v>19</v>
      </c>
      <c r="FV1519" s="14">
        <f t="shared" si="690"/>
        <v>5</v>
      </c>
      <c r="FW1519" s="101" t="str">
        <f t="shared" si="697"/>
        <v>吕布专属武器-魂珠-8 3级</v>
      </c>
      <c r="FX1519" s="101">
        <f t="shared" si="698"/>
        <v>8</v>
      </c>
      <c r="FY1519" s="101">
        <f t="shared" si="699"/>
        <v>3</v>
      </c>
      <c r="FZ1519" s="101" t="str">
        <f t="shared" si="691"/>
        <v>金币</v>
      </c>
      <c r="GA1519" s="139">
        <f>IF($FY1519&gt;0,IF(INDEX($EM$6:$EM$77,$FT1519)&gt;=GA$3,ROUND(INDEX(EO$6:EO$77,$FT1519)*INDEX(卡牌消耗!$B$8:$F$8,FV1519)/5,0)*5,""),"")</f>
        <v>14425</v>
      </c>
      <c r="GB1519" s="101" t="str">
        <f t="shared" si="692"/>
        <v>专属强化石4</v>
      </c>
      <c r="GC1519" s="101">
        <f t="shared" si="693"/>
        <v>10</v>
      </c>
      <c r="GD1519" s="101" t="str">
        <f t="shared" si="694"/>
        <v/>
      </c>
      <c r="GE1519" s="101" t="str">
        <f t="shared" si="695"/>
        <v/>
      </c>
      <c r="GF1519" s="101">
        <f t="shared" si="700"/>
        <v>0.08</v>
      </c>
      <c r="GG1519" s="101">
        <f t="shared" si="701"/>
        <v>1</v>
      </c>
      <c r="GH1519" s="101">
        <f t="shared" si="702"/>
        <v>20</v>
      </c>
      <c r="GI1519" s="101">
        <f t="shared" si="703"/>
        <v>0</v>
      </c>
      <c r="GJ1519" s="101">
        <f t="shared" si="704"/>
        <v>1</v>
      </c>
      <c r="GK1519" s="101">
        <f t="shared" si="705"/>
        <v>5</v>
      </c>
      <c r="GL1519" s="101">
        <f t="shared" si="706"/>
        <v>3.7699999999999997E-2</v>
      </c>
      <c r="GM1519" s="101">
        <f t="shared" si="707"/>
        <v>1</v>
      </c>
      <c r="GN1519" s="101">
        <f t="shared" si="708"/>
        <v>9</v>
      </c>
      <c r="GO1519" s="101">
        <f t="shared" si="709"/>
        <v>0.1507</v>
      </c>
      <c r="GP1519" s="101">
        <f t="shared" si="710"/>
        <v>1</v>
      </c>
      <c r="GQ1519" s="101">
        <f t="shared" si="711"/>
        <v>20</v>
      </c>
    </row>
    <row r="1520" spans="175:199" ht="16.5" x14ac:dyDescent="0.2">
      <c r="FS1520" s="101">
        <v>1515</v>
      </c>
      <c r="FT1520" s="101">
        <f t="shared" si="696"/>
        <v>67</v>
      </c>
      <c r="FU1520" s="101">
        <f t="shared" si="689"/>
        <v>19</v>
      </c>
      <c r="FV1520" s="14">
        <f t="shared" si="690"/>
        <v>5</v>
      </c>
      <c r="FW1520" s="101" t="str">
        <f t="shared" si="697"/>
        <v>吕布专属武器-魂珠-8 4级</v>
      </c>
      <c r="FX1520" s="101">
        <f t="shared" si="698"/>
        <v>8</v>
      </c>
      <c r="FY1520" s="101">
        <f t="shared" si="699"/>
        <v>4</v>
      </c>
      <c r="FZ1520" s="101" t="str">
        <f t="shared" si="691"/>
        <v>金币</v>
      </c>
      <c r="GA1520" s="139">
        <f>IF($FY1520&gt;0,IF(INDEX($EM$6:$EM$77,$FT1520)&gt;=GA$3,ROUND(INDEX(EO$6:EO$77,$FT1520)*INDEX(卡牌消耗!$B$8:$F$8,FV1520)/5,0)*5,""),"")</f>
        <v>16615</v>
      </c>
      <c r="GB1520" s="101" t="str">
        <f t="shared" si="692"/>
        <v>专属强化石4</v>
      </c>
      <c r="GC1520" s="101">
        <f t="shared" si="693"/>
        <v>12</v>
      </c>
      <c r="GD1520" s="101" t="str">
        <f t="shared" si="694"/>
        <v/>
      </c>
      <c r="GE1520" s="101" t="str">
        <f t="shared" si="695"/>
        <v/>
      </c>
      <c r="GF1520" s="101">
        <f t="shared" si="700"/>
        <v>0.05</v>
      </c>
      <c r="GG1520" s="101">
        <f t="shared" si="701"/>
        <v>1</v>
      </c>
      <c r="GH1520" s="101">
        <f t="shared" si="702"/>
        <v>28</v>
      </c>
      <c r="GI1520" s="101">
        <f t="shared" si="703"/>
        <v>0</v>
      </c>
      <c r="GJ1520" s="101">
        <f t="shared" si="704"/>
        <v>1</v>
      </c>
      <c r="GK1520" s="101">
        <f t="shared" si="705"/>
        <v>6</v>
      </c>
      <c r="GL1520" s="101">
        <f t="shared" si="706"/>
        <v>2.7099999999999999E-2</v>
      </c>
      <c r="GM1520" s="101">
        <f t="shared" si="707"/>
        <v>1</v>
      </c>
      <c r="GN1520" s="101">
        <f t="shared" si="708"/>
        <v>13</v>
      </c>
      <c r="GO1520" s="101">
        <f t="shared" si="709"/>
        <v>0.1085</v>
      </c>
      <c r="GP1520" s="101">
        <f t="shared" si="710"/>
        <v>1</v>
      </c>
      <c r="GQ1520" s="101">
        <f t="shared" si="711"/>
        <v>28</v>
      </c>
    </row>
    <row r="1521" spans="175:199" ht="16.5" x14ac:dyDescent="0.2">
      <c r="FS1521" s="101">
        <v>1516</v>
      </c>
      <c r="FT1521" s="101">
        <f t="shared" si="696"/>
        <v>68</v>
      </c>
      <c r="FU1521" s="101">
        <f t="shared" si="689"/>
        <v>19</v>
      </c>
      <c r="FV1521" s="14">
        <f t="shared" si="690"/>
        <v>5</v>
      </c>
      <c r="FW1521" s="101" t="str">
        <f t="shared" si="697"/>
        <v>吕布专属武器-魂珠-8 5级</v>
      </c>
      <c r="FX1521" s="101">
        <f t="shared" si="698"/>
        <v>8</v>
      </c>
      <c r="FY1521" s="101">
        <f t="shared" si="699"/>
        <v>5</v>
      </c>
      <c r="FZ1521" s="101" t="str">
        <f t="shared" si="691"/>
        <v>金币</v>
      </c>
      <c r="GA1521" s="139">
        <f>IF($FY1521&gt;0,IF(INDEX($EM$6:$EM$77,$FT1521)&gt;=GA$3,ROUND(INDEX(EO$6:EO$77,$FT1521)*INDEX(卡牌消耗!$B$8:$F$8,FV1521)/5,0)*5,""),"")</f>
        <v>21095</v>
      </c>
      <c r="GB1521" s="101" t="str">
        <f t="shared" si="692"/>
        <v>专属强化石4</v>
      </c>
      <c r="GC1521" s="101">
        <f t="shared" si="693"/>
        <v>15</v>
      </c>
      <c r="GD1521" s="101" t="str">
        <f t="shared" si="694"/>
        <v/>
      </c>
      <c r="GE1521" s="101" t="str">
        <f t="shared" si="695"/>
        <v/>
      </c>
      <c r="GF1521" s="101">
        <f t="shared" si="700"/>
        <v>0.04</v>
      </c>
      <c r="GG1521" s="101">
        <f t="shared" si="701"/>
        <v>1</v>
      </c>
      <c r="GH1521" s="101">
        <f t="shared" si="702"/>
        <v>35</v>
      </c>
      <c r="GI1521" s="101">
        <f t="shared" si="703"/>
        <v>0</v>
      </c>
      <c r="GJ1521" s="101">
        <f t="shared" si="704"/>
        <v>1</v>
      </c>
      <c r="GK1521" s="101">
        <f t="shared" si="705"/>
        <v>8</v>
      </c>
      <c r="GL1521" s="101">
        <f t="shared" si="706"/>
        <v>2.12E-2</v>
      </c>
      <c r="GM1521" s="101">
        <f t="shared" si="707"/>
        <v>1</v>
      </c>
      <c r="GN1521" s="101">
        <f t="shared" si="708"/>
        <v>17</v>
      </c>
      <c r="GO1521" s="101">
        <f t="shared" si="709"/>
        <v>8.4699999999999998E-2</v>
      </c>
      <c r="GP1521" s="101">
        <f t="shared" si="710"/>
        <v>1</v>
      </c>
      <c r="GQ1521" s="101">
        <f t="shared" si="711"/>
        <v>35</v>
      </c>
    </row>
    <row r="1522" spans="175:199" ht="16.5" x14ac:dyDescent="0.2">
      <c r="FS1522" s="101">
        <v>1517</v>
      </c>
      <c r="FT1522" s="101">
        <f t="shared" si="696"/>
        <v>69</v>
      </c>
      <c r="FU1522" s="101">
        <f t="shared" si="689"/>
        <v>19</v>
      </c>
      <c r="FV1522" s="14">
        <f t="shared" si="690"/>
        <v>5</v>
      </c>
      <c r="FW1522" s="101" t="str">
        <f t="shared" si="697"/>
        <v>吕布专属武器-魂珠-8 6级</v>
      </c>
      <c r="FX1522" s="101">
        <f t="shared" si="698"/>
        <v>8</v>
      </c>
      <c r="FY1522" s="101">
        <f t="shared" si="699"/>
        <v>6</v>
      </c>
      <c r="FZ1522" s="101" t="str">
        <f t="shared" si="691"/>
        <v>金币</v>
      </c>
      <c r="GA1522" s="139">
        <f>IF($FY1522&gt;0,IF(INDEX($EM$6:$EM$77,$FT1522)&gt;=GA$3,ROUND(INDEX(EO$6:EO$77,$FT1522)*INDEX(卡牌消耗!$B$8:$F$8,FV1522)/5,0)*5,""),"")</f>
        <v>25160</v>
      </c>
      <c r="GB1522" s="101" t="str">
        <f t="shared" si="692"/>
        <v>专属强化石4</v>
      </c>
      <c r="GC1522" s="101">
        <f t="shared" si="693"/>
        <v>18</v>
      </c>
      <c r="GD1522" s="101" t="str">
        <f t="shared" si="694"/>
        <v/>
      </c>
      <c r="GE1522" s="101" t="str">
        <f t="shared" si="695"/>
        <v/>
      </c>
      <c r="GF1522" s="101">
        <f t="shared" si="700"/>
        <v>0.03</v>
      </c>
      <c r="GG1522" s="101">
        <f t="shared" si="701"/>
        <v>1</v>
      </c>
      <c r="GH1522" s="101">
        <f t="shared" si="702"/>
        <v>48</v>
      </c>
      <c r="GI1522" s="101">
        <f t="shared" si="703"/>
        <v>0</v>
      </c>
      <c r="GJ1522" s="101">
        <f t="shared" si="704"/>
        <v>1</v>
      </c>
      <c r="GK1522" s="101">
        <f t="shared" si="705"/>
        <v>11</v>
      </c>
      <c r="GL1522" s="101">
        <f t="shared" si="706"/>
        <v>1.5599999999999999E-2</v>
      </c>
      <c r="GM1522" s="101">
        <f t="shared" si="707"/>
        <v>1</v>
      </c>
      <c r="GN1522" s="101">
        <f t="shared" si="708"/>
        <v>22</v>
      </c>
      <c r="GO1522" s="101">
        <f t="shared" si="709"/>
        <v>6.2600000000000003E-2</v>
      </c>
      <c r="GP1522" s="101">
        <f t="shared" si="710"/>
        <v>1</v>
      </c>
      <c r="GQ1522" s="101">
        <f t="shared" si="711"/>
        <v>48</v>
      </c>
    </row>
    <row r="1523" spans="175:199" ht="16.5" x14ac:dyDescent="0.2">
      <c r="FS1523" s="101">
        <v>1518</v>
      </c>
      <c r="FT1523" s="101">
        <f t="shared" si="696"/>
        <v>70</v>
      </c>
      <c r="FU1523" s="101">
        <f t="shared" si="689"/>
        <v>19</v>
      </c>
      <c r="FV1523" s="14">
        <f t="shared" si="690"/>
        <v>5</v>
      </c>
      <c r="FW1523" s="101" t="str">
        <f t="shared" si="697"/>
        <v>吕布专属武器-魂珠-8 7级</v>
      </c>
      <c r="FX1523" s="101">
        <f t="shared" si="698"/>
        <v>8</v>
      </c>
      <c r="FY1523" s="101">
        <f t="shared" si="699"/>
        <v>7</v>
      </c>
      <c r="FZ1523" s="101" t="str">
        <f t="shared" si="691"/>
        <v>金币</v>
      </c>
      <c r="GA1523" s="139">
        <f>IF($FY1523&gt;0,IF(INDEX($EM$6:$EM$77,$FT1523)&gt;=GA$3,ROUND(INDEX(EO$6:EO$77,$FT1523)*INDEX(卡牌消耗!$B$8:$F$8,FV1523)/5,0)*5,""),"")</f>
        <v>35030</v>
      </c>
      <c r="GB1523" s="101" t="str">
        <f t="shared" si="692"/>
        <v>专属强化石4</v>
      </c>
      <c r="GC1523" s="101">
        <f t="shared" si="693"/>
        <v>25</v>
      </c>
      <c r="GD1523" s="101" t="str">
        <f t="shared" si="694"/>
        <v/>
      </c>
      <c r="GE1523" s="101" t="str">
        <f t="shared" si="695"/>
        <v/>
      </c>
      <c r="GF1523" s="101">
        <f t="shared" si="700"/>
        <v>0.03</v>
      </c>
      <c r="GG1523" s="101">
        <f t="shared" si="701"/>
        <v>1</v>
      </c>
      <c r="GH1523" s="101">
        <f t="shared" si="702"/>
        <v>56</v>
      </c>
      <c r="GI1523" s="101">
        <f t="shared" si="703"/>
        <v>0</v>
      </c>
      <c r="GJ1523" s="101">
        <f t="shared" si="704"/>
        <v>1</v>
      </c>
      <c r="GK1523" s="101">
        <f t="shared" si="705"/>
        <v>13</v>
      </c>
      <c r="GL1523" s="101">
        <f t="shared" si="706"/>
        <v>1.35E-2</v>
      </c>
      <c r="GM1523" s="101">
        <f t="shared" si="707"/>
        <v>1</v>
      </c>
      <c r="GN1523" s="101">
        <f t="shared" si="708"/>
        <v>26</v>
      </c>
      <c r="GO1523" s="101">
        <f t="shared" si="709"/>
        <v>5.3800000000000001E-2</v>
      </c>
      <c r="GP1523" s="101">
        <f t="shared" si="710"/>
        <v>1</v>
      </c>
      <c r="GQ1523" s="101">
        <f t="shared" si="711"/>
        <v>56</v>
      </c>
    </row>
    <row r="1524" spans="175:199" ht="16.5" x14ac:dyDescent="0.2">
      <c r="FS1524" s="101">
        <v>1519</v>
      </c>
      <c r="FT1524" s="101">
        <f t="shared" si="696"/>
        <v>71</v>
      </c>
      <c r="FU1524" s="101">
        <f t="shared" si="689"/>
        <v>19</v>
      </c>
      <c r="FV1524" s="14">
        <f t="shared" si="690"/>
        <v>5</v>
      </c>
      <c r="FW1524" s="101" t="str">
        <f t="shared" si="697"/>
        <v>吕布专属武器-魂珠-8 8级</v>
      </c>
      <c r="FX1524" s="101">
        <f t="shared" si="698"/>
        <v>8</v>
      </c>
      <c r="FY1524" s="101">
        <f t="shared" si="699"/>
        <v>8</v>
      </c>
      <c r="FZ1524" s="101" t="str">
        <f t="shared" si="691"/>
        <v>金币</v>
      </c>
      <c r="GA1524" s="139">
        <f>IF($FY1524&gt;0,IF(INDEX($EM$6:$EM$77,$FT1524)&gt;=GA$3,ROUND(INDEX(EO$6:EO$77,$FT1524)*INDEX(卡牌消耗!$B$8:$F$8,FV1524)/5,0)*5,""),"")</f>
        <v>41995</v>
      </c>
      <c r="GB1524" s="101" t="str">
        <f t="shared" si="692"/>
        <v>专属强化石4</v>
      </c>
      <c r="GC1524" s="101">
        <f t="shared" si="693"/>
        <v>30</v>
      </c>
      <c r="GD1524" s="101" t="str">
        <f t="shared" si="694"/>
        <v/>
      </c>
      <c r="GE1524" s="101" t="str">
        <f t="shared" si="695"/>
        <v/>
      </c>
      <c r="GF1524" s="101">
        <f t="shared" si="700"/>
        <v>0.02</v>
      </c>
      <c r="GG1524" s="101">
        <f t="shared" si="701"/>
        <v>1</v>
      </c>
      <c r="GH1524" s="101">
        <f t="shared" si="702"/>
        <v>75</v>
      </c>
      <c r="GI1524" s="101">
        <f t="shared" si="703"/>
        <v>0</v>
      </c>
      <c r="GJ1524" s="101">
        <f t="shared" si="704"/>
        <v>1</v>
      </c>
      <c r="GK1524" s="101">
        <f t="shared" si="705"/>
        <v>18</v>
      </c>
      <c r="GL1524" s="101">
        <f t="shared" si="706"/>
        <v>0.01</v>
      </c>
      <c r="GM1524" s="101">
        <f t="shared" si="707"/>
        <v>1</v>
      </c>
      <c r="GN1524" s="101">
        <f t="shared" si="708"/>
        <v>35</v>
      </c>
      <c r="GO1524" s="101">
        <f t="shared" si="709"/>
        <v>3.9899999999999998E-2</v>
      </c>
      <c r="GP1524" s="101">
        <f t="shared" si="710"/>
        <v>1</v>
      </c>
      <c r="GQ1524" s="101">
        <f t="shared" si="711"/>
        <v>75</v>
      </c>
    </row>
    <row r="1525" spans="175:199" ht="16.5" x14ac:dyDescent="0.2">
      <c r="FS1525" s="101">
        <v>1520</v>
      </c>
      <c r="FT1525" s="101">
        <f t="shared" si="696"/>
        <v>72</v>
      </c>
      <c r="FU1525" s="101">
        <f t="shared" si="689"/>
        <v>19</v>
      </c>
      <c r="FV1525" s="14">
        <f t="shared" si="690"/>
        <v>5</v>
      </c>
      <c r="FW1525" s="101" t="str">
        <f t="shared" si="697"/>
        <v>吕布专属武器-魂珠-8 9级</v>
      </c>
      <c r="FX1525" s="101">
        <f t="shared" si="698"/>
        <v>8</v>
      </c>
      <c r="FY1525" s="101">
        <f t="shared" si="699"/>
        <v>9</v>
      </c>
      <c r="FZ1525" s="101" t="str">
        <f t="shared" si="691"/>
        <v>金币</v>
      </c>
      <c r="GA1525" s="139">
        <f>IF($FY1525&gt;0,IF(INDEX($EM$6:$EM$77,$FT1525)&gt;=GA$3,ROUND(INDEX(EO$6:EO$77,$FT1525)*INDEX(卡牌消耗!$B$8:$F$8,FV1525)/5,0)*5,""),"")</f>
        <v>42010</v>
      </c>
      <c r="GB1525" s="101" t="str">
        <f t="shared" si="692"/>
        <v>专属强化石4</v>
      </c>
      <c r="GC1525" s="101">
        <f t="shared" si="693"/>
        <v>30</v>
      </c>
      <c r="GD1525" s="101" t="str">
        <f t="shared" si="694"/>
        <v/>
      </c>
      <c r="GE1525" s="101" t="str">
        <f t="shared" si="695"/>
        <v/>
      </c>
      <c r="GF1525" s="101">
        <f t="shared" si="700"/>
        <v>0.01</v>
      </c>
      <c r="GG1525" s="101">
        <f t="shared" si="701"/>
        <v>1</v>
      </c>
      <c r="GH1525" s="101">
        <f t="shared" si="702"/>
        <v>122</v>
      </c>
      <c r="GI1525" s="101">
        <f t="shared" si="703"/>
        <v>0</v>
      </c>
      <c r="GJ1525" s="101">
        <f t="shared" si="704"/>
        <v>1</v>
      </c>
      <c r="GK1525" s="101">
        <f t="shared" si="705"/>
        <v>28</v>
      </c>
      <c r="GL1525" s="101">
        <f t="shared" si="706"/>
        <v>6.1999999999999998E-3</v>
      </c>
      <c r="GM1525" s="101">
        <f t="shared" si="707"/>
        <v>1</v>
      </c>
      <c r="GN1525" s="101">
        <f t="shared" si="708"/>
        <v>57</v>
      </c>
      <c r="GO1525" s="101">
        <f t="shared" si="709"/>
        <v>2.47E-2</v>
      </c>
      <c r="GP1525" s="101">
        <f t="shared" si="710"/>
        <v>1</v>
      </c>
      <c r="GQ1525" s="101">
        <f t="shared" si="711"/>
        <v>122</v>
      </c>
    </row>
    <row r="1526" spans="175:199" ht="16.5" x14ac:dyDescent="0.2">
      <c r="FS1526" s="101">
        <v>1521</v>
      </c>
      <c r="FT1526" s="101">
        <f t="shared" si="696"/>
        <v>0</v>
      </c>
      <c r="FU1526" s="101">
        <f t="shared" si="689"/>
        <v>20</v>
      </c>
      <c r="FV1526" s="14">
        <f t="shared" si="690"/>
        <v>3</v>
      </c>
      <c r="FW1526" s="101" t="str">
        <f t="shared" si="697"/>
        <v>燕青专属武器-魂珠-1 0级</v>
      </c>
      <c r="FX1526" s="101">
        <f t="shared" si="698"/>
        <v>1</v>
      </c>
      <c r="FY1526" s="101">
        <f t="shared" si="699"/>
        <v>0</v>
      </c>
      <c r="FZ1526" s="101" t="str">
        <f t="shared" si="691"/>
        <v/>
      </c>
      <c r="GA1526" s="139" t="str">
        <f>IF($FY1526&gt;0,IF(INDEX($EM$6:$EM$77,$FT1526)&gt;=GA$3,ROUND(INDEX(EO$6:EO$77,$FT1526)*INDEX(卡牌消耗!$B$8:$F$8,FV1526)/5,0)*5,""),"")</f>
        <v/>
      </c>
      <c r="GB1526" s="101" t="str">
        <f t="shared" si="692"/>
        <v/>
      </c>
      <c r="GC1526" s="101" t="str">
        <f t="shared" si="693"/>
        <v/>
      </c>
      <c r="GD1526" s="101" t="str">
        <f t="shared" si="694"/>
        <v/>
      </c>
      <c r="GE1526" s="101" t="str">
        <f t="shared" si="695"/>
        <v/>
      </c>
      <c r="GF1526" s="101" t="str">
        <f t="shared" si="700"/>
        <v/>
      </c>
      <c r="GG1526" s="101" t="str">
        <f t="shared" si="701"/>
        <v/>
      </c>
      <c r="GH1526" s="101" t="str">
        <f t="shared" si="702"/>
        <v/>
      </c>
      <c r="GI1526" s="101" t="str">
        <f t="shared" si="703"/>
        <v/>
      </c>
      <c r="GJ1526" s="101" t="str">
        <f t="shared" si="704"/>
        <v/>
      </c>
      <c r="GK1526" s="101" t="str">
        <f t="shared" si="705"/>
        <v/>
      </c>
      <c r="GL1526" s="101" t="str">
        <f t="shared" si="706"/>
        <v/>
      </c>
      <c r="GM1526" s="101" t="str">
        <f t="shared" si="707"/>
        <v/>
      </c>
      <c r="GN1526" s="101" t="str">
        <f t="shared" si="708"/>
        <v/>
      </c>
      <c r="GO1526" s="101" t="str">
        <f t="shared" si="709"/>
        <v/>
      </c>
      <c r="GP1526" s="101" t="str">
        <f t="shared" si="710"/>
        <v/>
      </c>
      <c r="GQ1526" s="101" t="str">
        <f t="shared" si="711"/>
        <v/>
      </c>
    </row>
    <row r="1527" spans="175:199" ht="16.5" x14ac:dyDescent="0.2">
      <c r="FS1527" s="101">
        <v>1522</v>
      </c>
      <c r="FT1527" s="101">
        <f t="shared" si="696"/>
        <v>1</v>
      </c>
      <c r="FU1527" s="101">
        <f t="shared" si="689"/>
        <v>20</v>
      </c>
      <c r="FV1527" s="14">
        <f t="shared" si="690"/>
        <v>3</v>
      </c>
      <c r="FW1527" s="101" t="str">
        <f t="shared" si="697"/>
        <v>燕青专属武器-魂珠-1 1级</v>
      </c>
      <c r="FX1527" s="101">
        <f t="shared" si="698"/>
        <v>1</v>
      </c>
      <c r="FY1527" s="101">
        <f t="shared" si="699"/>
        <v>1</v>
      </c>
      <c r="FZ1527" s="101" t="str">
        <f t="shared" si="691"/>
        <v>金币</v>
      </c>
      <c r="GA1527" s="139">
        <f>IF($FY1527&gt;0,IF(INDEX($EM$6:$EM$77,$FT1527)&gt;=GA$3,ROUND(INDEX(EO$6:EO$77,$FT1527)*INDEX(卡牌消耗!$B$8:$F$8,FV1527)/5,0)*5,""),"")</f>
        <v>95</v>
      </c>
      <c r="GB1527" s="101" t="str">
        <f t="shared" si="692"/>
        <v>专属强化石1</v>
      </c>
      <c r="GC1527" s="101">
        <f t="shared" si="693"/>
        <v>1</v>
      </c>
      <c r="GD1527" s="101" t="str">
        <f t="shared" si="694"/>
        <v/>
      </c>
      <c r="GE1527" s="101" t="str">
        <f t="shared" si="695"/>
        <v/>
      </c>
      <c r="GF1527" s="101">
        <f t="shared" si="700"/>
        <v>0.32</v>
      </c>
      <c r="GG1527" s="101">
        <f t="shared" si="701"/>
        <v>1</v>
      </c>
      <c r="GH1527" s="101">
        <f t="shared" si="702"/>
        <v>5</v>
      </c>
      <c r="GI1527" s="101">
        <f t="shared" si="703"/>
        <v>0</v>
      </c>
      <c r="GJ1527" s="101">
        <f t="shared" si="704"/>
        <v>1</v>
      </c>
      <c r="GK1527" s="101">
        <f t="shared" si="705"/>
        <v>1</v>
      </c>
      <c r="GL1527" s="101">
        <f t="shared" si="706"/>
        <v>0.1595</v>
      </c>
      <c r="GM1527" s="101">
        <f t="shared" si="707"/>
        <v>1</v>
      </c>
      <c r="GN1527" s="101">
        <f t="shared" si="708"/>
        <v>2</v>
      </c>
      <c r="GO1527" s="101">
        <f t="shared" si="709"/>
        <v>0.63819999999999999</v>
      </c>
      <c r="GP1527" s="101">
        <f t="shared" si="710"/>
        <v>1</v>
      </c>
      <c r="GQ1527" s="101">
        <f t="shared" si="711"/>
        <v>5</v>
      </c>
    </row>
    <row r="1528" spans="175:199" ht="16.5" x14ac:dyDescent="0.2">
      <c r="FS1528" s="101">
        <v>1523</v>
      </c>
      <c r="FT1528" s="101">
        <f t="shared" si="696"/>
        <v>2</v>
      </c>
      <c r="FU1528" s="101">
        <f t="shared" si="689"/>
        <v>20</v>
      </c>
      <c r="FV1528" s="14">
        <f t="shared" si="690"/>
        <v>3</v>
      </c>
      <c r="FW1528" s="101" t="str">
        <f t="shared" si="697"/>
        <v>燕青专属武器-魂珠-1 2级</v>
      </c>
      <c r="FX1528" s="101">
        <f t="shared" si="698"/>
        <v>1</v>
      </c>
      <c r="FY1528" s="101">
        <f t="shared" si="699"/>
        <v>2</v>
      </c>
      <c r="FZ1528" s="101" t="str">
        <f t="shared" si="691"/>
        <v>金币</v>
      </c>
      <c r="GA1528" s="139">
        <f>IF($FY1528&gt;0,IF(INDEX($EM$6:$EM$77,$FT1528)&gt;=GA$3,ROUND(INDEX(EO$6:EO$77,$FT1528)*INDEX(卡牌消耗!$B$8:$F$8,FV1528)/5,0)*5,""),"")</f>
        <v>140</v>
      </c>
      <c r="GB1528" s="101" t="str">
        <f t="shared" si="692"/>
        <v>专属强化石1</v>
      </c>
      <c r="GC1528" s="101">
        <f t="shared" si="693"/>
        <v>2</v>
      </c>
      <c r="GD1528" s="101" t="str">
        <f t="shared" si="694"/>
        <v/>
      </c>
      <c r="GE1528" s="101" t="str">
        <f t="shared" si="695"/>
        <v/>
      </c>
      <c r="GF1528" s="101">
        <f t="shared" si="700"/>
        <v>0.32</v>
      </c>
      <c r="GG1528" s="101">
        <f t="shared" si="701"/>
        <v>1</v>
      </c>
      <c r="GH1528" s="101">
        <f t="shared" si="702"/>
        <v>5</v>
      </c>
      <c r="GI1528" s="101">
        <f t="shared" si="703"/>
        <v>0</v>
      </c>
      <c r="GJ1528" s="101">
        <f t="shared" si="704"/>
        <v>1</v>
      </c>
      <c r="GK1528" s="101">
        <f t="shared" si="705"/>
        <v>1</v>
      </c>
      <c r="GL1528" s="101">
        <f t="shared" si="706"/>
        <v>0.1595</v>
      </c>
      <c r="GM1528" s="101">
        <f t="shared" si="707"/>
        <v>1</v>
      </c>
      <c r="GN1528" s="101">
        <f t="shared" si="708"/>
        <v>2</v>
      </c>
      <c r="GO1528" s="101">
        <f t="shared" si="709"/>
        <v>0.63819999999999999</v>
      </c>
      <c r="GP1528" s="101">
        <f t="shared" si="710"/>
        <v>1</v>
      </c>
      <c r="GQ1528" s="101">
        <f t="shared" si="711"/>
        <v>5</v>
      </c>
    </row>
    <row r="1529" spans="175:199" ht="16.5" x14ac:dyDescent="0.2">
      <c r="FS1529" s="101">
        <v>1524</v>
      </c>
      <c r="FT1529" s="101">
        <f t="shared" si="696"/>
        <v>3</v>
      </c>
      <c r="FU1529" s="101">
        <f t="shared" si="689"/>
        <v>20</v>
      </c>
      <c r="FV1529" s="14">
        <f t="shared" si="690"/>
        <v>3</v>
      </c>
      <c r="FW1529" s="101" t="str">
        <f t="shared" si="697"/>
        <v>燕青专属武器-魂珠-1 3级</v>
      </c>
      <c r="FX1529" s="101">
        <f t="shared" si="698"/>
        <v>1</v>
      </c>
      <c r="FY1529" s="101">
        <f t="shared" si="699"/>
        <v>3</v>
      </c>
      <c r="FZ1529" s="101" t="str">
        <f t="shared" si="691"/>
        <v>金币</v>
      </c>
      <c r="GA1529" s="139">
        <f>IF($FY1529&gt;0,IF(INDEX($EM$6:$EM$77,$FT1529)&gt;=GA$3,ROUND(INDEX(EO$6:EO$77,$FT1529)*INDEX(卡牌消耗!$B$8:$F$8,FV1529)/5,0)*5,""),"")</f>
        <v>235</v>
      </c>
      <c r="GB1529" s="101" t="str">
        <f t="shared" si="692"/>
        <v>专属强化石1</v>
      </c>
      <c r="GC1529" s="101">
        <f t="shared" si="693"/>
        <v>3</v>
      </c>
      <c r="GD1529" s="101" t="str">
        <f t="shared" si="694"/>
        <v/>
      </c>
      <c r="GE1529" s="101" t="str">
        <f t="shared" si="695"/>
        <v/>
      </c>
      <c r="GF1529" s="101">
        <f t="shared" si="700"/>
        <v>0.32</v>
      </c>
      <c r="GG1529" s="101">
        <f t="shared" si="701"/>
        <v>1</v>
      </c>
      <c r="GH1529" s="101">
        <f t="shared" si="702"/>
        <v>5</v>
      </c>
      <c r="GI1529" s="101">
        <f t="shared" si="703"/>
        <v>0</v>
      </c>
      <c r="GJ1529" s="101">
        <f t="shared" si="704"/>
        <v>1</v>
      </c>
      <c r="GK1529" s="101">
        <f t="shared" si="705"/>
        <v>1</v>
      </c>
      <c r="GL1529" s="101">
        <f t="shared" si="706"/>
        <v>0.1595</v>
      </c>
      <c r="GM1529" s="101">
        <f t="shared" si="707"/>
        <v>1</v>
      </c>
      <c r="GN1529" s="101">
        <f t="shared" si="708"/>
        <v>2</v>
      </c>
      <c r="GO1529" s="101">
        <f t="shared" si="709"/>
        <v>0.63819999999999999</v>
      </c>
      <c r="GP1529" s="101">
        <f t="shared" si="710"/>
        <v>1</v>
      </c>
      <c r="GQ1529" s="101">
        <f t="shared" si="711"/>
        <v>5</v>
      </c>
    </row>
    <row r="1530" spans="175:199" ht="16.5" x14ac:dyDescent="0.2">
      <c r="FS1530" s="101">
        <v>1525</v>
      </c>
      <c r="FT1530" s="101">
        <f t="shared" si="696"/>
        <v>4</v>
      </c>
      <c r="FU1530" s="101">
        <f t="shared" si="689"/>
        <v>20</v>
      </c>
      <c r="FV1530" s="14">
        <f t="shared" si="690"/>
        <v>3</v>
      </c>
      <c r="FW1530" s="101" t="str">
        <f t="shared" si="697"/>
        <v>燕青专属武器-魂珠-1 4级</v>
      </c>
      <c r="FX1530" s="101">
        <f t="shared" si="698"/>
        <v>1</v>
      </c>
      <c r="FY1530" s="101">
        <f t="shared" si="699"/>
        <v>4</v>
      </c>
      <c r="FZ1530" s="101" t="str">
        <f t="shared" si="691"/>
        <v>金币</v>
      </c>
      <c r="GA1530" s="139">
        <f>IF($FY1530&gt;0,IF(INDEX($EM$6:$EM$77,$FT1530)&gt;=GA$3,ROUND(INDEX(EO$6:EO$77,$FT1530)*INDEX(卡牌消耗!$B$8:$F$8,FV1530)/5,0)*5,""),"")</f>
        <v>305</v>
      </c>
      <c r="GB1530" s="101" t="str">
        <f t="shared" si="692"/>
        <v>专属强化石1</v>
      </c>
      <c r="GC1530" s="101">
        <f t="shared" si="693"/>
        <v>4</v>
      </c>
      <c r="GD1530" s="101" t="str">
        <f t="shared" si="694"/>
        <v/>
      </c>
      <c r="GE1530" s="101" t="str">
        <f t="shared" si="695"/>
        <v/>
      </c>
      <c r="GF1530" s="101">
        <f t="shared" si="700"/>
        <v>0.26</v>
      </c>
      <c r="GG1530" s="101">
        <f t="shared" si="701"/>
        <v>1</v>
      </c>
      <c r="GH1530" s="101">
        <f t="shared" si="702"/>
        <v>6</v>
      </c>
      <c r="GI1530" s="101">
        <f t="shared" si="703"/>
        <v>0</v>
      </c>
      <c r="GJ1530" s="101">
        <f t="shared" si="704"/>
        <v>1</v>
      </c>
      <c r="GK1530" s="101">
        <f t="shared" si="705"/>
        <v>1</v>
      </c>
      <c r="GL1530" s="101">
        <f t="shared" si="706"/>
        <v>0.12759999999999999</v>
      </c>
      <c r="GM1530" s="101">
        <f t="shared" si="707"/>
        <v>1</v>
      </c>
      <c r="GN1530" s="101">
        <f t="shared" si="708"/>
        <v>3</v>
      </c>
      <c r="GO1530" s="101">
        <f t="shared" si="709"/>
        <v>0.51060000000000005</v>
      </c>
      <c r="GP1530" s="101">
        <f t="shared" si="710"/>
        <v>1</v>
      </c>
      <c r="GQ1530" s="101">
        <f t="shared" si="711"/>
        <v>6</v>
      </c>
    </row>
    <row r="1531" spans="175:199" ht="16.5" x14ac:dyDescent="0.2">
      <c r="FS1531" s="101">
        <v>1526</v>
      </c>
      <c r="FT1531" s="101">
        <f t="shared" si="696"/>
        <v>5</v>
      </c>
      <c r="FU1531" s="101">
        <f t="shared" si="689"/>
        <v>20</v>
      </c>
      <c r="FV1531" s="14">
        <f t="shared" si="690"/>
        <v>3</v>
      </c>
      <c r="FW1531" s="101" t="str">
        <f t="shared" si="697"/>
        <v>燕青专属武器-魂珠-1 5级</v>
      </c>
      <c r="FX1531" s="101">
        <f t="shared" si="698"/>
        <v>1</v>
      </c>
      <c r="FY1531" s="101">
        <f t="shared" si="699"/>
        <v>5</v>
      </c>
      <c r="FZ1531" s="101" t="str">
        <f t="shared" si="691"/>
        <v>金币</v>
      </c>
      <c r="GA1531" s="139">
        <f>IF($FY1531&gt;0,IF(INDEX($EM$6:$EM$77,$FT1531)&gt;=GA$3,ROUND(INDEX(EO$6:EO$77,$FT1531)*INDEX(卡牌消耗!$B$8:$F$8,FV1531)/5,0)*5,""),"")</f>
        <v>385</v>
      </c>
      <c r="GB1531" s="101" t="str">
        <f t="shared" si="692"/>
        <v>专属强化石1</v>
      </c>
      <c r="GC1531" s="101">
        <f t="shared" si="693"/>
        <v>5</v>
      </c>
      <c r="GD1531" s="101" t="str">
        <f t="shared" si="694"/>
        <v/>
      </c>
      <c r="GE1531" s="101" t="str">
        <f t="shared" si="695"/>
        <v/>
      </c>
      <c r="GF1531" s="101">
        <f t="shared" si="700"/>
        <v>0.2</v>
      </c>
      <c r="GG1531" s="101">
        <f t="shared" si="701"/>
        <v>1</v>
      </c>
      <c r="GH1531" s="101">
        <f t="shared" si="702"/>
        <v>8</v>
      </c>
      <c r="GI1531" s="101">
        <f t="shared" si="703"/>
        <v>0</v>
      </c>
      <c r="GJ1531" s="101">
        <f t="shared" si="704"/>
        <v>1</v>
      </c>
      <c r="GK1531" s="101">
        <f t="shared" si="705"/>
        <v>2</v>
      </c>
      <c r="GL1531" s="101">
        <f t="shared" si="706"/>
        <v>9.9699999999999997E-2</v>
      </c>
      <c r="GM1531" s="101">
        <f t="shared" si="707"/>
        <v>1</v>
      </c>
      <c r="GN1531" s="101">
        <f t="shared" si="708"/>
        <v>4</v>
      </c>
      <c r="GO1531" s="101">
        <f t="shared" si="709"/>
        <v>0.39889999999999998</v>
      </c>
      <c r="GP1531" s="101">
        <f t="shared" si="710"/>
        <v>1</v>
      </c>
      <c r="GQ1531" s="101">
        <f t="shared" si="711"/>
        <v>8</v>
      </c>
    </row>
    <row r="1532" spans="175:199" ht="16.5" x14ac:dyDescent="0.2">
      <c r="FS1532" s="101">
        <v>1527</v>
      </c>
      <c r="FT1532" s="101">
        <f t="shared" si="696"/>
        <v>6</v>
      </c>
      <c r="FU1532" s="101">
        <f t="shared" si="689"/>
        <v>20</v>
      </c>
      <c r="FV1532" s="14">
        <f t="shared" si="690"/>
        <v>3</v>
      </c>
      <c r="FW1532" s="101" t="str">
        <f t="shared" si="697"/>
        <v>燕青专属武器-魂珠-1 6级</v>
      </c>
      <c r="FX1532" s="101">
        <f t="shared" si="698"/>
        <v>1</v>
      </c>
      <c r="FY1532" s="101">
        <f t="shared" si="699"/>
        <v>6</v>
      </c>
      <c r="FZ1532" s="101" t="str">
        <f t="shared" si="691"/>
        <v>金币</v>
      </c>
      <c r="GA1532" s="139">
        <f>IF($FY1532&gt;0,IF(INDEX($EM$6:$EM$77,$FT1532)&gt;=GA$3,ROUND(INDEX(EO$6:EO$77,$FT1532)*INDEX(卡牌消耗!$B$8:$F$8,FV1532)/5,0)*5,""),"")</f>
        <v>460</v>
      </c>
      <c r="GB1532" s="101" t="str">
        <f t="shared" si="692"/>
        <v>专属强化石1</v>
      </c>
      <c r="GC1532" s="101">
        <f t="shared" si="693"/>
        <v>6</v>
      </c>
      <c r="GD1532" s="101" t="str">
        <f t="shared" si="694"/>
        <v/>
      </c>
      <c r="GE1532" s="101" t="str">
        <f t="shared" si="695"/>
        <v/>
      </c>
      <c r="GF1532" s="101">
        <f t="shared" si="700"/>
        <v>0.15</v>
      </c>
      <c r="GG1532" s="101">
        <f t="shared" si="701"/>
        <v>1</v>
      </c>
      <c r="GH1532" s="101">
        <f t="shared" si="702"/>
        <v>10</v>
      </c>
      <c r="GI1532" s="101">
        <f t="shared" si="703"/>
        <v>0</v>
      </c>
      <c r="GJ1532" s="101">
        <f t="shared" si="704"/>
        <v>1</v>
      </c>
      <c r="GK1532" s="101">
        <f t="shared" si="705"/>
        <v>2</v>
      </c>
      <c r="GL1532" s="101">
        <f t="shared" si="706"/>
        <v>7.3599999999999999E-2</v>
      </c>
      <c r="GM1532" s="101">
        <f t="shared" si="707"/>
        <v>1</v>
      </c>
      <c r="GN1532" s="101">
        <f t="shared" si="708"/>
        <v>5</v>
      </c>
      <c r="GO1532" s="101">
        <f t="shared" si="709"/>
        <v>0.29459999999999997</v>
      </c>
      <c r="GP1532" s="101">
        <f t="shared" si="710"/>
        <v>1</v>
      </c>
      <c r="GQ1532" s="101">
        <f t="shared" si="711"/>
        <v>10</v>
      </c>
    </row>
    <row r="1533" spans="175:199" ht="16.5" x14ac:dyDescent="0.2">
      <c r="FS1533" s="101">
        <v>1528</v>
      </c>
      <c r="FT1533" s="101">
        <f t="shared" si="696"/>
        <v>7</v>
      </c>
      <c r="FU1533" s="101">
        <f t="shared" si="689"/>
        <v>20</v>
      </c>
      <c r="FV1533" s="14">
        <f t="shared" si="690"/>
        <v>3</v>
      </c>
      <c r="FW1533" s="101" t="str">
        <f t="shared" si="697"/>
        <v>燕青专属武器-魂珠-1 7级</v>
      </c>
      <c r="FX1533" s="101">
        <f t="shared" si="698"/>
        <v>1</v>
      </c>
      <c r="FY1533" s="101">
        <f t="shared" si="699"/>
        <v>7</v>
      </c>
      <c r="FZ1533" s="101" t="str">
        <f t="shared" si="691"/>
        <v>金币</v>
      </c>
      <c r="GA1533" s="139">
        <f>IF($FY1533&gt;0,IF(INDEX($EM$6:$EM$77,$FT1533)&gt;=GA$3,ROUND(INDEX(EO$6:EO$77,$FT1533)*INDEX(卡牌消耗!$B$8:$F$8,FV1533)/5,0)*5,""),"")</f>
        <v>535</v>
      </c>
      <c r="GB1533" s="101" t="str">
        <f t="shared" si="692"/>
        <v>专属强化石1</v>
      </c>
      <c r="GC1533" s="101">
        <f t="shared" si="693"/>
        <v>7</v>
      </c>
      <c r="GD1533" s="101" t="str">
        <f t="shared" si="694"/>
        <v/>
      </c>
      <c r="GE1533" s="101" t="str">
        <f t="shared" si="695"/>
        <v/>
      </c>
      <c r="GF1533" s="101">
        <f t="shared" si="700"/>
        <v>0.11</v>
      </c>
      <c r="GG1533" s="101">
        <f t="shared" si="701"/>
        <v>1</v>
      </c>
      <c r="GH1533" s="101">
        <f t="shared" si="702"/>
        <v>14</v>
      </c>
      <c r="GI1533" s="101">
        <f t="shared" si="703"/>
        <v>0</v>
      </c>
      <c r="GJ1533" s="101">
        <f t="shared" si="704"/>
        <v>1</v>
      </c>
      <c r="GK1533" s="101">
        <f t="shared" si="705"/>
        <v>3</v>
      </c>
      <c r="GL1533" s="101">
        <f t="shared" si="706"/>
        <v>5.3199999999999997E-2</v>
      </c>
      <c r="GM1533" s="101">
        <f t="shared" si="707"/>
        <v>1</v>
      </c>
      <c r="GN1533" s="101">
        <f t="shared" si="708"/>
        <v>7</v>
      </c>
      <c r="GO1533" s="101">
        <f t="shared" si="709"/>
        <v>0.2127</v>
      </c>
      <c r="GP1533" s="101">
        <f t="shared" si="710"/>
        <v>1</v>
      </c>
      <c r="GQ1533" s="101">
        <f t="shared" si="711"/>
        <v>14</v>
      </c>
    </row>
    <row r="1534" spans="175:199" ht="16.5" x14ac:dyDescent="0.2">
      <c r="FS1534" s="101">
        <v>1529</v>
      </c>
      <c r="FT1534" s="101">
        <f t="shared" si="696"/>
        <v>8</v>
      </c>
      <c r="FU1534" s="101">
        <f t="shared" si="689"/>
        <v>20</v>
      </c>
      <c r="FV1534" s="14">
        <f t="shared" si="690"/>
        <v>3</v>
      </c>
      <c r="FW1534" s="101" t="str">
        <f t="shared" si="697"/>
        <v>燕青专属武器-魂珠-1 8级</v>
      </c>
      <c r="FX1534" s="101">
        <f t="shared" si="698"/>
        <v>1</v>
      </c>
      <c r="FY1534" s="101">
        <f t="shared" si="699"/>
        <v>8</v>
      </c>
      <c r="FZ1534" s="101" t="str">
        <f t="shared" si="691"/>
        <v>金币</v>
      </c>
      <c r="GA1534" s="139">
        <f>IF($FY1534&gt;0,IF(INDEX($EM$6:$EM$77,$FT1534)&gt;=GA$3,ROUND(INDEX(EO$6:EO$77,$FT1534)*INDEX(卡牌消耗!$B$8:$F$8,FV1534)/5,0)*5,""),"")</f>
        <v>615</v>
      </c>
      <c r="GB1534" s="101" t="str">
        <f t="shared" si="692"/>
        <v>专属强化石1</v>
      </c>
      <c r="GC1534" s="101">
        <f t="shared" si="693"/>
        <v>8</v>
      </c>
      <c r="GD1534" s="101" t="str">
        <f t="shared" si="694"/>
        <v/>
      </c>
      <c r="GE1534" s="101" t="str">
        <f t="shared" si="695"/>
        <v/>
      </c>
      <c r="GF1534" s="101">
        <f t="shared" si="700"/>
        <v>0.08</v>
      </c>
      <c r="GG1534" s="101">
        <f t="shared" si="701"/>
        <v>1</v>
      </c>
      <c r="GH1534" s="101">
        <f t="shared" si="702"/>
        <v>20</v>
      </c>
      <c r="GI1534" s="101">
        <f t="shared" si="703"/>
        <v>0</v>
      </c>
      <c r="GJ1534" s="101">
        <f t="shared" si="704"/>
        <v>1</v>
      </c>
      <c r="GK1534" s="101">
        <f t="shared" si="705"/>
        <v>5</v>
      </c>
      <c r="GL1534" s="101">
        <f t="shared" si="706"/>
        <v>3.7499999999999999E-2</v>
      </c>
      <c r="GM1534" s="101">
        <f t="shared" si="707"/>
        <v>1</v>
      </c>
      <c r="GN1534" s="101">
        <f t="shared" si="708"/>
        <v>9</v>
      </c>
      <c r="GO1534" s="101">
        <f t="shared" si="709"/>
        <v>0.1502</v>
      </c>
      <c r="GP1534" s="101">
        <f t="shared" si="710"/>
        <v>1</v>
      </c>
      <c r="GQ1534" s="101">
        <f t="shared" si="711"/>
        <v>20</v>
      </c>
    </row>
    <row r="1535" spans="175:199" ht="16.5" x14ac:dyDescent="0.2">
      <c r="FS1535" s="101">
        <v>1530</v>
      </c>
      <c r="FT1535" s="101">
        <f t="shared" si="696"/>
        <v>9</v>
      </c>
      <c r="FU1535" s="101">
        <f t="shared" si="689"/>
        <v>20</v>
      </c>
      <c r="FV1535" s="14">
        <f t="shared" si="690"/>
        <v>3</v>
      </c>
      <c r="FW1535" s="101" t="str">
        <f t="shared" si="697"/>
        <v>燕青专属武器-魂珠-1 9级</v>
      </c>
      <c r="FX1535" s="101">
        <f t="shared" si="698"/>
        <v>1</v>
      </c>
      <c r="FY1535" s="101">
        <f t="shared" si="699"/>
        <v>9</v>
      </c>
      <c r="FZ1535" s="101" t="str">
        <f t="shared" si="691"/>
        <v>金币</v>
      </c>
      <c r="GA1535" s="139">
        <f>IF($FY1535&gt;0,IF(INDEX($EM$6:$EM$77,$FT1535)&gt;=GA$3,ROUND(INDEX(EO$6:EO$77,$FT1535)*INDEX(卡牌消耗!$B$8:$F$8,FV1535)/5,0)*5,""),"")</f>
        <v>765</v>
      </c>
      <c r="GB1535" s="101" t="str">
        <f t="shared" si="692"/>
        <v>专属强化石1</v>
      </c>
      <c r="GC1535" s="101">
        <f t="shared" si="693"/>
        <v>10</v>
      </c>
      <c r="GD1535" s="101" t="str">
        <f t="shared" si="694"/>
        <v/>
      </c>
      <c r="GE1535" s="101" t="str">
        <f t="shared" si="695"/>
        <v/>
      </c>
      <c r="GF1535" s="101">
        <f t="shared" si="700"/>
        <v>0.06</v>
      </c>
      <c r="GG1535" s="101">
        <f t="shared" si="701"/>
        <v>1</v>
      </c>
      <c r="GH1535" s="101">
        <f t="shared" si="702"/>
        <v>26</v>
      </c>
      <c r="GI1535" s="101">
        <f t="shared" si="703"/>
        <v>0</v>
      </c>
      <c r="GJ1535" s="101">
        <f t="shared" si="704"/>
        <v>1</v>
      </c>
      <c r="GK1535" s="101">
        <f t="shared" si="705"/>
        <v>6</v>
      </c>
      <c r="GL1535" s="101">
        <f t="shared" si="706"/>
        <v>2.9000000000000001E-2</v>
      </c>
      <c r="GM1535" s="101">
        <f t="shared" si="707"/>
        <v>1</v>
      </c>
      <c r="GN1535" s="101">
        <f t="shared" si="708"/>
        <v>12</v>
      </c>
      <c r="GO1535" s="101">
        <f t="shared" si="709"/>
        <v>0.11600000000000001</v>
      </c>
      <c r="GP1535" s="101">
        <f t="shared" si="710"/>
        <v>1</v>
      </c>
      <c r="GQ1535" s="101">
        <f t="shared" si="711"/>
        <v>26</v>
      </c>
    </row>
    <row r="1536" spans="175:199" ht="16.5" x14ac:dyDescent="0.2">
      <c r="FS1536" s="101">
        <v>1531</v>
      </c>
      <c r="FT1536" s="101">
        <f t="shared" si="696"/>
        <v>0</v>
      </c>
      <c r="FU1536" s="101">
        <f t="shared" si="689"/>
        <v>20</v>
      </c>
      <c r="FV1536" s="14">
        <f t="shared" si="690"/>
        <v>3</v>
      </c>
      <c r="FW1536" s="101" t="str">
        <f t="shared" si="697"/>
        <v>燕青专属武器-魂珠-2 0级</v>
      </c>
      <c r="FX1536" s="101">
        <f t="shared" si="698"/>
        <v>2</v>
      </c>
      <c r="FY1536" s="101">
        <f t="shared" si="699"/>
        <v>0</v>
      </c>
      <c r="FZ1536" s="101" t="str">
        <f t="shared" si="691"/>
        <v/>
      </c>
      <c r="GA1536" s="139" t="str">
        <f>IF($FY1536&gt;0,IF(INDEX($EM$6:$EM$77,$FT1536)&gt;=GA$3,ROUND(INDEX(EO$6:EO$77,$FT1536)*INDEX(卡牌消耗!$B$8:$F$8,FV1536)/5,0)*5,""),"")</f>
        <v/>
      </c>
      <c r="GB1536" s="101" t="str">
        <f t="shared" si="692"/>
        <v/>
      </c>
      <c r="GC1536" s="101" t="str">
        <f t="shared" si="693"/>
        <v/>
      </c>
      <c r="GD1536" s="101" t="str">
        <f t="shared" si="694"/>
        <v/>
      </c>
      <c r="GE1536" s="101" t="str">
        <f t="shared" si="695"/>
        <v/>
      </c>
      <c r="GF1536" s="101" t="str">
        <f t="shared" si="700"/>
        <v/>
      </c>
      <c r="GG1536" s="101" t="str">
        <f t="shared" si="701"/>
        <v/>
      </c>
      <c r="GH1536" s="101" t="str">
        <f t="shared" si="702"/>
        <v/>
      </c>
      <c r="GI1536" s="101" t="str">
        <f t="shared" si="703"/>
        <v/>
      </c>
      <c r="GJ1536" s="101" t="str">
        <f t="shared" si="704"/>
        <v/>
      </c>
      <c r="GK1536" s="101" t="str">
        <f t="shared" si="705"/>
        <v/>
      </c>
      <c r="GL1536" s="101" t="str">
        <f t="shared" si="706"/>
        <v/>
      </c>
      <c r="GM1536" s="101" t="str">
        <f t="shared" si="707"/>
        <v/>
      </c>
      <c r="GN1536" s="101" t="str">
        <f t="shared" si="708"/>
        <v/>
      </c>
      <c r="GO1536" s="101" t="str">
        <f t="shared" si="709"/>
        <v/>
      </c>
      <c r="GP1536" s="101" t="str">
        <f t="shared" si="710"/>
        <v/>
      </c>
      <c r="GQ1536" s="101" t="str">
        <f t="shared" si="711"/>
        <v/>
      </c>
    </row>
    <row r="1537" spans="175:199" ht="16.5" x14ac:dyDescent="0.2">
      <c r="FS1537" s="101">
        <v>1532</v>
      </c>
      <c r="FT1537" s="101">
        <f t="shared" si="696"/>
        <v>10</v>
      </c>
      <c r="FU1537" s="101">
        <f t="shared" si="689"/>
        <v>20</v>
      </c>
      <c r="FV1537" s="14">
        <f t="shared" si="690"/>
        <v>3</v>
      </c>
      <c r="FW1537" s="101" t="str">
        <f t="shared" si="697"/>
        <v>燕青专属武器-魂珠-2 1级</v>
      </c>
      <c r="FX1537" s="101">
        <f t="shared" si="698"/>
        <v>2</v>
      </c>
      <c r="FY1537" s="101">
        <f t="shared" si="699"/>
        <v>1</v>
      </c>
      <c r="FZ1537" s="101" t="str">
        <f t="shared" si="691"/>
        <v>金币</v>
      </c>
      <c r="GA1537" s="139">
        <f>IF($FY1537&gt;0,IF(INDEX($EM$6:$EM$77,$FT1537)&gt;=GA$3,ROUND(INDEX(EO$6:EO$77,$FT1537)*INDEX(卡牌消耗!$B$8:$F$8,FV1537)/5,0)*5,""),"")</f>
        <v>260</v>
      </c>
      <c r="GB1537" s="101" t="str">
        <f t="shared" si="692"/>
        <v>专属强化石1</v>
      </c>
      <c r="GC1537" s="101">
        <f t="shared" si="693"/>
        <v>3</v>
      </c>
      <c r="GD1537" s="101" t="str">
        <f t="shared" si="694"/>
        <v>专属强化石2</v>
      </c>
      <c r="GE1537" s="101">
        <f t="shared" si="695"/>
        <v>1</v>
      </c>
      <c r="GF1537" s="101">
        <f t="shared" si="700"/>
        <v>0.39</v>
      </c>
      <c r="GG1537" s="101">
        <f t="shared" si="701"/>
        <v>1</v>
      </c>
      <c r="GH1537" s="101">
        <f t="shared" si="702"/>
        <v>4</v>
      </c>
      <c r="GI1537" s="101">
        <f t="shared" si="703"/>
        <v>0</v>
      </c>
      <c r="GJ1537" s="101">
        <f t="shared" si="704"/>
        <v>1</v>
      </c>
      <c r="GK1537" s="101">
        <f t="shared" si="705"/>
        <v>1</v>
      </c>
      <c r="GL1537" s="101">
        <f t="shared" si="706"/>
        <v>0.19270000000000001</v>
      </c>
      <c r="GM1537" s="101">
        <f t="shared" si="707"/>
        <v>1</v>
      </c>
      <c r="GN1537" s="101">
        <f t="shared" si="708"/>
        <v>2</v>
      </c>
      <c r="GO1537" s="101">
        <f t="shared" si="709"/>
        <v>0.77070000000000005</v>
      </c>
      <c r="GP1537" s="101">
        <f t="shared" si="710"/>
        <v>1</v>
      </c>
      <c r="GQ1537" s="101">
        <f t="shared" si="711"/>
        <v>4</v>
      </c>
    </row>
    <row r="1538" spans="175:199" ht="16.5" x14ac:dyDescent="0.2">
      <c r="FS1538" s="101">
        <v>1533</v>
      </c>
      <c r="FT1538" s="101">
        <f t="shared" si="696"/>
        <v>11</v>
      </c>
      <c r="FU1538" s="101">
        <f t="shared" si="689"/>
        <v>20</v>
      </c>
      <c r="FV1538" s="14">
        <f t="shared" si="690"/>
        <v>3</v>
      </c>
      <c r="FW1538" s="101" t="str">
        <f t="shared" si="697"/>
        <v>燕青专属武器-魂珠-2 2级</v>
      </c>
      <c r="FX1538" s="101">
        <f t="shared" si="698"/>
        <v>2</v>
      </c>
      <c r="FY1538" s="101">
        <f t="shared" si="699"/>
        <v>2</v>
      </c>
      <c r="FZ1538" s="101" t="str">
        <f t="shared" si="691"/>
        <v>金币</v>
      </c>
      <c r="GA1538" s="139">
        <f>IF($FY1538&gt;0,IF(INDEX($EM$6:$EM$77,$FT1538)&gt;=GA$3,ROUND(INDEX(EO$6:EO$77,$FT1538)*INDEX(卡牌消耗!$B$8:$F$8,FV1538)/5,0)*5,""),"")</f>
        <v>195</v>
      </c>
      <c r="GB1538" s="101" t="str">
        <f t="shared" si="692"/>
        <v>专属强化石1</v>
      </c>
      <c r="GC1538" s="101">
        <f t="shared" si="693"/>
        <v>3</v>
      </c>
      <c r="GD1538" s="101" t="str">
        <f t="shared" si="694"/>
        <v>专属强化石2</v>
      </c>
      <c r="GE1538" s="101">
        <f t="shared" si="695"/>
        <v>1</v>
      </c>
      <c r="GF1538" s="101">
        <f t="shared" si="700"/>
        <v>0.19</v>
      </c>
      <c r="GG1538" s="101">
        <f t="shared" si="701"/>
        <v>1</v>
      </c>
      <c r="GH1538" s="101">
        <f t="shared" si="702"/>
        <v>8</v>
      </c>
      <c r="GI1538" s="101">
        <f t="shared" si="703"/>
        <v>0</v>
      </c>
      <c r="GJ1538" s="101">
        <f t="shared" si="704"/>
        <v>1</v>
      </c>
      <c r="GK1538" s="101">
        <f t="shared" si="705"/>
        <v>2</v>
      </c>
      <c r="GL1538" s="101">
        <f t="shared" si="706"/>
        <v>9.6299999999999997E-2</v>
      </c>
      <c r="GM1538" s="101">
        <f t="shared" si="707"/>
        <v>1</v>
      </c>
      <c r="GN1538" s="101">
        <f t="shared" si="708"/>
        <v>4</v>
      </c>
      <c r="GO1538" s="101">
        <f t="shared" si="709"/>
        <v>0.38529999999999998</v>
      </c>
      <c r="GP1538" s="101">
        <f t="shared" si="710"/>
        <v>1</v>
      </c>
      <c r="GQ1538" s="101">
        <f t="shared" si="711"/>
        <v>8</v>
      </c>
    </row>
    <row r="1539" spans="175:199" ht="16.5" x14ac:dyDescent="0.2">
      <c r="FS1539" s="101">
        <v>1534</v>
      </c>
      <c r="FT1539" s="101">
        <f t="shared" si="696"/>
        <v>12</v>
      </c>
      <c r="FU1539" s="101">
        <f t="shared" si="689"/>
        <v>20</v>
      </c>
      <c r="FV1539" s="14">
        <f t="shared" si="690"/>
        <v>3</v>
      </c>
      <c r="FW1539" s="101" t="str">
        <f t="shared" si="697"/>
        <v>燕青专属武器-魂珠-2 3级</v>
      </c>
      <c r="FX1539" s="101">
        <f t="shared" si="698"/>
        <v>2</v>
      </c>
      <c r="FY1539" s="101">
        <f t="shared" si="699"/>
        <v>3</v>
      </c>
      <c r="FZ1539" s="101" t="str">
        <f t="shared" si="691"/>
        <v>金币</v>
      </c>
      <c r="GA1539" s="139">
        <f>IF($FY1539&gt;0,IF(INDEX($EM$6:$EM$77,$FT1539)&gt;=GA$3,ROUND(INDEX(EO$6:EO$77,$FT1539)*INDEX(卡牌消耗!$B$8:$F$8,FV1539)/5,0)*5,""),"")</f>
        <v>435</v>
      </c>
      <c r="GB1539" s="101" t="str">
        <f t="shared" si="692"/>
        <v>专属强化石1</v>
      </c>
      <c r="GC1539" s="101">
        <f t="shared" si="693"/>
        <v>6</v>
      </c>
      <c r="GD1539" s="101" t="str">
        <f t="shared" si="694"/>
        <v>专属强化石2</v>
      </c>
      <c r="GE1539" s="101">
        <f t="shared" si="695"/>
        <v>2</v>
      </c>
      <c r="GF1539" s="101">
        <f t="shared" si="700"/>
        <v>0.26</v>
      </c>
      <c r="GG1539" s="101">
        <f t="shared" si="701"/>
        <v>1</v>
      </c>
      <c r="GH1539" s="101">
        <f t="shared" si="702"/>
        <v>6</v>
      </c>
      <c r="GI1539" s="101">
        <f t="shared" si="703"/>
        <v>0</v>
      </c>
      <c r="GJ1539" s="101">
        <f t="shared" si="704"/>
        <v>1</v>
      </c>
      <c r="GK1539" s="101">
        <f t="shared" si="705"/>
        <v>1</v>
      </c>
      <c r="GL1539" s="101">
        <f t="shared" si="706"/>
        <v>0.12839999999999999</v>
      </c>
      <c r="GM1539" s="101">
        <f t="shared" si="707"/>
        <v>1</v>
      </c>
      <c r="GN1539" s="101">
        <f t="shared" si="708"/>
        <v>3</v>
      </c>
      <c r="GO1539" s="101">
        <f t="shared" si="709"/>
        <v>0.51380000000000003</v>
      </c>
      <c r="GP1539" s="101">
        <f t="shared" si="710"/>
        <v>1</v>
      </c>
      <c r="GQ1539" s="101">
        <f t="shared" si="711"/>
        <v>6</v>
      </c>
    </row>
    <row r="1540" spans="175:199" ht="16.5" x14ac:dyDescent="0.2">
      <c r="FS1540" s="101">
        <v>1535</v>
      </c>
      <c r="FT1540" s="101">
        <f t="shared" si="696"/>
        <v>13</v>
      </c>
      <c r="FU1540" s="101">
        <f t="shared" si="689"/>
        <v>20</v>
      </c>
      <c r="FV1540" s="14">
        <f t="shared" si="690"/>
        <v>3</v>
      </c>
      <c r="FW1540" s="101" t="str">
        <f t="shared" si="697"/>
        <v>燕青专属武器-魂珠-2 4级</v>
      </c>
      <c r="FX1540" s="101">
        <f t="shared" si="698"/>
        <v>2</v>
      </c>
      <c r="FY1540" s="101">
        <f t="shared" si="699"/>
        <v>4</v>
      </c>
      <c r="FZ1540" s="101" t="str">
        <f t="shared" si="691"/>
        <v>金币</v>
      </c>
      <c r="GA1540" s="139">
        <f>IF($FY1540&gt;0,IF(INDEX($EM$6:$EM$77,$FT1540)&gt;=GA$3,ROUND(INDEX(EO$6:EO$77,$FT1540)*INDEX(卡牌消耗!$B$8:$F$8,FV1540)/5,0)*5,""),"")</f>
        <v>420</v>
      </c>
      <c r="GB1540" s="101" t="str">
        <f t="shared" si="692"/>
        <v>专属强化石1</v>
      </c>
      <c r="GC1540" s="101">
        <f t="shared" si="693"/>
        <v>6</v>
      </c>
      <c r="GD1540" s="101" t="str">
        <f t="shared" si="694"/>
        <v>专属强化石2</v>
      </c>
      <c r="GE1540" s="101">
        <f t="shared" si="695"/>
        <v>2</v>
      </c>
      <c r="GF1540" s="101">
        <f t="shared" si="700"/>
        <v>0.15</v>
      </c>
      <c r="GG1540" s="101">
        <f t="shared" si="701"/>
        <v>1</v>
      </c>
      <c r="GH1540" s="101">
        <f t="shared" si="702"/>
        <v>10</v>
      </c>
      <c r="GI1540" s="101">
        <f t="shared" si="703"/>
        <v>0</v>
      </c>
      <c r="GJ1540" s="101">
        <f t="shared" si="704"/>
        <v>1</v>
      </c>
      <c r="GK1540" s="101">
        <f t="shared" si="705"/>
        <v>2</v>
      </c>
      <c r="GL1540" s="101">
        <f t="shared" si="706"/>
        <v>7.7100000000000002E-2</v>
      </c>
      <c r="GM1540" s="101">
        <f t="shared" si="707"/>
        <v>1</v>
      </c>
      <c r="GN1540" s="101">
        <f t="shared" si="708"/>
        <v>5</v>
      </c>
      <c r="GO1540" s="101">
        <f t="shared" si="709"/>
        <v>0.30830000000000002</v>
      </c>
      <c r="GP1540" s="101">
        <f t="shared" si="710"/>
        <v>1</v>
      </c>
      <c r="GQ1540" s="101">
        <f t="shared" si="711"/>
        <v>10</v>
      </c>
    </row>
    <row r="1541" spans="175:199" ht="16.5" x14ac:dyDescent="0.2">
      <c r="FS1541" s="101">
        <v>1536</v>
      </c>
      <c r="FT1541" s="101">
        <f t="shared" si="696"/>
        <v>14</v>
      </c>
      <c r="FU1541" s="101">
        <f t="shared" si="689"/>
        <v>20</v>
      </c>
      <c r="FV1541" s="14">
        <f t="shared" si="690"/>
        <v>3</v>
      </c>
      <c r="FW1541" s="101" t="str">
        <f t="shared" si="697"/>
        <v>燕青专属武器-魂珠-2 5级</v>
      </c>
      <c r="FX1541" s="101">
        <f t="shared" si="698"/>
        <v>2</v>
      </c>
      <c r="FY1541" s="101">
        <f t="shared" si="699"/>
        <v>5</v>
      </c>
      <c r="FZ1541" s="101" t="str">
        <f t="shared" si="691"/>
        <v>金币</v>
      </c>
      <c r="GA1541" s="139">
        <f>IF($FY1541&gt;0,IF(INDEX($EM$6:$EM$77,$FT1541)&gt;=GA$3,ROUND(INDEX(EO$6:EO$77,$FT1541)*INDEX(卡牌消耗!$B$8:$F$8,FV1541)/5,0)*5,""),"")</f>
        <v>635</v>
      </c>
      <c r="GB1541" s="101" t="str">
        <f t="shared" si="692"/>
        <v>专属强化石1</v>
      </c>
      <c r="GC1541" s="101">
        <f t="shared" si="693"/>
        <v>9</v>
      </c>
      <c r="GD1541" s="101" t="str">
        <f t="shared" si="694"/>
        <v>专属强化石2</v>
      </c>
      <c r="GE1541" s="101">
        <f t="shared" si="695"/>
        <v>3</v>
      </c>
      <c r="GF1541" s="101">
        <f t="shared" si="700"/>
        <v>0.14000000000000001</v>
      </c>
      <c r="GG1541" s="101">
        <f t="shared" si="701"/>
        <v>1</v>
      </c>
      <c r="GH1541" s="101">
        <f t="shared" si="702"/>
        <v>10</v>
      </c>
      <c r="GI1541" s="101">
        <f t="shared" si="703"/>
        <v>0</v>
      </c>
      <c r="GJ1541" s="101">
        <f t="shared" si="704"/>
        <v>1</v>
      </c>
      <c r="GK1541" s="101">
        <f t="shared" si="705"/>
        <v>2</v>
      </c>
      <c r="GL1541" s="101">
        <f t="shared" si="706"/>
        <v>7.22E-2</v>
      </c>
      <c r="GM1541" s="101">
        <f t="shared" si="707"/>
        <v>1</v>
      </c>
      <c r="GN1541" s="101">
        <f t="shared" si="708"/>
        <v>5</v>
      </c>
      <c r="GO1541" s="101">
        <f t="shared" si="709"/>
        <v>0.28899999999999998</v>
      </c>
      <c r="GP1541" s="101">
        <f t="shared" si="710"/>
        <v>1</v>
      </c>
      <c r="GQ1541" s="101">
        <f t="shared" si="711"/>
        <v>10</v>
      </c>
    </row>
    <row r="1542" spans="175:199" ht="16.5" x14ac:dyDescent="0.2">
      <c r="FS1542" s="101">
        <v>1537</v>
      </c>
      <c r="FT1542" s="101">
        <f t="shared" si="696"/>
        <v>15</v>
      </c>
      <c r="FU1542" s="101">
        <f t="shared" si="689"/>
        <v>20</v>
      </c>
      <c r="FV1542" s="14">
        <f t="shared" si="690"/>
        <v>3</v>
      </c>
      <c r="FW1542" s="101" t="str">
        <f t="shared" si="697"/>
        <v>燕青专属武器-魂珠-2 6级</v>
      </c>
      <c r="FX1542" s="101">
        <f t="shared" si="698"/>
        <v>2</v>
      </c>
      <c r="FY1542" s="101">
        <f t="shared" si="699"/>
        <v>6</v>
      </c>
      <c r="FZ1542" s="101" t="str">
        <f t="shared" si="691"/>
        <v>金币</v>
      </c>
      <c r="GA1542" s="139">
        <f>IF($FY1542&gt;0,IF(INDEX($EM$6:$EM$77,$FT1542)&gt;=GA$3,ROUND(INDEX(EO$6:EO$77,$FT1542)*INDEX(卡牌消耗!$B$8:$F$8,FV1542)/5,0)*5,""),"")</f>
        <v>845</v>
      </c>
      <c r="GB1542" s="101" t="str">
        <f t="shared" si="692"/>
        <v>专属强化石1</v>
      </c>
      <c r="GC1542" s="101">
        <f t="shared" si="693"/>
        <v>12</v>
      </c>
      <c r="GD1542" s="101" t="str">
        <f t="shared" si="694"/>
        <v>专属强化石2</v>
      </c>
      <c r="GE1542" s="101">
        <f t="shared" si="695"/>
        <v>4</v>
      </c>
      <c r="GF1542" s="101">
        <f t="shared" si="700"/>
        <v>0.12</v>
      </c>
      <c r="GG1542" s="101">
        <f t="shared" si="701"/>
        <v>1</v>
      </c>
      <c r="GH1542" s="101">
        <f t="shared" si="702"/>
        <v>13</v>
      </c>
      <c r="GI1542" s="101">
        <f t="shared" si="703"/>
        <v>0</v>
      </c>
      <c r="GJ1542" s="101">
        <f t="shared" si="704"/>
        <v>1</v>
      </c>
      <c r="GK1542" s="101">
        <f t="shared" si="705"/>
        <v>3</v>
      </c>
      <c r="GL1542" s="101">
        <f t="shared" si="706"/>
        <v>5.9299999999999999E-2</v>
      </c>
      <c r="GM1542" s="101">
        <f t="shared" si="707"/>
        <v>1</v>
      </c>
      <c r="GN1542" s="101">
        <f t="shared" si="708"/>
        <v>6</v>
      </c>
      <c r="GO1542" s="101">
        <f t="shared" si="709"/>
        <v>0.23710000000000001</v>
      </c>
      <c r="GP1542" s="101">
        <f t="shared" si="710"/>
        <v>1</v>
      </c>
      <c r="GQ1542" s="101">
        <f t="shared" si="711"/>
        <v>13</v>
      </c>
    </row>
    <row r="1543" spans="175:199" ht="16.5" x14ac:dyDescent="0.2">
      <c r="FS1543" s="101">
        <v>1538</v>
      </c>
      <c r="FT1543" s="101">
        <f t="shared" si="696"/>
        <v>16</v>
      </c>
      <c r="FU1543" s="101">
        <f t="shared" ref="FU1543:FU1606" si="712">INT((FS1543-1)/80+1)</f>
        <v>20</v>
      </c>
      <c r="FV1543" s="14">
        <f t="shared" ref="FV1543:FV1606" si="713">INDEX($FO$6:$FO$26,FU1543)</f>
        <v>3</v>
      </c>
      <c r="FW1543" s="101" t="str">
        <f t="shared" si="697"/>
        <v>燕青专属武器-魂珠-2 7级</v>
      </c>
      <c r="FX1543" s="101">
        <f t="shared" si="698"/>
        <v>2</v>
      </c>
      <c r="FY1543" s="101">
        <f t="shared" si="699"/>
        <v>7</v>
      </c>
      <c r="FZ1543" s="101" t="str">
        <f t="shared" ref="FZ1543:FZ1606" si="714">IF($FY1543&gt;0,IF(INDEX($EM$6:$EM$77,$FT1543)&gt;=FZ$3,INDEX(EN$6:EN$77,$FT1543),""),"")</f>
        <v>金币</v>
      </c>
      <c r="GA1543" s="139">
        <f>IF($FY1543&gt;0,IF(INDEX($EM$6:$EM$77,$FT1543)&gt;=GA$3,ROUND(INDEX(EO$6:EO$77,$FT1543)*INDEX(卡牌消耗!$B$8:$F$8,FV1543)/5,0)*5,""),"")</f>
        <v>1060</v>
      </c>
      <c r="GB1543" s="101" t="str">
        <f t="shared" ref="GB1543:GB1606" si="715">IF($FY1543&gt;0,IF(INDEX($EM$6:$EM$77,$FT1543)&gt;=GB$3,INDEX(EP$6:EP$77,$FT1543),""),"")</f>
        <v>专属强化石1</v>
      </c>
      <c r="GC1543" s="101">
        <f t="shared" ref="GC1543:GC1606" si="716">IF($FY1543&gt;0,IF(INDEX($EM$6:$EM$77,$FT1543)&gt;=GC$3,INDEX(EQ$6:EQ$77,$FT1543),""),"")</f>
        <v>15</v>
      </c>
      <c r="GD1543" s="101" t="str">
        <f t="shared" ref="GD1543:GD1606" si="717">IF($FY1543&gt;0,IF(INDEX($EM$6:$EM$77,$FT1543)&gt;=GD$3,INDEX(ER$6:ER$77,$FT1543),""),"")</f>
        <v>专属强化石2</v>
      </c>
      <c r="GE1543" s="101">
        <f t="shared" ref="GE1543:GE1606" si="718">IF($FY1543&gt;0,IF(INDEX($EM$6:$EM$77,$FT1543)&gt;=GE$3,INDEX(ES$6:ES$77,$FT1543),""),"")</f>
        <v>5</v>
      </c>
      <c r="GF1543" s="101">
        <f t="shared" si="700"/>
        <v>0.09</v>
      </c>
      <c r="GG1543" s="101">
        <f t="shared" si="701"/>
        <v>1</v>
      </c>
      <c r="GH1543" s="101">
        <f t="shared" si="702"/>
        <v>16</v>
      </c>
      <c r="GI1543" s="101">
        <f t="shared" si="703"/>
        <v>0</v>
      </c>
      <c r="GJ1543" s="101">
        <f t="shared" si="704"/>
        <v>1</v>
      </c>
      <c r="GK1543" s="101">
        <f t="shared" si="705"/>
        <v>4</v>
      </c>
      <c r="GL1543" s="101">
        <f t="shared" si="706"/>
        <v>4.5900000000000003E-2</v>
      </c>
      <c r="GM1543" s="101">
        <f t="shared" si="707"/>
        <v>1</v>
      </c>
      <c r="GN1543" s="101">
        <f t="shared" si="708"/>
        <v>8</v>
      </c>
      <c r="GO1543" s="101">
        <f t="shared" si="709"/>
        <v>0.1835</v>
      </c>
      <c r="GP1543" s="101">
        <f t="shared" si="710"/>
        <v>1</v>
      </c>
      <c r="GQ1543" s="101">
        <f t="shared" si="711"/>
        <v>16</v>
      </c>
    </row>
    <row r="1544" spans="175:199" ht="16.5" x14ac:dyDescent="0.2">
      <c r="FS1544" s="101">
        <v>1539</v>
      </c>
      <c r="FT1544" s="101">
        <f t="shared" si="696"/>
        <v>17</v>
      </c>
      <c r="FU1544" s="101">
        <f t="shared" si="712"/>
        <v>20</v>
      </c>
      <c r="FV1544" s="14">
        <f t="shared" si="713"/>
        <v>3</v>
      </c>
      <c r="FW1544" s="101" t="str">
        <f t="shared" si="697"/>
        <v>燕青专属武器-魂珠-2 8级</v>
      </c>
      <c r="FX1544" s="101">
        <f t="shared" si="698"/>
        <v>2</v>
      </c>
      <c r="FY1544" s="101">
        <f t="shared" si="699"/>
        <v>8</v>
      </c>
      <c r="FZ1544" s="101" t="str">
        <f t="shared" si="714"/>
        <v>金币</v>
      </c>
      <c r="GA1544" s="139">
        <f>IF($FY1544&gt;0,IF(INDEX($EM$6:$EM$77,$FT1544)&gt;=GA$3,ROUND(INDEX(EO$6:EO$77,$FT1544)*INDEX(卡牌消耗!$B$8:$F$8,FV1544)/5,0)*5,""),"")</f>
        <v>1270</v>
      </c>
      <c r="GB1544" s="101" t="str">
        <f t="shared" si="715"/>
        <v>专属强化石1</v>
      </c>
      <c r="GC1544" s="101">
        <f t="shared" si="716"/>
        <v>18</v>
      </c>
      <c r="GD1544" s="101" t="str">
        <f t="shared" si="717"/>
        <v>专属强化石2</v>
      </c>
      <c r="GE1544" s="101">
        <f t="shared" si="718"/>
        <v>6</v>
      </c>
      <c r="GF1544" s="101">
        <f t="shared" si="700"/>
        <v>7.0000000000000007E-2</v>
      </c>
      <c r="GG1544" s="101">
        <f t="shared" si="701"/>
        <v>1</v>
      </c>
      <c r="GH1544" s="101">
        <f t="shared" si="702"/>
        <v>22</v>
      </c>
      <c r="GI1544" s="101">
        <f t="shared" si="703"/>
        <v>0</v>
      </c>
      <c r="GJ1544" s="101">
        <f t="shared" si="704"/>
        <v>1</v>
      </c>
      <c r="GK1544" s="101">
        <f t="shared" si="705"/>
        <v>5</v>
      </c>
      <c r="GL1544" s="101">
        <f t="shared" si="706"/>
        <v>3.4000000000000002E-2</v>
      </c>
      <c r="GM1544" s="101">
        <f t="shared" si="707"/>
        <v>1</v>
      </c>
      <c r="GN1544" s="101">
        <f t="shared" si="708"/>
        <v>10</v>
      </c>
      <c r="GO1544" s="101">
        <f t="shared" si="709"/>
        <v>0.13600000000000001</v>
      </c>
      <c r="GP1544" s="101">
        <f t="shared" si="710"/>
        <v>1</v>
      </c>
      <c r="GQ1544" s="101">
        <f t="shared" si="711"/>
        <v>22</v>
      </c>
    </row>
    <row r="1545" spans="175:199" ht="16.5" x14ac:dyDescent="0.2">
      <c r="FS1545" s="101">
        <v>1540</v>
      </c>
      <c r="FT1545" s="101">
        <f t="shared" si="696"/>
        <v>18</v>
      </c>
      <c r="FU1545" s="101">
        <f t="shared" si="712"/>
        <v>20</v>
      </c>
      <c r="FV1545" s="14">
        <f t="shared" si="713"/>
        <v>3</v>
      </c>
      <c r="FW1545" s="101" t="str">
        <f t="shared" si="697"/>
        <v>燕青专属武器-魂珠-2 9级</v>
      </c>
      <c r="FX1545" s="101">
        <f t="shared" si="698"/>
        <v>2</v>
      </c>
      <c r="FY1545" s="101">
        <f t="shared" si="699"/>
        <v>9</v>
      </c>
      <c r="FZ1545" s="101" t="str">
        <f t="shared" si="714"/>
        <v>金币</v>
      </c>
      <c r="GA1545" s="139">
        <f>IF($FY1545&gt;0,IF(INDEX($EM$6:$EM$77,$FT1545)&gt;=GA$3,ROUND(INDEX(EO$6:EO$77,$FT1545)*INDEX(卡牌消耗!$B$8:$F$8,FV1545)/5,0)*5,""),"")</f>
        <v>1695</v>
      </c>
      <c r="GB1545" s="101" t="str">
        <f t="shared" si="715"/>
        <v>专属强化石1</v>
      </c>
      <c r="GC1545" s="101">
        <f t="shared" si="716"/>
        <v>24</v>
      </c>
      <c r="GD1545" s="101" t="str">
        <f t="shared" si="717"/>
        <v>专属强化石2</v>
      </c>
      <c r="GE1545" s="101">
        <f t="shared" si="718"/>
        <v>8</v>
      </c>
      <c r="GF1545" s="101">
        <f t="shared" si="700"/>
        <v>0.06</v>
      </c>
      <c r="GG1545" s="101">
        <f t="shared" si="701"/>
        <v>1</v>
      </c>
      <c r="GH1545" s="101">
        <f t="shared" si="702"/>
        <v>27</v>
      </c>
      <c r="GI1545" s="101">
        <f t="shared" si="703"/>
        <v>0</v>
      </c>
      <c r="GJ1545" s="101">
        <f t="shared" si="704"/>
        <v>1</v>
      </c>
      <c r="GK1545" s="101">
        <f t="shared" si="705"/>
        <v>6</v>
      </c>
      <c r="GL1545" s="101">
        <f t="shared" si="706"/>
        <v>2.8000000000000001E-2</v>
      </c>
      <c r="GM1545" s="101">
        <f t="shared" si="707"/>
        <v>1</v>
      </c>
      <c r="GN1545" s="101">
        <f t="shared" si="708"/>
        <v>12</v>
      </c>
      <c r="GO1545" s="101">
        <f t="shared" si="709"/>
        <v>0.11210000000000001</v>
      </c>
      <c r="GP1545" s="101">
        <f t="shared" si="710"/>
        <v>1</v>
      </c>
      <c r="GQ1545" s="101">
        <f t="shared" si="711"/>
        <v>27</v>
      </c>
    </row>
    <row r="1546" spans="175:199" ht="16.5" x14ac:dyDescent="0.2">
      <c r="FS1546" s="101">
        <v>1541</v>
      </c>
      <c r="FT1546" s="101">
        <f t="shared" si="696"/>
        <v>0</v>
      </c>
      <c r="FU1546" s="101">
        <f t="shared" si="712"/>
        <v>20</v>
      </c>
      <c r="FV1546" s="14">
        <f t="shared" si="713"/>
        <v>3</v>
      </c>
      <c r="FW1546" s="101" t="str">
        <f t="shared" si="697"/>
        <v>燕青专属武器-魂珠-3 0级</v>
      </c>
      <c r="FX1546" s="101">
        <f t="shared" si="698"/>
        <v>3</v>
      </c>
      <c r="FY1546" s="101">
        <f t="shared" si="699"/>
        <v>0</v>
      </c>
      <c r="FZ1546" s="101" t="str">
        <f t="shared" si="714"/>
        <v/>
      </c>
      <c r="GA1546" s="139" t="str">
        <f>IF($FY1546&gt;0,IF(INDEX($EM$6:$EM$77,$FT1546)&gt;=GA$3,ROUND(INDEX(EO$6:EO$77,$FT1546)*INDEX(卡牌消耗!$B$8:$F$8,FV1546)/5,0)*5,""),"")</f>
        <v/>
      </c>
      <c r="GB1546" s="101" t="str">
        <f t="shared" si="715"/>
        <v/>
      </c>
      <c r="GC1546" s="101" t="str">
        <f t="shared" si="716"/>
        <v/>
      </c>
      <c r="GD1546" s="101" t="str">
        <f t="shared" si="717"/>
        <v/>
      </c>
      <c r="GE1546" s="101" t="str">
        <f t="shared" si="718"/>
        <v/>
      </c>
      <c r="GF1546" s="101" t="str">
        <f t="shared" si="700"/>
        <v/>
      </c>
      <c r="GG1546" s="101" t="str">
        <f t="shared" si="701"/>
        <v/>
      </c>
      <c r="GH1546" s="101" t="str">
        <f t="shared" si="702"/>
        <v/>
      </c>
      <c r="GI1546" s="101" t="str">
        <f t="shared" si="703"/>
        <v/>
      </c>
      <c r="GJ1546" s="101" t="str">
        <f t="shared" si="704"/>
        <v/>
      </c>
      <c r="GK1546" s="101" t="str">
        <f t="shared" si="705"/>
        <v/>
      </c>
      <c r="GL1546" s="101" t="str">
        <f t="shared" si="706"/>
        <v/>
      </c>
      <c r="GM1546" s="101" t="str">
        <f t="shared" si="707"/>
        <v/>
      </c>
      <c r="GN1546" s="101" t="str">
        <f t="shared" si="708"/>
        <v/>
      </c>
      <c r="GO1546" s="101" t="str">
        <f t="shared" si="709"/>
        <v/>
      </c>
      <c r="GP1546" s="101" t="str">
        <f t="shared" si="710"/>
        <v/>
      </c>
      <c r="GQ1546" s="101" t="str">
        <f t="shared" si="711"/>
        <v/>
      </c>
    </row>
    <row r="1547" spans="175:199" ht="16.5" x14ac:dyDescent="0.2">
      <c r="FS1547" s="101">
        <v>1542</v>
      </c>
      <c r="FT1547" s="101">
        <f t="shared" si="696"/>
        <v>19</v>
      </c>
      <c r="FU1547" s="101">
        <f t="shared" si="712"/>
        <v>20</v>
      </c>
      <c r="FV1547" s="14">
        <f t="shared" si="713"/>
        <v>3</v>
      </c>
      <c r="FW1547" s="101" t="str">
        <f t="shared" si="697"/>
        <v>燕青专属武器-魂珠-3 1级</v>
      </c>
      <c r="FX1547" s="101">
        <f t="shared" si="698"/>
        <v>3</v>
      </c>
      <c r="FY1547" s="101">
        <f t="shared" si="699"/>
        <v>1</v>
      </c>
      <c r="FZ1547" s="101" t="str">
        <f t="shared" si="714"/>
        <v>金币</v>
      </c>
      <c r="GA1547" s="139">
        <f>IF($FY1547&gt;0,IF(INDEX($EM$6:$EM$77,$FT1547)&gt;=GA$3,ROUND(INDEX(EO$6:EO$77,$FT1547)*INDEX(卡牌消耗!$B$8:$F$8,FV1547)/5,0)*5,""),"")</f>
        <v>545</v>
      </c>
      <c r="GB1547" s="101" t="str">
        <f t="shared" si="715"/>
        <v>专属强化石1</v>
      </c>
      <c r="GC1547" s="101">
        <f t="shared" si="716"/>
        <v>4</v>
      </c>
      <c r="GD1547" s="101" t="str">
        <f t="shared" si="717"/>
        <v>专属强化石2</v>
      </c>
      <c r="GE1547" s="101">
        <f t="shared" si="718"/>
        <v>2</v>
      </c>
      <c r="GF1547" s="101">
        <f t="shared" si="700"/>
        <v>0.31</v>
      </c>
      <c r="GG1547" s="101">
        <f t="shared" si="701"/>
        <v>1</v>
      </c>
      <c r="GH1547" s="101">
        <f t="shared" si="702"/>
        <v>5</v>
      </c>
      <c r="GI1547" s="101">
        <f t="shared" si="703"/>
        <v>0</v>
      </c>
      <c r="GJ1547" s="101">
        <f t="shared" si="704"/>
        <v>1</v>
      </c>
      <c r="GK1547" s="101">
        <f t="shared" si="705"/>
        <v>1</v>
      </c>
      <c r="GL1547" s="101">
        <f t="shared" si="706"/>
        <v>0.15409999999999999</v>
      </c>
      <c r="GM1547" s="101">
        <f t="shared" si="707"/>
        <v>1</v>
      </c>
      <c r="GN1547" s="101">
        <f t="shared" si="708"/>
        <v>2</v>
      </c>
      <c r="GO1547" s="101">
        <f t="shared" si="709"/>
        <v>0.61650000000000005</v>
      </c>
      <c r="GP1547" s="101">
        <f t="shared" si="710"/>
        <v>1</v>
      </c>
      <c r="GQ1547" s="101">
        <f t="shared" si="711"/>
        <v>5</v>
      </c>
    </row>
    <row r="1548" spans="175:199" ht="16.5" x14ac:dyDescent="0.2">
      <c r="FS1548" s="101">
        <v>1543</v>
      </c>
      <c r="FT1548" s="101">
        <f t="shared" si="696"/>
        <v>20</v>
      </c>
      <c r="FU1548" s="101">
        <f t="shared" si="712"/>
        <v>20</v>
      </c>
      <c r="FV1548" s="14">
        <f t="shared" si="713"/>
        <v>3</v>
      </c>
      <c r="FW1548" s="101" t="str">
        <f t="shared" si="697"/>
        <v>燕青专属武器-魂珠-3 2级</v>
      </c>
      <c r="FX1548" s="101">
        <f t="shared" si="698"/>
        <v>3</v>
      </c>
      <c r="FY1548" s="101">
        <f t="shared" si="699"/>
        <v>2</v>
      </c>
      <c r="FZ1548" s="101" t="str">
        <f t="shared" si="714"/>
        <v>金币</v>
      </c>
      <c r="GA1548" s="139">
        <f>IF($FY1548&gt;0,IF(INDEX($EM$6:$EM$77,$FT1548)&gt;=GA$3,ROUND(INDEX(EO$6:EO$77,$FT1548)*INDEX(卡牌消耗!$B$8:$F$8,FV1548)/5,0)*5,""),"")</f>
        <v>410</v>
      </c>
      <c r="GB1548" s="101" t="str">
        <f t="shared" si="715"/>
        <v>专属强化石1</v>
      </c>
      <c r="GC1548" s="101">
        <f t="shared" si="716"/>
        <v>4</v>
      </c>
      <c r="GD1548" s="101" t="str">
        <f t="shared" si="717"/>
        <v>专属强化石2</v>
      </c>
      <c r="GE1548" s="101">
        <f t="shared" si="718"/>
        <v>2</v>
      </c>
      <c r="GF1548" s="101">
        <f t="shared" si="700"/>
        <v>0.15</v>
      </c>
      <c r="GG1548" s="101">
        <f t="shared" si="701"/>
        <v>1</v>
      </c>
      <c r="GH1548" s="101">
        <f t="shared" si="702"/>
        <v>10</v>
      </c>
      <c r="GI1548" s="101">
        <f t="shared" si="703"/>
        <v>0</v>
      </c>
      <c r="GJ1548" s="101">
        <f t="shared" si="704"/>
        <v>1</v>
      </c>
      <c r="GK1548" s="101">
        <f t="shared" si="705"/>
        <v>2</v>
      </c>
      <c r="GL1548" s="101">
        <f t="shared" si="706"/>
        <v>7.7100000000000002E-2</v>
      </c>
      <c r="GM1548" s="101">
        <f t="shared" si="707"/>
        <v>1</v>
      </c>
      <c r="GN1548" s="101">
        <f t="shared" si="708"/>
        <v>5</v>
      </c>
      <c r="GO1548" s="101">
        <f t="shared" si="709"/>
        <v>0.30830000000000002</v>
      </c>
      <c r="GP1548" s="101">
        <f t="shared" si="710"/>
        <v>1</v>
      </c>
      <c r="GQ1548" s="101">
        <f t="shared" si="711"/>
        <v>10</v>
      </c>
    </row>
    <row r="1549" spans="175:199" ht="16.5" x14ac:dyDescent="0.2">
      <c r="FS1549" s="101">
        <v>1544</v>
      </c>
      <c r="FT1549" s="101">
        <f t="shared" si="696"/>
        <v>21</v>
      </c>
      <c r="FU1549" s="101">
        <f t="shared" si="712"/>
        <v>20</v>
      </c>
      <c r="FV1549" s="14">
        <f t="shared" si="713"/>
        <v>3</v>
      </c>
      <c r="FW1549" s="101" t="str">
        <f t="shared" si="697"/>
        <v>燕青专属武器-魂珠-3 3级</v>
      </c>
      <c r="FX1549" s="101">
        <f t="shared" si="698"/>
        <v>3</v>
      </c>
      <c r="FY1549" s="101">
        <f t="shared" si="699"/>
        <v>3</v>
      </c>
      <c r="FZ1549" s="101" t="str">
        <f t="shared" si="714"/>
        <v>金币</v>
      </c>
      <c r="GA1549" s="139">
        <f>IF($FY1549&gt;0,IF(INDEX($EM$6:$EM$77,$FT1549)&gt;=GA$3,ROUND(INDEX(EO$6:EO$77,$FT1549)*INDEX(卡牌消耗!$B$8:$F$8,FV1549)/5,0)*5,""),"")</f>
        <v>680</v>
      </c>
      <c r="GB1549" s="101" t="str">
        <f t="shared" si="715"/>
        <v>专属强化石1</v>
      </c>
      <c r="GC1549" s="101">
        <f t="shared" si="716"/>
        <v>6</v>
      </c>
      <c r="GD1549" s="101" t="str">
        <f t="shared" si="717"/>
        <v>专属强化石2</v>
      </c>
      <c r="GE1549" s="101">
        <f t="shared" si="718"/>
        <v>3</v>
      </c>
      <c r="GF1549" s="101">
        <f t="shared" si="700"/>
        <v>0.15</v>
      </c>
      <c r="GG1549" s="101">
        <f t="shared" si="701"/>
        <v>1</v>
      </c>
      <c r="GH1549" s="101">
        <f t="shared" si="702"/>
        <v>10</v>
      </c>
      <c r="GI1549" s="101">
        <f t="shared" si="703"/>
        <v>0</v>
      </c>
      <c r="GJ1549" s="101">
        <f t="shared" si="704"/>
        <v>1</v>
      </c>
      <c r="GK1549" s="101">
        <f t="shared" si="705"/>
        <v>2</v>
      </c>
      <c r="GL1549" s="101">
        <f t="shared" si="706"/>
        <v>7.7100000000000002E-2</v>
      </c>
      <c r="GM1549" s="101">
        <f t="shared" si="707"/>
        <v>1</v>
      </c>
      <c r="GN1549" s="101">
        <f t="shared" si="708"/>
        <v>5</v>
      </c>
      <c r="GO1549" s="101">
        <f t="shared" si="709"/>
        <v>0.30830000000000002</v>
      </c>
      <c r="GP1549" s="101">
        <f t="shared" si="710"/>
        <v>1</v>
      </c>
      <c r="GQ1549" s="101">
        <f t="shared" si="711"/>
        <v>10</v>
      </c>
    </row>
    <row r="1550" spans="175:199" ht="16.5" x14ac:dyDescent="0.2">
      <c r="FS1550" s="101">
        <v>1545</v>
      </c>
      <c r="FT1550" s="101">
        <f t="shared" si="696"/>
        <v>22</v>
      </c>
      <c r="FU1550" s="101">
        <f t="shared" si="712"/>
        <v>20</v>
      </c>
      <c r="FV1550" s="14">
        <f t="shared" si="713"/>
        <v>3</v>
      </c>
      <c r="FW1550" s="101" t="str">
        <f t="shared" si="697"/>
        <v>燕青专属武器-魂珠-3 4级</v>
      </c>
      <c r="FX1550" s="101">
        <f t="shared" si="698"/>
        <v>3</v>
      </c>
      <c r="FY1550" s="101">
        <f t="shared" si="699"/>
        <v>4</v>
      </c>
      <c r="FZ1550" s="101" t="str">
        <f t="shared" si="714"/>
        <v>金币</v>
      </c>
      <c r="GA1550" s="139">
        <f>IF($FY1550&gt;0,IF(INDEX($EM$6:$EM$77,$FT1550)&gt;=GA$3,ROUND(INDEX(EO$6:EO$77,$FT1550)*INDEX(卡牌消耗!$B$8:$F$8,FV1550)/5,0)*5,""),"")</f>
        <v>655</v>
      </c>
      <c r="GB1550" s="101" t="str">
        <f t="shared" si="715"/>
        <v>专属强化石1</v>
      </c>
      <c r="GC1550" s="101">
        <f t="shared" si="716"/>
        <v>6</v>
      </c>
      <c r="GD1550" s="101" t="str">
        <f t="shared" si="717"/>
        <v>专属强化石2</v>
      </c>
      <c r="GE1550" s="101">
        <f t="shared" si="718"/>
        <v>3</v>
      </c>
      <c r="GF1550" s="101">
        <f t="shared" si="700"/>
        <v>0.09</v>
      </c>
      <c r="GG1550" s="101">
        <f t="shared" si="701"/>
        <v>1</v>
      </c>
      <c r="GH1550" s="101">
        <f t="shared" si="702"/>
        <v>16</v>
      </c>
      <c r="GI1550" s="101">
        <f t="shared" si="703"/>
        <v>0</v>
      </c>
      <c r="GJ1550" s="101">
        <f t="shared" si="704"/>
        <v>1</v>
      </c>
      <c r="GK1550" s="101">
        <f t="shared" si="705"/>
        <v>4</v>
      </c>
      <c r="GL1550" s="101">
        <f t="shared" si="706"/>
        <v>4.6199999999999998E-2</v>
      </c>
      <c r="GM1550" s="101">
        <f t="shared" si="707"/>
        <v>1</v>
      </c>
      <c r="GN1550" s="101">
        <f t="shared" si="708"/>
        <v>8</v>
      </c>
      <c r="GO1550" s="101">
        <f t="shared" si="709"/>
        <v>0.185</v>
      </c>
      <c r="GP1550" s="101">
        <f t="shared" si="710"/>
        <v>1</v>
      </c>
      <c r="GQ1550" s="101">
        <f t="shared" si="711"/>
        <v>16</v>
      </c>
    </row>
    <row r="1551" spans="175:199" ht="16.5" x14ac:dyDescent="0.2">
      <c r="FS1551" s="101">
        <v>1546</v>
      </c>
      <c r="FT1551" s="101">
        <f t="shared" si="696"/>
        <v>23</v>
      </c>
      <c r="FU1551" s="101">
        <f t="shared" si="712"/>
        <v>20</v>
      </c>
      <c r="FV1551" s="14">
        <f t="shared" si="713"/>
        <v>3</v>
      </c>
      <c r="FW1551" s="101" t="str">
        <f t="shared" si="697"/>
        <v>燕青专属武器-魂珠-3 5级</v>
      </c>
      <c r="FX1551" s="101">
        <f t="shared" si="698"/>
        <v>3</v>
      </c>
      <c r="FY1551" s="101">
        <f t="shared" si="699"/>
        <v>5</v>
      </c>
      <c r="FZ1551" s="101" t="str">
        <f t="shared" si="714"/>
        <v>金币</v>
      </c>
      <c r="GA1551" s="139">
        <f>IF($FY1551&gt;0,IF(INDEX($EM$6:$EM$77,$FT1551)&gt;=GA$3,ROUND(INDEX(EO$6:EO$77,$FT1551)*INDEX(卡牌消耗!$B$8:$F$8,FV1551)/5,0)*5,""),"")</f>
        <v>885</v>
      </c>
      <c r="GB1551" s="101" t="str">
        <f t="shared" si="715"/>
        <v>专属强化石1</v>
      </c>
      <c r="GC1551" s="101">
        <f t="shared" si="716"/>
        <v>8</v>
      </c>
      <c r="GD1551" s="101" t="str">
        <f t="shared" si="717"/>
        <v>专属强化石2</v>
      </c>
      <c r="GE1551" s="101">
        <f t="shared" si="718"/>
        <v>4</v>
      </c>
      <c r="GF1551" s="101">
        <f t="shared" si="700"/>
        <v>0.08</v>
      </c>
      <c r="GG1551" s="101">
        <f t="shared" si="701"/>
        <v>1</v>
      </c>
      <c r="GH1551" s="101">
        <f t="shared" si="702"/>
        <v>19</v>
      </c>
      <c r="GI1551" s="101">
        <f t="shared" si="703"/>
        <v>0</v>
      </c>
      <c r="GJ1551" s="101">
        <f t="shared" si="704"/>
        <v>1</v>
      </c>
      <c r="GK1551" s="101">
        <f t="shared" si="705"/>
        <v>5</v>
      </c>
      <c r="GL1551" s="101">
        <f t="shared" si="706"/>
        <v>3.85E-2</v>
      </c>
      <c r="GM1551" s="101">
        <f t="shared" si="707"/>
        <v>1</v>
      </c>
      <c r="GN1551" s="101">
        <f t="shared" si="708"/>
        <v>9</v>
      </c>
      <c r="GO1551" s="101">
        <f t="shared" si="709"/>
        <v>0.15409999999999999</v>
      </c>
      <c r="GP1551" s="101">
        <f t="shared" si="710"/>
        <v>1</v>
      </c>
      <c r="GQ1551" s="101">
        <f t="shared" si="711"/>
        <v>19</v>
      </c>
    </row>
    <row r="1552" spans="175:199" ht="16.5" x14ac:dyDescent="0.2">
      <c r="FS1552" s="101">
        <v>1547</v>
      </c>
      <c r="FT1552" s="101">
        <f t="shared" si="696"/>
        <v>24</v>
      </c>
      <c r="FU1552" s="101">
        <f t="shared" si="712"/>
        <v>20</v>
      </c>
      <c r="FV1552" s="14">
        <f t="shared" si="713"/>
        <v>3</v>
      </c>
      <c r="FW1552" s="101" t="str">
        <f t="shared" si="697"/>
        <v>燕青专属武器-魂珠-3 6级</v>
      </c>
      <c r="FX1552" s="101">
        <f t="shared" si="698"/>
        <v>3</v>
      </c>
      <c r="FY1552" s="101">
        <f t="shared" si="699"/>
        <v>6</v>
      </c>
      <c r="FZ1552" s="101" t="str">
        <f t="shared" si="714"/>
        <v>金币</v>
      </c>
      <c r="GA1552" s="139">
        <f>IF($FY1552&gt;0,IF(INDEX($EM$6:$EM$77,$FT1552)&gt;=GA$3,ROUND(INDEX(EO$6:EO$77,$FT1552)*INDEX(卡牌消耗!$B$8:$F$8,FV1552)/5,0)*5,""),"")</f>
        <v>1100</v>
      </c>
      <c r="GB1552" s="101" t="str">
        <f t="shared" si="715"/>
        <v>专属强化石1</v>
      </c>
      <c r="GC1552" s="101">
        <f t="shared" si="716"/>
        <v>10</v>
      </c>
      <c r="GD1552" s="101" t="str">
        <f t="shared" si="717"/>
        <v>专属强化石2</v>
      </c>
      <c r="GE1552" s="101">
        <f t="shared" si="718"/>
        <v>5</v>
      </c>
      <c r="GF1552" s="101">
        <f t="shared" si="700"/>
        <v>0.06</v>
      </c>
      <c r="GG1552" s="101">
        <f t="shared" si="701"/>
        <v>1</v>
      </c>
      <c r="GH1552" s="101">
        <f t="shared" si="702"/>
        <v>25</v>
      </c>
      <c r="GI1552" s="101">
        <f t="shared" si="703"/>
        <v>0</v>
      </c>
      <c r="GJ1552" s="101">
        <f t="shared" si="704"/>
        <v>1</v>
      </c>
      <c r="GK1552" s="101">
        <f t="shared" si="705"/>
        <v>6</v>
      </c>
      <c r="GL1552" s="101">
        <f t="shared" si="706"/>
        <v>2.9600000000000001E-2</v>
      </c>
      <c r="GM1552" s="101">
        <f t="shared" si="707"/>
        <v>1</v>
      </c>
      <c r="GN1552" s="101">
        <f t="shared" si="708"/>
        <v>12</v>
      </c>
      <c r="GO1552" s="101">
        <f t="shared" si="709"/>
        <v>0.1186</v>
      </c>
      <c r="GP1552" s="101">
        <f t="shared" si="710"/>
        <v>1</v>
      </c>
      <c r="GQ1552" s="101">
        <f t="shared" si="711"/>
        <v>25</v>
      </c>
    </row>
    <row r="1553" spans="175:199" ht="16.5" x14ac:dyDescent="0.2">
      <c r="FS1553" s="101">
        <v>1548</v>
      </c>
      <c r="FT1553" s="101">
        <f t="shared" si="696"/>
        <v>25</v>
      </c>
      <c r="FU1553" s="101">
        <f t="shared" si="712"/>
        <v>20</v>
      </c>
      <c r="FV1553" s="14">
        <f t="shared" si="713"/>
        <v>3</v>
      </c>
      <c r="FW1553" s="101" t="str">
        <f t="shared" si="697"/>
        <v>燕青专属武器-魂珠-3 7级</v>
      </c>
      <c r="FX1553" s="101">
        <f t="shared" si="698"/>
        <v>3</v>
      </c>
      <c r="FY1553" s="101">
        <f t="shared" si="699"/>
        <v>7</v>
      </c>
      <c r="FZ1553" s="101" t="str">
        <f t="shared" si="714"/>
        <v>金币</v>
      </c>
      <c r="GA1553" s="139">
        <f>IF($FY1553&gt;0,IF(INDEX($EM$6:$EM$77,$FT1553)&gt;=GA$3,ROUND(INDEX(EO$6:EO$77,$FT1553)*INDEX(卡牌消耗!$B$8:$F$8,FV1553)/5,0)*5,""),"")</f>
        <v>1325</v>
      </c>
      <c r="GB1553" s="101" t="str">
        <f t="shared" si="715"/>
        <v>专属强化石1</v>
      </c>
      <c r="GC1553" s="101">
        <f t="shared" si="716"/>
        <v>12</v>
      </c>
      <c r="GD1553" s="101" t="str">
        <f t="shared" si="717"/>
        <v>专属强化石2</v>
      </c>
      <c r="GE1553" s="101">
        <f t="shared" si="718"/>
        <v>6</v>
      </c>
      <c r="GF1553" s="101">
        <f t="shared" si="700"/>
        <v>0.04</v>
      </c>
      <c r="GG1553" s="101">
        <f t="shared" si="701"/>
        <v>1</v>
      </c>
      <c r="GH1553" s="101">
        <f t="shared" si="702"/>
        <v>34</v>
      </c>
      <c r="GI1553" s="101">
        <f t="shared" si="703"/>
        <v>0</v>
      </c>
      <c r="GJ1553" s="101">
        <f t="shared" si="704"/>
        <v>1</v>
      </c>
      <c r="GK1553" s="101">
        <f t="shared" si="705"/>
        <v>8</v>
      </c>
      <c r="GL1553" s="101">
        <f t="shared" si="706"/>
        <v>2.1999999999999999E-2</v>
      </c>
      <c r="GM1553" s="101">
        <f t="shared" si="707"/>
        <v>1</v>
      </c>
      <c r="GN1553" s="101">
        <f t="shared" si="708"/>
        <v>16</v>
      </c>
      <c r="GO1553" s="101">
        <f t="shared" si="709"/>
        <v>8.8099999999999998E-2</v>
      </c>
      <c r="GP1553" s="101">
        <f t="shared" si="710"/>
        <v>1</v>
      </c>
      <c r="GQ1553" s="101">
        <f t="shared" si="711"/>
        <v>34</v>
      </c>
    </row>
    <row r="1554" spans="175:199" ht="16.5" x14ac:dyDescent="0.2">
      <c r="FS1554" s="101">
        <v>1549</v>
      </c>
      <c r="FT1554" s="101">
        <f t="shared" si="696"/>
        <v>26</v>
      </c>
      <c r="FU1554" s="101">
        <f t="shared" si="712"/>
        <v>20</v>
      </c>
      <c r="FV1554" s="14">
        <f t="shared" si="713"/>
        <v>3</v>
      </c>
      <c r="FW1554" s="101" t="str">
        <f t="shared" si="697"/>
        <v>燕青专属武器-魂珠-3 8级</v>
      </c>
      <c r="FX1554" s="101">
        <f t="shared" si="698"/>
        <v>3</v>
      </c>
      <c r="FY1554" s="101">
        <f t="shared" si="699"/>
        <v>8</v>
      </c>
      <c r="FZ1554" s="101" t="str">
        <f t="shared" si="714"/>
        <v>金币</v>
      </c>
      <c r="GA1554" s="139">
        <f>IF($FY1554&gt;0,IF(INDEX($EM$6:$EM$77,$FT1554)&gt;=GA$3,ROUND(INDEX(EO$6:EO$77,$FT1554)*INDEX(卡牌消耗!$B$8:$F$8,FV1554)/5,0)*5,""),"")</f>
        <v>1765</v>
      </c>
      <c r="GB1554" s="101" t="str">
        <f t="shared" si="715"/>
        <v>专属强化石1</v>
      </c>
      <c r="GC1554" s="101">
        <f t="shared" si="716"/>
        <v>16</v>
      </c>
      <c r="GD1554" s="101" t="str">
        <f t="shared" si="717"/>
        <v>专属强化石2</v>
      </c>
      <c r="GE1554" s="101">
        <f t="shared" si="718"/>
        <v>8</v>
      </c>
      <c r="GF1554" s="101">
        <f t="shared" si="700"/>
        <v>0.04</v>
      </c>
      <c r="GG1554" s="101">
        <f t="shared" si="701"/>
        <v>1</v>
      </c>
      <c r="GH1554" s="101">
        <f t="shared" si="702"/>
        <v>41</v>
      </c>
      <c r="GI1554" s="101">
        <f t="shared" si="703"/>
        <v>0</v>
      </c>
      <c r="GJ1554" s="101">
        <f t="shared" si="704"/>
        <v>1</v>
      </c>
      <c r="GK1554" s="101">
        <f t="shared" si="705"/>
        <v>10</v>
      </c>
      <c r="GL1554" s="101">
        <f t="shared" si="706"/>
        <v>1.8100000000000002E-2</v>
      </c>
      <c r="GM1554" s="101">
        <f t="shared" si="707"/>
        <v>1</v>
      </c>
      <c r="GN1554" s="101">
        <f t="shared" si="708"/>
        <v>19</v>
      </c>
      <c r="GO1554" s="101">
        <f t="shared" si="709"/>
        <v>7.2499999999999995E-2</v>
      </c>
      <c r="GP1554" s="101">
        <f t="shared" si="710"/>
        <v>1</v>
      </c>
      <c r="GQ1554" s="101">
        <f t="shared" si="711"/>
        <v>41</v>
      </c>
    </row>
    <row r="1555" spans="175:199" ht="16.5" x14ac:dyDescent="0.2">
      <c r="FS1555" s="101">
        <v>1550</v>
      </c>
      <c r="FT1555" s="101">
        <f t="shared" si="696"/>
        <v>27</v>
      </c>
      <c r="FU1555" s="101">
        <f t="shared" si="712"/>
        <v>20</v>
      </c>
      <c r="FV1555" s="14">
        <f t="shared" si="713"/>
        <v>3</v>
      </c>
      <c r="FW1555" s="101" t="str">
        <f t="shared" si="697"/>
        <v>燕青专属武器-魂珠-3 9级</v>
      </c>
      <c r="FX1555" s="101">
        <f t="shared" si="698"/>
        <v>3</v>
      </c>
      <c r="FY1555" s="101">
        <f t="shared" si="699"/>
        <v>9</v>
      </c>
      <c r="FZ1555" s="101" t="str">
        <f t="shared" si="714"/>
        <v>金币</v>
      </c>
      <c r="GA1555" s="139">
        <f>IF($FY1555&gt;0,IF(INDEX($EM$6:$EM$77,$FT1555)&gt;=GA$3,ROUND(INDEX(EO$6:EO$77,$FT1555)*INDEX(卡牌消耗!$B$8:$F$8,FV1555)/5,0)*5,""),"")</f>
        <v>2205</v>
      </c>
      <c r="GB1555" s="101" t="str">
        <f t="shared" si="715"/>
        <v>专属强化石1</v>
      </c>
      <c r="GC1555" s="101">
        <f t="shared" si="716"/>
        <v>20</v>
      </c>
      <c r="GD1555" s="101" t="str">
        <f t="shared" si="717"/>
        <v>专属强化石2</v>
      </c>
      <c r="GE1555" s="101">
        <f t="shared" si="718"/>
        <v>10</v>
      </c>
      <c r="GF1555" s="101">
        <f t="shared" si="700"/>
        <v>0.03</v>
      </c>
      <c r="GG1555" s="101">
        <f t="shared" si="701"/>
        <v>1</v>
      </c>
      <c r="GH1555" s="101">
        <f t="shared" si="702"/>
        <v>54</v>
      </c>
      <c r="GI1555" s="101">
        <f t="shared" si="703"/>
        <v>0</v>
      </c>
      <c r="GJ1555" s="101">
        <f t="shared" si="704"/>
        <v>1</v>
      </c>
      <c r="GK1555" s="101">
        <f t="shared" si="705"/>
        <v>12</v>
      </c>
      <c r="GL1555" s="101">
        <f t="shared" si="706"/>
        <v>1.4E-2</v>
      </c>
      <c r="GM1555" s="101">
        <f t="shared" si="707"/>
        <v>1</v>
      </c>
      <c r="GN1555" s="101">
        <f t="shared" si="708"/>
        <v>25</v>
      </c>
      <c r="GO1555" s="101">
        <f t="shared" si="709"/>
        <v>5.6000000000000001E-2</v>
      </c>
      <c r="GP1555" s="101">
        <f t="shared" si="710"/>
        <v>1</v>
      </c>
      <c r="GQ1555" s="101">
        <f t="shared" si="711"/>
        <v>54</v>
      </c>
    </row>
    <row r="1556" spans="175:199" ht="16.5" x14ac:dyDescent="0.2">
      <c r="FS1556" s="101">
        <v>1551</v>
      </c>
      <c r="FT1556" s="101">
        <f t="shared" si="696"/>
        <v>0</v>
      </c>
      <c r="FU1556" s="101">
        <f t="shared" si="712"/>
        <v>20</v>
      </c>
      <c r="FV1556" s="14">
        <f t="shared" si="713"/>
        <v>3</v>
      </c>
      <c r="FW1556" s="101" t="str">
        <f t="shared" si="697"/>
        <v>燕青专属武器-魂珠-4 0级</v>
      </c>
      <c r="FX1556" s="101">
        <f t="shared" si="698"/>
        <v>4</v>
      </c>
      <c r="FY1556" s="101">
        <f t="shared" si="699"/>
        <v>0</v>
      </c>
      <c r="FZ1556" s="101" t="str">
        <f t="shared" si="714"/>
        <v/>
      </c>
      <c r="GA1556" s="139" t="str">
        <f>IF($FY1556&gt;0,IF(INDEX($EM$6:$EM$77,$FT1556)&gt;=GA$3,ROUND(INDEX(EO$6:EO$77,$FT1556)*INDEX(卡牌消耗!$B$8:$F$8,FV1556)/5,0)*5,""),"")</f>
        <v/>
      </c>
      <c r="GB1556" s="101" t="str">
        <f t="shared" si="715"/>
        <v/>
      </c>
      <c r="GC1556" s="101" t="str">
        <f t="shared" si="716"/>
        <v/>
      </c>
      <c r="GD1556" s="101" t="str">
        <f t="shared" si="717"/>
        <v/>
      </c>
      <c r="GE1556" s="101" t="str">
        <f t="shared" si="718"/>
        <v/>
      </c>
      <c r="GF1556" s="101" t="str">
        <f t="shared" si="700"/>
        <v/>
      </c>
      <c r="GG1556" s="101" t="str">
        <f t="shared" si="701"/>
        <v/>
      </c>
      <c r="GH1556" s="101" t="str">
        <f t="shared" si="702"/>
        <v/>
      </c>
      <c r="GI1556" s="101" t="str">
        <f t="shared" si="703"/>
        <v/>
      </c>
      <c r="GJ1556" s="101" t="str">
        <f t="shared" si="704"/>
        <v/>
      </c>
      <c r="GK1556" s="101" t="str">
        <f t="shared" si="705"/>
        <v/>
      </c>
      <c r="GL1556" s="101" t="str">
        <f t="shared" si="706"/>
        <v/>
      </c>
      <c r="GM1556" s="101" t="str">
        <f t="shared" si="707"/>
        <v/>
      </c>
      <c r="GN1556" s="101" t="str">
        <f t="shared" si="708"/>
        <v/>
      </c>
      <c r="GO1556" s="101" t="str">
        <f t="shared" si="709"/>
        <v/>
      </c>
      <c r="GP1556" s="101" t="str">
        <f t="shared" si="710"/>
        <v/>
      </c>
      <c r="GQ1556" s="101" t="str">
        <f t="shared" si="711"/>
        <v/>
      </c>
    </row>
    <row r="1557" spans="175:199" ht="16.5" x14ac:dyDescent="0.2">
      <c r="FS1557" s="101">
        <v>1552</v>
      </c>
      <c r="FT1557" s="101">
        <f t="shared" si="696"/>
        <v>28</v>
      </c>
      <c r="FU1557" s="101">
        <f t="shared" si="712"/>
        <v>20</v>
      </c>
      <c r="FV1557" s="14">
        <f t="shared" si="713"/>
        <v>3</v>
      </c>
      <c r="FW1557" s="101" t="str">
        <f t="shared" si="697"/>
        <v>燕青专属武器-魂珠-4 1级</v>
      </c>
      <c r="FX1557" s="101">
        <f t="shared" si="698"/>
        <v>4</v>
      </c>
      <c r="FY1557" s="101">
        <f t="shared" si="699"/>
        <v>1</v>
      </c>
      <c r="FZ1557" s="101" t="str">
        <f t="shared" si="714"/>
        <v>金币</v>
      </c>
      <c r="GA1557" s="139">
        <f>IF($FY1557&gt;0,IF(INDEX($EM$6:$EM$77,$FT1557)&gt;=GA$3,ROUND(INDEX(EO$6:EO$77,$FT1557)*INDEX(卡牌消耗!$B$8:$F$8,FV1557)/5,0)*5,""),"")</f>
        <v>730</v>
      </c>
      <c r="GB1557" s="101" t="str">
        <f t="shared" si="715"/>
        <v>专属强化石2</v>
      </c>
      <c r="GC1557" s="101">
        <f t="shared" si="716"/>
        <v>3</v>
      </c>
      <c r="GD1557" s="101" t="str">
        <f t="shared" si="717"/>
        <v>专属强化石3</v>
      </c>
      <c r="GE1557" s="101">
        <f t="shared" si="718"/>
        <v>1</v>
      </c>
      <c r="GF1557" s="101">
        <f t="shared" si="700"/>
        <v>0.2</v>
      </c>
      <c r="GG1557" s="101">
        <f t="shared" si="701"/>
        <v>1</v>
      </c>
      <c r="GH1557" s="101">
        <f t="shared" si="702"/>
        <v>7</v>
      </c>
      <c r="GI1557" s="101">
        <f t="shared" si="703"/>
        <v>0</v>
      </c>
      <c r="GJ1557" s="101">
        <f t="shared" si="704"/>
        <v>1</v>
      </c>
      <c r="GK1557" s="101">
        <f t="shared" si="705"/>
        <v>2</v>
      </c>
      <c r="GL1557" s="101">
        <f t="shared" si="706"/>
        <v>0.1012</v>
      </c>
      <c r="GM1557" s="101">
        <f t="shared" si="707"/>
        <v>1</v>
      </c>
      <c r="GN1557" s="101">
        <f t="shared" si="708"/>
        <v>3</v>
      </c>
      <c r="GO1557" s="101">
        <f t="shared" si="709"/>
        <v>0.40479999999999999</v>
      </c>
      <c r="GP1557" s="101">
        <f t="shared" si="710"/>
        <v>1</v>
      </c>
      <c r="GQ1557" s="101">
        <f t="shared" si="711"/>
        <v>7</v>
      </c>
    </row>
    <row r="1558" spans="175:199" ht="16.5" x14ac:dyDescent="0.2">
      <c r="FS1558" s="101">
        <v>1553</v>
      </c>
      <c r="FT1558" s="101">
        <f t="shared" ref="FT1558:FT1621" si="719">IF(FY1558&gt;0,(FX1558-1)*9+FY1558,0)</f>
        <v>29</v>
      </c>
      <c r="FU1558" s="101">
        <f t="shared" si="712"/>
        <v>20</v>
      </c>
      <c r="FV1558" s="14">
        <f t="shared" si="713"/>
        <v>3</v>
      </c>
      <c r="FW1558" s="101" t="str">
        <f t="shared" ref="FW1558:FW1621" si="720">INDEX($FN$6:$FN$26,FU1558)&amp;"专属武器-魂珠-"&amp;FX1558&amp;" "&amp;FY1558&amp;"级"</f>
        <v>燕青专属武器-魂珠-4 2级</v>
      </c>
      <c r="FX1558" s="101">
        <f t="shared" ref="FX1558:FX1621" si="721">INT((FS1558-(FU1558-1)*80-1)/10)+1</f>
        <v>4</v>
      </c>
      <c r="FY1558" s="101">
        <f t="shared" ref="FY1558:FY1621" si="722">FS1558-(FU1558-1)*80-(FX1558-1)*10-1</f>
        <v>2</v>
      </c>
      <c r="FZ1558" s="101" t="str">
        <f t="shared" si="714"/>
        <v>金币</v>
      </c>
      <c r="GA1558" s="139">
        <f>IF($FY1558&gt;0,IF(INDEX($EM$6:$EM$77,$FT1558)&gt;=GA$3,ROUND(INDEX(EO$6:EO$77,$FT1558)*INDEX(卡牌消耗!$B$8:$F$8,FV1558)/5,0)*5,""),"")</f>
        <v>545</v>
      </c>
      <c r="GB1558" s="101" t="str">
        <f t="shared" si="715"/>
        <v>专属强化石2</v>
      </c>
      <c r="GC1558" s="101">
        <f t="shared" si="716"/>
        <v>3</v>
      </c>
      <c r="GD1558" s="101" t="str">
        <f t="shared" si="717"/>
        <v>专属强化石3</v>
      </c>
      <c r="GE1558" s="101">
        <f t="shared" si="718"/>
        <v>1</v>
      </c>
      <c r="GF1558" s="101">
        <f t="shared" ref="GF1558:GF1621" si="723">IF($FY1558&gt;0,INDEX(ET$6:ET$77,$FT1558),"")</f>
        <v>0.1</v>
      </c>
      <c r="GG1558" s="101">
        <f t="shared" ref="GG1558:GG1621" si="724">IF($FY1558&gt;0,INDEX(EU$6:EU$77,$FT1558),"")</f>
        <v>1</v>
      </c>
      <c r="GH1558" s="101">
        <f t="shared" ref="GH1558:GH1621" si="725">IF($FY1558&gt;0,INDEX(EV$6:EV$77,$FT1558),"")</f>
        <v>15</v>
      </c>
      <c r="GI1558" s="101">
        <f t="shared" ref="GI1558:GI1621" si="726">IF($FY1558&gt;0,INDEX(FA$6:FA$77,$FT1558),"")</f>
        <v>0</v>
      </c>
      <c r="GJ1558" s="101">
        <f t="shared" ref="GJ1558:GJ1621" si="727">IF($FY1558&gt;0,INDEX(FB$6:FB$77,$FT1558),"")</f>
        <v>1</v>
      </c>
      <c r="GK1558" s="101">
        <f t="shared" ref="GK1558:GK1621" si="728">IF($FY1558&gt;0,INDEX(FC$6:FC$77,$FT1558),"")</f>
        <v>3</v>
      </c>
      <c r="GL1558" s="101">
        <f t="shared" ref="GL1558:GL1621" si="729">IF($FY1558&gt;0,INDEX(FD$6:FD$77,$FT1558),"")</f>
        <v>5.0599999999999999E-2</v>
      </c>
      <c r="GM1558" s="101">
        <f t="shared" ref="GM1558:GM1621" si="730">IF($FY1558&gt;0,INDEX(FE$6:FE$77,$FT1558),"")</f>
        <v>1</v>
      </c>
      <c r="GN1558" s="101">
        <f t="shared" ref="GN1558:GN1621" si="731">IF($FY1558&gt;0,INDEX(FF$6:FF$77,$FT1558),"")</f>
        <v>7</v>
      </c>
      <c r="GO1558" s="101">
        <f t="shared" ref="GO1558:GO1621" si="732">IF($FY1558&gt;0,INDEX(FG$6:FG$77,$FT1558),"")</f>
        <v>0.2024</v>
      </c>
      <c r="GP1558" s="101">
        <f t="shared" ref="GP1558:GP1621" si="733">IF($FY1558&gt;0,INDEX(FH$6:FH$77,$FT1558),"")</f>
        <v>1</v>
      </c>
      <c r="GQ1558" s="101">
        <f t="shared" ref="GQ1558:GQ1621" si="734">IF($FY1558&gt;0,INDEX(FI$6:FI$77,$FT1558),"")</f>
        <v>15</v>
      </c>
    </row>
    <row r="1559" spans="175:199" ht="16.5" x14ac:dyDescent="0.2">
      <c r="FS1559" s="101">
        <v>1554</v>
      </c>
      <c r="FT1559" s="101">
        <f t="shared" si="719"/>
        <v>30</v>
      </c>
      <c r="FU1559" s="101">
        <f t="shared" si="712"/>
        <v>20</v>
      </c>
      <c r="FV1559" s="14">
        <f t="shared" si="713"/>
        <v>3</v>
      </c>
      <c r="FW1559" s="101" t="str">
        <f t="shared" si="720"/>
        <v>燕青专属武器-魂珠-4 3级</v>
      </c>
      <c r="FX1559" s="101">
        <f t="shared" si="721"/>
        <v>4</v>
      </c>
      <c r="FY1559" s="101">
        <f t="shared" si="722"/>
        <v>3</v>
      </c>
      <c r="FZ1559" s="101" t="str">
        <f t="shared" si="714"/>
        <v>金币</v>
      </c>
      <c r="GA1559" s="139">
        <f>IF($FY1559&gt;0,IF(INDEX($EM$6:$EM$77,$FT1559)&gt;=GA$3,ROUND(INDEX(EO$6:EO$77,$FT1559)*INDEX(卡牌消耗!$B$8:$F$8,FV1559)/5,0)*5,""),"")</f>
        <v>610</v>
      </c>
      <c r="GB1559" s="101" t="str">
        <f t="shared" si="715"/>
        <v>专属强化石2</v>
      </c>
      <c r="GC1559" s="101">
        <f t="shared" si="716"/>
        <v>3</v>
      </c>
      <c r="GD1559" s="101" t="str">
        <f t="shared" si="717"/>
        <v>专属强化石3</v>
      </c>
      <c r="GE1559" s="101">
        <f t="shared" si="718"/>
        <v>1</v>
      </c>
      <c r="GF1559" s="101">
        <f t="shared" si="723"/>
        <v>7.0000000000000007E-2</v>
      </c>
      <c r="GG1559" s="101">
        <f t="shared" si="724"/>
        <v>1</v>
      </c>
      <c r="GH1559" s="101">
        <f t="shared" si="725"/>
        <v>22</v>
      </c>
      <c r="GI1559" s="101">
        <f t="shared" si="726"/>
        <v>0</v>
      </c>
      <c r="GJ1559" s="101">
        <f t="shared" si="727"/>
        <v>1</v>
      </c>
      <c r="GK1559" s="101">
        <f t="shared" si="728"/>
        <v>5</v>
      </c>
      <c r="GL1559" s="101">
        <f t="shared" si="729"/>
        <v>3.3700000000000001E-2</v>
      </c>
      <c r="GM1559" s="101">
        <f t="shared" si="730"/>
        <v>1</v>
      </c>
      <c r="GN1559" s="101">
        <f t="shared" si="731"/>
        <v>10</v>
      </c>
      <c r="GO1559" s="101">
        <f t="shared" si="732"/>
        <v>0.13489999999999999</v>
      </c>
      <c r="GP1559" s="101">
        <f t="shared" si="733"/>
        <v>1</v>
      </c>
      <c r="GQ1559" s="101">
        <f t="shared" si="734"/>
        <v>22</v>
      </c>
    </row>
    <row r="1560" spans="175:199" ht="16.5" x14ac:dyDescent="0.2">
      <c r="FS1560" s="101">
        <v>1555</v>
      </c>
      <c r="FT1560" s="101">
        <f t="shared" si="719"/>
        <v>31</v>
      </c>
      <c r="FU1560" s="101">
        <f t="shared" si="712"/>
        <v>20</v>
      </c>
      <c r="FV1560" s="14">
        <f t="shared" si="713"/>
        <v>3</v>
      </c>
      <c r="FW1560" s="101" t="str">
        <f t="shared" si="720"/>
        <v>燕青专属武器-魂珠-4 4级</v>
      </c>
      <c r="FX1560" s="101">
        <f t="shared" si="721"/>
        <v>4</v>
      </c>
      <c r="FY1560" s="101">
        <f t="shared" si="722"/>
        <v>4</v>
      </c>
      <c r="FZ1560" s="101" t="str">
        <f t="shared" si="714"/>
        <v>金币</v>
      </c>
      <c r="GA1560" s="139">
        <f>IF($FY1560&gt;0,IF(INDEX($EM$6:$EM$77,$FT1560)&gt;=GA$3,ROUND(INDEX(EO$6:EO$77,$FT1560)*INDEX(卡牌消耗!$B$8:$F$8,FV1560)/5,0)*5,""),"")</f>
        <v>1165</v>
      </c>
      <c r="GB1560" s="101" t="str">
        <f t="shared" si="715"/>
        <v>专属强化石2</v>
      </c>
      <c r="GC1560" s="101">
        <f t="shared" si="716"/>
        <v>5</v>
      </c>
      <c r="GD1560" s="101" t="str">
        <f t="shared" si="717"/>
        <v>专属强化石3</v>
      </c>
      <c r="GE1560" s="101">
        <f t="shared" si="718"/>
        <v>2</v>
      </c>
      <c r="GF1560" s="101">
        <f t="shared" si="723"/>
        <v>0.08</v>
      </c>
      <c r="GG1560" s="101">
        <f t="shared" si="724"/>
        <v>1</v>
      </c>
      <c r="GH1560" s="101">
        <f t="shared" si="725"/>
        <v>19</v>
      </c>
      <c r="GI1560" s="101">
        <f t="shared" si="726"/>
        <v>0</v>
      </c>
      <c r="GJ1560" s="101">
        <f t="shared" si="727"/>
        <v>1</v>
      </c>
      <c r="GK1560" s="101">
        <f t="shared" si="728"/>
        <v>4</v>
      </c>
      <c r="GL1560" s="101">
        <f t="shared" si="729"/>
        <v>4.0500000000000001E-2</v>
      </c>
      <c r="GM1560" s="101">
        <f t="shared" si="730"/>
        <v>1</v>
      </c>
      <c r="GN1560" s="101">
        <f t="shared" si="731"/>
        <v>9</v>
      </c>
      <c r="GO1560" s="101">
        <f t="shared" si="732"/>
        <v>0.16189999999999999</v>
      </c>
      <c r="GP1560" s="101">
        <f t="shared" si="733"/>
        <v>1</v>
      </c>
      <c r="GQ1560" s="101">
        <f t="shared" si="734"/>
        <v>19</v>
      </c>
    </row>
    <row r="1561" spans="175:199" ht="16.5" x14ac:dyDescent="0.2">
      <c r="FS1561" s="101">
        <v>1556</v>
      </c>
      <c r="FT1561" s="101">
        <f t="shared" si="719"/>
        <v>32</v>
      </c>
      <c r="FU1561" s="101">
        <f t="shared" si="712"/>
        <v>20</v>
      </c>
      <c r="FV1561" s="14">
        <f t="shared" si="713"/>
        <v>3</v>
      </c>
      <c r="FW1561" s="101" t="str">
        <f t="shared" si="720"/>
        <v>燕青专属武器-魂珠-4 5级</v>
      </c>
      <c r="FX1561" s="101">
        <f t="shared" si="721"/>
        <v>4</v>
      </c>
      <c r="FY1561" s="101">
        <f t="shared" si="722"/>
        <v>5</v>
      </c>
      <c r="FZ1561" s="101" t="str">
        <f t="shared" si="714"/>
        <v>金币</v>
      </c>
      <c r="GA1561" s="139">
        <f>IF($FY1561&gt;0,IF(INDEX($EM$6:$EM$77,$FT1561)&gt;=GA$3,ROUND(INDEX(EO$6:EO$77,$FT1561)*INDEX(卡牌消耗!$B$8:$F$8,FV1561)/5,0)*5,""),"")</f>
        <v>1185</v>
      </c>
      <c r="GB1561" s="101" t="str">
        <f t="shared" si="715"/>
        <v>专属强化石2</v>
      </c>
      <c r="GC1561" s="101">
        <f t="shared" si="716"/>
        <v>5</v>
      </c>
      <c r="GD1561" s="101" t="str">
        <f t="shared" si="717"/>
        <v>专属强化石3</v>
      </c>
      <c r="GE1561" s="101">
        <f t="shared" si="718"/>
        <v>2</v>
      </c>
      <c r="GF1561" s="101">
        <f t="shared" si="723"/>
        <v>0.05</v>
      </c>
      <c r="GG1561" s="101">
        <f t="shared" si="724"/>
        <v>1</v>
      </c>
      <c r="GH1561" s="101">
        <f t="shared" si="725"/>
        <v>30</v>
      </c>
      <c r="GI1561" s="101">
        <f t="shared" si="726"/>
        <v>0</v>
      </c>
      <c r="GJ1561" s="101">
        <f t="shared" si="727"/>
        <v>1</v>
      </c>
      <c r="GK1561" s="101">
        <f t="shared" si="728"/>
        <v>7</v>
      </c>
      <c r="GL1561" s="101">
        <f t="shared" si="729"/>
        <v>2.53E-2</v>
      </c>
      <c r="GM1561" s="101">
        <f t="shared" si="730"/>
        <v>1</v>
      </c>
      <c r="GN1561" s="101">
        <f t="shared" si="731"/>
        <v>14</v>
      </c>
      <c r="GO1561" s="101">
        <f t="shared" si="732"/>
        <v>0.1012</v>
      </c>
      <c r="GP1561" s="101">
        <f t="shared" si="733"/>
        <v>1</v>
      </c>
      <c r="GQ1561" s="101">
        <f t="shared" si="734"/>
        <v>30</v>
      </c>
    </row>
    <row r="1562" spans="175:199" ht="16.5" x14ac:dyDescent="0.2">
      <c r="FS1562" s="101">
        <v>1557</v>
      </c>
      <c r="FT1562" s="101">
        <f t="shared" si="719"/>
        <v>33</v>
      </c>
      <c r="FU1562" s="101">
        <f t="shared" si="712"/>
        <v>20</v>
      </c>
      <c r="FV1562" s="14">
        <f t="shared" si="713"/>
        <v>3</v>
      </c>
      <c r="FW1562" s="101" t="str">
        <f t="shared" si="720"/>
        <v>燕青专属武器-魂珠-4 6级</v>
      </c>
      <c r="FX1562" s="101">
        <f t="shared" si="721"/>
        <v>4</v>
      </c>
      <c r="FY1562" s="101">
        <f t="shared" si="722"/>
        <v>6</v>
      </c>
      <c r="FZ1562" s="101" t="str">
        <f t="shared" si="714"/>
        <v>金币</v>
      </c>
      <c r="GA1562" s="139">
        <f>IF($FY1562&gt;0,IF(INDEX($EM$6:$EM$77,$FT1562)&gt;=GA$3,ROUND(INDEX(EO$6:EO$77,$FT1562)*INDEX(卡牌消耗!$B$8:$F$8,FV1562)/5,0)*5,""),"")</f>
        <v>1180</v>
      </c>
      <c r="GB1562" s="101" t="str">
        <f t="shared" si="715"/>
        <v>专属强化石2</v>
      </c>
      <c r="GC1562" s="101">
        <f t="shared" si="716"/>
        <v>5</v>
      </c>
      <c r="GD1562" s="101" t="str">
        <f t="shared" si="717"/>
        <v>专属强化石3</v>
      </c>
      <c r="GE1562" s="101">
        <f t="shared" si="718"/>
        <v>2</v>
      </c>
      <c r="GF1562" s="101">
        <f t="shared" si="723"/>
        <v>0.03</v>
      </c>
      <c r="GG1562" s="101">
        <f t="shared" si="724"/>
        <v>1</v>
      </c>
      <c r="GH1562" s="101">
        <f t="shared" si="725"/>
        <v>48</v>
      </c>
      <c r="GI1562" s="101">
        <f t="shared" si="726"/>
        <v>0</v>
      </c>
      <c r="GJ1562" s="101">
        <f t="shared" si="727"/>
        <v>1</v>
      </c>
      <c r="GK1562" s="101">
        <f t="shared" si="728"/>
        <v>11</v>
      </c>
      <c r="GL1562" s="101">
        <f t="shared" si="729"/>
        <v>1.5599999999999999E-2</v>
      </c>
      <c r="GM1562" s="101">
        <f t="shared" si="730"/>
        <v>1</v>
      </c>
      <c r="GN1562" s="101">
        <f t="shared" si="731"/>
        <v>22</v>
      </c>
      <c r="GO1562" s="101">
        <f t="shared" si="732"/>
        <v>6.2300000000000001E-2</v>
      </c>
      <c r="GP1562" s="101">
        <f t="shared" si="733"/>
        <v>1</v>
      </c>
      <c r="GQ1562" s="101">
        <f t="shared" si="734"/>
        <v>48</v>
      </c>
    </row>
    <row r="1563" spans="175:199" ht="16.5" x14ac:dyDescent="0.2">
      <c r="FS1563" s="101">
        <v>1558</v>
      </c>
      <c r="FT1563" s="101">
        <f t="shared" si="719"/>
        <v>34</v>
      </c>
      <c r="FU1563" s="101">
        <f t="shared" si="712"/>
        <v>20</v>
      </c>
      <c r="FV1563" s="14">
        <f t="shared" si="713"/>
        <v>3</v>
      </c>
      <c r="FW1563" s="101" t="str">
        <f t="shared" si="720"/>
        <v>燕青专属武器-魂珠-4 7级</v>
      </c>
      <c r="FX1563" s="101">
        <f t="shared" si="721"/>
        <v>4</v>
      </c>
      <c r="FY1563" s="101">
        <f t="shared" si="722"/>
        <v>7</v>
      </c>
      <c r="FZ1563" s="101" t="str">
        <f t="shared" si="714"/>
        <v>金币</v>
      </c>
      <c r="GA1563" s="139">
        <f>IF($FY1563&gt;0,IF(INDEX($EM$6:$EM$77,$FT1563)&gt;=GA$3,ROUND(INDEX(EO$6:EO$77,$FT1563)*INDEX(卡牌消耗!$B$8:$F$8,FV1563)/5,0)*5,""),"")</f>
        <v>1770</v>
      </c>
      <c r="GB1563" s="101" t="str">
        <f t="shared" si="715"/>
        <v>专属强化石2</v>
      </c>
      <c r="GC1563" s="101">
        <f t="shared" si="716"/>
        <v>8</v>
      </c>
      <c r="GD1563" s="101" t="str">
        <f t="shared" si="717"/>
        <v>专属强化石3</v>
      </c>
      <c r="GE1563" s="101">
        <f t="shared" si="718"/>
        <v>3</v>
      </c>
      <c r="GF1563" s="101">
        <f t="shared" si="723"/>
        <v>0.03</v>
      </c>
      <c r="GG1563" s="101">
        <f t="shared" si="724"/>
        <v>1</v>
      </c>
      <c r="GH1563" s="101">
        <f t="shared" si="725"/>
        <v>52</v>
      </c>
      <c r="GI1563" s="101">
        <f t="shared" si="726"/>
        <v>0</v>
      </c>
      <c r="GJ1563" s="101">
        <f t="shared" si="727"/>
        <v>1</v>
      </c>
      <c r="GK1563" s="101">
        <f t="shared" si="728"/>
        <v>12</v>
      </c>
      <c r="GL1563" s="101">
        <f t="shared" si="729"/>
        <v>1.4500000000000001E-2</v>
      </c>
      <c r="GM1563" s="101">
        <f t="shared" si="730"/>
        <v>1</v>
      </c>
      <c r="GN1563" s="101">
        <f t="shared" si="731"/>
        <v>24</v>
      </c>
      <c r="GO1563" s="101">
        <f t="shared" si="732"/>
        <v>5.7799999999999997E-2</v>
      </c>
      <c r="GP1563" s="101">
        <f t="shared" si="733"/>
        <v>1</v>
      </c>
      <c r="GQ1563" s="101">
        <f t="shared" si="734"/>
        <v>52</v>
      </c>
    </row>
    <row r="1564" spans="175:199" ht="16.5" x14ac:dyDescent="0.2">
      <c r="FS1564" s="101">
        <v>1559</v>
      </c>
      <c r="FT1564" s="101">
        <f t="shared" si="719"/>
        <v>35</v>
      </c>
      <c r="FU1564" s="101">
        <f t="shared" si="712"/>
        <v>20</v>
      </c>
      <c r="FV1564" s="14">
        <f t="shared" si="713"/>
        <v>3</v>
      </c>
      <c r="FW1564" s="101" t="str">
        <f t="shared" si="720"/>
        <v>燕青专属武器-魂珠-4 8级</v>
      </c>
      <c r="FX1564" s="101">
        <f t="shared" si="721"/>
        <v>4</v>
      </c>
      <c r="FY1564" s="101">
        <f t="shared" si="722"/>
        <v>8</v>
      </c>
      <c r="FZ1564" s="101" t="str">
        <f t="shared" si="714"/>
        <v>金币</v>
      </c>
      <c r="GA1564" s="139">
        <f>IF($FY1564&gt;0,IF(INDEX($EM$6:$EM$77,$FT1564)&gt;=GA$3,ROUND(INDEX(EO$6:EO$77,$FT1564)*INDEX(卡牌消耗!$B$8:$F$8,FV1564)/5,0)*5,""),"")</f>
        <v>2360</v>
      </c>
      <c r="GB1564" s="101" t="str">
        <f t="shared" si="715"/>
        <v>专属强化石2</v>
      </c>
      <c r="GC1564" s="101">
        <f t="shared" si="716"/>
        <v>11</v>
      </c>
      <c r="GD1564" s="101" t="str">
        <f t="shared" si="717"/>
        <v>专属强化石3</v>
      </c>
      <c r="GE1564" s="101">
        <f t="shared" si="718"/>
        <v>4</v>
      </c>
      <c r="GF1564" s="101">
        <f t="shared" si="723"/>
        <v>0.02</v>
      </c>
      <c r="GG1564" s="101">
        <f t="shared" si="724"/>
        <v>1</v>
      </c>
      <c r="GH1564" s="101">
        <f t="shared" si="725"/>
        <v>63</v>
      </c>
      <c r="GI1564" s="101">
        <f t="shared" si="726"/>
        <v>0</v>
      </c>
      <c r="GJ1564" s="101">
        <f t="shared" si="727"/>
        <v>1</v>
      </c>
      <c r="GK1564" s="101">
        <f t="shared" si="728"/>
        <v>15</v>
      </c>
      <c r="GL1564" s="101">
        <f t="shared" si="729"/>
        <v>1.1900000000000001E-2</v>
      </c>
      <c r="GM1564" s="101">
        <f t="shared" si="730"/>
        <v>1</v>
      </c>
      <c r="GN1564" s="101">
        <f t="shared" si="731"/>
        <v>29</v>
      </c>
      <c r="GO1564" s="101">
        <f t="shared" si="732"/>
        <v>4.7600000000000003E-2</v>
      </c>
      <c r="GP1564" s="101">
        <f t="shared" si="733"/>
        <v>1</v>
      </c>
      <c r="GQ1564" s="101">
        <f t="shared" si="734"/>
        <v>63</v>
      </c>
    </row>
    <row r="1565" spans="175:199" ht="16.5" x14ac:dyDescent="0.2">
      <c r="FS1565" s="101">
        <v>1560</v>
      </c>
      <c r="FT1565" s="101">
        <f t="shared" si="719"/>
        <v>36</v>
      </c>
      <c r="FU1565" s="101">
        <f t="shared" si="712"/>
        <v>20</v>
      </c>
      <c r="FV1565" s="14">
        <f t="shared" si="713"/>
        <v>3</v>
      </c>
      <c r="FW1565" s="101" t="str">
        <f t="shared" si="720"/>
        <v>燕青专属武器-魂珠-4 9级</v>
      </c>
      <c r="FX1565" s="101">
        <f t="shared" si="721"/>
        <v>4</v>
      </c>
      <c r="FY1565" s="101">
        <f t="shared" si="722"/>
        <v>9</v>
      </c>
      <c r="FZ1565" s="101" t="str">
        <f t="shared" si="714"/>
        <v>金币</v>
      </c>
      <c r="GA1565" s="139">
        <f>IF($FY1565&gt;0,IF(INDEX($EM$6:$EM$77,$FT1565)&gt;=GA$3,ROUND(INDEX(EO$6:EO$77,$FT1565)*INDEX(卡牌消耗!$B$8:$F$8,FV1565)/5,0)*5,""),"")</f>
        <v>3540</v>
      </c>
      <c r="GB1565" s="101" t="str">
        <f t="shared" si="715"/>
        <v>专属强化石2</v>
      </c>
      <c r="GC1565" s="101">
        <f t="shared" si="716"/>
        <v>16</v>
      </c>
      <c r="GD1565" s="101" t="str">
        <f t="shared" si="717"/>
        <v>专属强化石3</v>
      </c>
      <c r="GE1565" s="101">
        <f t="shared" si="718"/>
        <v>6</v>
      </c>
      <c r="GF1565" s="101">
        <f t="shared" si="723"/>
        <v>0.02</v>
      </c>
      <c r="GG1565" s="101">
        <f t="shared" si="724"/>
        <v>1</v>
      </c>
      <c r="GH1565" s="101">
        <f t="shared" si="725"/>
        <v>68</v>
      </c>
      <c r="GI1565" s="101">
        <f t="shared" si="726"/>
        <v>0</v>
      </c>
      <c r="GJ1565" s="101">
        <f t="shared" si="727"/>
        <v>1</v>
      </c>
      <c r="GK1565" s="101">
        <f t="shared" si="728"/>
        <v>16</v>
      </c>
      <c r="GL1565" s="101">
        <f t="shared" si="729"/>
        <v>1.0999999999999999E-2</v>
      </c>
      <c r="GM1565" s="101">
        <f t="shared" si="730"/>
        <v>1</v>
      </c>
      <c r="GN1565" s="101">
        <f t="shared" si="731"/>
        <v>32</v>
      </c>
      <c r="GO1565" s="101">
        <f t="shared" si="732"/>
        <v>4.4200000000000003E-2</v>
      </c>
      <c r="GP1565" s="101">
        <f t="shared" si="733"/>
        <v>1</v>
      </c>
      <c r="GQ1565" s="101">
        <f t="shared" si="734"/>
        <v>68</v>
      </c>
    </row>
    <row r="1566" spans="175:199" ht="16.5" x14ac:dyDescent="0.2">
      <c r="FS1566" s="101">
        <v>1561</v>
      </c>
      <c r="FT1566" s="101">
        <f t="shared" si="719"/>
        <v>0</v>
      </c>
      <c r="FU1566" s="101">
        <f t="shared" si="712"/>
        <v>20</v>
      </c>
      <c r="FV1566" s="14">
        <f t="shared" si="713"/>
        <v>3</v>
      </c>
      <c r="FW1566" s="101" t="str">
        <f t="shared" si="720"/>
        <v>燕青专属武器-魂珠-5 0级</v>
      </c>
      <c r="FX1566" s="101">
        <f t="shared" si="721"/>
        <v>5</v>
      </c>
      <c r="FY1566" s="101">
        <f t="shared" si="722"/>
        <v>0</v>
      </c>
      <c r="FZ1566" s="101" t="str">
        <f t="shared" si="714"/>
        <v/>
      </c>
      <c r="GA1566" s="139" t="str">
        <f>IF($FY1566&gt;0,IF(INDEX($EM$6:$EM$77,$FT1566)&gt;=GA$3,ROUND(INDEX(EO$6:EO$77,$FT1566)*INDEX(卡牌消耗!$B$8:$F$8,FV1566)/5,0)*5,""),"")</f>
        <v/>
      </c>
      <c r="GB1566" s="101" t="str">
        <f t="shared" si="715"/>
        <v/>
      </c>
      <c r="GC1566" s="101" t="str">
        <f t="shared" si="716"/>
        <v/>
      </c>
      <c r="GD1566" s="101" t="str">
        <f t="shared" si="717"/>
        <v/>
      </c>
      <c r="GE1566" s="101" t="str">
        <f t="shared" si="718"/>
        <v/>
      </c>
      <c r="GF1566" s="101" t="str">
        <f t="shared" si="723"/>
        <v/>
      </c>
      <c r="GG1566" s="101" t="str">
        <f t="shared" si="724"/>
        <v/>
      </c>
      <c r="GH1566" s="101" t="str">
        <f t="shared" si="725"/>
        <v/>
      </c>
      <c r="GI1566" s="101" t="str">
        <f t="shared" si="726"/>
        <v/>
      </c>
      <c r="GJ1566" s="101" t="str">
        <f t="shared" si="727"/>
        <v/>
      </c>
      <c r="GK1566" s="101" t="str">
        <f t="shared" si="728"/>
        <v/>
      </c>
      <c r="GL1566" s="101" t="str">
        <f t="shared" si="729"/>
        <v/>
      </c>
      <c r="GM1566" s="101" t="str">
        <f t="shared" si="730"/>
        <v/>
      </c>
      <c r="GN1566" s="101" t="str">
        <f t="shared" si="731"/>
        <v/>
      </c>
      <c r="GO1566" s="101" t="str">
        <f t="shared" si="732"/>
        <v/>
      </c>
      <c r="GP1566" s="101" t="str">
        <f t="shared" si="733"/>
        <v/>
      </c>
      <c r="GQ1566" s="101" t="str">
        <f t="shared" si="734"/>
        <v/>
      </c>
    </row>
    <row r="1567" spans="175:199" ht="16.5" x14ac:dyDescent="0.2">
      <c r="FS1567" s="101">
        <v>1562</v>
      </c>
      <c r="FT1567" s="101">
        <f t="shared" si="719"/>
        <v>37</v>
      </c>
      <c r="FU1567" s="101">
        <f t="shared" si="712"/>
        <v>20</v>
      </c>
      <c r="FV1567" s="14">
        <f t="shared" si="713"/>
        <v>3</v>
      </c>
      <c r="FW1567" s="101" t="str">
        <f t="shared" si="720"/>
        <v>燕青专属武器-魂珠-5 1级</v>
      </c>
      <c r="FX1567" s="101">
        <f t="shared" si="721"/>
        <v>5</v>
      </c>
      <c r="FY1567" s="101">
        <f t="shared" si="722"/>
        <v>1</v>
      </c>
      <c r="FZ1567" s="101" t="str">
        <f t="shared" si="714"/>
        <v>金币</v>
      </c>
      <c r="GA1567" s="139">
        <f>IF($FY1567&gt;0,IF(INDEX($EM$6:$EM$77,$FT1567)&gt;=GA$3,ROUND(INDEX(EO$6:EO$77,$FT1567)*INDEX(卡牌消耗!$B$8:$F$8,FV1567)/5,0)*5,""),"")</f>
        <v>1495</v>
      </c>
      <c r="GB1567" s="101" t="str">
        <f t="shared" si="715"/>
        <v>专属强化石2</v>
      </c>
      <c r="GC1567" s="101">
        <f t="shared" si="716"/>
        <v>3</v>
      </c>
      <c r="GD1567" s="101" t="str">
        <f t="shared" si="717"/>
        <v>专属强化石3</v>
      </c>
      <c r="GE1567" s="101">
        <f t="shared" si="718"/>
        <v>2</v>
      </c>
      <c r="GF1567" s="101">
        <f t="shared" si="723"/>
        <v>0.2</v>
      </c>
      <c r="GG1567" s="101">
        <f t="shared" si="724"/>
        <v>1</v>
      </c>
      <c r="GH1567" s="101">
        <f t="shared" si="725"/>
        <v>7</v>
      </c>
      <c r="GI1567" s="101">
        <f t="shared" si="726"/>
        <v>0</v>
      </c>
      <c r="GJ1567" s="101">
        <f t="shared" si="727"/>
        <v>1</v>
      </c>
      <c r="GK1567" s="101">
        <f t="shared" si="728"/>
        <v>2</v>
      </c>
      <c r="GL1567" s="101">
        <f t="shared" si="729"/>
        <v>0.1012</v>
      </c>
      <c r="GM1567" s="101">
        <f t="shared" si="730"/>
        <v>1</v>
      </c>
      <c r="GN1567" s="101">
        <f t="shared" si="731"/>
        <v>3</v>
      </c>
      <c r="GO1567" s="101">
        <f t="shared" si="732"/>
        <v>0.40479999999999999</v>
      </c>
      <c r="GP1567" s="101">
        <f t="shared" si="733"/>
        <v>1</v>
      </c>
      <c r="GQ1567" s="101">
        <f t="shared" si="734"/>
        <v>7</v>
      </c>
    </row>
    <row r="1568" spans="175:199" ht="16.5" x14ac:dyDescent="0.2">
      <c r="FS1568" s="101">
        <v>1563</v>
      </c>
      <c r="FT1568" s="101">
        <f t="shared" si="719"/>
        <v>38</v>
      </c>
      <c r="FU1568" s="101">
        <f t="shared" si="712"/>
        <v>20</v>
      </c>
      <c r="FV1568" s="14">
        <f t="shared" si="713"/>
        <v>3</v>
      </c>
      <c r="FW1568" s="101" t="str">
        <f t="shared" si="720"/>
        <v>燕青专属武器-魂珠-5 2级</v>
      </c>
      <c r="FX1568" s="101">
        <f t="shared" si="721"/>
        <v>5</v>
      </c>
      <c r="FY1568" s="101">
        <f t="shared" si="722"/>
        <v>2</v>
      </c>
      <c r="FZ1568" s="101" t="str">
        <f t="shared" si="714"/>
        <v>金币</v>
      </c>
      <c r="GA1568" s="139">
        <f>IF($FY1568&gt;0,IF(INDEX($EM$6:$EM$77,$FT1568)&gt;=GA$3,ROUND(INDEX(EO$6:EO$77,$FT1568)*INDEX(卡牌消耗!$B$8:$F$8,FV1568)/5,0)*5,""),"")</f>
        <v>1120</v>
      </c>
      <c r="GB1568" s="101" t="str">
        <f t="shared" si="715"/>
        <v>专属强化石2</v>
      </c>
      <c r="GC1568" s="101">
        <f t="shared" si="716"/>
        <v>3</v>
      </c>
      <c r="GD1568" s="101" t="str">
        <f t="shared" si="717"/>
        <v>专属强化石3</v>
      </c>
      <c r="GE1568" s="101">
        <f t="shared" si="718"/>
        <v>2</v>
      </c>
      <c r="GF1568" s="101">
        <f t="shared" si="723"/>
        <v>0.1</v>
      </c>
      <c r="GG1568" s="101">
        <f t="shared" si="724"/>
        <v>1</v>
      </c>
      <c r="GH1568" s="101">
        <f t="shared" si="725"/>
        <v>15</v>
      </c>
      <c r="GI1568" s="101">
        <f t="shared" si="726"/>
        <v>0</v>
      </c>
      <c r="GJ1568" s="101">
        <f t="shared" si="727"/>
        <v>1</v>
      </c>
      <c r="GK1568" s="101">
        <f t="shared" si="728"/>
        <v>3</v>
      </c>
      <c r="GL1568" s="101">
        <f t="shared" si="729"/>
        <v>5.0599999999999999E-2</v>
      </c>
      <c r="GM1568" s="101">
        <f t="shared" si="730"/>
        <v>1</v>
      </c>
      <c r="GN1568" s="101">
        <f t="shared" si="731"/>
        <v>7</v>
      </c>
      <c r="GO1568" s="101">
        <f t="shared" si="732"/>
        <v>0.2024</v>
      </c>
      <c r="GP1568" s="101">
        <f t="shared" si="733"/>
        <v>1</v>
      </c>
      <c r="GQ1568" s="101">
        <f t="shared" si="734"/>
        <v>15</v>
      </c>
    </row>
    <row r="1569" spans="175:199" ht="16.5" x14ac:dyDescent="0.2">
      <c r="FS1569" s="101">
        <v>1564</v>
      </c>
      <c r="FT1569" s="101">
        <f t="shared" si="719"/>
        <v>39</v>
      </c>
      <c r="FU1569" s="101">
        <f t="shared" si="712"/>
        <v>20</v>
      </c>
      <c r="FV1569" s="14">
        <f t="shared" si="713"/>
        <v>3</v>
      </c>
      <c r="FW1569" s="101" t="str">
        <f t="shared" si="720"/>
        <v>燕青专属武器-魂珠-5 3级</v>
      </c>
      <c r="FX1569" s="101">
        <f t="shared" si="721"/>
        <v>5</v>
      </c>
      <c r="FY1569" s="101">
        <f t="shared" si="722"/>
        <v>3</v>
      </c>
      <c r="FZ1569" s="101" t="str">
        <f t="shared" si="714"/>
        <v>金币</v>
      </c>
      <c r="GA1569" s="139">
        <f>IF($FY1569&gt;0,IF(INDEX($EM$6:$EM$77,$FT1569)&gt;=GA$3,ROUND(INDEX(EO$6:EO$77,$FT1569)*INDEX(卡牌消耗!$B$8:$F$8,FV1569)/5,0)*5,""),"")</f>
        <v>1245</v>
      </c>
      <c r="GB1569" s="101" t="str">
        <f t="shared" si="715"/>
        <v>专属强化石2</v>
      </c>
      <c r="GC1569" s="101">
        <f t="shared" si="716"/>
        <v>3</v>
      </c>
      <c r="GD1569" s="101" t="str">
        <f t="shared" si="717"/>
        <v>专属强化石3</v>
      </c>
      <c r="GE1569" s="101">
        <f t="shared" si="718"/>
        <v>2</v>
      </c>
      <c r="GF1569" s="101">
        <f t="shared" si="723"/>
        <v>7.0000000000000007E-2</v>
      </c>
      <c r="GG1569" s="101">
        <f t="shared" si="724"/>
        <v>1</v>
      </c>
      <c r="GH1569" s="101">
        <f t="shared" si="725"/>
        <v>22</v>
      </c>
      <c r="GI1569" s="101">
        <f t="shared" si="726"/>
        <v>0</v>
      </c>
      <c r="GJ1569" s="101">
        <f t="shared" si="727"/>
        <v>1</v>
      </c>
      <c r="GK1569" s="101">
        <f t="shared" si="728"/>
        <v>5</v>
      </c>
      <c r="GL1569" s="101">
        <f t="shared" si="729"/>
        <v>3.3700000000000001E-2</v>
      </c>
      <c r="GM1569" s="101">
        <f t="shared" si="730"/>
        <v>1</v>
      </c>
      <c r="GN1569" s="101">
        <f t="shared" si="731"/>
        <v>10</v>
      </c>
      <c r="GO1569" s="101">
        <f t="shared" si="732"/>
        <v>0.13489999999999999</v>
      </c>
      <c r="GP1569" s="101">
        <f t="shared" si="733"/>
        <v>1</v>
      </c>
      <c r="GQ1569" s="101">
        <f t="shared" si="734"/>
        <v>22</v>
      </c>
    </row>
    <row r="1570" spans="175:199" ht="16.5" x14ac:dyDescent="0.2">
      <c r="FS1570" s="101">
        <v>1565</v>
      </c>
      <c r="FT1570" s="101">
        <f t="shared" si="719"/>
        <v>40</v>
      </c>
      <c r="FU1570" s="101">
        <f t="shared" si="712"/>
        <v>20</v>
      </c>
      <c r="FV1570" s="14">
        <f t="shared" si="713"/>
        <v>3</v>
      </c>
      <c r="FW1570" s="101" t="str">
        <f t="shared" si="720"/>
        <v>燕青专属武器-魂珠-5 4级</v>
      </c>
      <c r="FX1570" s="101">
        <f t="shared" si="721"/>
        <v>5</v>
      </c>
      <c r="FY1570" s="101">
        <f t="shared" si="722"/>
        <v>4</v>
      </c>
      <c r="FZ1570" s="101" t="str">
        <f t="shared" si="714"/>
        <v>金币</v>
      </c>
      <c r="GA1570" s="139">
        <f>IF($FY1570&gt;0,IF(INDEX($EM$6:$EM$77,$FT1570)&gt;=GA$3,ROUND(INDEX(EO$6:EO$77,$FT1570)*INDEX(卡牌消耗!$B$8:$F$8,FV1570)/5,0)*5,""),"")</f>
        <v>1795</v>
      </c>
      <c r="GB1570" s="101" t="str">
        <f t="shared" si="715"/>
        <v>专属强化石2</v>
      </c>
      <c r="GC1570" s="101">
        <f t="shared" si="716"/>
        <v>5</v>
      </c>
      <c r="GD1570" s="101" t="str">
        <f t="shared" si="717"/>
        <v>专属强化石3</v>
      </c>
      <c r="GE1570" s="101">
        <f t="shared" si="718"/>
        <v>3</v>
      </c>
      <c r="GF1570" s="101">
        <f t="shared" si="723"/>
        <v>0.06</v>
      </c>
      <c r="GG1570" s="101">
        <f t="shared" si="724"/>
        <v>1</v>
      </c>
      <c r="GH1570" s="101">
        <f t="shared" si="725"/>
        <v>25</v>
      </c>
      <c r="GI1570" s="101">
        <f t="shared" si="726"/>
        <v>0</v>
      </c>
      <c r="GJ1570" s="101">
        <f t="shared" si="727"/>
        <v>1</v>
      </c>
      <c r="GK1570" s="101">
        <f t="shared" si="728"/>
        <v>6</v>
      </c>
      <c r="GL1570" s="101">
        <f t="shared" si="729"/>
        <v>3.04E-2</v>
      </c>
      <c r="GM1570" s="101">
        <f t="shared" si="730"/>
        <v>1</v>
      </c>
      <c r="GN1570" s="101">
        <f t="shared" si="731"/>
        <v>12</v>
      </c>
      <c r="GO1570" s="101">
        <f t="shared" si="732"/>
        <v>0.12139999999999999</v>
      </c>
      <c r="GP1570" s="101">
        <f t="shared" si="733"/>
        <v>1</v>
      </c>
      <c r="GQ1570" s="101">
        <f t="shared" si="734"/>
        <v>25</v>
      </c>
    </row>
    <row r="1571" spans="175:199" ht="16.5" x14ac:dyDescent="0.2">
      <c r="FS1571" s="101">
        <v>1566</v>
      </c>
      <c r="FT1571" s="101">
        <f t="shared" si="719"/>
        <v>41</v>
      </c>
      <c r="FU1571" s="101">
        <f t="shared" si="712"/>
        <v>20</v>
      </c>
      <c r="FV1571" s="14">
        <f t="shared" si="713"/>
        <v>3</v>
      </c>
      <c r="FW1571" s="101" t="str">
        <f t="shared" si="720"/>
        <v>燕青专属武器-魂珠-5 5级</v>
      </c>
      <c r="FX1571" s="101">
        <f t="shared" si="721"/>
        <v>5</v>
      </c>
      <c r="FY1571" s="101">
        <f t="shared" si="722"/>
        <v>5</v>
      </c>
      <c r="FZ1571" s="101" t="str">
        <f t="shared" si="714"/>
        <v>金币</v>
      </c>
      <c r="GA1571" s="139">
        <f>IF($FY1571&gt;0,IF(INDEX($EM$6:$EM$77,$FT1571)&gt;=GA$3,ROUND(INDEX(EO$6:EO$77,$FT1571)*INDEX(卡牌消耗!$B$8:$F$8,FV1571)/5,0)*5,""),"")</f>
        <v>1825</v>
      </c>
      <c r="GB1571" s="101" t="str">
        <f t="shared" si="715"/>
        <v>专属强化石2</v>
      </c>
      <c r="GC1571" s="101">
        <f t="shared" si="716"/>
        <v>5</v>
      </c>
      <c r="GD1571" s="101" t="str">
        <f t="shared" si="717"/>
        <v>专属强化石3</v>
      </c>
      <c r="GE1571" s="101">
        <f t="shared" si="718"/>
        <v>3</v>
      </c>
      <c r="GF1571" s="101">
        <f t="shared" si="723"/>
        <v>0.04</v>
      </c>
      <c r="GG1571" s="101">
        <f t="shared" si="724"/>
        <v>1</v>
      </c>
      <c r="GH1571" s="101">
        <f t="shared" si="725"/>
        <v>40</v>
      </c>
      <c r="GI1571" s="101">
        <f t="shared" si="726"/>
        <v>0</v>
      </c>
      <c r="GJ1571" s="101">
        <f t="shared" si="727"/>
        <v>1</v>
      </c>
      <c r="GK1571" s="101">
        <f t="shared" si="728"/>
        <v>9</v>
      </c>
      <c r="GL1571" s="101">
        <f t="shared" si="729"/>
        <v>1.9E-2</v>
      </c>
      <c r="GM1571" s="101">
        <f t="shared" si="730"/>
        <v>1</v>
      </c>
      <c r="GN1571" s="101">
        <f t="shared" si="731"/>
        <v>18</v>
      </c>
      <c r="GO1571" s="101">
        <f t="shared" si="732"/>
        <v>7.5899999999999995E-2</v>
      </c>
      <c r="GP1571" s="101">
        <f t="shared" si="733"/>
        <v>1</v>
      </c>
      <c r="GQ1571" s="101">
        <f t="shared" si="734"/>
        <v>40</v>
      </c>
    </row>
    <row r="1572" spans="175:199" ht="16.5" x14ac:dyDescent="0.2">
      <c r="FS1572" s="101">
        <v>1567</v>
      </c>
      <c r="FT1572" s="101">
        <f t="shared" si="719"/>
        <v>42</v>
      </c>
      <c r="FU1572" s="101">
        <f t="shared" si="712"/>
        <v>20</v>
      </c>
      <c r="FV1572" s="14">
        <f t="shared" si="713"/>
        <v>3</v>
      </c>
      <c r="FW1572" s="101" t="str">
        <f t="shared" si="720"/>
        <v>燕青专属武器-魂珠-5 6级</v>
      </c>
      <c r="FX1572" s="101">
        <f t="shared" si="721"/>
        <v>5</v>
      </c>
      <c r="FY1572" s="101">
        <f t="shared" si="722"/>
        <v>6</v>
      </c>
      <c r="FZ1572" s="101" t="str">
        <f t="shared" si="714"/>
        <v>金币</v>
      </c>
      <c r="GA1572" s="139">
        <f>IF($FY1572&gt;0,IF(INDEX($EM$6:$EM$77,$FT1572)&gt;=GA$3,ROUND(INDEX(EO$6:EO$77,$FT1572)*INDEX(卡牌消耗!$B$8:$F$8,FV1572)/5,0)*5,""),"")</f>
        <v>3020</v>
      </c>
      <c r="GB1572" s="101" t="str">
        <f t="shared" si="715"/>
        <v>专属强化石2</v>
      </c>
      <c r="GC1572" s="101">
        <f t="shared" si="716"/>
        <v>8</v>
      </c>
      <c r="GD1572" s="101" t="str">
        <f t="shared" si="717"/>
        <v>专属强化石3</v>
      </c>
      <c r="GE1572" s="101">
        <f t="shared" si="718"/>
        <v>5</v>
      </c>
      <c r="GF1572" s="101">
        <f t="shared" si="723"/>
        <v>0.04</v>
      </c>
      <c r="GG1572" s="101">
        <f t="shared" si="724"/>
        <v>1</v>
      </c>
      <c r="GH1572" s="101">
        <f t="shared" si="725"/>
        <v>39</v>
      </c>
      <c r="GI1572" s="101">
        <f t="shared" si="726"/>
        <v>0</v>
      </c>
      <c r="GJ1572" s="101">
        <f t="shared" si="727"/>
        <v>1</v>
      </c>
      <c r="GK1572" s="101">
        <f t="shared" si="728"/>
        <v>9</v>
      </c>
      <c r="GL1572" s="101">
        <f t="shared" si="729"/>
        <v>1.95E-2</v>
      </c>
      <c r="GM1572" s="101">
        <f t="shared" si="730"/>
        <v>1</v>
      </c>
      <c r="GN1572" s="101">
        <f t="shared" si="731"/>
        <v>18</v>
      </c>
      <c r="GO1572" s="101">
        <f t="shared" si="732"/>
        <v>7.7799999999999994E-2</v>
      </c>
      <c r="GP1572" s="101">
        <f t="shared" si="733"/>
        <v>1</v>
      </c>
      <c r="GQ1572" s="101">
        <f t="shared" si="734"/>
        <v>39</v>
      </c>
    </row>
    <row r="1573" spans="175:199" ht="16.5" x14ac:dyDescent="0.2">
      <c r="FS1573" s="101">
        <v>1568</v>
      </c>
      <c r="FT1573" s="101">
        <f t="shared" si="719"/>
        <v>43</v>
      </c>
      <c r="FU1573" s="101">
        <f t="shared" si="712"/>
        <v>20</v>
      </c>
      <c r="FV1573" s="14">
        <f t="shared" si="713"/>
        <v>3</v>
      </c>
      <c r="FW1573" s="101" t="str">
        <f t="shared" si="720"/>
        <v>燕青专属武器-魂珠-5 7级</v>
      </c>
      <c r="FX1573" s="101">
        <f t="shared" si="721"/>
        <v>5</v>
      </c>
      <c r="FY1573" s="101">
        <f t="shared" si="722"/>
        <v>7</v>
      </c>
      <c r="FZ1573" s="101" t="str">
        <f t="shared" si="714"/>
        <v>金币</v>
      </c>
      <c r="GA1573" s="139">
        <f>IF($FY1573&gt;0,IF(INDEX($EM$6:$EM$77,$FT1573)&gt;=GA$3,ROUND(INDEX(EO$6:EO$77,$FT1573)*INDEX(卡牌消耗!$B$8:$F$8,FV1573)/5,0)*5,""),"")</f>
        <v>3025</v>
      </c>
      <c r="GB1573" s="101" t="str">
        <f t="shared" si="715"/>
        <v>专属强化石2</v>
      </c>
      <c r="GC1573" s="101">
        <f t="shared" si="716"/>
        <v>8</v>
      </c>
      <c r="GD1573" s="101" t="str">
        <f t="shared" si="717"/>
        <v>专属强化石3</v>
      </c>
      <c r="GE1573" s="101">
        <f t="shared" si="718"/>
        <v>5</v>
      </c>
      <c r="GF1573" s="101">
        <f t="shared" si="723"/>
        <v>0.02</v>
      </c>
      <c r="GG1573" s="101">
        <f t="shared" si="724"/>
        <v>1</v>
      </c>
      <c r="GH1573" s="101">
        <f t="shared" si="725"/>
        <v>62</v>
      </c>
      <c r="GI1573" s="101">
        <f t="shared" si="726"/>
        <v>0</v>
      </c>
      <c r="GJ1573" s="101">
        <f t="shared" si="727"/>
        <v>1</v>
      </c>
      <c r="GK1573" s="101">
        <f t="shared" si="728"/>
        <v>15</v>
      </c>
      <c r="GL1573" s="101">
        <f t="shared" si="729"/>
        <v>1.2E-2</v>
      </c>
      <c r="GM1573" s="101">
        <f t="shared" si="730"/>
        <v>1</v>
      </c>
      <c r="GN1573" s="101">
        <f t="shared" si="731"/>
        <v>29</v>
      </c>
      <c r="GO1573" s="101">
        <f t="shared" si="732"/>
        <v>4.82E-2</v>
      </c>
      <c r="GP1573" s="101">
        <f t="shared" si="733"/>
        <v>1</v>
      </c>
      <c r="GQ1573" s="101">
        <f t="shared" si="734"/>
        <v>62</v>
      </c>
    </row>
    <row r="1574" spans="175:199" ht="16.5" x14ac:dyDescent="0.2">
      <c r="FS1574" s="101">
        <v>1569</v>
      </c>
      <c r="FT1574" s="101">
        <f t="shared" si="719"/>
        <v>44</v>
      </c>
      <c r="FU1574" s="101">
        <f t="shared" si="712"/>
        <v>20</v>
      </c>
      <c r="FV1574" s="14">
        <f t="shared" si="713"/>
        <v>3</v>
      </c>
      <c r="FW1574" s="101" t="str">
        <f t="shared" si="720"/>
        <v>燕青专属武器-魂珠-5 8级</v>
      </c>
      <c r="FX1574" s="101">
        <f t="shared" si="721"/>
        <v>5</v>
      </c>
      <c r="FY1574" s="101">
        <f t="shared" si="722"/>
        <v>8</v>
      </c>
      <c r="FZ1574" s="101" t="str">
        <f t="shared" si="714"/>
        <v>金币</v>
      </c>
      <c r="GA1574" s="139">
        <f>IF($FY1574&gt;0,IF(INDEX($EM$6:$EM$77,$FT1574)&gt;=GA$3,ROUND(INDEX(EO$6:EO$77,$FT1574)*INDEX(卡牌消耗!$B$8:$F$8,FV1574)/5,0)*5,""),"")</f>
        <v>4235</v>
      </c>
      <c r="GB1574" s="101" t="str">
        <f t="shared" si="715"/>
        <v>专属强化石2</v>
      </c>
      <c r="GC1574" s="101">
        <f t="shared" si="716"/>
        <v>11</v>
      </c>
      <c r="GD1574" s="101" t="str">
        <f t="shared" si="717"/>
        <v>专属强化石3</v>
      </c>
      <c r="GE1574" s="101">
        <f t="shared" si="718"/>
        <v>7</v>
      </c>
      <c r="GF1574" s="101">
        <f t="shared" si="723"/>
        <v>0.02</v>
      </c>
      <c r="GG1574" s="101">
        <f t="shared" si="724"/>
        <v>1</v>
      </c>
      <c r="GH1574" s="101">
        <f t="shared" si="725"/>
        <v>72</v>
      </c>
      <c r="GI1574" s="101">
        <f t="shared" si="726"/>
        <v>0</v>
      </c>
      <c r="GJ1574" s="101">
        <f t="shared" si="727"/>
        <v>1</v>
      </c>
      <c r="GK1574" s="101">
        <f t="shared" si="728"/>
        <v>17</v>
      </c>
      <c r="GL1574" s="101">
        <f t="shared" si="729"/>
        <v>1.04E-2</v>
      </c>
      <c r="GM1574" s="101">
        <f t="shared" si="730"/>
        <v>1</v>
      </c>
      <c r="GN1574" s="101">
        <f t="shared" si="731"/>
        <v>34</v>
      </c>
      <c r="GO1574" s="101">
        <f t="shared" si="732"/>
        <v>4.1700000000000001E-2</v>
      </c>
      <c r="GP1574" s="101">
        <f t="shared" si="733"/>
        <v>1</v>
      </c>
      <c r="GQ1574" s="101">
        <f t="shared" si="734"/>
        <v>72</v>
      </c>
    </row>
    <row r="1575" spans="175:199" ht="16.5" x14ac:dyDescent="0.2">
      <c r="FS1575" s="101">
        <v>1570</v>
      </c>
      <c r="FT1575" s="101">
        <f t="shared" si="719"/>
        <v>45</v>
      </c>
      <c r="FU1575" s="101">
        <f t="shared" si="712"/>
        <v>20</v>
      </c>
      <c r="FV1575" s="14">
        <f t="shared" si="713"/>
        <v>3</v>
      </c>
      <c r="FW1575" s="101" t="str">
        <f t="shared" si="720"/>
        <v>燕青专属武器-魂珠-5 9级</v>
      </c>
      <c r="FX1575" s="101">
        <f t="shared" si="721"/>
        <v>5</v>
      </c>
      <c r="FY1575" s="101">
        <f t="shared" si="722"/>
        <v>9</v>
      </c>
      <c r="FZ1575" s="101" t="str">
        <f t="shared" si="714"/>
        <v>金币</v>
      </c>
      <c r="GA1575" s="139">
        <f>IF($FY1575&gt;0,IF(INDEX($EM$6:$EM$77,$FT1575)&gt;=GA$3,ROUND(INDEX(EO$6:EO$77,$FT1575)*INDEX(卡牌消耗!$B$8:$F$8,FV1575)/5,0)*5,""),"")</f>
        <v>5445</v>
      </c>
      <c r="GB1575" s="101" t="str">
        <f t="shared" si="715"/>
        <v>专属强化石2</v>
      </c>
      <c r="GC1575" s="101">
        <f t="shared" si="716"/>
        <v>14</v>
      </c>
      <c r="GD1575" s="101" t="str">
        <f t="shared" si="717"/>
        <v>专属强化石3</v>
      </c>
      <c r="GE1575" s="101">
        <f t="shared" si="718"/>
        <v>9</v>
      </c>
      <c r="GF1575" s="101">
        <f t="shared" si="723"/>
        <v>0.02</v>
      </c>
      <c r="GG1575" s="101">
        <f t="shared" si="724"/>
        <v>1</v>
      </c>
      <c r="GH1575" s="101">
        <f t="shared" si="725"/>
        <v>91</v>
      </c>
      <c r="GI1575" s="101">
        <f t="shared" si="726"/>
        <v>0</v>
      </c>
      <c r="GJ1575" s="101">
        <f t="shared" si="727"/>
        <v>1</v>
      </c>
      <c r="GK1575" s="101">
        <f t="shared" si="728"/>
        <v>21</v>
      </c>
      <c r="GL1575" s="101">
        <f t="shared" si="729"/>
        <v>8.3000000000000001E-3</v>
      </c>
      <c r="GM1575" s="101">
        <f t="shared" si="730"/>
        <v>1</v>
      </c>
      <c r="GN1575" s="101">
        <f t="shared" si="731"/>
        <v>42</v>
      </c>
      <c r="GO1575" s="101">
        <f t="shared" si="732"/>
        <v>3.3099999999999997E-2</v>
      </c>
      <c r="GP1575" s="101">
        <f t="shared" si="733"/>
        <v>1</v>
      </c>
      <c r="GQ1575" s="101">
        <f t="shared" si="734"/>
        <v>91</v>
      </c>
    </row>
    <row r="1576" spans="175:199" ht="16.5" x14ac:dyDescent="0.2">
      <c r="FS1576" s="101">
        <v>1571</v>
      </c>
      <c r="FT1576" s="101">
        <f t="shared" si="719"/>
        <v>0</v>
      </c>
      <c r="FU1576" s="101">
        <f t="shared" si="712"/>
        <v>20</v>
      </c>
      <c r="FV1576" s="14">
        <f t="shared" si="713"/>
        <v>3</v>
      </c>
      <c r="FW1576" s="101" t="str">
        <f t="shared" si="720"/>
        <v>燕青专属武器-魂珠-6 0级</v>
      </c>
      <c r="FX1576" s="101">
        <f t="shared" si="721"/>
        <v>6</v>
      </c>
      <c r="FY1576" s="101">
        <f t="shared" si="722"/>
        <v>0</v>
      </c>
      <c r="FZ1576" s="101" t="str">
        <f t="shared" si="714"/>
        <v/>
      </c>
      <c r="GA1576" s="139" t="str">
        <f>IF($FY1576&gt;0,IF(INDEX($EM$6:$EM$77,$FT1576)&gt;=GA$3,ROUND(INDEX(EO$6:EO$77,$FT1576)*INDEX(卡牌消耗!$B$8:$F$8,FV1576)/5,0)*5,""),"")</f>
        <v/>
      </c>
      <c r="GB1576" s="101" t="str">
        <f t="shared" si="715"/>
        <v/>
      </c>
      <c r="GC1576" s="101" t="str">
        <f t="shared" si="716"/>
        <v/>
      </c>
      <c r="GD1576" s="101" t="str">
        <f t="shared" si="717"/>
        <v/>
      </c>
      <c r="GE1576" s="101" t="str">
        <f t="shared" si="718"/>
        <v/>
      </c>
      <c r="GF1576" s="101" t="str">
        <f t="shared" si="723"/>
        <v/>
      </c>
      <c r="GG1576" s="101" t="str">
        <f t="shared" si="724"/>
        <v/>
      </c>
      <c r="GH1576" s="101" t="str">
        <f t="shared" si="725"/>
        <v/>
      </c>
      <c r="GI1576" s="101" t="str">
        <f t="shared" si="726"/>
        <v/>
      </c>
      <c r="GJ1576" s="101" t="str">
        <f t="shared" si="727"/>
        <v/>
      </c>
      <c r="GK1576" s="101" t="str">
        <f t="shared" si="728"/>
        <v/>
      </c>
      <c r="GL1576" s="101" t="str">
        <f t="shared" si="729"/>
        <v/>
      </c>
      <c r="GM1576" s="101" t="str">
        <f t="shared" si="730"/>
        <v/>
      </c>
      <c r="GN1576" s="101" t="str">
        <f t="shared" si="731"/>
        <v/>
      </c>
      <c r="GO1576" s="101" t="str">
        <f t="shared" si="732"/>
        <v/>
      </c>
      <c r="GP1576" s="101" t="str">
        <f t="shared" si="733"/>
        <v/>
      </c>
      <c r="GQ1576" s="101" t="str">
        <f t="shared" si="734"/>
        <v/>
      </c>
    </row>
    <row r="1577" spans="175:199" ht="16.5" x14ac:dyDescent="0.2">
      <c r="FS1577" s="101">
        <v>1572</v>
      </c>
      <c r="FT1577" s="101">
        <f t="shared" si="719"/>
        <v>46</v>
      </c>
      <c r="FU1577" s="101">
        <f t="shared" si="712"/>
        <v>20</v>
      </c>
      <c r="FV1577" s="14">
        <f t="shared" si="713"/>
        <v>3</v>
      </c>
      <c r="FW1577" s="101" t="str">
        <f t="shared" si="720"/>
        <v>燕青专属武器-魂珠-6 1级</v>
      </c>
      <c r="FX1577" s="101">
        <f t="shared" si="721"/>
        <v>6</v>
      </c>
      <c r="FY1577" s="101">
        <f t="shared" si="722"/>
        <v>1</v>
      </c>
      <c r="FZ1577" s="101" t="str">
        <f t="shared" si="714"/>
        <v>金币</v>
      </c>
      <c r="GA1577" s="139">
        <f>IF($FY1577&gt;0,IF(INDEX($EM$6:$EM$77,$FT1577)&gt;=GA$3,ROUND(INDEX(EO$6:EO$77,$FT1577)*INDEX(卡牌消耗!$B$8:$F$8,FV1577)/5,0)*5,""),"")</f>
        <v>1455</v>
      </c>
      <c r="GB1577" s="101" t="str">
        <f t="shared" si="715"/>
        <v>专属强化石3</v>
      </c>
      <c r="GC1577" s="101">
        <f t="shared" si="716"/>
        <v>5</v>
      </c>
      <c r="GD1577" s="101" t="str">
        <f t="shared" si="717"/>
        <v>专属强化石4</v>
      </c>
      <c r="GE1577" s="101">
        <f t="shared" si="718"/>
        <v>1</v>
      </c>
      <c r="GF1577" s="101">
        <f t="shared" si="723"/>
        <v>0.17</v>
      </c>
      <c r="GG1577" s="101">
        <f t="shared" si="724"/>
        <v>1</v>
      </c>
      <c r="GH1577" s="101">
        <f t="shared" si="725"/>
        <v>9</v>
      </c>
      <c r="GI1577" s="101">
        <f t="shared" si="726"/>
        <v>0</v>
      </c>
      <c r="GJ1577" s="101">
        <f t="shared" si="727"/>
        <v>1</v>
      </c>
      <c r="GK1577" s="101">
        <f t="shared" si="728"/>
        <v>2</v>
      </c>
      <c r="GL1577" s="101">
        <f t="shared" si="729"/>
        <v>8.2900000000000001E-2</v>
      </c>
      <c r="GM1577" s="101">
        <f t="shared" si="730"/>
        <v>1</v>
      </c>
      <c r="GN1577" s="101">
        <f t="shared" si="731"/>
        <v>4</v>
      </c>
      <c r="GO1577" s="101">
        <f t="shared" si="732"/>
        <v>0.33139999999999997</v>
      </c>
      <c r="GP1577" s="101">
        <f t="shared" si="733"/>
        <v>1</v>
      </c>
      <c r="GQ1577" s="101">
        <f t="shared" si="734"/>
        <v>9</v>
      </c>
    </row>
    <row r="1578" spans="175:199" ht="16.5" x14ac:dyDescent="0.2">
      <c r="FS1578" s="101">
        <v>1573</v>
      </c>
      <c r="FT1578" s="101">
        <f t="shared" si="719"/>
        <v>47</v>
      </c>
      <c r="FU1578" s="101">
        <f t="shared" si="712"/>
        <v>20</v>
      </c>
      <c r="FV1578" s="14">
        <f t="shared" si="713"/>
        <v>3</v>
      </c>
      <c r="FW1578" s="101" t="str">
        <f t="shared" si="720"/>
        <v>燕青专属武器-魂珠-6 2级</v>
      </c>
      <c r="FX1578" s="101">
        <f t="shared" si="721"/>
        <v>6</v>
      </c>
      <c r="FY1578" s="101">
        <f t="shared" si="722"/>
        <v>2</v>
      </c>
      <c r="FZ1578" s="101" t="str">
        <f t="shared" si="714"/>
        <v>金币</v>
      </c>
      <c r="GA1578" s="139">
        <f>IF($FY1578&gt;0,IF(INDEX($EM$6:$EM$77,$FT1578)&gt;=GA$3,ROUND(INDEX(EO$6:EO$77,$FT1578)*INDEX(卡牌消耗!$B$8:$F$8,FV1578)/5,0)*5,""),"")</f>
        <v>2180</v>
      </c>
      <c r="GB1578" s="101" t="str">
        <f t="shared" si="715"/>
        <v>专属强化石3</v>
      </c>
      <c r="GC1578" s="101">
        <f t="shared" si="716"/>
        <v>10</v>
      </c>
      <c r="GD1578" s="101" t="str">
        <f t="shared" si="717"/>
        <v>专属强化石4</v>
      </c>
      <c r="GE1578" s="101">
        <f t="shared" si="718"/>
        <v>2</v>
      </c>
      <c r="GF1578" s="101">
        <f t="shared" si="723"/>
        <v>0.17</v>
      </c>
      <c r="GG1578" s="101">
        <f t="shared" si="724"/>
        <v>1</v>
      </c>
      <c r="GH1578" s="101">
        <f t="shared" si="725"/>
        <v>9</v>
      </c>
      <c r="GI1578" s="101">
        <f t="shared" si="726"/>
        <v>0</v>
      </c>
      <c r="GJ1578" s="101">
        <f t="shared" si="727"/>
        <v>1</v>
      </c>
      <c r="GK1578" s="101">
        <f t="shared" si="728"/>
        <v>2</v>
      </c>
      <c r="GL1578" s="101">
        <f t="shared" si="729"/>
        <v>8.2900000000000001E-2</v>
      </c>
      <c r="GM1578" s="101">
        <f t="shared" si="730"/>
        <v>1</v>
      </c>
      <c r="GN1578" s="101">
        <f t="shared" si="731"/>
        <v>4</v>
      </c>
      <c r="GO1578" s="101">
        <f t="shared" si="732"/>
        <v>0.33139999999999997</v>
      </c>
      <c r="GP1578" s="101">
        <f t="shared" si="733"/>
        <v>1</v>
      </c>
      <c r="GQ1578" s="101">
        <f t="shared" si="734"/>
        <v>9</v>
      </c>
    </row>
    <row r="1579" spans="175:199" ht="16.5" x14ac:dyDescent="0.2">
      <c r="FS1579" s="101">
        <v>1574</v>
      </c>
      <c r="FT1579" s="101">
        <f t="shared" si="719"/>
        <v>48</v>
      </c>
      <c r="FU1579" s="101">
        <f t="shared" si="712"/>
        <v>20</v>
      </c>
      <c r="FV1579" s="14">
        <f t="shared" si="713"/>
        <v>3</v>
      </c>
      <c r="FW1579" s="101" t="str">
        <f t="shared" si="720"/>
        <v>燕青专属武器-魂珠-6 3级</v>
      </c>
      <c r="FX1579" s="101">
        <f t="shared" si="721"/>
        <v>6</v>
      </c>
      <c r="FY1579" s="101">
        <f t="shared" si="722"/>
        <v>3</v>
      </c>
      <c r="FZ1579" s="101" t="str">
        <f t="shared" si="714"/>
        <v>金币</v>
      </c>
      <c r="GA1579" s="139">
        <f>IF($FY1579&gt;0,IF(INDEX($EM$6:$EM$77,$FT1579)&gt;=GA$3,ROUND(INDEX(EO$6:EO$77,$FT1579)*INDEX(卡牌消耗!$B$8:$F$8,FV1579)/5,0)*5,""),"")</f>
        <v>2425</v>
      </c>
      <c r="GB1579" s="101" t="str">
        <f t="shared" si="715"/>
        <v>专属强化石3</v>
      </c>
      <c r="GC1579" s="101">
        <f t="shared" si="716"/>
        <v>10</v>
      </c>
      <c r="GD1579" s="101" t="str">
        <f t="shared" si="717"/>
        <v>专属强化石4</v>
      </c>
      <c r="GE1579" s="101">
        <f t="shared" si="718"/>
        <v>2</v>
      </c>
      <c r="GF1579" s="101">
        <f t="shared" si="723"/>
        <v>0.11</v>
      </c>
      <c r="GG1579" s="101">
        <f t="shared" si="724"/>
        <v>1</v>
      </c>
      <c r="GH1579" s="101">
        <f t="shared" si="725"/>
        <v>14</v>
      </c>
      <c r="GI1579" s="101">
        <f t="shared" si="726"/>
        <v>0</v>
      </c>
      <c r="GJ1579" s="101">
        <f t="shared" si="727"/>
        <v>1</v>
      </c>
      <c r="GK1579" s="101">
        <f t="shared" si="728"/>
        <v>3</v>
      </c>
      <c r="GL1579" s="101">
        <f t="shared" si="729"/>
        <v>5.5199999999999999E-2</v>
      </c>
      <c r="GM1579" s="101">
        <f t="shared" si="730"/>
        <v>1</v>
      </c>
      <c r="GN1579" s="101">
        <f t="shared" si="731"/>
        <v>6</v>
      </c>
      <c r="GO1579" s="101">
        <f t="shared" si="732"/>
        <v>0.221</v>
      </c>
      <c r="GP1579" s="101">
        <f t="shared" si="733"/>
        <v>1</v>
      </c>
      <c r="GQ1579" s="101">
        <f t="shared" si="734"/>
        <v>14</v>
      </c>
    </row>
    <row r="1580" spans="175:199" ht="16.5" x14ac:dyDescent="0.2">
      <c r="FS1580" s="101">
        <v>1575</v>
      </c>
      <c r="FT1580" s="101">
        <f t="shared" si="719"/>
        <v>49</v>
      </c>
      <c r="FU1580" s="101">
        <f t="shared" si="712"/>
        <v>20</v>
      </c>
      <c r="FV1580" s="14">
        <f t="shared" si="713"/>
        <v>3</v>
      </c>
      <c r="FW1580" s="101" t="str">
        <f t="shared" si="720"/>
        <v>燕青专属武器-魂珠-6 4级</v>
      </c>
      <c r="FX1580" s="101">
        <f t="shared" si="721"/>
        <v>6</v>
      </c>
      <c r="FY1580" s="101">
        <f t="shared" si="722"/>
        <v>4</v>
      </c>
      <c r="FZ1580" s="101" t="str">
        <f t="shared" si="714"/>
        <v>金币</v>
      </c>
      <c r="GA1580" s="139">
        <f>IF($FY1580&gt;0,IF(INDEX($EM$6:$EM$77,$FT1580)&gt;=GA$3,ROUND(INDEX(EO$6:EO$77,$FT1580)*INDEX(卡牌消耗!$B$8:$F$8,FV1580)/5,0)*5,""),"")</f>
        <v>3490</v>
      </c>
      <c r="GB1580" s="101" t="str">
        <f t="shared" si="715"/>
        <v>专属强化石3</v>
      </c>
      <c r="GC1580" s="101">
        <f t="shared" si="716"/>
        <v>15</v>
      </c>
      <c r="GD1580" s="101" t="str">
        <f t="shared" si="717"/>
        <v>专属强化石4</v>
      </c>
      <c r="GE1580" s="101">
        <f t="shared" si="718"/>
        <v>3</v>
      </c>
      <c r="GF1580" s="101">
        <f t="shared" si="723"/>
        <v>0.1</v>
      </c>
      <c r="GG1580" s="101">
        <f t="shared" si="724"/>
        <v>1</v>
      </c>
      <c r="GH1580" s="101">
        <f t="shared" si="725"/>
        <v>15</v>
      </c>
      <c r="GI1580" s="101">
        <f t="shared" si="726"/>
        <v>0</v>
      </c>
      <c r="GJ1580" s="101">
        <f t="shared" si="727"/>
        <v>1</v>
      </c>
      <c r="GK1580" s="101">
        <f t="shared" si="728"/>
        <v>4</v>
      </c>
      <c r="GL1580" s="101">
        <f t="shared" si="729"/>
        <v>4.9700000000000001E-2</v>
      </c>
      <c r="GM1580" s="101">
        <f t="shared" si="730"/>
        <v>1</v>
      </c>
      <c r="GN1580" s="101">
        <f t="shared" si="731"/>
        <v>7</v>
      </c>
      <c r="GO1580" s="101">
        <f t="shared" si="732"/>
        <v>0.19889999999999999</v>
      </c>
      <c r="GP1580" s="101">
        <f t="shared" si="733"/>
        <v>1</v>
      </c>
      <c r="GQ1580" s="101">
        <f t="shared" si="734"/>
        <v>15</v>
      </c>
    </row>
    <row r="1581" spans="175:199" ht="16.5" x14ac:dyDescent="0.2">
      <c r="FS1581" s="101">
        <v>1576</v>
      </c>
      <c r="FT1581" s="101">
        <f t="shared" si="719"/>
        <v>50</v>
      </c>
      <c r="FU1581" s="101">
        <f t="shared" si="712"/>
        <v>20</v>
      </c>
      <c r="FV1581" s="14">
        <f t="shared" si="713"/>
        <v>3</v>
      </c>
      <c r="FW1581" s="101" t="str">
        <f t="shared" si="720"/>
        <v>燕青专属武器-魂珠-6 5级</v>
      </c>
      <c r="FX1581" s="101">
        <f t="shared" si="721"/>
        <v>6</v>
      </c>
      <c r="FY1581" s="101">
        <f t="shared" si="722"/>
        <v>5</v>
      </c>
      <c r="FZ1581" s="101" t="str">
        <f t="shared" si="714"/>
        <v>金币</v>
      </c>
      <c r="GA1581" s="139">
        <f>IF($FY1581&gt;0,IF(INDEX($EM$6:$EM$77,$FT1581)&gt;=GA$3,ROUND(INDEX(EO$6:EO$77,$FT1581)*INDEX(卡牌消耗!$B$8:$F$8,FV1581)/5,0)*5,""),"")</f>
        <v>3545</v>
      </c>
      <c r="GB1581" s="101" t="str">
        <f t="shared" si="715"/>
        <v>专属强化石3</v>
      </c>
      <c r="GC1581" s="101">
        <f t="shared" si="716"/>
        <v>15</v>
      </c>
      <c r="GD1581" s="101" t="str">
        <f t="shared" si="717"/>
        <v>专属强化石4</v>
      </c>
      <c r="GE1581" s="101">
        <f t="shared" si="718"/>
        <v>3</v>
      </c>
      <c r="GF1581" s="101">
        <f t="shared" si="723"/>
        <v>0.06</v>
      </c>
      <c r="GG1581" s="101">
        <f t="shared" si="724"/>
        <v>1</v>
      </c>
      <c r="GH1581" s="101">
        <f t="shared" si="725"/>
        <v>24</v>
      </c>
      <c r="GI1581" s="101">
        <f t="shared" si="726"/>
        <v>0</v>
      </c>
      <c r="GJ1581" s="101">
        <f t="shared" si="727"/>
        <v>1</v>
      </c>
      <c r="GK1581" s="101">
        <f t="shared" si="728"/>
        <v>6</v>
      </c>
      <c r="GL1581" s="101">
        <f t="shared" si="729"/>
        <v>3.1099999999999999E-2</v>
      </c>
      <c r="GM1581" s="101">
        <f t="shared" si="730"/>
        <v>1</v>
      </c>
      <c r="GN1581" s="101">
        <f t="shared" si="731"/>
        <v>11</v>
      </c>
      <c r="GO1581" s="101">
        <f t="shared" si="732"/>
        <v>0.12429999999999999</v>
      </c>
      <c r="GP1581" s="101">
        <f t="shared" si="733"/>
        <v>1</v>
      </c>
      <c r="GQ1581" s="101">
        <f t="shared" si="734"/>
        <v>24</v>
      </c>
    </row>
    <row r="1582" spans="175:199" ht="16.5" x14ac:dyDescent="0.2">
      <c r="FS1582" s="101">
        <v>1577</v>
      </c>
      <c r="FT1582" s="101">
        <f t="shared" si="719"/>
        <v>51</v>
      </c>
      <c r="FU1582" s="101">
        <f t="shared" si="712"/>
        <v>20</v>
      </c>
      <c r="FV1582" s="14">
        <f t="shared" si="713"/>
        <v>3</v>
      </c>
      <c r="FW1582" s="101" t="str">
        <f t="shared" si="720"/>
        <v>燕青专属武器-魂珠-6 6级</v>
      </c>
      <c r="FX1582" s="101">
        <f t="shared" si="721"/>
        <v>6</v>
      </c>
      <c r="FY1582" s="101">
        <f t="shared" si="722"/>
        <v>6</v>
      </c>
      <c r="FZ1582" s="101" t="str">
        <f t="shared" si="714"/>
        <v>金币</v>
      </c>
      <c r="GA1582" s="139">
        <f>IF($FY1582&gt;0,IF(INDEX($EM$6:$EM$77,$FT1582)&gt;=GA$3,ROUND(INDEX(EO$6:EO$77,$FT1582)*INDEX(卡牌消耗!$B$8:$F$8,FV1582)/5,0)*5,""),"")</f>
        <v>4700</v>
      </c>
      <c r="GB1582" s="101" t="str">
        <f t="shared" si="715"/>
        <v>专属强化石3</v>
      </c>
      <c r="GC1582" s="101">
        <f t="shared" si="716"/>
        <v>20</v>
      </c>
      <c r="GD1582" s="101" t="str">
        <f t="shared" si="717"/>
        <v>专属强化石4</v>
      </c>
      <c r="GE1582" s="101">
        <f t="shared" si="718"/>
        <v>4</v>
      </c>
      <c r="GF1582" s="101">
        <f t="shared" si="723"/>
        <v>0.05</v>
      </c>
      <c r="GG1582" s="101">
        <f t="shared" si="724"/>
        <v>1</v>
      </c>
      <c r="GH1582" s="101">
        <f t="shared" si="725"/>
        <v>29</v>
      </c>
      <c r="GI1582" s="101">
        <f t="shared" si="726"/>
        <v>0</v>
      </c>
      <c r="GJ1582" s="101">
        <f t="shared" si="727"/>
        <v>1</v>
      </c>
      <c r="GK1582" s="101">
        <f t="shared" si="728"/>
        <v>7</v>
      </c>
      <c r="GL1582" s="101">
        <f t="shared" si="729"/>
        <v>2.5499999999999998E-2</v>
      </c>
      <c r="GM1582" s="101">
        <f t="shared" si="730"/>
        <v>1</v>
      </c>
      <c r="GN1582" s="101">
        <f t="shared" si="731"/>
        <v>14</v>
      </c>
      <c r="GO1582" s="101">
        <f t="shared" si="732"/>
        <v>0.10199999999999999</v>
      </c>
      <c r="GP1582" s="101">
        <f t="shared" si="733"/>
        <v>1</v>
      </c>
      <c r="GQ1582" s="101">
        <f t="shared" si="734"/>
        <v>29</v>
      </c>
    </row>
    <row r="1583" spans="175:199" ht="16.5" x14ac:dyDescent="0.2">
      <c r="FS1583" s="101">
        <v>1578</v>
      </c>
      <c r="FT1583" s="101">
        <f t="shared" si="719"/>
        <v>52</v>
      </c>
      <c r="FU1583" s="101">
        <f t="shared" si="712"/>
        <v>20</v>
      </c>
      <c r="FV1583" s="14">
        <f t="shared" si="713"/>
        <v>3</v>
      </c>
      <c r="FW1583" s="101" t="str">
        <f t="shared" si="720"/>
        <v>燕青专属武器-魂珠-6 7级</v>
      </c>
      <c r="FX1583" s="101">
        <f t="shared" si="721"/>
        <v>6</v>
      </c>
      <c r="FY1583" s="101">
        <f t="shared" si="722"/>
        <v>7</v>
      </c>
      <c r="FZ1583" s="101" t="str">
        <f t="shared" si="714"/>
        <v>金币</v>
      </c>
      <c r="GA1583" s="139">
        <f>IF($FY1583&gt;0,IF(INDEX($EM$6:$EM$77,$FT1583)&gt;=GA$3,ROUND(INDEX(EO$6:EO$77,$FT1583)*INDEX(卡牌消耗!$B$8:$F$8,FV1583)/5,0)*5,""),"")</f>
        <v>5885</v>
      </c>
      <c r="GB1583" s="101" t="str">
        <f t="shared" si="715"/>
        <v>专属强化石3</v>
      </c>
      <c r="GC1583" s="101">
        <f t="shared" si="716"/>
        <v>25</v>
      </c>
      <c r="GD1583" s="101" t="str">
        <f t="shared" si="717"/>
        <v>专属强化石4</v>
      </c>
      <c r="GE1583" s="101">
        <f t="shared" si="718"/>
        <v>5</v>
      </c>
      <c r="GF1583" s="101">
        <f t="shared" si="723"/>
        <v>0.04</v>
      </c>
      <c r="GG1583" s="101">
        <f t="shared" si="724"/>
        <v>1</v>
      </c>
      <c r="GH1583" s="101">
        <f t="shared" si="725"/>
        <v>38</v>
      </c>
      <c r="GI1583" s="101">
        <f t="shared" si="726"/>
        <v>0</v>
      </c>
      <c r="GJ1583" s="101">
        <f t="shared" si="727"/>
        <v>1</v>
      </c>
      <c r="GK1583" s="101">
        <f t="shared" si="728"/>
        <v>9</v>
      </c>
      <c r="GL1583" s="101">
        <f t="shared" si="729"/>
        <v>1.9699999999999999E-2</v>
      </c>
      <c r="GM1583" s="101">
        <f t="shared" si="730"/>
        <v>1</v>
      </c>
      <c r="GN1583" s="101">
        <f t="shared" si="731"/>
        <v>18</v>
      </c>
      <c r="GO1583" s="101">
        <f t="shared" si="732"/>
        <v>7.8899999999999998E-2</v>
      </c>
      <c r="GP1583" s="101">
        <f t="shared" si="733"/>
        <v>1</v>
      </c>
      <c r="GQ1583" s="101">
        <f t="shared" si="734"/>
        <v>38</v>
      </c>
    </row>
    <row r="1584" spans="175:199" ht="16.5" x14ac:dyDescent="0.2">
      <c r="FS1584" s="101">
        <v>1579</v>
      </c>
      <c r="FT1584" s="101">
        <f t="shared" si="719"/>
        <v>53</v>
      </c>
      <c r="FU1584" s="101">
        <f t="shared" si="712"/>
        <v>20</v>
      </c>
      <c r="FV1584" s="14">
        <f t="shared" si="713"/>
        <v>3</v>
      </c>
      <c r="FW1584" s="101" t="str">
        <f t="shared" si="720"/>
        <v>燕青专属武器-魂珠-6 8级</v>
      </c>
      <c r="FX1584" s="101">
        <f t="shared" si="721"/>
        <v>6</v>
      </c>
      <c r="FY1584" s="101">
        <f t="shared" si="722"/>
        <v>8</v>
      </c>
      <c r="FZ1584" s="101" t="str">
        <f t="shared" si="714"/>
        <v>金币</v>
      </c>
      <c r="GA1584" s="139">
        <f>IF($FY1584&gt;0,IF(INDEX($EM$6:$EM$77,$FT1584)&gt;=GA$3,ROUND(INDEX(EO$6:EO$77,$FT1584)*INDEX(卡牌消耗!$B$8:$F$8,FV1584)/5,0)*5,""),"")</f>
        <v>8235</v>
      </c>
      <c r="GB1584" s="101" t="str">
        <f t="shared" si="715"/>
        <v>专属强化石3</v>
      </c>
      <c r="GC1584" s="101">
        <f t="shared" si="716"/>
        <v>35</v>
      </c>
      <c r="GD1584" s="101" t="str">
        <f t="shared" si="717"/>
        <v>专属强化石4</v>
      </c>
      <c r="GE1584" s="101">
        <f t="shared" si="718"/>
        <v>7</v>
      </c>
      <c r="GF1584" s="101">
        <f t="shared" si="723"/>
        <v>0.03</v>
      </c>
      <c r="GG1584" s="101">
        <f t="shared" si="724"/>
        <v>1</v>
      </c>
      <c r="GH1584" s="101">
        <f t="shared" si="725"/>
        <v>44</v>
      </c>
      <c r="GI1584" s="101">
        <f t="shared" si="726"/>
        <v>0</v>
      </c>
      <c r="GJ1584" s="101">
        <f t="shared" si="727"/>
        <v>1</v>
      </c>
      <c r="GK1584" s="101">
        <f t="shared" si="728"/>
        <v>10</v>
      </c>
      <c r="GL1584" s="101">
        <f t="shared" si="729"/>
        <v>1.7100000000000001E-2</v>
      </c>
      <c r="GM1584" s="101">
        <f t="shared" si="730"/>
        <v>1</v>
      </c>
      <c r="GN1584" s="101">
        <f t="shared" si="731"/>
        <v>21</v>
      </c>
      <c r="GO1584" s="101">
        <f t="shared" si="732"/>
        <v>6.8199999999999997E-2</v>
      </c>
      <c r="GP1584" s="101">
        <f t="shared" si="733"/>
        <v>1</v>
      </c>
      <c r="GQ1584" s="101">
        <f t="shared" si="734"/>
        <v>44</v>
      </c>
    </row>
    <row r="1585" spans="175:199" ht="16.5" x14ac:dyDescent="0.2">
      <c r="FS1585" s="101">
        <v>1580</v>
      </c>
      <c r="FT1585" s="101">
        <f t="shared" si="719"/>
        <v>54</v>
      </c>
      <c r="FU1585" s="101">
        <f t="shared" si="712"/>
        <v>20</v>
      </c>
      <c r="FV1585" s="14">
        <f t="shared" si="713"/>
        <v>3</v>
      </c>
      <c r="FW1585" s="101" t="str">
        <f t="shared" si="720"/>
        <v>燕青专属武器-魂珠-6 9级</v>
      </c>
      <c r="FX1585" s="101">
        <f t="shared" si="721"/>
        <v>6</v>
      </c>
      <c r="FY1585" s="101">
        <f t="shared" si="722"/>
        <v>9</v>
      </c>
      <c r="FZ1585" s="101" t="str">
        <f t="shared" si="714"/>
        <v>金币</v>
      </c>
      <c r="GA1585" s="139">
        <f>IF($FY1585&gt;0,IF(INDEX($EM$6:$EM$77,$FT1585)&gt;=GA$3,ROUND(INDEX(EO$6:EO$77,$FT1585)*INDEX(卡牌消耗!$B$8:$F$8,FV1585)/5,0)*5,""),"")</f>
        <v>9410</v>
      </c>
      <c r="GB1585" s="101" t="str">
        <f t="shared" si="715"/>
        <v>专属强化石3</v>
      </c>
      <c r="GC1585" s="101">
        <f t="shared" si="716"/>
        <v>40</v>
      </c>
      <c r="GD1585" s="101" t="str">
        <f t="shared" si="717"/>
        <v>专属强化石4</v>
      </c>
      <c r="GE1585" s="101">
        <f t="shared" si="718"/>
        <v>8</v>
      </c>
      <c r="GF1585" s="101">
        <f t="shared" si="723"/>
        <v>0.02</v>
      </c>
      <c r="GG1585" s="101">
        <f t="shared" si="724"/>
        <v>1</v>
      </c>
      <c r="GH1585" s="101">
        <f t="shared" si="725"/>
        <v>62</v>
      </c>
      <c r="GI1585" s="101">
        <f t="shared" si="726"/>
        <v>0</v>
      </c>
      <c r="GJ1585" s="101">
        <f t="shared" si="727"/>
        <v>1</v>
      </c>
      <c r="GK1585" s="101">
        <f t="shared" si="728"/>
        <v>15</v>
      </c>
      <c r="GL1585" s="101">
        <f t="shared" si="729"/>
        <v>1.21E-2</v>
      </c>
      <c r="GM1585" s="101">
        <f t="shared" si="730"/>
        <v>1</v>
      </c>
      <c r="GN1585" s="101">
        <f t="shared" si="731"/>
        <v>29</v>
      </c>
      <c r="GO1585" s="101">
        <f t="shared" si="732"/>
        <v>4.82E-2</v>
      </c>
      <c r="GP1585" s="101">
        <f t="shared" si="733"/>
        <v>1</v>
      </c>
      <c r="GQ1585" s="101">
        <f t="shared" si="734"/>
        <v>62</v>
      </c>
    </row>
    <row r="1586" spans="175:199" ht="16.5" x14ac:dyDescent="0.2">
      <c r="FS1586" s="101">
        <v>1581</v>
      </c>
      <c r="FT1586" s="101">
        <f t="shared" si="719"/>
        <v>0</v>
      </c>
      <c r="FU1586" s="101">
        <f t="shared" si="712"/>
        <v>20</v>
      </c>
      <c r="FV1586" s="14">
        <f t="shared" si="713"/>
        <v>3</v>
      </c>
      <c r="FW1586" s="101" t="str">
        <f t="shared" si="720"/>
        <v>燕青专属武器-魂珠-7 0级</v>
      </c>
      <c r="FX1586" s="101">
        <f t="shared" si="721"/>
        <v>7</v>
      </c>
      <c r="FY1586" s="101">
        <f t="shared" si="722"/>
        <v>0</v>
      </c>
      <c r="FZ1586" s="101" t="str">
        <f t="shared" si="714"/>
        <v/>
      </c>
      <c r="GA1586" s="139" t="str">
        <f>IF($FY1586&gt;0,IF(INDEX($EM$6:$EM$77,$FT1586)&gt;=GA$3,ROUND(INDEX(EO$6:EO$77,$FT1586)*INDEX(卡牌消耗!$B$8:$F$8,FV1586)/5,0)*5,""),"")</f>
        <v/>
      </c>
      <c r="GB1586" s="101" t="str">
        <f t="shared" si="715"/>
        <v/>
      </c>
      <c r="GC1586" s="101" t="str">
        <f t="shared" si="716"/>
        <v/>
      </c>
      <c r="GD1586" s="101" t="str">
        <f t="shared" si="717"/>
        <v/>
      </c>
      <c r="GE1586" s="101" t="str">
        <f t="shared" si="718"/>
        <v/>
      </c>
      <c r="GF1586" s="101" t="str">
        <f t="shared" si="723"/>
        <v/>
      </c>
      <c r="GG1586" s="101" t="str">
        <f t="shared" si="724"/>
        <v/>
      </c>
      <c r="GH1586" s="101" t="str">
        <f t="shared" si="725"/>
        <v/>
      </c>
      <c r="GI1586" s="101" t="str">
        <f t="shared" si="726"/>
        <v/>
      </c>
      <c r="GJ1586" s="101" t="str">
        <f t="shared" si="727"/>
        <v/>
      </c>
      <c r="GK1586" s="101" t="str">
        <f t="shared" si="728"/>
        <v/>
      </c>
      <c r="GL1586" s="101" t="str">
        <f t="shared" si="729"/>
        <v/>
      </c>
      <c r="GM1586" s="101" t="str">
        <f t="shared" si="730"/>
        <v/>
      </c>
      <c r="GN1586" s="101" t="str">
        <f t="shared" si="731"/>
        <v/>
      </c>
      <c r="GO1586" s="101" t="str">
        <f t="shared" si="732"/>
        <v/>
      </c>
      <c r="GP1586" s="101" t="str">
        <f t="shared" si="733"/>
        <v/>
      </c>
      <c r="GQ1586" s="101" t="str">
        <f t="shared" si="734"/>
        <v/>
      </c>
    </row>
    <row r="1587" spans="175:199" ht="16.5" x14ac:dyDescent="0.2">
      <c r="FS1587" s="101">
        <v>1582</v>
      </c>
      <c r="FT1587" s="101">
        <f t="shared" si="719"/>
        <v>55</v>
      </c>
      <c r="FU1587" s="101">
        <f t="shared" si="712"/>
        <v>20</v>
      </c>
      <c r="FV1587" s="14">
        <f t="shared" si="713"/>
        <v>3</v>
      </c>
      <c r="FW1587" s="101" t="str">
        <f t="shared" si="720"/>
        <v>燕青专属武器-魂珠-7 1级</v>
      </c>
      <c r="FX1587" s="101">
        <f t="shared" si="721"/>
        <v>7</v>
      </c>
      <c r="FY1587" s="101">
        <f t="shared" si="722"/>
        <v>1</v>
      </c>
      <c r="FZ1587" s="101" t="str">
        <f t="shared" si="714"/>
        <v>金币</v>
      </c>
      <c r="GA1587" s="139">
        <f>IF($FY1587&gt;0,IF(INDEX($EM$6:$EM$77,$FT1587)&gt;=GA$3,ROUND(INDEX(EO$6:EO$77,$FT1587)*INDEX(卡牌消耗!$B$8:$F$8,FV1587)/5,0)*5,""),"")</f>
        <v>5075</v>
      </c>
      <c r="GB1587" s="101" t="str">
        <f t="shared" si="715"/>
        <v>专属强化石3</v>
      </c>
      <c r="GC1587" s="101">
        <f t="shared" si="716"/>
        <v>6</v>
      </c>
      <c r="GD1587" s="101" t="str">
        <f t="shared" si="717"/>
        <v>专属强化石4</v>
      </c>
      <c r="GE1587" s="101">
        <f t="shared" si="718"/>
        <v>2</v>
      </c>
      <c r="GF1587" s="101">
        <f t="shared" si="723"/>
        <v>0.2</v>
      </c>
      <c r="GG1587" s="101">
        <f t="shared" si="724"/>
        <v>1</v>
      </c>
      <c r="GH1587" s="101">
        <f t="shared" si="725"/>
        <v>8</v>
      </c>
      <c r="GI1587" s="101">
        <f t="shared" si="726"/>
        <v>0</v>
      </c>
      <c r="GJ1587" s="101">
        <f t="shared" si="727"/>
        <v>1</v>
      </c>
      <c r="GK1587" s="101">
        <f t="shared" si="728"/>
        <v>2</v>
      </c>
      <c r="GL1587" s="101">
        <f t="shared" si="729"/>
        <v>9.9400000000000002E-2</v>
      </c>
      <c r="GM1587" s="101">
        <f t="shared" si="730"/>
        <v>1</v>
      </c>
      <c r="GN1587" s="101">
        <f t="shared" si="731"/>
        <v>4</v>
      </c>
      <c r="GO1587" s="101">
        <f t="shared" si="732"/>
        <v>0.3977</v>
      </c>
      <c r="GP1587" s="101">
        <f t="shared" si="733"/>
        <v>1</v>
      </c>
      <c r="GQ1587" s="101">
        <f t="shared" si="734"/>
        <v>8</v>
      </c>
    </row>
    <row r="1588" spans="175:199" ht="16.5" x14ac:dyDescent="0.2">
      <c r="FS1588" s="101">
        <v>1583</v>
      </c>
      <c r="FT1588" s="101">
        <f t="shared" si="719"/>
        <v>56</v>
      </c>
      <c r="FU1588" s="101">
        <f t="shared" si="712"/>
        <v>20</v>
      </c>
      <c r="FV1588" s="14">
        <f t="shared" si="713"/>
        <v>3</v>
      </c>
      <c r="FW1588" s="101" t="str">
        <f t="shared" si="720"/>
        <v>燕青专属武器-魂珠-7 2级</v>
      </c>
      <c r="FX1588" s="101">
        <f t="shared" si="721"/>
        <v>7</v>
      </c>
      <c r="FY1588" s="101">
        <f t="shared" si="722"/>
        <v>2</v>
      </c>
      <c r="FZ1588" s="101" t="str">
        <f t="shared" si="714"/>
        <v>金币</v>
      </c>
      <c r="GA1588" s="139">
        <f>IF($FY1588&gt;0,IF(INDEX($EM$6:$EM$77,$FT1588)&gt;=GA$3,ROUND(INDEX(EO$6:EO$77,$FT1588)*INDEX(卡牌消耗!$B$8:$F$8,FV1588)/5,0)*5,""),"")</f>
        <v>3810</v>
      </c>
      <c r="GB1588" s="101" t="str">
        <f t="shared" si="715"/>
        <v>专属强化石3</v>
      </c>
      <c r="GC1588" s="101">
        <f t="shared" si="716"/>
        <v>6</v>
      </c>
      <c r="GD1588" s="101" t="str">
        <f t="shared" si="717"/>
        <v>专属强化石4</v>
      </c>
      <c r="GE1588" s="101">
        <f t="shared" si="718"/>
        <v>2</v>
      </c>
      <c r="GF1588" s="101">
        <f t="shared" si="723"/>
        <v>0.1</v>
      </c>
      <c r="GG1588" s="101">
        <f t="shared" si="724"/>
        <v>1</v>
      </c>
      <c r="GH1588" s="101">
        <f t="shared" si="725"/>
        <v>15</v>
      </c>
      <c r="GI1588" s="101">
        <f t="shared" si="726"/>
        <v>0</v>
      </c>
      <c r="GJ1588" s="101">
        <f t="shared" si="727"/>
        <v>1</v>
      </c>
      <c r="GK1588" s="101">
        <f t="shared" si="728"/>
        <v>4</v>
      </c>
      <c r="GL1588" s="101">
        <f t="shared" si="729"/>
        <v>4.9700000000000001E-2</v>
      </c>
      <c r="GM1588" s="101">
        <f t="shared" si="730"/>
        <v>1</v>
      </c>
      <c r="GN1588" s="101">
        <f t="shared" si="731"/>
        <v>7</v>
      </c>
      <c r="GO1588" s="101">
        <f t="shared" si="732"/>
        <v>0.19889999999999999</v>
      </c>
      <c r="GP1588" s="101">
        <f t="shared" si="733"/>
        <v>1</v>
      </c>
      <c r="GQ1588" s="101">
        <f t="shared" si="734"/>
        <v>15</v>
      </c>
    </row>
    <row r="1589" spans="175:199" ht="16.5" x14ac:dyDescent="0.2">
      <c r="FS1589" s="101">
        <v>1584</v>
      </c>
      <c r="FT1589" s="101">
        <f t="shared" si="719"/>
        <v>57</v>
      </c>
      <c r="FU1589" s="101">
        <f t="shared" si="712"/>
        <v>20</v>
      </c>
      <c r="FV1589" s="14">
        <f t="shared" si="713"/>
        <v>3</v>
      </c>
      <c r="FW1589" s="101" t="str">
        <f t="shared" si="720"/>
        <v>燕青专属武器-魂珠-7 3级</v>
      </c>
      <c r="FX1589" s="101">
        <f t="shared" si="721"/>
        <v>7</v>
      </c>
      <c r="FY1589" s="101">
        <f t="shared" si="722"/>
        <v>3</v>
      </c>
      <c r="FZ1589" s="101" t="str">
        <f t="shared" si="714"/>
        <v>金币</v>
      </c>
      <c r="GA1589" s="139">
        <f>IF($FY1589&gt;0,IF(INDEX($EM$6:$EM$77,$FT1589)&gt;=GA$3,ROUND(INDEX(EO$6:EO$77,$FT1589)*INDEX(卡牌消耗!$B$8:$F$8,FV1589)/5,0)*5,""),"")</f>
        <v>6345</v>
      </c>
      <c r="GB1589" s="101" t="str">
        <f t="shared" si="715"/>
        <v>专属强化石3</v>
      </c>
      <c r="GC1589" s="101">
        <f t="shared" si="716"/>
        <v>9</v>
      </c>
      <c r="GD1589" s="101" t="str">
        <f t="shared" si="717"/>
        <v>专属强化石4</v>
      </c>
      <c r="GE1589" s="101">
        <f t="shared" si="718"/>
        <v>3</v>
      </c>
      <c r="GF1589" s="101">
        <f t="shared" si="723"/>
        <v>0.1</v>
      </c>
      <c r="GG1589" s="101">
        <f t="shared" si="724"/>
        <v>1</v>
      </c>
      <c r="GH1589" s="101">
        <f t="shared" si="725"/>
        <v>15</v>
      </c>
      <c r="GI1589" s="101">
        <f t="shared" si="726"/>
        <v>0</v>
      </c>
      <c r="GJ1589" s="101">
        <f t="shared" si="727"/>
        <v>1</v>
      </c>
      <c r="GK1589" s="101">
        <f t="shared" si="728"/>
        <v>4</v>
      </c>
      <c r="GL1589" s="101">
        <f t="shared" si="729"/>
        <v>4.9700000000000001E-2</v>
      </c>
      <c r="GM1589" s="101">
        <f t="shared" si="730"/>
        <v>1</v>
      </c>
      <c r="GN1589" s="101">
        <f t="shared" si="731"/>
        <v>7</v>
      </c>
      <c r="GO1589" s="101">
        <f t="shared" si="732"/>
        <v>0.19889999999999999</v>
      </c>
      <c r="GP1589" s="101">
        <f t="shared" si="733"/>
        <v>1</v>
      </c>
      <c r="GQ1589" s="101">
        <f t="shared" si="734"/>
        <v>15</v>
      </c>
    </row>
    <row r="1590" spans="175:199" ht="16.5" x14ac:dyDescent="0.2">
      <c r="FS1590" s="101">
        <v>1585</v>
      </c>
      <c r="FT1590" s="101">
        <f t="shared" si="719"/>
        <v>58</v>
      </c>
      <c r="FU1590" s="101">
        <f t="shared" si="712"/>
        <v>20</v>
      </c>
      <c r="FV1590" s="14">
        <f t="shared" si="713"/>
        <v>3</v>
      </c>
      <c r="FW1590" s="101" t="str">
        <f t="shared" si="720"/>
        <v>燕青专属武器-魂珠-7 4级</v>
      </c>
      <c r="FX1590" s="101">
        <f t="shared" si="721"/>
        <v>7</v>
      </c>
      <c r="FY1590" s="101">
        <f t="shared" si="722"/>
        <v>4</v>
      </c>
      <c r="FZ1590" s="101" t="str">
        <f t="shared" si="714"/>
        <v>金币</v>
      </c>
      <c r="GA1590" s="139">
        <f>IF($FY1590&gt;0,IF(INDEX($EM$6:$EM$77,$FT1590)&gt;=GA$3,ROUND(INDEX(EO$6:EO$77,$FT1590)*INDEX(卡牌消耗!$B$8:$F$8,FV1590)/5,0)*5,""),"")</f>
        <v>8125</v>
      </c>
      <c r="GB1590" s="101" t="str">
        <f t="shared" si="715"/>
        <v>专属强化石3</v>
      </c>
      <c r="GC1590" s="101">
        <f t="shared" si="716"/>
        <v>12</v>
      </c>
      <c r="GD1590" s="101" t="str">
        <f t="shared" si="717"/>
        <v>专属强化石4</v>
      </c>
      <c r="GE1590" s="101">
        <f t="shared" si="718"/>
        <v>4</v>
      </c>
      <c r="GF1590" s="101">
        <f t="shared" si="723"/>
        <v>0.08</v>
      </c>
      <c r="GG1590" s="101">
        <f t="shared" si="724"/>
        <v>1</v>
      </c>
      <c r="GH1590" s="101">
        <f t="shared" si="725"/>
        <v>19</v>
      </c>
      <c r="GI1590" s="101">
        <f t="shared" si="726"/>
        <v>0</v>
      </c>
      <c r="GJ1590" s="101">
        <f t="shared" si="727"/>
        <v>1</v>
      </c>
      <c r="GK1590" s="101">
        <f t="shared" si="728"/>
        <v>4</v>
      </c>
      <c r="GL1590" s="101">
        <f t="shared" si="729"/>
        <v>3.9800000000000002E-2</v>
      </c>
      <c r="GM1590" s="101">
        <f t="shared" si="730"/>
        <v>1</v>
      </c>
      <c r="GN1590" s="101">
        <f t="shared" si="731"/>
        <v>9</v>
      </c>
      <c r="GO1590" s="101">
        <f t="shared" si="732"/>
        <v>0.15909999999999999</v>
      </c>
      <c r="GP1590" s="101">
        <f t="shared" si="733"/>
        <v>1</v>
      </c>
      <c r="GQ1590" s="101">
        <f t="shared" si="734"/>
        <v>19</v>
      </c>
    </row>
    <row r="1591" spans="175:199" ht="16.5" x14ac:dyDescent="0.2">
      <c r="FS1591" s="101">
        <v>1586</v>
      </c>
      <c r="FT1591" s="101">
        <f t="shared" si="719"/>
        <v>59</v>
      </c>
      <c r="FU1591" s="101">
        <f t="shared" si="712"/>
        <v>20</v>
      </c>
      <c r="FV1591" s="14">
        <f t="shared" si="713"/>
        <v>3</v>
      </c>
      <c r="FW1591" s="101" t="str">
        <f t="shared" si="720"/>
        <v>燕青专属武器-魂珠-7 5级</v>
      </c>
      <c r="FX1591" s="101">
        <f t="shared" si="721"/>
        <v>7</v>
      </c>
      <c r="FY1591" s="101">
        <f t="shared" si="722"/>
        <v>5</v>
      </c>
      <c r="FZ1591" s="101" t="str">
        <f t="shared" si="714"/>
        <v>金币</v>
      </c>
      <c r="GA1591" s="139">
        <f>IF($FY1591&gt;0,IF(INDEX($EM$6:$EM$77,$FT1591)&gt;=GA$3,ROUND(INDEX(EO$6:EO$77,$FT1591)*INDEX(卡牌消耗!$B$8:$F$8,FV1591)/5,0)*5,""),"")</f>
        <v>8250</v>
      </c>
      <c r="GB1591" s="101" t="str">
        <f t="shared" si="715"/>
        <v>专属强化石3</v>
      </c>
      <c r="GC1591" s="101">
        <f t="shared" si="716"/>
        <v>12</v>
      </c>
      <c r="GD1591" s="101" t="str">
        <f t="shared" si="717"/>
        <v>专属强化石4</v>
      </c>
      <c r="GE1591" s="101">
        <f t="shared" si="718"/>
        <v>4</v>
      </c>
      <c r="GF1591" s="101">
        <f t="shared" si="723"/>
        <v>0.05</v>
      </c>
      <c r="GG1591" s="101">
        <f t="shared" si="724"/>
        <v>1</v>
      </c>
      <c r="GH1591" s="101">
        <f t="shared" si="725"/>
        <v>30</v>
      </c>
      <c r="GI1591" s="101">
        <f t="shared" si="726"/>
        <v>0</v>
      </c>
      <c r="GJ1591" s="101">
        <f t="shared" si="727"/>
        <v>1</v>
      </c>
      <c r="GK1591" s="101">
        <f t="shared" si="728"/>
        <v>7</v>
      </c>
      <c r="GL1591" s="101">
        <f t="shared" si="729"/>
        <v>2.4899999999999999E-2</v>
      </c>
      <c r="GM1591" s="101">
        <f t="shared" si="730"/>
        <v>1</v>
      </c>
      <c r="GN1591" s="101">
        <f t="shared" si="731"/>
        <v>14</v>
      </c>
      <c r="GO1591" s="101">
        <f t="shared" si="732"/>
        <v>9.9400000000000002E-2</v>
      </c>
      <c r="GP1591" s="101">
        <f t="shared" si="733"/>
        <v>1</v>
      </c>
      <c r="GQ1591" s="101">
        <f t="shared" si="734"/>
        <v>30</v>
      </c>
    </row>
    <row r="1592" spans="175:199" ht="16.5" x14ac:dyDescent="0.2">
      <c r="FS1592" s="101">
        <v>1587</v>
      </c>
      <c r="FT1592" s="101">
        <f t="shared" si="719"/>
        <v>60</v>
      </c>
      <c r="FU1592" s="101">
        <f t="shared" si="712"/>
        <v>20</v>
      </c>
      <c r="FV1592" s="14">
        <f t="shared" si="713"/>
        <v>3</v>
      </c>
      <c r="FW1592" s="101" t="str">
        <f t="shared" si="720"/>
        <v>燕青专属武器-魂珠-7 6级</v>
      </c>
      <c r="FX1592" s="101">
        <f t="shared" si="721"/>
        <v>7</v>
      </c>
      <c r="FY1592" s="101">
        <f t="shared" si="722"/>
        <v>6</v>
      </c>
      <c r="FZ1592" s="101" t="str">
        <f t="shared" si="714"/>
        <v>金币</v>
      </c>
      <c r="GA1592" s="139">
        <f>IF($FY1592&gt;0,IF(INDEX($EM$6:$EM$77,$FT1592)&gt;=GA$3,ROUND(INDEX(EO$6:EO$77,$FT1592)*INDEX(卡牌消耗!$B$8:$F$8,FV1592)/5,0)*5,""),"")</f>
        <v>10250</v>
      </c>
      <c r="GB1592" s="101" t="str">
        <f t="shared" si="715"/>
        <v>专属强化石3</v>
      </c>
      <c r="GC1592" s="101">
        <f t="shared" si="716"/>
        <v>15</v>
      </c>
      <c r="GD1592" s="101" t="str">
        <f t="shared" si="717"/>
        <v>专属强化石4</v>
      </c>
      <c r="GE1592" s="101">
        <f t="shared" si="718"/>
        <v>5</v>
      </c>
      <c r="GF1592" s="101">
        <f t="shared" si="723"/>
        <v>0.04</v>
      </c>
      <c r="GG1592" s="101">
        <f t="shared" si="724"/>
        <v>1</v>
      </c>
      <c r="GH1592" s="101">
        <f t="shared" si="725"/>
        <v>39</v>
      </c>
      <c r="GI1592" s="101">
        <f t="shared" si="726"/>
        <v>0</v>
      </c>
      <c r="GJ1592" s="101">
        <f t="shared" si="727"/>
        <v>1</v>
      </c>
      <c r="GK1592" s="101">
        <f t="shared" si="728"/>
        <v>9</v>
      </c>
      <c r="GL1592" s="101">
        <f t="shared" si="729"/>
        <v>1.9099999999999999E-2</v>
      </c>
      <c r="GM1592" s="101">
        <f t="shared" si="730"/>
        <v>1</v>
      </c>
      <c r="GN1592" s="101">
        <f t="shared" si="731"/>
        <v>18</v>
      </c>
      <c r="GO1592" s="101">
        <f t="shared" si="732"/>
        <v>7.6499999999999999E-2</v>
      </c>
      <c r="GP1592" s="101">
        <f t="shared" si="733"/>
        <v>1</v>
      </c>
      <c r="GQ1592" s="101">
        <f t="shared" si="734"/>
        <v>39</v>
      </c>
    </row>
    <row r="1593" spans="175:199" ht="16.5" x14ac:dyDescent="0.2">
      <c r="FS1593" s="101">
        <v>1588</v>
      </c>
      <c r="FT1593" s="101">
        <f t="shared" si="719"/>
        <v>61</v>
      </c>
      <c r="FU1593" s="101">
        <f t="shared" si="712"/>
        <v>20</v>
      </c>
      <c r="FV1593" s="14">
        <f t="shared" si="713"/>
        <v>3</v>
      </c>
      <c r="FW1593" s="101" t="str">
        <f t="shared" si="720"/>
        <v>燕青专属武器-魂珠-7 7级</v>
      </c>
      <c r="FX1593" s="101">
        <f t="shared" si="721"/>
        <v>7</v>
      </c>
      <c r="FY1593" s="101">
        <f t="shared" si="722"/>
        <v>7</v>
      </c>
      <c r="FZ1593" s="101" t="str">
        <f t="shared" si="714"/>
        <v>金币</v>
      </c>
      <c r="GA1593" s="139">
        <f>IF($FY1593&gt;0,IF(INDEX($EM$6:$EM$77,$FT1593)&gt;=GA$3,ROUND(INDEX(EO$6:EO$77,$FT1593)*INDEX(卡牌消耗!$B$8:$F$8,FV1593)/5,0)*5,""),"")</f>
        <v>14385</v>
      </c>
      <c r="GB1593" s="101" t="str">
        <f t="shared" si="715"/>
        <v>专属强化石3</v>
      </c>
      <c r="GC1593" s="101">
        <f t="shared" si="716"/>
        <v>21</v>
      </c>
      <c r="GD1593" s="101" t="str">
        <f t="shared" si="717"/>
        <v>专属强化石4</v>
      </c>
      <c r="GE1593" s="101">
        <f t="shared" si="718"/>
        <v>7</v>
      </c>
      <c r="GF1593" s="101">
        <f t="shared" si="723"/>
        <v>0.03</v>
      </c>
      <c r="GG1593" s="101">
        <f t="shared" si="724"/>
        <v>1</v>
      </c>
      <c r="GH1593" s="101">
        <f t="shared" si="725"/>
        <v>45</v>
      </c>
      <c r="GI1593" s="101">
        <f t="shared" si="726"/>
        <v>0</v>
      </c>
      <c r="GJ1593" s="101">
        <f t="shared" si="727"/>
        <v>1</v>
      </c>
      <c r="GK1593" s="101">
        <f t="shared" si="728"/>
        <v>11</v>
      </c>
      <c r="GL1593" s="101">
        <f t="shared" si="729"/>
        <v>1.66E-2</v>
      </c>
      <c r="GM1593" s="101">
        <f t="shared" si="730"/>
        <v>1</v>
      </c>
      <c r="GN1593" s="101">
        <f t="shared" si="731"/>
        <v>21</v>
      </c>
      <c r="GO1593" s="101">
        <f t="shared" si="732"/>
        <v>6.6299999999999998E-2</v>
      </c>
      <c r="GP1593" s="101">
        <f t="shared" si="733"/>
        <v>1</v>
      </c>
      <c r="GQ1593" s="101">
        <f t="shared" si="734"/>
        <v>45</v>
      </c>
    </row>
    <row r="1594" spans="175:199" ht="16.5" x14ac:dyDescent="0.2">
      <c r="FS1594" s="101">
        <v>1589</v>
      </c>
      <c r="FT1594" s="101">
        <f t="shared" si="719"/>
        <v>62</v>
      </c>
      <c r="FU1594" s="101">
        <f t="shared" si="712"/>
        <v>20</v>
      </c>
      <c r="FV1594" s="14">
        <f t="shared" si="713"/>
        <v>3</v>
      </c>
      <c r="FW1594" s="101" t="str">
        <f t="shared" si="720"/>
        <v>燕青专属武器-魂珠-7 8级</v>
      </c>
      <c r="FX1594" s="101">
        <f t="shared" si="721"/>
        <v>7</v>
      </c>
      <c r="FY1594" s="101">
        <f t="shared" si="722"/>
        <v>8</v>
      </c>
      <c r="FZ1594" s="101" t="str">
        <f t="shared" si="714"/>
        <v>金币</v>
      </c>
      <c r="GA1594" s="139">
        <f>IF($FY1594&gt;0,IF(INDEX($EM$6:$EM$77,$FT1594)&gt;=GA$3,ROUND(INDEX(EO$6:EO$77,$FT1594)*INDEX(卡牌消耗!$B$8:$F$8,FV1594)/5,0)*5,""),"")</f>
        <v>16425</v>
      </c>
      <c r="GB1594" s="101" t="str">
        <f t="shared" si="715"/>
        <v>专属强化石3</v>
      </c>
      <c r="GC1594" s="101">
        <f t="shared" si="716"/>
        <v>24</v>
      </c>
      <c r="GD1594" s="101" t="str">
        <f t="shared" si="717"/>
        <v>专属强化石4</v>
      </c>
      <c r="GE1594" s="101">
        <f t="shared" si="718"/>
        <v>8</v>
      </c>
      <c r="GF1594" s="101">
        <f t="shared" si="723"/>
        <v>0.02</v>
      </c>
      <c r="GG1594" s="101">
        <f t="shared" si="724"/>
        <v>1</v>
      </c>
      <c r="GH1594" s="101">
        <f t="shared" si="725"/>
        <v>64</v>
      </c>
      <c r="GI1594" s="101">
        <f t="shared" si="726"/>
        <v>0</v>
      </c>
      <c r="GJ1594" s="101">
        <f t="shared" si="727"/>
        <v>1</v>
      </c>
      <c r="GK1594" s="101">
        <f t="shared" si="728"/>
        <v>15</v>
      </c>
      <c r="GL1594" s="101">
        <f t="shared" si="729"/>
        <v>1.17E-2</v>
      </c>
      <c r="GM1594" s="101">
        <f t="shared" si="730"/>
        <v>1</v>
      </c>
      <c r="GN1594" s="101">
        <f t="shared" si="731"/>
        <v>30</v>
      </c>
      <c r="GO1594" s="101">
        <f t="shared" si="732"/>
        <v>4.6800000000000001E-2</v>
      </c>
      <c r="GP1594" s="101">
        <f t="shared" si="733"/>
        <v>1</v>
      </c>
      <c r="GQ1594" s="101">
        <f t="shared" si="734"/>
        <v>64</v>
      </c>
    </row>
    <row r="1595" spans="175:199" ht="16.5" x14ac:dyDescent="0.2">
      <c r="FS1595" s="101">
        <v>1590</v>
      </c>
      <c r="FT1595" s="101">
        <f t="shared" si="719"/>
        <v>63</v>
      </c>
      <c r="FU1595" s="101">
        <f t="shared" si="712"/>
        <v>20</v>
      </c>
      <c r="FV1595" s="14">
        <f t="shared" si="713"/>
        <v>3</v>
      </c>
      <c r="FW1595" s="101" t="str">
        <f t="shared" si="720"/>
        <v>燕青专属武器-魂珠-7 9级</v>
      </c>
      <c r="FX1595" s="101">
        <f t="shared" si="721"/>
        <v>7</v>
      </c>
      <c r="FY1595" s="101">
        <f t="shared" si="722"/>
        <v>9</v>
      </c>
      <c r="FZ1595" s="101" t="str">
        <f t="shared" si="714"/>
        <v>金币</v>
      </c>
      <c r="GA1595" s="139">
        <f>IF($FY1595&gt;0,IF(INDEX($EM$6:$EM$77,$FT1595)&gt;=GA$3,ROUND(INDEX(EO$6:EO$77,$FT1595)*INDEX(卡牌消耗!$B$8:$F$8,FV1595)/5,0)*5,""),"")</f>
        <v>20540</v>
      </c>
      <c r="GB1595" s="101" t="str">
        <f t="shared" si="715"/>
        <v>专属强化石3</v>
      </c>
      <c r="GC1595" s="101">
        <f t="shared" si="716"/>
        <v>30</v>
      </c>
      <c r="GD1595" s="101" t="str">
        <f t="shared" si="717"/>
        <v>专属强化石4</v>
      </c>
      <c r="GE1595" s="101">
        <f t="shared" si="718"/>
        <v>10</v>
      </c>
      <c r="GF1595" s="101">
        <f t="shared" si="723"/>
        <v>0.02</v>
      </c>
      <c r="GG1595" s="101">
        <f t="shared" si="724"/>
        <v>1</v>
      </c>
      <c r="GH1595" s="101">
        <f t="shared" si="725"/>
        <v>83</v>
      </c>
      <c r="GI1595" s="101">
        <f t="shared" si="726"/>
        <v>0</v>
      </c>
      <c r="GJ1595" s="101">
        <f t="shared" si="727"/>
        <v>1</v>
      </c>
      <c r="GK1595" s="101">
        <f t="shared" si="728"/>
        <v>19</v>
      </c>
      <c r="GL1595" s="101">
        <f t="shared" si="729"/>
        <v>8.9999999999999993E-3</v>
      </c>
      <c r="GM1595" s="101">
        <f t="shared" si="730"/>
        <v>1</v>
      </c>
      <c r="GN1595" s="101">
        <f t="shared" si="731"/>
        <v>39</v>
      </c>
      <c r="GO1595" s="101">
        <f t="shared" si="732"/>
        <v>3.6200000000000003E-2</v>
      </c>
      <c r="GP1595" s="101">
        <f t="shared" si="733"/>
        <v>1</v>
      </c>
      <c r="GQ1595" s="101">
        <f t="shared" si="734"/>
        <v>83</v>
      </c>
    </row>
    <row r="1596" spans="175:199" ht="16.5" x14ac:dyDescent="0.2">
      <c r="FS1596" s="101">
        <v>1591</v>
      </c>
      <c r="FT1596" s="101">
        <f t="shared" si="719"/>
        <v>0</v>
      </c>
      <c r="FU1596" s="101">
        <f t="shared" si="712"/>
        <v>20</v>
      </c>
      <c r="FV1596" s="14">
        <f t="shared" si="713"/>
        <v>3</v>
      </c>
      <c r="FW1596" s="101" t="str">
        <f t="shared" si="720"/>
        <v>燕青专属武器-魂珠-8 0级</v>
      </c>
      <c r="FX1596" s="101">
        <f t="shared" si="721"/>
        <v>8</v>
      </c>
      <c r="FY1596" s="101">
        <f t="shared" si="722"/>
        <v>0</v>
      </c>
      <c r="FZ1596" s="101" t="str">
        <f t="shared" si="714"/>
        <v/>
      </c>
      <c r="GA1596" s="139" t="str">
        <f>IF($FY1596&gt;0,IF(INDEX($EM$6:$EM$77,$FT1596)&gt;=GA$3,ROUND(INDEX(EO$6:EO$77,$FT1596)*INDEX(卡牌消耗!$B$8:$F$8,FV1596)/5,0)*5,""),"")</f>
        <v/>
      </c>
      <c r="GB1596" s="101" t="str">
        <f t="shared" si="715"/>
        <v/>
      </c>
      <c r="GC1596" s="101" t="str">
        <f t="shared" si="716"/>
        <v/>
      </c>
      <c r="GD1596" s="101" t="str">
        <f t="shared" si="717"/>
        <v/>
      </c>
      <c r="GE1596" s="101" t="str">
        <f t="shared" si="718"/>
        <v/>
      </c>
      <c r="GF1596" s="101" t="str">
        <f t="shared" si="723"/>
        <v/>
      </c>
      <c r="GG1596" s="101" t="str">
        <f t="shared" si="724"/>
        <v/>
      </c>
      <c r="GH1596" s="101" t="str">
        <f t="shared" si="725"/>
        <v/>
      </c>
      <c r="GI1596" s="101" t="str">
        <f t="shared" si="726"/>
        <v/>
      </c>
      <c r="GJ1596" s="101" t="str">
        <f t="shared" si="727"/>
        <v/>
      </c>
      <c r="GK1596" s="101" t="str">
        <f t="shared" si="728"/>
        <v/>
      </c>
      <c r="GL1596" s="101" t="str">
        <f t="shared" si="729"/>
        <v/>
      </c>
      <c r="GM1596" s="101" t="str">
        <f t="shared" si="730"/>
        <v/>
      </c>
      <c r="GN1596" s="101" t="str">
        <f t="shared" si="731"/>
        <v/>
      </c>
      <c r="GO1596" s="101" t="str">
        <f t="shared" si="732"/>
        <v/>
      </c>
      <c r="GP1596" s="101" t="str">
        <f t="shared" si="733"/>
        <v/>
      </c>
      <c r="GQ1596" s="101" t="str">
        <f t="shared" si="734"/>
        <v/>
      </c>
    </row>
    <row r="1597" spans="175:199" ht="16.5" x14ac:dyDescent="0.2">
      <c r="FS1597" s="101">
        <v>1592</v>
      </c>
      <c r="FT1597" s="101">
        <f t="shared" si="719"/>
        <v>64</v>
      </c>
      <c r="FU1597" s="101">
        <f t="shared" si="712"/>
        <v>20</v>
      </c>
      <c r="FV1597" s="14">
        <f t="shared" si="713"/>
        <v>3</v>
      </c>
      <c r="FW1597" s="101" t="str">
        <f t="shared" si="720"/>
        <v>燕青专属武器-魂珠-8 1级</v>
      </c>
      <c r="FX1597" s="101">
        <f t="shared" si="721"/>
        <v>8</v>
      </c>
      <c r="FY1597" s="101">
        <f t="shared" si="722"/>
        <v>1</v>
      </c>
      <c r="FZ1597" s="101" t="str">
        <f t="shared" si="714"/>
        <v>金币</v>
      </c>
      <c r="GA1597" s="139">
        <f>IF($FY1597&gt;0,IF(INDEX($EM$6:$EM$77,$FT1597)&gt;=GA$3,ROUND(INDEX(EO$6:EO$77,$FT1597)*INDEX(卡牌消耗!$B$8:$F$8,FV1597)/5,0)*5,""),"")</f>
        <v>4325</v>
      </c>
      <c r="GB1597" s="101" t="str">
        <f t="shared" si="715"/>
        <v>专属强化石4</v>
      </c>
      <c r="GC1597" s="101">
        <f t="shared" si="716"/>
        <v>5</v>
      </c>
      <c r="GD1597" s="101" t="str">
        <f t="shared" si="717"/>
        <v/>
      </c>
      <c r="GE1597" s="101" t="str">
        <f t="shared" si="718"/>
        <v/>
      </c>
      <c r="GF1597" s="101">
        <f t="shared" si="723"/>
        <v>0.11</v>
      </c>
      <c r="GG1597" s="101">
        <f t="shared" si="724"/>
        <v>1</v>
      </c>
      <c r="GH1597" s="101">
        <f t="shared" si="725"/>
        <v>13</v>
      </c>
      <c r="GI1597" s="101">
        <f t="shared" si="726"/>
        <v>0</v>
      </c>
      <c r="GJ1597" s="101">
        <f t="shared" si="727"/>
        <v>1</v>
      </c>
      <c r="GK1597" s="101">
        <f t="shared" si="728"/>
        <v>3</v>
      </c>
      <c r="GL1597" s="101">
        <f t="shared" si="729"/>
        <v>5.6500000000000002E-2</v>
      </c>
      <c r="GM1597" s="101">
        <f t="shared" si="730"/>
        <v>1</v>
      </c>
      <c r="GN1597" s="101">
        <f t="shared" si="731"/>
        <v>6</v>
      </c>
      <c r="GO1597" s="101">
        <f t="shared" si="732"/>
        <v>0.22600000000000001</v>
      </c>
      <c r="GP1597" s="101">
        <f t="shared" si="733"/>
        <v>1</v>
      </c>
      <c r="GQ1597" s="101">
        <f t="shared" si="734"/>
        <v>13</v>
      </c>
    </row>
    <row r="1598" spans="175:199" ht="16.5" x14ac:dyDescent="0.2">
      <c r="FS1598" s="101">
        <v>1593</v>
      </c>
      <c r="FT1598" s="101">
        <f t="shared" si="719"/>
        <v>65</v>
      </c>
      <c r="FU1598" s="101">
        <f t="shared" si="712"/>
        <v>20</v>
      </c>
      <c r="FV1598" s="14">
        <f t="shared" si="713"/>
        <v>3</v>
      </c>
      <c r="FW1598" s="101" t="str">
        <f t="shared" si="720"/>
        <v>燕青专属武器-魂珠-8 2级</v>
      </c>
      <c r="FX1598" s="101">
        <f t="shared" si="721"/>
        <v>8</v>
      </c>
      <c r="FY1598" s="101">
        <f t="shared" si="722"/>
        <v>2</v>
      </c>
      <c r="FZ1598" s="101" t="str">
        <f t="shared" si="714"/>
        <v>金币</v>
      </c>
      <c r="GA1598" s="139">
        <f>IF($FY1598&gt;0,IF(INDEX($EM$6:$EM$77,$FT1598)&gt;=GA$3,ROUND(INDEX(EO$6:EO$77,$FT1598)*INDEX(卡牌消耗!$B$8:$F$8,FV1598)/5,0)*5,""),"")</f>
        <v>5190</v>
      </c>
      <c r="GB1598" s="101" t="str">
        <f t="shared" si="715"/>
        <v>专属强化石4</v>
      </c>
      <c r="GC1598" s="101">
        <f t="shared" si="716"/>
        <v>8</v>
      </c>
      <c r="GD1598" s="101" t="str">
        <f t="shared" si="717"/>
        <v/>
      </c>
      <c r="GE1598" s="101" t="str">
        <f t="shared" si="718"/>
        <v/>
      </c>
      <c r="GF1598" s="101">
        <f t="shared" si="723"/>
        <v>0.09</v>
      </c>
      <c r="GG1598" s="101">
        <f t="shared" si="724"/>
        <v>1</v>
      </c>
      <c r="GH1598" s="101">
        <f t="shared" si="725"/>
        <v>17</v>
      </c>
      <c r="GI1598" s="101">
        <f t="shared" si="726"/>
        <v>0</v>
      </c>
      <c r="GJ1598" s="101">
        <f t="shared" si="727"/>
        <v>1</v>
      </c>
      <c r="GK1598" s="101">
        <f t="shared" si="728"/>
        <v>4</v>
      </c>
      <c r="GL1598" s="101">
        <f t="shared" si="729"/>
        <v>4.5199999999999997E-2</v>
      </c>
      <c r="GM1598" s="101">
        <f t="shared" si="730"/>
        <v>1</v>
      </c>
      <c r="GN1598" s="101">
        <f t="shared" si="731"/>
        <v>8</v>
      </c>
      <c r="GO1598" s="101">
        <f t="shared" si="732"/>
        <v>0.18079999999999999</v>
      </c>
      <c r="GP1598" s="101">
        <f t="shared" si="733"/>
        <v>1</v>
      </c>
      <c r="GQ1598" s="101">
        <f t="shared" si="734"/>
        <v>17</v>
      </c>
    </row>
    <row r="1599" spans="175:199" ht="16.5" x14ac:dyDescent="0.2">
      <c r="FS1599" s="101">
        <v>1594</v>
      </c>
      <c r="FT1599" s="101">
        <f t="shared" si="719"/>
        <v>66</v>
      </c>
      <c r="FU1599" s="101">
        <f t="shared" si="712"/>
        <v>20</v>
      </c>
      <c r="FV1599" s="14">
        <f t="shared" si="713"/>
        <v>3</v>
      </c>
      <c r="FW1599" s="101" t="str">
        <f t="shared" si="720"/>
        <v>燕青专属武器-魂珠-8 3级</v>
      </c>
      <c r="FX1599" s="101">
        <f t="shared" si="721"/>
        <v>8</v>
      </c>
      <c r="FY1599" s="101">
        <f t="shared" si="722"/>
        <v>3</v>
      </c>
      <c r="FZ1599" s="101" t="str">
        <f t="shared" si="714"/>
        <v>金币</v>
      </c>
      <c r="GA1599" s="139">
        <f>IF($FY1599&gt;0,IF(INDEX($EM$6:$EM$77,$FT1599)&gt;=GA$3,ROUND(INDEX(EO$6:EO$77,$FT1599)*INDEX(卡牌消耗!$B$8:$F$8,FV1599)/5,0)*5,""),"")</f>
        <v>7210</v>
      </c>
      <c r="GB1599" s="101" t="str">
        <f t="shared" si="715"/>
        <v>专属强化石4</v>
      </c>
      <c r="GC1599" s="101">
        <f t="shared" si="716"/>
        <v>10</v>
      </c>
      <c r="GD1599" s="101" t="str">
        <f t="shared" si="717"/>
        <v/>
      </c>
      <c r="GE1599" s="101" t="str">
        <f t="shared" si="718"/>
        <v/>
      </c>
      <c r="GF1599" s="101">
        <f t="shared" si="723"/>
        <v>0.08</v>
      </c>
      <c r="GG1599" s="101">
        <f t="shared" si="724"/>
        <v>1</v>
      </c>
      <c r="GH1599" s="101">
        <f t="shared" si="725"/>
        <v>20</v>
      </c>
      <c r="GI1599" s="101">
        <f t="shared" si="726"/>
        <v>0</v>
      </c>
      <c r="GJ1599" s="101">
        <f t="shared" si="727"/>
        <v>1</v>
      </c>
      <c r="GK1599" s="101">
        <f t="shared" si="728"/>
        <v>5</v>
      </c>
      <c r="GL1599" s="101">
        <f t="shared" si="729"/>
        <v>3.7699999999999997E-2</v>
      </c>
      <c r="GM1599" s="101">
        <f t="shared" si="730"/>
        <v>1</v>
      </c>
      <c r="GN1599" s="101">
        <f t="shared" si="731"/>
        <v>9</v>
      </c>
      <c r="GO1599" s="101">
        <f t="shared" si="732"/>
        <v>0.1507</v>
      </c>
      <c r="GP1599" s="101">
        <f t="shared" si="733"/>
        <v>1</v>
      </c>
      <c r="GQ1599" s="101">
        <f t="shared" si="734"/>
        <v>20</v>
      </c>
    </row>
    <row r="1600" spans="175:199" ht="16.5" x14ac:dyDescent="0.2">
      <c r="FS1600" s="101">
        <v>1595</v>
      </c>
      <c r="FT1600" s="101">
        <f t="shared" si="719"/>
        <v>67</v>
      </c>
      <c r="FU1600" s="101">
        <f t="shared" si="712"/>
        <v>20</v>
      </c>
      <c r="FV1600" s="14">
        <f t="shared" si="713"/>
        <v>3</v>
      </c>
      <c r="FW1600" s="101" t="str">
        <f t="shared" si="720"/>
        <v>燕青专属武器-魂珠-8 4级</v>
      </c>
      <c r="FX1600" s="101">
        <f t="shared" si="721"/>
        <v>8</v>
      </c>
      <c r="FY1600" s="101">
        <f t="shared" si="722"/>
        <v>4</v>
      </c>
      <c r="FZ1600" s="101" t="str">
        <f t="shared" si="714"/>
        <v>金币</v>
      </c>
      <c r="GA1600" s="139">
        <f>IF($FY1600&gt;0,IF(INDEX($EM$6:$EM$77,$FT1600)&gt;=GA$3,ROUND(INDEX(EO$6:EO$77,$FT1600)*INDEX(卡牌消耗!$B$8:$F$8,FV1600)/5,0)*5,""),"")</f>
        <v>8310</v>
      </c>
      <c r="GB1600" s="101" t="str">
        <f t="shared" si="715"/>
        <v>专属强化石4</v>
      </c>
      <c r="GC1600" s="101">
        <f t="shared" si="716"/>
        <v>12</v>
      </c>
      <c r="GD1600" s="101" t="str">
        <f t="shared" si="717"/>
        <v/>
      </c>
      <c r="GE1600" s="101" t="str">
        <f t="shared" si="718"/>
        <v/>
      </c>
      <c r="GF1600" s="101">
        <f t="shared" si="723"/>
        <v>0.05</v>
      </c>
      <c r="GG1600" s="101">
        <f t="shared" si="724"/>
        <v>1</v>
      </c>
      <c r="GH1600" s="101">
        <f t="shared" si="725"/>
        <v>28</v>
      </c>
      <c r="GI1600" s="101">
        <f t="shared" si="726"/>
        <v>0</v>
      </c>
      <c r="GJ1600" s="101">
        <f t="shared" si="727"/>
        <v>1</v>
      </c>
      <c r="GK1600" s="101">
        <f t="shared" si="728"/>
        <v>6</v>
      </c>
      <c r="GL1600" s="101">
        <f t="shared" si="729"/>
        <v>2.7099999999999999E-2</v>
      </c>
      <c r="GM1600" s="101">
        <f t="shared" si="730"/>
        <v>1</v>
      </c>
      <c r="GN1600" s="101">
        <f t="shared" si="731"/>
        <v>13</v>
      </c>
      <c r="GO1600" s="101">
        <f t="shared" si="732"/>
        <v>0.1085</v>
      </c>
      <c r="GP1600" s="101">
        <f t="shared" si="733"/>
        <v>1</v>
      </c>
      <c r="GQ1600" s="101">
        <f t="shared" si="734"/>
        <v>28</v>
      </c>
    </row>
    <row r="1601" spans="175:199" ht="16.5" x14ac:dyDescent="0.2">
      <c r="FS1601" s="101">
        <v>1596</v>
      </c>
      <c r="FT1601" s="101">
        <f t="shared" si="719"/>
        <v>68</v>
      </c>
      <c r="FU1601" s="101">
        <f t="shared" si="712"/>
        <v>20</v>
      </c>
      <c r="FV1601" s="14">
        <f t="shared" si="713"/>
        <v>3</v>
      </c>
      <c r="FW1601" s="101" t="str">
        <f t="shared" si="720"/>
        <v>燕青专属武器-魂珠-8 5级</v>
      </c>
      <c r="FX1601" s="101">
        <f t="shared" si="721"/>
        <v>8</v>
      </c>
      <c r="FY1601" s="101">
        <f t="shared" si="722"/>
        <v>5</v>
      </c>
      <c r="FZ1601" s="101" t="str">
        <f t="shared" si="714"/>
        <v>金币</v>
      </c>
      <c r="GA1601" s="139">
        <f>IF($FY1601&gt;0,IF(INDEX($EM$6:$EM$77,$FT1601)&gt;=GA$3,ROUND(INDEX(EO$6:EO$77,$FT1601)*INDEX(卡牌消耗!$B$8:$F$8,FV1601)/5,0)*5,""),"")</f>
        <v>10545</v>
      </c>
      <c r="GB1601" s="101" t="str">
        <f t="shared" si="715"/>
        <v>专属强化石4</v>
      </c>
      <c r="GC1601" s="101">
        <f t="shared" si="716"/>
        <v>15</v>
      </c>
      <c r="GD1601" s="101" t="str">
        <f t="shared" si="717"/>
        <v/>
      </c>
      <c r="GE1601" s="101" t="str">
        <f t="shared" si="718"/>
        <v/>
      </c>
      <c r="GF1601" s="101">
        <f t="shared" si="723"/>
        <v>0.04</v>
      </c>
      <c r="GG1601" s="101">
        <f t="shared" si="724"/>
        <v>1</v>
      </c>
      <c r="GH1601" s="101">
        <f t="shared" si="725"/>
        <v>35</v>
      </c>
      <c r="GI1601" s="101">
        <f t="shared" si="726"/>
        <v>0</v>
      </c>
      <c r="GJ1601" s="101">
        <f t="shared" si="727"/>
        <v>1</v>
      </c>
      <c r="GK1601" s="101">
        <f t="shared" si="728"/>
        <v>8</v>
      </c>
      <c r="GL1601" s="101">
        <f t="shared" si="729"/>
        <v>2.12E-2</v>
      </c>
      <c r="GM1601" s="101">
        <f t="shared" si="730"/>
        <v>1</v>
      </c>
      <c r="GN1601" s="101">
        <f t="shared" si="731"/>
        <v>17</v>
      </c>
      <c r="GO1601" s="101">
        <f t="shared" si="732"/>
        <v>8.4699999999999998E-2</v>
      </c>
      <c r="GP1601" s="101">
        <f t="shared" si="733"/>
        <v>1</v>
      </c>
      <c r="GQ1601" s="101">
        <f t="shared" si="734"/>
        <v>35</v>
      </c>
    </row>
    <row r="1602" spans="175:199" ht="16.5" x14ac:dyDescent="0.2">
      <c r="FS1602" s="101">
        <v>1597</v>
      </c>
      <c r="FT1602" s="101">
        <f t="shared" si="719"/>
        <v>69</v>
      </c>
      <c r="FU1602" s="101">
        <f t="shared" si="712"/>
        <v>20</v>
      </c>
      <c r="FV1602" s="14">
        <f t="shared" si="713"/>
        <v>3</v>
      </c>
      <c r="FW1602" s="101" t="str">
        <f t="shared" si="720"/>
        <v>燕青专属武器-魂珠-8 6级</v>
      </c>
      <c r="FX1602" s="101">
        <f t="shared" si="721"/>
        <v>8</v>
      </c>
      <c r="FY1602" s="101">
        <f t="shared" si="722"/>
        <v>6</v>
      </c>
      <c r="FZ1602" s="101" t="str">
        <f t="shared" si="714"/>
        <v>金币</v>
      </c>
      <c r="GA1602" s="139">
        <f>IF($FY1602&gt;0,IF(INDEX($EM$6:$EM$77,$FT1602)&gt;=GA$3,ROUND(INDEX(EO$6:EO$77,$FT1602)*INDEX(卡牌消耗!$B$8:$F$8,FV1602)/5,0)*5,""),"")</f>
        <v>12580</v>
      </c>
      <c r="GB1602" s="101" t="str">
        <f t="shared" si="715"/>
        <v>专属强化石4</v>
      </c>
      <c r="GC1602" s="101">
        <f t="shared" si="716"/>
        <v>18</v>
      </c>
      <c r="GD1602" s="101" t="str">
        <f t="shared" si="717"/>
        <v/>
      </c>
      <c r="GE1602" s="101" t="str">
        <f t="shared" si="718"/>
        <v/>
      </c>
      <c r="GF1602" s="101">
        <f t="shared" si="723"/>
        <v>0.03</v>
      </c>
      <c r="GG1602" s="101">
        <f t="shared" si="724"/>
        <v>1</v>
      </c>
      <c r="GH1602" s="101">
        <f t="shared" si="725"/>
        <v>48</v>
      </c>
      <c r="GI1602" s="101">
        <f t="shared" si="726"/>
        <v>0</v>
      </c>
      <c r="GJ1602" s="101">
        <f t="shared" si="727"/>
        <v>1</v>
      </c>
      <c r="GK1602" s="101">
        <f t="shared" si="728"/>
        <v>11</v>
      </c>
      <c r="GL1602" s="101">
        <f t="shared" si="729"/>
        <v>1.5599999999999999E-2</v>
      </c>
      <c r="GM1602" s="101">
        <f t="shared" si="730"/>
        <v>1</v>
      </c>
      <c r="GN1602" s="101">
        <f t="shared" si="731"/>
        <v>22</v>
      </c>
      <c r="GO1602" s="101">
        <f t="shared" si="732"/>
        <v>6.2600000000000003E-2</v>
      </c>
      <c r="GP1602" s="101">
        <f t="shared" si="733"/>
        <v>1</v>
      </c>
      <c r="GQ1602" s="101">
        <f t="shared" si="734"/>
        <v>48</v>
      </c>
    </row>
    <row r="1603" spans="175:199" ht="16.5" x14ac:dyDescent="0.2">
      <c r="FS1603" s="101">
        <v>1598</v>
      </c>
      <c r="FT1603" s="101">
        <f t="shared" si="719"/>
        <v>70</v>
      </c>
      <c r="FU1603" s="101">
        <f t="shared" si="712"/>
        <v>20</v>
      </c>
      <c r="FV1603" s="14">
        <f t="shared" si="713"/>
        <v>3</v>
      </c>
      <c r="FW1603" s="101" t="str">
        <f t="shared" si="720"/>
        <v>燕青专属武器-魂珠-8 7级</v>
      </c>
      <c r="FX1603" s="101">
        <f t="shared" si="721"/>
        <v>8</v>
      </c>
      <c r="FY1603" s="101">
        <f t="shared" si="722"/>
        <v>7</v>
      </c>
      <c r="FZ1603" s="101" t="str">
        <f t="shared" si="714"/>
        <v>金币</v>
      </c>
      <c r="GA1603" s="139">
        <f>IF($FY1603&gt;0,IF(INDEX($EM$6:$EM$77,$FT1603)&gt;=GA$3,ROUND(INDEX(EO$6:EO$77,$FT1603)*INDEX(卡牌消耗!$B$8:$F$8,FV1603)/5,0)*5,""),"")</f>
        <v>17515</v>
      </c>
      <c r="GB1603" s="101" t="str">
        <f t="shared" si="715"/>
        <v>专属强化石4</v>
      </c>
      <c r="GC1603" s="101">
        <f t="shared" si="716"/>
        <v>25</v>
      </c>
      <c r="GD1603" s="101" t="str">
        <f t="shared" si="717"/>
        <v/>
      </c>
      <c r="GE1603" s="101" t="str">
        <f t="shared" si="718"/>
        <v/>
      </c>
      <c r="GF1603" s="101">
        <f t="shared" si="723"/>
        <v>0.03</v>
      </c>
      <c r="GG1603" s="101">
        <f t="shared" si="724"/>
        <v>1</v>
      </c>
      <c r="GH1603" s="101">
        <f t="shared" si="725"/>
        <v>56</v>
      </c>
      <c r="GI1603" s="101">
        <f t="shared" si="726"/>
        <v>0</v>
      </c>
      <c r="GJ1603" s="101">
        <f t="shared" si="727"/>
        <v>1</v>
      </c>
      <c r="GK1603" s="101">
        <f t="shared" si="728"/>
        <v>13</v>
      </c>
      <c r="GL1603" s="101">
        <f t="shared" si="729"/>
        <v>1.35E-2</v>
      </c>
      <c r="GM1603" s="101">
        <f t="shared" si="730"/>
        <v>1</v>
      </c>
      <c r="GN1603" s="101">
        <f t="shared" si="731"/>
        <v>26</v>
      </c>
      <c r="GO1603" s="101">
        <f t="shared" si="732"/>
        <v>5.3800000000000001E-2</v>
      </c>
      <c r="GP1603" s="101">
        <f t="shared" si="733"/>
        <v>1</v>
      </c>
      <c r="GQ1603" s="101">
        <f t="shared" si="734"/>
        <v>56</v>
      </c>
    </row>
    <row r="1604" spans="175:199" ht="16.5" x14ac:dyDescent="0.2">
      <c r="FS1604" s="101">
        <v>1599</v>
      </c>
      <c r="FT1604" s="101">
        <f t="shared" si="719"/>
        <v>71</v>
      </c>
      <c r="FU1604" s="101">
        <f t="shared" si="712"/>
        <v>20</v>
      </c>
      <c r="FV1604" s="14">
        <f t="shared" si="713"/>
        <v>3</v>
      </c>
      <c r="FW1604" s="101" t="str">
        <f t="shared" si="720"/>
        <v>燕青专属武器-魂珠-8 8级</v>
      </c>
      <c r="FX1604" s="101">
        <f t="shared" si="721"/>
        <v>8</v>
      </c>
      <c r="FY1604" s="101">
        <f t="shared" si="722"/>
        <v>8</v>
      </c>
      <c r="FZ1604" s="101" t="str">
        <f t="shared" si="714"/>
        <v>金币</v>
      </c>
      <c r="GA1604" s="139">
        <f>IF($FY1604&gt;0,IF(INDEX($EM$6:$EM$77,$FT1604)&gt;=GA$3,ROUND(INDEX(EO$6:EO$77,$FT1604)*INDEX(卡牌消耗!$B$8:$F$8,FV1604)/5,0)*5,""),"")</f>
        <v>21000</v>
      </c>
      <c r="GB1604" s="101" t="str">
        <f t="shared" si="715"/>
        <v>专属强化石4</v>
      </c>
      <c r="GC1604" s="101">
        <f t="shared" si="716"/>
        <v>30</v>
      </c>
      <c r="GD1604" s="101" t="str">
        <f t="shared" si="717"/>
        <v/>
      </c>
      <c r="GE1604" s="101" t="str">
        <f t="shared" si="718"/>
        <v/>
      </c>
      <c r="GF1604" s="101">
        <f t="shared" si="723"/>
        <v>0.02</v>
      </c>
      <c r="GG1604" s="101">
        <f t="shared" si="724"/>
        <v>1</v>
      </c>
      <c r="GH1604" s="101">
        <f t="shared" si="725"/>
        <v>75</v>
      </c>
      <c r="GI1604" s="101">
        <f t="shared" si="726"/>
        <v>0</v>
      </c>
      <c r="GJ1604" s="101">
        <f t="shared" si="727"/>
        <v>1</v>
      </c>
      <c r="GK1604" s="101">
        <f t="shared" si="728"/>
        <v>18</v>
      </c>
      <c r="GL1604" s="101">
        <f t="shared" si="729"/>
        <v>0.01</v>
      </c>
      <c r="GM1604" s="101">
        <f t="shared" si="730"/>
        <v>1</v>
      </c>
      <c r="GN1604" s="101">
        <f t="shared" si="731"/>
        <v>35</v>
      </c>
      <c r="GO1604" s="101">
        <f t="shared" si="732"/>
        <v>3.9899999999999998E-2</v>
      </c>
      <c r="GP1604" s="101">
        <f t="shared" si="733"/>
        <v>1</v>
      </c>
      <c r="GQ1604" s="101">
        <f t="shared" si="734"/>
        <v>75</v>
      </c>
    </row>
    <row r="1605" spans="175:199" ht="16.5" x14ac:dyDescent="0.2">
      <c r="FS1605" s="101">
        <v>1600</v>
      </c>
      <c r="FT1605" s="101">
        <f t="shared" si="719"/>
        <v>72</v>
      </c>
      <c r="FU1605" s="101">
        <f t="shared" si="712"/>
        <v>20</v>
      </c>
      <c r="FV1605" s="14">
        <f t="shared" si="713"/>
        <v>3</v>
      </c>
      <c r="FW1605" s="101" t="str">
        <f t="shared" si="720"/>
        <v>燕青专属武器-魂珠-8 9级</v>
      </c>
      <c r="FX1605" s="101">
        <f t="shared" si="721"/>
        <v>8</v>
      </c>
      <c r="FY1605" s="101">
        <f t="shared" si="722"/>
        <v>9</v>
      </c>
      <c r="FZ1605" s="101" t="str">
        <f t="shared" si="714"/>
        <v>金币</v>
      </c>
      <c r="GA1605" s="139">
        <f>IF($FY1605&gt;0,IF(INDEX($EM$6:$EM$77,$FT1605)&gt;=GA$3,ROUND(INDEX(EO$6:EO$77,$FT1605)*INDEX(卡牌消耗!$B$8:$F$8,FV1605)/5,0)*5,""),"")</f>
        <v>21005</v>
      </c>
      <c r="GB1605" s="101" t="str">
        <f t="shared" si="715"/>
        <v>专属强化石4</v>
      </c>
      <c r="GC1605" s="101">
        <f t="shared" si="716"/>
        <v>30</v>
      </c>
      <c r="GD1605" s="101" t="str">
        <f t="shared" si="717"/>
        <v/>
      </c>
      <c r="GE1605" s="101" t="str">
        <f t="shared" si="718"/>
        <v/>
      </c>
      <c r="GF1605" s="101">
        <f t="shared" si="723"/>
        <v>0.01</v>
      </c>
      <c r="GG1605" s="101">
        <f t="shared" si="724"/>
        <v>1</v>
      </c>
      <c r="GH1605" s="101">
        <f t="shared" si="725"/>
        <v>122</v>
      </c>
      <c r="GI1605" s="101">
        <f t="shared" si="726"/>
        <v>0</v>
      </c>
      <c r="GJ1605" s="101">
        <f t="shared" si="727"/>
        <v>1</v>
      </c>
      <c r="GK1605" s="101">
        <f t="shared" si="728"/>
        <v>28</v>
      </c>
      <c r="GL1605" s="101">
        <f t="shared" si="729"/>
        <v>6.1999999999999998E-3</v>
      </c>
      <c r="GM1605" s="101">
        <f t="shared" si="730"/>
        <v>1</v>
      </c>
      <c r="GN1605" s="101">
        <f t="shared" si="731"/>
        <v>57</v>
      </c>
      <c r="GO1605" s="101">
        <f t="shared" si="732"/>
        <v>2.47E-2</v>
      </c>
      <c r="GP1605" s="101">
        <f t="shared" si="733"/>
        <v>1</v>
      </c>
      <c r="GQ1605" s="101">
        <f t="shared" si="734"/>
        <v>122</v>
      </c>
    </row>
    <row r="1606" spans="175:199" ht="16.5" x14ac:dyDescent="0.2">
      <c r="FS1606" s="101">
        <v>1601</v>
      </c>
      <c r="FT1606" s="101">
        <f t="shared" si="719"/>
        <v>0</v>
      </c>
      <c r="FU1606" s="101">
        <f t="shared" si="712"/>
        <v>21</v>
      </c>
      <c r="FV1606" s="14">
        <f t="shared" si="713"/>
        <v>4</v>
      </c>
      <c r="FW1606" s="101" t="str">
        <f t="shared" si="720"/>
        <v>秦琼专属武器-魂珠-1 0级</v>
      </c>
      <c r="FX1606" s="101">
        <f t="shared" si="721"/>
        <v>1</v>
      </c>
      <c r="FY1606" s="101">
        <f t="shared" si="722"/>
        <v>0</v>
      </c>
      <c r="FZ1606" s="101" t="str">
        <f t="shared" si="714"/>
        <v/>
      </c>
      <c r="GA1606" s="139" t="str">
        <f>IF($FY1606&gt;0,IF(INDEX($EM$6:$EM$77,$FT1606)&gt;=GA$3,ROUND(INDEX(EO$6:EO$77,$FT1606)*INDEX(卡牌消耗!$B$8:$F$8,FV1606)/5,0)*5,""),"")</f>
        <v/>
      </c>
      <c r="GB1606" s="101" t="str">
        <f t="shared" si="715"/>
        <v/>
      </c>
      <c r="GC1606" s="101" t="str">
        <f t="shared" si="716"/>
        <v/>
      </c>
      <c r="GD1606" s="101" t="str">
        <f t="shared" si="717"/>
        <v/>
      </c>
      <c r="GE1606" s="101" t="str">
        <f t="shared" si="718"/>
        <v/>
      </c>
      <c r="GF1606" s="101" t="str">
        <f t="shared" si="723"/>
        <v/>
      </c>
      <c r="GG1606" s="101" t="str">
        <f t="shared" si="724"/>
        <v/>
      </c>
      <c r="GH1606" s="101" t="str">
        <f t="shared" si="725"/>
        <v/>
      </c>
      <c r="GI1606" s="101" t="str">
        <f t="shared" si="726"/>
        <v/>
      </c>
      <c r="GJ1606" s="101" t="str">
        <f t="shared" si="727"/>
        <v/>
      </c>
      <c r="GK1606" s="101" t="str">
        <f t="shared" si="728"/>
        <v/>
      </c>
      <c r="GL1606" s="101" t="str">
        <f t="shared" si="729"/>
        <v/>
      </c>
      <c r="GM1606" s="101" t="str">
        <f t="shared" si="730"/>
        <v/>
      </c>
      <c r="GN1606" s="101" t="str">
        <f t="shared" si="731"/>
        <v/>
      </c>
      <c r="GO1606" s="101" t="str">
        <f t="shared" si="732"/>
        <v/>
      </c>
      <c r="GP1606" s="101" t="str">
        <f t="shared" si="733"/>
        <v/>
      </c>
      <c r="GQ1606" s="101" t="str">
        <f t="shared" si="734"/>
        <v/>
      </c>
    </row>
    <row r="1607" spans="175:199" ht="16.5" x14ac:dyDescent="0.2">
      <c r="FS1607" s="101">
        <v>1602</v>
      </c>
      <c r="FT1607" s="101">
        <f t="shared" si="719"/>
        <v>1</v>
      </c>
      <c r="FU1607" s="101">
        <f t="shared" ref="FU1607:FU1670" si="735">INT((FS1607-1)/80+1)</f>
        <v>21</v>
      </c>
      <c r="FV1607" s="14">
        <f t="shared" ref="FV1607:FV1670" si="736">INDEX($FO$6:$FO$26,FU1607)</f>
        <v>4</v>
      </c>
      <c r="FW1607" s="101" t="str">
        <f t="shared" si="720"/>
        <v>秦琼专属武器-魂珠-1 1级</v>
      </c>
      <c r="FX1607" s="101">
        <f t="shared" si="721"/>
        <v>1</v>
      </c>
      <c r="FY1607" s="101">
        <f t="shared" si="722"/>
        <v>1</v>
      </c>
      <c r="FZ1607" s="101" t="str">
        <f t="shared" ref="FZ1607:FZ1670" si="737">IF($FY1607&gt;0,IF(INDEX($EM$6:$EM$77,$FT1607)&gt;=FZ$3,INDEX(EN$6:EN$77,$FT1607),""),"")</f>
        <v>金币</v>
      </c>
      <c r="GA1607" s="139">
        <f>IF($FY1607&gt;0,IF(INDEX($EM$6:$EM$77,$FT1607)&gt;=GA$3,ROUND(INDEX(EO$6:EO$77,$FT1607)*INDEX(卡牌消耗!$B$8:$F$8,FV1607)/5,0)*5,""),"")</f>
        <v>145</v>
      </c>
      <c r="GB1607" s="101" t="str">
        <f t="shared" ref="GB1607:GB1670" si="738">IF($FY1607&gt;0,IF(INDEX($EM$6:$EM$77,$FT1607)&gt;=GB$3,INDEX(EP$6:EP$77,$FT1607),""),"")</f>
        <v>专属强化石1</v>
      </c>
      <c r="GC1607" s="101">
        <f t="shared" ref="GC1607:GC1670" si="739">IF($FY1607&gt;0,IF(INDEX($EM$6:$EM$77,$FT1607)&gt;=GC$3,INDEX(EQ$6:EQ$77,$FT1607),""),"")</f>
        <v>1</v>
      </c>
      <c r="GD1607" s="101" t="str">
        <f t="shared" ref="GD1607:GD1670" si="740">IF($FY1607&gt;0,IF(INDEX($EM$6:$EM$77,$FT1607)&gt;=GD$3,INDEX(ER$6:ER$77,$FT1607),""),"")</f>
        <v/>
      </c>
      <c r="GE1607" s="101" t="str">
        <f t="shared" ref="GE1607:GE1670" si="741">IF($FY1607&gt;0,IF(INDEX($EM$6:$EM$77,$FT1607)&gt;=GE$3,INDEX(ES$6:ES$77,$FT1607),""),"")</f>
        <v/>
      </c>
      <c r="GF1607" s="101">
        <f t="shared" si="723"/>
        <v>0.32</v>
      </c>
      <c r="GG1607" s="101">
        <f t="shared" si="724"/>
        <v>1</v>
      </c>
      <c r="GH1607" s="101">
        <f t="shared" si="725"/>
        <v>5</v>
      </c>
      <c r="GI1607" s="101">
        <f t="shared" si="726"/>
        <v>0</v>
      </c>
      <c r="GJ1607" s="101">
        <f t="shared" si="727"/>
        <v>1</v>
      </c>
      <c r="GK1607" s="101">
        <f t="shared" si="728"/>
        <v>1</v>
      </c>
      <c r="GL1607" s="101">
        <f t="shared" si="729"/>
        <v>0.1595</v>
      </c>
      <c r="GM1607" s="101">
        <f t="shared" si="730"/>
        <v>1</v>
      </c>
      <c r="GN1607" s="101">
        <f t="shared" si="731"/>
        <v>2</v>
      </c>
      <c r="GO1607" s="101">
        <f t="shared" si="732"/>
        <v>0.63819999999999999</v>
      </c>
      <c r="GP1607" s="101">
        <f t="shared" si="733"/>
        <v>1</v>
      </c>
      <c r="GQ1607" s="101">
        <f t="shared" si="734"/>
        <v>5</v>
      </c>
    </row>
    <row r="1608" spans="175:199" ht="16.5" x14ac:dyDescent="0.2">
      <c r="FS1608" s="101">
        <v>1603</v>
      </c>
      <c r="FT1608" s="101">
        <f t="shared" si="719"/>
        <v>2</v>
      </c>
      <c r="FU1608" s="101">
        <f t="shared" si="735"/>
        <v>21</v>
      </c>
      <c r="FV1608" s="14">
        <f t="shared" si="736"/>
        <v>4</v>
      </c>
      <c r="FW1608" s="101" t="str">
        <f t="shared" si="720"/>
        <v>秦琼专属武器-魂珠-1 2级</v>
      </c>
      <c r="FX1608" s="101">
        <f t="shared" si="721"/>
        <v>1</v>
      </c>
      <c r="FY1608" s="101">
        <f t="shared" si="722"/>
        <v>2</v>
      </c>
      <c r="FZ1608" s="101" t="str">
        <f t="shared" si="737"/>
        <v>金币</v>
      </c>
      <c r="GA1608" s="139">
        <f>IF($FY1608&gt;0,IF(INDEX($EM$6:$EM$77,$FT1608)&gt;=GA$3,ROUND(INDEX(EO$6:EO$77,$FT1608)*INDEX(卡牌消耗!$B$8:$F$8,FV1608)/5,0)*5,""),"")</f>
        <v>215</v>
      </c>
      <c r="GB1608" s="101" t="str">
        <f t="shared" si="738"/>
        <v>专属强化石1</v>
      </c>
      <c r="GC1608" s="101">
        <f t="shared" si="739"/>
        <v>2</v>
      </c>
      <c r="GD1608" s="101" t="str">
        <f t="shared" si="740"/>
        <v/>
      </c>
      <c r="GE1608" s="101" t="str">
        <f t="shared" si="741"/>
        <v/>
      </c>
      <c r="GF1608" s="101">
        <f t="shared" si="723"/>
        <v>0.32</v>
      </c>
      <c r="GG1608" s="101">
        <f t="shared" si="724"/>
        <v>1</v>
      </c>
      <c r="GH1608" s="101">
        <f t="shared" si="725"/>
        <v>5</v>
      </c>
      <c r="GI1608" s="101">
        <f t="shared" si="726"/>
        <v>0</v>
      </c>
      <c r="GJ1608" s="101">
        <f t="shared" si="727"/>
        <v>1</v>
      </c>
      <c r="GK1608" s="101">
        <f t="shared" si="728"/>
        <v>1</v>
      </c>
      <c r="GL1608" s="101">
        <f t="shared" si="729"/>
        <v>0.1595</v>
      </c>
      <c r="GM1608" s="101">
        <f t="shared" si="730"/>
        <v>1</v>
      </c>
      <c r="GN1608" s="101">
        <f t="shared" si="731"/>
        <v>2</v>
      </c>
      <c r="GO1608" s="101">
        <f t="shared" si="732"/>
        <v>0.63819999999999999</v>
      </c>
      <c r="GP1608" s="101">
        <f t="shared" si="733"/>
        <v>1</v>
      </c>
      <c r="GQ1608" s="101">
        <f t="shared" si="734"/>
        <v>5</v>
      </c>
    </row>
    <row r="1609" spans="175:199" ht="16.5" x14ac:dyDescent="0.2">
      <c r="FS1609" s="101">
        <v>1604</v>
      </c>
      <c r="FT1609" s="101">
        <f t="shared" si="719"/>
        <v>3</v>
      </c>
      <c r="FU1609" s="101">
        <f t="shared" si="735"/>
        <v>21</v>
      </c>
      <c r="FV1609" s="14">
        <f t="shared" si="736"/>
        <v>4</v>
      </c>
      <c r="FW1609" s="101" t="str">
        <f t="shared" si="720"/>
        <v>秦琼专属武器-魂珠-1 3级</v>
      </c>
      <c r="FX1609" s="101">
        <f t="shared" si="721"/>
        <v>1</v>
      </c>
      <c r="FY1609" s="101">
        <f t="shared" si="722"/>
        <v>3</v>
      </c>
      <c r="FZ1609" s="101" t="str">
        <f t="shared" si="737"/>
        <v>金币</v>
      </c>
      <c r="GA1609" s="139">
        <f>IF($FY1609&gt;0,IF(INDEX($EM$6:$EM$77,$FT1609)&gt;=GA$3,ROUND(INDEX(EO$6:EO$77,$FT1609)*INDEX(卡牌消耗!$B$8:$F$8,FV1609)/5,0)*5,""),"")</f>
        <v>355</v>
      </c>
      <c r="GB1609" s="101" t="str">
        <f t="shared" si="738"/>
        <v>专属强化石1</v>
      </c>
      <c r="GC1609" s="101">
        <f t="shared" si="739"/>
        <v>3</v>
      </c>
      <c r="GD1609" s="101" t="str">
        <f t="shared" si="740"/>
        <v/>
      </c>
      <c r="GE1609" s="101" t="str">
        <f t="shared" si="741"/>
        <v/>
      </c>
      <c r="GF1609" s="101">
        <f t="shared" si="723"/>
        <v>0.32</v>
      </c>
      <c r="GG1609" s="101">
        <f t="shared" si="724"/>
        <v>1</v>
      </c>
      <c r="GH1609" s="101">
        <f t="shared" si="725"/>
        <v>5</v>
      </c>
      <c r="GI1609" s="101">
        <f t="shared" si="726"/>
        <v>0</v>
      </c>
      <c r="GJ1609" s="101">
        <f t="shared" si="727"/>
        <v>1</v>
      </c>
      <c r="GK1609" s="101">
        <f t="shared" si="728"/>
        <v>1</v>
      </c>
      <c r="GL1609" s="101">
        <f t="shared" si="729"/>
        <v>0.1595</v>
      </c>
      <c r="GM1609" s="101">
        <f t="shared" si="730"/>
        <v>1</v>
      </c>
      <c r="GN1609" s="101">
        <f t="shared" si="731"/>
        <v>2</v>
      </c>
      <c r="GO1609" s="101">
        <f t="shared" si="732"/>
        <v>0.63819999999999999</v>
      </c>
      <c r="GP1609" s="101">
        <f t="shared" si="733"/>
        <v>1</v>
      </c>
      <c r="GQ1609" s="101">
        <f t="shared" si="734"/>
        <v>5</v>
      </c>
    </row>
    <row r="1610" spans="175:199" ht="16.5" x14ac:dyDescent="0.2">
      <c r="FS1610" s="101">
        <v>1605</v>
      </c>
      <c r="FT1610" s="101">
        <f t="shared" si="719"/>
        <v>4</v>
      </c>
      <c r="FU1610" s="101">
        <f t="shared" si="735"/>
        <v>21</v>
      </c>
      <c r="FV1610" s="14">
        <f t="shared" si="736"/>
        <v>4</v>
      </c>
      <c r="FW1610" s="101" t="str">
        <f t="shared" si="720"/>
        <v>秦琼专属武器-魂珠-1 4级</v>
      </c>
      <c r="FX1610" s="101">
        <f t="shared" si="721"/>
        <v>1</v>
      </c>
      <c r="FY1610" s="101">
        <f t="shared" si="722"/>
        <v>4</v>
      </c>
      <c r="FZ1610" s="101" t="str">
        <f t="shared" si="737"/>
        <v>金币</v>
      </c>
      <c r="GA1610" s="139">
        <f>IF($FY1610&gt;0,IF(INDEX($EM$6:$EM$77,$FT1610)&gt;=GA$3,ROUND(INDEX(EO$6:EO$77,$FT1610)*INDEX(卡牌消耗!$B$8:$F$8,FV1610)/5,0)*5,""),"")</f>
        <v>455</v>
      </c>
      <c r="GB1610" s="101" t="str">
        <f t="shared" si="738"/>
        <v>专属强化石1</v>
      </c>
      <c r="GC1610" s="101">
        <f t="shared" si="739"/>
        <v>4</v>
      </c>
      <c r="GD1610" s="101" t="str">
        <f t="shared" si="740"/>
        <v/>
      </c>
      <c r="GE1610" s="101" t="str">
        <f t="shared" si="741"/>
        <v/>
      </c>
      <c r="GF1610" s="101">
        <f t="shared" si="723"/>
        <v>0.26</v>
      </c>
      <c r="GG1610" s="101">
        <f t="shared" si="724"/>
        <v>1</v>
      </c>
      <c r="GH1610" s="101">
        <f t="shared" si="725"/>
        <v>6</v>
      </c>
      <c r="GI1610" s="101">
        <f t="shared" si="726"/>
        <v>0</v>
      </c>
      <c r="GJ1610" s="101">
        <f t="shared" si="727"/>
        <v>1</v>
      </c>
      <c r="GK1610" s="101">
        <f t="shared" si="728"/>
        <v>1</v>
      </c>
      <c r="GL1610" s="101">
        <f t="shared" si="729"/>
        <v>0.12759999999999999</v>
      </c>
      <c r="GM1610" s="101">
        <f t="shared" si="730"/>
        <v>1</v>
      </c>
      <c r="GN1610" s="101">
        <f t="shared" si="731"/>
        <v>3</v>
      </c>
      <c r="GO1610" s="101">
        <f t="shared" si="732"/>
        <v>0.51060000000000005</v>
      </c>
      <c r="GP1610" s="101">
        <f t="shared" si="733"/>
        <v>1</v>
      </c>
      <c r="GQ1610" s="101">
        <f t="shared" si="734"/>
        <v>6</v>
      </c>
    </row>
    <row r="1611" spans="175:199" ht="16.5" x14ac:dyDescent="0.2">
      <c r="FS1611" s="101">
        <v>1606</v>
      </c>
      <c r="FT1611" s="101">
        <f t="shared" si="719"/>
        <v>5</v>
      </c>
      <c r="FU1611" s="101">
        <f t="shared" si="735"/>
        <v>21</v>
      </c>
      <c r="FV1611" s="14">
        <f t="shared" si="736"/>
        <v>4</v>
      </c>
      <c r="FW1611" s="101" t="str">
        <f t="shared" si="720"/>
        <v>秦琼专属武器-魂珠-1 5级</v>
      </c>
      <c r="FX1611" s="101">
        <f t="shared" si="721"/>
        <v>1</v>
      </c>
      <c r="FY1611" s="101">
        <f t="shared" si="722"/>
        <v>5</v>
      </c>
      <c r="FZ1611" s="101" t="str">
        <f t="shared" si="737"/>
        <v>金币</v>
      </c>
      <c r="GA1611" s="139">
        <f>IF($FY1611&gt;0,IF(INDEX($EM$6:$EM$77,$FT1611)&gt;=GA$3,ROUND(INDEX(EO$6:EO$77,$FT1611)*INDEX(卡牌消耗!$B$8:$F$8,FV1611)/5,0)*5,""),"")</f>
        <v>580</v>
      </c>
      <c r="GB1611" s="101" t="str">
        <f t="shared" si="738"/>
        <v>专属强化石1</v>
      </c>
      <c r="GC1611" s="101">
        <f t="shared" si="739"/>
        <v>5</v>
      </c>
      <c r="GD1611" s="101" t="str">
        <f t="shared" si="740"/>
        <v/>
      </c>
      <c r="GE1611" s="101" t="str">
        <f t="shared" si="741"/>
        <v/>
      </c>
      <c r="GF1611" s="101">
        <f t="shared" si="723"/>
        <v>0.2</v>
      </c>
      <c r="GG1611" s="101">
        <f t="shared" si="724"/>
        <v>1</v>
      </c>
      <c r="GH1611" s="101">
        <f t="shared" si="725"/>
        <v>8</v>
      </c>
      <c r="GI1611" s="101">
        <f t="shared" si="726"/>
        <v>0</v>
      </c>
      <c r="GJ1611" s="101">
        <f t="shared" si="727"/>
        <v>1</v>
      </c>
      <c r="GK1611" s="101">
        <f t="shared" si="728"/>
        <v>2</v>
      </c>
      <c r="GL1611" s="101">
        <f t="shared" si="729"/>
        <v>9.9699999999999997E-2</v>
      </c>
      <c r="GM1611" s="101">
        <f t="shared" si="730"/>
        <v>1</v>
      </c>
      <c r="GN1611" s="101">
        <f t="shared" si="731"/>
        <v>4</v>
      </c>
      <c r="GO1611" s="101">
        <f t="shared" si="732"/>
        <v>0.39889999999999998</v>
      </c>
      <c r="GP1611" s="101">
        <f t="shared" si="733"/>
        <v>1</v>
      </c>
      <c r="GQ1611" s="101">
        <f t="shared" si="734"/>
        <v>8</v>
      </c>
    </row>
    <row r="1612" spans="175:199" ht="16.5" x14ac:dyDescent="0.2">
      <c r="FS1612" s="101">
        <v>1607</v>
      </c>
      <c r="FT1612" s="101">
        <f t="shared" si="719"/>
        <v>6</v>
      </c>
      <c r="FU1612" s="101">
        <f t="shared" si="735"/>
        <v>21</v>
      </c>
      <c r="FV1612" s="14">
        <f t="shared" si="736"/>
        <v>4</v>
      </c>
      <c r="FW1612" s="101" t="str">
        <f t="shared" si="720"/>
        <v>秦琼专属武器-魂珠-1 6级</v>
      </c>
      <c r="FX1612" s="101">
        <f t="shared" si="721"/>
        <v>1</v>
      </c>
      <c r="FY1612" s="101">
        <f t="shared" si="722"/>
        <v>6</v>
      </c>
      <c r="FZ1612" s="101" t="str">
        <f t="shared" si="737"/>
        <v>金币</v>
      </c>
      <c r="GA1612" s="139">
        <f>IF($FY1612&gt;0,IF(INDEX($EM$6:$EM$77,$FT1612)&gt;=GA$3,ROUND(INDEX(EO$6:EO$77,$FT1612)*INDEX(卡牌消耗!$B$8:$F$8,FV1612)/5,0)*5,""),"")</f>
        <v>690</v>
      </c>
      <c r="GB1612" s="101" t="str">
        <f t="shared" si="738"/>
        <v>专属强化石1</v>
      </c>
      <c r="GC1612" s="101">
        <f t="shared" si="739"/>
        <v>6</v>
      </c>
      <c r="GD1612" s="101" t="str">
        <f t="shared" si="740"/>
        <v/>
      </c>
      <c r="GE1612" s="101" t="str">
        <f t="shared" si="741"/>
        <v/>
      </c>
      <c r="GF1612" s="101">
        <f t="shared" si="723"/>
        <v>0.15</v>
      </c>
      <c r="GG1612" s="101">
        <f t="shared" si="724"/>
        <v>1</v>
      </c>
      <c r="GH1612" s="101">
        <f t="shared" si="725"/>
        <v>10</v>
      </c>
      <c r="GI1612" s="101">
        <f t="shared" si="726"/>
        <v>0</v>
      </c>
      <c r="GJ1612" s="101">
        <f t="shared" si="727"/>
        <v>1</v>
      </c>
      <c r="GK1612" s="101">
        <f t="shared" si="728"/>
        <v>2</v>
      </c>
      <c r="GL1612" s="101">
        <f t="shared" si="729"/>
        <v>7.3599999999999999E-2</v>
      </c>
      <c r="GM1612" s="101">
        <f t="shared" si="730"/>
        <v>1</v>
      </c>
      <c r="GN1612" s="101">
        <f t="shared" si="731"/>
        <v>5</v>
      </c>
      <c r="GO1612" s="101">
        <f t="shared" si="732"/>
        <v>0.29459999999999997</v>
      </c>
      <c r="GP1612" s="101">
        <f t="shared" si="733"/>
        <v>1</v>
      </c>
      <c r="GQ1612" s="101">
        <f t="shared" si="734"/>
        <v>10</v>
      </c>
    </row>
    <row r="1613" spans="175:199" ht="16.5" x14ac:dyDescent="0.2">
      <c r="FS1613" s="101">
        <v>1608</v>
      </c>
      <c r="FT1613" s="101">
        <f t="shared" si="719"/>
        <v>7</v>
      </c>
      <c r="FU1613" s="101">
        <f t="shared" si="735"/>
        <v>21</v>
      </c>
      <c r="FV1613" s="14">
        <f t="shared" si="736"/>
        <v>4</v>
      </c>
      <c r="FW1613" s="101" t="str">
        <f t="shared" si="720"/>
        <v>秦琼专属武器-魂珠-1 7级</v>
      </c>
      <c r="FX1613" s="101">
        <f t="shared" si="721"/>
        <v>1</v>
      </c>
      <c r="FY1613" s="101">
        <f t="shared" si="722"/>
        <v>7</v>
      </c>
      <c r="FZ1613" s="101" t="str">
        <f t="shared" si="737"/>
        <v>金币</v>
      </c>
      <c r="GA1613" s="139">
        <f>IF($FY1613&gt;0,IF(INDEX($EM$6:$EM$77,$FT1613)&gt;=GA$3,ROUND(INDEX(EO$6:EO$77,$FT1613)*INDEX(卡牌消耗!$B$8:$F$8,FV1613)/5,0)*5,""),"")</f>
        <v>805</v>
      </c>
      <c r="GB1613" s="101" t="str">
        <f t="shared" si="738"/>
        <v>专属强化石1</v>
      </c>
      <c r="GC1613" s="101">
        <f t="shared" si="739"/>
        <v>7</v>
      </c>
      <c r="GD1613" s="101" t="str">
        <f t="shared" si="740"/>
        <v/>
      </c>
      <c r="GE1613" s="101" t="str">
        <f t="shared" si="741"/>
        <v/>
      </c>
      <c r="GF1613" s="101">
        <f t="shared" si="723"/>
        <v>0.11</v>
      </c>
      <c r="GG1613" s="101">
        <f t="shared" si="724"/>
        <v>1</v>
      </c>
      <c r="GH1613" s="101">
        <f t="shared" si="725"/>
        <v>14</v>
      </c>
      <c r="GI1613" s="101">
        <f t="shared" si="726"/>
        <v>0</v>
      </c>
      <c r="GJ1613" s="101">
        <f t="shared" si="727"/>
        <v>1</v>
      </c>
      <c r="GK1613" s="101">
        <f t="shared" si="728"/>
        <v>3</v>
      </c>
      <c r="GL1613" s="101">
        <f t="shared" si="729"/>
        <v>5.3199999999999997E-2</v>
      </c>
      <c r="GM1613" s="101">
        <f t="shared" si="730"/>
        <v>1</v>
      </c>
      <c r="GN1613" s="101">
        <f t="shared" si="731"/>
        <v>7</v>
      </c>
      <c r="GO1613" s="101">
        <f t="shared" si="732"/>
        <v>0.2127</v>
      </c>
      <c r="GP1613" s="101">
        <f t="shared" si="733"/>
        <v>1</v>
      </c>
      <c r="GQ1613" s="101">
        <f t="shared" si="734"/>
        <v>14</v>
      </c>
    </row>
    <row r="1614" spans="175:199" ht="16.5" x14ac:dyDescent="0.2">
      <c r="FS1614" s="101">
        <v>1609</v>
      </c>
      <c r="FT1614" s="101">
        <f t="shared" si="719"/>
        <v>8</v>
      </c>
      <c r="FU1614" s="101">
        <f t="shared" si="735"/>
        <v>21</v>
      </c>
      <c r="FV1614" s="14">
        <f t="shared" si="736"/>
        <v>4</v>
      </c>
      <c r="FW1614" s="101" t="str">
        <f t="shared" si="720"/>
        <v>秦琼专属武器-魂珠-1 8级</v>
      </c>
      <c r="FX1614" s="101">
        <f t="shared" si="721"/>
        <v>1</v>
      </c>
      <c r="FY1614" s="101">
        <f t="shared" si="722"/>
        <v>8</v>
      </c>
      <c r="FZ1614" s="101" t="str">
        <f t="shared" si="737"/>
        <v>金币</v>
      </c>
      <c r="GA1614" s="139">
        <f>IF($FY1614&gt;0,IF(INDEX($EM$6:$EM$77,$FT1614)&gt;=GA$3,ROUND(INDEX(EO$6:EO$77,$FT1614)*INDEX(卡牌消耗!$B$8:$F$8,FV1614)/5,0)*5,""),"")</f>
        <v>920</v>
      </c>
      <c r="GB1614" s="101" t="str">
        <f t="shared" si="738"/>
        <v>专属强化石1</v>
      </c>
      <c r="GC1614" s="101">
        <f t="shared" si="739"/>
        <v>8</v>
      </c>
      <c r="GD1614" s="101" t="str">
        <f t="shared" si="740"/>
        <v/>
      </c>
      <c r="GE1614" s="101" t="str">
        <f t="shared" si="741"/>
        <v/>
      </c>
      <c r="GF1614" s="101">
        <f t="shared" si="723"/>
        <v>0.08</v>
      </c>
      <c r="GG1614" s="101">
        <f t="shared" si="724"/>
        <v>1</v>
      </c>
      <c r="GH1614" s="101">
        <f t="shared" si="725"/>
        <v>20</v>
      </c>
      <c r="GI1614" s="101">
        <f t="shared" si="726"/>
        <v>0</v>
      </c>
      <c r="GJ1614" s="101">
        <f t="shared" si="727"/>
        <v>1</v>
      </c>
      <c r="GK1614" s="101">
        <f t="shared" si="728"/>
        <v>5</v>
      </c>
      <c r="GL1614" s="101">
        <f t="shared" si="729"/>
        <v>3.7499999999999999E-2</v>
      </c>
      <c r="GM1614" s="101">
        <f t="shared" si="730"/>
        <v>1</v>
      </c>
      <c r="GN1614" s="101">
        <f t="shared" si="731"/>
        <v>9</v>
      </c>
      <c r="GO1614" s="101">
        <f t="shared" si="732"/>
        <v>0.1502</v>
      </c>
      <c r="GP1614" s="101">
        <f t="shared" si="733"/>
        <v>1</v>
      </c>
      <c r="GQ1614" s="101">
        <f t="shared" si="734"/>
        <v>20</v>
      </c>
    </row>
    <row r="1615" spans="175:199" ht="16.5" x14ac:dyDescent="0.2">
      <c r="FS1615" s="101">
        <v>1610</v>
      </c>
      <c r="FT1615" s="101">
        <f t="shared" si="719"/>
        <v>9</v>
      </c>
      <c r="FU1615" s="101">
        <f t="shared" si="735"/>
        <v>21</v>
      </c>
      <c r="FV1615" s="14">
        <f t="shared" si="736"/>
        <v>4</v>
      </c>
      <c r="FW1615" s="101" t="str">
        <f t="shared" si="720"/>
        <v>秦琼专属武器-魂珠-1 9级</v>
      </c>
      <c r="FX1615" s="101">
        <f t="shared" si="721"/>
        <v>1</v>
      </c>
      <c r="FY1615" s="101">
        <f t="shared" si="722"/>
        <v>9</v>
      </c>
      <c r="FZ1615" s="101" t="str">
        <f t="shared" si="737"/>
        <v>金币</v>
      </c>
      <c r="GA1615" s="139">
        <f>IF($FY1615&gt;0,IF(INDEX($EM$6:$EM$77,$FT1615)&gt;=GA$3,ROUND(INDEX(EO$6:EO$77,$FT1615)*INDEX(卡牌消耗!$B$8:$F$8,FV1615)/5,0)*5,""),"")</f>
        <v>1150</v>
      </c>
      <c r="GB1615" s="101" t="str">
        <f t="shared" si="738"/>
        <v>专属强化石1</v>
      </c>
      <c r="GC1615" s="101">
        <f t="shared" si="739"/>
        <v>10</v>
      </c>
      <c r="GD1615" s="101" t="str">
        <f t="shared" si="740"/>
        <v/>
      </c>
      <c r="GE1615" s="101" t="str">
        <f t="shared" si="741"/>
        <v/>
      </c>
      <c r="GF1615" s="101">
        <f t="shared" si="723"/>
        <v>0.06</v>
      </c>
      <c r="GG1615" s="101">
        <f t="shared" si="724"/>
        <v>1</v>
      </c>
      <c r="GH1615" s="101">
        <f t="shared" si="725"/>
        <v>26</v>
      </c>
      <c r="GI1615" s="101">
        <f t="shared" si="726"/>
        <v>0</v>
      </c>
      <c r="GJ1615" s="101">
        <f t="shared" si="727"/>
        <v>1</v>
      </c>
      <c r="GK1615" s="101">
        <f t="shared" si="728"/>
        <v>6</v>
      </c>
      <c r="GL1615" s="101">
        <f t="shared" si="729"/>
        <v>2.9000000000000001E-2</v>
      </c>
      <c r="GM1615" s="101">
        <f t="shared" si="730"/>
        <v>1</v>
      </c>
      <c r="GN1615" s="101">
        <f t="shared" si="731"/>
        <v>12</v>
      </c>
      <c r="GO1615" s="101">
        <f t="shared" si="732"/>
        <v>0.11600000000000001</v>
      </c>
      <c r="GP1615" s="101">
        <f t="shared" si="733"/>
        <v>1</v>
      </c>
      <c r="GQ1615" s="101">
        <f t="shared" si="734"/>
        <v>26</v>
      </c>
    </row>
    <row r="1616" spans="175:199" ht="16.5" x14ac:dyDescent="0.2">
      <c r="FS1616" s="101">
        <v>1611</v>
      </c>
      <c r="FT1616" s="101">
        <f t="shared" si="719"/>
        <v>0</v>
      </c>
      <c r="FU1616" s="101">
        <f t="shared" si="735"/>
        <v>21</v>
      </c>
      <c r="FV1616" s="14">
        <f t="shared" si="736"/>
        <v>4</v>
      </c>
      <c r="FW1616" s="101" t="str">
        <f t="shared" si="720"/>
        <v>秦琼专属武器-魂珠-2 0级</v>
      </c>
      <c r="FX1616" s="101">
        <f t="shared" si="721"/>
        <v>2</v>
      </c>
      <c r="FY1616" s="101">
        <f t="shared" si="722"/>
        <v>0</v>
      </c>
      <c r="FZ1616" s="101" t="str">
        <f t="shared" si="737"/>
        <v/>
      </c>
      <c r="GA1616" s="139" t="str">
        <f>IF($FY1616&gt;0,IF(INDEX($EM$6:$EM$77,$FT1616)&gt;=GA$3,ROUND(INDEX(EO$6:EO$77,$FT1616)*INDEX(卡牌消耗!$B$8:$F$8,FV1616)/5,0)*5,""),"")</f>
        <v/>
      </c>
      <c r="GB1616" s="101" t="str">
        <f t="shared" si="738"/>
        <v/>
      </c>
      <c r="GC1616" s="101" t="str">
        <f t="shared" si="739"/>
        <v/>
      </c>
      <c r="GD1616" s="101" t="str">
        <f t="shared" si="740"/>
        <v/>
      </c>
      <c r="GE1616" s="101" t="str">
        <f t="shared" si="741"/>
        <v/>
      </c>
      <c r="GF1616" s="101" t="str">
        <f t="shared" si="723"/>
        <v/>
      </c>
      <c r="GG1616" s="101" t="str">
        <f t="shared" si="724"/>
        <v/>
      </c>
      <c r="GH1616" s="101" t="str">
        <f t="shared" si="725"/>
        <v/>
      </c>
      <c r="GI1616" s="101" t="str">
        <f t="shared" si="726"/>
        <v/>
      </c>
      <c r="GJ1616" s="101" t="str">
        <f t="shared" si="727"/>
        <v/>
      </c>
      <c r="GK1616" s="101" t="str">
        <f t="shared" si="728"/>
        <v/>
      </c>
      <c r="GL1616" s="101" t="str">
        <f t="shared" si="729"/>
        <v/>
      </c>
      <c r="GM1616" s="101" t="str">
        <f t="shared" si="730"/>
        <v/>
      </c>
      <c r="GN1616" s="101" t="str">
        <f t="shared" si="731"/>
        <v/>
      </c>
      <c r="GO1616" s="101" t="str">
        <f t="shared" si="732"/>
        <v/>
      </c>
      <c r="GP1616" s="101" t="str">
        <f t="shared" si="733"/>
        <v/>
      </c>
      <c r="GQ1616" s="101" t="str">
        <f t="shared" si="734"/>
        <v/>
      </c>
    </row>
    <row r="1617" spans="175:199" ht="16.5" x14ac:dyDescent="0.2">
      <c r="FS1617" s="101">
        <v>1612</v>
      </c>
      <c r="FT1617" s="101">
        <f t="shared" si="719"/>
        <v>10</v>
      </c>
      <c r="FU1617" s="101">
        <f t="shared" si="735"/>
        <v>21</v>
      </c>
      <c r="FV1617" s="14">
        <f t="shared" si="736"/>
        <v>4</v>
      </c>
      <c r="FW1617" s="101" t="str">
        <f t="shared" si="720"/>
        <v>秦琼专属武器-魂珠-2 1级</v>
      </c>
      <c r="FX1617" s="101">
        <f t="shared" si="721"/>
        <v>2</v>
      </c>
      <c r="FY1617" s="101">
        <f t="shared" si="722"/>
        <v>1</v>
      </c>
      <c r="FZ1617" s="101" t="str">
        <f t="shared" si="737"/>
        <v>金币</v>
      </c>
      <c r="GA1617" s="139">
        <f>IF($FY1617&gt;0,IF(INDEX($EM$6:$EM$77,$FT1617)&gt;=GA$3,ROUND(INDEX(EO$6:EO$77,$FT1617)*INDEX(卡牌消耗!$B$8:$F$8,FV1617)/5,0)*5,""),"")</f>
        <v>395</v>
      </c>
      <c r="GB1617" s="101" t="str">
        <f t="shared" si="738"/>
        <v>专属强化石1</v>
      </c>
      <c r="GC1617" s="101">
        <f t="shared" si="739"/>
        <v>3</v>
      </c>
      <c r="GD1617" s="101" t="str">
        <f t="shared" si="740"/>
        <v>专属强化石2</v>
      </c>
      <c r="GE1617" s="101">
        <f t="shared" si="741"/>
        <v>1</v>
      </c>
      <c r="GF1617" s="101">
        <f t="shared" si="723"/>
        <v>0.39</v>
      </c>
      <c r="GG1617" s="101">
        <f t="shared" si="724"/>
        <v>1</v>
      </c>
      <c r="GH1617" s="101">
        <f t="shared" si="725"/>
        <v>4</v>
      </c>
      <c r="GI1617" s="101">
        <f t="shared" si="726"/>
        <v>0</v>
      </c>
      <c r="GJ1617" s="101">
        <f t="shared" si="727"/>
        <v>1</v>
      </c>
      <c r="GK1617" s="101">
        <f t="shared" si="728"/>
        <v>1</v>
      </c>
      <c r="GL1617" s="101">
        <f t="shared" si="729"/>
        <v>0.19270000000000001</v>
      </c>
      <c r="GM1617" s="101">
        <f t="shared" si="730"/>
        <v>1</v>
      </c>
      <c r="GN1617" s="101">
        <f t="shared" si="731"/>
        <v>2</v>
      </c>
      <c r="GO1617" s="101">
        <f t="shared" si="732"/>
        <v>0.77070000000000005</v>
      </c>
      <c r="GP1617" s="101">
        <f t="shared" si="733"/>
        <v>1</v>
      </c>
      <c r="GQ1617" s="101">
        <f t="shared" si="734"/>
        <v>4</v>
      </c>
    </row>
    <row r="1618" spans="175:199" ht="16.5" x14ac:dyDescent="0.2">
      <c r="FS1618" s="101">
        <v>1613</v>
      </c>
      <c r="FT1618" s="101">
        <f t="shared" si="719"/>
        <v>11</v>
      </c>
      <c r="FU1618" s="101">
        <f t="shared" si="735"/>
        <v>21</v>
      </c>
      <c r="FV1618" s="14">
        <f t="shared" si="736"/>
        <v>4</v>
      </c>
      <c r="FW1618" s="101" t="str">
        <f t="shared" si="720"/>
        <v>秦琼专属武器-魂珠-2 2级</v>
      </c>
      <c r="FX1618" s="101">
        <f t="shared" si="721"/>
        <v>2</v>
      </c>
      <c r="FY1618" s="101">
        <f t="shared" si="722"/>
        <v>2</v>
      </c>
      <c r="FZ1618" s="101" t="str">
        <f t="shared" si="737"/>
        <v>金币</v>
      </c>
      <c r="GA1618" s="139">
        <f>IF($FY1618&gt;0,IF(INDEX($EM$6:$EM$77,$FT1618)&gt;=GA$3,ROUND(INDEX(EO$6:EO$77,$FT1618)*INDEX(卡牌消耗!$B$8:$F$8,FV1618)/5,0)*5,""),"")</f>
        <v>295</v>
      </c>
      <c r="GB1618" s="101" t="str">
        <f t="shared" si="738"/>
        <v>专属强化石1</v>
      </c>
      <c r="GC1618" s="101">
        <f t="shared" si="739"/>
        <v>3</v>
      </c>
      <c r="GD1618" s="101" t="str">
        <f t="shared" si="740"/>
        <v>专属强化石2</v>
      </c>
      <c r="GE1618" s="101">
        <f t="shared" si="741"/>
        <v>1</v>
      </c>
      <c r="GF1618" s="101">
        <f t="shared" si="723"/>
        <v>0.19</v>
      </c>
      <c r="GG1618" s="101">
        <f t="shared" si="724"/>
        <v>1</v>
      </c>
      <c r="GH1618" s="101">
        <f t="shared" si="725"/>
        <v>8</v>
      </c>
      <c r="GI1618" s="101">
        <f t="shared" si="726"/>
        <v>0</v>
      </c>
      <c r="GJ1618" s="101">
        <f t="shared" si="727"/>
        <v>1</v>
      </c>
      <c r="GK1618" s="101">
        <f t="shared" si="728"/>
        <v>2</v>
      </c>
      <c r="GL1618" s="101">
        <f t="shared" si="729"/>
        <v>9.6299999999999997E-2</v>
      </c>
      <c r="GM1618" s="101">
        <f t="shared" si="730"/>
        <v>1</v>
      </c>
      <c r="GN1618" s="101">
        <f t="shared" si="731"/>
        <v>4</v>
      </c>
      <c r="GO1618" s="101">
        <f t="shared" si="732"/>
        <v>0.38529999999999998</v>
      </c>
      <c r="GP1618" s="101">
        <f t="shared" si="733"/>
        <v>1</v>
      </c>
      <c r="GQ1618" s="101">
        <f t="shared" si="734"/>
        <v>8</v>
      </c>
    </row>
    <row r="1619" spans="175:199" ht="16.5" x14ac:dyDescent="0.2">
      <c r="FS1619" s="101">
        <v>1614</v>
      </c>
      <c r="FT1619" s="101">
        <f t="shared" si="719"/>
        <v>12</v>
      </c>
      <c r="FU1619" s="101">
        <f t="shared" si="735"/>
        <v>21</v>
      </c>
      <c r="FV1619" s="14">
        <f t="shared" si="736"/>
        <v>4</v>
      </c>
      <c r="FW1619" s="101" t="str">
        <f t="shared" si="720"/>
        <v>秦琼专属武器-魂珠-2 3级</v>
      </c>
      <c r="FX1619" s="101">
        <f t="shared" si="721"/>
        <v>2</v>
      </c>
      <c r="FY1619" s="101">
        <f t="shared" si="722"/>
        <v>3</v>
      </c>
      <c r="FZ1619" s="101" t="str">
        <f t="shared" si="737"/>
        <v>金币</v>
      </c>
      <c r="GA1619" s="139">
        <f>IF($FY1619&gt;0,IF(INDEX($EM$6:$EM$77,$FT1619)&gt;=GA$3,ROUND(INDEX(EO$6:EO$77,$FT1619)*INDEX(卡牌消耗!$B$8:$F$8,FV1619)/5,0)*5,""),"")</f>
        <v>655</v>
      </c>
      <c r="GB1619" s="101" t="str">
        <f t="shared" si="738"/>
        <v>专属强化石1</v>
      </c>
      <c r="GC1619" s="101">
        <f t="shared" si="739"/>
        <v>6</v>
      </c>
      <c r="GD1619" s="101" t="str">
        <f t="shared" si="740"/>
        <v>专属强化石2</v>
      </c>
      <c r="GE1619" s="101">
        <f t="shared" si="741"/>
        <v>2</v>
      </c>
      <c r="GF1619" s="101">
        <f t="shared" si="723"/>
        <v>0.26</v>
      </c>
      <c r="GG1619" s="101">
        <f t="shared" si="724"/>
        <v>1</v>
      </c>
      <c r="GH1619" s="101">
        <f t="shared" si="725"/>
        <v>6</v>
      </c>
      <c r="GI1619" s="101">
        <f t="shared" si="726"/>
        <v>0</v>
      </c>
      <c r="GJ1619" s="101">
        <f t="shared" si="727"/>
        <v>1</v>
      </c>
      <c r="GK1619" s="101">
        <f t="shared" si="728"/>
        <v>1</v>
      </c>
      <c r="GL1619" s="101">
        <f t="shared" si="729"/>
        <v>0.12839999999999999</v>
      </c>
      <c r="GM1619" s="101">
        <f t="shared" si="730"/>
        <v>1</v>
      </c>
      <c r="GN1619" s="101">
        <f t="shared" si="731"/>
        <v>3</v>
      </c>
      <c r="GO1619" s="101">
        <f t="shared" si="732"/>
        <v>0.51380000000000003</v>
      </c>
      <c r="GP1619" s="101">
        <f t="shared" si="733"/>
        <v>1</v>
      </c>
      <c r="GQ1619" s="101">
        <f t="shared" si="734"/>
        <v>6</v>
      </c>
    </row>
    <row r="1620" spans="175:199" ht="16.5" x14ac:dyDescent="0.2">
      <c r="FS1620" s="101">
        <v>1615</v>
      </c>
      <c r="FT1620" s="101">
        <f t="shared" si="719"/>
        <v>13</v>
      </c>
      <c r="FU1620" s="101">
        <f t="shared" si="735"/>
        <v>21</v>
      </c>
      <c r="FV1620" s="14">
        <f t="shared" si="736"/>
        <v>4</v>
      </c>
      <c r="FW1620" s="101" t="str">
        <f t="shared" si="720"/>
        <v>秦琼专属武器-魂珠-2 4级</v>
      </c>
      <c r="FX1620" s="101">
        <f t="shared" si="721"/>
        <v>2</v>
      </c>
      <c r="FY1620" s="101">
        <f t="shared" si="722"/>
        <v>4</v>
      </c>
      <c r="FZ1620" s="101" t="str">
        <f t="shared" si="737"/>
        <v>金币</v>
      </c>
      <c r="GA1620" s="139">
        <f>IF($FY1620&gt;0,IF(INDEX($EM$6:$EM$77,$FT1620)&gt;=GA$3,ROUND(INDEX(EO$6:EO$77,$FT1620)*INDEX(卡牌消耗!$B$8:$F$8,FV1620)/5,0)*5,""),"")</f>
        <v>625</v>
      </c>
      <c r="GB1620" s="101" t="str">
        <f t="shared" si="738"/>
        <v>专属强化石1</v>
      </c>
      <c r="GC1620" s="101">
        <f t="shared" si="739"/>
        <v>6</v>
      </c>
      <c r="GD1620" s="101" t="str">
        <f t="shared" si="740"/>
        <v>专属强化石2</v>
      </c>
      <c r="GE1620" s="101">
        <f t="shared" si="741"/>
        <v>2</v>
      </c>
      <c r="GF1620" s="101">
        <f t="shared" si="723"/>
        <v>0.15</v>
      </c>
      <c r="GG1620" s="101">
        <f t="shared" si="724"/>
        <v>1</v>
      </c>
      <c r="GH1620" s="101">
        <f t="shared" si="725"/>
        <v>10</v>
      </c>
      <c r="GI1620" s="101">
        <f t="shared" si="726"/>
        <v>0</v>
      </c>
      <c r="GJ1620" s="101">
        <f t="shared" si="727"/>
        <v>1</v>
      </c>
      <c r="GK1620" s="101">
        <f t="shared" si="728"/>
        <v>2</v>
      </c>
      <c r="GL1620" s="101">
        <f t="shared" si="729"/>
        <v>7.7100000000000002E-2</v>
      </c>
      <c r="GM1620" s="101">
        <f t="shared" si="730"/>
        <v>1</v>
      </c>
      <c r="GN1620" s="101">
        <f t="shared" si="731"/>
        <v>5</v>
      </c>
      <c r="GO1620" s="101">
        <f t="shared" si="732"/>
        <v>0.30830000000000002</v>
      </c>
      <c r="GP1620" s="101">
        <f t="shared" si="733"/>
        <v>1</v>
      </c>
      <c r="GQ1620" s="101">
        <f t="shared" si="734"/>
        <v>10</v>
      </c>
    </row>
    <row r="1621" spans="175:199" ht="16.5" x14ac:dyDescent="0.2">
      <c r="FS1621" s="101">
        <v>1616</v>
      </c>
      <c r="FT1621" s="101">
        <f t="shared" si="719"/>
        <v>14</v>
      </c>
      <c r="FU1621" s="101">
        <f t="shared" si="735"/>
        <v>21</v>
      </c>
      <c r="FV1621" s="14">
        <f t="shared" si="736"/>
        <v>4</v>
      </c>
      <c r="FW1621" s="101" t="str">
        <f t="shared" si="720"/>
        <v>秦琼专属武器-魂珠-2 5级</v>
      </c>
      <c r="FX1621" s="101">
        <f t="shared" si="721"/>
        <v>2</v>
      </c>
      <c r="FY1621" s="101">
        <f t="shared" si="722"/>
        <v>5</v>
      </c>
      <c r="FZ1621" s="101" t="str">
        <f t="shared" si="737"/>
        <v>金币</v>
      </c>
      <c r="GA1621" s="139">
        <f>IF($FY1621&gt;0,IF(INDEX($EM$6:$EM$77,$FT1621)&gt;=GA$3,ROUND(INDEX(EO$6:EO$77,$FT1621)*INDEX(卡牌消耗!$B$8:$F$8,FV1621)/5,0)*5,""),"")</f>
        <v>955</v>
      </c>
      <c r="GB1621" s="101" t="str">
        <f t="shared" si="738"/>
        <v>专属强化石1</v>
      </c>
      <c r="GC1621" s="101">
        <f t="shared" si="739"/>
        <v>9</v>
      </c>
      <c r="GD1621" s="101" t="str">
        <f t="shared" si="740"/>
        <v>专属强化石2</v>
      </c>
      <c r="GE1621" s="101">
        <f t="shared" si="741"/>
        <v>3</v>
      </c>
      <c r="GF1621" s="101">
        <f t="shared" si="723"/>
        <v>0.14000000000000001</v>
      </c>
      <c r="GG1621" s="101">
        <f t="shared" si="724"/>
        <v>1</v>
      </c>
      <c r="GH1621" s="101">
        <f t="shared" si="725"/>
        <v>10</v>
      </c>
      <c r="GI1621" s="101">
        <f t="shared" si="726"/>
        <v>0</v>
      </c>
      <c r="GJ1621" s="101">
        <f t="shared" si="727"/>
        <v>1</v>
      </c>
      <c r="GK1621" s="101">
        <f t="shared" si="728"/>
        <v>2</v>
      </c>
      <c r="GL1621" s="101">
        <f t="shared" si="729"/>
        <v>7.22E-2</v>
      </c>
      <c r="GM1621" s="101">
        <f t="shared" si="730"/>
        <v>1</v>
      </c>
      <c r="GN1621" s="101">
        <f t="shared" si="731"/>
        <v>5</v>
      </c>
      <c r="GO1621" s="101">
        <f t="shared" si="732"/>
        <v>0.28899999999999998</v>
      </c>
      <c r="GP1621" s="101">
        <f t="shared" si="733"/>
        <v>1</v>
      </c>
      <c r="GQ1621" s="101">
        <f t="shared" si="734"/>
        <v>10</v>
      </c>
    </row>
    <row r="1622" spans="175:199" ht="16.5" x14ac:dyDescent="0.2">
      <c r="FS1622" s="101">
        <v>1617</v>
      </c>
      <c r="FT1622" s="101">
        <f t="shared" ref="FT1622:FT1685" si="742">IF(FY1622&gt;0,(FX1622-1)*9+FY1622,0)</f>
        <v>15</v>
      </c>
      <c r="FU1622" s="101">
        <f t="shared" si="735"/>
        <v>21</v>
      </c>
      <c r="FV1622" s="14">
        <f t="shared" si="736"/>
        <v>4</v>
      </c>
      <c r="FW1622" s="101" t="str">
        <f t="shared" ref="FW1622:FW1685" si="743">INDEX($FN$6:$FN$26,FU1622)&amp;"专属武器-魂珠-"&amp;FX1622&amp;" "&amp;FY1622&amp;"级"</f>
        <v>秦琼专属武器-魂珠-2 6级</v>
      </c>
      <c r="FX1622" s="101">
        <f t="shared" ref="FX1622:FX1685" si="744">INT((FS1622-(FU1622-1)*80-1)/10)+1</f>
        <v>2</v>
      </c>
      <c r="FY1622" s="101">
        <f t="shared" ref="FY1622:FY1685" si="745">FS1622-(FU1622-1)*80-(FX1622-1)*10-1</f>
        <v>6</v>
      </c>
      <c r="FZ1622" s="101" t="str">
        <f t="shared" si="737"/>
        <v>金币</v>
      </c>
      <c r="GA1622" s="139">
        <f>IF($FY1622&gt;0,IF(INDEX($EM$6:$EM$77,$FT1622)&gt;=GA$3,ROUND(INDEX(EO$6:EO$77,$FT1622)*INDEX(卡牌消耗!$B$8:$F$8,FV1622)/5,0)*5,""),"")</f>
        <v>1270</v>
      </c>
      <c r="GB1622" s="101" t="str">
        <f t="shared" si="738"/>
        <v>专属强化石1</v>
      </c>
      <c r="GC1622" s="101">
        <f t="shared" si="739"/>
        <v>12</v>
      </c>
      <c r="GD1622" s="101" t="str">
        <f t="shared" si="740"/>
        <v>专属强化石2</v>
      </c>
      <c r="GE1622" s="101">
        <f t="shared" si="741"/>
        <v>4</v>
      </c>
      <c r="GF1622" s="101">
        <f t="shared" ref="GF1622:GF1685" si="746">IF($FY1622&gt;0,INDEX(ET$6:ET$77,$FT1622),"")</f>
        <v>0.12</v>
      </c>
      <c r="GG1622" s="101">
        <f t="shared" ref="GG1622:GG1685" si="747">IF($FY1622&gt;0,INDEX(EU$6:EU$77,$FT1622),"")</f>
        <v>1</v>
      </c>
      <c r="GH1622" s="101">
        <f t="shared" ref="GH1622:GH1685" si="748">IF($FY1622&gt;0,INDEX(EV$6:EV$77,$FT1622),"")</f>
        <v>13</v>
      </c>
      <c r="GI1622" s="101">
        <f t="shared" ref="GI1622:GI1685" si="749">IF($FY1622&gt;0,INDEX(FA$6:FA$77,$FT1622),"")</f>
        <v>0</v>
      </c>
      <c r="GJ1622" s="101">
        <f t="shared" ref="GJ1622:GJ1685" si="750">IF($FY1622&gt;0,INDEX(FB$6:FB$77,$FT1622),"")</f>
        <v>1</v>
      </c>
      <c r="GK1622" s="101">
        <f t="shared" ref="GK1622:GK1685" si="751">IF($FY1622&gt;0,INDEX(FC$6:FC$77,$FT1622),"")</f>
        <v>3</v>
      </c>
      <c r="GL1622" s="101">
        <f t="shared" ref="GL1622:GL1685" si="752">IF($FY1622&gt;0,INDEX(FD$6:FD$77,$FT1622),"")</f>
        <v>5.9299999999999999E-2</v>
      </c>
      <c r="GM1622" s="101">
        <f t="shared" ref="GM1622:GM1685" si="753">IF($FY1622&gt;0,INDEX(FE$6:FE$77,$FT1622),"")</f>
        <v>1</v>
      </c>
      <c r="GN1622" s="101">
        <f t="shared" ref="GN1622:GN1685" si="754">IF($FY1622&gt;0,INDEX(FF$6:FF$77,$FT1622),"")</f>
        <v>6</v>
      </c>
      <c r="GO1622" s="101">
        <f t="shared" ref="GO1622:GO1685" si="755">IF($FY1622&gt;0,INDEX(FG$6:FG$77,$FT1622),"")</f>
        <v>0.23710000000000001</v>
      </c>
      <c r="GP1622" s="101">
        <f t="shared" ref="GP1622:GP1685" si="756">IF($FY1622&gt;0,INDEX(FH$6:FH$77,$FT1622),"")</f>
        <v>1</v>
      </c>
      <c r="GQ1622" s="101">
        <f t="shared" ref="GQ1622:GQ1685" si="757">IF($FY1622&gt;0,INDEX(FI$6:FI$77,$FT1622),"")</f>
        <v>13</v>
      </c>
    </row>
    <row r="1623" spans="175:199" ht="16.5" x14ac:dyDescent="0.2">
      <c r="FS1623" s="101">
        <v>1618</v>
      </c>
      <c r="FT1623" s="101">
        <f t="shared" si="742"/>
        <v>16</v>
      </c>
      <c r="FU1623" s="101">
        <f t="shared" si="735"/>
        <v>21</v>
      </c>
      <c r="FV1623" s="14">
        <f t="shared" si="736"/>
        <v>4</v>
      </c>
      <c r="FW1623" s="101" t="str">
        <f t="shared" si="743"/>
        <v>秦琼专属武器-魂珠-2 7级</v>
      </c>
      <c r="FX1623" s="101">
        <f t="shared" si="744"/>
        <v>2</v>
      </c>
      <c r="FY1623" s="101">
        <f t="shared" si="745"/>
        <v>7</v>
      </c>
      <c r="FZ1623" s="101" t="str">
        <f t="shared" si="737"/>
        <v>金币</v>
      </c>
      <c r="GA1623" s="139">
        <f>IF($FY1623&gt;0,IF(INDEX($EM$6:$EM$77,$FT1623)&gt;=GA$3,ROUND(INDEX(EO$6:EO$77,$FT1623)*INDEX(卡牌消耗!$B$8:$F$8,FV1623)/5,0)*5,""),"")</f>
        <v>1590</v>
      </c>
      <c r="GB1623" s="101" t="str">
        <f t="shared" si="738"/>
        <v>专属强化石1</v>
      </c>
      <c r="GC1623" s="101">
        <f t="shared" si="739"/>
        <v>15</v>
      </c>
      <c r="GD1623" s="101" t="str">
        <f t="shared" si="740"/>
        <v>专属强化石2</v>
      </c>
      <c r="GE1623" s="101">
        <f t="shared" si="741"/>
        <v>5</v>
      </c>
      <c r="GF1623" s="101">
        <f t="shared" si="746"/>
        <v>0.09</v>
      </c>
      <c r="GG1623" s="101">
        <f t="shared" si="747"/>
        <v>1</v>
      </c>
      <c r="GH1623" s="101">
        <f t="shared" si="748"/>
        <v>16</v>
      </c>
      <c r="GI1623" s="101">
        <f t="shared" si="749"/>
        <v>0</v>
      </c>
      <c r="GJ1623" s="101">
        <f t="shared" si="750"/>
        <v>1</v>
      </c>
      <c r="GK1623" s="101">
        <f t="shared" si="751"/>
        <v>4</v>
      </c>
      <c r="GL1623" s="101">
        <f t="shared" si="752"/>
        <v>4.5900000000000003E-2</v>
      </c>
      <c r="GM1623" s="101">
        <f t="shared" si="753"/>
        <v>1</v>
      </c>
      <c r="GN1623" s="101">
        <f t="shared" si="754"/>
        <v>8</v>
      </c>
      <c r="GO1623" s="101">
        <f t="shared" si="755"/>
        <v>0.1835</v>
      </c>
      <c r="GP1623" s="101">
        <f t="shared" si="756"/>
        <v>1</v>
      </c>
      <c r="GQ1623" s="101">
        <f t="shared" si="757"/>
        <v>16</v>
      </c>
    </row>
    <row r="1624" spans="175:199" ht="16.5" x14ac:dyDescent="0.2">
      <c r="FS1624" s="101">
        <v>1619</v>
      </c>
      <c r="FT1624" s="101">
        <f t="shared" si="742"/>
        <v>17</v>
      </c>
      <c r="FU1624" s="101">
        <f t="shared" si="735"/>
        <v>21</v>
      </c>
      <c r="FV1624" s="14">
        <f t="shared" si="736"/>
        <v>4</v>
      </c>
      <c r="FW1624" s="101" t="str">
        <f t="shared" si="743"/>
        <v>秦琼专属武器-魂珠-2 8级</v>
      </c>
      <c r="FX1624" s="101">
        <f t="shared" si="744"/>
        <v>2</v>
      </c>
      <c r="FY1624" s="101">
        <f t="shared" si="745"/>
        <v>8</v>
      </c>
      <c r="FZ1624" s="101" t="str">
        <f t="shared" si="737"/>
        <v>金币</v>
      </c>
      <c r="GA1624" s="139">
        <f>IF($FY1624&gt;0,IF(INDEX($EM$6:$EM$77,$FT1624)&gt;=GA$3,ROUND(INDEX(EO$6:EO$77,$FT1624)*INDEX(卡牌消耗!$B$8:$F$8,FV1624)/5,0)*5,""),"")</f>
        <v>1905</v>
      </c>
      <c r="GB1624" s="101" t="str">
        <f t="shared" si="738"/>
        <v>专属强化石1</v>
      </c>
      <c r="GC1624" s="101">
        <f t="shared" si="739"/>
        <v>18</v>
      </c>
      <c r="GD1624" s="101" t="str">
        <f t="shared" si="740"/>
        <v>专属强化石2</v>
      </c>
      <c r="GE1624" s="101">
        <f t="shared" si="741"/>
        <v>6</v>
      </c>
      <c r="GF1624" s="101">
        <f t="shared" si="746"/>
        <v>7.0000000000000007E-2</v>
      </c>
      <c r="GG1624" s="101">
        <f t="shared" si="747"/>
        <v>1</v>
      </c>
      <c r="GH1624" s="101">
        <f t="shared" si="748"/>
        <v>22</v>
      </c>
      <c r="GI1624" s="101">
        <f t="shared" si="749"/>
        <v>0</v>
      </c>
      <c r="GJ1624" s="101">
        <f t="shared" si="750"/>
        <v>1</v>
      </c>
      <c r="GK1624" s="101">
        <f t="shared" si="751"/>
        <v>5</v>
      </c>
      <c r="GL1624" s="101">
        <f t="shared" si="752"/>
        <v>3.4000000000000002E-2</v>
      </c>
      <c r="GM1624" s="101">
        <f t="shared" si="753"/>
        <v>1</v>
      </c>
      <c r="GN1624" s="101">
        <f t="shared" si="754"/>
        <v>10</v>
      </c>
      <c r="GO1624" s="101">
        <f t="shared" si="755"/>
        <v>0.13600000000000001</v>
      </c>
      <c r="GP1624" s="101">
        <f t="shared" si="756"/>
        <v>1</v>
      </c>
      <c r="GQ1624" s="101">
        <f t="shared" si="757"/>
        <v>22</v>
      </c>
    </row>
    <row r="1625" spans="175:199" ht="16.5" x14ac:dyDescent="0.2">
      <c r="FS1625" s="101">
        <v>1620</v>
      </c>
      <c r="FT1625" s="101">
        <f t="shared" si="742"/>
        <v>18</v>
      </c>
      <c r="FU1625" s="101">
        <f t="shared" si="735"/>
        <v>21</v>
      </c>
      <c r="FV1625" s="14">
        <f t="shared" si="736"/>
        <v>4</v>
      </c>
      <c r="FW1625" s="101" t="str">
        <f t="shared" si="743"/>
        <v>秦琼专属武器-魂珠-2 9级</v>
      </c>
      <c r="FX1625" s="101">
        <f t="shared" si="744"/>
        <v>2</v>
      </c>
      <c r="FY1625" s="101">
        <f t="shared" si="745"/>
        <v>9</v>
      </c>
      <c r="FZ1625" s="101" t="str">
        <f t="shared" si="737"/>
        <v>金币</v>
      </c>
      <c r="GA1625" s="139">
        <f>IF($FY1625&gt;0,IF(INDEX($EM$6:$EM$77,$FT1625)&gt;=GA$3,ROUND(INDEX(EO$6:EO$77,$FT1625)*INDEX(卡牌消耗!$B$8:$F$8,FV1625)/5,0)*5,""),"")</f>
        <v>2540</v>
      </c>
      <c r="GB1625" s="101" t="str">
        <f t="shared" si="738"/>
        <v>专属强化石1</v>
      </c>
      <c r="GC1625" s="101">
        <f t="shared" si="739"/>
        <v>24</v>
      </c>
      <c r="GD1625" s="101" t="str">
        <f t="shared" si="740"/>
        <v>专属强化石2</v>
      </c>
      <c r="GE1625" s="101">
        <f t="shared" si="741"/>
        <v>8</v>
      </c>
      <c r="GF1625" s="101">
        <f t="shared" si="746"/>
        <v>0.06</v>
      </c>
      <c r="GG1625" s="101">
        <f t="shared" si="747"/>
        <v>1</v>
      </c>
      <c r="GH1625" s="101">
        <f t="shared" si="748"/>
        <v>27</v>
      </c>
      <c r="GI1625" s="101">
        <f t="shared" si="749"/>
        <v>0</v>
      </c>
      <c r="GJ1625" s="101">
        <f t="shared" si="750"/>
        <v>1</v>
      </c>
      <c r="GK1625" s="101">
        <f t="shared" si="751"/>
        <v>6</v>
      </c>
      <c r="GL1625" s="101">
        <f t="shared" si="752"/>
        <v>2.8000000000000001E-2</v>
      </c>
      <c r="GM1625" s="101">
        <f t="shared" si="753"/>
        <v>1</v>
      </c>
      <c r="GN1625" s="101">
        <f t="shared" si="754"/>
        <v>12</v>
      </c>
      <c r="GO1625" s="101">
        <f t="shared" si="755"/>
        <v>0.11210000000000001</v>
      </c>
      <c r="GP1625" s="101">
        <f t="shared" si="756"/>
        <v>1</v>
      </c>
      <c r="GQ1625" s="101">
        <f t="shared" si="757"/>
        <v>27</v>
      </c>
    </row>
    <row r="1626" spans="175:199" ht="16.5" x14ac:dyDescent="0.2">
      <c r="FS1626" s="101">
        <v>1621</v>
      </c>
      <c r="FT1626" s="101">
        <f t="shared" si="742"/>
        <v>0</v>
      </c>
      <c r="FU1626" s="101">
        <f t="shared" si="735"/>
        <v>21</v>
      </c>
      <c r="FV1626" s="14">
        <f t="shared" si="736"/>
        <v>4</v>
      </c>
      <c r="FW1626" s="101" t="str">
        <f t="shared" si="743"/>
        <v>秦琼专属武器-魂珠-3 0级</v>
      </c>
      <c r="FX1626" s="101">
        <f t="shared" si="744"/>
        <v>3</v>
      </c>
      <c r="FY1626" s="101">
        <f t="shared" si="745"/>
        <v>0</v>
      </c>
      <c r="FZ1626" s="101" t="str">
        <f t="shared" si="737"/>
        <v/>
      </c>
      <c r="GA1626" s="139" t="str">
        <f>IF($FY1626&gt;0,IF(INDEX($EM$6:$EM$77,$FT1626)&gt;=GA$3,ROUND(INDEX(EO$6:EO$77,$FT1626)*INDEX(卡牌消耗!$B$8:$F$8,FV1626)/5,0)*5,""),"")</f>
        <v/>
      </c>
      <c r="GB1626" s="101" t="str">
        <f t="shared" si="738"/>
        <v/>
      </c>
      <c r="GC1626" s="101" t="str">
        <f t="shared" si="739"/>
        <v/>
      </c>
      <c r="GD1626" s="101" t="str">
        <f t="shared" si="740"/>
        <v/>
      </c>
      <c r="GE1626" s="101" t="str">
        <f t="shared" si="741"/>
        <v/>
      </c>
      <c r="GF1626" s="101" t="str">
        <f t="shared" si="746"/>
        <v/>
      </c>
      <c r="GG1626" s="101" t="str">
        <f t="shared" si="747"/>
        <v/>
      </c>
      <c r="GH1626" s="101" t="str">
        <f t="shared" si="748"/>
        <v/>
      </c>
      <c r="GI1626" s="101" t="str">
        <f t="shared" si="749"/>
        <v/>
      </c>
      <c r="GJ1626" s="101" t="str">
        <f t="shared" si="750"/>
        <v/>
      </c>
      <c r="GK1626" s="101" t="str">
        <f t="shared" si="751"/>
        <v/>
      </c>
      <c r="GL1626" s="101" t="str">
        <f t="shared" si="752"/>
        <v/>
      </c>
      <c r="GM1626" s="101" t="str">
        <f t="shared" si="753"/>
        <v/>
      </c>
      <c r="GN1626" s="101" t="str">
        <f t="shared" si="754"/>
        <v/>
      </c>
      <c r="GO1626" s="101" t="str">
        <f t="shared" si="755"/>
        <v/>
      </c>
      <c r="GP1626" s="101" t="str">
        <f t="shared" si="756"/>
        <v/>
      </c>
      <c r="GQ1626" s="101" t="str">
        <f t="shared" si="757"/>
        <v/>
      </c>
    </row>
    <row r="1627" spans="175:199" ht="16.5" x14ac:dyDescent="0.2">
      <c r="FS1627" s="101">
        <v>1622</v>
      </c>
      <c r="FT1627" s="101">
        <f t="shared" si="742"/>
        <v>19</v>
      </c>
      <c r="FU1627" s="101">
        <f t="shared" si="735"/>
        <v>21</v>
      </c>
      <c r="FV1627" s="14">
        <f t="shared" si="736"/>
        <v>4</v>
      </c>
      <c r="FW1627" s="101" t="str">
        <f t="shared" si="743"/>
        <v>秦琼专属武器-魂珠-3 1级</v>
      </c>
      <c r="FX1627" s="101">
        <f t="shared" si="744"/>
        <v>3</v>
      </c>
      <c r="FY1627" s="101">
        <f t="shared" si="745"/>
        <v>1</v>
      </c>
      <c r="FZ1627" s="101" t="str">
        <f t="shared" si="737"/>
        <v>金币</v>
      </c>
      <c r="GA1627" s="139">
        <f>IF($FY1627&gt;0,IF(INDEX($EM$6:$EM$77,$FT1627)&gt;=GA$3,ROUND(INDEX(EO$6:EO$77,$FT1627)*INDEX(卡牌消耗!$B$8:$F$8,FV1627)/5,0)*5,""),"")</f>
        <v>820</v>
      </c>
      <c r="GB1627" s="101" t="str">
        <f t="shared" si="738"/>
        <v>专属强化石1</v>
      </c>
      <c r="GC1627" s="101">
        <f t="shared" si="739"/>
        <v>4</v>
      </c>
      <c r="GD1627" s="101" t="str">
        <f t="shared" si="740"/>
        <v>专属强化石2</v>
      </c>
      <c r="GE1627" s="101">
        <f t="shared" si="741"/>
        <v>2</v>
      </c>
      <c r="GF1627" s="101">
        <f t="shared" si="746"/>
        <v>0.31</v>
      </c>
      <c r="GG1627" s="101">
        <f t="shared" si="747"/>
        <v>1</v>
      </c>
      <c r="GH1627" s="101">
        <f t="shared" si="748"/>
        <v>5</v>
      </c>
      <c r="GI1627" s="101">
        <f t="shared" si="749"/>
        <v>0</v>
      </c>
      <c r="GJ1627" s="101">
        <f t="shared" si="750"/>
        <v>1</v>
      </c>
      <c r="GK1627" s="101">
        <f t="shared" si="751"/>
        <v>1</v>
      </c>
      <c r="GL1627" s="101">
        <f t="shared" si="752"/>
        <v>0.15409999999999999</v>
      </c>
      <c r="GM1627" s="101">
        <f t="shared" si="753"/>
        <v>1</v>
      </c>
      <c r="GN1627" s="101">
        <f t="shared" si="754"/>
        <v>2</v>
      </c>
      <c r="GO1627" s="101">
        <f t="shared" si="755"/>
        <v>0.61650000000000005</v>
      </c>
      <c r="GP1627" s="101">
        <f t="shared" si="756"/>
        <v>1</v>
      </c>
      <c r="GQ1627" s="101">
        <f t="shared" si="757"/>
        <v>5</v>
      </c>
    </row>
    <row r="1628" spans="175:199" ht="16.5" x14ac:dyDescent="0.2">
      <c r="FS1628" s="101">
        <v>1623</v>
      </c>
      <c r="FT1628" s="101">
        <f t="shared" si="742"/>
        <v>20</v>
      </c>
      <c r="FU1628" s="101">
        <f t="shared" si="735"/>
        <v>21</v>
      </c>
      <c r="FV1628" s="14">
        <f t="shared" si="736"/>
        <v>4</v>
      </c>
      <c r="FW1628" s="101" t="str">
        <f t="shared" si="743"/>
        <v>秦琼专属武器-魂珠-3 2级</v>
      </c>
      <c r="FX1628" s="101">
        <f t="shared" si="744"/>
        <v>3</v>
      </c>
      <c r="FY1628" s="101">
        <f t="shared" si="745"/>
        <v>2</v>
      </c>
      <c r="FZ1628" s="101" t="str">
        <f t="shared" si="737"/>
        <v>金币</v>
      </c>
      <c r="GA1628" s="139">
        <f>IF($FY1628&gt;0,IF(INDEX($EM$6:$EM$77,$FT1628)&gt;=GA$3,ROUND(INDEX(EO$6:EO$77,$FT1628)*INDEX(卡牌消耗!$B$8:$F$8,FV1628)/5,0)*5,""),"")</f>
        <v>615</v>
      </c>
      <c r="GB1628" s="101" t="str">
        <f t="shared" si="738"/>
        <v>专属强化石1</v>
      </c>
      <c r="GC1628" s="101">
        <f t="shared" si="739"/>
        <v>4</v>
      </c>
      <c r="GD1628" s="101" t="str">
        <f t="shared" si="740"/>
        <v>专属强化石2</v>
      </c>
      <c r="GE1628" s="101">
        <f t="shared" si="741"/>
        <v>2</v>
      </c>
      <c r="GF1628" s="101">
        <f t="shared" si="746"/>
        <v>0.15</v>
      </c>
      <c r="GG1628" s="101">
        <f t="shared" si="747"/>
        <v>1</v>
      </c>
      <c r="GH1628" s="101">
        <f t="shared" si="748"/>
        <v>10</v>
      </c>
      <c r="GI1628" s="101">
        <f t="shared" si="749"/>
        <v>0</v>
      </c>
      <c r="GJ1628" s="101">
        <f t="shared" si="750"/>
        <v>1</v>
      </c>
      <c r="GK1628" s="101">
        <f t="shared" si="751"/>
        <v>2</v>
      </c>
      <c r="GL1628" s="101">
        <f t="shared" si="752"/>
        <v>7.7100000000000002E-2</v>
      </c>
      <c r="GM1628" s="101">
        <f t="shared" si="753"/>
        <v>1</v>
      </c>
      <c r="GN1628" s="101">
        <f t="shared" si="754"/>
        <v>5</v>
      </c>
      <c r="GO1628" s="101">
        <f t="shared" si="755"/>
        <v>0.30830000000000002</v>
      </c>
      <c r="GP1628" s="101">
        <f t="shared" si="756"/>
        <v>1</v>
      </c>
      <c r="GQ1628" s="101">
        <f t="shared" si="757"/>
        <v>10</v>
      </c>
    </row>
    <row r="1629" spans="175:199" ht="16.5" x14ac:dyDescent="0.2">
      <c r="FS1629" s="101">
        <v>1624</v>
      </c>
      <c r="FT1629" s="101">
        <f t="shared" si="742"/>
        <v>21</v>
      </c>
      <c r="FU1629" s="101">
        <f t="shared" si="735"/>
        <v>21</v>
      </c>
      <c r="FV1629" s="14">
        <f t="shared" si="736"/>
        <v>4</v>
      </c>
      <c r="FW1629" s="101" t="str">
        <f t="shared" si="743"/>
        <v>秦琼专属武器-魂珠-3 3级</v>
      </c>
      <c r="FX1629" s="101">
        <f t="shared" si="744"/>
        <v>3</v>
      </c>
      <c r="FY1629" s="101">
        <f t="shared" si="745"/>
        <v>3</v>
      </c>
      <c r="FZ1629" s="101" t="str">
        <f t="shared" si="737"/>
        <v>金币</v>
      </c>
      <c r="GA1629" s="139">
        <f>IF($FY1629&gt;0,IF(INDEX($EM$6:$EM$77,$FT1629)&gt;=GA$3,ROUND(INDEX(EO$6:EO$77,$FT1629)*INDEX(卡牌消耗!$B$8:$F$8,FV1629)/5,0)*5,""),"")</f>
        <v>1025</v>
      </c>
      <c r="GB1629" s="101" t="str">
        <f t="shared" si="738"/>
        <v>专属强化石1</v>
      </c>
      <c r="GC1629" s="101">
        <f t="shared" si="739"/>
        <v>6</v>
      </c>
      <c r="GD1629" s="101" t="str">
        <f t="shared" si="740"/>
        <v>专属强化石2</v>
      </c>
      <c r="GE1629" s="101">
        <f t="shared" si="741"/>
        <v>3</v>
      </c>
      <c r="GF1629" s="101">
        <f t="shared" si="746"/>
        <v>0.15</v>
      </c>
      <c r="GG1629" s="101">
        <f t="shared" si="747"/>
        <v>1</v>
      </c>
      <c r="GH1629" s="101">
        <f t="shared" si="748"/>
        <v>10</v>
      </c>
      <c r="GI1629" s="101">
        <f t="shared" si="749"/>
        <v>0</v>
      </c>
      <c r="GJ1629" s="101">
        <f t="shared" si="750"/>
        <v>1</v>
      </c>
      <c r="GK1629" s="101">
        <f t="shared" si="751"/>
        <v>2</v>
      </c>
      <c r="GL1629" s="101">
        <f t="shared" si="752"/>
        <v>7.7100000000000002E-2</v>
      </c>
      <c r="GM1629" s="101">
        <f t="shared" si="753"/>
        <v>1</v>
      </c>
      <c r="GN1629" s="101">
        <f t="shared" si="754"/>
        <v>5</v>
      </c>
      <c r="GO1629" s="101">
        <f t="shared" si="755"/>
        <v>0.30830000000000002</v>
      </c>
      <c r="GP1629" s="101">
        <f t="shared" si="756"/>
        <v>1</v>
      </c>
      <c r="GQ1629" s="101">
        <f t="shared" si="757"/>
        <v>10</v>
      </c>
    </row>
    <row r="1630" spans="175:199" ht="16.5" x14ac:dyDescent="0.2">
      <c r="FS1630" s="101">
        <v>1625</v>
      </c>
      <c r="FT1630" s="101">
        <f t="shared" si="742"/>
        <v>22</v>
      </c>
      <c r="FU1630" s="101">
        <f t="shared" si="735"/>
        <v>21</v>
      </c>
      <c r="FV1630" s="14">
        <f t="shared" si="736"/>
        <v>4</v>
      </c>
      <c r="FW1630" s="101" t="str">
        <f t="shared" si="743"/>
        <v>秦琼专属武器-魂珠-3 4级</v>
      </c>
      <c r="FX1630" s="101">
        <f t="shared" si="744"/>
        <v>3</v>
      </c>
      <c r="FY1630" s="101">
        <f t="shared" si="745"/>
        <v>4</v>
      </c>
      <c r="FZ1630" s="101" t="str">
        <f t="shared" si="737"/>
        <v>金币</v>
      </c>
      <c r="GA1630" s="139">
        <f>IF($FY1630&gt;0,IF(INDEX($EM$6:$EM$77,$FT1630)&gt;=GA$3,ROUND(INDEX(EO$6:EO$77,$FT1630)*INDEX(卡牌消耗!$B$8:$F$8,FV1630)/5,0)*5,""),"")</f>
        <v>985</v>
      </c>
      <c r="GB1630" s="101" t="str">
        <f t="shared" si="738"/>
        <v>专属强化石1</v>
      </c>
      <c r="GC1630" s="101">
        <f t="shared" si="739"/>
        <v>6</v>
      </c>
      <c r="GD1630" s="101" t="str">
        <f t="shared" si="740"/>
        <v>专属强化石2</v>
      </c>
      <c r="GE1630" s="101">
        <f t="shared" si="741"/>
        <v>3</v>
      </c>
      <c r="GF1630" s="101">
        <f t="shared" si="746"/>
        <v>0.09</v>
      </c>
      <c r="GG1630" s="101">
        <f t="shared" si="747"/>
        <v>1</v>
      </c>
      <c r="GH1630" s="101">
        <f t="shared" si="748"/>
        <v>16</v>
      </c>
      <c r="GI1630" s="101">
        <f t="shared" si="749"/>
        <v>0</v>
      </c>
      <c r="GJ1630" s="101">
        <f t="shared" si="750"/>
        <v>1</v>
      </c>
      <c r="GK1630" s="101">
        <f t="shared" si="751"/>
        <v>4</v>
      </c>
      <c r="GL1630" s="101">
        <f t="shared" si="752"/>
        <v>4.6199999999999998E-2</v>
      </c>
      <c r="GM1630" s="101">
        <f t="shared" si="753"/>
        <v>1</v>
      </c>
      <c r="GN1630" s="101">
        <f t="shared" si="754"/>
        <v>8</v>
      </c>
      <c r="GO1630" s="101">
        <f t="shared" si="755"/>
        <v>0.185</v>
      </c>
      <c r="GP1630" s="101">
        <f t="shared" si="756"/>
        <v>1</v>
      </c>
      <c r="GQ1630" s="101">
        <f t="shared" si="757"/>
        <v>16</v>
      </c>
    </row>
    <row r="1631" spans="175:199" ht="16.5" x14ac:dyDescent="0.2">
      <c r="FS1631" s="101">
        <v>1626</v>
      </c>
      <c r="FT1631" s="101">
        <f t="shared" si="742"/>
        <v>23</v>
      </c>
      <c r="FU1631" s="101">
        <f t="shared" si="735"/>
        <v>21</v>
      </c>
      <c r="FV1631" s="14">
        <f t="shared" si="736"/>
        <v>4</v>
      </c>
      <c r="FW1631" s="101" t="str">
        <f t="shared" si="743"/>
        <v>秦琼专属武器-魂珠-3 5级</v>
      </c>
      <c r="FX1631" s="101">
        <f t="shared" si="744"/>
        <v>3</v>
      </c>
      <c r="FY1631" s="101">
        <f t="shared" si="745"/>
        <v>5</v>
      </c>
      <c r="FZ1631" s="101" t="str">
        <f t="shared" si="737"/>
        <v>金币</v>
      </c>
      <c r="GA1631" s="139">
        <f>IF($FY1631&gt;0,IF(INDEX($EM$6:$EM$77,$FT1631)&gt;=GA$3,ROUND(INDEX(EO$6:EO$77,$FT1631)*INDEX(卡牌消耗!$B$8:$F$8,FV1631)/5,0)*5,""),"")</f>
        <v>1330</v>
      </c>
      <c r="GB1631" s="101" t="str">
        <f t="shared" si="738"/>
        <v>专属强化石1</v>
      </c>
      <c r="GC1631" s="101">
        <f t="shared" si="739"/>
        <v>8</v>
      </c>
      <c r="GD1631" s="101" t="str">
        <f t="shared" si="740"/>
        <v>专属强化石2</v>
      </c>
      <c r="GE1631" s="101">
        <f t="shared" si="741"/>
        <v>4</v>
      </c>
      <c r="GF1631" s="101">
        <f t="shared" si="746"/>
        <v>0.08</v>
      </c>
      <c r="GG1631" s="101">
        <f t="shared" si="747"/>
        <v>1</v>
      </c>
      <c r="GH1631" s="101">
        <f t="shared" si="748"/>
        <v>19</v>
      </c>
      <c r="GI1631" s="101">
        <f t="shared" si="749"/>
        <v>0</v>
      </c>
      <c r="GJ1631" s="101">
        <f t="shared" si="750"/>
        <v>1</v>
      </c>
      <c r="GK1631" s="101">
        <f t="shared" si="751"/>
        <v>5</v>
      </c>
      <c r="GL1631" s="101">
        <f t="shared" si="752"/>
        <v>3.85E-2</v>
      </c>
      <c r="GM1631" s="101">
        <f t="shared" si="753"/>
        <v>1</v>
      </c>
      <c r="GN1631" s="101">
        <f t="shared" si="754"/>
        <v>9</v>
      </c>
      <c r="GO1631" s="101">
        <f t="shared" si="755"/>
        <v>0.15409999999999999</v>
      </c>
      <c r="GP1631" s="101">
        <f t="shared" si="756"/>
        <v>1</v>
      </c>
      <c r="GQ1631" s="101">
        <f t="shared" si="757"/>
        <v>19</v>
      </c>
    </row>
    <row r="1632" spans="175:199" ht="16.5" x14ac:dyDescent="0.2">
      <c r="FS1632" s="101">
        <v>1627</v>
      </c>
      <c r="FT1632" s="101">
        <f t="shared" si="742"/>
        <v>24</v>
      </c>
      <c r="FU1632" s="101">
        <f t="shared" si="735"/>
        <v>21</v>
      </c>
      <c r="FV1632" s="14">
        <f t="shared" si="736"/>
        <v>4</v>
      </c>
      <c r="FW1632" s="101" t="str">
        <f t="shared" si="743"/>
        <v>秦琼专属武器-魂珠-3 6级</v>
      </c>
      <c r="FX1632" s="101">
        <f t="shared" si="744"/>
        <v>3</v>
      </c>
      <c r="FY1632" s="101">
        <f t="shared" si="745"/>
        <v>6</v>
      </c>
      <c r="FZ1632" s="101" t="str">
        <f t="shared" si="737"/>
        <v>金币</v>
      </c>
      <c r="GA1632" s="139">
        <f>IF($FY1632&gt;0,IF(INDEX($EM$6:$EM$77,$FT1632)&gt;=GA$3,ROUND(INDEX(EO$6:EO$77,$FT1632)*INDEX(卡牌消耗!$B$8:$F$8,FV1632)/5,0)*5,""),"")</f>
        <v>1650</v>
      </c>
      <c r="GB1632" s="101" t="str">
        <f t="shared" si="738"/>
        <v>专属强化石1</v>
      </c>
      <c r="GC1632" s="101">
        <f t="shared" si="739"/>
        <v>10</v>
      </c>
      <c r="GD1632" s="101" t="str">
        <f t="shared" si="740"/>
        <v>专属强化石2</v>
      </c>
      <c r="GE1632" s="101">
        <f t="shared" si="741"/>
        <v>5</v>
      </c>
      <c r="GF1632" s="101">
        <f t="shared" si="746"/>
        <v>0.06</v>
      </c>
      <c r="GG1632" s="101">
        <f t="shared" si="747"/>
        <v>1</v>
      </c>
      <c r="GH1632" s="101">
        <f t="shared" si="748"/>
        <v>25</v>
      </c>
      <c r="GI1632" s="101">
        <f t="shared" si="749"/>
        <v>0</v>
      </c>
      <c r="GJ1632" s="101">
        <f t="shared" si="750"/>
        <v>1</v>
      </c>
      <c r="GK1632" s="101">
        <f t="shared" si="751"/>
        <v>6</v>
      </c>
      <c r="GL1632" s="101">
        <f t="shared" si="752"/>
        <v>2.9600000000000001E-2</v>
      </c>
      <c r="GM1632" s="101">
        <f t="shared" si="753"/>
        <v>1</v>
      </c>
      <c r="GN1632" s="101">
        <f t="shared" si="754"/>
        <v>12</v>
      </c>
      <c r="GO1632" s="101">
        <f t="shared" si="755"/>
        <v>0.1186</v>
      </c>
      <c r="GP1632" s="101">
        <f t="shared" si="756"/>
        <v>1</v>
      </c>
      <c r="GQ1632" s="101">
        <f t="shared" si="757"/>
        <v>25</v>
      </c>
    </row>
    <row r="1633" spans="175:199" ht="16.5" x14ac:dyDescent="0.2">
      <c r="FS1633" s="101">
        <v>1628</v>
      </c>
      <c r="FT1633" s="101">
        <f t="shared" si="742"/>
        <v>25</v>
      </c>
      <c r="FU1633" s="101">
        <f t="shared" si="735"/>
        <v>21</v>
      </c>
      <c r="FV1633" s="14">
        <f t="shared" si="736"/>
        <v>4</v>
      </c>
      <c r="FW1633" s="101" t="str">
        <f t="shared" si="743"/>
        <v>秦琼专属武器-魂珠-3 7级</v>
      </c>
      <c r="FX1633" s="101">
        <f t="shared" si="744"/>
        <v>3</v>
      </c>
      <c r="FY1633" s="101">
        <f t="shared" si="745"/>
        <v>7</v>
      </c>
      <c r="FZ1633" s="101" t="str">
        <f t="shared" si="737"/>
        <v>金币</v>
      </c>
      <c r="GA1633" s="139">
        <f>IF($FY1633&gt;0,IF(INDEX($EM$6:$EM$77,$FT1633)&gt;=GA$3,ROUND(INDEX(EO$6:EO$77,$FT1633)*INDEX(卡牌消耗!$B$8:$F$8,FV1633)/5,0)*5,""),"")</f>
        <v>1990</v>
      </c>
      <c r="GB1633" s="101" t="str">
        <f t="shared" si="738"/>
        <v>专属强化石1</v>
      </c>
      <c r="GC1633" s="101">
        <f t="shared" si="739"/>
        <v>12</v>
      </c>
      <c r="GD1633" s="101" t="str">
        <f t="shared" si="740"/>
        <v>专属强化石2</v>
      </c>
      <c r="GE1633" s="101">
        <f t="shared" si="741"/>
        <v>6</v>
      </c>
      <c r="GF1633" s="101">
        <f t="shared" si="746"/>
        <v>0.04</v>
      </c>
      <c r="GG1633" s="101">
        <f t="shared" si="747"/>
        <v>1</v>
      </c>
      <c r="GH1633" s="101">
        <f t="shared" si="748"/>
        <v>34</v>
      </c>
      <c r="GI1633" s="101">
        <f t="shared" si="749"/>
        <v>0</v>
      </c>
      <c r="GJ1633" s="101">
        <f t="shared" si="750"/>
        <v>1</v>
      </c>
      <c r="GK1633" s="101">
        <f t="shared" si="751"/>
        <v>8</v>
      </c>
      <c r="GL1633" s="101">
        <f t="shared" si="752"/>
        <v>2.1999999999999999E-2</v>
      </c>
      <c r="GM1633" s="101">
        <f t="shared" si="753"/>
        <v>1</v>
      </c>
      <c r="GN1633" s="101">
        <f t="shared" si="754"/>
        <v>16</v>
      </c>
      <c r="GO1633" s="101">
        <f t="shared" si="755"/>
        <v>8.8099999999999998E-2</v>
      </c>
      <c r="GP1633" s="101">
        <f t="shared" si="756"/>
        <v>1</v>
      </c>
      <c r="GQ1633" s="101">
        <f t="shared" si="757"/>
        <v>34</v>
      </c>
    </row>
    <row r="1634" spans="175:199" ht="16.5" x14ac:dyDescent="0.2">
      <c r="FS1634" s="101">
        <v>1629</v>
      </c>
      <c r="FT1634" s="101">
        <f t="shared" si="742"/>
        <v>26</v>
      </c>
      <c r="FU1634" s="101">
        <f t="shared" si="735"/>
        <v>21</v>
      </c>
      <c r="FV1634" s="14">
        <f t="shared" si="736"/>
        <v>4</v>
      </c>
      <c r="FW1634" s="101" t="str">
        <f t="shared" si="743"/>
        <v>秦琼专属武器-魂珠-3 8级</v>
      </c>
      <c r="FX1634" s="101">
        <f t="shared" si="744"/>
        <v>3</v>
      </c>
      <c r="FY1634" s="101">
        <f t="shared" si="745"/>
        <v>8</v>
      </c>
      <c r="FZ1634" s="101" t="str">
        <f t="shared" si="737"/>
        <v>金币</v>
      </c>
      <c r="GA1634" s="139">
        <f>IF($FY1634&gt;0,IF(INDEX($EM$6:$EM$77,$FT1634)&gt;=GA$3,ROUND(INDEX(EO$6:EO$77,$FT1634)*INDEX(卡牌消耗!$B$8:$F$8,FV1634)/5,0)*5,""),"")</f>
        <v>2650</v>
      </c>
      <c r="GB1634" s="101" t="str">
        <f t="shared" si="738"/>
        <v>专属强化石1</v>
      </c>
      <c r="GC1634" s="101">
        <f t="shared" si="739"/>
        <v>16</v>
      </c>
      <c r="GD1634" s="101" t="str">
        <f t="shared" si="740"/>
        <v>专属强化石2</v>
      </c>
      <c r="GE1634" s="101">
        <f t="shared" si="741"/>
        <v>8</v>
      </c>
      <c r="GF1634" s="101">
        <f t="shared" si="746"/>
        <v>0.04</v>
      </c>
      <c r="GG1634" s="101">
        <f t="shared" si="747"/>
        <v>1</v>
      </c>
      <c r="GH1634" s="101">
        <f t="shared" si="748"/>
        <v>41</v>
      </c>
      <c r="GI1634" s="101">
        <f t="shared" si="749"/>
        <v>0</v>
      </c>
      <c r="GJ1634" s="101">
        <f t="shared" si="750"/>
        <v>1</v>
      </c>
      <c r="GK1634" s="101">
        <f t="shared" si="751"/>
        <v>10</v>
      </c>
      <c r="GL1634" s="101">
        <f t="shared" si="752"/>
        <v>1.8100000000000002E-2</v>
      </c>
      <c r="GM1634" s="101">
        <f t="shared" si="753"/>
        <v>1</v>
      </c>
      <c r="GN1634" s="101">
        <f t="shared" si="754"/>
        <v>19</v>
      </c>
      <c r="GO1634" s="101">
        <f t="shared" si="755"/>
        <v>7.2499999999999995E-2</v>
      </c>
      <c r="GP1634" s="101">
        <f t="shared" si="756"/>
        <v>1</v>
      </c>
      <c r="GQ1634" s="101">
        <f t="shared" si="757"/>
        <v>41</v>
      </c>
    </row>
    <row r="1635" spans="175:199" ht="16.5" x14ac:dyDescent="0.2">
      <c r="FS1635" s="101">
        <v>1630</v>
      </c>
      <c r="FT1635" s="101">
        <f t="shared" si="742"/>
        <v>27</v>
      </c>
      <c r="FU1635" s="101">
        <f t="shared" si="735"/>
        <v>21</v>
      </c>
      <c r="FV1635" s="14">
        <f t="shared" si="736"/>
        <v>4</v>
      </c>
      <c r="FW1635" s="101" t="str">
        <f t="shared" si="743"/>
        <v>秦琼专属武器-魂珠-3 9级</v>
      </c>
      <c r="FX1635" s="101">
        <f t="shared" si="744"/>
        <v>3</v>
      </c>
      <c r="FY1635" s="101">
        <f t="shared" si="745"/>
        <v>9</v>
      </c>
      <c r="FZ1635" s="101" t="str">
        <f t="shared" si="737"/>
        <v>金币</v>
      </c>
      <c r="GA1635" s="139">
        <f>IF($FY1635&gt;0,IF(INDEX($EM$6:$EM$77,$FT1635)&gt;=GA$3,ROUND(INDEX(EO$6:EO$77,$FT1635)*INDEX(卡牌消耗!$B$8:$F$8,FV1635)/5,0)*5,""),"")</f>
        <v>3310</v>
      </c>
      <c r="GB1635" s="101" t="str">
        <f t="shared" si="738"/>
        <v>专属强化石1</v>
      </c>
      <c r="GC1635" s="101">
        <f t="shared" si="739"/>
        <v>20</v>
      </c>
      <c r="GD1635" s="101" t="str">
        <f t="shared" si="740"/>
        <v>专属强化石2</v>
      </c>
      <c r="GE1635" s="101">
        <f t="shared" si="741"/>
        <v>10</v>
      </c>
      <c r="GF1635" s="101">
        <f t="shared" si="746"/>
        <v>0.03</v>
      </c>
      <c r="GG1635" s="101">
        <f t="shared" si="747"/>
        <v>1</v>
      </c>
      <c r="GH1635" s="101">
        <f t="shared" si="748"/>
        <v>54</v>
      </c>
      <c r="GI1635" s="101">
        <f t="shared" si="749"/>
        <v>0</v>
      </c>
      <c r="GJ1635" s="101">
        <f t="shared" si="750"/>
        <v>1</v>
      </c>
      <c r="GK1635" s="101">
        <f t="shared" si="751"/>
        <v>12</v>
      </c>
      <c r="GL1635" s="101">
        <f t="shared" si="752"/>
        <v>1.4E-2</v>
      </c>
      <c r="GM1635" s="101">
        <f t="shared" si="753"/>
        <v>1</v>
      </c>
      <c r="GN1635" s="101">
        <f t="shared" si="754"/>
        <v>25</v>
      </c>
      <c r="GO1635" s="101">
        <f t="shared" si="755"/>
        <v>5.6000000000000001E-2</v>
      </c>
      <c r="GP1635" s="101">
        <f t="shared" si="756"/>
        <v>1</v>
      </c>
      <c r="GQ1635" s="101">
        <f t="shared" si="757"/>
        <v>54</v>
      </c>
    </row>
    <row r="1636" spans="175:199" ht="16.5" x14ac:dyDescent="0.2">
      <c r="FS1636" s="101">
        <v>1631</v>
      </c>
      <c r="FT1636" s="101">
        <f t="shared" si="742"/>
        <v>0</v>
      </c>
      <c r="FU1636" s="101">
        <f t="shared" si="735"/>
        <v>21</v>
      </c>
      <c r="FV1636" s="14">
        <f t="shared" si="736"/>
        <v>4</v>
      </c>
      <c r="FW1636" s="101" t="str">
        <f t="shared" si="743"/>
        <v>秦琼专属武器-魂珠-4 0级</v>
      </c>
      <c r="FX1636" s="101">
        <f t="shared" si="744"/>
        <v>4</v>
      </c>
      <c r="FY1636" s="101">
        <f t="shared" si="745"/>
        <v>0</v>
      </c>
      <c r="FZ1636" s="101" t="str">
        <f t="shared" si="737"/>
        <v/>
      </c>
      <c r="GA1636" s="139" t="str">
        <f>IF($FY1636&gt;0,IF(INDEX($EM$6:$EM$77,$FT1636)&gt;=GA$3,ROUND(INDEX(EO$6:EO$77,$FT1636)*INDEX(卡牌消耗!$B$8:$F$8,FV1636)/5,0)*5,""),"")</f>
        <v/>
      </c>
      <c r="GB1636" s="101" t="str">
        <f t="shared" si="738"/>
        <v/>
      </c>
      <c r="GC1636" s="101" t="str">
        <f t="shared" si="739"/>
        <v/>
      </c>
      <c r="GD1636" s="101" t="str">
        <f t="shared" si="740"/>
        <v/>
      </c>
      <c r="GE1636" s="101" t="str">
        <f t="shared" si="741"/>
        <v/>
      </c>
      <c r="GF1636" s="101" t="str">
        <f t="shared" si="746"/>
        <v/>
      </c>
      <c r="GG1636" s="101" t="str">
        <f t="shared" si="747"/>
        <v/>
      </c>
      <c r="GH1636" s="101" t="str">
        <f t="shared" si="748"/>
        <v/>
      </c>
      <c r="GI1636" s="101" t="str">
        <f t="shared" si="749"/>
        <v/>
      </c>
      <c r="GJ1636" s="101" t="str">
        <f t="shared" si="750"/>
        <v/>
      </c>
      <c r="GK1636" s="101" t="str">
        <f t="shared" si="751"/>
        <v/>
      </c>
      <c r="GL1636" s="101" t="str">
        <f t="shared" si="752"/>
        <v/>
      </c>
      <c r="GM1636" s="101" t="str">
        <f t="shared" si="753"/>
        <v/>
      </c>
      <c r="GN1636" s="101" t="str">
        <f t="shared" si="754"/>
        <v/>
      </c>
      <c r="GO1636" s="101" t="str">
        <f t="shared" si="755"/>
        <v/>
      </c>
      <c r="GP1636" s="101" t="str">
        <f t="shared" si="756"/>
        <v/>
      </c>
      <c r="GQ1636" s="101" t="str">
        <f t="shared" si="757"/>
        <v/>
      </c>
    </row>
    <row r="1637" spans="175:199" ht="16.5" x14ac:dyDescent="0.2">
      <c r="FS1637" s="101">
        <v>1632</v>
      </c>
      <c r="FT1637" s="101">
        <f t="shared" si="742"/>
        <v>28</v>
      </c>
      <c r="FU1637" s="101">
        <f t="shared" si="735"/>
        <v>21</v>
      </c>
      <c r="FV1637" s="14">
        <f t="shared" si="736"/>
        <v>4</v>
      </c>
      <c r="FW1637" s="101" t="str">
        <f t="shared" si="743"/>
        <v>秦琼专属武器-魂珠-4 1级</v>
      </c>
      <c r="FX1637" s="101">
        <f t="shared" si="744"/>
        <v>4</v>
      </c>
      <c r="FY1637" s="101">
        <f t="shared" si="745"/>
        <v>1</v>
      </c>
      <c r="FZ1637" s="101" t="str">
        <f t="shared" si="737"/>
        <v>金币</v>
      </c>
      <c r="GA1637" s="139">
        <f>IF($FY1637&gt;0,IF(INDEX($EM$6:$EM$77,$FT1637)&gt;=GA$3,ROUND(INDEX(EO$6:EO$77,$FT1637)*INDEX(卡牌消耗!$B$8:$F$8,FV1637)/5,0)*5,""),"")</f>
        <v>1095</v>
      </c>
      <c r="GB1637" s="101" t="str">
        <f t="shared" si="738"/>
        <v>专属强化石2</v>
      </c>
      <c r="GC1637" s="101">
        <f t="shared" si="739"/>
        <v>3</v>
      </c>
      <c r="GD1637" s="101" t="str">
        <f t="shared" si="740"/>
        <v>专属强化石3</v>
      </c>
      <c r="GE1637" s="101">
        <f t="shared" si="741"/>
        <v>1</v>
      </c>
      <c r="GF1637" s="101">
        <f t="shared" si="746"/>
        <v>0.2</v>
      </c>
      <c r="GG1637" s="101">
        <f t="shared" si="747"/>
        <v>1</v>
      </c>
      <c r="GH1637" s="101">
        <f t="shared" si="748"/>
        <v>7</v>
      </c>
      <c r="GI1637" s="101">
        <f t="shared" si="749"/>
        <v>0</v>
      </c>
      <c r="GJ1637" s="101">
        <f t="shared" si="750"/>
        <v>1</v>
      </c>
      <c r="GK1637" s="101">
        <f t="shared" si="751"/>
        <v>2</v>
      </c>
      <c r="GL1637" s="101">
        <f t="shared" si="752"/>
        <v>0.1012</v>
      </c>
      <c r="GM1637" s="101">
        <f t="shared" si="753"/>
        <v>1</v>
      </c>
      <c r="GN1637" s="101">
        <f t="shared" si="754"/>
        <v>3</v>
      </c>
      <c r="GO1637" s="101">
        <f t="shared" si="755"/>
        <v>0.40479999999999999</v>
      </c>
      <c r="GP1637" s="101">
        <f t="shared" si="756"/>
        <v>1</v>
      </c>
      <c r="GQ1637" s="101">
        <f t="shared" si="757"/>
        <v>7</v>
      </c>
    </row>
    <row r="1638" spans="175:199" ht="16.5" x14ac:dyDescent="0.2">
      <c r="FS1638" s="101">
        <v>1633</v>
      </c>
      <c r="FT1638" s="101">
        <f t="shared" si="742"/>
        <v>29</v>
      </c>
      <c r="FU1638" s="101">
        <f t="shared" si="735"/>
        <v>21</v>
      </c>
      <c r="FV1638" s="14">
        <f t="shared" si="736"/>
        <v>4</v>
      </c>
      <c r="FW1638" s="101" t="str">
        <f t="shared" si="743"/>
        <v>秦琼专属武器-魂珠-4 2级</v>
      </c>
      <c r="FX1638" s="101">
        <f t="shared" si="744"/>
        <v>4</v>
      </c>
      <c r="FY1638" s="101">
        <f t="shared" si="745"/>
        <v>2</v>
      </c>
      <c r="FZ1638" s="101" t="str">
        <f t="shared" si="737"/>
        <v>金币</v>
      </c>
      <c r="GA1638" s="139">
        <f>IF($FY1638&gt;0,IF(INDEX($EM$6:$EM$77,$FT1638)&gt;=GA$3,ROUND(INDEX(EO$6:EO$77,$FT1638)*INDEX(卡牌消耗!$B$8:$F$8,FV1638)/5,0)*5,""),"")</f>
        <v>820</v>
      </c>
      <c r="GB1638" s="101" t="str">
        <f t="shared" si="738"/>
        <v>专属强化石2</v>
      </c>
      <c r="GC1638" s="101">
        <f t="shared" si="739"/>
        <v>3</v>
      </c>
      <c r="GD1638" s="101" t="str">
        <f t="shared" si="740"/>
        <v>专属强化石3</v>
      </c>
      <c r="GE1638" s="101">
        <f t="shared" si="741"/>
        <v>1</v>
      </c>
      <c r="GF1638" s="101">
        <f t="shared" si="746"/>
        <v>0.1</v>
      </c>
      <c r="GG1638" s="101">
        <f t="shared" si="747"/>
        <v>1</v>
      </c>
      <c r="GH1638" s="101">
        <f t="shared" si="748"/>
        <v>15</v>
      </c>
      <c r="GI1638" s="101">
        <f t="shared" si="749"/>
        <v>0</v>
      </c>
      <c r="GJ1638" s="101">
        <f t="shared" si="750"/>
        <v>1</v>
      </c>
      <c r="GK1638" s="101">
        <f t="shared" si="751"/>
        <v>3</v>
      </c>
      <c r="GL1638" s="101">
        <f t="shared" si="752"/>
        <v>5.0599999999999999E-2</v>
      </c>
      <c r="GM1638" s="101">
        <f t="shared" si="753"/>
        <v>1</v>
      </c>
      <c r="GN1638" s="101">
        <f t="shared" si="754"/>
        <v>7</v>
      </c>
      <c r="GO1638" s="101">
        <f t="shared" si="755"/>
        <v>0.2024</v>
      </c>
      <c r="GP1638" s="101">
        <f t="shared" si="756"/>
        <v>1</v>
      </c>
      <c r="GQ1638" s="101">
        <f t="shared" si="757"/>
        <v>15</v>
      </c>
    </row>
    <row r="1639" spans="175:199" ht="16.5" x14ac:dyDescent="0.2">
      <c r="FS1639" s="101">
        <v>1634</v>
      </c>
      <c r="FT1639" s="101">
        <f t="shared" si="742"/>
        <v>30</v>
      </c>
      <c r="FU1639" s="101">
        <f t="shared" si="735"/>
        <v>21</v>
      </c>
      <c r="FV1639" s="14">
        <f t="shared" si="736"/>
        <v>4</v>
      </c>
      <c r="FW1639" s="101" t="str">
        <f t="shared" si="743"/>
        <v>秦琼专属武器-魂珠-4 3级</v>
      </c>
      <c r="FX1639" s="101">
        <f t="shared" si="744"/>
        <v>4</v>
      </c>
      <c r="FY1639" s="101">
        <f t="shared" si="745"/>
        <v>3</v>
      </c>
      <c r="FZ1639" s="101" t="str">
        <f t="shared" si="737"/>
        <v>金币</v>
      </c>
      <c r="GA1639" s="139">
        <f>IF($FY1639&gt;0,IF(INDEX($EM$6:$EM$77,$FT1639)&gt;=GA$3,ROUND(INDEX(EO$6:EO$77,$FT1639)*INDEX(卡牌消耗!$B$8:$F$8,FV1639)/5,0)*5,""),"")</f>
        <v>910</v>
      </c>
      <c r="GB1639" s="101" t="str">
        <f t="shared" si="738"/>
        <v>专属强化石2</v>
      </c>
      <c r="GC1639" s="101">
        <f t="shared" si="739"/>
        <v>3</v>
      </c>
      <c r="GD1639" s="101" t="str">
        <f t="shared" si="740"/>
        <v>专属强化石3</v>
      </c>
      <c r="GE1639" s="101">
        <f t="shared" si="741"/>
        <v>1</v>
      </c>
      <c r="GF1639" s="101">
        <f t="shared" si="746"/>
        <v>7.0000000000000007E-2</v>
      </c>
      <c r="GG1639" s="101">
        <f t="shared" si="747"/>
        <v>1</v>
      </c>
      <c r="GH1639" s="101">
        <f t="shared" si="748"/>
        <v>22</v>
      </c>
      <c r="GI1639" s="101">
        <f t="shared" si="749"/>
        <v>0</v>
      </c>
      <c r="GJ1639" s="101">
        <f t="shared" si="750"/>
        <v>1</v>
      </c>
      <c r="GK1639" s="101">
        <f t="shared" si="751"/>
        <v>5</v>
      </c>
      <c r="GL1639" s="101">
        <f t="shared" si="752"/>
        <v>3.3700000000000001E-2</v>
      </c>
      <c r="GM1639" s="101">
        <f t="shared" si="753"/>
        <v>1</v>
      </c>
      <c r="GN1639" s="101">
        <f t="shared" si="754"/>
        <v>10</v>
      </c>
      <c r="GO1639" s="101">
        <f t="shared" si="755"/>
        <v>0.13489999999999999</v>
      </c>
      <c r="GP1639" s="101">
        <f t="shared" si="756"/>
        <v>1</v>
      </c>
      <c r="GQ1639" s="101">
        <f t="shared" si="757"/>
        <v>22</v>
      </c>
    </row>
    <row r="1640" spans="175:199" ht="16.5" x14ac:dyDescent="0.2">
      <c r="FS1640" s="101">
        <v>1635</v>
      </c>
      <c r="FT1640" s="101">
        <f t="shared" si="742"/>
        <v>31</v>
      </c>
      <c r="FU1640" s="101">
        <f t="shared" si="735"/>
        <v>21</v>
      </c>
      <c r="FV1640" s="14">
        <f t="shared" si="736"/>
        <v>4</v>
      </c>
      <c r="FW1640" s="101" t="str">
        <f t="shared" si="743"/>
        <v>秦琼专属武器-魂珠-4 4级</v>
      </c>
      <c r="FX1640" s="101">
        <f t="shared" si="744"/>
        <v>4</v>
      </c>
      <c r="FY1640" s="101">
        <f t="shared" si="745"/>
        <v>4</v>
      </c>
      <c r="FZ1640" s="101" t="str">
        <f t="shared" si="737"/>
        <v>金币</v>
      </c>
      <c r="GA1640" s="139">
        <f>IF($FY1640&gt;0,IF(INDEX($EM$6:$EM$77,$FT1640)&gt;=GA$3,ROUND(INDEX(EO$6:EO$77,$FT1640)*INDEX(卡牌消耗!$B$8:$F$8,FV1640)/5,0)*5,""),"")</f>
        <v>1750</v>
      </c>
      <c r="GB1640" s="101" t="str">
        <f t="shared" si="738"/>
        <v>专属强化石2</v>
      </c>
      <c r="GC1640" s="101">
        <f t="shared" si="739"/>
        <v>5</v>
      </c>
      <c r="GD1640" s="101" t="str">
        <f t="shared" si="740"/>
        <v>专属强化石3</v>
      </c>
      <c r="GE1640" s="101">
        <f t="shared" si="741"/>
        <v>2</v>
      </c>
      <c r="GF1640" s="101">
        <f t="shared" si="746"/>
        <v>0.08</v>
      </c>
      <c r="GG1640" s="101">
        <f t="shared" si="747"/>
        <v>1</v>
      </c>
      <c r="GH1640" s="101">
        <f t="shared" si="748"/>
        <v>19</v>
      </c>
      <c r="GI1640" s="101">
        <f t="shared" si="749"/>
        <v>0</v>
      </c>
      <c r="GJ1640" s="101">
        <f t="shared" si="750"/>
        <v>1</v>
      </c>
      <c r="GK1640" s="101">
        <f t="shared" si="751"/>
        <v>4</v>
      </c>
      <c r="GL1640" s="101">
        <f t="shared" si="752"/>
        <v>4.0500000000000001E-2</v>
      </c>
      <c r="GM1640" s="101">
        <f t="shared" si="753"/>
        <v>1</v>
      </c>
      <c r="GN1640" s="101">
        <f t="shared" si="754"/>
        <v>9</v>
      </c>
      <c r="GO1640" s="101">
        <f t="shared" si="755"/>
        <v>0.16189999999999999</v>
      </c>
      <c r="GP1640" s="101">
        <f t="shared" si="756"/>
        <v>1</v>
      </c>
      <c r="GQ1640" s="101">
        <f t="shared" si="757"/>
        <v>19</v>
      </c>
    </row>
    <row r="1641" spans="175:199" ht="16.5" x14ac:dyDescent="0.2">
      <c r="FS1641" s="101">
        <v>1636</v>
      </c>
      <c r="FT1641" s="101">
        <f t="shared" si="742"/>
        <v>32</v>
      </c>
      <c r="FU1641" s="101">
        <f t="shared" si="735"/>
        <v>21</v>
      </c>
      <c r="FV1641" s="14">
        <f t="shared" si="736"/>
        <v>4</v>
      </c>
      <c r="FW1641" s="101" t="str">
        <f t="shared" si="743"/>
        <v>秦琼专属武器-魂珠-4 5级</v>
      </c>
      <c r="FX1641" s="101">
        <f t="shared" si="744"/>
        <v>4</v>
      </c>
      <c r="FY1641" s="101">
        <f t="shared" si="745"/>
        <v>5</v>
      </c>
      <c r="FZ1641" s="101" t="str">
        <f t="shared" si="737"/>
        <v>金币</v>
      </c>
      <c r="GA1641" s="139">
        <f>IF($FY1641&gt;0,IF(INDEX($EM$6:$EM$77,$FT1641)&gt;=GA$3,ROUND(INDEX(EO$6:EO$77,$FT1641)*INDEX(卡牌消耗!$B$8:$F$8,FV1641)/5,0)*5,""),"")</f>
        <v>1780</v>
      </c>
      <c r="GB1641" s="101" t="str">
        <f t="shared" si="738"/>
        <v>专属强化石2</v>
      </c>
      <c r="GC1641" s="101">
        <f t="shared" si="739"/>
        <v>5</v>
      </c>
      <c r="GD1641" s="101" t="str">
        <f t="shared" si="740"/>
        <v>专属强化石3</v>
      </c>
      <c r="GE1641" s="101">
        <f t="shared" si="741"/>
        <v>2</v>
      </c>
      <c r="GF1641" s="101">
        <f t="shared" si="746"/>
        <v>0.05</v>
      </c>
      <c r="GG1641" s="101">
        <f t="shared" si="747"/>
        <v>1</v>
      </c>
      <c r="GH1641" s="101">
        <f t="shared" si="748"/>
        <v>30</v>
      </c>
      <c r="GI1641" s="101">
        <f t="shared" si="749"/>
        <v>0</v>
      </c>
      <c r="GJ1641" s="101">
        <f t="shared" si="750"/>
        <v>1</v>
      </c>
      <c r="GK1641" s="101">
        <f t="shared" si="751"/>
        <v>7</v>
      </c>
      <c r="GL1641" s="101">
        <f t="shared" si="752"/>
        <v>2.53E-2</v>
      </c>
      <c r="GM1641" s="101">
        <f t="shared" si="753"/>
        <v>1</v>
      </c>
      <c r="GN1641" s="101">
        <f t="shared" si="754"/>
        <v>14</v>
      </c>
      <c r="GO1641" s="101">
        <f t="shared" si="755"/>
        <v>0.1012</v>
      </c>
      <c r="GP1641" s="101">
        <f t="shared" si="756"/>
        <v>1</v>
      </c>
      <c r="GQ1641" s="101">
        <f t="shared" si="757"/>
        <v>30</v>
      </c>
    </row>
    <row r="1642" spans="175:199" ht="16.5" x14ac:dyDescent="0.2">
      <c r="FS1642" s="101">
        <v>1637</v>
      </c>
      <c r="FT1642" s="101">
        <f t="shared" si="742"/>
        <v>33</v>
      </c>
      <c r="FU1642" s="101">
        <f t="shared" si="735"/>
        <v>21</v>
      </c>
      <c r="FV1642" s="14">
        <f t="shared" si="736"/>
        <v>4</v>
      </c>
      <c r="FW1642" s="101" t="str">
        <f t="shared" si="743"/>
        <v>秦琼专属武器-魂珠-4 6级</v>
      </c>
      <c r="FX1642" s="101">
        <f t="shared" si="744"/>
        <v>4</v>
      </c>
      <c r="FY1642" s="101">
        <f t="shared" si="745"/>
        <v>6</v>
      </c>
      <c r="FZ1642" s="101" t="str">
        <f t="shared" si="737"/>
        <v>金币</v>
      </c>
      <c r="GA1642" s="139">
        <f>IF($FY1642&gt;0,IF(INDEX($EM$6:$EM$77,$FT1642)&gt;=GA$3,ROUND(INDEX(EO$6:EO$77,$FT1642)*INDEX(卡牌消耗!$B$8:$F$8,FV1642)/5,0)*5,""),"")</f>
        <v>1770</v>
      </c>
      <c r="GB1642" s="101" t="str">
        <f t="shared" si="738"/>
        <v>专属强化石2</v>
      </c>
      <c r="GC1642" s="101">
        <f t="shared" si="739"/>
        <v>5</v>
      </c>
      <c r="GD1642" s="101" t="str">
        <f t="shared" si="740"/>
        <v>专属强化石3</v>
      </c>
      <c r="GE1642" s="101">
        <f t="shared" si="741"/>
        <v>2</v>
      </c>
      <c r="GF1642" s="101">
        <f t="shared" si="746"/>
        <v>0.03</v>
      </c>
      <c r="GG1642" s="101">
        <f t="shared" si="747"/>
        <v>1</v>
      </c>
      <c r="GH1642" s="101">
        <f t="shared" si="748"/>
        <v>48</v>
      </c>
      <c r="GI1642" s="101">
        <f t="shared" si="749"/>
        <v>0</v>
      </c>
      <c r="GJ1642" s="101">
        <f t="shared" si="750"/>
        <v>1</v>
      </c>
      <c r="GK1642" s="101">
        <f t="shared" si="751"/>
        <v>11</v>
      </c>
      <c r="GL1642" s="101">
        <f t="shared" si="752"/>
        <v>1.5599999999999999E-2</v>
      </c>
      <c r="GM1642" s="101">
        <f t="shared" si="753"/>
        <v>1</v>
      </c>
      <c r="GN1642" s="101">
        <f t="shared" si="754"/>
        <v>22</v>
      </c>
      <c r="GO1642" s="101">
        <f t="shared" si="755"/>
        <v>6.2300000000000001E-2</v>
      </c>
      <c r="GP1642" s="101">
        <f t="shared" si="756"/>
        <v>1</v>
      </c>
      <c r="GQ1642" s="101">
        <f t="shared" si="757"/>
        <v>48</v>
      </c>
    </row>
    <row r="1643" spans="175:199" ht="16.5" x14ac:dyDescent="0.2">
      <c r="FS1643" s="101">
        <v>1638</v>
      </c>
      <c r="FT1643" s="101">
        <f t="shared" si="742"/>
        <v>34</v>
      </c>
      <c r="FU1643" s="101">
        <f t="shared" si="735"/>
        <v>21</v>
      </c>
      <c r="FV1643" s="14">
        <f t="shared" si="736"/>
        <v>4</v>
      </c>
      <c r="FW1643" s="101" t="str">
        <f t="shared" si="743"/>
        <v>秦琼专属武器-魂珠-4 7级</v>
      </c>
      <c r="FX1643" s="101">
        <f t="shared" si="744"/>
        <v>4</v>
      </c>
      <c r="FY1643" s="101">
        <f t="shared" si="745"/>
        <v>7</v>
      </c>
      <c r="FZ1643" s="101" t="str">
        <f t="shared" si="737"/>
        <v>金币</v>
      </c>
      <c r="GA1643" s="139">
        <f>IF($FY1643&gt;0,IF(INDEX($EM$6:$EM$77,$FT1643)&gt;=GA$3,ROUND(INDEX(EO$6:EO$77,$FT1643)*INDEX(卡牌消耗!$B$8:$F$8,FV1643)/5,0)*5,""),"")</f>
        <v>2660</v>
      </c>
      <c r="GB1643" s="101" t="str">
        <f t="shared" si="738"/>
        <v>专属强化石2</v>
      </c>
      <c r="GC1643" s="101">
        <f t="shared" si="739"/>
        <v>8</v>
      </c>
      <c r="GD1643" s="101" t="str">
        <f t="shared" si="740"/>
        <v>专属强化石3</v>
      </c>
      <c r="GE1643" s="101">
        <f t="shared" si="741"/>
        <v>3</v>
      </c>
      <c r="GF1643" s="101">
        <f t="shared" si="746"/>
        <v>0.03</v>
      </c>
      <c r="GG1643" s="101">
        <f t="shared" si="747"/>
        <v>1</v>
      </c>
      <c r="GH1643" s="101">
        <f t="shared" si="748"/>
        <v>52</v>
      </c>
      <c r="GI1643" s="101">
        <f t="shared" si="749"/>
        <v>0</v>
      </c>
      <c r="GJ1643" s="101">
        <f t="shared" si="750"/>
        <v>1</v>
      </c>
      <c r="GK1643" s="101">
        <f t="shared" si="751"/>
        <v>12</v>
      </c>
      <c r="GL1643" s="101">
        <f t="shared" si="752"/>
        <v>1.4500000000000001E-2</v>
      </c>
      <c r="GM1643" s="101">
        <f t="shared" si="753"/>
        <v>1</v>
      </c>
      <c r="GN1643" s="101">
        <f t="shared" si="754"/>
        <v>24</v>
      </c>
      <c r="GO1643" s="101">
        <f t="shared" si="755"/>
        <v>5.7799999999999997E-2</v>
      </c>
      <c r="GP1643" s="101">
        <f t="shared" si="756"/>
        <v>1</v>
      </c>
      <c r="GQ1643" s="101">
        <f t="shared" si="757"/>
        <v>52</v>
      </c>
    </row>
    <row r="1644" spans="175:199" ht="16.5" x14ac:dyDescent="0.2">
      <c r="FS1644" s="101">
        <v>1639</v>
      </c>
      <c r="FT1644" s="101">
        <f t="shared" si="742"/>
        <v>35</v>
      </c>
      <c r="FU1644" s="101">
        <f t="shared" si="735"/>
        <v>21</v>
      </c>
      <c r="FV1644" s="14">
        <f t="shared" si="736"/>
        <v>4</v>
      </c>
      <c r="FW1644" s="101" t="str">
        <f t="shared" si="743"/>
        <v>秦琼专属武器-魂珠-4 8级</v>
      </c>
      <c r="FX1644" s="101">
        <f t="shared" si="744"/>
        <v>4</v>
      </c>
      <c r="FY1644" s="101">
        <f t="shared" si="745"/>
        <v>8</v>
      </c>
      <c r="FZ1644" s="101" t="str">
        <f t="shared" si="737"/>
        <v>金币</v>
      </c>
      <c r="GA1644" s="139">
        <f>IF($FY1644&gt;0,IF(INDEX($EM$6:$EM$77,$FT1644)&gt;=GA$3,ROUND(INDEX(EO$6:EO$77,$FT1644)*INDEX(卡牌消耗!$B$8:$F$8,FV1644)/5,0)*5,""),"")</f>
        <v>3540</v>
      </c>
      <c r="GB1644" s="101" t="str">
        <f t="shared" si="738"/>
        <v>专属强化石2</v>
      </c>
      <c r="GC1644" s="101">
        <f t="shared" si="739"/>
        <v>11</v>
      </c>
      <c r="GD1644" s="101" t="str">
        <f t="shared" si="740"/>
        <v>专属强化石3</v>
      </c>
      <c r="GE1644" s="101">
        <f t="shared" si="741"/>
        <v>4</v>
      </c>
      <c r="GF1644" s="101">
        <f t="shared" si="746"/>
        <v>0.02</v>
      </c>
      <c r="GG1644" s="101">
        <f t="shared" si="747"/>
        <v>1</v>
      </c>
      <c r="GH1644" s="101">
        <f t="shared" si="748"/>
        <v>63</v>
      </c>
      <c r="GI1644" s="101">
        <f t="shared" si="749"/>
        <v>0</v>
      </c>
      <c r="GJ1644" s="101">
        <f t="shared" si="750"/>
        <v>1</v>
      </c>
      <c r="GK1644" s="101">
        <f t="shared" si="751"/>
        <v>15</v>
      </c>
      <c r="GL1644" s="101">
        <f t="shared" si="752"/>
        <v>1.1900000000000001E-2</v>
      </c>
      <c r="GM1644" s="101">
        <f t="shared" si="753"/>
        <v>1</v>
      </c>
      <c r="GN1644" s="101">
        <f t="shared" si="754"/>
        <v>29</v>
      </c>
      <c r="GO1644" s="101">
        <f t="shared" si="755"/>
        <v>4.7600000000000003E-2</v>
      </c>
      <c r="GP1644" s="101">
        <f t="shared" si="756"/>
        <v>1</v>
      </c>
      <c r="GQ1644" s="101">
        <f t="shared" si="757"/>
        <v>63</v>
      </c>
    </row>
    <row r="1645" spans="175:199" ht="16.5" x14ac:dyDescent="0.2">
      <c r="FS1645" s="101">
        <v>1640</v>
      </c>
      <c r="FT1645" s="101">
        <f t="shared" si="742"/>
        <v>36</v>
      </c>
      <c r="FU1645" s="101">
        <f t="shared" si="735"/>
        <v>21</v>
      </c>
      <c r="FV1645" s="14">
        <f t="shared" si="736"/>
        <v>4</v>
      </c>
      <c r="FW1645" s="101" t="str">
        <f t="shared" si="743"/>
        <v>秦琼专属武器-魂珠-4 9级</v>
      </c>
      <c r="FX1645" s="101">
        <f t="shared" si="744"/>
        <v>4</v>
      </c>
      <c r="FY1645" s="101">
        <f t="shared" si="745"/>
        <v>9</v>
      </c>
      <c r="FZ1645" s="101" t="str">
        <f t="shared" si="737"/>
        <v>金币</v>
      </c>
      <c r="GA1645" s="139">
        <f>IF($FY1645&gt;0,IF(INDEX($EM$6:$EM$77,$FT1645)&gt;=GA$3,ROUND(INDEX(EO$6:EO$77,$FT1645)*INDEX(卡牌消耗!$B$8:$F$8,FV1645)/5,0)*5,""),"")</f>
        <v>5315</v>
      </c>
      <c r="GB1645" s="101" t="str">
        <f t="shared" si="738"/>
        <v>专属强化石2</v>
      </c>
      <c r="GC1645" s="101">
        <f t="shared" si="739"/>
        <v>16</v>
      </c>
      <c r="GD1645" s="101" t="str">
        <f t="shared" si="740"/>
        <v>专属强化石3</v>
      </c>
      <c r="GE1645" s="101">
        <f t="shared" si="741"/>
        <v>6</v>
      </c>
      <c r="GF1645" s="101">
        <f t="shared" si="746"/>
        <v>0.02</v>
      </c>
      <c r="GG1645" s="101">
        <f t="shared" si="747"/>
        <v>1</v>
      </c>
      <c r="GH1645" s="101">
        <f t="shared" si="748"/>
        <v>68</v>
      </c>
      <c r="GI1645" s="101">
        <f t="shared" si="749"/>
        <v>0</v>
      </c>
      <c r="GJ1645" s="101">
        <f t="shared" si="750"/>
        <v>1</v>
      </c>
      <c r="GK1645" s="101">
        <f t="shared" si="751"/>
        <v>16</v>
      </c>
      <c r="GL1645" s="101">
        <f t="shared" si="752"/>
        <v>1.0999999999999999E-2</v>
      </c>
      <c r="GM1645" s="101">
        <f t="shared" si="753"/>
        <v>1</v>
      </c>
      <c r="GN1645" s="101">
        <f t="shared" si="754"/>
        <v>32</v>
      </c>
      <c r="GO1645" s="101">
        <f t="shared" si="755"/>
        <v>4.4200000000000003E-2</v>
      </c>
      <c r="GP1645" s="101">
        <f t="shared" si="756"/>
        <v>1</v>
      </c>
      <c r="GQ1645" s="101">
        <f t="shared" si="757"/>
        <v>68</v>
      </c>
    </row>
    <row r="1646" spans="175:199" ht="16.5" x14ac:dyDescent="0.2">
      <c r="FS1646" s="101">
        <v>1641</v>
      </c>
      <c r="FT1646" s="101">
        <f t="shared" si="742"/>
        <v>0</v>
      </c>
      <c r="FU1646" s="101">
        <f t="shared" si="735"/>
        <v>21</v>
      </c>
      <c r="FV1646" s="14">
        <f t="shared" si="736"/>
        <v>4</v>
      </c>
      <c r="FW1646" s="101" t="str">
        <f t="shared" si="743"/>
        <v>秦琼专属武器-魂珠-5 0级</v>
      </c>
      <c r="FX1646" s="101">
        <f t="shared" si="744"/>
        <v>5</v>
      </c>
      <c r="FY1646" s="101">
        <f t="shared" si="745"/>
        <v>0</v>
      </c>
      <c r="FZ1646" s="101" t="str">
        <f t="shared" si="737"/>
        <v/>
      </c>
      <c r="GA1646" s="139" t="str">
        <f>IF($FY1646&gt;0,IF(INDEX($EM$6:$EM$77,$FT1646)&gt;=GA$3,ROUND(INDEX(EO$6:EO$77,$FT1646)*INDEX(卡牌消耗!$B$8:$F$8,FV1646)/5,0)*5,""),"")</f>
        <v/>
      </c>
      <c r="GB1646" s="101" t="str">
        <f t="shared" si="738"/>
        <v/>
      </c>
      <c r="GC1646" s="101" t="str">
        <f t="shared" si="739"/>
        <v/>
      </c>
      <c r="GD1646" s="101" t="str">
        <f t="shared" si="740"/>
        <v/>
      </c>
      <c r="GE1646" s="101" t="str">
        <f t="shared" si="741"/>
        <v/>
      </c>
      <c r="GF1646" s="101" t="str">
        <f t="shared" si="746"/>
        <v/>
      </c>
      <c r="GG1646" s="101" t="str">
        <f t="shared" si="747"/>
        <v/>
      </c>
      <c r="GH1646" s="101" t="str">
        <f t="shared" si="748"/>
        <v/>
      </c>
      <c r="GI1646" s="101" t="str">
        <f t="shared" si="749"/>
        <v/>
      </c>
      <c r="GJ1646" s="101" t="str">
        <f t="shared" si="750"/>
        <v/>
      </c>
      <c r="GK1646" s="101" t="str">
        <f t="shared" si="751"/>
        <v/>
      </c>
      <c r="GL1646" s="101" t="str">
        <f t="shared" si="752"/>
        <v/>
      </c>
      <c r="GM1646" s="101" t="str">
        <f t="shared" si="753"/>
        <v/>
      </c>
      <c r="GN1646" s="101" t="str">
        <f t="shared" si="754"/>
        <v/>
      </c>
      <c r="GO1646" s="101" t="str">
        <f t="shared" si="755"/>
        <v/>
      </c>
      <c r="GP1646" s="101" t="str">
        <f t="shared" si="756"/>
        <v/>
      </c>
      <c r="GQ1646" s="101" t="str">
        <f t="shared" si="757"/>
        <v/>
      </c>
    </row>
    <row r="1647" spans="175:199" ht="16.5" x14ac:dyDescent="0.2">
      <c r="FS1647" s="101">
        <v>1642</v>
      </c>
      <c r="FT1647" s="101">
        <f t="shared" si="742"/>
        <v>37</v>
      </c>
      <c r="FU1647" s="101">
        <f t="shared" si="735"/>
        <v>21</v>
      </c>
      <c r="FV1647" s="14">
        <f t="shared" si="736"/>
        <v>4</v>
      </c>
      <c r="FW1647" s="101" t="str">
        <f t="shared" si="743"/>
        <v>秦琼专属武器-魂珠-5 1级</v>
      </c>
      <c r="FX1647" s="101">
        <f t="shared" si="744"/>
        <v>5</v>
      </c>
      <c r="FY1647" s="101">
        <f t="shared" si="745"/>
        <v>1</v>
      </c>
      <c r="FZ1647" s="101" t="str">
        <f t="shared" si="737"/>
        <v>金币</v>
      </c>
      <c r="GA1647" s="139">
        <f>IF($FY1647&gt;0,IF(INDEX($EM$6:$EM$77,$FT1647)&gt;=GA$3,ROUND(INDEX(EO$6:EO$77,$FT1647)*INDEX(卡牌消耗!$B$8:$F$8,FV1647)/5,0)*5,""),"")</f>
        <v>2245</v>
      </c>
      <c r="GB1647" s="101" t="str">
        <f t="shared" si="738"/>
        <v>专属强化石2</v>
      </c>
      <c r="GC1647" s="101">
        <f t="shared" si="739"/>
        <v>3</v>
      </c>
      <c r="GD1647" s="101" t="str">
        <f t="shared" si="740"/>
        <v>专属强化石3</v>
      </c>
      <c r="GE1647" s="101">
        <f t="shared" si="741"/>
        <v>2</v>
      </c>
      <c r="GF1647" s="101">
        <f t="shared" si="746"/>
        <v>0.2</v>
      </c>
      <c r="GG1647" s="101">
        <f t="shared" si="747"/>
        <v>1</v>
      </c>
      <c r="GH1647" s="101">
        <f t="shared" si="748"/>
        <v>7</v>
      </c>
      <c r="GI1647" s="101">
        <f t="shared" si="749"/>
        <v>0</v>
      </c>
      <c r="GJ1647" s="101">
        <f t="shared" si="750"/>
        <v>1</v>
      </c>
      <c r="GK1647" s="101">
        <f t="shared" si="751"/>
        <v>2</v>
      </c>
      <c r="GL1647" s="101">
        <f t="shared" si="752"/>
        <v>0.1012</v>
      </c>
      <c r="GM1647" s="101">
        <f t="shared" si="753"/>
        <v>1</v>
      </c>
      <c r="GN1647" s="101">
        <f t="shared" si="754"/>
        <v>3</v>
      </c>
      <c r="GO1647" s="101">
        <f t="shared" si="755"/>
        <v>0.40479999999999999</v>
      </c>
      <c r="GP1647" s="101">
        <f t="shared" si="756"/>
        <v>1</v>
      </c>
      <c r="GQ1647" s="101">
        <f t="shared" si="757"/>
        <v>7</v>
      </c>
    </row>
    <row r="1648" spans="175:199" ht="16.5" x14ac:dyDescent="0.2">
      <c r="FS1648" s="101">
        <v>1643</v>
      </c>
      <c r="FT1648" s="101">
        <f t="shared" si="742"/>
        <v>38</v>
      </c>
      <c r="FU1648" s="101">
        <f t="shared" si="735"/>
        <v>21</v>
      </c>
      <c r="FV1648" s="14">
        <f t="shared" si="736"/>
        <v>4</v>
      </c>
      <c r="FW1648" s="101" t="str">
        <f t="shared" si="743"/>
        <v>秦琼专属武器-魂珠-5 2级</v>
      </c>
      <c r="FX1648" s="101">
        <f t="shared" si="744"/>
        <v>5</v>
      </c>
      <c r="FY1648" s="101">
        <f t="shared" si="745"/>
        <v>2</v>
      </c>
      <c r="FZ1648" s="101" t="str">
        <f t="shared" si="737"/>
        <v>金币</v>
      </c>
      <c r="GA1648" s="139">
        <f>IF($FY1648&gt;0,IF(INDEX($EM$6:$EM$77,$FT1648)&gt;=GA$3,ROUND(INDEX(EO$6:EO$77,$FT1648)*INDEX(卡牌消耗!$B$8:$F$8,FV1648)/5,0)*5,""),"")</f>
        <v>1685</v>
      </c>
      <c r="GB1648" s="101" t="str">
        <f t="shared" si="738"/>
        <v>专属强化石2</v>
      </c>
      <c r="GC1648" s="101">
        <f t="shared" si="739"/>
        <v>3</v>
      </c>
      <c r="GD1648" s="101" t="str">
        <f t="shared" si="740"/>
        <v>专属强化石3</v>
      </c>
      <c r="GE1648" s="101">
        <f t="shared" si="741"/>
        <v>2</v>
      </c>
      <c r="GF1648" s="101">
        <f t="shared" si="746"/>
        <v>0.1</v>
      </c>
      <c r="GG1648" s="101">
        <f t="shared" si="747"/>
        <v>1</v>
      </c>
      <c r="GH1648" s="101">
        <f t="shared" si="748"/>
        <v>15</v>
      </c>
      <c r="GI1648" s="101">
        <f t="shared" si="749"/>
        <v>0</v>
      </c>
      <c r="GJ1648" s="101">
        <f t="shared" si="750"/>
        <v>1</v>
      </c>
      <c r="GK1648" s="101">
        <f t="shared" si="751"/>
        <v>3</v>
      </c>
      <c r="GL1648" s="101">
        <f t="shared" si="752"/>
        <v>5.0599999999999999E-2</v>
      </c>
      <c r="GM1648" s="101">
        <f t="shared" si="753"/>
        <v>1</v>
      </c>
      <c r="GN1648" s="101">
        <f t="shared" si="754"/>
        <v>7</v>
      </c>
      <c r="GO1648" s="101">
        <f t="shared" si="755"/>
        <v>0.2024</v>
      </c>
      <c r="GP1648" s="101">
        <f t="shared" si="756"/>
        <v>1</v>
      </c>
      <c r="GQ1648" s="101">
        <f t="shared" si="757"/>
        <v>15</v>
      </c>
    </row>
    <row r="1649" spans="175:199" ht="16.5" x14ac:dyDescent="0.2">
      <c r="FS1649" s="101">
        <v>1644</v>
      </c>
      <c r="FT1649" s="101">
        <f t="shared" si="742"/>
        <v>39</v>
      </c>
      <c r="FU1649" s="101">
        <f t="shared" si="735"/>
        <v>21</v>
      </c>
      <c r="FV1649" s="14">
        <f t="shared" si="736"/>
        <v>4</v>
      </c>
      <c r="FW1649" s="101" t="str">
        <f t="shared" si="743"/>
        <v>秦琼专属武器-魂珠-5 3级</v>
      </c>
      <c r="FX1649" s="101">
        <f t="shared" si="744"/>
        <v>5</v>
      </c>
      <c r="FY1649" s="101">
        <f t="shared" si="745"/>
        <v>3</v>
      </c>
      <c r="FZ1649" s="101" t="str">
        <f t="shared" si="737"/>
        <v>金币</v>
      </c>
      <c r="GA1649" s="139">
        <f>IF($FY1649&gt;0,IF(INDEX($EM$6:$EM$77,$FT1649)&gt;=GA$3,ROUND(INDEX(EO$6:EO$77,$FT1649)*INDEX(卡牌消耗!$B$8:$F$8,FV1649)/5,0)*5,""),"")</f>
        <v>1870</v>
      </c>
      <c r="GB1649" s="101" t="str">
        <f t="shared" si="738"/>
        <v>专属强化石2</v>
      </c>
      <c r="GC1649" s="101">
        <f t="shared" si="739"/>
        <v>3</v>
      </c>
      <c r="GD1649" s="101" t="str">
        <f t="shared" si="740"/>
        <v>专属强化石3</v>
      </c>
      <c r="GE1649" s="101">
        <f t="shared" si="741"/>
        <v>2</v>
      </c>
      <c r="GF1649" s="101">
        <f t="shared" si="746"/>
        <v>7.0000000000000007E-2</v>
      </c>
      <c r="GG1649" s="101">
        <f t="shared" si="747"/>
        <v>1</v>
      </c>
      <c r="GH1649" s="101">
        <f t="shared" si="748"/>
        <v>22</v>
      </c>
      <c r="GI1649" s="101">
        <f t="shared" si="749"/>
        <v>0</v>
      </c>
      <c r="GJ1649" s="101">
        <f t="shared" si="750"/>
        <v>1</v>
      </c>
      <c r="GK1649" s="101">
        <f t="shared" si="751"/>
        <v>5</v>
      </c>
      <c r="GL1649" s="101">
        <f t="shared" si="752"/>
        <v>3.3700000000000001E-2</v>
      </c>
      <c r="GM1649" s="101">
        <f t="shared" si="753"/>
        <v>1</v>
      </c>
      <c r="GN1649" s="101">
        <f t="shared" si="754"/>
        <v>10</v>
      </c>
      <c r="GO1649" s="101">
        <f t="shared" si="755"/>
        <v>0.13489999999999999</v>
      </c>
      <c r="GP1649" s="101">
        <f t="shared" si="756"/>
        <v>1</v>
      </c>
      <c r="GQ1649" s="101">
        <f t="shared" si="757"/>
        <v>22</v>
      </c>
    </row>
    <row r="1650" spans="175:199" ht="16.5" x14ac:dyDescent="0.2">
      <c r="FS1650" s="101">
        <v>1645</v>
      </c>
      <c r="FT1650" s="101">
        <f t="shared" si="742"/>
        <v>40</v>
      </c>
      <c r="FU1650" s="101">
        <f t="shared" si="735"/>
        <v>21</v>
      </c>
      <c r="FV1650" s="14">
        <f t="shared" si="736"/>
        <v>4</v>
      </c>
      <c r="FW1650" s="101" t="str">
        <f t="shared" si="743"/>
        <v>秦琼专属武器-魂珠-5 4级</v>
      </c>
      <c r="FX1650" s="101">
        <f t="shared" si="744"/>
        <v>5</v>
      </c>
      <c r="FY1650" s="101">
        <f t="shared" si="745"/>
        <v>4</v>
      </c>
      <c r="FZ1650" s="101" t="str">
        <f t="shared" si="737"/>
        <v>金币</v>
      </c>
      <c r="GA1650" s="139">
        <f>IF($FY1650&gt;0,IF(INDEX($EM$6:$EM$77,$FT1650)&gt;=GA$3,ROUND(INDEX(EO$6:EO$77,$FT1650)*INDEX(卡牌消耗!$B$8:$F$8,FV1650)/5,0)*5,""),"")</f>
        <v>2695</v>
      </c>
      <c r="GB1650" s="101" t="str">
        <f t="shared" si="738"/>
        <v>专属强化石2</v>
      </c>
      <c r="GC1650" s="101">
        <f t="shared" si="739"/>
        <v>5</v>
      </c>
      <c r="GD1650" s="101" t="str">
        <f t="shared" si="740"/>
        <v>专属强化石3</v>
      </c>
      <c r="GE1650" s="101">
        <f t="shared" si="741"/>
        <v>3</v>
      </c>
      <c r="GF1650" s="101">
        <f t="shared" si="746"/>
        <v>0.06</v>
      </c>
      <c r="GG1650" s="101">
        <f t="shared" si="747"/>
        <v>1</v>
      </c>
      <c r="GH1650" s="101">
        <f t="shared" si="748"/>
        <v>25</v>
      </c>
      <c r="GI1650" s="101">
        <f t="shared" si="749"/>
        <v>0</v>
      </c>
      <c r="GJ1650" s="101">
        <f t="shared" si="750"/>
        <v>1</v>
      </c>
      <c r="GK1650" s="101">
        <f t="shared" si="751"/>
        <v>6</v>
      </c>
      <c r="GL1650" s="101">
        <f t="shared" si="752"/>
        <v>3.04E-2</v>
      </c>
      <c r="GM1650" s="101">
        <f t="shared" si="753"/>
        <v>1</v>
      </c>
      <c r="GN1650" s="101">
        <f t="shared" si="754"/>
        <v>12</v>
      </c>
      <c r="GO1650" s="101">
        <f t="shared" si="755"/>
        <v>0.12139999999999999</v>
      </c>
      <c r="GP1650" s="101">
        <f t="shared" si="756"/>
        <v>1</v>
      </c>
      <c r="GQ1650" s="101">
        <f t="shared" si="757"/>
        <v>25</v>
      </c>
    </row>
    <row r="1651" spans="175:199" ht="16.5" x14ac:dyDescent="0.2">
      <c r="FS1651" s="101">
        <v>1646</v>
      </c>
      <c r="FT1651" s="101">
        <f t="shared" si="742"/>
        <v>41</v>
      </c>
      <c r="FU1651" s="101">
        <f t="shared" si="735"/>
        <v>21</v>
      </c>
      <c r="FV1651" s="14">
        <f t="shared" si="736"/>
        <v>4</v>
      </c>
      <c r="FW1651" s="101" t="str">
        <f t="shared" si="743"/>
        <v>秦琼专属武器-魂珠-5 5级</v>
      </c>
      <c r="FX1651" s="101">
        <f t="shared" si="744"/>
        <v>5</v>
      </c>
      <c r="FY1651" s="101">
        <f t="shared" si="745"/>
        <v>5</v>
      </c>
      <c r="FZ1651" s="101" t="str">
        <f t="shared" si="737"/>
        <v>金币</v>
      </c>
      <c r="GA1651" s="139">
        <f>IF($FY1651&gt;0,IF(INDEX($EM$6:$EM$77,$FT1651)&gt;=GA$3,ROUND(INDEX(EO$6:EO$77,$FT1651)*INDEX(卡牌消耗!$B$8:$F$8,FV1651)/5,0)*5,""),"")</f>
        <v>2735</v>
      </c>
      <c r="GB1651" s="101" t="str">
        <f t="shared" si="738"/>
        <v>专属强化石2</v>
      </c>
      <c r="GC1651" s="101">
        <f t="shared" si="739"/>
        <v>5</v>
      </c>
      <c r="GD1651" s="101" t="str">
        <f t="shared" si="740"/>
        <v>专属强化石3</v>
      </c>
      <c r="GE1651" s="101">
        <f t="shared" si="741"/>
        <v>3</v>
      </c>
      <c r="GF1651" s="101">
        <f t="shared" si="746"/>
        <v>0.04</v>
      </c>
      <c r="GG1651" s="101">
        <f t="shared" si="747"/>
        <v>1</v>
      </c>
      <c r="GH1651" s="101">
        <f t="shared" si="748"/>
        <v>40</v>
      </c>
      <c r="GI1651" s="101">
        <f t="shared" si="749"/>
        <v>0</v>
      </c>
      <c r="GJ1651" s="101">
        <f t="shared" si="750"/>
        <v>1</v>
      </c>
      <c r="GK1651" s="101">
        <f t="shared" si="751"/>
        <v>9</v>
      </c>
      <c r="GL1651" s="101">
        <f t="shared" si="752"/>
        <v>1.9E-2</v>
      </c>
      <c r="GM1651" s="101">
        <f t="shared" si="753"/>
        <v>1</v>
      </c>
      <c r="GN1651" s="101">
        <f t="shared" si="754"/>
        <v>18</v>
      </c>
      <c r="GO1651" s="101">
        <f t="shared" si="755"/>
        <v>7.5899999999999995E-2</v>
      </c>
      <c r="GP1651" s="101">
        <f t="shared" si="756"/>
        <v>1</v>
      </c>
      <c r="GQ1651" s="101">
        <f t="shared" si="757"/>
        <v>40</v>
      </c>
    </row>
    <row r="1652" spans="175:199" ht="16.5" x14ac:dyDescent="0.2">
      <c r="FS1652" s="101">
        <v>1647</v>
      </c>
      <c r="FT1652" s="101">
        <f t="shared" si="742"/>
        <v>42</v>
      </c>
      <c r="FU1652" s="101">
        <f t="shared" si="735"/>
        <v>21</v>
      </c>
      <c r="FV1652" s="14">
        <f t="shared" si="736"/>
        <v>4</v>
      </c>
      <c r="FW1652" s="101" t="str">
        <f t="shared" si="743"/>
        <v>秦琼专属武器-魂珠-5 6级</v>
      </c>
      <c r="FX1652" s="101">
        <f t="shared" si="744"/>
        <v>5</v>
      </c>
      <c r="FY1652" s="101">
        <f t="shared" si="745"/>
        <v>6</v>
      </c>
      <c r="FZ1652" s="101" t="str">
        <f t="shared" si="737"/>
        <v>金币</v>
      </c>
      <c r="GA1652" s="139">
        <f>IF($FY1652&gt;0,IF(INDEX($EM$6:$EM$77,$FT1652)&gt;=GA$3,ROUND(INDEX(EO$6:EO$77,$FT1652)*INDEX(卡牌消耗!$B$8:$F$8,FV1652)/5,0)*5,""),"")</f>
        <v>4530</v>
      </c>
      <c r="GB1652" s="101" t="str">
        <f t="shared" si="738"/>
        <v>专属强化石2</v>
      </c>
      <c r="GC1652" s="101">
        <f t="shared" si="739"/>
        <v>8</v>
      </c>
      <c r="GD1652" s="101" t="str">
        <f t="shared" si="740"/>
        <v>专属强化石3</v>
      </c>
      <c r="GE1652" s="101">
        <f t="shared" si="741"/>
        <v>5</v>
      </c>
      <c r="GF1652" s="101">
        <f t="shared" si="746"/>
        <v>0.04</v>
      </c>
      <c r="GG1652" s="101">
        <f t="shared" si="747"/>
        <v>1</v>
      </c>
      <c r="GH1652" s="101">
        <f t="shared" si="748"/>
        <v>39</v>
      </c>
      <c r="GI1652" s="101">
        <f t="shared" si="749"/>
        <v>0</v>
      </c>
      <c r="GJ1652" s="101">
        <f t="shared" si="750"/>
        <v>1</v>
      </c>
      <c r="GK1652" s="101">
        <f t="shared" si="751"/>
        <v>9</v>
      </c>
      <c r="GL1652" s="101">
        <f t="shared" si="752"/>
        <v>1.95E-2</v>
      </c>
      <c r="GM1652" s="101">
        <f t="shared" si="753"/>
        <v>1</v>
      </c>
      <c r="GN1652" s="101">
        <f t="shared" si="754"/>
        <v>18</v>
      </c>
      <c r="GO1652" s="101">
        <f t="shared" si="755"/>
        <v>7.7799999999999994E-2</v>
      </c>
      <c r="GP1652" s="101">
        <f t="shared" si="756"/>
        <v>1</v>
      </c>
      <c r="GQ1652" s="101">
        <f t="shared" si="757"/>
        <v>39</v>
      </c>
    </row>
    <row r="1653" spans="175:199" ht="16.5" x14ac:dyDescent="0.2">
      <c r="FS1653" s="101">
        <v>1648</v>
      </c>
      <c r="FT1653" s="101">
        <f t="shared" si="742"/>
        <v>43</v>
      </c>
      <c r="FU1653" s="101">
        <f t="shared" si="735"/>
        <v>21</v>
      </c>
      <c r="FV1653" s="14">
        <f t="shared" si="736"/>
        <v>4</v>
      </c>
      <c r="FW1653" s="101" t="str">
        <f t="shared" si="743"/>
        <v>秦琼专属武器-魂珠-5 7级</v>
      </c>
      <c r="FX1653" s="101">
        <f t="shared" si="744"/>
        <v>5</v>
      </c>
      <c r="FY1653" s="101">
        <f t="shared" si="745"/>
        <v>7</v>
      </c>
      <c r="FZ1653" s="101" t="str">
        <f t="shared" si="737"/>
        <v>金币</v>
      </c>
      <c r="GA1653" s="139">
        <f>IF($FY1653&gt;0,IF(INDEX($EM$6:$EM$77,$FT1653)&gt;=GA$3,ROUND(INDEX(EO$6:EO$77,$FT1653)*INDEX(卡牌消耗!$B$8:$F$8,FV1653)/5,0)*5,""),"")</f>
        <v>4540</v>
      </c>
      <c r="GB1653" s="101" t="str">
        <f t="shared" si="738"/>
        <v>专属强化石2</v>
      </c>
      <c r="GC1653" s="101">
        <f t="shared" si="739"/>
        <v>8</v>
      </c>
      <c r="GD1653" s="101" t="str">
        <f t="shared" si="740"/>
        <v>专属强化石3</v>
      </c>
      <c r="GE1653" s="101">
        <f t="shared" si="741"/>
        <v>5</v>
      </c>
      <c r="GF1653" s="101">
        <f t="shared" si="746"/>
        <v>0.02</v>
      </c>
      <c r="GG1653" s="101">
        <f t="shared" si="747"/>
        <v>1</v>
      </c>
      <c r="GH1653" s="101">
        <f t="shared" si="748"/>
        <v>62</v>
      </c>
      <c r="GI1653" s="101">
        <f t="shared" si="749"/>
        <v>0</v>
      </c>
      <c r="GJ1653" s="101">
        <f t="shared" si="750"/>
        <v>1</v>
      </c>
      <c r="GK1653" s="101">
        <f t="shared" si="751"/>
        <v>15</v>
      </c>
      <c r="GL1653" s="101">
        <f t="shared" si="752"/>
        <v>1.2E-2</v>
      </c>
      <c r="GM1653" s="101">
        <f t="shared" si="753"/>
        <v>1</v>
      </c>
      <c r="GN1653" s="101">
        <f t="shared" si="754"/>
        <v>29</v>
      </c>
      <c r="GO1653" s="101">
        <f t="shared" si="755"/>
        <v>4.82E-2</v>
      </c>
      <c r="GP1653" s="101">
        <f t="shared" si="756"/>
        <v>1</v>
      </c>
      <c r="GQ1653" s="101">
        <f t="shared" si="757"/>
        <v>62</v>
      </c>
    </row>
    <row r="1654" spans="175:199" ht="16.5" x14ac:dyDescent="0.2">
      <c r="FS1654" s="101">
        <v>1649</v>
      </c>
      <c r="FT1654" s="101">
        <f t="shared" si="742"/>
        <v>44</v>
      </c>
      <c r="FU1654" s="101">
        <f t="shared" si="735"/>
        <v>21</v>
      </c>
      <c r="FV1654" s="14">
        <f t="shared" si="736"/>
        <v>4</v>
      </c>
      <c r="FW1654" s="101" t="str">
        <f t="shared" si="743"/>
        <v>秦琼专属武器-魂珠-5 8级</v>
      </c>
      <c r="FX1654" s="101">
        <f t="shared" si="744"/>
        <v>5</v>
      </c>
      <c r="FY1654" s="101">
        <f t="shared" si="745"/>
        <v>8</v>
      </c>
      <c r="FZ1654" s="101" t="str">
        <f t="shared" si="737"/>
        <v>金币</v>
      </c>
      <c r="GA1654" s="139">
        <f>IF($FY1654&gt;0,IF(INDEX($EM$6:$EM$77,$FT1654)&gt;=GA$3,ROUND(INDEX(EO$6:EO$77,$FT1654)*INDEX(卡牌消耗!$B$8:$F$8,FV1654)/5,0)*5,""),"")</f>
        <v>6350</v>
      </c>
      <c r="GB1654" s="101" t="str">
        <f t="shared" si="738"/>
        <v>专属强化石2</v>
      </c>
      <c r="GC1654" s="101">
        <f t="shared" si="739"/>
        <v>11</v>
      </c>
      <c r="GD1654" s="101" t="str">
        <f t="shared" si="740"/>
        <v>专属强化石3</v>
      </c>
      <c r="GE1654" s="101">
        <f t="shared" si="741"/>
        <v>7</v>
      </c>
      <c r="GF1654" s="101">
        <f t="shared" si="746"/>
        <v>0.02</v>
      </c>
      <c r="GG1654" s="101">
        <f t="shared" si="747"/>
        <v>1</v>
      </c>
      <c r="GH1654" s="101">
        <f t="shared" si="748"/>
        <v>72</v>
      </c>
      <c r="GI1654" s="101">
        <f t="shared" si="749"/>
        <v>0</v>
      </c>
      <c r="GJ1654" s="101">
        <f t="shared" si="750"/>
        <v>1</v>
      </c>
      <c r="GK1654" s="101">
        <f t="shared" si="751"/>
        <v>17</v>
      </c>
      <c r="GL1654" s="101">
        <f t="shared" si="752"/>
        <v>1.04E-2</v>
      </c>
      <c r="GM1654" s="101">
        <f t="shared" si="753"/>
        <v>1</v>
      </c>
      <c r="GN1654" s="101">
        <f t="shared" si="754"/>
        <v>34</v>
      </c>
      <c r="GO1654" s="101">
        <f t="shared" si="755"/>
        <v>4.1700000000000001E-2</v>
      </c>
      <c r="GP1654" s="101">
        <f t="shared" si="756"/>
        <v>1</v>
      </c>
      <c r="GQ1654" s="101">
        <f t="shared" si="757"/>
        <v>72</v>
      </c>
    </row>
    <row r="1655" spans="175:199" ht="16.5" x14ac:dyDescent="0.2">
      <c r="FS1655" s="101">
        <v>1650</v>
      </c>
      <c r="FT1655" s="101">
        <f t="shared" si="742"/>
        <v>45</v>
      </c>
      <c r="FU1655" s="101">
        <f t="shared" si="735"/>
        <v>21</v>
      </c>
      <c r="FV1655" s="14">
        <f t="shared" si="736"/>
        <v>4</v>
      </c>
      <c r="FW1655" s="101" t="str">
        <f t="shared" si="743"/>
        <v>秦琼专属武器-魂珠-5 9级</v>
      </c>
      <c r="FX1655" s="101">
        <f t="shared" si="744"/>
        <v>5</v>
      </c>
      <c r="FY1655" s="101">
        <f t="shared" si="745"/>
        <v>9</v>
      </c>
      <c r="FZ1655" s="101" t="str">
        <f t="shared" si="737"/>
        <v>金币</v>
      </c>
      <c r="GA1655" s="139">
        <f>IF($FY1655&gt;0,IF(INDEX($EM$6:$EM$77,$FT1655)&gt;=GA$3,ROUND(INDEX(EO$6:EO$77,$FT1655)*INDEX(卡牌消耗!$B$8:$F$8,FV1655)/5,0)*5,""),"")</f>
        <v>8170</v>
      </c>
      <c r="GB1655" s="101" t="str">
        <f t="shared" si="738"/>
        <v>专属强化石2</v>
      </c>
      <c r="GC1655" s="101">
        <f t="shared" si="739"/>
        <v>14</v>
      </c>
      <c r="GD1655" s="101" t="str">
        <f t="shared" si="740"/>
        <v>专属强化石3</v>
      </c>
      <c r="GE1655" s="101">
        <f t="shared" si="741"/>
        <v>9</v>
      </c>
      <c r="GF1655" s="101">
        <f t="shared" si="746"/>
        <v>0.02</v>
      </c>
      <c r="GG1655" s="101">
        <f t="shared" si="747"/>
        <v>1</v>
      </c>
      <c r="GH1655" s="101">
        <f t="shared" si="748"/>
        <v>91</v>
      </c>
      <c r="GI1655" s="101">
        <f t="shared" si="749"/>
        <v>0</v>
      </c>
      <c r="GJ1655" s="101">
        <f t="shared" si="750"/>
        <v>1</v>
      </c>
      <c r="GK1655" s="101">
        <f t="shared" si="751"/>
        <v>21</v>
      </c>
      <c r="GL1655" s="101">
        <f t="shared" si="752"/>
        <v>8.3000000000000001E-3</v>
      </c>
      <c r="GM1655" s="101">
        <f t="shared" si="753"/>
        <v>1</v>
      </c>
      <c r="GN1655" s="101">
        <f t="shared" si="754"/>
        <v>42</v>
      </c>
      <c r="GO1655" s="101">
        <f t="shared" si="755"/>
        <v>3.3099999999999997E-2</v>
      </c>
      <c r="GP1655" s="101">
        <f t="shared" si="756"/>
        <v>1</v>
      </c>
      <c r="GQ1655" s="101">
        <f t="shared" si="757"/>
        <v>91</v>
      </c>
    </row>
    <row r="1656" spans="175:199" ht="16.5" x14ac:dyDescent="0.2">
      <c r="FS1656" s="101">
        <v>1651</v>
      </c>
      <c r="FT1656" s="101">
        <f t="shared" si="742"/>
        <v>0</v>
      </c>
      <c r="FU1656" s="101">
        <f t="shared" si="735"/>
        <v>21</v>
      </c>
      <c r="FV1656" s="14">
        <f t="shared" si="736"/>
        <v>4</v>
      </c>
      <c r="FW1656" s="101" t="str">
        <f t="shared" si="743"/>
        <v>秦琼专属武器-魂珠-6 0级</v>
      </c>
      <c r="FX1656" s="101">
        <f t="shared" si="744"/>
        <v>6</v>
      </c>
      <c r="FY1656" s="101">
        <f t="shared" si="745"/>
        <v>0</v>
      </c>
      <c r="FZ1656" s="101" t="str">
        <f t="shared" si="737"/>
        <v/>
      </c>
      <c r="GA1656" s="139" t="str">
        <f>IF($FY1656&gt;0,IF(INDEX($EM$6:$EM$77,$FT1656)&gt;=GA$3,ROUND(INDEX(EO$6:EO$77,$FT1656)*INDEX(卡牌消耗!$B$8:$F$8,FV1656)/5,0)*5,""),"")</f>
        <v/>
      </c>
      <c r="GB1656" s="101" t="str">
        <f t="shared" si="738"/>
        <v/>
      </c>
      <c r="GC1656" s="101" t="str">
        <f t="shared" si="739"/>
        <v/>
      </c>
      <c r="GD1656" s="101" t="str">
        <f t="shared" si="740"/>
        <v/>
      </c>
      <c r="GE1656" s="101" t="str">
        <f t="shared" si="741"/>
        <v/>
      </c>
      <c r="GF1656" s="101" t="str">
        <f t="shared" si="746"/>
        <v/>
      </c>
      <c r="GG1656" s="101" t="str">
        <f t="shared" si="747"/>
        <v/>
      </c>
      <c r="GH1656" s="101" t="str">
        <f t="shared" si="748"/>
        <v/>
      </c>
      <c r="GI1656" s="101" t="str">
        <f t="shared" si="749"/>
        <v/>
      </c>
      <c r="GJ1656" s="101" t="str">
        <f t="shared" si="750"/>
        <v/>
      </c>
      <c r="GK1656" s="101" t="str">
        <f t="shared" si="751"/>
        <v/>
      </c>
      <c r="GL1656" s="101" t="str">
        <f t="shared" si="752"/>
        <v/>
      </c>
      <c r="GM1656" s="101" t="str">
        <f t="shared" si="753"/>
        <v/>
      </c>
      <c r="GN1656" s="101" t="str">
        <f t="shared" si="754"/>
        <v/>
      </c>
      <c r="GO1656" s="101" t="str">
        <f t="shared" si="755"/>
        <v/>
      </c>
      <c r="GP1656" s="101" t="str">
        <f t="shared" si="756"/>
        <v/>
      </c>
      <c r="GQ1656" s="101" t="str">
        <f t="shared" si="757"/>
        <v/>
      </c>
    </row>
    <row r="1657" spans="175:199" ht="16.5" x14ac:dyDescent="0.2">
      <c r="FS1657" s="101">
        <v>1652</v>
      </c>
      <c r="FT1657" s="101">
        <f t="shared" si="742"/>
        <v>46</v>
      </c>
      <c r="FU1657" s="101">
        <f t="shared" si="735"/>
        <v>21</v>
      </c>
      <c r="FV1657" s="14">
        <f t="shared" si="736"/>
        <v>4</v>
      </c>
      <c r="FW1657" s="101" t="str">
        <f t="shared" si="743"/>
        <v>秦琼专属武器-魂珠-6 1级</v>
      </c>
      <c r="FX1657" s="101">
        <f t="shared" si="744"/>
        <v>6</v>
      </c>
      <c r="FY1657" s="101">
        <f t="shared" si="745"/>
        <v>1</v>
      </c>
      <c r="FZ1657" s="101" t="str">
        <f t="shared" si="737"/>
        <v>金币</v>
      </c>
      <c r="GA1657" s="139">
        <f>IF($FY1657&gt;0,IF(INDEX($EM$6:$EM$77,$FT1657)&gt;=GA$3,ROUND(INDEX(EO$6:EO$77,$FT1657)*INDEX(卡牌消耗!$B$8:$F$8,FV1657)/5,0)*5,""),"")</f>
        <v>2180</v>
      </c>
      <c r="GB1657" s="101" t="str">
        <f t="shared" si="738"/>
        <v>专属强化石3</v>
      </c>
      <c r="GC1657" s="101">
        <f t="shared" si="739"/>
        <v>5</v>
      </c>
      <c r="GD1657" s="101" t="str">
        <f t="shared" si="740"/>
        <v>专属强化石4</v>
      </c>
      <c r="GE1657" s="101">
        <f t="shared" si="741"/>
        <v>1</v>
      </c>
      <c r="GF1657" s="101">
        <f t="shared" si="746"/>
        <v>0.17</v>
      </c>
      <c r="GG1657" s="101">
        <f t="shared" si="747"/>
        <v>1</v>
      </c>
      <c r="GH1657" s="101">
        <f t="shared" si="748"/>
        <v>9</v>
      </c>
      <c r="GI1657" s="101">
        <f t="shared" si="749"/>
        <v>0</v>
      </c>
      <c r="GJ1657" s="101">
        <f t="shared" si="750"/>
        <v>1</v>
      </c>
      <c r="GK1657" s="101">
        <f t="shared" si="751"/>
        <v>2</v>
      </c>
      <c r="GL1657" s="101">
        <f t="shared" si="752"/>
        <v>8.2900000000000001E-2</v>
      </c>
      <c r="GM1657" s="101">
        <f t="shared" si="753"/>
        <v>1</v>
      </c>
      <c r="GN1657" s="101">
        <f t="shared" si="754"/>
        <v>4</v>
      </c>
      <c r="GO1657" s="101">
        <f t="shared" si="755"/>
        <v>0.33139999999999997</v>
      </c>
      <c r="GP1657" s="101">
        <f t="shared" si="756"/>
        <v>1</v>
      </c>
      <c r="GQ1657" s="101">
        <f t="shared" si="757"/>
        <v>9</v>
      </c>
    </row>
    <row r="1658" spans="175:199" ht="16.5" x14ac:dyDescent="0.2">
      <c r="FS1658" s="101">
        <v>1653</v>
      </c>
      <c r="FT1658" s="101">
        <f t="shared" si="742"/>
        <v>47</v>
      </c>
      <c r="FU1658" s="101">
        <f t="shared" si="735"/>
        <v>21</v>
      </c>
      <c r="FV1658" s="14">
        <f t="shared" si="736"/>
        <v>4</v>
      </c>
      <c r="FW1658" s="101" t="str">
        <f t="shared" si="743"/>
        <v>秦琼专属武器-魂珠-6 2级</v>
      </c>
      <c r="FX1658" s="101">
        <f t="shared" si="744"/>
        <v>6</v>
      </c>
      <c r="FY1658" s="101">
        <f t="shared" si="745"/>
        <v>2</v>
      </c>
      <c r="FZ1658" s="101" t="str">
        <f t="shared" si="737"/>
        <v>金币</v>
      </c>
      <c r="GA1658" s="139">
        <f>IF($FY1658&gt;0,IF(INDEX($EM$6:$EM$77,$FT1658)&gt;=GA$3,ROUND(INDEX(EO$6:EO$77,$FT1658)*INDEX(卡牌消耗!$B$8:$F$8,FV1658)/5,0)*5,""),"")</f>
        <v>3270</v>
      </c>
      <c r="GB1658" s="101" t="str">
        <f t="shared" si="738"/>
        <v>专属强化石3</v>
      </c>
      <c r="GC1658" s="101">
        <f t="shared" si="739"/>
        <v>10</v>
      </c>
      <c r="GD1658" s="101" t="str">
        <f t="shared" si="740"/>
        <v>专属强化石4</v>
      </c>
      <c r="GE1658" s="101">
        <f t="shared" si="741"/>
        <v>2</v>
      </c>
      <c r="GF1658" s="101">
        <f t="shared" si="746"/>
        <v>0.17</v>
      </c>
      <c r="GG1658" s="101">
        <f t="shared" si="747"/>
        <v>1</v>
      </c>
      <c r="GH1658" s="101">
        <f t="shared" si="748"/>
        <v>9</v>
      </c>
      <c r="GI1658" s="101">
        <f t="shared" si="749"/>
        <v>0</v>
      </c>
      <c r="GJ1658" s="101">
        <f t="shared" si="750"/>
        <v>1</v>
      </c>
      <c r="GK1658" s="101">
        <f t="shared" si="751"/>
        <v>2</v>
      </c>
      <c r="GL1658" s="101">
        <f t="shared" si="752"/>
        <v>8.2900000000000001E-2</v>
      </c>
      <c r="GM1658" s="101">
        <f t="shared" si="753"/>
        <v>1</v>
      </c>
      <c r="GN1658" s="101">
        <f t="shared" si="754"/>
        <v>4</v>
      </c>
      <c r="GO1658" s="101">
        <f t="shared" si="755"/>
        <v>0.33139999999999997</v>
      </c>
      <c r="GP1658" s="101">
        <f t="shared" si="756"/>
        <v>1</v>
      </c>
      <c r="GQ1658" s="101">
        <f t="shared" si="757"/>
        <v>9</v>
      </c>
    </row>
    <row r="1659" spans="175:199" ht="16.5" x14ac:dyDescent="0.2">
      <c r="FS1659" s="101">
        <v>1654</v>
      </c>
      <c r="FT1659" s="101">
        <f t="shared" si="742"/>
        <v>48</v>
      </c>
      <c r="FU1659" s="101">
        <f t="shared" si="735"/>
        <v>21</v>
      </c>
      <c r="FV1659" s="14">
        <f t="shared" si="736"/>
        <v>4</v>
      </c>
      <c r="FW1659" s="101" t="str">
        <f t="shared" si="743"/>
        <v>秦琼专属武器-魂珠-6 3级</v>
      </c>
      <c r="FX1659" s="101">
        <f t="shared" si="744"/>
        <v>6</v>
      </c>
      <c r="FY1659" s="101">
        <f t="shared" si="745"/>
        <v>3</v>
      </c>
      <c r="FZ1659" s="101" t="str">
        <f t="shared" si="737"/>
        <v>金币</v>
      </c>
      <c r="GA1659" s="139">
        <f>IF($FY1659&gt;0,IF(INDEX($EM$6:$EM$77,$FT1659)&gt;=GA$3,ROUND(INDEX(EO$6:EO$77,$FT1659)*INDEX(卡牌消耗!$B$8:$F$8,FV1659)/5,0)*5,""),"")</f>
        <v>3635</v>
      </c>
      <c r="GB1659" s="101" t="str">
        <f t="shared" si="738"/>
        <v>专属强化石3</v>
      </c>
      <c r="GC1659" s="101">
        <f t="shared" si="739"/>
        <v>10</v>
      </c>
      <c r="GD1659" s="101" t="str">
        <f t="shared" si="740"/>
        <v>专属强化石4</v>
      </c>
      <c r="GE1659" s="101">
        <f t="shared" si="741"/>
        <v>2</v>
      </c>
      <c r="GF1659" s="101">
        <f t="shared" si="746"/>
        <v>0.11</v>
      </c>
      <c r="GG1659" s="101">
        <f t="shared" si="747"/>
        <v>1</v>
      </c>
      <c r="GH1659" s="101">
        <f t="shared" si="748"/>
        <v>14</v>
      </c>
      <c r="GI1659" s="101">
        <f t="shared" si="749"/>
        <v>0</v>
      </c>
      <c r="GJ1659" s="101">
        <f t="shared" si="750"/>
        <v>1</v>
      </c>
      <c r="GK1659" s="101">
        <f t="shared" si="751"/>
        <v>3</v>
      </c>
      <c r="GL1659" s="101">
        <f t="shared" si="752"/>
        <v>5.5199999999999999E-2</v>
      </c>
      <c r="GM1659" s="101">
        <f t="shared" si="753"/>
        <v>1</v>
      </c>
      <c r="GN1659" s="101">
        <f t="shared" si="754"/>
        <v>6</v>
      </c>
      <c r="GO1659" s="101">
        <f t="shared" si="755"/>
        <v>0.221</v>
      </c>
      <c r="GP1659" s="101">
        <f t="shared" si="756"/>
        <v>1</v>
      </c>
      <c r="GQ1659" s="101">
        <f t="shared" si="757"/>
        <v>14</v>
      </c>
    </row>
    <row r="1660" spans="175:199" ht="16.5" x14ac:dyDescent="0.2">
      <c r="FS1660" s="101">
        <v>1655</v>
      </c>
      <c r="FT1660" s="101">
        <f t="shared" si="742"/>
        <v>49</v>
      </c>
      <c r="FU1660" s="101">
        <f t="shared" si="735"/>
        <v>21</v>
      </c>
      <c r="FV1660" s="14">
        <f t="shared" si="736"/>
        <v>4</v>
      </c>
      <c r="FW1660" s="101" t="str">
        <f t="shared" si="743"/>
        <v>秦琼专属武器-魂珠-6 4级</v>
      </c>
      <c r="FX1660" s="101">
        <f t="shared" si="744"/>
        <v>6</v>
      </c>
      <c r="FY1660" s="101">
        <f t="shared" si="745"/>
        <v>4</v>
      </c>
      <c r="FZ1660" s="101" t="str">
        <f t="shared" si="737"/>
        <v>金币</v>
      </c>
      <c r="GA1660" s="139">
        <f>IF($FY1660&gt;0,IF(INDEX($EM$6:$EM$77,$FT1660)&gt;=GA$3,ROUND(INDEX(EO$6:EO$77,$FT1660)*INDEX(卡牌消耗!$B$8:$F$8,FV1660)/5,0)*5,""),"")</f>
        <v>5235</v>
      </c>
      <c r="GB1660" s="101" t="str">
        <f t="shared" si="738"/>
        <v>专属强化石3</v>
      </c>
      <c r="GC1660" s="101">
        <f t="shared" si="739"/>
        <v>15</v>
      </c>
      <c r="GD1660" s="101" t="str">
        <f t="shared" si="740"/>
        <v>专属强化石4</v>
      </c>
      <c r="GE1660" s="101">
        <f t="shared" si="741"/>
        <v>3</v>
      </c>
      <c r="GF1660" s="101">
        <f t="shared" si="746"/>
        <v>0.1</v>
      </c>
      <c r="GG1660" s="101">
        <f t="shared" si="747"/>
        <v>1</v>
      </c>
      <c r="GH1660" s="101">
        <f t="shared" si="748"/>
        <v>15</v>
      </c>
      <c r="GI1660" s="101">
        <f t="shared" si="749"/>
        <v>0</v>
      </c>
      <c r="GJ1660" s="101">
        <f t="shared" si="750"/>
        <v>1</v>
      </c>
      <c r="GK1660" s="101">
        <f t="shared" si="751"/>
        <v>4</v>
      </c>
      <c r="GL1660" s="101">
        <f t="shared" si="752"/>
        <v>4.9700000000000001E-2</v>
      </c>
      <c r="GM1660" s="101">
        <f t="shared" si="753"/>
        <v>1</v>
      </c>
      <c r="GN1660" s="101">
        <f t="shared" si="754"/>
        <v>7</v>
      </c>
      <c r="GO1660" s="101">
        <f t="shared" si="755"/>
        <v>0.19889999999999999</v>
      </c>
      <c r="GP1660" s="101">
        <f t="shared" si="756"/>
        <v>1</v>
      </c>
      <c r="GQ1660" s="101">
        <f t="shared" si="757"/>
        <v>15</v>
      </c>
    </row>
    <row r="1661" spans="175:199" ht="16.5" x14ac:dyDescent="0.2">
      <c r="FS1661" s="101">
        <v>1656</v>
      </c>
      <c r="FT1661" s="101">
        <f t="shared" si="742"/>
        <v>50</v>
      </c>
      <c r="FU1661" s="101">
        <f t="shared" si="735"/>
        <v>21</v>
      </c>
      <c r="FV1661" s="14">
        <f t="shared" si="736"/>
        <v>4</v>
      </c>
      <c r="FW1661" s="101" t="str">
        <f t="shared" si="743"/>
        <v>秦琼专属武器-魂珠-6 5级</v>
      </c>
      <c r="FX1661" s="101">
        <f t="shared" si="744"/>
        <v>6</v>
      </c>
      <c r="FY1661" s="101">
        <f t="shared" si="745"/>
        <v>5</v>
      </c>
      <c r="FZ1661" s="101" t="str">
        <f t="shared" si="737"/>
        <v>金币</v>
      </c>
      <c r="GA1661" s="139">
        <f>IF($FY1661&gt;0,IF(INDEX($EM$6:$EM$77,$FT1661)&gt;=GA$3,ROUND(INDEX(EO$6:EO$77,$FT1661)*INDEX(卡牌消耗!$B$8:$F$8,FV1661)/5,0)*5,""),"")</f>
        <v>5315</v>
      </c>
      <c r="GB1661" s="101" t="str">
        <f t="shared" si="738"/>
        <v>专属强化石3</v>
      </c>
      <c r="GC1661" s="101">
        <f t="shared" si="739"/>
        <v>15</v>
      </c>
      <c r="GD1661" s="101" t="str">
        <f t="shared" si="740"/>
        <v>专属强化石4</v>
      </c>
      <c r="GE1661" s="101">
        <f t="shared" si="741"/>
        <v>3</v>
      </c>
      <c r="GF1661" s="101">
        <f t="shared" si="746"/>
        <v>0.06</v>
      </c>
      <c r="GG1661" s="101">
        <f t="shared" si="747"/>
        <v>1</v>
      </c>
      <c r="GH1661" s="101">
        <f t="shared" si="748"/>
        <v>24</v>
      </c>
      <c r="GI1661" s="101">
        <f t="shared" si="749"/>
        <v>0</v>
      </c>
      <c r="GJ1661" s="101">
        <f t="shared" si="750"/>
        <v>1</v>
      </c>
      <c r="GK1661" s="101">
        <f t="shared" si="751"/>
        <v>6</v>
      </c>
      <c r="GL1661" s="101">
        <f t="shared" si="752"/>
        <v>3.1099999999999999E-2</v>
      </c>
      <c r="GM1661" s="101">
        <f t="shared" si="753"/>
        <v>1</v>
      </c>
      <c r="GN1661" s="101">
        <f t="shared" si="754"/>
        <v>11</v>
      </c>
      <c r="GO1661" s="101">
        <f t="shared" si="755"/>
        <v>0.12429999999999999</v>
      </c>
      <c r="GP1661" s="101">
        <f t="shared" si="756"/>
        <v>1</v>
      </c>
      <c r="GQ1661" s="101">
        <f t="shared" si="757"/>
        <v>24</v>
      </c>
    </row>
    <row r="1662" spans="175:199" ht="16.5" x14ac:dyDescent="0.2">
      <c r="FS1662" s="101">
        <v>1657</v>
      </c>
      <c r="FT1662" s="101">
        <f t="shared" si="742"/>
        <v>51</v>
      </c>
      <c r="FU1662" s="101">
        <f t="shared" si="735"/>
        <v>21</v>
      </c>
      <c r="FV1662" s="14">
        <f t="shared" si="736"/>
        <v>4</v>
      </c>
      <c r="FW1662" s="101" t="str">
        <f t="shared" si="743"/>
        <v>秦琼专属武器-魂珠-6 6级</v>
      </c>
      <c r="FX1662" s="101">
        <f t="shared" si="744"/>
        <v>6</v>
      </c>
      <c r="FY1662" s="101">
        <f t="shared" si="745"/>
        <v>6</v>
      </c>
      <c r="FZ1662" s="101" t="str">
        <f t="shared" si="737"/>
        <v>金币</v>
      </c>
      <c r="GA1662" s="139">
        <f>IF($FY1662&gt;0,IF(INDEX($EM$6:$EM$77,$FT1662)&gt;=GA$3,ROUND(INDEX(EO$6:EO$77,$FT1662)*INDEX(卡牌消耗!$B$8:$F$8,FV1662)/5,0)*5,""),"")</f>
        <v>7045</v>
      </c>
      <c r="GB1662" s="101" t="str">
        <f t="shared" si="738"/>
        <v>专属强化石3</v>
      </c>
      <c r="GC1662" s="101">
        <f t="shared" si="739"/>
        <v>20</v>
      </c>
      <c r="GD1662" s="101" t="str">
        <f t="shared" si="740"/>
        <v>专属强化石4</v>
      </c>
      <c r="GE1662" s="101">
        <f t="shared" si="741"/>
        <v>4</v>
      </c>
      <c r="GF1662" s="101">
        <f t="shared" si="746"/>
        <v>0.05</v>
      </c>
      <c r="GG1662" s="101">
        <f t="shared" si="747"/>
        <v>1</v>
      </c>
      <c r="GH1662" s="101">
        <f t="shared" si="748"/>
        <v>29</v>
      </c>
      <c r="GI1662" s="101">
        <f t="shared" si="749"/>
        <v>0</v>
      </c>
      <c r="GJ1662" s="101">
        <f t="shared" si="750"/>
        <v>1</v>
      </c>
      <c r="GK1662" s="101">
        <f t="shared" si="751"/>
        <v>7</v>
      </c>
      <c r="GL1662" s="101">
        <f t="shared" si="752"/>
        <v>2.5499999999999998E-2</v>
      </c>
      <c r="GM1662" s="101">
        <f t="shared" si="753"/>
        <v>1</v>
      </c>
      <c r="GN1662" s="101">
        <f t="shared" si="754"/>
        <v>14</v>
      </c>
      <c r="GO1662" s="101">
        <f t="shared" si="755"/>
        <v>0.10199999999999999</v>
      </c>
      <c r="GP1662" s="101">
        <f t="shared" si="756"/>
        <v>1</v>
      </c>
      <c r="GQ1662" s="101">
        <f t="shared" si="757"/>
        <v>29</v>
      </c>
    </row>
    <row r="1663" spans="175:199" ht="16.5" x14ac:dyDescent="0.2">
      <c r="FS1663" s="101">
        <v>1658</v>
      </c>
      <c r="FT1663" s="101">
        <f t="shared" si="742"/>
        <v>52</v>
      </c>
      <c r="FU1663" s="101">
        <f t="shared" si="735"/>
        <v>21</v>
      </c>
      <c r="FV1663" s="14">
        <f t="shared" si="736"/>
        <v>4</v>
      </c>
      <c r="FW1663" s="101" t="str">
        <f t="shared" si="743"/>
        <v>秦琼专属武器-魂珠-6 7级</v>
      </c>
      <c r="FX1663" s="101">
        <f t="shared" si="744"/>
        <v>6</v>
      </c>
      <c r="FY1663" s="101">
        <f t="shared" si="745"/>
        <v>7</v>
      </c>
      <c r="FZ1663" s="101" t="str">
        <f t="shared" si="737"/>
        <v>金币</v>
      </c>
      <c r="GA1663" s="139">
        <f>IF($FY1663&gt;0,IF(INDEX($EM$6:$EM$77,$FT1663)&gt;=GA$3,ROUND(INDEX(EO$6:EO$77,$FT1663)*INDEX(卡牌消耗!$B$8:$F$8,FV1663)/5,0)*5,""),"")</f>
        <v>8830</v>
      </c>
      <c r="GB1663" s="101" t="str">
        <f t="shared" si="738"/>
        <v>专属强化石3</v>
      </c>
      <c r="GC1663" s="101">
        <f t="shared" si="739"/>
        <v>25</v>
      </c>
      <c r="GD1663" s="101" t="str">
        <f t="shared" si="740"/>
        <v>专属强化石4</v>
      </c>
      <c r="GE1663" s="101">
        <f t="shared" si="741"/>
        <v>5</v>
      </c>
      <c r="GF1663" s="101">
        <f t="shared" si="746"/>
        <v>0.04</v>
      </c>
      <c r="GG1663" s="101">
        <f t="shared" si="747"/>
        <v>1</v>
      </c>
      <c r="GH1663" s="101">
        <f t="shared" si="748"/>
        <v>38</v>
      </c>
      <c r="GI1663" s="101">
        <f t="shared" si="749"/>
        <v>0</v>
      </c>
      <c r="GJ1663" s="101">
        <f t="shared" si="750"/>
        <v>1</v>
      </c>
      <c r="GK1663" s="101">
        <f t="shared" si="751"/>
        <v>9</v>
      </c>
      <c r="GL1663" s="101">
        <f t="shared" si="752"/>
        <v>1.9699999999999999E-2</v>
      </c>
      <c r="GM1663" s="101">
        <f t="shared" si="753"/>
        <v>1</v>
      </c>
      <c r="GN1663" s="101">
        <f t="shared" si="754"/>
        <v>18</v>
      </c>
      <c r="GO1663" s="101">
        <f t="shared" si="755"/>
        <v>7.8899999999999998E-2</v>
      </c>
      <c r="GP1663" s="101">
        <f t="shared" si="756"/>
        <v>1</v>
      </c>
      <c r="GQ1663" s="101">
        <f t="shared" si="757"/>
        <v>38</v>
      </c>
    </row>
    <row r="1664" spans="175:199" ht="16.5" x14ac:dyDescent="0.2">
      <c r="FS1664" s="101">
        <v>1659</v>
      </c>
      <c r="FT1664" s="101">
        <f t="shared" si="742"/>
        <v>53</v>
      </c>
      <c r="FU1664" s="101">
        <f t="shared" si="735"/>
        <v>21</v>
      </c>
      <c r="FV1664" s="14">
        <f t="shared" si="736"/>
        <v>4</v>
      </c>
      <c r="FW1664" s="101" t="str">
        <f t="shared" si="743"/>
        <v>秦琼专属武器-魂珠-6 8级</v>
      </c>
      <c r="FX1664" s="101">
        <f t="shared" si="744"/>
        <v>6</v>
      </c>
      <c r="FY1664" s="101">
        <f t="shared" si="745"/>
        <v>8</v>
      </c>
      <c r="FZ1664" s="101" t="str">
        <f t="shared" si="737"/>
        <v>金币</v>
      </c>
      <c r="GA1664" s="139">
        <f>IF($FY1664&gt;0,IF(INDEX($EM$6:$EM$77,$FT1664)&gt;=GA$3,ROUND(INDEX(EO$6:EO$77,$FT1664)*INDEX(卡牌消耗!$B$8:$F$8,FV1664)/5,0)*5,""),"")</f>
        <v>12350</v>
      </c>
      <c r="GB1664" s="101" t="str">
        <f t="shared" si="738"/>
        <v>专属强化石3</v>
      </c>
      <c r="GC1664" s="101">
        <f t="shared" si="739"/>
        <v>35</v>
      </c>
      <c r="GD1664" s="101" t="str">
        <f t="shared" si="740"/>
        <v>专属强化石4</v>
      </c>
      <c r="GE1664" s="101">
        <f t="shared" si="741"/>
        <v>7</v>
      </c>
      <c r="GF1664" s="101">
        <f t="shared" si="746"/>
        <v>0.03</v>
      </c>
      <c r="GG1664" s="101">
        <f t="shared" si="747"/>
        <v>1</v>
      </c>
      <c r="GH1664" s="101">
        <f t="shared" si="748"/>
        <v>44</v>
      </c>
      <c r="GI1664" s="101">
        <f t="shared" si="749"/>
        <v>0</v>
      </c>
      <c r="GJ1664" s="101">
        <f t="shared" si="750"/>
        <v>1</v>
      </c>
      <c r="GK1664" s="101">
        <f t="shared" si="751"/>
        <v>10</v>
      </c>
      <c r="GL1664" s="101">
        <f t="shared" si="752"/>
        <v>1.7100000000000001E-2</v>
      </c>
      <c r="GM1664" s="101">
        <f t="shared" si="753"/>
        <v>1</v>
      </c>
      <c r="GN1664" s="101">
        <f t="shared" si="754"/>
        <v>21</v>
      </c>
      <c r="GO1664" s="101">
        <f t="shared" si="755"/>
        <v>6.8199999999999997E-2</v>
      </c>
      <c r="GP1664" s="101">
        <f t="shared" si="756"/>
        <v>1</v>
      </c>
      <c r="GQ1664" s="101">
        <f t="shared" si="757"/>
        <v>44</v>
      </c>
    </row>
    <row r="1665" spans="175:199" ht="16.5" x14ac:dyDescent="0.2">
      <c r="FS1665" s="101">
        <v>1660</v>
      </c>
      <c r="FT1665" s="101">
        <f t="shared" si="742"/>
        <v>54</v>
      </c>
      <c r="FU1665" s="101">
        <f t="shared" si="735"/>
        <v>21</v>
      </c>
      <c r="FV1665" s="14">
        <f t="shared" si="736"/>
        <v>4</v>
      </c>
      <c r="FW1665" s="101" t="str">
        <f t="shared" si="743"/>
        <v>秦琼专属武器-魂珠-6 9级</v>
      </c>
      <c r="FX1665" s="101">
        <f t="shared" si="744"/>
        <v>6</v>
      </c>
      <c r="FY1665" s="101">
        <f t="shared" si="745"/>
        <v>9</v>
      </c>
      <c r="FZ1665" s="101" t="str">
        <f t="shared" si="737"/>
        <v>金币</v>
      </c>
      <c r="GA1665" s="139">
        <f>IF($FY1665&gt;0,IF(INDEX($EM$6:$EM$77,$FT1665)&gt;=GA$3,ROUND(INDEX(EO$6:EO$77,$FT1665)*INDEX(卡牌消耗!$B$8:$F$8,FV1665)/5,0)*5,""),"")</f>
        <v>14120</v>
      </c>
      <c r="GB1665" s="101" t="str">
        <f t="shared" si="738"/>
        <v>专属强化石3</v>
      </c>
      <c r="GC1665" s="101">
        <f t="shared" si="739"/>
        <v>40</v>
      </c>
      <c r="GD1665" s="101" t="str">
        <f t="shared" si="740"/>
        <v>专属强化石4</v>
      </c>
      <c r="GE1665" s="101">
        <f t="shared" si="741"/>
        <v>8</v>
      </c>
      <c r="GF1665" s="101">
        <f t="shared" si="746"/>
        <v>0.02</v>
      </c>
      <c r="GG1665" s="101">
        <f t="shared" si="747"/>
        <v>1</v>
      </c>
      <c r="GH1665" s="101">
        <f t="shared" si="748"/>
        <v>62</v>
      </c>
      <c r="GI1665" s="101">
        <f t="shared" si="749"/>
        <v>0</v>
      </c>
      <c r="GJ1665" s="101">
        <f t="shared" si="750"/>
        <v>1</v>
      </c>
      <c r="GK1665" s="101">
        <f t="shared" si="751"/>
        <v>15</v>
      </c>
      <c r="GL1665" s="101">
        <f t="shared" si="752"/>
        <v>1.21E-2</v>
      </c>
      <c r="GM1665" s="101">
        <f t="shared" si="753"/>
        <v>1</v>
      </c>
      <c r="GN1665" s="101">
        <f t="shared" si="754"/>
        <v>29</v>
      </c>
      <c r="GO1665" s="101">
        <f t="shared" si="755"/>
        <v>4.82E-2</v>
      </c>
      <c r="GP1665" s="101">
        <f t="shared" si="756"/>
        <v>1</v>
      </c>
      <c r="GQ1665" s="101">
        <f t="shared" si="757"/>
        <v>62</v>
      </c>
    </row>
    <row r="1666" spans="175:199" ht="16.5" x14ac:dyDescent="0.2">
      <c r="FS1666" s="101">
        <v>1661</v>
      </c>
      <c r="FT1666" s="101">
        <f t="shared" si="742"/>
        <v>0</v>
      </c>
      <c r="FU1666" s="101">
        <f t="shared" si="735"/>
        <v>21</v>
      </c>
      <c r="FV1666" s="14">
        <f t="shared" si="736"/>
        <v>4</v>
      </c>
      <c r="FW1666" s="101" t="str">
        <f t="shared" si="743"/>
        <v>秦琼专属武器-魂珠-7 0级</v>
      </c>
      <c r="FX1666" s="101">
        <f t="shared" si="744"/>
        <v>7</v>
      </c>
      <c r="FY1666" s="101">
        <f t="shared" si="745"/>
        <v>0</v>
      </c>
      <c r="FZ1666" s="101" t="str">
        <f t="shared" si="737"/>
        <v/>
      </c>
      <c r="GA1666" s="139" t="str">
        <f>IF($FY1666&gt;0,IF(INDEX($EM$6:$EM$77,$FT1666)&gt;=GA$3,ROUND(INDEX(EO$6:EO$77,$FT1666)*INDEX(卡牌消耗!$B$8:$F$8,FV1666)/5,0)*5,""),"")</f>
        <v/>
      </c>
      <c r="GB1666" s="101" t="str">
        <f t="shared" si="738"/>
        <v/>
      </c>
      <c r="GC1666" s="101" t="str">
        <f t="shared" si="739"/>
        <v/>
      </c>
      <c r="GD1666" s="101" t="str">
        <f t="shared" si="740"/>
        <v/>
      </c>
      <c r="GE1666" s="101" t="str">
        <f t="shared" si="741"/>
        <v/>
      </c>
      <c r="GF1666" s="101" t="str">
        <f t="shared" si="746"/>
        <v/>
      </c>
      <c r="GG1666" s="101" t="str">
        <f t="shared" si="747"/>
        <v/>
      </c>
      <c r="GH1666" s="101" t="str">
        <f t="shared" si="748"/>
        <v/>
      </c>
      <c r="GI1666" s="101" t="str">
        <f t="shared" si="749"/>
        <v/>
      </c>
      <c r="GJ1666" s="101" t="str">
        <f t="shared" si="750"/>
        <v/>
      </c>
      <c r="GK1666" s="101" t="str">
        <f t="shared" si="751"/>
        <v/>
      </c>
      <c r="GL1666" s="101" t="str">
        <f t="shared" si="752"/>
        <v/>
      </c>
      <c r="GM1666" s="101" t="str">
        <f t="shared" si="753"/>
        <v/>
      </c>
      <c r="GN1666" s="101" t="str">
        <f t="shared" si="754"/>
        <v/>
      </c>
      <c r="GO1666" s="101" t="str">
        <f t="shared" si="755"/>
        <v/>
      </c>
      <c r="GP1666" s="101" t="str">
        <f t="shared" si="756"/>
        <v/>
      </c>
      <c r="GQ1666" s="101" t="str">
        <f t="shared" si="757"/>
        <v/>
      </c>
    </row>
    <row r="1667" spans="175:199" ht="16.5" x14ac:dyDescent="0.2">
      <c r="FS1667" s="101">
        <v>1662</v>
      </c>
      <c r="FT1667" s="101">
        <f t="shared" si="742"/>
        <v>55</v>
      </c>
      <c r="FU1667" s="101">
        <f t="shared" si="735"/>
        <v>21</v>
      </c>
      <c r="FV1667" s="14">
        <f t="shared" si="736"/>
        <v>4</v>
      </c>
      <c r="FW1667" s="101" t="str">
        <f t="shared" si="743"/>
        <v>秦琼专属武器-魂珠-7 1级</v>
      </c>
      <c r="FX1667" s="101">
        <f t="shared" si="744"/>
        <v>7</v>
      </c>
      <c r="FY1667" s="101">
        <f t="shared" si="745"/>
        <v>1</v>
      </c>
      <c r="FZ1667" s="101" t="str">
        <f t="shared" si="737"/>
        <v>金币</v>
      </c>
      <c r="GA1667" s="139">
        <f>IF($FY1667&gt;0,IF(INDEX($EM$6:$EM$77,$FT1667)&gt;=GA$3,ROUND(INDEX(EO$6:EO$77,$FT1667)*INDEX(卡牌消耗!$B$8:$F$8,FV1667)/5,0)*5,""),"")</f>
        <v>7615</v>
      </c>
      <c r="GB1667" s="101" t="str">
        <f t="shared" si="738"/>
        <v>专属强化石3</v>
      </c>
      <c r="GC1667" s="101">
        <f t="shared" si="739"/>
        <v>6</v>
      </c>
      <c r="GD1667" s="101" t="str">
        <f t="shared" si="740"/>
        <v>专属强化石4</v>
      </c>
      <c r="GE1667" s="101">
        <f t="shared" si="741"/>
        <v>2</v>
      </c>
      <c r="GF1667" s="101">
        <f t="shared" si="746"/>
        <v>0.2</v>
      </c>
      <c r="GG1667" s="101">
        <f t="shared" si="747"/>
        <v>1</v>
      </c>
      <c r="GH1667" s="101">
        <f t="shared" si="748"/>
        <v>8</v>
      </c>
      <c r="GI1667" s="101">
        <f t="shared" si="749"/>
        <v>0</v>
      </c>
      <c r="GJ1667" s="101">
        <f t="shared" si="750"/>
        <v>1</v>
      </c>
      <c r="GK1667" s="101">
        <f t="shared" si="751"/>
        <v>2</v>
      </c>
      <c r="GL1667" s="101">
        <f t="shared" si="752"/>
        <v>9.9400000000000002E-2</v>
      </c>
      <c r="GM1667" s="101">
        <f t="shared" si="753"/>
        <v>1</v>
      </c>
      <c r="GN1667" s="101">
        <f t="shared" si="754"/>
        <v>4</v>
      </c>
      <c r="GO1667" s="101">
        <f t="shared" si="755"/>
        <v>0.3977</v>
      </c>
      <c r="GP1667" s="101">
        <f t="shared" si="756"/>
        <v>1</v>
      </c>
      <c r="GQ1667" s="101">
        <f t="shared" si="757"/>
        <v>8</v>
      </c>
    </row>
    <row r="1668" spans="175:199" ht="16.5" x14ac:dyDescent="0.2">
      <c r="FS1668" s="101">
        <v>1663</v>
      </c>
      <c r="FT1668" s="101">
        <f t="shared" si="742"/>
        <v>56</v>
      </c>
      <c r="FU1668" s="101">
        <f t="shared" si="735"/>
        <v>21</v>
      </c>
      <c r="FV1668" s="14">
        <f t="shared" si="736"/>
        <v>4</v>
      </c>
      <c r="FW1668" s="101" t="str">
        <f t="shared" si="743"/>
        <v>秦琼专属武器-魂珠-7 2级</v>
      </c>
      <c r="FX1668" s="101">
        <f t="shared" si="744"/>
        <v>7</v>
      </c>
      <c r="FY1668" s="101">
        <f t="shared" si="745"/>
        <v>2</v>
      </c>
      <c r="FZ1668" s="101" t="str">
        <f t="shared" si="737"/>
        <v>金币</v>
      </c>
      <c r="GA1668" s="139">
        <f>IF($FY1668&gt;0,IF(INDEX($EM$6:$EM$77,$FT1668)&gt;=GA$3,ROUND(INDEX(EO$6:EO$77,$FT1668)*INDEX(卡牌消耗!$B$8:$F$8,FV1668)/5,0)*5,""),"")</f>
        <v>5710</v>
      </c>
      <c r="GB1668" s="101" t="str">
        <f t="shared" si="738"/>
        <v>专属强化石3</v>
      </c>
      <c r="GC1668" s="101">
        <f t="shared" si="739"/>
        <v>6</v>
      </c>
      <c r="GD1668" s="101" t="str">
        <f t="shared" si="740"/>
        <v>专属强化石4</v>
      </c>
      <c r="GE1668" s="101">
        <f t="shared" si="741"/>
        <v>2</v>
      </c>
      <c r="GF1668" s="101">
        <f t="shared" si="746"/>
        <v>0.1</v>
      </c>
      <c r="GG1668" s="101">
        <f t="shared" si="747"/>
        <v>1</v>
      </c>
      <c r="GH1668" s="101">
        <f t="shared" si="748"/>
        <v>15</v>
      </c>
      <c r="GI1668" s="101">
        <f t="shared" si="749"/>
        <v>0</v>
      </c>
      <c r="GJ1668" s="101">
        <f t="shared" si="750"/>
        <v>1</v>
      </c>
      <c r="GK1668" s="101">
        <f t="shared" si="751"/>
        <v>4</v>
      </c>
      <c r="GL1668" s="101">
        <f t="shared" si="752"/>
        <v>4.9700000000000001E-2</v>
      </c>
      <c r="GM1668" s="101">
        <f t="shared" si="753"/>
        <v>1</v>
      </c>
      <c r="GN1668" s="101">
        <f t="shared" si="754"/>
        <v>7</v>
      </c>
      <c r="GO1668" s="101">
        <f t="shared" si="755"/>
        <v>0.19889999999999999</v>
      </c>
      <c r="GP1668" s="101">
        <f t="shared" si="756"/>
        <v>1</v>
      </c>
      <c r="GQ1668" s="101">
        <f t="shared" si="757"/>
        <v>15</v>
      </c>
    </row>
    <row r="1669" spans="175:199" ht="16.5" x14ac:dyDescent="0.2">
      <c r="FS1669" s="101">
        <v>1664</v>
      </c>
      <c r="FT1669" s="101">
        <f t="shared" si="742"/>
        <v>57</v>
      </c>
      <c r="FU1669" s="101">
        <f t="shared" si="735"/>
        <v>21</v>
      </c>
      <c r="FV1669" s="14">
        <f t="shared" si="736"/>
        <v>4</v>
      </c>
      <c r="FW1669" s="101" t="str">
        <f t="shared" si="743"/>
        <v>秦琼专属武器-魂珠-7 3级</v>
      </c>
      <c r="FX1669" s="101">
        <f t="shared" si="744"/>
        <v>7</v>
      </c>
      <c r="FY1669" s="101">
        <f t="shared" si="745"/>
        <v>3</v>
      </c>
      <c r="FZ1669" s="101" t="str">
        <f t="shared" si="737"/>
        <v>金币</v>
      </c>
      <c r="GA1669" s="139">
        <f>IF($FY1669&gt;0,IF(INDEX($EM$6:$EM$77,$FT1669)&gt;=GA$3,ROUND(INDEX(EO$6:EO$77,$FT1669)*INDEX(卡牌消耗!$B$8:$F$8,FV1669)/5,0)*5,""),"")</f>
        <v>9520</v>
      </c>
      <c r="GB1669" s="101" t="str">
        <f t="shared" si="738"/>
        <v>专属强化石3</v>
      </c>
      <c r="GC1669" s="101">
        <f t="shared" si="739"/>
        <v>9</v>
      </c>
      <c r="GD1669" s="101" t="str">
        <f t="shared" si="740"/>
        <v>专属强化石4</v>
      </c>
      <c r="GE1669" s="101">
        <f t="shared" si="741"/>
        <v>3</v>
      </c>
      <c r="GF1669" s="101">
        <f t="shared" si="746"/>
        <v>0.1</v>
      </c>
      <c r="GG1669" s="101">
        <f t="shared" si="747"/>
        <v>1</v>
      </c>
      <c r="GH1669" s="101">
        <f t="shared" si="748"/>
        <v>15</v>
      </c>
      <c r="GI1669" s="101">
        <f t="shared" si="749"/>
        <v>0</v>
      </c>
      <c r="GJ1669" s="101">
        <f t="shared" si="750"/>
        <v>1</v>
      </c>
      <c r="GK1669" s="101">
        <f t="shared" si="751"/>
        <v>4</v>
      </c>
      <c r="GL1669" s="101">
        <f t="shared" si="752"/>
        <v>4.9700000000000001E-2</v>
      </c>
      <c r="GM1669" s="101">
        <f t="shared" si="753"/>
        <v>1</v>
      </c>
      <c r="GN1669" s="101">
        <f t="shared" si="754"/>
        <v>7</v>
      </c>
      <c r="GO1669" s="101">
        <f t="shared" si="755"/>
        <v>0.19889999999999999</v>
      </c>
      <c r="GP1669" s="101">
        <f t="shared" si="756"/>
        <v>1</v>
      </c>
      <c r="GQ1669" s="101">
        <f t="shared" si="757"/>
        <v>15</v>
      </c>
    </row>
    <row r="1670" spans="175:199" ht="16.5" x14ac:dyDescent="0.2">
      <c r="FS1670" s="101">
        <v>1665</v>
      </c>
      <c r="FT1670" s="101">
        <f t="shared" si="742"/>
        <v>58</v>
      </c>
      <c r="FU1670" s="101">
        <f t="shared" si="735"/>
        <v>21</v>
      </c>
      <c r="FV1670" s="14">
        <f t="shared" si="736"/>
        <v>4</v>
      </c>
      <c r="FW1670" s="101" t="str">
        <f t="shared" si="743"/>
        <v>秦琼专属武器-魂珠-7 4级</v>
      </c>
      <c r="FX1670" s="101">
        <f t="shared" si="744"/>
        <v>7</v>
      </c>
      <c r="FY1670" s="101">
        <f t="shared" si="745"/>
        <v>4</v>
      </c>
      <c r="FZ1670" s="101" t="str">
        <f t="shared" si="737"/>
        <v>金币</v>
      </c>
      <c r="GA1670" s="139">
        <f>IF($FY1670&gt;0,IF(INDEX($EM$6:$EM$77,$FT1670)&gt;=GA$3,ROUND(INDEX(EO$6:EO$77,$FT1670)*INDEX(卡牌消耗!$B$8:$F$8,FV1670)/5,0)*5,""),"")</f>
        <v>12185</v>
      </c>
      <c r="GB1670" s="101" t="str">
        <f t="shared" si="738"/>
        <v>专属强化石3</v>
      </c>
      <c r="GC1670" s="101">
        <f t="shared" si="739"/>
        <v>12</v>
      </c>
      <c r="GD1670" s="101" t="str">
        <f t="shared" si="740"/>
        <v>专属强化石4</v>
      </c>
      <c r="GE1670" s="101">
        <f t="shared" si="741"/>
        <v>4</v>
      </c>
      <c r="GF1670" s="101">
        <f t="shared" si="746"/>
        <v>0.08</v>
      </c>
      <c r="GG1670" s="101">
        <f t="shared" si="747"/>
        <v>1</v>
      </c>
      <c r="GH1670" s="101">
        <f t="shared" si="748"/>
        <v>19</v>
      </c>
      <c r="GI1670" s="101">
        <f t="shared" si="749"/>
        <v>0</v>
      </c>
      <c r="GJ1670" s="101">
        <f t="shared" si="750"/>
        <v>1</v>
      </c>
      <c r="GK1670" s="101">
        <f t="shared" si="751"/>
        <v>4</v>
      </c>
      <c r="GL1670" s="101">
        <f t="shared" si="752"/>
        <v>3.9800000000000002E-2</v>
      </c>
      <c r="GM1670" s="101">
        <f t="shared" si="753"/>
        <v>1</v>
      </c>
      <c r="GN1670" s="101">
        <f t="shared" si="754"/>
        <v>9</v>
      </c>
      <c r="GO1670" s="101">
        <f t="shared" si="755"/>
        <v>0.15909999999999999</v>
      </c>
      <c r="GP1670" s="101">
        <f t="shared" si="756"/>
        <v>1</v>
      </c>
      <c r="GQ1670" s="101">
        <f t="shared" si="757"/>
        <v>19</v>
      </c>
    </row>
    <row r="1671" spans="175:199" ht="16.5" x14ac:dyDescent="0.2">
      <c r="FS1671" s="101">
        <v>1666</v>
      </c>
      <c r="FT1671" s="101">
        <f t="shared" si="742"/>
        <v>59</v>
      </c>
      <c r="FU1671" s="101">
        <f t="shared" ref="FU1671:FU1685" si="758">INT((FS1671-1)/80+1)</f>
        <v>21</v>
      </c>
      <c r="FV1671" s="14">
        <f t="shared" ref="FV1671:FV1685" si="759">INDEX($FO$6:$FO$26,FU1671)</f>
        <v>4</v>
      </c>
      <c r="FW1671" s="101" t="str">
        <f t="shared" si="743"/>
        <v>秦琼专属武器-魂珠-7 5级</v>
      </c>
      <c r="FX1671" s="101">
        <f t="shared" si="744"/>
        <v>7</v>
      </c>
      <c r="FY1671" s="101">
        <f t="shared" si="745"/>
        <v>5</v>
      </c>
      <c r="FZ1671" s="101" t="str">
        <f t="shared" ref="FZ1671:FZ1685" si="760">IF($FY1671&gt;0,IF(INDEX($EM$6:$EM$77,$FT1671)&gt;=FZ$3,INDEX(EN$6:EN$77,$FT1671),""),"")</f>
        <v>金币</v>
      </c>
      <c r="GA1671" s="139">
        <f>IF($FY1671&gt;0,IF(INDEX($EM$6:$EM$77,$FT1671)&gt;=GA$3,ROUND(INDEX(EO$6:EO$77,$FT1671)*INDEX(卡牌消耗!$B$8:$F$8,FV1671)/5,0)*5,""),"")</f>
        <v>12375</v>
      </c>
      <c r="GB1671" s="101" t="str">
        <f t="shared" ref="GB1671:GB1685" si="761">IF($FY1671&gt;0,IF(INDEX($EM$6:$EM$77,$FT1671)&gt;=GB$3,INDEX(EP$6:EP$77,$FT1671),""),"")</f>
        <v>专属强化石3</v>
      </c>
      <c r="GC1671" s="101">
        <f t="shared" ref="GC1671:GC1685" si="762">IF($FY1671&gt;0,IF(INDEX($EM$6:$EM$77,$FT1671)&gt;=GC$3,INDEX(EQ$6:EQ$77,$FT1671),""),"")</f>
        <v>12</v>
      </c>
      <c r="GD1671" s="101" t="str">
        <f t="shared" ref="GD1671:GD1685" si="763">IF($FY1671&gt;0,IF(INDEX($EM$6:$EM$77,$FT1671)&gt;=GD$3,INDEX(ER$6:ER$77,$FT1671),""),"")</f>
        <v>专属强化石4</v>
      </c>
      <c r="GE1671" s="101">
        <f t="shared" ref="GE1671:GE1685" si="764">IF($FY1671&gt;0,IF(INDEX($EM$6:$EM$77,$FT1671)&gt;=GE$3,INDEX(ES$6:ES$77,$FT1671),""),"")</f>
        <v>4</v>
      </c>
      <c r="GF1671" s="101">
        <f t="shared" si="746"/>
        <v>0.05</v>
      </c>
      <c r="GG1671" s="101">
        <f t="shared" si="747"/>
        <v>1</v>
      </c>
      <c r="GH1671" s="101">
        <f t="shared" si="748"/>
        <v>30</v>
      </c>
      <c r="GI1671" s="101">
        <f t="shared" si="749"/>
        <v>0</v>
      </c>
      <c r="GJ1671" s="101">
        <f t="shared" si="750"/>
        <v>1</v>
      </c>
      <c r="GK1671" s="101">
        <f t="shared" si="751"/>
        <v>7</v>
      </c>
      <c r="GL1671" s="101">
        <f t="shared" si="752"/>
        <v>2.4899999999999999E-2</v>
      </c>
      <c r="GM1671" s="101">
        <f t="shared" si="753"/>
        <v>1</v>
      </c>
      <c r="GN1671" s="101">
        <f t="shared" si="754"/>
        <v>14</v>
      </c>
      <c r="GO1671" s="101">
        <f t="shared" si="755"/>
        <v>9.9400000000000002E-2</v>
      </c>
      <c r="GP1671" s="101">
        <f t="shared" si="756"/>
        <v>1</v>
      </c>
      <c r="GQ1671" s="101">
        <f t="shared" si="757"/>
        <v>30</v>
      </c>
    </row>
    <row r="1672" spans="175:199" ht="16.5" x14ac:dyDescent="0.2">
      <c r="FS1672" s="101">
        <v>1667</v>
      </c>
      <c r="FT1672" s="101">
        <f t="shared" si="742"/>
        <v>60</v>
      </c>
      <c r="FU1672" s="101">
        <f t="shared" si="758"/>
        <v>21</v>
      </c>
      <c r="FV1672" s="14">
        <f t="shared" si="759"/>
        <v>4</v>
      </c>
      <c r="FW1672" s="101" t="str">
        <f t="shared" si="743"/>
        <v>秦琼专属武器-魂珠-7 6级</v>
      </c>
      <c r="FX1672" s="101">
        <f t="shared" si="744"/>
        <v>7</v>
      </c>
      <c r="FY1672" s="101">
        <f t="shared" si="745"/>
        <v>6</v>
      </c>
      <c r="FZ1672" s="101" t="str">
        <f t="shared" si="760"/>
        <v>金币</v>
      </c>
      <c r="GA1672" s="139">
        <f>IF($FY1672&gt;0,IF(INDEX($EM$6:$EM$77,$FT1672)&gt;=GA$3,ROUND(INDEX(EO$6:EO$77,$FT1672)*INDEX(卡牌消耗!$B$8:$F$8,FV1672)/5,0)*5,""),"")</f>
        <v>15380</v>
      </c>
      <c r="GB1672" s="101" t="str">
        <f t="shared" si="761"/>
        <v>专属强化石3</v>
      </c>
      <c r="GC1672" s="101">
        <f t="shared" si="762"/>
        <v>15</v>
      </c>
      <c r="GD1672" s="101" t="str">
        <f t="shared" si="763"/>
        <v>专属强化石4</v>
      </c>
      <c r="GE1672" s="101">
        <f t="shared" si="764"/>
        <v>5</v>
      </c>
      <c r="GF1672" s="101">
        <f t="shared" si="746"/>
        <v>0.04</v>
      </c>
      <c r="GG1672" s="101">
        <f t="shared" si="747"/>
        <v>1</v>
      </c>
      <c r="GH1672" s="101">
        <f t="shared" si="748"/>
        <v>39</v>
      </c>
      <c r="GI1672" s="101">
        <f t="shared" si="749"/>
        <v>0</v>
      </c>
      <c r="GJ1672" s="101">
        <f t="shared" si="750"/>
        <v>1</v>
      </c>
      <c r="GK1672" s="101">
        <f t="shared" si="751"/>
        <v>9</v>
      </c>
      <c r="GL1672" s="101">
        <f t="shared" si="752"/>
        <v>1.9099999999999999E-2</v>
      </c>
      <c r="GM1672" s="101">
        <f t="shared" si="753"/>
        <v>1</v>
      </c>
      <c r="GN1672" s="101">
        <f t="shared" si="754"/>
        <v>18</v>
      </c>
      <c r="GO1672" s="101">
        <f t="shared" si="755"/>
        <v>7.6499999999999999E-2</v>
      </c>
      <c r="GP1672" s="101">
        <f t="shared" si="756"/>
        <v>1</v>
      </c>
      <c r="GQ1672" s="101">
        <f t="shared" si="757"/>
        <v>39</v>
      </c>
    </row>
    <row r="1673" spans="175:199" ht="16.5" x14ac:dyDescent="0.2">
      <c r="FS1673" s="101">
        <v>1668</v>
      </c>
      <c r="FT1673" s="101">
        <f t="shared" si="742"/>
        <v>61</v>
      </c>
      <c r="FU1673" s="101">
        <f t="shared" si="758"/>
        <v>21</v>
      </c>
      <c r="FV1673" s="14">
        <f t="shared" si="759"/>
        <v>4</v>
      </c>
      <c r="FW1673" s="101" t="str">
        <f t="shared" si="743"/>
        <v>秦琼专属武器-魂珠-7 7级</v>
      </c>
      <c r="FX1673" s="101">
        <f t="shared" si="744"/>
        <v>7</v>
      </c>
      <c r="FY1673" s="101">
        <f t="shared" si="745"/>
        <v>7</v>
      </c>
      <c r="FZ1673" s="101" t="str">
        <f t="shared" si="760"/>
        <v>金币</v>
      </c>
      <c r="GA1673" s="139">
        <f>IF($FY1673&gt;0,IF(INDEX($EM$6:$EM$77,$FT1673)&gt;=GA$3,ROUND(INDEX(EO$6:EO$77,$FT1673)*INDEX(卡牌消耗!$B$8:$F$8,FV1673)/5,0)*5,""),"")</f>
        <v>21580</v>
      </c>
      <c r="GB1673" s="101" t="str">
        <f t="shared" si="761"/>
        <v>专属强化石3</v>
      </c>
      <c r="GC1673" s="101">
        <f t="shared" si="762"/>
        <v>21</v>
      </c>
      <c r="GD1673" s="101" t="str">
        <f t="shared" si="763"/>
        <v>专属强化石4</v>
      </c>
      <c r="GE1673" s="101">
        <f t="shared" si="764"/>
        <v>7</v>
      </c>
      <c r="GF1673" s="101">
        <f t="shared" si="746"/>
        <v>0.03</v>
      </c>
      <c r="GG1673" s="101">
        <f t="shared" si="747"/>
        <v>1</v>
      </c>
      <c r="GH1673" s="101">
        <f t="shared" si="748"/>
        <v>45</v>
      </c>
      <c r="GI1673" s="101">
        <f t="shared" si="749"/>
        <v>0</v>
      </c>
      <c r="GJ1673" s="101">
        <f t="shared" si="750"/>
        <v>1</v>
      </c>
      <c r="GK1673" s="101">
        <f t="shared" si="751"/>
        <v>11</v>
      </c>
      <c r="GL1673" s="101">
        <f t="shared" si="752"/>
        <v>1.66E-2</v>
      </c>
      <c r="GM1673" s="101">
        <f t="shared" si="753"/>
        <v>1</v>
      </c>
      <c r="GN1673" s="101">
        <f t="shared" si="754"/>
        <v>21</v>
      </c>
      <c r="GO1673" s="101">
        <f t="shared" si="755"/>
        <v>6.6299999999999998E-2</v>
      </c>
      <c r="GP1673" s="101">
        <f t="shared" si="756"/>
        <v>1</v>
      </c>
      <c r="GQ1673" s="101">
        <f t="shared" si="757"/>
        <v>45</v>
      </c>
    </row>
    <row r="1674" spans="175:199" ht="16.5" x14ac:dyDescent="0.2">
      <c r="FS1674" s="101">
        <v>1669</v>
      </c>
      <c r="FT1674" s="101">
        <f t="shared" si="742"/>
        <v>62</v>
      </c>
      <c r="FU1674" s="101">
        <f t="shared" si="758"/>
        <v>21</v>
      </c>
      <c r="FV1674" s="14">
        <f t="shared" si="759"/>
        <v>4</v>
      </c>
      <c r="FW1674" s="101" t="str">
        <f t="shared" si="743"/>
        <v>秦琼专属武器-魂珠-7 8级</v>
      </c>
      <c r="FX1674" s="101">
        <f t="shared" si="744"/>
        <v>7</v>
      </c>
      <c r="FY1674" s="101">
        <f t="shared" si="745"/>
        <v>8</v>
      </c>
      <c r="FZ1674" s="101" t="str">
        <f t="shared" si="760"/>
        <v>金币</v>
      </c>
      <c r="GA1674" s="139">
        <f>IF($FY1674&gt;0,IF(INDEX($EM$6:$EM$77,$FT1674)&gt;=GA$3,ROUND(INDEX(EO$6:EO$77,$FT1674)*INDEX(卡牌消耗!$B$8:$F$8,FV1674)/5,0)*5,""),"")</f>
        <v>24640</v>
      </c>
      <c r="GB1674" s="101" t="str">
        <f t="shared" si="761"/>
        <v>专属强化石3</v>
      </c>
      <c r="GC1674" s="101">
        <f t="shared" si="762"/>
        <v>24</v>
      </c>
      <c r="GD1674" s="101" t="str">
        <f t="shared" si="763"/>
        <v>专属强化石4</v>
      </c>
      <c r="GE1674" s="101">
        <f t="shared" si="764"/>
        <v>8</v>
      </c>
      <c r="GF1674" s="101">
        <f t="shared" si="746"/>
        <v>0.02</v>
      </c>
      <c r="GG1674" s="101">
        <f t="shared" si="747"/>
        <v>1</v>
      </c>
      <c r="GH1674" s="101">
        <f t="shared" si="748"/>
        <v>64</v>
      </c>
      <c r="GI1674" s="101">
        <f t="shared" si="749"/>
        <v>0</v>
      </c>
      <c r="GJ1674" s="101">
        <f t="shared" si="750"/>
        <v>1</v>
      </c>
      <c r="GK1674" s="101">
        <f t="shared" si="751"/>
        <v>15</v>
      </c>
      <c r="GL1674" s="101">
        <f t="shared" si="752"/>
        <v>1.17E-2</v>
      </c>
      <c r="GM1674" s="101">
        <f t="shared" si="753"/>
        <v>1</v>
      </c>
      <c r="GN1674" s="101">
        <f t="shared" si="754"/>
        <v>30</v>
      </c>
      <c r="GO1674" s="101">
        <f t="shared" si="755"/>
        <v>4.6800000000000001E-2</v>
      </c>
      <c r="GP1674" s="101">
        <f t="shared" si="756"/>
        <v>1</v>
      </c>
      <c r="GQ1674" s="101">
        <f t="shared" si="757"/>
        <v>64</v>
      </c>
    </row>
    <row r="1675" spans="175:199" ht="16.5" x14ac:dyDescent="0.2">
      <c r="FS1675" s="101">
        <v>1670</v>
      </c>
      <c r="FT1675" s="101">
        <f t="shared" si="742"/>
        <v>63</v>
      </c>
      <c r="FU1675" s="101">
        <f t="shared" si="758"/>
        <v>21</v>
      </c>
      <c r="FV1675" s="14">
        <f t="shared" si="759"/>
        <v>4</v>
      </c>
      <c r="FW1675" s="101" t="str">
        <f t="shared" si="743"/>
        <v>秦琼专属武器-魂珠-7 9级</v>
      </c>
      <c r="FX1675" s="101">
        <f t="shared" si="744"/>
        <v>7</v>
      </c>
      <c r="FY1675" s="101">
        <f t="shared" si="745"/>
        <v>9</v>
      </c>
      <c r="FZ1675" s="101" t="str">
        <f t="shared" si="760"/>
        <v>金币</v>
      </c>
      <c r="GA1675" s="139">
        <f>IF($FY1675&gt;0,IF(INDEX($EM$6:$EM$77,$FT1675)&gt;=GA$3,ROUND(INDEX(EO$6:EO$77,$FT1675)*INDEX(卡牌消耗!$B$8:$F$8,FV1675)/5,0)*5,""),"")</f>
        <v>30810</v>
      </c>
      <c r="GB1675" s="101" t="str">
        <f t="shared" si="761"/>
        <v>专属强化石3</v>
      </c>
      <c r="GC1675" s="101">
        <f t="shared" si="762"/>
        <v>30</v>
      </c>
      <c r="GD1675" s="101" t="str">
        <f t="shared" si="763"/>
        <v>专属强化石4</v>
      </c>
      <c r="GE1675" s="101">
        <f t="shared" si="764"/>
        <v>10</v>
      </c>
      <c r="GF1675" s="101">
        <f t="shared" si="746"/>
        <v>0.02</v>
      </c>
      <c r="GG1675" s="101">
        <f t="shared" si="747"/>
        <v>1</v>
      </c>
      <c r="GH1675" s="101">
        <f t="shared" si="748"/>
        <v>83</v>
      </c>
      <c r="GI1675" s="101">
        <f t="shared" si="749"/>
        <v>0</v>
      </c>
      <c r="GJ1675" s="101">
        <f t="shared" si="750"/>
        <v>1</v>
      </c>
      <c r="GK1675" s="101">
        <f t="shared" si="751"/>
        <v>19</v>
      </c>
      <c r="GL1675" s="101">
        <f t="shared" si="752"/>
        <v>8.9999999999999993E-3</v>
      </c>
      <c r="GM1675" s="101">
        <f t="shared" si="753"/>
        <v>1</v>
      </c>
      <c r="GN1675" s="101">
        <f t="shared" si="754"/>
        <v>39</v>
      </c>
      <c r="GO1675" s="101">
        <f t="shared" si="755"/>
        <v>3.6200000000000003E-2</v>
      </c>
      <c r="GP1675" s="101">
        <f t="shared" si="756"/>
        <v>1</v>
      </c>
      <c r="GQ1675" s="101">
        <f t="shared" si="757"/>
        <v>83</v>
      </c>
    </row>
    <row r="1676" spans="175:199" ht="16.5" x14ac:dyDescent="0.2">
      <c r="FS1676" s="101">
        <v>1671</v>
      </c>
      <c r="FT1676" s="101">
        <f t="shared" si="742"/>
        <v>0</v>
      </c>
      <c r="FU1676" s="101">
        <f t="shared" si="758"/>
        <v>21</v>
      </c>
      <c r="FV1676" s="14">
        <f t="shared" si="759"/>
        <v>4</v>
      </c>
      <c r="FW1676" s="101" t="str">
        <f t="shared" si="743"/>
        <v>秦琼专属武器-魂珠-8 0级</v>
      </c>
      <c r="FX1676" s="101">
        <f t="shared" si="744"/>
        <v>8</v>
      </c>
      <c r="FY1676" s="101">
        <f t="shared" si="745"/>
        <v>0</v>
      </c>
      <c r="FZ1676" s="101" t="str">
        <f t="shared" si="760"/>
        <v/>
      </c>
      <c r="GA1676" s="139" t="str">
        <f>IF($FY1676&gt;0,IF(INDEX($EM$6:$EM$77,$FT1676)&gt;=GA$3,ROUND(INDEX(EO$6:EO$77,$FT1676)*INDEX(卡牌消耗!$B$8:$F$8,FV1676)/5,0)*5,""),"")</f>
        <v/>
      </c>
      <c r="GB1676" s="101" t="str">
        <f t="shared" si="761"/>
        <v/>
      </c>
      <c r="GC1676" s="101" t="str">
        <f t="shared" si="762"/>
        <v/>
      </c>
      <c r="GD1676" s="101" t="str">
        <f t="shared" si="763"/>
        <v/>
      </c>
      <c r="GE1676" s="101" t="str">
        <f t="shared" si="764"/>
        <v/>
      </c>
      <c r="GF1676" s="101" t="str">
        <f t="shared" si="746"/>
        <v/>
      </c>
      <c r="GG1676" s="101" t="str">
        <f t="shared" si="747"/>
        <v/>
      </c>
      <c r="GH1676" s="101" t="str">
        <f t="shared" si="748"/>
        <v/>
      </c>
      <c r="GI1676" s="101" t="str">
        <f t="shared" si="749"/>
        <v/>
      </c>
      <c r="GJ1676" s="101" t="str">
        <f t="shared" si="750"/>
        <v/>
      </c>
      <c r="GK1676" s="101" t="str">
        <f t="shared" si="751"/>
        <v/>
      </c>
      <c r="GL1676" s="101" t="str">
        <f t="shared" si="752"/>
        <v/>
      </c>
      <c r="GM1676" s="101" t="str">
        <f t="shared" si="753"/>
        <v/>
      </c>
      <c r="GN1676" s="101" t="str">
        <f t="shared" si="754"/>
        <v/>
      </c>
      <c r="GO1676" s="101" t="str">
        <f t="shared" si="755"/>
        <v/>
      </c>
      <c r="GP1676" s="101" t="str">
        <f t="shared" si="756"/>
        <v/>
      </c>
      <c r="GQ1676" s="101" t="str">
        <f t="shared" si="757"/>
        <v/>
      </c>
    </row>
    <row r="1677" spans="175:199" ht="16.5" x14ac:dyDescent="0.2">
      <c r="FS1677" s="101">
        <v>1672</v>
      </c>
      <c r="FT1677" s="101">
        <f t="shared" si="742"/>
        <v>64</v>
      </c>
      <c r="FU1677" s="101">
        <f t="shared" si="758"/>
        <v>21</v>
      </c>
      <c r="FV1677" s="14">
        <f t="shared" si="759"/>
        <v>4</v>
      </c>
      <c r="FW1677" s="101" t="str">
        <f t="shared" si="743"/>
        <v>秦琼专属武器-魂珠-8 1级</v>
      </c>
      <c r="FX1677" s="101">
        <f t="shared" si="744"/>
        <v>8</v>
      </c>
      <c r="FY1677" s="101">
        <f t="shared" si="745"/>
        <v>1</v>
      </c>
      <c r="FZ1677" s="101" t="str">
        <f t="shared" si="760"/>
        <v>金币</v>
      </c>
      <c r="GA1677" s="139">
        <f>IF($FY1677&gt;0,IF(INDEX($EM$6:$EM$77,$FT1677)&gt;=GA$3,ROUND(INDEX(EO$6:EO$77,$FT1677)*INDEX(卡牌消耗!$B$8:$F$8,FV1677)/5,0)*5,""),"")</f>
        <v>6490</v>
      </c>
      <c r="GB1677" s="101" t="str">
        <f t="shared" si="761"/>
        <v>专属强化石4</v>
      </c>
      <c r="GC1677" s="101">
        <f t="shared" si="762"/>
        <v>5</v>
      </c>
      <c r="GD1677" s="101" t="str">
        <f t="shared" si="763"/>
        <v/>
      </c>
      <c r="GE1677" s="101" t="str">
        <f t="shared" si="764"/>
        <v/>
      </c>
      <c r="GF1677" s="101">
        <f t="shared" si="746"/>
        <v>0.11</v>
      </c>
      <c r="GG1677" s="101">
        <f t="shared" si="747"/>
        <v>1</v>
      </c>
      <c r="GH1677" s="101">
        <f t="shared" si="748"/>
        <v>13</v>
      </c>
      <c r="GI1677" s="101">
        <f t="shared" si="749"/>
        <v>0</v>
      </c>
      <c r="GJ1677" s="101">
        <f t="shared" si="750"/>
        <v>1</v>
      </c>
      <c r="GK1677" s="101">
        <f t="shared" si="751"/>
        <v>3</v>
      </c>
      <c r="GL1677" s="101">
        <f t="shared" si="752"/>
        <v>5.6500000000000002E-2</v>
      </c>
      <c r="GM1677" s="101">
        <f t="shared" si="753"/>
        <v>1</v>
      </c>
      <c r="GN1677" s="101">
        <f t="shared" si="754"/>
        <v>6</v>
      </c>
      <c r="GO1677" s="101">
        <f t="shared" si="755"/>
        <v>0.22600000000000001</v>
      </c>
      <c r="GP1677" s="101">
        <f t="shared" si="756"/>
        <v>1</v>
      </c>
      <c r="GQ1677" s="101">
        <f t="shared" si="757"/>
        <v>13</v>
      </c>
    </row>
    <row r="1678" spans="175:199" ht="16.5" x14ac:dyDescent="0.2">
      <c r="FS1678" s="101">
        <v>1673</v>
      </c>
      <c r="FT1678" s="101">
        <f t="shared" si="742"/>
        <v>65</v>
      </c>
      <c r="FU1678" s="101">
        <f t="shared" si="758"/>
        <v>21</v>
      </c>
      <c r="FV1678" s="14">
        <f t="shared" si="759"/>
        <v>4</v>
      </c>
      <c r="FW1678" s="101" t="str">
        <f t="shared" si="743"/>
        <v>秦琼专属武器-魂珠-8 2级</v>
      </c>
      <c r="FX1678" s="101">
        <f t="shared" si="744"/>
        <v>8</v>
      </c>
      <c r="FY1678" s="101">
        <f t="shared" si="745"/>
        <v>2</v>
      </c>
      <c r="FZ1678" s="101" t="str">
        <f t="shared" si="760"/>
        <v>金币</v>
      </c>
      <c r="GA1678" s="139">
        <f>IF($FY1678&gt;0,IF(INDEX($EM$6:$EM$77,$FT1678)&gt;=GA$3,ROUND(INDEX(EO$6:EO$77,$FT1678)*INDEX(卡牌消耗!$B$8:$F$8,FV1678)/5,0)*5,""),"")</f>
        <v>7790</v>
      </c>
      <c r="GB1678" s="101" t="str">
        <f t="shared" si="761"/>
        <v>专属强化石4</v>
      </c>
      <c r="GC1678" s="101">
        <f t="shared" si="762"/>
        <v>8</v>
      </c>
      <c r="GD1678" s="101" t="str">
        <f t="shared" si="763"/>
        <v/>
      </c>
      <c r="GE1678" s="101" t="str">
        <f t="shared" si="764"/>
        <v/>
      </c>
      <c r="GF1678" s="101">
        <f t="shared" si="746"/>
        <v>0.09</v>
      </c>
      <c r="GG1678" s="101">
        <f t="shared" si="747"/>
        <v>1</v>
      </c>
      <c r="GH1678" s="101">
        <f t="shared" si="748"/>
        <v>17</v>
      </c>
      <c r="GI1678" s="101">
        <f t="shared" si="749"/>
        <v>0</v>
      </c>
      <c r="GJ1678" s="101">
        <f t="shared" si="750"/>
        <v>1</v>
      </c>
      <c r="GK1678" s="101">
        <f t="shared" si="751"/>
        <v>4</v>
      </c>
      <c r="GL1678" s="101">
        <f t="shared" si="752"/>
        <v>4.5199999999999997E-2</v>
      </c>
      <c r="GM1678" s="101">
        <f t="shared" si="753"/>
        <v>1</v>
      </c>
      <c r="GN1678" s="101">
        <f t="shared" si="754"/>
        <v>8</v>
      </c>
      <c r="GO1678" s="101">
        <f t="shared" si="755"/>
        <v>0.18079999999999999</v>
      </c>
      <c r="GP1678" s="101">
        <f t="shared" si="756"/>
        <v>1</v>
      </c>
      <c r="GQ1678" s="101">
        <f t="shared" si="757"/>
        <v>17</v>
      </c>
    </row>
    <row r="1679" spans="175:199" ht="16.5" x14ac:dyDescent="0.2">
      <c r="FS1679" s="101">
        <v>1674</v>
      </c>
      <c r="FT1679" s="101">
        <f t="shared" si="742"/>
        <v>66</v>
      </c>
      <c r="FU1679" s="101">
        <f t="shared" si="758"/>
        <v>21</v>
      </c>
      <c r="FV1679" s="14">
        <f t="shared" si="759"/>
        <v>4</v>
      </c>
      <c r="FW1679" s="101" t="str">
        <f t="shared" si="743"/>
        <v>秦琼专属武器-魂珠-8 3级</v>
      </c>
      <c r="FX1679" s="101">
        <f t="shared" si="744"/>
        <v>8</v>
      </c>
      <c r="FY1679" s="101">
        <f t="shared" si="745"/>
        <v>3</v>
      </c>
      <c r="FZ1679" s="101" t="str">
        <f t="shared" si="760"/>
        <v>金币</v>
      </c>
      <c r="GA1679" s="139">
        <f>IF($FY1679&gt;0,IF(INDEX($EM$6:$EM$77,$FT1679)&gt;=GA$3,ROUND(INDEX(EO$6:EO$77,$FT1679)*INDEX(卡牌消耗!$B$8:$F$8,FV1679)/5,0)*5,""),"")</f>
        <v>10820</v>
      </c>
      <c r="GB1679" s="101" t="str">
        <f t="shared" si="761"/>
        <v>专属强化石4</v>
      </c>
      <c r="GC1679" s="101">
        <f t="shared" si="762"/>
        <v>10</v>
      </c>
      <c r="GD1679" s="101" t="str">
        <f t="shared" si="763"/>
        <v/>
      </c>
      <c r="GE1679" s="101" t="str">
        <f t="shared" si="764"/>
        <v/>
      </c>
      <c r="GF1679" s="101">
        <f t="shared" si="746"/>
        <v>0.08</v>
      </c>
      <c r="GG1679" s="101">
        <f t="shared" si="747"/>
        <v>1</v>
      </c>
      <c r="GH1679" s="101">
        <f t="shared" si="748"/>
        <v>20</v>
      </c>
      <c r="GI1679" s="101">
        <f t="shared" si="749"/>
        <v>0</v>
      </c>
      <c r="GJ1679" s="101">
        <f t="shared" si="750"/>
        <v>1</v>
      </c>
      <c r="GK1679" s="101">
        <f t="shared" si="751"/>
        <v>5</v>
      </c>
      <c r="GL1679" s="101">
        <f t="shared" si="752"/>
        <v>3.7699999999999997E-2</v>
      </c>
      <c r="GM1679" s="101">
        <f t="shared" si="753"/>
        <v>1</v>
      </c>
      <c r="GN1679" s="101">
        <f t="shared" si="754"/>
        <v>9</v>
      </c>
      <c r="GO1679" s="101">
        <f t="shared" si="755"/>
        <v>0.1507</v>
      </c>
      <c r="GP1679" s="101">
        <f t="shared" si="756"/>
        <v>1</v>
      </c>
      <c r="GQ1679" s="101">
        <f t="shared" si="757"/>
        <v>20</v>
      </c>
    </row>
    <row r="1680" spans="175:199" ht="16.5" x14ac:dyDescent="0.2">
      <c r="FS1680" s="101">
        <v>1675</v>
      </c>
      <c r="FT1680" s="101">
        <f t="shared" si="742"/>
        <v>67</v>
      </c>
      <c r="FU1680" s="101">
        <f t="shared" si="758"/>
        <v>21</v>
      </c>
      <c r="FV1680" s="14">
        <f t="shared" si="759"/>
        <v>4</v>
      </c>
      <c r="FW1680" s="101" t="str">
        <f t="shared" si="743"/>
        <v>秦琼专属武器-魂珠-8 4级</v>
      </c>
      <c r="FX1680" s="101">
        <f t="shared" si="744"/>
        <v>8</v>
      </c>
      <c r="FY1680" s="101">
        <f t="shared" si="745"/>
        <v>4</v>
      </c>
      <c r="FZ1680" s="101" t="str">
        <f t="shared" si="760"/>
        <v>金币</v>
      </c>
      <c r="GA1680" s="139">
        <f>IF($FY1680&gt;0,IF(INDEX($EM$6:$EM$77,$FT1680)&gt;=GA$3,ROUND(INDEX(EO$6:EO$77,$FT1680)*INDEX(卡牌消耗!$B$8:$F$8,FV1680)/5,0)*5,""),"")</f>
        <v>12460</v>
      </c>
      <c r="GB1680" s="101" t="str">
        <f t="shared" si="761"/>
        <v>专属强化石4</v>
      </c>
      <c r="GC1680" s="101">
        <f t="shared" si="762"/>
        <v>12</v>
      </c>
      <c r="GD1680" s="101" t="str">
        <f t="shared" si="763"/>
        <v/>
      </c>
      <c r="GE1680" s="101" t="str">
        <f t="shared" si="764"/>
        <v/>
      </c>
      <c r="GF1680" s="101">
        <f t="shared" si="746"/>
        <v>0.05</v>
      </c>
      <c r="GG1680" s="101">
        <f t="shared" si="747"/>
        <v>1</v>
      </c>
      <c r="GH1680" s="101">
        <f t="shared" si="748"/>
        <v>28</v>
      </c>
      <c r="GI1680" s="101">
        <f t="shared" si="749"/>
        <v>0</v>
      </c>
      <c r="GJ1680" s="101">
        <f t="shared" si="750"/>
        <v>1</v>
      </c>
      <c r="GK1680" s="101">
        <f t="shared" si="751"/>
        <v>6</v>
      </c>
      <c r="GL1680" s="101">
        <f t="shared" si="752"/>
        <v>2.7099999999999999E-2</v>
      </c>
      <c r="GM1680" s="101">
        <f t="shared" si="753"/>
        <v>1</v>
      </c>
      <c r="GN1680" s="101">
        <f t="shared" si="754"/>
        <v>13</v>
      </c>
      <c r="GO1680" s="101">
        <f t="shared" si="755"/>
        <v>0.1085</v>
      </c>
      <c r="GP1680" s="101">
        <f t="shared" si="756"/>
        <v>1</v>
      </c>
      <c r="GQ1680" s="101">
        <f t="shared" si="757"/>
        <v>28</v>
      </c>
    </row>
    <row r="1681" spans="175:199" ht="16.5" x14ac:dyDescent="0.2">
      <c r="FS1681" s="101">
        <v>1676</v>
      </c>
      <c r="FT1681" s="101">
        <f t="shared" si="742"/>
        <v>68</v>
      </c>
      <c r="FU1681" s="101">
        <f t="shared" si="758"/>
        <v>21</v>
      </c>
      <c r="FV1681" s="14">
        <f t="shared" si="759"/>
        <v>4</v>
      </c>
      <c r="FW1681" s="101" t="str">
        <f t="shared" si="743"/>
        <v>秦琼专属武器-魂珠-8 5级</v>
      </c>
      <c r="FX1681" s="101">
        <f t="shared" si="744"/>
        <v>8</v>
      </c>
      <c r="FY1681" s="101">
        <f t="shared" si="745"/>
        <v>5</v>
      </c>
      <c r="FZ1681" s="101" t="str">
        <f t="shared" si="760"/>
        <v>金币</v>
      </c>
      <c r="GA1681" s="139">
        <f>IF($FY1681&gt;0,IF(INDEX($EM$6:$EM$77,$FT1681)&gt;=GA$3,ROUND(INDEX(EO$6:EO$77,$FT1681)*INDEX(卡牌消耗!$B$8:$F$8,FV1681)/5,0)*5,""),"")</f>
        <v>15820</v>
      </c>
      <c r="GB1681" s="101" t="str">
        <f t="shared" si="761"/>
        <v>专属强化石4</v>
      </c>
      <c r="GC1681" s="101">
        <f t="shared" si="762"/>
        <v>15</v>
      </c>
      <c r="GD1681" s="101" t="str">
        <f t="shared" si="763"/>
        <v/>
      </c>
      <c r="GE1681" s="101" t="str">
        <f t="shared" si="764"/>
        <v/>
      </c>
      <c r="GF1681" s="101">
        <f t="shared" si="746"/>
        <v>0.04</v>
      </c>
      <c r="GG1681" s="101">
        <f t="shared" si="747"/>
        <v>1</v>
      </c>
      <c r="GH1681" s="101">
        <f t="shared" si="748"/>
        <v>35</v>
      </c>
      <c r="GI1681" s="101">
        <f t="shared" si="749"/>
        <v>0</v>
      </c>
      <c r="GJ1681" s="101">
        <f t="shared" si="750"/>
        <v>1</v>
      </c>
      <c r="GK1681" s="101">
        <f t="shared" si="751"/>
        <v>8</v>
      </c>
      <c r="GL1681" s="101">
        <f t="shared" si="752"/>
        <v>2.12E-2</v>
      </c>
      <c r="GM1681" s="101">
        <f t="shared" si="753"/>
        <v>1</v>
      </c>
      <c r="GN1681" s="101">
        <f t="shared" si="754"/>
        <v>17</v>
      </c>
      <c r="GO1681" s="101">
        <f t="shared" si="755"/>
        <v>8.4699999999999998E-2</v>
      </c>
      <c r="GP1681" s="101">
        <f t="shared" si="756"/>
        <v>1</v>
      </c>
      <c r="GQ1681" s="101">
        <f t="shared" si="757"/>
        <v>35</v>
      </c>
    </row>
    <row r="1682" spans="175:199" ht="16.5" x14ac:dyDescent="0.2">
      <c r="FS1682" s="101">
        <v>1677</v>
      </c>
      <c r="FT1682" s="101">
        <f t="shared" si="742"/>
        <v>69</v>
      </c>
      <c r="FU1682" s="101">
        <f t="shared" si="758"/>
        <v>21</v>
      </c>
      <c r="FV1682" s="14">
        <f t="shared" si="759"/>
        <v>4</v>
      </c>
      <c r="FW1682" s="101" t="str">
        <f t="shared" si="743"/>
        <v>秦琼专属武器-魂珠-8 6级</v>
      </c>
      <c r="FX1682" s="101">
        <f t="shared" si="744"/>
        <v>8</v>
      </c>
      <c r="FY1682" s="101">
        <f t="shared" si="745"/>
        <v>6</v>
      </c>
      <c r="FZ1682" s="101" t="str">
        <f t="shared" si="760"/>
        <v>金币</v>
      </c>
      <c r="GA1682" s="139">
        <f>IF($FY1682&gt;0,IF(INDEX($EM$6:$EM$77,$FT1682)&gt;=GA$3,ROUND(INDEX(EO$6:EO$77,$FT1682)*INDEX(卡牌消耗!$B$8:$F$8,FV1682)/5,0)*5,""),"")</f>
        <v>18870</v>
      </c>
      <c r="GB1682" s="101" t="str">
        <f t="shared" si="761"/>
        <v>专属强化石4</v>
      </c>
      <c r="GC1682" s="101">
        <f t="shared" si="762"/>
        <v>18</v>
      </c>
      <c r="GD1682" s="101" t="str">
        <f t="shared" si="763"/>
        <v/>
      </c>
      <c r="GE1682" s="101" t="str">
        <f t="shared" si="764"/>
        <v/>
      </c>
      <c r="GF1682" s="101">
        <f t="shared" si="746"/>
        <v>0.03</v>
      </c>
      <c r="GG1682" s="101">
        <f t="shared" si="747"/>
        <v>1</v>
      </c>
      <c r="GH1682" s="101">
        <f t="shared" si="748"/>
        <v>48</v>
      </c>
      <c r="GI1682" s="101">
        <f t="shared" si="749"/>
        <v>0</v>
      </c>
      <c r="GJ1682" s="101">
        <f t="shared" si="750"/>
        <v>1</v>
      </c>
      <c r="GK1682" s="101">
        <f t="shared" si="751"/>
        <v>11</v>
      </c>
      <c r="GL1682" s="101">
        <f t="shared" si="752"/>
        <v>1.5599999999999999E-2</v>
      </c>
      <c r="GM1682" s="101">
        <f t="shared" si="753"/>
        <v>1</v>
      </c>
      <c r="GN1682" s="101">
        <f t="shared" si="754"/>
        <v>22</v>
      </c>
      <c r="GO1682" s="101">
        <f t="shared" si="755"/>
        <v>6.2600000000000003E-2</v>
      </c>
      <c r="GP1682" s="101">
        <f t="shared" si="756"/>
        <v>1</v>
      </c>
      <c r="GQ1682" s="101">
        <f t="shared" si="757"/>
        <v>48</v>
      </c>
    </row>
    <row r="1683" spans="175:199" ht="16.5" x14ac:dyDescent="0.2">
      <c r="FS1683" s="101">
        <v>1678</v>
      </c>
      <c r="FT1683" s="101">
        <f t="shared" si="742"/>
        <v>70</v>
      </c>
      <c r="FU1683" s="101">
        <f t="shared" si="758"/>
        <v>21</v>
      </c>
      <c r="FV1683" s="14">
        <f t="shared" si="759"/>
        <v>4</v>
      </c>
      <c r="FW1683" s="101" t="str">
        <f t="shared" si="743"/>
        <v>秦琼专属武器-魂珠-8 7级</v>
      </c>
      <c r="FX1683" s="101">
        <f t="shared" si="744"/>
        <v>8</v>
      </c>
      <c r="FY1683" s="101">
        <f t="shared" si="745"/>
        <v>7</v>
      </c>
      <c r="FZ1683" s="101" t="str">
        <f t="shared" si="760"/>
        <v>金币</v>
      </c>
      <c r="GA1683" s="139">
        <f>IF($FY1683&gt;0,IF(INDEX($EM$6:$EM$77,$FT1683)&gt;=GA$3,ROUND(INDEX(EO$6:EO$77,$FT1683)*INDEX(卡牌消耗!$B$8:$F$8,FV1683)/5,0)*5,""),"")</f>
        <v>26270</v>
      </c>
      <c r="GB1683" s="101" t="str">
        <f t="shared" si="761"/>
        <v>专属强化石4</v>
      </c>
      <c r="GC1683" s="101">
        <f t="shared" si="762"/>
        <v>25</v>
      </c>
      <c r="GD1683" s="101" t="str">
        <f t="shared" si="763"/>
        <v/>
      </c>
      <c r="GE1683" s="101" t="str">
        <f t="shared" si="764"/>
        <v/>
      </c>
      <c r="GF1683" s="101">
        <f t="shared" si="746"/>
        <v>0.03</v>
      </c>
      <c r="GG1683" s="101">
        <f t="shared" si="747"/>
        <v>1</v>
      </c>
      <c r="GH1683" s="101">
        <f t="shared" si="748"/>
        <v>56</v>
      </c>
      <c r="GI1683" s="101">
        <f t="shared" si="749"/>
        <v>0</v>
      </c>
      <c r="GJ1683" s="101">
        <f t="shared" si="750"/>
        <v>1</v>
      </c>
      <c r="GK1683" s="101">
        <f t="shared" si="751"/>
        <v>13</v>
      </c>
      <c r="GL1683" s="101">
        <f t="shared" si="752"/>
        <v>1.35E-2</v>
      </c>
      <c r="GM1683" s="101">
        <f t="shared" si="753"/>
        <v>1</v>
      </c>
      <c r="GN1683" s="101">
        <f t="shared" si="754"/>
        <v>26</v>
      </c>
      <c r="GO1683" s="101">
        <f t="shared" si="755"/>
        <v>5.3800000000000001E-2</v>
      </c>
      <c r="GP1683" s="101">
        <f t="shared" si="756"/>
        <v>1</v>
      </c>
      <c r="GQ1683" s="101">
        <f t="shared" si="757"/>
        <v>56</v>
      </c>
    </row>
    <row r="1684" spans="175:199" ht="16.5" x14ac:dyDescent="0.2">
      <c r="FS1684" s="101">
        <v>1679</v>
      </c>
      <c r="FT1684" s="101">
        <f t="shared" si="742"/>
        <v>71</v>
      </c>
      <c r="FU1684" s="101">
        <f t="shared" si="758"/>
        <v>21</v>
      </c>
      <c r="FV1684" s="14">
        <f t="shared" si="759"/>
        <v>4</v>
      </c>
      <c r="FW1684" s="101" t="str">
        <f t="shared" si="743"/>
        <v>秦琼专属武器-魂珠-8 8级</v>
      </c>
      <c r="FX1684" s="101">
        <f t="shared" si="744"/>
        <v>8</v>
      </c>
      <c r="FY1684" s="101">
        <f t="shared" si="745"/>
        <v>8</v>
      </c>
      <c r="FZ1684" s="101" t="str">
        <f t="shared" si="760"/>
        <v>金币</v>
      </c>
      <c r="GA1684" s="139">
        <f>IF($FY1684&gt;0,IF(INDEX($EM$6:$EM$77,$FT1684)&gt;=GA$3,ROUND(INDEX(EO$6:EO$77,$FT1684)*INDEX(卡牌消耗!$B$8:$F$8,FV1684)/5,0)*5,""),"")</f>
        <v>31495</v>
      </c>
      <c r="GB1684" s="101" t="str">
        <f t="shared" si="761"/>
        <v>专属强化石4</v>
      </c>
      <c r="GC1684" s="101">
        <f t="shared" si="762"/>
        <v>30</v>
      </c>
      <c r="GD1684" s="101" t="str">
        <f t="shared" si="763"/>
        <v/>
      </c>
      <c r="GE1684" s="101" t="str">
        <f t="shared" si="764"/>
        <v/>
      </c>
      <c r="GF1684" s="101">
        <f t="shared" si="746"/>
        <v>0.02</v>
      </c>
      <c r="GG1684" s="101">
        <f t="shared" si="747"/>
        <v>1</v>
      </c>
      <c r="GH1684" s="101">
        <f t="shared" si="748"/>
        <v>75</v>
      </c>
      <c r="GI1684" s="101">
        <f t="shared" si="749"/>
        <v>0</v>
      </c>
      <c r="GJ1684" s="101">
        <f t="shared" si="750"/>
        <v>1</v>
      </c>
      <c r="GK1684" s="101">
        <f t="shared" si="751"/>
        <v>18</v>
      </c>
      <c r="GL1684" s="101">
        <f t="shared" si="752"/>
        <v>0.01</v>
      </c>
      <c r="GM1684" s="101">
        <f t="shared" si="753"/>
        <v>1</v>
      </c>
      <c r="GN1684" s="101">
        <f t="shared" si="754"/>
        <v>35</v>
      </c>
      <c r="GO1684" s="101">
        <f t="shared" si="755"/>
        <v>3.9899999999999998E-2</v>
      </c>
      <c r="GP1684" s="101">
        <f t="shared" si="756"/>
        <v>1</v>
      </c>
      <c r="GQ1684" s="101">
        <f t="shared" si="757"/>
        <v>75</v>
      </c>
    </row>
    <row r="1685" spans="175:199" ht="16.5" x14ac:dyDescent="0.2">
      <c r="FS1685" s="101">
        <v>1680</v>
      </c>
      <c r="FT1685" s="101">
        <f t="shared" si="742"/>
        <v>72</v>
      </c>
      <c r="FU1685" s="101">
        <f t="shared" si="758"/>
        <v>21</v>
      </c>
      <c r="FV1685" s="14">
        <f t="shared" si="759"/>
        <v>4</v>
      </c>
      <c r="FW1685" s="101" t="str">
        <f t="shared" si="743"/>
        <v>秦琼专属武器-魂珠-8 9级</v>
      </c>
      <c r="FX1685" s="101">
        <f t="shared" si="744"/>
        <v>8</v>
      </c>
      <c r="FY1685" s="101">
        <f t="shared" si="745"/>
        <v>9</v>
      </c>
      <c r="FZ1685" s="101" t="str">
        <f t="shared" si="760"/>
        <v>金币</v>
      </c>
      <c r="GA1685" s="139">
        <f>IF($FY1685&gt;0,IF(INDEX($EM$6:$EM$77,$FT1685)&gt;=GA$3,ROUND(INDEX(EO$6:EO$77,$FT1685)*INDEX(卡牌消耗!$B$8:$F$8,FV1685)/5,0)*5,""),"")</f>
        <v>31510</v>
      </c>
      <c r="GB1685" s="101" t="str">
        <f t="shared" si="761"/>
        <v>专属强化石4</v>
      </c>
      <c r="GC1685" s="101">
        <f t="shared" si="762"/>
        <v>30</v>
      </c>
      <c r="GD1685" s="101" t="str">
        <f t="shared" si="763"/>
        <v/>
      </c>
      <c r="GE1685" s="101" t="str">
        <f t="shared" si="764"/>
        <v/>
      </c>
      <c r="GF1685" s="101">
        <f t="shared" si="746"/>
        <v>0.01</v>
      </c>
      <c r="GG1685" s="101">
        <f t="shared" si="747"/>
        <v>1</v>
      </c>
      <c r="GH1685" s="101">
        <f t="shared" si="748"/>
        <v>122</v>
      </c>
      <c r="GI1685" s="101">
        <f t="shared" si="749"/>
        <v>0</v>
      </c>
      <c r="GJ1685" s="101">
        <f t="shared" si="750"/>
        <v>1</v>
      </c>
      <c r="GK1685" s="101">
        <f t="shared" si="751"/>
        <v>28</v>
      </c>
      <c r="GL1685" s="101">
        <f t="shared" si="752"/>
        <v>6.1999999999999998E-3</v>
      </c>
      <c r="GM1685" s="101">
        <f t="shared" si="753"/>
        <v>1</v>
      </c>
      <c r="GN1685" s="101">
        <f t="shared" si="754"/>
        <v>57</v>
      </c>
      <c r="GO1685" s="101">
        <f t="shared" si="755"/>
        <v>2.47E-2</v>
      </c>
      <c r="GP1685" s="101">
        <f t="shared" si="756"/>
        <v>1</v>
      </c>
      <c r="GQ1685" s="101">
        <f t="shared" si="757"/>
        <v>122</v>
      </c>
    </row>
  </sheetData>
  <mergeCells count="7">
    <mergeCell ref="DA4:DD4"/>
    <mergeCell ref="DG4:DJ4"/>
    <mergeCell ref="DO4:DR4"/>
    <mergeCell ref="DK4:DN4"/>
    <mergeCell ref="CK4:CN4"/>
    <mergeCell ref="CS4:CV4"/>
    <mergeCell ref="CO4:CR4"/>
  </mergeCells>
  <phoneticPr fontId="2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BQ174"/>
  <sheetViews>
    <sheetView workbookViewId="0">
      <selection activeCell="N16" sqref="N16"/>
    </sheetView>
  </sheetViews>
  <sheetFormatPr defaultRowHeight="14.25" x14ac:dyDescent="0.2"/>
  <cols>
    <col min="2" max="2" width="12.625" customWidth="1"/>
    <col min="5" max="5" width="10.875" customWidth="1"/>
    <col min="6" max="7" width="14.375" customWidth="1"/>
    <col min="8" max="8" width="12.875" customWidth="1"/>
    <col min="9" max="9" width="9.5" customWidth="1"/>
    <col min="10" max="10" width="10.125" customWidth="1"/>
    <col min="17" max="17" width="15.25" customWidth="1"/>
    <col min="18" max="19" width="11.875" customWidth="1"/>
    <col min="20" max="20" width="14.625" customWidth="1"/>
    <col min="21" max="22" width="13" customWidth="1"/>
    <col min="23" max="27" width="11.375" customWidth="1"/>
    <col min="28" max="28" width="14.375" customWidth="1"/>
    <col min="29" max="33" width="11.375" customWidth="1"/>
    <col min="37" max="37" width="12.75" customWidth="1"/>
    <col min="38" max="39" width="10.125" customWidth="1"/>
    <col min="42" max="42" width="20.5" customWidth="1"/>
    <col min="43" max="43" width="16.25" customWidth="1"/>
    <col min="44" max="44" width="16.625" customWidth="1"/>
    <col min="45" max="45" width="14.125" customWidth="1"/>
    <col min="46" max="46" width="13.625" customWidth="1"/>
    <col min="47" max="47" width="15.25" customWidth="1"/>
    <col min="48" max="49" width="18.875" customWidth="1"/>
    <col min="50" max="50" width="16.75" customWidth="1"/>
    <col min="51" max="51" width="17.125" customWidth="1"/>
    <col min="52" max="52" width="20.5" customWidth="1"/>
    <col min="53" max="53" width="22.875" customWidth="1"/>
    <col min="54" max="54" width="20.125" customWidth="1"/>
    <col min="55" max="55" width="24.875" customWidth="1"/>
    <col min="56" max="56" width="12" customWidth="1"/>
    <col min="62" max="62" width="10.625" customWidth="1"/>
    <col min="63" max="63" width="21.75" customWidth="1"/>
    <col min="64" max="64" width="12.125" customWidth="1"/>
    <col min="65" max="65" width="42.75" customWidth="1"/>
    <col min="66" max="66" width="20.25" customWidth="1"/>
    <col min="67" max="67" width="13.375" customWidth="1"/>
    <col min="68" max="68" width="13.5" customWidth="1"/>
    <col min="69" max="75" width="10.625" customWidth="1"/>
  </cols>
  <sheetData>
    <row r="4" spans="1:69" ht="17.25" x14ac:dyDescent="0.2">
      <c r="A4" s="12" t="s">
        <v>193</v>
      </c>
      <c r="B4" s="12" t="s">
        <v>854</v>
      </c>
      <c r="C4" s="12" t="s">
        <v>855</v>
      </c>
      <c r="E4" s="12" t="s">
        <v>869</v>
      </c>
      <c r="F4" s="12" t="s">
        <v>870</v>
      </c>
      <c r="G4" s="12" t="s">
        <v>884</v>
      </c>
      <c r="H4" s="12" t="s">
        <v>306</v>
      </c>
      <c r="I4" s="12" t="s">
        <v>907</v>
      </c>
      <c r="J4" s="12" t="s">
        <v>910</v>
      </c>
      <c r="M4" s="12" t="s">
        <v>887</v>
      </c>
      <c r="N4" s="12" t="s">
        <v>888</v>
      </c>
      <c r="O4" s="12" t="s">
        <v>889</v>
      </c>
      <c r="P4" s="12" t="s">
        <v>900</v>
      </c>
      <c r="Q4" s="12" t="s">
        <v>892</v>
      </c>
      <c r="R4" s="12" t="s">
        <v>897</v>
      </c>
      <c r="S4" s="12" t="s">
        <v>896</v>
      </c>
      <c r="T4" s="12" t="s">
        <v>893</v>
      </c>
      <c r="U4" s="12" t="s">
        <v>898</v>
      </c>
      <c r="V4" s="12" t="s">
        <v>899</v>
      </c>
      <c r="X4" s="12" t="s">
        <v>908</v>
      </c>
      <c r="Y4" s="12" t="s">
        <v>905</v>
      </c>
      <c r="Z4" s="12" t="s">
        <v>906</v>
      </c>
      <c r="AA4" s="12" t="s">
        <v>912</v>
      </c>
      <c r="AB4" s="12" t="s">
        <v>892</v>
      </c>
      <c r="AC4" s="12" t="s">
        <v>897</v>
      </c>
      <c r="AD4" s="12" t="s">
        <v>896</v>
      </c>
      <c r="AI4" s="12" t="s">
        <v>885</v>
      </c>
      <c r="AJ4" s="12" t="s">
        <v>217</v>
      </c>
      <c r="AK4" s="12" t="s">
        <v>869</v>
      </c>
      <c r="AL4" s="12" t="s">
        <v>111</v>
      </c>
      <c r="AM4" s="12" t="s">
        <v>797</v>
      </c>
      <c r="AN4" s="12" t="s">
        <v>217</v>
      </c>
      <c r="AO4" s="12" t="s">
        <v>871</v>
      </c>
      <c r="AP4" s="12" t="s">
        <v>872</v>
      </c>
      <c r="AQ4" s="12" t="s">
        <v>873</v>
      </c>
      <c r="AR4" s="12" t="s">
        <v>874</v>
      </c>
      <c r="AS4" s="12" t="s">
        <v>918</v>
      </c>
      <c r="AT4" s="12" t="s">
        <v>875</v>
      </c>
      <c r="AU4" s="12" t="s">
        <v>876</v>
      </c>
      <c r="AV4" s="12" t="s">
        <v>901</v>
      </c>
      <c r="AW4" s="12" t="s">
        <v>902</v>
      </c>
      <c r="AX4" s="12" t="s">
        <v>877</v>
      </c>
      <c r="AY4" s="12" t="s">
        <v>878</v>
      </c>
      <c r="AZ4" s="12" t="s">
        <v>879</v>
      </c>
      <c r="BA4" s="12" t="s">
        <v>880</v>
      </c>
      <c r="BB4" s="12" t="s">
        <v>881</v>
      </c>
      <c r="BC4" s="12" t="s">
        <v>882</v>
      </c>
      <c r="BD4" s="12" t="s">
        <v>883</v>
      </c>
      <c r="BG4" s="12" t="s">
        <v>904</v>
      </c>
      <c r="BH4" s="12" t="s">
        <v>909</v>
      </c>
      <c r="BI4" s="12" t="s">
        <v>913</v>
      </c>
      <c r="BJ4" s="12" t="s">
        <v>903</v>
      </c>
      <c r="BK4" s="12" t="s">
        <v>911</v>
      </c>
      <c r="BM4" s="12" t="s">
        <v>911</v>
      </c>
      <c r="BN4" s="12" t="s">
        <v>914</v>
      </c>
      <c r="BO4" s="12" t="s">
        <v>915</v>
      </c>
      <c r="BP4" s="12" t="s">
        <v>916</v>
      </c>
      <c r="BQ4" s="12" t="s">
        <v>917</v>
      </c>
    </row>
    <row r="5" spans="1:69" ht="16.5" x14ac:dyDescent="0.2">
      <c r="A5" s="96">
        <v>0</v>
      </c>
      <c r="B5" s="96">
        <v>0</v>
      </c>
      <c r="C5" s="96">
        <v>0</v>
      </c>
      <c r="E5" s="92">
        <v>0</v>
      </c>
      <c r="F5" s="92">
        <v>0</v>
      </c>
      <c r="G5" s="92">
        <v>0</v>
      </c>
      <c r="H5" s="92">
        <v>0</v>
      </c>
      <c r="I5" s="97">
        <v>0</v>
      </c>
      <c r="J5" s="97">
        <v>0</v>
      </c>
      <c r="M5" s="97">
        <v>0</v>
      </c>
      <c r="N5" s="97"/>
      <c r="O5" s="97"/>
      <c r="P5" s="97"/>
      <c r="Q5" s="97"/>
      <c r="R5" s="97"/>
      <c r="S5" s="97"/>
      <c r="T5" s="97"/>
      <c r="U5" s="97"/>
      <c r="V5" s="97"/>
      <c r="X5" s="97">
        <v>1</v>
      </c>
      <c r="Y5" s="97">
        <v>1</v>
      </c>
      <c r="Z5" s="97">
        <v>1</v>
      </c>
      <c r="AA5" s="48" t="s">
        <v>919</v>
      </c>
      <c r="AB5" s="97" t="s">
        <v>891</v>
      </c>
      <c r="AC5" s="97">
        <v>1</v>
      </c>
      <c r="AD5" s="97">
        <v>1</v>
      </c>
      <c r="AI5" s="96">
        <v>1</v>
      </c>
      <c r="AJ5" s="14">
        <f>MATCH(AI5-1,$H$5:$H$22,1)</f>
        <v>1</v>
      </c>
      <c r="AK5" s="14">
        <f>AL5*100+AN5</f>
        <v>200201</v>
      </c>
      <c r="AL5" s="14">
        <f>INDEX($E$6:$E$22,AJ5)</f>
        <v>2002</v>
      </c>
      <c r="AM5" s="96" t="s">
        <v>886</v>
      </c>
      <c r="AN5" s="14">
        <f>AI5-INDEX($H$5:$H$22,AJ5)</f>
        <v>1</v>
      </c>
      <c r="AO5" s="14">
        <f>AK6</f>
        <v>200202</v>
      </c>
      <c r="AP5" s="14" t="str">
        <f>INDEX($F$6:$F$22,AJ5)&amp;"-"&amp;AN5</f>
        <v>许褚传记-1</v>
      </c>
      <c r="AQ5" s="14" t="str">
        <f>AP5</f>
        <v>许褚传记-1</v>
      </c>
      <c r="AR5" s="14">
        <f>INDEX($N$6:$N$13,AN5)</f>
        <v>30</v>
      </c>
      <c r="AS5" s="14" t="str">
        <f>IF(INDEX($O$6:$O$13,AN5)&gt;0,INDEX($O$6:$O$13,AN5),"")</f>
        <v/>
      </c>
      <c r="AT5" s="98">
        <v>3</v>
      </c>
      <c r="AU5" s="99" t="s">
        <v>890</v>
      </c>
      <c r="AV5" s="14" t="str">
        <f>"KP_KM_"&amp;INDEX($A$6:$A$22,AJ5)</f>
        <v>KP_KM_1102002</v>
      </c>
      <c r="AW5" s="14">
        <f>INDEX($A$6:$A$22,AJ5)</f>
        <v>1102002</v>
      </c>
      <c r="AX5" s="14" t="str">
        <f>INDEX($F$6:$F$22,AJ5)&amp;AN5&amp;"-1"</f>
        <v>许褚传记1-1</v>
      </c>
      <c r="AY5" s="14" t="str">
        <f>IF(INDEX($P$6:$P$13,AN5)&gt;=2,INDEX($F$6:$F$22,AJ5)&amp;AN5&amp;"-1","")</f>
        <v/>
      </c>
      <c r="AZ5" s="14" t="str">
        <f>INDEX($B$6:$B$22,AJ5)&amp;INDEX($Q$6:$Q$13,AN5)</f>
        <v>许褚碎片</v>
      </c>
      <c r="BA5" s="14">
        <f>IF(INDEX($R$6:$R$13,AN5)&lt;&gt;INDEX($S$6:$S$13,AN5),INDEX($R$6:$R$13,AN5)&amp;"~"&amp;INDEX($S$6:$S$13,AN5),INDEX($R$6:$R$13,AN5))</f>
        <v>1</v>
      </c>
      <c r="BB5" s="14" t="str">
        <f>IF(INDEX($P$6:$P$13,AN5)&gt;1,INDEX($B$6:$B$22,AJ5)&amp;INDEX($T$6:$T$13,AN5),"")</f>
        <v/>
      </c>
      <c r="BC5" s="14" t="str">
        <f>IF(INDEX($P$6:$P$13,AN5)&gt;1,IF(INDEX($U$6:$U$13,AN5)&lt;&gt;INDEX($V$6:$V$13,AN5),INDEX($U$6:$U$13,AN5)&amp;"~"&amp;INDEX($V$6:$V$13,AN5),INDEX($U$6:$U$13,AN5)),"")</f>
        <v/>
      </c>
      <c r="BD5" s="96"/>
      <c r="BG5" s="97">
        <v>1</v>
      </c>
      <c r="BH5" s="14">
        <f>MATCH(BG5-1,$J$5:$J$22,1)</f>
        <v>1</v>
      </c>
      <c r="BI5" s="14">
        <f>BG5-INDEX($J$5:$J$21,BH5)</f>
        <v>1</v>
      </c>
      <c r="BJ5" s="14">
        <f>3000+BG5</f>
        <v>3001</v>
      </c>
      <c r="BK5" s="14" t="str">
        <f>INDEX($F$6:$F$22,BH5)&amp;INDEX($AA$5:$AA$15,BI5)</f>
        <v>许褚传记1-1</v>
      </c>
      <c r="BM5" s="14" t="str">
        <f>BK5&amp;" "&amp;BN5</f>
        <v>许褚传记1-1 许褚碎片</v>
      </c>
      <c r="BN5" s="14" t="str">
        <f>INDEX($B$6:$B$22,BH5)&amp;INDEX($AB$5:$AB$15,BI5)</f>
        <v>许褚碎片</v>
      </c>
      <c r="BO5" s="14">
        <f>INDEX(AC$5:AC$15,$BI5)</f>
        <v>1</v>
      </c>
      <c r="BP5" s="14">
        <f>INDEX(AD$5:AD$15,$BI5)</f>
        <v>1</v>
      </c>
      <c r="BQ5" s="14">
        <v>10000</v>
      </c>
    </row>
    <row r="6" spans="1:69" ht="16.5" x14ac:dyDescent="0.2">
      <c r="A6" s="96">
        <v>1102002</v>
      </c>
      <c r="B6" s="96" t="s">
        <v>859</v>
      </c>
      <c r="C6" s="96">
        <v>3</v>
      </c>
      <c r="E6" s="96">
        <f>A6-1100000</f>
        <v>2002</v>
      </c>
      <c r="F6" s="96" t="str">
        <f>B6&amp;"传记"</f>
        <v>许褚传记</v>
      </c>
      <c r="G6" s="96">
        <v>5</v>
      </c>
      <c r="H6" s="96">
        <f>SUM(G$6:G6)</f>
        <v>5</v>
      </c>
      <c r="I6" s="97">
        <v>6</v>
      </c>
      <c r="J6" s="97">
        <f>SUM(I$5:I6)</f>
        <v>6</v>
      </c>
      <c r="M6" s="97">
        <v>1</v>
      </c>
      <c r="N6" s="97">
        <v>30</v>
      </c>
      <c r="O6" s="97"/>
      <c r="P6" s="97">
        <v>1</v>
      </c>
      <c r="Q6" s="97" t="s">
        <v>891</v>
      </c>
      <c r="R6" s="97">
        <v>1</v>
      </c>
      <c r="S6" s="97">
        <v>1</v>
      </c>
      <c r="T6" s="97"/>
      <c r="U6" s="97"/>
      <c r="V6" s="97"/>
      <c r="X6" s="97">
        <v>2</v>
      </c>
      <c r="Y6" s="97">
        <v>2</v>
      </c>
      <c r="Z6" s="97">
        <v>1</v>
      </c>
      <c r="AA6" s="48" t="s">
        <v>920</v>
      </c>
      <c r="AB6" s="97" t="s">
        <v>891</v>
      </c>
      <c r="AC6" s="97">
        <v>1</v>
      </c>
      <c r="AD6" s="97">
        <v>1</v>
      </c>
      <c r="AI6" s="96">
        <v>2</v>
      </c>
      <c r="AJ6" s="14">
        <f t="shared" ref="AJ6:AJ69" si="0">MATCH(AI6-1,$H$5:$H$22,1)</f>
        <v>1</v>
      </c>
      <c r="AK6" s="14">
        <f t="shared" ref="AK6:AK69" si="1">AL6*100+AN6</f>
        <v>200202</v>
      </c>
      <c r="AL6" s="14">
        <f t="shared" ref="AL6:AL69" si="2">INDEX($E$6:$E$22,AJ6)</f>
        <v>2002</v>
      </c>
      <c r="AM6" s="96" t="s">
        <v>886</v>
      </c>
      <c r="AN6" s="14">
        <f t="shared" ref="AN6:AN69" si="3">AI6-INDEX($H$5:$H$22,AJ6)</f>
        <v>2</v>
      </c>
      <c r="AO6" s="14">
        <f t="shared" ref="AO6:AO8" si="4">AK7</f>
        <v>200203</v>
      </c>
      <c r="AP6" s="14" t="str">
        <f t="shared" ref="AP6:AP69" si="5">INDEX($F$6:$F$22,AJ6)&amp;"-"&amp;AN6</f>
        <v>许褚传记-2</v>
      </c>
      <c r="AQ6" s="14" t="str">
        <f t="shared" ref="AQ6:AQ69" si="6">AP6</f>
        <v>许褚传记-2</v>
      </c>
      <c r="AR6" s="14">
        <f t="shared" ref="AR6:AR69" si="7">INDEX($N$6:$N$13,AN6)</f>
        <v>40</v>
      </c>
      <c r="AS6" s="14" t="str">
        <f t="shared" ref="AS6:AS69" si="8">IF(INDEX($O$6:$O$13,AN6)&gt;0,INDEX($O$6:$O$13,AN6),"")</f>
        <v/>
      </c>
      <c r="AT6" s="98">
        <v>3</v>
      </c>
      <c r="AU6" s="99" t="s">
        <v>890</v>
      </c>
      <c r="AV6" s="14" t="str">
        <f t="shared" ref="AV6:AV69" si="9">"KP_KM_"&amp;INDEX($A$6:$A$22,AJ6)</f>
        <v>KP_KM_1102002</v>
      </c>
      <c r="AW6" s="14">
        <f t="shared" ref="AW6:AW69" si="10">INDEX($A$6:$A$22,AJ6)</f>
        <v>1102002</v>
      </c>
      <c r="AX6" s="14" t="str">
        <f t="shared" ref="AX6:AX69" si="11">INDEX($F$6:$F$22,AJ6)&amp;AN6&amp;"-1"</f>
        <v>许褚传记2-1</v>
      </c>
      <c r="AY6" s="14" t="str">
        <f t="shared" ref="AY6:AY69" si="12">IF(INDEX($P$6:$P$13,AN6)&gt;=2,INDEX($F$6:$F$22,AJ6)&amp;AN6&amp;"-1","")</f>
        <v/>
      </c>
      <c r="AZ6" s="14" t="str">
        <f t="shared" ref="AZ6:AZ69" si="13">INDEX($B$6:$B$22,AJ6)&amp;INDEX($Q$6:$Q$13,AN6)</f>
        <v>许褚碎片</v>
      </c>
      <c r="BA6" s="14">
        <f t="shared" ref="BA6:BA69" si="14">IF(INDEX($R$6:$R$13,AN6)&lt;&gt;INDEX($S$6:$S$13,AN6),INDEX($R$6:$R$13,AN6)&amp;"~"&amp;INDEX($S$6:$S$13,AN6),INDEX($R$6:$R$13,AN6))</f>
        <v>1</v>
      </c>
      <c r="BB6" s="14" t="str">
        <f t="shared" ref="BB6:BB69" si="15">IF(INDEX($P$6:$P$13,AN6)&gt;1,INDEX($B$6:$B$22,AJ6)&amp;INDEX($T$6:$T$13,AN6),"")</f>
        <v/>
      </c>
      <c r="BC6" s="14" t="str">
        <f t="shared" ref="BC6:BC69" si="16">IF(INDEX($P$6:$P$13,AN6)&gt;1,IF(INDEX($U$6:$U$13,AN6)&lt;&gt;INDEX($V$6:$V$13,AN6),INDEX($U$6:$U$13,AN6)&amp;"~"&amp;INDEX($V$6:$V$13,AN6),INDEX($U$6:$U$13,AN6)),"")</f>
        <v/>
      </c>
      <c r="BD6" s="96"/>
      <c r="BG6" s="97">
        <v>2</v>
      </c>
      <c r="BH6" s="14">
        <f t="shared" ref="BH6:BH69" si="17">MATCH(BG6-1,$J$5:$J$22,1)</f>
        <v>1</v>
      </c>
      <c r="BI6" s="14">
        <f t="shared" ref="BI6:BI69" si="18">BG6-INDEX($J$5:$J$21,BH6)</f>
        <v>2</v>
      </c>
      <c r="BJ6" s="14">
        <f t="shared" ref="BJ6:BJ69" si="19">3000+BG6</f>
        <v>3002</v>
      </c>
      <c r="BK6" s="14" t="str">
        <f t="shared" ref="BK6:BK69" si="20">INDEX($F$6:$F$22,BH6)&amp;INDEX($AA$5:$AA$15,BI6)</f>
        <v>许褚传记2-1</v>
      </c>
      <c r="BM6" s="14" t="str">
        <f t="shared" ref="BM6:BM69" si="21">BK6&amp;" "&amp;BN6</f>
        <v>许褚传记2-1 许褚碎片</v>
      </c>
      <c r="BN6" s="14" t="str">
        <f t="shared" ref="BN6:BN69" si="22">INDEX($B$6:$B$22,BH6)&amp;INDEX($AB$5:$AB$15,BI6)</f>
        <v>许褚碎片</v>
      </c>
      <c r="BO6" s="14">
        <f t="shared" ref="BO6:BO69" si="23">INDEX(AC$5:AC$15,$BI6)</f>
        <v>1</v>
      </c>
      <c r="BP6" s="14">
        <f t="shared" ref="BP6:BP69" si="24">INDEX(AD$5:AD$15,$BI6)</f>
        <v>1</v>
      </c>
      <c r="BQ6" s="14">
        <v>10000</v>
      </c>
    </row>
    <row r="7" spans="1:69" ht="16.5" x14ac:dyDescent="0.2">
      <c r="A7" s="96">
        <v>1102003</v>
      </c>
      <c r="B7" s="96" t="s">
        <v>856</v>
      </c>
      <c r="C7" s="96">
        <v>4</v>
      </c>
      <c r="E7" s="96">
        <f t="shared" ref="E7:E22" si="25">A7-1100000</f>
        <v>2003</v>
      </c>
      <c r="F7" s="96" t="str">
        <f t="shared" ref="F7:F22" si="26">B7&amp;"传记"</f>
        <v>典韦传记</v>
      </c>
      <c r="G7" s="96">
        <v>8</v>
      </c>
      <c r="H7" s="96">
        <f>SUM(G$6:G7)</f>
        <v>13</v>
      </c>
      <c r="I7" s="97">
        <v>11</v>
      </c>
      <c r="J7" s="97">
        <f>SUM(I$5:I7)</f>
        <v>17</v>
      </c>
      <c r="M7" s="97">
        <v>2</v>
      </c>
      <c r="N7" s="97">
        <v>40</v>
      </c>
      <c r="O7" s="97"/>
      <c r="P7" s="97">
        <v>1</v>
      </c>
      <c r="Q7" s="97" t="s">
        <v>891</v>
      </c>
      <c r="R7" s="97">
        <v>1</v>
      </c>
      <c r="S7" s="97">
        <v>1</v>
      </c>
      <c r="T7" s="97"/>
      <c r="U7" s="97"/>
      <c r="V7" s="97"/>
      <c r="X7" s="97">
        <v>3</v>
      </c>
      <c r="Y7" s="97">
        <v>3</v>
      </c>
      <c r="Z7" s="97">
        <v>1</v>
      </c>
      <c r="AA7" s="48" t="s">
        <v>921</v>
      </c>
      <c r="AB7" s="97" t="s">
        <v>895</v>
      </c>
      <c r="AC7" s="97">
        <v>1</v>
      </c>
      <c r="AD7" s="97">
        <v>2</v>
      </c>
      <c r="AI7" s="96">
        <v>3</v>
      </c>
      <c r="AJ7" s="14">
        <f t="shared" si="0"/>
        <v>1</v>
      </c>
      <c r="AK7" s="14">
        <f t="shared" si="1"/>
        <v>200203</v>
      </c>
      <c r="AL7" s="14">
        <f t="shared" si="2"/>
        <v>2002</v>
      </c>
      <c r="AM7" s="96" t="s">
        <v>886</v>
      </c>
      <c r="AN7" s="14">
        <f t="shared" si="3"/>
        <v>3</v>
      </c>
      <c r="AO7" s="14">
        <f t="shared" si="4"/>
        <v>200204</v>
      </c>
      <c r="AP7" s="14" t="str">
        <f t="shared" si="5"/>
        <v>许褚传记-3</v>
      </c>
      <c r="AQ7" s="14" t="str">
        <f t="shared" si="6"/>
        <v>许褚传记-3</v>
      </c>
      <c r="AR7" s="14">
        <f t="shared" si="7"/>
        <v>55</v>
      </c>
      <c r="AS7" s="14" t="str">
        <f t="shared" si="8"/>
        <v/>
      </c>
      <c r="AT7" s="98">
        <v>3</v>
      </c>
      <c r="AU7" s="99" t="s">
        <v>890</v>
      </c>
      <c r="AV7" s="14" t="str">
        <f t="shared" si="9"/>
        <v>KP_KM_1102002</v>
      </c>
      <c r="AW7" s="14">
        <f t="shared" si="10"/>
        <v>1102002</v>
      </c>
      <c r="AX7" s="14" t="str">
        <f t="shared" si="11"/>
        <v>许褚传记3-1</v>
      </c>
      <c r="AY7" s="14" t="str">
        <f t="shared" si="12"/>
        <v/>
      </c>
      <c r="AZ7" s="14" t="str">
        <f t="shared" si="13"/>
        <v>许褚碎片</v>
      </c>
      <c r="BA7" s="14" t="str">
        <f t="shared" si="14"/>
        <v>1~2</v>
      </c>
      <c r="BB7" s="14" t="str">
        <f t="shared" si="15"/>
        <v/>
      </c>
      <c r="BC7" s="14" t="str">
        <f t="shared" si="16"/>
        <v/>
      </c>
      <c r="BD7" s="96"/>
      <c r="BG7" s="97">
        <v>3</v>
      </c>
      <c r="BH7" s="14">
        <f t="shared" si="17"/>
        <v>1</v>
      </c>
      <c r="BI7" s="14">
        <f t="shared" si="18"/>
        <v>3</v>
      </c>
      <c r="BJ7" s="14">
        <f t="shared" si="19"/>
        <v>3003</v>
      </c>
      <c r="BK7" s="14" t="str">
        <f t="shared" si="20"/>
        <v>许褚传记3-1</v>
      </c>
      <c r="BM7" s="14" t="str">
        <f t="shared" si="21"/>
        <v>许褚传记3-1 许褚碎片</v>
      </c>
      <c r="BN7" s="14" t="str">
        <f t="shared" si="22"/>
        <v>许褚碎片</v>
      </c>
      <c r="BO7" s="14">
        <f t="shared" si="23"/>
        <v>1</v>
      </c>
      <c r="BP7" s="14">
        <f t="shared" si="24"/>
        <v>2</v>
      </c>
      <c r="BQ7" s="14">
        <v>10000</v>
      </c>
    </row>
    <row r="8" spans="1:69" ht="16.5" x14ac:dyDescent="0.2">
      <c r="A8" s="96">
        <v>1102005</v>
      </c>
      <c r="B8" s="96" t="s">
        <v>860</v>
      </c>
      <c r="C8" s="96">
        <v>3</v>
      </c>
      <c r="E8" s="96">
        <f t="shared" si="25"/>
        <v>2005</v>
      </c>
      <c r="F8" s="96" t="str">
        <f t="shared" si="26"/>
        <v>李轩辕传记</v>
      </c>
      <c r="G8" s="96">
        <v>5</v>
      </c>
      <c r="H8" s="96">
        <f>SUM(G$6:G8)</f>
        <v>18</v>
      </c>
      <c r="I8" s="97">
        <v>6</v>
      </c>
      <c r="J8" s="97">
        <f>SUM(I$5:I8)</f>
        <v>23</v>
      </c>
      <c r="M8" s="97">
        <v>3</v>
      </c>
      <c r="N8" s="97">
        <v>55</v>
      </c>
      <c r="O8" s="97"/>
      <c r="P8" s="97">
        <v>1</v>
      </c>
      <c r="Q8" s="97" t="s">
        <v>895</v>
      </c>
      <c r="R8" s="97">
        <v>1</v>
      </c>
      <c r="S8" s="97">
        <v>2</v>
      </c>
      <c r="T8" s="97"/>
      <c r="U8" s="97"/>
      <c r="V8" s="97"/>
      <c r="X8" s="97">
        <v>4</v>
      </c>
      <c r="Y8" s="97">
        <v>4</v>
      </c>
      <c r="Z8" s="97">
        <v>1</v>
      </c>
      <c r="AA8" s="48" t="s">
        <v>922</v>
      </c>
      <c r="AB8" s="97" t="s">
        <v>894</v>
      </c>
      <c r="AC8" s="97">
        <v>1</v>
      </c>
      <c r="AD8" s="97">
        <v>1</v>
      </c>
      <c r="AI8" s="96">
        <v>4</v>
      </c>
      <c r="AJ8" s="14">
        <f t="shared" si="0"/>
        <v>1</v>
      </c>
      <c r="AK8" s="14">
        <f t="shared" si="1"/>
        <v>200204</v>
      </c>
      <c r="AL8" s="14">
        <f t="shared" si="2"/>
        <v>2002</v>
      </c>
      <c r="AM8" s="96" t="s">
        <v>886</v>
      </c>
      <c r="AN8" s="14">
        <f t="shared" si="3"/>
        <v>4</v>
      </c>
      <c r="AO8" s="14">
        <f t="shared" si="4"/>
        <v>200205</v>
      </c>
      <c r="AP8" s="14" t="str">
        <f t="shared" si="5"/>
        <v>许褚传记-4</v>
      </c>
      <c r="AQ8" s="14" t="str">
        <f t="shared" si="6"/>
        <v>许褚传记-4</v>
      </c>
      <c r="AR8" s="14">
        <f t="shared" si="7"/>
        <v>70</v>
      </c>
      <c r="AS8" s="14" t="str">
        <f t="shared" si="8"/>
        <v/>
      </c>
      <c r="AT8" s="98">
        <v>3</v>
      </c>
      <c r="AU8" s="99" t="s">
        <v>890</v>
      </c>
      <c r="AV8" s="14" t="str">
        <f t="shared" si="9"/>
        <v>KP_KM_1102002</v>
      </c>
      <c r="AW8" s="14">
        <f t="shared" si="10"/>
        <v>1102002</v>
      </c>
      <c r="AX8" s="14" t="str">
        <f t="shared" si="11"/>
        <v>许褚传记4-1</v>
      </c>
      <c r="AY8" s="14" t="str">
        <f t="shared" si="12"/>
        <v/>
      </c>
      <c r="AZ8" s="14" t="str">
        <f t="shared" si="13"/>
        <v>许褚专属武器碎片</v>
      </c>
      <c r="BA8" s="14">
        <f t="shared" si="14"/>
        <v>1</v>
      </c>
      <c r="BB8" s="14" t="str">
        <f t="shared" si="15"/>
        <v/>
      </c>
      <c r="BC8" s="14" t="str">
        <f t="shared" si="16"/>
        <v/>
      </c>
      <c r="BD8" s="96"/>
      <c r="BG8" s="97">
        <v>4</v>
      </c>
      <c r="BH8" s="14">
        <f t="shared" si="17"/>
        <v>1</v>
      </c>
      <c r="BI8" s="14">
        <f t="shared" si="18"/>
        <v>4</v>
      </c>
      <c r="BJ8" s="14">
        <f t="shared" si="19"/>
        <v>3004</v>
      </c>
      <c r="BK8" s="14" t="str">
        <f t="shared" si="20"/>
        <v>许褚传记4-1</v>
      </c>
      <c r="BM8" s="14" t="str">
        <f t="shared" si="21"/>
        <v>许褚传记4-1 许褚专属武器碎片</v>
      </c>
      <c r="BN8" s="14" t="str">
        <f t="shared" si="22"/>
        <v>许褚专属武器碎片</v>
      </c>
      <c r="BO8" s="14">
        <f t="shared" si="23"/>
        <v>1</v>
      </c>
      <c r="BP8" s="14">
        <f t="shared" si="24"/>
        <v>1</v>
      </c>
      <c r="BQ8" s="14">
        <v>10000</v>
      </c>
    </row>
    <row r="9" spans="1:69" ht="16.5" x14ac:dyDescent="0.2">
      <c r="A9" s="96">
        <v>1102007</v>
      </c>
      <c r="B9" s="96" t="s">
        <v>861</v>
      </c>
      <c r="C9" s="96">
        <v>4</v>
      </c>
      <c r="E9" s="96">
        <f t="shared" si="25"/>
        <v>2007</v>
      </c>
      <c r="F9" s="96" t="str">
        <f t="shared" si="26"/>
        <v>天使缇娜传记</v>
      </c>
      <c r="G9" s="96">
        <v>8</v>
      </c>
      <c r="H9" s="96">
        <f>SUM(G$6:G9)</f>
        <v>26</v>
      </c>
      <c r="I9" s="97">
        <v>11</v>
      </c>
      <c r="J9" s="97">
        <f>SUM(I$5:I9)</f>
        <v>34</v>
      </c>
      <c r="M9" s="97">
        <v>4</v>
      </c>
      <c r="N9" s="97">
        <v>70</v>
      </c>
      <c r="O9" s="97"/>
      <c r="P9" s="97">
        <v>1</v>
      </c>
      <c r="Q9" s="97" t="s">
        <v>894</v>
      </c>
      <c r="R9" s="97">
        <v>1</v>
      </c>
      <c r="S9" s="97">
        <v>1</v>
      </c>
      <c r="T9" s="97"/>
      <c r="U9" s="97"/>
      <c r="V9" s="97"/>
      <c r="X9" s="97">
        <v>5</v>
      </c>
      <c r="Y9" s="97">
        <v>5</v>
      </c>
      <c r="Z9" s="97">
        <v>1</v>
      </c>
      <c r="AA9" s="48" t="s">
        <v>923</v>
      </c>
      <c r="AB9" s="97" t="s">
        <v>891</v>
      </c>
      <c r="AC9" s="97">
        <v>1</v>
      </c>
      <c r="AD9" s="97">
        <v>2</v>
      </c>
      <c r="AI9" s="96">
        <v>5</v>
      </c>
      <c r="AJ9" s="14">
        <f t="shared" si="0"/>
        <v>1</v>
      </c>
      <c r="AK9" s="14">
        <f t="shared" si="1"/>
        <v>200205</v>
      </c>
      <c r="AL9" s="14">
        <f t="shared" si="2"/>
        <v>2002</v>
      </c>
      <c r="AM9" s="96" t="s">
        <v>886</v>
      </c>
      <c r="AN9" s="14">
        <f t="shared" si="3"/>
        <v>5</v>
      </c>
      <c r="AO9" s="14">
        <v>-1</v>
      </c>
      <c r="AP9" s="14" t="str">
        <f t="shared" si="5"/>
        <v>许褚传记-5</v>
      </c>
      <c r="AQ9" s="14" t="str">
        <f t="shared" si="6"/>
        <v>许褚传记-5</v>
      </c>
      <c r="AR9" s="14">
        <f t="shared" si="7"/>
        <v>80</v>
      </c>
      <c r="AS9" s="14" t="str">
        <f t="shared" si="8"/>
        <v/>
      </c>
      <c r="AT9" s="98">
        <v>3</v>
      </c>
      <c r="AU9" s="99" t="s">
        <v>890</v>
      </c>
      <c r="AV9" s="14" t="str">
        <f t="shared" si="9"/>
        <v>KP_KM_1102002</v>
      </c>
      <c r="AW9" s="14">
        <f t="shared" si="10"/>
        <v>1102002</v>
      </c>
      <c r="AX9" s="14" t="str">
        <f t="shared" si="11"/>
        <v>许褚传记5-1</v>
      </c>
      <c r="AY9" s="14" t="str">
        <f t="shared" si="12"/>
        <v>许褚传记5-1</v>
      </c>
      <c r="AZ9" s="14" t="str">
        <f t="shared" si="13"/>
        <v>许褚碎片</v>
      </c>
      <c r="BA9" s="14" t="str">
        <f t="shared" si="14"/>
        <v>1~2</v>
      </c>
      <c r="BB9" s="14" t="str">
        <f t="shared" si="15"/>
        <v>许褚专属武器碎片</v>
      </c>
      <c r="BC9" s="14">
        <f t="shared" si="16"/>
        <v>1</v>
      </c>
      <c r="BD9" s="96"/>
      <c r="BG9" s="97">
        <v>5</v>
      </c>
      <c r="BH9" s="14">
        <f t="shared" si="17"/>
        <v>1</v>
      </c>
      <c r="BI9" s="14">
        <f t="shared" si="18"/>
        <v>5</v>
      </c>
      <c r="BJ9" s="14">
        <f t="shared" si="19"/>
        <v>3005</v>
      </c>
      <c r="BK9" s="14" t="str">
        <f t="shared" si="20"/>
        <v>许褚传记5-1</v>
      </c>
      <c r="BM9" s="14" t="str">
        <f t="shared" si="21"/>
        <v>许褚传记5-1 许褚碎片</v>
      </c>
      <c r="BN9" s="14" t="str">
        <f t="shared" si="22"/>
        <v>许褚碎片</v>
      </c>
      <c r="BO9" s="14">
        <f t="shared" si="23"/>
        <v>1</v>
      </c>
      <c r="BP9" s="14">
        <f t="shared" si="24"/>
        <v>2</v>
      </c>
      <c r="BQ9" s="14">
        <v>10000</v>
      </c>
    </row>
    <row r="10" spans="1:69" ht="16.5" x14ac:dyDescent="0.2">
      <c r="A10" s="96">
        <v>1102008</v>
      </c>
      <c r="B10" s="96" t="s">
        <v>857</v>
      </c>
      <c r="C10" s="96">
        <v>4</v>
      </c>
      <c r="E10" s="96">
        <f t="shared" si="25"/>
        <v>2008</v>
      </c>
      <c r="F10" s="96" t="str">
        <f t="shared" si="26"/>
        <v>夏侯渊传记</v>
      </c>
      <c r="G10" s="96">
        <v>8</v>
      </c>
      <c r="H10" s="96">
        <f>SUM(G$6:G10)</f>
        <v>34</v>
      </c>
      <c r="I10" s="97">
        <v>11</v>
      </c>
      <c r="J10" s="97">
        <f>SUM(I$5:I10)</f>
        <v>45</v>
      </c>
      <c r="M10" s="97">
        <v>5</v>
      </c>
      <c r="N10" s="97">
        <v>80</v>
      </c>
      <c r="O10" s="97"/>
      <c r="P10" s="97">
        <v>2</v>
      </c>
      <c r="Q10" s="97" t="s">
        <v>891</v>
      </c>
      <c r="R10" s="97">
        <v>1</v>
      </c>
      <c r="S10" s="97">
        <v>2</v>
      </c>
      <c r="T10" s="97" t="s">
        <v>894</v>
      </c>
      <c r="U10" s="97">
        <v>1</v>
      </c>
      <c r="V10" s="97">
        <v>1</v>
      </c>
      <c r="X10" s="97">
        <v>6</v>
      </c>
      <c r="Y10" s="97">
        <v>5</v>
      </c>
      <c r="Z10" s="97">
        <v>2</v>
      </c>
      <c r="AA10" s="48" t="s">
        <v>924</v>
      </c>
      <c r="AB10" s="97" t="s">
        <v>894</v>
      </c>
      <c r="AC10" s="97">
        <v>1</v>
      </c>
      <c r="AD10" s="97">
        <v>1</v>
      </c>
      <c r="AI10" s="96">
        <v>6</v>
      </c>
      <c r="AJ10" s="14">
        <f t="shared" si="0"/>
        <v>2</v>
      </c>
      <c r="AK10" s="14">
        <f t="shared" si="1"/>
        <v>200301</v>
      </c>
      <c r="AL10" s="14">
        <f t="shared" si="2"/>
        <v>2003</v>
      </c>
      <c r="AM10" s="96" t="s">
        <v>886</v>
      </c>
      <c r="AN10" s="14">
        <f t="shared" si="3"/>
        <v>1</v>
      </c>
      <c r="AO10" s="14">
        <f>IF(AJ11=AJ10,AK11,-1)</f>
        <v>200302</v>
      </c>
      <c r="AP10" s="14" t="str">
        <f t="shared" si="5"/>
        <v>典韦传记-1</v>
      </c>
      <c r="AQ10" s="14" t="str">
        <f t="shared" si="6"/>
        <v>典韦传记-1</v>
      </c>
      <c r="AR10" s="14">
        <f t="shared" si="7"/>
        <v>30</v>
      </c>
      <c r="AS10" s="14" t="str">
        <f t="shared" si="8"/>
        <v/>
      </c>
      <c r="AT10" s="98">
        <v>3</v>
      </c>
      <c r="AU10" s="99" t="s">
        <v>890</v>
      </c>
      <c r="AV10" s="14" t="str">
        <f t="shared" si="9"/>
        <v>KP_KM_1102003</v>
      </c>
      <c r="AW10" s="14">
        <f t="shared" si="10"/>
        <v>1102003</v>
      </c>
      <c r="AX10" s="14" t="str">
        <f t="shared" si="11"/>
        <v>典韦传记1-1</v>
      </c>
      <c r="AY10" s="14" t="str">
        <f t="shared" si="12"/>
        <v/>
      </c>
      <c r="AZ10" s="14" t="str">
        <f t="shared" si="13"/>
        <v>典韦碎片</v>
      </c>
      <c r="BA10" s="14">
        <f t="shared" si="14"/>
        <v>1</v>
      </c>
      <c r="BB10" s="14" t="str">
        <f t="shared" si="15"/>
        <v/>
      </c>
      <c r="BC10" s="14" t="str">
        <f t="shared" si="16"/>
        <v/>
      </c>
      <c r="BD10" s="96"/>
      <c r="BG10" s="97">
        <v>6</v>
      </c>
      <c r="BH10" s="14">
        <f t="shared" si="17"/>
        <v>1</v>
      </c>
      <c r="BI10" s="14">
        <f t="shared" si="18"/>
        <v>6</v>
      </c>
      <c r="BJ10" s="14">
        <f t="shared" si="19"/>
        <v>3006</v>
      </c>
      <c r="BK10" s="14" t="str">
        <f t="shared" si="20"/>
        <v>许褚传记5-2</v>
      </c>
      <c r="BM10" s="14" t="str">
        <f t="shared" si="21"/>
        <v>许褚传记5-2 许褚专属武器碎片</v>
      </c>
      <c r="BN10" s="14" t="str">
        <f t="shared" si="22"/>
        <v>许褚专属武器碎片</v>
      </c>
      <c r="BO10" s="14">
        <f t="shared" si="23"/>
        <v>1</v>
      </c>
      <c r="BP10" s="14">
        <f t="shared" si="24"/>
        <v>1</v>
      </c>
      <c r="BQ10" s="14">
        <v>10000</v>
      </c>
    </row>
    <row r="11" spans="1:69" ht="16.5" x14ac:dyDescent="0.2">
      <c r="A11" s="96">
        <v>1102009</v>
      </c>
      <c r="B11" s="96" t="s">
        <v>862</v>
      </c>
      <c r="C11" s="96">
        <v>3</v>
      </c>
      <c r="E11" s="96">
        <f t="shared" si="25"/>
        <v>2009</v>
      </c>
      <c r="F11" s="96" t="str">
        <f t="shared" si="26"/>
        <v>徐晃传记</v>
      </c>
      <c r="G11" s="96">
        <v>5</v>
      </c>
      <c r="H11" s="96">
        <f>SUM(G$6:G11)</f>
        <v>39</v>
      </c>
      <c r="I11" s="97">
        <v>6</v>
      </c>
      <c r="J11" s="97">
        <f>SUM(I$5:I11)</f>
        <v>51</v>
      </c>
      <c r="M11" s="97">
        <v>6</v>
      </c>
      <c r="N11" s="97">
        <v>90</v>
      </c>
      <c r="O11" s="97">
        <v>2</v>
      </c>
      <c r="P11" s="97">
        <v>2</v>
      </c>
      <c r="Q11" s="97" t="s">
        <v>891</v>
      </c>
      <c r="R11" s="97">
        <v>1</v>
      </c>
      <c r="S11" s="97">
        <v>2</v>
      </c>
      <c r="T11" s="97" t="s">
        <v>894</v>
      </c>
      <c r="U11" s="97">
        <v>1</v>
      </c>
      <c r="V11" s="97">
        <v>1</v>
      </c>
      <c r="X11" s="97">
        <v>7</v>
      </c>
      <c r="Y11" s="97">
        <v>6</v>
      </c>
      <c r="Z11" s="97">
        <v>1</v>
      </c>
      <c r="AA11" s="48" t="s">
        <v>925</v>
      </c>
      <c r="AB11" s="97" t="s">
        <v>891</v>
      </c>
      <c r="AC11" s="97">
        <v>1</v>
      </c>
      <c r="AD11" s="97">
        <v>2</v>
      </c>
      <c r="AI11" s="96">
        <v>7</v>
      </c>
      <c r="AJ11" s="14">
        <f t="shared" si="0"/>
        <v>2</v>
      </c>
      <c r="AK11" s="14">
        <f t="shared" si="1"/>
        <v>200302</v>
      </c>
      <c r="AL11" s="14">
        <f t="shared" si="2"/>
        <v>2003</v>
      </c>
      <c r="AM11" s="96" t="s">
        <v>886</v>
      </c>
      <c r="AN11" s="14">
        <f t="shared" si="3"/>
        <v>2</v>
      </c>
      <c r="AO11" s="14">
        <f t="shared" ref="AO11:AO74" si="27">IF(AJ12=AJ11,AK12,-1)</f>
        <v>200303</v>
      </c>
      <c r="AP11" s="14" t="str">
        <f t="shared" si="5"/>
        <v>典韦传记-2</v>
      </c>
      <c r="AQ11" s="14" t="str">
        <f t="shared" si="6"/>
        <v>典韦传记-2</v>
      </c>
      <c r="AR11" s="14">
        <f t="shared" si="7"/>
        <v>40</v>
      </c>
      <c r="AS11" s="14" t="str">
        <f t="shared" si="8"/>
        <v/>
      </c>
      <c r="AT11" s="98">
        <v>3</v>
      </c>
      <c r="AU11" s="99" t="s">
        <v>890</v>
      </c>
      <c r="AV11" s="14" t="str">
        <f t="shared" si="9"/>
        <v>KP_KM_1102003</v>
      </c>
      <c r="AW11" s="14">
        <f t="shared" si="10"/>
        <v>1102003</v>
      </c>
      <c r="AX11" s="14" t="str">
        <f t="shared" si="11"/>
        <v>典韦传记2-1</v>
      </c>
      <c r="AY11" s="14" t="str">
        <f t="shared" si="12"/>
        <v/>
      </c>
      <c r="AZ11" s="14" t="str">
        <f t="shared" si="13"/>
        <v>典韦碎片</v>
      </c>
      <c r="BA11" s="14">
        <f t="shared" si="14"/>
        <v>1</v>
      </c>
      <c r="BB11" s="14" t="str">
        <f t="shared" si="15"/>
        <v/>
      </c>
      <c r="BC11" s="14" t="str">
        <f t="shared" si="16"/>
        <v/>
      </c>
      <c r="BD11" s="96"/>
      <c r="BG11" s="97">
        <v>7</v>
      </c>
      <c r="BH11" s="14">
        <f t="shared" si="17"/>
        <v>2</v>
      </c>
      <c r="BI11" s="14">
        <f t="shared" si="18"/>
        <v>1</v>
      </c>
      <c r="BJ11" s="14">
        <f t="shared" si="19"/>
        <v>3007</v>
      </c>
      <c r="BK11" s="14" t="str">
        <f t="shared" si="20"/>
        <v>典韦传记1-1</v>
      </c>
      <c r="BM11" s="14" t="str">
        <f t="shared" si="21"/>
        <v>典韦传记1-1 典韦碎片</v>
      </c>
      <c r="BN11" s="14" t="str">
        <f t="shared" si="22"/>
        <v>典韦碎片</v>
      </c>
      <c r="BO11" s="14">
        <f t="shared" si="23"/>
        <v>1</v>
      </c>
      <c r="BP11" s="14">
        <f t="shared" si="24"/>
        <v>1</v>
      </c>
      <c r="BQ11" s="14">
        <v>10000</v>
      </c>
    </row>
    <row r="12" spans="1:69" ht="16.5" x14ac:dyDescent="0.2">
      <c r="A12" s="96">
        <v>1102010</v>
      </c>
      <c r="B12" s="96" t="s">
        <v>863</v>
      </c>
      <c r="C12" s="96">
        <v>4</v>
      </c>
      <c r="E12" s="96">
        <f t="shared" si="25"/>
        <v>2010</v>
      </c>
      <c r="F12" s="96" t="str">
        <f t="shared" si="26"/>
        <v>张郃传记</v>
      </c>
      <c r="G12" s="96">
        <v>8</v>
      </c>
      <c r="H12" s="96">
        <f>SUM(G$6:G12)</f>
        <v>47</v>
      </c>
      <c r="I12" s="97">
        <v>11</v>
      </c>
      <c r="J12" s="97">
        <f>SUM(I$5:I12)</f>
        <v>62</v>
      </c>
      <c r="M12" s="97">
        <v>7</v>
      </c>
      <c r="N12" s="97">
        <v>100</v>
      </c>
      <c r="O12" s="97">
        <v>2</v>
      </c>
      <c r="P12" s="97">
        <v>2</v>
      </c>
      <c r="Q12" s="97" t="s">
        <v>891</v>
      </c>
      <c r="R12" s="97">
        <v>1</v>
      </c>
      <c r="S12" s="97">
        <v>2</v>
      </c>
      <c r="T12" s="97" t="s">
        <v>894</v>
      </c>
      <c r="U12" s="97">
        <v>1</v>
      </c>
      <c r="V12" s="97">
        <v>1</v>
      </c>
      <c r="X12" s="97">
        <v>8</v>
      </c>
      <c r="Y12" s="97">
        <v>6</v>
      </c>
      <c r="Z12" s="97">
        <v>2</v>
      </c>
      <c r="AA12" s="48" t="s">
        <v>926</v>
      </c>
      <c r="AB12" s="97" t="s">
        <v>894</v>
      </c>
      <c r="AC12" s="97">
        <v>1</v>
      </c>
      <c r="AD12" s="97">
        <v>1</v>
      </c>
      <c r="AI12" s="96">
        <v>8</v>
      </c>
      <c r="AJ12" s="14">
        <f t="shared" si="0"/>
        <v>2</v>
      </c>
      <c r="AK12" s="14">
        <f t="shared" si="1"/>
        <v>200303</v>
      </c>
      <c r="AL12" s="14">
        <f t="shared" si="2"/>
        <v>2003</v>
      </c>
      <c r="AM12" s="96" t="s">
        <v>886</v>
      </c>
      <c r="AN12" s="14">
        <f t="shared" si="3"/>
        <v>3</v>
      </c>
      <c r="AO12" s="14">
        <f t="shared" si="27"/>
        <v>200304</v>
      </c>
      <c r="AP12" s="14" t="str">
        <f t="shared" si="5"/>
        <v>典韦传记-3</v>
      </c>
      <c r="AQ12" s="14" t="str">
        <f t="shared" si="6"/>
        <v>典韦传记-3</v>
      </c>
      <c r="AR12" s="14">
        <f t="shared" si="7"/>
        <v>55</v>
      </c>
      <c r="AS12" s="14" t="str">
        <f t="shared" si="8"/>
        <v/>
      </c>
      <c r="AT12" s="98">
        <v>3</v>
      </c>
      <c r="AU12" s="99" t="s">
        <v>890</v>
      </c>
      <c r="AV12" s="14" t="str">
        <f t="shared" si="9"/>
        <v>KP_KM_1102003</v>
      </c>
      <c r="AW12" s="14">
        <f t="shared" si="10"/>
        <v>1102003</v>
      </c>
      <c r="AX12" s="14" t="str">
        <f t="shared" si="11"/>
        <v>典韦传记3-1</v>
      </c>
      <c r="AY12" s="14" t="str">
        <f t="shared" si="12"/>
        <v/>
      </c>
      <c r="AZ12" s="14" t="str">
        <f t="shared" si="13"/>
        <v>典韦碎片</v>
      </c>
      <c r="BA12" s="14" t="str">
        <f t="shared" si="14"/>
        <v>1~2</v>
      </c>
      <c r="BB12" s="14" t="str">
        <f t="shared" si="15"/>
        <v/>
      </c>
      <c r="BC12" s="14" t="str">
        <f t="shared" si="16"/>
        <v/>
      </c>
      <c r="BD12" s="96"/>
      <c r="BG12" s="97">
        <v>8</v>
      </c>
      <c r="BH12" s="14">
        <f t="shared" si="17"/>
        <v>2</v>
      </c>
      <c r="BI12" s="14">
        <f t="shared" si="18"/>
        <v>2</v>
      </c>
      <c r="BJ12" s="14">
        <f t="shared" si="19"/>
        <v>3008</v>
      </c>
      <c r="BK12" s="14" t="str">
        <f t="shared" si="20"/>
        <v>典韦传记2-1</v>
      </c>
      <c r="BM12" s="14" t="str">
        <f t="shared" si="21"/>
        <v>典韦传记2-1 典韦碎片</v>
      </c>
      <c r="BN12" s="14" t="str">
        <f t="shared" si="22"/>
        <v>典韦碎片</v>
      </c>
      <c r="BO12" s="14">
        <f t="shared" si="23"/>
        <v>1</v>
      </c>
      <c r="BP12" s="14">
        <f t="shared" si="24"/>
        <v>1</v>
      </c>
      <c r="BQ12" s="14">
        <v>10000</v>
      </c>
    </row>
    <row r="13" spans="1:69" ht="16.5" x14ac:dyDescent="0.2">
      <c r="A13" s="96">
        <v>1102011</v>
      </c>
      <c r="B13" s="96" t="s">
        <v>864</v>
      </c>
      <c r="C13" s="96">
        <v>4</v>
      </c>
      <c r="E13" s="96">
        <f t="shared" si="25"/>
        <v>2011</v>
      </c>
      <c r="F13" s="96" t="str">
        <f t="shared" si="26"/>
        <v>张飞传记</v>
      </c>
      <c r="G13" s="96">
        <v>8</v>
      </c>
      <c r="H13" s="96">
        <f>SUM(G$6:G13)</f>
        <v>55</v>
      </c>
      <c r="I13" s="97">
        <v>11</v>
      </c>
      <c r="J13" s="97">
        <f>SUM(I$5:I13)</f>
        <v>73</v>
      </c>
      <c r="M13" s="97">
        <v>8</v>
      </c>
      <c r="N13" s="97">
        <v>120</v>
      </c>
      <c r="O13" s="97">
        <v>2</v>
      </c>
      <c r="P13" s="97">
        <v>1</v>
      </c>
      <c r="Q13" s="97" t="s">
        <v>891</v>
      </c>
      <c r="R13" s="97">
        <v>2</v>
      </c>
      <c r="S13" s="97">
        <v>2</v>
      </c>
      <c r="T13" s="97"/>
      <c r="U13" s="97"/>
      <c r="V13" s="97"/>
      <c r="X13" s="97">
        <v>9</v>
      </c>
      <c r="Y13" s="97">
        <v>7</v>
      </c>
      <c r="Z13" s="97">
        <v>1</v>
      </c>
      <c r="AA13" s="48" t="s">
        <v>927</v>
      </c>
      <c r="AB13" s="97" t="s">
        <v>891</v>
      </c>
      <c r="AC13" s="97">
        <v>1</v>
      </c>
      <c r="AD13" s="97">
        <v>2</v>
      </c>
      <c r="AI13" s="96">
        <v>9</v>
      </c>
      <c r="AJ13" s="14">
        <f t="shared" si="0"/>
        <v>2</v>
      </c>
      <c r="AK13" s="14">
        <f t="shared" si="1"/>
        <v>200304</v>
      </c>
      <c r="AL13" s="14">
        <f t="shared" si="2"/>
        <v>2003</v>
      </c>
      <c r="AM13" s="96" t="s">
        <v>886</v>
      </c>
      <c r="AN13" s="14">
        <f t="shared" si="3"/>
        <v>4</v>
      </c>
      <c r="AO13" s="14">
        <f t="shared" si="27"/>
        <v>200305</v>
      </c>
      <c r="AP13" s="14" t="str">
        <f t="shared" si="5"/>
        <v>典韦传记-4</v>
      </c>
      <c r="AQ13" s="14" t="str">
        <f t="shared" si="6"/>
        <v>典韦传记-4</v>
      </c>
      <c r="AR13" s="14">
        <f t="shared" si="7"/>
        <v>70</v>
      </c>
      <c r="AS13" s="14" t="str">
        <f t="shared" si="8"/>
        <v/>
      </c>
      <c r="AT13" s="98">
        <v>3</v>
      </c>
      <c r="AU13" s="99" t="s">
        <v>890</v>
      </c>
      <c r="AV13" s="14" t="str">
        <f t="shared" si="9"/>
        <v>KP_KM_1102003</v>
      </c>
      <c r="AW13" s="14">
        <f t="shared" si="10"/>
        <v>1102003</v>
      </c>
      <c r="AX13" s="14" t="str">
        <f t="shared" si="11"/>
        <v>典韦传记4-1</v>
      </c>
      <c r="AY13" s="14" t="str">
        <f t="shared" si="12"/>
        <v/>
      </c>
      <c r="AZ13" s="14" t="str">
        <f t="shared" si="13"/>
        <v>典韦专属武器碎片</v>
      </c>
      <c r="BA13" s="14">
        <f t="shared" si="14"/>
        <v>1</v>
      </c>
      <c r="BB13" s="14" t="str">
        <f t="shared" si="15"/>
        <v/>
      </c>
      <c r="BC13" s="14" t="str">
        <f t="shared" si="16"/>
        <v/>
      </c>
      <c r="BD13" s="96"/>
      <c r="BG13" s="97">
        <v>9</v>
      </c>
      <c r="BH13" s="14">
        <f t="shared" si="17"/>
        <v>2</v>
      </c>
      <c r="BI13" s="14">
        <f t="shared" si="18"/>
        <v>3</v>
      </c>
      <c r="BJ13" s="14">
        <f t="shared" si="19"/>
        <v>3009</v>
      </c>
      <c r="BK13" s="14" t="str">
        <f t="shared" si="20"/>
        <v>典韦传记3-1</v>
      </c>
      <c r="BM13" s="14" t="str">
        <f t="shared" si="21"/>
        <v>典韦传记3-1 典韦碎片</v>
      </c>
      <c r="BN13" s="14" t="str">
        <f t="shared" si="22"/>
        <v>典韦碎片</v>
      </c>
      <c r="BO13" s="14">
        <f t="shared" si="23"/>
        <v>1</v>
      </c>
      <c r="BP13" s="14">
        <f t="shared" si="24"/>
        <v>2</v>
      </c>
      <c r="BQ13" s="14">
        <v>10000</v>
      </c>
    </row>
    <row r="14" spans="1:69" ht="16.5" x14ac:dyDescent="0.2">
      <c r="A14" s="96">
        <v>1102014</v>
      </c>
      <c r="B14" s="96" t="s">
        <v>865</v>
      </c>
      <c r="C14" s="96">
        <v>3</v>
      </c>
      <c r="E14" s="96">
        <f t="shared" si="25"/>
        <v>2014</v>
      </c>
      <c r="F14" s="96" t="str">
        <f t="shared" si="26"/>
        <v>石灵明传记</v>
      </c>
      <c r="G14" s="96">
        <v>5</v>
      </c>
      <c r="H14" s="96">
        <f>SUM(G$6:G14)</f>
        <v>60</v>
      </c>
      <c r="I14" s="97">
        <v>6</v>
      </c>
      <c r="J14" s="97">
        <f>SUM(I$5:I14)</f>
        <v>79</v>
      </c>
      <c r="X14" s="97">
        <v>10</v>
      </c>
      <c r="Y14" s="97">
        <v>7</v>
      </c>
      <c r="Z14" s="97">
        <v>2</v>
      </c>
      <c r="AA14" s="48" t="s">
        <v>928</v>
      </c>
      <c r="AB14" s="97" t="s">
        <v>894</v>
      </c>
      <c r="AC14" s="97">
        <v>1</v>
      </c>
      <c r="AD14" s="97">
        <v>1</v>
      </c>
      <c r="AI14" s="96">
        <v>10</v>
      </c>
      <c r="AJ14" s="14">
        <f t="shared" si="0"/>
        <v>2</v>
      </c>
      <c r="AK14" s="14">
        <f t="shared" si="1"/>
        <v>200305</v>
      </c>
      <c r="AL14" s="14">
        <f t="shared" si="2"/>
        <v>2003</v>
      </c>
      <c r="AM14" s="96" t="s">
        <v>886</v>
      </c>
      <c r="AN14" s="14">
        <f t="shared" si="3"/>
        <v>5</v>
      </c>
      <c r="AO14" s="14">
        <f t="shared" si="27"/>
        <v>200306</v>
      </c>
      <c r="AP14" s="14" t="str">
        <f t="shared" si="5"/>
        <v>典韦传记-5</v>
      </c>
      <c r="AQ14" s="14" t="str">
        <f t="shared" si="6"/>
        <v>典韦传记-5</v>
      </c>
      <c r="AR14" s="14">
        <f t="shared" si="7"/>
        <v>80</v>
      </c>
      <c r="AS14" s="14" t="str">
        <f t="shared" si="8"/>
        <v/>
      </c>
      <c r="AT14" s="98">
        <v>3</v>
      </c>
      <c r="AU14" s="99" t="s">
        <v>890</v>
      </c>
      <c r="AV14" s="14" t="str">
        <f t="shared" si="9"/>
        <v>KP_KM_1102003</v>
      </c>
      <c r="AW14" s="14">
        <f t="shared" si="10"/>
        <v>1102003</v>
      </c>
      <c r="AX14" s="14" t="str">
        <f t="shared" si="11"/>
        <v>典韦传记5-1</v>
      </c>
      <c r="AY14" s="14" t="str">
        <f t="shared" si="12"/>
        <v>典韦传记5-1</v>
      </c>
      <c r="AZ14" s="14" t="str">
        <f t="shared" si="13"/>
        <v>典韦碎片</v>
      </c>
      <c r="BA14" s="14" t="str">
        <f t="shared" si="14"/>
        <v>1~2</v>
      </c>
      <c r="BB14" s="14" t="str">
        <f t="shared" si="15"/>
        <v>典韦专属武器碎片</v>
      </c>
      <c r="BC14" s="14">
        <f t="shared" si="16"/>
        <v>1</v>
      </c>
      <c r="BD14" s="96"/>
      <c r="BG14" s="97">
        <v>10</v>
      </c>
      <c r="BH14" s="14">
        <f t="shared" si="17"/>
        <v>2</v>
      </c>
      <c r="BI14" s="14">
        <f t="shared" si="18"/>
        <v>4</v>
      </c>
      <c r="BJ14" s="14">
        <f t="shared" si="19"/>
        <v>3010</v>
      </c>
      <c r="BK14" s="14" t="str">
        <f t="shared" si="20"/>
        <v>典韦传记4-1</v>
      </c>
      <c r="BM14" s="14" t="str">
        <f t="shared" si="21"/>
        <v>典韦传记4-1 典韦专属武器碎片</v>
      </c>
      <c r="BN14" s="14" t="str">
        <f t="shared" si="22"/>
        <v>典韦专属武器碎片</v>
      </c>
      <c r="BO14" s="14">
        <f t="shared" si="23"/>
        <v>1</v>
      </c>
      <c r="BP14" s="14">
        <f t="shared" si="24"/>
        <v>1</v>
      </c>
      <c r="BQ14" s="14">
        <v>10000</v>
      </c>
    </row>
    <row r="15" spans="1:69" ht="16.5" x14ac:dyDescent="0.2">
      <c r="A15" s="96">
        <v>1102016</v>
      </c>
      <c r="B15" s="96" t="s">
        <v>187</v>
      </c>
      <c r="C15" s="96">
        <v>4</v>
      </c>
      <c r="E15" s="96">
        <f t="shared" si="25"/>
        <v>2016</v>
      </c>
      <c r="F15" s="96" t="str">
        <f t="shared" si="26"/>
        <v>西方龙传记</v>
      </c>
      <c r="G15" s="96">
        <v>8</v>
      </c>
      <c r="H15" s="96">
        <f>SUM(G$6:G15)</f>
        <v>68</v>
      </c>
      <c r="I15" s="97">
        <v>11</v>
      </c>
      <c r="J15" s="97">
        <f>SUM(I$5:I15)</f>
        <v>90</v>
      </c>
      <c r="X15" s="97">
        <v>11</v>
      </c>
      <c r="Y15" s="97">
        <v>8</v>
      </c>
      <c r="Z15" s="97">
        <v>1</v>
      </c>
      <c r="AA15" s="48" t="s">
        <v>929</v>
      </c>
      <c r="AB15" s="97" t="s">
        <v>891</v>
      </c>
      <c r="AC15" s="97">
        <v>2</v>
      </c>
      <c r="AD15" s="97">
        <v>2</v>
      </c>
      <c r="AI15" s="96">
        <v>11</v>
      </c>
      <c r="AJ15" s="14">
        <f t="shared" si="0"/>
        <v>2</v>
      </c>
      <c r="AK15" s="14">
        <f t="shared" si="1"/>
        <v>200306</v>
      </c>
      <c r="AL15" s="14">
        <f t="shared" si="2"/>
        <v>2003</v>
      </c>
      <c r="AM15" s="96" t="s">
        <v>886</v>
      </c>
      <c r="AN15" s="14">
        <f t="shared" si="3"/>
        <v>6</v>
      </c>
      <c r="AO15" s="14">
        <f t="shared" si="27"/>
        <v>200307</v>
      </c>
      <c r="AP15" s="14" t="str">
        <f t="shared" si="5"/>
        <v>典韦传记-6</v>
      </c>
      <c r="AQ15" s="14" t="str">
        <f t="shared" si="6"/>
        <v>典韦传记-6</v>
      </c>
      <c r="AR15" s="14">
        <f t="shared" si="7"/>
        <v>90</v>
      </c>
      <c r="AS15" s="14">
        <f t="shared" si="8"/>
        <v>2</v>
      </c>
      <c r="AT15" s="98">
        <v>3</v>
      </c>
      <c r="AU15" s="99" t="s">
        <v>890</v>
      </c>
      <c r="AV15" s="14" t="str">
        <f t="shared" si="9"/>
        <v>KP_KM_1102003</v>
      </c>
      <c r="AW15" s="14">
        <f t="shared" si="10"/>
        <v>1102003</v>
      </c>
      <c r="AX15" s="14" t="str">
        <f t="shared" si="11"/>
        <v>典韦传记6-1</v>
      </c>
      <c r="AY15" s="14" t="str">
        <f t="shared" si="12"/>
        <v>典韦传记6-1</v>
      </c>
      <c r="AZ15" s="14" t="str">
        <f t="shared" si="13"/>
        <v>典韦碎片</v>
      </c>
      <c r="BA15" s="14" t="str">
        <f t="shared" si="14"/>
        <v>1~2</v>
      </c>
      <c r="BB15" s="14" t="str">
        <f t="shared" si="15"/>
        <v>典韦专属武器碎片</v>
      </c>
      <c r="BC15" s="14">
        <f t="shared" si="16"/>
        <v>1</v>
      </c>
      <c r="BD15" s="96"/>
      <c r="BG15" s="97">
        <v>11</v>
      </c>
      <c r="BH15" s="14">
        <f t="shared" si="17"/>
        <v>2</v>
      </c>
      <c r="BI15" s="14">
        <f t="shared" si="18"/>
        <v>5</v>
      </c>
      <c r="BJ15" s="14">
        <f t="shared" si="19"/>
        <v>3011</v>
      </c>
      <c r="BK15" s="14" t="str">
        <f t="shared" si="20"/>
        <v>典韦传记5-1</v>
      </c>
      <c r="BM15" s="14" t="str">
        <f t="shared" si="21"/>
        <v>典韦传记5-1 典韦碎片</v>
      </c>
      <c r="BN15" s="14" t="str">
        <f t="shared" si="22"/>
        <v>典韦碎片</v>
      </c>
      <c r="BO15" s="14">
        <f t="shared" si="23"/>
        <v>1</v>
      </c>
      <c r="BP15" s="14">
        <f t="shared" si="24"/>
        <v>2</v>
      </c>
      <c r="BQ15" s="14">
        <v>10000</v>
      </c>
    </row>
    <row r="16" spans="1:69" ht="16.5" x14ac:dyDescent="0.2">
      <c r="A16" s="96">
        <v>1102017</v>
      </c>
      <c r="B16" s="96" t="s">
        <v>188</v>
      </c>
      <c r="C16" s="96">
        <v>3</v>
      </c>
      <c r="E16" s="96">
        <f t="shared" si="25"/>
        <v>2017</v>
      </c>
      <c r="F16" s="96" t="str">
        <f t="shared" si="26"/>
        <v>飞廉传记</v>
      </c>
      <c r="G16" s="96">
        <v>5</v>
      </c>
      <c r="H16" s="96">
        <f>SUM(G$6:G16)</f>
        <v>73</v>
      </c>
      <c r="I16" s="97">
        <v>6</v>
      </c>
      <c r="J16" s="97">
        <f>SUM(I$5:I16)</f>
        <v>96</v>
      </c>
      <c r="Y16" s="15"/>
      <c r="Z16" s="15"/>
      <c r="AA16" s="15"/>
      <c r="AB16" s="15"/>
      <c r="AC16" s="15"/>
      <c r="AD16" s="15"/>
      <c r="AI16" s="96">
        <v>12</v>
      </c>
      <c r="AJ16" s="14">
        <f t="shared" si="0"/>
        <v>2</v>
      </c>
      <c r="AK16" s="14">
        <f t="shared" si="1"/>
        <v>200307</v>
      </c>
      <c r="AL16" s="14">
        <f t="shared" si="2"/>
        <v>2003</v>
      </c>
      <c r="AM16" s="96" t="s">
        <v>886</v>
      </c>
      <c r="AN16" s="14">
        <f t="shared" si="3"/>
        <v>7</v>
      </c>
      <c r="AO16" s="14">
        <f t="shared" si="27"/>
        <v>200308</v>
      </c>
      <c r="AP16" s="14" t="str">
        <f t="shared" si="5"/>
        <v>典韦传记-7</v>
      </c>
      <c r="AQ16" s="14" t="str">
        <f t="shared" si="6"/>
        <v>典韦传记-7</v>
      </c>
      <c r="AR16" s="14">
        <f t="shared" si="7"/>
        <v>100</v>
      </c>
      <c r="AS16" s="14">
        <f t="shared" si="8"/>
        <v>2</v>
      </c>
      <c r="AT16" s="98">
        <v>3</v>
      </c>
      <c r="AU16" s="99" t="s">
        <v>890</v>
      </c>
      <c r="AV16" s="14" t="str">
        <f t="shared" si="9"/>
        <v>KP_KM_1102003</v>
      </c>
      <c r="AW16" s="14">
        <f t="shared" si="10"/>
        <v>1102003</v>
      </c>
      <c r="AX16" s="14" t="str">
        <f t="shared" si="11"/>
        <v>典韦传记7-1</v>
      </c>
      <c r="AY16" s="14" t="str">
        <f t="shared" si="12"/>
        <v>典韦传记7-1</v>
      </c>
      <c r="AZ16" s="14" t="str">
        <f t="shared" si="13"/>
        <v>典韦碎片</v>
      </c>
      <c r="BA16" s="14" t="str">
        <f t="shared" si="14"/>
        <v>1~2</v>
      </c>
      <c r="BB16" s="14" t="str">
        <f t="shared" si="15"/>
        <v>典韦专属武器碎片</v>
      </c>
      <c r="BC16" s="14">
        <f t="shared" si="16"/>
        <v>1</v>
      </c>
      <c r="BD16" s="96"/>
      <c r="BG16" s="97">
        <v>12</v>
      </c>
      <c r="BH16" s="14">
        <f t="shared" si="17"/>
        <v>2</v>
      </c>
      <c r="BI16" s="14">
        <f t="shared" si="18"/>
        <v>6</v>
      </c>
      <c r="BJ16" s="14">
        <f t="shared" si="19"/>
        <v>3012</v>
      </c>
      <c r="BK16" s="14" t="str">
        <f t="shared" si="20"/>
        <v>典韦传记5-2</v>
      </c>
      <c r="BM16" s="14" t="str">
        <f t="shared" si="21"/>
        <v>典韦传记5-2 典韦专属武器碎片</v>
      </c>
      <c r="BN16" s="14" t="str">
        <f t="shared" si="22"/>
        <v>典韦专属武器碎片</v>
      </c>
      <c r="BO16" s="14">
        <f t="shared" si="23"/>
        <v>1</v>
      </c>
      <c r="BP16" s="14">
        <f t="shared" si="24"/>
        <v>1</v>
      </c>
      <c r="BQ16" s="14">
        <v>10000</v>
      </c>
    </row>
    <row r="17" spans="1:69" ht="16.5" x14ac:dyDescent="0.2">
      <c r="A17" s="96">
        <v>1102020</v>
      </c>
      <c r="B17" s="96" t="s">
        <v>191</v>
      </c>
      <c r="C17" s="96">
        <v>3</v>
      </c>
      <c r="E17" s="96">
        <f t="shared" si="25"/>
        <v>2020</v>
      </c>
      <c r="F17" s="96" t="str">
        <f t="shared" si="26"/>
        <v>高顺传记</v>
      </c>
      <c r="G17" s="96">
        <v>5</v>
      </c>
      <c r="H17" s="96">
        <f>SUM(G$6:G17)</f>
        <v>78</v>
      </c>
      <c r="I17" s="97">
        <v>6</v>
      </c>
      <c r="J17" s="97">
        <f>SUM(I$5:I17)</f>
        <v>102</v>
      </c>
      <c r="AI17" s="96">
        <v>13</v>
      </c>
      <c r="AJ17" s="14">
        <f t="shared" si="0"/>
        <v>2</v>
      </c>
      <c r="AK17" s="14">
        <f t="shared" si="1"/>
        <v>200308</v>
      </c>
      <c r="AL17" s="14">
        <f t="shared" si="2"/>
        <v>2003</v>
      </c>
      <c r="AM17" s="96" t="s">
        <v>886</v>
      </c>
      <c r="AN17" s="14">
        <f t="shared" si="3"/>
        <v>8</v>
      </c>
      <c r="AO17" s="14">
        <f t="shared" si="27"/>
        <v>-1</v>
      </c>
      <c r="AP17" s="14" t="str">
        <f t="shared" si="5"/>
        <v>典韦传记-8</v>
      </c>
      <c r="AQ17" s="14" t="str">
        <f t="shared" si="6"/>
        <v>典韦传记-8</v>
      </c>
      <c r="AR17" s="14">
        <f t="shared" si="7"/>
        <v>120</v>
      </c>
      <c r="AS17" s="14">
        <f t="shared" si="8"/>
        <v>2</v>
      </c>
      <c r="AT17" s="98">
        <v>3</v>
      </c>
      <c r="AU17" s="99" t="s">
        <v>890</v>
      </c>
      <c r="AV17" s="14" t="str">
        <f t="shared" si="9"/>
        <v>KP_KM_1102003</v>
      </c>
      <c r="AW17" s="14">
        <f t="shared" si="10"/>
        <v>1102003</v>
      </c>
      <c r="AX17" s="14" t="str">
        <f t="shared" si="11"/>
        <v>典韦传记8-1</v>
      </c>
      <c r="AY17" s="14" t="str">
        <f t="shared" si="12"/>
        <v/>
      </c>
      <c r="AZ17" s="14" t="str">
        <f t="shared" si="13"/>
        <v>典韦碎片</v>
      </c>
      <c r="BA17" s="14">
        <f t="shared" si="14"/>
        <v>2</v>
      </c>
      <c r="BB17" s="14" t="str">
        <f t="shared" si="15"/>
        <v/>
      </c>
      <c r="BC17" s="14" t="str">
        <f t="shared" si="16"/>
        <v/>
      </c>
      <c r="BD17" s="96"/>
      <c r="BG17" s="97">
        <v>13</v>
      </c>
      <c r="BH17" s="14">
        <f t="shared" si="17"/>
        <v>2</v>
      </c>
      <c r="BI17" s="14">
        <f t="shared" si="18"/>
        <v>7</v>
      </c>
      <c r="BJ17" s="14">
        <f t="shared" si="19"/>
        <v>3013</v>
      </c>
      <c r="BK17" s="14" t="str">
        <f t="shared" si="20"/>
        <v>典韦传记6-1</v>
      </c>
      <c r="BM17" s="14" t="str">
        <f t="shared" si="21"/>
        <v>典韦传记6-1 典韦碎片</v>
      </c>
      <c r="BN17" s="14" t="str">
        <f t="shared" si="22"/>
        <v>典韦碎片</v>
      </c>
      <c r="BO17" s="14">
        <f t="shared" si="23"/>
        <v>1</v>
      </c>
      <c r="BP17" s="14">
        <f t="shared" si="24"/>
        <v>2</v>
      </c>
      <c r="BQ17" s="14">
        <v>10000</v>
      </c>
    </row>
    <row r="18" spans="1:69" ht="16.5" x14ac:dyDescent="0.2">
      <c r="A18" s="96">
        <v>1102021</v>
      </c>
      <c r="B18" s="96" t="s">
        <v>192</v>
      </c>
      <c r="C18" s="96">
        <v>3</v>
      </c>
      <c r="E18" s="96">
        <f t="shared" si="25"/>
        <v>2021</v>
      </c>
      <c r="F18" s="96" t="str">
        <f t="shared" si="26"/>
        <v>烈风螳螂传记</v>
      </c>
      <c r="G18" s="96">
        <v>5</v>
      </c>
      <c r="H18" s="96">
        <f>SUM(G$6:G18)</f>
        <v>83</v>
      </c>
      <c r="I18" s="97">
        <v>6</v>
      </c>
      <c r="J18" s="97">
        <f>SUM(I$5:I18)</f>
        <v>108</v>
      </c>
      <c r="AI18" s="96">
        <v>14</v>
      </c>
      <c r="AJ18" s="14">
        <f t="shared" si="0"/>
        <v>3</v>
      </c>
      <c r="AK18" s="14">
        <f t="shared" si="1"/>
        <v>200501</v>
      </c>
      <c r="AL18" s="14">
        <f t="shared" si="2"/>
        <v>2005</v>
      </c>
      <c r="AM18" s="96" t="s">
        <v>886</v>
      </c>
      <c r="AN18" s="14">
        <f t="shared" si="3"/>
        <v>1</v>
      </c>
      <c r="AO18" s="14">
        <f t="shared" si="27"/>
        <v>200502</v>
      </c>
      <c r="AP18" s="14" t="str">
        <f t="shared" si="5"/>
        <v>李轩辕传记-1</v>
      </c>
      <c r="AQ18" s="14" t="str">
        <f t="shared" si="6"/>
        <v>李轩辕传记-1</v>
      </c>
      <c r="AR18" s="14">
        <f t="shared" si="7"/>
        <v>30</v>
      </c>
      <c r="AS18" s="14" t="str">
        <f t="shared" si="8"/>
        <v/>
      </c>
      <c r="AT18" s="98">
        <v>3</v>
      </c>
      <c r="AU18" s="99" t="s">
        <v>890</v>
      </c>
      <c r="AV18" s="14" t="str">
        <f t="shared" si="9"/>
        <v>KP_KM_1102005</v>
      </c>
      <c r="AW18" s="14">
        <f t="shared" si="10"/>
        <v>1102005</v>
      </c>
      <c r="AX18" s="14" t="str">
        <f t="shared" si="11"/>
        <v>李轩辕传记1-1</v>
      </c>
      <c r="AY18" s="14" t="str">
        <f t="shared" si="12"/>
        <v/>
      </c>
      <c r="AZ18" s="14" t="str">
        <f t="shared" si="13"/>
        <v>李轩辕碎片</v>
      </c>
      <c r="BA18" s="14">
        <f t="shared" si="14"/>
        <v>1</v>
      </c>
      <c r="BB18" s="14" t="str">
        <f t="shared" si="15"/>
        <v/>
      </c>
      <c r="BC18" s="14" t="str">
        <f t="shared" si="16"/>
        <v/>
      </c>
      <c r="BD18" s="96"/>
      <c r="BG18" s="97">
        <v>14</v>
      </c>
      <c r="BH18" s="14">
        <f t="shared" si="17"/>
        <v>2</v>
      </c>
      <c r="BI18" s="14">
        <f t="shared" si="18"/>
        <v>8</v>
      </c>
      <c r="BJ18" s="14">
        <f t="shared" si="19"/>
        <v>3014</v>
      </c>
      <c r="BK18" s="14" t="str">
        <f t="shared" si="20"/>
        <v>典韦传记6-2</v>
      </c>
      <c r="BM18" s="14" t="str">
        <f t="shared" si="21"/>
        <v>典韦传记6-2 典韦专属武器碎片</v>
      </c>
      <c r="BN18" s="14" t="str">
        <f t="shared" si="22"/>
        <v>典韦专属武器碎片</v>
      </c>
      <c r="BO18" s="14">
        <f t="shared" si="23"/>
        <v>1</v>
      </c>
      <c r="BP18" s="14">
        <f t="shared" si="24"/>
        <v>1</v>
      </c>
      <c r="BQ18" s="14">
        <v>10000</v>
      </c>
    </row>
    <row r="19" spans="1:69" ht="16.5" x14ac:dyDescent="0.2">
      <c r="A19" s="96">
        <v>1102024</v>
      </c>
      <c r="B19" s="96" t="s">
        <v>866</v>
      </c>
      <c r="C19" s="96">
        <v>3</v>
      </c>
      <c r="E19" s="96">
        <f t="shared" si="25"/>
        <v>2024</v>
      </c>
      <c r="F19" s="96" t="str">
        <f t="shared" si="26"/>
        <v>朱仙传记</v>
      </c>
      <c r="G19" s="96">
        <v>5</v>
      </c>
      <c r="H19" s="96">
        <f>SUM(G$6:G19)</f>
        <v>88</v>
      </c>
      <c r="I19" s="97">
        <v>6</v>
      </c>
      <c r="J19" s="97">
        <f>SUM(I$5:I19)</f>
        <v>114</v>
      </c>
      <c r="AI19" s="96">
        <v>15</v>
      </c>
      <c r="AJ19" s="14">
        <f t="shared" si="0"/>
        <v>3</v>
      </c>
      <c r="AK19" s="14">
        <f t="shared" si="1"/>
        <v>200502</v>
      </c>
      <c r="AL19" s="14">
        <f t="shared" si="2"/>
        <v>2005</v>
      </c>
      <c r="AM19" s="96" t="s">
        <v>886</v>
      </c>
      <c r="AN19" s="14">
        <f t="shared" si="3"/>
        <v>2</v>
      </c>
      <c r="AO19" s="14">
        <f t="shared" si="27"/>
        <v>200503</v>
      </c>
      <c r="AP19" s="14" t="str">
        <f t="shared" si="5"/>
        <v>李轩辕传记-2</v>
      </c>
      <c r="AQ19" s="14" t="str">
        <f t="shared" si="6"/>
        <v>李轩辕传记-2</v>
      </c>
      <c r="AR19" s="14">
        <f t="shared" si="7"/>
        <v>40</v>
      </c>
      <c r="AS19" s="14" t="str">
        <f t="shared" si="8"/>
        <v/>
      </c>
      <c r="AT19" s="98">
        <v>3</v>
      </c>
      <c r="AU19" s="99" t="s">
        <v>890</v>
      </c>
      <c r="AV19" s="14" t="str">
        <f t="shared" si="9"/>
        <v>KP_KM_1102005</v>
      </c>
      <c r="AW19" s="14">
        <f t="shared" si="10"/>
        <v>1102005</v>
      </c>
      <c r="AX19" s="14" t="str">
        <f t="shared" si="11"/>
        <v>李轩辕传记2-1</v>
      </c>
      <c r="AY19" s="14" t="str">
        <f t="shared" si="12"/>
        <v/>
      </c>
      <c r="AZ19" s="14" t="str">
        <f t="shared" si="13"/>
        <v>李轩辕碎片</v>
      </c>
      <c r="BA19" s="14">
        <f t="shared" si="14"/>
        <v>1</v>
      </c>
      <c r="BB19" s="14" t="str">
        <f t="shared" si="15"/>
        <v/>
      </c>
      <c r="BC19" s="14" t="str">
        <f t="shared" si="16"/>
        <v/>
      </c>
      <c r="BD19" s="96"/>
      <c r="BG19" s="97">
        <v>15</v>
      </c>
      <c r="BH19" s="14">
        <f t="shared" si="17"/>
        <v>2</v>
      </c>
      <c r="BI19" s="14">
        <f t="shared" si="18"/>
        <v>9</v>
      </c>
      <c r="BJ19" s="14">
        <f t="shared" si="19"/>
        <v>3015</v>
      </c>
      <c r="BK19" s="14" t="str">
        <f t="shared" si="20"/>
        <v>典韦传记7-1</v>
      </c>
      <c r="BM19" s="14" t="str">
        <f t="shared" si="21"/>
        <v>典韦传记7-1 典韦碎片</v>
      </c>
      <c r="BN19" s="14" t="str">
        <f t="shared" si="22"/>
        <v>典韦碎片</v>
      </c>
      <c r="BO19" s="14">
        <f t="shared" si="23"/>
        <v>1</v>
      </c>
      <c r="BP19" s="14">
        <f t="shared" si="24"/>
        <v>2</v>
      </c>
      <c r="BQ19" s="14">
        <v>10000</v>
      </c>
    </row>
    <row r="20" spans="1:69" ht="16.5" x14ac:dyDescent="0.2">
      <c r="A20" s="96">
        <v>1102026</v>
      </c>
      <c r="B20" s="96" t="s">
        <v>858</v>
      </c>
      <c r="C20" s="96">
        <v>3</v>
      </c>
      <c r="E20" s="96">
        <f t="shared" si="25"/>
        <v>2026</v>
      </c>
      <c r="F20" s="96" t="str">
        <f t="shared" si="26"/>
        <v>雷震子传记</v>
      </c>
      <c r="G20" s="96">
        <v>5</v>
      </c>
      <c r="H20" s="96">
        <f>SUM(G$6:G20)</f>
        <v>93</v>
      </c>
      <c r="I20" s="97">
        <v>6</v>
      </c>
      <c r="J20" s="97">
        <f>SUM(I$5:I20)</f>
        <v>120</v>
      </c>
      <c r="AI20" s="96">
        <v>16</v>
      </c>
      <c r="AJ20" s="14">
        <f t="shared" si="0"/>
        <v>3</v>
      </c>
      <c r="AK20" s="14">
        <f t="shared" si="1"/>
        <v>200503</v>
      </c>
      <c r="AL20" s="14">
        <f t="shared" si="2"/>
        <v>2005</v>
      </c>
      <c r="AM20" s="96" t="s">
        <v>886</v>
      </c>
      <c r="AN20" s="14">
        <f t="shared" si="3"/>
        <v>3</v>
      </c>
      <c r="AO20" s="14">
        <f t="shared" si="27"/>
        <v>200504</v>
      </c>
      <c r="AP20" s="14" t="str">
        <f t="shared" si="5"/>
        <v>李轩辕传记-3</v>
      </c>
      <c r="AQ20" s="14" t="str">
        <f t="shared" si="6"/>
        <v>李轩辕传记-3</v>
      </c>
      <c r="AR20" s="14">
        <f t="shared" si="7"/>
        <v>55</v>
      </c>
      <c r="AS20" s="14" t="str">
        <f t="shared" si="8"/>
        <v/>
      </c>
      <c r="AT20" s="98">
        <v>3</v>
      </c>
      <c r="AU20" s="99" t="s">
        <v>890</v>
      </c>
      <c r="AV20" s="14" t="str">
        <f t="shared" si="9"/>
        <v>KP_KM_1102005</v>
      </c>
      <c r="AW20" s="14">
        <f t="shared" si="10"/>
        <v>1102005</v>
      </c>
      <c r="AX20" s="14" t="str">
        <f t="shared" si="11"/>
        <v>李轩辕传记3-1</v>
      </c>
      <c r="AY20" s="14" t="str">
        <f t="shared" si="12"/>
        <v/>
      </c>
      <c r="AZ20" s="14" t="str">
        <f t="shared" si="13"/>
        <v>李轩辕碎片</v>
      </c>
      <c r="BA20" s="14" t="str">
        <f t="shared" si="14"/>
        <v>1~2</v>
      </c>
      <c r="BB20" s="14" t="str">
        <f t="shared" si="15"/>
        <v/>
      </c>
      <c r="BC20" s="14" t="str">
        <f t="shared" si="16"/>
        <v/>
      </c>
      <c r="BD20" s="96"/>
      <c r="BG20" s="97">
        <v>16</v>
      </c>
      <c r="BH20" s="14">
        <f t="shared" si="17"/>
        <v>2</v>
      </c>
      <c r="BI20" s="14">
        <f t="shared" si="18"/>
        <v>10</v>
      </c>
      <c r="BJ20" s="14">
        <f t="shared" si="19"/>
        <v>3016</v>
      </c>
      <c r="BK20" s="14" t="str">
        <f t="shared" si="20"/>
        <v>典韦传记7-2</v>
      </c>
      <c r="BM20" s="14" t="str">
        <f t="shared" si="21"/>
        <v>典韦传记7-2 典韦专属武器碎片</v>
      </c>
      <c r="BN20" s="14" t="str">
        <f t="shared" si="22"/>
        <v>典韦专属武器碎片</v>
      </c>
      <c r="BO20" s="14">
        <f t="shared" si="23"/>
        <v>1</v>
      </c>
      <c r="BP20" s="14">
        <f t="shared" si="24"/>
        <v>1</v>
      </c>
      <c r="BQ20" s="14">
        <v>10000</v>
      </c>
    </row>
    <row r="21" spans="1:69" ht="16.5" x14ac:dyDescent="0.2">
      <c r="A21" s="96">
        <v>1102030</v>
      </c>
      <c r="B21" s="96" t="s">
        <v>867</v>
      </c>
      <c r="C21" s="96">
        <v>3</v>
      </c>
      <c r="E21" s="96">
        <f t="shared" si="25"/>
        <v>2030</v>
      </c>
      <c r="F21" s="96" t="str">
        <f t="shared" si="26"/>
        <v>燕青传记</v>
      </c>
      <c r="G21" s="96">
        <v>5</v>
      </c>
      <c r="H21" s="96">
        <f>SUM(G$6:G21)</f>
        <v>98</v>
      </c>
      <c r="I21" s="97">
        <v>6</v>
      </c>
      <c r="J21" s="97">
        <f>SUM(I$5:I21)</f>
        <v>126</v>
      </c>
      <c r="AI21" s="96">
        <v>17</v>
      </c>
      <c r="AJ21" s="14">
        <f t="shared" si="0"/>
        <v>3</v>
      </c>
      <c r="AK21" s="14">
        <f t="shared" si="1"/>
        <v>200504</v>
      </c>
      <c r="AL21" s="14">
        <f t="shared" si="2"/>
        <v>2005</v>
      </c>
      <c r="AM21" s="96" t="s">
        <v>886</v>
      </c>
      <c r="AN21" s="14">
        <f t="shared" si="3"/>
        <v>4</v>
      </c>
      <c r="AO21" s="14">
        <f t="shared" si="27"/>
        <v>200505</v>
      </c>
      <c r="AP21" s="14" t="str">
        <f t="shared" si="5"/>
        <v>李轩辕传记-4</v>
      </c>
      <c r="AQ21" s="14" t="str">
        <f t="shared" si="6"/>
        <v>李轩辕传记-4</v>
      </c>
      <c r="AR21" s="14">
        <f t="shared" si="7"/>
        <v>70</v>
      </c>
      <c r="AS21" s="14" t="str">
        <f t="shared" si="8"/>
        <v/>
      </c>
      <c r="AT21" s="98">
        <v>3</v>
      </c>
      <c r="AU21" s="99" t="s">
        <v>890</v>
      </c>
      <c r="AV21" s="14" t="str">
        <f t="shared" si="9"/>
        <v>KP_KM_1102005</v>
      </c>
      <c r="AW21" s="14">
        <f t="shared" si="10"/>
        <v>1102005</v>
      </c>
      <c r="AX21" s="14" t="str">
        <f t="shared" si="11"/>
        <v>李轩辕传记4-1</v>
      </c>
      <c r="AY21" s="14" t="str">
        <f t="shared" si="12"/>
        <v/>
      </c>
      <c r="AZ21" s="14" t="str">
        <f t="shared" si="13"/>
        <v>李轩辕专属武器碎片</v>
      </c>
      <c r="BA21" s="14">
        <f t="shared" si="14"/>
        <v>1</v>
      </c>
      <c r="BB21" s="14" t="str">
        <f t="shared" si="15"/>
        <v/>
      </c>
      <c r="BC21" s="14" t="str">
        <f t="shared" si="16"/>
        <v/>
      </c>
      <c r="BD21" s="96"/>
      <c r="BG21" s="97">
        <v>17</v>
      </c>
      <c r="BH21" s="14">
        <f t="shared" si="17"/>
        <v>2</v>
      </c>
      <c r="BI21" s="14">
        <f t="shared" si="18"/>
        <v>11</v>
      </c>
      <c r="BJ21" s="14">
        <f t="shared" si="19"/>
        <v>3017</v>
      </c>
      <c r="BK21" s="14" t="str">
        <f t="shared" si="20"/>
        <v>典韦传记8-1</v>
      </c>
      <c r="BM21" s="14" t="str">
        <f t="shared" si="21"/>
        <v>典韦传记8-1 典韦碎片</v>
      </c>
      <c r="BN21" s="14" t="str">
        <f t="shared" si="22"/>
        <v>典韦碎片</v>
      </c>
      <c r="BO21" s="14">
        <f t="shared" si="23"/>
        <v>2</v>
      </c>
      <c r="BP21" s="14">
        <f t="shared" si="24"/>
        <v>2</v>
      </c>
      <c r="BQ21" s="14">
        <v>10000</v>
      </c>
    </row>
    <row r="22" spans="1:69" ht="16.5" x14ac:dyDescent="0.2">
      <c r="A22" s="96">
        <v>1102031</v>
      </c>
      <c r="B22" s="96" t="s">
        <v>868</v>
      </c>
      <c r="C22" s="96">
        <v>4</v>
      </c>
      <c r="E22" s="96">
        <f t="shared" si="25"/>
        <v>2031</v>
      </c>
      <c r="F22" s="96" t="str">
        <f t="shared" si="26"/>
        <v>秦琼传记</v>
      </c>
      <c r="G22" s="96">
        <v>8</v>
      </c>
      <c r="H22" s="96">
        <f>SUM(G$6:G22)</f>
        <v>106</v>
      </c>
      <c r="I22" s="97">
        <v>11</v>
      </c>
      <c r="J22" s="97">
        <f>SUM(I$5:I22)</f>
        <v>137</v>
      </c>
      <c r="AI22" s="96">
        <v>18</v>
      </c>
      <c r="AJ22" s="14">
        <f t="shared" si="0"/>
        <v>3</v>
      </c>
      <c r="AK22" s="14">
        <f t="shared" si="1"/>
        <v>200505</v>
      </c>
      <c r="AL22" s="14">
        <f t="shared" si="2"/>
        <v>2005</v>
      </c>
      <c r="AM22" s="96" t="s">
        <v>886</v>
      </c>
      <c r="AN22" s="14">
        <f t="shared" si="3"/>
        <v>5</v>
      </c>
      <c r="AO22" s="14">
        <f t="shared" si="27"/>
        <v>-1</v>
      </c>
      <c r="AP22" s="14" t="str">
        <f t="shared" si="5"/>
        <v>李轩辕传记-5</v>
      </c>
      <c r="AQ22" s="14" t="str">
        <f t="shared" si="6"/>
        <v>李轩辕传记-5</v>
      </c>
      <c r="AR22" s="14">
        <f t="shared" si="7"/>
        <v>80</v>
      </c>
      <c r="AS22" s="14" t="str">
        <f t="shared" si="8"/>
        <v/>
      </c>
      <c r="AT22" s="98">
        <v>3</v>
      </c>
      <c r="AU22" s="99" t="s">
        <v>890</v>
      </c>
      <c r="AV22" s="14" t="str">
        <f t="shared" si="9"/>
        <v>KP_KM_1102005</v>
      </c>
      <c r="AW22" s="14">
        <f t="shared" si="10"/>
        <v>1102005</v>
      </c>
      <c r="AX22" s="14" t="str">
        <f t="shared" si="11"/>
        <v>李轩辕传记5-1</v>
      </c>
      <c r="AY22" s="14" t="str">
        <f t="shared" si="12"/>
        <v>李轩辕传记5-1</v>
      </c>
      <c r="AZ22" s="14" t="str">
        <f t="shared" si="13"/>
        <v>李轩辕碎片</v>
      </c>
      <c r="BA22" s="14" t="str">
        <f t="shared" si="14"/>
        <v>1~2</v>
      </c>
      <c r="BB22" s="14" t="str">
        <f t="shared" si="15"/>
        <v>李轩辕专属武器碎片</v>
      </c>
      <c r="BC22" s="14">
        <f t="shared" si="16"/>
        <v>1</v>
      </c>
      <c r="BD22" s="96"/>
      <c r="BG22" s="97">
        <v>18</v>
      </c>
      <c r="BH22" s="14">
        <f t="shared" si="17"/>
        <v>3</v>
      </c>
      <c r="BI22" s="14">
        <f t="shared" si="18"/>
        <v>1</v>
      </c>
      <c r="BJ22" s="14">
        <f t="shared" si="19"/>
        <v>3018</v>
      </c>
      <c r="BK22" s="14" t="str">
        <f t="shared" si="20"/>
        <v>李轩辕传记1-1</v>
      </c>
      <c r="BM22" s="14" t="str">
        <f t="shared" si="21"/>
        <v>李轩辕传记1-1 李轩辕碎片</v>
      </c>
      <c r="BN22" s="14" t="str">
        <f t="shared" si="22"/>
        <v>李轩辕碎片</v>
      </c>
      <c r="BO22" s="14">
        <f t="shared" si="23"/>
        <v>1</v>
      </c>
      <c r="BP22" s="14">
        <f t="shared" si="24"/>
        <v>1</v>
      </c>
      <c r="BQ22" s="14">
        <v>10000</v>
      </c>
    </row>
    <row r="23" spans="1:69" ht="16.5" x14ac:dyDescent="0.2">
      <c r="AI23" s="96">
        <v>19</v>
      </c>
      <c r="AJ23" s="14">
        <f t="shared" si="0"/>
        <v>4</v>
      </c>
      <c r="AK23" s="14">
        <f t="shared" si="1"/>
        <v>200701</v>
      </c>
      <c r="AL23" s="14">
        <f t="shared" si="2"/>
        <v>2007</v>
      </c>
      <c r="AM23" s="96" t="s">
        <v>886</v>
      </c>
      <c r="AN23" s="14">
        <f t="shared" si="3"/>
        <v>1</v>
      </c>
      <c r="AO23" s="14">
        <f t="shared" si="27"/>
        <v>200702</v>
      </c>
      <c r="AP23" s="14" t="str">
        <f t="shared" si="5"/>
        <v>天使缇娜传记-1</v>
      </c>
      <c r="AQ23" s="14" t="str">
        <f t="shared" si="6"/>
        <v>天使缇娜传记-1</v>
      </c>
      <c r="AR23" s="14">
        <f t="shared" si="7"/>
        <v>30</v>
      </c>
      <c r="AS23" s="14" t="str">
        <f t="shared" si="8"/>
        <v/>
      </c>
      <c r="AT23" s="98">
        <v>3</v>
      </c>
      <c r="AU23" s="99" t="s">
        <v>890</v>
      </c>
      <c r="AV23" s="14" t="str">
        <f t="shared" si="9"/>
        <v>KP_KM_1102007</v>
      </c>
      <c r="AW23" s="14">
        <f t="shared" si="10"/>
        <v>1102007</v>
      </c>
      <c r="AX23" s="14" t="str">
        <f t="shared" si="11"/>
        <v>天使缇娜传记1-1</v>
      </c>
      <c r="AY23" s="14" t="str">
        <f t="shared" si="12"/>
        <v/>
      </c>
      <c r="AZ23" s="14" t="str">
        <f t="shared" si="13"/>
        <v>天使缇娜碎片</v>
      </c>
      <c r="BA23" s="14">
        <f t="shared" si="14"/>
        <v>1</v>
      </c>
      <c r="BB23" s="14" t="str">
        <f t="shared" si="15"/>
        <v/>
      </c>
      <c r="BC23" s="14" t="str">
        <f t="shared" si="16"/>
        <v/>
      </c>
      <c r="BD23" s="96"/>
      <c r="BG23" s="97">
        <v>19</v>
      </c>
      <c r="BH23" s="14">
        <f t="shared" si="17"/>
        <v>3</v>
      </c>
      <c r="BI23" s="14">
        <f t="shared" si="18"/>
        <v>2</v>
      </c>
      <c r="BJ23" s="14">
        <f t="shared" si="19"/>
        <v>3019</v>
      </c>
      <c r="BK23" s="14" t="str">
        <f t="shared" si="20"/>
        <v>李轩辕传记2-1</v>
      </c>
      <c r="BM23" s="14" t="str">
        <f t="shared" si="21"/>
        <v>李轩辕传记2-1 李轩辕碎片</v>
      </c>
      <c r="BN23" s="14" t="str">
        <f t="shared" si="22"/>
        <v>李轩辕碎片</v>
      </c>
      <c r="BO23" s="14">
        <f t="shared" si="23"/>
        <v>1</v>
      </c>
      <c r="BP23" s="14">
        <f t="shared" si="24"/>
        <v>1</v>
      </c>
      <c r="BQ23" s="14">
        <v>10000</v>
      </c>
    </row>
    <row r="24" spans="1:69" ht="16.5" x14ac:dyDescent="0.2">
      <c r="AI24" s="96">
        <v>20</v>
      </c>
      <c r="AJ24" s="14">
        <f t="shared" si="0"/>
        <v>4</v>
      </c>
      <c r="AK24" s="14">
        <f t="shared" si="1"/>
        <v>200702</v>
      </c>
      <c r="AL24" s="14">
        <f t="shared" si="2"/>
        <v>2007</v>
      </c>
      <c r="AM24" s="96" t="s">
        <v>886</v>
      </c>
      <c r="AN24" s="14">
        <f t="shared" si="3"/>
        <v>2</v>
      </c>
      <c r="AO24" s="14">
        <f t="shared" si="27"/>
        <v>200703</v>
      </c>
      <c r="AP24" s="14" t="str">
        <f t="shared" si="5"/>
        <v>天使缇娜传记-2</v>
      </c>
      <c r="AQ24" s="14" t="str">
        <f t="shared" si="6"/>
        <v>天使缇娜传记-2</v>
      </c>
      <c r="AR24" s="14">
        <f t="shared" si="7"/>
        <v>40</v>
      </c>
      <c r="AS24" s="14" t="str">
        <f t="shared" si="8"/>
        <v/>
      </c>
      <c r="AT24" s="98">
        <v>3</v>
      </c>
      <c r="AU24" s="99" t="s">
        <v>890</v>
      </c>
      <c r="AV24" s="14" t="str">
        <f t="shared" si="9"/>
        <v>KP_KM_1102007</v>
      </c>
      <c r="AW24" s="14">
        <f t="shared" si="10"/>
        <v>1102007</v>
      </c>
      <c r="AX24" s="14" t="str">
        <f t="shared" si="11"/>
        <v>天使缇娜传记2-1</v>
      </c>
      <c r="AY24" s="14" t="str">
        <f t="shared" si="12"/>
        <v/>
      </c>
      <c r="AZ24" s="14" t="str">
        <f t="shared" si="13"/>
        <v>天使缇娜碎片</v>
      </c>
      <c r="BA24" s="14">
        <f t="shared" si="14"/>
        <v>1</v>
      </c>
      <c r="BB24" s="14" t="str">
        <f t="shared" si="15"/>
        <v/>
      </c>
      <c r="BC24" s="14" t="str">
        <f t="shared" si="16"/>
        <v/>
      </c>
      <c r="BD24" s="96"/>
      <c r="BG24" s="97">
        <v>20</v>
      </c>
      <c r="BH24" s="14">
        <f t="shared" si="17"/>
        <v>3</v>
      </c>
      <c r="BI24" s="14">
        <f t="shared" si="18"/>
        <v>3</v>
      </c>
      <c r="BJ24" s="14">
        <f t="shared" si="19"/>
        <v>3020</v>
      </c>
      <c r="BK24" s="14" t="str">
        <f t="shared" si="20"/>
        <v>李轩辕传记3-1</v>
      </c>
      <c r="BM24" s="14" t="str">
        <f t="shared" si="21"/>
        <v>李轩辕传记3-1 李轩辕碎片</v>
      </c>
      <c r="BN24" s="14" t="str">
        <f t="shared" si="22"/>
        <v>李轩辕碎片</v>
      </c>
      <c r="BO24" s="14">
        <f t="shared" si="23"/>
        <v>1</v>
      </c>
      <c r="BP24" s="14">
        <f t="shared" si="24"/>
        <v>2</v>
      </c>
      <c r="BQ24" s="14">
        <v>10000</v>
      </c>
    </row>
    <row r="25" spans="1:69" ht="16.5" x14ac:dyDescent="0.2">
      <c r="AI25" s="96">
        <v>21</v>
      </c>
      <c r="AJ25" s="14">
        <f t="shared" si="0"/>
        <v>4</v>
      </c>
      <c r="AK25" s="14">
        <f t="shared" si="1"/>
        <v>200703</v>
      </c>
      <c r="AL25" s="14">
        <f t="shared" si="2"/>
        <v>2007</v>
      </c>
      <c r="AM25" s="96" t="s">
        <v>886</v>
      </c>
      <c r="AN25" s="14">
        <f t="shared" si="3"/>
        <v>3</v>
      </c>
      <c r="AO25" s="14">
        <f t="shared" si="27"/>
        <v>200704</v>
      </c>
      <c r="AP25" s="14" t="str">
        <f t="shared" si="5"/>
        <v>天使缇娜传记-3</v>
      </c>
      <c r="AQ25" s="14" t="str">
        <f t="shared" si="6"/>
        <v>天使缇娜传记-3</v>
      </c>
      <c r="AR25" s="14">
        <f t="shared" si="7"/>
        <v>55</v>
      </c>
      <c r="AS25" s="14" t="str">
        <f t="shared" si="8"/>
        <v/>
      </c>
      <c r="AT25" s="98">
        <v>3</v>
      </c>
      <c r="AU25" s="99" t="s">
        <v>890</v>
      </c>
      <c r="AV25" s="14" t="str">
        <f t="shared" si="9"/>
        <v>KP_KM_1102007</v>
      </c>
      <c r="AW25" s="14">
        <f t="shared" si="10"/>
        <v>1102007</v>
      </c>
      <c r="AX25" s="14" t="str">
        <f t="shared" si="11"/>
        <v>天使缇娜传记3-1</v>
      </c>
      <c r="AY25" s="14" t="str">
        <f t="shared" si="12"/>
        <v/>
      </c>
      <c r="AZ25" s="14" t="str">
        <f t="shared" si="13"/>
        <v>天使缇娜碎片</v>
      </c>
      <c r="BA25" s="14" t="str">
        <f t="shared" si="14"/>
        <v>1~2</v>
      </c>
      <c r="BB25" s="14" t="str">
        <f t="shared" si="15"/>
        <v/>
      </c>
      <c r="BC25" s="14" t="str">
        <f t="shared" si="16"/>
        <v/>
      </c>
      <c r="BD25" s="96"/>
      <c r="BG25" s="97">
        <v>21</v>
      </c>
      <c r="BH25" s="14">
        <f t="shared" si="17"/>
        <v>3</v>
      </c>
      <c r="BI25" s="14">
        <f t="shared" si="18"/>
        <v>4</v>
      </c>
      <c r="BJ25" s="14">
        <f t="shared" si="19"/>
        <v>3021</v>
      </c>
      <c r="BK25" s="14" t="str">
        <f t="shared" si="20"/>
        <v>李轩辕传记4-1</v>
      </c>
      <c r="BM25" s="14" t="str">
        <f t="shared" si="21"/>
        <v>李轩辕传记4-1 李轩辕专属武器碎片</v>
      </c>
      <c r="BN25" s="14" t="str">
        <f t="shared" si="22"/>
        <v>李轩辕专属武器碎片</v>
      </c>
      <c r="BO25" s="14">
        <f t="shared" si="23"/>
        <v>1</v>
      </c>
      <c r="BP25" s="14">
        <f t="shared" si="24"/>
        <v>1</v>
      </c>
      <c r="BQ25" s="14">
        <v>10000</v>
      </c>
    </row>
    <row r="26" spans="1:69" ht="16.5" x14ac:dyDescent="0.2">
      <c r="AI26" s="96">
        <v>22</v>
      </c>
      <c r="AJ26" s="14">
        <f t="shared" si="0"/>
        <v>4</v>
      </c>
      <c r="AK26" s="14">
        <f t="shared" si="1"/>
        <v>200704</v>
      </c>
      <c r="AL26" s="14">
        <f t="shared" si="2"/>
        <v>2007</v>
      </c>
      <c r="AM26" s="96" t="s">
        <v>886</v>
      </c>
      <c r="AN26" s="14">
        <f t="shared" si="3"/>
        <v>4</v>
      </c>
      <c r="AO26" s="14">
        <f t="shared" si="27"/>
        <v>200705</v>
      </c>
      <c r="AP26" s="14" t="str">
        <f t="shared" si="5"/>
        <v>天使缇娜传记-4</v>
      </c>
      <c r="AQ26" s="14" t="str">
        <f t="shared" si="6"/>
        <v>天使缇娜传记-4</v>
      </c>
      <c r="AR26" s="14">
        <f t="shared" si="7"/>
        <v>70</v>
      </c>
      <c r="AS26" s="14" t="str">
        <f t="shared" si="8"/>
        <v/>
      </c>
      <c r="AT26" s="98">
        <v>3</v>
      </c>
      <c r="AU26" s="99" t="s">
        <v>890</v>
      </c>
      <c r="AV26" s="14" t="str">
        <f t="shared" si="9"/>
        <v>KP_KM_1102007</v>
      </c>
      <c r="AW26" s="14">
        <f t="shared" si="10"/>
        <v>1102007</v>
      </c>
      <c r="AX26" s="14" t="str">
        <f t="shared" si="11"/>
        <v>天使缇娜传记4-1</v>
      </c>
      <c r="AY26" s="14" t="str">
        <f t="shared" si="12"/>
        <v/>
      </c>
      <c r="AZ26" s="14" t="str">
        <f t="shared" si="13"/>
        <v>天使缇娜专属武器碎片</v>
      </c>
      <c r="BA26" s="14">
        <f t="shared" si="14"/>
        <v>1</v>
      </c>
      <c r="BB26" s="14" t="str">
        <f t="shared" si="15"/>
        <v/>
      </c>
      <c r="BC26" s="14" t="str">
        <f t="shared" si="16"/>
        <v/>
      </c>
      <c r="BD26" s="96"/>
      <c r="BG26" s="97">
        <v>22</v>
      </c>
      <c r="BH26" s="14">
        <f t="shared" si="17"/>
        <v>3</v>
      </c>
      <c r="BI26" s="14">
        <f t="shared" si="18"/>
        <v>5</v>
      </c>
      <c r="BJ26" s="14">
        <f t="shared" si="19"/>
        <v>3022</v>
      </c>
      <c r="BK26" s="14" t="str">
        <f t="shared" si="20"/>
        <v>李轩辕传记5-1</v>
      </c>
      <c r="BM26" s="14" t="str">
        <f t="shared" si="21"/>
        <v>李轩辕传记5-1 李轩辕碎片</v>
      </c>
      <c r="BN26" s="14" t="str">
        <f t="shared" si="22"/>
        <v>李轩辕碎片</v>
      </c>
      <c r="BO26" s="14">
        <f t="shared" si="23"/>
        <v>1</v>
      </c>
      <c r="BP26" s="14">
        <f t="shared" si="24"/>
        <v>2</v>
      </c>
      <c r="BQ26" s="14">
        <v>10000</v>
      </c>
    </row>
    <row r="27" spans="1:69" ht="16.5" x14ac:dyDescent="0.2">
      <c r="AI27" s="96">
        <v>23</v>
      </c>
      <c r="AJ27" s="14">
        <f t="shared" si="0"/>
        <v>4</v>
      </c>
      <c r="AK27" s="14">
        <f t="shared" si="1"/>
        <v>200705</v>
      </c>
      <c r="AL27" s="14">
        <f t="shared" si="2"/>
        <v>2007</v>
      </c>
      <c r="AM27" s="96" t="s">
        <v>886</v>
      </c>
      <c r="AN27" s="14">
        <f t="shared" si="3"/>
        <v>5</v>
      </c>
      <c r="AO27" s="14">
        <f t="shared" si="27"/>
        <v>200706</v>
      </c>
      <c r="AP27" s="14" t="str">
        <f t="shared" si="5"/>
        <v>天使缇娜传记-5</v>
      </c>
      <c r="AQ27" s="14" t="str">
        <f t="shared" si="6"/>
        <v>天使缇娜传记-5</v>
      </c>
      <c r="AR27" s="14">
        <f t="shared" si="7"/>
        <v>80</v>
      </c>
      <c r="AS27" s="14" t="str">
        <f t="shared" si="8"/>
        <v/>
      </c>
      <c r="AT27" s="98">
        <v>3</v>
      </c>
      <c r="AU27" s="99" t="s">
        <v>890</v>
      </c>
      <c r="AV27" s="14" t="str">
        <f t="shared" si="9"/>
        <v>KP_KM_1102007</v>
      </c>
      <c r="AW27" s="14">
        <f t="shared" si="10"/>
        <v>1102007</v>
      </c>
      <c r="AX27" s="14" t="str">
        <f t="shared" si="11"/>
        <v>天使缇娜传记5-1</v>
      </c>
      <c r="AY27" s="14" t="str">
        <f t="shared" si="12"/>
        <v>天使缇娜传记5-1</v>
      </c>
      <c r="AZ27" s="14" t="str">
        <f t="shared" si="13"/>
        <v>天使缇娜碎片</v>
      </c>
      <c r="BA27" s="14" t="str">
        <f t="shared" si="14"/>
        <v>1~2</v>
      </c>
      <c r="BB27" s="14" t="str">
        <f t="shared" si="15"/>
        <v>天使缇娜专属武器碎片</v>
      </c>
      <c r="BC27" s="14">
        <f t="shared" si="16"/>
        <v>1</v>
      </c>
      <c r="BD27" s="96"/>
      <c r="BG27" s="97">
        <v>23</v>
      </c>
      <c r="BH27" s="14">
        <f t="shared" si="17"/>
        <v>3</v>
      </c>
      <c r="BI27" s="14">
        <f t="shared" si="18"/>
        <v>6</v>
      </c>
      <c r="BJ27" s="14">
        <f t="shared" si="19"/>
        <v>3023</v>
      </c>
      <c r="BK27" s="14" t="str">
        <f t="shared" si="20"/>
        <v>李轩辕传记5-2</v>
      </c>
      <c r="BM27" s="14" t="str">
        <f t="shared" si="21"/>
        <v>李轩辕传记5-2 李轩辕专属武器碎片</v>
      </c>
      <c r="BN27" s="14" t="str">
        <f t="shared" si="22"/>
        <v>李轩辕专属武器碎片</v>
      </c>
      <c r="BO27" s="14">
        <f t="shared" si="23"/>
        <v>1</v>
      </c>
      <c r="BP27" s="14">
        <f t="shared" si="24"/>
        <v>1</v>
      </c>
      <c r="BQ27" s="14">
        <v>10000</v>
      </c>
    </row>
    <row r="28" spans="1:69" ht="16.5" x14ac:dyDescent="0.2">
      <c r="AI28" s="96">
        <v>24</v>
      </c>
      <c r="AJ28" s="14">
        <f t="shared" si="0"/>
        <v>4</v>
      </c>
      <c r="AK28" s="14">
        <f t="shared" si="1"/>
        <v>200706</v>
      </c>
      <c r="AL28" s="14">
        <f t="shared" si="2"/>
        <v>2007</v>
      </c>
      <c r="AM28" s="96" t="s">
        <v>886</v>
      </c>
      <c r="AN28" s="14">
        <f t="shared" si="3"/>
        <v>6</v>
      </c>
      <c r="AO28" s="14">
        <f t="shared" si="27"/>
        <v>200707</v>
      </c>
      <c r="AP28" s="14" t="str">
        <f t="shared" si="5"/>
        <v>天使缇娜传记-6</v>
      </c>
      <c r="AQ28" s="14" t="str">
        <f t="shared" si="6"/>
        <v>天使缇娜传记-6</v>
      </c>
      <c r="AR28" s="14">
        <f t="shared" si="7"/>
        <v>90</v>
      </c>
      <c r="AS28" s="14">
        <f t="shared" si="8"/>
        <v>2</v>
      </c>
      <c r="AT28" s="98">
        <v>3</v>
      </c>
      <c r="AU28" s="99" t="s">
        <v>890</v>
      </c>
      <c r="AV28" s="14" t="str">
        <f t="shared" si="9"/>
        <v>KP_KM_1102007</v>
      </c>
      <c r="AW28" s="14">
        <f t="shared" si="10"/>
        <v>1102007</v>
      </c>
      <c r="AX28" s="14" t="str">
        <f t="shared" si="11"/>
        <v>天使缇娜传记6-1</v>
      </c>
      <c r="AY28" s="14" t="str">
        <f t="shared" si="12"/>
        <v>天使缇娜传记6-1</v>
      </c>
      <c r="AZ28" s="14" t="str">
        <f t="shared" si="13"/>
        <v>天使缇娜碎片</v>
      </c>
      <c r="BA28" s="14" t="str">
        <f t="shared" si="14"/>
        <v>1~2</v>
      </c>
      <c r="BB28" s="14" t="str">
        <f t="shared" si="15"/>
        <v>天使缇娜专属武器碎片</v>
      </c>
      <c r="BC28" s="14">
        <f t="shared" si="16"/>
        <v>1</v>
      </c>
      <c r="BD28" s="96"/>
      <c r="BG28" s="97">
        <v>24</v>
      </c>
      <c r="BH28" s="14">
        <f t="shared" si="17"/>
        <v>4</v>
      </c>
      <c r="BI28" s="14">
        <f t="shared" si="18"/>
        <v>1</v>
      </c>
      <c r="BJ28" s="14">
        <f t="shared" si="19"/>
        <v>3024</v>
      </c>
      <c r="BK28" s="14" t="str">
        <f t="shared" si="20"/>
        <v>天使缇娜传记1-1</v>
      </c>
      <c r="BM28" s="14" t="str">
        <f t="shared" si="21"/>
        <v>天使缇娜传记1-1 天使缇娜碎片</v>
      </c>
      <c r="BN28" s="14" t="str">
        <f t="shared" si="22"/>
        <v>天使缇娜碎片</v>
      </c>
      <c r="BO28" s="14">
        <f t="shared" si="23"/>
        <v>1</v>
      </c>
      <c r="BP28" s="14">
        <f t="shared" si="24"/>
        <v>1</v>
      </c>
      <c r="BQ28" s="14">
        <v>10000</v>
      </c>
    </row>
    <row r="29" spans="1:69" ht="16.5" x14ac:dyDescent="0.2">
      <c r="AI29" s="96">
        <v>25</v>
      </c>
      <c r="AJ29" s="14">
        <f t="shared" si="0"/>
        <v>4</v>
      </c>
      <c r="AK29" s="14">
        <f t="shared" si="1"/>
        <v>200707</v>
      </c>
      <c r="AL29" s="14">
        <f t="shared" si="2"/>
        <v>2007</v>
      </c>
      <c r="AM29" s="96" t="s">
        <v>886</v>
      </c>
      <c r="AN29" s="14">
        <f t="shared" si="3"/>
        <v>7</v>
      </c>
      <c r="AO29" s="14">
        <f t="shared" si="27"/>
        <v>200708</v>
      </c>
      <c r="AP29" s="14" t="str">
        <f t="shared" si="5"/>
        <v>天使缇娜传记-7</v>
      </c>
      <c r="AQ29" s="14" t="str">
        <f t="shared" si="6"/>
        <v>天使缇娜传记-7</v>
      </c>
      <c r="AR29" s="14">
        <f t="shared" si="7"/>
        <v>100</v>
      </c>
      <c r="AS29" s="14">
        <f t="shared" si="8"/>
        <v>2</v>
      </c>
      <c r="AT29" s="98">
        <v>3</v>
      </c>
      <c r="AU29" s="99" t="s">
        <v>890</v>
      </c>
      <c r="AV29" s="14" t="str">
        <f t="shared" si="9"/>
        <v>KP_KM_1102007</v>
      </c>
      <c r="AW29" s="14">
        <f t="shared" si="10"/>
        <v>1102007</v>
      </c>
      <c r="AX29" s="14" t="str">
        <f t="shared" si="11"/>
        <v>天使缇娜传记7-1</v>
      </c>
      <c r="AY29" s="14" t="str">
        <f t="shared" si="12"/>
        <v>天使缇娜传记7-1</v>
      </c>
      <c r="AZ29" s="14" t="str">
        <f t="shared" si="13"/>
        <v>天使缇娜碎片</v>
      </c>
      <c r="BA29" s="14" t="str">
        <f t="shared" si="14"/>
        <v>1~2</v>
      </c>
      <c r="BB29" s="14" t="str">
        <f t="shared" si="15"/>
        <v>天使缇娜专属武器碎片</v>
      </c>
      <c r="BC29" s="14">
        <f t="shared" si="16"/>
        <v>1</v>
      </c>
      <c r="BD29" s="96"/>
      <c r="BG29" s="97">
        <v>25</v>
      </c>
      <c r="BH29" s="14">
        <f t="shared" si="17"/>
        <v>4</v>
      </c>
      <c r="BI29" s="14">
        <f t="shared" si="18"/>
        <v>2</v>
      </c>
      <c r="BJ29" s="14">
        <f t="shared" si="19"/>
        <v>3025</v>
      </c>
      <c r="BK29" s="14" t="str">
        <f t="shared" si="20"/>
        <v>天使缇娜传记2-1</v>
      </c>
      <c r="BM29" s="14" t="str">
        <f t="shared" si="21"/>
        <v>天使缇娜传记2-1 天使缇娜碎片</v>
      </c>
      <c r="BN29" s="14" t="str">
        <f t="shared" si="22"/>
        <v>天使缇娜碎片</v>
      </c>
      <c r="BO29" s="14">
        <f t="shared" si="23"/>
        <v>1</v>
      </c>
      <c r="BP29" s="14">
        <f t="shared" si="24"/>
        <v>1</v>
      </c>
      <c r="BQ29" s="14">
        <v>10000</v>
      </c>
    </row>
    <row r="30" spans="1:69" ht="16.5" x14ac:dyDescent="0.2">
      <c r="AI30" s="96">
        <v>26</v>
      </c>
      <c r="AJ30" s="14">
        <f t="shared" si="0"/>
        <v>4</v>
      </c>
      <c r="AK30" s="14">
        <f t="shared" si="1"/>
        <v>200708</v>
      </c>
      <c r="AL30" s="14">
        <f t="shared" si="2"/>
        <v>2007</v>
      </c>
      <c r="AM30" s="96" t="s">
        <v>886</v>
      </c>
      <c r="AN30" s="14">
        <f t="shared" si="3"/>
        <v>8</v>
      </c>
      <c r="AO30" s="14">
        <f t="shared" si="27"/>
        <v>-1</v>
      </c>
      <c r="AP30" s="14" t="str">
        <f t="shared" si="5"/>
        <v>天使缇娜传记-8</v>
      </c>
      <c r="AQ30" s="14" t="str">
        <f t="shared" si="6"/>
        <v>天使缇娜传记-8</v>
      </c>
      <c r="AR30" s="14">
        <f t="shared" si="7"/>
        <v>120</v>
      </c>
      <c r="AS30" s="14">
        <f t="shared" si="8"/>
        <v>2</v>
      </c>
      <c r="AT30" s="98">
        <v>3</v>
      </c>
      <c r="AU30" s="99" t="s">
        <v>890</v>
      </c>
      <c r="AV30" s="14" t="str">
        <f t="shared" si="9"/>
        <v>KP_KM_1102007</v>
      </c>
      <c r="AW30" s="14">
        <f t="shared" si="10"/>
        <v>1102007</v>
      </c>
      <c r="AX30" s="14" t="str">
        <f t="shared" si="11"/>
        <v>天使缇娜传记8-1</v>
      </c>
      <c r="AY30" s="14" t="str">
        <f t="shared" si="12"/>
        <v/>
      </c>
      <c r="AZ30" s="14" t="str">
        <f t="shared" si="13"/>
        <v>天使缇娜碎片</v>
      </c>
      <c r="BA30" s="14">
        <f t="shared" si="14"/>
        <v>2</v>
      </c>
      <c r="BB30" s="14" t="str">
        <f t="shared" si="15"/>
        <v/>
      </c>
      <c r="BC30" s="14" t="str">
        <f t="shared" si="16"/>
        <v/>
      </c>
      <c r="BD30" s="96"/>
      <c r="BG30" s="97">
        <v>26</v>
      </c>
      <c r="BH30" s="14">
        <f t="shared" si="17"/>
        <v>4</v>
      </c>
      <c r="BI30" s="14">
        <f t="shared" si="18"/>
        <v>3</v>
      </c>
      <c r="BJ30" s="14">
        <f t="shared" si="19"/>
        <v>3026</v>
      </c>
      <c r="BK30" s="14" t="str">
        <f t="shared" si="20"/>
        <v>天使缇娜传记3-1</v>
      </c>
      <c r="BM30" s="14" t="str">
        <f t="shared" si="21"/>
        <v>天使缇娜传记3-1 天使缇娜碎片</v>
      </c>
      <c r="BN30" s="14" t="str">
        <f t="shared" si="22"/>
        <v>天使缇娜碎片</v>
      </c>
      <c r="BO30" s="14">
        <f t="shared" si="23"/>
        <v>1</v>
      </c>
      <c r="BP30" s="14">
        <f t="shared" si="24"/>
        <v>2</v>
      </c>
      <c r="BQ30" s="14">
        <v>10000</v>
      </c>
    </row>
    <row r="31" spans="1:69" ht="16.5" x14ac:dyDescent="0.2">
      <c r="AI31" s="96">
        <v>27</v>
      </c>
      <c r="AJ31" s="14">
        <f t="shared" si="0"/>
        <v>5</v>
      </c>
      <c r="AK31" s="14">
        <f t="shared" si="1"/>
        <v>200801</v>
      </c>
      <c r="AL31" s="14">
        <f t="shared" si="2"/>
        <v>2008</v>
      </c>
      <c r="AM31" s="96" t="s">
        <v>886</v>
      </c>
      <c r="AN31" s="14">
        <f t="shared" si="3"/>
        <v>1</v>
      </c>
      <c r="AO31" s="14">
        <f t="shared" si="27"/>
        <v>200802</v>
      </c>
      <c r="AP31" s="14" t="str">
        <f t="shared" si="5"/>
        <v>夏侯渊传记-1</v>
      </c>
      <c r="AQ31" s="14" t="str">
        <f t="shared" si="6"/>
        <v>夏侯渊传记-1</v>
      </c>
      <c r="AR31" s="14">
        <f t="shared" si="7"/>
        <v>30</v>
      </c>
      <c r="AS31" s="14" t="str">
        <f t="shared" si="8"/>
        <v/>
      </c>
      <c r="AT31" s="98">
        <v>3</v>
      </c>
      <c r="AU31" s="99" t="s">
        <v>890</v>
      </c>
      <c r="AV31" s="14" t="str">
        <f t="shared" si="9"/>
        <v>KP_KM_1102008</v>
      </c>
      <c r="AW31" s="14">
        <f t="shared" si="10"/>
        <v>1102008</v>
      </c>
      <c r="AX31" s="14" t="str">
        <f t="shared" si="11"/>
        <v>夏侯渊传记1-1</v>
      </c>
      <c r="AY31" s="14" t="str">
        <f t="shared" si="12"/>
        <v/>
      </c>
      <c r="AZ31" s="14" t="str">
        <f t="shared" si="13"/>
        <v>夏侯渊碎片</v>
      </c>
      <c r="BA31" s="14">
        <f t="shared" si="14"/>
        <v>1</v>
      </c>
      <c r="BB31" s="14" t="str">
        <f t="shared" si="15"/>
        <v/>
      </c>
      <c r="BC31" s="14" t="str">
        <f t="shared" si="16"/>
        <v/>
      </c>
      <c r="BD31" s="96"/>
      <c r="BG31" s="97">
        <v>27</v>
      </c>
      <c r="BH31" s="14">
        <f t="shared" si="17"/>
        <v>4</v>
      </c>
      <c r="BI31" s="14">
        <f t="shared" si="18"/>
        <v>4</v>
      </c>
      <c r="BJ31" s="14">
        <f t="shared" si="19"/>
        <v>3027</v>
      </c>
      <c r="BK31" s="14" t="str">
        <f t="shared" si="20"/>
        <v>天使缇娜传记4-1</v>
      </c>
      <c r="BM31" s="14" t="str">
        <f t="shared" si="21"/>
        <v>天使缇娜传记4-1 天使缇娜专属武器碎片</v>
      </c>
      <c r="BN31" s="14" t="str">
        <f t="shared" si="22"/>
        <v>天使缇娜专属武器碎片</v>
      </c>
      <c r="BO31" s="14">
        <f t="shared" si="23"/>
        <v>1</v>
      </c>
      <c r="BP31" s="14">
        <f t="shared" si="24"/>
        <v>1</v>
      </c>
      <c r="BQ31" s="14">
        <v>10000</v>
      </c>
    </row>
    <row r="32" spans="1:69" ht="16.5" x14ac:dyDescent="0.2">
      <c r="AI32" s="96">
        <v>28</v>
      </c>
      <c r="AJ32" s="14">
        <f t="shared" si="0"/>
        <v>5</v>
      </c>
      <c r="AK32" s="14">
        <f t="shared" si="1"/>
        <v>200802</v>
      </c>
      <c r="AL32" s="14">
        <f t="shared" si="2"/>
        <v>2008</v>
      </c>
      <c r="AM32" s="96" t="s">
        <v>886</v>
      </c>
      <c r="AN32" s="14">
        <f t="shared" si="3"/>
        <v>2</v>
      </c>
      <c r="AO32" s="14">
        <f t="shared" si="27"/>
        <v>200803</v>
      </c>
      <c r="AP32" s="14" t="str">
        <f t="shared" si="5"/>
        <v>夏侯渊传记-2</v>
      </c>
      <c r="AQ32" s="14" t="str">
        <f t="shared" si="6"/>
        <v>夏侯渊传记-2</v>
      </c>
      <c r="AR32" s="14">
        <f t="shared" si="7"/>
        <v>40</v>
      </c>
      <c r="AS32" s="14" t="str">
        <f t="shared" si="8"/>
        <v/>
      </c>
      <c r="AT32" s="98">
        <v>3</v>
      </c>
      <c r="AU32" s="99" t="s">
        <v>890</v>
      </c>
      <c r="AV32" s="14" t="str">
        <f t="shared" si="9"/>
        <v>KP_KM_1102008</v>
      </c>
      <c r="AW32" s="14">
        <f t="shared" si="10"/>
        <v>1102008</v>
      </c>
      <c r="AX32" s="14" t="str">
        <f t="shared" si="11"/>
        <v>夏侯渊传记2-1</v>
      </c>
      <c r="AY32" s="14" t="str">
        <f t="shared" si="12"/>
        <v/>
      </c>
      <c r="AZ32" s="14" t="str">
        <f t="shared" si="13"/>
        <v>夏侯渊碎片</v>
      </c>
      <c r="BA32" s="14">
        <f t="shared" si="14"/>
        <v>1</v>
      </c>
      <c r="BB32" s="14" t="str">
        <f t="shared" si="15"/>
        <v/>
      </c>
      <c r="BC32" s="14" t="str">
        <f t="shared" si="16"/>
        <v/>
      </c>
      <c r="BD32" s="96"/>
      <c r="BG32" s="97">
        <v>28</v>
      </c>
      <c r="BH32" s="14">
        <f t="shared" si="17"/>
        <v>4</v>
      </c>
      <c r="BI32" s="14">
        <f t="shared" si="18"/>
        <v>5</v>
      </c>
      <c r="BJ32" s="14">
        <f t="shared" si="19"/>
        <v>3028</v>
      </c>
      <c r="BK32" s="14" t="str">
        <f t="shared" si="20"/>
        <v>天使缇娜传记5-1</v>
      </c>
      <c r="BM32" s="14" t="str">
        <f t="shared" si="21"/>
        <v>天使缇娜传记5-1 天使缇娜碎片</v>
      </c>
      <c r="BN32" s="14" t="str">
        <f t="shared" si="22"/>
        <v>天使缇娜碎片</v>
      </c>
      <c r="BO32" s="14">
        <f t="shared" si="23"/>
        <v>1</v>
      </c>
      <c r="BP32" s="14">
        <f t="shared" si="24"/>
        <v>2</v>
      </c>
      <c r="BQ32" s="14">
        <v>10000</v>
      </c>
    </row>
    <row r="33" spans="35:69" ht="16.5" x14ac:dyDescent="0.2">
      <c r="AI33" s="96">
        <v>29</v>
      </c>
      <c r="AJ33" s="14">
        <f t="shared" si="0"/>
        <v>5</v>
      </c>
      <c r="AK33" s="14">
        <f t="shared" si="1"/>
        <v>200803</v>
      </c>
      <c r="AL33" s="14">
        <f t="shared" si="2"/>
        <v>2008</v>
      </c>
      <c r="AM33" s="96" t="s">
        <v>886</v>
      </c>
      <c r="AN33" s="14">
        <f t="shared" si="3"/>
        <v>3</v>
      </c>
      <c r="AO33" s="14">
        <f t="shared" si="27"/>
        <v>200804</v>
      </c>
      <c r="AP33" s="14" t="str">
        <f t="shared" si="5"/>
        <v>夏侯渊传记-3</v>
      </c>
      <c r="AQ33" s="14" t="str">
        <f t="shared" si="6"/>
        <v>夏侯渊传记-3</v>
      </c>
      <c r="AR33" s="14">
        <f t="shared" si="7"/>
        <v>55</v>
      </c>
      <c r="AS33" s="14" t="str">
        <f t="shared" si="8"/>
        <v/>
      </c>
      <c r="AT33" s="98">
        <v>3</v>
      </c>
      <c r="AU33" s="99" t="s">
        <v>890</v>
      </c>
      <c r="AV33" s="14" t="str">
        <f t="shared" si="9"/>
        <v>KP_KM_1102008</v>
      </c>
      <c r="AW33" s="14">
        <f t="shared" si="10"/>
        <v>1102008</v>
      </c>
      <c r="AX33" s="14" t="str">
        <f t="shared" si="11"/>
        <v>夏侯渊传记3-1</v>
      </c>
      <c r="AY33" s="14" t="str">
        <f t="shared" si="12"/>
        <v/>
      </c>
      <c r="AZ33" s="14" t="str">
        <f t="shared" si="13"/>
        <v>夏侯渊碎片</v>
      </c>
      <c r="BA33" s="14" t="str">
        <f t="shared" si="14"/>
        <v>1~2</v>
      </c>
      <c r="BB33" s="14" t="str">
        <f t="shared" si="15"/>
        <v/>
      </c>
      <c r="BC33" s="14" t="str">
        <f t="shared" si="16"/>
        <v/>
      </c>
      <c r="BD33" s="96"/>
      <c r="BG33" s="97">
        <v>29</v>
      </c>
      <c r="BH33" s="14">
        <f t="shared" si="17"/>
        <v>4</v>
      </c>
      <c r="BI33" s="14">
        <f t="shared" si="18"/>
        <v>6</v>
      </c>
      <c r="BJ33" s="14">
        <f t="shared" si="19"/>
        <v>3029</v>
      </c>
      <c r="BK33" s="14" t="str">
        <f t="shared" si="20"/>
        <v>天使缇娜传记5-2</v>
      </c>
      <c r="BM33" s="14" t="str">
        <f t="shared" si="21"/>
        <v>天使缇娜传记5-2 天使缇娜专属武器碎片</v>
      </c>
      <c r="BN33" s="14" t="str">
        <f t="shared" si="22"/>
        <v>天使缇娜专属武器碎片</v>
      </c>
      <c r="BO33" s="14">
        <f t="shared" si="23"/>
        <v>1</v>
      </c>
      <c r="BP33" s="14">
        <f t="shared" si="24"/>
        <v>1</v>
      </c>
      <c r="BQ33" s="14">
        <v>10000</v>
      </c>
    </row>
    <row r="34" spans="35:69" ht="16.5" x14ac:dyDescent="0.2">
      <c r="AI34" s="96">
        <v>30</v>
      </c>
      <c r="AJ34" s="14">
        <f t="shared" si="0"/>
        <v>5</v>
      </c>
      <c r="AK34" s="14">
        <f t="shared" si="1"/>
        <v>200804</v>
      </c>
      <c r="AL34" s="14">
        <f t="shared" si="2"/>
        <v>2008</v>
      </c>
      <c r="AM34" s="96" t="s">
        <v>886</v>
      </c>
      <c r="AN34" s="14">
        <f t="shared" si="3"/>
        <v>4</v>
      </c>
      <c r="AO34" s="14">
        <f t="shared" si="27"/>
        <v>200805</v>
      </c>
      <c r="AP34" s="14" t="str">
        <f t="shared" si="5"/>
        <v>夏侯渊传记-4</v>
      </c>
      <c r="AQ34" s="14" t="str">
        <f t="shared" si="6"/>
        <v>夏侯渊传记-4</v>
      </c>
      <c r="AR34" s="14">
        <f t="shared" si="7"/>
        <v>70</v>
      </c>
      <c r="AS34" s="14" t="str">
        <f t="shared" si="8"/>
        <v/>
      </c>
      <c r="AT34" s="98">
        <v>3</v>
      </c>
      <c r="AU34" s="99" t="s">
        <v>890</v>
      </c>
      <c r="AV34" s="14" t="str">
        <f t="shared" si="9"/>
        <v>KP_KM_1102008</v>
      </c>
      <c r="AW34" s="14">
        <f t="shared" si="10"/>
        <v>1102008</v>
      </c>
      <c r="AX34" s="14" t="str">
        <f t="shared" si="11"/>
        <v>夏侯渊传记4-1</v>
      </c>
      <c r="AY34" s="14" t="str">
        <f t="shared" si="12"/>
        <v/>
      </c>
      <c r="AZ34" s="14" t="str">
        <f t="shared" si="13"/>
        <v>夏侯渊专属武器碎片</v>
      </c>
      <c r="BA34" s="14">
        <f t="shared" si="14"/>
        <v>1</v>
      </c>
      <c r="BB34" s="14" t="str">
        <f t="shared" si="15"/>
        <v/>
      </c>
      <c r="BC34" s="14" t="str">
        <f t="shared" si="16"/>
        <v/>
      </c>
      <c r="BD34" s="96"/>
      <c r="BG34" s="97">
        <v>30</v>
      </c>
      <c r="BH34" s="14">
        <f t="shared" si="17"/>
        <v>4</v>
      </c>
      <c r="BI34" s="14">
        <f t="shared" si="18"/>
        <v>7</v>
      </c>
      <c r="BJ34" s="14">
        <f t="shared" si="19"/>
        <v>3030</v>
      </c>
      <c r="BK34" s="14" t="str">
        <f t="shared" si="20"/>
        <v>天使缇娜传记6-1</v>
      </c>
      <c r="BM34" s="14" t="str">
        <f t="shared" si="21"/>
        <v>天使缇娜传记6-1 天使缇娜碎片</v>
      </c>
      <c r="BN34" s="14" t="str">
        <f t="shared" si="22"/>
        <v>天使缇娜碎片</v>
      </c>
      <c r="BO34" s="14">
        <f t="shared" si="23"/>
        <v>1</v>
      </c>
      <c r="BP34" s="14">
        <f t="shared" si="24"/>
        <v>2</v>
      </c>
      <c r="BQ34" s="14">
        <v>10000</v>
      </c>
    </row>
    <row r="35" spans="35:69" ht="16.5" x14ac:dyDescent="0.2">
      <c r="AI35" s="96">
        <v>31</v>
      </c>
      <c r="AJ35" s="14">
        <f t="shared" si="0"/>
        <v>5</v>
      </c>
      <c r="AK35" s="14">
        <f t="shared" si="1"/>
        <v>200805</v>
      </c>
      <c r="AL35" s="14">
        <f t="shared" si="2"/>
        <v>2008</v>
      </c>
      <c r="AM35" s="96" t="s">
        <v>886</v>
      </c>
      <c r="AN35" s="14">
        <f t="shared" si="3"/>
        <v>5</v>
      </c>
      <c r="AO35" s="14">
        <f t="shared" si="27"/>
        <v>200806</v>
      </c>
      <c r="AP35" s="14" t="str">
        <f t="shared" si="5"/>
        <v>夏侯渊传记-5</v>
      </c>
      <c r="AQ35" s="14" t="str">
        <f t="shared" si="6"/>
        <v>夏侯渊传记-5</v>
      </c>
      <c r="AR35" s="14">
        <f t="shared" si="7"/>
        <v>80</v>
      </c>
      <c r="AS35" s="14" t="str">
        <f t="shared" si="8"/>
        <v/>
      </c>
      <c r="AT35" s="98">
        <v>3</v>
      </c>
      <c r="AU35" s="99" t="s">
        <v>890</v>
      </c>
      <c r="AV35" s="14" t="str">
        <f t="shared" si="9"/>
        <v>KP_KM_1102008</v>
      </c>
      <c r="AW35" s="14">
        <f t="shared" si="10"/>
        <v>1102008</v>
      </c>
      <c r="AX35" s="14" t="str">
        <f t="shared" si="11"/>
        <v>夏侯渊传记5-1</v>
      </c>
      <c r="AY35" s="14" t="str">
        <f t="shared" si="12"/>
        <v>夏侯渊传记5-1</v>
      </c>
      <c r="AZ35" s="14" t="str">
        <f t="shared" si="13"/>
        <v>夏侯渊碎片</v>
      </c>
      <c r="BA35" s="14" t="str">
        <f t="shared" si="14"/>
        <v>1~2</v>
      </c>
      <c r="BB35" s="14" t="str">
        <f t="shared" si="15"/>
        <v>夏侯渊专属武器碎片</v>
      </c>
      <c r="BC35" s="14">
        <f t="shared" si="16"/>
        <v>1</v>
      </c>
      <c r="BD35" s="96"/>
      <c r="BG35" s="97">
        <v>31</v>
      </c>
      <c r="BH35" s="14">
        <f t="shared" si="17"/>
        <v>4</v>
      </c>
      <c r="BI35" s="14">
        <f t="shared" si="18"/>
        <v>8</v>
      </c>
      <c r="BJ35" s="14">
        <f t="shared" si="19"/>
        <v>3031</v>
      </c>
      <c r="BK35" s="14" t="str">
        <f t="shared" si="20"/>
        <v>天使缇娜传记6-2</v>
      </c>
      <c r="BM35" s="14" t="str">
        <f t="shared" si="21"/>
        <v>天使缇娜传记6-2 天使缇娜专属武器碎片</v>
      </c>
      <c r="BN35" s="14" t="str">
        <f t="shared" si="22"/>
        <v>天使缇娜专属武器碎片</v>
      </c>
      <c r="BO35" s="14">
        <f t="shared" si="23"/>
        <v>1</v>
      </c>
      <c r="BP35" s="14">
        <f t="shared" si="24"/>
        <v>1</v>
      </c>
      <c r="BQ35" s="14">
        <v>10000</v>
      </c>
    </row>
    <row r="36" spans="35:69" ht="16.5" x14ac:dyDescent="0.2">
      <c r="AI36" s="96">
        <v>32</v>
      </c>
      <c r="AJ36" s="14">
        <f t="shared" si="0"/>
        <v>5</v>
      </c>
      <c r="AK36" s="14">
        <f t="shared" si="1"/>
        <v>200806</v>
      </c>
      <c r="AL36" s="14">
        <f t="shared" si="2"/>
        <v>2008</v>
      </c>
      <c r="AM36" s="96" t="s">
        <v>886</v>
      </c>
      <c r="AN36" s="14">
        <f t="shared" si="3"/>
        <v>6</v>
      </c>
      <c r="AO36" s="14">
        <f t="shared" si="27"/>
        <v>200807</v>
      </c>
      <c r="AP36" s="14" t="str">
        <f t="shared" si="5"/>
        <v>夏侯渊传记-6</v>
      </c>
      <c r="AQ36" s="14" t="str">
        <f t="shared" si="6"/>
        <v>夏侯渊传记-6</v>
      </c>
      <c r="AR36" s="14">
        <f t="shared" si="7"/>
        <v>90</v>
      </c>
      <c r="AS36" s="14">
        <f t="shared" si="8"/>
        <v>2</v>
      </c>
      <c r="AT36" s="98">
        <v>3</v>
      </c>
      <c r="AU36" s="99" t="s">
        <v>890</v>
      </c>
      <c r="AV36" s="14" t="str">
        <f t="shared" si="9"/>
        <v>KP_KM_1102008</v>
      </c>
      <c r="AW36" s="14">
        <f t="shared" si="10"/>
        <v>1102008</v>
      </c>
      <c r="AX36" s="14" t="str">
        <f t="shared" si="11"/>
        <v>夏侯渊传记6-1</v>
      </c>
      <c r="AY36" s="14" t="str">
        <f t="shared" si="12"/>
        <v>夏侯渊传记6-1</v>
      </c>
      <c r="AZ36" s="14" t="str">
        <f t="shared" si="13"/>
        <v>夏侯渊碎片</v>
      </c>
      <c r="BA36" s="14" t="str">
        <f t="shared" si="14"/>
        <v>1~2</v>
      </c>
      <c r="BB36" s="14" t="str">
        <f t="shared" si="15"/>
        <v>夏侯渊专属武器碎片</v>
      </c>
      <c r="BC36" s="14">
        <f t="shared" si="16"/>
        <v>1</v>
      </c>
      <c r="BD36" s="96"/>
      <c r="BG36" s="97">
        <v>32</v>
      </c>
      <c r="BH36" s="14">
        <f t="shared" si="17"/>
        <v>4</v>
      </c>
      <c r="BI36" s="14">
        <f t="shared" si="18"/>
        <v>9</v>
      </c>
      <c r="BJ36" s="14">
        <f t="shared" si="19"/>
        <v>3032</v>
      </c>
      <c r="BK36" s="14" t="str">
        <f t="shared" si="20"/>
        <v>天使缇娜传记7-1</v>
      </c>
      <c r="BM36" s="14" t="str">
        <f t="shared" si="21"/>
        <v>天使缇娜传记7-1 天使缇娜碎片</v>
      </c>
      <c r="BN36" s="14" t="str">
        <f t="shared" si="22"/>
        <v>天使缇娜碎片</v>
      </c>
      <c r="BO36" s="14">
        <f t="shared" si="23"/>
        <v>1</v>
      </c>
      <c r="BP36" s="14">
        <f t="shared" si="24"/>
        <v>2</v>
      </c>
      <c r="BQ36" s="14">
        <v>10000</v>
      </c>
    </row>
    <row r="37" spans="35:69" ht="16.5" x14ac:dyDescent="0.2">
      <c r="AI37" s="96">
        <v>33</v>
      </c>
      <c r="AJ37" s="14">
        <f t="shared" si="0"/>
        <v>5</v>
      </c>
      <c r="AK37" s="14">
        <f t="shared" si="1"/>
        <v>200807</v>
      </c>
      <c r="AL37" s="14">
        <f t="shared" si="2"/>
        <v>2008</v>
      </c>
      <c r="AM37" s="96" t="s">
        <v>886</v>
      </c>
      <c r="AN37" s="14">
        <f t="shared" si="3"/>
        <v>7</v>
      </c>
      <c r="AO37" s="14">
        <f t="shared" si="27"/>
        <v>200808</v>
      </c>
      <c r="AP37" s="14" t="str">
        <f t="shared" si="5"/>
        <v>夏侯渊传记-7</v>
      </c>
      <c r="AQ37" s="14" t="str">
        <f t="shared" si="6"/>
        <v>夏侯渊传记-7</v>
      </c>
      <c r="AR37" s="14">
        <f t="shared" si="7"/>
        <v>100</v>
      </c>
      <c r="AS37" s="14">
        <f t="shared" si="8"/>
        <v>2</v>
      </c>
      <c r="AT37" s="98">
        <v>3</v>
      </c>
      <c r="AU37" s="99" t="s">
        <v>890</v>
      </c>
      <c r="AV37" s="14" t="str">
        <f t="shared" si="9"/>
        <v>KP_KM_1102008</v>
      </c>
      <c r="AW37" s="14">
        <f t="shared" si="10"/>
        <v>1102008</v>
      </c>
      <c r="AX37" s="14" t="str">
        <f t="shared" si="11"/>
        <v>夏侯渊传记7-1</v>
      </c>
      <c r="AY37" s="14" t="str">
        <f t="shared" si="12"/>
        <v>夏侯渊传记7-1</v>
      </c>
      <c r="AZ37" s="14" t="str">
        <f t="shared" si="13"/>
        <v>夏侯渊碎片</v>
      </c>
      <c r="BA37" s="14" t="str">
        <f t="shared" si="14"/>
        <v>1~2</v>
      </c>
      <c r="BB37" s="14" t="str">
        <f t="shared" si="15"/>
        <v>夏侯渊专属武器碎片</v>
      </c>
      <c r="BC37" s="14">
        <f t="shared" si="16"/>
        <v>1</v>
      </c>
      <c r="BD37" s="96"/>
      <c r="BG37" s="97">
        <v>33</v>
      </c>
      <c r="BH37" s="14">
        <f t="shared" si="17"/>
        <v>4</v>
      </c>
      <c r="BI37" s="14">
        <f t="shared" si="18"/>
        <v>10</v>
      </c>
      <c r="BJ37" s="14">
        <f t="shared" si="19"/>
        <v>3033</v>
      </c>
      <c r="BK37" s="14" t="str">
        <f t="shared" si="20"/>
        <v>天使缇娜传记7-2</v>
      </c>
      <c r="BM37" s="14" t="str">
        <f t="shared" si="21"/>
        <v>天使缇娜传记7-2 天使缇娜专属武器碎片</v>
      </c>
      <c r="BN37" s="14" t="str">
        <f t="shared" si="22"/>
        <v>天使缇娜专属武器碎片</v>
      </c>
      <c r="BO37" s="14">
        <f t="shared" si="23"/>
        <v>1</v>
      </c>
      <c r="BP37" s="14">
        <f t="shared" si="24"/>
        <v>1</v>
      </c>
      <c r="BQ37" s="14">
        <v>10000</v>
      </c>
    </row>
    <row r="38" spans="35:69" ht="16.5" x14ac:dyDescent="0.2">
      <c r="AI38" s="96">
        <v>34</v>
      </c>
      <c r="AJ38" s="14">
        <f t="shared" si="0"/>
        <v>5</v>
      </c>
      <c r="AK38" s="14">
        <f t="shared" si="1"/>
        <v>200808</v>
      </c>
      <c r="AL38" s="14">
        <f t="shared" si="2"/>
        <v>2008</v>
      </c>
      <c r="AM38" s="96" t="s">
        <v>886</v>
      </c>
      <c r="AN38" s="14">
        <f t="shared" si="3"/>
        <v>8</v>
      </c>
      <c r="AO38" s="14">
        <f t="shared" si="27"/>
        <v>-1</v>
      </c>
      <c r="AP38" s="14" t="str">
        <f t="shared" si="5"/>
        <v>夏侯渊传记-8</v>
      </c>
      <c r="AQ38" s="14" t="str">
        <f t="shared" si="6"/>
        <v>夏侯渊传记-8</v>
      </c>
      <c r="AR38" s="14">
        <f t="shared" si="7"/>
        <v>120</v>
      </c>
      <c r="AS38" s="14">
        <f t="shared" si="8"/>
        <v>2</v>
      </c>
      <c r="AT38" s="98">
        <v>3</v>
      </c>
      <c r="AU38" s="99" t="s">
        <v>890</v>
      </c>
      <c r="AV38" s="14" t="str">
        <f t="shared" si="9"/>
        <v>KP_KM_1102008</v>
      </c>
      <c r="AW38" s="14">
        <f t="shared" si="10"/>
        <v>1102008</v>
      </c>
      <c r="AX38" s="14" t="str">
        <f t="shared" si="11"/>
        <v>夏侯渊传记8-1</v>
      </c>
      <c r="AY38" s="14" t="str">
        <f t="shared" si="12"/>
        <v/>
      </c>
      <c r="AZ38" s="14" t="str">
        <f t="shared" si="13"/>
        <v>夏侯渊碎片</v>
      </c>
      <c r="BA38" s="14">
        <f t="shared" si="14"/>
        <v>2</v>
      </c>
      <c r="BB38" s="14" t="str">
        <f t="shared" si="15"/>
        <v/>
      </c>
      <c r="BC38" s="14" t="str">
        <f t="shared" si="16"/>
        <v/>
      </c>
      <c r="BD38" s="96"/>
      <c r="BG38" s="97">
        <v>34</v>
      </c>
      <c r="BH38" s="14">
        <f t="shared" si="17"/>
        <v>4</v>
      </c>
      <c r="BI38" s="14">
        <f t="shared" si="18"/>
        <v>11</v>
      </c>
      <c r="BJ38" s="14">
        <f t="shared" si="19"/>
        <v>3034</v>
      </c>
      <c r="BK38" s="14" t="str">
        <f t="shared" si="20"/>
        <v>天使缇娜传记8-1</v>
      </c>
      <c r="BM38" s="14" t="str">
        <f t="shared" si="21"/>
        <v>天使缇娜传记8-1 天使缇娜碎片</v>
      </c>
      <c r="BN38" s="14" t="str">
        <f t="shared" si="22"/>
        <v>天使缇娜碎片</v>
      </c>
      <c r="BO38" s="14">
        <f t="shared" si="23"/>
        <v>2</v>
      </c>
      <c r="BP38" s="14">
        <f t="shared" si="24"/>
        <v>2</v>
      </c>
      <c r="BQ38" s="14">
        <v>10000</v>
      </c>
    </row>
    <row r="39" spans="35:69" ht="16.5" x14ac:dyDescent="0.2">
      <c r="AI39" s="96">
        <v>35</v>
      </c>
      <c r="AJ39" s="14">
        <f t="shared" si="0"/>
        <v>6</v>
      </c>
      <c r="AK39" s="14">
        <f t="shared" si="1"/>
        <v>200901</v>
      </c>
      <c r="AL39" s="14">
        <f t="shared" si="2"/>
        <v>2009</v>
      </c>
      <c r="AM39" s="96" t="s">
        <v>886</v>
      </c>
      <c r="AN39" s="14">
        <f t="shared" si="3"/>
        <v>1</v>
      </c>
      <c r="AO39" s="14">
        <f t="shared" si="27"/>
        <v>200902</v>
      </c>
      <c r="AP39" s="14" t="str">
        <f t="shared" si="5"/>
        <v>徐晃传记-1</v>
      </c>
      <c r="AQ39" s="14" t="str">
        <f t="shared" si="6"/>
        <v>徐晃传记-1</v>
      </c>
      <c r="AR39" s="14">
        <f t="shared" si="7"/>
        <v>30</v>
      </c>
      <c r="AS39" s="14" t="str">
        <f t="shared" si="8"/>
        <v/>
      </c>
      <c r="AT39" s="98">
        <v>3</v>
      </c>
      <c r="AU39" s="99" t="s">
        <v>890</v>
      </c>
      <c r="AV39" s="14" t="str">
        <f t="shared" si="9"/>
        <v>KP_KM_1102009</v>
      </c>
      <c r="AW39" s="14">
        <f t="shared" si="10"/>
        <v>1102009</v>
      </c>
      <c r="AX39" s="14" t="str">
        <f t="shared" si="11"/>
        <v>徐晃传记1-1</v>
      </c>
      <c r="AY39" s="14" t="str">
        <f t="shared" si="12"/>
        <v/>
      </c>
      <c r="AZ39" s="14" t="str">
        <f t="shared" si="13"/>
        <v>徐晃碎片</v>
      </c>
      <c r="BA39" s="14">
        <f t="shared" si="14"/>
        <v>1</v>
      </c>
      <c r="BB39" s="14" t="str">
        <f t="shared" si="15"/>
        <v/>
      </c>
      <c r="BC39" s="14" t="str">
        <f t="shared" si="16"/>
        <v/>
      </c>
      <c r="BD39" s="96"/>
      <c r="BG39" s="97">
        <v>35</v>
      </c>
      <c r="BH39" s="14">
        <f t="shared" si="17"/>
        <v>5</v>
      </c>
      <c r="BI39" s="14">
        <f t="shared" si="18"/>
        <v>1</v>
      </c>
      <c r="BJ39" s="14">
        <f t="shared" si="19"/>
        <v>3035</v>
      </c>
      <c r="BK39" s="14" t="str">
        <f t="shared" si="20"/>
        <v>夏侯渊传记1-1</v>
      </c>
      <c r="BM39" s="14" t="str">
        <f t="shared" si="21"/>
        <v>夏侯渊传记1-1 夏侯渊碎片</v>
      </c>
      <c r="BN39" s="14" t="str">
        <f t="shared" si="22"/>
        <v>夏侯渊碎片</v>
      </c>
      <c r="BO39" s="14">
        <f t="shared" si="23"/>
        <v>1</v>
      </c>
      <c r="BP39" s="14">
        <f t="shared" si="24"/>
        <v>1</v>
      </c>
      <c r="BQ39" s="14">
        <v>10000</v>
      </c>
    </row>
    <row r="40" spans="35:69" ht="16.5" x14ac:dyDescent="0.2">
      <c r="AI40" s="96">
        <v>36</v>
      </c>
      <c r="AJ40" s="14">
        <f t="shared" si="0"/>
        <v>6</v>
      </c>
      <c r="AK40" s="14">
        <f t="shared" si="1"/>
        <v>200902</v>
      </c>
      <c r="AL40" s="14">
        <f t="shared" si="2"/>
        <v>2009</v>
      </c>
      <c r="AM40" s="96" t="s">
        <v>886</v>
      </c>
      <c r="AN40" s="14">
        <f t="shared" si="3"/>
        <v>2</v>
      </c>
      <c r="AO40" s="14">
        <f t="shared" si="27"/>
        <v>200903</v>
      </c>
      <c r="AP40" s="14" t="str">
        <f t="shared" si="5"/>
        <v>徐晃传记-2</v>
      </c>
      <c r="AQ40" s="14" t="str">
        <f t="shared" si="6"/>
        <v>徐晃传记-2</v>
      </c>
      <c r="AR40" s="14">
        <f t="shared" si="7"/>
        <v>40</v>
      </c>
      <c r="AS40" s="14" t="str">
        <f t="shared" si="8"/>
        <v/>
      </c>
      <c r="AT40" s="98">
        <v>3</v>
      </c>
      <c r="AU40" s="99" t="s">
        <v>890</v>
      </c>
      <c r="AV40" s="14" t="str">
        <f t="shared" si="9"/>
        <v>KP_KM_1102009</v>
      </c>
      <c r="AW40" s="14">
        <f t="shared" si="10"/>
        <v>1102009</v>
      </c>
      <c r="AX40" s="14" t="str">
        <f t="shared" si="11"/>
        <v>徐晃传记2-1</v>
      </c>
      <c r="AY40" s="14" t="str">
        <f t="shared" si="12"/>
        <v/>
      </c>
      <c r="AZ40" s="14" t="str">
        <f t="shared" si="13"/>
        <v>徐晃碎片</v>
      </c>
      <c r="BA40" s="14">
        <f t="shared" si="14"/>
        <v>1</v>
      </c>
      <c r="BB40" s="14" t="str">
        <f t="shared" si="15"/>
        <v/>
      </c>
      <c r="BC40" s="14" t="str">
        <f t="shared" si="16"/>
        <v/>
      </c>
      <c r="BD40" s="96"/>
      <c r="BG40" s="97">
        <v>36</v>
      </c>
      <c r="BH40" s="14">
        <f t="shared" si="17"/>
        <v>5</v>
      </c>
      <c r="BI40" s="14">
        <f t="shared" si="18"/>
        <v>2</v>
      </c>
      <c r="BJ40" s="14">
        <f t="shared" si="19"/>
        <v>3036</v>
      </c>
      <c r="BK40" s="14" t="str">
        <f t="shared" si="20"/>
        <v>夏侯渊传记2-1</v>
      </c>
      <c r="BM40" s="14" t="str">
        <f t="shared" si="21"/>
        <v>夏侯渊传记2-1 夏侯渊碎片</v>
      </c>
      <c r="BN40" s="14" t="str">
        <f t="shared" si="22"/>
        <v>夏侯渊碎片</v>
      </c>
      <c r="BO40" s="14">
        <f t="shared" si="23"/>
        <v>1</v>
      </c>
      <c r="BP40" s="14">
        <f t="shared" si="24"/>
        <v>1</v>
      </c>
      <c r="BQ40" s="14">
        <v>10000</v>
      </c>
    </row>
    <row r="41" spans="35:69" ht="16.5" x14ac:dyDescent="0.2">
      <c r="AI41" s="96">
        <v>37</v>
      </c>
      <c r="AJ41" s="14">
        <f t="shared" si="0"/>
        <v>6</v>
      </c>
      <c r="AK41" s="14">
        <f t="shared" si="1"/>
        <v>200903</v>
      </c>
      <c r="AL41" s="14">
        <f t="shared" si="2"/>
        <v>2009</v>
      </c>
      <c r="AM41" s="96" t="s">
        <v>886</v>
      </c>
      <c r="AN41" s="14">
        <f t="shared" si="3"/>
        <v>3</v>
      </c>
      <c r="AO41" s="14">
        <f t="shared" si="27"/>
        <v>200904</v>
      </c>
      <c r="AP41" s="14" t="str">
        <f t="shared" si="5"/>
        <v>徐晃传记-3</v>
      </c>
      <c r="AQ41" s="14" t="str">
        <f t="shared" si="6"/>
        <v>徐晃传记-3</v>
      </c>
      <c r="AR41" s="14">
        <f t="shared" si="7"/>
        <v>55</v>
      </c>
      <c r="AS41" s="14" t="str">
        <f t="shared" si="8"/>
        <v/>
      </c>
      <c r="AT41" s="98">
        <v>3</v>
      </c>
      <c r="AU41" s="99" t="s">
        <v>890</v>
      </c>
      <c r="AV41" s="14" t="str">
        <f t="shared" si="9"/>
        <v>KP_KM_1102009</v>
      </c>
      <c r="AW41" s="14">
        <f t="shared" si="10"/>
        <v>1102009</v>
      </c>
      <c r="AX41" s="14" t="str">
        <f t="shared" si="11"/>
        <v>徐晃传记3-1</v>
      </c>
      <c r="AY41" s="14" t="str">
        <f t="shared" si="12"/>
        <v/>
      </c>
      <c r="AZ41" s="14" t="str">
        <f t="shared" si="13"/>
        <v>徐晃碎片</v>
      </c>
      <c r="BA41" s="14" t="str">
        <f t="shared" si="14"/>
        <v>1~2</v>
      </c>
      <c r="BB41" s="14" t="str">
        <f t="shared" si="15"/>
        <v/>
      </c>
      <c r="BC41" s="14" t="str">
        <f t="shared" si="16"/>
        <v/>
      </c>
      <c r="BD41" s="96"/>
      <c r="BG41" s="97">
        <v>37</v>
      </c>
      <c r="BH41" s="14">
        <f t="shared" si="17"/>
        <v>5</v>
      </c>
      <c r="BI41" s="14">
        <f t="shared" si="18"/>
        <v>3</v>
      </c>
      <c r="BJ41" s="14">
        <f t="shared" si="19"/>
        <v>3037</v>
      </c>
      <c r="BK41" s="14" t="str">
        <f t="shared" si="20"/>
        <v>夏侯渊传记3-1</v>
      </c>
      <c r="BM41" s="14" t="str">
        <f t="shared" si="21"/>
        <v>夏侯渊传记3-1 夏侯渊碎片</v>
      </c>
      <c r="BN41" s="14" t="str">
        <f t="shared" si="22"/>
        <v>夏侯渊碎片</v>
      </c>
      <c r="BO41" s="14">
        <f t="shared" si="23"/>
        <v>1</v>
      </c>
      <c r="BP41" s="14">
        <f t="shared" si="24"/>
        <v>2</v>
      </c>
      <c r="BQ41" s="14">
        <v>10000</v>
      </c>
    </row>
    <row r="42" spans="35:69" ht="16.5" x14ac:dyDescent="0.2">
      <c r="AI42" s="96">
        <v>38</v>
      </c>
      <c r="AJ42" s="14">
        <f t="shared" si="0"/>
        <v>6</v>
      </c>
      <c r="AK42" s="14">
        <f t="shared" si="1"/>
        <v>200904</v>
      </c>
      <c r="AL42" s="14">
        <f t="shared" si="2"/>
        <v>2009</v>
      </c>
      <c r="AM42" s="96" t="s">
        <v>886</v>
      </c>
      <c r="AN42" s="14">
        <f t="shared" si="3"/>
        <v>4</v>
      </c>
      <c r="AO42" s="14">
        <f t="shared" si="27"/>
        <v>200905</v>
      </c>
      <c r="AP42" s="14" t="str">
        <f t="shared" si="5"/>
        <v>徐晃传记-4</v>
      </c>
      <c r="AQ42" s="14" t="str">
        <f t="shared" si="6"/>
        <v>徐晃传记-4</v>
      </c>
      <c r="AR42" s="14">
        <f t="shared" si="7"/>
        <v>70</v>
      </c>
      <c r="AS42" s="14" t="str">
        <f t="shared" si="8"/>
        <v/>
      </c>
      <c r="AT42" s="98">
        <v>3</v>
      </c>
      <c r="AU42" s="99" t="s">
        <v>890</v>
      </c>
      <c r="AV42" s="14" t="str">
        <f t="shared" si="9"/>
        <v>KP_KM_1102009</v>
      </c>
      <c r="AW42" s="14">
        <f t="shared" si="10"/>
        <v>1102009</v>
      </c>
      <c r="AX42" s="14" t="str">
        <f t="shared" si="11"/>
        <v>徐晃传记4-1</v>
      </c>
      <c r="AY42" s="14" t="str">
        <f t="shared" si="12"/>
        <v/>
      </c>
      <c r="AZ42" s="14" t="str">
        <f t="shared" si="13"/>
        <v>徐晃专属武器碎片</v>
      </c>
      <c r="BA42" s="14">
        <f t="shared" si="14"/>
        <v>1</v>
      </c>
      <c r="BB42" s="14" t="str">
        <f t="shared" si="15"/>
        <v/>
      </c>
      <c r="BC42" s="14" t="str">
        <f t="shared" si="16"/>
        <v/>
      </c>
      <c r="BD42" s="96"/>
      <c r="BG42" s="97">
        <v>38</v>
      </c>
      <c r="BH42" s="14">
        <f t="shared" si="17"/>
        <v>5</v>
      </c>
      <c r="BI42" s="14">
        <f t="shared" si="18"/>
        <v>4</v>
      </c>
      <c r="BJ42" s="14">
        <f t="shared" si="19"/>
        <v>3038</v>
      </c>
      <c r="BK42" s="14" t="str">
        <f t="shared" si="20"/>
        <v>夏侯渊传记4-1</v>
      </c>
      <c r="BM42" s="14" t="str">
        <f t="shared" si="21"/>
        <v>夏侯渊传记4-1 夏侯渊专属武器碎片</v>
      </c>
      <c r="BN42" s="14" t="str">
        <f t="shared" si="22"/>
        <v>夏侯渊专属武器碎片</v>
      </c>
      <c r="BO42" s="14">
        <f t="shared" si="23"/>
        <v>1</v>
      </c>
      <c r="BP42" s="14">
        <f t="shared" si="24"/>
        <v>1</v>
      </c>
      <c r="BQ42" s="14">
        <v>10000</v>
      </c>
    </row>
    <row r="43" spans="35:69" ht="16.5" x14ac:dyDescent="0.2">
      <c r="AI43" s="96">
        <v>39</v>
      </c>
      <c r="AJ43" s="14">
        <f t="shared" si="0"/>
        <v>6</v>
      </c>
      <c r="AK43" s="14">
        <f t="shared" si="1"/>
        <v>200905</v>
      </c>
      <c r="AL43" s="14">
        <f t="shared" si="2"/>
        <v>2009</v>
      </c>
      <c r="AM43" s="96" t="s">
        <v>886</v>
      </c>
      <c r="AN43" s="14">
        <f t="shared" si="3"/>
        <v>5</v>
      </c>
      <c r="AO43" s="14">
        <f t="shared" si="27"/>
        <v>-1</v>
      </c>
      <c r="AP43" s="14" t="str">
        <f t="shared" si="5"/>
        <v>徐晃传记-5</v>
      </c>
      <c r="AQ43" s="14" t="str">
        <f t="shared" si="6"/>
        <v>徐晃传记-5</v>
      </c>
      <c r="AR43" s="14">
        <f t="shared" si="7"/>
        <v>80</v>
      </c>
      <c r="AS43" s="14" t="str">
        <f t="shared" si="8"/>
        <v/>
      </c>
      <c r="AT43" s="98">
        <v>3</v>
      </c>
      <c r="AU43" s="99" t="s">
        <v>890</v>
      </c>
      <c r="AV43" s="14" t="str">
        <f t="shared" si="9"/>
        <v>KP_KM_1102009</v>
      </c>
      <c r="AW43" s="14">
        <f t="shared" si="10"/>
        <v>1102009</v>
      </c>
      <c r="AX43" s="14" t="str">
        <f t="shared" si="11"/>
        <v>徐晃传记5-1</v>
      </c>
      <c r="AY43" s="14" t="str">
        <f t="shared" si="12"/>
        <v>徐晃传记5-1</v>
      </c>
      <c r="AZ43" s="14" t="str">
        <f t="shared" si="13"/>
        <v>徐晃碎片</v>
      </c>
      <c r="BA43" s="14" t="str">
        <f t="shared" si="14"/>
        <v>1~2</v>
      </c>
      <c r="BB43" s="14" t="str">
        <f t="shared" si="15"/>
        <v>徐晃专属武器碎片</v>
      </c>
      <c r="BC43" s="14">
        <f t="shared" si="16"/>
        <v>1</v>
      </c>
      <c r="BD43" s="96"/>
      <c r="BG43" s="97">
        <v>39</v>
      </c>
      <c r="BH43" s="14">
        <f t="shared" si="17"/>
        <v>5</v>
      </c>
      <c r="BI43" s="14">
        <f t="shared" si="18"/>
        <v>5</v>
      </c>
      <c r="BJ43" s="14">
        <f t="shared" si="19"/>
        <v>3039</v>
      </c>
      <c r="BK43" s="14" t="str">
        <f t="shared" si="20"/>
        <v>夏侯渊传记5-1</v>
      </c>
      <c r="BM43" s="14" t="str">
        <f t="shared" si="21"/>
        <v>夏侯渊传记5-1 夏侯渊碎片</v>
      </c>
      <c r="BN43" s="14" t="str">
        <f t="shared" si="22"/>
        <v>夏侯渊碎片</v>
      </c>
      <c r="BO43" s="14">
        <f t="shared" si="23"/>
        <v>1</v>
      </c>
      <c r="BP43" s="14">
        <f t="shared" si="24"/>
        <v>2</v>
      </c>
      <c r="BQ43" s="14">
        <v>10000</v>
      </c>
    </row>
    <row r="44" spans="35:69" ht="16.5" x14ac:dyDescent="0.2">
      <c r="AI44" s="96">
        <v>40</v>
      </c>
      <c r="AJ44" s="14">
        <f t="shared" si="0"/>
        <v>7</v>
      </c>
      <c r="AK44" s="14">
        <f t="shared" si="1"/>
        <v>201001</v>
      </c>
      <c r="AL44" s="14">
        <f t="shared" si="2"/>
        <v>2010</v>
      </c>
      <c r="AM44" s="96" t="s">
        <v>886</v>
      </c>
      <c r="AN44" s="14">
        <f t="shared" si="3"/>
        <v>1</v>
      </c>
      <c r="AO44" s="14">
        <f t="shared" si="27"/>
        <v>201002</v>
      </c>
      <c r="AP44" s="14" t="str">
        <f t="shared" si="5"/>
        <v>张郃传记-1</v>
      </c>
      <c r="AQ44" s="14" t="str">
        <f t="shared" si="6"/>
        <v>张郃传记-1</v>
      </c>
      <c r="AR44" s="14">
        <f t="shared" si="7"/>
        <v>30</v>
      </c>
      <c r="AS44" s="14" t="str">
        <f t="shared" si="8"/>
        <v/>
      </c>
      <c r="AT44" s="98">
        <v>3</v>
      </c>
      <c r="AU44" s="99" t="s">
        <v>890</v>
      </c>
      <c r="AV44" s="14" t="str">
        <f t="shared" si="9"/>
        <v>KP_KM_1102010</v>
      </c>
      <c r="AW44" s="14">
        <f t="shared" si="10"/>
        <v>1102010</v>
      </c>
      <c r="AX44" s="14" t="str">
        <f t="shared" si="11"/>
        <v>张郃传记1-1</v>
      </c>
      <c r="AY44" s="14" t="str">
        <f t="shared" si="12"/>
        <v/>
      </c>
      <c r="AZ44" s="14" t="str">
        <f t="shared" si="13"/>
        <v>张郃碎片</v>
      </c>
      <c r="BA44" s="14">
        <f t="shared" si="14"/>
        <v>1</v>
      </c>
      <c r="BB44" s="14" t="str">
        <f t="shared" si="15"/>
        <v/>
      </c>
      <c r="BC44" s="14" t="str">
        <f t="shared" si="16"/>
        <v/>
      </c>
      <c r="BD44" s="96"/>
      <c r="BG44" s="97">
        <v>40</v>
      </c>
      <c r="BH44" s="14">
        <f t="shared" si="17"/>
        <v>5</v>
      </c>
      <c r="BI44" s="14">
        <f t="shared" si="18"/>
        <v>6</v>
      </c>
      <c r="BJ44" s="14">
        <f t="shared" si="19"/>
        <v>3040</v>
      </c>
      <c r="BK44" s="14" t="str">
        <f t="shared" si="20"/>
        <v>夏侯渊传记5-2</v>
      </c>
      <c r="BM44" s="14" t="str">
        <f t="shared" si="21"/>
        <v>夏侯渊传记5-2 夏侯渊专属武器碎片</v>
      </c>
      <c r="BN44" s="14" t="str">
        <f t="shared" si="22"/>
        <v>夏侯渊专属武器碎片</v>
      </c>
      <c r="BO44" s="14">
        <f t="shared" si="23"/>
        <v>1</v>
      </c>
      <c r="BP44" s="14">
        <f t="shared" si="24"/>
        <v>1</v>
      </c>
      <c r="BQ44" s="14">
        <v>10000</v>
      </c>
    </row>
    <row r="45" spans="35:69" ht="16.5" x14ac:dyDescent="0.2">
      <c r="AI45" s="96">
        <v>41</v>
      </c>
      <c r="AJ45" s="14">
        <f t="shared" si="0"/>
        <v>7</v>
      </c>
      <c r="AK45" s="14">
        <f t="shared" si="1"/>
        <v>201002</v>
      </c>
      <c r="AL45" s="14">
        <f t="shared" si="2"/>
        <v>2010</v>
      </c>
      <c r="AM45" s="96" t="s">
        <v>886</v>
      </c>
      <c r="AN45" s="14">
        <f t="shared" si="3"/>
        <v>2</v>
      </c>
      <c r="AO45" s="14">
        <f t="shared" si="27"/>
        <v>201003</v>
      </c>
      <c r="AP45" s="14" t="str">
        <f t="shared" si="5"/>
        <v>张郃传记-2</v>
      </c>
      <c r="AQ45" s="14" t="str">
        <f t="shared" si="6"/>
        <v>张郃传记-2</v>
      </c>
      <c r="AR45" s="14">
        <f t="shared" si="7"/>
        <v>40</v>
      </c>
      <c r="AS45" s="14" t="str">
        <f t="shared" si="8"/>
        <v/>
      </c>
      <c r="AT45" s="98">
        <v>3</v>
      </c>
      <c r="AU45" s="99" t="s">
        <v>890</v>
      </c>
      <c r="AV45" s="14" t="str">
        <f t="shared" si="9"/>
        <v>KP_KM_1102010</v>
      </c>
      <c r="AW45" s="14">
        <f t="shared" si="10"/>
        <v>1102010</v>
      </c>
      <c r="AX45" s="14" t="str">
        <f t="shared" si="11"/>
        <v>张郃传记2-1</v>
      </c>
      <c r="AY45" s="14" t="str">
        <f t="shared" si="12"/>
        <v/>
      </c>
      <c r="AZ45" s="14" t="str">
        <f t="shared" si="13"/>
        <v>张郃碎片</v>
      </c>
      <c r="BA45" s="14">
        <f t="shared" si="14"/>
        <v>1</v>
      </c>
      <c r="BB45" s="14" t="str">
        <f t="shared" si="15"/>
        <v/>
      </c>
      <c r="BC45" s="14" t="str">
        <f t="shared" si="16"/>
        <v/>
      </c>
      <c r="BD45" s="96"/>
      <c r="BG45" s="97">
        <v>41</v>
      </c>
      <c r="BH45" s="14">
        <f t="shared" si="17"/>
        <v>5</v>
      </c>
      <c r="BI45" s="14">
        <f t="shared" si="18"/>
        <v>7</v>
      </c>
      <c r="BJ45" s="14">
        <f t="shared" si="19"/>
        <v>3041</v>
      </c>
      <c r="BK45" s="14" t="str">
        <f t="shared" si="20"/>
        <v>夏侯渊传记6-1</v>
      </c>
      <c r="BM45" s="14" t="str">
        <f t="shared" si="21"/>
        <v>夏侯渊传记6-1 夏侯渊碎片</v>
      </c>
      <c r="BN45" s="14" t="str">
        <f t="shared" si="22"/>
        <v>夏侯渊碎片</v>
      </c>
      <c r="BO45" s="14">
        <f t="shared" si="23"/>
        <v>1</v>
      </c>
      <c r="BP45" s="14">
        <f t="shared" si="24"/>
        <v>2</v>
      </c>
      <c r="BQ45" s="14">
        <v>10000</v>
      </c>
    </row>
    <row r="46" spans="35:69" ht="16.5" x14ac:dyDescent="0.2">
      <c r="AI46" s="96">
        <v>42</v>
      </c>
      <c r="AJ46" s="14">
        <f t="shared" si="0"/>
        <v>7</v>
      </c>
      <c r="AK46" s="14">
        <f t="shared" si="1"/>
        <v>201003</v>
      </c>
      <c r="AL46" s="14">
        <f t="shared" si="2"/>
        <v>2010</v>
      </c>
      <c r="AM46" s="96" t="s">
        <v>886</v>
      </c>
      <c r="AN46" s="14">
        <f t="shared" si="3"/>
        <v>3</v>
      </c>
      <c r="AO46" s="14">
        <f t="shared" si="27"/>
        <v>201004</v>
      </c>
      <c r="AP46" s="14" t="str">
        <f t="shared" si="5"/>
        <v>张郃传记-3</v>
      </c>
      <c r="AQ46" s="14" t="str">
        <f t="shared" si="6"/>
        <v>张郃传记-3</v>
      </c>
      <c r="AR46" s="14">
        <f t="shared" si="7"/>
        <v>55</v>
      </c>
      <c r="AS46" s="14" t="str">
        <f t="shared" si="8"/>
        <v/>
      </c>
      <c r="AT46" s="98">
        <v>3</v>
      </c>
      <c r="AU46" s="99" t="s">
        <v>890</v>
      </c>
      <c r="AV46" s="14" t="str">
        <f t="shared" si="9"/>
        <v>KP_KM_1102010</v>
      </c>
      <c r="AW46" s="14">
        <f t="shared" si="10"/>
        <v>1102010</v>
      </c>
      <c r="AX46" s="14" t="str">
        <f t="shared" si="11"/>
        <v>张郃传记3-1</v>
      </c>
      <c r="AY46" s="14" t="str">
        <f t="shared" si="12"/>
        <v/>
      </c>
      <c r="AZ46" s="14" t="str">
        <f t="shared" si="13"/>
        <v>张郃碎片</v>
      </c>
      <c r="BA46" s="14" t="str">
        <f t="shared" si="14"/>
        <v>1~2</v>
      </c>
      <c r="BB46" s="14" t="str">
        <f t="shared" si="15"/>
        <v/>
      </c>
      <c r="BC46" s="14" t="str">
        <f t="shared" si="16"/>
        <v/>
      </c>
      <c r="BD46" s="96"/>
      <c r="BG46" s="97">
        <v>42</v>
      </c>
      <c r="BH46" s="14">
        <f t="shared" si="17"/>
        <v>5</v>
      </c>
      <c r="BI46" s="14">
        <f t="shared" si="18"/>
        <v>8</v>
      </c>
      <c r="BJ46" s="14">
        <f t="shared" si="19"/>
        <v>3042</v>
      </c>
      <c r="BK46" s="14" t="str">
        <f t="shared" si="20"/>
        <v>夏侯渊传记6-2</v>
      </c>
      <c r="BM46" s="14" t="str">
        <f t="shared" si="21"/>
        <v>夏侯渊传记6-2 夏侯渊专属武器碎片</v>
      </c>
      <c r="BN46" s="14" t="str">
        <f t="shared" si="22"/>
        <v>夏侯渊专属武器碎片</v>
      </c>
      <c r="BO46" s="14">
        <f t="shared" si="23"/>
        <v>1</v>
      </c>
      <c r="BP46" s="14">
        <f t="shared" si="24"/>
        <v>1</v>
      </c>
      <c r="BQ46" s="14">
        <v>10000</v>
      </c>
    </row>
    <row r="47" spans="35:69" ht="16.5" x14ac:dyDescent="0.2">
      <c r="AI47" s="96">
        <v>43</v>
      </c>
      <c r="AJ47" s="14">
        <f t="shared" si="0"/>
        <v>7</v>
      </c>
      <c r="AK47" s="14">
        <f t="shared" si="1"/>
        <v>201004</v>
      </c>
      <c r="AL47" s="14">
        <f t="shared" si="2"/>
        <v>2010</v>
      </c>
      <c r="AM47" s="96" t="s">
        <v>886</v>
      </c>
      <c r="AN47" s="14">
        <f t="shared" si="3"/>
        <v>4</v>
      </c>
      <c r="AO47" s="14">
        <f t="shared" si="27"/>
        <v>201005</v>
      </c>
      <c r="AP47" s="14" t="str">
        <f t="shared" si="5"/>
        <v>张郃传记-4</v>
      </c>
      <c r="AQ47" s="14" t="str">
        <f t="shared" si="6"/>
        <v>张郃传记-4</v>
      </c>
      <c r="AR47" s="14">
        <f t="shared" si="7"/>
        <v>70</v>
      </c>
      <c r="AS47" s="14" t="str">
        <f t="shared" si="8"/>
        <v/>
      </c>
      <c r="AT47" s="98">
        <v>3</v>
      </c>
      <c r="AU47" s="99" t="s">
        <v>890</v>
      </c>
      <c r="AV47" s="14" t="str">
        <f t="shared" si="9"/>
        <v>KP_KM_1102010</v>
      </c>
      <c r="AW47" s="14">
        <f t="shared" si="10"/>
        <v>1102010</v>
      </c>
      <c r="AX47" s="14" t="str">
        <f t="shared" si="11"/>
        <v>张郃传记4-1</v>
      </c>
      <c r="AY47" s="14" t="str">
        <f t="shared" si="12"/>
        <v/>
      </c>
      <c r="AZ47" s="14" t="str">
        <f t="shared" si="13"/>
        <v>张郃专属武器碎片</v>
      </c>
      <c r="BA47" s="14">
        <f t="shared" si="14"/>
        <v>1</v>
      </c>
      <c r="BB47" s="14" t="str">
        <f t="shared" si="15"/>
        <v/>
      </c>
      <c r="BC47" s="14" t="str">
        <f t="shared" si="16"/>
        <v/>
      </c>
      <c r="BD47" s="96"/>
      <c r="BG47" s="97">
        <v>43</v>
      </c>
      <c r="BH47" s="14">
        <f t="shared" si="17"/>
        <v>5</v>
      </c>
      <c r="BI47" s="14">
        <f t="shared" si="18"/>
        <v>9</v>
      </c>
      <c r="BJ47" s="14">
        <f t="shared" si="19"/>
        <v>3043</v>
      </c>
      <c r="BK47" s="14" t="str">
        <f t="shared" si="20"/>
        <v>夏侯渊传记7-1</v>
      </c>
      <c r="BM47" s="14" t="str">
        <f t="shared" si="21"/>
        <v>夏侯渊传记7-1 夏侯渊碎片</v>
      </c>
      <c r="BN47" s="14" t="str">
        <f t="shared" si="22"/>
        <v>夏侯渊碎片</v>
      </c>
      <c r="BO47" s="14">
        <f t="shared" si="23"/>
        <v>1</v>
      </c>
      <c r="BP47" s="14">
        <f t="shared" si="24"/>
        <v>2</v>
      </c>
      <c r="BQ47" s="14">
        <v>10000</v>
      </c>
    </row>
    <row r="48" spans="35:69" ht="16.5" x14ac:dyDescent="0.2">
      <c r="AI48" s="96">
        <v>44</v>
      </c>
      <c r="AJ48" s="14">
        <f t="shared" si="0"/>
        <v>7</v>
      </c>
      <c r="AK48" s="14">
        <f t="shared" si="1"/>
        <v>201005</v>
      </c>
      <c r="AL48" s="14">
        <f t="shared" si="2"/>
        <v>2010</v>
      </c>
      <c r="AM48" s="96" t="s">
        <v>886</v>
      </c>
      <c r="AN48" s="14">
        <f t="shared" si="3"/>
        <v>5</v>
      </c>
      <c r="AO48" s="14">
        <f t="shared" si="27"/>
        <v>201006</v>
      </c>
      <c r="AP48" s="14" t="str">
        <f t="shared" si="5"/>
        <v>张郃传记-5</v>
      </c>
      <c r="AQ48" s="14" t="str">
        <f t="shared" si="6"/>
        <v>张郃传记-5</v>
      </c>
      <c r="AR48" s="14">
        <f t="shared" si="7"/>
        <v>80</v>
      </c>
      <c r="AS48" s="14" t="str">
        <f t="shared" si="8"/>
        <v/>
      </c>
      <c r="AT48" s="98">
        <v>3</v>
      </c>
      <c r="AU48" s="99" t="s">
        <v>890</v>
      </c>
      <c r="AV48" s="14" t="str">
        <f t="shared" si="9"/>
        <v>KP_KM_1102010</v>
      </c>
      <c r="AW48" s="14">
        <f t="shared" si="10"/>
        <v>1102010</v>
      </c>
      <c r="AX48" s="14" t="str">
        <f t="shared" si="11"/>
        <v>张郃传记5-1</v>
      </c>
      <c r="AY48" s="14" t="str">
        <f t="shared" si="12"/>
        <v>张郃传记5-1</v>
      </c>
      <c r="AZ48" s="14" t="str">
        <f t="shared" si="13"/>
        <v>张郃碎片</v>
      </c>
      <c r="BA48" s="14" t="str">
        <f t="shared" si="14"/>
        <v>1~2</v>
      </c>
      <c r="BB48" s="14" t="str">
        <f t="shared" si="15"/>
        <v>张郃专属武器碎片</v>
      </c>
      <c r="BC48" s="14">
        <f t="shared" si="16"/>
        <v>1</v>
      </c>
      <c r="BD48" s="96"/>
      <c r="BG48" s="97">
        <v>44</v>
      </c>
      <c r="BH48" s="14">
        <f t="shared" si="17"/>
        <v>5</v>
      </c>
      <c r="BI48" s="14">
        <f t="shared" si="18"/>
        <v>10</v>
      </c>
      <c r="BJ48" s="14">
        <f t="shared" si="19"/>
        <v>3044</v>
      </c>
      <c r="BK48" s="14" t="str">
        <f t="shared" si="20"/>
        <v>夏侯渊传记7-2</v>
      </c>
      <c r="BM48" s="14" t="str">
        <f t="shared" si="21"/>
        <v>夏侯渊传记7-2 夏侯渊专属武器碎片</v>
      </c>
      <c r="BN48" s="14" t="str">
        <f t="shared" si="22"/>
        <v>夏侯渊专属武器碎片</v>
      </c>
      <c r="BO48" s="14">
        <f t="shared" si="23"/>
        <v>1</v>
      </c>
      <c r="BP48" s="14">
        <f t="shared" si="24"/>
        <v>1</v>
      </c>
      <c r="BQ48" s="14">
        <v>10000</v>
      </c>
    </row>
    <row r="49" spans="35:69" ht="16.5" x14ac:dyDescent="0.2">
      <c r="AI49" s="96">
        <v>45</v>
      </c>
      <c r="AJ49" s="14">
        <f t="shared" si="0"/>
        <v>7</v>
      </c>
      <c r="AK49" s="14">
        <f t="shared" si="1"/>
        <v>201006</v>
      </c>
      <c r="AL49" s="14">
        <f t="shared" si="2"/>
        <v>2010</v>
      </c>
      <c r="AM49" s="96" t="s">
        <v>886</v>
      </c>
      <c r="AN49" s="14">
        <f t="shared" si="3"/>
        <v>6</v>
      </c>
      <c r="AO49" s="14">
        <f t="shared" si="27"/>
        <v>201007</v>
      </c>
      <c r="AP49" s="14" t="str">
        <f t="shared" si="5"/>
        <v>张郃传记-6</v>
      </c>
      <c r="AQ49" s="14" t="str">
        <f t="shared" si="6"/>
        <v>张郃传记-6</v>
      </c>
      <c r="AR49" s="14">
        <f t="shared" si="7"/>
        <v>90</v>
      </c>
      <c r="AS49" s="14">
        <f t="shared" si="8"/>
        <v>2</v>
      </c>
      <c r="AT49" s="98">
        <v>3</v>
      </c>
      <c r="AU49" s="99" t="s">
        <v>890</v>
      </c>
      <c r="AV49" s="14" t="str">
        <f t="shared" si="9"/>
        <v>KP_KM_1102010</v>
      </c>
      <c r="AW49" s="14">
        <f t="shared" si="10"/>
        <v>1102010</v>
      </c>
      <c r="AX49" s="14" t="str">
        <f t="shared" si="11"/>
        <v>张郃传记6-1</v>
      </c>
      <c r="AY49" s="14" t="str">
        <f t="shared" si="12"/>
        <v>张郃传记6-1</v>
      </c>
      <c r="AZ49" s="14" t="str">
        <f t="shared" si="13"/>
        <v>张郃碎片</v>
      </c>
      <c r="BA49" s="14" t="str">
        <f t="shared" si="14"/>
        <v>1~2</v>
      </c>
      <c r="BB49" s="14" t="str">
        <f t="shared" si="15"/>
        <v>张郃专属武器碎片</v>
      </c>
      <c r="BC49" s="14">
        <f t="shared" si="16"/>
        <v>1</v>
      </c>
      <c r="BD49" s="96"/>
      <c r="BG49" s="97">
        <v>45</v>
      </c>
      <c r="BH49" s="14">
        <f t="shared" si="17"/>
        <v>5</v>
      </c>
      <c r="BI49" s="14">
        <f t="shared" si="18"/>
        <v>11</v>
      </c>
      <c r="BJ49" s="14">
        <f t="shared" si="19"/>
        <v>3045</v>
      </c>
      <c r="BK49" s="14" t="str">
        <f t="shared" si="20"/>
        <v>夏侯渊传记8-1</v>
      </c>
      <c r="BM49" s="14" t="str">
        <f t="shared" si="21"/>
        <v>夏侯渊传记8-1 夏侯渊碎片</v>
      </c>
      <c r="BN49" s="14" t="str">
        <f t="shared" si="22"/>
        <v>夏侯渊碎片</v>
      </c>
      <c r="BO49" s="14">
        <f t="shared" si="23"/>
        <v>2</v>
      </c>
      <c r="BP49" s="14">
        <f t="shared" si="24"/>
        <v>2</v>
      </c>
      <c r="BQ49" s="14">
        <v>10000</v>
      </c>
    </row>
    <row r="50" spans="35:69" ht="16.5" x14ac:dyDescent="0.2">
      <c r="AI50" s="96">
        <v>46</v>
      </c>
      <c r="AJ50" s="14">
        <f t="shared" si="0"/>
        <v>7</v>
      </c>
      <c r="AK50" s="14">
        <f t="shared" si="1"/>
        <v>201007</v>
      </c>
      <c r="AL50" s="14">
        <f t="shared" si="2"/>
        <v>2010</v>
      </c>
      <c r="AM50" s="96" t="s">
        <v>886</v>
      </c>
      <c r="AN50" s="14">
        <f t="shared" si="3"/>
        <v>7</v>
      </c>
      <c r="AO50" s="14">
        <f t="shared" si="27"/>
        <v>201008</v>
      </c>
      <c r="AP50" s="14" t="str">
        <f t="shared" si="5"/>
        <v>张郃传记-7</v>
      </c>
      <c r="AQ50" s="14" t="str">
        <f t="shared" si="6"/>
        <v>张郃传记-7</v>
      </c>
      <c r="AR50" s="14">
        <f t="shared" si="7"/>
        <v>100</v>
      </c>
      <c r="AS50" s="14">
        <f t="shared" si="8"/>
        <v>2</v>
      </c>
      <c r="AT50" s="98">
        <v>3</v>
      </c>
      <c r="AU50" s="99" t="s">
        <v>890</v>
      </c>
      <c r="AV50" s="14" t="str">
        <f t="shared" si="9"/>
        <v>KP_KM_1102010</v>
      </c>
      <c r="AW50" s="14">
        <f t="shared" si="10"/>
        <v>1102010</v>
      </c>
      <c r="AX50" s="14" t="str">
        <f t="shared" si="11"/>
        <v>张郃传记7-1</v>
      </c>
      <c r="AY50" s="14" t="str">
        <f t="shared" si="12"/>
        <v>张郃传记7-1</v>
      </c>
      <c r="AZ50" s="14" t="str">
        <f t="shared" si="13"/>
        <v>张郃碎片</v>
      </c>
      <c r="BA50" s="14" t="str">
        <f t="shared" si="14"/>
        <v>1~2</v>
      </c>
      <c r="BB50" s="14" t="str">
        <f t="shared" si="15"/>
        <v>张郃专属武器碎片</v>
      </c>
      <c r="BC50" s="14">
        <f t="shared" si="16"/>
        <v>1</v>
      </c>
      <c r="BD50" s="96"/>
      <c r="BG50" s="97">
        <v>46</v>
      </c>
      <c r="BH50" s="14">
        <f t="shared" si="17"/>
        <v>6</v>
      </c>
      <c r="BI50" s="14">
        <f t="shared" si="18"/>
        <v>1</v>
      </c>
      <c r="BJ50" s="14">
        <f t="shared" si="19"/>
        <v>3046</v>
      </c>
      <c r="BK50" s="14" t="str">
        <f t="shared" si="20"/>
        <v>徐晃传记1-1</v>
      </c>
      <c r="BM50" s="14" t="str">
        <f t="shared" si="21"/>
        <v>徐晃传记1-1 徐晃碎片</v>
      </c>
      <c r="BN50" s="14" t="str">
        <f t="shared" si="22"/>
        <v>徐晃碎片</v>
      </c>
      <c r="BO50" s="14">
        <f t="shared" si="23"/>
        <v>1</v>
      </c>
      <c r="BP50" s="14">
        <f t="shared" si="24"/>
        <v>1</v>
      </c>
      <c r="BQ50" s="14">
        <v>10000</v>
      </c>
    </row>
    <row r="51" spans="35:69" ht="16.5" x14ac:dyDescent="0.2">
      <c r="AI51" s="96">
        <v>47</v>
      </c>
      <c r="AJ51" s="14">
        <f t="shared" si="0"/>
        <v>7</v>
      </c>
      <c r="AK51" s="14">
        <f t="shared" si="1"/>
        <v>201008</v>
      </c>
      <c r="AL51" s="14">
        <f t="shared" si="2"/>
        <v>2010</v>
      </c>
      <c r="AM51" s="96" t="s">
        <v>886</v>
      </c>
      <c r="AN51" s="14">
        <f t="shared" si="3"/>
        <v>8</v>
      </c>
      <c r="AO51" s="14">
        <f t="shared" si="27"/>
        <v>-1</v>
      </c>
      <c r="AP51" s="14" t="str">
        <f t="shared" si="5"/>
        <v>张郃传记-8</v>
      </c>
      <c r="AQ51" s="14" t="str">
        <f t="shared" si="6"/>
        <v>张郃传记-8</v>
      </c>
      <c r="AR51" s="14">
        <f t="shared" si="7"/>
        <v>120</v>
      </c>
      <c r="AS51" s="14">
        <f t="shared" si="8"/>
        <v>2</v>
      </c>
      <c r="AT51" s="98">
        <v>3</v>
      </c>
      <c r="AU51" s="99" t="s">
        <v>890</v>
      </c>
      <c r="AV51" s="14" t="str">
        <f t="shared" si="9"/>
        <v>KP_KM_1102010</v>
      </c>
      <c r="AW51" s="14">
        <f t="shared" si="10"/>
        <v>1102010</v>
      </c>
      <c r="AX51" s="14" t="str">
        <f t="shared" si="11"/>
        <v>张郃传记8-1</v>
      </c>
      <c r="AY51" s="14" t="str">
        <f t="shared" si="12"/>
        <v/>
      </c>
      <c r="AZ51" s="14" t="str">
        <f t="shared" si="13"/>
        <v>张郃碎片</v>
      </c>
      <c r="BA51" s="14">
        <f t="shared" si="14"/>
        <v>2</v>
      </c>
      <c r="BB51" s="14" t="str">
        <f t="shared" si="15"/>
        <v/>
      </c>
      <c r="BC51" s="14" t="str">
        <f t="shared" si="16"/>
        <v/>
      </c>
      <c r="BD51" s="96"/>
      <c r="BG51" s="97">
        <v>47</v>
      </c>
      <c r="BH51" s="14">
        <f t="shared" si="17"/>
        <v>6</v>
      </c>
      <c r="BI51" s="14">
        <f t="shared" si="18"/>
        <v>2</v>
      </c>
      <c r="BJ51" s="14">
        <f t="shared" si="19"/>
        <v>3047</v>
      </c>
      <c r="BK51" s="14" t="str">
        <f t="shared" si="20"/>
        <v>徐晃传记2-1</v>
      </c>
      <c r="BM51" s="14" t="str">
        <f t="shared" si="21"/>
        <v>徐晃传记2-1 徐晃碎片</v>
      </c>
      <c r="BN51" s="14" t="str">
        <f t="shared" si="22"/>
        <v>徐晃碎片</v>
      </c>
      <c r="BO51" s="14">
        <f t="shared" si="23"/>
        <v>1</v>
      </c>
      <c r="BP51" s="14">
        <f t="shared" si="24"/>
        <v>1</v>
      </c>
      <c r="BQ51" s="14">
        <v>10000</v>
      </c>
    </row>
    <row r="52" spans="35:69" ht="16.5" x14ac:dyDescent="0.2">
      <c r="AI52" s="96">
        <v>48</v>
      </c>
      <c r="AJ52" s="14">
        <f t="shared" si="0"/>
        <v>8</v>
      </c>
      <c r="AK52" s="14">
        <f t="shared" si="1"/>
        <v>201101</v>
      </c>
      <c r="AL52" s="14">
        <f t="shared" si="2"/>
        <v>2011</v>
      </c>
      <c r="AM52" s="96" t="s">
        <v>886</v>
      </c>
      <c r="AN52" s="14">
        <f t="shared" si="3"/>
        <v>1</v>
      </c>
      <c r="AO52" s="14">
        <f t="shared" si="27"/>
        <v>201102</v>
      </c>
      <c r="AP52" s="14" t="str">
        <f t="shared" si="5"/>
        <v>张飞传记-1</v>
      </c>
      <c r="AQ52" s="14" t="str">
        <f t="shared" si="6"/>
        <v>张飞传记-1</v>
      </c>
      <c r="AR52" s="14">
        <f t="shared" si="7"/>
        <v>30</v>
      </c>
      <c r="AS52" s="14" t="str">
        <f t="shared" si="8"/>
        <v/>
      </c>
      <c r="AT52" s="98">
        <v>3</v>
      </c>
      <c r="AU52" s="99" t="s">
        <v>890</v>
      </c>
      <c r="AV52" s="14" t="str">
        <f t="shared" si="9"/>
        <v>KP_KM_1102011</v>
      </c>
      <c r="AW52" s="14">
        <f t="shared" si="10"/>
        <v>1102011</v>
      </c>
      <c r="AX52" s="14" t="str">
        <f t="shared" si="11"/>
        <v>张飞传记1-1</v>
      </c>
      <c r="AY52" s="14" t="str">
        <f t="shared" si="12"/>
        <v/>
      </c>
      <c r="AZ52" s="14" t="str">
        <f t="shared" si="13"/>
        <v>张飞碎片</v>
      </c>
      <c r="BA52" s="14">
        <f t="shared" si="14"/>
        <v>1</v>
      </c>
      <c r="BB52" s="14" t="str">
        <f t="shared" si="15"/>
        <v/>
      </c>
      <c r="BC52" s="14" t="str">
        <f t="shared" si="16"/>
        <v/>
      </c>
      <c r="BD52" s="96"/>
      <c r="BG52" s="97">
        <v>48</v>
      </c>
      <c r="BH52" s="14">
        <f t="shared" si="17"/>
        <v>6</v>
      </c>
      <c r="BI52" s="14">
        <f t="shared" si="18"/>
        <v>3</v>
      </c>
      <c r="BJ52" s="14">
        <f t="shared" si="19"/>
        <v>3048</v>
      </c>
      <c r="BK52" s="14" t="str">
        <f t="shared" si="20"/>
        <v>徐晃传记3-1</v>
      </c>
      <c r="BM52" s="14" t="str">
        <f t="shared" si="21"/>
        <v>徐晃传记3-1 徐晃碎片</v>
      </c>
      <c r="BN52" s="14" t="str">
        <f t="shared" si="22"/>
        <v>徐晃碎片</v>
      </c>
      <c r="BO52" s="14">
        <f t="shared" si="23"/>
        <v>1</v>
      </c>
      <c r="BP52" s="14">
        <f t="shared" si="24"/>
        <v>2</v>
      </c>
      <c r="BQ52" s="14">
        <v>10000</v>
      </c>
    </row>
    <row r="53" spans="35:69" ht="16.5" x14ac:dyDescent="0.2">
      <c r="AI53" s="96">
        <v>49</v>
      </c>
      <c r="AJ53" s="14">
        <f t="shared" si="0"/>
        <v>8</v>
      </c>
      <c r="AK53" s="14">
        <f t="shared" si="1"/>
        <v>201102</v>
      </c>
      <c r="AL53" s="14">
        <f t="shared" si="2"/>
        <v>2011</v>
      </c>
      <c r="AM53" s="96" t="s">
        <v>886</v>
      </c>
      <c r="AN53" s="14">
        <f t="shared" si="3"/>
        <v>2</v>
      </c>
      <c r="AO53" s="14">
        <f t="shared" si="27"/>
        <v>201103</v>
      </c>
      <c r="AP53" s="14" t="str">
        <f t="shared" si="5"/>
        <v>张飞传记-2</v>
      </c>
      <c r="AQ53" s="14" t="str">
        <f t="shared" si="6"/>
        <v>张飞传记-2</v>
      </c>
      <c r="AR53" s="14">
        <f t="shared" si="7"/>
        <v>40</v>
      </c>
      <c r="AS53" s="14" t="str">
        <f t="shared" si="8"/>
        <v/>
      </c>
      <c r="AT53" s="98">
        <v>3</v>
      </c>
      <c r="AU53" s="99" t="s">
        <v>890</v>
      </c>
      <c r="AV53" s="14" t="str">
        <f t="shared" si="9"/>
        <v>KP_KM_1102011</v>
      </c>
      <c r="AW53" s="14">
        <f t="shared" si="10"/>
        <v>1102011</v>
      </c>
      <c r="AX53" s="14" t="str">
        <f t="shared" si="11"/>
        <v>张飞传记2-1</v>
      </c>
      <c r="AY53" s="14" t="str">
        <f t="shared" si="12"/>
        <v/>
      </c>
      <c r="AZ53" s="14" t="str">
        <f t="shared" si="13"/>
        <v>张飞碎片</v>
      </c>
      <c r="BA53" s="14">
        <f t="shared" si="14"/>
        <v>1</v>
      </c>
      <c r="BB53" s="14" t="str">
        <f t="shared" si="15"/>
        <v/>
      </c>
      <c r="BC53" s="14" t="str">
        <f t="shared" si="16"/>
        <v/>
      </c>
      <c r="BD53" s="96"/>
      <c r="BG53" s="97">
        <v>49</v>
      </c>
      <c r="BH53" s="14">
        <f t="shared" si="17"/>
        <v>6</v>
      </c>
      <c r="BI53" s="14">
        <f t="shared" si="18"/>
        <v>4</v>
      </c>
      <c r="BJ53" s="14">
        <f t="shared" si="19"/>
        <v>3049</v>
      </c>
      <c r="BK53" s="14" t="str">
        <f t="shared" si="20"/>
        <v>徐晃传记4-1</v>
      </c>
      <c r="BM53" s="14" t="str">
        <f t="shared" si="21"/>
        <v>徐晃传记4-1 徐晃专属武器碎片</v>
      </c>
      <c r="BN53" s="14" t="str">
        <f t="shared" si="22"/>
        <v>徐晃专属武器碎片</v>
      </c>
      <c r="BO53" s="14">
        <f t="shared" si="23"/>
        <v>1</v>
      </c>
      <c r="BP53" s="14">
        <f t="shared" si="24"/>
        <v>1</v>
      </c>
      <c r="BQ53" s="14">
        <v>10000</v>
      </c>
    </row>
    <row r="54" spans="35:69" ht="16.5" x14ac:dyDescent="0.2">
      <c r="AI54" s="96">
        <v>50</v>
      </c>
      <c r="AJ54" s="14">
        <f t="shared" si="0"/>
        <v>8</v>
      </c>
      <c r="AK54" s="14">
        <f t="shared" si="1"/>
        <v>201103</v>
      </c>
      <c r="AL54" s="14">
        <f t="shared" si="2"/>
        <v>2011</v>
      </c>
      <c r="AM54" s="96" t="s">
        <v>886</v>
      </c>
      <c r="AN54" s="14">
        <f t="shared" si="3"/>
        <v>3</v>
      </c>
      <c r="AO54" s="14">
        <f t="shared" si="27"/>
        <v>201104</v>
      </c>
      <c r="AP54" s="14" t="str">
        <f t="shared" si="5"/>
        <v>张飞传记-3</v>
      </c>
      <c r="AQ54" s="14" t="str">
        <f t="shared" si="6"/>
        <v>张飞传记-3</v>
      </c>
      <c r="AR54" s="14">
        <f t="shared" si="7"/>
        <v>55</v>
      </c>
      <c r="AS54" s="14" t="str">
        <f t="shared" si="8"/>
        <v/>
      </c>
      <c r="AT54" s="98">
        <v>3</v>
      </c>
      <c r="AU54" s="99" t="s">
        <v>890</v>
      </c>
      <c r="AV54" s="14" t="str">
        <f t="shared" si="9"/>
        <v>KP_KM_1102011</v>
      </c>
      <c r="AW54" s="14">
        <f t="shared" si="10"/>
        <v>1102011</v>
      </c>
      <c r="AX54" s="14" t="str">
        <f t="shared" si="11"/>
        <v>张飞传记3-1</v>
      </c>
      <c r="AY54" s="14" t="str">
        <f t="shared" si="12"/>
        <v/>
      </c>
      <c r="AZ54" s="14" t="str">
        <f t="shared" si="13"/>
        <v>张飞碎片</v>
      </c>
      <c r="BA54" s="14" t="str">
        <f t="shared" si="14"/>
        <v>1~2</v>
      </c>
      <c r="BB54" s="14" t="str">
        <f t="shared" si="15"/>
        <v/>
      </c>
      <c r="BC54" s="14" t="str">
        <f t="shared" si="16"/>
        <v/>
      </c>
      <c r="BD54" s="96"/>
      <c r="BG54" s="97">
        <v>50</v>
      </c>
      <c r="BH54" s="14">
        <f t="shared" si="17"/>
        <v>6</v>
      </c>
      <c r="BI54" s="14">
        <f t="shared" si="18"/>
        <v>5</v>
      </c>
      <c r="BJ54" s="14">
        <f t="shared" si="19"/>
        <v>3050</v>
      </c>
      <c r="BK54" s="14" t="str">
        <f t="shared" si="20"/>
        <v>徐晃传记5-1</v>
      </c>
      <c r="BM54" s="14" t="str">
        <f t="shared" si="21"/>
        <v>徐晃传记5-1 徐晃碎片</v>
      </c>
      <c r="BN54" s="14" t="str">
        <f t="shared" si="22"/>
        <v>徐晃碎片</v>
      </c>
      <c r="BO54" s="14">
        <f t="shared" si="23"/>
        <v>1</v>
      </c>
      <c r="BP54" s="14">
        <f t="shared" si="24"/>
        <v>2</v>
      </c>
      <c r="BQ54" s="14">
        <v>10000</v>
      </c>
    </row>
    <row r="55" spans="35:69" ht="16.5" x14ac:dyDescent="0.2">
      <c r="AI55" s="96">
        <v>51</v>
      </c>
      <c r="AJ55" s="14">
        <f t="shared" si="0"/>
        <v>8</v>
      </c>
      <c r="AK55" s="14">
        <f t="shared" si="1"/>
        <v>201104</v>
      </c>
      <c r="AL55" s="14">
        <f t="shared" si="2"/>
        <v>2011</v>
      </c>
      <c r="AM55" s="96" t="s">
        <v>886</v>
      </c>
      <c r="AN55" s="14">
        <f t="shared" si="3"/>
        <v>4</v>
      </c>
      <c r="AO55" s="14">
        <f t="shared" si="27"/>
        <v>201105</v>
      </c>
      <c r="AP55" s="14" t="str">
        <f t="shared" si="5"/>
        <v>张飞传记-4</v>
      </c>
      <c r="AQ55" s="14" t="str">
        <f t="shared" si="6"/>
        <v>张飞传记-4</v>
      </c>
      <c r="AR55" s="14">
        <f t="shared" si="7"/>
        <v>70</v>
      </c>
      <c r="AS55" s="14" t="str">
        <f t="shared" si="8"/>
        <v/>
      </c>
      <c r="AT55" s="98">
        <v>3</v>
      </c>
      <c r="AU55" s="99" t="s">
        <v>890</v>
      </c>
      <c r="AV55" s="14" t="str">
        <f t="shared" si="9"/>
        <v>KP_KM_1102011</v>
      </c>
      <c r="AW55" s="14">
        <f t="shared" si="10"/>
        <v>1102011</v>
      </c>
      <c r="AX55" s="14" t="str">
        <f t="shared" si="11"/>
        <v>张飞传记4-1</v>
      </c>
      <c r="AY55" s="14" t="str">
        <f t="shared" si="12"/>
        <v/>
      </c>
      <c r="AZ55" s="14" t="str">
        <f t="shared" si="13"/>
        <v>张飞专属武器碎片</v>
      </c>
      <c r="BA55" s="14">
        <f t="shared" si="14"/>
        <v>1</v>
      </c>
      <c r="BB55" s="14" t="str">
        <f t="shared" si="15"/>
        <v/>
      </c>
      <c r="BC55" s="14" t="str">
        <f t="shared" si="16"/>
        <v/>
      </c>
      <c r="BD55" s="96"/>
      <c r="BG55" s="97">
        <v>51</v>
      </c>
      <c r="BH55" s="14">
        <f t="shared" si="17"/>
        <v>6</v>
      </c>
      <c r="BI55" s="14">
        <f t="shared" si="18"/>
        <v>6</v>
      </c>
      <c r="BJ55" s="14">
        <f t="shared" si="19"/>
        <v>3051</v>
      </c>
      <c r="BK55" s="14" t="str">
        <f t="shared" si="20"/>
        <v>徐晃传记5-2</v>
      </c>
      <c r="BM55" s="14" t="str">
        <f t="shared" si="21"/>
        <v>徐晃传记5-2 徐晃专属武器碎片</v>
      </c>
      <c r="BN55" s="14" t="str">
        <f t="shared" si="22"/>
        <v>徐晃专属武器碎片</v>
      </c>
      <c r="BO55" s="14">
        <f t="shared" si="23"/>
        <v>1</v>
      </c>
      <c r="BP55" s="14">
        <f t="shared" si="24"/>
        <v>1</v>
      </c>
      <c r="BQ55" s="14">
        <v>10000</v>
      </c>
    </row>
    <row r="56" spans="35:69" ht="16.5" x14ac:dyDescent="0.2">
      <c r="AI56" s="96">
        <v>52</v>
      </c>
      <c r="AJ56" s="14">
        <f t="shared" si="0"/>
        <v>8</v>
      </c>
      <c r="AK56" s="14">
        <f t="shared" si="1"/>
        <v>201105</v>
      </c>
      <c r="AL56" s="14">
        <f t="shared" si="2"/>
        <v>2011</v>
      </c>
      <c r="AM56" s="96" t="s">
        <v>886</v>
      </c>
      <c r="AN56" s="14">
        <f t="shared" si="3"/>
        <v>5</v>
      </c>
      <c r="AO56" s="14">
        <f t="shared" si="27"/>
        <v>201106</v>
      </c>
      <c r="AP56" s="14" t="str">
        <f t="shared" si="5"/>
        <v>张飞传记-5</v>
      </c>
      <c r="AQ56" s="14" t="str">
        <f t="shared" si="6"/>
        <v>张飞传记-5</v>
      </c>
      <c r="AR56" s="14">
        <f t="shared" si="7"/>
        <v>80</v>
      </c>
      <c r="AS56" s="14" t="str">
        <f t="shared" si="8"/>
        <v/>
      </c>
      <c r="AT56" s="98">
        <v>3</v>
      </c>
      <c r="AU56" s="99" t="s">
        <v>890</v>
      </c>
      <c r="AV56" s="14" t="str">
        <f t="shared" si="9"/>
        <v>KP_KM_1102011</v>
      </c>
      <c r="AW56" s="14">
        <f t="shared" si="10"/>
        <v>1102011</v>
      </c>
      <c r="AX56" s="14" t="str">
        <f t="shared" si="11"/>
        <v>张飞传记5-1</v>
      </c>
      <c r="AY56" s="14" t="str">
        <f t="shared" si="12"/>
        <v>张飞传记5-1</v>
      </c>
      <c r="AZ56" s="14" t="str">
        <f t="shared" si="13"/>
        <v>张飞碎片</v>
      </c>
      <c r="BA56" s="14" t="str">
        <f t="shared" si="14"/>
        <v>1~2</v>
      </c>
      <c r="BB56" s="14" t="str">
        <f t="shared" si="15"/>
        <v>张飞专属武器碎片</v>
      </c>
      <c r="BC56" s="14">
        <f t="shared" si="16"/>
        <v>1</v>
      </c>
      <c r="BD56" s="96"/>
      <c r="BG56" s="97">
        <v>52</v>
      </c>
      <c r="BH56" s="14">
        <f t="shared" si="17"/>
        <v>7</v>
      </c>
      <c r="BI56" s="14">
        <f t="shared" si="18"/>
        <v>1</v>
      </c>
      <c r="BJ56" s="14">
        <f t="shared" si="19"/>
        <v>3052</v>
      </c>
      <c r="BK56" s="14" t="str">
        <f t="shared" si="20"/>
        <v>张郃传记1-1</v>
      </c>
      <c r="BM56" s="14" t="str">
        <f t="shared" si="21"/>
        <v>张郃传记1-1 张郃碎片</v>
      </c>
      <c r="BN56" s="14" t="str">
        <f t="shared" si="22"/>
        <v>张郃碎片</v>
      </c>
      <c r="BO56" s="14">
        <f t="shared" si="23"/>
        <v>1</v>
      </c>
      <c r="BP56" s="14">
        <f t="shared" si="24"/>
        <v>1</v>
      </c>
      <c r="BQ56" s="14">
        <v>10000</v>
      </c>
    </row>
    <row r="57" spans="35:69" ht="16.5" x14ac:dyDescent="0.2">
      <c r="AI57" s="96">
        <v>53</v>
      </c>
      <c r="AJ57" s="14">
        <f t="shared" si="0"/>
        <v>8</v>
      </c>
      <c r="AK57" s="14">
        <f t="shared" si="1"/>
        <v>201106</v>
      </c>
      <c r="AL57" s="14">
        <f t="shared" si="2"/>
        <v>2011</v>
      </c>
      <c r="AM57" s="96" t="s">
        <v>886</v>
      </c>
      <c r="AN57" s="14">
        <f t="shared" si="3"/>
        <v>6</v>
      </c>
      <c r="AO57" s="14">
        <f t="shared" si="27"/>
        <v>201107</v>
      </c>
      <c r="AP57" s="14" t="str">
        <f t="shared" si="5"/>
        <v>张飞传记-6</v>
      </c>
      <c r="AQ57" s="14" t="str">
        <f t="shared" si="6"/>
        <v>张飞传记-6</v>
      </c>
      <c r="AR57" s="14">
        <f t="shared" si="7"/>
        <v>90</v>
      </c>
      <c r="AS57" s="14">
        <f t="shared" si="8"/>
        <v>2</v>
      </c>
      <c r="AT57" s="98">
        <v>3</v>
      </c>
      <c r="AU57" s="99" t="s">
        <v>890</v>
      </c>
      <c r="AV57" s="14" t="str">
        <f t="shared" si="9"/>
        <v>KP_KM_1102011</v>
      </c>
      <c r="AW57" s="14">
        <f t="shared" si="10"/>
        <v>1102011</v>
      </c>
      <c r="AX57" s="14" t="str">
        <f t="shared" si="11"/>
        <v>张飞传记6-1</v>
      </c>
      <c r="AY57" s="14" t="str">
        <f t="shared" si="12"/>
        <v>张飞传记6-1</v>
      </c>
      <c r="AZ57" s="14" t="str">
        <f t="shared" si="13"/>
        <v>张飞碎片</v>
      </c>
      <c r="BA57" s="14" t="str">
        <f t="shared" si="14"/>
        <v>1~2</v>
      </c>
      <c r="BB57" s="14" t="str">
        <f t="shared" si="15"/>
        <v>张飞专属武器碎片</v>
      </c>
      <c r="BC57" s="14">
        <f t="shared" si="16"/>
        <v>1</v>
      </c>
      <c r="BD57" s="96"/>
      <c r="BG57" s="97">
        <v>53</v>
      </c>
      <c r="BH57" s="14">
        <f t="shared" si="17"/>
        <v>7</v>
      </c>
      <c r="BI57" s="14">
        <f t="shared" si="18"/>
        <v>2</v>
      </c>
      <c r="BJ57" s="14">
        <f t="shared" si="19"/>
        <v>3053</v>
      </c>
      <c r="BK57" s="14" t="str">
        <f t="shared" si="20"/>
        <v>张郃传记2-1</v>
      </c>
      <c r="BM57" s="14" t="str">
        <f t="shared" si="21"/>
        <v>张郃传记2-1 张郃碎片</v>
      </c>
      <c r="BN57" s="14" t="str">
        <f t="shared" si="22"/>
        <v>张郃碎片</v>
      </c>
      <c r="BO57" s="14">
        <f t="shared" si="23"/>
        <v>1</v>
      </c>
      <c r="BP57" s="14">
        <f t="shared" si="24"/>
        <v>1</v>
      </c>
      <c r="BQ57" s="14">
        <v>10000</v>
      </c>
    </row>
    <row r="58" spans="35:69" ht="16.5" x14ac:dyDescent="0.2">
      <c r="AI58" s="96">
        <v>54</v>
      </c>
      <c r="AJ58" s="14">
        <f t="shared" si="0"/>
        <v>8</v>
      </c>
      <c r="AK58" s="14">
        <f t="shared" si="1"/>
        <v>201107</v>
      </c>
      <c r="AL58" s="14">
        <f t="shared" si="2"/>
        <v>2011</v>
      </c>
      <c r="AM58" s="96" t="s">
        <v>886</v>
      </c>
      <c r="AN58" s="14">
        <f t="shared" si="3"/>
        <v>7</v>
      </c>
      <c r="AO58" s="14">
        <f t="shared" si="27"/>
        <v>201108</v>
      </c>
      <c r="AP58" s="14" t="str">
        <f t="shared" si="5"/>
        <v>张飞传记-7</v>
      </c>
      <c r="AQ58" s="14" t="str">
        <f t="shared" si="6"/>
        <v>张飞传记-7</v>
      </c>
      <c r="AR58" s="14">
        <f t="shared" si="7"/>
        <v>100</v>
      </c>
      <c r="AS58" s="14">
        <f t="shared" si="8"/>
        <v>2</v>
      </c>
      <c r="AT58" s="98">
        <v>3</v>
      </c>
      <c r="AU58" s="99" t="s">
        <v>890</v>
      </c>
      <c r="AV58" s="14" t="str">
        <f t="shared" si="9"/>
        <v>KP_KM_1102011</v>
      </c>
      <c r="AW58" s="14">
        <f t="shared" si="10"/>
        <v>1102011</v>
      </c>
      <c r="AX58" s="14" t="str">
        <f t="shared" si="11"/>
        <v>张飞传记7-1</v>
      </c>
      <c r="AY58" s="14" t="str">
        <f t="shared" si="12"/>
        <v>张飞传记7-1</v>
      </c>
      <c r="AZ58" s="14" t="str">
        <f t="shared" si="13"/>
        <v>张飞碎片</v>
      </c>
      <c r="BA58" s="14" t="str">
        <f t="shared" si="14"/>
        <v>1~2</v>
      </c>
      <c r="BB58" s="14" t="str">
        <f t="shared" si="15"/>
        <v>张飞专属武器碎片</v>
      </c>
      <c r="BC58" s="14">
        <f t="shared" si="16"/>
        <v>1</v>
      </c>
      <c r="BD58" s="96"/>
      <c r="BG58" s="97">
        <v>54</v>
      </c>
      <c r="BH58" s="14">
        <f t="shared" si="17"/>
        <v>7</v>
      </c>
      <c r="BI58" s="14">
        <f t="shared" si="18"/>
        <v>3</v>
      </c>
      <c r="BJ58" s="14">
        <f t="shared" si="19"/>
        <v>3054</v>
      </c>
      <c r="BK58" s="14" t="str">
        <f t="shared" si="20"/>
        <v>张郃传记3-1</v>
      </c>
      <c r="BM58" s="14" t="str">
        <f t="shared" si="21"/>
        <v>张郃传记3-1 张郃碎片</v>
      </c>
      <c r="BN58" s="14" t="str">
        <f t="shared" si="22"/>
        <v>张郃碎片</v>
      </c>
      <c r="BO58" s="14">
        <f t="shared" si="23"/>
        <v>1</v>
      </c>
      <c r="BP58" s="14">
        <f t="shared" si="24"/>
        <v>2</v>
      </c>
      <c r="BQ58" s="14">
        <v>10000</v>
      </c>
    </row>
    <row r="59" spans="35:69" ht="16.5" x14ac:dyDescent="0.2">
      <c r="AI59" s="96">
        <v>55</v>
      </c>
      <c r="AJ59" s="14">
        <f t="shared" si="0"/>
        <v>8</v>
      </c>
      <c r="AK59" s="14">
        <f t="shared" si="1"/>
        <v>201108</v>
      </c>
      <c r="AL59" s="14">
        <f t="shared" si="2"/>
        <v>2011</v>
      </c>
      <c r="AM59" s="96" t="s">
        <v>886</v>
      </c>
      <c r="AN59" s="14">
        <f t="shared" si="3"/>
        <v>8</v>
      </c>
      <c r="AO59" s="14">
        <f t="shared" si="27"/>
        <v>-1</v>
      </c>
      <c r="AP59" s="14" t="str">
        <f t="shared" si="5"/>
        <v>张飞传记-8</v>
      </c>
      <c r="AQ59" s="14" t="str">
        <f t="shared" si="6"/>
        <v>张飞传记-8</v>
      </c>
      <c r="AR59" s="14">
        <f t="shared" si="7"/>
        <v>120</v>
      </c>
      <c r="AS59" s="14">
        <f t="shared" si="8"/>
        <v>2</v>
      </c>
      <c r="AT59" s="98">
        <v>3</v>
      </c>
      <c r="AU59" s="99" t="s">
        <v>890</v>
      </c>
      <c r="AV59" s="14" t="str">
        <f t="shared" si="9"/>
        <v>KP_KM_1102011</v>
      </c>
      <c r="AW59" s="14">
        <f t="shared" si="10"/>
        <v>1102011</v>
      </c>
      <c r="AX59" s="14" t="str">
        <f t="shared" si="11"/>
        <v>张飞传记8-1</v>
      </c>
      <c r="AY59" s="14" t="str">
        <f t="shared" si="12"/>
        <v/>
      </c>
      <c r="AZ59" s="14" t="str">
        <f t="shared" si="13"/>
        <v>张飞碎片</v>
      </c>
      <c r="BA59" s="14">
        <f t="shared" si="14"/>
        <v>2</v>
      </c>
      <c r="BB59" s="14" t="str">
        <f t="shared" si="15"/>
        <v/>
      </c>
      <c r="BC59" s="14" t="str">
        <f t="shared" si="16"/>
        <v/>
      </c>
      <c r="BD59" s="96"/>
      <c r="BG59" s="97">
        <v>55</v>
      </c>
      <c r="BH59" s="14">
        <f t="shared" si="17"/>
        <v>7</v>
      </c>
      <c r="BI59" s="14">
        <f t="shared" si="18"/>
        <v>4</v>
      </c>
      <c r="BJ59" s="14">
        <f t="shared" si="19"/>
        <v>3055</v>
      </c>
      <c r="BK59" s="14" t="str">
        <f t="shared" si="20"/>
        <v>张郃传记4-1</v>
      </c>
      <c r="BM59" s="14" t="str">
        <f t="shared" si="21"/>
        <v>张郃传记4-1 张郃专属武器碎片</v>
      </c>
      <c r="BN59" s="14" t="str">
        <f t="shared" si="22"/>
        <v>张郃专属武器碎片</v>
      </c>
      <c r="BO59" s="14">
        <f t="shared" si="23"/>
        <v>1</v>
      </c>
      <c r="BP59" s="14">
        <f t="shared" si="24"/>
        <v>1</v>
      </c>
      <c r="BQ59" s="14">
        <v>10000</v>
      </c>
    </row>
    <row r="60" spans="35:69" ht="16.5" x14ac:dyDescent="0.2">
      <c r="AI60" s="96">
        <v>56</v>
      </c>
      <c r="AJ60" s="14">
        <f t="shared" si="0"/>
        <v>9</v>
      </c>
      <c r="AK60" s="14">
        <f t="shared" si="1"/>
        <v>201401</v>
      </c>
      <c r="AL60" s="14">
        <f t="shared" si="2"/>
        <v>2014</v>
      </c>
      <c r="AM60" s="96" t="s">
        <v>886</v>
      </c>
      <c r="AN60" s="14">
        <f t="shared" si="3"/>
        <v>1</v>
      </c>
      <c r="AO60" s="14">
        <f t="shared" si="27"/>
        <v>201402</v>
      </c>
      <c r="AP60" s="14" t="str">
        <f t="shared" si="5"/>
        <v>石灵明传记-1</v>
      </c>
      <c r="AQ60" s="14" t="str">
        <f t="shared" si="6"/>
        <v>石灵明传记-1</v>
      </c>
      <c r="AR60" s="14">
        <f t="shared" si="7"/>
        <v>30</v>
      </c>
      <c r="AS60" s="14" t="str">
        <f t="shared" si="8"/>
        <v/>
      </c>
      <c r="AT60" s="98">
        <v>3</v>
      </c>
      <c r="AU60" s="99" t="s">
        <v>890</v>
      </c>
      <c r="AV60" s="14" t="str">
        <f t="shared" si="9"/>
        <v>KP_KM_1102014</v>
      </c>
      <c r="AW60" s="14">
        <f t="shared" si="10"/>
        <v>1102014</v>
      </c>
      <c r="AX60" s="14" t="str">
        <f t="shared" si="11"/>
        <v>石灵明传记1-1</v>
      </c>
      <c r="AY60" s="14" t="str">
        <f t="shared" si="12"/>
        <v/>
      </c>
      <c r="AZ60" s="14" t="str">
        <f t="shared" si="13"/>
        <v>石灵明碎片</v>
      </c>
      <c r="BA60" s="14">
        <f t="shared" si="14"/>
        <v>1</v>
      </c>
      <c r="BB60" s="14" t="str">
        <f t="shared" si="15"/>
        <v/>
      </c>
      <c r="BC60" s="14" t="str">
        <f t="shared" si="16"/>
        <v/>
      </c>
      <c r="BD60" s="96"/>
      <c r="BG60" s="97">
        <v>56</v>
      </c>
      <c r="BH60" s="14">
        <f t="shared" si="17"/>
        <v>7</v>
      </c>
      <c r="BI60" s="14">
        <f t="shared" si="18"/>
        <v>5</v>
      </c>
      <c r="BJ60" s="14">
        <f t="shared" si="19"/>
        <v>3056</v>
      </c>
      <c r="BK60" s="14" t="str">
        <f t="shared" si="20"/>
        <v>张郃传记5-1</v>
      </c>
      <c r="BM60" s="14" t="str">
        <f t="shared" si="21"/>
        <v>张郃传记5-1 张郃碎片</v>
      </c>
      <c r="BN60" s="14" t="str">
        <f t="shared" si="22"/>
        <v>张郃碎片</v>
      </c>
      <c r="BO60" s="14">
        <f t="shared" si="23"/>
        <v>1</v>
      </c>
      <c r="BP60" s="14">
        <f t="shared" si="24"/>
        <v>2</v>
      </c>
      <c r="BQ60" s="14">
        <v>10000</v>
      </c>
    </row>
    <row r="61" spans="35:69" ht="16.5" x14ac:dyDescent="0.2">
      <c r="AI61" s="96">
        <v>57</v>
      </c>
      <c r="AJ61" s="14">
        <f t="shared" si="0"/>
        <v>9</v>
      </c>
      <c r="AK61" s="14">
        <f t="shared" si="1"/>
        <v>201402</v>
      </c>
      <c r="AL61" s="14">
        <f t="shared" si="2"/>
        <v>2014</v>
      </c>
      <c r="AM61" s="96" t="s">
        <v>886</v>
      </c>
      <c r="AN61" s="14">
        <f t="shared" si="3"/>
        <v>2</v>
      </c>
      <c r="AO61" s="14">
        <f t="shared" si="27"/>
        <v>201403</v>
      </c>
      <c r="AP61" s="14" t="str">
        <f t="shared" si="5"/>
        <v>石灵明传记-2</v>
      </c>
      <c r="AQ61" s="14" t="str">
        <f t="shared" si="6"/>
        <v>石灵明传记-2</v>
      </c>
      <c r="AR61" s="14">
        <f t="shared" si="7"/>
        <v>40</v>
      </c>
      <c r="AS61" s="14" t="str">
        <f t="shared" si="8"/>
        <v/>
      </c>
      <c r="AT61" s="98">
        <v>3</v>
      </c>
      <c r="AU61" s="99" t="s">
        <v>890</v>
      </c>
      <c r="AV61" s="14" t="str">
        <f t="shared" si="9"/>
        <v>KP_KM_1102014</v>
      </c>
      <c r="AW61" s="14">
        <f t="shared" si="10"/>
        <v>1102014</v>
      </c>
      <c r="AX61" s="14" t="str">
        <f t="shared" si="11"/>
        <v>石灵明传记2-1</v>
      </c>
      <c r="AY61" s="14" t="str">
        <f t="shared" si="12"/>
        <v/>
      </c>
      <c r="AZ61" s="14" t="str">
        <f t="shared" si="13"/>
        <v>石灵明碎片</v>
      </c>
      <c r="BA61" s="14">
        <f t="shared" si="14"/>
        <v>1</v>
      </c>
      <c r="BB61" s="14" t="str">
        <f t="shared" si="15"/>
        <v/>
      </c>
      <c r="BC61" s="14" t="str">
        <f t="shared" si="16"/>
        <v/>
      </c>
      <c r="BD61" s="96"/>
      <c r="BG61" s="97">
        <v>57</v>
      </c>
      <c r="BH61" s="14">
        <f t="shared" si="17"/>
        <v>7</v>
      </c>
      <c r="BI61" s="14">
        <f t="shared" si="18"/>
        <v>6</v>
      </c>
      <c r="BJ61" s="14">
        <f t="shared" si="19"/>
        <v>3057</v>
      </c>
      <c r="BK61" s="14" t="str">
        <f t="shared" si="20"/>
        <v>张郃传记5-2</v>
      </c>
      <c r="BM61" s="14" t="str">
        <f t="shared" si="21"/>
        <v>张郃传记5-2 张郃专属武器碎片</v>
      </c>
      <c r="BN61" s="14" t="str">
        <f t="shared" si="22"/>
        <v>张郃专属武器碎片</v>
      </c>
      <c r="BO61" s="14">
        <f t="shared" si="23"/>
        <v>1</v>
      </c>
      <c r="BP61" s="14">
        <f t="shared" si="24"/>
        <v>1</v>
      </c>
      <c r="BQ61" s="14">
        <v>10000</v>
      </c>
    </row>
    <row r="62" spans="35:69" ht="16.5" x14ac:dyDescent="0.2">
      <c r="AI62" s="96">
        <v>58</v>
      </c>
      <c r="AJ62" s="14">
        <f t="shared" si="0"/>
        <v>9</v>
      </c>
      <c r="AK62" s="14">
        <f t="shared" si="1"/>
        <v>201403</v>
      </c>
      <c r="AL62" s="14">
        <f t="shared" si="2"/>
        <v>2014</v>
      </c>
      <c r="AM62" s="96" t="s">
        <v>886</v>
      </c>
      <c r="AN62" s="14">
        <f t="shared" si="3"/>
        <v>3</v>
      </c>
      <c r="AO62" s="14">
        <f t="shared" si="27"/>
        <v>201404</v>
      </c>
      <c r="AP62" s="14" t="str">
        <f t="shared" si="5"/>
        <v>石灵明传记-3</v>
      </c>
      <c r="AQ62" s="14" t="str">
        <f t="shared" si="6"/>
        <v>石灵明传记-3</v>
      </c>
      <c r="AR62" s="14">
        <f t="shared" si="7"/>
        <v>55</v>
      </c>
      <c r="AS62" s="14" t="str">
        <f t="shared" si="8"/>
        <v/>
      </c>
      <c r="AT62" s="98">
        <v>3</v>
      </c>
      <c r="AU62" s="99" t="s">
        <v>890</v>
      </c>
      <c r="AV62" s="14" t="str">
        <f t="shared" si="9"/>
        <v>KP_KM_1102014</v>
      </c>
      <c r="AW62" s="14">
        <f t="shared" si="10"/>
        <v>1102014</v>
      </c>
      <c r="AX62" s="14" t="str">
        <f t="shared" si="11"/>
        <v>石灵明传记3-1</v>
      </c>
      <c r="AY62" s="14" t="str">
        <f t="shared" si="12"/>
        <v/>
      </c>
      <c r="AZ62" s="14" t="str">
        <f t="shared" si="13"/>
        <v>石灵明碎片</v>
      </c>
      <c r="BA62" s="14" t="str">
        <f t="shared" si="14"/>
        <v>1~2</v>
      </c>
      <c r="BB62" s="14" t="str">
        <f t="shared" si="15"/>
        <v/>
      </c>
      <c r="BC62" s="14" t="str">
        <f t="shared" si="16"/>
        <v/>
      </c>
      <c r="BD62" s="96"/>
      <c r="BG62" s="97">
        <v>58</v>
      </c>
      <c r="BH62" s="14">
        <f t="shared" si="17"/>
        <v>7</v>
      </c>
      <c r="BI62" s="14">
        <f t="shared" si="18"/>
        <v>7</v>
      </c>
      <c r="BJ62" s="14">
        <f t="shared" si="19"/>
        <v>3058</v>
      </c>
      <c r="BK62" s="14" t="str">
        <f t="shared" si="20"/>
        <v>张郃传记6-1</v>
      </c>
      <c r="BM62" s="14" t="str">
        <f t="shared" si="21"/>
        <v>张郃传记6-1 张郃碎片</v>
      </c>
      <c r="BN62" s="14" t="str">
        <f t="shared" si="22"/>
        <v>张郃碎片</v>
      </c>
      <c r="BO62" s="14">
        <f t="shared" si="23"/>
        <v>1</v>
      </c>
      <c r="BP62" s="14">
        <f t="shared" si="24"/>
        <v>2</v>
      </c>
      <c r="BQ62" s="14">
        <v>10000</v>
      </c>
    </row>
    <row r="63" spans="35:69" ht="16.5" x14ac:dyDescent="0.2">
      <c r="AI63" s="96">
        <v>59</v>
      </c>
      <c r="AJ63" s="14">
        <f t="shared" si="0"/>
        <v>9</v>
      </c>
      <c r="AK63" s="14">
        <f t="shared" si="1"/>
        <v>201404</v>
      </c>
      <c r="AL63" s="14">
        <f t="shared" si="2"/>
        <v>2014</v>
      </c>
      <c r="AM63" s="96" t="s">
        <v>886</v>
      </c>
      <c r="AN63" s="14">
        <f t="shared" si="3"/>
        <v>4</v>
      </c>
      <c r="AO63" s="14">
        <f t="shared" si="27"/>
        <v>201405</v>
      </c>
      <c r="AP63" s="14" t="str">
        <f t="shared" si="5"/>
        <v>石灵明传记-4</v>
      </c>
      <c r="AQ63" s="14" t="str">
        <f t="shared" si="6"/>
        <v>石灵明传记-4</v>
      </c>
      <c r="AR63" s="14">
        <f t="shared" si="7"/>
        <v>70</v>
      </c>
      <c r="AS63" s="14" t="str">
        <f t="shared" si="8"/>
        <v/>
      </c>
      <c r="AT63" s="98">
        <v>3</v>
      </c>
      <c r="AU63" s="99" t="s">
        <v>890</v>
      </c>
      <c r="AV63" s="14" t="str">
        <f t="shared" si="9"/>
        <v>KP_KM_1102014</v>
      </c>
      <c r="AW63" s="14">
        <f t="shared" si="10"/>
        <v>1102014</v>
      </c>
      <c r="AX63" s="14" t="str">
        <f t="shared" si="11"/>
        <v>石灵明传记4-1</v>
      </c>
      <c r="AY63" s="14" t="str">
        <f t="shared" si="12"/>
        <v/>
      </c>
      <c r="AZ63" s="14" t="str">
        <f t="shared" si="13"/>
        <v>石灵明专属武器碎片</v>
      </c>
      <c r="BA63" s="14">
        <f t="shared" si="14"/>
        <v>1</v>
      </c>
      <c r="BB63" s="14" t="str">
        <f t="shared" si="15"/>
        <v/>
      </c>
      <c r="BC63" s="14" t="str">
        <f t="shared" si="16"/>
        <v/>
      </c>
      <c r="BD63" s="96"/>
      <c r="BG63" s="97">
        <v>59</v>
      </c>
      <c r="BH63" s="14">
        <f t="shared" si="17"/>
        <v>7</v>
      </c>
      <c r="BI63" s="14">
        <f t="shared" si="18"/>
        <v>8</v>
      </c>
      <c r="BJ63" s="14">
        <f t="shared" si="19"/>
        <v>3059</v>
      </c>
      <c r="BK63" s="14" t="str">
        <f t="shared" si="20"/>
        <v>张郃传记6-2</v>
      </c>
      <c r="BM63" s="14" t="str">
        <f t="shared" si="21"/>
        <v>张郃传记6-2 张郃专属武器碎片</v>
      </c>
      <c r="BN63" s="14" t="str">
        <f t="shared" si="22"/>
        <v>张郃专属武器碎片</v>
      </c>
      <c r="BO63" s="14">
        <f t="shared" si="23"/>
        <v>1</v>
      </c>
      <c r="BP63" s="14">
        <f t="shared" si="24"/>
        <v>1</v>
      </c>
      <c r="BQ63" s="14">
        <v>10000</v>
      </c>
    </row>
    <row r="64" spans="35:69" ht="16.5" x14ac:dyDescent="0.2">
      <c r="AI64" s="96">
        <v>60</v>
      </c>
      <c r="AJ64" s="14">
        <f t="shared" si="0"/>
        <v>9</v>
      </c>
      <c r="AK64" s="14">
        <f t="shared" si="1"/>
        <v>201405</v>
      </c>
      <c r="AL64" s="14">
        <f t="shared" si="2"/>
        <v>2014</v>
      </c>
      <c r="AM64" s="96" t="s">
        <v>886</v>
      </c>
      <c r="AN64" s="14">
        <f t="shared" si="3"/>
        <v>5</v>
      </c>
      <c r="AO64" s="14">
        <f t="shared" si="27"/>
        <v>-1</v>
      </c>
      <c r="AP64" s="14" t="str">
        <f t="shared" si="5"/>
        <v>石灵明传记-5</v>
      </c>
      <c r="AQ64" s="14" t="str">
        <f t="shared" si="6"/>
        <v>石灵明传记-5</v>
      </c>
      <c r="AR64" s="14">
        <f t="shared" si="7"/>
        <v>80</v>
      </c>
      <c r="AS64" s="14" t="str">
        <f t="shared" si="8"/>
        <v/>
      </c>
      <c r="AT64" s="98">
        <v>3</v>
      </c>
      <c r="AU64" s="99" t="s">
        <v>890</v>
      </c>
      <c r="AV64" s="14" t="str">
        <f t="shared" si="9"/>
        <v>KP_KM_1102014</v>
      </c>
      <c r="AW64" s="14">
        <f t="shared" si="10"/>
        <v>1102014</v>
      </c>
      <c r="AX64" s="14" t="str">
        <f t="shared" si="11"/>
        <v>石灵明传记5-1</v>
      </c>
      <c r="AY64" s="14" t="str">
        <f t="shared" si="12"/>
        <v>石灵明传记5-1</v>
      </c>
      <c r="AZ64" s="14" t="str">
        <f t="shared" si="13"/>
        <v>石灵明碎片</v>
      </c>
      <c r="BA64" s="14" t="str">
        <f t="shared" si="14"/>
        <v>1~2</v>
      </c>
      <c r="BB64" s="14" t="str">
        <f t="shared" si="15"/>
        <v>石灵明专属武器碎片</v>
      </c>
      <c r="BC64" s="14">
        <f t="shared" si="16"/>
        <v>1</v>
      </c>
      <c r="BD64" s="96"/>
      <c r="BG64" s="97">
        <v>60</v>
      </c>
      <c r="BH64" s="14">
        <f t="shared" si="17"/>
        <v>7</v>
      </c>
      <c r="BI64" s="14">
        <f t="shared" si="18"/>
        <v>9</v>
      </c>
      <c r="BJ64" s="14">
        <f t="shared" si="19"/>
        <v>3060</v>
      </c>
      <c r="BK64" s="14" t="str">
        <f t="shared" si="20"/>
        <v>张郃传记7-1</v>
      </c>
      <c r="BM64" s="14" t="str">
        <f t="shared" si="21"/>
        <v>张郃传记7-1 张郃碎片</v>
      </c>
      <c r="BN64" s="14" t="str">
        <f t="shared" si="22"/>
        <v>张郃碎片</v>
      </c>
      <c r="BO64" s="14">
        <f t="shared" si="23"/>
        <v>1</v>
      </c>
      <c r="BP64" s="14">
        <f t="shared" si="24"/>
        <v>2</v>
      </c>
      <c r="BQ64" s="14">
        <v>10000</v>
      </c>
    </row>
    <row r="65" spans="35:69" ht="16.5" x14ac:dyDescent="0.2">
      <c r="AI65" s="96">
        <v>61</v>
      </c>
      <c r="AJ65" s="14">
        <f t="shared" si="0"/>
        <v>10</v>
      </c>
      <c r="AK65" s="14">
        <f t="shared" si="1"/>
        <v>201601</v>
      </c>
      <c r="AL65" s="14">
        <f t="shared" si="2"/>
        <v>2016</v>
      </c>
      <c r="AM65" s="96" t="s">
        <v>886</v>
      </c>
      <c r="AN65" s="14">
        <f t="shared" si="3"/>
        <v>1</v>
      </c>
      <c r="AO65" s="14">
        <f t="shared" si="27"/>
        <v>201602</v>
      </c>
      <c r="AP65" s="14" t="str">
        <f t="shared" si="5"/>
        <v>西方龙传记-1</v>
      </c>
      <c r="AQ65" s="14" t="str">
        <f t="shared" si="6"/>
        <v>西方龙传记-1</v>
      </c>
      <c r="AR65" s="14">
        <f t="shared" si="7"/>
        <v>30</v>
      </c>
      <c r="AS65" s="14" t="str">
        <f t="shared" si="8"/>
        <v/>
      </c>
      <c r="AT65" s="98">
        <v>3</v>
      </c>
      <c r="AU65" s="99" t="s">
        <v>890</v>
      </c>
      <c r="AV65" s="14" t="str">
        <f t="shared" si="9"/>
        <v>KP_KM_1102016</v>
      </c>
      <c r="AW65" s="14">
        <f t="shared" si="10"/>
        <v>1102016</v>
      </c>
      <c r="AX65" s="14" t="str">
        <f t="shared" si="11"/>
        <v>西方龙传记1-1</v>
      </c>
      <c r="AY65" s="14" t="str">
        <f t="shared" si="12"/>
        <v/>
      </c>
      <c r="AZ65" s="14" t="str">
        <f t="shared" si="13"/>
        <v>西方龙碎片</v>
      </c>
      <c r="BA65" s="14">
        <f t="shared" si="14"/>
        <v>1</v>
      </c>
      <c r="BB65" s="14" t="str">
        <f t="shared" si="15"/>
        <v/>
      </c>
      <c r="BC65" s="14" t="str">
        <f t="shared" si="16"/>
        <v/>
      </c>
      <c r="BD65" s="96"/>
      <c r="BG65" s="97">
        <v>61</v>
      </c>
      <c r="BH65" s="14">
        <f t="shared" si="17"/>
        <v>7</v>
      </c>
      <c r="BI65" s="14">
        <f t="shared" si="18"/>
        <v>10</v>
      </c>
      <c r="BJ65" s="14">
        <f t="shared" si="19"/>
        <v>3061</v>
      </c>
      <c r="BK65" s="14" t="str">
        <f t="shared" si="20"/>
        <v>张郃传记7-2</v>
      </c>
      <c r="BM65" s="14" t="str">
        <f t="shared" si="21"/>
        <v>张郃传记7-2 张郃专属武器碎片</v>
      </c>
      <c r="BN65" s="14" t="str">
        <f t="shared" si="22"/>
        <v>张郃专属武器碎片</v>
      </c>
      <c r="BO65" s="14">
        <f t="shared" si="23"/>
        <v>1</v>
      </c>
      <c r="BP65" s="14">
        <f t="shared" si="24"/>
        <v>1</v>
      </c>
      <c r="BQ65" s="14">
        <v>10000</v>
      </c>
    </row>
    <row r="66" spans="35:69" ht="16.5" x14ac:dyDescent="0.2">
      <c r="AI66" s="96">
        <v>62</v>
      </c>
      <c r="AJ66" s="14">
        <f t="shared" si="0"/>
        <v>10</v>
      </c>
      <c r="AK66" s="14">
        <f t="shared" si="1"/>
        <v>201602</v>
      </c>
      <c r="AL66" s="14">
        <f t="shared" si="2"/>
        <v>2016</v>
      </c>
      <c r="AM66" s="96" t="s">
        <v>886</v>
      </c>
      <c r="AN66" s="14">
        <f t="shared" si="3"/>
        <v>2</v>
      </c>
      <c r="AO66" s="14">
        <f t="shared" si="27"/>
        <v>201603</v>
      </c>
      <c r="AP66" s="14" t="str">
        <f t="shared" si="5"/>
        <v>西方龙传记-2</v>
      </c>
      <c r="AQ66" s="14" t="str">
        <f t="shared" si="6"/>
        <v>西方龙传记-2</v>
      </c>
      <c r="AR66" s="14">
        <f t="shared" si="7"/>
        <v>40</v>
      </c>
      <c r="AS66" s="14" t="str">
        <f t="shared" si="8"/>
        <v/>
      </c>
      <c r="AT66" s="98">
        <v>3</v>
      </c>
      <c r="AU66" s="99" t="s">
        <v>890</v>
      </c>
      <c r="AV66" s="14" t="str">
        <f t="shared" si="9"/>
        <v>KP_KM_1102016</v>
      </c>
      <c r="AW66" s="14">
        <f t="shared" si="10"/>
        <v>1102016</v>
      </c>
      <c r="AX66" s="14" t="str">
        <f t="shared" si="11"/>
        <v>西方龙传记2-1</v>
      </c>
      <c r="AY66" s="14" t="str">
        <f t="shared" si="12"/>
        <v/>
      </c>
      <c r="AZ66" s="14" t="str">
        <f t="shared" si="13"/>
        <v>西方龙碎片</v>
      </c>
      <c r="BA66" s="14">
        <f t="shared" si="14"/>
        <v>1</v>
      </c>
      <c r="BB66" s="14" t="str">
        <f t="shared" si="15"/>
        <v/>
      </c>
      <c r="BC66" s="14" t="str">
        <f t="shared" si="16"/>
        <v/>
      </c>
      <c r="BD66" s="96"/>
      <c r="BG66" s="97">
        <v>62</v>
      </c>
      <c r="BH66" s="14">
        <f t="shared" si="17"/>
        <v>7</v>
      </c>
      <c r="BI66" s="14">
        <f t="shared" si="18"/>
        <v>11</v>
      </c>
      <c r="BJ66" s="14">
        <f t="shared" si="19"/>
        <v>3062</v>
      </c>
      <c r="BK66" s="14" t="str">
        <f t="shared" si="20"/>
        <v>张郃传记8-1</v>
      </c>
      <c r="BM66" s="14" t="str">
        <f t="shared" si="21"/>
        <v>张郃传记8-1 张郃碎片</v>
      </c>
      <c r="BN66" s="14" t="str">
        <f t="shared" si="22"/>
        <v>张郃碎片</v>
      </c>
      <c r="BO66" s="14">
        <f t="shared" si="23"/>
        <v>2</v>
      </c>
      <c r="BP66" s="14">
        <f t="shared" si="24"/>
        <v>2</v>
      </c>
      <c r="BQ66" s="14">
        <v>10000</v>
      </c>
    </row>
    <row r="67" spans="35:69" ht="16.5" x14ac:dyDescent="0.2">
      <c r="AI67" s="96">
        <v>63</v>
      </c>
      <c r="AJ67" s="14">
        <f t="shared" si="0"/>
        <v>10</v>
      </c>
      <c r="AK67" s="14">
        <f t="shared" si="1"/>
        <v>201603</v>
      </c>
      <c r="AL67" s="14">
        <f t="shared" si="2"/>
        <v>2016</v>
      </c>
      <c r="AM67" s="96" t="s">
        <v>886</v>
      </c>
      <c r="AN67" s="14">
        <f t="shared" si="3"/>
        <v>3</v>
      </c>
      <c r="AO67" s="14">
        <f t="shared" si="27"/>
        <v>201604</v>
      </c>
      <c r="AP67" s="14" t="str">
        <f t="shared" si="5"/>
        <v>西方龙传记-3</v>
      </c>
      <c r="AQ67" s="14" t="str">
        <f t="shared" si="6"/>
        <v>西方龙传记-3</v>
      </c>
      <c r="AR67" s="14">
        <f t="shared" si="7"/>
        <v>55</v>
      </c>
      <c r="AS67" s="14" t="str">
        <f t="shared" si="8"/>
        <v/>
      </c>
      <c r="AT67" s="98">
        <v>3</v>
      </c>
      <c r="AU67" s="99" t="s">
        <v>890</v>
      </c>
      <c r="AV67" s="14" t="str">
        <f t="shared" si="9"/>
        <v>KP_KM_1102016</v>
      </c>
      <c r="AW67" s="14">
        <f t="shared" si="10"/>
        <v>1102016</v>
      </c>
      <c r="AX67" s="14" t="str">
        <f t="shared" si="11"/>
        <v>西方龙传记3-1</v>
      </c>
      <c r="AY67" s="14" t="str">
        <f t="shared" si="12"/>
        <v/>
      </c>
      <c r="AZ67" s="14" t="str">
        <f t="shared" si="13"/>
        <v>西方龙碎片</v>
      </c>
      <c r="BA67" s="14" t="str">
        <f t="shared" si="14"/>
        <v>1~2</v>
      </c>
      <c r="BB67" s="14" t="str">
        <f t="shared" si="15"/>
        <v/>
      </c>
      <c r="BC67" s="14" t="str">
        <f t="shared" si="16"/>
        <v/>
      </c>
      <c r="BD67" s="96"/>
      <c r="BG67" s="97">
        <v>63</v>
      </c>
      <c r="BH67" s="14">
        <f t="shared" si="17"/>
        <v>8</v>
      </c>
      <c r="BI67" s="14">
        <f t="shared" si="18"/>
        <v>1</v>
      </c>
      <c r="BJ67" s="14">
        <f t="shared" si="19"/>
        <v>3063</v>
      </c>
      <c r="BK67" s="14" t="str">
        <f t="shared" si="20"/>
        <v>张飞传记1-1</v>
      </c>
      <c r="BM67" s="14" t="str">
        <f t="shared" si="21"/>
        <v>张飞传记1-1 张飞碎片</v>
      </c>
      <c r="BN67" s="14" t="str">
        <f t="shared" si="22"/>
        <v>张飞碎片</v>
      </c>
      <c r="BO67" s="14">
        <f t="shared" si="23"/>
        <v>1</v>
      </c>
      <c r="BP67" s="14">
        <f t="shared" si="24"/>
        <v>1</v>
      </c>
      <c r="BQ67" s="14">
        <v>10000</v>
      </c>
    </row>
    <row r="68" spans="35:69" ht="16.5" x14ac:dyDescent="0.2">
      <c r="AI68" s="96">
        <v>64</v>
      </c>
      <c r="AJ68" s="14">
        <f t="shared" si="0"/>
        <v>10</v>
      </c>
      <c r="AK68" s="14">
        <f t="shared" si="1"/>
        <v>201604</v>
      </c>
      <c r="AL68" s="14">
        <f t="shared" si="2"/>
        <v>2016</v>
      </c>
      <c r="AM68" s="96" t="s">
        <v>886</v>
      </c>
      <c r="AN68" s="14">
        <f t="shared" si="3"/>
        <v>4</v>
      </c>
      <c r="AO68" s="14">
        <f t="shared" si="27"/>
        <v>201605</v>
      </c>
      <c r="AP68" s="14" t="str">
        <f t="shared" si="5"/>
        <v>西方龙传记-4</v>
      </c>
      <c r="AQ68" s="14" t="str">
        <f t="shared" si="6"/>
        <v>西方龙传记-4</v>
      </c>
      <c r="AR68" s="14">
        <f t="shared" si="7"/>
        <v>70</v>
      </c>
      <c r="AS68" s="14" t="str">
        <f t="shared" si="8"/>
        <v/>
      </c>
      <c r="AT68" s="98">
        <v>3</v>
      </c>
      <c r="AU68" s="99" t="s">
        <v>890</v>
      </c>
      <c r="AV68" s="14" t="str">
        <f t="shared" si="9"/>
        <v>KP_KM_1102016</v>
      </c>
      <c r="AW68" s="14">
        <f t="shared" si="10"/>
        <v>1102016</v>
      </c>
      <c r="AX68" s="14" t="str">
        <f t="shared" si="11"/>
        <v>西方龙传记4-1</v>
      </c>
      <c r="AY68" s="14" t="str">
        <f t="shared" si="12"/>
        <v/>
      </c>
      <c r="AZ68" s="14" t="str">
        <f t="shared" si="13"/>
        <v>西方龙专属武器碎片</v>
      </c>
      <c r="BA68" s="14">
        <f t="shared" si="14"/>
        <v>1</v>
      </c>
      <c r="BB68" s="14" t="str">
        <f t="shared" si="15"/>
        <v/>
      </c>
      <c r="BC68" s="14" t="str">
        <f t="shared" si="16"/>
        <v/>
      </c>
      <c r="BD68" s="96"/>
      <c r="BG68" s="97">
        <v>64</v>
      </c>
      <c r="BH68" s="14">
        <f t="shared" si="17"/>
        <v>8</v>
      </c>
      <c r="BI68" s="14">
        <f t="shared" si="18"/>
        <v>2</v>
      </c>
      <c r="BJ68" s="14">
        <f t="shared" si="19"/>
        <v>3064</v>
      </c>
      <c r="BK68" s="14" t="str">
        <f t="shared" si="20"/>
        <v>张飞传记2-1</v>
      </c>
      <c r="BM68" s="14" t="str">
        <f t="shared" si="21"/>
        <v>张飞传记2-1 张飞碎片</v>
      </c>
      <c r="BN68" s="14" t="str">
        <f t="shared" si="22"/>
        <v>张飞碎片</v>
      </c>
      <c r="BO68" s="14">
        <f t="shared" si="23"/>
        <v>1</v>
      </c>
      <c r="BP68" s="14">
        <f t="shared" si="24"/>
        <v>1</v>
      </c>
      <c r="BQ68" s="14">
        <v>10000</v>
      </c>
    </row>
    <row r="69" spans="35:69" ht="16.5" x14ac:dyDescent="0.2">
      <c r="AI69" s="96">
        <v>65</v>
      </c>
      <c r="AJ69" s="14">
        <f t="shared" si="0"/>
        <v>10</v>
      </c>
      <c r="AK69" s="14">
        <f t="shared" si="1"/>
        <v>201605</v>
      </c>
      <c r="AL69" s="14">
        <f t="shared" si="2"/>
        <v>2016</v>
      </c>
      <c r="AM69" s="96" t="s">
        <v>886</v>
      </c>
      <c r="AN69" s="14">
        <f t="shared" si="3"/>
        <v>5</v>
      </c>
      <c r="AO69" s="14">
        <f t="shared" si="27"/>
        <v>201606</v>
      </c>
      <c r="AP69" s="14" t="str">
        <f t="shared" si="5"/>
        <v>西方龙传记-5</v>
      </c>
      <c r="AQ69" s="14" t="str">
        <f t="shared" si="6"/>
        <v>西方龙传记-5</v>
      </c>
      <c r="AR69" s="14">
        <f t="shared" si="7"/>
        <v>80</v>
      </c>
      <c r="AS69" s="14" t="str">
        <f t="shared" si="8"/>
        <v/>
      </c>
      <c r="AT69" s="98">
        <v>3</v>
      </c>
      <c r="AU69" s="99" t="s">
        <v>890</v>
      </c>
      <c r="AV69" s="14" t="str">
        <f t="shared" si="9"/>
        <v>KP_KM_1102016</v>
      </c>
      <c r="AW69" s="14">
        <f t="shared" si="10"/>
        <v>1102016</v>
      </c>
      <c r="AX69" s="14" t="str">
        <f t="shared" si="11"/>
        <v>西方龙传记5-1</v>
      </c>
      <c r="AY69" s="14" t="str">
        <f t="shared" si="12"/>
        <v>西方龙传记5-1</v>
      </c>
      <c r="AZ69" s="14" t="str">
        <f t="shared" si="13"/>
        <v>西方龙碎片</v>
      </c>
      <c r="BA69" s="14" t="str">
        <f t="shared" si="14"/>
        <v>1~2</v>
      </c>
      <c r="BB69" s="14" t="str">
        <f t="shared" si="15"/>
        <v>西方龙专属武器碎片</v>
      </c>
      <c r="BC69" s="14">
        <f t="shared" si="16"/>
        <v>1</v>
      </c>
      <c r="BD69" s="96"/>
      <c r="BG69" s="97">
        <v>65</v>
      </c>
      <c r="BH69" s="14">
        <f t="shared" si="17"/>
        <v>8</v>
      </c>
      <c r="BI69" s="14">
        <f t="shared" si="18"/>
        <v>3</v>
      </c>
      <c r="BJ69" s="14">
        <f t="shared" si="19"/>
        <v>3065</v>
      </c>
      <c r="BK69" s="14" t="str">
        <f t="shared" si="20"/>
        <v>张飞传记3-1</v>
      </c>
      <c r="BM69" s="14" t="str">
        <f t="shared" si="21"/>
        <v>张飞传记3-1 张飞碎片</v>
      </c>
      <c r="BN69" s="14" t="str">
        <f t="shared" si="22"/>
        <v>张飞碎片</v>
      </c>
      <c r="BO69" s="14">
        <f t="shared" si="23"/>
        <v>1</v>
      </c>
      <c r="BP69" s="14">
        <f t="shared" si="24"/>
        <v>2</v>
      </c>
      <c r="BQ69" s="14">
        <v>10000</v>
      </c>
    </row>
    <row r="70" spans="35:69" ht="16.5" x14ac:dyDescent="0.2">
      <c r="AI70" s="96">
        <v>66</v>
      </c>
      <c r="AJ70" s="14">
        <f t="shared" ref="AJ70:AJ110" si="28">MATCH(AI70-1,$H$5:$H$22,1)</f>
        <v>10</v>
      </c>
      <c r="AK70" s="14">
        <f t="shared" ref="AK70:AK110" si="29">AL70*100+AN70</f>
        <v>201606</v>
      </c>
      <c r="AL70" s="14">
        <f t="shared" ref="AL70:AL110" si="30">INDEX($E$6:$E$22,AJ70)</f>
        <v>2016</v>
      </c>
      <c r="AM70" s="96" t="s">
        <v>886</v>
      </c>
      <c r="AN70" s="14">
        <f t="shared" ref="AN70:AN110" si="31">AI70-INDEX($H$5:$H$22,AJ70)</f>
        <v>6</v>
      </c>
      <c r="AO70" s="14">
        <f t="shared" si="27"/>
        <v>201607</v>
      </c>
      <c r="AP70" s="14" t="str">
        <f t="shared" ref="AP70:AP110" si="32">INDEX($F$6:$F$22,AJ70)&amp;"-"&amp;AN70</f>
        <v>西方龙传记-6</v>
      </c>
      <c r="AQ70" s="14" t="str">
        <f t="shared" ref="AQ70:AQ110" si="33">AP70</f>
        <v>西方龙传记-6</v>
      </c>
      <c r="AR70" s="14">
        <f t="shared" ref="AR70:AR110" si="34">INDEX($N$6:$N$13,AN70)</f>
        <v>90</v>
      </c>
      <c r="AS70" s="14">
        <f t="shared" ref="AS70:AS110" si="35">IF(INDEX($O$6:$O$13,AN70)&gt;0,INDEX($O$6:$O$13,AN70),"")</f>
        <v>2</v>
      </c>
      <c r="AT70" s="98">
        <v>3</v>
      </c>
      <c r="AU70" s="99" t="s">
        <v>890</v>
      </c>
      <c r="AV70" s="14" t="str">
        <f t="shared" ref="AV70:AV110" si="36">"KP_KM_"&amp;INDEX($A$6:$A$22,AJ70)</f>
        <v>KP_KM_1102016</v>
      </c>
      <c r="AW70" s="14">
        <f t="shared" ref="AW70:AW110" si="37">INDEX($A$6:$A$22,AJ70)</f>
        <v>1102016</v>
      </c>
      <c r="AX70" s="14" t="str">
        <f t="shared" ref="AX70:AX110" si="38">INDEX($F$6:$F$22,AJ70)&amp;AN70&amp;"-1"</f>
        <v>西方龙传记6-1</v>
      </c>
      <c r="AY70" s="14" t="str">
        <f t="shared" ref="AY70:AY110" si="39">IF(INDEX($P$6:$P$13,AN70)&gt;=2,INDEX($F$6:$F$22,AJ70)&amp;AN70&amp;"-1","")</f>
        <v>西方龙传记6-1</v>
      </c>
      <c r="AZ70" s="14" t="str">
        <f t="shared" ref="AZ70:AZ110" si="40">INDEX($B$6:$B$22,AJ70)&amp;INDEX($Q$6:$Q$13,AN70)</f>
        <v>西方龙碎片</v>
      </c>
      <c r="BA70" s="14" t="str">
        <f t="shared" ref="BA70:BA110" si="41">IF(INDEX($R$6:$R$13,AN70)&lt;&gt;INDEX($S$6:$S$13,AN70),INDEX($R$6:$R$13,AN70)&amp;"~"&amp;INDEX($S$6:$S$13,AN70),INDEX($R$6:$R$13,AN70))</f>
        <v>1~2</v>
      </c>
      <c r="BB70" s="14" t="str">
        <f t="shared" ref="BB70:BB110" si="42">IF(INDEX($P$6:$P$13,AN70)&gt;1,INDEX($B$6:$B$22,AJ70)&amp;INDEX($T$6:$T$13,AN70),"")</f>
        <v>西方龙专属武器碎片</v>
      </c>
      <c r="BC70" s="14">
        <f t="shared" ref="BC70:BC110" si="43">IF(INDEX($P$6:$P$13,AN70)&gt;1,IF(INDEX($U$6:$U$13,AN70)&lt;&gt;INDEX($V$6:$V$13,AN70),INDEX($U$6:$U$13,AN70)&amp;"~"&amp;INDEX($V$6:$V$13,AN70),INDEX($U$6:$U$13,AN70)),"")</f>
        <v>1</v>
      </c>
      <c r="BD70" s="96"/>
      <c r="BG70" s="97">
        <v>66</v>
      </c>
      <c r="BH70" s="14">
        <f t="shared" ref="BH70:BH133" si="44">MATCH(BG70-1,$J$5:$J$22,1)</f>
        <v>8</v>
      </c>
      <c r="BI70" s="14">
        <f t="shared" ref="BI70:BI110" si="45">BG70-INDEX($J$5:$J$21,BH70)</f>
        <v>4</v>
      </c>
      <c r="BJ70" s="14">
        <f t="shared" ref="BJ70:BJ110" si="46">3000+BG70</f>
        <v>3066</v>
      </c>
      <c r="BK70" s="14" t="str">
        <f t="shared" ref="BK70:BK110" si="47">INDEX($F$6:$F$22,BH70)&amp;INDEX($AA$5:$AA$15,BI70)</f>
        <v>张飞传记4-1</v>
      </c>
      <c r="BM70" s="14" t="str">
        <f t="shared" ref="BM70:BM133" si="48">BK70&amp;" "&amp;BN70</f>
        <v>张飞传记4-1 张飞专属武器碎片</v>
      </c>
      <c r="BN70" s="14" t="str">
        <f t="shared" ref="BN70:BN133" si="49">INDEX($B$6:$B$22,BH70)&amp;INDEX($AB$5:$AB$15,BI70)</f>
        <v>张飞专属武器碎片</v>
      </c>
      <c r="BO70" s="14">
        <f t="shared" ref="BO70:BO133" si="50">INDEX(AC$5:AC$15,$BI70)</f>
        <v>1</v>
      </c>
      <c r="BP70" s="14">
        <f t="shared" ref="BP70:BP133" si="51">INDEX(AD$5:AD$15,$BI70)</f>
        <v>1</v>
      </c>
      <c r="BQ70" s="14">
        <v>10000</v>
      </c>
    </row>
    <row r="71" spans="35:69" ht="16.5" x14ac:dyDescent="0.2">
      <c r="AI71" s="96">
        <v>67</v>
      </c>
      <c r="AJ71" s="14">
        <f t="shared" si="28"/>
        <v>10</v>
      </c>
      <c r="AK71" s="14">
        <f t="shared" si="29"/>
        <v>201607</v>
      </c>
      <c r="AL71" s="14">
        <f t="shared" si="30"/>
        <v>2016</v>
      </c>
      <c r="AM71" s="96" t="s">
        <v>886</v>
      </c>
      <c r="AN71" s="14">
        <f t="shared" si="31"/>
        <v>7</v>
      </c>
      <c r="AO71" s="14">
        <f t="shared" si="27"/>
        <v>201608</v>
      </c>
      <c r="AP71" s="14" t="str">
        <f t="shared" si="32"/>
        <v>西方龙传记-7</v>
      </c>
      <c r="AQ71" s="14" t="str">
        <f t="shared" si="33"/>
        <v>西方龙传记-7</v>
      </c>
      <c r="AR71" s="14">
        <f t="shared" si="34"/>
        <v>100</v>
      </c>
      <c r="AS71" s="14">
        <f t="shared" si="35"/>
        <v>2</v>
      </c>
      <c r="AT71" s="98">
        <v>3</v>
      </c>
      <c r="AU71" s="99" t="s">
        <v>890</v>
      </c>
      <c r="AV71" s="14" t="str">
        <f t="shared" si="36"/>
        <v>KP_KM_1102016</v>
      </c>
      <c r="AW71" s="14">
        <f t="shared" si="37"/>
        <v>1102016</v>
      </c>
      <c r="AX71" s="14" t="str">
        <f t="shared" si="38"/>
        <v>西方龙传记7-1</v>
      </c>
      <c r="AY71" s="14" t="str">
        <f t="shared" si="39"/>
        <v>西方龙传记7-1</v>
      </c>
      <c r="AZ71" s="14" t="str">
        <f t="shared" si="40"/>
        <v>西方龙碎片</v>
      </c>
      <c r="BA71" s="14" t="str">
        <f t="shared" si="41"/>
        <v>1~2</v>
      </c>
      <c r="BB71" s="14" t="str">
        <f t="shared" si="42"/>
        <v>西方龙专属武器碎片</v>
      </c>
      <c r="BC71" s="14">
        <f t="shared" si="43"/>
        <v>1</v>
      </c>
      <c r="BD71" s="96"/>
      <c r="BG71" s="97">
        <v>67</v>
      </c>
      <c r="BH71" s="14">
        <f t="shared" si="44"/>
        <v>8</v>
      </c>
      <c r="BI71" s="14">
        <f t="shared" si="45"/>
        <v>5</v>
      </c>
      <c r="BJ71" s="14">
        <f t="shared" si="46"/>
        <v>3067</v>
      </c>
      <c r="BK71" s="14" t="str">
        <f t="shared" si="47"/>
        <v>张飞传记5-1</v>
      </c>
      <c r="BM71" s="14" t="str">
        <f t="shared" si="48"/>
        <v>张飞传记5-1 张飞碎片</v>
      </c>
      <c r="BN71" s="14" t="str">
        <f t="shared" si="49"/>
        <v>张飞碎片</v>
      </c>
      <c r="BO71" s="14">
        <f t="shared" si="50"/>
        <v>1</v>
      </c>
      <c r="BP71" s="14">
        <f t="shared" si="51"/>
        <v>2</v>
      </c>
      <c r="BQ71" s="14">
        <v>10000</v>
      </c>
    </row>
    <row r="72" spans="35:69" ht="16.5" x14ac:dyDescent="0.2">
      <c r="AI72" s="96">
        <v>68</v>
      </c>
      <c r="AJ72" s="14">
        <f t="shared" si="28"/>
        <v>10</v>
      </c>
      <c r="AK72" s="14">
        <f t="shared" si="29"/>
        <v>201608</v>
      </c>
      <c r="AL72" s="14">
        <f t="shared" si="30"/>
        <v>2016</v>
      </c>
      <c r="AM72" s="96" t="s">
        <v>886</v>
      </c>
      <c r="AN72" s="14">
        <f t="shared" si="31"/>
        <v>8</v>
      </c>
      <c r="AO72" s="14">
        <f t="shared" si="27"/>
        <v>-1</v>
      </c>
      <c r="AP72" s="14" t="str">
        <f t="shared" si="32"/>
        <v>西方龙传记-8</v>
      </c>
      <c r="AQ72" s="14" t="str">
        <f t="shared" si="33"/>
        <v>西方龙传记-8</v>
      </c>
      <c r="AR72" s="14">
        <f t="shared" si="34"/>
        <v>120</v>
      </c>
      <c r="AS72" s="14">
        <f t="shared" si="35"/>
        <v>2</v>
      </c>
      <c r="AT72" s="98">
        <v>3</v>
      </c>
      <c r="AU72" s="99" t="s">
        <v>890</v>
      </c>
      <c r="AV72" s="14" t="str">
        <f t="shared" si="36"/>
        <v>KP_KM_1102016</v>
      </c>
      <c r="AW72" s="14">
        <f t="shared" si="37"/>
        <v>1102016</v>
      </c>
      <c r="AX72" s="14" t="str">
        <f t="shared" si="38"/>
        <v>西方龙传记8-1</v>
      </c>
      <c r="AY72" s="14" t="str">
        <f t="shared" si="39"/>
        <v/>
      </c>
      <c r="AZ72" s="14" t="str">
        <f t="shared" si="40"/>
        <v>西方龙碎片</v>
      </c>
      <c r="BA72" s="14">
        <f t="shared" si="41"/>
        <v>2</v>
      </c>
      <c r="BB72" s="14" t="str">
        <f t="shared" si="42"/>
        <v/>
      </c>
      <c r="BC72" s="14" t="str">
        <f t="shared" si="43"/>
        <v/>
      </c>
      <c r="BD72" s="96"/>
      <c r="BG72" s="97">
        <v>68</v>
      </c>
      <c r="BH72" s="14">
        <f t="shared" si="44"/>
        <v>8</v>
      </c>
      <c r="BI72" s="14">
        <f t="shared" si="45"/>
        <v>6</v>
      </c>
      <c r="BJ72" s="14">
        <f t="shared" si="46"/>
        <v>3068</v>
      </c>
      <c r="BK72" s="14" t="str">
        <f t="shared" si="47"/>
        <v>张飞传记5-2</v>
      </c>
      <c r="BM72" s="14" t="str">
        <f t="shared" si="48"/>
        <v>张飞传记5-2 张飞专属武器碎片</v>
      </c>
      <c r="BN72" s="14" t="str">
        <f t="shared" si="49"/>
        <v>张飞专属武器碎片</v>
      </c>
      <c r="BO72" s="14">
        <f t="shared" si="50"/>
        <v>1</v>
      </c>
      <c r="BP72" s="14">
        <f t="shared" si="51"/>
        <v>1</v>
      </c>
      <c r="BQ72" s="14">
        <v>10000</v>
      </c>
    </row>
    <row r="73" spans="35:69" ht="16.5" x14ac:dyDescent="0.2">
      <c r="AI73" s="96">
        <v>69</v>
      </c>
      <c r="AJ73" s="14">
        <f t="shared" si="28"/>
        <v>11</v>
      </c>
      <c r="AK73" s="14">
        <f t="shared" si="29"/>
        <v>201701</v>
      </c>
      <c r="AL73" s="14">
        <f t="shared" si="30"/>
        <v>2017</v>
      </c>
      <c r="AM73" s="96" t="s">
        <v>886</v>
      </c>
      <c r="AN73" s="14">
        <f t="shared" si="31"/>
        <v>1</v>
      </c>
      <c r="AO73" s="14">
        <f t="shared" si="27"/>
        <v>201702</v>
      </c>
      <c r="AP73" s="14" t="str">
        <f t="shared" si="32"/>
        <v>飞廉传记-1</v>
      </c>
      <c r="AQ73" s="14" t="str">
        <f t="shared" si="33"/>
        <v>飞廉传记-1</v>
      </c>
      <c r="AR73" s="14">
        <f t="shared" si="34"/>
        <v>30</v>
      </c>
      <c r="AS73" s="14" t="str">
        <f t="shared" si="35"/>
        <v/>
      </c>
      <c r="AT73" s="98">
        <v>3</v>
      </c>
      <c r="AU73" s="99" t="s">
        <v>890</v>
      </c>
      <c r="AV73" s="14" t="str">
        <f t="shared" si="36"/>
        <v>KP_KM_1102017</v>
      </c>
      <c r="AW73" s="14">
        <f t="shared" si="37"/>
        <v>1102017</v>
      </c>
      <c r="AX73" s="14" t="str">
        <f t="shared" si="38"/>
        <v>飞廉传记1-1</v>
      </c>
      <c r="AY73" s="14" t="str">
        <f t="shared" si="39"/>
        <v/>
      </c>
      <c r="AZ73" s="14" t="str">
        <f t="shared" si="40"/>
        <v>飞廉碎片</v>
      </c>
      <c r="BA73" s="14">
        <f t="shared" si="41"/>
        <v>1</v>
      </c>
      <c r="BB73" s="14" t="str">
        <f t="shared" si="42"/>
        <v/>
      </c>
      <c r="BC73" s="14" t="str">
        <f t="shared" si="43"/>
        <v/>
      </c>
      <c r="BD73" s="96"/>
      <c r="BG73" s="97">
        <v>69</v>
      </c>
      <c r="BH73" s="14">
        <f t="shared" si="44"/>
        <v>8</v>
      </c>
      <c r="BI73" s="14">
        <f t="shared" si="45"/>
        <v>7</v>
      </c>
      <c r="BJ73" s="14">
        <f t="shared" si="46"/>
        <v>3069</v>
      </c>
      <c r="BK73" s="14" t="str">
        <f t="shared" si="47"/>
        <v>张飞传记6-1</v>
      </c>
      <c r="BM73" s="14" t="str">
        <f t="shared" si="48"/>
        <v>张飞传记6-1 张飞碎片</v>
      </c>
      <c r="BN73" s="14" t="str">
        <f t="shared" si="49"/>
        <v>张飞碎片</v>
      </c>
      <c r="BO73" s="14">
        <f t="shared" si="50"/>
        <v>1</v>
      </c>
      <c r="BP73" s="14">
        <f t="shared" si="51"/>
        <v>2</v>
      </c>
      <c r="BQ73" s="14">
        <v>10000</v>
      </c>
    </row>
    <row r="74" spans="35:69" ht="16.5" x14ac:dyDescent="0.2">
      <c r="AI74" s="96">
        <v>70</v>
      </c>
      <c r="AJ74" s="14">
        <f t="shared" si="28"/>
        <v>11</v>
      </c>
      <c r="AK74" s="14">
        <f t="shared" si="29"/>
        <v>201702</v>
      </c>
      <c r="AL74" s="14">
        <f t="shared" si="30"/>
        <v>2017</v>
      </c>
      <c r="AM74" s="96" t="s">
        <v>886</v>
      </c>
      <c r="AN74" s="14">
        <f t="shared" si="31"/>
        <v>2</v>
      </c>
      <c r="AO74" s="14">
        <f t="shared" si="27"/>
        <v>201703</v>
      </c>
      <c r="AP74" s="14" t="str">
        <f t="shared" si="32"/>
        <v>飞廉传记-2</v>
      </c>
      <c r="AQ74" s="14" t="str">
        <f t="shared" si="33"/>
        <v>飞廉传记-2</v>
      </c>
      <c r="AR74" s="14">
        <f t="shared" si="34"/>
        <v>40</v>
      </c>
      <c r="AS74" s="14" t="str">
        <f t="shared" si="35"/>
        <v/>
      </c>
      <c r="AT74" s="98">
        <v>3</v>
      </c>
      <c r="AU74" s="99" t="s">
        <v>890</v>
      </c>
      <c r="AV74" s="14" t="str">
        <f t="shared" si="36"/>
        <v>KP_KM_1102017</v>
      </c>
      <c r="AW74" s="14">
        <f t="shared" si="37"/>
        <v>1102017</v>
      </c>
      <c r="AX74" s="14" t="str">
        <f t="shared" si="38"/>
        <v>飞廉传记2-1</v>
      </c>
      <c r="AY74" s="14" t="str">
        <f t="shared" si="39"/>
        <v/>
      </c>
      <c r="AZ74" s="14" t="str">
        <f t="shared" si="40"/>
        <v>飞廉碎片</v>
      </c>
      <c r="BA74" s="14">
        <f t="shared" si="41"/>
        <v>1</v>
      </c>
      <c r="BB74" s="14" t="str">
        <f t="shared" si="42"/>
        <v/>
      </c>
      <c r="BC74" s="14" t="str">
        <f t="shared" si="43"/>
        <v/>
      </c>
      <c r="BD74" s="96"/>
      <c r="BG74" s="97">
        <v>70</v>
      </c>
      <c r="BH74" s="14">
        <f t="shared" si="44"/>
        <v>8</v>
      </c>
      <c r="BI74" s="14">
        <f t="shared" si="45"/>
        <v>8</v>
      </c>
      <c r="BJ74" s="14">
        <f t="shared" si="46"/>
        <v>3070</v>
      </c>
      <c r="BK74" s="14" t="str">
        <f t="shared" si="47"/>
        <v>张飞传记6-2</v>
      </c>
      <c r="BM74" s="14" t="str">
        <f t="shared" si="48"/>
        <v>张飞传记6-2 张飞专属武器碎片</v>
      </c>
      <c r="BN74" s="14" t="str">
        <f t="shared" si="49"/>
        <v>张飞专属武器碎片</v>
      </c>
      <c r="BO74" s="14">
        <f t="shared" si="50"/>
        <v>1</v>
      </c>
      <c r="BP74" s="14">
        <f t="shared" si="51"/>
        <v>1</v>
      </c>
      <c r="BQ74" s="14">
        <v>10000</v>
      </c>
    </row>
    <row r="75" spans="35:69" ht="16.5" x14ac:dyDescent="0.2">
      <c r="AI75" s="96">
        <v>71</v>
      </c>
      <c r="AJ75" s="14">
        <f t="shared" si="28"/>
        <v>11</v>
      </c>
      <c r="AK75" s="14">
        <f t="shared" si="29"/>
        <v>201703</v>
      </c>
      <c r="AL75" s="14">
        <f t="shared" si="30"/>
        <v>2017</v>
      </c>
      <c r="AM75" s="96" t="s">
        <v>886</v>
      </c>
      <c r="AN75" s="14">
        <f t="shared" si="31"/>
        <v>3</v>
      </c>
      <c r="AO75" s="14">
        <f t="shared" ref="AO75:AO110" si="52">IF(AJ76=AJ75,AK76,-1)</f>
        <v>201704</v>
      </c>
      <c r="AP75" s="14" t="str">
        <f t="shared" si="32"/>
        <v>飞廉传记-3</v>
      </c>
      <c r="AQ75" s="14" t="str">
        <f t="shared" si="33"/>
        <v>飞廉传记-3</v>
      </c>
      <c r="AR75" s="14">
        <f t="shared" si="34"/>
        <v>55</v>
      </c>
      <c r="AS75" s="14" t="str">
        <f t="shared" si="35"/>
        <v/>
      </c>
      <c r="AT75" s="98">
        <v>3</v>
      </c>
      <c r="AU75" s="99" t="s">
        <v>890</v>
      </c>
      <c r="AV75" s="14" t="str">
        <f t="shared" si="36"/>
        <v>KP_KM_1102017</v>
      </c>
      <c r="AW75" s="14">
        <f t="shared" si="37"/>
        <v>1102017</v>
      </c>
      <c r="AX75" s="14" t="str">
        <f t="shared" si="38"/>
        <v>飞廉传记3-1</v>
      </c>
      <c r="AY75" s="14" t="str">
        <f t="shared" si="39"/>
        <v/>
      </c>
      <c r="AZ75" s="14" t="str">
        <f t="shared" si="40"/>
        <v>飞廉碎片</v>
      </c>
      <c r="BA75" s="14" t="str">
        <f t="shared" si="41"/>
        <v>1~2</v>
      </c>
      <c r="BB75" s="14" t="str">
        <f t="shared" si="42"/>
        <v/>
      </c>
      <c r="BC75" s="14" t="str">
        <f t="shared" si="43"/>
        <v/>
      </c>
      <c r="BD75" s="96"/>
      <c r="BG75" s="97">
        <v>71</v>
      </c>
      <c r="BH75" s="14">
        <f t="shared" si="44"/>
        <v>8</v>
      </c>
      <c r="BI75" s="14">
        <f t="shared" si="45"/>
        <v>9</v>
      </c>
      <c r="BJ75" s="14">
        <f t="shared" si="46"/>
        <v>3071</v>
      </c>
      <c r="BK75" s="14" t="str">
        <f t="shared" si="47"/>
        <v>张飞传记7-1</v>
      </c>
      <c r="BM75" s="14" t="str">
        <f t="shared" si="48"/>
        <v>张飞传记7-1 张飞碎片</v>
      </c>
      <c r="BN75" s="14" t="str">
        <f t="shared" si="49"/>
        <v>张飞碎片</v>
      </c>
      <c r="BO75" s="14">
        <f t="shared" si="50"/>
        <v>1</v>
      </c>
      <c r="BP75" s="14">
        <f t="shared" si="51"/>
        <v>2</v>
      </c>
      <c r="BQ75" s="14">
        <v>10000</v>
      </c>
    </row>
    <row r="76" spans="35:69" ht="16.5" x14ac:dyDescent="0.2">
      <c r="AI76" s="96">
        <v>72</v>
      </c>
      <c r="AJ76" s="14">
        <f t="shared" si="28"/>
        <v>11</v>
      </c>
      <c r="AK76" s="14">
        <f t="shared" si="29"/>
        <v>201704</v>
      </c>
      <c r="AL76" s="14">
        <f t="shared" si="30"/>
        <v>2017</v>
      </c>
      <c r="AM76" s="96" t="s">
        <v>886</v>
      </c>
      <c r="AN76" s="14">
        <f t="shared" si="31"/>
        <v>4</v>
      </c>
      <c r="AO76" s="14">
        <f t="shared" si="52"/>
        <v>201705</v>
      </c>
      <c r="AP76" s="14" t="str">
        <f t="shared" si="32"/>
        <v>飞廉传记-4</v>
      </c>
      <c r="AQ76" s="14" t="str">
        <f t="shared" si="33"/>
        <v>飞廉传记-4</v>
      </c>
      <c r="AR76" s="14">
        <f t="shared" si="34"/>
        <v>70</v>
      </c>
      <c r="AS76" s="14" t="str">
        <f t="shared" si="35"/>
        <v/>
      </c>
      <c r="AT76" s="98">
        <v>3</v>
      </c>
      <c r="AU76" s="99" t="s">
        <v>890</v>
      </c>
      <c r="AV76" s="14" t="str">
        <f t="shared" si="36"/>
        <v>KP_KM_1102017</v>
      </c>
      <c r="AW76" s="14">
        <f t="shared" si="37"/>
        <v>1102017</v>
      </c>
      <c r="AX76" s="14" t="str">
        <f t="shared" si="38"/>
        <v>飞廉传记4-1</v>
      </c>
      <c r="AY76" s="14" t="str">
        <f t="shared" si="39"/>
        <v/>
      </c>
      <c r="AZ76" s="14" t="str">
        <f t="shared" si="40"/>
        <v>飞廉专属武器碎片</v>
      </c>
      <c r="BA76" s="14">
        <f t="shared" si="41"/>
        <v>1</v>
      </c>
      <c r="BB76" s="14" t="str">
        <f t="shared" si="42"/>
        <v/>
      </c>
      <c r="BC76" s="14" t="str">
        <f t="shared" si="43"/>
        <v/>
      </c>
      <c r="BD76" s="96"/>
      <c r="BG76" s="97">
        <v>72</v>
      </c>
      <c r="BH76" s="14">
        <f t="shared" si="44"/>
        <v>8</v>
      </c>
      <c r="BI76" s="14">
        <f t="shared" si="45"/>
        <v>10</v>
      </c>
      <c r="BJ76" s="14">
        <f t="shared" si="46"/>
        <v>3072</v>
      </c>
      <c r="BK76" s="14" t="str">
        <f t="shared" si="47"/>
        <v>张飞传记7-2</v>
      </c>
      <c r="BM76" s="14" t="str">
        <f t="shared" si="48"/>
        <v>张飞传记7-2 张飞专属武器碎片</v>
      </c>
      <c r="BN76" s="14" t="str">
        <f t="shared" si="49"/>
        <v>张飞专属武器碎片</v>
      </c>
      <c r="BO76" s="14">
        <f t="shared" si="50"/>
        <v>1</v>
      </c>
      <c r="BP76" s="14">
        <f t="shared" si="51"/>
        <v>1</v>
      </c>
      <c r="BQ76" s="14">
        <v>10000</v>
      </c>
    </row>
    <row r="77" spans="35:69" ht="16.5" x14ac:dyDescent="0.2">
      <c r="AI77" s="96">
        <v>73</v>
      </c>
      <c r="AJ77" s="14">
        <f t="shared" si="28"/>
        <v>11</v>
      </c>
      <c r="AK77" s="14">
        <f t="shared" si="29"/>
        <v>201705</v>
      </c>
      <c r="AL77" s="14">
        <f t="shared" si="30"/>
        <v>2017</v>
      </c>
      <c r="AM77" s="96" t="s">
        <v>886</v>
      </c>
      <c r="AN77" s="14">
        <f t="shared" si="31"/>
        <v>5</v>
      </c>
      <c r="AO77" s="14">
        <f t="shared" si="52"/>
        <v>-1</v>
      </c>
      <c r="AP77" s="14" t="str">
        <f t="shared" si="32"/>
        <v>飞廉传记-5</v>
      </c>
      <c r="AQ77" s="14" t="str">
        <f t="shared" si="33"/>
        <v>飞廉传记-5</v>
      </c>
      <c r="AR77" s="14">
        <f t="shared" si="34"/>
        <v>80</v>
      </c>
      <c r="AS77" s="14" t="str">
        <f t="shared" si="35"/>
        <v/>
      </c>
      <c r="AT77" s="98">
        <v>3</v>
      </c>
      <c r="AU77" s="99" t="s">
        <v>890</v>
      </c>
      <c r="AV77" s="14" t="str">
        <f t="shared" si="36"/>
        <v>KP_KM_1102017</v>
      </c>
      <c r="AW77" s="14">
        <f t="shared" si="37"/>
        <v>1102017</v>
      </c>
      <c r="AX77" s="14" t="str">
        <f t="shared" si="38"/>
        <v>飞廉传记5-1</v>
      </c>
      <c r="AY77" s="14" t="str">
        <f t="shared" si="39"/>
        <v>飞廉传记5-1</v>
      </c>
      <c r="AZ77" s="14" t="str">
        <f t="shared" si="40"/>
        <v>飞廉碎片</v>
      </c>
      <c r="BA77" s="14" t="str">
        <f t="shared" si="41"/>
        <v>1~2</v>
      </c>
      <c r="BB77" s="14" t="str">
        <f t="shared" si="42"/>
        <v>飞廉专属武器碎片</v>
      </c>
      <c r="BC77" s="14">
        <f t="shared" si="43"/>
        <v>1</v>
      </c>
      <c r="BD77" s="96"/>
      <c r="BG77" s="97">
        <v>73</v>
      </c>
      <c r="BH77" s="14">
        <f t="shared" si="44"/>
        <v>8</v>
      </c>
      <c r="BI77" s="14">
        <f t="shared" si="45"/>
        <v>11</v>
      </c>
      <c r="BJ77" s="14">
        <f t="shared" si="46"/>
        <v>3073</v>
      </c>
      <c r="BK77" s="14" t="str">
        <f t="shared" si="47"/>
        <v>张飞传记8-1</v>
      </c>
      <c r="BM77" s="14" t="str">
        <f t="shared" si="48"/>
        <v>张飞传记8-1 张飞碎片</v>
      </c>
      <c r="BN77" s="14" t="str">
        <f t="shared" si="49"/>
        <v>张飞碎片</v>
      </c>
      <c r="BO77" s="14">
        <f t="shared" si="50"/>
        <v>2</v>
      </c>
      <c r="BP77" s="14">
        <f t="shared" si="51"/>
        <v>2</v>
      </c>
      <c r="BQ77" s="14">
        <v>10000</v>
      </c>
    </row>
    <row r="78" spans="35:69" ht="16.5" x14ac:dyDescent="0.2">
      <c r="AI78" s="96">
        <v>74</v>
      </c>
      <c r="AJ78" s="14">
        <f t="shared" si="28"/>
        <v>12</v>
      </c>
      <c r="AK78" s="14">
        <f t="shared" si="29"/>
        <v>202001</v>
      </c>
      <c r="AL78" s="14">
        <f t="shared" si="30"/>
        <v>2020</v>
      </c>
      <c r="AM78" s="96" t="s">
        <v>886</v>
      </c>
      <c r="AN78" s="14">
        <f t="shared" si="31"/>
        <v>1</v>
      </c>
      <c r="AO78" s="14">
        <f t="shared" si="52"/>
        <v>202002</v>
      </c>
      <c r="AP78" s="14" t="str">
        <f t="shared" si="32"/>
        <v>高顺传记-1</v>
      </c>
      <c r="AQ78" s="14" t="str">
        <f t="shared" si="33"/>
        <v>高顺传记-1</v>
      </c>
      <c r="AR78" s="14">
        <f t="shared" si="34"/>
        <v>30</v>
      </c>
      <c r="AS78" s="14" t="str">
        <f t="shared" si="35"/>
        <v/>
      </c>
      <c r="AT78" s="98">
        <v>3</v>
      </c>
      <c r="AU78" s="99" t="s">
        <v>890</v>
      </c>
      <c r="AV78" s="14" t="str">
        <f t="shared" si="36"/>
        <v>KP_KM_1102020</v>
      </c>
      <c r="AW78" s="14">
        <f t="shared" si="37"/>
        <v>1102020</v>
      </c>
      <c r="AX78" s="14" t="str">
        <f t="shared" si="38"/>
        <v>高顺传记1-1</v>
      </c>
      <c r="AY78" s="14" t="str">
        <f t="shared" si="39"/>
        <v/>
      </c>
      <c r="AZ78" s="14" t="str">
        <f t="shared" si="40"/>
        <v>高顺碎片</v>
      </c>
      <c r="BA78" s="14">
        <f t="shared" si="41"/>
        <v>1</v>
      </c>
      <c r="BB78" s="14" t="str">
        <f t="shared" si="42"/>
        <v/>
      </c>
      <c r="BC78" s="14" t="str">
        <f t="shared" si="43"/>
        <v/>
      </c>
      <c r="BD78" s="96"/>
      <c r="BG78" s="97">
        <v>74</v>
      </c>
      <c r="BH78" s="14">
        <f t="shared" si="44"/>
        <v>9</v>
      </c>
      <c r="BI78" s="14">
        <f t="shared" si="45"/>
        <v>1</v>
      </c>
      <c r="BJ78" s="14">
        <f t="shared" si="46"/>
        <v>3074</v>
      </c>
      <c r="BK78" s="14" t="str">
        <f t="shared" si="47"/>
        <v>石灵明传记1-1</v>
      </c>
      <c r="BM78" s="14" t="str">
        <f t="shared" si="48"/>
        <v>石灵明传记1-1 石灵明碎片</v>
      </c>
      <c r="BN78" s="14" t="str">
        <f t="shared" si="49"/>
        <v>石灵明碎片</v>
      </c>
      <c r="BO78" s="14">
        <f t="shared" si="50"/>
        <v>1</v>
      </c>
      <c r="BP78" s="14">
        <f t="shared" si="51"/>
        <v>1</v>
      </c>
      <c r="BQ78" s="14">
        <v>10000</v>
      </c>
    </row>
    <row r="79" spans="35:69" ht="16.5" x14ac:dyDescent="0.2">
      <c r="AI79" s="96">
        <v>75</v>
      </c>
      <c r="AJ79" s="14">
        <f t="shared" si="28"/>
        <v>12</v>
      </c>
      <c r="AK79" s="14">
        <f t="shared" si="29"/>
        <v>202002</v>
      </c>
      <c r="AL79" s="14">
        <f t="shared" si="30"/>
        <v>2020</v>
      </c>
      <c r="AM79" s="96" t="s">
        <v>886</v>
      </c>
      <c r="AN79" s="14">
        <f t="shared" si="31"/>
        <v>2</v>
      </c>
      <c r="AO79" s="14">
        <f t="shared" si="52"/>
        <v>202003</v>
      </c>
      <c r="AP79" s="14" t="str">
        <f t="shared" si="32"/>
        <v>高顺传记-2</v>
      </c>
      <c r="AQ79" s="14" t="str">
        <f t="shared" si="33"/>
        <v>高顺传记-2</v>
      </c>
      <c r="AR79" s="14">
        <f t="shared" si="34"/>
        <v>40</v>
      </c>
      <c r="AS79" s="14" t="str">
        <f t="shared" si="35"/>
        <v/>
      </c>
      <c r="AT79" s="98">
        <v>3</v>
      </c>
      <c r="AU79" s="99" t="s">
        <v>890</v>
      </c>
      <c r="AV79" s="14" t="str">
        <f t="shared" si="36"/>
        <v>KP_KM_1102020</v>
      </c>
      <c r="AW79" s="14">
        <f t="shared" si="37"/>
        <v>1102020</v>
      </c>
      <c r="AX79" s="14" t="str">
        <f t="shared" si="38"/>
        <v>高顺传记2-1</v>
      </c>
      <c r="AY79" s="14" t="str">
        <f t="shared" si="39"/>
        <v/>
      </c>
      <c r="AZ79" s="14" t="str">
        <f t="shared" si="40"/>
        <v>高顺碎片</v>
      </c>
      <c r="BA79" s="14">
        <f t="shared" si="41"/>
        <v>1</v>
      </c>
      <c r="BB79" s="14" t="str">
        <f t="shared" si="42"/>
        <v/>
      </c>
      <c r="BC79" s="14" t="str">
        <f t="shared" si="43"/>
        <v/>
      </c>
      <c r="BD79" s="96"/>
      <c r="BG79" s="97">
        <v>75</v>
      </c>
      <c r="BH79" s="14">
        <f t="shared" si="44"/>
        <v>9</v>
      </c>
      <c r="BI79" s="14">
        <f t="shared" si="45"/>
        <v>2</v>
      </c>
      <c r="BJ79" s="14">
        <f t="shared" si="46"/>
        <v>3075</v>
      </c>
      <c r="BK79" s="14" t="str">
        <f t="shared" si="47"/>
        <v>石灵明传记2-1</v>
      </c>
      <c r="BM79" s="14" t="str">
        <f t="shared" si="48"/>
        <v>石灵明传记2-1 石灵明碎片</v>
      </c>
      <c r="BN79" s="14" t="str">
        <f t="shared" si="49"/>
        <v>石灵明碎片</v>
      </c>
      <c r="BO79" s="14">
        <f t="shared" si="50"/>
        <v>1</v>
      </c>
      <c r="BP79" s="14">
        <f t="shared" si="51"/>
        <v>1</v>
      </c>
      <c r="BQ79" s="14">
        <v>10000</v>
      </c>
    </row>
    <row r="80" spans="35:69" ht="16.5" x14ac:dyDescent="0.2">
      <c r="AI80" s="96">
        <v>76</v>
      </c>
      <c r="AJ80" s="14">
        <f t="shared" si="28"/>
        <v>12</v>
      </c>
      <c r="AK80" s="14">
        <f t="shared" si="29"/>
        <v>202003</v>
      </c>
      <c r="AL80" s="14">
        <f t="shared" si="30"/>
        <v>2020</v>
      </c>
      <c r="AM80" s="96" t="s">
        <v>886</v>
      </c>
      <c r="AN80" s="14">
        <f t="shared" si="31"/>
        <v>3</v>
      </c>
      <c r="AO80" s="14">
        <f t="shared" si="52"/>
        <v>202004</v>
      </c>
      <c r="AP80" s="14" t="str">
        <f t="shared" si="32"/>
        <v>高顺传记-3</v>
      </c>
      <c r="AQ80" s="14" t="str">
        <f t="shared" si="33"/>
        <v>高顺传记-3</v>
      </c>
      <c r="AR80" s="14">
        <f t="shared" si="34"/>
        <v>55</v>
      </c>
      <c r="AS80" s="14" t="str">
        <f t="shared" si="35"/>
        <v/>
      </c>
      <c r="AT80" s="98">
        <v>3</v>
      </c>
      <c r="AU80" s="99" t="s">
        <v>890</v>
      </c>
      <c r="AV80" s="14" t="str">
        <f t="shared" si="36"/>
        <v>KP_KM_1102020</v>
      </c>
      <c r="AW80" s="14">
        <f t="shared" si="37"/>
        <v>1102020</v>
      </c>
      <c r="AX80" s="14" t="str">
        <f t="shared" si="38"/>
        <v>高顺传记3-1</v>
      </c>
      <c r="AY80" s="14" t="str">
        <f t="shared" si="39"/>
        <v/>
      </c>
      <c r="AZ80" s="14" t="str">
        <f t="shared" si="40"/>
        <v>高顺碎片</v>
      </c>
      <c r="BA80" s="14" t="str">
        <f t="shared" si="41"/>
        <v>1~2</v>
      </c>
      <c r="BB80" s="14" t="str">
        <f t="shared" si="42"/>
        <v/>
      </c>
      <c r="BC80" s="14" t="str">
        <f t="shared" si="43"/>
        <v/>
      </c>
      <c r="BD80" s="96"/>
      <c r="BG80" s="97">
        <v>76</v>
      </c>
      <c r="BH80" s="14">
        <f t="shared" si="44"/>
        <v>9</v>
      </c>
      <c r="BI80" s="14">
        <f t="shared" si="45"/>
        <v>3</v>
      </c>
      <c r="BJ80" s="14">
        <f t="shared" si="46"/>
        <v>3076</v>
      </c>
      <c r="BK80" s="14" t="str">
        <f t="shared" si="47"/>
        <v>石灵明传记3-1</v>
      </c>
      <c r="BM80" s="14" t="str">
        <f t="shared" si="48"/>
        <v>石灵明传记3-1 石灵明碎片</v>
      </c>
      <c r="BN80" s="14" t="str">
        <f t="shared" si="49"/>
        <v>石灵明碎片</v>
      </c>
      <c r="BO80" s="14">
        <f t="shared" si="50"/>
        <v>1</v>
      </c>
      <c r="BP80" s="14">
        <f t="shared" si="51"/>
        <v>2</v>
      </c>
      <c r="BQ80" s="14">
        <v>10000</v>
      </c>
    </row>
    <row r="81" spans="35:69" ht="16.5" x14ac:dyDescent="0.2">
      <c r="AI81" s="96">
        <v>77</v>
      </c>
      <c r="AJ81" s="14">
        <f t="shared" si="28"/>
        <v>12</v>
      </c>
      <c r="AK81" s="14">
        <f t="shared" si="29"/>
        <v>202004</v>
      </c>
      <c r="AL81" s="14">
        <f t="shared" si="30"/>
        <v>2020</v>
      </c>
      <c r="AM81" s="96" t="s">
        <v>886</v>
      </c>
      <c r="AN81" s="14">
        <f t="shared" si="31"/>
        <v>4</v>
      </c>
      <c r="AO81" s="14">
        <f t="shared" si="52"/>
        <v>202005</v>
      </c>
      <c r="AP81" s="14" t="str">
        <f t="shared" si="32"/>
        <v>高顺传记-4</v>
      </c>
      <c r="AQ81" s="14" t="str">
        <f t="shared" si="33"/>
        <v>高顺传记-4</v>
      </c>
      <c r="AR81" s="14">
        <f t="shared" si="34"/>
        <v>70</v>
      </c>
      <c r="AS81" s="14" t="str">
        <f t="shared" si="35"/>
        <v/>
      </c>
      <c r="AT81" s="98">
        <v>3</v>
      </c>
      <c r="AU81" s="99" t="s">
        <v>890</v>
      </c>
      <c r="AV81" s="14" t="str">
        <f t="shared" si="36"/>
        <v>KP_KM_1102020</v>
      </c>
      <c r="AW81" s="14">
        <f t="shared" si="37"/>
        <v>1102020</v>
      </c>
      <c r="AX81" s="14" t="str">
        <f t="shared" si="38"/>
        <v>高顺传记4-1</v>
      </c>
      <c r="AY81" s="14" t="str">
        <f t="shared" si="39"/>
        <v/>
      </c>
      <c r="AZ81" s="14" t="str">
        <f t="shared" si="40"/>
        <v>高顺专属武器碎片</v>
      </c>
      <c r="BA81" s="14">
        <f t="shared" si="41"/>
        <v>1</v>
      </c>
      <c r="BB81" s="14" t="str">
        <f t="shared" si="42"/>
        <v/>
      </c>
      <c r="BC81" s="14" t="str">
        <f t="shared" si="43"/>
        <v/>
      </c>
      <c r="BD81" s="96"/>
      <c r="BG81" s="97">
        <v>77</v>
      </c>
      <c r="BH81" s="14">
        <f t="shared" si="44"/>
        <v>9</v>
      </c>
      <c r="BI81" s="14">
        <f t="shared" si="45"/>
        <v>4</v>
      </c>
      <c r="BJ81" s="14">
        <f t="shared" si="46"/>
        <v>3077</v>
      </c>
      <c r="BK81" s="14" t="str">
        <f t="shared" si="47"/>
        <v>石灵明传记4-1</v>
      </c>
      <c r="BM81" s="14" t="str">
        <f t="shared" si="48"/>
        <v>石灵明传记4-1 石灵明专属武器碎片</v>
      </c>
      <c r="BN81" s="14" t="str">
        <f t="shared" si="49"/>
        <v>石灵明专属武器碎片</v>
      </c>
      <c r="BO81" s="14">
        <f t="shared" si="50"/>
        <v>1</v>
      </c>
      <c r="BP81" s="14">
        <f t="shared" si="51"/>
        <v>1</v>
      </c>
      <c r="BQ81" s="14">
        <v>10000</v>
      </c>
    </row>
    <row r="82" spans="35:69" ht="16.5" x14ac:dyDescent="0.2">
      <c r="AI82" s="96">
        <v>78</v>
      </c>
      <c r="AJ82" s="14">
        <f t="shared" si="28"/>
        <v>12</v>
      </c>
      <c r="AK82" s="14">
        <f t="shared" si="29"/>
        <v>202005</v>
      </c>
      <c r="AL82" s="14">
        <f t="shared" si="30"/>
        <v>2020</v>
      </c>
      <c r="AM82" s="96" t="s">
        <v>886</v>
      </c>
      <c r="AN82" s="14">
        <f t="shared" si="31"/>
        <v>5</v>
      </c>
      <c r="AO82" s="14">
        <f t="shared" si="52"/>
        <v>-1</v>
      </c>
      <c r="AP82" s="14" t="str">
        <f t="shared" si="32"/>
        <v>高顺传记-5</v>
      </c>
      <c r="AQ82" s="14" t="str">
        <f t="shared" si="33"/>
        <v>高顺传记-5</v>
      </c>
      <c r="AR82" s="14">
        <f t="shared" si="34"/>
        <v>80</v>
      </c>
      <c r="AS82" s="14" t="str">
        <f t="shared" si="35"/>
        <v/>
      </c>
      <c r="AT82" s="98">
        <v>3</v>
      </c>
      <c r="AU82" s="99" t="s">
        <v>890</v>
      </c>
      <c r="AV82" s="14" t="str">
        <f t="shared" si="36"/>
        <v>KP_KM_1102020</v>
      </c>
      <c r="AW82" s="14">
        <f t="shared" si="37"/>
        <v>1102020</v>
      </c>
      <c r="AX82" s="14" t="str">
        <f t="shared" si="38"/>
        <v>高顺传记5-1</v>
      </c>
      <c r="AY82" s="14" t="str">
        <f t="shared" si="39"/>
        <v>高顺传记5-1</v>
      </c>
      <c r="AZ82" s="14" t="str">
        <f t="shared" si="40"/>
        <v>高顺碎片</v>
      </c>
      <c r="BA82" s="14" t="str">
        <f t="shared" si="41"/>
        <v>1~2</v>
      </c>
      <c r="BB82" s="14" t="str">
        <f t="shared" si="42"/>
        <v>高顺专属武器碎片</v>
      </c>
      <c r="BC82" s="14">
        <f t="shared" si="43"/>
        <v>1</v>
      </c>
      <c r="BD82" s="96"/>
      <c r="BG82" s="97">
        <v>78</v>
      </c>
      <c r="BH82" s="14">
        <f t="shared" si="44"/>
        <v>9</v>
      </c>
      <c r="BI82" s="14">
        <f t="shared" si="45"/>
        <v>5</v>
      </c>
      <c r="BJ82" s="14">
        <f t="shared" si="46"/>
        <v>3078</v>
      </c>
      <c r="BK82" s="14" t="str">
        <f t="shared" si="47"/>
        <v>石灵明传记5-1</v>
      </c>
      <c r="BM82" s="14" t="str">
        <f t="shared" si="48"/>
        <v>石灵明传记5-1 石灵明碎片</v>
      </c>
      <c r="BN82" s="14" t="str">
        <f t="shared" si="49"/>
        <v>石灵明碎片</v>
      </c>
      <c r="BO82" s="14">
        <f t="shared" si="50"/>
        <v>1</v>
      </c>
      <c r="BP82" s="14">
        <f t="shared" si="51"/>
        <v>2</v>
      </c>
      <c r="BQ82" s="14">
        <v>10000</v>
      </c>
    </row>
    <row r="83" spans="35:69" ht="16.5" x14ac:dyDescent="0.2">
      <c r="AI83" s="96">
        <v>79</v>
      </c>
      <c r="AJ83" s="14">
        <f t="shared" si="28"/>
        <v>13</v>
      </c>
      <c r="AK83" s="14">
        <f t="shared" si="29"/>
        <v>202101</v>
      </c>
      <c r="AL83" s="14">
        <f t="shared" si="30"/>
        <v>2021</v>
      </c>
      <c r="AM83" s="96" t="s">
        <v>886</v>
      </c>
      <c r="AN83" s="14">
        <f t="shared" si="31"/>
        <v>1</v>
      </c>
      <c r="AO83" s="14">
        <f t="shared" si="52"/>
        <v>202102</v>
      </c>
      <c r="AP83" s="14" t="str">
        <f t="shared" si="32"/>
        <v>烈风螳螂传记-1</v>
      </c>
      <c r="AQ83" s="14" t="str">
        <f t="shared" si="33"/>
        <v>烈风螳螂传记-1</v>
      </c>
      <c r="AR83" s="14">
        <f t="shared" si="34"/>
        <v>30</v>
      </c>
      <c r="AS83" s="14" t="str">
        <f t="shared" si="35"/>
        <v/>
      </c>
      <c r="AT83" s="98">
        <v>3</v>
      </c>
      <c r="AU83" s="99" t="s">
        <v>890</v>
      </c>
      <c r="AV83" s="14" t="str">
        <f t="shared" si="36"/>
        <v>KP_KM_1102021</v>
      </c>
      <c r="AW83" s="14">
        <f t="shared" si="37"/>
        <v>1102021</v>
      </c>
      <c r="AX83" s="14" t="str">
        <f t="shared" si="38"/>
        <v>烈风螳螂传记1-1</v>
      </c>
      <c r="AY83" s="14" t="str">
        <f t="shared" si="39"/>
        <v/>
      </c>
      <c r="AZ83" s="14" t="str">
        <f t="shared" si="40"/>
        <v>烈风螳螂碎片</v>
      </c>
      <c r="BA83" s="14">
        <f t="shared" si="41"/>
        <v>1</v>
      </c>
      <c r="BB83" s="14" t="str">
        <f t="shared" si="42"/>
        <v/>
      </c>
      <c r="BC83" s="14" t="str">
        <f t="shared" si="43"/>
        <v/>
      </c>
      <c r="BD83" s="96"/>
      <c r="BG83" s="97">
        <v>79</v>
      </c>
      <c r="BH83" s="14">
        <f t="shared" si="44"/>
        <v>9</v>
      </c>
      <c r="BI83" s="14">
        <f t="shared" si="45"/>
        <v>6</v>
      </c>
      <c r="BJ83" s="14">
        <f t="shared" si="46"/>
        <v>3079</v>
      </c>
      <c r="BK83" s="14" t="str">
        <f t="shared" si="47"/>
        <v>石灵明传记5-2</v>
      </c>
      <c r="BM83" s="14" t="str">
        <f t="shared" si="48"/>
        <v>石灵明传记5-2 石灵明专属武器碎片</v>
      </c>
      <c r="BN83" s="14" t="str">
        <f t="shared" si="49"/>
        <v>石灵明专属武器碎片</v>
      </c>
      <c r="BO83" s="14">
        <f t="shared" si="50"/>
        <v>1</v>
      </c>
      <c r="BP83" s="14">
        <f t="shared" si="51"/>
        <v>1</v>
      </c>
      <c r="BQ83" s="14">
        <v>10000</v>
      </c>
    </row>
    <row r="84" spans="35:69" ht="16.5" x14ac:dyDescent="0.2">
      <c r="AI84" s="96">
        <v>80</v>
      </c>
      <c r="AJ84" s="14">
        <f t="shared" si="28"/>
        <v>13</v>
      </c>
      <c r="AK84" s="14">
        <f t="shared" si="29"/>
        <v>202102</v>
      </c>
      <c r="AL84" s="14">
        <f t="shared" si="30"/>
        <v>2021</v>
      </c>
      <c r="AM84" s="96" t="s">
        <v>886</v>
      </c>
      <c r="AN84" s="14">
        <f t="shared" si="31"/>
        <v>2</v>
      </c>
      <c r="AO84" s="14">
        <f t="shared" si="52"/>
        <v>202103</v>
      </c>
      <c r="AP84" s="14" t="str">
        <f t="shared" si="32"/>
        <v>烈风螳螂传记-2</v>
      </c>
      <c r="AQ84" s="14" t="str">
        <f t="shared" si="33"/>
        <v>烈风螳螂传记-2</v>
      </c>
      <c r="AR84" s="14">
        <f t="shared" si="34"/>
        <v>40</v>
      </c>
      <c r="AS84" s="14" t="str">
        <f t="shared" si="35"/>
        <v/>
      </c>
      <c r="AT84" s="98">
        <v>3</v>
      </c>
      <c r="AU84" s="99" t="s">
        <v>890</v>
      </c>
      <c r="AV84" s="14" t="str">
        <f t="shared" si="36"/>
        <v>KP_KM_1102021</v>
      </c>
      <c r="AW84" s="14">
        <f t="shared" si="37"/>
        <v>1102021</v>
      </c>
      <c r="AX84" s="14" t="str">
        <f t="shared" si="38"/>
        <v>烈风螳螂传记2-1</v>
      </c>
      <c r="AY84" s="14" t="str">
        <f t="shared" si="39"/>
        <v/>
      </c>
      <c r="AZ84" s="14" t="str">
        <f t="shared" si="40"/>
        <v>烈风螳螂碎片</v>
      </c>
      <c r="BA84" s="14">
        <f t="shared" si="41"/>
        <v>1</v>
      </c>
      <c r="BB84" s="14" t="str">
        <f t="shared" si="42"/>
        <v/>
      </c>
      <c r="BC84" s="14" t="str">
        <f t="shared" si="43"/>
        <v/>
      </c>
      <c r="BD84" s="96"/>
      <c r="BG84" s="97">
        <v>80</v>
      </c>
      <c r="BH84" s="14">
        <f t="shared" si="44"/>
        <v>10</v>
      </c>
      <c r="BI84" s="14">
        <f t="shared" si="45"/>
        <v>1</v>
      </c>
      <c r="BJ84" s="14">
        <f t="shared" si="46"/>
        <v>3080</v>
      </c>
      <c r="BK84" s="14" t="str">
        <f t="shared" si="47"/>
        <v>西方龙传记1-1</v>
      </c>
      <c r="BM84" s="14" t="str">
        <f t="shared" si="48"/>
        <v>西方龙传记1-1 西方龙碎片</v>
      </c>
      <c r="BN84" s="14" t="str">
        <f t="shared" si="49"/>
        <v>西方龙碎片</v>
      </c>
      <c r="BO84" s="14">
        <f t="shared" si="50"/>
        <v>1</v>
      </c>
      <c r="BP84" s="14">
        <f t="shared" si="51"/>
        <v>1</v>
      </c>
      <c r="BQ84" s="14">
        <v>10000</v>
      </c>
    </row>
    <row r="85" spans="35:69" ht="16.5" x14ac:dyDescent="0.2">
      <c r="AI85" s="96">
        <v>81</v>
      </c>
      <c r="AJ85" s="14">
        <f t="shared" si="28"/>
        <v>13</v>
      </c>
      <c r="AK85" s="14">
        <f t="shared" si="29"/>
        <v>202103</v>
      </c>
      <c r="AL85" s="14">
        <f t="shared" si="30"/>
        <v>2021</v>
      </c>
      <c r="AM85" s="96" t="s">
        <v>886</v>
      </c>
      <c r="AN85" s="14">
        <f t="shared" si="31"/>
        <v>3</v>
      </c>
      <c r="AO85" s="14">
        <f t="shared" si="52"/>
        <v>202104</v>
      </c>
      <c r="AP85" s="14" t="str">
        <f t="shared" si="32"/>
        <v>烈风螳螂传记-3</v>
      </c>
      <c r="AQ85" s="14" t="str">
        <f t="shared" si="33"/>
        <v>烈风螳螂传记-3</v>
      </c>
      <c r="AR85" s="14">
        <f t="shared" si="34"/>
        <v>55</v>
      </c>
      <c r="AS85" s="14" t="str">
        <f t="shared" si="35"/>
        <v/>
      </c>
      <c r="AT85" s="98">
        <v>3</v>
      </c>
      <c r="AU85" s="99" t="s">
        <v>890</v>
      </c>
      <c r="AV85" s="14" t="str">
        <f t="shared" si="36"/>
        <v>KP_KM_1102021</v>
      </c>
      <c r="AW85" s="14">
        <f t="shared" si="37"/>
        <v>1102021</v>
      </c>
      <c r="AX85" s="14" t="str">
        <f t="shared" si="38"/>
        <v>烈风螳螂传记3-1</v>
      </c>
      <c r="AY85" s="14" t="str">
        <f t="shared" si="39"/>
        <v/>
      </c>
      <c r="AZ85" s="14" t="str">
        <f t="shared" si="40"/>
        <v>烈风螳螂碎片</v>
      </c>
      <c r="BA85" s="14" t="str">
        <f t="shared" si="41"/>
        <v>1~2</v>
      </c>
      <c r="BB85" s="14" t="str">
        <f t="shared" si="42"/>
        <v/>
      </c>
      <c r="BC85" s="14" t="str">
        <f t="shared" si="43"/>
        <v/>
      </c>
      <c r="BD85" s="96"/>
      <c r="BG85" s="97">
        <v>81</v>
      </c>
      <c r="BH85" s="14">
        <f t="shared" si="44"/>
        <v>10</v>
      </c>
      <c r="BI85" s="14">
        <f t="shared" si="45"/>
        <v>2</v>
      </c>
      <c r="BJ85" s="14">
        <f t="shared" si="46"/>
        <v>3081</v>
      </c>
      <c r="BK85" s="14" t="str">
        <f t="shared" si="47"/>
        <v>西方龙传记2-1</v>
      </c>
      <c r="BM85" s="14" t="str">
        <f t="shared" si="48"/>
        <v>西方龙传记2-1 西方龙碎片</v>
      </c>
      <c r="BN85" s="14" t="str">
        <f t="shared" si="49"/>
        <v>西方龙碎片</v>
      </c>
      <c r="BO85" s="14">
        <f t="shared" si="50"/>
        <v>1</v>
      </c>
      <c r="BP85" s="14">
        <f t="shared" si="51"/>
        <v>1</v>
      </c>
      <c r="BQ85" s="14">
        <v>10000</v>
      </c>
    </row>
    <row r="86" spans="35:69" ht="16.5" x14ac:dyDescent="0.2">
      <c r="AI86" s="96">
        <v>82</v>
      </c>
      <c r="AJ86" s="14">
        <f t="shared" si="28"/>
        <v>13</v>
      </c>
      <c r="AK86" s="14">
        <f t="shared" si="29"/>
        <v>202104</v>
      </c>
      <c r="AL86" s="14">
        <f t="shared" si="30"/>
        <v>2021</v>
      </c>
      <c r="AM86" s="96" t="s">
        <v>886</v>
      </c>
      <c r="AN86" s="14">
        <f t="shared" si="31"/>
        <v>4</v>
      </c>
      <c r="AO86" s="14">
        <f t="shared" si="52"/>
        <v>202105</v>
      </c>
      <c r="AP86" s="14" t="str">
        <f t="shared" si="32"/>
        <v>烈风螳螂传记-4</v>
      </c>
      <c r="AQ86" s="14" t="str">
        <f t="shared" si="33"/>
        <v>烈风螳螂传记-4</v>
      </c>
      <c r="AR86" s="14">
        <f t="shared" si="34"/>
        <v>70</v>
      </c>
      <c r="AS86" s="14" t="str">
        <f t="shared" si="35"/>
        <v/>
      </c>
      <c r="AT86" s="98">
        <v>3</v>
      </c>
      <c r="AU86" s="99" t="s">
        <v>890</v>
      </c>
      <c r="AV86" s="14" t="str">
        <f t="shared" si="36"/>
        <v>KP_KM_1102021</v>
      </c>
      <c r="AW86" s="14">
        <f t="shared" si="37"/>
        <v>1102021</v>
      </c>
      <c r="AX86" s="14" t="str">
        <f t="shared" si="38"/>
        <v>烈风螳螂传记4-1</v>
      </c>
      <c r="AY86" s="14" t="str">
        <f t="shared" si="39"/>
        <v/>
      </c>
      <c r="AZ86" s="14" t="str">
        <f t="shared" si="40"/>
        <v>烈风螳螂专属武器碎片</v>
      </c>
      <c r="BA86" s="14">
        <f t="shared" si="41"/>
        <v>1</v>
      </c>
      <c r="BB86" s="14" t="str">
        <f t="shared" si="42"/>
        <v/>
      </c>
      <c r="BC86" s="14" t="str">
        <f t="shared" si="43"/>
        <v/>
      </c>
      <c r="BD86" s="96"/>
      <c r="BG86" s="97">
        <v>82</v>
      </c>
      <c r="BH86" s="14">
        <f t="shared" si="44"/>
        <v>10</v>
      </c>
      <c r="BI86" s="14">
        <f t="shared" si="45"/>
        <v>3</v>
      </c>
      <c r="BJ86" s="14">
        <f t="shared" si="46"/>
        <v>3082</v>
      </c>
      <c r="BK86" s="14" t="str">
        <f t="shared" si="47"/>
        <v>西方龙传记3-1</v>
      </c>
      <c r="BM86" s="14" t="str">
        <f t="shared" si="48"/>
        <v>西方龙传记3-1 西方龙碎片</v>
      </c>
      <c r="BN86" s="14" t="str">
        <f t="shared" si="49"/>
        <v>西方龙碎片</v>
      </c>
      <c r="BO86" s="14">
        <f t="shared" si="50"/>
        <v>1</v>
      </c>
      <c r="BP86" s="14">
        <f t="shared" si="51"/>
        <v>2</v>
      </c>
      <c r="BQ86" s="14">
        <v>10000</v>
      </c>
    </row>
    <row r="87" spans="35:69" ht="16.5" x14ac:dyDescent="0.2">
      <c r="AI87" s="96">
        <v>83</v>
      </c>
      <c r="AJ87" s="14">
        <f t="shared" si="28"/>
        <v>13</v>
      </c>
      <c r="AK87" s="14">
        <f t="shared" si="29"/>
        <v>202105</v>
      </c>
      <c r="AL87" s="14">
        <f t="shared" si="30"/>
        <v>2021</v>
      </c>
      <c r="AM87" s="96" t="s">
        <v>886</v>
      </c>
      <c r="AN87" s="14">
        <f t="shared" si="31"/>
        <v>5</v>
      </c>
      <c r="AO87" s="14">
        <f t="shared" si="52"/>
        <v>-1</v>
      </c>
      <c r="AP87" s="14" t="str">
        <f t="shared" si="32"/>
        <v>烈风螳螂传记-5</v>
      </c>
      <c r="AQ87" s="14" t="str">
        <f t="shared" si="33"/>
        <v>烈风螳螂传记-5</v>
      </c>
      <c r="AR87" s="14">
        <f t="shared" si="34"/>
        <v>80</v>
      </c>
      <c r="AS87" s="14" t="str">
        <f t="shared" si="35"/>
        <v/>
      </c>
      <c r="AT87" s="98">
        <v>3</v>
      </c>
      <c r="AU87" s="99" t="s">
        <v>890</v>
      </c>
      <c r="AV87" s="14" t="str">
        <f t="shared" si="36"/>
        <v>KP_KM_1102021</v>
      </c>
      <c r="AW87" s="14">
        <f t="shared" si="37"/>
        <v>1102021</v>
      </c>
      <c r="AX87" s="14" t="str">
        <f t="shared" si="38"/>
        <v>烈风螳螂传记5-1</v>
      </c>
      <c r="AY87" s="14" t="str">
        <f t="shared" si="39"/>
        <v>烈风螳螂传记5-1</v>
      </c>
      <c r="AZ87" s="14" t="str">
        <f t="shared" si="40"/>
        <v>烈风螳螂碎片</v>
      </c>
      <c r="BA87" s="14" t="str">
        <f t="shared" si="41"/>
        <v>1~2</v>
      </c>
      <c r="BB87" s="14" t="str">
        <f t="shared" si="42"/>
        <v>烈风螳螂专属武器碎片</v>
      </c>
      <c r="BC87" s="14">
        <f t="shared" si="43"/>
        <v>1</v>
      </c>
      <c r="BD87" s="96"/>
      <c r="BG87" s="97">
        <v>83</v>
      </c>
      <c r="BH87" s="14">
        <f t="shared" si="44"/>
        <v>10</v>
      </c>
      <c r="BI87" s="14">
        <f t="shared" si="45"/>
        <v>4</v>
      </c>
      <c r="BJ87" s="14">
        <f t="shared" si="46"/>
        <v>3083</v>
      </c>
      <c r="BK87" s="14" t="str">
        <f t="shared" si="47"/>
        <v>西方龙传记4-1</v>
      </c>
      <c r="BM87" s="14" t="str">
        <f t="shared" si="48"/>
        <v>西方龙传记4-1 西方龙专属武器碎片</v>
      </c>
      <c r="BN87" s="14" t="str">
        <f t="shared" si="49"/>
        <v>西方龙专属武器碎片</v>
      </c>
      <c r="BO87" s="14">
        <f t="shared" si="50"/>
        <v>1</v>
      </c>
      <c r="BP87" s="14">
        <f t="shared" si="51"/>
        <v>1</v>
      </c>
      <c r="BQ87" s="14">
        <v>10000</v>
      </c>
    </row>
    <row r="88" spans="35:69" ht="16.5" x14ac:dyDescent="0.2">
      <c r="AI88" s="96">
        <v>84</v>
      </c>
      <c r="AJ88" s="14">
        <f t="shared" si="28"/>
        <v>14</v>
      </c>
      <c r="AK88" s="14">
        <f t="shared" si="29"/>
        <v>202401</v>
      </c>
      <c r="AL88" s="14">
        <f t="shared" si="30"/>
        <v>2024</v>
      </c>
      <c r="AM88" s="96" t="s">
        <v>886</v>
      </c>
      <c r="AN88" s="14">
        <f t="shared" si="31"/>
        <v>1</v>
      </c>
      <c r="AO88" s="14">
        <f t="shared" si="52"/>
        <v>202402</v>
      </c>
      <c r="AP88" s="14" t="str">
        <f t="shared" si="32"/>
        <v>朱仙传记-1</v>
      </c>
      <c r="AQ88" s="14" t="str">
        <f t="shared" si="33"/>
        <v>朱仙传记-1</v>
      </c>
      <c r="AR88" s="14">
        <f t="shared" si="34"/>
        <v>30</v>
      </c>
      <c r="AS88" s="14" t="str">
        <f t="shared" si="35"/>
        <v/>
      </c>
      <c r="AT88" s="98">
        <v>3</v>
      </c>
      <c r="AU88" s="99" t="s">
        <v>890</v>
      </c>
      <c r="AV88" s="14" t="str">
        <f t="shared" si="36"/>
        <v>KP_KM_1102024</v>
      </c>
      <c r="AW88" s="14">
        <f t="shared" si="37"/>
        <v>1102024</v>
      </c>
      <c r="AX88" s="14" t="str">
        <f t="shared" si="38"/>
        <v>朱仙传记1-1</v>
      </c>
      <c r="AY88" s="14" t="str">
        <f t="shared" si="39"/>
        <v/>
      </c>
      <c r="AZ88" s="14" t="str">
        <f t="shared" si="40"/>
        <v>朱仙碎片</v>
      </c>
      <c r="BA88" s="14">
        <f t="shared" si="41"/>
        <v>1</v>
      </c>
      <c r="BB88" s="14" t="str">
        <f t="shared" si="42"/>
        <v/>
      </c>
      <c r="BC88" s="14" t="str">
        <f t="shared" si="43"/>
        <v/>
      </c>
      <c r="BD88" s="96"/>
      <c r="BG88" s="97">
        <v>84</v>
      </c>
      <c r="BH88" s="14">
        <f t="shared" si="44"/>
        <v>10</v>
      </c>
      <c r="BI88" s="14">
        <f t="shared" si="45"/>
        <v>5</v>
      </c>
      <c r="BJ88" s="14">
        <f t="shared" si="46"/>
        <v>3084</v>
      </c>
      <c r="BK88" s="14" t="str">
        <f t="shared" si="47"/>
        <v>西方龙传记5-1</v>
      </c>
      <c r="BM88" s="14" t="str">
        <f t="shared" si="48"/>
        <v>西方龙传记5-1 西方龙碎片</v>
      </c>
      <c r="BN88" s="14" t="str">
        <f t="shared" si="49"/>
        <v>西方龙碎片</v>
      </c>
      <c r="BO88" s="14">
        <f t="shared" si="50"/>
        <v>1</v>
      </c>
      <c r="BP88" s="14">
        <f t="shared" si="51"/>
        <v>2</v>
      </c>
      <c r="BQ88" s="14">
        <v>10000</v>
      </c>
    </row>
    <row r="89" spans="35:69" ht="16.5" x14ac:dyDescent="0.2">
      <c r="AI89" s="96">
        <v>85</v>
      </c>
      <c r="AJ89" s="14">
        <f t="shared" si="28"/>
        <v>14</v>
      </c>
      <c r="AK89" s="14">
        <f t="shared" si="29"/>
        <v>202402</v>
      </c>
      <c r="AL89" s="14">
        <f t="shared" si="30"/>
        <v>2024</v>
      </c>
      <c r="AM89" s="96" t="s">
        <v>886</v>
      </c>
      <c r="AN89" s="14">
        <f t="shared" si="31"/>
        <v>2</v>
      </c>
      <c r="AO89" s="14">
        <f t="shared" si="52"/>
        <v>202403</v>
      </c>
      <c r="AP89" s="14" t="str">
        <f t="shared" si="32"/>
        <v>朱仙传记-2</v>
      </c>
      <c r="AQ89" s="14" t="str">
        <f t="shared" si="33"/>
        <v>朱仙传记-2</v>
      </c>
      <c r="AR89" s="14">
        <f t="shared" si="34"/>
        <v>40</v>
      </c>
      <c r="AS89" s="14" t="str">
        <f t="shared" si="35"/>
        <v/>
      </c>
      <c r="AT89" s="98">
        <v>3</v>
      </c>
      <c r="AU89" s="99" t="s">
        <v>890</v>
      </c>
      <c r="AV89" s="14" t="str">
        <f t="shared" si="36"/>
        <v>KP_KM_1102024</v>
      </c>
      <c r="AW89" s="14">
        <f t="shared" si="37"/>
        <v>1102024</v>
      </c>
      <c r="AX89" s="14" t="str">
        <f t="shared" si="38"/>
        <v>朱仙传记2-1</v>
      </c>
      <c r="AY89" s="14" t="str">
        <f t="shared" si="39"/>
        <v/>
      </c>
      <c r="AZ89" s="14" t="str">
        <f t="shared" si="40"/>
        <v>朱仙碎片</v>
      </c>
      <c r="BA89" s="14">
        <f t="shared" si="41"/>
        <v>1</v>
      </c>
      <c r="BB89" s="14" t="str">
        <f t="shared" si="42"/>
        <v/>
      </c>
      <c r="BC89" s="14" t="str">
        <f t="shared" si="43"/>
        <v/>
      </c>
      <c r="BD89" s="96"/>
      <c r="BG89" s="97">
        <v>85</v>
      </c>
      <c r="BH89" s="14">
        <f t="shared" si="44"/>
        <v>10</v>
      </c>
      <c r="BI89" s="14">
        <f t="shared" si="45"/>
        <v>6</v>
      </c>
      <c r="BJ89" s="14">
        <f t="shared" si="46"/>
        <v>3085</v>
      </c>
      <c r="BK89" s="14" t="str">
        <f t="shared" si="47"/>
        <v>西方龙传记5-2</v>
      </c>
      <c r="BM89" s="14" t="str">
        <f t="shared" si="48"/>
        <v>西方龙传记5-2 西方龙专属武器碎片</v>
      </c>
      <c r="BN89" s="14" t="str">
        <f t="shared" si="49"/>
        <v>西方龙专属武器碎片</v>
      </c>
      <c r="BO89" s="14">
        <f t="shared" si="50"/>
        <v>1</v>
      </c>
      <c r="BP89" s="14">
        <f t="shared" si="51"/>
        <v>1</v>
      </c>
      <c r="BQ89" s="14">
        <v>10000</v>
      </c>
    </row>
    <row r="90" spans="35:69" ht="16.5" x14ac:dyDescent="0.2">
      <c r="AI90" s="96">
        <v>86</v>
      </c>
      <c r="AJ90" s="14">
        <f t="shared" si="28"/>
        <v>14</v>
      </c>
      <c r="AK90" s="14">
        <f t="shared" si="29"/>
        <v>202403</v>
      </c>
      <c r="AL90" s="14">
        <f t="shared" si="30"/>
        <v>2024</v>
      </c>
      <c r="AM90" s="96" t="s">
        <v>886</v>
      </c>
      <c r="AN90" s="14">
        <f t="shared" si="31"/>
        <v>3</v>
      </c>
      <c r="AO90" s="14">
        <f t="shared" si="52"/>
        <v>202404</v>
      </c>
      <c r="AP90" s="14" t="str">
        <f t="shared" si="32"/>
        <v>朱仙传记-3</v>
      </c>
      <c r="AQ90" s="14" t="str">
        <f t="shared" si="33"/>
        <v>朱仙传记-3</v>
      </c>
      <c r="AR90" s="14">
        <f t="shared" si="34"/>
        <v>55</v>
      </c>
      <c r="AS90" s="14" t="str">
        <f t="shared" si="35"/>
        <v/>
      </c>
      <c r="AT90" s="98">
        <v>3</v>
      </c>
      <c r="AU90" s="99" t="s">
        <v>890</v>
      </c>
      <c r="AV90" s="14" t="str">
        <f t="shared" si="36"/>
        <v>KP_KM_1102024</v>
      </c>
      <c r="AW90" s="14">
        <f t="shared" si="37"/>
        <v>1102024</v>
      </c>
      <c r="AX90" s="14" t="str">
        <f t="shared" si="38"/>
        <v>朱仙传记3-1</v>
      </c>
      <c r="AY90" s="14" t="str">
        <f t="shared" si="39"/>
        <v/>
      </c>
      <c r="AZ90" s="14" t="str">
        <f t="shared" si="40"/>
        <v>朱仙碎片</v>
      </c>
      <c r="BA90" s="14" t="str">
        <f t="shared" si="41"/>
        <v>1~2</v>
      </c>
      <c r="BB90" s="14" t="str">
        <f t="shared" si="42"/>
        <v/>
      </c>
      <c r="BC90" s="14" t="str">
        <f t="shared" si="43"/>
        <v/>
      </c>
      <c r="BD90" s="96"/>
      <c r="BG90" s="97">
        <v>86</v>
      </c>
      <c r="BH90" s="14">
        <f t="shared" si="44"/>
        <v>10</v>
      </c>
      <c r="BI90" s="14">
        <f t="shared" si="45"/>
        <v>7</v>
      </c>
      <c r="BJ90" s="14">
        <f t="shared" si="46"/>
        <v>3086</v>
      </c>
      <c r="BK90" s="14" t="str">
        <f t="shared" si="47"/>
        <v>西方龙传记6-1</v>
      </c>
      <c r="BM90" s="14" t="str">
        <f t="shared" si="48"/>
        <v>西方龙传记6-1 西方龙碎片</v>
      </c>
      <c r="BN90" s="14" t="str">
        <f t="shared" si="49"/>
        <v>西方龙碎片</v>
      </c>
      <c r="BO90" s="14">
        <f t="shared" si="50"/>
        <v>1</v>
      </c>
      <c r="BP90" s="14">
        <f t="shared" si="51"/>
        <v>2</v>
      </c>
      <c r="BQ90" s="14">
        <v>10000</v>
      </c>
    </row>
    <row r="91" spans="35:69" ht="16.5" x14ac:dyDescent="0.2">
      <c r="AI91" s="96">
        <v>87</v>
      </c>
      <c r="AJ91" s="14">
        <f t="shared" si="28"/>
        <v>14</v>
      </c>
      <c r="AK91" s="14">
        <f t="shared" si="29"/>
        <v>202404</v>
      </c>
      <c r="AL91" s="14">
        <f t="shared" si="30"/>
        <v>2024</v>
      </c>
      <c r="AM91" s="96" t="s">
        <v>886</v>
      </c>
      <c r="AN91" s="14">
        <f t="shared" si="31"/>
        <v>4</v>
      </c>
      <c r="AO91" s="14">
        <f t="shared" si="52"/>
        <v>202405</v>
      </c>
      <c r="AP91" s="14" t="str">
        <f t="shared" si="32"/>
        <v>朱仙传记-4</v>
      </c>
      <c r="AQ91" s="14" t="str">
        <f t="shared" si="33"/>
        <v>朱仙传记-4</v>
      </c>
      <c r="AR91" s="14">
        <f t="shared" si="34"/>
        <v>70</v>
      </c>
      <c r="AS91" s="14" t="str">
        <f t="shared" si="35"/>
        <v/>
      </c>
      <c r="AT91" s="98">
        <v>3</v>
      </c>
      <c r="AU91" s="99" t="s">
        <v>890</v>
      </c>
      <c r="AV91" s="14" t="str">
        <f t="shared" si="36"/>
        <v>KP_KM_1102024</v>
      </c>
      <c r="AW91" s="14">
        <f t="shared" si="37"/>
        <v>1102024</v>
      </c>
      <c r="AX91" s="14" t="str">
        <f t="shared" si="38"/>
        <v>朱仙传记4-1</v>
      </c>
      <c r="AY91" s="14" t="str">
        <f t="shared" si="39"/>
        <v/>
      </c>
      <c r="AZ91" s="14" t="str">
        <f t="shared" si="40"/>
        <v>朱仙专属武器碎片</v>
      </c>
      <c r="BA91" s="14">
        <f t="shared" si="41"/>
        <v>1</v>
      </c>
      <c r="BB91" s="14" t="str">
        <f t="shared" si="42"/>
        <v/>
      </c>
      <c r="BC91" s="14" t="str">
        <f t="shared" si="43"/>
        <v/>
      </c>
      <c r="BD91" s="96"/>
      <c r="BG91" s="97">
        <v>87</v>
      </c>
      <c r="BH91" s="14">
        <f t="shared" si="44"/>
        <v>10</v>
      </c>
      <c r="BI91" s="14">
        <f t="shared" si="45"/>
        <v>8</v>
      </c>
      <c r="BJ91" s="14">
        <f t="shared" si="46"/>
        <v>3087</v>
      </c>
      <c r="BK91" s="14" t="str">
        <f t="shared" si="47"/>
        <v>西方龙传记6-2</v>
      </c>
      <c r="BM91" s="14" t="str">
        <f t="shared" si="48"/>
        <v>西方龙传记6-2 西方龙专属武器碎片</v>
      </c>
      <c r="BN91" s="14" t="str">
        <f t="shared" si="49"/>
        <v>西方龙专属武器碎片</v>
      </c>
      <c r="BO91" s="14">
        <f t="shared" si="50"/>
        <v>1</v>
      </c>
      <c r="BP91" s="14">
        <f t="shared" si="51"/>
        <v>1</v>
      </c>
      <c r="BQ91" s="14">
        <v>10000</v>
      </c>
    </row>
    <row r="92" spans="35:69" ht="16.5" x14ac:dyDescent="0.2">
      <c r="AI92" s="96">
        <v>88</v>
      </c>
      <c r="AJ92" s="14">
        <f t="shared" si="28"/>
        <v>14</v>
      </c>
      <c r="AK92" s="14">
        <f t="shared" si="29"/>
        <v>202405</v>
      </c>
      <c r="AL92" s="14">
        <f t="shared" si="30"/>
        <v>2024</v>
      </c>
      <c r="AM92" s="96" t="s">
        <v>886</v>
      </c>
      <c r="AN92" s="14">
        <f t="shared" si="31"/>
        <v>5</v>
      </c>
      <c r="AO92" s="14">
        <f t="shared" si="52"/>
        <v>-1</v>
      </c>
      <c r="AP92" s="14" t="str">
        <f t="shared" si="32"/>
        <v>朱仙传记-5</v>
      </c>
      <c r="AQ92" s="14" t="str">
        <f t="shared" si="33"/>
        <v>朱仙传记-5</v>
      </c>
      <c r="AR92" s="14">
        <f t="shared" si="34"/>
        <v>80</v>
      </c>
      <c r="AS92" s="14" t="str">
        <f t="shared" si="35"/>
        <v/>
      </c>
      <c r="AT92" s="98">
        <v>3</v>
      </c>
      <c r="AU92" s="99" t="s">
        <v>890</v>
      </c>
      <c r="AV92" s="14" t="str">
        <f t="shared" si="36"/>
        <v>KP_KM_1102024</v>
      </c>
      <c r="AW92" s="14">
        <f t="shared" si="37"/>
        <v>1102024</v>
      </c>
      <c r="AX92" s="14" t="str">
        <f t="shared" si="38"/>
        <v>朱仙传记5-1</v>
      </c>
      <c r="AY92" s="14" t="str">
        <f t="shared" si="39"/>
        <v>朱仙传记5-1</v>
      </c>
      <c r="AZ92" s="14" t="str">
        <f t="shared" si="40"/>
        <v>朱仙碎片</v>
      </c>
      <c r="BA92" s="14" t="str">
        <f t="shared" si="41"/>
        <v>1~2</v>
      </c>
      <c r="BB92" s="14" t="str">
        <f t="shared" si="42"/>
        <v>朱仙专属武器碎片</v>
      </c>
      <c r="BC92" s="14">
        <f t="shared" si="43"/>
        <v>1</v>
      </c>
      <c r="BD92" s="96"/>
      <c r="BG92" s="97">
        <v>88</v>
      </c>
      <c r="BH92" s="14">
        <f t="shared" si="44"/>
        <v>10</v>
      </c>
      <c r="BI92" s="14">
        <f t="shared" si="45"/>
        <v>9</v>
      </c>
      <c r="BJ92" s="14">
        <f t="shared" si="46"/>
        <v>3088</v>
      </c>
      <c r="BK92" s="14" t="str">
        <f t="shared" si="47"/>
        <v>西方龙传记7-1</v>
      </c>
      <c r="BM92" s="14" t="str">
        <f t="shared" si="48"/>
        <v>西方龙传记7-1 西方龙碎片</v>
      </c>
      <c r="BN92" s="14" t="str">
        <f t="shared" si="49"/>
        <v>西方龙碎片</v>
      </c>
      <c r="BO92" s="14">
        <f t="shared" si="50"/>
        <v>1</v>
      </c>
      <c r="BP92" s="14">
        <f t="shared" si="51"/>
        <v>2</v>
      </c>
      <c r="BQ92" s="14">
        <v>10000</v>
      </c>
    </row>
    <row r="93" spans="35:69" ht="16.5" x14ac:dyDescent="0.2">
      <c r="AI93" s="96">
        <v>89</v>
      </c>
      <c r="AJ93" s="14">
        <f t="shared" si="28"/>
        <v>15</v>
      </c>
      <c r="AK93" s="14">
        <f t="shared" si="29"/>
        <v>202601</v>
      </c>
      <c r="AL93" s="14">
        <f t="shared" si="30"/>
        <v>2026</v>
      </c>
      <c r="AM93" s="96" t="s">
        <v>886</v>
      </c>
      <c r="AN93" s="14">
        <f t="shared" si="31"/>
        <v>1</v>
      </c>
      <c r="AO93" s="14">
        <f t="shared" si="52"/>
        <v>202602</v>
      </c>
      <c r="AP93" s="14" t="str">
        <f t="shared" si="32"/>
        <v>雷震子传记-1</v>
      </c>
      <c r="AQ93" s="14" t="str">
        <f t="shared" si="33"/>
        <v>雷震子传记-1</v>
      </c>
      <c r="AR93" s="14">
        <f t="shared" si="34"/>
        <v>30</v>
      </c>
      <c r="AS93" s="14" t="str">
        <f t="shared" si="35"/>
        <v/>
      </c>
      <c r="AT93" s="98">
        <v>3</v>
      </c>
      <c r="AU93" s="99" t="s">
        <v>890</v>
      </c>
      <c r="AV93" s="14" t="str">
        <f t="shared" si="36"/>
        <v>KP_KM_1102026</v>
      </c>
      <c r="AW93" s="14">
        <f t="shared" si="37"/>
        <v>1102026</v>
      </c>
      <c r="AX93" s="14" t="str">
        <f t="shared" si="38"/>
        <v>雷震子传记1-1</v>
      </c>
      <c r="AY93" s="14" t="str">
        <f t="shared" si="39"/>
        <v/>
      </c>
      <c r="AZ93" s="14" t="str">
        <f t="shared" si="40"/>
        <v>雷震子碎片</v>
      </c>
      <c r="BA93" s="14">
        <f t="shared" si="41"/>
        <v>1</v>
      </c>
      <c r="BB93" s="14" t="str">
        <f t="shared" si="42"/>
        <v/>
      </c>
      <c r="BC93" s="14" t="str">
        <f t="shared" si="43"/>
        <v/>
      </c>
      <c r="BD93" s="96"/>
      <c r="BG93" s="97">
        <v>89</v>
      </c>
      <c r="BH93" s="14">
        <f t="shared" si="44"/>
        <v>10</v>
      </c>
      <c r="BI93" s="14">
        <f t="shared" si="45"/>
        <v>10</v>
      </c>
      <c r="BJ93" s="14">
        <f t="shared" si="46"/>
        <v>3089</v>
      </c>
      <c r="BK93" s="14" t="str">
        <f t="shared" si="47"/>
        <v>西方龙传记7-2</v>
      </c>
      <c r="BM93" s="14" t="str">
        <f t="shared" si="48"/>
        <v>西方龙传记7-2 西方龙专属武器碎片</v>
      </c>
      <c r="BN93" s="14" t="str">
        <f t="shared" si="49"/>
        <v>西方龙专属武器碎片</v>
      </c>
      <c r="BO93" s="14">
        <f t="shared" si="50"/>
        <v>1</v>
      </c>
      <c r="BP93" s="14">
        <f t="shared" si="51"/>
        <v>1</v>
      </c>
      <c r="BQ93" s="14">
        <v>10000</v>
      </c>
    </row>
    <row r="94" spans="35:69" ht="16.5" x14ac:dyDescent="0.2">
      <c r="AI94" s="96">
        <v>90</v>
      </c>
      <c r="AJ94" s="14">
        <f t="shared" si="28"/>
        <v>15</v>
      </c>
      <c r="AK94" s="14">
        <f t="shared" si="29"/>
        <v>202602</v>
      </c>
      <c r="AL94" s="14">
        <f t="shared" si="30"/>
        <v>2026</v>
      </c>
      <c r="AM94" s="96" t="s">
        <v>886</v>
      </c>
      <c r="AN94" s="14">
        <f t="shared" si="31"/>
        <v>2</v>
      </c>
      <c r="AO94" s="14">
        <f t="shared" si="52"/>
        <v>202603</v>
      </c>
      <c r="AP94" s="14" t="str">
        <f t="shared" si="32"/>
        <v>雷震子传记-2</v>
      </c>
      <c r="AQ94" s="14" t="str">
        <f t="shared" si="33"/>
        <v>雷震子传记-2</v>
      </c>
      <c r="AR94" s="14">
        <f t="shared" si="34"/>
        <v>40</v>
      </c>
      <c r="AS94" s="14" t="str">
        <f t="shared" si="35"/>
        <v/>
      </c>
      <c r="AT94" s="98">
        <v>3</v>
      </c>
      <c r="AU94" s="99" t="s">
        <v>890</v>
      </c>
      <c r="AV94" s="14" t="str">
        <f t="shared" si="36"/>
        <v>KP_KM_1102026</v>
      </c>
      <c r="AW94" s="14">
        <f t="shared" si="37"/>
        <v>1102026</v>
      </c>
      <c r="AX94" s="14" t="str">
        <f t="shared" si="38"/>
        <v>雷震子传记2-1</v>
      </c>
      <c r="AY94" s="14" t="str">
        <f t="shared" si="39"/>
        <v/>
      </c>
      <c r="AZ94" s="14" t="str">
        <f t="shared" si="40"/>
        <v>雷震子碎片</v>
      </c>
      <c r="BA94" s="14">
        <f t="shared" si="41"/>
        <v>1</v>
      </c>
      <c r="BB94" s="14" t="str">
        <f t="shared" si="42"/>
        <v/>
      </c>
      <c r="BC94" s="14" t="str">
        <f t="shared" si="43"/>
        <v/>
      </c>
      <c r="BD94" s="96"/>
      <c r="BG94" s="97">
        <v>90</v>
      </c>
      <c r="BH94" s="14">
        <f t="shared" si="44"/>
        <v>10</v>
      </c>
      <c r="BI94" s="14">
        <f t="shared" si="45"/>
        <v>11</v>
      </c>
      <c r="BJ94" s="14">
        <f t="shared" si="46"/>
        <v>3090</v>
      </c>
      <c r="BK94" s="14" t="str">
        <f t="shared" si="47"/>
        <v>西方龙传记8-1</v>
      </c>
      <c r="BM94" s="14" t="str">
        <f t="shared" si="48"/>
        <v>西方龙传记8-1 西方龙碎片</v>
      </c>
      <c r="BN94" s="14" t="str">
        <f t="shared" si="49"/>
        <v>西方龙碎片</v>
      </c>
      <c r="BO94" s="14">
        <f t="shared" si="50"/>
        <v>2</v>
      </c>
      <c r="BP94" s="14">
        <f t="shared" si="51"/>
        <v>2</v>
      </c>
      <c r="BQ94" s="14">
        <v>10000</v>
      </c>
    </row>
    <row r="95" spans="35:69" ht="16.5" x14ac:dyDescent="0.2">
      <c r="AI95" s="96">
        <v>91</v>
      </c>
      <c r="AJ95" s="14">
        <f t="shared" si="28"/>
        <v>15</v>
      </c>
      <c r="AK95" s="14">
        <f t="shared" si="29"/>
        <v>202603</v>
      </c>
      <c r="AL95" s="14">
        <f t="shared" si="30"/>
        <v>2026</v>
      </c>
      <c r="AM95" s="96" t="s">
        <v>886</v>
      </c>
      <c r="AN95" s="14">
        <f t="shared" si="31"/>
        <v>3</v>
      </c>
      <c r="AO95" s="14">
        <f t="shared" si="52"/>
        <v>202604</v>
      </c>
      <c r="AP95" s="14" t="str">
        <f t="shared" si="32"/>
        <v>雷震子传记-3</v>
      </c>
      <c r="AQ95" s="14" t="str">
        <f t="shared" si="33"/>
        <v>雷震子传记-3</v>
      </c>
      <c r="AR95" s="14">
        <f t="shared" si="34"/>
        <v>55</v>
      </c>
      <c r="AS95" s="14" t="str">
        <f t="shared" si="35"/>
        <v/>
      </c>
      <c r="AT95" s="98">
        <v>3</v>
      </c>
      <c r="AU95" s="99" t="s">
        <v>890</v>
      </c>
      <c r="AV95" s="14" t="str">
        <f t="shared" si="36"/>
        <v>KP_KM_1102026</v>
      </c>
      <c r="AW95" s="14">
        <f t="shared" si="37"/>
        <v>1102026</v>
      </c>
      <c r="AX95" s="14" t="str">
        <f t="shared" si="38"/>
        <v>雷震子传记3-1</v>
      </c>
      <c r="AY95" s="14" t="str">
        <f t="shared" si="39"/>
        <v/>
      </c>
      <c r="AZ95" s="14" t="str">
        <f t="shared" si="40"/>
        <v>雷震子碎片</v>
      </c>
      <c r="BA95" s="14" t="str">
        <f t="shared" si="41"/>
        <v>1~2</v>
      </c>
      <c r="BB95" s="14" t="str">
        <f t="shared" si="42"/>
        <v/>
      </c>
      <c r="BC95" s="14" t="str">
        <f t="shared" si="43"/>
        <v/>
      </c>
      <c r="BD95" s="96"/>
      <c r="BG95" s="97">
        <v>91</v>
      </c>
      <c r="BH95" s="14">
        <f t="shared" si="44"/>
        <v>11</v>
      </c>
      <c r="BI95" s="14">
        <f t="shared" si="45"/>
        <v>1</v>
      </c>
      <c r="BJ95" s="14">
        <f t="shared" si="46"/>
        <v>3091</v>
      </c>
      <c r="BK95" s="14" t="str">
        <f t="shared" si="47"/>
        <v>飞廉传记1-1</v>
      </c>
      <c r="BM95" s="14" t="str">
        <f t="shared" si="48"/>
        <v>飞廉传记1-1 飞廉碎片</v>
      </c>
      <c r="BN95" s="14" t="str">
        <f t="shared" si="49"/>
        <v>飞廉碎片</v>
      </c>
      <c r="BO95" s="14">
        <f t="shared" si="50"/>
        <v>1</v>
      </c>
      <c r="BP95" s="14">
        <f t="shared" si="51"/>
        <v>1</v>
      </c>
      <c r="BQ95" s="14">
        <v>10000</v>
      </c>
    </row>
    <row r="96" spans="35:69" ht="16.5" x14ac:dyDescent="0.2">
      <c r="AI96" s="96">
        <v>92</v>
      </c>
      <c r="AJ96" s="14">
        <f t="shared" si="28"/>
        <v>15</v>
      </c>
      <c r="AK96" s="14">
        <f t="shared" si="29"/>
        <v>202604</v>
      </c>
      <c r="AL96" s="14">
        <f t="shared" si="30"/>
        <v>2026</v>
      </c>
      <c r="AM96" s="96" t="s">
        <v>886</v>
      </c>
      <c r="AN96" s="14">
        <f t="shared" si="31"/>
        <v>4</v>
      </c>
      <c r="AO96" s="14">
        <f t="shared" si="52"/>
        <v>202605</v>
      </c>
      <c r="AP96" s="14" t="str">
        <f t="shared" si="32"/>
        <v>雷震子传记-4</v>
      </c>
      <c r="AQ96" s="14" t="str">
        <f t="shared" si="33"/>
        <v>雷震子传记-4</v>
      </c>
      <c r="AR96" s="14">
        <f t="shared" si="34"/>
        <v>70</v>
      </c>
      <c r="AS96" s="14" t="str">
        <f t="shared" si="35"/>
        <v/>
      </c>
      <c r="AT96" s="98">
        <v>3</v>
      </c>
      <c r="AU96" s="99" t="s">
        <v>890</v>
      </c>
      <c r="AV96" s="14" t="str">
        <f t="shared" si="36"/>
        <v>KP_KM_1102026</v>
      </c>
      <c r="AW96" s="14">
        <f t="shared" si="37"/>
        <v>1102026</v>
      </c>
      <c r="AX96" s="14" t="str">
        <f t="shared" si="38"/>
        <v>雷震子传记4-1</v>
      </c>
      <c r="AY96" s="14" t="str">
        <f t="shared" si="39"/>
        <v/>
      </c>
      <c r="AZ96" s="14" t="str">
        <f t="shared" si="40"/>
        <v>雷震子专属武器碎片</v>
      </c>
      <c r="BA96" s="14">
        <f t="shared" si="41"/>
        <v>1</v>
      </c>
      <c r="BB96" s="14" t="str">
        <f t="shared" si="42"/>
        <v/>
      </c>
      <c r="BC96" s="14" t="str">
        <f t="shared" si="43"/>
        <v/>
      </c>
      <c r="BD96" s="96"/>
      <c r="BG96" s="97">
        <v>92</v>
      </c>
      <c r="BH96" s="14">
        <f t="shared" si="44"/>
        <v>11</v>
      </c>
      <c r="BI96" s="14">
        <f t="shared" si="45"/>
        <v>2</v>
      </c>
      <c r="BJ96" s="14">
        <f t="shared" si="46"/>
        <v>3092</v>
      </c>
      <c r="BK96" s="14" t="str">
        <f t="shared" si="47"/>
        <v>飞廉传记2-1</v>
      </c>
      <c r="BM96" s="14" t="str">
        <f t="shared" si="48"/>
        <v>飞廉传记2-1 飞廉碎片</v>
      </c>
      <c r="BN96" s="14" t="str">
        <f t="shared" si="49"/>
        <v>飞廉碎片</v>
      </c>
      <c r="BO96" s="14">
        <f t="shared" si="50"/>
        <v>1</v>
      </c>
      <c r="BP96" s="14">
        <f t="shared" si="51"/>
        <v>1</v>
      </c>
      <c r="BQ96" s="14">
        <v>10000</v>
      </c>
    </row>
    <row r="97" spans="35:69" ht="16.5" x14ac:dyDescent="0.2">
      <c r="AI97" s="96">
        <v>93</v>
      </c>
      <c r="AJ97" s="14">
        <f t="shared" si="28"/>
        <v>15</v>
      </c>
      <c r="AK97" s="14">
        <f t="shared" si="29"/>
        <v>202605</v>
      </c>
      <c r="AL97" s="14">
        <f t="shared" si="30"/>
        <v>2026</v>
      </c>
      <c r="AM97" s="96" t="s">
        <v>886</v>
      </c>
      <c r="AN97" s="14">
        <f t="shared" si="31"/>
        <v>5</v>
      </c>
      <c r="AO97" s="14">
        <f t="shared" si="52"/>
        <v>-1</v>
      </c>
      <c r="AP97" s="14" t="str">
        <f t="shared" si="32"/>
        <v>雷震子传记-5</v>
      </c>
      <c r="AQ97" s="14" t="str">
        <f t="shared" si="33"/>
        <v>雷震子传记-5</v>
      </c>
      <c r="AR97" s="14">
        <f t="shared" si="34"/>
        <v>80</v>
      </c>
      <c r="AS97" s="14" t="str">
        <f t="shared" si="35"/>
        <v/>
      </c>
      <c r="AT97" s="98">
        <v>3</v>
      </c>
      <c r="AU97" s="99" t="s">
        <v>890</v>
      </c>
      <c r="AV97" s="14" t="str">
        <f t="shared" si="36"/>
        <v>KP_KM_1102026</v>
      </c>
      <c r="AW97" s="14">
        <f t="shared" si="37"/>
        <v>1102026</v>
      </c>
      <c r="AX97" s="14" t="str">
        <f t="shared" si="38"/>
        <v>雷震子传记5-1</v>
      </c>
      <c r="AY97" s="14" t="str">
        <f t="shared" si="39"/>
        <v>雷震子传记5-1</v>
      </c>
      <c r="AZ97" s="14" t="str">
        <f t="shared" si="40"/>
        <v>雷震子碎片</v>
      </c>
      <c r="BA97" s="14" t="str">
        <f t="shared" si="41"/>
        <v>1~2</v>
      </c>
      <c r="BB97" s="14" t="str">
        <f t="shared" si="42"/>
        <v>雷震子专属武器碎片</v>
      </c>
      <c r="BC97" s="14">
        <f t="shared" si="43"/>
        <v>1</v>
      </c>
      <c r="BD97" s="96"/>
      <c r="BG97" s="97">
        <v>93</v>
      </c>
      <c r="BH97" s="14">
        <f t="shared" si="44"/>
        <v>11</v>
      </c>
      <c r="BI97" s="14">
        <f t="shared" si="45"/>
        <v>3</v>
      </c>
      <c r="BJ97" s="14">
        <f t="shared" si="46"/>
        <v>3093</v>
      </c>
      <c r="BK97" s="14" t="str">
        <f t="shared" si="47"/>
        <v>飞廉传记3-1</v>
      </c>
      <c r="BM97" s="14" t="str">
        <f t="shared" si="48"/>
        <v>飞廉传记3-1 飞廉碎片</v>
      </c>
      <c r="BN97" s="14" t="str">
        <f t="shared" si="49"/>
        <v>飞廉碎片</v>
      </c>
      <c r="BO97" s="14">
        <f t="shared" si="50"/>
        <v>1</v>
      </c>
      <c r="BP97" s="14">
        <f t="shared" si="51"/>
        <v>2</v>
      </c>
      <c r="BQ97" s="14">
        <v>10000</v>
      </c>
    </row>
    <row r="98" spans="35:69" ht="16.5" x14ac:dyDescent="0.2">
      <c r="AI98" s="96">
        <v>94</v>
      </c>
      <c r="AJ98" s="14">
        <f t="shared" si="28"/>
        <v>16</v>
      </c>
      <c r="AK98" s="14">
        <f t="shared" si="29"/>
        <v>203001</v>
      </c>
      <c r="AL98" s="14">
        <f t="shared" si="30"/>
        <v>2030</v>
      </c>
      <c r="AM98" s="96" t="s">
        <v>886</v>
      </c>
      <c r="AN98" s="14">
        <f t="shared" si="31"/>
        <v>1</v>
      </c>
      <c r="AO98" s="14">
        <f t="shared" si="52"/>
        <v>203002</v>
      </c>
      <c r="AP98" s="14" t="str">
        <f t="shared" si="32"/>
        <v>燕青传记-1</v>
      </c>
      <c r="AQ98" s="14" t="str">
        <f t="shared" si="33"/>
        <v>燕青传记-1</v>
      </c>
      <c r="AR98" s="14">
        <f t="shared" si="34"/>
        <v>30</v>
      </c>
      <c r="AS98" s="14" t="str">
        <f t="shared" si="35"/>
        <v/>
      </c>
      <c r="AT98" s="98">
        <v>3</v>
      </c>
      <c r="AU98" s="99" t="s">
        <v>890</v>
      </c>
      <c r="AV98" s="14" t="str">
        <f t="shared" si="36"/>
        <v>KP_KM_1102030</v>
      </c>
      <c r="AW98" s="14">
        <f t="shared" si="37"/>
        <v>1102030</v>
      </c>
      <c r="AX98" s="14" t="str">
        <f t="shared" si="38"/>
        <v>燕青传记1-1</v>
      </c>
      <c r="AY98" s="14" t="str">
        <f t="shared" si="39"/>
        <v/>
      </c>
      <c r="AZ98" s="14" t="str">
        <f t="shared" si="40"/>
        <v>燕青碎片</v>
      </c>
      <c r="BA98" s="14">
        <f t="shared" si="41"/>
        <v>1</v>
      </c>
      <c r="BB98" s="14" t="str">
        <f t="shared" si="42"/>
        <v/>
      </c>
      <c r="BC98" s="14" t="str">
        <f t="shared" si="43"/>
        <v/>
      </c>
      <c r="BD98" s="96"/>
      <c r="BG98" s="97">
        <v>94</v>
      </c>
      <c r="BH98" s="14">
        <f t="shared" si="44"/>
        <v>11</v>
      </c>
      <c r="BI98" s="14">
        <f t="shared" si="45"/>
        <v>4</v>
      </c>
      <c r="BJ98" s="14">
        <f t="shared" si="46"/>
        <v>3094</v>
      </c>
      <c r="BK98" s="14" t="str">
        <f t="shared" si="47"/>
        <v>飞廉传记4-1</v>
      </c>
      <c r="BM98" s="14" t="str">
        <f t="shared" si="48"/>
        <v>飞廉传记4-1 飞廉专属武器碎片</v>
      </c>
      <c r="BN98" s="14" t="str">
        <f t="shared" si="49"/>
        <v>飞廉专属武器碎片</v>
      </c>
      <c r="BO98" s="14">
        <f t="shared" si="50"/>
        <v>1</v>
      </c>
      <c r="BP98" s="14">
        <f t="shared" si="51"/>
        <v>1</v>
      </c>
      <c r="BQ98" s="14">
        <v>10000</v>
      </c>
    </row>
    <row r="99" spans="35:69" ht="16.5" x14ac:dyDescent="0.2">
      <c r="AI99" s="96">
        <v>95</v>
      </c>
      <c r="AJ99" s="14">
        <f t="shared" si="28"/>
        <v>16</v>
      </c>
      <c r="AK99" s="14">
        <f t="shared" si="29"/>
        <v>203002</v>
      </c>
      <c r="AL99" s="14">
        <f t="shared" si="30"/>
        <v>2030</v>
      </c>
      <c r="AM99" s="96" t="s">
        <v>886</v>
      </c>
      <c r="AN99" s="14">
        <f t="shared" si="31"/>
        <v>2</v>
      </c>
      <c r="AO99" s="14">
        <f t="shared" si="52"/>
        <v>203003</v>
      </c>
      <c r="AP99" s="14" t="str">
        <f t="shared" si="32"/>
        <v>燕青传记-2</v>
      </c>
      <c r="AQ99" s="14" t="str">
        <f t="shared" si="33"/>
        <v>燕青传记-2</v>
      </c>
      <c r="AR99" s="14">
        <f t="shared" si="34"/>
        <v>40</v>
      </c>
      <c r="AS99" s="14" t="str">
        <f t="shared" si="35"/>
        <v/>
      </c>
      <c r="AT99" s="98">
        <v>3</v>
      </c>
      <c r="AU99" s="99" t="s">
        <v>890</v>
      </c>
      <c r="AV99" s="14" t="str">
        <f t="shared" si="36"/>
        <v>KP_KM_1102030</v>
      </c>
      <c r="AW99" s="14">
        <f t="shared" si="37"/>
        <v>1102030</v>
      </c>
      <c r="AX99" s="14" t="str">
        <f t="shared" si="38"/>
        <v>燕青传记2-1</v>
      </c>
      <c r="AY99" s="14" t="str">
        <f t="shared" si="39"/>
        <v/>
      </c>
      <c r="AZ99" s="14" t="str">
        <f t="shared" si="40"/>
        <v>燕青碎片</v>
      </c>
      <c r="BA99" s="14">
        <f t="shared" si="41"/>
        <v>1</v>
      </c>
      <c r="BB99" s="14" t="str">
        <f t="shared" si="42"/>
        <v/>
      </c>
      <c r="BC99" s="14" t="str">
        <f t="shared" si="43"/>
        <v/>
      </c>
      <c r="BD99" s="96"/>
      <c r="BG99" s="97">
        <v>95</v>
      </c>
      <c r="BH99" s="14">
        <f t="shared" si="44"/>
        <v>11</v>
      </c>
      <c r="BI99" s="14">
        <f t="shared" si="45"/>
        <v>5</v>
      </c>
      <c r="BJ99" s="14">
        <f t="shared" si="46"/>
        <v>3095</v>
      </c>
      <c r="BK99" s="14" t="str">
        <f t="shared" si="47"/>
        <v>飞廉传记5-1</v>
      </c>
      <c r="BM99" s="14" t="str">
        <f t="shared" si="48"/>
        <v>飞廉传记5-1 飞廉碎片</v>
      </c>
      <c r="BN99" s="14" t="str">
        <f t="shared" si="49"/>
        <v>飞廉碎片</v>
      </c>
      <c r="BO99" s="14">
        <f t="shared" si="50"/>
        <v>1</v>
      </c>
      <c r="BP99" s="14">
        <f t="shared" si="51"/>
        <v>2</v>
      </c>
      <c r="BQ99" s="14">
        <v>10000</v>
      </c>
    </row>
    <row r="100" spans="35:69" ht="16.5" x14ac:dyDescent="0.2">
      <c r="AI100" s="96">
        <v>96</v>
      </c>
      <c r="AJ100" s="14">
        <f t="shared" si="28"/>
        <v>16</v>
      </c>
      <c r="AK100" s="14">
        <f t="shared" si="29"/>
        <v>203003</v>
      </c>
      <c r="AL100" s="14">
        <f t="shared" si="30"/>
        <v>2030</v>
      </c>
      <c r="AM100" s="96" t="s">
        <v>886</v>
      </c>
      <c r="AN100" s="14">
        <f t="shared" si="31"/>
        <v>3</v>
      </c>
      <c r="AO100" s="14">
        <f t="shared" si="52"/>
        <v>203004</v>
      </c>
      <c r="AP100" s="14" t="str">
        <f t="shared" si="32"/>
        <v>燕青传记-3</v>
      </c>
      <c r="AQ100" s="14" t="str">
        <f t="shared" si="33"/>
        <v>燕青传记-3</v>
      </c>
      <c r="AR100" s="14">
        <f t="shared" si="34"/>
        <v>55</v>
      </c>
      <c r="AS100" s="14" t="str">
        <f t="shared" si="35"/>
        <v/>
      </c>
      <c r="AT100" s="98">
        <v>3</v>
      </c>
      <c r="AU100" s="99" t="s">
        <v>890</v>
      </c>
      <c r="AV100" s="14" t="str">
        <f t="shared" si="36"/>
        <v>KP_KM_1102030</v>
      </c>
      <c r="AW100" s="14">
        <f t="shared" si="37"/>
        <v>1102030</v>
      </c>
      <c r="AX100" s="14" t="str">
        <f t="shared" si="38"/>
        <v>燕青传记3-1</v>
      </c>
      <c r="AY100" s="14" t="str">
        <f t="shared" si="39"/>
        <v/>
      </c>
      <c r="AZ100" s="14" t="str">
        <f t="shared" si="40"/>
        <v>燕青碎片</v>
      </c>
      <c r="BA100" s="14" t="str">
        <f t="shared" si="41"/>
        <v>1~2</v>
      </c>
      <c r="BB100" s="14" t="str">
        <f t="shared" si="42"/>
        <v/>
      </c>
      <c r="BC100" s="14" t="str">
        <f t="shared" si="43"/>
        <v/>
      </c>
      <c r="BD100" s="96"/>
      <c r="BG100" s="97">
        <v>96</v>
      </c>
      <c r="BH100" s="14">
        <f t="shared" si="44"/>
        <v>11</v>
      </c>
      <c r="BI100" s="14">
        <f t="shared" si="45"/>
        <v>6</v>
      </c>
      <c r="BJ100" s="14">
        <f t="shared" si="46"/>
        <v>3096</v>
      </c>
      <c r="BK100" s="14" t="str">
        <f t="shared" si="47"/>
        <v>飞廉传记5-2</v>
      </c>
      <c r="BM100" s="14" t="str">
        <f t="shared" si="48"/>
        <v>飞廉传记5-2 飞廉专属武器碎片</v>
      </c>
      <c r="BN100" s="14" t="str">
        <f t="shared" si="49"/>
        <v>飞廉专属武器碎片</v>
      </c>
      <c r="BO100" s="14">
        <f t="shared" si="50"/>
        <v>1</v>
      </c>
      <c r="BP100" s="14">
        <f t="shared" si="51"/>
        <v>1</v>
      </c>
      <c r="BQ100" s="14">
        <v>10000</v>
      </c>
    </row>
    <row r="101" spans="35:69" ht="16.5" x14ac:dyDescent="0.2">
      <c r="AI101" s="96">
        <v>97</v>
      </c>
      <c r="AJ101" s="14">
        <f t="shared" si="28"/>
        <v>16</v>
      </c>
      <c r="AK101" s="14">
        <f t="shared" si="29"/>
        <v>203004</v>
      </c>
      <c r="AL101" s="14">
        <f t="shared" si="30"/>
        <v>2030</v>
      </c>
      <c r="AM101" s="96" t="s">
        <v>886</v>
      </c>
      <c r="AN101" s="14">
        <f t="shared" si="31"/>
        <v>4</v>
      </c>
      <c r="AO101" s="14">
        <f t="shared" si="52"/>
        <v>203005</v>
      </c>
      <c r="AP101" s="14" t="str">
        <f t="shared" si="32"/>
        <v>燕青传记-4</v>
      </c>
      <c r="AQ101" s="14" t="str">
        <f t="shared" si="33"/>
        <v>燕青传记-4</v>
      </c>
      <c r="AR101" s="14">
        <f t="shared" si="34"/>
        <v>70</v>
      </c>
      <c r="AS101" s="14" t="str">
        <f t="shared" si="35"/>
        <v/>
      </c>
      <c r="AT101" s="98">
        <v>3</v>
      </c>
      <c r="AU101" s="99" t="s">
        <v>890</v>
      </c>
      <c r="AV101" s="14" t="str">
        <f t="shared" si="36"/>
        <v>KP_KM_1102030</v>
      </c>
      <c r="AW101" s="14">
        <f t="shared" si="37"/>
        <v>1102030</v>
      </c>
      <c r="AX101" s="14" t="str">
        <f t="shared" si="38"/>
        <v>燕青传记4-1</v>
      </c>
      <c r="AY101" s="14" t="str">
        <f t="shared" si="39"/>
        <v/>
      </c>
      <c r="AZ101" s="14" t="str">
        <f t="shared" si="40"/>
        <v>燕青专属武器碎片</v>
      </c>
      <c r="BA101" s="14">
        <f t="shared" si="41"/>
        <v>1</v>
      </c>
      <c r="BB101" s="14" t="str">
        <f t="shared" si="42"/>
        <v/>
      </c>
      <c r="BC101" s="14" t="str">
        <f t="shared" si="43"/>
        <v/>
      </c>
      <c r="BD101" s="96"/>
      <c r="BG101" s="97">
        <v>97</v>
      </c>
      <c r="BH101" s="14">
        <f t="shared" si="44"/>
        <v>12</v>
      </c>
      <c r="BI101" s="14">
        <f t="shared" si="45"/>
        <v>1</v>
      </c>
      <c r="BJ101" s="14">
        <f t="shared" si="46"/>
        <v>3097</v>
      </c>
      <c r="BK101" s="14" t="str">
        <f t="shared" si="47"/>
        <v>高顺传记1-1</v>
      </c>
      <c r="BM101" s="14" t="str">
        <f t="shared" si="48"/>
        <v>高顺传记1-1 高顺碎片</v>
      </c>
      <c r="BN101" s="14" t="str">
        <f t="shared" si="49"/>
        <v>高顺碎片</v>
      </c>
      <c r="BO101" s="14">
        <f t="shared" si="50"/>
        <v>1</v>
      </c>
      <c r="BP101" s="14">
        <f t="shared" si="51"/>
        <v>1</v>
      </c>
      <c r="BQ101" s="14">
        <v>10000</v>
      </c>
    </row>
    <row r="102" spans="35:69" ht="16.5" x14ac:dyDescent="0.2">
      <c r="AI102" s="96">
        <v>98</v>
      </c>
      <c r="AJ102" s="14">
        <f t="shared" si="28"/>
        <v>16</v>
      </c>
      <c r="AK102" s="14">
        <f t="shared" si="29"/>
        <v>203005</v>
      </c>
      <c r="AL102" s="14">
        <f t="shared" si="30"/>
        <v>2030</v>
      </c>
      <c r="AM102" s="96" t="s">
        <v>886</v>
      </c>
      <c r="AN102" s="14">
        <f t="shared" si="31"/>
        <v>5</v>
      </c>
      <c r="AO102" s="14">
        <f t="shared" si="52"/>
        <v>-1</v>
      </c>
      <c r="AP102" s="14" t="str">
        <f t="shared" si="32"/>
        <v>燕青传记-5</v>
      </c>
      <c r="AQ102" s="14" t="str">
        <f t="shared" si="33"/>
        <v>燕青传记-5</v>
      </c>
      <c r="AR102" s="14">
        <f t="shared" si="34"/>
        <v>80</v>
      </c>
      <c r="AS102" s="14" t="str">
        <f t="shared" si="35"/>
        <v/>
      </c>
      <c r="AT102" s="98">
        <v>3</v>
      </c>
      <c r="AU102" s="99" t="s">
        <v>890</v>
      </c>
      <c r="AV102" s="14" t="str">
        <f t="shared" si="36"/>
        <v>KP_KM_1102030</v>
      </c>
      <c r="AW102" s="14">
        <f t="shared" si="37"/>
        <v>1102030</v>
      </c>
      <c r="AX102" s="14" t="str">
        <f t="shared" si="38"/>
        <v>燕青传记5-1</v>
      </c>
      <c r="AY102" s="14" t="str">
        <f t="shared" si="39"/>
        <v>燕青传记5-1</v>
      </c>
      <c r="AZ102" s="14" t="str">
        <f t="shared" si="40"/>
        <v>燕青碎片</v>
      </c>
      <c r="BA102" s="14" t="str">
        <f t="shared" si="41"/>
        <v>1~2</v>
      </c>
      <c r="BB102" s="14" t="str">
        <f t="shared" si="42"/>
        <v>燕青专属武器碎片</v>
      </c>
      <c r="BC102" s="14">
        <f t="shared" si="43"/>
        <v>1</v>
      </c>
      <c r="BD102" s="96"/>
      <c r="BG102" s="97">
        <v>98</v>
      </c>
      <c r="BH102" s="14">
        <f t="shared" si="44"/>
        <v>12</v>
      </c>
      <c r="BI102" s="14">
        <f t="shared" si="45"/>
        <v>2</v>
      </c>
      <c r="BJ102" s="14">
        <f t="shared" si="46"/>
        <v>3098</v>
      </c>
      <c r="BK102" s="14" t="str">
        <f t="shared" si="47"/>
        <v>高顺传记2-1</v>
      </c>
      <c r="BM102" s="14" t="str">
        <f t="shared" si="48"/>
        <v>高顺传记2-1 高顺碎片</v>
      </c>
      <c r="BN102" s="14" t="str">
        <f t="shared" si="49"/>
        <v>高顺碎片</v>
      </c>
      <c r="BO102" s="14">
        <f t="shared" si="50"/>
        <v>1</v>
      </c>
      <c r="BP102" s="14">
        <f t="shared" si="51"/>
        <v>1</v>
      </c>
      <c r="BQ102" s="14">
        <v>10000</v>
      </c>
    </row>
    <row r="103" spans="35:69" ht="16.5" x14ac:dyDescent="0.2">
      <c r="AI103" s="96">
        <v>99</v>
      </c>
      <c r="AJ103" s="14">
        <f t="shared" si="28"/>
        <v>17</v>
      </c>
      <c r="AK103" s="14">
        <f t="shared" si="29"/>
        <v>203101</v>
      </c>
      <c r="AL103" s="14">
        <f t="shared" si="30"/>
        <v>2031</v>
      </c>
      <c r="AM103" s="96" t="s">
        <v>886</v>
      </c>
      <c r="AN103" s="14">
        <f t="shared" si="31"/>
        <v>1</v>
      </c>
      <c r="AO103" s="14">
        <f t="shared" si="52"/>
        <v>203102</v>
      </c>
      <c r="AP103" s="14" t="str">
        <f t="shared" si="32"/>
        <v>秦琼传记-1</v>
      </c>
      <c r="AQ103" s="14" t="str">
        <f t="shared" si="33"/>
        <v>秦琼传记-1</v>
      </c>
      <c r="AR103" s="14">
        <f t="shared" si="34"/>
        <v>30</v>
      </c>
      <c r="AS103" s="14" t="str">
        <f t="shared" si="35"/>
        <v/>
      </c>
      <c r="AT103" s="98">
        <v>3</v>
      </c>
      <c r="AU103" s="99" t="s">
        <v>890</v>
      </c>
      <c r="AV103" s="14" t="str">
        <f t="shared" si="36"/>
        <v>KP_KM_1102031</v>
      </c>
      <c r="AW103" s="14">
        <f t="shared" si="37"/>
        <v>1102031</v>
      </c>
      <c r="AX103" s="14" t="str">
        <f t="shared" si="38"/>
        <v>秦琼传记1-1</v>
      </c>
      <c r="AY103" s="14" t="str">
        <f t="shared" si="39"/>
        <v/>
      </c>
      <c r="AZ103" s="14" t="str">
        <f t="shared" si="40"/>
        <v>秦琼碎片</v>
      </c>
      <c r="BA103" s="14">
        <f t="shared" si="41"/>
        <v>1</v>
      </c>
      <c r="BB103" s="14" t="str">
        <f t="shared" si="42"/>
        <v/>
      </c>
      <c r="BC103" s="14" t="str">
        <f t="shared" si="43"/>
        <v/>
      </c>
      <c r="BD103" s="96"/>
      <c r="BG103" s="97">
        <v>99</v>
      </c>
      <c r="BH103" s="14">
        <f t="shared" si="44"/>
        <v>12</v>
      </c>
      <c r="BI103" s="14">
        <f t="shared" si="45"/>
        <v>3</v>
      </c>
      <c r="BJ103" s="14">
        <f t="shared" si="46"/>
        <v>3099</v>
      </c>
      <c r="BK103" s="14" t="str">
        <f t="shared" si="47"/>
        <v>高顺传记3-1</v>
      </c>
      <c r="BM103" s="14" t="str">
        <f t="shared" si="48"/>
        <v>高顺传记3-1 高顺碎片</v>
      </c>
      <c r="BN103" s="14" t="str">
        <f t="shared" si="49"/>
        <v>高顺碎片</v>
      </c>
      <c r="BO103" s="14">
        <f t="shared" si="50"/>
        <v>1</v>
      </c>
      <c r="BP103" s="14">
        <f t="shared" si="51"/>
        <v>2</v>
      </c>
      <c r="BQ103" s="14">
        <v>10000</v>
      </c>
    </row>
    <row r="104" spans="35:69" ht="16.5" x14ac:dyDescent="0.2">
      <c r="AI104" s="96">
        <v>100</v>
      </c>
      <c r="AJ104" s="14">
        <f t="shared" si="28"/>
        <v>17</v>
      </c>
      <c r="AK104" s="14">
        <f t="shared" si="29"/>
        <v>203102</v>
      </c>
      <c r="AL104" s="14">
        <f t="shared" si="30"/>
        <v>2031</v>
      </c>
      <c r="AM104" s="96" t="s">
        <v>886</v>
      </c>
      <c r="AN104" s="14">
        <f t="shared" si="31"/>
        <v>2</v>
      </c>
      <c r="AO104" s="14">
        <f t="shared" si="52"/>
        <v>203103</v>
      </c>
      <c r="AP104" s="14" t="str">
        <f t="shared" si="32"/>
        <v>秦琼传记-2</v>
      </c>
      <c r="AQ104" s="14" t="str">
        <f t="shared" si="33"/>
        <v>秦琼传记-2</v>
      </c>
      <c r="AR104" s="14">
        <f t="shared" si="34"/>
        <v>40</v>
      </c>
      <c r="AS104" s="14" t="str">
        <f t="shared" si="35"/>
        <v/>
      </c>
      <c r="AT104" s="98">
        <v>3</v>
      </c>
      <c r="AU104" s="99" t="s">
        <v>890</v>
      </c>
      <c r="AV104" s="14" t="str">
        <f t="shared" si="36"/>
        <v>KP_KM_1102031</v>
      </c>
      <c r="AW104" s="14">
        <f t="shared" si="37"/>
        <v>1102031</v>
      </c>
      <c r="AX104" s="14" t="str">
        <f t="shared" si="38"/>
        <v>秦琼传记2-1</v>
      </c>
      <c r="AY104" s="14" t="str">
        <f t="shared" si="39"/>
        <v/>
      </c>
      <c r="AZ104" s="14" t="str">
        <f t="shared" si="40"/>
        <v>秦琼碎片</v>
      </c>
      <c r="BA104" s="14">
        <f t="shared" si="41"/>
        <v>1</v>
      </c>
      <c r="BB104" s="14" t="str">
        <f t="shared" si="42"/>
        <v/>
      </c>
      <c r="BC104" s="14" t="str">
        <f t="shared" si="43"/>
        <v/>
      </c>
      <c r="BD104" s="96"/>
      <c r="BG104" s="97">
        <v>100</v>
      </c>
      <c r="BH104" s="14">
        <f t="shared" si="44"/>
        <v>12</v>
      </c>
      <c r="BI104" s="14">
        <f t="shared" si="45"/>
        <v>4</v>
      </c>
      <c r="BJ104" s="14">
        <f t="shared" si="46"/>
        <v>3100</v>
      </c>
      <c r="BK104" s="14" t="str">
        <f t="shared" si="47"/>
        <v>高顺传记4-1</v>
      </c>
      <c r="BM104" s="14" t="str">
        <f t="shared" si="48"/>
        <v>高顺传记4-1 高顺专属武器碎片</v>
      </c>
      <c r="BN104" s="14" t="str">
        <f t="shared" si="49"/>
        <v>高顺专属武器碎片</v>
      </c>
      <c r="BO104" s="14">
        <f t="shared" si="50"/>
        <v>1</v>
      </c>
      <c r="BP104" s="14">
        <f t="shared" si="51"/>
        <v>1</v>
      </c>
      <c r="BQ104" s="14">
        <v>10000</v>
      </c>
    </row>
    <row r="105" spans="35:69" ht="16.5" x14ac:dyDescent="0.2">
      <c r="AI105" s="96">
        <v>101</v>
      </c>
      <c r="AJ105" s="14">
        <f t="shared" si="28"/>
        <v>17</v>
      </c>
      <c r="AK105" s="14">
        <f t="shared" si="29"/>
        <v>203103</v>
      </c>
      <c r="AL105" s="14">
        <f t="shared" si="30"/>
        <v>2031</v>
      </c>
      <c r="AM105" s="96" t="s">
        <v>886</v>
      </c>
      <c r="AN105" s="14">
        <f t="shared" si="31"/>
        <v>3</v>
      </c>
      <c r="AO105" s="14">
        <f t="shared" si="52"/>
        <v>203104</v>
      </c>
      <c r="AP105" s="14" t="str">
        <f t="shared" si="32"/>
        <v>秦琼传记-3</v>
      </c>
      <c r="AQ105" s="14" t="str">
        <f t="shared" si="33"/>
        <v>秦琼传记-3</v>
      </c>
      <c r="AR105" s="14">
        <f t="shared" si="34"/>
        <v>55</v>
      </c>
      <c r="AS105" s="14" t="str">
        <f t="shared" si="35"/>
        <v/>
      </c>
      <c r="AT105" s="98">
        <v>3</v>
      </c>
      <c r="AU105" s="99" t="s">
        <v>890</v>
      </c>
      <c r="AV105" s="14" t="str">
        <f t="shared" si="36"/>
        <v>KP_KM_1102031</v>
      </c>
      <c r="AW105" s="14">
        <f t="shared" si="37"/>
        <v>1102031</v>
      </c>
      <c r="AX105" s="14" t="str">
        <f t="shared" si="38"/>
        <v>秦琼传记3-1</v>
      </c>
      <c r="AY105" s="14" t="str">
        <f t="shared" si="39"/>
        <v/>
      </c>
      <c r="AZ105" s="14" t="str">
        <f t="shared" si="40"/>
        <v>秦琼碎片</v>
      </c>
      <c r="BA105" s="14" t="str">
        <f t="shared" si="41"/>
        <v>1~2</v>
      </c>
      <c r="BB105" s="14" t="str">
        <f t="shared" si="42"/>
        <v/>
      </c>
      <c r="BC105" s="14" t="str">
        <f t="shared" si="43"/>
        <v/>
      </c>
      <c r="BD105" s="96"/>
      <c r="BG105" s="97">
        <v>101</v>
      </c>
      <c r="BH105" s="14">
        <f t="shared" si="44"/>
        <v>12</v>
      </c>
      <c r="BI105" s="14">
        <f t="shared" si="45"/>
        <v>5</v>
      </c>
      <c r="BJ105" s="14">
        <f t="shared" si="46"/>
        <v>3101</v>
      </c>
      <c r="BK105" s="14" t="str">
        <f t="shared" si="47"/>
        <v>高顺传记5-1</v>
      </c>
      <c r="BM105" s="14" t="str">
        <f t="shared" si="48"/>
        <v>高顺传记5-1 高顺碎片</v>
      </c>
      <c r="BN105" s="14" t="str">
        <f t="shared" si="49"/>
        <v>高顺碎片</v>
      </c>
      <c r="BO105" s="14">
        <f t="shared" si="50"/>
        <v>1</v>
      </c>
      <c r="BP105" s="14">
        <f t="shared" si="51"/>
        <v>2</v>
      </c>
      <c r="BQ105" s="14">
        <v>10000</v>
      </c>
    </row>
    <row r="106" spans="35:69" ht="16.5" x14ac:dyDescent="0.2">
      <c r="AI106" s="96">
        <v>102</v>
      </c>
      <c r="AJ106" s="14">
        <f t="shared" si="28"/>
        <v>17</v>
      </c>
      <c r="AK106" s="14">
        <f t="shared" si="29"/>
        <v>203104</v>
      </c>
      <c r="AL106" s="14">
        <f t="shared" si="30"/>
        <v>2031</v>
      </c>
      <c r="AM106" s="96" t="s">
        <v>886</v>
      </c>
      <c r="AN106" s="14">
        <f t="shared" si="31"/>
        <v>4</v>
      </c>
      <c r="AO106" s="14">
        <f t="shared" si="52"/>
        <v>203105</v>
      </c>
      <c r="AP106" s="14" t="str">
        <f t="shared" si="32"/>
        <v>秦琼传记-4</v>
      </c>
      <c r="AQ106" s="14" t="str">
        <f t="shared" si="33"/>
        <v>秦琼传记-4</v>
      </c>
      <c r="AR106" s="14">
        <f t="shared" si="34"/>
        <v>70</v>
      </c>
      <c r="AS106" s="14" t="str">
        <f t="shared" si="35"/>
        <v/>
      </c>
      <c r="AT106" s="98">
        <v>3</v>
      </c>
      <c r="AU106" s="99" t="s">
        <v>890</v>
      </c>
      <c r="AV106" s="14" t="str">
        <f t="shared" si="36"/>
        <v>KP_KM_1102031</v>
      </c>
      <c r="AW106" s="14">
        <f t="shared" si="37"/>
        <v>1102031</v>
      </c>
      <c r="AX106" s="14" t="str">
        <f t="shared" si="38"/>
        <v>秦琼传记4-1</v>
      </c>
      <c r="AY106" s="14" t="str">
        <f t="shared" si="39"/>
        <v/>
      </c>
      <c r="AZ106" s="14" t="str">
        <f t="shared" si="40"/>
        <v>秦琼专属武器碎片</v>
      </c>
      <c r="BA106" s="14">
        <f t="shared" si="41"/>
        <v>1</v>
      </c>
      <c r="BB106" s="14" t="str">
        <f t="shared" si="42"/>
        <v/>
      </c>
      <c r="BC106" s="14" t="str">
        <f t="shared" si="43"/>
        <v/>
      </c>
      <c r="BD106" s="96"/>
      <c r="BG106" s="97">
        <v>102</v>
      </c>
      <c r="BH106" s="14">
        <f t="shared" si="44"/>
        <v>12</v>
      </c>
      <c r="BI106" s="14">
        <f t="shared" si="45"/>
        <v>6</v>
      </c>
      <c r="BJ106" s="14">
        <f t="shared" si="46"/>
        <v>3102</v>
      </c>
      <c r="BK106" s="14" t="str">
        <f t="shared" si="47"/>
        <v>高顺传记5-2</v>
      </c>
      <c r="BM106" s="14" t="str">
        <f t="shared" si="48"/>
        <v>高顺传记5-2 高顺专属武器碎片</v>
      </c>
      <c r="BN106" s="14" t="str">
        <f t="shared" si="49"/>
        <v>高顺专属武器碎片</v>
      </c>
      <c r="BO106" s="14">
        <f t="shared" si="50"/>
        <v>1</v>
      </c>
      <c r="BP106" s="14">
        <f t="shared" si="51"/>
        <v>1</v>
      </c>
      <c r="BQ106" s="14">
        <v>10000</v>
      </c>
    </row>
    <row r="107" spans="35:69" ht="16.5" x14ac:dyDescent="0.2">
      <c r="AI107" s="96">
        <v>103</v>
      </c>
      <c r="AJ107" s="14">
        <f t="shared" si="28"/>
        <v>17</v>
      </c>
      <c r="AK107" s="14">
        <f t="shared" si="29"/>
        <v>203105</v>
      </c>
      <c r="AL107" s="14">
        <f t="shared" si="30"/>
        <v>2031</v>
      </c>
      <c r="AM107" s="96" t="s">
        <v>886</v>
      </c>
      <c r="AN107" s="14">
        <f t="shared" si="31"/>
        <v>5</v>
      </c>
      <c r="AO107" s="14">
        <f t="shared" si="52"/>
        <v>203106</v>
      </c>
      <c r="AP107" s="14" t="str">
        <f t="shared" si="32"/>
        <v>秦琼传记-5</v>
      </c>
      <c r="AQ107" s="14" t="str">
        <f t="shared" si="33"/>
        <v>秦琼传记-5</v>
      </c>
      <c r="AR107" s="14">
        <f t="shared" si="34"/>
        <v>80</v>
      </c>
      <c r="AS107" s="14" t="str">
        <f t="shared" si="35"/>
        <v/>
      </c>
      <c r="AT107" s="98">
        <v>3</v>
      </c>
      <c r="AU107" s="99" t="s">
        <v>890</v>
      </c>
      <c r="AV107" s="14" t="str">
        <f t="shared" si="36"/>
        <v>KP_KM_1102031</v>
      </c>
      <c r="AW107" s="14">
        <f t="shared" si="37"/>
        <v>1102031</v>
      </c>
      <c r="AX107" s="14" t="str">
        <f t="shared" si="38"/>
        <v>秦琼传记5-1</v>
      </c>
      <c r="AY107" s="14" t="str">
        <f t="shared" si="39"/>
        <v>秦琼传记5-1</v>
      </c>
      <c r="AZ107" s="14" t="str">
        <f t="shared" si="40"/>
        <v>秦琼碎片</v>
      </c>
      <c r="BA107" s="14" t="str">
        <f t="shared" si="41"/>
        <v>1~2</v>
      </c>
      <c r="BB107" s="14" t="str">
        <f t="shared" si="42"/>
        <v>秦琼专属武器碎片</v>
      </c>
      <c r="BC107" s="14">
        <f t="shared" si="43"/>
        <v>1</v>
      </c>
      <c r="BD107" s="96"/>
      <c r="BG107" s="97">
        <v>103</v>
      </c>
      <c r="BH107" s="14">
        <f t="shared" si="44"/>
        <v>13</v>
      </c>
      <c r="BI107" s="14">
        <f t="shared" si="45"/>
        <v>1</v>
      </c>
      <c r="BJ107" s="14">
        <f t="shared" si="46"/>
        <v>3103</v>
      </c>
      <c r="BK107" s="14" t="str">
        <f t="shared" si="47"/>
        <v>烈风螳螂传记1-1</v>
      </c>
      <c r="BM107" s="14" t="str">
        <f t="shared" si="48"/>
        <v>烈风螳螂传记1-1 烈风螳螂碎片</v>
      </c>
      <c r="BN107" s="14" t="str">
        <f t="shared" si="49"/>
        <v>烈风螳螂碎片</v>
      </c>
      <c r="BO107" s="14">
        <f t="shared" si="50"/>
        <v>1</v>
      </c>
      <c r="BP107" s="14">
        <f t="shared" si="51"/>
        <v>1</v>
      </c>
      <c r="BQ107" s="14">
        <v>10000</v>
      </c>
    </row>
    <row r="108" spans="35:69" ht="16.5" x14ac:dyDescent="0.2">
      <c r="AI108" s="96">
        <v>104</v>
      </c>
      <c r="AJ108" s="14">
        <f t="shared" si="28"/>
        <v>17</v>
      </c>
      <c r="AK108" s="14">
        <f t="shared" si="29"/>
        <v>203106</v>
      </c>
      <c r="AL108" s="14">
        <f t="shared" si="30"/>
        <v>2031</v>
      </c>
      <c r="AM108" s="96" t="s">
        <v>886</v>
      </c>
      <c r="AN108" s="14">
        <f t="shared" si="31"/>
        <v>6</v>
      </c>
      <c r="AO108" s="14">
        <f t="shared" si="52"/>
        <v>203107</v>
      </c>
      <c r="AP108" s="14" t="str">
        <f t="shared" si="32"/>
        <v>秦琼传记-6</v>
      </c>
      <c r="AQ108" s="14" t="str">
        <f t="shared" si="33"/>
        <v>秦琼传记-6</v>
      </c>
      <c r="AR108" s="14">
        <f t="shared" si="34"/>
        <v>90</v>
      </c>
      <c r="AS108" s="14">
        <f t="shared" si="35"/>
        <v>2</v>
      </c>
      <c r="AT108" s="98">
        <v>3</v>
      </c>
      <c r="AU108" s="99" t="s">
        <v>890</v>
      </c>
      <c r="AV108" s="14" t="str">
        <f t="shared" si="36"/>
        <v>KP_KM_1102031</v>
      </c>
      <c r="AW108" s="14">
        <f t="shared" si="37"/>
        <v>1102031</v>
      </c>
      <c r="AX108" s="14" t="str">
        <f t="shared" si="38"/>
        <v>秦琼传记6-1</v>
      </c>
      <c r="AY108" s="14" t="str">
        <f t="shared" si="39"/>
        <v>秦琼传记6-1</v>
      </c>
      <c r="AZ108" s="14" t="str">
        <f t="shared" si="40"/>
        <v>秦琼碎片</v>
      </c>
      <c r="BA108" s="14" t="str">
        <f t="shared" si="41"/>
        <v>1~2</v>
      </c>
      <c r="BB108" s="14" t="str">
        <f t="shared" si="42"/>
        <v>秦琼专属武器碎片</v>
      </c>
      <c r="BC108" s="14">
        <f t="shared" si="43"/>
        <v>1</v>
      </c>
      <c r="BD108" s="96"/>
      <c r="BG108" s="97">
        <v>104</v>
      </c>
      <c r="BH108" s="14">
        <f t="shared" si="44"/>
        <v>13</v>
      </c>
      <c r="BI108" s="14">
        <f t="shared" si="45"/>
        <v>2</v>
      </c>
      <c r="BJ108" s="14">
        <f t="shared" si="46"/>
        <v>3104</v>
      </c>
      <c r="BK108" s="14" t="str">
        <f t="shared" si="47"/>
        <v>烈风螳螂传记2-1</v>
      </c>
      <c r="BM108" s="14" t="str">
        <f t="shared" si="48"/>
        <v>烈风螳螂传记2-1 烈风螳螂碎片</v>
      </c>
      <c r="BN108" s="14" t="str">
        <f t="shared" si="49"/>
        <v>烈风螳螂碎片</v>
      </c>
      <c r="BO108" s="14">
        <f t="shared" si="50"/>
        <v>1</v>
      </c>
      <c r="BP108" s="14">
        <f t="shared" si="51"/>
        <v>1</v>
      </c>
      <c r="BQ108" s="14">
        <v>10000</v>
      </c>
    </row>
    <row r="109" spans="35:69" ht="16.5" x14ac:dyDescent="0.2">
      <c r="AI109" s="96">
        <v>105</v>
      </c>
      <c r="AJ109" s="14">
        <f t="shared" si="28"/>
        <v>17</v>
      </c>
      <c r="AK109" s="14">
        <f t="shared" si="29"/>
        <v>203107</v>
      </c>
      <c r="AL109" s="14">
        <f t="shared" si="30"/>
        <v>2031</v>
      </c>
      <c r="AM109" s="96" t="s">
        <v>886</v>
      </c>
      <c r="AN109" s="14">
        <f t="shared" si="31"/>
        <v>7</v>
      </c>
      <c r="AO109" s="14">
        <f t="shared" si="52"/>
        <v>203108</v>
      </c>
      <c r="AP109" s="14" t="str">
        <f t="shared" si="32"/>
        <v>秦琼传记-7</v>
      </c>
      <c r="AQ109" s="14" t="str">
        <f t="shared" si="33"/>
        <v>秦琼传记-7</v>
      </c>
      <c r="AR109" s="14">
        <f t="shared" si="34"/>
        <v>100</v>
      </c>
      <c r="AS109" s="14">
        <f t="shared" si="35"/>
        <v>2</v>
      </c>
      <c r="AT109" s="98">
        <v>3</v>
      </c>
      <c r="AU109" s="99" t="s">
        <v>890</v>
      </c>
      <c r="AV109" s="14" t="str">
        <f t="shared" si="36"/>
        <v>KP_KM_1102031</v>
      </c>
      <c r="AW109" s="14">
        <f t="shared" si="37"/>
        <v>1102031</v>
      </c>
      <c r="AX109" s="14" t="str">
        <f t="shared" si="38"/>
        <v>秦琼传记7-1</v>
      </c>
      <c r="AY109" s="14" t="str">
        <f t="shared" si="39"/>
        <v>秦琼传记7-1</v>
      </c>
      <c r="AZ109" s="14" t="str">
        <f t="shared" si="40"/>
        <v>秦琼碎片</v>
      </c>
      <c r="BA109" s="14" t="str">
        <f t="shared" si="41"/>
        <v>1~2</v>
      </c>
      <c r="BB109" s="14" t="str">
        <f t="shared" si="42"/>
        <v>秦琼专属武器碎片</v>
      </c>
      <c r="BC109" s="14">
        <f t="shared" si="43"/>
        <v>1</v>
      </c>
      <c r="BD109" s="96"/>
      <c r="BG109" s="97">
        <v>105</v>
      </c>
      <c r="BH109" s="14">
        <f t="shared" si="44"/>
        <v>13</v>
      </c>
      <c r="BI109" s="14">
        <f t="shared" si="45"/>
        <v>3</v>
      </c>
      <c r="BJ109" s="14">
        <f t="shared" si="46"/>
        <v>3105</v>
      </c>
      <c r="BK109" s="14" t="str">
        <f t="shared" si="47"/>
        <v>烈风螳螂传记3-1</v>
      </c>
      <c r="BM109" s="14" t="str">
        <f t="shared" si="48"/>
        <v>烈风螳螂传记3-1 烈风螳螂碎片</v>
      </c>
      <c r="BN109" s="14" t="str">
        <f t="shared" si="49"/>
        <v>烈风螳螂碎片</v>
      </c>
      <c r="BO109" s="14">
        <f t="shared" si="50"/>
        <v>1</v>
      </c>
      <c r="BP109" s="14">
        <f t="shared" si="51"/>
        <v>2</v>
      </c>
      <c r="BQ109" s="14">
        <v>10000</v>
      </c>
    </row>
    <row r="110" spans="35:69" ht="16.5" x14ac:dyDescent="0.2">
      <c r="AI110" s="96">
        <v>106</v>
      </c>
      <c r="AJ110" s="14">
        <f t="shared" si="28"/>
        <v>17</v>
      </c>
      <c r="AK110" s="14">
        <f t="shared" si="29"/>
        <v>203108</v>
      </c>
      <c r="AL110" s="14">
        <f t="shared" si="30"/>
        <v>2031</v>
      </c>
      <c r="AM110" s="96" t="s">
        <v>886</v>
      </c>
      <c r="AN110" s="14">
        <f t="shared" si="31"/>
        <v>8</v>
      </c>
      <c r="AO110" s="14">
        <f t="shared" si="52"/>
        <v>-1</v>
      </c>
      <c r="AP110" s="14" t="str">
        <f t="shared" si="32"/>
        <v>秦琼传记-8</v>
      </c>
      <c r="AQ110" s="14" t="str">
        <f t="shared" si="33"/>
        <v>秦琼传记-8</v>
      </c>
      <c r="AR110" s="14">
        <f t="shared" si="34"/>
        <v>120</v>
      </c>
      <c r="AS110" s="14">
        <f t="shared" si="35"/>
        <v>2</v>
      </c>
      <c r="AT110" s="98">
        <v>3</v>
      </c>
      <c r="AU110" s="99" t="s">
        <v>890</v>
      </c>
      <c r="AV110" s="14" t="str">
        <f t="shared" si="36"/>
        <v>KP_KM_1102031</v>
      </c>
      <c r="AW110" s="14">
        <f t="shared" si="37"/>
        <v>1102031</v>
      </c>
      <c r="AX110" s="14" t="str">
        <f t="shared" si="38"/>
        <v>秦琼传记8-1</v>
      </c>
      <c r="AY110" s="14" t="str">
        <f t="shared" si="39"/>
        <v/>
      </c>
      <c r="AZ110" s="14" t="str">
        <f t="shared" si="40"/>
        <v>秦琼碎片</v>
      </c>
      <c r="BA110" s="14">
        <f t="shared" si="41"/>
        <v>2</v>
      </c>
      <c r="BB110" s="14" t="str">
        <f t="shared" si="42"/>
        <v/>
      </c>
      <c r="BC110" s="14" t="str">
        <f t="shared" si="43"/>
        <v/>
      </c>
      <c r="BD110" s="96"/>
      <c r="BG110" s="97">
        <v>106</v>
      </c>
      <c r="BH110" s="14">
        <f t="shared" si="44"/>
        <v>13</v>
      </c>
      <c r="BI110" s="14">
        <f t="shared" si="45"/>
        <v>4</v>
      </c>
      <c r="BJ110" s="14">
        <f t="shared" si="46"/>
        <v>3106</v>
      </c>
      <c r="BK110" s="14" t="str">
        <f t="shared" si="47"/>
        <v>烈风螳螂传记4-1</v>
      </c>
      <c r="BM110" s="14" t="str">
        <f t="shared" si="48"/>
        <v>烈风螳螂传记4-1 烈风螳螂专属武器碎片</v>
      </c>
      <c r="BN110" s="14" t="str">
        <f t="shared" si="49"/>
        <v>烈风螳螂专属武器碎片</v>
      </c>
      <c r="BO110" s="14">
        <f t="shared" si="50"/>
        <v>1</v>
      </c>
      <c r="BP110" s="14">
        <f t="shared" si="51"/>
        <v>1</v>
      </c>
      <c r="BQ110" s="14">
        <v>10000</v>
      </c>
    </row>
    <row r="111" spans="35:69" ht="16.5" x14ac:dyDescent="0.2">
      <c r="BG111" s="97">
        <v>107</v>
      </c>
      <c r="BH111" s="14">
        <f t="shared" si="44"/>
        <v>13</v>
      </c>
      <c r="BI111" s="14">
        <f t="shared" ref="BI111:BI141" si="53">BG111-INDEX($J$5:$J$21,BH111)</f>
        <v>5</v>
      </c>
      <c r="BJ111" s="14">
        <f t="shared" ref="BJ111:BJ141" si="54">3000+BG111</f>
        <v>3107</v>
      </c>
      <c r="BK111" s="14" t="str">
        <f t="shared" ref="BK111:BK141" si="55">INDEX($F$6:$F$22,BH111)&amp;INDEX($AA$5:$AA$15,BI111)</f>
        <v>烈风螳螂传记5-1</v>
      </c>
      <c r="BM111" s="14" t="str">
        <f t="shared" si="48"/>
        <v>烈风螳螂传记5-1 烈风螳螂碎片</v>
      </c>
      <c r="BN111" s="14" t="str">
        <f t="shared" si="49"/>
        <v>烈风螳螂碎片</v>
      </c>
      <c r="BO111" s="14">
        <f t="shared" si="50"/>
        <v>1</v>
      </c>
      <c r="BP111" s="14">
        <f t="shared" si="51"/>
        <v>2</v>
      </c>
      <c r="BQ111" s="14">
        <v>10000</v>
      </c>
    </row>
    <row r="112" spans="35:69" ht="16.5" x14ac:dyDescent="0.2">
      <c r="BG112" s="97">
        <v>108</v>
      </c>
      <c r="BH112" s="14">
        <f t="shared" si="44"/>
        <v>13</v>
      </c>
      <c r="BI112" s="14">
        <f t="shared" si="53"/>
        <v>6</v>
      </c>
      <c r="BJ112" s="14">
        <f t="shared" si="54"/>
        <v>3108</v>
      </c>
      <c r="BK112" s="14" t="str">
        <f t="shared" si="55"/>
        <v>烈风螳螂传记5-2</v>
      </c>
      <c r="BM112" s="14" t="str">
        <f t="shared" si="48"/>
        <v>烈风螳螂传记5-2 烈风螳螂专属武器碎片</v>
      </c>
      <c r="BN112" s="14" t="str">
        <f t="shared" si="49"/>
        <v>烈风螳螂专属武器碎片</v>
      </c>
      <c r="BO112" s="14">
        <f t="shared" si="50"/>
        <v>1</v>
      </c>
      <c r="BP112" s="14">
        <f t="shared" si="51"/>
        <v>1</v>
      </c>
      <c r="BQ112" s="14">
        <v>10000</v>
      </c>
    </row>
    <row r="113" spans="59:69" ht="16.5" x14ac:dyDescent="0.2">
      <c r="BG113" s="97">
        <v>109</v>
      </c>
      <c r="BH113" s="14">
        <f t="shared" si="44"/>
        <v>14</v>
      </c>
      <c r="BI113" s="14">
        <f t="shared" si="53"/>
        <v>1</v>
      </c>
      <c r="BJ113" s="14">
        <f t="shared" si="54"/>
        <v>3109</v>
      </c>
      <c r="BK113" s="14" t="str">
        <f t="shared" si="55"/>
        <v>朱仙传记1-1</v>
      </c>
      <c r="BM113" s="14" t="str">
        <f t="shared" si="48"/>
        <v>朱仙传记1-1 朱仙碎片</v>
      </c>
      <c r="BN113" s="14" t="str">
        <f t="shared" si="49"/>
        <v>朱仙碎片</v>
      </c>
      <c r="BO113" s="14">
        <f t="shared" si="50"/>
        <v>1</v>
      </c>
      <c r="BP113" s="14">
        <f t="shared" si="51"/>
        <v>1</v>
      </c>
      <c r="BQ113" s="14">
        <v>10000</v>
      </c>
    </row>
    <row r="114" spans="59:69" ht="16.5" x14ac:dyDescent="0.2">
      <c r="BG114" s="97">
        <v>110</v>
      </c>
      <c r="BH114" s="14">
        <f t="shared" si="44"/>
        <v>14</v>
      </c>
      <c r="BI114" s="14">
        <f t="shared" si="53"/>
        <v>2</v>
      </c>
      <c r="BJ114" s="14">
        <f t="shared" si="54"/>
        <v>3110</v>
      </c>
      <c r="BK114" s="14" t="str">
        <f t="shared" si="55"/>
        <v>朱仙传记2-1</v>
      </c>
      <c r="BM114" s="14" t="str">
        <f t="shared" si="48"/>
        <v>朱仙传记2-1 朱仙碎片</v>
      </c>
      <c r="BN114" s="14" t="str">
        <f t="shared" si="49"/>
        <v>朱仙碎片</v>
      </c>
      <c r="BO114" s="14">
        <f t="shared" si="50"/>
        <v>1</v>
      </c>
      <c r="BP114" s="14">
        <f t="shared" si="51"/>
        <v>1</v>
      </c>
      <c r="BQ114" s="14">
        <v>10000</v>
      </c>
    </row>
    <row r="115" spans="59:69" ht="16.5" x14ac:dyDescent="0.2">
      <c r="BG115" s="97">
        <v>111</v>
      </c>
      <c r="BH115" s="14">
        <f t="shared" si="44"/>
        <v>14</v>
      </c>
      <c r="BI115" s="14">
        <f t="shared" si="53"/>
        <v>3</v>
      </c>
      <c r="BJ115" s="14">
        <f t="shared" si="54"/>
        <v>3111</v>
      </c>
      <c r="BK115" s="14" t="str">
        <f t="shared" si="55"/>
        <v>朱仙传记3-1</v>
      </c>
      <c r="BM115" s="14" t="str">
        <f t="shared" si="48"/>
        <v>朱仙传记3-1 朱仙碎片</v>
      </c>
      <c r="BN115" s="14" t="str">
        <f t="shared" si="49"/>
        <v>朱仙碎片</v>
      </c>
      <c r="BO115" s="14">
        <f t="shared" si="50"/>
        <v>1</v>
      </c>
      <c r="BP115" s="14">
        <f t="shared" si="51"/>
        <v>2</v>
      </c>
      <c r="BQ115" s="14">
        <v>10000</v>
      </c>
    </row>
    <row r="116" spans="59:69" ht="16.5" x14ac:dyDescent="0.2">
      <c r="BG116" s="97">
        <v>112</v>
      </c>
      <c r="BH116" s="14">
        <f t="shared" si="44"/>
        <v>14</v>
      </c>
      <c r="BI116" s="14">
        <f t="shared" si="53"/>
        <v>4</v>
      </c>
      <c r="BJ116" s="14">
        <f t="shared" si="54"/>
        <v>3112</v>
      </c>
      <c r="BK116" s="14" t="str">
        <f t="shared" si="55"/>
        <v>朱仙传记4-1</v>
      </c>
      <c r="BM116" s="14" t="str">
        <f t="shared" si="48"/>
        <v>朱仙传记4-1 朱仙专属武器碎片</v>
      </c>
      <c r="BN116" s="14" t="str">
        <f t="shared" si="49"/>
        <v>朱仙专属武器碎片</v>
      </c>
      <c r="BO116" s="14">
        <f t="shared" si="50"/>
        <v>1</v>
      </c>
      <c r="BP116" s="14">
        <f t="shared" si="51"/>
        <v>1</v>
      </c>
      <c r="BQ116" s="14">
        <v>10000</v>
      </c>
    </row>
    <row r="117" spans="59:69" ht="16.5" x14ac:dyDescent="0.2">
      <c r="BG117" s="97">
        <v>113</v>
      </c>
      <c r="BH117" s="14">
        <f t="shared" si="44"/>
        <v>14</v>
      </c>
      <c r="BI117" s="14">
        <f t="shared" si="53"/>
        <v>5</v>
      </c>
      <c r="BJ117" s="14">
        <f t="shared" si="54"/>
        <v>3113</v>
      </c>
      <c r="BK117" s="14" t="str">
        <f t="shared" si="55"/>
        <v>朱仙传记5-1</v>
      </c>
      <c r="BM117" s="14" t="str">
        <f t="shared" si="48"/>
        <v>朱仙传记5-1 朱仙碎片</v>
      </c>
      <c r="BN117" s="14" t="str">
        <f t="shared" si="49"/>
        <v>朱仙碎片</v>
      </c>
      <c r="BO117" s="14">
        <f t="shared" si="50"/>
        <v>1</v>
      </c>
      <c r="BP117" s="14">
        <f t="shared" si="51"/>
        <v>2</v>
      </c>
      <c r="BQ117" s="14">
        <v>10000</v>
      </c>
    </row>
    <row r="118" spans="59:69" ht="16.5" x14ac:dyDescent="0.2">
      <c r="BG118" s="97">
        <v>114</v>
      </c>
      <c r="BH118" s="14">
        <f t="shared" si="44"/>
        <v>14</v>
      </c>
      <c r="BI118" s="14">
        <f t="shared" si="53"/>
        <v>6</v>
      </c>
      <c r="BJ118" s="14">
        <f t="shared" si="54"/>
        <v>3114</v>
      </c>
      <c r="BK118" s="14" t="str">
        <f t="shared" si="55"/>
        <v>朱仙传记5-2</v>
      </c>
      <c r="BM118" s="14" t="str">
        <f t="shared" si="48"/>
        <v>朱仙传记5-2 朱仙专属武器碎片</v>
      </c>
      <c r="BN118" s="14" t="str">
        <f t="shared" si="49"/>
        <v>朱仙专属武器碎片</v>
      </c>
      <c r="BO118" s="14">
        <f t="shared" si="50"/>
        <v>1</v>
      </c>
      <c r="BP118" s="14">
        <f t="shared" si="51"/>
        <v>1</v>
      </c>
      <c r="BQ118" s="14">
        <v>10000</v>
      </c>
    </row>
    <row r="119" spans="59:69" ht="16.5" x14ac:dyDescent="0.2">
      <c r="BG119" s="97">
        <v>115</v>
      </c>
      <c r="BH119" s="14">
        <f t="shared" si="44"/>
        <v>15</v>
      </c>
      <c r="BI119" s="14">
        <f t="shared" si="53"/>
        <v>1</v>
      </c>
      <c r="BJ119" s="14">
        <f t="shared" si="54"/>
        <v>3115</v>
      </c>
      <c r="BK119" s="14" t="str">
        <f t="shared" si="55"/>
        <v>雷震子传记1-1</v>
      </c>
      <c r="BM119" s="14" t="str">
        <f t="shared" si="48"/>
        <v>雷震子传记1-1 雷震子碎片</v>
      </c>
      <c r="BN119" s="14" t="str">
        <f t="shared" si="49"/>
        <v>雷震子碎片</v>
      </c>
      <c r="BO119" s="14">
        <f t="shared" si="50"/>
        <v>1</v>
      </c>
      <c r="BP119" s="14">
        <f t="shared" si="51"/>
        <v>1</v>
      </c>
      <c r="BQ119" s="14">
        <v>10000</v>
      </c>
    </row>
    <row r="120" spans="59:69" ht="16.5" x14ac:dyDescent="0.2">
      <c r="BG120" s="97">
        <v>116</v>
      </c>
      <c r="BH120" s="14">
        <f t="shared" si="44"/>
        <v>15</v>
      </c>
      <c r="BI120" s="14">
        <f t="shared" si="53"/>
        <v>2</v>
      </c>
      <c r="BJ120" s="14">
        <f t="shared" si="54"/>
        <v>3116</v>
      </c>
      <c r="BK120" s="14" t="str">
        <f t="shared" si="55"/>
        <v>雷震子传记2-1</v>
      </c>
      <c r="BM120" s="14" t="str">
        <f t="shared" si="48"/>
        <v>雷震子传记2-1 雷震子碎片</v>
      </c>
      <c r="BN120" s="14" t="str">
        <f t="shared" si="49"/>
        <v>雷震子碎片</v>
      </c>
      <c r="BO120" s="14">
        <f t="shared" si="50"/>
        <v>1</v>
      </c>
      <c r="BP120" s="14">
        <f t="shared" si="51"/>
        <v>1</v>
      </c>
      <c r="BQ120" s="14">
        <v>10000</v>
      </c>
    </row>
    <row r="121" spans="59:69" ht="16.5" x14ac:dyDescent="0.2">
      <c r="BG121" s="97">
        <v>117</v>
      </c>
      <c r="BH121" s="14">
        <f t="shared" si="44"/>
        <v>15</v>
      </c>
      <c r="BI121" s="14">
        <f t="shared" si="53"/>
        <v>3</v>
      </c>
      <c r="BJ121" s="14">
        <f t="shared" si="54"/>
        <v>3117</v>
      </c>
      <c r="BK121" s="14" t="str">
        <f t="shared" si="55"/>
        <v>雷震子传记3-1</v>
      </c>
      <c r="BM121" s="14" t="str">
        <f t="shared" si="48"/>
        <v>雷震子传记3-1 雷震子碎片</v>
      </c>
      <c r="BN121" s="14" t="str">
        <f t="shared" si="49"/>
        <v>雷震子碎片</v>
      </c>
      <c r="BO121" s="14">
        <f t="shared" si="50"/>
        <v>1</v>
      </c>
      <c r="BP121" s="14">
        <f t="shared" si="51"/>
        <v>2</v>
      </c>
      <c r="BQ121" s="14">
        <v>10000</v>
      </c>
    </row>
    <row r="122" spans="59:69" ht="16.5" x14ac:dyDescent="0.2">
      <c r="BG122" s="97">
        <v>118</v>
      </c>
      <c r="BH122" s="14">
        <f t="shared" si="44"/>
        <v>15</v>
      </c>
      <c r="BI122" s="14">
        <f t="shared" si="53"/>
        <v>4</v>
      </c>
      <c r="BJ122" s="14">
        <f t="shared" si="54"/>
        <v>3118</v>
      </c>
      <c r="BK122" s="14" t="str">
        <f t="shared" si="55"/>
        <v>雷震子传记4-1</v>
      </c>
      <c r="BM122" s="14" t="str">
        <f t="shared" si="48"/>
        <v>雷震子传记4-1 雷震子专属武器碎片</v>
      </c>
      <c r="BN122" s="14" t="str">
        <f t="shared" si="49"/>
        <v>雷震子专属武器碎片</v>
      </c>
      <c r="BO122" s="14">
        <f t="shared" si="50"/>
        <v>1</v>
      </c>
      <c r="BP122" s="14">
        <f t="shared" si="51"/>
        <v>1</v>
      </c>
      <c r="BQ122" s="14">
        <v>10000</v>
      </c>
    </row>
    <row r="123" spans="59:69" ht="16.5" x14ac:dyDescent="0.2">
      <c r="BG123" s="97">
        <v>119</v>
      </c>
      <c r="BH123" s="14">
        <f t="shared" si="44"/>
        <v>15</v>
      </c>
      <c r="BI123" s="14">
        <f t="shared" si="53"/>
        <v>5</v>
      </c>
      <c r="BJ123" s="14">
        <f t="shared" si="54"/>
        <v>3119</v>
      </c>
      <c r="BK123" s="14" t="str">
        <f t="shared" si="55"/>
        <v>雷震子传记5-1</v>
      </c>
      <c r="BM123" s="14" t="str">
        <f t="shared" si="48"/>
        <v>雷震子传记5-1 雷震子碎片</v>
      </c>
      <c r="BN123" s="14" t="str">
        <f t="shared" si="49"/>
        <v>雷震子碎片</v>
      </c>
      <c r="BO123" s="14">
        <f t="shared" si="50"/>
        <v>1</v>
      </c>
      <c r="BP123" s="14">
        <f t="shared" si="51"/>
        <v>2</v>
      </c>
      <c r="BQ123" s="14">
        <v>10000</v>
      </c>
    </row>
    <row r="124" spans="59:69" ht="16.5" x14ac:dyDescent="0.2">
      <c r="BG124" s="97">
        <v>120</v>
      </c>
      <c r="BH124" s="14">
        <f t="shared" si="44"/>
        <v>15</v>
      </c>
      <c r="BI124" s="14">
        <f t="shared" si="53"/>
        <v>6</v>
      </c>
      <c r="BJ124" s="14">
        <f t="shared" si="54"/>
        <v>3120</v>
      </c>
      <c r="BK124" s="14" t="str">
        <f t="shared" si="55"/>
        <v>雷震子传记5-2</v>
      </c>
      <c r="BM124" s="14" t="str">
        <f t="shared" si="48"/>
        <v>雷震子传记5-2 雷震子专属武器碎片</v>
      </c>
      <c r="BN124" s="14" t="str">
        <f t="shared" si="49"/>
        <v>雷震子专属武器碎片</v>
      </c>
      <c r="BO124" s="14">
        <f t="shared" si="50"/>
        <v>1</v>
      </c>
      <c r="BP124" s="14">
        <f t="shared" si="51"/>
        <v>1</v>
      </c>
      <c r="BQ124" s="14">
        <v>10000</v>
      </c>
    </row>
    <row r="125" spans="59:69" ht="16.5" x14ac:dyDescent="0.2">
      <c r="BG125" s="97">
        <v>121</v>
      </c>
      <c r="BH125" s="14">
        <f t="shared" si="44"/>
        <v>16</v>
      </c>
      <c r="BI125" s="14">
        <f t="shared" si="53"/>
        <v>1</v>
      </c>
      <c r="BJ125" s="14">
        <f t="shared" si="54"/>
        <v>3121</v>
      </c>
      <c r="BK125" s="14" t="str">
        <f t="shared" si="55"/>
        <v>燕青传记1-1</v>
      </c>
      <c r="BM125" s="14" t="str">
        <f t="shared" si="48"/>
        <v>燕青传记1-1 燕青碎片</v>
      </c>
      <c r="BN125" s="14" t="str">
        <f t="shared" si="49"/>
        <v>燕青碎片</v>
      </c>
      <c r="BO125" s="14">
        <f t="shared" si="50"/>
        <v>1</v>
      </c>
      <c r="BP125" s="14">
        <f t="shared" si="51"/>
        <v>1</v>
      </c>
      <c r="BQ125" s="14">
        <v>10000</v>
      </c>
    </row>
    <row r="126" spans="59:69" ht="16.5" x14ac:dyDescent="0.2">
      <c r="BG126" s="97">
        <v>122</v>
      </c>
      <c r="BH126" s="14">
        <f t="shared" si="44"/>
        <v>16</v>
      </c>
      <c r="BI126" s="14">
        <f t="shared" si="53"/>
        <v>2</v>
      </c>
      <c r="BJ126" s="14">
        <f t="shared" si="54"/>
        <v>3122</v>
      </c>
      <c r="BK126" s="14" t="str">
        <f t="shared" si="55"/>
        <v>燕青传记2-1</v>
      </c>
      <c r="BM126" s="14" t="str">
        <f t="shared" si="48"/>
        <v>燕青传记2-1 燕青碎片</v>
      </c>
      <c r="BN126" s="14" t="str">
        <f t="shared" si="49"/>
        <v>燕青碎片</v>
      </c>
      <c r="BO126" s="14">
        <f t="shared" si="50"/>
        <v>1</v>
      </c>
      <c r="BP126" s="14">
        <f t="shared" si="51"/>
        <v>1</v>
      </c>
      <c r="BQ126" s="14">
        <v>10000</v>
      </c>
    </row>
    <row r="127" spans="59:69" ht="16.5" x14ac:dyDescent="0.2">
      <c r="BG127" s="97">
        <v>123</v>
      </c>
      <c r="BH127" s="14">
        <f t="shared" si="44"/>
        <v>16</v>
      </c>
      <c r="BI127" s="14">
        <f t="shared" si="53"/>
        <v>3</v>
      </c>
      <c r="BJ127" s="14">
        <f t="shared" si="54"/>
        <v>3123</v>
      </c>
      <c r="BK127" s="14" t="str">
        <f t="shared" si="55"/>
        <v>燕青传记3-1</v>
      </c>
      <c r="BM127" s="14" t="str">
        <f t="shared" si="48"/>
        <v>燕青传记3-1 燕青碎片</v>
      </c>
      <c r="BN127" s="14" t="str">
        <f t="shared" si="49"/>
        <v>燕青碎片</v>
      </c>
      <c r="BO127" s="14">
        <f t="shared" si="50"/>
        <v>1</v>
      </c>
      <c r="BP127" s="14">
        <f t="shared" si="51"/>
        <v>2</v>
      </c>
      <c r="BQ127" s="14">
        <v>10000</v>
      </c>
    </row>
    <row r="128" spans="59:69" ht="16.5" x14ac:dyDescent="0.2">
      <c r="BG128" s="97">
        <v>124</v>
      </c>
      <c r="BH128" s="14">
        <f t="shared" si="44"/>
        <v>16</v>
      </c>
      <c r="BI128" s="14">
        <f t="shared" si="53"/>
        <v>4</v>
      </c>
      <c r="BJ128" s="14">
        <f t="shared" si="54"/>
        <v>3124</v>
      </c>
      <c r="BK128" s="14" t="str">
        <f t="shared" si="55"/>
        <v>燕青传记4-1</v>
      </c>
      <c r="BM128" s="14" t="str">
        <f t="shared" si="48"/>
        <v>燕青传记4-1 燕青专属武器碎片</v>
      </c>
      <c r="BN128" s="14" t="str">
        <f t="shared" si="49"/>
        <v>燕青专属武器碎片</v>
      </c>
      <c r="BO128" s="14">
        <f t="shared" si="50"/>
        <v>1</v>
      </c>
      <c r="BP128" s="14">
        <f t="shared" si="51"/>
        <v>1</v>
      </c>
      <c r="BQ128" s="14">
        <v>10000</v>
      </c>
    </row>
    <row r="129" spans="59:69" ht="16.5" x14ac:dyDescent="0.2">
      <c r="BG129" s="97">
        <v>125</v>
      </c>
      <c r="BH129" s="14">
        <f t="shared" si="44"/>
        <v>16</v>
      </c>
      <c r="BI129" s="14">
        <f t="shared" si="53"/>
        <v>5</v>
      </c>
      <c r="BJ129" s="14">
        <f t="shared" si="54"/>
        <v>3125</v>
      </c>
      <c r="BK129" s="14" t="str">
        <f t="shared" si="55"/>
        <v>燕青传记5-1</v>
      </c>
      <c r="BM129" s="14" t="str">
        <f t="shared" si="48"/>
        <v>燕青传记5-1 燕青碎片</v>
      </c>
      <c r="BN129" s="14" t="str">
        <f t="shared" si="49"/>
        <v>燕青碎片</v>
      </c>
      <c r="BO129" s="14">
        <f t="shared" si="50"/>
        <v>1</v>
      </c>
      <c r="BP129" s="14">
        <f t="shared" si="51"/>
        <v>2</v>
      </c>
      <c r="BQ129" s="14">
        <v>10000</v>
      </c>
    </row>
    <row r="130" spans="59:69" ht="16.5" x14ac:dyDescent="0.2">
      <c r="BG130" s="97">
        <v>126</v>
      </c>
      <c r="BH130" s="14">
        <f t="shared" si="44"/>
        <v>16</v>
      </c>
      <c r="BI130" s="14">
        <f t="shared" si="53"/>
        <v>6</v>
      </c>
      <c r="BJ130" s="14">
        <f t="shared" si="54"/>
        <v>3126</v>
      </c>
      <c r="BK130" s="14" t="str">
        <f t="shared" si="55"/>
        <v>燕青传记5-2</v>
      </c>
      <c r="BM130" s="14" t="str">
        <f t="shared" si="48"/>
        <v>燕青传记5-2 燕青专属武器碎片</v>
      </c>
      <c r="BN130" s="14" t="str">
        <f t="shared" si="49"/>
        <v>燕青专属武器碎片</v>
      </c>
      <c r="BO130" s="14">
        <f t="shared" si="50"/>
        <v>1</v>
      </c>
      <c r="BP130" s="14">
        <f t="shared" si="51"/>
        <v>1</v>
      </c>
      <c r="BQ130" s="14">
        <v>10000</v>
      </c>
    </row>
    <row r="131" spans="59:69" ht="16.5" x14ac:dyDescent="0.2">
      <c r="BG131" s="97">
        <v>127</v>
      </c>
      <c r="BH131" s="14">
        <f t="shared" si="44"/>
        <v>17</v>
      </c>
      <c r="BI131" s="14">
        <f t="shared" si="53"/>
        <v>1</v>
      </c>
      <c r="BJ131" s="14">
        <f t="shared" si="54"/>
        <v>3127</v>
      </c>
      <c r="BK131" s="14" t="str">
        <f t="shared" si="55"/>
        <v>秦琼传记1-1</v>
      </c>
      <c r="BM131" s="14" t="str">
        <f t="shared" si="48"/>
        <v>秦琼传记1-1 秦琼碎片</v>
      </c>
      <c r="BN131" s="14" t="str">
        <f t="shared" si="49"/>
        <v>秦琼碎片</v>
      </c>
      <c r="BO131" s="14">
        <f t="shared" si="50"/>
        <v>1</v>
      </c>
      <c r="BP131" s="14">
        <f t="shared" si="51"/>
        <v>1</v>
      </c>
      <c r="BQ131" s="14">
        <v>10000</v>
      </c>
    </row>
    <row r="132" spans="59:69" ht="16.5" x14ac:dyDescent="0.2">
      <c r="BG132" s="97">
        <v>128</v>
      </c>
      <c r="BH132" s="14">
        <f t="shared" si="44"/>
        <v>17</v>
      </c>
      <c r="BI132" s="14">
        <f t="shared" si="53"/>
        <v>2</v>
      </c>
      <c r="BJ132" s="14">
        <f t="shared" si="54"/>
        <v>3128</v>
      </c>
      <c r="BK132" s="14" t="str">
        <f t="shared" si="55"/>
        <v>秦琼传记2-1</v>
      </c>
      <c r="BM132" s="14" t="str">
        <f t="shared" si="48"/>
        <v>秦琼传记2-1 秦琼碎片</v>
      </c>
      <c r="BN132" s="14" t="str">
        <f t="shared" si="49"/>
        <v>秦琼碎片</v>
      </c>
      <c r="BO132" s="14">
        <f t="shared" si="50"/>
        <v>1</v>
      </c>
      <c r="BP132" s="14">
        <f t="shared" si="51"/>
        <v>1</v>
      </c>
      <c r="BQ132" s="14">
        <v>10000</v>
      </c>
    </row>
    <row r="133" spans="59:69" ht="16.5" x14ac:dyDescent="0.2">
      <c r="BG133" s="97">
        <v>129</v>
      </c>
      <c r="BH133" s="14">
        <f t="shared" si="44"/>
        <v>17</v>
      </c>
      <c r="BI133" s="14">
        <f t="shared" si="53"/>
        <v>3</v>
      </c>
      <c r="BJ133" s="14">
        <f t="shared" si="54"/>
        <v>3129</v>
      </c>
      <c r="BK133" s="14" t="str">
        <f t="shared" si="55"/>
        <v>秦琼传记3-1</v>
      </c>
      <c r="BM133" s="14" t="str">
        <f t="shared" si="48"/>
        <v>秦琼传记3-1 秦琼碎片</v>
      </c>
      <c r="BN133" s="14" t="str">
        <f t="shared" si="49"/>
        <v>秦琼碎片</v>
      </c>
      <c r="BO133" s="14">
        <f t="shared" si="50"/>
        <v>1</v>
      </c>
      <c r="BP133" s="14">
        <f t="shared" si="51"/>
        <v>2</v>
      </c>
      <c r="BQ133" s="14">
        <v>10000</v>
      </c>
    </row>
    <row r="134" spans="59:69" ht="16.5" x14ac:dyDescent="0.2">
      <c r="BG134" s="97">
        <v>130</v>
      </c>
      <c r="BH134" s="14">
        <f t="shared" ref="BH134:BH141" si="56">MATCH(BG134-1,$J$5:$J$22,1)</f>
        <v>17</v>
      </c>
      <c r="BI134" s="14">
        <f t="shared" si="53"/>
        <v>4</v>
      </c>
      <c r="BJ134" s="14">
        <f t="shared" si="54"/>
        <v>3130</v>
      </c>
      <c r="BK134" s="14" t="str">
        <f t="shared" si="55"/>
        <v>秦琼传记4-1</v>
      </c>
      <c r="BM134" s="14" t="str">
        <f t="shared" ref="BM134:BM141" si="57">BK134&amp;" "&amp;BN134</f>
        <v>秦琼传记4-1 秦琼专属武器碎片</v>
      </c>
      <c r="BN134" s="14" t="str">
        <f t="shared" ref="BN134:BN141" si="58">INDEX($B$6:$B$22,BH134)&amp;INDEX($AB$5:$AB$15,BI134)</f>
        <v>秦琼专属武器碎片</v>
      </c>
      <c r="BO134" s="14">
        <f t="shared" ref="BO134:BO141" si="59">INDEX(AC$5:AC$15,$BI134)</f>
        <v>1</v>
      </c>
      <c r="BP134" s="14">
        <f t="shared" ref="BP134:BP141" si="60">INDEX(AD$5:AD$15,$BI134)</f>
        <v>1</v>
      </c>
      <c r="BQ134" s="14">
        <v>10000</v>
      </c>
    </row>
    <row r="135" spans="59:69" ht="16.5" x14ac:dyDescent="0.2">
      <c r="BG135" s="97">
        <v>131</v>
      </c>
      <c r="BH135" s="14">
        <f t="shared" si="56"/>
        <v>17</v>
      </c>
      <c r="BI135" s="14">
        <f t="shared" si="53"/>
        <v>5</v>
      </c>
      <c r="BJ135" s="14">
        <f t="shared" si="54"/>
        <v>3131</v>
      </c>
      <c r="BK135" s="14" t="str">
        <f t="shared" si="55"/>
        <v>秦琼传记5-1</v>
      </c>
      <c r="BM135" s="14" t="str">
        <f t="shared" si="57"/>
        <v>秦琼传记5-1 秦琼碎片</v>
      </c>
      <c r="BN135" s="14" t="str">
        <f t="shared" si="58"/>
        <v>秦琼碎片</v>
      </c>
      <c r="BO135" s="14">
        <f t="shared" si="59"/>
        <v>1</v>
      </c>
      <c r="BP135" s="14">
        <f t="shared" si="60"/>
        <v>2</v>
      </c>
      <c r="BQ135" s="14">
        <v>10000</v>
      </c>
    </row>
    <row r="136" spans="59:69" ht="16.5" x14ac:dyDescent="0.2">
      <c r="BG136" s="97">
        <v>132</v>
      </c>
      <c r="BH136" s="14">
        <f t="shared" si="56"/>
        <v>17</v>
      </c>
      <c r="BI136" s="14">
        <f t="shared" si="53"/>
        <v>6</v>
      </c>
      <c r="BJ136" s="14">
        <f t="shared" si="54"/>
        <v>3132</v>
      </c>
      <c r="BK136" s="14" t="str">
        <f t="shared" si="55"/>
        <v>秦琼传记5-2</v>
      </c>
      <c r="BM136" s="14" t="str">
        <f t="shared" si="57"/>
        <v>秦琼传记5-2 秦琼专属武器碎片</v>
      </c>
      <c r="BN136" s="14" t="str">
        <f t="shared" si="58"/>
        <v>秦琼专属武器碎片</v>
      </c>
      <c r="BO136" s="14">
        <f t="shared" si="59"/>
        <v>1</v>
      </c>
      <c r="BP136" s="14">
        <f t="shared" si="60"/>
        <v>1</v>
      </c>
      <c r="BQ136" s="14">
        <v>10000</v>
      </c>
    </row>
    <row r="137" spans="59:69" ht="16.5" x14ac:dyDescent="0.2">
      <c r="BG137" s="97">
        <v>133</v>
      </c>
      <c r="BH137" s="14">
        <f t="shared" si="56"/>
        <v>17</v>
      </c>
      <c r="BI137" s="14">
        <f t="shared" si="53"/>
        <v>7</v>
      </c>
      <c r="BJ137" s="14">
        <f t="shared" si="54"/>
        <v>3133</v>
      </c>
      <c r="BK137" s="14" t="str">
        <f t="shared" si="55"/>
        <v>秦琼传记6-1</v>
      </c>
      <c r="BM137" s="14" t="str">
        <f t="shared" si="57"/>
        <v>秦琼传记6-1 秦琼碎片</v>
      </c>
      <c r="BN137" s="14" t="str">
        <f t="shared" si="58"/>
        <v>秦琼碎片</v>
      </c>
      <c r="BO137" s="14">
        <f t="shared" si="59"/>
        <v>1</v>
      </c>
      <c r="BP137" s="14">
        <f t="shared" si="60"/>
        <v>2</v>
      </c>
      <c r="BQ137" s="14">
        <v>10000</v>
      </c>
    </row>
    <row r="138" spans="59:69" ht="16.5" x14ac:dyDescent="0.2">
      <c r="BG138" s="97">
        <v>134</v>
      </c>
      <c r="BH138" s="14">
        <f t="shared" si="56"/>
        <v>17</v>
      </c>
      <c r="BI138" s="14">
        <f t="shared" si="53"/>
        <v>8</v>
      </c>
      <c r="BJ138" s="14">
        <f t="shared" si="54"/>
        <v>3134</v>
      </c>
      <c r="BK138" s="14" t="str">
        <f t="shared" si="55"/>
        <v>秦琼传记6-2</v>
      </c>
      <c r="BM138" s="14" t="str">
        <f t="shared" si="57"/>
        <v>秦琼传记6-2 秦琼专属武器碎片</v>
      </c>
      <c r="BN138" s="14" t="str">
        <f t="shared" si="58"/>
        <v>秦琼专属武器碎片</v>
      </c>
      <c r="BO138" s="14">
        <f t="shared" si="59"/>
        <v>1</v>
      </c>
      <c r="BP138" s="14">
        <f t="shared" si="60"/>
        <v>1</v>
      </c>
      <c r="BQ138" s="14">
        <v>10000</v>
      </c>
    </row>
    <row r="139" spans="59:69" ht="16.5" x14ac:dyDescent="0.2">
      <c r="BG139" s="97">
        <v>135</v>
      </c>
      <c r="BH139" s="14">
        <f t="shared" si="56"/>
        <v>17</v>
      </c>
      <c r="BI139" s="14">
        <f t="shared" si="53"/>
        <v>9</v>
      </c>
      <c r="BJ139" s="14">
        <f t="shared" si="54"/>
        <v>3135</v>
      </c>
      <c r="BK139" s="14" t="str">
        <f t="shared" si="55"/>
        <v>秦琼传记7-1</v>
      </c>
      <c r="BM139" s="14" t="str">
        <f t="shared" si="57"/>
        <v>秦琼传记7-1 秦琼碎片</v>
      </c>
      <c r="BN139" s="14" t="str">
        <f t="shared" si="58"/>
        <v>秦琼碎片</v>
      </c>
      <c r="BO139" s="14">
        <f t="shared" si="59"/>
        <v>1</v>
      </c>
      <c r="BP139" s="14">
        <f t="shared" si="60"/>
        <v>2</v>
      </c>
      <c r="BQ139" s="14">
        <v>10000</v>
      </c>
    </row>
    <row r="140" spans="59:69" ht="16.5" x14ac:dyDescent="0.2">
      <c r="BG140" s="97">
        <v>136</v>
      </c>
      <c r="BH140" s="14">
        <f t="shared" si="56"/>
        <v>17</v>
      </c>
      <c r="BI140" s="14">
        <f t="shared" si="53"/>
        <v>10</v>
      </c>
      <c r="BJ140" s="14">
        <f t="shared" si="54"/>
        <v>3136</v>
      </c>
      <c r="BK140" s="14" t="str">
        <f t="shared" si="55"/>
        <v>秦琼传记7-2</v>
      </c>
      <c r="BM140" s="14" t="str">
        <f t="shared" si="57"/>
        <v>秦琼传记7-2 秦琼专属武器碎片</v>
      </c>
      <c r="BN140" s="14" t="str">
        <f t="shared" si="58"/>
        <v>秦琼专属武器碎片</v>
      </c>
      <c r="BO140" s="14">
        <f t="shared" si="59"/>
        <v>1</v>
      </c>
      <c r="BP140" s="14">
        <f t="shared" si="60"/>
        <v>1</v>
      </c>
      <c r="BQ140" s="14">
        <v>10000</v>
      </c>
    </row>
    <row r="141" spans="59:69" ht="16.5" x14ac:dyDescent="0.2">
      <c r="BG141" s="97">
        <v>137</v>
      </c>
      <c r="BH141" s="14">
        <f t="shared" si="56"/>
        <v>17</v>
      </c>
      <c r="BI141" s="14">
        <f t="shared" si="53"/>
        <v>11</v>
      </c>
      <c r="BJ141" s="14">
        <f t="shared" si="54"/>
        <v>3137</v>
      </c>
      <c r="BK141" s="14" t="str">
        <f t="shared" si="55"/>
        <v>秦琼传记8-1</v>
      </c>
      <c r="BM141" s="14" t="str">
        <f t="shared" si="57"/>
        <v>秦琼传记8-1 秦琼碎片</v>
      </c>
      <c r="BN141" s="14" t="str">
        <f t="shared" si="58"/>
        <v>秦琼碎片</v>
      </c>
      <c r="BO141" s="14">
        <f t="shared" si="59"/>
        <v>2</v>
      </c>
      <c r="BP141" s="14">
        <f t="shared" si="60"/>
        <v>2</v>
      </c>
      <c r="BQ141" s="14">
        <v>10000</v>
      </c>
    </row>
    <row r="142" spans="59:69" x14ac:dyDescent="0.2">
      <c r="BG142" s="15"/>
      <c r="BH142" s="15"/>
      <c r="BI142" s="15"/>
      <c r="BJ142" s="15"/>
      <c r="BK142" s="15"/>
    </row>
    <row r="143" spans="59:69" x14ac:dyDescent="0.2">
      <c r="BG143" s="15"/>
      <c r="BH143" s="15"/>
      <c r="BI143" s="15"/>
      <c r="BJ143" s="15"/>
      <c r="BK143" s="15"/>
    </row>
    <row r="144" spans="59:69" x14ac:dyDescent="0.2">
      <c r="BG144" s="15"/>
      <c r="BH144" s="15"/>
      <c r="BI144" s="15"/>
      <c r="BJ144" s="15"/>
      <c r="BK144" s="15"/>
    </row>
    <row r="145" spans="59:63" x14ac:dyDescent="0.2">
      <c r="BG145" s="15"/>
      <c r="BH145" s="15"/>
      <c r="BI145" s="15"/>
      <c r="BJ145" s="15"/>
      <c r="BK145" s="15"/>
    </row>
    <row r="146" spans="59:63" x14ac:dyDescent="0.2">
      <c r="BG146" s="15"/>
      <c r="BH146" s="15"/>
      <c r="BI146" s="15"/>
      <c r="BJ146" s="15"/>
      <c r="BK146" s="15"/>
    </row>
    <row r="147" spans="59:63" x14ac:dyDescent="0.2">
      <c r="BG147" s="15"/>
      <c r="BH147" s="15"/>
      <c r="BI147" s="15"/>
      <c r="BJ147" s="15"/>
      <c r="BK147" s="15"/>
    </row>
    <row r="148" spans="59:63" x14ac:dyDescent="0.2">
      <c r="BG148" s="15"/>
      <c r="BH148" s="15"/>
      <c r="BI148" s="15"/>
      <c r="BJ148" s="15"/>
      <c r="BK148" s="15"/>
    </row>
    <row r="149" spans="59:63" x14ac:dyDescent="0.2">
      <c r="BG149" s="15"/>
      <c r="BH149" s="15"/>
      <c r="BI149" s="15"/>
      <c r="BJ149" s="15"/>
      <c r="BK149" s="15"/>
    </row>
    <row r="150" spans="59:63" x14ac:dyDescent="0.2">
      <c r="BG150" s="15"/>
      <c r="BH150" s="15"/>
      <c r="BI150" s="15"/>
      <c r="BJ150" s="15"/>
      <c r="BK150" s="15"/>
    </row>
    <row r="151" spans="59:63" x14ac:dyDescent="0.2">
      <c r="BG151" s="15"/>
      <c r="BH151" s="15"/>
      <c r="BI151" s="15"/>
      <c r="BJ151" s="15"/>
      <c r="BK151" s="15"/>
    </row>
    <row r="152" spans="59:63" x14ac:dyDescent="0.2">
      <c r="BG152" s="15"/>
      <c r="BH152" s="15"/>
      <c r="BI152" s="15"/>
      <c r="BJ152" s="15"/>
      <c r="BK152" s="15"/>
    </row>
    <row r="153" spans="59:63" x14ac:dyDescent="0.2">
      <c r="BG153" s="15"/>
      <c r="BH153" s="15"/>
      <c r="BI153" s="15"/>
      <c r="BJ153" s="15"/>
      <c r="BK153" s="15"/>
    </row>
    <row r="154" spans="59:63" x14ac:dyDescent="0.2">
      <c r="BG154" s="15"/>
      <c r="BH154" s="15"/>
      <c r="BI154" s="15"/>
      <c r="BJ154" s="15"/>
      <c r="BK154" s="15"/>
    </row>
    <row r="155" spans="59:63" x14ac:dyDescent="0.2">
      <c r="BG155" s="15"/>
      <c r="BH155" s="15"/>
      <c r="BI155" s="15"/>
      <c r="BJ155" s="15"/>
      <c r="BK155" s="15"/>
    </row>
    <row r="156" spans="59:63" x14ac:dyDescent="0.2">
      <c r="BG156" s="15"/>
      <c r="BH156" s="15"/>
      <c r="BI156" s="15"/>
      <c r="BJ156" s="15"/>
      <c r="BK156" s="15"/>
    </row>
    <row r="157" spans="59:63" x14ac:dyDescent="0.2">
      <c r="BG157" s="15"/>
      <c r="BH157" s="15"/>
      <c r="BI157" s="15"/>
      <c r="BJ157" s="15"/>
      <c r="BK157" s="15"/>
    </row>
    <row r="158" spans="59:63" x14ac:dyDescent="0.2">
      <c r="BG158" s="15"/>
      <c r="BH158" s="15"/>
      <c r="BI158" s="15"/>
      <c r="BJ158" s="15"/>
      <c r="BK158" s="15"/>
    </row>
    <row r="159" spans="59:63" x14ac:dyDescent="0.2">
      <c r="BG159" s="15"/>
      <c r="BH159" s="15"/>
      <c r="BI159" s="15"/>
      <c r="BJ159" s="15"/>
      <c r="BK159" s="15"/>
    </row>
    <row r="160" spans="59:63" x14ac:dyDescent="0.2">
      <c r="BG160" s="15"/>
      <c r="BH160" s="15"/>
      <c r="BI160" s="15"/>
      <c r="BJ160" s="15"/>
      <c r="BK160" s="15"/>
    </row>
    <row r="161" spans="59:63" x14ac:dyDescent="0.2">
      <c r="BG161" s="15"/>
      <c r="BH161" s="15"/>
      <c r="BI161" s="15"/>
      <c r="BJ161" s="15"/>
      <c r="BK161" s="15"/>
    </row>
    <row r="162" spans="59:63" x14ac:dyDescent="0.2">
      <c r="BG162" s="15"/>
      <c r="BH162" s="15"/>
      <c r="BI162" s="15"/>
      <c r="BJ162" s="15"/>
      <c r="BK162" s="15"/>
    </row>
    <row r="163" spans="59:63" x14ac:dyDescent="0.2">
      <c r="BG163" s="15"/>
      <c r="BH163" s="15"/>
      <c r="BI163" s="15"/>
      <c r="BJ163" s="15"/>
      <c r="BK163" s="15"/>
    </row>
    <row r="164" spans="59:63" x14ac:dyDescent="0.2">
      <c r="BG164" s="15"/>
      <c r="BH164" s="15"/>
      <c r="BI164" s="15"/>
      <c r="BJ164" s="15"/>
      <c r="BK164" s="15"/>
    </row>
    <row r="165" spans="59:63" x14ac:dyDescent="0.2">
      <c r="BG165" s="15"/>
      <c r="BH165" s="15"/>
      <c r="BI165" s="15"/>
      <c r="BJ165" s="15"/>
      <c r="BK165" s="15"/>
    </row>
    <row r="166" spans="59:63" x14ac:dyDescent="0.2">
      <c r="BG166" s="15"/>
      <c r="BH166" s="15"/>
      <c r="BI166" s="15"/>
      <c r="BJ166" s="15"/>
      <c r="BK166" s="15"/>
    </row>
    <row r="167" spans="59:63" x14ac:dyDescent="0.2">
      <c r="BG167" s="15"/>
      <c r="BH167" s="15"/>
      <c r="BI167" s="15"/>
      <c r="BJ167" s="15"/>
      <c r="BK167" s="15"/>
    </row>
    <row r="168" spans="59:63" x14ac:dyDescent="0.2">
      <c r="BG168" s="15"/>
      <c r="BH168" s="15"/>
      <c r="BI168" s="15"/>
      <c r="BJ168" s="15"/>
      <c r="BK168" s="15"/>
    </row>
    <row r="169" spans="59:63" x14ac:dyDescent="0.2">
      <c r="BG169" s="15"/>
      <c r="BH169" s="15"/>
      <c r="BI169" s="15"/>
      <c r="BJ169" s="15"/>
      <c r="BK169" s="15"/>
    </row>
    <row r="170" spans="59:63" x14ac:dyDescent="0.2">
      <c r="BG170" s="15"/>
      <c r="BH170" s="15"/>
      <c r="BI170" s="15"/>
      <c r="BJ170" s="15"/>
      <c r="BK170" s="15"/>
    </row>
    <row r="171" spans="59:63" x14ac:dyDescent="0.2">
      <c r="BG171" s="15"/>
      <c r="BH171" s="15"/>
      <c r="BI171" s="15"/>
      <c r="BJ171" s="15"/>
      <c r="BK171" s="15"/>
    </row>
    <row r="172" spans="59:63" x14ac:dyDescent="0.2">
      <c r="BG172" s="15"/>
      <c r="BH172" s="15"/>
      <c r="BI172" s="15"/>
      <c r="BJ172" s="15"/>
      <c r="BK172" s="15"/>
    </row>
    <row r="173" spans="59:63" x14ac:dyDescent="0.2">
      <c r="BG173" s="15"/>
      <c r="BH173" s="15"/>
      <c r="BI173" s="15"/>
      <c r="BJ173" s="15"/>
      <c r="BK173" s="15"/>
    </row>
    <row r="174" spans="59:63" x14ac:dyDescent="0.2">
      <c r="BG174" s="15"/>
      <c r="BH174" s="15"/>
      <c r="BI174" s="15"/>
      <c r="BJ174" s="15"/>
      <c r="BK174" s="15"/>
    </row>
  </sheetData>
  <phoneticPr fontId="2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GD122"/>
  <sheetViews>
    <sheetView workbookViewId="0">
      <selection activeCell="CV15" sqref="CV15"/>
    </sheetView>
  </sheetViews>
  <sheetFormatPr defaultRowHeight="14.25" x14ac:dyDescent="0.2"/>
  <cols>
    <col min="26" max="26" width="9.125" customWidth="1"/>
    <col min="34" max="34" width="10.625" customWidth="1"/>
    <col min="35" max="35" width="30.25" customWidth="1"/>
    <col min="36" max="36" width="10" customWidth="1"/>
    <col min="39" max="40" width="9.125" customWidth="1"/>
    <col min="41" max="44" width="9.875" customWidth="1"/>
    <col min="45" max="45" width="9.125" customWidth="1"/>
    <col min="46" max="46" width="9.875" customWidth="1"/>
    <col min="47" max="47" width="8.5" customWidth="1"/>
    <col min="51" max="51" width="9.625" bestFit="1" customWidth="1"/>
    <col min="56" max="142" width="9" customWidth="1"/>
  </cols>
  <sheetData>
    <row r="2" spans="1:186" ht="16.5" x14ac:dyDescent="0.2">
      <c r="BF2" s="86">
        <v>1</v>
      </c>
      <c r="BG2" s="86">
        <v>2</v>
      </c>
      <c r="BH2" s="86">
        <v>3</v>
      </c>
      <c r="BI2" s="86">
        <v>4</v>
      </c>
      <c r="BJ2" s="86">
        <v>5</v>
      </c>
      <c r="BK2" s="86">
        <v>6</v>
      </c>
      <c r="BL2" s="86">
        <v>7</v>
      </c>
      <c r="BM2" s="86">
        <v>8</v>
      </c>
      <c r="BN2" s="86">
        <v>9</v>
      </c>
      <c r="BO2" s="86">
        <v>10</v>
      </c>
      <c r="BP2" s="86">
        <v>11</v>
      </c>
      <c r="BQ2" s="86">
        <v>12</v>
      </c>
      <c r="BR2" s="86">
        <v>13</v>
      </c>
      <c r="BS2" s="86">
        <v>14</v>
      </c>
      <c r="BT2" s="86">
        <v>15</v>
      </c>
      <c r="BU2" s="86">
        <v>16</v>
      </c>
      <c r="BV2" s="86">
        <v>17</v>
      </c>
      <c r="BW2" s="86">
        <v>18</v>
      </c>
      <c r="BX2" s="86">
        <v>19</v>
      </c>
      <c r="BY2" s="86">
        <v>20</v>
      </c>
      <c r="BZ2" s="86">
        <v>21</v>
      </c>
      <c r="CA2" s="86">
        <v>22</v>
      </c>
      <c r="CB2" s="86">
        <v>23</v>
      </c>
      <c r="CC2" s="86">
        <v>24</v>
      </c>
      <c r="CD2" s="86">
        <v>25</v>
      </c>
      <c r="CE2" s="86">
        <v>26</v>
      </c>
      <c r="CF2" s="86">
        <v>27</v>
      </c>
      <c r="CG2" s="86">
        <v>28</v>
      </c>
      <c r="CH2" s="86">
        <v>29</v>
      </c>
      <c r="CI2" s="86">
        <v>30</v>
      </c>
      <c r="CJ2" s="86">
        <v>31</v>
      </c>
      <c r="CK2" s="86">
        <v>32</v>
      </c>
      <c r="CL2" s="86">
        <v>33</v>
      </c>
      <c r="CM2" s="86">
        <v>34</v>
      </c>
      <c r="CN2" s="86">
        <v>35</v>
      </c>
      <c r="CO2" s="86">
        <v>36</v>
      </c>
      <c r="CP2" s="86">
        <v>37</v>
      </c>
      <c r="CQ2" s="86">
        <v>38</v>
      </c>
      <c r="CR2" s="86">
        <v>39</v>
      </c>
      <c r="CS2" s="86">
        <v>40</v>
      </c>
      <c r="CT2" s="86">
        <v>41</v>
      </c>
      <c r="CU2" s="86">
        <v>42</v>
      </c>
    </row>
    <row r="3" spans="1:186" ht="20.25" x14ac:dyDescent="0.2">
      <c r="A3" s="27" t="s">
        <v>637</v>
      </c>
      <c r="B3" s="86">
        <v>5</v>
      </c>
      <c r="AB3" s="233" t="s">
        <v>722</v>
      </c>
      <c r="AC3" s="233"/>
      <c r="AD3" s="233"/>
      <c r="AF3" s="233" t="s">
        <v>622</v>
      </c>
      <c r="AG3" s="233"/>
      <c r="AH3" s="233"/>
      <c r="AI3" s="233"/>
      <c r="AJ3" s="233"/>
      <c r="AK3" s="233"/>
      <c r="AL3" s="233"/>
      <c r="AO3" s="233" t="s">
        <v>724</v>
      </c>
      <c r="AP3" s="233"/>
      <c r="AQ3" s="233"/>
      <c r="AR3" s="233"/>
      <c r="AS3" s="233"/>
      <c r="AT3" s="233"/>
      <c r="AU3" s="233"/>
      <c r="AV3" s="233"/>
      <c r="AW3" s="233"/>
      <c r="AX3" s="233"/>
      <c r="AY3" s="233"/>
      <c r="AZ3" s="233"/>
      <c r="BA3" s="233"/>
      <c r="BB3" s="233"/>
      <c r="BC3" s="233"/>
      <c r="BD3" s="233"/>
      <c r="BE3" s="233"/>
      <c r="BF3" s="233"/>
      <c r="BG3" s="233"/>
      <c r="BH3" s="233"/>
      <c r="BI3" s="233"/>
      <c r="BJ3" s="233"/>
      <c r="BK3" s="233"/>
      <c r="BL3" s="233"/>
      <c r="BM3" s="233"/>
      <c r="BN3" s="233"/>
      <c r="BO3" s="233"/>
      <c r="BP3" s="233"/>
      <c r="BQ3" s="233"/>
      <c r="BR3" s="233"/>
      <c r="BS3" s="233"/>
      <c r="BT3" s="233"/>
      <c r="BU3" s="233"/>
      <c r="BV3" s="233"/>
      <c r="BW3" s="233"/>
      <c r="BX3" s="233"/>
      <c r="BY3" s="233"/>
      <c r="BZ3" s="233"/>
      <c r="CA3" s="233"/>
      <c r="CB3" s="233"/>
      <c r="CC3" s="233"/>
      <c r="CD3" s="233"/>
      <c r="CE3" s="233"/>
      <c r="CF3" s="233"/>
      <c r="CG3" s="233"/>
      <c r="CH3" s="233"/>
      <c r="CI3" s="233"/>
      <c r="CJ3" s="233"/>
      <c r="CK3" s="233"/>
      <c r="CL3" s="233"/>
      <c r="CM3" s="233"/>
      <c r="CN3" s="233"/>
      <c r="CO3" s="233"/>
      <c r="CP3" s="233"/>
      <c r="CQ3" s="233"/>
      <c r="CR3" s="233"/>
      <c r="CS3" s="233"/>
      <c r="CT3" s="233"/>
      <c r="CU3" s="233"/>
      <c r="CV3" s="233"/>
      <c r="CW3" s="233"/>
      <c r="CX3" s="233"/>
      <c r="CY3" s="233"/>
      <c r="CZ3" s="233"/>
      <c r="DA3" s="233"/>
      <c r="DB3" s="233"/>
      <c r="DC3" s="233"/>
      <c r="DD3" s="233"/>
      <c r="DE3" s="233"/>
      <c r="DF3" s="233"/>
      <c r="DG3" s="233"/>
      <c r="DH3" s="233"/>
      <c r="DI3" s="233"/>
      <c r="DJ3" s="233"/>
      <c r="DK3" s="233"/>
      <c r="DL3" s="233"/>
      <c r="DM3" s="233"/>
      <c r="DN3" s="233"/>
      <c r="DO3" s="233"/>
      <c r="DP3" s="233"/>
      <c r="DQ3" s="233"/>
      <c r="DR3" s="233"/>
      <c r="DS3" s="233"/>
      <c r="DT3" s="233"/>
      <c r="DU3" s="233"/>
      <c r="DV3" s="233"/>
      <c r="DW3" s="233"/>
      <c r="DX3" s="233"/>
      <c r="DY3" s="233"/>
      <c r="DZ3" s="233"/>
      <c r="EA3" s="233"/>
      <c r="EB3" s="233"/>
      <c r="EC3" s="233"/>
      <c r="ED3" s="233"/>
      <c r="EE3" s="233"/>
      <c r="EF3" s="233"/>
      <c r="EG3" s="233"/>
      <c r="EH3" s="233"/>
      <c r="EI3" s="233"/>
      <c r="EJ3" s="233"/>
      <c r="EK3" s="233"/>
      <c r="EL3" s="233"/>
    </row>
    <row r="4" spans="1:186" ht="17.25" x14ac:dyDescent="0.2">
      <c r="A4" s="45" t="s">
        <v>627</v>
      </c>
      <c r="B4" s="12" t="s">
        <v>628</v>
      </c>
      <c r="C4" s="12" t="s">
        <v>636</v>
      </c>
      <c r="E4" s="12" t="s">
        <v>168</v>
      </c>
      <c r="F4" s="12" t="s">
        <v>629</v>
      </c>
      <c r="G4" s="12" t="s">
        <v>630</v>
      </c>
      <c r="H4" s="12" t="s">
        <v>635</v>
      </c>
      <c r="I4" s="12" t="s">
        <v>642</v>
      </c>
      <c r="K4" s="12" t="s">
        <v>639</v>
      </c>
      <c r="L4" s="12" t="s">
        <v>624</v>
      </c>
      <c r="M4" s="12" t="s">
        <v>625</v>
      </c>
      <c r="N4" s="12" t="s">
        <v>640</v>
      </c>
      <c r="O4" s="12" t="s">
        <v>626</v>
      </c>
      <c r="P4" s="12" t="s">
        <v>638</v>
      </c>
      <c r="Q4" s="12" t="s">
        <v>655</v>
      </c>
      <c r="R4" s="12" t="s">
        <v>656</v>
      </c>
      <c r="S4" s="12" t="s">
        <v>657</v>
      </c>
      <c r="T4" s="12" t="s">
        <v>658</v>
      </c>
      <c r="U4" s="12" t="s">
        <v>659</v>
      </c>
      <c r="V4" s="12" t="s">
        <v>660</v>
      </c>
      <c r="W4" s="12" t="s">
        <v>661</v>
      </c>
      <c r="X4" s="12" t="s">
        <v>662</v>
      </c>
      <c r="Y4" s="12" t="s">
        <v>663</v>
      </c>
      <c r="AB4" s="12" t="s">
        <v>674</v>
      </c>
      <c r="AC4" s="12" t="s">
        <v>675</v>
      </c>
      <c r="AD4" s="12" t="s">
        <v>721</v>
      </c>
      <c r="AF4" s="12" t="s">
        <v>623</v>
      </c>
      <c r="AG4" s="12" t="s">
        <v>634</v>
      </c>
      <c r="AH4" s="12" t="s">
        <v>641</v>
      </c>
      <c r="AI4" s="12" t="s">
        <v>633</v>
      </c>
      <c r="AJ4" s="12" t="s">
        <v>644</v>
      </c>
      <c r="AK4" s="12" t="s">
        <v>644</v>
      </c>
      <c r="AL4" s="12" t="s">
        <v>644</v>
      </c>
      <c r="AO4" s="12" t="s">
        <v>623</v>
      </c>
      <c r="AP4" s="12" t="s">
        <v>671</v>
      </c>
      <c r="AQ4" s="12" t="s">
        <v>673</v>
      </c>
      <c r="AR4" s="12" t="s">
        <v>672</v>
      </c>
      <c r="AS4" s="12" t="s">
        <v>645</v>
      </c>
      <c r="AT4" s="12" t="s">
        <v>644</v>
      </c>
      <c r="AU4" s="12" t="s">
        <v>646</v>
      </c>
      <c r="AV4" s="12" t="s">
        <v>647</v>
      </c>
      <c r="AW4" s="12" t="s">
        <v>723</v>
      </c>
      <c r="AX4" s="12" t="s">
        <v>636</v>
      </c>
      <c r="BA4" s="12" t="s">
        <v>685</v>
      </c>
      <c r="BB4" s="12" t="s">
        <v>686</v>
      </c>
      <c r="BC4" s="12" t="s">
        <v>683</v>
      </c>
      <c r="BD4" s="12" t="s">
        <v>684</v>
      </c>
      <c r="BE4" s="12" t="s">
        <v>725</v>
      </c>
      <c r="BF4" s="12" t="s">
        <v>676</v>
      </c>
      <c r="BG4" s="12" t="s">
        <v>218</v>
      </c>
      <c r="BH4" s="12" t="s">
        <v>677</v>
      </c>
      <c r="BI4" s="12" t="s">
        <v>678</v>
      </c>
      <c r="BJ4" s="12" t="s">
        <v>679</v>
      </c>
      <c r="BK4" s="12" t="s">
        <v>680</v>
      </c>
      <c r="BL4" s="12" t="s">
        <v>681</v>
      </c>
      <c r="BM4" s="12" t="s">
        <v>682</v>
      </c>
      <c r="BN4" s="12" t="s">
        <v>687</v>
      </c>
      <c r="BO4" s="12" t="s">
        <v>688</v>
      </c>
      <c r="BP4" s="12" t="s">
        <v>689</v>
      </c>
      <c r="BQ4" s="12" t="s">
        <v>690</v>
      </c>
      <c r="BR4" s="12" t="s">
        <v>691</v>
      </c>
      <c r="BS4" s="12" t="s">
        <v>692</v>
      </c>
      <c r="BT4" s="12" t="s">
        <v>693</v>
      </c>
      <c r="BU4" s="12" t="s">
        <v>694</v>
      </c>
      <c r="BV4" s="12" t="s">
        <v>695</v>
      </c>
      <c r="BW4" s="12" t="s">
        <v>696</v>
      </c>
      <c r="BX4" s="12" t="s">
        <v>697</v>
      </c>
      <c r="BY4" s="12" t="s">
        <v>698</v>
      </c>
      <c r="BZ4" s="12" t="s">
        <v>699</v>
      </c>
      <c r="CA4" s="12" t="s">
        <v>700</v>
      </c>
      <c r="CB4" s="12" t="s">
        <v>701</v>
      </c>
      <c r="CC4" s="12" t="s">
        <v>702</v>
      </c>
      <c r="CD4" s="12" t="s">
        <v>703</v>
      </c>
      <c r="CE4" s="12" t="s">
        <v>704</v>
      </c>
      <c r="CF4" s="12" t="s">
        <v>705</v>
      </c>
      <c r="CG4" s="12" t="s">
        <v>706</v>
      </c>
      <c r="CH4" s="12" t="s">
        <v>707</v>
      </c>
      <c r="CI4" s="12" t="s">
        <v>708</v>
      </c>
      <c r="CJ4" s="12" t="s">
        <v>709</v>
      </c>
      <c r="CK4" s="12" t="s">
        <v>710</v>
      </c>
      <c r="CL4" s="12" t="s">
        <v>711</v>
      </c>
      <c r="CM4" s="12" t="s">
        <v>712</v>
      </c>
      <c r="CN4" s="12" t="s">
        <v>713</v>
      </c>
      <c r="CO4" s="12" t="s">
        <v>714</v>
      </c>
      <c r="CP4" s="12" t="s">
        <v>715</v>
      </c>
      <c r="CQ4" s="12" t="s">
        <v>716</v>
      </c>
      <c r="CR4" s="12" t="s">
        <v>717</v>
      </c>
      <c r="CS4" s="12" t="s">
        <v>718</v>
      </c>
      <c r="CT4" s="12" t="s">
        <v>719</v>
      </c>
      <c r="CU4" s="12" t="s">
        <v>720</v>
      </c>
      <c r="CW4" s="12" t="s">
        <v>676</v>
      </c>
      <c r="CX4" s="12" t="s">
        <v>218</v>
      </c>
      <c r="CY4" s="12" t="s">
        <v>677</v>
      </c>
      <c r="CZ4" s="12" t="s">
        <v>678</v>
      </c>
      <c r="DA4" s="12" t="s">
        <v>679</v>
      </c>
      <c r="DB4" s="12" t="s">
        <v>680</v>
      </c>
      <c r="DC4" s="12" t="s">
        <v>681</v>
      </c>
      <c r="DD4" s="12" t="s">
        <v>682</v>
      </c>
      <c r="DE4" s="12" t="s">
        <v>687</v>
      </c>
      <c r="DF4" s="12" t="s">
        <v>688</v>
      </c>
      <c r="DG4" s="12" t="s">
        <v>689</v>
      </c>
      <c r="DH4" s="12" t="s">
        <v>690</v>
      </c>
      <c r="DI4" s="12" t="s">
        <v>691</v>
      </c>
      <c r="DJ4" s="12" t="s">
        <v>692</v>
      </c>
      <c r="DK4" s="12" t="s">
        <v>693</v>
      </c>
      <c r="DL4" s="12" t="s">
        <v>694</v>
      </c>
      <c r="DM4" s="12" t="s">
        <v>695</v>
      </c>
      <c r="DN4" s="12" t="s">
        <v>696</v>
      </c>
      <c r="DO4" s="12" t="s">
        <v>697</v>
      </c>
      <c r="DP4" s="12" t="s">
        <v>698</v>
      </c>
      <c r="DQ4" s="12" t="s">
        <v>699</v>
      </c>
      <c r="DR4" s="12" t="s">
        <v>700</v>
      </c>
      <c r="DS4" s="12" t="s">
        <v>701</v>
      </c>
      <c r="DT4" s="12" t="s">
        <v>702</v>
      </c>
      <c r="DU4" s="12" t="s">
        <v>703</v>
      </c>
      <c r="DV4" s="12" t="s">
        <v>704</v>
      </c>
      <c r="DW4" s="12" t="s">
        <v>705</v>
      </c>
      <c r="DX4" s="12" t="s">
        <v>706</v>
      </c>
      <c r="DY4" s="12" t="s">
        <v>707</v>
      </c>
      <c r="DZ4" s="12" t="s">
        <v>708</v>
      </c>
      <c r="EA4" s="12" t="s">
        <v>709</v>
      </c>
      <c r="EB4" s="12" t="s">
        <v>710</v>
      </c>
      <c r="EC4" s="12" t="s">
        <v>711</v>
      </c>
      <c r="ED4" s="12" t="s">
        <v>712</v>
      </c>
      <c r="EE4" s="12" t="s">
        <v>713</v>
      </c>
      <c r="EF4" s="12" t="s">
        <v>714</v>
      </c>
      <c r="EG4" s="12" t="s">
        <v>715</v>
      </c>
      <c r="EH4" s="12" t="s">
        <v>716</v>
      </c>
      <c r="EI4" s="12" t="s">
        <v>717</v>
      </c>
      <c r="EJ4" s="12" t="s">
        <v>718</v>
      </c>
      <c r="EK4" s="12" t="s">
        <v>719</v>
      </c>
      <c r="EL4" s="12" t="s">
        <v>720</v>
      </c>
      <c r="EO4" s="12" t="s">
        <v>676</v>
      </c>
      <c r="EP4" s="12" t="s">
        <v>218</v>
      </c>
      <c r="EQ4" s="12" t="s">
        <v>677</v>
      </c>
      <c r="ER4" s="12" t="s">
        <v>678</v>
      </c>
      <c r="ES4" s="12" t="s">
        <v>679</v>
      </c>
      <c r="ET4" s="12" t="s">
        <v>680</v>
      </c>
      <c r="EU4" s="12" t="s">
        <v>681</v>
      </c>
      <c r="EV4" s="12" t="s">
        <v>682</v>
      </c>
      <c r="EW4" s="12" t="s">
        <v>687</v>
      </c>
      <c r="EX4" s="12" t="s">
        <v>688</v>
      </c>
      <c r="EY4" s="12" t="s">
        <v>689</v>
      </c>
      <c r="EZ4" s="12" t="s">
        <v>690</v>
      </c>
      <c r="FA4" s="12" t="s">
        <v>691</v>
      </c>
      <c r="FB4" s="12" t="s">
        <v>692</v>
      </c>
      <c r="FC4" s="12" t="s">
        <v>693</v>
      </c>
      <c r="FD4" s="12" t="s">
        <v>694</v>
      </c>
      <c r="FE4" s="12" t="s">
        <v>695</v>
      </c>
      <c r="FF4" s="12" t="s">
        <v>696</v>
      </c>
      <c r="FG4" s="12" t="s">
        <v>697</v>
      </c>
      <c r="FH4" s="12" t="s">
        <v>698</v>
      </c>
      <c r="FI4" s="12" t="s">
        <v>699</v>
      </c>
      <c r="FJ4" s="12" t="s">
        <v>700</v>
      </c>
      <c r="FK4" s="12" t="s">
        <v>701</v>
      </c>
      <c r="FL4" s="12" t="s">
        <v>702</v>
      </c>
      <c r="FM4" s="12" t="s">
        <v>703</v>
      </c>
      <c r="FN4" s="12" t="s">
        <v>704</v>
      </c>
      <c r="FO4" s="12" t="s">
        <v>705</v>
      </c>
      <c r="FP4" s="12" t="s">
        <v>706</v>
      </c>
      <c r="FQ4" s="12" t="s">
        <v>707</v>
      </c>
      <c r="FR4" s="12" t="s">
        <v>708</v>
      </c>
      <c r="FS4" s="12" t="s">
        <v>709</v>
      </c>
      <c r="FT4" s="12" t="s">
        <v>710</v>
      </c>
      <c r="FU4" s="12" t="s">
        <v>711</v>
      </c>
      <c r="FV4" s="12" t="s">
        <v>712</v>
      </c>
      <c r="FW4" s="12" t="s">
        <v>713</v>
      </c>
      <c r="FX4" s="12" t="s">
        <v>714</v>
      </c>
      <c r="FY4" s="12" t="s">
        <v>715</v>
      </c>
      <c r="FZ4" s="12" t="s">
        <v>716</v>
      </c>
      <c r="GA4" s="12" t="s">
        <v>717</v>
      </c>
      <c r="GB4" s="12" t="s">
        <v>718</v>
      </c>
      <c r="GC4" s="12" t="s">
        <v>719</v>
      </c>
      <c r="GD4" s="12" t="s">
        <v>720</v>
      </c>
    </row>
    <row r="5" spans="1:186" ht="16.5" x14ac:dyDescent="0.2">
      <c r="A5" s="86">
        <v>1</v>
      </c>
      <c r="B5" s="86">
        <v>2</v>
      </c>
      <c r="C5" s="86">
        <v>2</v>
      </c>
      <c r="E5" s="86">
        <v>1</v>
      </c>
      <c r="F5" s="86" t="s">
        <v>631</v>
      </c>
      <c r="G5" s="86">
        <v>1</v>
      </c>
      <c r="H5" s="86">
        <v>1</v>
      </c>
      <c r="I5" s="86"/>
      <c r="K5" s="86">
        <v>1</v>
      </c>
      <c r="L5" s="86">
        <v>1</v>
      </c>
      <c r="M5" s="86">
        <v>1</v>
      </c>
      <c r="N5" s="86" t="str">
        <f>"神器"&amp;L5&amp;"-"&amp;M5</f>
        <v>神器1-1</v>
      </c>
      <c r="O5" s="86">
        <v>1</v>
      </c>
      <c r="P5" s="14">
        <f>INDEX($H$5:$H$8,O5)*INDEX($C$5:$C$11,L5)*$B$3</f>
        <v>10</v>
      </c>
      <c r="Q5" s="88">
        <v>0.35</v>
      </c>
      <c r="R5" s="14">
        <v>1</v>
      </c>
      <c r="S5" s="14">
        <v>3</v>
      </c>
      <c r="T5" s="88">
        <v>0.35</v>
      </c>
      <c r="U5" s="14">
        <v>2</v>
      </c>
      <c r="V5" s="14">
        <v>4</v>
      </c>
      <c r="W5" s="88">
        <v>0.35</v>
      </c>
      <c r="X5" s="14">
        <v>3</v>
      </c>
      <c r="Y5" s="14">
        <v>5</v>
      </c>
      <c r="AB5" s="87">
        <v>0</v>
      </c>
      <c r="AC5" s="87">
        <v>0</v>
      </c>
      <c r="AD5" s="87">
        <v>0</v>
      </c>
      <c r="AF5" s="86">
        <v>0</v>
      </c>
      <c r="AG5" s="86">
        <v>1</v>
      </c>
      <c r="AH5" s="86"/>
      <c r="AI5" s="86"/>
      <c r="AJ5" s="86">
        <v>0</v>
      </c>
      <c r="AK5" s="86">
        <v>0</v>
      </c>
      <c r="AL5" s="86">
        <v>0</v>
      </c>
      <c r="AO5" s="86">
        <v>1</v>
      </c>
      <c r="AP5" s="86">
        <v>1</v>
      </c>
      <c r="AQ5" s="86">
        <v>1</v>
      </c>
      <c r="AR5" s="86">
        <v>1</v>
      </c>
      <c r="AS5" s="86" t="s">
        <v>307</v>
      </c>
      <c r="AT5" s="21">
        <f t="shared" ref="AT5:AT36" si="0">INDEX($AJ$6:$AL$13,AO5,AQ5)*INDEX($Q$5:$Y$46,AP5,(AR5-1)*3+1)</f>
        <v>0.35</v>
      </c>
      <c r="AU5" s="86">
        <f>INDEX($Q$5:$Y$46,AP5,(AR5-1)*3+2)</f>
        <v>1</v>
      </c>
      <c r="AV5" s="86">
        <f>INDEX($Q$5:$Y$46,AP5,(AR5-1)*3+3)</f>
        <v>3</v>
      </c>
      <c r="AW5" s="87">
        <f>AT5*(AU5+AV5)/2</f>
        <v>0.7</v>
      </c>
      <c r="AX5" s="86">
        <f>INDEX($P$5:$P$46,AP5)*AT5*(AU5+AV5)/2</f>
        <v>7</v>
      </c>
      <c r="BA5" s="86">
        <v>1</v>
      </c>
      <c r="BB5" s="14" t="e">
        <f>INDEX(节奏总表!#REF!,神器!BA5)</f>
        <v>#REF!</v>
      </c>
      <c r="BC5" s="14" t="e">
        <f>INDEX($AF$5:$AF$13,MATCH(BB5,$AG$5:$AG$13,1))</f>
        <v>#REF!</v>
      </c>
      <c r="BD5" s="14">
        <v>5</v>
      </c>
      <c r="BE5" s="14">
        <v>3</v>
      </c>
      <c r="BF5" s="14">
        <f>SUMIFS($AT$5:$AT$122,$AO$5:$AO$122,"="&amp;$BC5,$AP$5:$AP$122,"="&amp;BF$2) * (SUMIFS($AU$5:$AU$122,$AO$5:$AO$122,"="&amp;$BC5,$AP$5:$AP$122,"="&amp;BF$2)+SUMIFS($AV$5:$AV$122,$AO$5:$AO$122,"="&amp;$BC5,$AP$5:$AP$122,"="&amp;BF$2))/2*$BD5*$BE5</f>
        <v>0</v>
      </c>
      <c r="BG5" s="14">
        <f t="shared" ref="BG5:CU11" si="1">SUMIFS($AT$5:$AT$122,$AO$5:$AO$122,"="&amp;$BC5,$AP$5:$AP$122,"="&amp;BG$2) * (SUMIFS($AU$5:$AU$122,$AO$5:$AO$122,"="&amp;$BC5,$AP$5:$AP$122,"="&amp;BG$2)+SUMIFS($AV$5:$AV$122,$AO$5:$AO$122,"="&amp;$BC5,$AP$5:$AP$122,"="&amp;BG$2))/2*$BD5*$BE5</f>
        <v>0</v>
      </c>
      <c r="BH5" s="14">
        <f t="shared" si="1"/>
        <v>0</v>
      </c>
      <c r="BI5" s="14">
        <f t="shared" si="1"/>
        <v>0</v>
      </c>
      <c r="BJ5" s="14">
        <f t="shared" si="1"/>
        <v>0</v>
      </c>
      <c r="BK5" s="14">
        <f t="shared" si="1"/>
        <v>0</v>
      </c>
      <c r="BL5" s="14">
        <f t="shared" si="1"/>
        <v>0</v>
      </c>
      <c r="BM5" s="14">
        <f t="shared" si="1"/>
        <v>0</v>
      </c>
      <c r="BN5" s="14">
        <f t="shared" si="1"/>
        <v>0</v>
      </c>
      <c r="BO5" s="14">
        <f t="shared" si="1"/>
        <v>0</v>
      </c>
      <c r="BP5" s="14">
        <f t="shared" si="1"/>
        <v>0</v>
      </c>
      <c r="BQ5" s="14">
        <f t="shared" si="1"/>
        <v>0</v>
      </c>
      <c r="BR5" s="14">
        <f t="shared" si="1"/>
        <v>0</v>
      </c>
      <c r="BS5" s="14">
        <f t="shared" si="1"/>
        <v>0</v>
      </c>
      <c r="BT5" s="14">
        <f t="shared" si="1"/>
        <v>0</v>
      </c>
      <c r="BU5" s="14">
        <f t="shared" si="1"/>
        <v>0</v>
      </c>
      <c r="BV5" s="14">
        <f t="shared" si="1"/>
        <v>0</v>
      </c>
      <c r="BW5" s="14">
        <f t="shared" si="1"/>
        <v>0</v>
      </c>
      <c r="BX5" s="14">
        <f t="shared" si="1"/>
        <v>0</v>
      </c>
      <c r="BY5" s="14">
        <f t="shared" si="1"/>
        <v>0</v>
      </c>
      <c r="BZ5" s="14">
        <f t="shared" si="1"/>
        <v>0</v>
      </c>
      <c r="CA5" s="14">
        <f t="shared" si="1"/>
        <v>0</v>
      </c>
      <c r="CB5" s="14">
        <f t="shared" si="1"/>
        <v>0</v>
      </c>
      <c r="CC5" s="14">
        <f t="shared" si="1"/>
        <v>0</v>
      </c>
      <c r="CD5" s="14">
        <f t="shared" si="1"/>
        <v>0</v>
      </c>
      <c r="CE5" s="14">
        <f t="shared" si="1"/>
        <v>0</v>
      </c>
      <c r="CF5" s="14">
        <f t="shared" si="1"/>
        <v>0</v>
      </c>
      <c r="CG5" s="14">
        <f t="shared" si="1"/>
        <v>0</v>
      </c>
      <c r="CH5" s="14">
        <f t="shared" si="1"/>
        <v>0</v>
      </c>
      <c r="CI5" s="14">
        <f t="shared" si="1"/>
        <v>0</v>
      </c>
      <c r="CJ5" s="14">
        <f t="shared" si="1"/>
        <v>0</v>
      </c>
      <c r="CK5" s="14">
        <f t="shared" si="1"/>
        <v>0</v>
      </c>
      <c r="CL5" s="14">
        <f t="shared" si="1"/>
        <v>0</v>
      </c>
      <c r="CM5" s="14">
        <f t="shared" si="1"/>
        <v>0</v>
      </c>
      <c r="CN5" s="14">
        <f t="shared" si="1"/>
        <v>0</v>
      </c>
      <c r="CO5" s="14">
        <f t="shared" si="1"/>
        <v>0</v>
      </c>
      <c r="CP5" s="14">
        <f t="shared" si="1"/>
        <v>0</v>
      </c>
      <c r="CQ5" s="14">
        <f t="shared" si="1"/>
        <v>0</v>
      </c>
      <c r="CR5" s="14">
        <f t="shared" si="1"/>
        <v>0</v>
      </c>
      <c r="CS5" s="14">
        <f t="shared" si="1"/>
        <v>0</v>
      </c>
      <c r="CT5" s="14">
        <f t="shared" si="1"/>
        <v>0</v>
      </c>
      <c r="CU5" s="14">
        <f t="shared" si="1"/>
        <v>0</v>
      </c>
      <c r="CW5" s="14">
        <f>SUM(BF$5:BF5)</f>
        <v>0</v>
      </c>
      <c r="CX5" s="14">
        <f>SUM(BG$5:BG5)</f>
        <v>0</v>
      </c>
      <c r="CY5" s="14">
        <f>SUM(BH$5:BH5)</f>
        <v>0</v>
      </c>
      <c r="CZ5" s="14">
        <f>SUM(BI$5:BI5)</f>
        <v>0</v>
      </c>
      <c r="DA5" s="14">
        <f>SUM(BJ$5:BJ5)</f>
        <v>0</v>
      </c>
      <c r="DB5" s="14">
        <f>SUM(BK$5:BK5)</f>
        <v>0</v>
      </c>
      <c r="DC5" s="14">
        <f>SUM(BL$5:BL5)</f>
        <v>0</v>
      </c>
      <c r="DD5" s="14">
        <f>SUM(BM$5:BM5)</f>
        <v>0</v>
      </c>
      <c r="DE5" s="14">
        <f>SUM(BN$5:BN5)</f>
        <v>0</v>
      </c>
      <c r="DF5" s="14">
        <f>SUM(BO$5:BO5)</f>
        <v>0</v>
      </c>
      <c r="DG5" s="14">
        <f>SUM(BP$5:BP5)</f>
        <v>0</v>
      </c>
      <c r="DH5" s="14">
        <f>SUM(BQ$5:BQ5)</f>
        <v>0</v>
      </c>
      <c r="DI5" s="14">
        <f>SUM(BR$5:BR5)</f>
        <v>0</v>
      </c>
      <c r="DJ5" s="14">
        <f>SUM(BS$5:BS5)</f>
        <v>0</v>
      </c>
      <c r="DK5" s="14">
        <f>SUM(BT$5:BT5)</f>
        <v>0</v>
      </c>
      <c r="DL5" s="14">
        <f>SUM(BU$5:BU5)</f>
        <v>0</v>
      </c>
      <c r="DM5" s="14">
        <f>SUM(BV$5:BV5)</f>
        <v>0</v>
      </c>
      <c r="DN5" s="14">
        <f>SUM(BW$5:BW5)</f>
        <v>0</v>
      </c>
      <c r="DO5" s="14">
        <f>SUM(BX$5:BX5)</f>
        <v>0</v>
      </c>
      <c r="DP5" s="14">
        <f>SUM(BY$5:BY5)</f>
        <v>0</v>
      </c>
      <c r="DQ5" s="14">
        <f>SUM(BZ$5:BZ5)</f>
        <v>0</v>
      </c>
      <c r="DR5" s="14">
        <f>SUM(CA$5:CA5)</f>
        <v>0</v>
      </c>
      <c r="DS5" s="14">
        <f>SUM(CB$5:CB5)</f>
        <v>0</v>
      </c>
      <c r="DT5" s="14">
        <f>SUM(CC$5:CC5)</f>
        <v>0</v>
      </c>
      <c r="DU5" s="14">
        <f>SUM(CD$5:CD5)</f>
        <v>0</v>
      </c>
      <c r="DV5" s="14">
        <f>SUM(CE$5:CE5)</f>
        <v>0</v>
      </c>
      <c r="DW5" s="14">
        <f>SUM(CF$5:CF5)</f>
        <v>0</v>
      </c>
      <c r="DX5" s="14">
        <f>SUM(CG$5:CG5)</f>
        <v>0</v>
      </c>
      <c r="DY5" s="14">
        <f>SUM(CH$5:CH5)</f>
        <v>0</v>
      </c>
      <c r="DZ5" s="14">
        <f>SUM(CI$5:CI5)</f>
        <v>0</v>
      </c>
      <c r="EA5" s="14">
        <f>SUM(CJ$5:CJ5)</f>
        <v>0</v>
      </c>
      <c r="EB5" s="14">
        <f>SUM(CK$5:CK5)</f>
        <v>0</v>
      </c>
      <c r="EC5" s="14">
        <f>SUM(CL$5:CL5)</f>
        <v>0</v>
      </c>
      <c r="ED5" s="14">
        <f>SUM(CM$5:CM5)</f>
        <v>0</v>
      </c>
      <c r="EE5" s="14">
        <f>SUM(CN$5:CN5)</f>
        <v>0</v>
      </c>
      <c r="EF5" s="14">
        <f>SUM(CO$5:CO5)</f>
        <v>0</v>
      </c>
      <c r="EG5" s="14">
        <f>SUM(CP$5:CP5)</f>
        <v>0</v>
      </c>
      <c r="EH5" s="14">
        <f>SUM(CQ$5:CQ5)</f>
        <v>0</v>
      </c>
      <c r="EI5" s="14">
        <f>SUM(CR$5:CR5)</f>
        <v>0</v>
      </c>
      <c r="EJ5" s="14">
        <f>SUM(CS$5:CS5)</f>
        <v>0</v>
      </c>
      <c r="EK5" s="14">
        <f>SUM(CT$5:CT5)</f>
        <v>0</v>
      </c>
      <c r="EL5" s="14">
        <f>SUM(CU$5:CU5)</f>
        <v>0</v>
      </c>
      <c r="EO5" s="87">
        <f>MATCH(CW5,$AD$5:$AD$26,1)-1</f>
        <v>0</v>
      </c>
      <c r="EP5" s="87">
        <f t="shared" ref="EP5:GD5" si="2">MATCH(CX5,$AD$5:$AD$26,1)-1</f>
        <v>0</v>
      </c>
      <c r="EQ5" s="87">
        <f t="shared" si="2"/>
        <v>0</v>
      </c>
      <c r="ER5" s="87">
        <f t="shared" si="2"/>
        <v>0</v>
      </c>
      <c r="ES5" s="87">
        <f t="shared" si="2"/>
        <v>0</v>
      </c>
      <c r="ET5" s="87">
        <f t="shared" si="2"/>
        <v>0</v>
      </c>
      <c r="EU5" s="87">
        <f t="shared" si="2"/>
        <v>0</v>
      </c>
      <c r="EV5" s="87">
        <f t="shared" si="2"/>
        <v>0</v>
      </c>
      <c r="EW5" s="87">
        <f t="shared" si="2"/>
        <v>0</v>
      </c>
      <c r="EX5" s="87">
        <f t="shared" si="2"/>
        <v>0</v>
      </c>
      <c r="EY5" s="87">
        <f t="shared" si="2"/>
        <v>0</v>
      </c>
      <c r="EZ5" s="87">
        <f t="shared" si="2"/>
        <v>0</v>
      </c>
      <c r="FA5" s="87">
        <f t="shared" si="2"/>
        <v>0</v>
      </c>
      <c r="FB5" s="87">
        <f t="shared" si="2"/>
        <v>0</v>
      </c>
      <c r="FC5" s="87">
        <f t="shared" si="2"/>
        <v>0</v>
      </c>
      <c r="FD5" s="87">
        <f t="shared" si="2"/>
        <v>0</v>
      </c>
      <c r="FE5" s="87">
        <f t="shared" si="2"/>
        <v>0</v>
      </c>
      <c r="FF5" s="87">
        <f t="shared" si="2"/>
        <v>0</v>
      </c>
      <c r="FG5" s="87">
        <f t="shared" si="2"/>
        <v>0</v>
      </c>
      <c r="FH5" s="87">
        <f t="shared" si="2"/>
        <v>0</v>
      </c>
      <c r="FI5" s="87">
        <f t="shared" si="2"/>
        <v>0</v>
      </c>
      <c r="FJ5" s="87">
        <f t="shared" si="2"/>
        <v>0</v>
      </c>
      <c r="FK5" s="87">
        <f t="shared" si="2"/>
        <v>0</v>
      </c>
      <c r="FL5" s="87">
        <f t="shared" si="2"/>
        <v>0</v>
      </c>
      <c r="FM5" s="87">
        <f t="shared" si="2"/>
        <v>0</v>
      </c>
      <c r="FN5" s="87">
        <f t="shared" si="2"/>
        <v>0</v>
      </c>
      <c r="FO5" s="87">
        <f t="shared" si="2"/>
        <v>0</v>
      </c>
      <c r="FP5" s="87">
        <f t="shared" si="2"/>
        <v>0</v>
      </c>
      <c r="FQ5" s="87">
        <f t="shared" si="2"/>
        <v>0</v>
      </c>
      <c r="FR5" s="87">
        <f t="shared" si="2"/>
        <v>0</v>
      </c>
      <c r="FS5" s="87">
        <f t="shared" si="2"/>
        <v>0</v>
      </c>
      <c r="FT5" s="87">
        <f t="shared" si="2"/>
        <v>0</v>
      </c>
      <c r="FU5" s="87">
        <f t="shared" si="2"/>
        <v>0</v>
      </c>
      <c r="FV5" s="87">
        <f t="shared" si="2"/>
        <v>0</v>
      </c>
      <c r="FW5" s="87">
        <f t="shared" si="2"/>
        <v>0</v>
      </c>
      <c r="FX5" s="87">
        <f t="shared" si="2"/>
        <v>0</v>
      </c>
      <c r="FY5" s="87">
        <f t="shared" si="2"/>
        <v>0</v>
      </c>
      <c r="FZ5" s="87">
        <f t="shared" si="2"/>
        <v>0</v>
      </c>
      <c r="GA5" s="87">
        <f t="shared" si="2"/>
        <v>0</v>
      </c>
      <c r="GB5" s="87">
        <f t="shared" si="2"/>
        <v>0</v>
      </c>
      <c r="GC5" s="87">
        <f t="shared" si="2"/>
        <v>0</v>
      </c>
      <c r="GD5" s="87">
        <f t="shared" si="2"/>
        <v>0</v>
      </c>
    </row>
    <row r="6" spans="1:186" ht="16.5" x14ac:dyDescent="0.2">
      <c r="A6" s="86">
        <v>2</v>
      </c>
      <c r="B6" s="86">
        <v>3</v>
      </c>
      <c r="C6" s="86">
        <v>3</v>
      </c>
      <c r="E6" s="86">
        <v>2</v>
      </c>
      <c r="F6" s="86" t="s">
        <v>202</v>
      </c>
      <c r="G6" s="86">
        <v>1.5</v>
      </c>
      <c r="H6" s="86">
        <v>3</v>
      </c>
      <c r="I6" s="86"/>
      <c r="K6" s="86">
        <v>2</v>
      </c>
      <c r="L6" s="86">
        <v>1</v>
      </c>
      <c r="M6" s="86">
        <v>2</v>
      </c>
      <c r="N6" s="86" t="str">
        <f t="shared" ref="N6:N46" si="3">"神器"&amp;L6&amp;"-"&amp;M6</f>
        <v>神器1-2</v>
      </c>
      <c r="O6" s="86">
        <v>1</v>
      </c>
      <c r="P6" s="14">
        <f t="shared" ref="P6:P46" si="4">INDEX($H$5:$H$8,O6)*INDEX($C$5:$C$11,L6)*$B$3</f>
        <v>10</v>
      </c>
      <c r="Q6" s="88">
        <v>0.35</v>
      </c>
      <c r="R6" s="14">
        <v>1</v>
      </c>
      <c r="S6" s="14">
        <v>3</v>
      </c>
      <c r="T6" s="88">
        <v>0.35</v>
      </c>
      <c r="U6" s="14">
        <v>2</v>
      </c>
      <c r="V6" s="14">
        <v>4</v>
      </c>
      <c r="W6" s="88">
        <v>0.35</v>
      </c>
      <c r="X6" s="14">
        <v>3</v>
      </c>
      <c r="Y6" s="14">
        <v>5</v>
      </c>
      <c r="AB6" s="86">
        <v>1</v>
      </c>
      <c r="AC6" s="86">
        <v>1</v>
      </c>
      <c r="AD6" s="86">
        <f>SUM(AC$6:AC6)</f>
        <v>1</v>
      </c>
      <c r="AF6" s="86">
        <v>1</v>
      </c>
      <c r="AG6" s="86">
        <v>43</v>
      </c>
      <c r="AH6" s="86">
        <f>SUMIFS($AX$5:$AX$122,$AO$5:$AO$122,"="&amp;AF6)</f>
        <v>27.5</v>
      </c>
      <c r="AI6" s="86" t="s">
        <v>643</v>
      </c>
      <c r="AJ6" s="21">
        <v>1</v>
      </c>
      <c r="AK6" s="21"/>
      <c r="AL6" s="21"/>
      <c r="AO6" s="86">
        <v>1</v>
      </c>
      <c r="AP6" s="86">
        <v>2</v>
      </c>
      <c r="AQ6" s="86">
        <v>1</v>
      </c>
      <c r="AR6" s="86">
        <v>1</v>
      </c>
      <c r="AS6" s="86" t="s">
        <v>308</v>
      </c>
      <c r="AT6" s="21">
        <f t="shared" si="0"/>
        <v>0.35</v>
      </c>
      <c r="AU6" s="86">
        <f t="shared" ref="AU6:AU69" si="5">INDEX($Q$5:$Y$46,AP6,(AR6-1)*3+2)</f>
        <v>1</v>
      </c>
      <c r="AV6" s="86">
        <f t="shared" ref="AV6:AV69" si="6">INDEX($Q$5:$Y$46,AP6,(AR6-1)*3+3)</f>
        <v>3</v>
      </c>
      <c r="AW6" s="87">
        <f t="shared" ref="AW6:AW69" si="7">AT6*(AU6+AV6)/2</f>
        <v>0.7</v>
      </c>
      <c r="AX6" s="86">
        <f t="shared" ref="AX6:AX69" si="8">INDEX($P$5:$P$46,AP6)*AT6*(AU6+AV6)/2</f>
        <v>7</v>
      </c>
      <c r="BA6" s="86">
        <v>2</v>
      </c>
      <c r="BB6" s="14" t="e">
        <f>INDEX(节奏总表!#REF!,神器!BA6)</f>
        <v>#REF!</v>
      </c>
      <c r="BC6" s="14" t="e">
        <f t="shared" ref="BC6:BC64" si="9">INDEX($AF$5:$AF$13,MATCH(BB6,$AG$5:$AG$13,1))</f>
        <v>#REF!</v>
      </c>
      <c r="BD6" s="14">
        <v>5</v>
      </c>
      <c r="BE6" s="14">
        <v>3</v>
      </c>
      <c r="BF6" s="14">
        <f t="shared" ref="BF6:BU35" si="10">SUMIFS($AT$5:$AT$122,$AO$5:$AO$122,"="&amp;$BC6,$AP$5:$AP$122,"="&amp;BF$2) * (SUMIFS($AU$5:$AU$122,$AO$5:$AO$122,"="&amp;$BC6,$AP$5:$AP$122,"="&amp;BF$2)+SUMIFS($AV$5:$AV$122,$AO$5:$AO$122,"="&amp;$BC6,$AP$5:$AP$122,"="&amp;BF$2))/2*$BD6*$BE6</f>
        <v>0</v>
      </c>
      <c r="BG6" s="14">
        <f t="shared" si="1"/>
        <v>0</v>
      </c>
      <c r="BH6" s="14">
        <f t="shared" si="1"/>
        <v>0</v>
      </c>
      <c r="BI6" s="14">
        <f t="shared" si="1"/>
        <v>0</v>
      </c>
      <c r="BJ6" s="14">
        <f t="shared" si="1"/>
        <v>0</v>
      </c>
      <c r="BK6" s="14">
        <f t="shared" si="1"/>
        <v>0</v>
      </c>
      <c r="BL6" s="14">
        <f t="shared" si="1"/>
        <v>0</v>
      </c>
      <c r="BM6" s="14">
        <f t="shared" si="1"/>
        <v>0</v>
      </c>
      <c r="BN6" s="14">
        <f t="shared" si="1"/>
        <v>0</v>
      </c>
      <c r="BO6" s="14">
        <f t="shared" si="1"/>
        <v>0</v>
      </c>
      <c r="BP6" s="14">
        <f t="shared" si="1"/>
        <v>0</v>
      </c>
      <c r="BQ6" s="14">
        <f t="shared" si="1"/>
        <v>0</v>
      </c>
      <c r="BR6" s="14">
        <f t="shared" si="1"/>
        <v>0</v>
      </c>
      <c r="BS6" s="14">
        <f t="shared" si="1"/>
        <v>0</v>
      </c>
      <c r="BT6" s="14">
        <f t="shared" si="1"/>
        <v>0</v>
      </c>
      <c r="BU6" s="14">
        <f t="shared" si="1"/>
        <v>0</v>
      </c>
      <c r="BV6" s="14">
        <f t="shared" si="1"/>
        <v>0</v>
      </c>
      <c r="BW6" s="14">
        <f t="shared" si="1"/>
        <v>0</v>
      </c>
      <c r="BX6" s="14">
        <f t="shared" si="1"/>
        <v>0</v>
      </c>
      <c r="BY6" s="14">
        <f t="shared" si="1"/>
        <v>0</v>
      </c>
      <c r="BZ6" s="14">
        <f t="shared" si="1"/>
        <v>0</v>
      </c>
      <c r="CA6" s="14">
        <f t="shared" si="1"/>
        <v>0</v>
      </c>
      <c r="CB6" s="14">
        <f t="shared" si="1"/>
        <v>0</v>
      </c>
      <c r="CC6" s="14">
        <f t="shared" si="1"/>
        <v>0</v>
      </c>
      <c r="CD6" s="14">
        <f t="shared" si="1"/>
        <v>0</v>
      </c>
      <c r="CE6" s="14">
        <f t="shared" si="1"/>
        <v>0</v>
      </c>
      <c r="CF6" s="14">
        <f t="shared" si="1"/>
        <v>0</v>
      </c>
      <c r="CG6" s="14">
        <f t="shared" si="1"/>
        <v>0</v>
      </c>
      <c r="CH6" s="14">
        <f t="shared" si="1"/>
        <v>0</v>
      </c>
      <c r="CI6" s="14">
        <f t="shared" si="1"/>
        <v>0</v>
      </c>
      <c r="CJ6" s="14">
        <f t="shared" si="1"/>
        <v>0</v>
      </c>
      <c r="CK6" s="14">
        <f t="shared" si="1"/>
        <v>0</v>
      </c>
      <c r="CL6" s="14">
        <f t="shared" si="1"/>
        <v>0</v>
      </c>
      <c r="CM6" s="14">
        <f t="shared" si="1"/>
        <v>0</v>
      </c>
      <c r="CN6" s="14">
        <f t="shared" si="1"/>
        <v>0</v>
      </c>
      <c r="CO6" s="14">
        <f t="shared" si="1"/>
        <v>0</v>
      </c>
      <c r="CP6" s="14">
        <f t="shared" si="1"/>
        <v>0</v>
      </c>
      <c r="CQ6" s="14">
        <f t="shared" si="1"/>
        <v>0</v>
      </c>
      <c r="CR6" s="14">
        <f t="shared" si="1"/>
        <v>0</v>
      </c>
      <c r="CS6" s="14">
        <f t="shared" si="1"/>
        <v>0</v>
      </c>
      <c r="CT6" s="14">
        <f t="shared" si="1"/>
        <v>0</v>
      </c>
      <c r="CU6" s="14">
        <f t="shared" si="1"/>
        <v>0</v>
      </c>
      <c r="CW6" s="14">
        <f>SUM(BF$5:BF6)</f>
        <v>0</v>
      </c>
      <c r="CX6" s="14">
        <f>SUM(BG$5:BG6)</f>
        <v>0</v>
      </c>
      <c r="CY6" s="14">
        <f>SUM(BH$5:BH6)</f>
        <v>0</v>
      </c>
      <c r="CZ6" s="14">
        <f>SUM(BI$5:BI6)</f>
        <v>0</v>
      </c>
      <c r="DA6" s="14">
        <f>SUM(BJ$5:BJ6)</f>
        <v>0</v>
      </c>
      <c r="DB6" s="14">
        <f>SUM(BK$5:BK6)</f>
        <v>0</v>
      </c>
      <c r="DC6" s="14">
        <f>SUM(BL$5:BL6)</f>
        <v>0</v>
      </c>
      <c r="DD6" s="14">
        <f>SUM(BM$5:BM6)</f>
        <v>0</v>
      </c>
      <c r="DE6" s="14">
        <f>SUM(BN$5:BN6)</f>
        <v>0</v>
      </c>
      <c r="DF6" s="14">
        <f>SUM(BO$5:BO6)</f>
        <v>0</v>
      </c>
      <c r="DG6" s="14">
        <f>SUM(BP$5:BP6)</f>
        <v>0</v>
      </c>
      <c r="DH6" s="14">
        <f>SUM(BQ$5:BQ6)</f>
        <v>0</v>
      </c>
      <c r="DI6" s="14">
        <f>SUM(BR$5:BR6)</f>
        <v>0</v>
      </c>
      <c r="DJ6" s="14">
        <f>SUM(BS$5:BS6)</f>
        <v>0</v>
      </c>
      <c r="DK6" s="14">
        <f>SUM(BT$5:BT6)</f>
        <v>0</v>
      </c>
      <c r="DL6" s="14">
        <f>SUM(BU$5:BU6)</f>
        <v>0</v>
      </c>
      <c r="DM6" s="14">
        <f>SUM(BV$5:BV6)</f>
        <v>0</v>
      </c>
      <c r="DN6" s="14">
        <f>SUM(BW$5:BW6)</f>
        <v>0</v>
      </c>
      <c r="DO6" s="14">
        <f>SUM(BX$5:BX6)</f>
        <v>0</v>
      </c>
      <c r="DP6" s="14">
        <f>SUM(BY$5:BY6)</f>
        <v>0</v>
      </c>
      <c r="DQ6" s="14">
        <f>SUM(BZ$5:BZ6)</f>
        <v>0</v>
      </c>
      <c r="DR6" s="14">
        <f>SUM(CA$5:CA6)</f>
        <v>0</v>
      </c>
      <c r="DS6" s="14">
        <f>SUM(CB$5:CB6)</f>
        <v>0</v>
      </c>
      <c r="DT6" s="14">
        <f>SUM(CC$5:CC6)</f>
        <v>0</v>
      </c>
      <c r="DU6" s="14">
        <f>SUM(CD$5:CD6)</f>
        <v>0</v>
      </c>
      <c r="DV6" s="14">
        <f>SUM(CE$5:CE6)</f>
        <v>0</v>
      </c>
      <c r="DW6" s="14">
        <f>SUM(CF$5:CF6)</f>
        <v>0</v>
      </c>
      <c r="DX6" s="14">
        <f>SUM(CG$5:CG6)</f>
        <v>0</v>
      </c>
      <c r="DY6" s="14">
        <f>SUM(CH$5:CH6)</f>
        <v>0</v>
      </c>
      <c r="DZ6" s="14">
        <f>SUM(CI$5:CI6)</f>
        <v>0</v>
      </c>
      <c r="EA6" s="14">
        <f>SUM(CJ$5:CJ6)</f>
        <v>0</v>
      </c>
      <c r="EB6" s="14">
        <f>SUM(CK$5:CK6)</f>
        <v>0</v>
      </c>
      <c r="EC6" s="14">
        <f>SUM(CL$5:CL6)</f>
        <v>0</v>
      </c>
      <c r="ED6" s="14">
        <f>SUM(CM$5:CM6)</f>
        <v>0</v>
      </c>
      <c r="EE6" s="14">
        <f>SUM(CN$5:CN6)</f>
        <v>0</v>
      </c>
      <c r="EF6" s="14">
        <f>SUM(CO$5:CO6)</f>
        <v>0</v>
      </c>
      <c r="EG6" s="14">
        <f>SUM(CP$5:CP6)</f>
        <v>0</v>
      </c>
      <c r="EH6" s="14">
        <f>SUM(CQ$5:CQ6)</f>
        <v>0</v>
      </c>
      <c r="EI6" s="14">
        <f>SUM(CR$5:CR6)</f>
        <v>0</v>
      </c>
      <c r="EJ6" s="14">
        <f>SUM(CS$5:CS6)</f>
        <v>0</v>
      </c>
      <c r="EK6" s="14">
        <f>SUM(CT$5:CT6)</f>
        <v>0</v>
      </c>
      <c r="EL6" s="14">
        <f>SUM(CU$5:CU6)</f>
        <v>0</v>
      </c>
      <c r="EO6" s="87">
        <f t="shared" ref="EO6:EO47" si="11">MATCH(CW6,$AD$5:$AD$26,1)-1</f>
        <v>0</v>
      </c>
      <c r="EP6" s="87">
        <f t="shared" ref="EP6:EP47" si="12">MATCH(CX6,$AD$5:$AD$26,1)-1</f>
        <v>0</v>
      </c>
      <c r="EQ6" s="87">
        <f t="shared" ref="EQ6:EQ47" si="13">MATCH(CY6,$AD$5:$AD$26,1)-1</f>
        <v>0</v>
      </c>
      <c r="ER6" s="87">
        <f t="shared" ref="ER6:ER47" si="14">MATCH(CZ6,$AD$5:$AD$26,1)-1</f>
        <v>0</v>
      </c>
      <c r="ES6" s="87">
        <f t="shared" ref="ES6:ES47" si="15">MATCH(DA6,$AD$5:$AD$26,1)-1</f>
        <v>0</v>
      </c>
      <c r="ET6" s="87">
        <f t="shared" ref="ET6:ET47" si="16">MATCH(DB6,$AD$5:$AD$26,1)-1</f>
        <v>0</v>
      </c>
      <c r="EU6" s="87">
        <f t="shared" ref="EU6:EU47" si="17">MATCH(DC6,$AD$5:$AD$26,1)-1</f>
        <v>0</v>
      </c>
      <c r="EV6" s="87">
        <f t="shared" ref="EV6:EV47" si="18">MATCH(DD6,$AD$5:$AD$26,1)-1</f>
        <v>0</v>
      </c>
      <c r="EW6" s="87">
        <f t="shared" ref="EW6:EW47" si="19">MATCH(DE6,$AD$5:$AD$26,1)-1</f>
        <v>0</v>
      </c>
      <c r="EX6" s="87">
        <f t="shared" ref="EX6:EX47" si="20">MATCH(DF6,$AD$5:$AD$26,1)-1</f>
        <v>0</v>
      </c>
      <c r="EY6" s="87">
        <f t="shared" ref="EY6:EY47" si="21">MATCH(DG6,$AD$5:$AD$26,1)-1</f>
        <v>0</v>
      </c>
      <c r="EZ6" s="87">
        <f t="shared" ref="EZ6:EZ47" si="22">MATCH(DH6,$AD$5:$AD$26,1)-1</f>
        <v>0</v>
      </c>
      <c r="FA6" s="87">
        <f t="shared" ref="FA6:FA47" si="23">MATCH(DI6,$AD$5:$AD$26,1)-1</f>
        <v>0</v>
      </c>
      <c r="FB6" s="87">
        <f t="shared" ref="FB6:FB47" si="24">MATCH(DJ6,$AD$5:$AD$26,1)-1</f>
        <v>0</v>
      </c>
      <c r="FC6" s="87">
        <f t="shared" ref="FC6:FC47" si="25">MATCH(DK6,$AD$5:$AD$26,1)-1</f>
        <v>0</v>
      </c>
      <c r="FD6" s="87">
        <f t="shared" ref="FD6:FD47" si="26">MATCH(DL6,$AD$5:$AD$26,1)-1</f>
        <v>0</v>
      </c>
      <c r="FE6" s="87">
        <f t="shared" ref="FE6:FE47" si="27">MATCH(DM6,$AD$5:$AD$26,1)-1</f>
        <v>0</v>
      </c>
      <c r="FF6" s="87">
        <f t="shared" ref="FF6:FF47" si="28">MATCH(DN6,$AD$5:$AD$26,1)-1</f>
        <v>0</v>
      </c>
      <c r="FG6" s="87">
        <f t="shared" ref="FG6:FG47" si="29">MATCH(DO6,$AD$5:$AD$26,1)-1</f>
        <v>0</v>
      </c>
      <c r="FH6" s="87">
        <f t="shared" ref="FH6:FH47" si="30">MATCH(DP6,$AD$5:$AD$26,1)-1</f>
        <v>0</v>
      </c>
      <c r="FI6" s="87">
        <f t="shared" ref="FI6:FI47" si="31">MATCH(DQ6,$AD$5:$AD$26,1)-1</f>
        <v>0</v>
      </c>
      <c r="FJ6" s="87">
        <f t="shared" ref="FJ6:FJ47" si="32">MATCH(DR6,$AD$5:$AD$26,1)-1</f>
        <v>0</v>
      </c>
      <c r="FK6" s="87">
        <f t="shared" ref="FK6:FK47" si="33">MATCH(DS6,$AD$5:$AD$26,1)-1</f>
        <v>0</v>
      </c>
      <c r="FL6" s="87">
        <f t="shared" ref="FL6:FL47" si="34">MATCH(DT6,$AD$5:$AD$26,1)-1</f>
        <v>0</v>
      </c>
      <c r="FM6" s="87">
        <f t="shared" ref="FM6:FM47" si="35">MATCH(DU6,$AD$5:$AD$26,1)-1</f>
        <v>0</v>
      </c>
      <c r="FN6" s="87">
        <f t="shared" ref="FN6:FN47" si="36">MATCH(DV6,$AD$5:$AD$26,1)-1</f>
        <v>0</v>
      </c>
      <c r="FO6" s="87">
        <f t="shared" ref="FO6:FO47" si="37">MATCH(DW6,$AD$5:$AD$26,1)-1</f>
        <v>0</v>
      </c>
      <c r="FP6" s="87">
        <f t="shared" ref="FP6:FP47" si="38">MATCH(DX6,$AD$5:$AD$26,1)-1</f>
        <v>0</v>
      </c>
      <c r="FQ6" s="87">
        <f t="shared" ref="FQ6:FQ47" si="39">MATCH(DY6,$AD$5:$AD$26,1)-1</f>
        <v>0</v>
      </c>
      <c r="FR6" s="87">
        <f t="shared" ref="FR6:FR47" si="40">MATCH(DZ6,$AD$5:$AD$26,1)-1</f>
        <v>0</v>
      </c>
      <c r="FS6" s="87">
        <f t="shared" ref="FS6:FS47" si="41">MATCH(EA6,$AD$5:$AD$26,1)-1</f>
        <v>0</v>
      </c>
      <c r="FT6" s="87">
        <f t="shared" ref="FT6:FT47" si="42">MATCH(EB6,$AD$5:$AD$26,1)-1</f>
        <v>0</v>
      </c>
      <c r="FU6" s="87">
        <f t="shared" ref="FU6:FU47" si="43">MATCH(EC6,$AD$5:$AD$26,1)-1</f>
        <v>0</v>
      </c>
      <c r="FV6" s="87">
        <f t="shared" ref="FV6:FV47" si="44">MATCH(ED6,$AD$5:$AD$26,1)-1</f>
        <v>0</v>
      </c>
      <c r="FW6" s="87">
        <f t="shared" ref="FW6:FW47" si="45">MATCH(EE6,$AD$5:$AD$26,1)-1</f>
        <v>0</v>
      </c>
      <c r="FX6" s="87">
        <f t="shared" ref="FX6:FX47" si="46">MATCH(EF6,$AD$5:$AD$26,1)-1</f>
        <v>0</v>
      </c>
      <c r="FY6" s="87">
        <f t="shared" ref="FY6:FY47" si="47">MATCH(EG6,$AD$5:$AD$26,1)-1</f>
        <v>0</v>
      </c>
      <c r="FZ6" s="87">
        <f t="shared" ref="FZ6:FZ47" si="48">MATCH(EH6,$AD$5:$AD$26,1)-1</f>
        <v>0</v>
      </c>
      <c r="GA6" s="87">
        <f t="shared" ref="GA6:GA47" si="49">MATCH(EI6,$AD$5:$AD$26,1)-1</f>
        <v>0</v>
      </c>
      <c r="GB6" s="87">
        <f t="shared" ref="GB6:GB47" si="50">MATCH(EJ6,$AD$5:$AD$26,1)-1</f>
        <v>0</v>
      </c>
      <c r="GC6" s="87">
        <f t="shared" ref="GC6:GC47" si="51">MATCH(EK6,$AD$5:$AD$26,1)-1</f>
        <v>0</v>
      </c>
      <c r="GD6" s="87">
        <f t="shared" ref="GD6:GD47" si="52">MATCH(EL6,$AD$5:$AD$26,1)-1</f>
        <v>0</v>
      </c>
    </row>
    <row r="7" spans="1:186" ht="16.5" x14ac:dyDescent="0.2">
      <c r="A7" s="86">
        <v>3</v>
      </c>
      <c r="B7" s="86">
        <v>4</v>
      </c>
      <c r="C7" s="86">
        <v>4</v>
      </c>
      <c r="E7" s="86">
        <v>3</v>
      </c>
      <c r="F7" s="86" t="s">
        <v>632</v>
      </c>
      <c r="G7" s="86">
        <v>2</v>
      </c>
      <c r="H7" s="86">
        <v>7</v>
      </c>
      <c r="I7" s="86"/>
      <c r="K7" s="86">
        <v>3</v>
      </c>
      <c r="L7" s="86">
        <v>1</v>
      </c>
      <c r="M7" s="86">
        <v>3</v>
      </c>
      <c r="N7" s="86" t="str">
        <f t="shared" si="3"/>
        <v>神器1-3</v>
      </c>
      <c r="O7" s="86">
        <v>2</v>
      </c>
      <c r="P7" s="14">
        <f t="shared" si="4"/>
        <v>30</v>
      </c>
      <c r="Q7" s="88">
        <v>0.3</v>
      </c>
      <c r="R7" s="14">
        <v>1</v>
      </c>
      <c r="S7" s="14">
        <v>2</v>
      </c>
      <c r="T7" s="88">
        <v>0.3</v>
      </c>
      <c r="U7" s="14">
        <v>1</v>
      </c>
      <c r="V7" s="14">
        <v>3</v>
      </c>
      <c r="W7" s="88">
        <v>0.3</v>
      </c>
      <c r="X7" s="14">
        <v>2</v>
      </c>
      <c r="Y7" s="14">
        <v>4</v>
      </c>
      <c r="AB7" s="86">
        <v>2</v>
      </c>
      <c r="AC7" s="86">
        <v>1</v>
      </c>
      <c r="AD7" s="86">
        <f>SUM(AC$6:AC7)</f>
        <v>2</v>
      </c>
      <c r="AF7" s="86">
        <v>2</v>
      </c>
      <c r="AG7" s="86">
        <v>63</v>
      </c>
      <c r="AH7" s="86">
        <f t="shared" ref="AH7:AH13" si="53">SUMIFS($AX$5:$AX$122,$AO$5:$AO$122,"="&amp;AF7)</f>
        <v>44.4</v>
      </c>
      <c r="AI7" s="86" t="s">
        <v>648</v>
      </c>
      <c r="AJ7" s="19">
        <v>0.6</v>
      </c>
      <c r="AK7" s="19">
        <v>0.4</v>
      </c>
      <c r="AL7" s="19"/>
      <c r="AO7" s="86">
        <v>1</v>
      </c>
      <c r="AP7" s="86">
        <v>3</v>
      </c>
      <c r="AQ7" s="86">
        <v>1</v>
      </c>
      <c r="AR7" s="86">
        <v>1</v>
      </c>
      <c r="AS7" s="86" t="s">
        <v>309</v>
      </c>
      <c r="AT7" s="21">
        <f t="shared" si="0"/>
        <v>0.3</v>
      </c>
      <c r="AU7" s="86">
        <f t="shared" si="5"/>
        <v>1</v>
      </c>
      <c r="AV7" s="86">
        <f t="shared" si="6"/>
        <v>2</v>
      </c>
      <c r="AW7" s="87">
        <f t="shared" si="7"/>
        <v>0.44999999999999996</v>
      </c>
      <c r="AX7" s="86">
        <f t="shared" si="8"/>
        <v>13.5</v>
      </c>
      <c r="BA7" s="86">
        <v>3</v>
      </c>
      <c r="BB7" s="14" t="e">
        <f>INDEX(节奏总表!#REF!,神器!BA7)</f>
        <v>#REF!</v>
      </c>
      <c r="BC7" s="14" t="e">
        <f t="shared" si="9"/>
        <v>#REF!</v>
      </c>
      <c r="BD7" s="14">
        <v>5</v>
      </c>
      <c r="BE7" s="14">
        <v>3</v>
      </c>
      <c r="BF7" s="14">
        <f t="shared" si="10"/>
        <v>0</v>
      </c>
      <c r="BG7" s="14">
        <f t="shared" si="1"/>
        <v>0</v>
      </c>
      <c r="BH7" s="14">
        <f t="shared" si="1"/>
        <v>0</v>
      </c>
      <c r="BI7" s="14">
        <f t="shared" si="1"/>
        <v>0</v>
      </c>
      <c r="BJ7" s="14">
        <f t="shared" si="1"/>
        <v>0</v>
      </c>
      <c r="BK7" s="14">
        <f t="shared" si="1"/>
        <v>0</v>
      </c>
      <c r="BL7" s="14">
        <f t="shared" si="1"/>
        <v>0</v>
      </c>
      <c r="BM7" s="14">
        <f t="shared" si="1"/>
        <v>0</v>
      </c>
      <c r="BN7" s="14">
        <f t="shared" si="1"/>
        <v>0</v>
      </c>
      <c r="BO7" s="14">
        <f t="shared" si="1"/>
        <v>0</v>
      </c>
      <c r="BP7" s="14">
        <f t="shared" si="1"/>
        <v>0</v>
      </c>
      <c r="BQ7" s="14">
        <f t="shared" si="1"/>
        <v>0</v>
      </c>
      <c r="BR7" s="14">
        <f t="shared" si="1"/>
        <v>0</v>
      </c>
      <c r="BS7" s="14">
        <f t="shared" si="1"/>
        <v>0</v>
      </c>
      <c r="BT7" s="14">
        <f t="shared" si="1"/>
        <v>0</v>
      </c>
      <c r="BU7" s="14">
        <f t="shared" si="1"/>
        <v>0</v>
      </c>
      <c r="BV7" s="14">
        <f t="shared" si="1"/>
        <v>0</v>
      </c>
      <c r="BW7" s="14">
        <f t="shared" si="1"/>
        <v>0</v>
      </c>
      <c r="BX7" s="14">
        <f t="shared" si="1"/>
        <v>0</v>
      </c>
      <c r="BY7" s="14">
        <f t="shared" si="1"/>
        <v>0</v>
      </c>
      <c r="BZ7" s="14">
        <f t="shared" si="1"/>
        <v>0</v>
      </c>
      <c r="CA7" s="14">
        <f t="shared" si="1"/>
        <v>0</v>
      </c>
      <c r="CB7" s="14">
        <f t="shared" si="1"/>
        <v>0</v>
      </c>
      <c r="CC7" s="14">
        <f t="shared" si="1"/>
        <v>0</v>
      </c>
      <c r="CD7" s="14">
        <f t="shared" si="1"/>
        <v>0</v>
      </c>
      <c r="CE7" s="14">
        <f t="shared" si="1"/>
        <v>0</v>
      </c>
      <c r="CF7" s="14">
        <f t="shared" si="1"/>
        <v>0</v>
      </c>
      <c r="CG7" s="14">
        <f t="shared" si="1"/>
        <v>0</v>
      </c>
      <c r="CH7" s="14">
        <f t="shared" si="1"/>
        <v>0</v>
      </c>
      <c r="CI7" s="14">
        <f t="shared" si="1"/>
        <v>0</v>
      </c>
      <c r="CJ7" s="14">
        <f t="shared" si="1"/>
        <v>0</v>
      </c>
      <c r="CK7" s="14">
        <f t="shared" si="1"/>
        <v>0</v>
      </c>
      <c r="CL7" s="14">
        <f t="shared" si="1"/>
        <v>0</v>
      </c>
      <c r="CM7" s="14">
        <f t="shared" si="1"/>
        <v>0</v>
      </c>
      <c r="CN7" s="14">
        <f t="shared" si="1"/>
        <v>0</v>
      </c>
      <c r="CO7" s="14">
        <f t="shared" si="1"/>
        <v>0</v>
      </c>
      <c r="CP7" s="14">
        <f t="shared" si="1"/>
        <v>0</v>
      </c>
      <c r="CQ7" s="14">
        <f t="shared" si="1"/>
        <v>0</v>
      </c>
      <c r="CR7" s="14">
        <f t="shared" si="1"/>
        <v>0</v>
      </c>
      <c r="CS7" s="14">
        <f t="shared" si="1"/>
        <v>0</v>
      </c>
      <c r="CT7" s="14">
        <f t="shared" si="1"/>
        <v>0</v>
      </c>
      <c r="CU7" s="14">
        <f t="shared" si="1"/>
        <v>0</v>
      </c>
      <c r="CW7" s="14">
        <f>SUM(BF$5:BF7)</f>
        <v>0</v>
      </c>
      <c r="CX7" s="14">
        <f>SUM(BG$5:BG7)</f>
        <v>0</v>
      </c>
      <c r="CY7" s="14">
        <f>SUM(BH$5:BH7)</f>
        <v>0</v>
      </c>
      <c r="CZ7" s="14">
        <f>SUM(BI$5:BI7)</f>
        <v>0</v>
      </c>
      <c r="DA7" s="14">
        <f>SUM(BJ$5:BJ7)</f>
        <v>0</v>
      </c>
      <c r="DB7" s="14">
        <f>SUM(BK$5:BK7)</f>
        <v>0</v>
      </c>
      <c r="DC7" s="14">
        <f>SUM(BL$5:BL7)</f>
        <v>0</v>
      </c>
      <c r="DD7" s="14">
        <f>SUM(BM$5:BM7)</f>
        <v>0</v>
      </c>
      <c r="DE7" s="14">
        <f>SUM(BN$5:BN7)</f>
        <v>0</v>
      </c>
      <c r="DF7" s="14">
        <f>SUM(BO$5:BO7)</f>
        <v>0</v>
      </c>
      <c r="DG7" s="14">
        <f>SUM(BP$5:BP7)</f>
        <v>0</v>
      </c>
      <c r="DH7" s="14">
        <f>SUM(BQ$5:BQ7)</f>
        <v>0</v>
      </c>
      <c r="DI7" s="14">
        <f>SUM(BR$5:BR7)</f>
        <v>0</v>
      </c>
      <c r="DJ7" s="14">
        <f>SUM(BS$5:BS7)</f>
        <v>0</v>
      </c>
      <c r="DK7" s="14">
        <f>SUM(BT$5:BT7)</f>
        <v>0</v>
      </c>
      <c r="DL7" s="14">
        <f>SUM(BU$5:BU7)</f>
        <v>0</v>
      </c>
      <c r="DM7" s="14">
        <f>SUM(BV$5:BV7)</f>
        <v>0</v>
      </c>
      <c r="DN7" s="14">
        <f>SUM(BW$5:BW7)</f>
        <v>0</v>
      </c>
      <c r="DO7" s="14">
        <f>SUM(BX$5:BX7)</f>
        <v>0</v>
      </c>
      <c r="DP7" s="14">
        <f>SUM(BY$5:BY7)</f>
        <v>0</v>
      </c>
      <c r="DQ7" s="14">
        <f>SUM(BZ$5:BZ7)</f>
        <v>0</v>
      </c>
      <c r="DR7" s="14">
        <f>SUM(CA$5:CA7)</f>
        <v>0</v>
      </c>
      <c r="DS7" s="14">
        <f>SUM(CB$5:CB7)</f>
        <v>0</v>
      </c>
      <c r="DT7" s="14">
        <f>SUM(CC$5:CC7)</f>
        <v>0</v>
      </c>
      <c r="DU7" s="14">
        <f>SUM(CD$5:CD7)</f>
        <v>0</v>
      </c>
      <c r="DV7" s="14">
        <f>SUM(CE$5:CE7)</f>
        <v>0</v>
      </c>
      <c r="DW7" s="14">
        <f>SUM(CF$5:CF7)</f>
        <v>0</v>
      </c>
      <c r="DX7" s="14">
        <f>SUM(CG$5:CG7)</f>
        <v>0</v>
      </c>
      <c r="DY7" s="14">
        <f>SUM(CH$5:CH7)</f>
        <v>0</v>
      </c>
      <c r="DZ7" s="14">
        <f>SUM(CI$5:CI7)</f>
        <v>0</v>
      </c>
      <c r="EA7" s="14">
        <f>SUM(CJ$5:CJ7)</f>
        <v>0</v>
      </c>
      <c r="EB7" s="14">
        <f>SUM(CK$5:CK7)</f>
        <v>0</v>
      </c>
      <c r="EC7" s="14">
        <f>SUM(CL$5:CL7)</f>
        <v>0</v>
      </c>
      <c r="ED7" s="14">
        <f>SUM(CM$5:CM7)</f>
        <v>0</v>
      </c>
      <c r="EE7" s="14">
        <f>SUM(CN$5:CN7)</f>
        <v>0</v>
      </c>
      <c r="EF7" s="14">
        <f>SUM(CO$5:CO7)</f>
        <v>0</v>
      </c>
      <c r="EG7" s="14">
        <f>SUM(CP$5:CP7)</f>
        <v>0</v>
      </c>
      <c r="EH7" s="14">
        <f>SUM(CQ$5:CQ7)</f>
        <v>0</v>
      </c>
      <c r="EI7" s="14">
        <f>SUM(CR$5:CR7)</f>
        <v>0</v>
      </c>
      <c r="EJ7" s="14">
        <f>SUM(CS$5:CS7)</f>
        <v>0</v>
      </c>
      <c r="EK7" s="14">
        <f>SUM(CT$5:CT7)</f>
        <v>0</v>
      </c>
      <c r="EL7" s="14">
        <f>SUM(CU$5:CU7)</f>
        <v>0</v>
      </c>
      <c r="EO7" s="87">
        <f t="shared" si="11"/>
        <v>0</v>
      </c>
      <c r="EP7" s="87">
        <f t="shared" si="12"/>
        <v>0</v>
      </c>
      <c r="EQ7" s="87">
        <f t="shared" si="13"/>
        <v>0</v>
      </c>
      <c r="ER7" s="87">
        <f t="shared" si="14"/>
        <v>0</v>
      </c>
      <c r="ES7" s="87">
        <f t="shared" si="15"/>
        <v>0</v>
      </c>
      <c r="ET7" s="87">
        <f t="shared" si="16"/>
        <v>0</v>
      </c>
      <c r="EU7" s="87">
        <f t="shared" si="17"/>
        <v>0</v>
      </c>
      <c r="EV7" s="87">
        <f t="shared" si="18"/>
        <v>0</v>
      </c>
      <c r="EW7" s="87">
        <f t="shared" si="19"/>
        <v>0</v>
      </c>
      <c r="EX7" s="87">
        <f t="shared" si="20"/>
        <v>0</v>
      </c>
      <c r="EY7" s="87">
        <f t="shared" si="21"/>
        <v>0</v>
      </c>
      <c r="EZ7" s="87">
        <f t="shared" si="22"/>
        <v>0</v>
      </c>
      <c r="FA7" s="87">
        <f t="shared" si="23"/>
        <v>0</v>
      </c>
      <c r="FB7" s="87">
        <f t="shared" si="24"/>
        <v>0</v>
      </c>
      <c r="FC7" s="87">
        <f t="shared" si="25"/>
        <v>0</v>
      </c>
      <c r="FD7" s="87">
        <f t="shared" si="26"/>
        <v>0</v>
      </c>
      <c r="FE7" s="87">
        <f t="shared" si="27"/>
        <v>0</v>
      </c>
      <c r="FF7" s="87">
        <f t="shared" si="28"/>
        <v>0</v>
      </c>
      <c r="FG7" s="87">
        <f t="shared" si="29"/>
        <v>0</v>
      </c>
      <c r="FH7" s="87">
        <f t="shared" si="30"/>
        <v>0</v>
      </c>
      <c r="FI7" s="87">
        <f t="shared" si="31"/>
        <v>0</v>
      </c>
      <c r="FJ7" s="87">
        <f t="shared" si="32"/>
        <v>0</v>
      </c>
      <c r="FK7" s="87">
        <f t="shared" si="33"/>
        <v>0</v>
      </c>
      <c r="FL7" s="87">
        <f t="shared" si="34"/>
        <v>0</v>
      </c>
      <c r="FM7" s="87">
        <f t="shared" si="35"/>
        <v>0</v>
      </c>
      <c r="FN7" s="87">
        <f t="shared" si="36"/>
        <v>0</v>
      </c>
      <c r="FO7" s="87">
        <f t="shared" si="37"/>
        <v>0</v>
      </c>
      <c r="FP7" s="87">
        <f t="shared" si="38"/>
        <v>0</v>
      </c>
      <c r="FQ7" s="87">
        <f t="shared" si="39"/>
        <v>0</v>
      </c>
      <c r="FR7" s="87">
        <f t="shared" si="40"/>
        <v>0</v>
      </c>
      <c r="FS7" s="87">
        <f t="shared" si="41"/>
        <v>0</v>
      </c>
      <c r="FT7" s="87">
        <f t="shared" si="42"/>
        <v>0</v>
      </c>
      <c r="FU7" s="87">
        <f t="shared" si="43"/>
        <v>0</v>
      </c>
      <c r="FV7" s="87">
        <f t="shared" si="44"/>
        <v>0</v>
      </c>
      <c r="FW7" s="87">
        <f t="shared" si="45"/>
        <v>0</v>
      </c>
      <c r="FX7" s="87">
        <f t="shared" si="46"/>
        <v>0</v>
      </c>
      <c r="FY7" s="87">
        <f t="shared" si="47"/>
        <v>0</v>
      </c>
      <c r="FZ7" s="87">
        <f t="shared" si="48"/>
        <v>0</v>
      </c>
      <c r="GA7" s="87">
        <f t="shared" si="49"/>
        <v>0</v>
      </c>
      <c r="GB7" s="87">
        <f t="shared" si="50"/>
        <v>0</v>
      </c>
      <c r="GC7" s="87">
        <f t="shared" si="51"/>
        <v>0</v>
      </c>
      <c r="GD7" s="87">
        <f t="shared" si="52"/>
        <v>0</v>
      </c>
    </row>
    <row r="8" spans="1:186" ht="16.5" x14ac:dyDescent="0.2">
      <c r="A8" s="86">
        <v>4</v>
      </c>
      <c r="B8" s="86">
        <v>5</v>
      </c>
      <c r="C8" s="86">
        <v>5</v>
      </c>
      <c r="E8" s="86">
        <v>4</v>
      </c>
      <c r="F8" s="86" t="s">
        <v>362</v>
      </c>
      <c r="G8" s="86">
        <v>3</v>
      </c>
      <c r="H8" s="86">
        <v>15</v>
      </c>
      <c r="I8" s="19">
        <v>0.1</v>
      </c>
      <c r="K8" s="86">
        <v>4</v>
      </c>
      <c r="L8" s="86">
        <v>2</v>
      </c>
      <c r="M8" s="86">
        <v>1</v>
      </c>
      <c r="N8" s="86" t="str">
        <f t="shared" si="3"/>
        <v>神器2-1</v>
      </c>
      <c r="O8" s="86">
        <v>1</v>
      </c>
      <c r="P8" s="14">
        <f t="shared" si="4"/>
        <v>15</v>
      </c>
      <c r="Q8" s="88">
        <v>0.26</v>
      </c>
      <c r="R8" s="14">
        <v>1</v>
      </c>
      <c r="S8" s="14">
        <v>3</v>
      </c>
      <c r="T8" s="88">
        <v>0.26</v>
      </c>
      <c r="U8" s="14">
        <v>2</v>
      </c>
      <c r="V8" s="14">
        <v>4</v>
      </c>
      <c r="W8" s="88">
        <v>0.26</v>
      </c>
      <c r="X8" s="14">
        <v>3</v>
      </c>
      <c r="Y8" s="14">
        <v>5</v>
      </c>
      <c r="AB8" s="86">
        <v>3</v>
      </c>
      <c r="AC8" s="86">
        <v>1</v>
      </c>
      <c r="AD8" s="86">
        <f>SUM(AC$6:AC8)</f>
        <v>3</v>
      </c>
      <c r="AF8" s="86">
        <v>3</v>
      </c>
      <c r="AG8" s="86">
        <v>83</v>
      </c>
      <c r="AH8" s="86">
        <f t="shared" si="53"/>
        <v>65.199999999999989</v>
      </c>
      <c r="AI8" s="86" t="s">
        <v>649</v>
      </c>
      <c r="AJ8" s="19">
        <v>0.55000000000000004</v>
      </c>
      <c r="AK8" s="19">
        <v>0.3</v>
      </c>
      <c r="AL8" s="19">
        <v>0.15</v>
      </c>
      <c r="AO8" s="86">
        <v>2</v>
      </c>
      <c r="AP8" s="86">
        <v>1</v>
      </c>
      <c r="AQ8" s="86">
        <v>1</v>
      </c>
      <c r="AR8" s="86">
        <v>2</v>
      </c>
      <c r="AS8" s="86" t="s">
        <v>307</v>
      </c>
      <c r="AT8" s="21">
        <f t="shared" si="0"/>
        <v>0.21</v>
      </c>
      <c r="AU8" s="86">
        <f t="shared" si="5"/>
        <v>2</v>
      </c>
      <c r="AV8" s="86">
        <f t="shared" si="6"/>
        <v>4</v>
      </c>
      <c r="AW8" s="87">
        <f t="shared" si="7"/>
        <v>0.63</v>
      </c>
      <c r="AX8" s="86">
        <f t="shared" si="8"/>
        <v>6.3000000000000007</v>
      </c>
      <c r="BA8" s="86">
        <v>4</v>
      </c>
      <c r="BB8" s="14" t="e">
        <f>INDEX(节奏总表!#REF!,神器!BA8)</f>
        <v>#REF!</v>
      </c>
      <c r="BC8" s="14" t="e">
        <f t="shared" si="9"/>
        <v>#REF!</v>
      </c>
      <c r="BD8" s="14">
        <v>5</v>
      </c>
      <c r="BE8" s="14">
        <v>3</v>
      </c>
      <c r="BF8" s="14">
        <f t="shared" si="10"/>
        <v>0</v>
      </c>
      <c r="BG8" s="14">
        <f t="shared" si="1"/>
        <v>0</v>
      </c>
      <c r="BH8" s="14">
        <f t="shared" si="1"/>
        <v>0</v>
      </c>
      <c r="BI8" s="14">
        <f t="shared" si="1"/>
        <v>0</v>
      </c>
      <c r="BJ8" s="14">
        <f t="shared" si="1"/>
        <v>0</v>
      </c>
      <c r="BK8" s="14">
        <f t="shared" si="1"/>
        <v>0</v>
      </c>
      <c r="BL8" s="14">
        <f t="shared" si="1"/>
        <v>0</v>
      </c>
      <c r="BM8" s="14">
        <f t="shared" si="1"/>
        <v>0</v>
      </c>
      <c r="BN8" s="14">
        <f t="shared" si="1"/>
        <v>0</v>
      </c>
      <c r="BO8" s="14">
        <f t="shared" si="1"/>
        <v>0</v>
      </c>
      <c r="BP8" s="14">
        <f t="shared" si="1"/>
        <v>0</v>
      </c>
      <c r="BQ8" s="14">
        <f t="shared" si="1"/>
        <v>0</v>
      </c>
      <c r="BR8" s="14">
        <f t="shared" si="1"/>
        <v>0</v>
      </c>
      <c r="BS8" s="14">
        <f t="shared" si="1"/>
        <v>0</v>
      </c>
      <c r="BT8" s="14">
        <f t="shared" si="1"/>
        <v>0</v>
      </c>
      <c r="BU8" s="14">
        <f t="shared" si="1"/>
        <v>0</v>
      </c>
      <c r="BV8" s="14">
        <f t="shared" si="1"/>
        <v>0</v>
      </c>
      <c r="BW8" s="14">
        <f t="shared" si="1"/>
        <v>0</v>
      </c>
      <c r="BX8" s="14">
        <f t="shared" si="1"/>
        <v>0</v>
      </c>
      <c r="BY8" s="14">
        <f t="shared" si="1"/>
        <v>0</v>
      </c>
      <c r="BZ8" s="14">
        <f t="shared" si="1"/>
        <v>0</v>
      </c>
      <c r="CA8" s="14">
        <f t="shared" si="1"/>
        <v>0</v>
      </c>
      <c r="CB8" s="14">
        <f t="shared" si="1"/>
        <v>0</v>
      </c>
      <c r="CC8" s="14">
        <f t="shared" si="1"/>
        <v>0</v>
      </c>
      <c r="CD8" s="14">
        <f t="shared" si="1"/>
        <v>0</v>
      </c>
      <c r="CE8" s="14">
        <f t="shared" si="1"/>
        <v>0</v>
      </c>
      <c r="CF8" s="14">
        <f t="shared" si="1"/>
        <v>0</v>
      </c>
      <c r="CG8" s="14">
        <f t="shared" si="1"/>
        <v>0</v>
      </c>
      <c r="CH8" s="14">
        <f t="shared" si="1"/>
        <v>0</v>
      </c>
      <c r="CI8" s="14">
        <f t="shared" si="1"/>
        <v>0</v>
      </c>
      <c r="CJ8" s="14">
        <f t="shared" si="1"/>
        <v>0</v>
      </c>
      <c r="CK8" s="14">
        <f t="shared" si="1"/>
        <v>0</v>
      </c>
      <c r="CL8" s="14">
        <f t="shared" si="1"/>
        <v>0</v>
      </c>
      <c r="CM8" s="14">
        <f t="shared" si="1"/>
        <v>0</v>
      </c>
      <c r="CN8" s="14">
        <f t="shared" si="1"/>
        <v>0</v>
      </c>
      <c r="CO8" s="14">
        <f t="shared" si="1"/>
        <v>0</v>
      </c>
      <c r="CP8" s="14">
        <f t="shared" si="1"/>
        <v>0</v>
      </c>
      <c r="CQ8" s="14">
        <f t="shared" si="1"/>
        <v>0</v>
      </c>
      <c r="CR8" s="14">
        <f t="shared" si="1"/>
        <v>0</v>
      </c>
      <c r="CS8" s="14">
        <f t="shared" si="1"/>
        <v>0</v>
      </c>
      <c r="CT8" s="14">
        <f t="shared" si="1"/>
        <v>0</v>
      </c>
      <c r="CU8" s="14">
        <f t="shared" si="1"/>
        <v>0</v>
      </c>
      <c r="CW8" s="14">
        <f>SUM(BF$5:BF8)</f>
        <v>0</v>
      </c>
      <c r="CX8" s="14">
        <f>SUM(BG$5:BG8)</f>
        <v>0</v>
      </c>
      <c r="CY8" s="14">
        <f>SUM(BH$5:BH8)</f>
        <v>0</v>
      </c>
      <c r="CZ8" s="14">
        <f>SUM(BI$5:BI8)</f>
        <v>0</v>
      </c>
      <c r="DA8" s="14">
        <f>SUM(BJ$5:BJ8)</f>
        <v>0</v>
      </c>
      <c r="DB8" s="14">
        <f>SUM(BK$5:BK8)</f>
        <v>0</v>
      </c>
      <c r="DC8" s="14">
        <f>SUM(BL$5:BL8)</f>
        <v>0</v>
      </c>
      <c r="DD8" s="14">
        <f>SUM(BM$5:BM8)</f>
        <v>0</v>
      </c>
      <c r="DE8" s="14">
        <f>SUM(BN$5:BN8)</f>
        <v>0</v>
      </c>
      <c r="DF8" s="14">
        <f>SUM(BO$5:BO8)</f>
        <v>0</v>
      </c>
      <c r="DG8" s="14">
        <f>SUM(BP$5:BP8)</f>
        <v>0</v>
      </c>
      <c r="DH8" s="14">
        <f>SUM(BQ$5:BQ8)</f>
        <v>0</v>
      </c>
      <c r="DI8" s="14">
        <f>SUM(BR$5:BR8)</f>
        <v>0</v>
      </c>
      <c r="DJ8" s="14">
        <f>SUM(BS$5:BS8)</f>
        <v>0</v>
      </c>
      <c r="DK8" s="14">
        <f>SUM(BT$5:BT8)</f>
        <v>0</v>
      </c>
      <c r="DL8" s="14">
        <f>SUM(BU$5:BU8)</f>
        <v>0</v>
      </c>
      <c r="DM8" s="14">
        <f>SUM(BV$5:BV8)</f>
        <v>0</v>
      </c>
      <c r="DN8" s="14">
        <f>SUM(BW$5:BW8)</f>
        <v>0</v>
      </c>
      <c r="DO8" s="14">
        <f>SUM(BX$5:BX8)</f>
        <v>0</v>
      </c>
      <c r="DP8" s="14">
        <f>SUM(BY$5:BY8)</f>
        <v>0</v>
      </c>
      <c r="DQ8" s="14">
        <f>SUM(BZ$5:BZ8)</f>
        <v>0</v>
      </c>
      <c r="DR8" s="14">
        <f>SUM(CA$5:CA8)</f>
        <v>0</v>
      </c>
      <c r="DS8" s="14">
        <f>SUM(CB$5:CB8)</f>
        <v>0</v>
      </c>
      <c r="DT8" s="14">
        <f>SUM(CC$5:CC8)</f>
        <v>0</v>
      </c>
      <c r="DU8" s="14">
        <f>SUM(CD$5:CD8)</f>
        <v>0</v>
      </c>
      <c r="DV8" s="14">
        <f>SUM(CE$5:CE8)</f>
        <v>0</v>
      </c>
      <c r="DW8" s="14">
        <f>SUM(CF$5:CF8)</f>
        <v>0</v>
      </c>
      <c r="DX8" s="14">
        <f>SUM(CG$5:CG8)</f>
        <v>0</v>
      </c>
      <c r="DY8" s="14">
        <f>SUM(CH$5:CH8)</f>
        <v>0</v>
      </c>
      <c r="DZ8" s="14">
        <f>SUM(CI$5:CI8)</f>
        <v>0</v>
      </c>
      <c r="EA8" s="14">
        <f>SUM(CJ$5:CJ8)</f>
        <v>0</v>
      </c>
      <c r="EB8" s="14">
        <f>SUM(CK$5:CK8)</f>
        <v>0</v>
      </c>
      <c r="EC8" s="14">
        <f>SUM(CL$5:CL8)</f>
        <v>0</v>
      </c>
      <c r="ED8" s="14">
        <f>SUM(CM$5:CM8)</f>
        <v>0</v>
      </c>
      <c r="EE8" s="14">
        <f>SUM(CN$5:CN8)</f>
        <v>0</v>
      </c>
      <c r="EF8" s="14">
        <f>SUM(CO$5:CO8)</f>
        <v>0</v>
      </c>
      <c r="EG8" s="14">
        <f>SUM(CP$5:CP8)</f>
        <v>0</v>
      </c>
      <c r="EH8" s="14">
        <f>SUM(CQ$5:CQ8)</f>
        <v>0</v>
      </c>
      <c r="EI8" s="14">
        <f>SUM(CR$5:CR8)</f>
        <v>0</v>
      </c>
      <c r="EJ8" s="14">
        <f>SUM(CS$5:CS8)</f>
        <v>0</v>
      </c>
      <c r="EK8" s="14">
        <f>SUM(CT$5:CT8)</f>
        <v>0</v>
      </c>
      <c r="EL8" s="14">
        <f>SUM(CU$5:CU8)</f>
        <v>0</v>
      </c>
      <c r="EO8" s="87">
        <f t="shared" si="11"/>
        <v>0</v>
      </c>
      <c r="EP8" s="87">
        <f t="shared" si="12"/>
        <v>0</v>
      </c>
      <c r="EQ8" s="87">
        <f t="shared" si="13"/>
        <v>0</v>
      </c>
      <c r="ER8" s="87">
        <f t="shared" si="14"/>
        <v>0</v>
      </c>
      <c r="ES8" s="87">
        <f t="shared" si="15"/>
        <v>0</v>
      </c>
      <c r="ET8" s="87">
        <f t="shared" si="16"/>
        <v>0</v>
      </c>
      <c r="EU8" s="87">
        <f t="shared" si="17"/>
        <v>0</v>
      </c>
      <c r="EV8" s="87">
        <f t="shared" si="18"/>
        <v>0</v>
      </c>
      <c r="EW8" s="87">
        <f t="shared" si="19"/>
        <v>0</v>
      </c>
      <c r="EX8" s="87">
        <f t="shared" si="20"/>
        <v>0</v>
      </c>
      <c r="EY8" s="87">
        <f t="shared" si="21"/>
        <v>0</v>
      </c>
      <c r="EZ8" s="87">
        <f t="shared" si="22"/>
        <v>0</v>
      </c>
      <c r="FA8" s="87">
        <f t="shared" si="23"/>
        <v>0</v>
      </c>
      <c r="FB8" s="87">
        <f t="shared" si="24"/>
        <v>0</v>
      </c>
      <c r="FC8" s="87">
        <f t="shared" si="25"/>
        <v>0</v>
      </c>
      <c r="FD8" s="87">
        <f t="shared" si="26"/>
        <v>0</v>
      </c>
      <c r="FE8" s="87">
        <f t="shared" si="27"/>
        <v>0</v>
      </c>
      <c r="FF8" s="87">
        <f t="shared" si="28"/>
        <v>0</v>
      </c>
      <c r="FG8" s="87">
        <f t="shared" si="29"/>
        <v>0</v>
      </c>
      <c r="FH8" s="87">
        <f t="shared" si="30"/>
        <v>0</v>
      </c>
      <c r="FI8" s="87">
        <f t="shared" si="31"/>
        <v>0</v>
      </c>
      <c r="FJ8" s="87">
        <f t="shared" si="32"/>
        <v>0</v>
      </c>
      <c r="FK8" s="87">
        <f t="shared" si="33"/>
        <v>0</v>
      </c>
      <c r="FL8" s="87">
        <f t="shared" si="34"/>
        <v>0</v>
      </c>
      <c r="FM8" s="87">
        <f t="shared" si="35"/>
        <v>0</v>
      </c>
      <c r="FN8" s="87">
        <f t="shared" si="36"/>
        <v>0</v>
      </c>
      <c r="FO8" s="87">
        <f t="shared" si="37"/>
        <v>0</v>
      </c>
      <c r="FP8" s="87">
        <f t="shared" si="38"/>
        <v>0</v>
      </c>
      <c r="FQ8" s="87">
        <f t="shared" si="39"/>
        <v>0</v>
      </c>
      <c r="FR8" s="87">
        <f t="shared" si="40"/>
        <v>0</v>
      </c>
      <c r="FS8" s="87">
        <f t="shared" si="41"/>
        <v>0</v>
      </c>
      <c r="FT8" s="87">
        <f t="shared" si="42"/>
        <v>0</v>
      </c>
      <c r="FU8" s="87">
        <f t="shared" si="43"/>
        <v>0</v>
      </c>
      <c r="FV8" s="87">
        <f t="shared" si="44"/>
        <v>0</v>
      </c>
      <c r="FW8" s="87">
        <f t="shared" si="45"/>
        <v>0</v>
      </c>
      <c r="FX8" s="87">
        <f t="shared" si="46"/>
        <v>0</v>
      </c>
      <c r="FY8" s="87">
        <f t="shared" si="47"/>
        <v>0</v>
      </c>
      <c r="FZ8" s="87">
        <f t="shared" si="48"/>
        <v>0</v>
      </c>
      <c r="GA8" s="87">
        <f t="shared" si="49"/>
        <v>0</v>
      </c>
      <c r="GB8" s="87">
        <f t="shared" si="50"/>
        <v>0</v>
      </c>
      <c r="GC8" s="87">
        <f t="shared" si="51"/>
        <v>0</v>
      </c>
      <c r="GD8" s="87">
        <f t="shared" si="52"/>
        <v>0</v>
      </c>
    </row>
    <row r="9" spans="1:186" ht="16.5" x14ac:dyDescent="0.2">
      <c r="A9" s="86">
        <v>5</v>
      </c>
      <c r="B9" s="86">
        <v>6</v>
      </c>
      <c r="C9" s="86">
        <v>6</v>
      </c>
      <c r="K9" s="86">
        <v>5</v>
      </c>
      <c r="L9" s="86">
        <v>2</v>
      </c>
      <c r="M9" s="86">
        <v>2</v>
      </c>
      <c r="N9" s="86" t="str">
        <f t="shared" si="3"/>
        <v>神器2-2</v>
      </c>
      <c r="O9" s="86">
        <v>1</v>
      </c>
      <c r="P9" s="14">
        <f t="shared" si="4"/>
        <v>15</v>
      </c>
      <c r="Q9" s="88">
        <v>0.26</v>
      </c>
      <c r="R9" s="14">
        <v>1</v>
      </c>
      <c r="S9" s="14">
        <v>3</v>
      </c>
      <c r="T9" s="88">
        <v>0.26</v>
      </c>
      <c r="U9" s="14">
        <v>2</v>
      </c>
      <c r="V9" s="14">
        <v>4</v>
      </c>
      <c r="W9" s="88">
        <v>0.26</v>
      </c>
      <c r="X9" s="14">
        <v>3</v>
      </c>
      <c r="Y9" s="14">
        <v>5</v>
      </c>
      <c r="AB9" s="86">
        <v>4</v>
      </c>
      <c r="AC9" s="86">
        <v>2</v>
      </c>
      <c r="AD9" s="86">
        <f>SUM(AC$6:AC9)</f>
        <v>5</v>
      </c>
      <c r="AF9" s="86">
        <v>4</v>
      </c>
      <c r="AG9" s="86">
        <v>93</v>
      </c>
      <c r="AH9" s="86">
        <f t="shared" si="53"/>
        <v>109.60500000000002</v>
      </c>
      <c r="AI9" s="86" t="s">
        <v>650</v>
      </c>
      <c r="AJ9" s="19">
        <v>0.55000000000000004</v>
      </c>
      <c r="AK9" s="19">
        <v>0.3</v>
      </c>
      <c r="AL9" s="19">
        <v>0.15</v>
      </c>
      <c r="AO9" s="86">
        <v>2</v>
      </c>
      <c r="AP9" s="86">
        <v>2</v>
      </c>
      <c r="AQ9" s="86">
        <v>1</v>
      </c>
      <c r="AR9" s="86">
        <v>2</v>
      </c>
      <c r="AS9" s="86" t="s">
        <v>308</v>
      </c>
      <c r="AT9" s="21">
        <f t="shared" si="0"/>
        <v>0.21</v>
      </c>
      <c r="AU9" s="86">
        <f t="shared" si="5"/>
        <v>2</v>
      </c>
      <c r="AV9" s="86">
        <f t="shared" si="6"/>
        <v>4</v>
      </c>
      <c r="AW9" s="87">
        <f t="shared" si="7"/>
        <v>0.63</v>
      </c>
      <c r="AX9" s="86">
        <f t="shared" si="8"/>
        <v>6.3000000000000007</v>
      </c>
      <c r="BA9" s="86">
        <v>5</v>
      </c>
      <c r="BB9" s="14" t="e">
        <f>INDEX(节奏总表!#REF!,神器!BA9)</f>
        <v>#REF!</v>
      </c>
      <c r="BC9" s="14" t="e">
        <f t="shared" si="9"/>
        <v>#REF!</v>
      </c>
      <c r="BD9" s="14">
        <v>5</v>
      </c>
      <c r="BE9" s="14">
        <v>3</v>
      </c>
      <c r="BF9" s="14">
        <f t="shared" si="10"/>
        <v>0</v>
      </c>
      <c r="BG9" s="14">
        <f t="shared" si="1"/>
        <v>0</v>
      </c>
      <c r="BH9" s="14">
        <f t="shared" si="1"/>
        <v>0</v>
      </c>
      <c r="BI9" s="14">
        <f t="shared" si="1"/>
        <v>0</v>
      </c>
      <c r="BJ9" s="14">
        <f t="shared" si="1"/>
        <v>0</v>
      </c>
      <c r="BK9" s="14">
        <f t="shared" si="1"/>
        <v>0</v>
      </c>
      <c r="BL9" s="14">
        <f t="shared" si="1"/>
        <v>0</v>
      </c>
      <c r="BM9" s="14">
        <f t="shared" si="1"/>
        <v>0</v>
      </c>
      <c r="BN9" s="14">
        <f t="shared" si="1"/>
        <v>0</v>
      </c>
      <c r="BO9" s="14">
        <f t="shared" si="1"/>
        <v>0</v>
      </c>
      <c r="BP9" s="14">
        <f t="shared" si="1"/>
        <v>0</v>
      </c>
      <c r="BQ9" s="14">
        <f t="shared" si="1"/>
        <v>0</v>
      </c>
      <c r="BR9" s="14">
        <f t="shared" si="1"/>
        <v>0</v>
      </c>
      <c r="BS9" s="14">
        <f t="shared" si="1"/>
        <v>0</v>
      </c>
      <c r="BT9" s="14">
        <f t="shared" si="1"/>
        <v>0</v>
      </c>
      <c r="BU9" s="14">
        <f t="shared" si="1"/>
        <v>0</v>
      </c>
      <c r="BV9" s="14">
        <f t="shared" si="1"/>
        <v>0</v>
      </c>
      <c r="BW9" s="14">
        <f t="shared" si="1"/>
        <v>0</v>
      </c>
      <c r="BX9" s="14">
        <f t="shared" si="1"/>
        <v>0</v>
      </c>
      <c r="BY9" s="14">
        <f t="shared" si="1"/>
        <v>0</v>
      </c>
      <c r="BZ9" s="14">
        <f t="shared" si="1"/>
        <v>0</v>
      </c>
      <c r="CA9" s="14">
        <f t="shared" si="1"/>
        <v>0</v>
      </c>
      <c r="CB9" s="14">
        <f t="shared" si="1"/>
        <v>0</v>
      </c>
      <c r="CC9" s="14">
        <f t="shared" si="1"/>
        <v>0</v>
      </c>
      <c r="CD9" s="14">
        <f t="shared" si="1"/>
        <v>0</v>
      </c>
      <c r="CE9" s="14">
        <f t="shared" si="1"/>
        <v>0</v>
      </c>
      <c r="CF9" s="14">
        <f t="shared" si="1"/>
        <v>0</v>
      </c>
      <c r="CG9" s="14">
        <f t="shared" si="1"/>
        <v>0</v>
      </c>
      <c r="CH9" s="14">
        <f t="shared" si="1"/>
        <v>0</v>
      </c>
      <c r="CI9" s="14">
        <f t="shared" si="1"/>
        <v>0</v>
      </c>
      <c r="CJ9" s="14">
        <f t="shared" si="1"/>
        <v>0</v>
      </c>
      <c r="CK9" s="14">
        <f t="shared" si="1"/>
        <v>0</v>
      </c>
      <c r="CL9" s="14">
        <f t="shared" si="1"/>
        <v>0</v>
      </c>
      <c r="CM9" s="14">
        <f t="shared" si="1"/>
        <v>0</v>
      </c>
      <c r="CN9" s="14">
        <f t="shared" si="1"/>
        <v>0</v>
      </c>
      <c r="CO9" s="14">
        <f t="shared" si="1"/>
        <v>0</v>
      </c>
      <c r="CP9" s="14">
        <f t="shared" si="1"/>
        <v>0</v>
      </c>
      <c r="CQ9" s="14">
        <f t="shared" si="1"/>
        <v>0</v>
      </c>
      <c r="CR9" s="14">
        <f t="shared" si="1"/>
        <v>0</v>
      </c>
      <c r="CS9" s="14">
        <f t="shared" si="1"/>
        <v>0</v>
      </c>
      <c r="CT9" s="14">
        <f t="shared" si="1"/>
        <v>0</v>
      </c>
      <c r="CU9" s="14">
        <f t="shared" si="1"/>
        <v>0</v>
      </c>
      <c r="CW9" s="14">
        <f>SUM(BF$5:BF9)</f>
        <v>0</v>
      </c>
      <c r="CX9" s="14">
        <f>SUM(BG$5:BG9)</f>
        <v>0</v>
      </c>
      <c r="CY9" s="14">
        <f>SUM(BH$5:BH9)</f>
        <v>0</v>
      </c>
      <c r="CZ9" s="14">
        <f>SUM(BI$5:BI9)</f>
        <v>0</v>
      </c>
      <c r="DA9" s="14">
        <f>SUM(BJ$5:BJ9)</f>
        <v>0</v>
      </c>
      <c r="DB9" s="14">
        <f>SUM(BK$5:BK9)</f>
        <v>0</v>
      </c>
      <c r="DC9" s="14">
        <f>SUM(BL$5:BL9)</f>
        <v>0</v>
      </c>
      <c r="DD9" s="14">
        <f>SUM(BM$5:BM9)</f>
        <v>0</v>
      </c>
      <c r="DE9" s="14">
        <f>SUM(BN$5:BN9)</f>
        <v>0</v>
      </c>
      <c r="DF9" s="14">
        <f>SUM(BO$5:BO9)</f>
        <v>0</v>
      </c>
      <c r="DG9" s="14">
        <f>SUM(BP$5:BP9)</f>
        <v>0</v>
      </c>
      <c r="DH9" s="14">
        <f>SUM(BQ$5:BQ9)</f>
        <v>0</v>
      </c>
      <c r="DI9" s="14">
        <f>SUM(BR$5:BR9)</f>
        <v>0</v>
      </c>
      <c r="DJ9" s="14">
        <f>SUM(BS$5:BS9)</f>
        <v>0</v>
      </c>
      <c r="DK9" s="14">
        <f>SUM(BT$5:BT9)</f>
        <v>0</v>
      </c>
      <c r="DL9" s="14">
        <f>SUM(BU$5:BU9)</f>
        <v>0</v>
      </c>
      <c r="DM9" s="14">
        <f>SUM(BV$5:BV9)</f>
        <v>0</v>
      </c>
      <c r="DN9" s="14">
        <f>SUM(BW$5:BW9)</f>
        <v>0</v>
      </c>
      <c r="DO9" s="14">
        <f>SUM(BX$5:BX9)</f>
        <v>0</v>
      </c>
      <c r="DP9" s="14">
        <f>SUM(BY$5:BY9)</f>
        <v>0</v>
      </c>
      <c r="DQ9" s="14">
        <f>SUM(BZ$5:BZ9)</f>
        <v>0</v>
      </c>
      <c r="DR9" s="14">
        <f>SUM(CA$5:CA9)</f>
        <v>0</v>
      </c>
      <c r="DS9" s="14">
        <f>SUM(CB$5:CB9)</f>
        <v>0</v>
      </c>
      <c r="DT9" s="14">
        <f>SUM(CC$5:CC9)</f>
        <v>0</v>
      </c>
      <c r="DU9" s="14">
        <f>SUM(CD$5:CD9)</f>
        <v>0</v>
      </c>
      <c r="DV9" s="14">
        <f>SUM(CE$5:CE9)</f>
        <v>0</v>
      </c>
      <c r="DW9" s="14">
        <f>SUM(CF$5:CF9)</f>
        <v>0</v>
      </c>
      <c r="DX9" s="14">
        <f>SUM(CG$5:CG9)</f>
        <v>0</v>
      </c>
      <c r="DY9" s="14">
        <f>SUM(CH$5:CH9)</f>
        <v>0</v>
      </c>
      <c r="DZ9" s="14">
        <f>SUM(CI$5:CI9)</f>
        <v>0</v>
      </c>
      <c r="EA9" s="14">
        <f>SUM(CJ$5:CJ9)</f>
        <v>0</v>
      </c>
      <c r="EB9" s="14">
        <f>SUM(CK$5:CK9)</f>
        <v>0</v>
      </c>
      <c r="EC9" s="14">
        <f>SUM(CL$5:CL9)</f>
        <v>0</v>
      </c>
      <c r="ED9" s="14">
        <f>SUM(CM$5:CM9)</f>
        <v>0</v>
      </c>
      <c r="EE9" s="14">
        <f>SUM(CN$5:CN9)</f>
        <v>0</v>
      </c>
      <c r="EF9" s="14">
        <f>SUM(CO$5:CO9)</f>
        <v>0</v>
      </c>
      <c r="EG9" s="14">
        <f>SUM(CP$5:CP9)</f>
        <v>0</v>
      </c>
      <c r="EH9" s="14">
        <f>SUM(CQ$5:CQ9)</f>
        <v>0</v>
      </c>
      <c r="EI9" s="14">
        <f>SUM(CR$5:CR9)</f>
        <v>0</v>
      </c>
      <c r="EJ9" s="14">
        <f>SUM(CS$5:CS9)</f>
        <v>0</v>
      </c>
      <c r="EK9" s="14">
        <f>SUM(CT$5:CT9)</f>
        <v>0</v>
      </c>
      <c r="EL9" s="14">
        <f>SUM(CU$5:CU9)</f>
        <v>0</v>
      </c>
      <c r="EO9" s="87">
        <f t="shared" si="11"/>
        <v>0</v>
      </c>
      <c r="EP9" s="87">
        <f t="shared" si="12"/>
        <v>0</v>
      </c>
      <c r="EQ9" s="87">
        <f t="shared" si="13"/>
        <v>0</v>
      </c>
      <c r="ER9" s="87">
        <f t="shared" si="14"/>
        <v>0</v>
      </c>
      <c r="ES9" s="87">
        <f t="shared" si="15"/>
        <v>0</v>
      </c>
      <c r="ET9" s="87">
        <f t="shared" si="16"/>
        <v>0</v>
      </c>
      <c r="EU9" s="87">
        <f t="shared" si="17"/>
        <v>0</v>
      </c>
      <c r="EV9" s="87">
        <f t="shared" si="18"/>
        <v>0</v>
      </c>
      <c r="EW9" s="87">
        <f t="shared" si="19"/>
        <v>0</v>
      </c>
      <c r="EX9" s="87">
        <f t="shared" si="20"/>
        <v>0</v>
      </c>
      <c r="EY9" s="87">
        <f t="shared" si="21"/>
        <v>0</v>
      </c>
      <c r="EZ9" s="87">
        <f t="shared" si="22"/>
        <v>0</v>
      </c>
      <c r="FA9" s="87">
        <f t="shared" si="23"/>
        <v>0</v>
      </c>
      <c r="FB9" s="87">
        <f t="shared" si="24"/>
        <v>0</v>
      </c>
      <c r="FC9" s="87">
        <f t="shared" si="25"/>
        <v>0</v>
      </c>
      <c r="FD9" s="87">
        <f t="shared" si="26"/>
        <v>0</v>
      </c>
      <c r="FE9" s="87">
        <f t="shared" si="27"/>
        <v>0</v>
      </c>
      <c r="FF9" s="87">
        <f t="shared" si="28"/>
        <v>0</v>
      </c>
      <c r="FG9" s="87">
        <f t="shared" si="29"/>
        <v>0</v>
      </c>
      <c r="FH9" s="87">
        <f t="shared" si="30"/>
        <v>0</v>
      </c>
      <c r="FI9" s="87">
        <f t="shared" si="31"/>
        <v>0</v>
      </c>
      <c r="FJ9" s="87">
        <f t="shared" si="32"/>
        <v>0</v>
      </c>
      <c r="FK9" s="87">
        <f t="shared" si="33"/>
        <v>0</v>
      </c>
      <c r="FL9" s="87">
        <f t="shared" si="34"/>
        <v>0</v>
      </c>
      <c r="FM9" s="87">
        <f t="shared" si="35"/>
        <v>0</v>
      </c>
      <c r="FN9" s="87">
        <f t="shared" si="36"/>
        <v>0</v>
      </c>
      <c r="FO9" s="87">
        <f t="shared" si="37"/>
        <v>0</v>
      </c>
      <c r="FP9" s="87">
        <f t="shared" si="38"/>
        <v>0</v>
      </c>
      <c r="FQ9" s="87">
        <f t="shared" si="39"/>
        <v>0</v>
      </c>
      <c r="FR9" s="87">
        <f t="shared" si="40"/>
        <v>0</v>
      </c>
      <c r="FS9" s="87">
        <f t="shared" si="41"/>
        <v>0</v>
      </c>
      <c r="FT9" s="87">
        <f t="shared" si="42"/>
        <v>0</v>
      </c>
      <c r="FU9" s="87">
        <f t="shared" si="43"/>
        <v>0</v>
      </c>
      <c r="FV9" s="87">
        <f t="shared" si="44"/>
        <v>0</v>
      </c>
      <c r="FW9" s="87">
        <f t="shared" si="45"/>
        <v>0</v>
      </c>
      <c r="FX9" s="87">
        <f t="shared" si="46"/>
        <v>0</v>
      </c>
      <c r="FY9" s="87">
        <f t="shared" si="47"/>
        <v>0</v>
      </c>
      <c r="FZ9" s="87">
        <f t="shared" si="48"/>
        <v>0</v>
      </c>
      <c r="GA9" s="87">
        <f t="shared" si="49"/>
        <v>0</v>
      </c>
      <c r="GB9" s="87">
        <f t="shared" si="50"/>
        <v>0</v>
      </c>
      <c r="GC9" s="87">
        <f t="shared" si="51"/>
        <v>0</v>
      </c>
      <c r="GD9" s="87">
        <f t="shared" si="52"/>
        <v>0</v>
      </c>
    </row>
    <row r="10" spans="1:186" ht="16.5" x14ac:dyDescent="0.2">
      <c r="A10" s="86">
        <v>6</v>
      </c>
      <c r="B10" s="86">
        <v>8</v>
      </c>
      <c r="C10" s="86">
        <v>8</v>
      </c>
      <c r="K10" s="86">
        <v>6</v>
      </c>
      <c r="L10" s="86">
        <v>2</v>
      </c>
      <c r="M10" s="86">
        <v>3</v>
      </c>
      <c r="N10" s="86" t="str">
        <f t="shared" si="3"/>
        <v>神器2-3</v>
      </c>
      <c r="O10" s="86">
        <v>2</v>
      </c>
      <c r="P10" s="14">
        <f t="shared" si="4"/>
        <v>45</v>
      </c>
      <c r="Q10" s="88">
        <v>0.18</v>
      </c>
      <c r="R10" s="14">
        <v>1</v>
      </c>
      <c r="S10" s="14">
        <v>2</v>
      </c>
      <c r="T10" s="88">
        <v>0.18</v>
      </c>
      <c r="U10" s="14">
        <v>1</v>
      </c>
      <c r="V10" s="14">
        <v>3</v>
      </c>
      <c r="W10" s="88">
        <v>0.18</v>
      </c>
      <c r="X10" s="14">
        <v>2</v>
      </c>
      <c r="Y10" s="14">
        <v>4</v>
      </c>
      <c r="AB10" s="86">
        <v>5</v>
      </c>
      <c r="AC10" s="86">
        <v>2</v>
      </c>
      <c r="AD10" s="86">
        <f>SUM(AC$6:AC10)</f>
        <v>7</v>
      </c>
      <c r="AF10" s="86">
        <v>5</v>
      </c>
      <c r="AG10" s="86">
        <v>103</v>
      </c>
      <c r="AH10" s="86">
        <f t="shared" si="53"/>
        <v>155.99500000000003</v>
      </c>
      <c r="AI10" s="86" t="s">
        <v>651</v>
      </c>
      <c r="AJ10" s="19">
        <v>0.55000000000000004</v>
      </c>
      <c r="AK10" s="19">
        <v>0.3</v>
      </c>
      <c r="AL10" s="19">
        <v>0.15</v>
      </c>
      <c r="AO10" s="86">
        <v>2</v>
      </c>
      <c r="AP10" s="86">
        <v>3</v>
      </c>
      <c r="AQ10" s="86">
        <v>1</v>
      </c>
      <c r="AR10" s="86">
        <v>2</v>
      </c>
      <c r="AS10" s="86" t="s">
        <v>309</v>
      </c>
      <c r="AT10" s="21">
        <f t="shared" si="0"/>
        <v>0.18</v>
      </c>
      <c r="AU10" s="86">
        <f t="shared" si="5"/>
        <v>1</v>
      </c>
      <c r="AV10" s="86">
        <f t="shared" si="6"/>
        <v>3</v>
      </c>
      <c r="AW10" s="87">
        <f t="shared" si="7"/>
        <v>0.36</v>
      </c>
      <c r="AX10" s="86">
        <f t="shared" si="8"/>
        <v>10.799999999999999</v>
      </c>
      <c r="BA10" s="86">
        <v>6</v>
      </c>
      <c r="BB10" s="14" t="e">
        <f>INDEX(节奏总表!#REF!,神器!BA10)</f>
        <v>#REF!</v>
      </c>
      <c r="BC10" s="14" t="e">
        <f t="shared" si="9"/>
        <v>#REF!</v>
      </c>
      <c r="BD10" s="14">
        <v>5</v>
      </c>
      <c r="BE10" s="14">
        <v>3</v>
      </c>
      <c r="BF10" s="14">
        <f t="shared" si="10"/>
        <v>0</v>
      </c>
      <c r="BG10" s="14">
        <f t="shared" si="1"/>
        <v>0</v>
      </c>
      <c r="BH10" s="14">
        <f t="shared" si="1"/>
        <v>0</v>
      </c>
      <c r="BI10" s="14">
        <f t="shared" si="1"/>
        <v>0</v>
      </c>
      <c r="BJ10" s="14">
        <f t="shared" si="1"/>
        <v>0</v>
      </c>
      <c r="BK10" s="14">
        <f t="shared" si="1"/>
        <v>0</v>
      </c>
      <c r="BL10" s="14">
        <f t="shared" si="1"/>
        <v>0</v>
      </c>
      <c r="BM10" s="14">
        <f t="shared" si="1"/>
        <v>0</v>
      </c>
      <c r="BN10" s="14">
        <f t="shared" si="1"/>
        <v>0</v>
      </c>
      <c r="BO10" s="14">
        <f t="shared" si="1"/>
        <v>0</v>
      </c>
      <c r="BP10" s="14">
        <f t="shared" si="1"/>
        <v>0</v>
      </c>
      <c r="BQ10" s="14">
        <f t="shared" si="1"/>
        <v>0</v>
      </c>
      <c r="BR10" s="14">
        <f t="shared" si="1"/>
        <v>0</v>
      </c>
      <c r="BS10" s="14">
        <f t="shared" si="1"/>
        <v>0</v>
      </c>
      <c r="BT10" s="14">
        <f t="shared" si="1"/>
        <v>0</v>
      </c>
      <c r="BU10" s="14">
        <f t="shared" si="1"/>
        <v>0</v>
      </c>
      <c r="BV10" s="14">
        <f t="shared" si="1"/>
        <v>0</v>
      </c>
      <c r="BW10" s="14">
        <f t="shared" si="1"/>
        <v>0</v>
      </c>
      <c r="BX10" s="14">
        <f t="shared" si="1"/>
        <v>0</v>
      </c>
      <c r="BY10" s="14">
        <f t="shared" si="1"/>
        <v>0</v>
      </c>
      <c r="BZ10" s="14">
        <f t="shared" si="1"/>
        <v>0</v>
      </c>
      <c r="CA10" s="14">
        <f t="shared" si="1"/>
        <v>0</v>
      </c>
      <c r="CB10" s="14">
        <f t="shared" si="1"/>
        <v>0</v>
      </c>
      <c r="CC10" s="14">
        <f t="shared" si="1"/>
        <v>0</v>
      </c>
      <c r="CD10" s="14">
        <f t="shared" si="1"/>
        <v>0</v>
      </c>
      <c r="CE10" s="14">
        <f t="shared" si="1"/>
        <v>0</v>
      </c>
      <c r="CF10" s="14">
        <f t="shared" si="1"/>
        <v>0</v>
      </c>
      <c r="CG10" s="14">
        <f t="shared" si="1"/>
        <v>0</v>
      </c>
      <c r="CH10" s="14">
        <f t="shared" si="1"/>
        <v>0</v>
      </c>
      <c r="CI10" s="14">
        <f t="shared" si="1"/>
        <v>0</v>
      </c>
      <c r="CJ10" s="14">
        <f t="shared" si="1"/>
        <v>0</v>
      </c>
      <c r="CK10" s="14">
        <f t="shared" si="1"/>
        <v>0</v>
      </c>
      <c r="CL10" s="14">
        <f t="shared" si="1"/>
        <v>0</v>
      </c>
      <c r="CM10" s="14">
        <f t="shared" si="1"/>
        <v>0</v>
      </c>
      <c r="CN10" s="14">
        <f t="shared" si="1"/>
        <v>0</v>
      </c>
      <c r="CO10" s="14">
        <f t="shared" si="1"/>
        <v>0</v>
      </c>
      <c r="CP10" s="14">
        <f t="shared" si="1"/>
        <v>0</v>
      </c>
      <c r="CQ10" s="14">
        <f t="shared" si="1"/>
        <v>0</v>
      </c>
      <c r="CR10" s="14">
        <f t="shared" si="1"/>
        <v>0</v>
      </c>
      <c r="CS10" s="14">
        <f t="shared" si="1"/>
        <v>0</v>
      </c>
      <c r="CT10" s="14">
        <f t="shared" si="1"/>
        <v>0</v>
      </c>
      <c r="CU10" s="14">
        <f t="shared" si="1"/>
        <v>0</v>
      </c>
      <c r="CW10" s="14">
        <f>SUM(BF$5:BF10)</f>
        <v>0</v>
      </c>
      <c r="CX10" s="14">
        <f>SUM(BG$5:BG10)</f>
        <v>0</v>
      </c>
      <c r="CY10" s="14">
        <f>SUM(BH$5:BH10)</f>
        <v>0</v>
      </c>
      <c r="CZ10" s="14">
        <f>SUM(BI$5:BI10)</f>
        <v>0</v>
      </c>
      <c r="DA10" s="14">
        <f>SUM(BJ$5:BJ10)</f>
        <v>0</v>
      </c>
      <c r="DB10" s="14">
        <f>SUM(BK$5:BK10)</f>
        <v>0</v>
      </c>
      <c r="DC10" s="14">
        <f>SUM(BL$5:BL10)</f>
        <v>0</v>
      </c>
      <c r="DD10" s="14">
        <f>SUM(BM$5:BM10)</f>
        <v>0</v>
      </c>
      <c r="DE10" s="14">
        <f>SUM(BN$5:BN10)</f>
        <v>0</v>
      </c>
      <c r="DF10" s="14">
        <f>SUM(BO$5:BO10)</f>
        <v>0</v>
      </c>
      <c r="DG10" s="14">
        <f>SUM(BP$5:BP10)</f>
        <v>0</v>
      </c>
      <c r="DH10" s="14">
        <f>SUM(BQ$5:BQ10)</f>
        <v>0</v>
      </c>
      <c r="DI10" s="14">
        <f>SUM(BR$5:BR10)</f>
        <v>0</v>
      </c>
      <c r="DJ10" s="14">
        <f>SUM(BS$5:BS10)</f>
        <v>0</v>
      </c>
      <c r="DK10" s="14">
        <f>SUM(BT$5:BT10)</f>
        <v>0</v>
      </c>
      <c r="DL10" s="14">
        <f>SUM(BU$5:BU10)</f>
        <v>0</v>
      </c>
      <c r="DM10" s="14">
        <f>SUM(BV$5:BV10)</f>
        <v>0</v>
      </c>
      <c r="DN10" s="14">
        <f>SUM(BW$5:BW10)</f>
        <v>0</v>
      </c>
      <c r="DO10" s="14">
        <f>SUM(BX$5:BX10)</f>
        <v>0</v>
      </c>
      <c r="DP10" s="14">
        <f>SUM(BY$5:BY10)</f>
        <v>0</v>
      </c>
      <c r="DQ10" s="14">
        <f>SUM(BZ$5:BZ10)</f>
        <v>0</v>
      </c>
      <c r="DR10" s="14">
        <f>SUM(CA$5:CA10)</f>
        <v>0</v>
      </c>
      <c r="DS10" s="14">
        <f>SUM(CB$5:CB10)</f>
        <v>0</v>
      </c>
      <c r="DT10" s="14">
        <f>SUM(CC$5:CC10)</f>
        <v>0</v>
      </c>
      <c r="DU10" s="14">
        <f>SUM(CD$5:CD10)</f>
        <v>0</v>
      </c>
      <c r="DV10" s="14">
        <f>SUM(CE$5:CE10)</f>
        <v>0</v>
      </c>
      <c r="DW10" s="14">
        <f>SUM(CF$5:CF10)</f>
        <v>0</v>
      </c>
      <c r="DX10" s="14">
        <f>SUM(CG$5:CG10)</f>
        <v>0</v>
      </c>
      <c r="DY10" s="14">
        <f>SUM(CH$5:CH10)</f>
        <v>0</v>
      </c>
      <c r="DZ10" s="14">
        <f>SUM(CI$5:CI10)</f>
        <v>0</v>
      </c>
      <c r="EA10" s="14">
        <f>SUM(CJ$5:CJ10)</f>
        <v>0</v>
      </c>
      <c r="EB10" s="14">
        <f>SUM(CK$5:CK10)</f>
        <v>0</v>
      </c>
      <c r="EC10" s="14">
        <f>SUM(CL$5:CL10)</f>
        <v>0</v>
      </c>
      <c r="ED10" s="14">
        <f>SUM(CM$5:CM10)</f>
        <v>0</v>
      </c>
      <c r="EE10" s="14">
        <f>SUM(CN$5:CN10)</f>
        <v>0</v>
      </c>
      <c r="EF10" s="14">
        <f>SUM(CO$5:CO10)</f>
        <v>0</v>
      </c>
      <c r="EG10" s="14">
        <f>SUM(CP$5:CP10)</f>
        <v>0</v>
      </c>
      <c r="EH10" s="14">
        <f>SUM(CQ$5:CQ10)</f>
        <v>0</v>
      </c>
      <c r="EI10" s="14">
        <f>SUM(CR$5:CR10)</f>
        <v>0</v>
      </c>
      <c r="EJ10" s="14">
        <f>SUM(CS$5:CS10)</f>
        <v>0</v>
      </c>
      <c r="EK10" s="14">
        <f>SUM(CT$5:CT10)</f>
        <v>0</v>
      </c>
      <c r="EL10" s="14">
        <f>SUM(CU$5:CU10)</f>
        <v>0</v>
      </c>
      <c r="EO10" s="87">
        <f t="shared" si="11"/>
        <v>0</v>
      </c>
      <c r="EP10" s="87">
        <f t="shared" si="12"/>
        <v>0</v>
      </c>
      <c r="EQ10" s="87">
        <f t="shared" si="13"/>
        <v>0</v>
      </c>
      <c r="ER10" s="87">
        <f t="shared" si="14"/>
        <v>0</v>
      </c>
      <c r="ES10" s="87">
        <f t="shared" si="15"/>
        <v>0</v>
      </c>
      <c r="ET10" s="87">
        <f t="shared" si="16"/>
        <v>0</v>
      </c>
      <c r="EU10" s="87">
        <f t="shared" si="17"/>
        <v>0</v>
      </c>
      <c r="EV10" s="87">
        <f t="shared" si="18"/>
        <v>0</v>
      </c>
      <c r="EW10" s="87">
        <f t="shared" si="19"/>
        <v>0</v>
      </c>
      <c r="EX10" s="87">
        <f t="shared" si="20"/>
        <v>0</v>
      </c>
      <c r="EY10" s="87">
        <f t="shared" si="21"/>
        <v>0</v>
      </c>
      <c r="EZ10" s="87">
        <f t="shared" si="22"/>
        <v>0</v>
      </c>
      <c r="FA10" s="87">
        <f t="shared" si="23"/>
        <v>0</v>
      </c>
      <c r="FB10" s="87">
        <f t="shared" si="24"/>
        <v>0</v>
      </c>
      <c r="FC10" s="87">
        <f t="shared" si="25"/>
        <v>0</v>
      </c>
      <c r="FD10" s="87">
        <f t="shared" si="26"/>
        <v>0</v>
      </c>
      <c r="FE10" s="87">
        <f t="shared" si="27"/>
        <v>0</v>
      </c>
      <c r="FF10" s="87">
        <f t="shared" si="28"/>
        <v>0</v>
      </c>
      <c r="FG10" s="87">
        <f t="shared" si="29"/>
        <v>0</v>
      </c>
      <c r="FH10" s="87">
        <f t="shared" si="30"/>
        <v>0</v>
      </c>
      <c r="FI10" s="87">
        <f t="shared" si="31"/>
        <v>0</v>
      </c>
      <c r="FJ10" s="87">
        <f t="shared" si="32"/>
        <v>0</v>
      </c>
      <c r="FK10" s="87">
        <f t="shared" si="33"/>
        <v>0</v>
      </c>
      <c r="FL10" s="87">
        <f t="shared" si="34"/>
        <v>0</v>
      </c>
      <c r="FM10" s="87">
        <f t="shared" si="35"/>
        <v>0</v>
      </c>
      <c r="FN10" s="87">
        <f t="shared" si="36"/>
        <v>0</v>
      </c>
      <c r="FO10" s="87">
        <f t="shared" si="37"/>
        <v>0</v>
      </c>
      <c r="FP10" s="87">
        <f t="shared" si="38"/>
        <v>0</v>
      </c>
      <c r="FQ10" s="87">
        <f t="shared" si="39"/>
        <v>0</v>
      </c>
      <c r="FR10" s="87">
        <f t="shared" si="40"/>
        <v>0</v>
      </c>
      <c r="FS10" s="87">
        <f t="shared" si="41"/>
        <v>0</v>
      </c>
      <c r="FT10" s="87">
        <f t="shared" si="42"/>
        <v>0</v>
      </c>
      <c r="FU10" s="87">
        <f t="shared" si="43"/>
        <v>0</v>
      </c>
      <c r="FV10" s="87">
        <f t="shared" si="44"/>
        <v>0</v>
      </c>
      <c r="FW10" s="87">
        <f t="shared" si="45"/>
        <v>0</v>
      </c>
      <c r="FX10" s="87">
        <f t="shared" si="46"/>
        <v>0</v>
      </c>
      <c r="FY10" s="87">
        <f t="shared" si="47"/>
        <v>0</v>
      </c>
      <c r="FZ10" s="87">
        <f t="shared" si="48"/>
        <v>0</v>
      </c>
      <c r="GA10" s="87">
        <f t="shared" si="49"/>
        <v>0</v>
      </c>
      <c r="GB10" s="87">
        <f t="shared" si="50"/>
        <v>0</v>
      </c>
      <c r="GC10" s="87">
        <f t="shared" si="51"/>
        <v>0</v>
      </c>
      <c r="GD10" s="87">
        <f t="shared" si="52"/>
        <v>0</v>
      </c>
    </row>
    <row r="11" spans="1:186" ht="16.5" x14ac:dyDescent="0.2">
      <c r="A11" s="86">
        <v>7</v>
      </c>
      <c r="B11" s="86">
        <v>10</v>
      </c>
      <c r="C11" s="86">
        <v>10</v>
      </c>
      <c r="K11" s="86">
        <v>7</v>
      </c>
      <c r="L11" s="86">
        <v>2</v>
      </c>
      <c r="M11" s="86">
        <v>4</v>
      </c>
      <c r="N11" s="86" t="str">
        <f t="shared" si="3"/>
        <v>神器2-4</v>
      </c>
      <c r="O11" s="86">
        <v>2</v>
      </c>
      <c r="P11" s="14">
        <f t="shared" si="4"/>
        <v>45</v>
      </c>
      <c r="Q11" s="88">
        <v>0.18</v>
      </c>
      <c r="R11" s="14">
        <v>1</v>
      </c>
      <c r="S11" s="14">
        <v>2</v>
      </c>
      <c r="T11" s="88">
        <v>0.18</v>
      </c>
      <c r="U11" s="14">
        <v>1</v>
      </c>
      <c r="V11" s="14">
        <v>3</v>
      </c>
      <c r="W11" s="88">
        <v>0.18</v>
      </c>
      <c r="X11" s="14">
        <v>2</v>
      </c>
      <c r="Y11" s="14">
        <v>4</v>
      </c>
      <c r="AB11" s="86">
        <v>6</v>
      </c>
      <c r="AC11" s="86">
        <v>2</v>
      </c>
      <c r="AD11" s="86">
        <f>SUM(AC$6:AC11)</f>
        <v>9</v>
      </c>
      <c r="AF11" s="86">
        <v>6</v>
      </c>
      <c r="AG11" s="86">
        <v>113</v>
      </c>
      <c r="AH11" s="86">
        <f t="shared" si="53"/>
        <v>207.92000000000004</v>
      </c>
      <c r="AI11" s="86" t="s">
        <v>652</v>
      </c>
      <c r="AJ11" s="19">
        <v>0.55000000000000004</v>
      </c>
      <c r="AK11" s="19">
        <v>0.3</v>
      </c>
      <c r="AL11" s="19">
        <v>0.15</v>
      </c>
      <c r="AO11" s="86">
        <v>2</v>
      </c>
      <c r="AP11" s="86">
        <v>4</v>
      </c>
      <c r="AQ11" s="86">
        <v>2</v>
      </c>
      <c r="AR11" s="86">
        <v>1</v>
      </c>
      <c r="AS11" s="86" t="s">
        <v>310</v>
      </c>
      <c r="AT11" s="21">
        <f t="shared" si="0"/>
        <v>0.10400000000000001</v>
      </c>
      <c r="AU11" s="86">
        <f t="shared" si="5"/>
        <v>1</v>
      </c>
      <c r="AV11" s="86">
        <f t="shared" si="6"/>
        <v>3</v>
      </c>
      <c r="AW11" s="87">
        <f t="shared" si="7"/>
        <v>0.20800000000000002</v>
      </c>
      <c r="AX11" s="86">
        <f t="shared" si="8"/>
        <v>3.12</v>
      </c>
      <c r="BA11" s="86">
        <v>7</v>
      </c>
      <c r="BB11" s="14" t="e">
        <f>INDEX(节奏总表!#REF!,神器!BA11)</f>
        <v>#REF!</v>
      </c>
      <c r="BC11" s="14" t="e">
        <f t="shared" si="9"/>
        <v>#REF!</v>
      </c>
      <c r="BD11" s="14">
        <v>5</v>
      </c>
      <c r="BE11" s="14">
        <v>3</v>
      </c>
      <c r="BF11" s="14">
        <f t="shared" si="10"/>
        <v>0</v>
      </c>
      <c r="BG11" s="14">
        <f t="shared" si="1"/>
        <v>0</v>
      </c>
      <c r="BH11" s="14">
        <f t="shared" si="1"/>
        <v>0</v>
      </c>
      <c r="BI11" s="14">
        <f t="shared" si="1"/>
        <v>0</v>
      </c>
      <c r="BJ11" s="14">
        <f t="shared" si="1"/>
        <v>0</v>
      </c>
      <c r="BK11" s="14">
        <f t="shared" si="1"/>
        <v>0</v>
      </c>
      <c r="BL11" s="14">
        <f t="shared" si="1"/>
        <v>0</v>
      </c>
      <c r="BM11" s="14">
        <f t="shared" si="1"/>
        <v>0</v>
      </c>
      <c r="BN11" s="14">
        <f t="shared" si="1"/>
        <v>0</v>
      </c>
      <c r="BO11" s="14">
        <f t="shared" si="1"/>
        <v>0</v>
      </c>
      <c r="BP11" s="14">
        <f t="shared" ref="BP11:CE26" si="54">SUMIFS($AT$5:$AT$122,$AO$5:$AO$122,"="&amp;$BC11,$AP$5:$AP$122,"="&amp;BP$2) * (SUMIFS($AU$5:$AU$122,$AO$5:$AO$122,"="&amp;$BC11,$AP$5:$AP$122,"="&amp;BP$2)+SUMIFS($AV$5:$AV$122,$AO$5:$AO$122,"="&amp;$BC11,$AP$5:$AP$122,"="&amp;BP$2))/2*$BD11*$BE11</f>
        <v>0</v>
      </c>
      <c r="BQ11" s="14">
        <f t="shared" si="54"/>
        <v>0</v>
      </c>
      <c r="BR11" s="14">
        <f t="shared" si="54"/>
        <v>0</v>
      </c>
      <c r="BS11" s="14">
        <f t="shared" si="54"/>
        <v>0</v>
      </c>
      <c r="BT11" s="14">
        <f t="shared" si="54"/>
        <v>0</v>
      </c>
      <c r="BU11" s="14">
        <f t="shared" si="54"/>
        <v>0</v>
      </c>
      <c r="BV11" s="14">
        <f t="shared" si="54"/>
        <v>0</v>
      </c>
      <c r="BW11" s="14">
        <f t="shared" si="54"/>
        <v>0</v>
      </c>
      <c r="BX11" s="14">
        <f t="shared" si="54"/>
        <v>0</v>
      </c>
      <c r="BY11" s="14">
        <f t="shared" si="54"/>
        <v>0</v>
      </c>
      <c r="BZ11" s="14">
        <f t="shared" si="54"/>
        <v>0</v>
      </c>
      <c r="CA11" s="14">
        <f t="shared" si="54"/>
        <v>0</v>
      </c>
      <c r="CB11" s="14">
        <f t="shared" si="54"/>
        <v>0</v>
      </c>
      <c r="CC11" s="14">
        <f t="shared" si="54"/>
        <v>0</v>
      </c>
      <c r="CD11" s="14">
        <f t="shared" si="54"/>
        <v>0</v>
      </c>
      <c r="CE11" s="14">
        <f t="shared" si="54"/>
        <v>0</v>
      </c>
      <c r="CF11" s="14">
        <f t="shared" ref="CF11:CU26" si="55">SUMIFS($AT$5:$AT$122,$AO$5:$AO$122,"="&amp;$BC11,$AP$5:$AP$122,"="&amp;CF$2) * (SUMIFS($AU$5:$AU$122,$AO$5:$AO$122,"="&amp;$BC11,$AP$5:$AP$122,"="&amp;CF$2)+SUMIFS($AV$5:$AV$122,$AO$5:$AO$122,"="&amp;$BC11,$AP$5:$AP$122,"="&amp;CF$2))/2*$BD11*$BE11</f>
        <v>0</v>
      </c>
      <c r="CG11" s="14">
        <f t="shared" si="55"/>
        <v>0</v>
      </c>
      <c r="CH11" s="14">
        <f t="shared" si="55"/>
        <v>0</v>
      </c>
      <c r="CI11" s="14">
        <f t="shared" si="55"/>
        <v>0</v>
      </c>
      <c r="CJ11" s="14">
        <f t="shared" si="55"/>
        <v>0</v>
      </c>
      <c r="CK11" s="14">
        <f t="shared" si="55"/>
        <v>0</v>
      </c>
      <c r="CL11" s="14">
        <f t="shared" si="55"/>
        <v>0</v>
      </c>
      <c r="CM11" s="14">
        <f t="shared" si="55"/>
        <v>0</v>
      </c>
      <c r="CN11" s="14">
        <f t="shared" si="55"/>
        <v>0</v>
      </c>
      <c r="CO11" s="14">
        <f t="shared" si="55"/>
        <v>0</v>
      </c>
      <c r="CP11" s="14">
        <f t="shared" si="55"/>
        <v>0</v>
      </c>
      <c r="CQ11" s="14">
        <f t="shared" si="55"/>
        <v>0</v>
      </c>
      <c r="CR11" s="14">
        <f t="shared" si="55"/>
        <v>0</v>
      </c>
      <c r="CS11" s="14">
        <f t="shared" si="55"/>
        <v>0</v>
      </c>
      <c r="CT11" s="14">
        <f t="shared" si="55"/>
        <v>0</v>
      </c>
      <c r="CU11" s="14">
        <f t="shared" si="55"/>
        <v>0</v>
      </c>
      <c r="CW11" s="14">
        <f>SUM(BF$5:BF11)</f>
        <v>0</v>
      </c>
      <c r="CX11" s="14">
        <f>SUM(BG$5:BG11)</f>
        <v>0</v>
      </c>
      <c r="CY11" s="14">
        <f>SUM(BH$5:BH11)</f>
        <v>0</v>
      </c>
      <c r="CZ11" s="14">
        <f>SUM(BI$5:BI11)</f>
        <v>0</v>
      </c>
      <c r="DA11" s="14">
        <f>SUM(BJ$5:BJ11)</f>
        <v>0</v>
      </c>
      <c r="DB11" s="14">
        <f>SUM(BK$5:BK11)</f>
        <v>0</v>
      </c>
      <c r="DC11" s="14">
        <f>SUM(BL$5:BL11)</f>
        <v>0</v>
      </c>
      <c r="DD11" s="14">
        <f>SUM(BM$5:BM11)</f>
        <v>0</v>
      </c>
      <c r="DE11" s="14">
        <f>SUM(BN$5:BN11)</f>
        <v>0</v>
      </c>
      <c r="DF11" s="14">
        <f>SUM(BO$5:BO11)</f>
        <v>0</v>
      </c>
      <c r="DG11" s="14">
        <f>SUM(BP$5:BP11)</f>
        <v>0</v>
      </c>
      <c r="DH11" s="14">
        <f>SUM(BQ$5:BQ11)</f>
        <v>0</v>
      </c>
      <c r="DI11" s="14">
        <f>SUM(BR$5:BR11)</f>
        <v>0</v>
      </c>
      <c r="DJ11" s="14">
        <f>SUM(BS$5:BS11)</f>
        <v>0</v>
      </c>
      <c r="DK11" s="14">
        <f>SUM(BT$5:BT11)</f>
        <v>0</v>
      </c>
      <c r="DL11" s="14">
        <f>SUM(BU$5:BU11)</f>
        <v>0</v>
      </c>
      <c r="DM11" s="14">
        <f>SUM(BV$5:BV11)</f>
        <v>0</v>
      </c>
      <c r="DN11" s="14">
        <f>SUM(BW$5:BW11)</f>
        <v>0</v>
      </c>
      <c r="DO11" s="14">
        <f>SUM(BX$5:BX11)</f>
        <v>0</v>
      </c>
      <c r="DP11" s="14">
        <f>SUM(BY$5:BY11)</f>
        <v>0</v>
      </c>
      <c r="DQ11" s="14">
        <f>SUM(BZ$5:BZ11)</f>
        <v>0</v>
      </c>
      <c r="DR11" s="14">
        <f>SUM(CA$5:CA11)</f>
        <v>0</v>
      </c>
      <c r="DS11" s="14">
        <f>SUM(CB$5:CB11)</f>
        <v>0</v>
      </c>
      <c r="DT11" s="14">
        <f>SUM(CC$5:CC11)</f>
        <v>0</v>
      </c>
      <c r="DU11" s="14">
        <f>SUM(CD$5:CD11)</f>
        <v>0</v>
      </c>
      <c r="DV11" s="14">
        <f>SUM(CE$5:CE11)</f>
        <v>0</v>
      </c>
      <c r="DW11" s="14">
        <f>SUM(CF$5:CF11)</f>
        <v>0</v>
      </c>
      <c r="DX11" s="14">
        <f>SUM(CG$5:CG11)</f>
        <v>0</v>
      </c>
      <c r="DY11" s="14">
        <f>SUM(CH$5:CH11)</f>
        <v>0</v>
      </c>
      <c r="DZ11" s="14">
        <f>SUM(CI$5:CI11)</f>
        <v>0</v>
      </c>
      <c r="EA11" s="14">
        <f>SUM(CJ$5:CJ11)</f>
        <v>0</v>
      </c>
      <c r="EB11" s="14">
        <f>SUM(CK$5:CK11)</f>
        <v>0</v>
      </c>
      <c r="EC11" s="14">
        <f>SUM(CL$5:CL11)</f>
        <v>0</v>
      </c>
      <c r="ED11" s="14">
        <f>SUM(CM$5:CM11)</f>
        <v>0</v>
      </c>
      <c r="EE11" s="14">
        <f>SUM(CN$5:CN11)</f>
        <v>0</v>
      </c>
      <c r="EF11" s="14">
        <f>SUM(CO$5:CO11)</f>
        <v>0</v>
      </c>
      <c r="EG11" s="14">
        <f>SUM(CP$5:CP11)</f>
        <v>0</v>
      </c>
      <c r="EH11" s="14">
        <f>SUM(CQ$5:CQ11)</f>
        <v>0</v>
      </c>
      <c r="EI11" s="14">
        <f>SUM(CR$5:CR11)</f>
        <v>0</v>
      </c>
      <c r="EJ11" s="14">
        <f>SUM(CS$5:CS11)</f>
        <v>0</v>
      </c>
      <c r="EK11" s="14">
        <f>SUM(CT$5:CT11)</f>
        <v>0</v>
      </c>
      <c r="EL11" s="14">
        <f>SUM(CU$5:CU11)</f>
        <v>0</v>
      </c>
      <c r="EO11" s="87">
        <f t="shared" si="11"/>
        <v>0</v>
      </c>
      <c r="EP11" s="87">
        <f t="shared" si="12"/>
        <v>0</v>
      </c>
      <c r="EQ11" s="87">
        <f t="shared" si="13"/>
        <v>0</v>
      </c>
      <c r="ER11" s="87">
        <f t="shared" si="14"/>
        <v>0</v>
      </c>
      <c r="ES11" s="87">
        <f t="shared" si="15"/>
        <v>0</v>
      </c>
      <c r="ET11" s="87">
        <f t="shared" si="16"/>
        <v>0</v>
      </c>
      <c r="EU11" s="87">
        <f t="shared" si="17"/>
        <v>0</v>
      </c>
      <c r="EV11" s="87">
        <f t="shared" si="18"/>
        <v>0</v>
      </c>
      <c r="EW11" s="87">
        <f t="shared" si="19"/>
        <v>0</v>
      </c>
      <c r="EX11" s="87">
        <f t="shared" si="20"/>
        <v>0</v>
      </c>
      <c r="EY11" s="87">
        <f t="shared" si="21"/>
        <v>0</v>
      </c>
      <c r="EZ11" s="87">
        <f t="shared" si="22"/>
        <v>0</v>
      </c>
      <c r="FA11" s="87">
        <f t="shared" si="23"/>
        <v>0</v>
      </c>
      <c r="FB11" s="87">
        <f t="shared" si="24"/>
        <v>0</v>
      </c>
      <c r="FC11" s="87">
        <f t="shared" si="25"/>
        <v>0</v>
      </c>
      <c r="FD11" s="87">
        <f t="shared" si="26"/>
        <v>0</v>
      </c>
      <c r="FE11" s="87">
        <f t="shared" si="27"/>
        <v>0</v>
      </c>
      <c r="FF11" s="87">
        <f t="shared" si="28"/>
        <v>0</v>
      </c>
      <c r="FG11" s="87">
        <f t="shared" si="29"/>
        <v>0</v>
      </c>
      <c r="FH11" s="87">
        <f t="shared" si="30"/>
        <v>0</v>
      </c>
      <c r="FI11" s="87">
        <f t="shared" si="31"/>
        <v>0</v>
      </c>
      <c r="FJ11" s="87">
        <f t="shared" si="32"/>
        <v>0</v>
      </c>
      <c r="FK11" s="87">
        <f t="shared" si="33"/>
        <v>0</v>
      </c>
      <c r="FL11" s="87">
        <f t="shared" si="34"/>
        <v>0</v>
      </c>
      <c r="FM11" s="87">
        <f t="shared" si="35"/>
        <v>0</v>
      </c>
      <c r="FN11" s="87">
        <f t="shared" si="36"/>
        <v>0</v>
      </c>
      <c r="FO11" s="87">
        <f t="shared" si="37"/>
        <v>0</v>
      </c>
      <c r="FP11" s="87">
        <f t="shared" si="38"/>
        <v>0</v>
      </c>
      <c r="FQ11" s="87">
        <f t="shared" si="39"/>
        <v>0</v>
      </c>
      <c r="FR11" s="87">
        <f t="shared" si="40"/>
        <v>0</v>
      </c>
      <c r="FS11" s="87">
        <f t="shared" si="41"/>
        <v>0</v>
      </c>
      <c r="FT11" s="87">
        <f t="shared" si="42"/>
        <v>0</v>
      </c>
      <c r="FU11" s="87">
        <f t="shared" si="43"/>
        <v>0</v>
      </c>
      <c r="FV11" s="87">
        <f t="shared" si="44"/>
        <v>0</v>
      </c>
      <c r="FW11" s="87">
        <f t="shared" si="45"/>
        <v>0</v>
      </c>
      <c r="FX11" s="87">
        <f t="shared" si="46"/>
        <v>0</v>
      </c>
      <c r="FY11" s="87">
        <f t="shared" si="47"/>
        <v>0</v>
      </c>
      <c r="FZ11" s="87">
        <f t="shared" si="48"/>
        <v>0</v>
      </c>
      <c r="GA11" s="87">
        <f t="shared" si="49"/>
        <v>0</v>
      </c>
      <c r="GB11" s="87">
        <f t="shared" si="50"/>
        <v>0</v>
      </c>
      <c r="GC11" s="87">
        <f t="shared" si="51"/>
        <v>0</v>
      </c>
      <c r="GD11" s="87">
        <f t="shared" si="52"/>
        <v>0</v>
      </c>
    </row>
    <row r="12" spans="1:186" ht="16.5" x14ac:dyDescent="0.2">
      <c r="K12" s="86">
        <v>8</v>
      </c>
      <c r="L12" s="86">
        <v>2</v>
      </c>
      <c r="M12" s="86">
        <v>5</v>
      </c>
      <c r="N12" s="86" t="str">
        <f t="shared" si="3"/>
        <v>神器2-5</v>
      </c>
      <c r="O12" s="86">
        <v>3</v>
      </c>
      <c r="P12" s="14">
        <f t="shared" si="4"/>
        <v>105</v>
      </c>
      <c r="Q12" s="88">
        <v>0.12</v>
      </c>
      <c r="R12" s="14">
        <v>1</v>
      </c>
      <c r="S12" s="14">
        <v>1</v>
      </c>
      <c r="T12" s="88">
        <v>0.12</v>
      </c>
      <c r="U12" s="14">
        <v>1</v>
      </c>
      <c r="V12" s="14">
        <v>2</v>
      </c>
      <c r="W12" s="88">
        <v>0.12</v>
      </c>
      <c r="X12" s="14">
        <v>1</v>
      </c>
      <c r="Y12" s="14">
        <v>3</v>
      </c>
      <c r="AB12" s="86">
        <v>7</v>
      </c>
      <c r="AC12" s="86">
        <v>3</v>
      </c>
      <c r="AD12" s="86">
        <f>SUM(AC$6:AC12)</f>
        <v>12</v>
      </c>
      <c r="AF12" s="86">
        <v>7</v>
      </c>
      <c r="AG12" s="86">
        <v>123</v>
      </c>
      <c r="AH12" s="86">
        <f t="shared" si="53"/>
        <v>297.55500000000006</v>
      </c>
      <c r="AI12" s="86" t="s">
        <v>653</v>
      </c>
      <c r="AJ12" s="19">
        <v>0.55000000000000004</v>
      </c>
      <c r="AK12" s="19">
        <v>0.3</v>
      </c>
      <c r="AL12" s="19">
        <v>0.15</v>
      </c>
      <c r="AO12" s="86">
        <v>2</v>
      </c>
      <c r="AP12" s="86">
        <v>5</v>
      </c>
      <c r="AQ12" s="86">
        <v>2</v>
      </c>
      <c r="AR12" s="86">
        <v>1</v>
      </c>
      <c r="AS12" s="86" t="s">
        <v>311</v>
      </c>
      <c r="AT12" s="21">
        <f t="shared" si="0"/>
        <v>0.10400000000000001</v>
      </c>
      <c r="AU12" s="86">
        <f t="shared" si="5"/>
        <v>1</v>
      </c>
      <c r="AV12" s="86">
        <f t="shared" si="6"/>
        <v>3</v>
      </c>
      <c r="AW12" s="87">
        <f t="shared" si="7"/>
        <v>0.20800000000000002</v>
      </c>
      <c r="AX12" s="86">
        <f t="shared" si="8"/>
        <v>3.12</v>
      </c>
      <c r="BA12" s="86">
        <v>8</v>
      </c>
      <c r="BB12" s="14" t="e">
        <f>INDEX(节奏总表!#REF!,神器!BA12)</f>
        <v>#REF!</v>
      </c>
      <c r="BC12" s="14" t="e">
        <f t="shared" si="9"/>
        <v>#REF!</v>
      </c>
      <c r="BD12" s="14">
        <v>5</v>
      </c>
      <c r="BE12" s="14">
        <v>3</v>
      </c>
      <c r="BF12" s="14">
        <f t="shared" si="10"/>
        <v>0</v>
      </c>
      <c r="BG12" s="14">
        <f t="shared" si="10"/>
        <v>0</v>
      </c>
      <c r="BH12" s="14">
        <f t="shared" si="10"/>
        <v>0</v>
      </c>
      <c r="BI12" s="14">
        <f t="shared" si="10"/>
        <v>0</v>
      </c>
      <c r="BJ12" s="14">
        <f t="shared" si="10"/>
        <v>0</v>
      </c>
      <c r="BK12" s="14">
        <f t="shared" si="10"/>
        <v>0</v>
      </c>
      <c r="BL12" s="14">
        <f t="shared" si="10"/>
        <v>0</v>
      </c>
      <c r="BM12" s="14">
        <f t="shared" si="10"/>
        <v>0</v>
      </c>
      <c r="BN12" s="14">
        <f t="shared" si="10"/>
        <v>0</v>
      </c>
      <c r="BO12" s="14">
        <f t="shared" si="10"/>
        <v>0</v>
      </c>
      <c r="BP12" s="14">
        <f t="shared" si="10"/>
        <v>0</v>
      </c>
      <c r="BQ12" s="14">
        <f t="shared" si="10"/>
        <v>0</v>
      </c>
      <c r="BR12" s="14">
        <f t="shared" si="10"/>
        <v>0</v>
      </c>
      <c r="BS12" s="14">
        <f t="shared" si="10"/>
        <v>0</v>
      </c>
      <c r="BT12" s="14">
        <f t="shared" si="10"/>
        <v>0</v>
      </c>
      <c r="BU12" s="14">
        <f t="shared" si="10"/>
        <v>0</v>
      </c>
      <c r="BV12" s="14">
        <f t="shared" si="54"/>
        <v>0</v>
      </c>
      <c r="BW12" s="14">
        <f t="shared" si="54"/>
        <v>0</v>
      </c>
      <c r="BX12" s="14">
        <f t="shared" si="54"/>
        <v>0</v>
      </c>
      <c r="BY12" s="14">
        <f t="shared" si="54"/>
        <v>0</v>
      </c>
      <c r="BZ12" s="14">
        <f t="shared" si="54"/>
        <v>0</v>
      </c>
      <c r="CA12" s="14">
        <f t="shared" si="54"/>
        <v>0</v>
      </c>
      <c r="CB12" s="14">
        <f t="shared" si="54"/>
        <v>0</v>
      </c>
      <c r="CC12" s="14">
        <f t="shared" si="54"/>
        <v>0</v>
      </c>
      <c r="CD12" s="14">
        <f t="shared" si="54"/>
        <v>0</v>
      </c>
      <c r="CE12" s="14">
        <f t="shared" si="54"/>
        <v>0</v>
      </c>
      <c r="CF12" s="14">
        <f t="shared" si="55"/>
        <v>0</v>
      </c>
      <c r="CG12" s="14">
        <f t="shared" si="55"/>
        <v>0</v>
      </c>
      <c r="CH12" s="14">
        <f t="shared" si="55"/>
        <v>0</v>
      </c>
      <c r="CI12" s="14">
        <f t="shared" si="55"/>
        <v>0</v>
      </c>
      <c r="CJ12" s="14">
        <f t="shared" si="55"/>
        <v>0</v>
      </c>
      <c r="CK12" s="14">
        <f t="shared" si="55"/>
        <v>0</v>
      </c>
      <c r="CL12" s="14">
        <f t="shared" si="55"/>
        <v>0</v>
      </c>
      <c r="CM12" s="14">
        <f t="shared" si="55"/>
        <v>0</v>
      </c>
      <c r="CN12" s="14">
        <f t="shared" si="55"/>
        <v>0</v>
      </c>
      <c r="CO12" s="14">
        <f t="shared" si="55"/>
        <v>0</v>
      </c>
      <c r="CP12" s="14">
        <f t="shared" si="55"/>
        <v>0</v>
      </c>
      <c r="CQ12" s="14">
        <f t="shared" si="55"/>
        <v>0</v>
      </c>
      <c r="CR12" s="14">
        <f t="shared" si="55"/>
        <v>0</v>
      </c>
      <c r="CS12" s="14">
        <f t="shared" si="55"/>
        <v>0</v>
      </c>
      <c r="CT12" s="14">
        <f t="shared" si="55"/>
        <v>0</v>
      </c>
      <c r="CU12" s="14">
        <f t="shared" si="55"/>
        <v>0</v>
      </c>
      <c r="CW12" s="14">
        <f>SUM(BF$5:BF12)</f>
        <v>0</v>
      </c>
      <c r="CX12" s="14">
        <f>SUM(BG$5:BG12)</f>
        <v>0</v>
      </c>
      <c r="CY12" s="14">
        <f>SUM(BH$5:BH12)</f>
        <v>0</v>
      </c>
      <c r="CZ12" s="14">
        <f>SUM(BI$5:BI12)</f>
        <v>0</v>
      </c>
      <c r="DA12" s="14">
        <f>SUM(BJ$5:BJ12)</f>
        <v>0</v>
      </c>
      <c r="DB12" s="14">
        <f>SUM(BK$5:BK12)</f>
        <v>0</v>
      </c>
      <c r="DC12" s="14">
        <f>SUM(BL$5:BL12)</f>
        <v>0</v>
      </c>
      <c r="DD12" s="14">
        <f>SUM(BM$5:BM12)</f>
        <v>0</v>
      </c>
      <c r="DE12" s="14">
        <f>SUM(BN$5:BN12)</f>
        <v>0</v>
      </c>
      <c r="DF12" s="14">
        <f>SUM(BO$5:BO12)</f>
        <v>0</v>
      </c>
      <c r="DG12" s="14">
        <f>SUM(BP$5:BP12)</f>
        <v>0</v>
      </c>
      <c r="DH12" s="14">
        <f>SUM(BQ$5:BQ12)</f>
        <v>0</v>
      </c>
      <c r="DI12" s="14">
        <f>SUM(BR$5:BR12)</f>
        <v>0</v>
      </c>
      <c r="DJ12" s="14">
        <f>SUM(BS$5:BS12)</f>
        <v>0</v>
      </c>
      <c r="DK12" s="14">
        <f>SUM(BT$5:BT12)</f>
        <v>0</v>
      </c>
      <c r="DL12" s="14">
        <f>SUM(BU$5:BU12)</f>
        <v>0</v>
      </c>
      <c r="DM12" s="14">
        <f>SUM(BV$5:BV12)</f>
        <v>0</v>
      </c>
      <c r="DN12" s="14">
        <f>SUM(BW$5:BW12)</f>
        <v>0</v>
      </c>
      <c r="DO12" s="14">
        <f>SUM(BX$5:BX12)</f>
        <v>0</v>
      </c>
      <c r="DP12" s="14">
        <f>SUM(BY$5:BY12)</f>
        <v>0</v>
      </c>
      <c r="DQ12" s="14">
        <f>SUM(BZ$5:BZ12)</f>
        <v>0</v>
      </c>
      <c r="DR12" s="14">
        <f>SUM(CA$5:CA12)</f>
        <v>0</v>
      </c>
      <c r="DS12" s="14">
        <f>SUM(CB$5:CB12)</f>
        <v>0</v>
      </c>
      <c r="DT12" s="14">
        <f>SUM(CC$5:CC12)</f>
        <v>0</v>
      </c>
      <c r="DU12" s="14">
        <f>SUM(CD$5:CD12)</f>
        <v>0</v>
      </c>
      <c r="DV12" s="14">
        <f>SUM(CE$5:CE12)</f>
        <v>0</v>
      </c>
      <c r="DW12" s="14">
        <f>SUM(CF$5:CF12)</f>
        <v>0</v>
      </c>
      <c r="DX12" s="14">
        <f>SUM(CG$5:CG12)</f>
        <v>0</v>
      </c>
      <c r="DY12" s="14">
        <f>SUM(CH$5:CH12)</f>
        <v>0</v>
      </c>
      <c r="DZ12" s="14">
        <f>SUM(CI$5:CI12)</f>
        <v>0</v>
      </c>
      <c r="EA12" s="14">
        <f>SUM(CJ$5:CJ12)</f>
        <v>0</v>
      </c>
      <c r="EB12" s="14">
        <f>SUM(CK$5:CK12)</f>
        <v>0</v>
      </c>
      <c r="EC12" s="14">
        <f>SUM(CL$5:CL12)</f>
        <v>0</v>
      </c>
      <c r="ED12" s="14">
        <f>SUM(CM$5:CM12)</f>
        <v>0</v>
      </c>
      <c r="EE12" s="14">
        <f>SUM(CN$5:CN12)</f>
        <v>0</v>
      </c>
      <c r="EF12" s="14">
        <f>SUM(CO$5:CO12)</f>
        <v>0</v>
      </c>
      <c r="EG12" s="14">
        <f>SUM(CP$5:CP12)</f>
        <v>0</v>
      </c>
      <c r="EH12" s="14">
        <f>SUM(CQ$5:CQ12)</f>
        <v>0</v>
      </c>
      <c r="EI12" s="14">
        <f>SUM(CR$5:CR12)</f>
        <v>0</v>
      </c>
      <c r="EJ12" s="14">
        <f>SUM(CS$5:CS12)</f>
        <v>0</v>
      </c>
      <c r="EK12" s="14">
        <f>SUM(CT$5:CT12)</f>
        <v>0</v>
      </c>
      <c r="EL12" s="14">
        <f>SUM(CU$5:CU12)</f>
        <v>0</v>
      </c>
      <c r="EO12" s="87">
        <f t="shared" si="11"/>
        <v>0</v>
      </c>
      <c r="EP12" s="87">
        <f t="shared" si="12"/>
        <v>0</v>
      </c>
      <c r="EQ12" s="87">
        <f t="shared" si="13"/>
        <v>0</v>
      </c>
      <c r="ER12" s="87">
        <f t="shared" si="14"/>
        <v>0</v>
      </c>
      <c r="ES12" s="87">
        <f t="shared" si="15"/>
        <v>0</v>
      </c>
      <c r="ET12" s="87">
        <f t="shared" si="16"/>
        <v>0</v>
      </c>
      <c r="EU12" s="87">
        <f t="shared" si="17"/>
        <v>0</v>
      </c>
      <c r="EV12" s="87">
        <f t="shared" si="18"/>
        <v>0</v>
      </c>
      <c r="EW12" s="87">
        <f t="shared" si="19"/>
        <v>0</v>
      </c>
      <c r="EX12" s="87">
        <f t="shared" si="20"/>
        <v>0</v>
      </c>
      <c r="EY12" s="87">
        <f t="shared" si="21"/>
        <v>0</v>
      </c>
      <c r="EZ12" s="87">
        <f t="shared" si="22"/>
        <v>0</v>
      </c>
      <c r="FA12" s="87">
        <f t="shared" si="23"/>
        <v>0</v>
      </c>
      <c r="FB12" s="87">
        <f t="shared" si="24"/>
        <v>0</v>
      </c>
      <c r="FC12" s="87">
        <f t="shared" si="25"/>
        <v>0</v>
      </c>
      <c r="FD12" s="87">
        <f t="shared" si="26"/>
        <v>0</v>
      </c>
      <c r="FE12" s="87">
        <f t="shared" si="27"/>
        <v>0</v>
      </c>
      <c r="FF12" s="87">
        <f t="shared" si="28"/>
        <v>0</v>
      </c>
      <c r="FG12" s="87">
        <f t="shared" si="29"/>
        <v>0</v>
      </c>
      <c r="FH12" s="87">
        <f t="shared" si="30"/>
        <v>0</v>
      </c>
      <c r="FI12" s="87">
        <f t="shared" si="31"/>
        <v>0</v>
      </c>
      <c r="FJ12" s="87">
        <f t="shared" si="32"/>
        <v>0</v>
      </c>
      <c r="FK12" s="87">
        <f t="shared" si="33"/>
        <v>0</v>
      </c>
      <c r="FL12" s="87">
        <f t="shared" si="34"/>
        <v>0</v>
      </c>
      <c r="FM12" s="87">
        <f t="shared" si="35"/>
        <v>0</v>
      </c>
      <c r="FN12" s="87">
        <f t="shared" si="36"/>
        <v>0</v>
      </c>
      <c r="FO12" s="87">
        <f t="shared" si="37"/>
        <v>0</v>
      </c>
      <c r="FP12" s="87">
        <f t="shared" si="38"/>
        <v>0</v>
      </c>
      <c r="FQ12" s="87">
        <f t="shared" si="39"/>
        <v>0</v>
      </c>
      <c r="FR12" s="87">
        <f t="shared" si="40"/>
        <v>0</v>
      </c>
      <c r="FS12" s="87">
        <f t="shared" si="41"/>
        <v>0</v>
      </c>
      <c r="FT12" s="87">
        <f t="shared" si="42"/>
        <v>0</v>
      </c>
      <c r="FU12" s="87">
        <f t="shared" si="43"/>
        <v>0</v>
      </c>
      <c r="FV12" s="87">
        <f t="shared" si="44"/>
        <v>0</v>
      </c>
      <c r="FW12" s="87">
        <f t="shared" si="45"/>
        <v>0</v>
      </c>
      <c r="FX12" s="87">
        <f t="shared" si="46"/>
        <v>0</v>
      </c>
      <c r="FY12" s="87">
        <f t="shared" si="47"/>
        <v>0</v>
      </c>
      <c r="FZ12" s="87">
        <f t="shared" si="48"/>
        <v>0</v>
      </c>
      <c r="GA12" s="87">
        <f t="shared" si="49"/>
        <v>0</v>
      </c>
      <c r="GB12" s="87">
        <f t="shared" si="50"/>
        <v>0</v>
      </c>
      <c r="GC12" s="87">
        <f t="shared" si="51"/>
        <v>0</v>
      </c>
      <c r="GD12" s="87">
        <f t="shared" si="52"/>
        <v>0</v>
      </c>
    </row>
    <row r="13" spans="1:186" ht="16.5" x14ac:dyDescent="0.2">
      <c r="K13" s="86">
        <v>9</v>
      </c>
      <c r="L13" s="86">
        <v>3</v>
      </c>
      <c r="M13" s="86">
        <v>1</v>
      </c>
      <c r="N13" s="86" t="str">
        <f t="shared" si="3"/>
        <v>神器3-1</v>
      </c>
      <c r="O13" s="86">
        <v>1</v>
      </c>
      <c r="P13" s="14">
        <f t="shared" si="4"/>
        <v>20</v>
      </c>
      <c r="Q13" s="88">
        <v>0.25</v>
      </c>
      <c r="R13" s="14">
        <v>1</v>
      </c>
      <c r="S13" s="14">
        <v>3</v>
      </c>
      <c r="T13" s="88">
        <v>0.25</v>
      </c>
      <c r="U13" s="14">
        <v>2</v>
      </c>
      <c r="V13" s="14">
        <v>4</v>
      </c>
      <c r="W13" s="88">
        <v>0.25</v>
      </c>
      <c r="X13" s="14">
        <v>3</v>
      </c>
      <c r="Y13" s="14">
        <v>5</v>
      </c>
      <c r="AB13" s="86">
        <v>8</v>
      </c>
      <c r="AC13" s="86">
        <v>3</v>
      </c>
      <c r="AD13" s="86">
        <f>SUM(AC$6:AC13)</f>
        <v>15</v>
      </c>
      <c r="AF13" s="86">
        <v>8</v>
      </c>
      <c r="AG13" s="86">
        <v>133</v>
      </c>
      <c r="AH13" s="86">
        <f t="shared" si="53"/>
        <v>495</v>
      </c>
      <c r="AI13" s="86" t="s">
        <v>654</v>
      </c>
      <c r="AJ13" s="19">
        <v>0.6</v>
      </c>
      <c r="AK13" s="19">
        <v>0.4</v>
      </c>
      <c r="AL13" s="86"/>
      <c r="AO13" s="86">
        <v>2</v>
      </c>
      <c r="AP13" s="86">
        <v>6</v>
      </c>
      <c r="AQ13" s="86">
        <v>2</v>
      </c>
      <c r="AR13" s="86">
        <v>1</v>
      </c>
      <c r="AS13" s="86" t="s">
        <v>312</v>
      </c>
      <c r="AT13" s="21">
        <f t="shared" si="0"/>
        <v>7.1999999999999995E-2</v>
      </c>
      <c r="AU13" s="86">
        <f t="shared" si="5"/>
        <v>1</v>
      </c>
      <c r="AV13" s="86">
        <f t="shared" si="6"/>
        <v>2</v>
      </c>
      <c r="AW13" s="87">
        <f t="shared" si="7"/>
        <v>0.10799999999999998</v>
      </c>
      <c r="AX13" s="86">
        <f t="shared" si="8"/>
        <v>4.8599999999999994</v>
      </c>
      <c r="BA13" s="86">
        <v>9</v>
      </c>
      <c r="BB13" s="14" t="e">
        <f>INDEX(节奏总表!#REF!,神器!BA13)</f>
        <v>#REF!</v>
      </c>
      <c r="BC13" s="14" t="e">
        <f t="shared" si="9"/>
        <v>#REF!</v>
      </c>
      <c r="BD13" s="14">
        <v>5</v>
      </c>
      <c r="BE13" s="14">
        <v>3</v>
      </c>
      <c r="BF13" s="14">
        <f t="shared" si="10"/>
        <v>0</v>
      </c>
      <c r="BG13" s="14">
        <f t="shared" si="10"/>
        <v>0</v>
      </c>
      <c r="BH13" s="14">
        <f t="shared" si="10"/>
        <v>0</v>
      </c>
      <c r="BI13" s="14">
        <f t="shared" si="10"/>
        <v>0</v>
      </c>
      <c r="BJ13" s="14">
        <f t="shared" si="10"/>
        <v>0</v>
      </c>
      <c r="BK13" s="14">
        <f t="shared" si="10"/>
        <v>0</v>
      </c>
      <c r="BL13" s="14">
        <f t="shared" si="10"/>
        <v>0</v>
      </c>
      <c r="BM13" s="14">
        <f t="shared" si="10"/>
        <v>0</v>
      </c>
      <c r="BN13" s="14">
        <f t="shared" si="10"/>
        <v>0</v>
      </c>
      <c r="BO13" s="14">
        <f t="shared" si="10"/>
        <v>0</v>
      </c>
      <c r="BP13" s="14">
        <f t="shared" si="10"/>
        <v>0</v>
      </c>
      <c r="BQ13" s="14">
        <f t="shared" si="10"/>
        <v>0</v>
      </c>
      <c r="BR13" s="14">
        <f t="shared" si="10"/>
        <v>0</v>
      </c>
      <c r="BS13" s="14">
        <f t="shared" si="10"/>
        <v>0</v>
      </c>
      <c r="BT13" s="14">
        <f t="shared" si="10"/>
        <v>0</v>
      </c>
      <c r="BU13" s="14">
        <f t="shared" si="10"/>
        <v>0</v>
      </c>
      <c r="BV13" s="14">
        <f t="shared" si="54"/>
        <v>0</v>
      </c>
      <c r="BW13" s="14">
        <f t="shared" si="54"/>
        <v>0</v>
      </c>
      <c r="BX13" s="14">
        <f t="shared" si="54"/>
        <v>0</v>
      </c>
      <c r="BY13" s="14">
        <f t="shared" si="54"/>
        <v>0</v>
      </c>
      <c r="BZ13" s="14">
        <f t="shared" si="54"/>
        <v>0</v>
      </c>
      <c r="CA13" s="14">
        <f t="shared" si="54"/>
        <v>0</v>
      </c>
      <c r="CB13" s="14">
        <f t="shared" si="54"/>
        <v>0</v>
      </c>
      <c r="CC13" s="14">
        <f t="shared" si="54"/>
        <v>0</v>
      </c>
      <c r="CD13" s="14">
        <f t="shared" si="54"/>
        <v>0</v>
      </c>
      <c r="CE13" s="14">
        <f t="shared" si="54"/>
        <v>0</v>
      </c>
      <c r="CF13" s="14">
        <f t="shared" si="55"/>
        <v>0</v>
      </c>
      <c r="CG13" s="14">
        <f t="shared" si="55"/>
        <v>0</v>
      </c>
      <c r="CH13" s="14">
        <f t="shared" si="55"/>
        <v>0</v>
      </c>
      <c r="CI13" s="14">
        <f t="shared" si="55"/>
        <v>0</v>
      </c>
      <c r="CJ13" s="14">
        <f t="shared" si="55"/>
        <v>0</v>
      </c>
      <c r="CK13" s="14">
        <f t="shared" si="55"/>
        <v>0</v>
      </c>
      <c r="CL13" s="14">
        <f t="shared" si="55"/>
        <v>0</v>
      </c>
      <c r="CM13" s="14">
        <f t="shared" si="55"/>
        <v>0</v>
      </c>
      <c r="CN13" s="14">
        <f t="shared" si="55"/>
        <v>0</v>
      </c>
      <c r="CO13" s="14">
        <f t="shared" si="55"/>
        <v>0</v>
      </c>
      <c r="CP13" s="14">
        <f t="shared" si="55"/>
        <v>0</v>
      </c>
      <c r="CQ13" s="14">
        <f t="shared" si="55"/>
        <v>0</v>
      </c>
      <c r="CR13" s="14">
        <f t="shared" si="55"/>
        <v>0</v>
      </c>
      <c r="CS13" s="14">
        <f t="shared" si="55"/>
        <v>0</v>
      </c>
      <c r="CT13" s="14">
        <f t="shared" si="55"/>
        <v>0</v>
      </c>
      <c r="CU13" s="14">
        <f t="shared" si="55"/>
        <v>0</v>
      </c>
      <c r="CW13" s="14">
        <f>SUM(BF$5:BF13)</f>
        <v>0</v>
      </c>
      <c r="CX13" s="14">
        <f>SUM(BG$5:BG13)</f>
        <v>0</v>
      </c>
      <c r="CY13" s="14">
        <f>SUM(BH$5:BH13)</f>
        <v>0</v>
      </c>
      <c r="CZ13" s="14">
        <f>SUM(BI$5:BI13)</f>
        <v>0</v>
      </c>
      <c r="DA13" s="14">
        <f>SUM(BJ$5:BJ13)</f>
        <v>0</v>
      </c>
      <c r="DB13" s="14">
        <f>SUM(BK$5:BK13)</f>
        <v>0</v>
      </c>
      <c r="DC13" s="14">
        <f>SUM(BL$5:BL13)</f>
        <v>0</v>
      </c>
      <c r="DD13" s="14">
        <f>SUM(BM$5:BM13)</f>
        <v>0</v>
      </c>
      <c r="DE13" s="14">
        <f>SUM(BN$5:BN13)</f>
        <v>0</v>
      </c>
      <c r="DF13" s="14">
        <f>SUM(BO$5:BO13)</f>
        <v>0</v>
      </c>
      <c r="DG13" s="14">
        <f>SUM(BP$5:BP13)</f>
        <v>0</v>
      </c>
      <c r="DH13" s="14">
        <f>SUM(BQ$5:BQ13)</f>
        <v>0</v>
      </c>
      <c r="DI13" s="14">
        <f>SUM(BR$5:BR13)</f>
        <v>0</v>
      </c>
      <c r="DJ13" s="14">
        <f>SUM(BS$5:BS13)</f>
        <v>0</v>
      </c>
      <c r="DK13" s="14">
        <f>SUM(BT$5:BT13)</f>
        <v>0</v>
      </c>
      <c r="DL13" s="14">
        <f>SUM(BU$5:BU13)</f>
        <v>0</v>
      </c>
      <c r="DM13" s="14">
        <f>SUM(BV$5:BV13)</f>
        <v>0</v>
      </c>
      <c r="DN13" s="14">
        <f>SUM(BW$5:BW13)</f>
        <v>0</v>
      </c>
      <c r="DO13" s="14">
        <f>SUM(BX$5:BX13)</f>
        <v>0</v>
      </c>
      <c r="DP13" s="14">
        <f>SUM(BY$5:BY13)</f>
        <v>0</v>
      </c>
      <c r="DQ13" s="14">
        <f>SUM(BZ$5:BZ13)</f>
        <v>0</v>
      </c>
      <c r="DR13" s="14">
        <f>SUM(CA$5:CA13)</f>
        <v>0</v>
      </c>
      <c r="DS13" s="14">
        <f>SUM(CB$5:CB13)</f>
        <v>0</v>
      </c>
      <c r="DT13" s="14">
        <f>SUM(CC$5:CC13)</f>
        <v>0</v>
      </c>
      <c r="DU13" s="14">
        <f>SUM(CD$5:CD13)</f>
        <v>0</v>
      </c>
      <c r="DV13" s="14">
        <f>SUM(CE$5:CE13)</f>
        <v>0</v>
      </c>
      <c r="DW13" s="14">
        <f>SUM(CF$5:CF13)</f>
        <v>0</v>
      </c>
      <c r="DX13" s="14">
        <f>SUM(CG$5:CG13)</f>
        <v>0</v>
      </c>
      <c r="DY13" s="14">
        <f>SUM(CH$5:CH13)</f>
        <v>0</v>
      </c>
      <c r="DZ13" s="14">
        <f>SUM(CI$5:CI13)</f>
        <v>0</v>
      </c>
      <c r="EA13" s="14">
        <f>SUM(CJ$5:CJ13)</f>
        <v>0</v>
      </c>
      <c r="EB13" s="14">
        <f>SUM(CK$5:CK13)</f>
        <v>0</v>
      </c>
      <c r="EC13" s="14">
        <f>SUM(CL$5:CL13)</f>
        <v>0</v>
      </c>
      <c r="ED13" s="14">
        <f>SUM(CM$5:CM13)</f>
        <v>0</v>
      </c>
      <c r="EE13" s="14">
        <f>SUM(CN$5:CN13)</f>
        <v>0</v>
      </c>
      <c r="EF13" s="14">
        <f>SUM(CO$5:CO13)</f>
        <v>0</v>
      </c>
      <c r="EG13" s="14">
        <f>SUM(CP$5:CP13)</f>
        <v>0</v>
      </c>
      <c r="EH13" s="14">
        <f>SUM(CQ$5:CQ13)</f>
        <v>0</v>
      </c>
      <c r="EI13" s="14">
        <f>SUM(CR$5:CR13)</f>
        <v>0</v>
      </c>
      <c r="EJ13" s="14">
        <f>SUM(CS$5:CS13)</f>
        <v>0</v>
      </c>
      <c r="EK13" s="14">
        <f>SUM(CT$5:CT13)</f>
        <v>0</v>
      </c>
      <c r="EL13" s="14">
        <f>SUM(CU$5:CU13)</f>
        <v>0</v>
      </c>
      <c r="EO13" s="87">
        <f t="shared" si="11"/>
        <v>0</v>
      </c>
      <c r="EP13" s="87">
        <f t="shared" si="12"/>
        <v>0</v>
      </c>
      <c r="EQ13" s="87">
        <f t="shared" si="13"/>
        <v>0</v>
      </c>
      <c r="ER13" s="87">
        <f t="shared" si="14"/>
        <v>0</v>
      </c>
      <c r="ES13" s="87">
        <f t="shared" si="15"/>
        <v>0</v>
      </c>
      <c r="ET13" s="87">
        <f t="shared" si="16"/>
        <v>0</v>
      </c>
      <c r="EU13" s="87">
        <f t="shared" si="17"/>
        <v>0</v>
      </c>
      <c r="EV13" s="87">
        <f t="shared" si="18"/>
        <v>0</v>
      </c>
      <c r="EW13" s="87">
        <f t="shared" si="19"/>
        <v>0</v>
      </c>
      <c r="EX13" s="87">
        <f t="shared" si="20"/>
        <v>0</v>
      </c>
      <c r="EY13" s="87">
        <f t="shared" si="21"/>
        <v>0</v>
      </c>
      <c r="EZ13" s="87">
        <f t="shared" si="22"/>
        <v>0</v>
      </c>
      <c r="FA13" s="87">
        <f t="shared" si="23"/>
        <v>0</v>
      </c>
      <c r="FB13" s="87">
        <f t="shared" si="24"/>
        <v>0</v>
      </c>
      <c r="FC13" s="87">
        <f t="shared" si="25"/>
        <v>0</v>
      </c>
      <c r="FD13" s="87">
        <f t="shared" si="26"/>
        <v>0</v>
      </c>
      <c r="FE13" s="87">
        <f t="shared" si="27"/>
        <v>0</v>
      </c>
      <c r="FF13" s="87">
        <f t="shared" si="28"/>
        <v>0</v>
      </c>
      <c r="FG13" s="87">
        <f t="shared" si="29"/>
        <v>0</v>
      </c>
      <c r="FH13" s="87">
        <f t="shared" si="30"/>
        <v>0</v>
      </c>
      <c r="FI13" s="87">
        <f t="shared" si="31"/>
        <v>0</v>
      </c>
      <c r="FJ13" s="87">
        <f t="shared" si="32"/>
        <v>0</v>
      </c>
      <c r="FK13" s="87">
        <f t="shared" si="33"/>
        <v>0</v>
      </c>
      <c r="FL13" s="87">
        <f t="shared" si="34"/>
        <v>0</v>
      </c>
      <c r="FM13" s="87">
        <f t="shared" si="35"/>
        <v>0</v>
      </c>
      <c r="FN13" s="87">
        <f t="shared" si="36"/>
        <v>0</v>
      </c>
      <c r="FO13" s="87">
        <f t="shared" si="37"/>
        <v>0</v>
      </c>
      <c r="FP13" s="87">
        <f t="shared" si="38"/>
        <v>0</v>
      </c>
      <c r="FQ13" s="87">
        <f t="shared" si="39"/>
        <v>0</v>
      </c>
      <c r="FR13" s="87">
        <f t="shared" si="40"/>
        <v>0</v>
      </c>
      <c r="FS13" s="87">
        <f t="shared" si="41"/>
        <v>0</v>
      </c>
      <c r="FT13" s="87">
        <f t="shared" si="42"/>
        <v>0</v>
      </c>
      <c r="FU13" s="87">
        <f t="shared" si="43"/>
        <v>0</v>
      </c>
      <c r="FV13" s="87">
        <f t="shared" si="44"/>
        <v>0</v>
      </c>
      <c r="FW13" s="87">
        <f t="shared" si="45"/>
        <v>0</v>
      </c>
      <c r="FX13" s="87">
        <f t="shared" si="46"/>
        <v>0</v>
      </c>
      <c r="FY13" s="87">
        <f t="shared" si="47"/>
        <v>0</v>
      </c>
      <c r="FZ13" s="87">
        <f t="shared" si="48"/>
        <v>0</v>
      </c>
      <c r="GA13" s="87">
        <f t="shared" si="49"/>
        <v>0</v>
      </c>
      <c r="GB13" s="87">
        <f t="shared" si="50"/>
        <v>0</v>
      </c>
      <c r="GC13" s="87">
        <f t="shared" si="51"/>
        <v>0</v>
      </c>
      <c r="GD13" s="87">
        <f t="shared" si="52"/>
        <v>0</v>
      </c>
    </row>
    <row r="14" spans="1:186" ht="16.5" x14ac:dyDescent="0.2">
      <c r="K14" s="86">
        <v>10</v>
      </c>
      <c r="L14" s="86">
        <v>3</v>
      </c>
      <c r="M14" s="86">
        <v>2</v>
      </c>
      <c r="N14" s="86" t="str">
        <f t="shared" si="3"/>
        <v>神器3-2</v>
      </c>
      <c r="O14" s="86">
        <v>1</v>
      </c>
      <c r="P14" s="14">
        <f t="shared" si="4"/>
        <v>20</v>
      </c>
      <c r="Q14" s="88">
        <v>0.25</v>
      </c>
      <c r="R14" s="14">
        <v>1</v>
      </c>
      <c r="S14" s="14">
        <v>3</v>
      </c>
      <c r="T14" s="88">
        <v>0.25</v>
      </c>
      <c r="U14" s="14">
        <v>2</v>
      </c>
      <c r="V14" s="14">
        <v>4</v>
      </c>
      <c r="W14" s="88">
        <v>0.25</v>
      </c>
      <c r="X14" s="14">
        <v>3</v>
      </c>
      <c r="Y14" s="14">
        <v>5</v>
      </c>
      <c r="AB14" s="86">
        <v>9</v>
      </c>
      <c r="AC14" s="86">
        <v>3</v>
      </c>
      <c r="AD14" s="86">
        <f>SUM(AC$6:AC14)</f>
        <v>18</v>
      </c>
      <c r="AM14" s="89"/>
      <c r="AO14" s="86">
        <v>2</v>
      </c>
      <c r="AP14" s="86">
        <v>7</v>
      </c>
      <c r="AQ14" s="86">
        <v>2</v>
      </c>
      <c r="AR14" s="86">
        <v>1</v>
      </c>
      <c r="AS14" s="86" t="s">
        <v>313</v>
      </c>
      <c r="AT14" s="21">
        <f t="shared" si="0"/>
        <v>7.1999999999999995E-2</v>
      </c>
      <c r="AU14" s="86">
        <f t="shared" si="5"/>
        <v>1</v>
      </c>
      <c r="AV14" s="86">
        <f t="shared" si="6"/>
        <v>2</v>
      </c>
      <c r="AW14" s="87">
        <f t="shared" si="7"/>
        <v>0.10799999999999998</v>
      </c>
      <c r="AX14" s="86">
        <f t="shared" si="8"/>
        <v>4.8599999999999994</v>
      </c>
      <c r="BA14" s="86">
        <v>10</v>
      </c>
      <c r="BB14" s="14" t="e">
        <f>INDEX(节奏总表!#REF!,神器!BA14)</f>
        <v>#REF!</v>
      </c>
      <c r="BC14" s="14" t="e">
        <f t="shared" si="9"/>
        <v>#REF!</v>
      </c>
      <c r="BD14" s="14">
        <v>5</v>
      </c>
      <c r="BE14" s="14">
        <v>3</v>
      </c>
      <c r="BF14" s="14">
        <f t="shared" si="10"/>
        <v>0</v>
      </c>
      <c r="BG14" s="14">
        <f t="shared" si="10"/>
        <v>0</v>
      </c>
      <c r="BH14" s="14">
        <f t="shared" si="10"/>
        <v>0</v>
      </c>
      <c r="BI14" s="14">
        <f t="shared" si="10"/>
        <v>0</v>
      </c>
      <c r="BJ14" s="14">
        <f t="shared" si="10"/>
        <v>0</v>
      </c>
      <c r="BK14" s="14">
        <f t="shared" si="10"/>
        <v>0</v>
      </c>
      <c r="BL14" s="14">
        <f t="shared" si="10"/>
        <v>0</v>
      </c>
      <c r="BM14" s="14">
        <f t="shared" si="10"/>
        <v>0</v>
      </c>
      <c r="BN14" s="14">
        <f t="shared" si="10"/>
        <v>0</v>
      </c>
      <c r="BO14" s="14">
        <f t="shared" si="10"/>
        <v>0</v>
      </c>
      <c r="BP14" s="14">
        <f t="shared" si="10"/>
        <v>0</v>
      </c>
      <c r="BQ14" s="14">
        <f t="shared" si="10"/>
        <v>0</v>
      </c>
      <c r="BR14" s="14">
        <f t="shared" si="10"/>
        <v>0</v>
      </c>
      <c r="BS14" s="14">
        <f t="shared" si="10"/>
        <v>0</v>
      </c>
      <c r="BT14" s="14">
        <f t="shared" si="10"/>
        <v>0</v>
      </c>
      <c r="BU14" s="14">
        <f t="shared" si="10"/>
        <v>0</v>
      </c>
      <c r="BV14" s="14">
        <f t="shared" si="54"/>
        <v>0</v>
      </c>
      <c r="BW14" s="14">
        <f t="shared" si="54"/>
        <v>0</v>
      </c>
      <c r="BX14" s="14">
        <f t="shared" si="54"/>
        <v>0</v>
      </c>
      <c r="BY14" s="14">
        <f t="shared" si="54"/>
        <v>0</v>
      </c>
      <c r="BZ14" s="14">
        <f t="shared" si="54"/>
        <v>0</v>
      </c>
      <c r="CA14" s="14">
        <f t="shared" si="54"/>
        <v>0</v>
      </c>
      <c r="CB14" s="14">
        <f t="shared" si="54"/>
        <v>0</v>
      </c>
      <c r="CC14" s="14">
        <f t="shared" si="54"/>
        <v>0</v>
      </c>
      <c r="CD14" s="14">
        <f t="shared" si="54"/>
        <v>0</v>
      </c>
      <c r="CE14" s="14">
        <f t="shared" si="54"/>
        <v>0</v>
      </c>
      <c r="CF14" s="14">
        <f t="shared" si="55"/>
        <v>0</v>
      </c>
      <c r="CG14" s="14">
        <f t="shared" si="55"/>
        <v>0</v>
      </c>
      <c r="CH14" s="14">
        <f t="shared" si="55"/>
        <v>0</v>
      </c>
      <c r="CI14" s="14">
        <f t="shared" si="55"/>
        <v>0</v>
      </c>
      <c r="CJ14" s="14">
        <f t="shared" si="55"/>
        <v>0</v>
      </c>
      <c r="CK14" s="14">
        <f t="shared" si="55"/>
        <v>0</v>
      </c>
      <c r="CL14" s="14">
        <f t="shared" si="55"/>
        <v>0</v>
      </c>
      <c r="CM14" s="14">
        <f t="shared" si="55"/>
        <v>0</v>
      </c>
      <c r="CN14" s="14">
        <f t="shared" si="55"/>
        <v>0</v>
      </c>
      <c r="CO14" s="14">
        <f t="shared" si="55"/>
        <v>0</v>
      </c>
      <c r="CP14" s="14">
        <f t="shared" si="55"/>
        <v>0</v>
      </c>
      <c r="CQ14" s="14">
        <f t="shared" si="55"/>
        <v>0</v>
      </c>
      <c r="CR14" s="14">
        <f t="shared" si="55"/>
        <v>0</v>
      </c>
      <c r="CS14" s="14">
        <f t="shared" si="55"/>
        <v>0</v>
      </c>
      <c r="CT14" s="14">
        <f t="shared" si="55"/>
        <v>0</v>
      </c>
      <c r="CU14" s="14">
        <f t="shared" si="55"/>
        <v>0</v>
      </c>
      <c r="CW14" s="14">
        <f>SUM(BF$5:BF14)</f>
        <v>0</v>
      </c>
      <c r="CX14" s="14">
        <f>SUM(BG$5:BG14)</f>
        <v>0</v>
      </c>
      <c r="CY14" s="14">
        <f>SUM(BH$5:BH14)</f>
        <v>0</v>
      </c>
      <c r="CZ14" s="14">
        <f>SUM(BI$5:BI14)</f>
        <v>0</v>
      </c>
      <c r="DA14" s="14">
        <f>SUM(BJ$5:BJ14)</f>
        <v>0</v>
      </c>
      <c r="DB14" s="14">
        <f>SUM(BK$5:BK14)</f>
        <v>0</v>
      </c>
      <c r="DC14" s="14">
        <f>SUM(BL$5:BL14)</f>
        <v>0</v>
      </c>
      <c r="DD14" s="14">
        <f>SUM(BM$5:BM14)</f>
        <v>0</v>
      </c>
      <c r="DE14" s="14">
        <f>SUM(BN$5:BN14)</f>
        <v>0</v>
      </c>
      <c r="DF14" s="14">
        <f>SUM(BO$5:BO14)</f>
        <v>0</v>
      </c>
      <c r="DG14" s="14">
        <f>SUM(BP$5:BP14)</f>
        <v>0</v>
      </c>
      <c r="DH14" s="14">
        <f>SUM(BQ$5:BQ14)</f>
        <v>0</v>
      </c>
      <c r="DI14" s="14">
        <f>SUM(BR$5:BR14)</f>
        <v>0</v>
      </c>
      <c r="DJ14" s="14">
        <f>SUM(BS$5:BS14)</f>
        <v>0</v>
      </c>
      <c r="DK14" s="14">
        <f>SUM(BT$5:BT14)</f>
        <v>0</v>
      </c>
      <c r="DL14" s="14">
        <f>SUM(BU$5:BU14)</f>
        <v>0</v>
      </c>
      <c r="DM14" s="14">
        <f>SUM(BV$5:BV14)</f>
        <v>0</v>
      </c>
      <c r="DN14" s="14">
        <f>SUM(BW$5:BW14)</f>
        <v>0</v>
      </c>
      <c r="DO14" s="14">
        <f>SUM(BX$5:BX14)</f>
        <v>0</v>
      </c>
      <c r="DP14" s="14">
        <f>SUM(BY$5:BY14)</f>
        <v>0</v>
      </c>
      <c r="DQ14" s="14">
        <f>SUM(BZ$5:BZ14)</f>
        <v>0</v>
      </c>
      <c r="DR14" s="14">
        <f>SUM(CA$5:CA14)</f>
        <v>0</v>
      </c>
      <c r="DS14" s="14">
        <f>SUM(CB$5:CB14)</f>
        <v>0</v>
      </c>
      <c r="DT14" s="14">
        <f>SUM(CC$5:CC14)</f>
        <v>0</v>
      </c>
      <c r="DU14" s="14">
        <f>SUM(CD$5:CD14)</f>
        <v>0</v>
      </c>
      <c r="DV14" s="14">
        <f>SUM(CE$5:CE14)</f>
        <v>0</v>
      </c>
      <c r="DW14" s="14">
        <f>SUM(CF$5:CF14)</f>
        <v>0</v>
      </c>
      <c r="DX14" s="14">
        <f>SUM(CG$5:CG14)</f>
        <v>0</v>
      </c>
      <c r="DY14" s="14">
        <f>SUM(CH$5:CH14)</f>
        <v>0</v>
      </c>
      <c r="DZ14" s="14">
        <f>SUM(CI$5:CI14)</f>
        <v>0</v>
      </c>
      <c r="EA14" s="14">
        <f>SUM(CJ$5:CJ14)</f>
        <v>0</v>
      </c>
      <c r="EB14" s="14">
        <f>SUM(CK$5:CK14)</f>
        <v>0</v>
      </c>
      <c r="EC14" s="14">
        <f>SUM(CL$5:CL14)</f>
        <v>0</v>
      </c>
      <c r="ED14" s="14">
        <f>SUM(CM$5:CM14)</f>
        <v>0</v>
      </c>
      <c r="EE14" s="14">
        <f>SUM(CN$5:CN14)</f>
        <v>0</v>
      </c>
      <c r="EF14" s="14">
        <f>SUM(CO$5:CO14)</f>
        <v>0</v>
      </c>
      <c r="EG14" s="14">
        <f>SUM(CP$5:CP14)</f>
        <v>0</v>
      </c>
      <c r="EH14" s="14">
        <f>SUM(CQ$5:CQ14)</f>
        <v>0</v>
      </c>
      <c r="EI14" s="14">
        <f>SUM(CR$5:CR14)</f>
        <v>0</v>
      </c>
      <c r="EJ14" s="14">
        <f>SUM(CS$5:CS14)</f>
        <v>0</v>
      </c>
      <c r="EK14" s="14">
        <f>SUM(CT$5:CT14)</f>
        <v>0</v>
      </c>
      <c r="EL14" s="14">
        <f>SUM(CU$5:CU14)</f>
        <v>0</v>
      </c>
      <c r="EO14" s="87">
        <f t="shared" si="11"/>
        <v>0</v>
      </c>
      <c r="EP14" s="87">
        <f t="shared" si="12"/>
        <v>0</v>
      </c>
      <c r="EQ14" s="87">
        <f t="shared" si="13"/>
        <v>0</v>
      </c>
      <c r="ER14" s="87">
        <f t="shared" si="14"/>
        <v>0</v>
      </c>
      <c r="ES14" s="87">
        <f t="shared" si="15"/>
        <v>0</v>
      </c>
      <c r="ET14" s="87">
        <f t="shared" si="16"/>
        <v>0</v>
      </c>
      <c r="EU14" s="87">
        <f t="shared" si="17"/>
        <v>0</v>
      </c>
      <c r="EV14" s="87">
        <f t="shared" si="18"/>
        <v>0</v>
      </c>
      <c r="EW14" s="87">
        <f t="shared" si="19"/>
        <v>0</v>
      </c>
      <c r="EX14" s="87">
        <f t="shared" si="20"/>
        <v>0</v>
      </c>
      <c r="EY14" s="87">
        <f t="shared" si="21"/>
        <v>0</v>
      </c>
      <c r="EZ14" s="87">
        <f t="shared" si="22"/>
        <v>0</v>
      </c>
      <c r="FA14" s="87">
        <f t="shared" si="23"/>
        <v>0</v>
      </c>
      <c r="FB14" s="87">
        <f t="shared" si="24"/>
        <v>0</v>
      </c>
      <c r="FC14" s="87">
        <f t="shared" si="25"/>
        <v>0</v>
      </c>
      <c r="FD14" s="87">
        <f t="shared" si="26"/>
        <v>0</v>
      </c>
      <c r="FE14" s="87">
        <f t="shared" si="27"/>
        <v>0</v>
      </c>
      <c r="FF14" s="87">
        <f t="shared" si="28"/>
        <v>0</v>
      </c>
      <c r="FG14" s="87">
        <f t="shared" si="29"/>
        <v>0</v>
      </c>
      <c r="FH14" s="87">
        <f t="shared" si="30"/>
        <v>0</v>
      </c>
      <c r="FI14" s="87">
        <f t="shared" si="31"/>
        <v>0</v>
      </c>
      <c r="FJ14" s="87">
        <f t="shared" si="32"/>
        <v>0</v>
      </c>
      <c r="FK14" s="87">
        <f t="shared" si="33"/>
        <v>0</v>
      </c>
      <c r="FL14" s="87">
        <f t="shared" si="34"/>
        <v>0</v>
      </c>
      <c r="FM14" s="87">
        <f t="shared" si="35"/>
        <v>0</v>
      </c>
      <c r="FN14" s="87">
        <f t="shared" si="36"/>
        <v>0</v>
      </c>
      <c r="FO14" s="87">
        <f t="shared" si="37"/>
        <v>0</v>
      </c>
      <c r="FP14" s="87">
        <f t="shared" si="38"/>
        <v>0</v>
      </c>
      <c r="FQ14" s="87">
        <f t="shared" si="39"/>
        <v>0</v>
      </c>
      <c r="FR14" s="87">
        <f t="shared" si="40"/>
        <v>0</v>
      </c>
      <c r="FS14" s="87">
        <f t="shared" si="41"/>
        <v>0</v>
      </c>
      <c r="FT14" s="87">
        <f t="shared" si="42"/>
        <v>0</v>
      </c>
      <c r="FU14" s="87">
        <f t="shared" si="43"/>
        <v>0</v>
      </c>
      <c r="FV14" s="87">
        <f t="shared" si="44"/>
        <v>0</v>
      </c>
      <c r="FW14" s="87">
        <f t="shared" si="45"/>
        <v>0</v>
      </c>
      <c r="FX14" s="87">
        <f t="shared" si="46"/>
        <v>0</v>
      </c>
      <c r="FY14" s="87">
        <f t="shared" si="47"/>
        <v>0</v>
      </c>
      <c r="FZ14" s="87">
        <f t="shared" si="48"/>
        <v>0</v>
      </c>
      <c r="GA14" s="87">
        <f t="shared" si="49"/>
        <v>0</v>
      </c>
      <c r="GB14" s="87">
        <f t="shared" si="50"/>
        <v>0</v>
      </c>
      <c r="GC14" s="87">
        <f t="shared" si="51"/>
        <v>0</v>
      </c>
      <c r="GD14" s="87">
        <f t="shared" si="52"/>
        <v>0</v>
      </c>
    </row>
    <row r="15" spans="1:186" ht="16.5" x14ac:dyDescent="0.2">
      <c r="K15" s="86">
        <v>11</v>
      </c>
      <c r="L15" s="86">
        <v>3</v>
      </c>
      <c r="M15" s="86">
        <v>3</v>
      </c>
      <c r="N15" s="86" t="str">
        <f t="shared" si="3"/>
        <v>神器3-3</v>
      </c>
      <c r="O15" s="86">
        <v>2</v>
      </c>
      <c r="P15" s="14">
        <f t="shared" si="4"/>
        <v>60</v>
      </c>
      <c r="Q15" s="88">
        <v>0.16</v>
      </c>
      <c r="R15" s="14">
        <v>1</v>
      </c>
      <c r="S15" s="14">
        <v>2</v>
      </c>
      <c r="T15" s="88">
        <v>0.16</v>
      </c>
      <c r="U15" s="14">
        <v>1</v>
      </c>
      <c r="V15" s="14">
        <v>3</v>
      </c>
      <c r="W15" s="88">
        <v>0.16</v>
      </c>
      <c r="X15" s="14">
        <v>2</v>
      </c>
      <c r="Y15" s="14">
        <v>4</v>
      </c>
      <c r="AB15" s="86">
        <v>10</v>
      </c>
      <c r="AC15" s="86">
        <v>5</v>
      </c>
      <c r="AD15" s="86">
        <f>SUM(AC$6:AC15)</f>
        <v>23</v>
      </c>
      <c r="AM15" s="89"/>
      <c r="AO15" s="86">
        <v>2</v>
      </c>
      <c r="AP15" s="86">
        <v>8</v>
      </c>
      <c r="AQ15" s="86">
        <v>2</v>
      </c>
      <c r="AR15" s="86">
        <v>1</v>
      </c>
      <c r="AS15" s="86" t="s">
        <v>314</v>
      </c>
      <c r="AT15" s="21">
        <f t="shared" si="0"/>
        <v>4.8000000000000001E-2</v>
      </c>
      <c r="AU15" s="86">
        <f t="shared" si="5"/>
        <v>1</v>
      </c>
      <c r="AV15" s="86">
        <f t="shared" si="6"/>
        <v>1</v>
      </c>
      <c r="AW15" s="87">
        <f t="shared" si="7"/>
        <v>4.8000000000000001E-2</v>
      </c>
      <c r="AX15" s="86">
        <f t="shared" si="8"/>
        <v>5.04</v>
      </c>
      <c r="BA15" s="86">
        <v>11</v>
      </c>
      <c r="BB15" s="14" t="e">
        <f>INDEX(节奏总表!#REF!,神器!BA15)</f>
        <v>#REF!</v>
      </c>
      <c r="BC15" s="14" t="e">
        <f t="shared" si="9"/>
        <v>#REF!</v>
      </c>
      <c r="BD15" s="14">
        <v>5</v>
      </c>
      <c r="BE15" s="14">
        <v>3</v>
      </c>
      <c r="BF15" s="14">
        <f t="shared" si="10"/>
        <v>0</v>
      </c>
      <c r="BG15" s="14">
        <f t="shared" si="10"/>
        <v>0</v>
      </c>
      <c r="BH15" s="14">
        <f t="shared" si="10"/>
        <v>0</v>
      </c>
      <c r="BI15" s="14">
        <f t="shared" si="10"/>
        <v>0</v>
      </c>
      <c r="BJ15" s="14">
        <f t="shared" si="10"/>
        <v>0</v>
      </c>
      <c r="BK15" s="14">
        <f t="shared" si="10"/>
        <v>0</v>
      </c>
      <c r="BL15" s="14">
        <f t="shared" si="10"/>
        <v>0</v>
      </c>
      <c r="BM15" s="14">
        <f t="shared" si="10"/>
        <v>0</v>
      </c>
      <c r="BN15" s="14">
        <f t="shared" si="10"/>
        <v>0</v>
      </c>
      <c r="BO15" s="14">
        <f t="shared" si="10"/>
        <v>0</v>
      </c>
      <c r="BP15" s="14">
        <f t="shared" si="10"/>
        <v>0</v>
      </c>
      <c r="BQ15" s="14">
        <f t="shared" si="10"/>
        <v>0</v>
      </c>
      <c r="BR15" s="14">
        <f t="shared" si="10"/>
        <v>0</v>
      </c>
      <c r="BS15" s="14">
        <f t="shared" si="10"/>
        <v>0</v>
      </c>
      <c r="BT15" s="14">
        <f t="shared" si="10"/>
        <v>0</v>
      </c>
      <c r="BU15" s="14">
        <f t="shared" si="10"/>
        <v>0</v>
      </c>
      <c r="BV15" s="14">
        <f t="shared" si="54"/>
        <v>0</v>
      </c>
      <c r="BW15" s="14">
        <f t="shared" si="54"/>
        <v>0</v>
      </c>
      <c r="BX15" s="14">
        <f t="shared" si="54"/>
        <v>0</v>
      </c>
      <c r="BY15" s="14">
        <f t="shared" si="54"/>
        <v>0</v>
      </c>
      <c r="BZ15" s="14">
        <f t="shared" si="54"/>
        <v>0</v>
      </c>
      <c r="CA15" s="14">
        <f t="shared" si="54"/>
        <v>0</v>
      </c>
      <c r="CB15" s="14">
        <f t="shared" si="54"/>
        <v>0</v>
      </c>
      <c r="CC15" s="14">
        <f t="shared" si="54"/>
        <v>0</v>
      </c>
      <c r="CD15" s="14">
        <f t="shared" si="54"/>
        <v>0</v>
      </c>
      <c r="CE15" s="14">
        <f t="shared" si="54"/>
        <v>0</v>
      </c>
      <c r="CF15" s="14">
        <f t="shared" si="55"/>
        <v>0</v>
      </c>
      <c r="CG15" s="14">
        <f t="shared" si="55"/>
        <v>0</v>
      </c>
      <c r="CH15" s="14">
        <f t="shared" si="55"/>
        <v>0</v>
      </c>
      <c r="CI15" s="14">
        <f t="shared" si="55"/>
        <v>0</v>
      </c>
      <c r="CJ15" s="14">
        <f t="shared" si="55"/>
        <v>0</v>
      </c>
      <c r="CK15" s="14">
        <f t="shared" si="55"/>
        <v>0</v>
      </c>
      <c r="CL15" s="14">
        <f t="shared" si="55"/>
        <v>0</v>
      </c>
      <c r="CM15" s="14">
        <f t="shared" si="55"/>
        <v>0</v>
      </c>
      <c r="CN15" s="14">
        <f t="shared" si="55"/>
        <v>0</v>
      </c>
      <c r="CO15" s="14">
        <f t="shared" si="55"/>
        <v>0</v>
      </c>
      <c r="CP15" s="14">
        <f t="shared" si="55"/>
        <v>0</v>
      </c>
      <c r="CQ15" s="14">
        <f t="shared" si="55"/>
        <v>0</v>
      </c>
      <c r="CR15" s="14">
        <f t="shared" si="55"/>
        <v>0</v>
      </c>
      <c r="CS15" s="14">
        <f t="shared" si="55"/>
        <v>0</v>
      </c>
      <c r="CT15" s="14">
        <f t="shared" si="55"/>
        <v>0</v>
      </c>
      <c r="CU15" s="14">
        <f t="shared" si="55"/>
        <v>0</v>
      </c>
      <c r="CW15" s="14">
        <f>SUM(BF$5:BF15)</f>
        <v>0</v>
      </c>
      <c r="CX15" s="14">
        <f>SUM(BG$5:BG15)</f>
        <v>0</v>
      </c>
      <c r="CY15" s="14">
        <f>SUM(BH$5:BH15)</f>
        <v>0</v>
      </c>
      <c r="CZ15" s="14">
        <f>SUM(BI$5:BI15)</f>
        <v>0</v>
      </c>
      <c r="DA15" s="14">
        <f>SUM(BJ$5:BJ15)</f>
        <v>0</v>
      </c>
      <c r="DB15" s="14">
        <f>SUM(BK$5:BK15)</f>
        <v>0</v>
      </c>
      <c r="DC15" s="14">
        <f>SUM(BL$5:BL15)</f>
        <v>0</v>
      </c>
      <c r="DD15" s="14">
        <f>SUM(BM$5:BM15)</f>
        <v>0</v>
      </c>
      <c r="DE15" s="14">
        <f>SUM(BN$5:BN15)</f>
        <v>0</v>
      </c>
      <c r="DF15" s="14">
        <f>SUM(BO$5:BO15)</f>
        <v>0</v>
      </c>
      <c r="DG15" s="14">
        <f>SUM(BP$5:BP15)</f>
        <v>0</v>
      </c>
      <c r="DH15" s="14">
        <f>SUM(BQ$5:BQ15)</f>
        <v>0</v>
      </c>
      <c r="DI15" s="14">
        <f>SUM(BR$5:BR15)</f>
        <v>0</v>
      </c>
      <c r="DJ15" s="14">
        <f>SUM(BS$5:BS15)</f>
        <v>0</v>
      </c>
      <c r="DK15" s="14">
        <f>SUM(BT$5:BT15)</f>
        <v>0</v>
      </c>
      <c r="DL15" s="14">
        <f>SUM(BU$5:BU15)</f>
        <v>0</v>
      </c>
      <c r="DM15" s="14">
        <f>SUM(BV$5:BV15)</f>
        <v>0</v>
      </c>
      <c r="DN15" s="14">
        <f>SUM(BW$5:BW15)</f>
        <v>0</v>
      </c>
      <c r="DO15" s="14">
        <f>SUM(BX$5:BX15)</f>
        <v>0</v>
      </c>
      <c r="DP15" s="14">
        <f>SUM(BY$5:BY15)</f>
        <v>0</v>
      </c>
      <c r="DQ15" s="14">
        <f>SUM(BZ$5:BZ15)</f>
        <v>0</v>
      </c>
      <c r="DR15" s="14">
        <f>SUM(CA$5:CA15)</f>
        <v>0</v>
      </c>
      <c r="DS15" s="14">
        <f>SUM(CB$5:CB15)</f>
        <v>0</v>
      </c>
      <c r="DT15" s="14">
        <f>SUM(CC$5:CC15)</f>
        <v>0</v>
      </c>
      <c r="DU15" s="14">
        <f>SUM(CD$5:CD15)</f>
        <v>0</v>
      </c>
      <c r="DV15" s="14">
        <f>SUM(CE$5:CE15)</f>
        <v>0</v>
      </c>
      <c r="DW15" s="14">
        <f>SUM(CF$5:CF15)</f>
        <v>0</v>
      </c>
      <c r="DX15" s="14">
        <f>SUM(CG$5:CG15)</f>
        <v>0</v>
      </c>
      <c r="DY15" s="14">
        <f>SUM(CH$5:CH15)</f>
        <v>0</v>
      </c>
      <c r="DZ15" s="14">
        <f>SUM(CI$5:CI15)</f>
        <v>0</v>
      </c>
      <c r="EA15" s="14">
        <f>SUM(CJ$5:CJ15)</f>
        <v>0</v>
      </c>
      <c r="EB15" s="14">
        <f>SUM(CK$5:CK15)</f>
        <v>0</v>
      </c>
      <c r="EC15" s="14">
        <f>SUM(CL$5:CL15)</f>
        <v>0</v>
      </c>
      <c r="ED15" s="14">
        <f>SUM(CM$5:CM15)</f>
        <v>0</v>
      </c>
      <c r="EE15" s="14">
        <f>SUM(CN$5:CN15)</f>
        <v>0</v>
      </c>
      <c r="EF15" s="14">
        <f>SUM(CO$5:CO15)</f>
        <v>0</v>
      </c>
      <c r="EG15" s="14">
        <f>SUM(CP$5:CP15)</f>
        <v>0</v>
      </c>
      <c r="EH15" s="14">
        <f>SUM(CQ$5:CQ15)</f>
        <v>0</v>
      </c>
      <c r="EI15" s="14">
        <f>SUM(CR$5:CR15)</f>
        <v>0</v>
      </c>
      <c r="EJ15" s="14">
        <f>SUM(CS$5:CS15)</f>
        <v>0</v>
      </c>
      <c r="EK15" s="14">
        <f>SUM(CT$5:CT15)</f>
        <v>0</v>
      </c>
      <c r="EL15" s="14">
        <f>SUM(CU$5:CU15)</f>
        <v>0</v>
      </c>
      <c r="EO15" s="87">
        <f t="shared" si="11"/>
        <v>0</v>
      </c>
      <c r="EP15" s="87">
        <f t="shared" si="12"/>
        <v>0</v>
      </c>
      <c r="EQ15" s="87">
        <f t="shared" si="13"/>
        <v>0</v>
      </c>
      <c r="ER15" s="87">
        <f t="shared" si="14"/>
        <v>0</v>
      </c>
      <c r="ES15" s="87">
        <f t="shared" si="15"/>
        <v>0</v>
      </c>
      <c r="ET15" s="87">
        <f t="shared" si="16"/>
        <v>0</v>
      </c>
      <c r="EU15" s="87">
        <f t="shared" si="17"/>
        <v>0</v>
      </c>
      <c r="EV15" s="87">
        <f t="shared" si="18"/>
        <v>0</v>
      </c>
      <c r="EW15" s="87">
        <f t="shared" si="19"/>
        <v>0</v>
      </c>
      <c r="EX15" s="87">
        <f t="shared" si="20"/>
        <v>0</v>
      </c>
      <c r="EY15" s="87">
        <f t="shared" si="21"/>
        <v>0</v>
      </c>
      <c r="EZ15" s="87">
        <f t="shared" si="22"/>
        <v>0</v>
      </c>
      <c r="FA15" s="87">
        <f t="shared" si="23"/>
        <v>0</v>
      </c>
      <c r="FB15" s="87">
        <f t="shared" si="24"/>
        <v>0</v>
      </c>
      <c r="FC15" s="87">
        <f t="shared" si="25"/>
        <v>0</v>
      </c>
      <c r="FD15" s="87">
        <f t="shared" si="26"/>
        <v>0</v>
      </c>
      <c r="FE15" s="87">
        <f t="shared" si="27"/>
        <v>0</v>
      </c>
      <c r="FF15" s="87">
        <f t="shared" si="28"/>
        <v>0</v>
      </c>
      <c r="FG15" s="87">
        <f t="shared" si="29"/>
        <v>0</v>
      </c>
      <c r="FH15" s="87">
        <f t="shared" si="30"/>
        <v>0</v>
      </c>
      <c r="FI15" s="87">
        <f t="shared" si="31"/>
        <v>0</v>
      </c>
      <c r="FJ15" s="87">
        <f t="shared" si="32"/>
        <v>0</v>
      </c>
      <c r="FK15" s="87">
        <f t="shared" si="33"/>
        <v>0</v>
      </c>
      <c r="FL15" s="87">
        <f t="shared" si="34"/>
        <v>0</v>
      </c>
      <c r="FM15" s="87">
        <f t="shared" si="35"/>
        <v>0</v>
      </c>
      <c r="FN15" s="87">
        <f t="shared" si="36"/>
        <v>0</v>
      </c>
      <c r="FO15" s="87">
        <f t="shared" si="37"/>
        <v>0</v>
      </c>
      <c r="FP15" s="87">
        <f t="shared" si="38"/>
        <v>0</v>
      </c>
      <c r="FQ15" s="87">
        <f t="shared" si="39"/>
        <v>0</v>
      </c>
      <c r="FR15" s="87">
        <f t="shared" si="40"/>
        <v>0</v>
      </c>
      <c r="FS15" s="87">
        <f t="shared" si="41"/>
        <v>0</v>
      </c>
      <c r="FT15" s="87">
        <f t="shared" si="42"/>
        <v>0</v>
      </c>
      <c r="FU15" s="87">
        <f t="shared" si="43"/>
        <v>0</v>
      </c>
      <c r="FV15" s="87">
        <f t="shared" si="44"/>
        <v>0</v>
      </c>
      <c r="FW15" s="87">
        <f t="shared" si="45"/>
        <v>0</v>
      </c>
      <c r="FX15" s="87">
        <f t="shared" si="46"/>
        <v>0</v>
      </c>
      <c r="FY15" s="87">
        <f t="shared" si="47"/>
        <v>0</v>
      </c>
      <c r="FZ15" s="87">
        <f t="shared" si="48"/>
        <v>0</v>
      </c>
      <c r="GA15" s="87">
        <f t="shared" si="49"/>
        <v>0</v>
      </c>
      <c r="GB15" s="87">
        <f t="shared" si="50"/>
        <v>0</v>
      </c>
      <c r="GC15" s="87">
        <f t="shared" si="51"/>
        <v>0</v>
      </c>
      <c r="GD15" s="87">
        <f t="shared" si="52"/>
        <v>0</v>
      </c>
    </row>
    <row r="16" spans="1:186" ht="16.5" x14ac:dyDescent="0.2">
      <c r="K16" s="86">
        <v>12</v>
      </c>
      <c r="L16" s="86">
        <v>3</v>
      </c>
      <c r="M16" s="86">
        <v>4</v>
      </c>
      <c r="N16" s="86" t="str">
        <f t="shared" si="3"/>
        <v>神器3-4</v>
      </c>
      <c r="O16" s="86">
        <v>2</v>
      </c>
      <c r="P16" s="14">
        <f t="shared" si="4"/>
        <v>60</v>
      </c>
      <c r="Q16" s="88">
        <v>0.16</v>
      </c>
      <c r="R16" s="14">
        <v>1</v>
      </c>
      <c r="S16" s="14">
        <v>2</v>
      </c>
      <c r="T16" s="88">
        <v>0.16</v>
      </c>
      <c r="U16" s="14">
        <v>1</v>
      </c>
      <c r="V16" s="14">
        <v>3</v>
      </c>
      <c r="W16" s="88">
        <v>0.16</v>
      </c>
      <c r="X16" s="14">
        <v>2</v>
      </c>
      <c r="Y16" s="14">
        <v>4</v>
      </c>
      <c r="AB16" s="86">
        <v>11</v>
      </c>
      <c r="AC16" s="86">
        <v>5</v>
      </c>
      <c r="AD16" s="86">
        <f>SUM(AC$6:AC16)</f>
        <v>28</v>
      </c>
      <c r="AO16" s="48">
        <v>3</v>
      </c>
      <c r="AP16" s="86">
        <v>1</v>
      </c>
      <c r="AQ16" s="86">
        <v>1</v>
      </c>
      <c r="AR16" s="48">
        <v>3</v>
      </c>
      <c r="AS16" s="86" t="s">
        <v>307</v>
      </c>
      <c r="AT16" s="21">
        <f t="shared" si="0"/>
        <v>0.1925</v>
      </c>
      <c r="AU16" s="86">
        <f t="shared" si="5"/>
        <v>3</v>
      </c>
      <c r="AV16" s="86">
        <f t="shared" si="6"/>
        <v>5</v>
      </c>
      <c r="AW16" s="87">
        <f t="shared" si="7"/>
        <v>0.77</v>
      </c>
      <c r="AX16" s="86">
        <f t="shared" si="8"/>
        <v>7.7</v>
      </c>
      <c r="BA16" s="86">
        <v>12</v>
      </c>
      <c r="BB16" s="14" t="e">
        <f>INDEX(节奏总表!#REF!,神器!BA16)</f>
        <v>#REF!</v>
      </c>
      <c r="BC16" s="14" t="e">
        <f t="shared" si="9"/>
        <v>#REF!</v>
      </c>
      <c r="BD16" s="14">
        <v>5</v>
      </c>
      <c r="BE16" s="14">
        <v>3</v>
      </c>
      <c r="BF16" s="14">
        <f t="shared" si="10"/>
        <v>0</v>
      </c>
      <c r="BG16" s="14">
        <f t="shared" si="10"/>
        <v>0</v>
      </c>
      <c r="BH16" s="14">
        <f t="shared" si="10"/>
        <v>0</v>
      </c>
      <c r="BI16" s="14">
        <f t="shared" si="10"/>
        <v>0</v>
      </c>
      <c r="BJ16" s="14">
        <f t="shared" si="10"/>
        <v>0</v>
      </c>
      <c r="BK16" s="14">
        <f t="shared" si="10"/>
        <v>0</v>
      </c>
      <c r="BL16" s="14">
        <f t="shared" si="10"/>
        <v>0</v>
      </c>
      <c r="BM16" s="14">
        <f t="shared" si="10"/>
        <v>0</v>
      </c>
      <c r="BN16" s="14">
        <f t="shared" si="10"/>
        <v>0</v>
      </c>
      <c r="BO16" s="14">
        <f t="shared" si="10"/>
        <v>0</v>
      </c>
      <c r="BP16" s="14">
        <f t="shared" si="10"/>
        <v>0</v>
      </c>
      <c r="BQ16" s="14">
        <f t="shared" si="10"/>
        <v>0</v>
      </c>
      <c r="BR16" s="14">
        <f t="shared" si="10"/>
        <v>0</v>
      </c>
      <c r="BS16" s="14">
        <f t="shared" si="10"/>
        <v>0</v>
      </c>
      <c r="BT16" s="14">
        <f t="shared" si="10"/>
        <v>0</v>
      </c>
      <c r="BU16" s="14">
        <f t="shared" si="10"/>
        <v>0</v>
      </c>
      <c r="BV16" s="14">
        <f t="shared" si="54"/>
        <v>0</v>
      </c>
      <c r="BW16" s="14">
        <f t="shared" si="54"/>
        <v>0</v>
      </c>
      <c r="BX16" s="14">
        <f t="shared" si="54"/>
        <v>0</v>
      </c>
      <c r="BY16" s="14">
        <f t="shared" si="54"/>
        <v>0</v>
      </c>
      <c r="BZ16" s="14">
        <f t="shared" si="54"/>
        <v>0</v>
      </c>
      <c r="CA16" s="14">
        <f t="shared" si="54"/>
        <v>0</v>
      </c>
      <c r="CB16" s="14">
        <f t="shared" si="54"/>
        <v>0</v>
      </c>
      <c r="CC16" s="14">
        <f t="shared" si="54"/>
        <v>0</v>
      </c>
      <c r="CD16" s="14">
        <f t="shared" si="54"/>
        <v>0</v>
      </c>
      <c r="CE16" s="14">
        <f t="shared" si="54"/>
        <v>0</v>
      </c>
      <c r="CF16" s="14">
        <f t="shared" si="55"/>
        <v>0</v>
      </c>
      <c r="CG16" s="14">
        <f t="shared" si="55"/>
        <v>0</v>
      </c>
      <c r="CH16" s="14">
        <f t="shared" si="55"/>
        <v>0</v>
      </c>
      <c r="CI16" s="14">
        <f t="shared" si="55"/>
        <v>0</v>
      </c>
      <c r="CJ16" s="14">
        <f t="shared" si="55"/>
        <v>0</v>
      </c>
      <c r="CK16" s="14">
        <f t="shared" si="55"/>
        <v>0</v>
      </c>
      <c r="CL16" s="14">
        <f t="shared" si="55"/>
        <v>0</v>
      </c>
      <c r="CM16" s="14">
        <f t="shared" si="55"/>
        <v>0</v>
      </c>
      <c r="CN16" s="14">
        <f t="shared" si="55"/>
        <v>0</v>
      </c>
      <c r="CO16" s="14">
        <f t="shared" si="55"/>
        <v>0</v>
      </c>
      <c r="CP16" s="14">
        <f t="shared" si="55"/>
        <v>0</v>
      </c>
      <c r="CQ16" s="14">
        <f t="shared" si="55"/>
        <v>0</v>
      </c>
      <c r="CR16" s="14">
        <f t="shared" si="55"/>
        <v>0</v>
      </c>
      <c r="CS16" s="14">
        <f t="shared" si="55"/>
        <v>0</v>
      </c>
      <c r="CT16" s="14">
        <f t="shared" si="55"/>
        <v>0</v>
      </c>
      <c r="CU16" s="14">
        <f t="shared" si="55"/>
        <v>0</v>
      </c>
      <c r="CW16" s="14">
        <f>SUM(BF$5:BF16)</f>
        <v>0</v>
      </c>
      <c r="CX16" s="14">
        <f>SUM(BG$5:BG16)</f>
        <v>0</v>
      </c>
      <c r="CY16" s="14">
        <f>SUM(BH$5:BH16)</f>
        <v>0</v>
      </c>
      <c r="CZ16" s="14">
        <f>SUM(BI$5:BI16)</f>
        <v>0</v>
      </c>
      <c r="DA16" s="14">
        <f>SUM(BJ$5:BJ16)</f>
        <v>0</v>
      </c>
      <c r="DB16" s="14">
        <f>SUM(BK$5:BK16)</f>
        <v>0</v>
      </c>
      <c r="DC16" s="14">
        <f>SUM(BL$5:BL16)</f>
        <v>0</v>
      </c>
      <c r="DD16" s="14">
        <f>SUM(BM$5:BM16)</f>
        <v>0</v>
      </c>
      <c r="DE16" s="14">
        <f>SUM(BN$5:BN16)</f>
        <v>0</v>
      </c>
      <c r="DF16" s="14">
        <f>SUM(BO$5:BO16)</f>
        <v>0</v>
      </c>
      <c r="DG16" s="14">
        <f>SUM(BP$5:BP16)</f>
        <v>0</v>
      </c>
      <c r="DH16" s="14">
        <f>SUM(BQ$5:BQ16)</f>
        <v>0</v>
      </c>
      <c r="DI16" s="14">
        <f>SUM(BR$5:BR16)</f>
        <v>0</v>
      </c>
      <c r="DJ16" s="14">
        <f>SUM(BS$5:BS16)</f>
        <v>0</v>
      </c>
      <c r="DK16" s="14">
        <f>SUM(BT$5:BT16)</f>
        <v>0</v>
      </c>
      <c r="DL16" s="14">
        <f>SUM(BU$5:BU16)</f>
        <v>0</v>
      </c>
      <c r="DM16" s="14">
        <f>SUM(BV$5:BV16)</f>
        <v>0</v>
      </c>
      <c r="DN16" s="14">
        <f>SUM(BW$5:BW16)</f>
        <v>0</v>
      </c>
      <c r="DO16" s="14">
        <f>SUM(BX$5:BX16)</f>
        <v>0</v>
      </c>
      <c r="DP16" s="14">
        <f>SUM(BY$5:BY16)</f>
        <v>0</v>
      </c>
      <c r="DQ16" s="14">
        <f>SUM(BZ$5:BZ16)</f>
        <v>0</v>
      </c>
      <c r="DR16" s="14">
        <f>SUM(CA$5:CA16)</f>
        <v>0</v>
      </c>
      <c r="DS16" s="14">
        <f>SUM(CB$5:CB16)</f>
        <v>0</v>
      </c>
      <c r="DT16" s="14">
        <f>SUM(CC$5:CC16)</f>
        <v>0</v>
      </c>
      <c r="DU16" s="14">
        <f>SUM(CD$5:CD16)</f>
        <v>0</v>
      </c>
      <c r="DV16" s="14">
        <f>SUM(CE$5:CE16)</f>
        <v>0</v>
      </c>
      <c r="DW16" s="14">
        <f>SUM(CF$5:CF16)</f>
        <v>0</v>
      </c>
      <c r="DX16" s="14">
        <f>SUM(CG$5:CG16)</f>
        <v>0</v>
      </c>
      <c r="DY16" s="14">
        <f>SUM(CH$5:CH16)</f>
        <v>0</v>
      </c>
      <c r="DZ16" s="14">
        <f>SUM(CI$5:CI16)</f>
        <v>0</v>
      </c>
      <c r="EA16" s="14">
        <f>SUM(CJ$5:CJ16)</f>
        <v>0</v>
      </c>
      <c r="EB16" s="14">
        <f>SUM(CK$5:CK16)</f>
        <v>0</v>
      </c>
      <c r="EC16" s="14">
        <f>SUM(CL$5:CL16)</f>
        <v>0</v>
      </c>
      <c r="ED16" s="14">
        <f>SUM(CM$5:CM16)</f>
        <v>0</v>
      </c>
      <c r="EE16" s="14">
        <f>SUM(CN$5:CN16)</f>
        <v>0</v>
      </c>
      <c r="EF16" s="14">
        <f>SUM(CO$5:CO16)</f>
        <v>0</v>
      </c>
      <c r="EG16" s="14">
        <f>SUM(CP$5:CP16)</f>
        <v>0</v>
      </c>
      <c r="EH16" s="14">
        <f>SUM(CQ$5:CQ16)</f>
        <v>0</v>
      </c>
      <c r="EI16" s="14">
        <f>SUM(CR$5:CR16)</f>
        <v>0</v>
      </c>
      <c r="EJ16" s="14">
        <f>SUM(CS$5:CS16)</f>
        <v>0</v>
      </c>
      <c r="EK16" s="14">
        <f>SUM(CT$5:CT16)</f>
        <v>0</v>
      </c>
      <c r="EL16" s="14">
        <f>SUM(CU$5:CU16)</f>
        <v>0</v>
      </c>
      <c r="EO16" s="87">
        <f t="shared" si="11"/>
        <v>0</v>
      </c>
      <c r="EP16" s="87">
        <f t="shared" si="12"/>
        <v>0</v>
      </c>
      <c r="EQ16" s="87">
        <f t="shared" si="13"/>
        <v>0</v>
      </c>
      <c r="ER16" s="87">
        <f t="shared" si="14"/>
        <v>0</v>
      </c>
      <c r="ES16" s="87">
        <f t="shared" si="15"/>
        <v>0</v>
      </c>
      <c r="ET16" s="87">
        <f t="shared" si="16"/>
        <v>0</v>
      </c>
      <c r="EU16" s="87">
        <f t="shared" si="17"/>
        <v>0</v>
      </c>
      <c r="EV16" s="87">
        <f t="shared" si="18"/>
        <v>0</v>
      </c>
      <c r="EW16" s="87">
        <f t="shared" si="19"/>
        <v>0</v>
      </c>
      <c r="EX16" s="87">
        <f t="shared" si="20"/>
        <v>0</v>
      </c>
      <c r="EY16" s="87">
        <f t="shared" si="21"/>
        <v>0</v>
      </c>
      <c r="EZ16" s="87">
        <f t="shared" si="22"/>
        <v>0</v>
      </c>
      <c r="FA16" s="87">
        <f t="shared" si="23"/>
        <v>0</v>
      </c>
      <c r="FB16" s="87">
        <f t="shared" si="24"/>
        <v>0</v>
      </c>
      <c r="FC16" s="87">
        <f t="shared" si="25"/>
        <v>0</v>
      </c>
      <c r="FD16" s="87">
        <f t="shared" si="26"/>
        <v>0</v>
      </c>
      <c r="FE16" s="87">
        <f t="shared" si="27"/>
        <v>0</v>
      </c>
      <c r="FF16" s="87">
        <f t="shared" si="28"/>
        <v>0</v>
      </c>
      <c r="FG16" s="87">
        <f t="shared" si="29"/>
        <v>0</v>
      </c>
      <c r="FH16" s="87">
        <f t="shared" si="30"/>
        <v>0</v>
      </c>
      <c r="FI16" s="87">
        <f t="shared" si="31"/>
        <v>0</v>
      </c>
      <c r="FJ16" s="87">
        <f t="shared" si="32"/>
        <v>0</v>
      </c>
      <c r="FK16" s="87">
        <f t="shared" si="33"/>
        <v>0</v>
      </c>
      <c r="FL16" s="87">
        <f t="shared" si="34"/>
        <v>0</v>
      </c>
      <c r="FM16" s="87">
        <f t="shared" si="35"/>
        <v>0</v>
      </c>
      <c r="FN16" s="87">
        <f t="shared" si="36"/>
        <v>0</v>
      </c>
      <c r="FO16" s="87">
        <f t="shared" si="37"/>
        <v>0</v>
      </c>
      <c r="FP16" s="87">
        <f t="shared" si="38"/>
        <v>0</v>
      </c>
      <c r="FQ16" s="87">
        <f t="shared" si="39"/>
        <v>0</v>
      </c>
      <c r="FR16" s="87">
        <f t="shared" si="40"/>
        <v>0</v>
      </c>
      <c r="FS16" s="87">
        <f t="shared" si="41"/>
        <v>0</v>
      </c>
      <c r="FT16" s="87">
        <f t="shared" si="42"/>
        <v>0</v>
      </c>
      <c r="FU16" s="87">
        <f t="shared" si="43"/>
        <v>0</v>
      </c>
      <c r="FV16" s="87">
        <f t="shared" si="44"/>
        <v>0</v>
      </c>
      <c r="FW16" s="87">
        <f t="shared" si="45"/>
        <v>0</v>
      </c>
      <c r="FX16" s="87">
        <f t="shared" si="46"/>
        <v>0</v>
      </c>
      <c r="FY16" s="87">
        <f t="shared" si="47"/>
        <v>0</v>
      </c>
      <c r="FZ16" s="87">
        <f t="shared" si="48"/>
        <v>0</v>
      </c>
      <c r="GA16" s="87">
        <f t="shared" si="49"/>
        <v>0</v>
      </c>
      <c r="GB16" s="87">
        <f t="shared" si="50"/>
        <v>0</v>
      </c>
      <c r="GC16" s="87">
        <f t="shared" si="51"/>
        <v>0</v>
      </c>
      <c r="GD16" s="87">
        <f t="shared" si="52"/>
        <v>0</v>
      </c>
    </row>
    <row r="17" spans="11:186" ht="16.5" x14ac:dyDescent="0.2">
      <c r="K17" s="86">
        <v>13</v>
      </c>
      <c r="L17" s="86">
        <v>3</v>
      </c>
      <c r="M17" s="86">
        <v>5</v>
      </c>
      <c r="N17" s="86" t="str">
        <f t="shared" si="3"/>
        <v>神器3-5</v>
      </c>
      <c r="O17" s="86">
        <v>3</v>
      </c>
      <c r="P17" s="14">
        <f t="shared" si="4"/>
        <v>140</v>
      </c>
      <c r="Q17" s="88">
        <v>0.12</v>
      </c>
      <c r="R17" s="14">
        <v>1</v>
      </c>
      <c r="S17" s="14">
        <v>1</v>
      </c>
      <c r="T17" s="88">
        <v>0.12</v>
      </c>
      <c r="U17" s="14">
        <v>1</v>
      </c>
      <c r="V17" s="14">
        <v>2</v>
      </c>
      <c r="W17" s="88">
        <v>0.12</v>
      </c>
      <c r="X17" s="14">
        <v>1</v>
      </c>
      <c r="Y17" s="14">
        <v>3</v>
      </c>
      <c r="AB17" s="86">
        <v>12</v>
      </c>
      <c r="AC17" s="86">
        <v>6</v>
      </c>
      <c r="AD17" s="86">
        <f>SUM(AC$6:AC17)</f>
        <v>34</v>
      </c>
      <c r="AO17" s="48">
        <v>3</v>
      </c>
      <c r="AP17" s="86">
        <v>2</v>
      </c>
      <c r="AQ17" s="86">
        <v>1</v>
      </c>
      <c r="AR17" s="48">
        <v>3</v>
      </c>
      <c r="AS17" s="86" t="s">
        <v>308</v>
      </c>
      <c r="AT17" s="21">
        <f t="shared" si="0"/>
        <v>0.1925</v>
      </c>
      <c r="AU17" s="86">
        <f t="shared" si="5"/>
        <v>3</v>
      </c>
      <c r="AV17" s="86">
        <f t="shared" si="6"/>
        <v>5</v>
      </c>
      <c r="AW17" s="87">
        <f t="shared" si="7"/>
        <v>0.77</v>
      </c>
      <c r="AX17" s="86">
        <f t="shared" si="8"/>
        <v>7.7</v>
      </c>
      <c r="BA17" s="86">
        <v>13</v>
      </c>
      <c r="BB17" s="14" t="e">
        <f>INDEX(节奏总表!#REF!,神器!BA17)</f>
        <v>#REF!</v>
      </c>
      <c r="BC17" s="14" t="e">
        <f t="shared" si="9"/>
        <v>#REF!</v>
      </c>
      <c r="BD17" s="14">
        <v>5</v>
      </c>
      <c r="BE17" s="14">
        <v>3</v>
      </c>
      <c r="BF17" s="14">
        <f t="shared" si="10"/>
        <v>0</v>
      </c>
      <c r="BG17" s="14">
        <f t="shared" si="10"/>
        <v>0</v>
      </c>
      <c r="BH17" s="14">
        <f t="shared" si="10"/>
        <v>0</v>
      </c>
      <c r="BI17" s="14">
        <f t="shared" si="10"/>
        <v>0</v>
      </c>
      <c r="BJ17" s="14">
        <f t="shared" si="10"/>
        <v>0</v>
      </c>
      <c r="BK17" s="14">
        <f t="shared" si="10"/>
        <v>0</v>
      </c>
      <c r="BL17" s="14">
        <f t="shared" si="10"/>
        <v>0</v>
      </c>
      <c r="BM17" s="14">
        <f t="shared" si="10"/>
        <v>0</v>
      </c>
      <c r="BN17" s="14">
        <f t="shared" si="10"/>
        <v>0</v>
      </c>
      <c r="BO17" s="14">
        <f t="shared" si="10"/>
        <v>0</v>
      </c>
      <c r="BP17" s="14">
        <f t="shared" si="10"/>
        <v>0</v>
      </c>
      <c r="BQ17" s="14">
        <f t="shared" si="10"/>
        <v>0</v>
      </c>
      <c r="BR17" s="14">
        <f t="shared" si="10"/>
        <v>0</v>
      </c>
      <c r="BS17" s="14">
        <f t="shared" si="10"/>
        <v>0</v>
      </c>
      <c r="BT17" s="14">
        <f t="shared" si="10"/>
        <v>0</v>
      </c>
      <c r="BU17" s="14">
        <f t="shared" si="10"/>
        <v>0</v>
      </c>
      <c r="BV17" s="14">
        <f t="shared" si="54"/>
        <v>0</v>
      </c>
      <c r="BW17" s="14">
        <f t="shared" si="54"/>
        <v>0</v>
      </c>
      <c r="BX17" s="14">
        <f t="shared" si="54"/>
        <v>0</v>
      </c>
      <c r="BY17" s="14">
        <f t="shared" si="54"/>
        <v>0</v>
      </c>
      <c r="BZ17" s="14">
        <f t="shared" si="54"/>
        <v>0</v>
      </c>
      <c r="CA17" s="14">
        <f t="shared" si="54"/>
        <v>0</v>
      </c>
      <c r="CB17" s="14">
        <f t="shared" si="54"/>
        <v>0</v>
      </c>
      <c r="CC17" s="14">
        <f t="shared" si="54"/>
        <v>0</v>
      </c>
      <c r="CD17" s="14">
        <f t="shared" si="54"/>
        <v>0</v>
      </c>
      <c r="CE17" s="14">
        <f t="shared" si="54"/>
        <v>0</v>
      </c>
      <c r="CF17" s="14">
        <f t="shared" si="55"/>
        <v>0</v>
      </c>
      <c r="CG17" s="14">
        <f t="shared" si="55"/>
        <v>0</v>
      </c>
      <c r="CH17" s="14">
        <f t="shared" si="55"/>
        <v>0</v>
      </c>
      <c r="CI17" s="14">
        <f t="shared" si="55"/>
        <v>0</v>
      </c>
      <c r="CJ17" s="14">
        <f t="shared" si="55"/>
        <v>0</v>
      </c>
      <c r="CK17" s="14">
        <f t="shared" si="55"/>
        <v>0</v>
      </c>
      <c r="CL17" s="14">
        <f t="shared" si="55"/>
        <v>0</v>
      </c>
      <c r="CM17" s="14">
        <f t="shared" si="55"/>
        <v>0</v>
      </c>
      <c r="CN17" s="14">
        <f t="shared" si="55"/>
        <v>0</v>
      </c>
      <c r="CO17" s="14">
        <f t="shared" si="55"/>
        <v>0</v>
      </c>
      <c r="CP17" s="14">
        <f t="shared" si="55"/>
        <v>0</v>
      </c>
      <c r="CQ17" s="14">
        <f t="shared" si="55"/>
        <v>0</v>
      </c>
      <c r="CR17" s="14">
        <f t="shared" si="55"/>
        <v>0</v>
      </c>
      <c r="CS17" s="14">
        <f t="shared" si="55"/>
        <v>0</v>
      </c>
      <c r="CT17" s="14">
        <f t="shared" si="55"/>
        <v>0</v>
      </c>
      <c r="CU17" s="14">
        <f t="shared" si="55"/>
        <v>0</v>
      </c>
      <c r="CW17" s="14">
        <f>SUM(BF$5:BF17)</f>
        <v>0</v>
      </c>
      <c r="CX17" s="14">
        <f>SUM(BG$5:BG17)</f>
        <v>0</v>
      </c>
      <c r="CY17" s="14">
        <f>SUM(BH$5:BH17)</f>
        <v>0</v>
      </c>
      <c r="CZ17" s="14">
        <f>SUM(BI$5:BI17)</f>
        <v>0</v>
      </c>
      <c r="DA17" s="14">
        <f>SUM(BJ$5:BJ17)</f>
        <v>0</v>
      </c>
      <c r="DB17" s="14">
        <f>SUM(BK$5:BK17)</f>
        <v>0</v>
      </c>
      <c r="DC17" s="14">
        <f>SUM(BL$5:BL17)</f>
        <v>0</v>
      </c>
      <c r="DD17" s="14">
        <f>SUM(BM$5:BM17)</f>
        <v>0</v>
      </c>
      <c r="DE17" s="14">
        <f>SUM(BN$5:BN17)</f>
        <v>0</v>
      </c>
      <c r="DF17" s="14">
        <f>SUM(BO$5:BO17)</f>
        <v>0</v>
      </c>
      <c r="DG17" s="14">
        <f>SUM(BP$5:BP17)</f>
        <v>0</v>
      </c>
      <c r="DH17" s="14">
        <f>SUM(BQ$5:BQ17)</f>
        <v>0</v>
      </c>
      <c r="DI17" s="14">
        <f>SUM(BR$5:BR17)</f>
        <v>0</v>
      </c>
      <c r="DJ17" s="14">
        <f>SUM(BS$5:BS17)</f>
        <v>0</v>
      </c>
      <c r="DK17" s="14">
        <f>SUM(BT$5:BT17)</f>
        <v>0</v>
      </c>
      <c r="DL17" s="14">
        <f>SUM(BU$5:BU17)</f>
        <v>0</v>
      </c>
      <c r="DM17" s="14">
        <f>SUM(BV$5:BV17)</f>
        <v>0</v>
      </c>
      <c r="DN17" s="14">
        <f>SUM(BW$5:BW17)</f>
        <v>0</v>
      </c>
      <c r="DO17" s="14">
        <f>SUM(BX$5:BX17)</f>
        <v>0</v>
      </c>
      <c r="DP17" s="14">
        <f>SUM(BY$5:BY17)</f>
        <v>0</v>
      </c>
      <c r="DQ17" s="14">
        <f>SUM(BZ$5:BZ17)</f>
        <v>0</v>
      </c>
      <c r="DR17" s="14">
        <f>SUM(CA$5:CA17)</f>
        <v>0</v>
      </c>
      <c r="DS17" s="14">
        <f>SUM(CB$5:CB17)</f>
        <v>0</v>
      </c>
      <c r="DT17" s="14">
        <f>SUM(CC$5:CC17)</f>
        <v>0</v>
      </c>
      <c r="DU17" s="14">
        <f>SUM(CD$5:CD17)</f>
        <v>0</v>
      </c>
      <c r="DV17" s="14">
        <f>SUM(CE$5:CE17)</f>
        <v>0</v>
      </c>
      <c r="DW17" s="14">
        <f>SUM(CF$5:CF17)</f>
        <v>0</v>
      </c>
      <c r="DX17" s="14">
        <f>SUM(CG$5:CG17)</f>
        <v>0</v>
      </c>
      <c r="DY17" s="14">
        <f>SUM(CH$5:CH17)</f>
        <v>0</v>
      </c>
      <c r="DZ17" s="14">
        <f>SUM(CI$5:CI17)</f>
        <v>0</v>
      </c>
      <c r="EA17" s="14">
        <f>SUM(CJ$5:CJ17)</f>
        <v>0</v>
      </c>
      <c r="EB17" s="14">
        <f>SUM(CK$5:CK17)</f>
        <v>0</v>
      </c>
      <c r="EC17" s="14">
        <f>SUM(CL$5:CL17)</f>
        <v>0</v>
      </c>
      <c r="ED17" s="14">
        <f>SUM(CM$5:CM17)</f>
        <v>0</v>
      </c>
      <c r="EE17" s="14">
        <f>SUM(CN$5:CN17)</f>
        <v>0</v>
      </c>
      <c r="EF17" s="14">
        <f>SUM(CO$5:CO17)</f>
        <v>0</v>
      </c>
      <c r="EG17" s="14">
        <f>SUM(CP$5:CP17)</f>
        <v>0</v>
      </c>
      <c r="EH17" s="14">
        <f>SUM(CQ$5:CQ17)</f>
        <v>0</v>
      </c>
      <c r="EI17" s="14">
        <f>SUM(CR$5:CR17)</f>
        <v>0</v>
      </c>
      <c r="EJ17" s="14">
        <f>SUM(CS$5:CS17)</f>
        <v>0</v>
      </c>
      <c r="EK17" s="14">
        <f>SUM(CT$5:CT17)</f>
        <v>0</v>
      </c>
      <c r="EL17" s="14">
        <f>SUM(CU$5:CU17)</f>
        <v>0</v>
      </c>
      <c r="EO17" s="87">
        <f t="shared" si="11"/>
        <v>0</v>
      </c>
      <c r="EP17" s="87">
        <f t="shared" si="12"/>
        <v>0</v>
      </c>
      <c r="EQ17" s="87">
        <f t="shared" si="13"/>
        <v>0</v>
      </c>
      <c r="ER17" s="87">
        <f t="shared" si="14"/>
        <v>0</v>
      </c>
      <c r="ES17" s="87">
        <f t="shared" si="15"/>
        <v>0</v>
      </c>
      <c r="ET17" s="87">
        <f t="shared" si="16"/>
        <v>0</v>
      </c>
      <c r="EU17" s="87">
        <f t="shared" si="17"/>
        <v>0</v>
      </c>
      <c r="EV17" s="87">
        <f t="shared" si="18"/>
        <v>0</v>
      </c>
      <c r="EW17" s="87">
        <f t="shared" si="19"/>
        <v>0</v>
      </c>
      <c r="EX17" s="87">
        <f t="shared" si="20"/>
        <v>0</v>
      </c>
      <c r="EY17" s="87">
        <f t="shared" si="21"/>
        <v>0</v>
      </c>
      <c r="EZ17" s="87">
        <f t="shared" si="22"/>
        <v>0</v>
      </c>
      <c r="FA17" s="87">
        <f t="shared" si="23"/>
        <v>0</v>
      </c>
      <c r="FB17" s="87">
        <f t="shared" si="24"/>
        <v>0</v>
      </c>
      <c r="FC17" s="87">
        <f t="shared" si="25"/>
        <v>0</v>
      </c>
      <c r="FD17" s="87">
        <f t="shared" si="26"/>
        <v>0</v>
      </c>
      <c r="FE17" s="87">
        <f t="shared" si="27"/>
        <v>0</v>
      </c>
      <c r="FF17" s="87">
        <f t="shared" si="28"/>
        <v>0</v>
      </c>
      <c r="FG17" s="87">
        <f t="shared" si="29"/>
        <v>0</v>
      </c>
      <c r="FH17" s="87">
        <f t="shared" si="30"/>
        <v>0</v>
      </c>
      <c r="FI17" s="87">
        <f t="shared" si="31"/>
        <v>0</v>
      </c>
      <c r="FJ17" s="87">
        <f t="shared" si="32"/>
        <v>0</v>
      </c>
      <c r="FK17" s="87">
        <f t="shared" si="33"/>
        <v>0</v>
      </c>
      <c r="FL17" s="87">
        <f t="shared" si="34"/>
        <v>0</v>
      </c>
      <c r="FM17" s="87">
        <f t="shared" si="35"/>
        <v>0</v>
      </c>
      <c r="FN17" s="87">
        <f t="shared" si="36"/>
        <v>0</v>
      </c>
      <c r="FO17" s="87">
        <f t="shared" si="37"/>
        <v>0</v>
      </c>
      <c r="FP17" s="87">
        <f t="shared" si="38"/>
        <v>0</v>
      </c>
      <c r="FQ17" s="87">
        <f t="shared" si="39"/>
        <v>0</v>
      </c>
      <c r="FR17" s="87">
        <f t="shared" si="40"/>
        <v>0</v>
      </c>
      <c r="FS17" s="87">
        <f t="shared" si="41"/>
        <v>0</v>
      </c>
      <c r="FT17" s="87">
        <f t="shared" si="42"/>
        <v>0</v>
      </c>
      <c r="FU17" s="87">
        <f t="shared" si="43"/>
        <v>0</v>
      </c>
      <c r="FV17" s="87">
        <f t="shared" si="44"/>
        <v>0</v>
      </c>
      <c r="FW17" s="87">
        <f t="shared" si="45"/>
        <v>0</v>
      </c>
      <c r="FX17" s="87">
        <f t="shared" si="46"/>
        <v>0</v>
      </c>
      <c r="FY17" s="87">
        <f t="shared" si="47"/>
        <v>0</v>
      </c>
      <c r="FZ17" s="87">
        <f t="shared" si="48"/>
        <v>0</v>
      </c>
      <c r="GA17" s="87">
        <f t="shared" si="49"/>
        <v>0</v>
      </c>
      <c r="GB17" s="87">
        <f t="shared" si="50"/>
        <v>0</v>
      </c>
      <c r="GC17" s="87">
        <f t="shared" si="51"/>
        <v>0</v>
      </c>
      <c r="GD17" s="87">
        <f t="shared" si="52"/>
        <v>0</v>
      </c>
    </row>
    <row r="18" spans="11:186" ht="16.5" x14ac:dyDescent="0.2">
      <c r="K18" s="86">
        <v>14</v>
      </c>
      <c r="L18" s="86">
        <v>3</v>
      </c>
      <c r="M18" s="86">
        <v>6</v>
      </c>
      <c r="N18" s="86" t="str">
        <f t="shared" si="3"/>
        <v>神器3-6</v>
      </c>
      <c r="O18" s="86">
        <v>4</v>
      </c>
      <c r="P18" s="14">
        <f t="shared" si="4"/>
        <v>300</v>
      </c>
      <c r="Q18" s="88">
        <v>0.06</v>
      </c>
      <c r="R18" s="14">
        <v>1</v>
      </c>
      <c r="S18" s="14">
        <v>1</v>
      </c>
      <c r="T18" s="88">
        <v>0.06</v>
      </c>
      <c r="U18" s="14">
        <v>1</v>
      </c>
      <c r="V18" s="14">
        <v>2</v>
      </c>
      <c r="W18" s="88">
        <v>0.06</v>
      </c>
      <c r="X18" s="14">
        <v>1</v>
      </c>
      <c r="Y18" s="14">
        <v>3</v>
      </c>
      <c r="AB18" s="86">
        <v>13</v>
      </c>
      <c r="AC18" s="86">
        <v>7</v>
      </c>
      <c r="AD18" s="86">
        <f>SUM(AC$6:AC18)</f>
        <v>41</v>
      </c>
      <c r="AO18" s="48">
        <v>3</v>
      </c>
      <c r="AP18" s="86">
        <v>3</v>
      </c>
      <c r="AQ18" s="86">
        <v>1</v>
      </c>
      <c r="AR18" s="48">
        <v>3</v>
      </c>
      <c r="AS18" s="86" t="s">
        <v>309</v>
      </c>
      <c r="AT18" s="21">
        <f t="shared" si="0"/>
        <v>0.16500000000000001</v>
      </c>
      <c r="AU18" s="86">
        <f t="shared" si="5"/>
        <v>2</v>
      </c>
      <c r="AV18" s="86">
        <f t="shared" si="6"/>
        <v>4</v>
      </c>
      <c r="AW18" s="87">
        <f t="shared" si="7"/>
        <v>0.495</v>
      </c>
      <c r="AX18" s="86">
        <f t="shared" si="8"/>
        <v>14.850000000000001</v>
      </c>
      <c r="BA18" s="86">
        <v>14</v>
      </c>
      <c r="BB18" s="14" t="e">
        <f>INDEX(节奏总表!#REF!,神器!BA18)</f>
        <v>#REF!</v>
      </c>
      <c r="BC18" s="14" t="e">
        <f t="shared" si="9"/>
        <v>#REF!</v>
      </c>
      <c r="BD18" s="14">
        <v>5</v>
      </c>
      <c r="BE18" s="14">
        <v>3</v>
      </c>
      <c r="BF18" s="14">
        <f t="shared" si="10"/>
        <v>0</v>
      </c>
      <c r="BG18" s="14">
        <f t="shared" si="10"/>
        <v>0</v>
      </c>
      <c r="BH18" s="14">
        <f t="shared" si="10"/>
        <v>0</v>
      </c>
      <c r="BI18" s="14">
        <f t="shared" si="10"/>
        <v>0</v>
      </c>
      <c r="BJ18" s="14">
        <f t="shared" si="10"/>
        <v>0</v>
      </c>
      <c r="BK18" s="14">
        <f t="shared" si="10"/>
        <v>0</v>
      </c>
      <c r="BL18" s="14">
        <f t="shared" si="10"/>
        <v>0</v>
      </c>
      <c r="BM18" s="14">
        <f t="shared" si="10"/>
        <v>0</v>
      </c>
      <c r="BN18" s="14">
        <f t="shared" si="10"/>
        <v>0</v>
      </c>
      <c r="BO18" s="14">
        <f t="shared" si="10"/>
        <v>0</v>
      </c>
      <c r="BP18" s="14">
        <f t="shared" si="10"/>
        <v>0</v>
      </c>
      <c r="BQ18" s="14">
        <f t="shared" si="10"/>
        <v>0</v>
      </c>
      <c r="BR18" s="14">
        <f t="shared" si="10"/>
        <v>0</v>
      </c>
      <c r="BS18" s="14">
        <f t="shared" si="10"/>
        <v>0</v>
      </c>
      <c r="BT18" s="14">
        <f t="shared" si="10"/>
        <v>0</v>
      </c>
      <c r="BU18" s="14">
        <f t="shared" si="10"/>
        <v>0</v>
      </c>
      <c r="BV18" s="14">
        <f t="shared" si="54"/>
        <v>0</v>
      </c>
      <c r="BW18" s="14">
        <f t="shared" si="54"/>
        <v>0</v>
      </c>
      <c r="BX18" s="14">
        <f t="shared" si="54"/>
        <v>0</v>
      </c>
      <c r="BY18" s="14">
        <f t="shared" si="54"/>
        <v>0</v>
      </c>
      <c r="BZ18" s="14">
        <f t="shared" si="54"/>
        <v>0</v>
      </c>
      <c r="CA18" s="14">
        <f t="shared" si="54"/>
        <v>0</v>
      </c>
      <c r="CB18" s="14">
        <f t="shared" si="54"/>
        <v>0</v>
      </c>
      <c r="CC18" s="14">
        <f t="shared" si="54"/>
        <v>0</v>
      </c>
      <c r="CD18" s="14">
        <f t="shared" si="54"/>
        <v>0</v>
      </c>
      <c r="CE18" s="14">
        <f t="shared" si="54"/>
        <v>0</v>
      </c>
      <c r="CF18" s="14">
        <f t="shared" si="55"/>
        <v>0</v>
      </c>
      <c r="CG18" s="14">
        <f t="shared" si="55"/>
        <v>0</v>
      </c>
      <c r="CH18" s="14">
        <f t="shared" si="55"/>
        <v>0</v>
      </c>
      <c r="CI18" s="14">
        <f t="shared" si="55"/>
        <v>0</v>
      </c>
      <c r="CJ18" s="14">
        <f t="shared" si="55"/>
        <v>0</v>
      </c>
      <c r="CK18" s="14">
        <f t="shared" si="55"/>
        <v>0</v>
      </c>
      <c r="CL18" s="14">
        <f t="shared" si="55"/>
        <v>0</v>
      </c>
      <c r="CM18" s="14">
        <f t="shared" si="55"/>
        <v>0</v>
      </c>
      <c r="CN18" s="14">
        <f t="shared" si="55"/>
        <v>0</v>
      </c>
      <c r="CO18" s="14">
        <f t="shared" si="55"/>
        <v>0</v>
      </c>
      <c r="CP18" s="14">
        <f t="shared" si="55"/>
        <v>0</v>
      </c>
      <c r="CQ18" s="14">
        <f t="shared" si="55"/>
        <v>0</v>
      </c>
      <c r="CR18" s="14">
        <f t="shared" si="55"/>
        <v>0</v>
      </c>
      <c r="CS18" s="14">
        <f t="shared" si="55"/>
        <v>0</v>
      </c>
      <c r="CT18" s="14">
        <f t="shared" si="55"/>
        <v>0</v>
      </c>
      <c r="CU18" s="14">
        <f t="shared" si="55"/>
        <v>0</v>
      </c>
      <c r="CW18" s="14">
        <f>SUM(BF$5:BF18)</f>
        <v>0</v>
      </c>
      <c r="CX18" s="14">
        <f>SUM(BG$5:BG18)</f>
        <v>0</v>
      </c>
      <c r="CY18" s="14">
        <f>SUM(BH$5:BH18)</f>
        <v>0</v>
      </c>
      <c r="CZ18" s="14">
        <f>SUM(BI$5:BI18)</f>
        <v>0</v>
      </c>
      <c r="DA18" s="14">
        <f>SUM(BJ$5:BJ18)</f>
        <v>0</v>
      </c>
      <c r="DB18" s="14">
        <f>SUM(BK$5:BK18)</f>
        <v>0</v>
      </c>
      <c r="DC18" s="14">
        <f>SUM(BL$5:BL18)</f>
        <v>0</v>
      </c>
      <c r="DD18" s="14">
        <f>SUM(BM$5:BM18)</f>
        <v>0</v>
      </c>
      <c r="DE18" s="14">
        <f>SUM(BN$5:BN18)</f>
        <v>0</v>
      </c>
      <c r="DF18" s="14">
        <f>SUM(BO$5:BO18)</f>
        <v>0</v>
      </c>
      <c r="DG18" s="14">
        <f>SUM(BP$5:BP18)</f>
        <v>0</v>
      </c>
      <c r="DH18" s="14">
        <f>SUM(BQ$5:BQ18)</f>
        <v>0</v>
      </c>
      <c r="DI18" s="14">
        <f>SUM(BR$5:BR18)</f>
        <v>0</v>
      </c>
      <c r="DJ18" s="14">
        <f>SUM(BS$5:BS18)</f>
        <v>0</v>
      </c>
      <c r="DK18" s="14">
        <f>SUM(BT$5:BT18)</f>
        <v>0</v>
      </c>
      <c r="DL18" s="14">
        <f>SUM(BU$5:BU18)</f>
        <v>0</v>
      </c>
      <c r="DM18" s="14">
        <f>SUM(BV$5:BV18)</f>
        <v>0</v>
      </c>
      <c r="DN18" s="14">
        <f>SUM(BW$5:BW18)</f>
        <v>0</v>
      </c>
      <c r="DO18" s="14">
        <f>SUM(BX$5:BX18)</f>
        <v>0</v>
      </c>
      <c r="DP18" s="14">
        <f>SUM(BY$5:BY18)</f>
        <v>0</v>
      </c>
      <c r="DQ18" s="14">
        <f>SUM(BZ$5:BZ18)</f>
        <v>0</v>
      </c>
      <c r="DR18" s="14">
        <f>SUM(CA$5:CA18)</f>
        <v>0</v>
      </c>
      <c r="DS18" s="14">
        <f>SUM(CB$5:CB18)</f>
        <v>0</v>
      </c>
      <c r="DT18" s="14">
        <f>SUM(CC$5:CC18)</f>
        <v>0</v>
      </c>
      <c r="DU18" s="14">
        <f>SUM(CD$5:CD18)</f>
        <v>0</v>
      </c>
      <c r="DV18" s="14">
        <f>SUM(CE$5:CE18)</f>
        <v>0</v>
      </c>
      <c r="DW18" s="14">
        <f>SUM(CF$5:CF18)</f>
        <v>0</v>
      </c>
      <c r="DX18" s="14">
        <f>SUM(CG$5:CG18)</f>
        <v>0</v>
      </c>
      <c r="DY18" s="14">
        <f>SUM(CH$5:CH18)</f>
        <v>0</v>
      </c>
      <c r="DZ18" s="14">
        <f>SUM(CI$5:CI18)</f>
        <v>0</v>
      </c>
      <c r="EA18" s="14">
        <f>SUM(CJ$5:CJ18)</f>
        <v>0</v>
      </c>
      <c r="EB18" s="14">
        <f>SUM(CK$5:CK18)</f>
        <v>0</v>
      </c>
      <c r="EC18" s="14">
        <f>SUM(CL$5:CL18)</f>
        <v>0</v>
      </c>
      <c r="ED18" s="14">
        <f>SUM(CM$5:CM18)</f>
        <v>0</v>
      </c>
      <c r="EE18" s="14">
        <f>SUM(CN$5:CN18)</f>
        <v>0</v>
      </c>
      <c r="EF18" s="14">
        <f>SUM(CO$5:CO18)</f>
        <v>0</v>
      </c>
      <c r="EG18" s="14">
        <f>SUM(CP$5:CP18)</f>
        <v>0</v>
      </c>
      <c r="EH18" s="14">
        <f>SUM(CQ$5:CQ18)</f>
        <v>0</v>
      </c>
      <c r="EI18" s="14">
        <f>SUM(CR$5:CR18)</f>
        <v>0</v>
      </c>
      <c r="EJ18" s="14">
        <f>SUM(CS$5:CS18)</f>
        <v>0</v>
      </c>
      <c r="EK18" s="14">
        <f>SUM(CT$5:CT18)</f>
        <v>0</v>
      </c>
      <c r="EL18" s="14">
        <f>SUM(CU$5:CU18)</f>
        <v>0</v>
      </c>
      <c r="EO18" s="87">
        <f t="shared" si="11"/>
        <v>0</v>
      </c>
      <c r="EP18" s="87">
        <f t="shared" si="12"/>
        <v>0</v>
      </c>
      <c r="EQ18" s="87">
        <f t="shared" si="13"/>
        <v>0</v>
      </c>
      <c r="ER18" s="87">
        <f t="shared" si="14"/>
        <v>0</v>
      </c>
      <c r="ES18" s="87">
        <f t="shared" si="15"/>
        <v>0</v>
      </c>
      <c r="ET18" s="87">
        <f t="shared" si="16"/>
        <v>0</v>
      </c>
      <c r="EU18" s="87">
        <f t="shared" si="17"/>
        <v>0</v>
      </c>
      <c r="EV18" s="87">
        <f t="shared" si="18"/>
        <v>0</v>
      </c>
      <c r="EW18" s="87">
        <f t="shared" si="19"/>
        <v>0</v>
      </c>
      <c r="EX18" s="87">
        <f t="shared" si="20"/>
        <v>0</v>
      </c>
      <c r="EY18" s="87">
        <f t="shared" si="21"/>
        <v>0</v>
      </c>
      <c r="EZ18" s="87">
        <f t="shared" si="22"/>
        <v>0</v>
      </c>
      <c r="FA18" s="87">
        <f t="shared" si="23"/>
        <v>0</v>
      </c>
      <c r="FB18" s="87">
        <f t="shared" si="24"/>
        <v>0</v>
      </c>
      <c r="FC18" s="87">
        <f t="shared" si="25"/>
        <v>0</v>
      </c>
      <c r="FD18" s="87">
        <f t="shared" si="26"/>
        <v>0</v>
      </c>
      <c r="FE18" s="87">
        <f t="shared" si="27"/>
        <v>0</v>
      </c>
      <c r="FF18" s="87">
        <f t="shared" si="28"/>
        <v>0</v>
      </c>
      <c r="FG18" s="87">
        <f t="shared" si="29"/>
        <v>0</v>
      </c>
      <c r="FH18" s="87">
        <f t="shared" si="30"/>
        <v>0</v>
      </c>
      <c r="FI18" s="87">
        <f t="shared" si="31"/>
        <v>0</v>
      </c>
      <c r="FJ18" s="87">
        <f t="shared" si="32"/>
        <v>0</v>
      </c>
      <c r="FK18" s="87">
        <f t="shared" si="33"/>
        <v>0</v>
      </c>
      <c r="FL18" s="87">
        <f t="shared" si="34"/>
        <v>0</v>
      </c>
      <c r="FM18" s="87">
        <f t="shared" si="35"/>
        <v>0</v>
      </c>
      <c r="FN18" s="87">
        <f t="shared" si="36"/>
        <v>0</v>
      </c>
      <c r="FO18" s="87">
        <f t="shared" si="37"/>
        <v>0</v>
      </c>
      <c r="FP18" s="87">
        <f t="shared" si="38"/>
        <v>0</v>
      </c>
      <c r="FQ18" s="87">
        <f t="shared" si="39"/>
        <v>0</v>
      </c>
      <c r="FR18" s="87">
        <f t="shared" si="40"/>
        <v>0</v>
      </c>
      <c r="FS18" s="87">
        <f t="shared" si="41"/>
        <v>0</v>
      </c>
      <c r="FT18" s="87">
        <f t="shared" si="42"/>
        <v>0</v>
      </c>
      <c r="FU18" s="87">
        <f t="shared" si="43"/>
        <v>0</v>
      </c>
      <c r="FV18" s="87">
        <f t="shared" si="44"/>
        <v>0</v>
      </c>
      <c r="FW18" s="87">
        <f t="shared" si="45"/>
        <v>0</v>
      </c>
      <c r="FX18" s="87">
        <f t="shared" si="46"/>
        <v>0</v>
      </c>
      <c r="FY18" s="87">
        <f t="shared" si="47"/>
        <v>0</v>
      </c>
      <c r="FZ18" s="87">
        <f t="shared" si="48"/>
        <v>0</v>
      </c>
      <c r="GA18" s="87">
        <f t="shared" si="49"/>
        <v>0</v>
      </c>
      <c r="GB18" s="87">
        <f t="shared" si="50"/>
        <v>0</v>
      </c>
      <c r="GC18" s="87">
        <f t="shared" si="51"/>
        <v>0</v>
      </c>
      <c r="GD18" s="87">
        <f t="shared" si="52"/>
        <v>0</v>
      </c>
    </row>
    <row r="19" spans="11:186" ht="16.5" x14ac:dyDescent="0.2">
      <c r="K19" s="86">
        <v>15</v>
      </c>
      <c r="L19" s="86">
        <v>4</v>
      </c>
      <c r="M19" s="86">
        <v>1</v>
      </c>
      <c r="N19" s="86" t="str">
        <f t="shared" si="3"/>
        <v>神器4-1</v>
      </c>
      <c r="O19" s="86">
        <v>1</v>
      </c>
      <c r="P19" s="14">
        <f t="shared" si="4"/>
        <v>25</v>
      </c>
      <c r="Q19" s="88">
        <v>0.25</v>
      </c>
      <c r="R19" s="14">
        <v>1</v>
      </c>
      <c r="S19" s="14">
        <v>3</v>
      </c>
      <c r="T19" s="88">
        <v>0.25</v>
      </c>
      <c r="U19" s="14">
        <v>2</v>
      </c>
      <c r="V19" s="14">
        <v>4</v>
      </c>
      <c r="W19" s="88">
        <v>0.25</v>
      </c>
      <c r="X19" s="14">
        <v>3</v>
      </c>
      <c r="Y19" s="14">
        <v>5</v>
      </c>
      <c r="AB19" s="86">
        <v>14</v>
      </c>
      <c r="AC19" s="86">
        <v>7</v>
      </c>
      <c r="AD19" s="86">
        <f>SUM(AC$6:AC19)</f>
        <v>48</v>
      </c>
      <c r="AO19" s="48">
        <v>3</v>
      </c>
      <c r="AP19" s="86">
        <v>4</v>
      </c>
      <c r="AQ19" s="86">
        <v>2</v>
      </c>
      <c r="AR19" s="48">
        <v>2</v>
      </c>
      <c r="AS19" s="86" t="s">
        <v>310</v>
      </c>
      <c r="AT19" s="21">
        <f t="shared" si="0"/>
        <v>7.8E-2</v>
      </c>
      <c r="AU19" s="86">
        <f t="shared" si="5"/>
        <v>2</v>
      </c>
      <c r="AV19" s="86">
        <f t="shared" si="6"/>
        <v>4</v>
      </c>
      <c r="AW19" s="87">
        <f t="shared" si="7"/>
        <v>0.23399999999999999</v>
      </c>
      <c r="AX19" s="86">
        <f t="shared" si="8"/>
        <v>3.51</v>
      </c>
      <c r="BA19" s="86">
        <v>15</v>
      </c>
      <c r="BB19" s="14" t="e">
        <f>INDEX(节奏总表!#REF!,神器!BA19)</f>
        <v>#REF!</v>
      </c>
      <c r="BC19" s="14" t="e">
        <f t="shared" si="9"/>
        <v>#REF!</v>
      </c>
      <c r="BD19" s="14">
        <v>5</v>
      </c>
      <c r="BE19" s="14">
        <v>3</v>
      </c>
      <c r="BF19" s="14">
        <f t="shared" si="10"/>
        <v>0</v>
      </c>
      <c r="BG19" s="14">
        <f t="shared" si="10"/>
        <v>0</v>
      </c>
      <c r="BH19" s="14">
        <f t="shared" si="10"/>
        <v>0</v>
      </c>
      <c r="BI19" s="14">
        <f t="shared" si="10"/>
        <v>0</v>
      </c>
      <c r="BJ19" s="14">
        <f t="shared" si="10"/>
        <v>0</v>
      </c>
      <c r="BK19" s="14">
        <f t="shared" si="10"/>
        <v>0</v>
      </c>
      <c r="BL19" s="14">
        <f t="shared" si="10"/>
        <v>0</v>
      </c>
      <c r="BM19" s="14">
        <f t="shared" si="10"/>
        <v>0</v>
      </c>
      <c r="BN19" s="14">
        <f t="shared" si="10"/>
        <v>0</v>
      </c>
      <c r="BO19" s="14">
        <f t="shared" si="10"/>
        <v>0</v>
      </c>
      <c r="BP19" s="14">
        <f t="shared" si="10"/>
        <v>0</v>
      </c>
      <c r="BQ19" s="14">
        <f t="shared" si="10"/>
        <v>0</v>
      </c>
      <c r="BR19" s="14">
        <f t="shared" si="10"/>
        <v>0</v>
      </c>
      <c r="BS19" s="14">
        <f t="shared" si="10"/>
        <v>0</v>
      </c>
      <c r="BT19" s="14">
        <f t="shared" si="10"/>
        <v>0</v>
      </c>
      <c r="BU19" s="14">
        <f t="shared" si="10"/>
        <v>0</v>
      </c>
      <c r="BV19" s="14">
        <f t="shared" si="54"/>
        <v>0</v>
      </c>
      <c r="BW19" s="14">
        <f t="shared" si="54"/>
        <v>0</v>
      </c>
      <c r="BX19" s="14">
        <f t="shared" si="54"/>
        <v>0</v>
      </c>
      <c r="BY19" s="14">
        <f t="shared" si="54"/>
        <v>0</v>
      </c>
      <c r="BZ19" s="14">
        <f t="shared" si="54"/>
        <v>0</v>
      </c>
      <c r="CA19" s="14">
        <f t="shared" si="54"/>
        <v>0</v>
      </c>
      <c r="CB19" s="14">
        <f t="shared" si="54"/>
        <v>0</v>
      </c>
      <c r="CC19" s="14">
        <f t="shared" si="54"/>
        <v>0</v>
      </c>
      <c r="CD19" s="14">
        <f t="shared" si="54"/>
        <v>0</v>
      </c>
      <c r="CE19" s="14">
        <f t="shared" si="54"/>
        <v>0</v>
      </c>
      <c r="CF19" s="14">
        <f t="shared" si="55"/>
        <v>0</v>
      </c>
      <c r="CG19" s="14">
        <f t="shared" si="55"/>
        <v>0</v>
      </c>
      <c r="CH19" s="14">
        <f t="shared" si="55"/>
        <v>0</v>
      </c>
      <c r="CI19" s="14">
        <f t="shared" si="55"/>
        <v>0</v>
      </c>
      <c r="CJ19" s="14">
        <f t="shared" si="55"/>
        <v>0</v>
      </c>
      <c r="CK19" s="14">
        <f t="shared" si="55"/>
        <v>0</v>
      </c>
      <c r="CL19" s="14">
        <f t="shared" si="55"/>
        <v>0</v>
      </c>
      <c r="CM19" s="14">
        <f t="shared" si="55"/>
        <v>0</v>
      </c>
      <c r="CN19" s="14">
        <f t="shared" si="55"/>
        <v>0</v>
      </c>
      <c r="CO19" s="14">
        <f t="shared" si="55"/>
        <v>0</v>
      </c>
      <c r="CP19" s="14">
        <f t="shared" si="55"/>
        <v>0</v>
      </c>
      <c r="CQ19" s="14">
        <f t="shared" si="55"/>
        <v>0</v>
      </c>
      <c r="CR19" s="14">
        <f t="shared" si="55"/>
        <v>0</v>
      </c>
      <c r="CS19" s="14">
        <f t="shared" si="55"/>
        <v>0</v>
      </c>
      <c r="CT19" s="14">
        <f t="shared" si="55"/>
        <v>0</v>
      </c>
      <c r="CU19" s="14">
        <f t="shared" si="55"/>
        <v>0</v>
      </c>
      <c r="CW19" s="14">
        <f>SUM(BF$5:BF19)</f>
        <v>0</v>
      </c>
      <c r="CX19" s="14">
        <f>SUM(BG$5:BG19)</f>
        <v>0</v>
      </c>
      <c r="CY19" s="14">
        <f>SUM(BH$5:BH19)</f>
        <v>0</v>
      </c>
      <c r="CZ19" s="14">
        <f>SUM(BI$5:BI19)</f>
        <v>0</v>
      </c>
      <c r="DA19" s="14">
        <f>SUM(BJ$5:BJ19)</f>
        <v>0</v>
      </c>
      <c r="DB19" s="14">
        <f>SUM(BK$5:BK19)</f>
        <v>0</v>
      </c>
      <c r="DC19" s="14">
        <f>SUM(BL$5:BL19)</f>
        <v>0</v>
      </c>
      <c r="DD19" s="14">
        <f>SUM(BM$5:BM19)</f>
        <v>0</v>
      </c>
      <c r="DE19" s="14">
        <f>SUM(BN$5:BN19)</f>
        <v>0</v>
      </c>
      <c r="DF19" s="14">
        <f>SUM(BO$5:BO19)</f>
        <v>0</v>
      </c>
      <c r="DG19" s="14">
        <f>SUM(BP$5:BP19)</f>
        <v>0</v>
      </c>
      <c r="DH19" s="14">
        <f>SUM(BQ$5:BQ19)</f>
        <v>0</v>
      </c>
      <c r="DI19" s="14">
        <f>SUM(BR$5:BR19)</f>
        <v>0</v>
      </c>
      <c r="DJ19" s="14">
        <f>SUM(BS$5:BS19)</f>
        <v>0</v>
      </c>
      <c r="DK19" s="14">
        <f>SUM(BT$5:BT19)</f>
        <v>0</v>
      </c>
      <c r="DL19" s="14">
        <f>SUM(BU$5:BU19)</f>
        <v>0</v>
      </c>
      <c r="DM19" s="14">
        <f>SUM(BV$5:BV19)</f>
        <v>0</v>
      </c>
      <c r="DN19" s="14">
        <f>SUM(BW$5:BW19)</f>
        <v>0</v>
      </c>
      <c r="DO19" s="14">
        <f>SUM(BX$5:BX19)</f>
        <v>0</v>
      </c>
      <c r="DP19" s="14">
        <f>SUM(BY$5:BY19)</f>
        <v>0</v>
      </c>
      <c r="DQ19" s="14">
        <f>SUM(BZ$5:BZ19)</f>
        <v>0</v>
      </c>
      <c r="DR19" s="14">
        <f>SUM(CA$5:CA19)</f>
        <v>0</v>
      </c>
      <c r="DS19" s="14">
        <f>SUM(CB$5:CB19)</f>
        <v>0</v>
      </c>
      <c r="DT19" s="14">
        <f>SUM(CC$5:CC19)</f>
        <v>0</v>
      </c>
      <c r="DU19" s="14">
        <f>SUM(CD$5:CD19)</f>
        <v>0</v>
      </c>
      <c r="DV19" s="14">
        <f>SUM(CE$5:CE19)</f>
        <v>0</v>
      </c>
      <c r="DW19" s="14">
        <f>SUM(CF$5:CF19)</f>
        <v>0</v>
      </c>
      <c r="DX19" s="14">
        <f>SUM(CG$5:CG19)</f>
        <v>0</v>
      </c>
      <c r="DY19" s="14">
        <f>SUM(CH$5:CH19)</f>
        <v>0</v>
      </c>
      <c r="DZ19" s="14">
        <f>SUM(CI$5:CI19)</f>
        <v>0</v>
      </c>
      <c r="EA19" s="14">
        <f>SUM(CJ$5:CJ19)</f>
        <v>0</v>
      </c>
      <c r="EB19" s="14">
        <f>SUM(CK$5:CK19)</f>
        <v>0</v>
      </c>
      <c r="EC19" s="14">
        <f>SUM(CL$5:CL19)</f>
        <v>0</v>
      </c>
      <c r="ED19" s="14">
        <f>SUM(CM$5:CM19)</f>
        <v>0</v>
      </c>
      <c r="EE19" s="14">
        <f>SUM(CN$5:CN19)</f>
        <v>0</v>
      </c>
      <c r="EF19" s="14">
        <f>SUM(CO$5:CO19)</f>
        <v>0</v>
      </c>
      <c r="EG19" s="14">
        <f>SUM(CP$5:CP19)</f>
        <v>0</v>
      </c>
      <c r="EH19" s="14">
        <f>SUM(CQ$5:CQ19)</f>
        <v>0</v>
      </c>
      <c r="EI19" s="14">
        <f>SUM(CR$5:CR19)</f>
        <v>0</v>
      </c>
      <c r="EJ19" s="14">
        <f>SUM(CS$5:CS19)</f>
        <v>0</v>
      </c>
      <c r="EK19" s="14">
        <f>SUM(CT$5:CT19)</f>
        <v>0</v>
      </c>
      <c r="EL19" s="14">
        <f>SUM(CU$5:CU19)</f>
        <v>0</v>
      </c>
      <c r="EO19" s="87">
        <f t="shared" si="11"/>
        <v>0</v>
      </c>
      <c r="EP19" s="87">
        <f t="shared" si="12"/>
        <v>0</v>
      </c>
      <c r="EQ19" s="87">
        <f t="shared" si="13"/>
        <v>0</v>
      </c>
      <c r="ER19" s="87">
        <f t="shared" si="14"/>
        <v>0</v>
      </c>
      <c r="ES19" s="87">
        <f t="shared" si="15"/>
        <v>0</v>
      </c>
      <c r="ET19" s="87">
        <f t="shared" si="16"/>
        <v>0</v>
      </c>
      <c r="EU19" s="87">
        <f t="shared" si="17"/>
        <v>0</v>
      </c>
      <c r="EV19" s="87">
        <f t="shared" si="18"/>
        <v>0</v>
      </c>
      <c r="EW19" s="87">
        <f t="shared" si="19"/>
        <v>0</v>
      </c>
      <c r="EX19" s="87">
        <f t="shared" si="20"/>
        <v>0</v>
      </c>
      <c r="EY19" s="87">
        <f t="shared" si="21"/>
        <v>0</v>
      </c>
      <c r="EZ19" s="87">
        <f t="shared" si="22"/>
        <v>0</v>
      </c>
      <c r="FA19" s="87">
        <f t="shared" si="23"/>
        <v>0</v>
      </c>
      <c r="FB19" s="87">
        <f t="shared" si="24"/>
        <v>0</v>
      </c>
      <c r="FC19" s="87">
        <f t="shared" si="25"/>
        <v>0</v>
      </c>
      <c r="FD19" s="87">
        <f t="shared" si="26"/>
        <v>0</v>
      </c>
      <c r="FE19" s="87">
        <f t="shared" si="27"/>
        <v>0</v>
      </c>
      <c r="FF19" s="87">
        <f t="shared" si="28"/>
        <v>0</v>
      </c>
      <c r="FG19" s="87">
        <f t="shared" si="29"/>
        <v>0</v>
      </c>
      <c r="FH19" s="87">
        <f t="shared" si="30"/>
        <v>0</v>
      </c>
      <c r="FI19" s="87">
        <f t="shared" si="31"/>
        <v>0</v>
      </c>
      <c r="FJ19" s="87">
        <f t="shared" si="32"/>
        <v>0</v>
      </c>
      <c r="FK19" s="87">
        <f t="shared" si="33"/>
        <v>0</v>
      </c>
      <c r="FL19" s="87">
        <f t="shared" si="34"/>
        <v>0</v>
      </c>
      <c r="FM19" s="87">
        <f t="shared" si="35"/>
        <v>0</v>
      </c>
      <c r="FN19" s="87">
        <f t="shared" si="36"/>
        <v>0</v>
      </c>
      <c r="FO19" s="87">
        <f t="shared" si="37"/>
        <v>0</v>
      </c>
      <c r="FP19" s="87">
        <f t="shared" si="38"/>
        <v>0</v>
      </c>
      <c r="FQ19" s="87">
        <f t="shared" si="39"/>
        <v>0</v>
      </c>
      <c r="FR19" s="87">
        <f t="shared" si="40"/>
        <v>0</v>
      </c>
      <c r="FS19" s="87">
        <f t="shared" si="41"/>
        <v>0</v>
      </c>
      <c r="FT19" s="87">
        <f t="shared" si="42"/>
        <v>0</v>
      </c>
      <c r="FU19" s="87">
        <f t="shared" si="43"/>
        <v>0</v>
      </c>
      <c r="FV19" s="87">
        <f t="shared" si="44"/>
        <v>0</v>
      </c>
      <c r="FW19" s="87">
        <f t="shared" si="45"/>
        <v>0</v>
      </c>
      <c r="FX19" s="87">
        <f t="shared" si="46"/>
        <v>0</v>
      </c>
      <c r="FY19" s="87">
        <f t="shared" si="47"/>
        <v>0</v>
      </c>
      <c r="FZ19" s="87">
        <f t="shared" si="48"/>
        <v>0</v>
      </c>
      <c r="GA19" s="87">
        <f t="shared" si="49"/>
        <v>0</v>
      </c>
      <c r="GB19" s="87">
        <f t="shared" si="50"/>
        <v>0</v>
      </c>
      <c r="GC19" s="87">
        <f t="shared" si="51"/>
        <v>0</v>
      </c>
      <c r="GD19" s="87">
        <f t="shared" si="52"/>
        <v>0</v>
      </c>
    </row>
    <row r="20" spans="11:186" ht="16.5" x14ac:dyDescent="0.2">
      <c r="K20" s="86">
        <v>16</v>
      </c>
      <c r="L20" s="86">
        <v>4</v>
      </c>
      <c r="M20" s="86">
        <v>2</v>
      </c>
      <c r="N20" s="86" t="str">
        <f t="shared" si="3"/>
        <v>神器4-2</v>
      </c>
      <c r="O20" s="86">
        <v>1</v>
      </c>
      <c r="P20" s="14">
        <f t="shared" si="4"/>
        <v>25</v>
      </c>
      <c r="Q20" s="88">
        <v>0.25</v>
      </c>
      <c r="R20" s="14">
        <v>1</v>
      </c>
      <c r="S20" s="14">
        <v>3</v>
      </c>
      <c r="T20" s="88">
        <v>0.25</v>
      </c>
      <c r="U20" s="14">
        <v>2</v>
      </c>
      <c r="V20" s="14">
        <v>4</v>
      </c>
      <c r="W20" s="88">
        <v>0.25</v>
      </c>
      <c r="X20" s="14">
        <v>3</v>
      </c>
      <c r="Y20" s="14">
        <v>5</v>
      </c>
      <c r="AB20" s="86">
        <v>15</v>
      </c>
      <c r="AC20" s="86">
        <v>7</v>
      </c>
      <c r="AD20" s="86">
        <f>SUM(AC$6:AC20)</f>
        <v>55</v>
      </c>
      <c r="AO20" s="48">
        <v>3</v>
      </c>
      <c r="AP20" s="86">
        <v>5</v>
      </c>
      <c r="AQ20" s="86">
        <v>2</v>
      </c>
      <c r="AR20" s="48">
        <v>2</v>
      </c>
      <c r="AS20" s="86" t="s">
        <v>311</v>
      </c>
      <c r="AT20" s="21">
        <f t="shared" si="0"/>
        <v>7.8E-2</v>
      </c>
      <c r="AU20" s="86">
        <f t="shared" si="5"/>
        <v>2</v>
      </c>
      <c r="AV20" s="86">
        <f t="shared" si="6"/>
        <v>4</v>
      </c>
      <c r="AW20" s="87">
        <f t="shared" si="7"/>
        <v>0.23399999999999999</v>
      </c>
      <c r="AX20" s="86">
        <f t="shared" si="8"/>
        <v>3.51</v>
      </c>
      <c r="BA20" s="86">
        <v>16</v>
      </c>
      <c r="BB20" s="14" t="e">
        <f>INDEX(节奏总表!#REF!,神器!BA20)</f>
        <v>#REF!</v>
      </c>
      <c r="BC20" s="14" t="e">
        <f t="shared" si="9"/>
        <v>#REF!</v>
      </c>
      <c r="BD20" s="14">
        <v>5</v>
      </c>
      <c r="BE20" s="14">
        <v>3</v>
      </c>
      <c r="BF20" s="14">
        <f t="shared" si="10"/>
        <v>0</v>
      </c>
      <c r="BG20" s="14">
        <f t="shared" si="10"/>
        <v>0</v>
      </c>
      <c r="BH20" s="14">
        <f t="shared" si="10"/>
        <v>0</v>
      </c>
      <c r="BI20" s="14">
        <f t="shared" si="10"/>
        <v>0</v>
      </c>
      <c r="BJ20" s="14">
        <f t="shared" si="10"/>
        <v>0</v>
      </c>
      <c r="BK20" s="14">
        <f t="shared" si="10"/>
        <v>0</v>
      </c>
      <c r="BL20" s="14">
        <f t="shared" si="10"/>
        <v>0</v>
      </c>
      <c r="BM20" s="14">
        <f t="shared" si="10"/>
        <v>0</v>
      </c>
      <c r="BN20" s="14">
        <f t="shared" si="10"/>
        <v>0</v>
      </c>
      <c r="BO20" s="14">
        <f t="shared" si="10"/>
        <v>0</v>
      </c>
      <c r="BP20" s="14">
        <f t="shared" si="10"/>
        <v>0</v>
      </c>
      <c r="BQ20" s="14">
        <f t="shared" si="10"/>
        <v>0</v>
      </c>
      <c r="BR20" s="14">
        <f t="shared" si="10"/>
        <v>0</v>
      </c>
      <c r="BS20" s="14">
        <f t="shared" si="10"/>
        <v>0</v>
      </c>
      <c r="BT20" s="14">
        <f t="shared" si="10"/>
        <v>0</v>
      </c>
      <c r="BU20" s="14">
        <f t="shared" si="10"/>
        <v>0</v>
      </c>
      <c r="BV20" s="14">
        <f t="shared" si="54"/>
        <v>0</v>
      </c>
      <c r="BW20" s="14">
        <f t="shared" si="54"/>
        <v>0</v>
      </c>
      <c r="BX20" s="14">
        <f t="shared" si="54"/>
        <v>0</v>
      </c>
      <c r="BY20" s="14">
        <f t="shared" si="54"/>
        <v>0</v>
      </c>
      <c r="BZ20" s="14">
        <f t="shared" si="54"/>
        <v>0</v>
      </c>
      <c r="CA20" s="14">
        <f t="shared" si="54"/>
        <v>0</v>
      </c>
      <c r="CB20" s="14">
        <f t="shared" si="54"/>
        <v>0</v>
      </c>
      <c r="CC20" s="14">
        <f t="shared" si="54"/>
        <v>0</v>
      </c>
      <c r="CD20" s="14">
        <f t="shared" si="54"/>
        <v>0</v>
      </c>
      <c r="CE20" s="14">
        <f t="shared" si="54"/>
        <v>0</v>
      </c>
      <c r="CF20" s="14">
        <f t="shared" si="55"/>
        <v>0</v>
      </c>
      <c r="CG20" s="14">
        <f t="shared" si="55"/>
        <v>0</v>
      </c>
      <c r="CH20" s="14">
        <f t="shared" si="55"/>
        <v>0</v>
      </c>
      <c r="CI20" s="14">
        <f t="shared" si="55"/>
        <v>0</v>
      </c>
      <c r="CJ20" s="14">
        <f t="shared" si="55"/>
        <v>0</v>
      </c>
      <c r="CK20" s="14">
        <f t="shared" si="55"/>
        <v>0</v>
      </c>
      <c r="CL20" s="14">
        <f t="shared" si="55"/>
        <v>0</v>
      </c>
      <c r="CM20" s="14">
        <f t="shared" si="55"/>
        <v>0</v>
      </c>
      <c r="CN20" s="14">
        <f t="shared" si="55"/>
        <v>0</v>
      </c>
      <c r="CO20" s="14">
        <f t="shared" si="55"/>
        <v>0</v>
      </c>
      <c r="CP20" s="14">
        <f t="shared" si="55"/>
        <v>0</v>
      </c>
      <c r="CQ20" s="14">
        <f t="shared" si="55"/>
        <v>0</v>
      </c>
      <c r="CR20" s="14">
        <f t="shared" si="55"/>
        <v>0</v>
      </c>
      <c r="CS20" s="14">
        <f t="shared" si="55"/>
        <v>0</v>
      </c>
      <c r="CT20" s="14">
        <f t="shared" si="55"/>
        <v>0</v>
      </c>
      <c r="CU20" s="14">
        <f t="shared" si="55"/>
        <v>0</v>
      </c>
      <c r="CW20" s="14">
        <f>SUM(BF$5:BF20)</f>
        <v>0</v>
      </c>
      <c r="CX20" s="14">
        <f>SUM(BG$5:BG20)</f>
        <v>0</v>
      </c>
      <c r="CY20" s="14">
        <f>SUM(BH$5:BH20)</f>
        <v>0</v>
      </c>
      <c r="CZ20" s="14">
        <f>SUM(BI$5:BI20)</f>
        <v>0</v>
      </c>
      <c r="DA20" s="14">
        <f>SUM(BJ$5:BJ20)</f>
        <v>0</v>
      </c>
      <c r="DB20" s="14">
        <f>SUM(BK$5:BK20)</f>
        <v>0</v>
      </c>
      <c r="DC20" s="14">
        <f>SUM(BL$5:BL20)</f>
        <v>0</v>
      </c>
      <c r="DD20" s="14">
        <f>SUM(BM$5:BM20)</f>
        <v>0</v>
      </c>
      <c r="DE20" s="14">
        <f>SUM(BN$5:BN20)</f>
        <v>0</v>
      </c>
      <c r="DF20" s="14">
        <f>SUM(BO$5:BO20)</f>
        <v>0</v>
      </c>
      <c r="DG20" s="14">
        <f>SUM(BP$5:BP20)</f>
        <v>0</v>
      </c>
      <c r="DH20" s="14">
        <f>SUM(BQ$5:BQ20)</f>
        <v>0</v>
      </c>
      <c r="DI20" s="14">
        <f>SUM(BR$5:BR20)</f>
        <v>0</v>
      </c>
      <c r="DJ20" s="14">
        <f>SUM(BS$5:BS20)</f>
        <v>0</v>
      </c>
      <c r="DK20" s="14">
        <f>SUM(BT$5:BT20)</f>
        <v>0</v>
      </c>
      <c r="DL20" s="14">
        <f>SUM(BU$5:BU20)</f>
        <v>0</v>
      </c>
      <c r="DM20" s="14">
        <f>SUM(BV$5:BV20)</f>
        <v>0</v>
      </c>
      <c r="DN20" s="14">
        <f>SUM(BW$5:BW20)</f>
        <v>0</v>
      </c>
      <c r="DO20" s="14">
        <f>SUM(BX$5:BX20)</f>
        <v>0</v>
      </c>
      <c r="DP20" s="14">
        <f>SUM(BY$5:BY20)</f>
        <v>0</v>
      </c>
      <c r="DQ20" s="14">
        <f>SUM(BZ$5:BZ20)</f>
        <v>0</v>
      </c>
      <c r="DR20" s="14">
        <f>SUM(CA$5:CA20)</f>
        <v>0</v>
      </c>
      <c r="DS20" s="14">
        <f>SUM(CB$5:CB20)</f>
        <v>0</v>
      </c>
      <c r="DT20" s="14">
        <f>SUM(CC$5:CC20)</f>
        <v>0</v>
      </c>
      <c r="DU20" s="14">
        <f>SUM(CD$5:CD20)</f>
        <v>0</v>
      </c>
      <c r="DV20" s="14">
        <f>SUM(CE$5:CE20)</f>
        <v>0</v>
      </c>
      <c r="DW20" s="14">
        <f>SUM(CF$5:CF20)</f>
        <v>0</v>
      </c>
      <c r="DX20" s="14">
        <f>SUM(CG$5:CG20)</f>
        <v>0</v>
      </c>
      <c r="DY20" s="14">
        <f>SUM(CH$5:CH20)</f>
        <v>0</v>
      </c>
      <c r="DZ20" s="14">
        <f>SUM(CI$5:CI20)</f>
        <v>0</v>
      </c>
      <c r="EA20" s="14">
        <f>SUM(CJ$5:CJ20)</f>
        <v>0</v>
      </c>
      <c r="EB20" s="14">
        <f>SUM(CK$5:CK20)</f>
        <v>0</v>
      </c>
      <c r="EC20" s="14">
        <f>SUM(CL$5:CL20)</f>
        <v>0</v>
      </c>
      <c r="ED20" s="14">
        <f>SUM(CM$5:CM20)</f>
        <v>0</v>
      </c>
      <c r="EE20" s="14">
        <f>SUM(CN$5:CN20)</f>
        <v>0</v>
      </c>
      <c r="EF20" s="14">
        <f>SUM(CO$5:CO20)</f>
        <v>0</v>
      </c>
      <c r="EG20" s="14">
        <f>SUM(CP$5:CP20)</f>
        <v>0</v>
      </c>
      <c r="EH20" s="14">
        <f>SUM(CQ$5:CQ20)</f>
        <v>0</v>
      </c>
      <c r="EI20" s="14">
        <f>SUM(CR$5:CR20)</f>
        <v>0</v>
      </c>
      <c r="EJ20" s="14">
        <f>SUM(CS$5:CS20)</f>
        <v>0</v>
      </c>
      <c r="EK20" s="14">
        <f>SUM(CT$5:CT20)</f>
        <v>0</v>
      </c>
      <c r="EL20" s="14">
        <f>SUM(CU$5:CU20)</f>
        <v>0</v>
      </c>
      <c r="EO20" s="87">
        <f t="shared" si="11"/>
        <v>0</v>
      </c>
      <c r="EP20" s="87">
        <f t="shared" si="12"/>
        <v>0</v>
      </c>
      <c r="EQ20" s="87">
        <f t="shared" si="13"/>
        <v>0</v>
      </c>
      <c r="ER20" s="87">
        <f t="shared" si="14"/>
        <v>0</v>
      </c>
      <c r="ES20" s="87">
        <f t="shared" si="15"/>
        <v>0</v>
      </c>
      <c r="ET20" s="87">
        <f t="shared" si="16"/>
        <v>0</v>
      </c>
      <c r="EU20" s="87">
        <f t="shared" si="17"/>
        <v>0</v>
      </c>
      <c r="EV20" s="87">
        <f t="shared" si="18"/>
        <v>0</v>
      </c>
      <c r="EW20" s="87">
        <f t="shared" si="19"/>
        <v>0</v>
      </c>
      <c r="EX20" s="87">
        <f t="shared" si="20"/>
        <v>0</v>
      </c>
      <c r="EY20" s="87">
        <f t="shared" si="21"/>
        <v>0</v>
      </c>
      <c r="EZ20" s="87">
        <f t="shared" si="22"/>
        <v>0</v>
      </c>
      <c r="FA20" s="87">
        <f t="shared" si="23"/>
        <v>0</v>
      </c>
      <c r="FB20" s="87">
        <f t="shared" si="24"/>
        <v>0</v>
      </c>
      <c r="FC20" s="87">
        <f t="shared" si="25"/>
        <v>0</v>
      </c>
      <c r="FD20" s="87">
        <f t="shared" si="26"/>
        <v>0</v>
      </c>
      <c r="FE20" s="87">
        <f t="shared" si="27"/>
        <v>0</v>
      </c>
      <c r="FF20" s="87">
        <f t="shared" si="28"/>
        <v>0</v>
      </c>
      <c r="FG20" s="87">
        <f t="shared" si="29"/>
        <v>0</v>
      </c>
      <c r="FH20" s="87">
        <f t="shared" si="30"/>
        <v>0</v>
      </c>
      <c r="FI20" s="87">
        <f t="shared" si="31"/>
        <v>0</v>
      </c>
      <c r="FJ20" s="87">
        <f t="shared" si="32"/>
        <v>0</v>
      </c>
      <c r="FK20" s="87">
        <f t="shared" si="33"/>
        <v>0</v>
      </c>
      <c r="FL20" s="87">
        <f t="shared" si="34"/>
        <v>0</v>
      </c>
      <c r="FM20" s="87">
        <f t="shared" si="35"/>
        <v>0</v>
      </c>
      <c r="FN20" s="87">
        <f t="shared" si="36"/>
        <v>0</v>
      </c>
      <c r="FO20" s="87">
        <f t="shared" si="37"/>
        <v>0</v>
      </c>
      <c r="FP20" s="87">
        <f t="shared" si="38"/>
        <v>0</v>
      </c>
      <c r="FQ20" s="87">
        <f t="shared" si="39"/>
        <v>0</v>
      </c>
      <c r="FR20" s="87">
        <f t="shared" si="40"/>
        <v>0</v>
      </c>
      <c r="FS20" s="87">
        <f t="shared" si="41"/>
        <v>0</v>
      </c>
      <c r="FT20" s="87">
        <f t="shared" si="42"/>
        <v>0</v>
      </c>
      <c r="FU20" s="87">
        <f t="shared" si="43"/>
        <v>0</v>
      </c>
      <c r="FV20" s="87">
        <f t="shared" si="44"/>
        <v>0</v>
      </c>
      <c r="FW20" s="87">
        <f t="shared" si="45"/>
        <v>0</v>
      </c>
      <c r="FX20" s="87">
        <f t="shared" si="46"/>
        <v>0</v>
      </c>
      <c r="FY20" s="87">
        <f t="shared" si="47"/>
        <v>0</v>
      </c>
      <c r="FZ20" s="87">
        <f t="shared" si="48"/>
        <v>0</v>
      </c>
      <c r="GA20" s="87">
        <f t="shared" si="49"/>
        <v>0</v>
      </c>
      <c r="GB20" s="87">
        <f t="shared" si="50"/>
        <v>0</v>
      </c>
      <c r="GC20" s="87">
        <f t="shared" si="51"/>
        <v>0</v>
      </c>
      <c r="GD20" s="87">
        <f t="shared" si="52"/>
        <v>0</v>
      </c>
    </row>
    <row r="21" spans="11:186" ht="16.5" x14ac:dyDescent="0.2">
      <c r="K21" s="86">
        <v>17</v>
      </c>
      <c r="L21" s="86">
        <v>4</v>
      </c>
      <c r="M21" s="86">
        <v>3</v>
      </c>
      <c r="N21" s="86" t="str">
        <f t="shared" si="3"/>
        <v>神器4-3</v>
      </c>
      <c r="O21" s="86">
        <v>2</v>
      </c>
      <c r="P21" s="14">
        <f t="shared" si="4"/>
        <v>75</v>
      </c>
      <c r="Q21" s="88">
        <v>0.16</v>
      </c>
      <c r="R21" s="14">
        <v>1</v>
      </c>
      <c r="S21" s="14">
        <v>2</v>
      </c>
      <c r="T21" s="88">
        <v>0.16</v>
      </c>
      <c r="U21" s="14">
        <v>1</v>
      </c>
      <c r="V21" s="14">
        <v>3</v>
      </c>
      <c r="W21" s="88">
        <v>0.16</v>
      </c>
      <c r="X21" s="14">
        <v>2</v>
      </c>
      <c r="Y21" s="14">
        <v>4</v>
      </c>
      <c r="AB21" s="86">
        <v>16</v>
      </c>
      <c r="AC21" s="86">
        <v>10</v>
      </c>
      <c r="AD21" s="86">
        <f>SUM(AC$6:AC21)</f>
        <v>65</v>
      </c>
      <c r="AO21" s="48">
        <v>3</v>
      </c>
      <c r="AP21" s="86">
        <v>6</v>
      </c>
      <c r="AQ21" s="86">
        <v>2</v>
      </c>
      <c r="AR21" s="48">
        <v>2</v>
      </c>
      <c r="AS21" s="86" t="s">
        <v>312</v>
      </c>
      <c r="AT21" s="21">
        <f t="shared" si="0"/>
        <v>5.3999999999999999E-2</v>
      </c>
      <c r="AU21" s="86">
        <f t="shared" si="5"/>
        <v>1</v>
      </c>
      <c r="AV21" s="86">
        <f t="shared" si="6"/>
        <v>3</v>
      </c>
      <c r="AW21" s="87">
        <f t="shared" si="7"/>
        <v>0.108</v>
      </c>
      <c r="AX21" s="86">
        <f t="shared" si="8"/>
        <v>4.8600000000000003</v>
      </c>
      <c r="BA21" s="86">
        <v>17</v>
      </c>
      <c r="BB21" s="14" t="e">
        <f>INDEX(节奏总表!#REF!,神器!BA21)</f>
        <v>#REF!</v>
      </c>
      <c r="BC21" s="14" t="e">
        <f t="shared" si="9"/>
        <v>#REF!</v>
      </c>
      <c r="BD21" s="14">
        <v>5</v>
      </c>
      <c r="BE21" s="14">
        <v>3</v>
      </c>
      <c r="BF21" s="14">
        <f t="shared" si="10"/>
        <v>0</v>
      </c>
      <c r="BG21" s="14">
        <f t="shared" si="10"/>
        <v>0</v>
      </c>
      <c r="BH21" s="14">
        <f t="shared" si="10"/>
        <v>0</v>
      </c>
      <c r="BI21" s="14">
        <f t="shared" si="10"/>
        <v>0</v>
      </c>
      <c r="BJ21" s="14">
        <f t="shared" si="10"/>
        <v>0</v>
      </c>
      <c r="BK21" s="14">
        <f t="shared" si="10"/>
        <v>0</v>
      </c>
      <c r="BL21" s="14">
        <f t="shared" si="10"/>
        <v>0</v>
      </c>
      <c r="BM21" s="14">
        <f t="shared" si="10"/>
        <v>0</v>
      </c>
      <c r="BN21" s="14">
        <f t="shared" si="10"/>
        <v>0</v>
      </c>
      <c r="BO21" s="14">
        <f t="shared" si="10"/>
        <v>0</v>
      </c>
      <c r="BP21" s="14">
        <f t="shared" si="10"/>
        <v>0</v>
      </c>
      <c r="BQ21" s="14">
        <f t="shared" si="10"/>
        <v>0</v>
      </c>
      <c r="BR21" s="14">
        <f t="shared" si="10"/>
        <v>0</v>
      </c>
      <c r="BS21" s="14">
        <f t="shared" si="10"/>
        <v>0</v>
      </c>
      <c r="BT21" s="14">
        <f t="shared" si="10"/>
        <v>0</v>
      </c>
      <c r="BU21" s="14">
        <f t="shared" si="10"/>
        <v>0</v>
      </c>
      <c r="BV21" s="14">
        <f t="shared" si="54"/>
        <v>0</v>
      </c>
      <c r="BW21" s="14">
        <f t="shared" si="54"/>
        <v>0</v>
      </c>
      <c r="BX21" s="14">
        <f t="shared" si="54"/>
        <v>0</v>
      </c>
      <c r="BY21" s="14">
        <f t="shared" si="54"/>
        <v>0</v>
      </c>
      <c r="BZ21" s="14">
        <f t="shared" si="54"/>
        <v>0</v>
      </c>
      <c r="CA21" s="14">
        <f t="shared" si="54"/>
        <v>0</v>
      </c>
      <c r="CB21" s="14">
        <f t="shared" si="54"/>
        <v>0</v>
      </c>
      <c r="CC21" s="14">
        <f t="shared" si="54"/>
        <v>0</v>
      </c>
      <c r="CD21" s="14">
        <f t="shared" si="54"/>
        <v>0</v>
      </c>
      <c r="CE21" s="14">
        <f t="shared" si="54"/>
        <v>0</v>
      </c>
      <c r="CF21" s="14">
        <f t="shared" si="55"/>
        <v>0</v>
      </c>
      <c r="CG21" s="14">
        <f t="shared" si="55"/>
        <v>0</v>
      </c>
      <c r="CH21" s="14">
        <f t="shared" si="55"/>
        <v>0</v>
      </c>
      <c r="CI21" s="14">
        <f t="shared" si="55"/>
        <v>0</v>
      </c>
      <c r="CJ21" s="14">
        <f t="shared" si="55"/>
        <v>0</v>
      </c>
      <c r="CK21" s="14">
        <f t="shared" si="55"/>
        <v>0</v>
      </c>
      <c r="CL21" s="14">
        <f t="shared" si="55"/>
        <v>0</v>
      </c>
      <c r="CM21" s="14">
        <f t="shared" si="55"/>
        <v>0</v>
      </c>
      <c r="CN21" s="14">
        <f t="shared" si="55"/>
        <v>0</v>
      </c>
      <c r="CO21" s="14">
        <f t="shared" si="55"/>
        <v>0</v>
      </c>
      <c r="CP21" s="14">
        <f t="shared" si="55"/>
        <v>0</v>
      </c>
      <c r="CQ21" s="14">
        <f t="shared" si="55"/>
        <v>0</v>
      </c>
      <c r="CR21" s="14">
        <f t="shared" si="55"/>
        <v>0</v>
      </c>
      <c r="CS21" s="14">
        <f t="shared" si="55"/>
        <v>0</v>
      </c>
      <c r="CT21" s="14">
        <f t="shared" si="55"/>
        <v>0</v>
      </c>
      <c r="CU21" s="14">
        <f t="shared" si="55"/>
        <v>0</v>
      </c>
      <c r="CW21" s="14">
        <f>SUM(BF$5:BF21)</f>
        <v>0</v>
      </c>
      <c r="CX21" s="14">
        <f>SUM(BG$5:BG21)</f>
        <v>0</v>
      </c>
      <c r="CY21" s="14">
        <f>SUM(BH$5:BH21)</f>
        <v>0</v>
      </c>
      <c r="CZ21" s="14">
        <f>SUM(BI$5:BI21)</f>
        <v>0</v>
      </c>
      <c r="DA21" s="14">
        <f>SUM(BJ$5:BJ21)</f>
        <v>0</v>
      </c>
      <c r="DB21" s="14">
        <f>SUM(BK$5:BK21)</f>
        <v>0</v>
      </c>
      <c r="DC21" s="14">
        <f>SUM(BL$5:BL21)</f>
        <v>0</v>
      </c>
      <c r="DD21" s="14">
        <f>SUM(BM$5:BM21)</f>
        <v>0</v>
      </c>
      <c r="DE21" s="14">
        <f>SUM(BN$5:BN21)</f>
        <v>0</v>
      </c>
      <c r="DF21" s="14">
        <f>SUM(BO$5:BO21)</f>
        <v>0</v>
      </c>
      <c r="DG21" s="14">
        <f>SUM(BP$5:BP21)</f>
        <v>0</v>
      </c>
      <c r="DH21" s="14">
        <f>SUM(BQ$5:BQ21)</f>
        <v>0</v>
      </c>
      <c r="DI21" s="14">
        <f>SUM(BR$5:BR21)</f>
        <v>0</v>
      </c>
      <c r="DJ21" s="14">
        <f>SUM(BS$5:BS21)</f>
        <v>0</v>
      </c>
      <c r="DK21" s="14">
        <f>SUM(BT$5:BT21)</f>
        <v>0</v>
      </c>
      <c r="DL21" s="14">
        <f>SUM(BU$5:BU21)</f>
        <v>0</v>
      </c>
      <c r="DM21" s="14">
        <f>SUM(BV$5:BV21)</f>
        <v>0</v>
      </c>
      <c r="DN21" s="14">
        <f>SUM(BW$5:BW21)</f>
        <v>0</v>
      </c>
      <c r="DO21" s="14">
        <f>SUM(BX$5:BX21)</f>
        <v>0</v>
      </c>
      <c r="DP21" s="14">
        <f>SUM(BY$5:BY21)</f>
        <v>0</v>
      </c>
      <c r="DQ21" s="14">
        <f>SUM(BZ$5:BZ21)</f>
        <v>0</v>
      </c>
      <c r="DR21" s="14">
        <f>SUM(CA$5:CA21)</f>
        <v>0</v>
      </c>
      <c r="DS21" s="14">
        <f>SUM(CB$5:CB21)</f>
        <v>0</v>
      </c>
      <c r="DT21" s="14">
        <f>SUM(CC$5:CC21)</f>
        <v>0</v>
      </c>
      <c r="DU21" s="14">
        <f>SUM(CD$5:CD21)</f>
        <v>0</v>
      </c>
      <c r="DV21" s="14">
        <f>SUM(CE$5:CE21)</f>
        <v>0</v>
      </c>
      <c r="DW21" s="14">
        <f>SUM(CF$5:CF21)</f>
        <v>0</v>
      </c>
      <c r="DX21" s="14">
        <f>SUM(CG$5:CG21)</f>
        <v>0</v>
      </c>
      <c r="DY21" s="14">
        <f>SUM(CH$5:CH21)</f>
        <v>0</v>
      </c>
      <c r="DZ21" s="14">
        <f>SUM(CI$5:CI21)</f>
        <v>0</v>
      </c>
      <c r="EA21" s="14">
        <f>SUM(CJ$5:CJ21)</f>
        <v>0</v>
      </c>
      <c r="EB21" s="14">
        <f>SUM(CK$5:CK21)</f>
        <v>0</v>
      </c>
      <c r="EC21" s="14">
        <f>SUM(CL$5:CL21)</f>
        <v>0</v>
      </c>
      <c r="ED21" s="14">
        <f>SUM(CM$5:CM21)</f>
        <v>0</v>
      </c>
      <c r="EE21" s="14">
        <f>SUM(CN$5:CN21)</f>
        <v>0</v>
      </c>
      <c r="EF21" s="14">
        <f>SUM(CO$5:CO21)</f>
        <v>0</v>
      </c>
      <c r="EG21" s="14">
        <f>SUM(CP$5:CP21)</f>
        <v>0</v>
      </c>
      <c r="EH21" s="14">
        <f>SUM(CQ$5:CQ21)</f>
        <v>0</v>
      </c>
      <c r="EI21" s="14">
        <f>SUM(CR$5:CR21)</f>
        <v>0</v>
      </c>
      <c r="EJ21" s="14">
        <f>SUM(CS$5:CS21)</f>
        <v>0</v>
      </c>
      <c r="EK21" s="14">
        <f>SUM(CT$5:CT21)</f>
        <v>0</v>
      </c>
      <c r="EL21" s="14">
        <f>SUM(CU$5:CU21)</f>
        <v>0</v>
      </c>
      <c r="EO21" s="87">
        <f t="shared" si="11"/>
        <v>0</v>
      </c>
      <c r="EP21" s="87">
        <f t="shared" si="12"/>
        <v>0</v>
      </c>
      <c r="EQ21" s="87">
        <f t="shared" si="13"/>
        <v>0</v>
      </c>
      <c r="ER21" s="87">
        <f t="shared" si="14"/>
        <v>0</v>
      </c>
      <c r="ES21" s="87">
        <f t="shared" si="15"/>
        <v>0</v>
      </c>
      <c r="ET21" s="87">
        <f t="shared" si="16"/>
        <v>0</v>
      </c>
      <c r="EU21" s="87">
        <f t="shared" si="17"/>
        <v>0</v>
      </c>
      <c r="EV21" s="87">
        <f t="shared" si="18"/>
        <v>0</v>
      </c>
      <c r="EW21" s="87">
        <f t="shared" si="19"/>
        <v>0</v>
      </c>
      <c r="EX21" s="87">
        <f t="shared" si="20"/>
        <v>0</v>
      </c>
      <c r="EY21" s="87">
        <f t="shared" si="21"/>
        <v>0</v>
      </c>
      <c r="EZ21" s="87">
        <f t="shared" si="22"/>
        <v>0</v>
      </c>
      <c r="FA21" s="87">
        <f t="shared" si="23"/>
        <v>0</v>
      </c>
      <c r="FB21" s="87">
        <f t="shared" si="24"/>
        <v>0</v>
      </c>
      <c r="FC21" s="87">
        <f t="shared" si="25"/>
        <v>0</v>
      </c>
      <c r="FD21" s="87">
        <f t="shared" si="26"/>
        <v>0</v>
      </c>
      <c r="FE21" s="87">
        <f t="shared" si="27"/>
        <v>0</v>
      </c>
      <c r="FF21" s="87">
        <f t="shared" si="28"/>
        <v>0</v>
      </c>
      <c r="FG21" s="87">
        <f t="shared" si="29"/>
        <v>0</v>
      </c>
      <c r="FH21" s="87">
        <f t="shared" si="30"/>
        <v>0</v>
      </c>
      <c r="FI21" s="87">
        <f t="shared" si="31"/>
        <v>0</v>
      </c>
      <c r="FJ21" s="87">
        <f t="shared" si="32"/>
        <v>0</v>
      </c>
      <c r="FK21" s="87">
        <f t="shared" si="33"/>
        <v>0</v>
      </c>
      <c r="FL21" s="87">
        <f t="shared" si="34"/>
        <v>0</v>
      </c>
      <c r="FM21" s="87">
        <f t="shared" si="35"/>
        <v>0</v>
      </c>
      <c r="FN21" s="87">
        <f t="shared" si="36"/>
        <v>0</v>
      </c>
      <c r="FO21" s="87">
        <f t="shared" si="37"/>
        <v>0</v>
      </c>
      <c r="FP21" s="87">
        <f t="shared" si="38"/>
        <v>0</v>
      </c>
      <c r="FQ21" s="87">
        <f t="shared" si="39"/>
        <v>0</v>
      </c>
      <c r="FR21" s="87">
        <f t="shared" si="40"/>
        <v>0</v>
      </c>
      <c r="FS21" s="87">
        <f t="shared" si="41"/>
        <v>0</v>
      </c>
      <c r="FT21" s="87">
        <f t="shared" si="42"/>
        <v>0</v>
      </c>
      <c r="FU21" s="87">
        <f t="shared" si="43"/>
        <v>0</v>
      </c>
      <c r="FV21" s="87">
        <f t="shared" si="44"/>
        <v>0</v>
      </c>
      <c r="FW21" s="87">
        <f t="shared" si="45"/>
        <v>0</v>
      </c>
      <c r="FX21" s="87">
        <f t="shared" si="46"/>
        <v>0</v>
      </c>
      <c r="FY21" s="87">
        <f t="shared" si="47"/>
        <v>0</v>
      </c>
      <c r="FZ21" s="87">
        <f t="shared" si="48"/>
        <v>0</v>
      </c>
      <c r="GA21" s="87">
        <f t="shared" si="49"/>
        <v>0</v>
      </c>
      <c r="GB21" s="87">
        <f t="shared" si="50"/>
        <v>0</v>
      </c>
      <c r="GC21" s="87">
        <f t="shared" si="51"/>
        <v>0</v>
      </c>
      <c r="GD21" s="87">
        <f t="shared" si="52"/>
        <v>0</v>
      </c>
    </row>
    <row r="22" spans="11:186" ht="16.5" x14ac:dyDescent="0.2">
      <c r="K22" s="86">
        <v>18</v>
      </c>
      <c r="L22" s="86">
        <v>4</v>
      </c>
      <c r="M22" s="86">
        <v>4</v>
      </c>
      <c r="N22" s="86" t="str">
        <f t="shared" si="3"/>
        <v>神器4-4</v>
      </c>
      <c r="O22" s="86">
        <v>2</v>
      </c>
      <c r="P22" s="14">
        <f t="shared" si="4"/>
        <v>75</v>
      </c>
      <c r="Q22" s="88">
        <v>0.16</v>
      </c>
      <c r="R22" s="14">
        <v>1</v>
      </c>
      <c r="S22" s="14">
        <v>2</v>
      </c>
      <c r="T22" s="88">
        <v>0.16</v>
      </c>
      <c r="U22" s="14">
        <v>1</v>
      </c>
      <c r="V22" s="14">
        <v>3</v>
      </c>
      <c r="W22" s="88">
        <v>0.16</v>
      </c>
      <c r="X22" s="14">
        <v>2</v>
      </c>
      <c r="Y22" s="14">
        <v>4</v>
      </c>
      <c r="AB22" s="86">
        <v>17</v>
      </c>
      <c r="AC22" s="86">
        <v>10</v>
      </c>
      <c r="AD22" s="86">
        <f>SUM(AC$6:AC22)</f>
        <v>75</v>
      </c>
      <c r="AO22" s="48">
        <v>3</v>
      </c>
      <c r="AP22" s="86">
        <v>7</v>
      </c>
      <c r="AQ22" s="86">
        <v>2</v>
      </c>
      <c r="AR22" s="48">
        <v>2</v>
      </c>
      <c r="AS22" s="86" t="s">
        <v>313</v>
      </c>
      <c r="AT22" s="21">
        <f t="shared" si="0"/>
        <v>5.3999999999999999E-2</v>
      </c>
      <c r="AU22" s="86">
        <f t="shared" si="5"/>
        <v>1</v>
      </c>
      <c r="AV22" s="86">
        <f t="shared" si="6"/>
        <v>3</v>
      </c>
      <c r="AW22" s="87">
        <f t="shared" si="7"/>
        <v>0.108</v>
      </c>
      <c r="AX22" s="86">
        <f t="shared" si="8"/>
        <v>4.8600000000000003</v>
      </c>
      <c r="BA22" s="86">
        <v>18</v>
      </c>
      <c r="BB22" s="14" t="e">
        <f>INDEX(节奏总表!#REF!,神器!BA22)</f>
        <v>#REF!</v>
      </c>
      <c r="BC22" s="14" t="e">
        <f t="shared" si="9"/>
        <v>#REF!</v>
      </c>
      <c r="BD22" s="14">
        <v>5</v>
      </c>
      <c r="BE22" s="14">
        <v>3</v>
      </c>
      <c r="BF22" s="14">
        <f t="shared" si="10"/>
        <v>0</v>
      </c>
      <c r="BG22" s="14">
        <f t="shared" si="10"/>
        <v>0</v>
      </c>
      <c r="BH22" s="14">
        <f t="shared" si="10"/>
        <v>0</v>
      </c>
      <c r="BI22" s="14">
        <f t="shared" si="10"/>
        <v>0</v>
      </c>
      <c r="BJ22" s="14">
        <f t="shared" si="10"/>
        <v>0</v>
      </c>
      <c r="BK22" s="14">
        <f t="shared" si="10"/>
        <v>0</v>
      </c>
      <c r="BL22" s="14">
        <f t="shared" si="10"/>
        <v>0</v>
      </c>
      <c r="BM22" s="14">
        <f t="shared" si="10"/>
        <v>0</v>
      </c>
      <c r="BN22" s="14">
        <f t="shared" si="10"/>
        <v>0</v>
      </c>
      <c r="BO22" s="14">
        <f t="shared" si="10"/>
        <v>0</v>
      </c>
      <c r="BP22" s="14">
        <f t="shared" si="10"/>
        <v>0</v>
      </c>
      <c r="BQ22" s="14">
        <f t="shared" si="10"/>
        <v>0</v>
      </c>
      <c r="BR22" s="14">
        <f t="shared" si="10"/>
        <v>0</v>
      </c>
      <c r="BS22" s="14">
        <f t="shared" si="10"/>
        <v>0</v>
      </c>
      <c r="BT22" s="14">
        <f t="shared" si="10"/>
        <v>0</v>
      </c>
      <c r="BU22" s="14">
        <f t="shared" si="10"/>
        <v>0</v>
      </c>
      <c r="BV22" s="14">
        <f t="shared" si="54"/>
        <v>0</v>
      </c>
      <c r="BW22" s="14">
        <f t="shared" si="54"/>
        <v>0</v>
      </c>
      <c r="BX22" s="14">
        <f t="shared" si="54"/>
        <v>0</v>
      </c>
      <c r="BY22" s="14">
        <f t="shared" si="54"/>
        <v>0</v>
      </c>
      <c r="BZ22" s="14">
        <f t="shared" si="54"/>
        <v>0</v>
      </c>
      <c r="CA22" s="14">
        <f t="shared" si="54"/>
        <v>0</v>
      </c>
      <c r="CB22" s="14">
        <f t="shared" si="54"/>
        <v>0</v>
      </c>
      <c r="CC22" s="14">
        <f t="shared" si="54"/>
        <v>0</v>
      </c>
      <c r="CD22" s="14">
        <f t="shared" si="54"/>
        <v>0</v>
      </c>
      <c r="CE22" s="14">
        <f t="shared" si="54"/>
        <v>0</v>
      </c>
      <c r="CF22" s="14">
        <f t="shared" si="55"/>
        <v>0</v>
      </c>
      <c r="CG22" s="14">
        <f t="shared" si="55"/>
        <v>0</v>
      </c>
      <c r="CH22" s="14">
        <f t="shared" si="55"/>
        <v>0</v>
      </c>
      <c r="CI22" s="14">
        <f t="shared" si="55"/>
        <v>0</v>
      </c>
      <c r="CJ22" s="14">
        <f t="shared" si="55"/>
        <v>0</v>
      </c>
      <c r="CK22" s="14">
        <f t="shared" si="55"/>
        <v>0</v>
      </c>
      <c r="CL22" s="14">
        <f t="shared" si="55"/>
        <v>0</v>
      </c>
      <c r="CM22" s="14">
        <f t="shared" si="55"/>
        <v>0</v>
      </c>
      <c r="CN22" s="14">
        <f t="shared" si="55"/>
        <v>0</v>
      </c>
      <c r="CO22" s="14">
        <f t="shared" si="55"/>
        <v>0</v>
      </c>
      <c r="CP22" s="14">
        <f t="shared" si="55"/>
        <v>0</v>
      </c>
      <c r="CQ22" s="14">
        <f t="shared" si="55"/>
        <v>0</v>
      </c>
      <c r="CR22" s="14">
        <f t="shared" si="55"/>
        <v>0</v>
      </c>
      <c r="CS22" s="14">
        <f t="shared" si="55"/>
        <v>0</v>
      </c>
      <c r="CT22" s="14">
        <f t="shared" si="55"/>
        <v>0</v>
      </c>
      <c r="CU22" s="14">
        <f t="shared" si="55"/>
        <v>0</v>
      </c>
      <c r="CW22" s="14">
        <f>SUM(BF$5:BF22)</f>
        <v>0</v>
      </c>
      <c r="CX22" s="14">
        <f>SUM(BG$5:BG22)</f>
        <v>0</v>
      </c>
      <c r="CY22" s="14">
        <f>SUM(BH$5:BH22)</f>
        <v>0</v>
      </c>
      <c r="CZ22" s="14">
        <f>SUM(BI$5:BI22)</f>
        <v>0</v>
      </c>
      <c r="DA22" s="14">
        <f>SUM(BJ$5:BJ22)</f>
        <v>0</v>
      </c>
      <c r="DB22" s="14">
        <f>SUM(BK$5:BK22)</f>
        <v>0</v>
      </c>
      <c r="DC22" s="14">
        <f>SUM(BL$5:BL22)</f>
        <v>0</v>
      </c>
      <c r="DD22" s="14">
        <f>SUM(BM$5:BM22)</f>
        <v>0</v>
      </c>
      <c r="DE22" s="14">
        <f>SUM(BN$5:BN22)</f>
        <v>0</v>
      </c>
      <c r="DF22" s="14">
        <f>SUM(BO$5:BO22)</f>
        <v>0</v>
      </c>
      <c r="DG22" s="14">
        <f>SUM(BP$5:BP22)</f>
        <v>0</v>
      </c>
      <c r="DH22" s="14">
        <f>SUM(BQ$5:BQ22)</f>
        <v>0</v>
      </c>
      <c r="DI22" s="14">
        <f>SUM(BR$5:BR22)</f>
        <v>0</v>
      </c>
      <c r="DJ22" s="14">
        <f>SUM(BS$5:BS22)</f>
        <v>0</v>
      </c>
      <c r="DK22" s="14">
        <f>SUM(BT$5:BT22)</f>
        <v>0</v>
      </c>
      <c r="DL22" s="14">
        <f>SUM(BU$5:BU22)</f>
        <v>0</v>
      </c>
      <c r="DM22" s="14">
        <f>SUM(BV$5:BV22)</f>
        <v>0</v>
      </c>
      <c r="DN22" s="14">
        <f>SUM(BW$5:BW22)</f>
        <v>0</v>
      </c>
      <c r="DO22" s="14">
        <f>SUM(BX$5:BX22)</f>
        <v>0</v>
      </c>
      <c r="DP22" s="14">
        <f>SUM(BY$5:BY22)</f>
        <v>0</v>
      </c>
      <c r="DQ22" s="14">
        <f>SUM(BZ$5:BZ22)</f>
        <v>0</v>
      </c>
      <c r="DR22" s="14">
        <f>SUM(CA$5:CA22)</f>
        <v>0</v>
      </c>
      <c r="DS22" s="14">
        <f>SUM(CB$5:CB22)</f>
        <v>0</v>
      </c>
      <c r="DT22" s="14">
        <f>SUM(CC$5:CC22)</f>
        <v>0</v>
      </c>
      <c r="DU22" s="14">
        <f>SUM(CD$5:CD22)</f>
        <v>0</v>
      </c>
      <c r="DV22" s="14">
        <f>SUM(CE$5:CE22)</f>
        <v>0</v>
      </c>
      <c r="DW22" s="14">
        <f>SUM(CF$5:CF22)</f>
        <v>0</v>
      </c>
      <c r="DX22" s="14">
        <f>SUM(CG$5:CG22)</f>
        <v>0</v>
      </c>
      <c r="DY22" s="14">
        <f>SUM(CH$5:CH22)</f>
        <v>0</v>
      </c>
      <c r="DZ22" s="14">
        <f>SUM(CI$5:CI22)</f>
        <v>0</v>
      </c>
      <c r="EA22" s="14">
        <f>SUM(CJ$5:CJ22)</f>
        <v>0</v>
      </c>
      <c r="EB22" s="14">
        <f>SUM(CK$5:CK22)</f>
        <v>0</v>
      </c>
      <c r="EC22" s="14">
        <f>SUM(CL$5:CL22)</f>
        <v>0</v>
      </c>
      <c r="ED22" s="14">
        <f>SUM(CM$5:CM22)</f>
        <v>0</v>
      </c>
      <c r="EE22" s="14">
        <f>SUM(CN$5:CN22)</f>
        <v>0</v>
      </c>
      <c r="EF22" s="14">
        <f>SUM(CO$5:CO22)</f>
        <v>0</v>
      </c>
      <c r="EG22" s="14">
        <f>SUM(CP$5:CP22)</f>
        <v>0</v>
      </c>
      <c r="EH22" s="14">
        <f>SUM(CQ$5:CQ22)</f>
        <v>0</v>
      </c>
      <c r="EI22" s="14">
        <f>SUM(CR$5:CR22)</f>
        <v>0</v>
      </c>
      <c r="EJ22" s="14">
        <f>SUM(CS$5:CS22)</f>
        <v>0</v>
      </c>
      <c r="EK22" s="14">
        <f>SUM(CT$5:CT22)</f>
        <v>0</v>
      </c>
      <c r="EL22" s="14">
        <f>SUM(CU$5:CU22)</f>
        <v>0</v>
      </c>
      <c r="EO22" s="87">
        <f t="shared" si="11"/>
        <v>0</v>
      </c>
      <c r="EP22" s="87">
        <f t="shared" si="12"/>
        <v>0</v>
      </c>
      <c r="EQ22" s="87">
        <f t="shared" si="13"/>
        <v>0</v>
      </c>
      <c r="ER22" s="87">
        <f t="shared" si="14"/>
        <v>0</v>
      </c>
      <c r="ES22" s="87">
        <f t="shared" si="15"/>
        <v>0</v>
      </c>
      <c r="ET22" s="87">
        <f t="shared" si="16"/>
        <v>0</v>
      </c>
      <c r="EU22" s="87">
        <f t="shared" si="17"/>
        <v>0</v>
      </c>
      <c r="EV22" s="87">
        <f t="shared" si="18"/>
        <v>0</v>
      </c>
      <c r="EW22" s="87">
        <f t="shared" si="19"/>
        <v>0</v>
      </c>
      <c r="EX22" s="87">
        <f t="shared" si="20"/>
        <v>0</v>
      </c>
      <c r="EY22" s="87">
        <f t="shared" si="21"/>
        <v>0</v>
      </c>
      <c r="EZ22" s="87">
        <f t="shared" si="22"/>
        <v>0</v>
      </c>
      <c r="FA22" s="87">
        <f t="shared" si="23"/>
        <v>0</v>
      </c>
      <c r="FB22" s="87">
        <f t="shared" si="24"/>
        <v>0</v>
      </c>
      <c r="FC22" s="87">
        <f t="shared" si="25"/>
        <v>0</v>
      </c>
      <c r="FD22" s="87">
        <f t="shared" si="26"/>
        <v>0</v>
      </c>
      <c r="FE22" s="87">
        <f t="shared" si="27"/>
        <v>0</v>
      </c>
      <c r="FF22" s="87">
        <f t="shared" si="28"/>
        <v>0</v>
      </c>
      <c r="FG22" s="87">
        <f t="shared" si="29"/>
        <v>0</v>
      </c>
      <c r="FH22" s="87">
        <f t="shared" si="30"/>
        <v>0</v>
      </c>
      <c r="FI22" s="87">
        <f t="shared" si="31"/>
        <v>0</v>
      </c>
      <c r="FJ22" s="87">
        <f t="shared" si="32"/>
        <v>0</v>
      </c>
      <c r="FK22" s="87">
        <f t="shared" si="33"/>
        <v>0</v>
      </c>
      <c r="FL22" s="87">
        <f t="shared" si="34"/>
        <v>0</v>
      </c>
      <c r="FM22" s="87">
        <f t="shared" si="35"/>
        <v>0</v>
      </c>
      <c r="FN22" s="87">
        <f t="shared" si="36"/>
        <v>0</v>
      </c>
      <c r="FO22" s="87">
        <f t="shared" si="37"/>
        <v>0</v>
      </c>
      <c r="FP22" s="87">
        <f t="shared" si="38"/>
        <v>0</v>
      </c>
      <c r="FQ22" s="87">
        <f t="shared" si="39"/>
        <v>0</v>
      </c>
      <c r="FR22" s="87">
        <f t="shared" si="40"/>
        <v>0</v>
      </c>
      <c r="FS22" s="87">
        <f t="shared" si="41"/>
        <v>0</v>
      </c>
      <c r="FT22" s="87">
        <f t="shared" si="42"/>
        <v>0</v>
      </c>
      <c r="FU22" s="87">
        <f t="shared" si="43"/>
        <v>0</v>
      </c>
      <c r="FV22" s="87">
        <f t="shared" si="44"/>
        <v>0</v>
      </c>
      <c r="FW22" s="87">
        <f t="shared" si="45"/>
        <v>0</v>
      </c>
      <c r="FX22" s="87">
        <f t="shared" si="46"/>
        <v>0</v>
      </c>
      <c r="FY22" s="87">
        <f t="shared" si="47"/>
        <v>0</v>
      </c>
      <c r="FZ22" s="87">
        <f t="shared" si="48"/>
        <v>0</v>
      </c>
      <c r="GA22" s="87">
        <f t="shared" si="49"/>
        <v>0</v>
      </c>
      <c r="GB22" s="87">
        <f t="shared" si="50"/>
        <v>0</v>
      </c>
      <c r="GC22" s="87">
        <f t="shared" si="51"/>
        <v>0</v>
      </c>
      <c r="GD22" s="87">
        <f t="shared" si="52"/>
        <v>0</v>
      </c>
    </row>
    <row r="23" spans="11:186" ht="16.5" x14ac:dyDescent="0.2">
      <c r="K23" s="86">
        <v>19</v>
      </c>
      <c r="L23" s="86">
        <v>4</v>
      </c>
      <c r="M23" s="86">
        <v>5</v>
      </c>
      <c r="N23" s="86" t="str">
        <f t="shared" si="3"/>
        <v>神器4-5</v>
      </c>
      <c r="O23" s="86">
        <v>3</v>
      </c>
      <c r="P23" s="14">
        <f t="shared" si="4"/>
        <v>175</v>
      </c>
      <c r="Q23" s="88">
        <v>0.12</v>
      </c>
      <c r="R23" s="14">
        <v>1</v>
      </c>
      <c r="S23" s="14">
        <v>1</v>
      </c>
      <c r="T23" s="88">
        <v>0.12</v>
      </c>
      <c r="U23" s="14">
        <v>1</v>
      </c>
      <c r="V23" s="14">
        <v>2</v>
      </c>
      <c r="W23" s="88">
        <v>0.12</v>
      </c>
      <c r="X23" s="14">
        <v>1</v>
      </c>
      <c r="Y23" s="14">
        <v>3</v>
      </c>
      <c r="AB23" s="86">
        <v>18</v>
      </c>
      <c r="AC23" s="86">
        <v>10</v>
      </c>
      <c r="AD23" s="86">
        <f>SUM(AC$6:AC23)</f>
        <v>85</v>
      </c>
      <c r="AO23" s="48">
        <v>3</v>
      </c>
      <c r="AP23" s="86">
        <v>8</v>
      </c>
      <c r="AQ23" s="86">
        <v>2</v>
      </c>
      <c r="AR23" s="48">
        <v>2</v>
      </c>
      <c r="AS23" s="86" t="s">
        <v>314</v>
      </c>
      <c r="AT23" s="21">
        <f t="shared" si="0"/>
        <v>3.5999999999999997E-2</v>
      </c>
      <c r="AU23" s="86">
        <f t="shared" si="5"/>
        <v>1</v>
      </c>
      <c r="AV23" s="86">
        <f t="shared" si="6"/>
        <v>2</v>
      </c>
      <c r="AW23" s="87">
        <f t="shared" si="7"/>
        <v>5.3999999999999992E-2</v>
      </c>
      <c r="AX23" s="86">
        <f t="shared" si="8"/>
        <v>5.67</v>
      </c>
      <c r="BA23" s="86">
        <v>19</v>
      </c>
      <c r="BB23" s="14" t="e">
        <f>INDEX(节奏总表!#REF!,神器!BA23)</f>
        <v>#REF!</v>
      </c>
      <c r="BC23" s="14" t="e">
        <f t="shared" si="9"/>
        <v>#REF!</v>
      </c>
      <c r="BD23" s="14">
        <v>5</v>
      </c>
      <c r="BE23" s="14">
        <v>3</v>
      </c>
      <c r="BF23" s="14">
        <f t="shared" si="10"/>
        <v>0</v>
      </c>
      <c r="BG23" s="14">
        <f t="shared" si="10"/>
        <v>0</v>
      </c>
      <c r="BH23" s="14">
        <f t="shared" si="10"/>
        <v>0</v>
      </c>
      <c r="BI23" s="14">
        <f t="shared" si="10"/>
        <v>0</v>
      </c>
      <c r="BJ23" s="14">
        <f t="shared" si="10"/>
        <v>0</v>
      </c>
      <c r="BK23" s="14">
        <f t="shared" si="10"/>
        <v>0</v>
      </c>
      <c r="BL23" s="14">
        <f t="shared" si="10"/>
        <v>0</v>
      </c>
      <c r="BM23" s="14">
        <f t="shared" si="10"/>
        <v>0</v>
      </c>
      <c r="BN23" s="14">
        <f t="shared" si="10"/>
        <v>0</v>
      </c>
      <c r="BO23" s="14">
        <f t="shared" si="10"/>
        <v>0</v>
      </c>
      <c r="BP23" s="14">
        <f t="shared" si="10"/>
        <v>0</v>
      </c>
      <c r="BQ23" s="14">
        <f t="shared" si="10"/>
        <v>0</v>
      </c>
      <c r="BR23" s="14">
        <f t="shared" si="10"/>
        <v>0</v>
      </c>
      <c r="BS23" s="14">
        <f t="shared" si="10"/>
        <v>0</v>
      </c>
      <c r="BT23" s="14">
        <f t="shared" si="10"/>
        <v>0</v>
      </c>
      <c r="BU23" s="14">
        <f t="shared" si="10"/>
        <v>0</v>
      </c>
      <c r="BV23" s="14">
        <f t="shared" si="54"/>
        <v>0</v>
      </c>
      <c r="BW23" s="14">
        <f t="shared" si="54"/>
        <v>0</v>
      </c>
      <c r="BX23" s="14">
        <f t="shared" si="54"/>
        <v>0</v>
      </c>
      <c r="BY23" s="14">
        <f t="shared" si="54"/>
        <v>0</v>
      </c>
      <c r="BZ23" s="14">
        <f t="shared" si="54"/>
        <v>0</v>
      </c>
      <c r="CA23" s="14">
        <f t="shared" si="54"/>
        <v>0</v>
      </c>
      <c r="CB23" s="14">
        <f t="shared" si="54"/>
        <v>0</v>
      </c>
      <c r="CC23" s="14">
        <f t="shared" si="54"/>
        <v>0</v>
      </c>
      <c r="CD23" s="14">
        <f t="shared" si="54"/>
        <v>0</v>
      </c>
      <c r="CE23" s="14">
        <f t="shared" si="54"/>
        <v>0</v>
      </c>
      <c r="CF23" s="14">
        <f t="shared" si="55"/>
        <v>0</v>
      </c>
      <c r="CG23" s="14">
        <f t="shared" si="55"/>
        <v>0</v>
      </c>
      <c r="CH23" s="14">
        <f t="shared" si="55"/>
        <v>0</v>
      </c>
      <c r="CI23" s="14">
        <f t="shared" si="55"/>
        <v>0</v>
      </c>
      <c r="CJ23" s="14">
        <f t="shared" si="55"/>
        <v>0</v>
      </c>
      <c r="CK23" s="14">
        <f t="shared" si="55"/>
        <v>0</v>
      </c>
      <c r="CL23" s="14">
        <f t="shared" si="55"/>
        <v>0</v>
      </c>
      <c r="CM23" s="14">
        <f t="shared" si="55"/>
        <v>0</v>
      </c>
      <c r="CN23" s="14">
        <f t="shared" si="55"/>
        <v>0</v>
      </c>
      <c r="CO23" s="14">
        <f t="shared" si="55"/>
        <v>0</v>
      </c>
      <c r="CP23" s="14">
        <f t="shared" si="55"/>
        <v>0</v>
      </c>
      <c r="CQ23" s="14">
        <f t="shared" si="55"/>
        <v>0</v>
      </c>
      <c r="CR23" s="14">
        <f t="shared" si="55"/>
        <v>0</v>
      </c>
      <c r="CS23" s="14">
        <f t="shared" si="55"/>
        <v>0</v>
      </c>
      <c r="CT23" s="14">
        <f t="shared" si="55"/>
        <v>0</v>
      </c>
      <c r="CU23" s="14">
        <f t="shared" si="55"/>
        <v>0</v>
      </c>
      <c r="CW23" s="14">
        <f>SUM(BF$5:BF23)</f>
        <v>0</v>
      </c>
      <c r="CX23" s="14">
        <f>SUM(BG$5:BG23)</f>
        <v>0</v>
      </c>
      <c r="CY23" s="14">
        <f>SUM(BH$5:BH23)</f>
        <v>0</v>
      </c>
      <c r="CZ23" s="14">
        <f>SUM(BI$5:BI23)</f>
        <v>0</v>
      </c>
      <c r="DA23" s="14">
        <f>SUM(BJ$5:BJ23)</f>
        <v>0</v>
      </c>
      <c r="DB23" s="14">
        <f>SUM(BK$5:BK23)</f>
        <v>0</v>
      </c>
      <c r="DC23" s="14">
        <f>SUM(BL$5:BL23)</f>
        <v>0</v>
      </c>
      <c r="DD23" s="14">
        <f>SUM(BM$5:BM23)</f>
        <v>0</v>
      </c>
      <c r="DE23" s="14">
        <f>SUM(BN$5:BN23)</f>
        <v>0</v>
      </c>
      <c r="DF23" s="14">
        <f>SUM(BO$5:BO23)</f>
        <v>0</v>
      </c>
      <c r="DG23" s="14">
        <f>SUM(BP$5:BP23)</f>
        <v>0</v>
      </c>
      <c r="DH23" s="14">
        <f>SUM(BQ$5:BQ23)</f>
        <v>0</v>
      </c>
      <c r="DI23" s="14">
        <f>SUM(BR$5:BR23)</f>
        <v>0</v>
      </c>
      <c r="DJ23" s="14">
        <f>SUM(BS$5:BS23)</f>
        <v>0</v>
      </c>
      <c r="DK23" s="14">
        <f>SUM(BT$5:BT23)</f>
        <v>0</v>
      </c>
      <c r="DL23" s="14">
        <f>SUM(BU$5:BU23)</f>
        <v>0</v>
      </c>
      <c r="DM23" s="14">
        <f>SUM(BV$5:BV23)</f>
        <v>0</v>
      </c>
      <c r="DN23" s="14">
        <f>SUM(BW$5:BW23)</f>
        <v>0</v>
      </c>
      <c r="DO23" s="14">
        <f>SUM(BX$5:BX23)</f>
        <v>0</v>
      </c>
      <c r="DP23" s="14">
        <f>SUM(BY$5:BY23)</f>
        <v>0</v>
      </c>
      <c r="DQ23" s="14">
        <f>SUM(BZ$5:BZ23)</f>
        <v>0</v>
      </c>
      <c r="DR23" s="14">
        <f>SUM(CA$5:CA23)</f>
        <v>0</v>
      </c>
      <c r="DS23" s="14">
        <f>SUM(CB$5:CB23)</f>
        <v>0</v>
      </c>
      <c r="DT23" s="14">
        <f>SUM(CC$5:CC23)</f>
        <v>0</v>
      </c>
      <c r="DU23" s="14">
        <f>SUM(CD$5:CD23)</f>
        <v>0</v>
      </c>
      <c r="DV23" s="14">
        <f>SUM(CE$5:CE23)</f>
        <v>0</v>
      </c>
      <c r="DW23" s="14">
        <f>SUM(CF$5:CF23)</f>
        <v>0</v>
      </c>
      <c r="DX23" s="14">
        <f>SUM(CG$5:CG23)</f>
        <v>0</v>
      </c>
      <c r="DY23" s="14">
        <f>SUM(CH$5:CH23)</f>
        <v>0</v>
      </c>
      <c r="DZ23" s="14">
        <f>SUM(CI$5:CI23)</f>
        <v>0</v>
      </c>
      <c r="EA23" s="14">
        <f>SUM(CJ$5:CJ23)</f>
        <v>0</v>
      </c>
      <c r="EB23" s="14">
        <f>SUM(CK$5:CK23)</f>
        <v>0</v>
      </c>
      <c r="EC23" s="14">
        <f>SUM(CL$5:CL23)</f>
        <v>0</v>
      </c>
      <c r="ED23" s="14">
        <f>SUM(CM$5:CM23)</f>
        <v>0</v>
      </c>
      <c r="EE23" s="14">
        <f>SUM(CN$5:CN23)</f>
        <v>0</v>
      </c>
      <c r="EF23" s="14">
        <f>SUM(CO$5:CO23)</f>
        <v>0</v>
      </c>
      <c r="EG23" s="14">
        <f>SUM(CP$5:CP23)</f>
        <v>0</v>
      </c>
      <c r="EH23" s="14">
        <f>SUM(CQ$5:CQ23)</f>
        <v>0</v>
      </c>
      <c r="EI23" s="14">
        <f>SUM(CR$5:CR23)</f>
        <v>0</v>
      </c>
      <c r="EJ23" s="14">
        <f>SUM(CS$5:CS23)</f>
        <v>0</v>
      </c>
      <c r="EK23" s="14">
        <f>SUM(CT$5:CT23)</f>
        <v>0</v>
      </c>
      <c r="EL23" s="14">
        <f>SUM(CU$5:CU23)</f>
        <v>0</v>
      </c>
      <c r="EO23" s="87">
        <f t="shared" si="11"/>
        <v>0</v>
      </c>
      <c r="EP23" s="87">
        <f t="shared" si="12"/>
        <v>0</v>
      </c>
      <c r="EQ23" s="87">
        <f t="shared" si="13"/>
        <v>0</v>
      </c>
      <c r="ER23" s="87">
        <f t="shared" si="14"/>
        <v>0</v>
      </c>
      <c r="ES23" s="87">
        <f t="shared" si="15"/>
        <v>0</v>
      </c>
      <c r="ET23" s="87">
        <f t="shared" si="16"/>
        <v>0</v>
      </c>
      <c r="EU23" s="87">
        <f t="shared" si="17"/>
        <v>0</v>
      </c>
      <c r="EV23" s="87">
        <f t="shared" si="18"/>
        <v>0</v>
      </c>
      <c r="EW23" s="87">
        <f t="shared" si="19"/>
        <v>0</v>
      </c>
      <c r="EX23" s="87">
        <f t="shared" si="20"/>
        <v>0</v>
      </c>
      <c r="EY23" s="87">
        <f t="shared" si="21"/>
        <v>0</v>
      </c>
      <c r="EZ23" s="87">
        <f t="shared" si="22"/>
        <v>0</v>
      </c>
      <c r="FA23" s="87">
        <f t="shared" si="23"/>
        <v>0</v>
      </c>
      <c r="FB23" s="87">
        <f t="shared" si="24"/>
        <v>0</v>
      </c>
      <c r="FC23" s="87">
        <f t="shared" si="25"/>
        <v>0</v>
      </c>
      <c r="FD23" s="87">
        <f t="shared" si="26"/>
        <v>0</v>
      </c>
      <c r="FE23" s="87">
        <f t="shared" si="27"/>
        <v>0</v>
      </c>
      <c r="FF23" s="87">
        <f t="shared" si="28"/>
        <v>0</v>
      </c>
      <c r="FG23" s="87">
        <f t="shared" si="29"/>
        <v>0</v>
      </c>
      <c r="FH23" s="87">
        <f t="shared" si="30"/>
        <v>0</v>
      </c>
      <c r="FI23" s="87">
        <f t="shared" si="31"/>
        <v>0</v>
      </c>
      <c r="FJ23" s="87">
        <f t="shared" si="32"/>
        <v>0</v>
      </c>
      <c r="FK23" s="87">
        <f t="shared" si="33"/>
        <v>0</v>
      </c>
      <c r="FL23" s="87">
        <f t="shared" si="34"/>
        <v>0</v>
      </c>
      <c r="FM23" s="87">
        <f t="shared" si="35"/>
        <v>0</v>
      </c>
      <c r="FN23" s="87">
        <f t="shared" si="36"/>
        <v>0</v>
      </c>
      <c r="FO23" s="87">
        <f t="shared" si="37"/>
        <v>0</v>
      </c>
      <c r="FP23" s="87">
        <f t="shared" si="38"/>
        <v>0</v>
      </c>
      <c r="FQ23" s="87">
        <f t="shared" si="39"/>
        <v>0</v>
      </c>
      <c r="FR23" s="87">
        <f t="shared" si="40"/>
        <v>0</v>
      </c>
      <c r="FS23" s="87">
        <f t="shared" si="41"/>
        <v>0</v>
      </c>
      <c r="FT23" s="87">
        <f t="shared" si="42"/>
        <v>0</v>
      </c>
      <c r="FU23" s="87">
        <f t="shared" si="43"/>
        <v>0</v>
      </c>
      <c r="FV23" s="87">
        <f t="shared" si="44"/>
        <v>0</v>
      </c>
      <c r="FW23" s="87">
        <f t="shared" si="45"/>
        <v>0</v>
      </c>
      <c r="FX23" s="87">
        <f t="shared" si="46"/>
        <v>0</v>
      </c>
      <c r="FY23" s="87">
        <f t="shared" si="47"/>
        <v>0</v>
      </c>
      <c r="FZ23" s="87">
        <f t="shared" si="48"/>
        <v>0</v>
      </c>
      <c r="GA23" s="87">
        <f t="shared" si="49"/>
        <v>0</v>
      </c>
      <c r="GB23" s="87">
        <f t="shared" si="50"/>
        <v>0</v>
      </c>
      <c r="GC23" s="87">
        <f t="shared" si="51"/>
        <v>0</v>
      </c>
      <c r="GD23" s="87">
        <f t="shared" si="52"/>
        <v>0</v>
      </c>
    </row>
    <row r="24" spans="11:186" ht="16.5" x14ac:dyDescent="0.2">
      <c r="K24" s="86">
        <v>20</v>
      </c>
      <c r="L24" s="86">
        <v>4</v>
      </c>
      <c r="M24" s="86">
        <v>6</v>
      </c>
      <c r="N24" s="86" t="str">
        <f t="shared" si="3"/>
        <v>神器4-6</v>
      </c>
      <c r="O24" s="86">
        <v>4</v>
      </c>
      <c r="P24" s="14">
        <f t="shared" si="4"/>
        <v>375</v>
      </c>
      <c r="Q24" s="88">
        <v>0.06</v>
      </c>
      <c r="R24" s="14">
        <v>1</v>
      </c>
      <c r="S24" s="14">
        <v>1</v>
      </c>
      <c r="T24" s="88">
        <v>0.06</v>
      </c>
      <c r="U24" s="14">
        <v>1</v>
      </c>
      <c r="V24" s="14">
        <v>2</v>
      </c>
      <c r="W24" s="88">
        <v>0.06</v>
      </c>
      <c r="X24" s="14">
        <v>1</v>
      </c>
      <c r="Y24" s="14">
        <v>3</v>
      </c>
      <c r="AB24" s="86">
        <v>19</v>
      </c>
      <c r="AC24" s="86">
        <v>15</v>
      </c>
      <c r="AD24" s="86">
        <f>SUM(AC$6:AC24)</f>
        <v>100</v>
      </c>
      <c r="AO24" s="48">
        <v>3</v>
      </c>
      <c r="AP24" s="86">
        <v>9</v>
      </c>
      <c r="AQ24" s="86">
        <v>3</v>
      </c>
      <c r="AR24" s="48">
        <v>1</v>
      </c>
      <c r="AS24" s="86" t="s">
        <v>315</v>
      </c>
      <c r="AT24" s="21">
        <f t="shared" si="0"/>
        <v>3.7499999999999999E-2</v>
      </c>
      <c r="AU24" s="86">
        <f t="shared" si="5"/>
        <v>1</v>
      </c>
      <c r="AV24" s="86">
        <f t="shared" si="6"/>
        <v>3</v>
      </c>
      <c r="AW24" s="87">
        <f t="shared" si="7"/>
        <v>7.4999999999999997E-2</v>
      </c>
      <c r="AX24" s="86">
        <f t="shared" si="8"/>
        <v>1.5</v>
      </c>
      <c r="BA24" s="86">
        <v>20</v>
      </c>
      <c r="BB24" s="14" t="e">
        <f>INDEX(节奏总表!#REF!,神器!BA24)</f>
        <v>#REF!</v>
      </c>
      <c r="BC24" s="14" t="e">
        <f t="shared" si="9"/>
        <v>#REF!</v>
      </c>
      <c r="BD24" s="14">
        <v>5</v>
      </c>
      <c r="BE24" s="14">
        <v>3</v>
      </c>
      <c r="BF24" s="14">
        <f t="shared" si="10"/>
        <v>0</v>
      </c>
      <c r="BG24" s="14">
        <f t="shared" si="10"/>
        <v>0</v>
      </c>
      <c r="BH24" s="14">
        <f t="shared" si="10"/>
        <v>0</v>
      </c>
      <c r="BI24" s="14">
        <f t="shared" si="10"/>
        <v>0</v>
      </c>
      <c r="BJ24" s="14">
        <f t="shared" si="10"/>
        <v>0</v>
      </c>
      <c r="BK24" s="14">
        <f t="shared" si="10"/>
        <v>0</v>
      </c>
      <c r="BL24" s="14">
        <f t="shared" si="10"/>
        <v>0</v>
      </c>
      <c r="BM24" s="14">
        <f t="shared" si="10"/>
        <v>0</v>
      </c>
      <c r="BN24" s="14">
        <f t="shared" si="10"/>
        <v>0</v>
      </c>
      <c r="BO24" s="14">
        <f t="shared" si="10"/>
        <v>0</v>
      </c>
      <c r="BP24" s="14">
        <f t="shared" si="10"/>
        <v>0</v>
      </c>
      <c r="BQ24" s="14">
        <f t="shared" si="10"/>
        <v>0</v>
      </c>
      <c r="BR24" s="14">
        <f t="shared" si="10"/>
        <v>0</v>
      </c>
      <c r="BS24" s="14">
        <f t="shared" si="10"/>
        <v>0</v>
      </c>
      <c r="BT24" s="14">
        <f t="shared" si="10"/>
        <v>0</v>
      </c>
      <c r="BU24" s="14">
        <f t="shared" si="10"/>
        <v>0</v>
      </c>
      <c r="BV24" s="14">
        <f t="shared" si="54"/>
        <v>0</v>
      </c>
      <c r="BW24" s="14">
        <f t="shared" si="54"/>
        <v>0</v>
      </c>
      <c r="BX24" s="14">
        <f t="shared" si="54"/>
        <v>0</v>
      </c>
      <c r="BY24" s="14">
        <f t="shared" si="54"/>
        <v>0</v>
      </c>
      <c r="BZ24" s="14">
        <f t="shared" si="54"/>
        <v>0</v>
      </c>
      <c r="CA24" s="14">
        <f t="shared" si="54"/>
        <v>0</v>
      </c>
      <c r="CB24" s="14">
        <f t="shared" si="54"/>
        <v>0</v>
      </c>
      <c r="CC24" s="14">
        <f t="shared" si="54"/>
        <v>0</v>
      </c>
      <c r="CD24" s="14">
        <f t="shared" si="54"/>
        <v>0</v>
      </c>
      <c r="CE24" s="14">
        <f t="shared" si="54"/>
        <v>0</v>
      </c>
      <c r="CF24" s="14">
        <f t="shared" si="55"/>
        <v>0</v>
      </c>
      <c r="CG24" s="14">
        <f t="shared" si="55"/>
        <v>0</v>
      </c>
      <c r="CH24" s="14">
        <f t="shared" si="55"/>
        <v>0</v>
      </c>
      <c r="CI24" s="14">
        <f t="shared" si="55"/>
        <v>0</v>
      </c>
      <c r="CJ24" s="14">
        <f t="shared" si="55"/>
        <v>0</v>
      </c>
      <c r="CK24" s="14">
        <f t="shared" si="55"/>
        <v>0</v>
      </c>
      <c r="CL24" s="14">
        <f t="shared" si="55"/>
        <v>0</v>
      </c>
      <c r="CM24" s="14">
        <f t="shared" si="55"/>
        <v>0</v>
      </c>
      <c r="CN24" s="14">
        <f t="shared" si="55"/>
        <v>0</v>
      </c>
      <c r="CO24" s="14">
        <f t="shared" si="55"/>
        <v>0</v>
      </c>
      <c r="CP24" s="14">
        <f t="shared" si="55"/>
        <v>0</v>
      </c>
      <c r="CQ24" s="14">
        <f t="shared" si="55"/>
        <v>0</v>
      </c>
      <c r="CR24" s="14">
        <f t="shared" si="55"/>
        <v>0</v>
      </c>
      <c r="CS24" s="14">
        <f t="shared" si="55"/>
        <v>0</v>
      </c>
      <c r="CT24" s="14">
        <f t="shared" si="55"/>
        <v>0</v>
      </c>
      <c r="CU24" s="14">
        <f t="shared" si="55"/>
        <v>0</v>
      </c>
      <c r="CW24" s="14">
        <f>SUM(BF$5:BF24)</f>
        <v>0</v>
      </c>
      <c r="CX24" s="14">
        <f>SUM(BG$5:BG24)</f>
        <v>0</v>
      </c>
      <c r="CY24" s="14">
        <f>SUM(BH$5:BH24)</f>
        <v>0</v>
      </c>
      <c r="CZ24" s="14">
        <f>SUM(BI$5:BI24)</f>
        <v>0</v>
      </c>
      <c r="DA24" s="14">
        <f>SUM(BJ$5:BJ24)</f>
        <v>0</v>
      </c>
      <c r="DB24" s="14">
        <f>SUM(BK$5:BK24)</f>
        <v>0</v>
      </c>
      <c r="DC24" s="14">
        <f>SUM(BL$5:BL24)</f>
        <v>0</v>
      </c>
      <c r="DD24" s="14">
        <f>SUM(BM$5:BM24)</f>
        <v>0</v>
      </c>
      <c r="DE24" s="14">
        <f>SUM(BN$5:BN24)</f>
        <v>0</v>
      </c>
      <c r="DF24" s="14">
        <f>SUM(BO$5:BO24)</f>
        <v>0</v>
      </c>
      <c r="DG24" s="14">
        <f>SUM(BP$5:BP24)</f>
        <v>0</v>
      </c>
      <c r="DH24" s="14">
        <f>SUM(BQ$5:BQ24)</f>
        <v>0</v>
      </c>
      <c r="DI24" s="14">
        <f>SUM(BR$5:BR24)</f>
        <v>0</v>
      </c>
      <c r="DJ24" s="14">
        <f>SUM(BS$5:BS24)</f>
        <v>0</v>
      </c>
      <c r="DK24" s="14">
        <f>SUM(BT$5:BT24)</f>
        <v>0</v>
      </c>
      <c r="DL24" s="14">
        <f>SUM(BU$5:BU24)</f>
        <v>0</v>
      </c>
      <c r="DM24" s="14">
        <f>SUM(BV$5:BV24)</f>
        <v>0</v>
      </c>
      <c r="DN24" s="14">
        <f>SUM(BW$5:BW24)</f>
        <v>0</v>
      </c>
      <c r="DO24" s="14">
        <f>SUM(BX$5:BX24)</f>
        <v>0</v>
      </c>
      <c r="DP24" s="14">
        <f>SUM(BY$5:BY24)</f>
        <v>0</v>
      </c>
      <c r="DQ24" s="14">
        <f>SUM(BZ$5:BZ24)</f>
        <v>0</v>
      </c>
      <c r="DR24" s="14">
        <f>SUM(CA$5:CA24)</f>
        <v>0</v>
      </c>
      <c r="DS24" s="14">
        <f>SUM(CB$5:CB24)</f>
        <v>0</v>
      </c>
      <c r="DT24" s="14">
        <f>SUM(CC$5:CC24)</f>
        <v>0</v>
      </c>
      <c r="DU24" s="14">
        <f>SUM(CD$5:CD24)</f>
        <v>0</v>
      </c>
      <c r="DV24" s="14">
        <f>SUM(CE$5:CE24)</f>
        <v>0</v>
      </c>
      <c r="DW24" s="14">
        <f>SUM(CF$5:CF24)</f>
        <v>0</v>
      </c>
      <c r="DX24" s="14">
        <f>SUM(CG$5:CG24)</f>
        <v>0</v>
      </c>
      <c r="DY24" s="14">
        <f>SUM(CH$5:CH24)</f>
        <v>0</v>
      </c>
      <c r="DZ24" s="14">
        <f>SUM(CI$5:CI24)</f>
        <v>0</v>
      </c>
      <c r="EA24" s="14">
        <f>SUM(CJ$5:CJ24)</f>
        <v>0</v>
      </c>
      <c r="EB24" s="14">
        <f>SUM(CK$5:CK24)</f>
        <v>0</v>
      </c>
      <c r="EC24" s="14">
        <f>SUM(CL$5:CL24)</f>
        <v>0</v>
      </c>
      <c r="ED24" s="14">
        <f>SUM(CM$5:CM24)</f>
        <v>0</v>
      </c>
      <c r="EE24" s="14">
        <f>SUM(CN$5:CN24)</f>
        <v>0</v>
      </c>
      <c r="EF24" s="14">
        <f>SUM(CO$5:CO24)</f>
        <v>0</v>
      </c>
      <c r="EG24" s="14">
        <f>SUM(CP$5:CP24)</f>
        <v>0</v>
      </c>
      <c r="EH24" s="14">
        <f>SUM(CQ$5:CQ24)</f>
        <v>0</v>
      </c>
      <c r="EI24" s="14">
        <f>SUM(CR$5:CR24)</f>
        <v>0</v>
      </c>
      <c r="EJ24" s="14">
        <f>SUM(CS$5:CS24)</f>
        <v>0</v>
      </c>
      <c r="EK24" s="14">
        <f>SUM(CT$5:CT24)</f>
        <v>0</v>
      </c>
      <c r="EL24" s="14">
        <f>SUM(CU$5:CU24)</f>
        <v>0</v>
      </c>
      <c r="EO24" s="87">
        <f t="shared" si="11"/>
        <v>0</v>
      </c>
      <c r="EP24" s="87">
        <f t="shared" si="12"/>
        <v>0</v>
      </c>
      <c r="EQ24" s="87">
        <f t="shared" si="13"/>
        <v>0</v>
      </c>
      <c r="ER24" s="87">
        <f t="shared" si="14"/>
        <v>0</v>
      </c>
      <c r="ES24" s="87">
        <f t="shared" si="15"/>
        <v>0</v>
      </c>
      <c r="ET24" s="87">
        <f t="shared" si="16"/>
        <v>0</v>
      </c>
      <c r="EU24" s="87">
        <f t="shared" si="17"/>
        <v>0</v>
      </c>
      <c r="EV24" s="87">
        <f t="shared" si="18"/>
        <v>0</v>
      </c>
      <c r="EW24" s="87">
        <f t="shared" si="19"/>
        <v>0</v>
      </c>
      <c r="EX24" s="87">
        <f t="shared" si="20"/>
        <v>0</v>
      </c>
      <c r="EY24" s="87">
        <f t="shared" si="21"/>
        <v>0</v>
      </c>
      <c r="EZ24" s="87">
        <f t="shared" si="22"/>
        <v>0</v>
      </c>
      <c r="FA24" s="87">
        <f t="shared" si="23"/>
        <v>0</v>
      </c>
      <c r="FB24" s="87">
        <f t="shared" si="24"/>
        <v>0</v>
      </c>
      <c r="FC24" s="87">
        <f t="shared" si="25"/>
        <v>0</v>
      </c>
      <c r="FD24" s="87">
        <f t="shared" si="26"/>
        <v>0</v>
      </c>
      <c r="FE24" s="87">
        <f t="shared" si="27"/>
        <v>0</v>
      </c>
      <c r="FF24" s="87">
        <f t="shared" si="28"/>
        <v>0</v>
      </c>
      <c r="FG24" s="87">
        <f t="shared" si="29"/>
        <v>0</v>
      </c>
      <c r="FH24" s="87">
        <f t="shared" si="30"/>
        <v>0</v>
      </c>
      <c r="FI24" s="87">
        <f t="shared" si="31"/>
        <v>0</v>
      </c>
      <c r="FJ24" s="87">
        <f t="shared" si="32"/>
        <v>0</v>
      </c>
      <c r="FK24" s="87">
        <f t="shared" si="33"/>
        <v>0</v>
      </c>
      <c r="FL24" s="87">
        <f t="shared" si="34"/>
        <v>0</v>
      </c>
      <c r="FM24" s="87">
        <f t="shared" si="35"/>
        <v>0</v>
      </c>
      <c r="FN24" s="87">
        <f t="shared" si="36"/>
        <v>0</v>
      </c>
      <c r="FO24" s="87">
        <f t="shared" si="37"/>
        <v>0</v>
      </c>
      <c r="FP24" s="87">
        <f t="shared" si="38"/>
        <v>0</v>
      </c>
      <c r="FQ24" s="87">
        <f t="shared" si="39"/>
        <v>0</v>
      </c>
      <c r="FR24" s="87">
        <f t="shared" si="40"/>
        <v>0</v>
      </c>
      <c r="FS24" s="87">
        <f t="shared" si="41"/>
        <v>0</v>
      </c>
      <c r="FT24" s="87">
        <f t="shared" si="42"/>
        <v>0</v>
      </c>
      <c r="FU24" s="87">
        <f t="shared" si="43"/>
        <v>0</v>
      </c>
      <c r="FV24" s="87">
        <f t="shared" si="44"/>
        <v>0</v>
      </c>
      <c r="FW24" s="87">
        <f t="shared" si="45"/>
        <v>0</v>
      </c>
      <c r="FX24" s="87">
        <f t="shared" si="46"/>
        <v>0</v>
      </c>
      <c r="FY24" s="87">
        <f t="shared" si="47"/>
        <v>0</v>
      </c>
      <c r="FZ24" s="87">
        <f t="shared" si="48"/>
        <v>0</v>
      </c>
      <c r="GA24" s="87">
        <f t="shared" si="49"/>
        <v>0</v>
      </c>
      <c r="GB24" s="87">
        <f t="shared" si="50"/>
        <v>0</v>
      </c>
      <c r="GC24" s="87">
        <f t="shared" si="51"/>
        <v>0</v>
      </c>
      <c r="GD24" s="87">
        <f t="shared" si="52"/>
        <v>0</v>
      </c>
    </row>
    <row r="25" spans="11:186" ht="16.5" x14ac:dyDescent="0.2">
      <c r="K25" s="86">
        <v>21</v>
      </c>
      <c r="L25" s="86">
        <v>5</v>
      </c>
      <c r="M25" s="86">
        <v>1</v>
      </c>
      <c r="N25" s="86" t="str">
        <f t="shared" si="3"/>
        <v>神器5-1</v>
      </c>
      <c r="O25" s="86">
        <v>1</v>
      </c>
      <c r="P25" s="14">
        <f t="shared" si="4"/>
        <v>30</v>
      </c>
      <c r="Q25" s="88">
        <v>0.25</v>
      </c>
      <c r="R25" s="14">
        <v>1</v>
      </c>
      <c r="S25" s="14">
        <v>3</v>
      </c>
      <c r="T25" s="88">
        <v>0.25</v>
      </c>
      <c r="U25" s="14">
        <v>2</v>
      </c>
      <c r="V25" s="14">
        <v>4</v>
      </c>
      <c r="W25" s="88">
        <v>0.25</v>
      </c>
      <c r="X25" s="14">
        <v>3</v>
      </c>
      <c r="Y25" s="14">
        <v>5</v>
      </c>
      <c r="AB25" s="86">
        <v>20</v>
      </c>
      <c r="AC25" s="86">
        <v>15</v>
      </c>
      <c r="AD25" s="86">
        <f>SUM(AC$6:AC25)</f>
        <v>115</v>
      </c>
      <c r="AO25" s="48">
        <v>3</v>
      </c>
      <c r="AP25" s="86">
        <v>10</v>
      </c>
      <c r="AQ25" s="86">
        <v>3</v>
      </c>
      <c r="AR25" s="48">
        <v>1</v>
      </c>
      <c r="AS25" s="86" t="s">
        <v>316</v>
      </c>
      <c r="AT25" s="21">
        <f t="shared" si="0"/>
        <v>3.7499999999999999E-2</v>
      </c>
      <c r="AU25" s="86">
        <f t="shared" si="5"/>
        <v>1</v>
      </c>
      <c r="AV25" s="86">
        <f t="shared" si="6"/>
        <v>3</v>
      </c>
      <c r="AW25" s="87">
        <f t="shared" si="7"/>
        <v>7.4999999999999997E-2</v>
      </c>
      <c r="AX25" s="86">
        <f t="shared" si="8"/>
        <v>1.5</v>
      </c>
      <c r="BA25" s="86">
        <v>21</v>
      </c>
      <c r="BB25" s="14" t="e">
        <f>INDEX(节奏总表!#REF!,神器!BA25)</f>
        <v>#REF!</v>
      </c>
      <c r="BC25" s="14" t="e">
        <f t="shared" si="9"/>
        <v>#REF!</v>
      </c>
      <c r="BD25" s="14">
        <v>5</v>
      </c>
      <c r="BE25" s="14">
        <v>3</v>
      </c>
      <c r="BF25" s="14">
        <f t="shared" si="10"/>
        <v>0</v>
      </c>
      <c r="BG25" s="14">
        <f t="shared" si="10"/>
        <v>0</v>
      </c>
      <c r="BH25" s="14">
        <f t="shared" si="10"/>
        <v>0</v>
      </c>
      <c r="BI25" s="14">
        <f t="shared" si="10"/>
        <v>0</v>
      </c>
      <c r="BJ25" s="14">
        <f t="shared" si="10"/>
        <v>0</v>
      </c>
      <c r="BK25" s="14">
        <f t="shared" si="10"/>
        <v>0</v>
      </c>
      <c r="BL25" s="14">
        <f t="shared" si="10"/>
        <v>0</v>
      </c>
      <c r="BM25" s="14">
        <f t="shared" si="10"/>
        <v>0</v>
      </c>
      <c r="BN25" s="14">
        <f t="shared" si="10"/>
        <v>0</v>
      </c>
      <c r="BO25" s="14">
        <f t="shared" si="10"/>
        <v>0</v>
      </c>
      <c r="BP25" s="14">
        <f t="shared" si="10"/>
        <v>0</v>
      </c>
      <c r="BQ25" s="14">
        <f t="shared" si="10"/>
        <v>0</v>
      </c>
      <c r="BR25" s="14">
        <f t="shared" si="10"/>
        <v>0</v>
      </c>
      <c r="BS25" s="14">
        <f t="shared" si="10"/>
        <v>0</v>
      </c>
      <c r="BT25" s="14">
        <f t="shared" si="10"/>
        <v>0</v>
      </c>
      <c r="BU25" s="14">
        <f t="shared" si="10"/>
        <v>0</v>
      </c>
      <c r="BV25" s="14">
        <f t="shared" si="54"/>
        <v>0</v>
      </c>
      <c r="BW25" s="14">
        <f t="shared" si="54"/>
        <v>0</v>
      </c>
      <c r="BX25" s="14">
        <f t="shared" si="54"/>
        <v>0</v>
      </c>
      <c r="BY25" s="14">
        <f t="shared" si="54"/>
        <v>0</v>
      </c>
      <c r="BZ25" s="14">
        <f t="shared" si="54"/>
        <v>0</v>
      </c>
      <c r="CA25" s="14">
        <f t="shared" si="54"/>
        <v>0</v>
      </c>
      <c r="CB25" s="14">
        <f t="shared" si="54"/>
        <v>0</v>
      </c>
      <c r="CC25" s="14">
        <f t="shared" si="54"/>
        <v>0</v>
      </c>
      <c r="CD25" s="14">
        <f t="shared" si="54"/>
        <v>0</v>
      </c>
      <c r="CE25" s="14">
        <f t="shared" si="54"/>
        <v>0</v>
      </c>
      <c r="CF25" s="14">
        <f t="shared" si="55"/>
        <v>0</v>
      </c>
      <c r="CG25" s="14">
        <f t="shared" si="55"/>
        <v>0</v>
      </c>
      <c r="CH25" s="14">
        <f t="shared" si="55"/>
        <v>0</v>
      </c>
      <c r="CI25" s="14">
        <f t="shared" si="55"/>
        <v>0</v>
      </c>
      <c r="CJ25" s="14">
        <f t="shared" si="55"/>
        <v>0</v>
      </c>
      <c r="CK25" s="14">
        <f t="shared" si="55"/>
        <v>0</v>
      </c>
      <c r="CL25" s="14">
        <f t="shared" si="55"/>
        <v>0</v>
      </c>
      <c r="CM25" s="14">
        <f t="shared" si="55"/>
        <v>0</v>
      </c>
      <c r="CN25" s="14">
        <f t="shared" si="55"/>
        <v>0</v>
      </c>
      <c r="CO25" s="14">
        <f t="shared" si="55"/>
        <v>0</v>
      </c>
      <c r="CP25" s="14">
        <f t="shared" si="55"/>
        <v>0</v>
      </c>
      <c r="CQ25" s="14">
        <f t="shared" si="55"/>
        <v>0</v>
      </c>
      <c r="CR25" s="14">
        <f t="shared" si="55"/>
        <v>0</v>
      </c>
      <c r="CS25" s="14">
        <f t="shared" si="55"/>
        <v>0</v>
      </c>
      <c r="CT25" s="14">
        <f t="shared" si="55"/>
        <v>0</v>
      </c>
      <c r="CU25" s="14">
        <f t="shared" si="55"/>
        <v>0</v>
      </c>
      <c r="CW25" s="14">
        <f>SUM(BF$5:BF25)</f>
        <v>0</v>
      </c>
      <c r="CX25" s="14">
        <f>SUM(BG$5:BG25)</f>
        <v>0</v>
      </c>
      <c r="CY25" s="14">
        <f>SUM(BH$5:BH25)</f>
        <v>0</v>
      </c>
      <c r="CZ25" s="14">
        <f>SUM(BI$5:BI25)</f>
        <v>0</v>
      </c>
      <c r="DA25" s="14">
        <f>SUM(BJ$5:BJ25)</f>
        <v>0</v>
      </c>
      <c r="DB25" s="14">
        <f>SUM(BK$5:BK25)</f>
        <v>0</v>
      </c>
      <c r="DC25" s="14">
        <f>SUM(BL$5:BL25)</f>
        <v>0</v>
      </c>
      <c r="DD25" s="14">
        <f>SUM(BM$5:BM25)</f>
        <v>0</v>
      </c>
      <c r="DE25" s="14">
        <f>SUM(BN$5:BN25)</f>
        <v>0</v>
      </c>
      <c r="DF25" s="14">
        <f>SUM(BO$5:BO25)</f>
        <v>0</v>
      </c>
      <c r="DG25" s="14">
        <f>SUM(BP$5:BP25)</f>
        <v>0</v>
      </c>
      <c r="DH25" s="14">
        <f>SUM(BQ$5:BQ25)</f>
        <v>0</v>
      </c>
      <c r="DI25" s="14">
        <f>SUM(BR$5:BR25)</f>
        <v>0</v>
      </c>
      <c r="DJ25" s="14">
        <f>SUM(BS$5:BS25)</f>
        <v>0</v>
      </c>
      <c r="DK25" s="14">
        <f>SUM(BT$5:BT25)</f>
        <v>0</v>
      </c>
      <c r="DL25" s="14">
        <f>SUM(BU$5:BU25)</f>
        <v>0</v>
      </c>
      <c r="DM25" s="14">
        <f>SUM(BV$5:BV25)</f>
        <v>0</v>
      </c>
      <c r="DN25" s="14">
        <f>SUM(BW$5:BW25)</f>
        <v>0</v>
      </c>
      <c r="DO25" s="14">
        <f>SUM(BX$5:BX25)</f>
        <v>0</v>
      </c>
      <c r="DP25" s="14">
        <f>SUM(BY$5:BY25)</f>
        <v>0</v>
      </c>
      <c r="DQ25" s="14">
        <f>SUM(BZ$5:BZ25)</f>
        <v>0</v>
      </c>
      <c r="DR25" s="14">
        <f>SUM(CA$5:CA25)</f>
        <v>0</v>
      </c>
      <c r="DS25" s="14">
        <f>SUM(CB$5:CB25)</f>
        <v>0</v>
      </c>
      <c r="DT25" s="14">
        <f>SUM(CC$5:CC25)</f>
        <v>0</v>
      </c>
      <c r="DU25" s="14">
        <f>SUM(CD$5:CD25)</f>
        <v>0</v>
      </c>
      <c r="DV25" s="14">
        <f>SUM(CE$5:CE25)</f>
        <v>0</v>
      </c>
      <c r="DW25" s="14">
        <f>SUM(CF$5:CF25)</f>
        <v>0</v>
      </c>
      <c r="DX25" s="14">
        <f>SUM(CG$5:CG25)</f>
        <v>0</v>
      </c>
      <c r="DY25" s="14">
        <f>SUM(CH$5:CH25)</f>
        <v>0</v>
      </c>
      <c r="DZ25" s="14">
        <f>SUM(CI$5:CI25)</f>
        <v>0</v>
      </c>
      <c r="EA25" s="14">
        <f>SUM(CJ$5:CJ25)</f>
        <v>0</v>
      </c>
      <c r="EB25" s="14">
        <f>SUM(CK$5:CK25)</f>
        <v>0</v>
      </c>
      <c r="EC25" s="14">
        <f>SUM(CL$5:CL25)</f>
        <v>0</v>
      </c>
      <c r="ED25" s="14">
        <f>SUM(CM$5:CM25)</f>
        <v>0</v>
      </c>
      <c r="EE25" s="14">
        <f>SUM(CN$5:CN25)</f>
        <v>0</v>
      </c>
      <c r="EF25" s="14">
        <f>SUM(CO$5:CO25)</f>
        <v>0</v>
      </c>
      <c r="EG25" s="14">
        <f>SUM(CP$5:CP25)</f>
        <v>0</v>
      </c>
      <c r="EH25" s="14">
        <f>SUM(CQ$5:CQ25)</f>
        <v>0</v>
      </c>
      <c r="EI25" s="14">
        <f>SUM(CR$5:CR25)</f>
        <v>0</v>
      </c>
      <c r="EJ25" s="14">
        <f>SUM(CS$5:CS25)</f>
        <v>0</v>
      </c>
      <c r="EK25" s="14">
        <f>SUM(CT$5:CT25)</f>
        <v>0</v>
      </c>
      <c r="EL25" s="14">
        <f>SUM(CU$5:CU25)</f>
        <v>0</v>
      </c>
      <c r="EO25" s="87">
        <f t="shared" si="11"/>
        <v>0</v>
      </c>
      <c r="EP25" s="87">
        <f t="shared" si="12"/>
        <v>0</v>
      </c>
      <c r="EQ25" s="87">
        <f t="shared" si="13"/>
        <v>0</v>
      </c>
      <c r="ER25" s="87">
        <f t="shared" si="14"/>
        <v>0</v>
      </c>
      <c r="ES25" s="87">
        <f t="shared" si="15"/>
        <v>0</v>
      </c>
      <c r="ET25" s="87">
        <f t="shared" si="16"/>
        <v>0</v>
      </c>
      <c r="EU25" s="87">
        <f t="shared" si="17"/>
        <v>0</v>
      </c>
      <c r="EV25" s="87">
        <f t="shared" si="18"/>
        <v>0</v>
      </c>
      <c r="EW25" s="87">
        <f t="shared" si="19"/>
        <v>0</v>
      </c>
      <c r="EX25" s="87">
        <f t="shared" si="20"/>
        <v>0</v>
      </c>
      <c r="EY25" s="87">
        <f t="shared" si="21"/>
        <v>0</v>
      </c>
      <c r="EZ25" s="87">
        <f t="shared" si="22"/>
        <v>0</v>
      </c>
      <c r="FA25" s="87">
        <f t="shared" si="23"/>
        <v>0</v>
      </c>
      <c r="FB25" s="87">
        <f t="shared" si="24"/>
        <v>0</v>
      </c>
      <c r="FC25" s="87">
        <f t="shared" si="25"/>
        <v>0</v>
      </c>
      <c r="FD25" s="87">
        <f t="shared" si="26"/>
        <v>0</v>
      </c>
      <c r="FE25" s="87">
        <f t="shared" si="27"/>
        <v>0</v>
      </c>
      <c r="FF25" s="87">
        <f t="shared" si="28"/>
        <v>0</v>
      </c>
      <c r="FG25" s="87">
        <f t="shared" si="29"/>
        <v>0</v>
      </c>
      <c r="FH25" s="87">
        <f t="shared" si="30"/>
        <v>0</v>
      </c>
      <c r="FI25" s="87">
        <f t="shared" si="31"/>
        <v>0</v>
      </c>
      <c r="FJ25" s="87">
        <f t="shared" si="32"/>
        <v>0</v>
      </c>
      <c r="FK25" s="87">
        <f t="shared" si="33"/>
        <v>0</v>
      </c>
      <c r="FL25" s="87">
        <f t="shared" si="34"/>
        <v>0</v>
      </c>
      <c r="FM25" s="87">
        <f t="shared" si="35"/>
        <v>0</v>
      </c>
      <c r="FN25" s="87">
        <f t="shared" si="36"/>
        <v>0</v>
      </c>
      <c r="FO25" s="87">
        <f t="shared" si="37"/>
        <v>0</v>
      </c>
      <c r="FP25" s="87">
        <f t="shared" si="38"/>
        <v>0</v>
      </c>
      <c r="FQ25" s="87">
        <f t="shared" si="39"/>
        <v>0</v>
      </c>
      <c r="FR25" s="87">
        <f t="shared" si="40"/>
        <v>0</v>
      </c>
      <c r="FS25" s="87">
        <f t="shared" si="41"/>
        <v>0</v>
      </c>
      <c r="FT25" s="87">
        <f t="shared" si="42"/>
        <v>0</v>
      </c>
      <c r="FU25" s="87">
        <f t="shared" si="43"/>
        <v>0</v>
      </c>
      <c r="FV25" s="87">
        <f t="shared" si="44"/>
        <v>0</v>
      </c>
      <c r="FW25" s="87">
        <f t="shared" si="45"/>
        <v>0</v>
      </c>
      <c r="FX25" s="87">
        <f t="shared" si="46"/>
        <v>0</v>
      </c>
      <c r="FY25" s="87">
        <f t="shared" si="47"/>
        <v>0</v>
      </c>
      <c r="FZ25" s="87">
        <f t="shared" si="48"/>
        <v>0</v>
      </c>
      <c r="GA25" s="87">
        <f t="shared" si="49"/>
        <v>0</v>
      </c>
      <c r="GB25" s="87">
        <f t="shared" si="50"/>
        <v>0</v>
      </c>
      <c r="GC25" s="87">
        <f t="shared" si="51"/>
        <v>0</v>
      </c>
      <c r="GD25" s="87">
        <f t="shared" si="52"/>
        <v>0</v>
      </c>
    </row>
    <row r="26" spans="11:186" ht="16.5" x14ac:dyDescent="0.2">
      <c r="K26" s="86">
        <v>22</v>
      </c>
      <c r="L26" s="86">
        <v>5</v>
      </c>
      <c r="M26" s="86">
        <v>2</v>
      </c>
      <c r="N26" s="86" t="str">
        <f t="shared" si="3"/>
        <v>神器5-2</v>
      </c>
      <c r="O26" s="86">
        <v>1</v>
      </c>
      <c r="P26" s="14">
        <f t="shared" si="4"/>
        <v>30</v>
      </c>
      <c r="Q26" s="88">
        <v>0.25</v>
      </c>
      <c r="R26" s="14">
        <v>1</v>
      </c>
      <c r="S26" s="14">
        <v>3</v>
      </c>
      <c r="T26" s="88">
        <v>0.25</v>
      </c>
      <c r="U26" s="14">
        <v>2</v>
      </c>
      <c r="V26" s="14">
        <v>4</v>
      </c>
      <c r="W26" s="88">
        <v>0.25</v>
      </c>
      <c r="X26" s="14">
        <v>3</v>
      </c>
      <c r="Y26" s="14">
        <v>5</v>
      </c>
      <c r="AB26" s="86">
        <v>21</v>
      </c>
      <c r="AC26" s="86">
        <v>15</v>
      </c>
      <c r="AD26" s="86">
        <f>SUM(AC$6:AC26)</f>
        <v>130</v>
      </c>
      <c r="AO26" s="48">
        <v>3</v>
      </c>
      <c r="AP26" s="86">
        <v>11</v>
      </c>
      <c r="AQ26" s="86">
        <v>3</v>
      </c>
      <c r="AR26" s="48">
        <v>1</v>
      </c>
      <c r="AS26" s="86" t="s">
        <v>317</v>
      </c>
      <c r="AT26" s="21">
        <f t="shared" si="0"/>
        <v>2.4E-2</v>
      </c>
      <c r="AU26" s="86">
        <f t="shared" si="5"/>
        <v>1</v>
      </c>
      <c r="AV26" s="86">
        <f t="shared" si="6"/>
        <v>2</v>
      </c>
      <c r="AW26" s="87">
        <f t="shared" si="7"/>
        <v>3.6000000000000004E-2</v>
      </c>
      <c r="AX26" s="86">
        <f t="shared" si="8"/>
        <v>2.16</v>
      </c>
      <c r="BA26" s="86">
        <v>22</v>
      </c>
      <c r="BB26" s="14" t="e">
        <f>INDEX(节奏总表!#REF!,神器!BA26)</f>
        <v>#REF!</v>
      </c>
      <c r="BC26" s="14" t="e">
        <f t="shared" si="9"/>
        <v>#REF!</v>
      </c>
      <c r="BD26" s="14">
        <v>5</v>
      </c>
      <c r="BE26" s="14">
        <v>3</v>
      </c>
      <c r="BF26" s="14">
        <f t="shared" si="10"/>
        <v>0</v>
      </c>
      <c r="BG26" s="14">
        <f t="shared" si="10"/>
        <v>0</v>
      </c>
      <c r="BH26" s="14">
        <f t="shared" si="10"/>
        <v>0</v>
      </c>
      <c r="BI26" s="14">
        <f t="shared" si="10"/>
        <v>0</v>
      </c>
      <c r="BJ26" s="14">
        <f t="shared" si="10"/>
        <v>0</v>
      </c>
      <c r="BK26" s="14">
        <f t="shared" si="10"/>
        <v>0</v>
      </c>
      <c r="BL26" s="14">
        <f t="shared" si="10"/>
        <v>0</v>
      </c>
      <c r="BM26" s="14">
        <f t="shared" si="10"/>
        <v>0</v>
      </c>
      <c r="BN26" s="14">
        <f t="shared" si="10"/>
        <v>0</v>
      </c>
      <c r="BO26" s="14">
        <f t="shared" si="10"/>
        <v>0</v>
      </c>
      <c r="BP26" s="14">
        <f t="shared" si="10"/>
        <v>0</v>
      </c>
      <c r="BQ26" s="14">
        <f t="shared" si="10"/>
        <v>0</v>
      </c>
      <c r="BR26" s="14">
        <f t="shared" si="10"/>
        <v>0</v>
      </c>
      <c r="BS26" s="14">
        <f t="shared" si="10"/>
        <v>0</v>
      </c>
      <c r="BT26" s="14">
        <f t="shared" si="10"/>
        <v>0</v>
      </c>
      <c r="BU26" s="14">
        <f t="shared" si="10"/>
        <v>0</v>
      </c>
      <c r="BV26" s="14">
        <f t="shared" si="54"/>
        <v>0</v>
      </c>
      <c r="BW26" s="14">
        <f t="shared" si="54"/>
        <v>0</v>
      </c>
      <c r="BX26" s="14">
        <f t="shared" si="54"/>
        <v>0</v>
      </c>
      <c r="BY26" s="14">
        <f t="shared" si="54"/>
        <v>0</v>
      </c>
      <c r="BZ26" s="14">
        <f t="shared" si="54"/>
        <v>0</v>
      </c>
      <c r="CA26" s="14">
        <f t="shared" si="54"/>
        <v>0</v>
      </c>
      <c r="CB26" s="14">
        <f t="shared" si="54"/>
        <v>0</v>
      </c>
      <c r="CC26" s="14">
        <f t="shared" si="54"/>
        <v>0</v>
      </c>
      <c r="CD26" s="14">
        <f t="shared" si="54"/>
        <v>0</v>
      </c>
      <c r="CE26" s="14">
        <f t="shared" si="54"/>
        <v>0</v>
      </c>
      <c r="CF26" s="14">
        <f t="shared" si="55"/>
        <v>0</v>
      </c>
      <c r="CG26" s="14">
        <f t="shared" si="55"/>
        <v>0</v>
      </c>
      <c r="CH26" s="14">
        <f t="shared" si="55"/>
        <v>0</v>
      </c>
      <c r="CI26" s="14">
        <f t="shared" si="55"/>
        <v>0</v>
      </c>
      <c r="CJ26" s="14">
        <f t="shared" si="55"/>
        <v>0</v>
      </c>
      <c r="CK26" s="14">
        <f t="shared" si="55"/>
        <v>0</v>
      </c>
      <c r="CL26" s="14">
        <f t="shared" si="55"/>
        <v>0</v>
      </c>
      <c r="CM26" s="14">
        <f t="shared" si="55"/>
        <v>0</v>
      </c>
      <c r="CN26" s="14">
        <f t="shared" si="55"/>
        <v>0</v>
      </c>
      <c r="CO26" s="14">
        <f t="shared" si="55"/>
        <v>0</v>
      </c>
      <c r="CP26" s="14">
        <f t="shared" si="55"/>
        <v>0</v>
      </c>
      <c r="CQ26" s="14">
        <f t="shared" si="55"/>
        <v>0</v>
      </c>
      <c r="CR26" s="14">
        <f t="shared" si="55"/>
        <v>0</v>
      </c>
      <c r="CS26" s="14">
        <f t="shared" si="55"/>
        <v>0</v>
      </c>
      <c r="CT26" s="14">
        <f t="shared" si="55"/>
        <v>0</v>
      </c>
      <c r="CU26" s="14">
        <f t="shared" ref="BG26:CU33" si="56">SUMIFS($AT$5:$AT$122,$AO$5:$AO$122,"="&amp;$BC26,$AP$5:$AP$122,"="&amp;CU$2) * (SUMIFS($AU$5:$AU$122,$AO$5:$AO$122,"="&amp;$BC26,$AP$5:$AP$122,"="&amp;CU$2)+SUMIFS($AV$5:$AV$122,$AO$5:$AO$122,"="&amp;$BC26,$AP$5:$AP$122,"="&amp;CU$2))/2*$BD26*$BE26</f>
        <v>0</v>
      </c>
      <c r="CW26" s="14">
        <f>SUM(BF$5:BF26)</f>
        <v>0</v>
      </c>
      <c r="CX26" s="14">
        <f>SUM(BG$5:BG26)</f>
        <v>0</v>
      </c>
      <c r="CY26" s="14">
        <f>SUM(BH$5:BH26)</f>
        <v>0</v>
      </c>
      <c r="CZ26" s="14">
        <f>SUM(BI$5:BI26)</f>
        <v>0</v>
      </c>
      <c r="DA26" s="14">
        <f>SUM(BJ$5:BJ26)</f>
        <v>0</v>
      </c>
      <c r="DB26" s="14">
        <f>SUM(BK$5:BK26)</f>
        <v>0</v>
      </c>
      <c r="DC26" s="14">
        <f>SUM(BL$5:BL26)</f>
        <v>0</v>
      </c>
      <c r="DD26" s="14">
        <f>SUM(BM$5:BM26)</f>
        <v>0</v>
      </c>
      <c r="DE26" s="14">
        <f>SUM(BN$5:BN26)</f>
        <v>0</v>
      </c>
      <c r="DF26" s="14">
        <f>SUM(BO$5:BO26)</f>
        <v>0</v>
      </c>
      <c r="DG26" s="14">
        <f>SUM(BP$5:BP26)</f>
        <v>0</v>
      </c>
      <c r="DH26" s="14">
        <f>SUM(BQ$5:BQ26)</f>
        <v>0</v>
      </c>
      <c r="DI26" s="14">
        <f>SUM(BR$5:BR26)</f>
        <v>0</v>
      </c>
      <c r="DJ26" s="14">
        <f>SUM(BS$5:BS26)</f>
        <v>0</v>
      </c>
      <c r="DK26" s="14">
        <f>SUM(BT$5:BT26)</f>
        <v>0</v>
      </c>
      <c r="DL26" s="14">
        <f>SUM(BU$5:BU26)</f>
        <v>0</v>
      </c>
      <c r="DM26" s="14">
        <f>SUM(BV$5:BV26)</f>
        <v>0</v>
      </c>
      <c r="DN26" s="14">
        <f>SUM(BW$5:BW26)</f>
        <v>0</v>
      </c>
      <c r="DO26" s="14">
        <f>SUM(BX$5:BX26)</f>
        <v>0</v>
      </c>
      <c r="DP26" s="14">
        <f>SUM(BY$5:BY26)</f>
        <v>0</v>
      </c>
      <c r="DQ26" s="14">
        <f>SUM(BZ$5:BZ26)</f>
        <v>0</v>
      </c>
      <c r="DR26" s="14">
        <f>SUM(CA$5:CA26)</f>
        <v>0</v>
      </c>
      <c r="DS26" s="14">
        <f>SUM(CB$5:CB26)</f>
        <v>0</v>
      </c>
      <c r="DT26" s="14">
        <f>SUM(CC$5:CC26)</f>
        <v>0</v>
      </c>
      <c r="DU26" s="14">
        <f>SUM(CD$5:CD26)</f>
        <v>0</v>
      </c>
      <c r="DV26" s="14">
        <f>SUM(CE$5:CE26)</f>
        <v>0</v>
      </c>
      <c r="DW26" s="14">
        <f>SUM(CF$5:CF26)</f>
        <v>0</v>
      </c>
      <c r="DX26" s="14">
        <f>SUM(CG$5:CG26)</f>
        <v>0</v>
      </c>
      <c r="DY26" s="14">
        <f>SUM(CH$5:CH26)</f>
        <v>0</v>
      </c>
      <c r="DZ26" s="14">
        <f>SUM(CI$5:CI26)</f>
        <v>0</v>
      </c>
      <c r="EA26" s="14">
        <f>SUM(CJ$5:CJ26)</f>
        <v>0</v>
      </c>
      <c r="EB26" s="14">
        <f>SUM(CK$5:CK26)</f>
        <v>0</v>
      </c>
      <c r="EC26" s="14">
        <f>SUM(CL$5:CL26)</f>
        <v>0</v>
      </c>
      <c r="ED26" s="14">
        <f>SUM(CM$5:CM26)</f>
        <v>0</v>
      </c>
      <c r="EE26" s="14">
        <f>SUM(CN$5:CN26)</f>
        <v>0</v>
      </c>
      <c r="EF26" s="14">
        <f>SUM(CO$5:CO26)</f>
        <v>0</v>
      </c>
      <c r="EG26" s="14">
        <f>SUM(CP$5:CP26)</f>
        <v>0</v>
      </c>
      <c r="EH26" s="14">
        <f>SUM(CQ$5:CQ26)</f>
        <v>0</v>
      </c>
      <c r="EI26" s="14">
        <f>SUM(CR$5:CR26)</f>
        <v>0</v>
      </c>
      <c r="EJ26" s="14">
        <f>SUM(CS$5:CS26)</f>
        <v>0</v>
      </c>
      <c r="EK26" s="14">
        <f>SUM(CT$5:CT26)</f>
        <v>0</v>
      </c>
      <c r="EL26" s="14">
        <f>SUM(CU$5:CU26)</f>
        <v>0</v>
      </c>
      <c r="EO26" s="87">
        <f t="shared" si="11"/>
        <v>0</v>
      </c>
      <c r="EP26" s="87">
        <f t="shared" si="12"/>
        <v>0</v>
      </c>
      <c r="EQ26" s="87">
        <f t="shared" si="13"/>
        <v>0</v>
      </c>
      <c r="ER26" s="87">
        <f t="shared" si="14"/>
        <v>0</v>
      </c>
      <c r="ES26" s="87">
        <f t="shared" si="15"/>
        <v>0</v>
      </c>
      <c r="ET26" s="87">
        <f t="shared" si="16"/>
        <v>0</v>
      </c>
      <c r="EU26" s="87">
        <f t="shared" si="17"/>
        <v>0</v>
      </c>
      <c r="EV26" s="87">
        <f t="shared" si="18"/>
        <v>0</v>
      </c>
      <c r="EW26" s="87">
        <f t="shared" si="19"/>
        <v>0</v>
      </c>
      <c r="EX26" s="87">
        <f t="shared" si="20"/>
        <v>0</v>
      </c>
      <c r="EY26" s="87">
        <f t="shared" si="21"/>
        <v>0</v>
      </c>
      <c r="EZ26" s="87">
        <f t="shared" si="22"/>
        <v>0</v>
      </c>
      <c r="FA26" s="87">
        <f t="shared" si="23"/>
        <v>0</v>
      </c>
      <c r="FB26" s="87">
        <f t="shared" si="24"/>
        <v>0</v>
      </c>
      <c r="FC26" s="87">
        <f t="shared" si="25"/>
        <v>0</v>
      </c>
      <c r="FD26" s="87">
        <f t="shared" si="26"/>
        <v>0</v>
      </c>
      <c r="FE26" s="87">
        <f t="shared" si="27"/>
        <v>0</v>
      </c>
      <c r="FF26" s="87">
        <f t="shared" si="28"/>
        <v>0</v>
      </c>
      <c r="FG26" s="87">
        <f t="shared" si="29"/>
        <v>0</v>
      </c>
      <c r="FH26" s="87">
        <f t="shared" si="30"/>
        <v>0</v>
      </c>
      <c r="FI26" s="87">
        <f t="shared" si="31"/>
        <v>0</v>
      </c>
      <c r="FJ26" s="87">
        <f t="shared" si="32"/>
        <v>0</v>
      </c>
      <c r="FK26" s="87">
        <f t="shared" si="33"/>
        <v>0</v>
      </c>
      <c r="FL26" s="87">
        <f t="shared" si="34"/>
        <v>0</v>
      </c>
      <c r="FM26" s="87">
        <f t="shared" si="35"/>
        <v>0</v>
      </c>
      <c r="FN26" s="87">
        <f t="shared" si="36"/>
        <v>0</v>
      </c>
      <c r="FO26" s="87">
        <f t="shared" si="37"/>
        <v>0</v>
      </c>
      <c r="FP26" s="87">
        <f t="shared" si="38"/>
        <v>0</v>
      </c>
      <c r="FQ26" s="87">
        <f t="shared" si="39"/>
        <v>0</v>
      </c>
      <c r="FR26" s="87">
        <f t="shared" si="40"/>
        <v>0</v>
      </c>
      <c r="FS26" s="87">
        <f t="shared" si="41"/>
        <v>0</v>
      </c>
      <c r="FT26" s="87">
        <f t="shared" si="42"/>
        <v>0</v>
      </c>
      <c r="FU26" s="87">
        <f t="shared" si="43"/>
        <v>0</v>
      </c>
      <c r="FV26" s="87">
        <f t="shared" si="44"/>
        <v>0</v>
      </c>
      <c r="FW26" s="87">
        <f t="shared" si="45"/>
        <v>0</v>
      </c>
      <c r="FX26" s="87">
        <f t="shared" si="46"/>
        <v>0</v>
      </c>
      <c r="FY26" s="87">
        <f t="shared" si="47"/>
        <v>0</v>
      </c>
      <c r="FZ26" s="87">
        <f t="shared" si="48"/>
        <v>0</v>
      </c>
      <c r="GA26" s="87">
        <f t="shared" si="49"/>
        <v>0</v>
      </c>
      <c r="GB26" s="87">
        <f t="shared" si="50"/>
        <v>0</v>
      </c>
      <c r="GC26" s="87">
        <f t="shared" si="51"/>
        <v>0</v>
      </c>
      <c r="GD26" s="87">
        <f t="shared" si="52"/>
        <v>0</v>
      </c>
    </row>
    <row r="27" spans="11:186" ht="16.5" x14ac:dyDescent="0.2">
      <c r="K27" s="86">
        <v>23</v>
      </c>
      <c r="L27" s="86">
        <v>5</v>
      </c>
      <c r="M27" s="86">
        <v>3</v>
      </c>
      <c r="N27" s="86" t="str">
        <f t="shared" si="3"/>
        <v>神器5-3</v>
      </c>
      <c r="O27" s="86">
        <v>2</v>
      </c>
      <c r="P27" s="14">
        <f t="shared" si="4"/>
        <v>90</v>
      </c>
      <c r="Q27" s="88">
        <v>0.16</v>
      </c>
      <c r="R27" s="14">
        <v>1</v>
      </c>
      <c r="S27" s="14">
        <v>2</v>
      </c>
      <c r="T27" s="88">
        <v>0.16</v>
      </c>
      <c r="U27" s="14">
        <v>1</v>
      </c>
      <c r="V27" s="14">
        <v>3</v>
      </c>
      <c r="W27" s="88">
        <v>0.16</v>
      </c>
      <c r="X27" s="14">
        <v>2</v>
      </c>
      <c r="Y27" s="14">
        <v>4</v>
      </c>
      <c r="AO27" s="48">
        <v>3</v>
      </c>
      <c r="AP27" s="86">
        <v>12</v>
      </c>
      <c r="AQ27" s="86">
        <v>3</v>
      </c>
      <c r="AR27" s="48">
        <v>1</v>
      </c>
      <c r="AS27" s="86" t="s">
        <v>318</v>
      </c>
      <c r="AT27" s="21">
        <f t="shared" si="0"/>
        <v>2.4E-2</v>
      </c>
      <c r="AU27" s="86">
        <f t="shared" si="5"/>
        <v>1</v>
      </c>
      <c r="AV27" s="86">
        <f t="shared" si="6"/>
        <v>2</v>
      </c>
      <c r="AW27" s="87">
        <f t="shared" si="7"/>
        <v>3.6000000000000004E-2</v>
      </c>
      <c r="AX27" s="86">
        <f t="shared" si="8"/>
        <v>2.16</v>
      </c>
      <c r="BA27" s="86">
        <v>23</v>
      </c>
      <c r="BB27" s="14" t="e">
        <f>INDEX(节奏总表!#REF!,神器!BA27)</f>
        <v>#REF!</v>
      </c>
      <c r="BC27" s="14" t="e">
        <f t="shared" si="9"/>
        <v>#REF!</v>
      </c>
      <c r="BD27" s="14">
        <v>5</v>
      </c>
      <c r="BE27" s="14">
        <v>3</v>
      </c>
      <c r="BF27" s="14">
        <f t="shared" si="10"/>
        <v>0</v>
      </c>
      <c r="BG27" s="14">
        <f t="shared" si="56"/>
        <v>0</v>
      </c>
      <c r="BH27" s="14">
        <f t="shared" si="56"/>
        <v>0</v>
      </c>
      <c r="BI27" s="14">
        <f t="shared" si="56"/>
        <v>0</v>
      </c>
      <c r="BJ27" s="14">
        <f t="shared" si="56"/>
        <v>0</v>
      </c>
      <c r="BK27" s="14">
        <f t="shared" si="56"/>
        <v>0</v>
      </c>
      <c r="BL27" s="14">
        <f t="shared" si="56"/>
        <v>0</v>
      </c>
      <c r="BM27" s="14">
        <f t="shared" si="56"/>
        <v>0</v>
      </c>
      <c r="BN27" s="14">
        <f t="shared" si="56"/>
        <v>0</v>
      </c>
      <c r="BO27" s="14">
        <f t="shared" si="56"/>
        <v>0</v>
      </c>
      <c r="BP27" s="14">
        <f t="shared" si="56"/>
        <v>0</v>
      </c>
      <c r="BQ27" s="14">
        <f t="shared" si="56"/>
        <v>0</v>
      </c>
      <c r="BR27" s="14">
        <f t="shared" si="56"/>
        <v>0</v>
      </c>
      <c r="BS27" s="14">
        <f t="shared" si="56"/>
        <v>0</v>
      </c>
      <c r="BT27" s="14">
        <f t="shared" si="56"/>
        <v>0</v>
      </c>
      <c r="BU27" s="14">
        <f t="shared" si="56"/>
        <v>0</v>
      </c>
      <c r="BV27" s="14">
        <f t="shared" si="56"/>
        <v>0</v>
      </c>
      <c r="BW27" s="14">
        <f t="shared" si="56"/>
        <v>0</v>
      </c>
      <c r="BX27" s="14">
        <f t="shared" si="56"/>
        <v>0</v>
      </c>
      <c r="BY27" s="14">
        <f t="shared" si="56"/>
        <v>0</v>
      </c>
      <c r="BZ27" s="14">
        <f t="shared" si="56"/>
        <v>0</v>
      </c>
      <c r="CA27" s="14">
        <f t="shared" si="56"/>
        <v>0</v>
      </c>
      <c r="CB27" s="14">
        <f t="shared" si="56"/>
        <v>0</v>
      </c>
      <c r="CC27" s="14">
        <f t="shared" si="56"/>
        <v>0</v>
      </c>
      <c r="CD27" s="14">
        <f t="shared" si="56"/>
        <v>0</v>
      </c>
      <c r="CE27" s="14">
        <f t="shared" si="56"/>
        <v>0</v>
      </c>
      <c r="CF27" s="14">
        <f t="shared" si="56"/>
        <v>0</v>
      </c>
      <c r="CG27" s="14">
        <f t="shared" si="56"/>
        <v>0</v>
      </c>
      <c r="CH27" s="14">
        <f t="shared" si="56"/>
        <v>0</v>
      </c>
      <c r="CI27" s="14">
        <f t="shared" si="56"/>
        <v>0</v>
      </c>
      <c r="CJ27" s="14">
        <f t="shared" si="56"/>
        <v>0</v>
      </c>
      <c r="CK27" s="14">
        <f t="shared" si="56"/>
        <v>0</v>
      </c>
      <c r="CL27" s="14">
        <f t="shared" si="56"/>
        <v>0</v>
      </c>
      <c r="CM27" s="14">
        <f t="shared" si="56"/>
        <v>0</v>
      </c>
      <c r="CN27" s="14">
        <f t="shared" si="56"/>
        <v>0</v>
      </c>
      <c r="CO27" s="14">
        <f t="shared" si="56"/>
        <v>0</v>
      </c>
      <c r="CP27" s="14">
        <f t="shared" si="56"/>
        <v>0</v>
      </c>
      <c r="CQ27" s="14">
        <f t="shared" si="56"/>
        <v>0</v>
      </c>
      <c r="CR27" s="14">
        <f t="shared" si="56"/>
        <v>0</v>
      </c>
      <c r="CS27" s="14">
        <f t="shared" si="56"/>
        <v>0</v>
      </c>
      <c r="CT27" s="14">
        <f t="shared" si="56"/>
        <v>0</v>
      </c>
      <c r="CU27" s="14">
        <f t="shared" si="56"/>
        <v>0</v>
      </c>
      <c r="CW27" s="14">
        <f>SUM(BF$5:BF27)</f>
        <v>0</v>
      </c>
      <c r="CX27" s="14">
        <f>SUM(BG$5:BG27)</f>
        <v>0</v>
      </c>
      <c r="CY27" s="14">
        <f>SUM(BH$5:BH27)</f>
        <v>0</v>
      </c>
      <c r="CZ27" s="14">
        <f>SUM(BI$5:BI27)</f>
        <v>0</v>
      </c>
      <c r="DA27" s="14">
        <f>SUM(BJ$5:BJ27)</f>
        <v>0</v>
      </c>
      <c r="DB27" s="14">
        <f>SUM(BK$5:BK27)</f>
        <v>0</v>
      </c>
      <c r="DC27" s="14">
        <f>SUM(BL$5:BL27)</f>
        <v>0</v>
      </c>
      <c r="DD27" s="14">
        <f>SUM(BM$5:BM27)</f>
        <v>0</v>
      </c>
      <c r="DE27" s="14">
        <f>SUM(BN$5:BN27)</f>
        <v>0</v>
      </c>
      <c r="DF27" s="14">
        <f>SUM(BO$5:BO27)</f>
        <v>0</v>
      </c>
      <c r="DG27" s="14">
        <f>SUM(BP$5:BP27)</f>
        <v>0</v>
      </c>
      <c r="DH27" s="14">
        <f>SUM(BQ$5:BQ27)</f>
        <v>0</v>
      </c>
      <c r="DI27" s="14">
        <f>SUM(BR$5:BR27)</f>
        <v>0</v>
      </c>
      <c r="DJ27" s="14">
        <f>SUM(BS$5:BS27)</f>
        <v>0</v>
      </c>
      <c r="DK27" s="14">
        <f>SUM(BT$5:BT27)</f>
        <v>0</v>
      </c>
      <c r="DL27" s="14">
        <f>SUM(BU$5:BU27)</f>
        <v>0</v>
      </c>
      <c r="DM27" s="14">
        <f>SUM(BV$5:BV27)</f>
        <v>0</v>
      </c>
      <c r="DN27" s="14">
        <f>SUM(BW$5:BW27)</f>
        <v>0</v>
      </c>
      <c r="DO27" s="14">
        <f>SUM(BX$5:BX27)</f>
        <v>0</v>
      </c>
      <c r="DP27" s="14">
        <f>SUM(BY$5:BY27)</f>
        <v>0</v>
      </c>
      <c r="DQ27" s="14">
        <f>SUM(BZ$5:BZ27)</f>
        <v>0</v>
      </c>
      <c r="DR27" s="14">
        <f>SUM(CA$5:CA27)</f>
        <v>0</v>
      </c>
      <c r="DS27" s="14">
        <f>SUM(CB$5:CB27)</f>
        <v>0</v>
      </c>
      <c r="DT27" s="14">
        <f>SUM(CC$5:CC27)</f>
        <v>0</v>
      </c>
      <c r="DU27" s="14">
        <f>SUM(CD$5:CD27)</f>
        <v>0</v>
      </c>
      <c r="DV27" s="14">
        <f>SUM(CE$5:CE27)</f>
        <v>0</v>
      </c>
      <c r="DW27" s="14">
        <f>SUM(CF$5:CF27)</f>
        <v>0</v>
      </c>
      <c r="DX27" s="14">
        <f>SUM(CG$5:CG27)</f>
        <v>0</v>
      </c>
      <c r="DY27" s="14">
        <f>SUM(CH$5:CH27)</f>
        <v>0</v>
      </c>
      <c r="DZ27" s="14">
        <f>SUM(CI$5:CI27)</f>
        <v>0</v>
      </c>
      <c r="EA27" s="14">
        <f>SUM(CJ$5:CJ27)</f>
        <v>0</v>
      </c>
      <c r="EB27" s="14">
        <f>SUM(CK$5:CK27)</f>
        <v>0</v>
      </c>
      <c r="EC27" s="14">
        <f>SUM(CL$5:CL27)</f>
        <v>0</v>
      </c>
      <c r="ED27" s="14">
        <f>SUM(CM$5:CM27)</f>
        <v>0</v>
      </c>
      <c r="EE27" s="14">
        <f>SUM(CN$5:CN27)</f>
        <v>0</v>
      </c>
      <c r="EF27" s="14">
        <f>SUM(CO$5:CO27)</f>
        <v>0</v>
      </c>
      <c r="EG27" s="14">
        <f>SUM(CP$5:CP27)</f>
        <v>0</v>
      </c>
      <c r="EH27" s="14">
        <f>SUM(CQ$5:CQ27)</f>
        <v>0</v>
      </c>
      <c r="EI27" s="14">
        <f>SUM(CR$5:CR27)</f>
        <v>0</v>
      </c>
      <c r="EJ27" s="14">
        <f>SUM(CS$5:CS27)</f>
        <v>0</v>
      </c>
      <c r="EK27" s="14">
        <f>SUM(CT$5:CT27)</f>
        <v>0</v>
      </c>
      <c r="EL27" s="14">
        <f>SUM(CU$5:CU27)</f>
        <v>0</v>
      </c>
      <c r="EO27" s="87">
        <f t="shared" si="11"/>
        <v>0</v>
      </c>
      <c r="EP27" s="87">
        <f t="shared" si="12"/>
        <v>0</v>
      </c>
      <c r="EQ27" s="87">
        <f t="shared" si="13"/>
        <v>0</v>
      </c>
      <c r="ER27" s="87">
        <f t="shared" si="14"/>
        <v>0</v>
      </c>
      <c r="ES27" s="87">
        <f t="shared" si="15"/>
        <v>0</v>
      </c>
      <c r="ET27" s="87">
        <f t="shared" si="16"/>
        <v>0</v>
      </c>
      <c r="EU27" s="87">
        <f t="shared" si="17"/>
        <v>0</v>
      </c>
      <c r="EV27" s="87">
        <f t="shared" si="18"/>
        <v>0</v>
      </c>
      <c r="EW27" s="87">
        <f t="shared" si="19"/>
        <v>0</v>
      </c>
      <c r="EX27" s="87">
        <f t="shared" si="20"/>
        <v>0</v>
      </c>
      <c r="EY27" s="87">
        <f t="shared" si="21"/>
        <v>0</v>
      </c>
      <c r="EZ27" s="87">
        <f t="shared" si="22"/>
        <v>0</v>
      </c>
      <c r="FA27" s="87">
        <f t="shared" si="23"/>
        <v>0</v>
      </c>
      <c r="FB27" s="87">
        <f t="shared" si="24"/>
        <v>0</v>
      </c>
      <c r="FC27" s="87">
        <f t="shared" si="25"/>
        <v>0</v>
      </c>
      <c r="FD27" s="87">
        <f t="shared" si="26"/>
        <v>0</v>
      </c>
      <c r="FE27" s="87">
        <f t="shared" si="27"/>
        <v>0</v>
      </c>
      <c r="FF27" s="87">
        <f t="shared" si="28"/>
        <v>0</v>
      </c>
      <c r="FG27" s="87">
        <f t="shared" si="29"/>
        <v>0</v>
      </c>
      <c r="FH27" s="87">
        <f t="shared" si="30"/>
        <v>0</v>
      </c>
      <c r="FI27" s="87">
        <f t="shared" si="31"/>
        <v>0</v>
      </c>
      <c r="FJ27" s="87">
        <f t="shared" si="32"/>
        <v>0</v>
      </c>
      <c r="FK27" s="87">
        <f t="shared" si="33"/>
        <v>0</v>
      </c>
      <c r="FL27" s="87">
        <f t="shared" si="34"/>
        <v>0</v>
      </c>
      <c r="FM27" s="87">
        <f t="shared" si="35"/>
        <v>0</v>
      </c>
      <c r="FN27" s="87">
        <f t="shared" si="36"/>
        <v>0</v>
      </c>
      <c r="FO27" s="87">
        <f t="shared" si="37"/>
        <v>0</v>
      </c>
      <c r="FP27" s="87">
        <f t="shared" si="38"/>
        <v>0</v>
      </c>
      <c r="FQ27" s="87">
        <f t="shared" si="39"/>
        <v>0</v>
      </c>
      <c r="FR27" s="87">
        <f t="shared" si="40"/>
        <v>0</v>
      </c>
      <c r="FS27" s="87">
        <f t="shared" si="41"/>
        <v>0</v>
      </c>
      <c r="FT27" s="87">
        <f t="shared" si="42"/>
        <v>0</v>
      </c>
      <c r="FU27" s="87">
        <f t="shared" si="43"/>
        <v>0</v>
      </c>
      <c r="FV27" s="87">
        <f t="shared" si="44"/>
        <v>0</v>
      </c>
      <c r="FW27" s="87">
        <f t="shared" si="45"/>
        <v>0</v>
      </c>
      <c r="FX27" s="87">
        <f t="shared" si="46"/>
        <v>0</v>
      </c>
      <c r="FY27" s="87">
        <f t="shared" si="47"/>
        <v>0</v>
      </c>
      <c r="FZ27" s="87">
        <f t="shared" si="48"/>
        <v>0</v>
      </c>
      <c r="GA27" s="87">
        <f t="shared" si="49"/>
        <v>0</v>
      </c>
      <c r="GB27" s="87">
        <f t="shared" si="50"/>
        <v>0</v>
      </c>
      <c r="GC27" s="87">
        <f t="shared" si="51"/>
        <v>0</v>
      </c>
      <c r="GD27" s="87">
        <f t="shared" si="52"/>
        <v>0</v>
      </c>
    </row>
    <row r="28" spans="11:186" ht="16.5" x14ac:dyDescent="0.2">
      <c r="K28" s="86">
        <v>24</v>
      </c>
      <c r="L28" s="86">
        <v>5</v>
      </c>
      <c r="M28" s="86">
        <v>4</v>
      </c>
      <c r="N28" s="86" t="str">
        <f t="shared" si="3"/>
        <v>神器5-4</v>
      </c>
      <c r="O28" s="86">
        <v>2</v>
      </c>
      <c r="P28" s="14">
        <f t="shared" si="4"/>
        <v>90</v>
      </c>
      <c r="Q28" s="88">
        <v>0.16</v>
      </c>
      <c r="R28" s="14">
        <v>1</v>
      </c>
      <c r="S28" s="14">
        <v>2</v>
      </c>
      <c r="T28" s="88">
        <v>0.16</v>
      </c>
      <c r="U28" s="14">
        <v>1</v>
      </c>
      <c r="V28" s="14">
        <v>3</v>
      </c>
      <c r="W28" s="88">
        <v>0.16</v>
      </c>
      <c r="X28" s="14">
        <v>2</v>
      </c>
      <c r="Y28" s="14">
        <v>4</v>
      </c>
      <c r="AO28" s="48">
        <v>3</v>
      </c>
      <c r="AP28" s="86">
        <v>13</v>
      </c>
      <c r="AQ28" s="86">
        <v>3</v>
      </c>
      <c r="AR28" s="48">
        <v>1</v>
      </c>
      <c r="AS28" s="86" t="s">
        <v>319</v>
      </c>
      <c r="AT28" s="21">
        <f t="shared" si="0"/>
        <v>1.7999999999999999E-2</v>
      </c>
      <c r="AU28" s="86">
        <f t="shared" si="5"/>
        <v>1</v>
      </c>
      <c r="AV28" s="86">
        <f t="shared" si="6"/>
        <v>1</v>
      </c>
      <c r="AW28" s="87">
        <f t="shared" si="7"/>
        <v>1.7999999999999999E-2</v>
      </c>
      <c r="AX28" s="86">
        <f t="shared" si="8"/>
        <v>2.52</v>
      </c>
      <c r="BA28" s="86">
        <v>24</v>
      </c>
      <c r="BB28" s="14" t="e">
        <f>INDEX(节奏总表!#REF!,神器!BA28)</f>
        <v>#REF!</v>
      </c>
      <c r="BC28" s="14" t="e">
        <f t="shared" si="9"/>
        <v>#REF!</v>
      </c>
      <c r="BD28" s="14">
        <v>5</v>
      </c>
      <c r="BE28" s="14">
        <v>3</v>
      </c>
      <c r="BF28" s="14">
        <f t="shared" si="10"/>
        <v>0</v>
      </c>
      <c r="BG28" s="14">
        <f t="shared" si="56"/>
        <v>0</v>
      </c>
      <c r="BH28" s="14">
        <f t="shared" si="56"/>
        <v>0</v>
      </c>
      <c r="BI28" s="14">
        <f t="shared" si="56"/>
        <v>0</v>
      </c>
      <c r="BJ28" s="14">
        <f t="shared" si="56"/>
        <v>0</v>
      </c>
      <c r="BK28" s="14">
        <f t="shared" si="56"/>
        <v>0</v>
      </c>
      <c r="BL28" s="14">
        <f t="shared" si="56"/>
        <v>0</v>
      </c>
      <c r="BM28" s="14">
        <f t="shared" si="56"/>
        <v>0</v>
      </c>
      <c r="BN28" s="14">
        <f t="shared" si="56"/>
        <v>0</v>
      </c>
      <c r="BO28" s="14">
        <f t="shared" si="56"/>
        <v>0</v>
      </c>
      <c r="BP28" s="14">
        <f t="shared" si="56"/>
        <v>0</v>
      </c>
      <c r="BQ28" s="14">
        <f t="shared" si="56"/>
        <v>0</v>
      </c>
      <c r="BR28" s="14">
        <f t="shared" si="56"/>
        <v>0</v>
      </c>
      <c r="BS28" s="14">
        <f t="shared" si="56"/>
        <v>0</v>
      </c>
      <c r="BT28" s="14">
        <f t="shared" si="56"/>
        <v>0</v>
      </c>
      <c r="BU28" s="14">
        <f t="shared" si="56"/>
        <v>0</v>
      </c>
      <c r="BV28" s="14">
        <f t="shared" si="56"/>
        <v>0</v>
      </c>
      <c r="BW28" s="14">
        <f t="shared" si="56"/>
        <v>0</v>
      </c>
      <c r="BX28" s="14">
        <f t="shared" si="56"/>
        <v>0</v>
      </c>
      <c r="BY28" s="14">
        <f t="shared" si="56"/>
        <v>0</v>
      </c>
      <c r="BZ28" s="14">
        <f t="shared" si="56"/>
        <v>0</v>
      </c>
      <c r="CA28" s="14">
        <f t="shared" si="56"/>
        <v>0</v>
      </c>
      <c r="CB28" s="14">
        <f t="shared" si="56"/>
        <v>0</v>
      </c>
      <c r="CC28" s="14">
        <f t="shared" si="56"/>
        <v>0</v>
      </c>
      <c r="CD28" s="14">
        <f t="shared" si="56"/>
        <v>0</v>
      </c>
      <c r="CE28" s="14">
        <f t="shared" si="56"/>
        <v>0</v>
      </c>
      <c r="CF28" s="14">
        <f t="shared" si="56"/>
        <v>0</v>
      </c>
      <c r="CG28" s="14">
        <f t="shared" si="56"/>
        <v>0</v>
      </c>
      <c r="CH28" s="14">
        <f t="shared" si="56"/>
        <v>0</v>
      </c>
      <c r="CI28" s="14">
        <f t="shared" si="56"/>
        <v>0</v>
      </c>
      <c r="CJ28" s="14">
        <f t="shared" si="56"/>
        <v>0</v>
      </c>
      <c r="CK28" s="14">
        <f t="shared" si="56"/>
        <v>0</v>
      </c>
      <c r="CL28" s="14">
        <f t="shared" si="56"/>
        <v>0</v>
      </c>
      <c r="CM28" s="14">
        <f t="shared" si="56"/>
        <v>0</v>
      </c>
      <c r="CN28" s="14">
        <f t="shared" si="56"/>
        <v>0</v>
      </c>
      <c r="CO28" s="14">
        <f t="shared" si="56"/>
        <v>0</v>
      </c>
      <c r="CP28" s="14">
        <f t="shared" si="56"/>
        <v>0</v>
      </c>
      <c r="CQ28" s="14">
        <f t="shared" si="56"/>
        <v>0</v>
      </c>
      <c r="CR28" s="14">
        <f t="shared" si="56"/>
        <v>0</v>
      </c>
      <c r="CS28" s="14">
        <f t="shared" si="56"/>
        <v>0</v>
      </c>
      <c r="CT28" s="14">
        <f t="shared" si="56"/>
        <v>0</v>
      </c>
      <c r="CU28" s="14">
        <f t="shared" si="56"/>
        <v>0</v>
      </c>
      <c r="CW28" s="14">
        <f>SUM(BF$5:BF28)</f>
        <v>0</v>
      </c>
      <c r="CX28" s="14">
        <f>SUM(BG$5:BG28)</f>
        <v>0</v>
      </c>
      <c r="CY28" s="14">
        <f>SUM(BH$5:BH28)</f>
        <v>0</v>
      </c>
      <c r="CZ28" s="14">
        <f>SUM(BI$5:BI28)</f>
        <v>0</v>
      </c>
      <c r="DA28" s="14">
        <f>SUM(BJ$5:BJ28)</f>
        <v>0</v>
      </c>
      <c r="DB28" s="14">
        <f>SUM(BK$5:BK28)</f>
        <v>0</v>
      </c>
      <c r="DC28" s="14">
        <f>SUM(BL$5:BL28)</f>
        <v>0</v>
      </c>
      <c r="DD28" s="14">
        <f>SUM(BM$5:BM28)</f>
        <v>0</v>
      </c>
      <c r="DE28" s="14">
        <f>SUM(BN$5:BN28)</f>
        <v>0</v>
      </c>
      <c r="DF28" s="14">
        <f>SUM(BO$5:BO28)</f>
        <v>0</v>
      </c>
      <c r="DG28" s="14">
        <f>SUM(BP$5:BP28)</f>
        <v>0</v>
      </c>
      <c r="DH28" s="14">
        <f>SUM(BQ$5:BQ28)</f>
        <v>0</v>
      </c>
      <c r="DI28" s="14">
        <f>SUM(BR$5:BR28)</f>
        <v>0</v>
      </c>
      <c r="DJ28" s="14">
        <f>SUM(BS$5:BS28)</f>
        <v>0</v>
      </c>
      <c r="DK28" s="14">
        <f>SUM(BT$5:BT28)</f>
        <v>0</v>
      </c>
      <c r="DL28" s="14">
        <f>SUM(BU$5:BU28)</f>
        <v>0</v>
      </c>
      <c r="DM28" s="14">
        <f>SUM(BV$5:BV28)</f>
        <v>0</v>
      </c>
      <c r="DN28" s="14">
        <f>SUM(BW$5:BW28)</f>
        <v>0</v>
      </c>
      <c r="DO28" s="14">
        <f>SUM(BX$5:BX28)</f>
        <v>0</v>
      </c>
      <c r="DP28" s="14">
        <f>SUM(BY$5:BY28)</f>
        <v>0</v>
      </c>
      <c r="DQ28" s="14">
        <f>SUM(BZ$5:BZ28)</f>
        <v>0</v>
      </c>
      <c r="DR28" s="14">
        <f>SUM(CA$5:CA28)</f>
        <v>0</v>
      </c>
      <c r="DS28" s="14">
        <f>SUM(CB$5:CB28)</f>
        <v>0</v>
      </c>
      <c r="DT28" s="14">
        <f>SUM(CC$5:CC28)</f>
        <v>0</v>
      </c>
      <c r="DU28" s="14">
        <f>SUM(CD$5:CD28)</f>
        <v>0</v>
      </c>
      <c r="DV28" s="14">
        <f>SUM(CE$5:CE28)</f>
        <v>0</v>
      </c>
      <c r="DW28" s="14">
        <f>SUM(CF$5:CF28)</f>
        <v>0</v>
      </c>
      <c r="DX28" s="14">
        <f>SUM(CG$5:CG28)</f>
        <v>0</v>
      </c>
      <c r="DY28" s="14">
        <f>SUM(CH$5:CH28)</f>
        <v>0</v>
      </c>
      <c r="DZ28" s="14">
        <f>SUM(CI$5:CI28)</f>
        <v>0</v>
      </c>
      <c r="EA28" s="14">
        <f>SUM(CJ$5:CJ28)</f>
        <v>0</v>
      </c>
      <c r="EB28" s="14">
        <f>SUM(CK$5:CK28)</f>
        <v>0</v>
      </c>
      <c r="EC28" s="14">
        <f>SUM(CL$5:CL28)</f>
        <v>0</v>
      </c>
      <c r="ED28" s="14">
        <f>SUM(CM$5:CM28)</f>
        <v>0</v>
      </c>
      <c r="EE28" s="14">
        <f>SUM(CN$5:CN28)</f>
        <v>0</v>
      </c>
      <c r="EF28" s="14">
        <f>SUM(CO$5:CO28)</f>
        <v>0</v>
      </c>
      <c r="EG28" s="14">
        <f>SUM(CP$5:CP28)</f>
        <v>0</v>
      </c>
      <c r="EH28" s="14">
        <f>SUM(CQ$5:CQ28)</f>
        <v>0</v>
      </c>
      <c r="EI28" s="14">
        <f>SUM(CR$5:CR28)</f>
        <v>0</v>
      </c>
      <c r="EJ28" s="14">
        <f>SUM(CS$5:CS28)</f>
        <v>0</v>
      </c>
      <c r="EK28" s="14">
        <f>SUM(CT$5:CT28)</f>
        <v>0</v>
      </c>
      <c r="EL28" s="14">
        <f>SUM(CU$5:CU28)</f>
        <v>0</v>
      </c>
      <c r="EO28" s="87">
        <f t="shared" si="11"/>
        <v>0</v>
      </c>
      <c r="EP28" s="87">
        <f t="shared" si="12"/>
        <v>0</v>
      </c>
      <c r="EQ28" s="87">
        <f t="shared" si="13"/>
        <v>0</v>
      </c>
      <c r="ER28" s="87">
        <f t="shared" si="14"/>
        <v>0</v>
      </c>
      <c r="ES28" s="87">
        <f t="shared" si="15"/>
        <v>0</v>
      </c>
      <c r="ET28" s="87">
        <f t="shared" si="16"/>
        <v>0</v>
      </c>
      <c r="EU28" s="87">
        <f t="shared" si="17"/>
        <v>0</v>
      </c>
      <c r="EV28" s="87">
        <f t="shared" si="18"/>
        <v>0</v>
      </c>
      <c r="EW28" s="87">
        <f t="shared" si="19"/>
        <v>0</v>
      </c>
      <c r="EX28" s="87">
        <f t="shared" si="20"/>
        <v>0</v>
      </c>
      <c r="EY28" s="87">
        <f t="shared" si="21"/>
        <v>0</v>
      </c>
      <c r="EZ28" s="87">
        <f t="shared" si="22"/>
        <v>0</v>
      </c>
      <c r="FA28" s="87">
        <f t="shared" si="23"/>
        <v>0</v>
      </c>
      <c r="FB28" s="87">
        <f t="shared" si="24"/>
        <v>0</v>
      </c>
      <c r="FC28" s="87">
        <f t="shared" si="25"/>
        <v>0</v>
      </c>
      <c r="FD28" s="87">
        <f t="shared" si="26"/>
        <v>0</v>
      </c>
      <c r="FE28" s="87">
        <f t="shared" si="27"/>
        <v>0</v>
      </c>
      <c r="FF28" s="87">
        <f t="shared" si="28"/>
        <v>0</v>
      </c>
      <c r="FG28" s="87">
        <f t="shared" si="29"/>
        <v>0</v>
      </c>
      <c r="FH28" s="87">
        <f t="shared" si="30"/>
        <v>0</v>
      </c>
      <c r="FI28" s="87">
        <f t="shared" si="31"/>
        <v>0</v>
      </c>
      <c r="FJ28" s="87">
        <f t="shared" si="32"/>
        <v>0</v>
      </c>
      <c r="FK28" s="87">
        <f t="shared" si="33"/>
        <v>0</v>
      </c>
      <c r="FL28" s="87">
        <f t="shared" si="34"/>
        <v>0</v>
      </c>
      <c r="FM28" s="87">
        <f t="shared" si="35"/>
        <v>0</v>
      </c>
      <c r="FN28" s="87">
        <f t="shared" si="36"/>
        <v>0</v>
      </c>
      <c r="FO28" s="87">
        <f t="shared" si="37"/>
        <v>0</v>
      </c>
      <c r="FP28" s="87">
        <f t="shared" si="38"/>
        <v>0</v>
      </c>
      <c r="FQ28" s="87">
        <f t="shared" si="39"/>
        <v>0</v>
      </c>
      <c r="FR28" s="87">
        <f t="shared" si="40"/>
        <v>0</v>
      </c>
      <c r="FS28" s="87">
        <f t="shared" si="41"/>
        <v>0</v>
      </c>
      <c r="FT28" s="87">
        <f t="shared" si="42"/>
        <v>0</v>
      </c>
      <c r="FU28" s="87">
        <f t="shared" si="43"/>
        <v>0</v>
      </c>
      <c r="FV28" s="87">
        <f t="shared" si="44"/>
        <v>0</v>
      </c>
      <c r="FW28" s="87">
        <f t="shared" si="45"/>
        <v>0</v>
      </c>
      <c r="FX28" s="87">
        <f t="shared" si="46"/>
        <v>0</v>
      </c>
      <c r="FY28" s="87">
        <f t="shared" si="47"/>
        <v>0</v>
      </c>
      <c r="FZ28" s="87">
        <f t="shared" si="48"/>
        <v>0</v>
      </c>
      <c r="GA28" s="87">
        <f t="shared" si="49"/>
        <v>0</v>
      </c>
      <c r="GB28" s="87">
        <f t="shared" si="50"/>
        <v>0</v>
      </c>
      <c r="GC28" s="87">
        <f t="shared" si="51"/>
        <v>0</v>
      </c>
      <c r="GD28" s="87">
        <f t="shared" si="52"/>
        <v>0</v>
      </c>
    </row>
    <row r="29" spans="11:186" ht="16.5" x14ac:dyDescent="0.2">
      <c r="K29" s="86">
        <v>25</v>
      </c>
      <c r="L29" s="86">
        <v>5</v>
      </c>
      <c r="M29" s="86">
        <v>5</v>
      </c>
      <c r="N29" s="86" t="str">
        <f t="shared" si="3"/>
        <v>神器5-5</v>
      </c>
      <c r="O29" s="86">
        <v>3</v>
      </c>
      <c r="P29" s="14">
        <f t="shared" si="4"/>
        <v>210</v>
      </c>
      <c r="Q29" s="88">
        <v>0.12</v>
      </c>
      <c r="R29" s="14">
        <v>1</v>
      </c>
      <c r="S29" s="14">
        <v>1</v>
      </c>
      <c r="T29" s="88">
        <v>0.12</v>
      </c>
      <c r="U29" s="14">
        <v>1</v>
      </c>
      <c r="V29" s="14">
        <v>2</v>
      </c>
      <c r="W29" s="88">
        <v>0.12</v>
      </c>
      <c r="X29" s="14">
        <v>1</v>
      </c>
      <c r="Y29" s="14">
        <v>3</v>
      </c>
      <c r="AO29" s="48">
        <v>3</v>
      </c>
      <c r="AP29" s="86">
        <v>14</v>
      </c>
      <c r="AQ29" s="86">
        <v>3</v>
      </c>
      <c r="AR29" s="48">
        <v>1</v>
      </c>
      <c r="AS29" s="86" t="s">
        <v>320</v>
      </c>
      <c r="AT29" s="21">
        <f t="shared" si="0"/>
        <v>8.9999999999999993E-3</v>
      </c>
      <c r="AU29" s="86">
        <f t="shared" si="5"/>
        <v>1</v>
      </c>
      <c r="AV29" s="86">
        <f t="shared" si="6"/>
        <v>1</v>
      </c>
      <c r="AW29" s="87">
        <f t="shared" si="7"/>
        <v>8.9999999999999993E-3</v>
      </c>
      <c r="AX29" s="86">
        <f t="shared" si="8"/>
        <v>2.6999999999999997</v>
      </c>
      <c r="BA29" s="86">
        <v>25</v>
      </c>
      <c r="BB29" s="14" t="e">
        <f>INDEX(节奏总表!#REF!,神器!BA29)</f>
        <v>#REF!</v>
      </c>
      <c r="BC29" s="14" t="e">
        <f t="shared" si="9"/>
        <v>#REF!</v>
      </c>
      <c r="BD29" s="14">
        <v>5</v>
      </c>
      <c r="BE29" s="14">
        <v>3</v>
      </c>
      <c r="BF29" s="14">
        <f t="shared" si="10"/>
        <v>0</v>
      </c>
      <c r="BG29" s="14">
        <f t="shared" si="56"/>
        <v>0</v>
      </c>
      <c r="BH29" s="14">
        <f t="shared" si="56"/>
        <v>0</v>
      </c>
      <c r="BI29" s="14">
        <f t="shared" si="56"/>
        <v>0</v>
      </c>
      <c r="BJ29" s="14">
        <f t="shared" si="56"/>
        <v>0</v>
      </c>
      <c r="BK29" s="14">
        <f t="shared" si="56"/>
        <v>0</v>
      </c>
      <c r="BL29" s="14">
        <f t="shared" si="56"/>
        <v>0</v>
      </c>
      <c r="BM29" s="14">
        <f t="shared" si="56"/>
        <v>0</v>
      </c>
      <c r="BN29" s="14">
        <f t="shared" si="56"/>
        <v>0</v>
      </c>
      <c r="BO29" s="14">
        <f t="shared" si="56"/>
        <v>0</v>
      </c>
      <c r="BP29" s="14">
        <f t="shared" si="56"/>
        <v>0</v>
      </c>
      <c r="BQ29" s="14">
        <f t="shared" si="56"/>
        <v>0</v>
      </c>
      <c r="BR29" s="14">
        <f t="shared" si="56"/>
        <v>0</v>
      </c>
      <c r="BS29" s="14">
        <f t="shared" si="56"/>
        <v>0</v>
      </c>
      <c r="BT29" s="14">
        <f t="shared" si="56"/>
        <v>0</v>
      </c>
      <c r="BU29" s="14">
        <f t="shared" si="56"/>
        <v>0</v>
      </c>
      <c r="BV29" s="14">
        <f t="shared" si="56"/>
        <v>0</v>
      </c>
      <c r="BW29" s="14">
        <f t="shared" si="56"/>
        <v>0</v>
      </c>
      <c r="BX29" s="14">
        <f t="shared" si="56"/>
        <v>0</v>
      </c>
      <c r="BY29" s="14">
        <f t="shared" si="56"/>
        <v>0</v>
      </c>
      <c r="BZ29" s="14">
        <f t="shared" si="56"/>
        <v>0</v>
      </c>
      <c r="CA29" s="14">
        <f t="shared" si="56"/>
        <v>0</v>
      </c>
      <c r="CB29" s="14">
        <f t="shared" si="56"/>
        <v>0</v>
      </c>
      <c r="CC29" s="14">
        <f t="shared" si="56"/>
        <v>0</v>
      </c>
      <c r="CD29" s="14">
        <f t="shared" si="56"/>
        <v>0</v>
      </c>
      <c r="CE29" s="14">
        <f t="shared" si="56"/>
        <v>0</v>
      </c>
      <c r="CF29" s="14">
        <f t="shared" si="56"/>
        <v>0</v>
      </c>
      <c r="CG29" s="14">
        <f t="shared" si="56"/>
        <v>0</v>
      </c>
      <c r="CH29" s="14">
        <f t="shared" si="56"/>
        <v>0</v>
      </c>
      <c r="CI29" s="14">
        <f t="shared" si="56"/>
        <v>0</v>
      </c>
      <c r="CJ29" s="14">
        <f t="shared" si="56"/>
        <v>0</v>
      </c>
      <c r="CK29" s="14">
        <f t="shared" si="56"/>
        <v>0</v>
      </c>
      <c r="CL29" s="14">
        <f t="shared" si="56"/>
        <v>0</v>
      </c>
      <c r="CM29" s="14">
        <f t="shared" si="56"/>
        <v>0</v>
      </c>
      <c r="CN29" s="14">
        <f t="shared" si="56"/>
        <v>0</v>
      </c>
      <c r="CO29" s="14">
        <f t="shared" si="56"/>
        <v>0</v>
      </c>
      <c r="CP29" s="14">
        <f t="shared" si="56"/>
        <v>0</v>
      </c>
      <c r="CQ29" s="14">
        <f t="shared" si="56"/>
        <v>0</v>
      </c>
      <c r="CR29" s="14">
        <f t="shared" si="56"/>
        <v>0</v>
      </c>
      <c r="CS29" s="14">
        <f t="shared" si="56"/>
        <v>0</v>
      </c>
      <c r="CT29" s="14">
        <f t="shared" si="56"/>
        <v>0</v>
      </c>
      <c r="CU29" s="14">
        <f t="shared" si="56"/>
        <v>0</v>
      </c>
      <c r="CW29" s="14">
        <f>SUM(BF$5:BF29)</f>
        <v>0</v>
      </c>
      <c r="CX29" s="14">
        <f>SUM(BG$5:BG29)</f>
        <v>0</v>
      </c>
      <c r="CY29" s="14">
        <f>SUM(BH$5:BH29)</f>
        <v>0</v>
      </c>
      <c r="CZ29" s="14">
        <f>SUM(BI$5:BI29)</f>
        <v>0</v>
      </c>
      <c r="DA29" s="14">
        <f>SUM(BJ$5:BJ29)</f>
        <v>0</v>
      </c>
      <c r="DB29" s="14">
        <f>SUM(BK$5:BK29)</f>
        <v>0</v>
      </c>
      <c r="DC29" s="14">
        <f>SUM(BL$5:BL29)</f>
        <v>0</v>
      </c>
      <c r="DD29" s="14">
        <f>SUM(BM$5:BM29)</f>
        <v>0</v>
      </c>
      <c r="DE29" s="14">
        <f>SUM(BN$5:BN29)</f>
        <v>0</v>
      </c>
      <c r="DF29" s="14">
        <f>SUM(BO$5:BO29)</f>
        <v>0</v>
      </c>
      <c r="DG29" s="14">
        <f>SUM(BP$5:BP29)</f>
        <v>0</v>
      </c>
      <c r="DH29" s="14">
        <f>SUM(BQ$5:BQ29)</f>
        <v>0</v>
      </c>
      <c r="DI29" s="14">
        <f>SUM(BR$5:BR29)</f>
        <v>0</v>
      </c>
      <c r="DJ29" s="14">
        <f>SUM(BS$5:BS29)</f>
        <v>0</v>
      </c>
      <c r="DK29" s="14">
        <f>SUM(BT$5:BT29)</f>
        <v>0</v>
      </c>
      <c r="DL29" s="14">
        <f>SUM(BU$5:BU29)</f>
        <v>0</v>
      </c>
      <c r="DM29" s="14">
        <f>SUM(BV$5:BV29)</f>
        <v>0</v>
      </c>
      <c r="DN29" s="14">
        <f>SUM(BW$5:BW29)</f>
        <v>0</v>
      </c>
      <c r="DO29" s="14">
        <f>SUM(BX$5:BX29)</f>
        <v>0</v>
      </c>
      <c r="DP29" s="14">
        <f>SUM(BY$5:BY29)</f>
        <v>0</v>
      </c>
      <c r="DQ29" s="14">
        <f>SUM(BZ$5:BZ29)</f>
        <v>0</v>
      </c>
      <c r="DR29" s="14">
        <f>SUM(CA$5:CA29)</f>
        <v>0</v>
      </c>
      <c r="DS29" s="14">
        <f>SUM(CB$5:CB29)</f>
        <v>0</v>
      </c>
      <c r="DT29" s="14">
        <f>SUM(CC$5:CC29)</f>
        <v>0</v>
      </c>
      <c r="DU29" s="14">
        <f>SUM(CD$5:CD29)</f>
        <v>0</v>
      </c>
      <c r="DV29" s="14">
        <f>SUM(CE$5:CE29)</f>
        <v>0</v>
      </c>
      <c r="DW29" s="14">
        <f>SUM(CF$5:CF29)</f>
        <v>0</v>
      </c>
      <c r="DX29" s="14">
        <f>SUM(CG$5:CG29)</f>
        <v>0</v>
      </c>
      <c r="DY29" s="14">
        <f>SUM(CH$5:CH29)</f>
        <v>0</v>
      </c>
      <c r="DZ29" s="14">
        <f>SUM(CI$5:CI29)</f>
        <v>0</v>
      </c>
      <c r="EA29" s="14">
        <f>SUM(CJ$5:CJ29)</f>
        <v>0</v>
      </c>
      <c r="EB29" s="14">
        <f>SUM(CK$5:CK29)</f>
        <v>0</v>
      </c>
      <c r="EC29" s="14">
        <f>SUM(CL$5:CL29)</f>
        <v>0</v>
      </c>
      <c r="ED29" s="14">
        <f>SUM(CM$5:CM29)</f>
        <v>0</v>
      </c>
      <c r="EE29" s="14">
        <f>SUM(CN$5:CN29)</f>
        <v>0</v>
      </c>
      <c r="EF29" s="14">
        <f>SUM(CO$5:CO29)</f>
        <v>0</v>
      </c>
      <c r="EG29" s="14">
        <f>SUM(CP$5:CP29)</f>
        <v>0</v>
      </c>
      <c r="EH29" s="14">
        <f>SUM(CQ$5:CQ29)</f>
        <v>0</v>
      </c>
      <c r="EI29" s="14">
        <f>SUM(CR$5:CR29)</f>
        <v>0</v>
      </c>
      <c r="EJ29" s="14">
        <f>SUM(CS$5:CS29)</f>
        <v>0</v>
      </c>
      <c r="EK29" s="14">
        <f>SUM(CT$5:CT29)</f>
        <v>0</v>
      </c>
      <c r="EL29" s="14">
        <f>SUM(CU$5:CU29)</f>
        <v>0</v>
      </c>
      <c r="EO29" s="87">
        <f t="shared" si="11"/>
        <v>0</v>
      </c>
      <c r="EP29" s="87">
        <f t="shared" si="12"/>
        <v>0</v>
      </c>
      <c r="EQ29" s="87">
        <f t="shared" si="13"/>
        <v>0</v>
      </c>
      <c r="ER29" s="87">
        <f t="shared" si="14"/>
        <v>0</v>
      </c>
      <c r="ES29" s="87">
        <f t="shared" si="15"/>
        <v>0</v>
      </c>
      <c r="ET29" s="87">
        <f t="shared" si="16"/>
        <v>0</v>
      </c>
      <c r="EU29" s="87">
        <f t="shared" si="17"/>
        <v>0</v>
      </c>
      <c r="EV29" s="87">
        <f t="shared" si="18"/>
        <v>0</v>
      </c>
      <c r="EW29" s="87">
        <f t="shared" si="19"/>
        <v>0</v>
      </c>
      <c r="EX29" s="87">
        <f t="shared" si="20"/>
        <v>0</v>
      </c>
      <c r="EY29" s="87">
        <f t="shared" si="21"/>
        <v>0</v>
      </c>
      <c r="EZ29" s="87">
        <f t="shared" si="22"/>
        <v>0</v>
      </c>
      <c r="FA29" s="87">
        <f t="shared" si="23"/>
        <v>0</v>
      </c>
      <c r="FB29" s="87">
        <f t="shared" si="24"/>
        <v>0</v>
      </c>
      <c r="FC29" s="87">
        <f t="shared" si="25"/>
        <v>0</v>
      </c>
      <c r="FD29" s="87">
        <f t="shared" si="26"/>
        <v>0</v>
      </c>
      <c r="FE29" s="87">
        <f t="shared" si="27"/>
        <v>0</v>
      </c>
      <c r="FF29" s="87">
        <f t="shared" si="28"/>
        <v>0</v>
      </c>
      <c r="FG29" s="87">
        <f t="shared" si="29"/>
        <v>0</v>
      </c>
      <c r="FH29" s="87">
        <f t="shared" si="30"/>
        <v>0</v>
      </c>
      <c r="FI29" s="87">
        <f t="shared" si="31"/>
        <v>0</v>
      </c>
      <c r="FJ29" s="87">
        <f t="shared" si="32"/>
        <v>0</v>
      </c>
      <c r="FK29" s="87">
        <f t="shared" si="33"/>
        <v>0</v>
      </c>
      <c r="FL29" s="87">
        <f t="shared" si="34"/>
        <v>0</v>
      </c>
      <c r="FM29" s="87">
        <f t="shared" si="35"/>
        <v>0</v>
      </c>
      <c r="FN29" s="87">
        <f t="shared" si="36"/>
        <v>0</v>
      </c>
      <c r="FO29" s="87">
        <f t="shared" si="37"/>
        <v>0</v>
      </c>
      <c r="FP29" s="87">
        <f t="shared" si="38"/>
        <v>0</v>
      </c>
      <c r="FQ29" s="87">
        <f t="shared" si="39"/>
        <v>0</v>
      </c>
      <c r="FR29" s="87">
        <f t="shared" si="40"/>
        <v>0</v>
      </c>
      <c r="FS29" s="87">
        <f t="shared" si="41"/>
        <v>0</v>
      </c>
      <c r="FT29" s="87">
        <f t="shared" si="42"/>
        <v>0</v>
      </c>
      <c r="FU29" s="87">
        <f t="shared" si="43"/>
        <v>0</v>
      </c>
      <c r="FV29" s="87">
        <f t="shared" si="44"/>
        <v>0</v>
      </c>
      <c r="FW29" s="87">
        <f t="shared" si="45"/>
        <v>0</v>
      </c>
      <c r="FX29" s="87">
        <f t="shared" si="46"/>
        <v>0</v>
      </c>
      <c r="FY29" s="87">
        <f t="shared" si="47"/>
        <v>0</v>
      </c>
      <c r="FZ29" s="87">
        <f t="shared" si="48"/>
        <v>0</v>
      </c>
      <c r="GA29" s="87">
        <f t="shared" si="49"/>
        <v>0</v>
      </c>
      <c r="GB29" s="87">
        <f t="shared" si="50"/>
        <v>0</v>
      </c>
      <c r="GC29" s="87">
        <f t="shared" si="51"/>
        <v>0</v>
      </c>
      <c r="GD29" s="87">
        <f t="shared" si="52"/>
        <v>0</v>
      </c>
    </row>
    <row r="30" spans="11:186" ht="16.5" x14ac:dyDescent="0.2">
      <c r="K30" s="86">
        <v>26</v>
      </c>
      <c r="L30" s="86">
        <v>5</v>
      </c>
      <c r="M30" s="86">
        <v>6</v>
      </c>
      <c r="N30" s="86" t="str">
        <f t="shared" si="3"/>
        <v>神器5-6</v>
      </c>
      <c r="O30" s="86">
        <v>4</v>
      </c>
      <c r="P30" s="14">
        <f t="shared" si="4"/>
        <v>450</v>
      </c>
      <c r="Q30" s="88">
        <v>0.06</v>
      </c>
      <c r="R30" s="14">
        <v>1</v>
      </c>
      <c r="S30" s="14">
        <v>1</v>
      </c>
      <c r="T30" s="88">
        <v>0.06</v>
      </c>
      <c r="U30" s="14">
        <v>1</v>
      </c>
      <c r="V30" s="14">
        <v>2</v>
      </c>
      <c r="W30" s="88">
        <v>0.06</v>
      </c>
      <c r="X30" s="14">
        <v>1</v>
      </c>
      <c r="Y30" s="14">
        <v>3</v>
      </c>
      <c r="AO30" s="48">
        <v>4</v>
      </c>
      <c r="AP30" s="86">
        <v>4</v>
      </c>
      <c r="AQ30" s="86">
        <v>1</v>
      </c>
      <c r="AR30" s="48">
        <v>3</v>
      </c>
      <c r="AS30" s="86" t="s">
        <v>310</v>
      </c>
      <c r="AT30" s="21">
        <f t="shared" si="0"/>
        <v>0.14300000000000002</v>
      </c>
      <c r="AU30" s="86">
        <f t="shared" si="5"/>
        <v>3</v>
      </c>
      <c r="AV30" s="86">
        <f t="shared" si="6"/>
        <v>5</v>
      </c>
      <c r="AW30" s="87">
        <f t="shared" si="7"/>
        <v>0.57200000000000006</v>
      </c>
      <c r="AX30" s="86">
        <f t="shared" si="8"/>
        <v>8.5800000000000018</v>
      </c>
      <c r="BA30" s="86">
        <v>26</v>
      </c>
      <c r="BB30" s="14" t="e">
        <f>INDEX(节奏总表!#REF!,神器!BA30)</f>
        <v>#REF!</v>
      </c>
      <c r="BC30" s="14" t="e">
        <f t="shared" si="9"/>
        <v>#REF!</v>
      </c>
      <c r="BD30" s="14">
        <v>5</v>
      </c>
      <c r="BE30" s="14">
        <v>3</v>
      </c>
      <c r="BF30" s="14">
        <f t="shared" si="10"/>
        <v>0</v>
      </c>
      <c r="BG30" s="14">
        <f t="shared" si="56"/>
        <v>0</v>
      </c>
      <c r="BH30" s="14">
        <f t="shared" si="56"/>
        <v>0</v>
      </c>
      <c r="BI30" s="14">
        <f t="shared" si="56"/>
        <v>0</v>
      </c>
      <c r="BJ30" s="14">
        <f t="shared" si="56"/>
        <v>0</v>
      </c>
      <c r="BK30" s="14">
        <f t="shared" si="56"/>
        <v>0</v>
      </c>
      <c r="BL30" s="14">
        <f t="shared" si="56"/>
        <v>0</v>
      </c>
      <c r="BM30" s="14">
        <f t="shared" si="56"/>
        <v>0</v>
      </c>
      <c r="BN30" s="14">
        <f t="shared" si="56"/>
        <v>0</v>
      </c>
      <c r="BO30" s="14">
        <f t="shared" si="56"/>
        <v>0</v>
      </c>
      <c r="BP30" s="14">
        <f t="shared" si="56"/>
        <v>0</v>
      </c>
      <c r="BQ30" s="14">
        <f t="shared" si="56"/>
        <v>0</v>
      </c>
      <c r="BR30" s="14">
        <f t="shared" si="56"/>
        <v>0</v>
      </c>
      <c r="BS30" s="14">
        <f t="shared" si="56"/>
        <v>0</v>
      </c>
      <c r="BT30" s="14">
        <f t="shared" si="56"/>
        <v>0</v>
      </c>
      <c r="BU30" s="14">
        <f t="shared" si="56"/>
        <v>0</v>
      </c>
      <c r="BV30" s="14">
        <f t="shared" si="56"/>
        <v>0</v>
      </c>
      <c r="BW30" s="14">
        <f t="shared" si="56"/>
        <v>0</v>
      </c>
      <c r="BX30" s="14">
        <f t="shared" si="56"/>
        <v>0</v>
      </c>
      <c r="BY30" s="14">
        <f t="shared" si="56"/>
        <v>0</v>
      </c>
      <c r="BZ30" s="14">
        <f t="shared" si="56"/>
        <v>0</v>
      </c>
      <c r="CA30" s="14">
        <f t="shared" si="56"/>
        <v>0</v>
      </c>
      <c r="CB30" s="14">
        <f t="shared" si="56"/>
        <v>0</v>
      </c>
      <c r="CC30" s="14">
        <f t="shared" si="56"/>
        <v>0</v>
      </c>
      <c r="CD30" s="14">
        <f t="shared" si="56"/>
        <v>0</v>
      </c>
      <c r="CE30" s="14">
        <f t="shared" si="56"/>
        <v>0</v>
      </c>
      <c r="CF30" s="14">
        <f t="shared" si="56"/>
        <v>0</v>
      </c>
      <c r="CG30" s="14">
        <f t="shared" si="56"/>
        <v>0</v>
      </c>
      <c r="CH30" s="14">
        <f t="shared" si="56"/>
        <v>0</v>
      </c>
      <c r="CI30" s="14">
        <f t="shared" si="56"/>
        <v>0</v>
      </c>
      <c r="CJ30" s="14">
        <f t="shared" si="56"/>
        <v>0</v>
      </c>
      <c r="CK30" s="14">
        <f t="shared" si="56"/>
        <v>0</v>
      </c>
      <c r="CL30" s="14">
        <f t="shared" si="56"/>
        <v>0</v>
      </c>
      <c r="CM30" s="14">
        <f t="shared" si="56"/>
        <v>0</v>
      </c>
      <c r="CN30" s="14">
        <f t="shared" si="56"/>
        <v>0</v>
      </c>
      <c r="CO30" s="14">
        <f t="shared" si="56"/>
        <v>0</v>
      </c>
      <c r="CP30" s="14">
        <f t="shared" si="56"/>
        <v>0</v>
      </c>
      <c r="CQ30" s="14">
        <f t="shared" si="56"/>
        <v>0</v>
      </c>
      <c r="CR30" s="14">
        <f t="shared" si="56"/>
        <v>0</v>
      </c>
      <c r="CS30" s="14">
        <f t="shared" si="56"/>
        <v>0</v>
      </c>
      <c r="CT30" s="14">
        <f t="shared" si="56"/>
        <v>0</v>
      </c>
      <c r="CU30" s="14">
        <f t="shared" si="56"/>
        <v>0</v>
      </c>
      <c r="CW30" s="14">
        <f>SUM(BF$5:BF30)</f>
        <v>0</v>
      </c>
      <c r="CX30" s="14">
        <f>SUM(BG$5:BG30)</f>
        <v>0</v>
      </c>
      <c r="CY30" s="14">
        <f>SUM(BH$5:BH30)</f>
        <v>0</v>
      </c>
      <c r="CZ30" s="14">
        <f>SUM(BI$5:BI30)</f>
        <v>0</v>
      </c>
      <c r="DA30" s="14">
        <f>SUM(BJ$5:BJ30)</f>
        <v>0</v>
      </c>
      <c r="DB30" s="14">
        <f>SUM(BK$5:BK30)</f>
        <v>0</v>
      </c>
      <c r="DC30" s="14">
        <f>SUM(BL$5:BL30)</f>
        <v>0</v>
      </c>
      <c r="DD30" s="14">
        <f>SUM(BM$5:BM30)</f>
        <v>0</v>
      </c>
      <c r="DE30" s="14">
        <f>SUM(BN$5:BN30)</f>
        <v>0</v>
      </c>
      <c r="DF30" s="14">
        <f>SUM(BO$5:BO30)</f>
        <v>0</v>
      </c>
      <c r="DG30" s="14">
        <f>SUM(BP$5:BP30)</f>
        <v>0</v>
      </c>
      <c r="DH30" s="14">
        <f>SUM(BQ$5:BQ30)</f>
        <v>0</v>
      </c>
      <c r="DI30" s="14">
        <f>SUM(BR$5:BR30)</f>
        <v>0</v>
      </c>
      <c r="DJ30" s="14">
        <f>SUM(BS$5:BS30)</f>
        <v>0</v>
      </c>
      <c r="DK30" s="14">
        <f>SUM(BT$5:BT30)</f>
        <v>0</v>
      </c>
      <c r="DL30" s="14">
        <f>SUM(BU$5:BU30)</f>
        <v>0</v>
      </c>
      <c r="DM30" s="14">
        <f>SUM(BV$5:BV30)</f>
        <v>0</v>
      </c>
      <c r="DN30" s="14">
        <f>SUM(BW$5:BW30)</f>
        <v>0</v>
      </c>
      <c r="DO30" s="14">
        <f>SUM(BX$5:BX30)</f>
        <v>0</v>
      </c>
      <c r="DP30" s="14">
        <f>SUM(BY$5:BY30)</f>
        <v>0</v>
      </c>
      <c r="DQ30" s="14">
        <f>SUM(BZ$5:BZ30)</f>
        <v>0</v>
      </c>
      <c r="DR30" s="14">
        <f>SUM(CA$5:CA30)</f>
        <v>0</v>
      </c>
      <c r="DS30" s="14">
        <f>SUM(CB$5:CB30)</f>
        <v>0</v>
      </c>
      <c r="DT30" s="14">
        <f>SUM(CC$5:CC30)</f>
        <v>0</v>
      </c>
      <c r="DU30" s="14">
        <f>SUM(CD$5:CD30)</f>
        <v>0</v>
      </c>
      <c r="DV30" s="14">
        <f>SUM(CE$5:CE30)</f>
        <v>0</v>
      </c>
      <c r="DW30" s="14">
        <f>SUM(CF$5:CF30)</f>
        <v>0</v>
      </c>
      <c r="DX30" s="14">
        <f>SUM(CG$5:CG30)</f>
        <v>0</v>
      </c>
      <c r="DY30" s="14">
        <f>SUM(CH$5:CH30)</f>
        <v>0</v>
      </c>
      <c r="DZ30" s="14">
        <f>SUM(CI$5:CI30)</f>
        <v>0</v>
      </c>
      <c r="EA30" s="14">
        <f>SUM(CJ$5:CJ30)</f>
        <v>0</v>
      </c>
      <c r="EB30" s="14">
        <f>SUM(CK$5:CK30)</f>
        <v>0</v>
      </c>
      <c r="EC30" s="14">
        <f>SUM(CL$5:CL30)</f>
        <v>0</v>
      </c>
      <c r="ED30" s="14">
        <f>SUM(CM$5:CM30)</f>
        <v>0</v>
      </c>
      <c r="EE30" s="14">
        <f>SUM(CN$5:CN30)</f>
        <v>0</v>
      </c>
      <c r="EF30" s="14">
        <f>SUM(CO$5:CO30)</f>
        <v>0</v>
      </c>
      <c r="EG30" s="14">
        <f>SUM(CP$5:CP30)</f>
        <v>0</v>
      </c>
      <c r="EH30" s="14">
        <f>SUM(CQ$5:CQ30)</f>
        <v>0</v>
      </c>
      <c r="EI30" s="14">
        <f>SUM(CR$5:CR30)</f>
        <v>0</v>
      </c>
      <c r="EJ30" s="14">
        <f>SUM(CS$5:CS30)</f>
        <v>0</v>
      </c>
      <c r="EK30" s="14">
        <f>SUM(CT$5:CT30)</f>
        <v>0</v>
      </c>
      <c r="EL30" s="14">
        <f>SUM(CU$5:CU30)</f>
        <v>0</v>
      </c>
      <c r="EO30" s="87">
        <f t="shared" si="11"/>
        <v>0</v>
      </c>
      <c r="EP30" s="87">
        <f t="shared" si="12"/>
        <v>0</v>
      </c>
      <c r="EQ30" s="87">
        <f t="shared" si="13"/>
        <v>0</v>
      </c>
      <c r="ER30" s="87">
        <f t="shared" si="14"/>
        <v>0</v>
      </c>
      <c r="ES30" s="87">
        <f t="shared" si="15"/>
        <v>0</v>
      </c>
      <c r="ET30" s="87">
        <f t="shared" si="16"/>
        <v>0</v>
      </c>
      <c r="EU30" s="87">
        <f t="shared" si="17"/>
        <v>0</v>
      </c>
      <c r="EV30" s="87">
        <f t="shared" si="18"/>
        <v>0</v>
      </c>
      <c r="EW30" s="87">
        <f t="shared" si="19"/>
        <v>0</v>
      </c>
      <c r="EX30" s="87">
        <f t="shared" si="20"/>
        <v>0</v>
      </c>
      <c r="EY30" s="87">
        <f t="shared" si="21"/>
        <v>0</v>
      </c>
      <c r="EZ30" s="87">
        <f t="shared" si="22"/>
        <v>0</v>
      </c>
      <c r="FA30" s="87">
        <f t="shared" si="23"/>
        <v>0</v>
      </c>
      <c r="FB30" s="87">
        <f t="shared" si="24"/>
        <v>0</v>
      </c>
      <c r="FC30" s="87">
        <f t="shared" si="25"/>
        <v>0</v>
      </c>
      <c r="FD30" s="87">
        <f t="shared" si="26"/>
        <v>0</v>
      </c>
      <c r="FE30" s="87">
        <f t="shared" si="27"/>
        <v>0</v>
      </c>
      <c r="FF30" s="87">
        <f t="shared" si="28"/>
        <v>0</v>
      </c>
      <c r="FG30" s="87">
        <f t="shared" si="29"/>
        <v>0</v>
      </c>
      <c r="FH30" s="87">
        <f t="shared" si="30"/>
        <v>0</v>
      </c>
      <c r="FI30" s="87">
        <f t="shared" si="31"/>
        <v>0</v>
      </c>
      <c r="FJ30" s="87">
        <f t="shared" si="32"/>
        <v>0</v>
      </c>
      <c r="FK30" s="87">
        <f t="shared" si="33"/>
        <v>0</v>
      </c>
      <c r="FL30" s="87">
        <f t="shared" si="34"/>
        <v>0</v>
      </c>
      <c r="FM30" s="87">
        <f t="shared" si="35"/>
        <v>0</v>
      </c>
      <c r="FN30" s="87">
        <f t="shared" si="36"/>
        <v>0</v>
      </c>
      <c r="FO30" s="87">
        <f t="shared" si="37"/>
        <v>0</v>
      </c>
      <c r="FP30" s="87">
        <f t="shared" si="38"/>
        <v>0</v>
      </c>
      <c r="FQ30" s="87">
        <f t="shared" si="39"/>
        <v>0</v>
      </c>
      <c r="FR30" s="87">
        <f t="shared" si="40"/>
        <v>0</v>
      </c>
      <c r="FS30" s="87">
        <f t="shared" si="41"/>
        <v>0</v>
      </c>
      <c r="FT30" s="87">
        <f t="shared" si="42"/>
        <v>0</v>
      </c>
      <c r="FU30" s="87">
        <f t="shared" si="43"/>
        <v>0</v>
      </c>
      <c r="FV30" s="87">
        <f t="shared" si="44"/>
        <v>0</v>
      </c>
      <c r="FW30" s="87">
        <f t="shared" si="45"/>
        <v>0</v>
      </c>
      <c r="FX30" s="87">
        <f t="shared" si="46"/>
        <v>0</v>
      </c>
      <c r="FY30" s="87">
        <f t="shared" si="47"/>
        <v>0</v>
      </c>
      <c r="FZ30" s="87">
        <f t="shared" si="48"/>
        <v>0</v>
      </c>
      <c r="GA30" s="87">
        <f t="shared" si="49"/>
        <v>0</v>
      </c>
      <c r="GB30" s="87">
        <f t="shared" si="50"/>
        <v>0</v>
      </c>
      <c r="GC30" s="87">
        <f t="shared" si="51"/>
        <v>0</v>
      </c>
      <c r="GD30" s="87">
        <f t="shared" si="52"/>
        <v>0</v>
      </c>
    </row>
    <row r="31" spans="11:186" ht="16.5" x14ac:dyDescent="0.2">
      <c r="K31" s="86">
        <v>27</v>
      </c>
      <c r="L31" s="86">
        <v>6</v>
      </c>
      <c r="M31" s="86">
        <v>1</v>
      </c>
      <c r="N31" s="86" t="str">
        <f t="shared" si="3"/>
        <v>神器6-1</v>
      </c>
      <c r="O31" s="86">
        <v>2</v>
      </c>
      <c r="P31" s="14">
        <f t="shared" si="4"/>
        <v>120</v>
      </c>
      <c r="Q31" s="88">
        <v>0.18</v>
      </c>
      <c r="R31" s="14">
        <v>1</v>
      </c>
      <c r="S31" s="14">
        <v>2</v>
      </c>
      <c r="T31" s="88">
        <v>0.18</v>
      </c>
      <c r="U31" s="14">
        <v>1</v>
      </c>
      <c r="V31" s="14">
        <v>3</v>
      </c>
      <c r="W31" s="88">
        <v>0.18</v>
      </c>
      <c r="X31" s="14">
        <v>2</v>
      </c>
      <c r="Y31" s="14">
        <v>4</v>
      </c>
      <c r="AO31" s="48">
        <v>4</v>
      </c>
      <c r="AP31" s="86">
        <v>5</v>
      </c>
      <c r="AQ31" s="86">
        <v>1</v>
      </c>
      <c r="AR31" s="48">
        <v>3</v>
      </c>
      <c r="AS31" s="86" t="s">
        <v>311</v>
      </c>
      <c r="AT31" s="21">
        <f t="shared" si="0"/>
        <v>0.14300000000000002</v>
      </c>
      <c r="AU31" s="86">
        <f t="shared" si="5"/>
        <v>3</v>
      </c>
      <c r="AV31" s="86">
        <f t="shared" si="6"/>
        <v>5</v>
      </c>
      <c r="AW31" s="87">
        <f t="shared" si="7"/>
        <v>0.57200000000000006</v>
      </c>
      <c r="AX31" s="86">
        <f t="shared" si="8"/>
        <v>8.5800000000000018</v>
      </c>
      <c r="BA31" s="86">
        <v>27</v>
      </c>
      <c r="BB31" s="14" t="e">
        <f>INDEX(节奏总表!#REF!,神器!BA31)</f>
        <v>#REF!</v>
      </c>
      <c r="BC31" s="14" t="e">
        <f t="shared" si="9"/>
        <v>#REF!</v>
      </c>
      <c r="BD31" s="14">
        <v>5</v>
      </c>
      <c r="BE31" s="14">
        <v>3</v>
      </c>
      <c r="BF31" s="14">
        <f t="shared" si="10"/>
        <v>0</v>
      </c>
      <c r="BG31" s="14">
        <f t="shared" si="56"/>
        <v>0</v>
      </c>
      <c r="BH31" s="14">
        <f t="shared" si="56"/>
        <v>0</v>
      </c>
      <c r="BI31" s="14">
        <f t="shared" si="56"/>
        <v>0</v>
      </c>
      <c r="BJ31" s="14">
        <f t="shared" si="56"/>
        <v>0</v>
      </c>
      <c r="BK31" s="14">
        <f t="shared" si="56"/>
        <v>0</v>
      </c>
      <c r="BL31" s="14">
        <f t="shared" si="56"/>
        <v>0</v>
      </c>
      <c r="BM31" s="14">
        <f t="shared" si="56"/>
        <v>0</v>
      </c>
      <c r="BN31" s="14">
        <f t="shared" si="56"/>
        <v>0</v>
      </c>
      <c r="BO31" s="14">
        <f t="shared" si="56"/>
        <v>0</v>
      </c>
      <c r="BP31" s="14">
        <f t="shared" si="56"/>
        <v>0</v>
      </c>
      <c r="BQ31" s="14">
        <f t="shared" si="56"/>
        <v>0</v>
      </c>
      <c r="BR31" s="14">
        <f t="shared" si="56"/>
        <v>0</v>
      </c>
      <c r="BS31" s="14">
        <f t="shared" si="56"/>
        <v>0</v>
      </c>
      <c r="BT31" s="14">
        <f t="shared" si="56"/>
        <v>0</v>
      </c>
      <c r="BU31" s="14">
        <f t="shared" si="56"/>
        <v>0</v>
      </c>
      <c r="BV31" s="14">
        <f t="shared" si="56"/>
        <v>0</v>
      </c>
      <c r="BW31" s="14">
        <f t="shared" si="56"/>
        <v>0</v>
      </c>
      <c r="BX31" s="14">
        <f t="shared" si="56"/>
        <v>0</v>
      </c>
      <c r="BY31" s="14">
        <f t="shared" si="56"/>
        <v>0</v>
      </c>
      <c r="BZ31" s="14">
        <f t="shared" si="56"/>
        <v>0</v>
      </c>
      <c r="CA31" s="14">
        <f t="shared" si="56"/>
        <v>0</v>
      </c>
      <c r="CB31" s="14">
        <f t="shared" si="56"/>
        <v>0</v>
      </c>
      <c r="CC31" s="14">
        <f t="shared" si="56"/>
        <v>0</v>
      </c>
      <c r="CD31" s="14">
        <f t="shared" si="56"/>
        <v>0</v>
      </c>
      <c r="CE31" s="14">
        <f t="shared" si="56"/>
        <v>0</v>
      </c>
      <c r="CF31" s="14">
        <f t="shared" si="56"/>
        <v>0</v>
      </c>
      <c r="CG31" s="14">
        <f t="shared" si="56"/>
        <v>0</v>
      </c>
      <c r="CH31" s="14">
        <f t="shared" si="56"/>
        <v>0</v>
      </c>
      <c r="CI31" s="14">
        <f t="shared" si="56"/>
        <v>0</v>
      </c>
      <c r="CJ31" s="14">
        <f t="shared" si="56"/>
        <v>0</v>
      </c>
      <c r="CK31" s="14">
        <f t="shared" si="56"/>
        <v>0</v>
      </c>
      <c r="CL31" s="14">
        <f t="shared" si="56"/>
        <v>0</v>
      </c>
      <c r="CM31" s="14">
        <f t="shared" si="56"/>
        <v>0</v>
      </c>
      <c r="CN31" s="14">
        <f t="shared" si="56"/>
        <v>0</v>
      </c>
      <c r="CO31" s="14">
        <f t="shared" si="56"/>
        <v>0</v>
      </c>
      <c r="CP31" s="14">
        <f t="shared" si="56"/>
        <v>0</v>
      </c>
      <c r="CQ31" s="14">
        <f t="shared" si="56"/>
        <v>0</v>
      </c>
      <c r="CR31" s="14">
        <f t="shared" si="56"/>
        <v>0</v>
      </c>
      <c r="CS31" s="14">
        <f t="shared" si="56"/>
        <v>0</v>
      </c>
      <c r="CT31" s="14">
        <f t="shared" si="56"/>
        <v>0</v>
      </c>
      <c r="CU31" s="14">
        <f t="shared" si="56"/>
        <v>0</v>
      </c>
      <c r="CW31" s="14">
        <f>SUM(BF$5:BF31)</f>
        <v>0</v>
      </c>
      <c r="CX31" s="14">
        <f>SUM(BG$5:BG31)</f>
        <v>0</v>
      </c>
      <c r="CY31" s="14">
        <f>SUM(BH$5:BH31)</f>
        <v>0</v>
      </c>
      <c r="CZ31" s="14">
        <f>SUM(BI$5:BI31)</f>
        <v>0</v>
      </c>
      <c r="DA31" s="14">
        <f>SUM(BJ$5:BJ31)</f>
        <v>0</v>
      </c>
      <c r="DB31" s="14">
        <f>SUM(BK$5:BK31)</f>
        <v>0</v>
      </c>
      <c r="DC31" s="14">
        <f>SUM(BL$5:BL31)</f>
        <v>0</v>
      </c>
      <c r="DD31" s="14">
        <f>SUM(BM$5:BM31)</f>
        <v>0</v>
      </c>
      <c r="DE31" s="14">
        <f>SUM(BN$5:BN31)</f>
        <v>0</v>
      </c>
      <c r="DF31" s="14">
        <f>SUM(BO$5:BO31)</f>
        <v>0</v>
      </c>
      <c r="DG31" s="14">
        <f>SUM(BP$5:BP31)</f>
        <v>0</v>
      </c>
      <c r="DH31" s="14">
        <f>SUM(BQ$5:BQ31)</f>
        <v>0</v>
      </c>
      <c r="DI31" s="14">
        <f>SUM(BR$5:BR31)</f>
        <v>0</v>
      </c>
      <c r="DJ31" s="14">
        <f>SUM(BS$5:BS31)</f>
        <v>0</v>
      </c>
      <c r="DK31" s="14">
        <f>SUM(BT$5:BT31)</f>
        <v>0</v>
      </c>
      <c r="DL31" s="14">
        <f>SUM(BU$5:BU31)</f>
        <v>0</v>
      </c>
      <c r="DM31" s="14">
        <f>SUM(BV$5:BV31)</f>
        <v>0</v>
      </c>
      <c r="DN31" s="14">
        <f>SUM(BW$5:BW31)</f>
        <v>0</v>
      </c>
      <c r="DO31" s="14">
        <f>SUM(BX$5:BX31)</f>
        <v>0</v>
      </c>
      <c r="DP31" s="14">
        <f>SUM(BY$5:BY31)</f>
        <v>0</v>
      </c>
      <c r="DQ31" s="14">
        <f>SUM(BZ$5:BZ31)</f>
        <v>0</v>
      </c>
      <c r="DR31" s="14">
        <f>SUM(CA$5:CA31)</f>
        <v>0</v>
      </c>
      <c r="DS31" s="14">
        <f>SUM(CB$5:CB31)</f>
        <v>0</v>
      </c>
      <c r="DT31" s="14">
        <f>SUM(CC$5:CC31)</f>
        <v>0</v>
      </c>
      <c r="DU31" s="14">
        <f>SUM(CD$5:CD31)</f>
        <v>0</v>
      </c>
      <c r="DV31" s="14">
        <f>SUM(CE$5:CE31)</f>
        <v>0</v>
      </c>
      <c r="DW31" s="14">
        <f>SUM(CF$5:CF31)</f>
        <v>0</v>
      </c>
      <c r="DX31" s="14">
        <f>SUM(CG$5:CG31)</f>
        <v>0</v>
      </c>
      <c r="DY31" s="14">
        <f>SUM(CH$5:CH31)</f>
        <v>0</v>
      </c>
      <c r="DZ31" s="14">
        <f>SUM(CI$5:CI31)</f>
        <v>0</v>
      </c>
      <c r="EA31" s="14">
        <f>SUM(CJ$5:CJ31)</f>
        <v>0</v>
      </c>
      <c r="EB31" s="14">
        <f>SUM(CK$5:CK31)</f>
        <v>0</v>
      </c>
      <c r="EC31" s="14">
        <f>SUM(CL$5:CL31)</f>
        <v>0</v>
      </c>
      <c r="ED31" s="14">
        <f>SUM(CM$5:CM31)</f>
        <v>0</v>
      </c>
      <c r="EE31" s="14">
        <f>SUM(CN$5:CN31)</f>
        <v>0</v>
      </c>
      <c r="EF31" s="14">
        <f>SUM(CO$5:CO31)</f>
        <v>0</v>
      </c>
      <c r="EG31" s="14">
        <f>SUM(CP$5:CP31)</f>
        <v>0</v>
      </c>
      <c r="EH31" s="14">
        <f>SUM(CQ$5:CQ31)</f>
        <v>0</v>
      </c>
      <c r="EI31" s="14">
        <f>SUM(CR$5:CR31)</f>
        <v>0</v>
      </c>
      <c r="EJ31" s="14">
        <f>SUM(CS$5:CS31)</f>
        <v>0</v>
      </c>
      <c r="EK31" s="14">
        <f>SUM(CT$5:CT31)</f>
        <v>0</v>
      </c>
      <c r="EL31" s="14">
        <f>SUM(CU$5:CU31)</f>
        <v>0</v>
      </c>
      <c r="EO31" s="87">
        <f t="shared" si="11"/>
        <v>0</v>
      </c>
      <c r="EP31" s="87">
        <f t="shared" si="12"/>
        <v>0</v>
      </c>
      <c r="EQ31" s="87">
        <f t="shared" si="13"/>
        <v>0</v>
      </c>
      <c r="ER31" s="87">
        <f t="shared" si="14"/>
        <v>0</v>
      </c>
      <c r="ES31" s="87">
        <f t="shared" si="15"/>
        <v>0</v>
      </c>
      <c r="ET31" s="87">
        <f t="shared" si="16"/>
        <v>0</v>
      </c>
      <c r="EU31" s="87">
        <f t="shared" si="17"/>
        <v>0</v>
      </c>
      <c r="EV31" s="87">
        <f t="shared" si="18"/>
        <v>0</v>
      </c>
      <c r="EW31" s="87">
        <f t="shared" si="19"/>
        <v>0</v>
      </c>
      <c r="EX31" s="87">
        <f t="shared" si="20"/>
        <v>0</v>
      </c>
      <c r="EY31" s="87">
        <f t="shared" si="21"/>
        <v>0</v>
      </c>
      <c r="EZ31" s="87">
        <f t="shared" si="22"/>
        <v>0</v>
      </c>
      <c r="FA31" s="87">
        <f t="shared" si="23"/>
        <v>0</v>
      </c>
      <c r="FB31" s="87">
        <f t="shared" si="24"/>
        <v>0</v>
      </c>
      <c r="FC31" s="87">
        <f t="shared" si="25"/>
        <v>0</v>
      </c>
      <c r="FD31" s="87">
        <f t="shared" si="26"/>
        <v>0</v>
      </c>
      <c r="FE31" s="87">
        <f t="shared" si="27"/>
        <v>0</v>
      </c>
      <c r="FF31" s="87">
        <f t="shared" si="28"/>
        <v>0</v>
      </c>
      <c r="FG31" s="87">
        <f t="shared" si="29"/>
        <v>0</v>
      </c>
      <c r="FH31" s="87">
        <f t="shared" si="30"/>
        <v>0</v>
      </c>
      <c r="FI31" s="87">
        <f t="shared" si="31"/>
        <v>0</v>
      </c>
      <c r="FJ31" s="87">
        <f t="shared" si="32"/>
        <v>0</v>
      </c>
      <c r="FK31" s="87">
        <f t="shared" si="33"/>
        <v>0</v>
      </c>
      <c r="FL31" s="87">
        <f t="shared" si="34"/>
        <v>0</v>
      </c>
      <c r="FM31" s="87">
        <f t="shared" si="35"/>
        <v>0</v>
      </c>
      <c r="FN31" s="87">
        <f t="shared" si="36"/>
        <v>0</v>
      </c>
      <c r="FO31" s="87">
        <f t="shared" si="37"/>
        <v>0</v>
      </c>
      <c r="FP31" s="87">
        <f t="shared" si="38"/>
        <v>0</v>
      </c>
      <c r="FQ31" s="87">
        <f t="shared" si="39"/>
        <v>0</v>
      </c>
      <c r="FR31" s="87">
        <f t="shared" si="40"/>
        <v>0</v>
      </c>
      <c r="FS31" s="87">
        <f t="shared" si="41"/>
        <v>0</v>
      </c>
      <c r="FT31" s="87">
        <f t="shared" si="42"/>
        <v>0</v>
      </c>
      <c r="FU31" s="87">
        <f t="shared" si="43"/>
        <v>0</v>
      </c>
      <c r="FV31" s="87">
        <f t="shared" si="44"/>
        <v>0</v>
      </c>
      <c r="FW31" s="87">
        <f t="shared" si="45"/>
        <v>0</v>
      </c>
      <c r="FX31" s="87">
        <f t="shared" si="46"/>
        <v>0</v>
      </c>
      <c r="FY31" s="87">
        <f t="shared" si="47"/>
        <v>0</v>
      </c>
      <c r="FZ31" s="87">
        <f t="shared" si="48"/>
        <v>0</v>
      </c>
      <c r="GA31" s="87">
        <f t="shared" si="49"/>
        <v>0</v>
      </c>
      <c r="GB31" s="87">
        <f t="shared" si="50"/>
        <v>0</v>
      </c>
      <c r="GC31" s="87">
        <f t="shared" si="51"/>
        <v>0</v>
      </c>
      <c r="GD31" s="87">
        <f t="shared" si="52"/>
        <v>0</v>
      </c>
    </row>
    <row r="32" spans="11:186" ht="16.5" x14ac:dyDescent="0.2">
      <c r="K32" s="86">
        <v>28</v>
      </c>
      <c r="L32" s="86">
        <v>6</v>
      </c>
      <c r="M32" s="86">
        <v>2</v>
      </c>
      <c r="N32" s="86" t="str">
        <f t="shared" si="3"/>
        <v>神器6-2</v>
      </c>
      <c r="O32" s="86">
        <v>2</v>
      </c>
      <c r="P32" s="14">
        <f t="shared" si="4"/>
        <v>120</v>
      </c>
      <c r="Q32" s="88">
        <v>0.18</v>
      </c>
      <c r="R32" s="14">
        <v>1</v>
      </c>
      <c r="S32" s="14">
        <v>2</v>
      </c>
      <c r="T32" s="88">
        <v>0.18</v>
      </c>
      <c r="U32" s="14">
        <v>1</v>
      </c>
      <c r="V32" s="14">
        <v>3</v>
      </c>
      <c r="W32" s="88">
        <v>0.18</v>
      </c>
      <c r="X32" s="14">
        <v>2</v>
      </c>
      <c r="Y32" s="14">
        <v>4</v>
      </c>
      <c r="AO32" s="48">
        <v>4</v>
      </c>
      <c r="AP32" s="86">
        <v>6</v>
      </c>
      <c r="AQ32" s="86">
        <v>1</v>
      </c>
      <c r="AR32" s="48">
        <v>3</v>
      </c>
      <c r="AS32" s="86" t="s">
        <v>312</v>
      </c>
      <c r="AT32" s="21">
        <f t="shared" si="0"/>
        <v>9.9000000000000005E-2</v>
      </c>
      <c r="AU32" s="86">
        <f t="shared" si="5"/>
        <v>2</v>
      </c>
      <c r="AV32" s="86">
        <f t="shared" si="6"/>
        <v>4</v>
      </c>
      <c r="AW32" s="87">
        <f t="shared" si="7"/>
        <v>0.29700000000000004</v>
      </c>
      <c r="AX32" s="86">
        <f t="shared" si="8"/>
        <v>13.365</v>
      </c>
      <c r="BA32" s="86">
        <v>28</v>
      </c>
      <c r="BB32" s="14" t="e">
        <f>INDEX(节奏总表!#REF!,神器!BA32)</f>
        <v>#REF!</v>
      </c>
      <c r="BC32" s="14" t="e">
        <f t="shared" si="9"/>
        <v>#REF!</v>
      </c>
      <c r="BD32" s="14">
        <v>5</v>
      </c>
      <c r="BE32" s="14">
        <v>3</v>
      </c>
      <c r="BF32" s="14">
        <f t="shared" si="10"/>
        <v>0</v>
      </c>
      <c r="BG32" s="14">
        <f t="shared" si="56"/>
        <v>0</v>
      </c>
      <c r="BH32" s="14">
        <f t="shared" si="56"/>
        <v>0</v>
      </c>
      <c r="BI32" s="14">
        <f t="shared" si="56"/>
        <v>0</v>
      </c>
      <c r="BJ32" s="14">
        <f t="shared" si="56"/>
        <v>0</v>
      </c>
      <c r="BK32" s="14">
        <f t="shared" si="56"/>
        <v>0</v>
      </c>
      <c r="BL32" s="14">
        <f t="shared" si="56"/>
        <v>0</v>
      </c>
      <c r="BM32" s="14">
        <f t="shared" si="56"/>
        <v>0</v>
      </c>
      <c r="BN32" s="14">
        <f t="shared" si="56"/>
        <v>0</v>
      </c>
      <c r="BO32" s="14">
        <f t="shared" si="56"/>
        <v>0</v>
      </c>
      <c r="BP32" s="14">
        <f t="shared" si="56"/>
        <v>0</v>
      </c>
      <c r="BQ32" s="14">
        <f t="shared" si="56"/>
        <v>0</v>
      </c>
      <c r="BR32" s="14">
        <f t="shared" si="56"/>
        <v>0</v>
      </c>
      <c r="BS32" s="14">
        <f t="shared" si="56"/>
        <v>0</v>
      </c>
      <c r="BT32" s="14">
        <f t="shared" si="56"/>
        <v>0</v>
      </c>
      <c r="BU32" s="14">
        <f t="shared" si="56"/>
        <v>0</v>
      </c>
      <c r="BV32" s="14">
        <f t="shared" si="56"/>
        <v>0</v>
      </c>
      <c r="BW32" s="14">
        <f t="shared" si="56"/>
        <v>0</v>
      </c>
      <c r="BX32" s="14">
        <f t="shared" si="56"/>
        <v>0</v>
      </c>
      <c r="BY32" s="14">
        <f t="shared" si="56"/>
        <v>0</v>
      </c>
      <c r="BZ32" s="14">
        <f t="shared" si="56"/>
        <v>0</v>
      </c>
      <c r="CA32" s="14">
        <f t="shared" si="56"/>
        <v>0</v>
      </c>
      <c r="CB32" s="14">
        <f t="shared" si="56"/>
        <v>0</v>
      </c>
      <c r="CC32" s="14">
        <f t="shared" si="56"/>
        <v>0</v>
      </c>
      <c r="CD32" s="14">
        <f t="shared" si="56"/>
        <v>0</v>
      </c>
      <c r="CE32" s="14">
        <f t="shared" si="56"/>
        <v>0</v>
      </c>
      <c r="CF32" s="14">
        <f t="shared" si="56"/>
        <v>0</v>
      </c>
      <c r="CG32" s="14">
        <f t="shared" si="56"/>
        <v>0</v>
      </c>
      <c r="CH32" s="14">
        <f t="shared" si="56"/>
        <v>0</v>
      </c>
      <c r="CI32" s="14">
        <f t="shared" si="56"/>
        <v>0</v>
      </c>
      <c r="CJ32" s="14">
        <f t="shared" si="56"/>
        <v>0</v>
      </c>
      <c r="CK32" s="14">
        <f t="shared" si="56"/>
        <v>0</v>
      </c>
      <c r="CL32" s="14">
        <f t="shared" si="56"/>
        <v>0</v>
      </c>
      <c r="CM32" s="14">
        <f t="shared" si="56"/>
        <v>0</v>
      </c>
      <c r="CN32" s="14">
        <f t="shared" si="56"/>
        <v>0</v>
      </c>
      <c r="CO32" s="14">
        <f t="shared" si="56"/>
        <v>0</v>
      </c>
      <c r="CP32" s="14">
        <f t="shared" si="56"/>
        <v>0</v>
      </c>
      <c r="CQ32" s="14">
        <f t="shared" si="56"/>
        <v>0</v>
      </c>
      <c r="CR32" s="14">
        <f t="shared" si="56"/>
        <v>0</v>
      </c>
      <c r="CS32" s="14">
        <f t="shared" si="56"/>
        <v>0</v>
      </c>
      <c r="CT32" s="14">
        <f t="shared" si="56"/>
        <v>0</v>
      </c>
      <c r="CU32" s="14">
        <f t="shared" si="56"/>
        <v>0</v>
      </c>
      <c r="CW32" s="14">
        <f>SUM(BF$5:BF32)</f>
        <v>0</v>
      </c>
      <c r="CX32" s="14">
        <f>SUM(BG$5:BG32)</f>
        <v>0</v>
      </c>
      <c r="CY32" s="14">
        <f>SUM(BH$5:BH32)</f>
        <v>0</v>
      </c>
      <c r="CZ32" s="14">
        <f>SUM(BI$5:BI32)</f>
        <v>0</v>
      </c>
      <c r="DA32" s="14">
        <f>SUM(BJ$5:BJ32)</f>
        <v>0</v>
      </c>
      <c r="DB32" s="14">
        <f>SUM(BK$5:BK32)</f>
        <v>0</v>
      </c>
      <c r="DC32" s="14">
        <f>SUM(BL$5:BL32)</f>
        <v>0</v>
      </c>
      <c r="DD32" s="14">
        <f>SUM(BM$5:BM32)</f>
        <v>0</v>
      </c>
      <c r="DE32" s="14">
        <f>SUM(BN$5:BN32)</f>
        <v>0</v>
      </c>
      <c r="DF32" s="14">
        <f>SUM(BO$5:BO32)</f>
        <v>0</v>
      </c>
      <c r="DG32" s="14">
        <f>SUM(BP$5:BP32)</f>
        <v>0</v>
      </c>
      <c r="DH32" s="14">
        <f>SUM(BQ$5:BQ32)</f>
        <v>0</v>
      </c>
      <c r="DI32" s="14">
        <f>SUM(BR$5:BR32)</f>
        <v>0</v>
      </c>
      <c r="DJ32" s="14">
        <f>SUM(BS$5:BS32)</f>
        <v>0</v>
      </c>
      <c r="DK32" s="14">
        <f>SUM(BT$5:BT32)</f>
        <v>0</v>
      </c>
      <c r="DL32" s="14">
        <f>SUM(BU$5:BU32)</f>
        <v>0</v>
      </c>
      <c r="DM32" s="14">
        <f>SUM(BV$5:BV32)</f>
        <v>0</v>
      </c>
      <c r="DN32" s="14">
        <f>SUM(BW$5:BW32)</f>
        <v>0</v>
      </c>
      <c r="DO32" s="14">
        <f>SUM(BX$5:BX32)</f>
        <v>0</v>
      </c>
      <c r="DP32" s="14">
        <f>SUM(BY$5:BY32)</f>
        <v>0</v>
      </c>
      <c r="DQ32" s="14">
        <f>SUM(BZ$5:BZ32)</f>
        <v>0</v>
      </c>
      <c r="DR32" s="14">
        <f>SUM(CA$5:CA32)</f>
        <v>0</v>
      </c>
      <c r="DS32" s="14">
        <f>SUM(CB$5:CB32)</f>
        <v>0</v>
      </c>
      <c r="DT32" s="14">
        <f>SUM(CC$5:CC32)</f>
        <v>0</v>
      </c>
      <c r="DU32" s="14">
        <f>SUM(CD$5:CD32)</f>
        <v>0</v>
      </c>
      <c r="DV32" s="14">
        <f>SUM(CE$5:CE32)</f>
        <v>0</v>
      </c>
      <c r="DW32" s="14">
        <f>SUM(CF$5:CF32)</f>
        <v>0</v>
      </c>
      <c r="DX32" s="14">
        <f>SUM(CG$5:CG32)</f>
        <v>0</v>
      </c>
      <c r="DY32" s="14">
        <f>SUM(CH$5:CH32)</f>
        <v>0</v>
      </c>
      <c r="DZ32" s="14">
        <f>SUM(CI$5:CI32)</f>
        <v>0</v>
      </c>
      <c r="EA32" s="14">
        <f>SUM(CJ$5:CJ32)</f>
        <v>0</v>
      </c>
      <c r="EB32" s="14">
        <f>SUM(CK$5:CK32)</f>
        <v>0</v>
      </c>
      <c r="EC32" s="14">
        <f>SUM(CL$5:CL32)</f>
        <v>0</v>
      </c>
      <c r="ED32" s="14">
        <f>SUM(CM$5:CM32)</f>
        <v>0</v>
      </c>
      <c r="EE32" s="14">
        <f>SUM(CN$5:CN32)</f>
        <v>0</v>
      </c>
      <c r="EF32" s="14">
        <f>SUM(CO$5:CO32)</f>
        <v>0</v>
      </c>
      <c r="EG32" s="14">
        <f>SUM(CP$5:CP32)</f>
        <v>0</v>
      </c>
      <c r="EH32" s="14">
        <f>SUM(CQ$5:CQ32)</f>
        <v>0</v>
      </c>
      <c r="EI32" s="14">
        <f>SUM(CR$5:CR32)</f>
        <v>0</v>
      </c>
      <c r="EJ32" s="14">
        <f>SUM(CS$5:CS32)</f>
        <v>0</v>
      </c>
      <c r="EK32" s="14">
        <f>SUM(CT$5:CT32)</f>
        <v>0</v>
      </c>
      <c r="EL32" s="14">
        <f>SUM(CU$5:CU32)</f>
        <v>0</v>
      </c>
      <c r="EO32" s="87">
        <f t="shared" si="11"/>
        <v>0</v>
      </c>
      <c r="EP32" s="87">
        <f t="shared" si="12"/>
        <v>0</v>
      </c>
      <c r="EQ32" s="87">
        <f t="shared" si="13"/>
        <v>0</v>
      </c>
      <c r="ER32" s="87">
        <f t="shared" si="14"/>
        <v>0</v>
      </c>
      <c r="ES32" s="87">
        <f t="shared" si="15"/>
        <v>0</v>
      </c>
      <c r="ET32" s="87">
        <f t="shared" si="16"/>
        <v>0</v>
      </c>
      <c r="EU32" s="87">
        <f t="shared" si="17"/>
        <v>0</v>
      </c>
      <c r="EV32" s="87">
        <f t="shared" si="18"/>
        <v>0</v>
      </c>
      <c r="EW32" s="87">
        <f t="shared" si="19"/>
        <v>0</v>
      </c>
      <c r="EX32" s="87">
        <f t="shared" si="20"/>
        <v>0</v>
      </c>
      <c r="EY32" s="87">
        <f t="shared" si="21"/>
        <v>0</v>
      </c>
      <c r="EZ32" s="87">
        <f t="shared" si="22"/>
        <v>0</v>
      </c>
      <c r="FA32" s="87">
        <f t="shared" si="23"/>
        <v>0</v>
      </c>
      <c r="FB32" s="87">
        <f t="shared" si="24"/>
        <v>0</v>
      </c>
      <c r="FC32" s="87">
        <f t="shared" si="25"/>
        <v>0</v>
      </c>
      <c r="FD32" s="87">
        <f t="shared" si="26"/>
        <v>0</v>
      </c>
      <c r="FE32" s="87">
        <f t="shared" si="27"/>
        <v>0</v>
      </c>
      <c r="FF32" s="87">
        <f t="shared" si="28"/>
        <v>0</v>
      </c>
      <c r="FG32" s="87">
        <f t="shared" si="29"/>
        <v>0</v>
      </c>
      <c r="FH32" s="87">
        <f t="shared" si="30"/>
        <v>0</v>
      </c>
      <c r="FI32" s="87">
        <f t="shared" si="31"/>
        <v>0</v>
      </c>
      <c r="FJ32" s="87">
        <f t="shared" si="32"/>
        <v>0</v>
      </c>
      <c r="FK32" s="87">
        <f t="shared" si="33"/>
        <v>0</v>
      </c>
      <c r="FL32" s="87">
        <f t="shared" si="34"/>
        <v>0</v>
      </c>
      <c r="FM32" s="87">
        <f t="shared" si="35"/>
        <v>0</v>
      </c>
      <c r="FN32" s="87">
        <f t="shared" si="36"/>
        <v>0</v>
      </c>
      <c r="FO32" s="87">
        <f t="shared" si="37"/>
        <v>0</v>
      </c>
      <c r="FP32" s="87">
        <f t="shared" si="38"/>
        <v>0</v>
      </c>
      <c r="FQ32" s="87">
        <f t="shared" si="39"/>
        <v>0</v>
      </c>
      <c r="FR32" s="87">
        <f t="shared" si="40"/>
        <v>0</v>
      </c>
      <c r="FS32" s="87">
        <f t="shared" si="41"/>
        <v>0</v>
      </c>
      <c r="FT32" s="87">
        <f t="shared" si="42"/>
        <v>0</v>
      </c>
      <c r="FU32" s="87">
        <f t="shared" si="43"/>
        <v>0</v>
      </c>
      <c r="FV32" s="87">
        <f t="shared" si="44"/>
        <v>0</v>
      </c>
      <c r="FW32" s="87">
        <f t="shared" si="45"/>
        <v>0</v>
      </c>
      <c r="FX32" s="87">
        <f t="shared" si="46"/>
        <v>0</v>
      </c>
      <c r="FY32" s="87">
        <f t="shared" si="47"/>
        <v>0</v>
      </c>
      <c r="FZ32" s="87">
        <f t="shared" si="48"/>
        <v>0</v>
      </c>
      <c r="GA32" s="87">
        <f t="shared" si="49"/>
        <v>0</v>
      </c>
      <c r="GB32" s="87">
        <f t="shared" si="50"/>
        <v>0</v>
      </c>
      <c r="GC32" s="87">
        <f t="shared" si="51"/>
        <v>0</v>
      </c>
      <c r="GD32" s="87">
        <f t="shared" si="52"/>
        <v>0</v>
      </c>
    </row>
    <row r="33" spans="11:186" ht="16.5" x14ac:dyDescent="0.2">
      <c r="K33" s="86">
        <v>29</v>
      </c>
      <c r="L33" s="86">
        <v>6</v>
      </c>
      <c r="M33" s="86">
        <v>3</v>
      </c>
      <c r="N33" s="86" t="str">
        <f t="shared" si="3"/>
        <v>神器6-3</v>
      </c>
      <c r="O33" s="86">
        <v>2</v>
      </c>
      <c r="P33" s="14">
        <f t="shared" si="4"/>
        <v>120</v>
      </c>
      <c r="Q33" s="88">
        <v>0.18</v>
      </c>
      <c r="R33" s="14">
        <v>1</v>
      </c>
      <c r="S33" s="14">
        <v>2</v>
      </c>
      <c r="T33" s="88">
        <v>0.18</v>
      </c>
      <c r="U33" s="14">
        <v>1</v>
      </c>
      <c r="V33" s="14">
        <v>3</v>
      </c>
      <c r="W33" s="88">
        <v>0.18</v>
      </c>
      <c r="X33" s="14">
        <v>2</v>
      </c>
      <c r="Y33" s="14">
        <v>4</v>
      </c>
      <c r="AO33" s="48">
        <v>4</v>
      </c>
      <c r="AP33" s="86">
        <v>7</v>
      </c>
      <c r="AQ33" s="86">
        <v>1</v>
      </c>
      <c r="AR33" s="48">
        <v>3</v>
      </c>
      <c r="AS33" s="86" t="s">
        <v>313</v>
      </c>
      <c r="AT33" s="21">
        <f t="shared" si="0"/>
        <v>9.9000000000000005E-2</v>
      </c>
      <c r="AU33" s="86">
        <f t="shared" si="5"/>
        <v>2</v>
      </c>
      <c r="AV33" s="86">
        <f t="shared" si="6"/>
        <v>4</v>
      </c>
      <c r="AW33" s="87">
        <f t="shared" si="7"/>
        <v>0.29700000000000004</v>
      </c>
      <c r="AX33" s="86">
        <f t="shared" si="8"/>
        <v>13.365</v>
      </c>
      <c r="BA33" s="86">
        <v>29</v>
      </c>
      <c r="BB33" s="14" t="e">
        <f>INDEX(节奏总表!#REF!,神器!BA33)</f>
        <v>#REF!</v>
      </c>
      <c r="BC33" s="14" t="e">
        <f t="shared" si="9"/>
        <v>#REF!</v>
      </c>
      <c r="BD33" s="14">
        <v>5</v>
      </c>
      <c r="BE33" s="14">
        <v>3</v>
      </c>
      <c r="BF33" s="14">
        <f t="shared" si="10"/>
        <v>0</v>
      </c>
      <c r="BG33" s="14">
        <f t="shared" si="56"/>
        <v>0</v>
      </c>
      <c r="BH33" s="14">
        <f t="shared" si="56"/>
        <v>0</v>
      </c>
      <c r="BI33" s="14">
        <f t="shared" si="56"/>
        <v>0</v>
      </c>
      <c r="BJ33" s="14">
        <f t="shared" si="56"/>
        <v>0</v>
      </c>
      <c r="BK33" s="14">
        <f t="shared" si="56"/>
        <v>0</v>
      </c>
      <c r="BL33" s="14">
        <f t="shared" si="56"/>
        <v>0</v>
      </c>
      <c r="BM33" s="14">
        <f t="shared" si="56"/>
        <v>0</v>
      </c>
      <c r="BN33" s="14">
        <f t="shared" si="56"/>
        <v>0</v>
      </c>
      <c r="BO33" s="14">
        <f t="shared" ref="BO33:CD33" si="57">SUMIFS($AT$5:$AT$122,$AO$5:$AO$122,"="&amp;$BC33,$AP$5:$AP$122,"="&amp;BO$2) * (SUMIFS($AU$5:$AU$122,$AO$5:$AO$122,"="&amp;$BC33,$AP$5:$AP$122,"="&amp;BO$2)+SUMIFS($AV$5:$AV$122,$AO$5:$AO$122,"="&amp;$BC33,$AP$5:$AP$122,"="&amp;BO$2))/2*$BD33*$BE33</f>
        <v>0</v>
      </c>
      <c r="BP33" s="14">
        <f t="shared" si="57"/>
        <v>0</v>
      </c>
      <c r="BQ33" s="14">
        <f t="shared" si="57"/>
        <v>0</v>
      </c>
      <c r="BR33" s="14">
        <f t="shared" si="57"/>
        <v>0</v>
      </c>
      <c r="BS33" s="14">
        <f t="shared" si="57"/>
        <v>0</v>
      </c>
      <c r="BT33" s="14">
        <f t="shared" si="57"/>
        <v>0</v>
      </c>
      <c r="BU33" s="14">
        <f t="shared" si="57"/>
        <v>0</v>
      </c>
      <c r="BV33" s="14">
        <f t="shared" si="57"/>
        <v>0</v>
      </c>
      <c r="BW33" s="14">
        <f t="shared" si="57"/>
        <v>0</v>
      </c>
      <c r="BX33" s="14">
        <f t="shared" si="57"/>
        <v>0</v>
      </c>
      <c r="BY33" s="14">
        <f t="shared" si="57"/>
        <v>0</v>
      </c>
      <c r="BZ33" s="14">
        <f t="shared" si="57"/>
        <v>0</v>
      </c>
      <c r="CA33" s="14">
        <f t="shared" si="57"/>
        <v>0</v>
      </c>
      <c r="CB33" s="14">
        <f t="shared" si="57"/>
        <v>0</v>
      </c>
      <c r="CC33" s="14">
        <f t="shared" si="57"/>
        <v>0</v>
      </c>
      <c r="CD33" s="14">
        <f t="shared" si="57"/>
        <v>0</v>
      </c>
      <c r="CE33" s="14">
        <f t="shared" ref="CE33:CT33" si="58">SUMIFS($AT$5:$AT$122,$AO$5:$AO$122,"="&amp;$BC33,$AP$5:$AP$122,"="&amp;CE$2) * (SUMIFS($AU$5:$AU$122,$AO$5:$AO$122,"="&amp;$BC33,$AP$5:$AP$122,"="&amp;CE$2)+SUMIFS($AV$5:$AV$122,$AO$5:$AO$122,"="&amp;$BC33,$AP$5:$AP$122,"="&amp;CE$2))/2*$BD33*$BE33</f>
        <v>0</v>
      </c>
      <c r="CF33" s="14">
        <f t="shared" si="58"/>
        <v>0</v>
      </c>
      <c r="CG33" s="14">
        <f t="shared" si="58"/>
        <v>0</v>
      </c>
      <c r="CH33" s="14">
        <f t="shared" si="58"/>
        <v>0</v>
      </c>
      <c r="CI33" s="14">
        <f t="shared" si="58"/>
        <v>0</v>
      </c>
      <c r="CJ33" s="14">
        <f t="shared" si="58"/>
        <v>0</v>
      </c>
      <c r="CK33" s="14">
        <f t="shared" si="58"/>
        <v>0</v>
      </c>
      <c r="CL33" s="14">
        <f t="shared" si="58"/>
        <v>0</v>
      </c>
      <c r="CM33" s="14">
        <f t="shared" si="58"/>
        <v>0</v>
      </c>
      <c r="CN33" s="14">
        <f t="shared" si="58"/>
        <v>0</v>
      </c>
      <c r="CO33" s="14">
        <f t="shared" si="58"/>
        <v>0</v>
      </c>
      <c r="CP33" s="14">
        <f t="shared" si="58"/>
        <v>0</v>
      </c>
      <c r="CQ33" s="14">
        <f t="shared" si="58"/>
        <v>0</v>
      </c>
      <c r="CR33" s="14">
        <f t="shared" si="58"/>
        <v>0</v>
      </c>
      <c r="CS33" s="14">
        <f t="shared" si="58"/>
        <v>0</v>
      </c>
      <c r="CT33" s="14">
        <f t="shared" si="58"/>
        <v>0</v>
      </c>
      <c r="CU33" s="14">
        <f t="shared" ref="BG33:CU40" si="59">SUMIFS($AT$5:$AT$122,$AO$5:$AO$122,"="&amp;$BC33,$AP$5:$AP$122,"="&amp;CU$2) * (SUMIFS($AU$5:$AU$122,$AO$5:$AO$122,"="&amp;$BC33,$AP$5:$AP$122,"="&amp;CU$2)+SUMIFS($AV$5:$AV$122,$AO$5:$AO$122,"="&amp;$BC33,$AP$5:$AP$122,"="&amp;CU$2))/2*$BD33*$BE33</f>
        <v>0</v>
      </c>
      <c r="CW33" s="14">
        <f>SUM(BF$5:BF33)</f>
        <v>0</v>
      </c>
      <c r="CX33" s="14">
        <f>SUM(BG$5:BG33)</f>
        <v>0</v>
      </c>
      <c r="CY33" s="14">
        <f>SUM(BH$5:BH33)</f>
        <v>0</v>
      </c>
      <c r="CZ33" s="14">
        <f>SUM(BI$5:BI33)</f>
        <v>0</v>
      </c>
      <c r="DA33" s="14">
        <f>SUM(BJ$5:BJ33)</f>
        <v>0</v>
      </c>
      <c r="DB33" s="14">
        <f>SUM(BK$5:BK33)</f>
        <v>0</v>
      </c>
      <c r="DC33" s="14">
        <f>SUM(BL$5:BL33)</f>
        <v>0</v>
      </c>
      <c r="DD33" s="14">
        <f>SUM(BM$5:BM33)</f>
        <v>0</v>
      </c>
      <c r="DE33" s="14">
        <f>SUM(BN$5:BN33)</f>
        <v>0</v>
      </c>
      <c r="DF33" s="14">
        <f>SUM(BO$5:BO33)</f>
        <v>0</v>
      </c>
      <c r="DG33" s="14">
        <f>SUM(BP$5:BP33)</f>
        <v>0</v>
      </c>
      <c r="DH33" s="14">
        <f>SUM(BQ$5:BQ33)</f>
        <v>0</v>
      </c>
      <c r="DI33" s="14">
        <f>SUM(BR$5:BR33)</f>
        <v>0</v>
      </c>
      <c r="DJ33" s="14">
        <f>SUM(BS$5:BS33)</f>
        <v>0</v>
      </c>
      <c r="DK33" s="14">
        <f>SUM(BT$5:BT33)</f>
        <v>0</v>
      </c>
      <c r="DL33" s="14">
        <f>SUM(BU$5:BU33)</f>
        <v>0</v>
      </c>
      <c r="DM33" s="14">
        <f>SUM(BV$5:BV33)</f>
        <v>0</v>
      </c>
      <c r="DN33" s="14">
        <f>SUM(BW$5:BW33)</f>
        <v>0</v>
      </c>
      <c r="DO33" s="14">
        <f>SUM(BX$5:BX33)</f>
        <v>0</v>
      </c>
      <c r="DP33" s="14">
        <f>SUM(BY$5:BY33)</f>
        <v>0</v>
      </c>
      <c r="DQ33" s="14">
        <f>SUM(BZ$5:BZ33)</f>
        <v>0</v>
      </c>
      <c r="DR33" s="14">
        <f>SUM(CA$5:CA33)</f>
        <v>0</v>
      </c>
      <c r="DS33" s="14">
        <f>SUM(CB$5:CB33)</f>
        <v>0</v>
      </c>
      <c r="DT33" s="14">
        <f>SUM(CC$5:CC33)</f>
        <v>0</v>
      </c>
      <c r="DU33" s="14">
        <f>SUM(CD$5:CD33)</f>
        <v>0</v>
      </c>
      <c r="DV33" s="14">
        <f>SUM(CE$5:CE33)</f>
        <v>0</v>
      </c>
      <c r="DW33" s="14">
        <f>SUM(CF$5:CF33)</f>
        <v>0</v>
      </c>
      <c r="DX33" s="14">
        <f>SUM(CG$5:CG33)</f>
        <v>0</v>
      </c>
      <c r="DY33" s="14">
        <f>SUM(CH$5:CH33)</f>
        <v>0</v>
      </c>
      <c r="DZ33" s="14">
        <f>SUM(CI$5:CI33)</f>
        <v>0</v>
      </c>
      <c r="EA33" s="14">
        <f>SUM(CJ$5:CJ33)</f>
        <v>0</v>
      </c>
      <c r="EB33" s="14">
        <f>SUM(CK$5:CK33)</f>
        <v>0</v>
      </c>
      <c r="EC33" s="14">
        <f>SUM(CL$5:CL33)</f>
        <v>0</v>
      </c>
      <c r="ED33" s="14">
        <f>SUM(CM$5:CM33)</f>
        <v>0</v>
      </c>
      <c r="EE33" s="14">
        <f>SUM(CN$5:CN33)</f>
        <v>0</v>
      </c>
      <c r="EF33" s="14">
        <f>SUM(CO$5:CO33)</f>
        <v>0</v>
      </c>
      <c r="EG33" s="14">
        <f>SUM(CP$5:CP33)</f>
        <v>0</v>
      </c>
      <c r="EH33" s="14">
        <f>SUM(CQ$5:CQ33)</f>
        <v>0</v>
      </c>
      <c r="EI33" s="14">
        <f>SUM(CR$5:CR33)</f>
        <v>0</v>
      </c>
      <c r="EJ33" s="14">
        <f>SUM(CS$5:CS33)</f>
        <v>0</v>
      </c>
      <c r="EK33" s="14">
        <f>SUM(CT$5:CT33)</f>
        <v>0</v>
      </c>
      <c r="EL33" s="14">
        <f>SUM(CU$5:CU33)</f>
        <v>0</v>
      </c>
      <c r="EO33" s="87">
        <f t="shared" si="11"/>
        <v>0</v>
      </c>
      <c r="EP33" s="87">
        <f t="shared" si="12"/>
        <v>0</v>
      </c>
      <c r="EQ33" s="87">
        <f t="shared" si="13"/>
        <v>0</v>
      </c>
      <c r="ER33" s="87">
        <f t="shared" si="14"/>
        <v>0</v>
      </c>
      <c r="ES33" s="87">
        <f t="shared" si="15"/>
        <v>0</v>
      </c>
      <c r="ET33" s="87">
        <f t="shared" si="16"/>
        <v>0</v>
      </c>
      <c r="EU33" s="87">
        <f t="shared" si="17"/>
        <v>0</v>
      </c>
      <c r="EV33" s="87">
        <f t="shared" si="18"/>
        <v>0</v>
      </c>
      <c r="EW33" s="87">
        <f t="shared" si="19"/>
        <v>0</v>
      </c>
      <c r="EX33" s="87">
        <f t="shared" si="20"/>
        <v>0</v>
      </c>
      <c r="EY33" s="87">
        <f t="shared" si="21"/>
        <v>0</v>
      </c>
      <c r="EZ33" s="87">
        <f t="shared" si="22"/>
        <v>0</v>
      </c>
      <c r="FA33" s="87">
        <f t="shared" si="23"/>
        <v>0</v>
      </c>
      <c r="FB33" s="87">
        <f t="shared" si="24"/>
        <v>0</v>
      </c>
      <c r="FC33" s="87">
        <f t="shared" si="25"/>
        <v>0</v>
      </c>
      <c r="FD33" s="87">
        <f t="shared" si="26"/>
        <v>0</v>
      </c>
      <c r="FE33" s="87">
        <f t="shared" si="27"/>
        <v>0</v>
      </c>
      <c r="FF33" s="87">
        <f t="shared" si="28"/>
        <v>0</v>
      </c>
      <c r="FG33" s="87">
        <f t="shared" si="29"/>
        <v>0</v>
      </c>
      <c r="FH33" s="87">
        <f t="shared" si="30"/>
        <v>0</v>
      </c>
      <c r="FI33" s="87">
        <f t="shared" si="31"/>
        <v>0</v>
      </c>
      <c r="FJ33" s="87">
        <f t="shared" si="32"/>
        <v>0</v>
      </c>
      <c r="FK33" s="87">
        <f t="shared" si="33"/>
        <v>0</v>
      </c>
      <c r="FL33" s="87">
        <f t="shared" si="34"/>
        <v>0</v>
      </c>
      <c r="FM33" s="87">
        <f t="shared" si="35"/>
        <v>0</v>
      </c>
      <c r="FN33" s="87">
        <f t="shared" si="36"/>
        <v>0</v>
      </c>
      <c r="FO33" s="87">
        <f t="shared" si="37"/>
        <v>0</v>
      </c>
      <c r="FP33" s="87">
        <f t="shared" si="38"/>
        <v>0</v>
      </c>
      <c r="FQ33" s="87">
        <f t="shared" si="39"/>
        <v>0</v>
      </c>
      <c r="FR33" s="87">
        <f t="shared" si="40"/>
        <v>0</v>
      </c>
      <c r="FS33" s="87">
        <f t="shared" si="41"/>
        <v>0</v>
      </c>
      <c r="FT33" s="87">
        <f t="shared" si="42"/>
        <v>0</v>
      </c>
      <c r="FU33" s="87">
        <f t="shared" si="43"/>
        <v>0</v>
      </c>
      <c r="FV33" s="87">
        <f t="shared" si="44"/>
        <v>0</v>
      </c>
      <c r="FW33" s="87">
        <f t="shared" si="45"/>
        <v>0</v>
      </c>
      <c r="FX33" s="87">
        <f t="shared" si="46"/>
        <v>0</v>
      </c>
      <c r="FY33" s="87">
        <f t="shared" si="47"/>
        <v>0</v>
      </c>
      <c r="FZ33" s="87">
        <f t="shared" si="48"/>
        <v>0</v>
      </c>
      <c r="GA33" s="87">
        <f t="shared" si="49"/>
        <v>0</v>
      </c>
      <c r="GB33" s="87">
        <f t="shared" si="50"/>
        <v>0</v>
      </c>
      <c r="GC33" s="87">
        <f t="shared" si="51"/>
        <v>0</v>
      </c>
      <c r="GD33" s="87">
        <f t="shared" si="52"/>
        <v>0</v>
      </c>
    </row>
    <row r="34" spans="11:186" ht="16.5" x14ac:dyDescent="0.2">
      <c r="K34" s="86">
        <v>30</v>
      </c>
      <c r="L34" s="86">
        <v>6</v>
      </c>
      <c r="M34" s="86">
        <v>4</v>
      </c>
      <c r="N34" s="86" t="str">
        <f t="shared" si="3"/>
        <v>神器6-4</v>
      </c>
      <c r="O34" s="86">
        <v>3</v>
      </c>
      <c r="P34" s="14">
        <f t="shared" si="4"/>
        <v>280</v>
      </c>
      <c r="Q34" s="88">
        <v>0.12</v>
      </c>
      <c r="R34" s="14">
        <v>1</v>
      </c>
      <c r="S34" s="14">
        <v>1</v>
      </c>
      <c r="T34" s="88">
        <v>0.12</v>
      </c>
      <c r="U34" s="14">
        <v>1</v>
      </c>
      <c r="V34" s="14">
        <v>2</v>
      </c>
      <c r="W34" s="88">
        <v>0.12</v>
      </c>
      <c r="X34" s="14">
        <v>1</v>
      </c>
      <c r="Y34" s="14">
        <v>3</v>
      </c>
      <c r="AO34" s="48">
        <v>4</v>
      </c>
      <c r="AP34" s="86">
        <v>8</v>
      </c>
      <c r="AQ34" s="86">
        <v>1</v>
      </c>
      <c r="AR34" s="48">
        <v>3</v>
      </c>
      <c r="AS34" s="86" t="s">
        <v>314</v>
      </c>
      <c r="AT34" s="21">
        <f t="shared" si="0"/>
        <v>6.6000000000000003E-2</v>
      </c>
      <c r="AU34" s="86">
        <f t="shared" si="5"/>
        <v>1</v>
      </c>
      <c r="AV34" s="86">
        <f t="shared" si="6"/>
        <v>3</v>
      </c>
      <c r="AW34" s="87">
        <f t="shared" si="7"/>
        <v>0.13200000000000001</v>
      </c>
      <c r="AX34" s="86">
        <f t="shared" si="8"/>
        <v>13.860000000000001</v>
      </c>
      <c r="BA34" s="86">
        <v>30</v>
      </c>
      <c r="BB34" s="14" t="e">
        <f>INDEX(节奏总表!#REF!,神器!BA34)</f>
        <v>#REF!</v>
      </c>
      <c r="BC34" s="14" t="e">
        <f t="shared" si="9"/>
        <v>#REF!</v>
      </c>
      <c r="BD34" s="14">
        <v>5</v>
      </c>
      <c r="BE34" s="14">
        <v>3</v>
      </c>
      <c r="BF34" s="14">
        <f t="shared" si="10"/>
        <v>0</v>
      </c>
      <c r="BG34" s="14">
        <f t="shared" si="59"/>
        <v>0</v>
      </c>
      <c r="BH34" s="14">
        <f t="shared" si="59"/>
        <v>0</v>
      </c>
      <c r="BI34" s="14">
        <f t="shared" si="59"/>
        <v>0</v>
      </c>
      <c r="BJ34" s="14">
        <f t="shared" si="59"/>
        <v>0</v>
      </c>
      <c r="BK34" s="14">
        <f t="shared" si="59"/>
        <v>0</v>
      </c>
      <c r="BL34" s="14">
        <f t="shared" si="59"/>
        <v>0</v>
      </c>
      <c r="BM34" s="14">
        <f t="shared" si="59"/>
        <v>0</v>
      </c>
      <c r="BN34" s="14">
        <f t="shared" si="59"/>
        <v>0</v>
      </c>
      <c r="BO34" s="14">
        <f t="shared" si="59"/>
        <v>0</v>
      </c>
      <c r="BP34" s="14">
        <f t="shared" si="59"/>
        <v>0</v>
      </c>
      <c r="BQ34" s="14">
        <f t="shared" si="59"/>
        <v>0</v>
      </c>
      <c r="BR34" s="14">
        <f t="shared" si="59"/>
        <v>0</v>
      </c>
      <c r="BS34" s="14">
        <f t="shared" si="59"/>
        <v>0</v>
      </c>
      <c r="BT34" s="14">
        <f t="shared" si="59"/>
        <v>0</v>
      </c>
      <c r="BU34" s="14">
        <f t="shared" si="59"/>
        <v>0</v>
      </c>
      <c r="BV34" s="14">
        <f t="shared" si="59"/>
        <v>0</v>
      </c>
      <c r="BW34" s="14">
        <f t="shared" si="59"/>
        <v>0</v>
      </c>
      <c r="BX34" s="14">
        <f t="shared" si="59"/>
        <v>0</v>
      </c>
      <c r="BY34" s="14">
        <f t="shared" si="59"/>
        <v>0</v>
      </c>
      <c r="BZ34" s="14">
        <f t="shared" si="59"/>
        <v>0</v>
      </c>
      <c r="CA34" s="14">
        <f t="shared" si="59"/>
        <v>0</v>
      </c>
      <c r="CB34" s="14">
        <f t="shared" si="59"/>
        <v>0</v>
      </c>
      <c r="CC34" s="14">
        <f t="shared" si="59"/>
        <v>0</v>
      </c>
      <c r="CD34" s="14">
        <f t="shared" si="59"/>
        <v>0</v>
      </c>
      <c r="CE34" s="14">
        <f t="shared" si="59"/>
        <v>0</v>
      </c>
      <c r="CF34" s="14">
        <f t="shared" si="59"/>
        <v>0</v>
      </c>
      <c r="CG34" s="14">
        <f t="shared" si="59"/>
        <v>0</v>
      </c>
      <c r="CH34" s="14">
        <f t="shared" si="59"/>
        <v>0</v>
      </c>
      <c r="CI34" s="14">
        <f t="shared" si="59"/>
        <v>0</v>
      </c>
      <c r="CJ34" s="14">
        <f t="shared" si="59"/>
        <v>0</v>
      </c>
      <c r="CK34" s="14">
        <f t="shared" si="59"/>
        <v>0</v>
      </c>
      <c r="CL34" s="14">
        <f t="shared" si="59"/>
        <v>0</v>
      </c>
      <c r="CM34" s="14">
        <f t="shared" si="59"/>
        <v>0</v>
      </c>
      <c r="CN34" s="14">
        <f t="shared" si="59"/>
        <v>0</v>
      </c>
      <c r="CO34" s="14">
        <f t="shared" si="59"/>
        <v>0</v>
      </c>
      <c r="CP34" s="14">
        <f t="shared" si="59"/>
        <v>0</v>
      </c>
      <c r="CQ34" s="14">
        <f t="shared" si="59"/>
        <v>0</v>
      </c>
      <c r="CR34" s="14">
        <f t="shared" si="59"/>
        <v>0</v>
      </c>
      <c r="CS34" s="14">
        <f t="shared" si="59"/>
        <v>0</v>
      </c>
      <c r="CT34" s="14">
        <f t="shared" si="59"/>
        <v>0</v>
      </c>
      <c r="CU34" s="14">
        <f t="shared" si="59"/>
        <v>0</v>
      </c>
      <c r="CW34" s="14">
        <f>SUM(BF$5:BF34)</f>
        <v>0</v>
      </c>
      <c r="CX34" s="14">
        <f>SUM(BG$5:BG34)</f>
        <v>0</v>
      </c>
      <c r="CY34" s="14">
        <f>SUM(BH$5:BH34)</f>
        <v>0</v>
      </c>
      <c r="CZ34" s="14">
        <f>SUM(BI$5:BI34)</f>
        <v>0</v>
      </c>
      <c r="DA34" s="14">
        <f>SUM(BJ$5:BJ34)</f>
        <v>0</v>
      </c>
      <c r="DB34" s="14">
        <f>SUM(BK$5:BK34)</f>
        <v>0</v>
      </c>
      <c r="DC34" s="14">
        <f>SUM(BL$5:BL34)</f>
        <v>0</v>
      </c>
      <c r="DD34" s="14">
        <f>SUM(BM$5:BM34)</f>
        <v>0</v>
      </c>
      <c r="DE34" s="14">
        <f>SUM(BN$5:BN34)</f>
        <v>0</v>
      </c>
      <c r="DF34" s="14">
        <f>SUM(BO$5:BO34)</f>
        <v>0</v>
      </c>
      <c r="DG34" s="14">
        <f>SUM(BP$5:BP34)</f>
        <v>0</v>
      </c>
      <c r="DH34" s="14">
        <f>SUM(BQ$5:BQ34)</f>
        <v>0</v>
      </c>
      <c r="DI34" s="14">
        <f>SUM(BR$5:BR34)</f>
        <v>0</v>
      </c>
      <c r="DJ34" s="14">
        <f>SUM(BS$5:BS34)</f>
        <v>0</v>
      </c>
      <c r="DK34" s="14">
        <f>SUM(BT$5:BT34)</f>
        <v>0</v>
      </c>
      <c r="DL34" s="14">
        <f>SUM(BU$5:BU34)</f>
        <v>0</v>
      </c>
      <c r="DM34" s="14">
        <f>SUM(BV$5:BV34)</f>
        <v>0</v>
      </c>
      <c r="DN34" s="14">
        <f>SUM(BW$5:BW34)</f>
        <v>0</v>
      </c>
      <c r="DO34" s="14">
        <f>SUM(BX$5:BX34)</f>
        <v>0</v>
      </c>
      <c r="DP34" s="14">
        <f>SUM(BY$5:BY34)</f>
        <v>0</v>
      </c>
      <c r="DQ34" s="14">
        <f>SUM(BZ$5:BZ34)</f>
        <v>0</v>
      </c>
      <c r="DR34" s="14">
        <f>SUM(CA$5:CA34)</f>
        <v>0</v>
      </c>
      <c r="DS34" s="14">
        <f>SUM(CB$5:CB34)</f>
        <v>0</v>
      </c>
      <c r="DT34" s="14">
        <f>SUM(CC$5:CC34)</f>
        <v>0</v>
      </c>
      <c r="DU34" s="14">
        <f>SUM(CD$5:CD34)</f>
        <v>0</v>
      </c>
      <c r="DV34" s="14">
        <f>SUM(CE$5:CE34)</f>
        <v>0</v>
      </c>
      <c r="DW34" s="14">
        <f>SUM(CF$5:CF34)</f>
        <v>0</v>
      </c>
      <c r="DX34" s="14">
        <f>SUM(CG$5:CG34)</f>
        <v>0</v>
      </c>
      <c r="DY34" s="14">
        <f>SUM(CH$5:CH34)</f>
        <v>0</v>
      </c>
      <c r="DZ34" s="14">
        <f>SUM(CI$5:CI34)</f>
        <v>0</v>
      </c>
      <c r="EA34" s="14">
        <f>SUM(CJ$5:CJ34)</f>
        <v>0</v>
      </c>
      <c r="EB34" s="14">
        <f>SUM(CK$5:CK34)</f>
        <v>0</v>
      </c>
      <c r="EC34" s="14">
        <f>SUM(CL$5:CL34)</f>
        <v>0</v>
      </c>
      <c r="ED34" s="14">
        <f>SUM(CM$5:CM34)</f>
        <v>0</v>
      </c>
      <c r="EE34" s="14">
        <f>SUM(CN$5:CN34)</f>
        <v>0</v>
      </c>
      <c r="EF34" s="14">
        <f>SUM(CO$5:CO34)</f>
        <v>0</v>
      </c>
      <c r="EG34" s="14">
        <f>SUM(CP$5:CP34)</f>
        <v>0</v>
      </c>
      <c r="EH34" s="14">
        <f>SUM(CQ$5:CQ34)</f>
        <v>0</v>
      </c>
      <c r="EI34" s="14">
        <f>SUM(CR$5:CR34)</f>
        <v>0</v>
      </c>
      <c r="EJ34" s="14">
        <f>SUM(CS$5:CS34)</f>
        <v>0</v>
      </c>
      <c r="EK34" s="14">
        <f>SUM(CT$5:CT34)</f>
        <v>0</v>
      </c>
      <c r="EL34" s="14">
        <f>SUM(CU$5:CU34)</f>
        <v>0</v>
      </c>
      <c r="EO34" s="87">
        <f t="shared" si="11"/>
        <v>0</v>
      </c>
      <c r="EP34" s="87">
        <f t="shared" si="12"/>
        <v>0</v>
      </c>
      <c r="EQ34" s="87">
        <f t="shared" si="13"/>
        <v>0</v>
      </c>
      <c r="ER34" s="87">
        <f t="shared" si="14"/>
        <v>0</v>
      </c>
      <c r="ES34" s="87">
        <f t="shared" si="15"/>
        <v>0</v>
      </c>
      <c r="ET34" s="87">
        <f t="shared" si="16"/>
        <v>0</v>
      </c>
      <c r="EU34" s="87">
        <f t="shared" si="17"/>
        <v>0</v>
      </c>
      <c r="EV34" s="87">
        <f t="shared" si="18"/>
        <v>0</v>
      </c>
      <c r="EW34" s="87">
        <f t="shared" si="19"/>
        <v>0</v>
      </c>
      <c r="EX34" s="87">
        <f t="shared" si="20"/>
        <v>0</v>
      </c>
      <c r="EY34" s="87">
        <f t="shared" si="21"/>
        <v>0</v>
      </c>
      <c r="EZ34" s="87">
        <f t="shared" si="22"/>
        <v>0</v>
      </c>
      <c r="FA34" s="87">
        <f t="shared" si="23"/>
        <v>0</v>
      </c>
      <c r="FB34" s="87">
        <f t="shared" si="24"/>
        <v>0</v>
      </c>
      <c r="FC34" s="87">
        <f t="shared" si="25"/>
        <v>0</v>
      </c>
      <c r="FD34" s="87">
        <f t="shared" si="26"/>
        <v>0</v>
      </c>
      <c r="FE34" s="87">
        <f t="shared" si="27"/>
        <v>0</v>
      </c>
      <c r="FF34" s="87">
        <f t="shared" si="28"/>
        <v>0</v>
      </c>
      <c r="FG34" s="87">
        <f t="shared" si="29"/>
        <v>0</v>
      </c>
      <c r="FH34" s="87">
        <f t="shared" si="30"/>
        <v>0</v>
      </c>
      <c r="FI34" s="87">
        <f t="shared" si="31"/>
        <v>0</v>
      </c>
      <c r="FJ34" s="87">
        <f t="shared" si="32"/>
        <v>0</v>
      </c>
      <c r="FK34" s="87">
        <f t="shared" si="33"/>
        <v>0</v>
      </c>
      <c r="FL34" s="87">
        <f t="shared" si="34"/>
        <v>0</v>
      </c>
      <c r="FM34" s="87">
        <f t="shared" si="35"/>
        <v>0</v>
      </c>
      <c r="FN34" s="87">
        <f t="shared" si="36"/>
        <v>0</v>
      </c>
      <c r="FO34" s="87">
        <f t="shared" si="37"/>
        <v>0</v>
      </c>
      <c r="FP34" s="87">
        <f t="shared" si="38"/>
        <v>0</v>
      </c>
      <c r="FQ34" s="87">
        <f t="shared" si="39"/>
        <v>0</v>
      </c>
      <c r="FR34" s="87">
        <f t="shared" si="40"/>
        <v>0</v>
      </c>
      <c r="FS34" s="87">
        <f t="shared" si="41"/>
        <v>0</v>
      </c>
      <c r="FT34" s="87">
        <f t="shared" si="42"/>
        <v>0</v>
      </c>
      <c r="FU34" s="87">
        <f t="shared" si="43"/>
        <v>0</v>
      </c>
      <c r="FV34" s="87">
        <f t="shared" si="44"/>
        <v>0</v>
      </c>
      <c r="FW34" s="87">
        <f t="shared" si="45"/>
        <v>0</v>
      </c>
      <c r="FX34" s="87">
        <f t="shared" si="46"/>
        <v>0</v>
      </c>
      <c r="FY34" s="87">
        <f t="shared" si="47"/>
        <v>0</v>
      </c>
      <c r="FZ34" s="87">
        <f t="shared" si="48"/>
        <v>0</v>
      </c>
      <c r="GA34" s="87">
        <f t="shared" si="49"/>
        <v>0</v>
      </c>
      <c r="GB34" s="87">
        <f t="shared" si="50"/>
        <v>0</v>
      </c>
      <c r="GC34" s="87">
        <f t="shared" si="51"/>
        <v>0</v>
      </c>
      <c r="GD34" s="87">
        <f t="shared" si="52"/>
        <v>0</v>
      </c>
    </row>
    <row r="35" spans="11:186" ht="16.5" x14ac:dyDescent="0.2">
      <c r="K35" s="86">
        <v>31</v>
      </c>
      <c r="L35" s="86">
        <v>6</v>
      </c>
      <c r="M35" s="86">
        <v>5</v>
      </c>
      <c r="N35" s="86" t="str">
        <f t="shared" si="3"/>
        <v>神器6-5</v>
      </c>
      <c r="O35" s="86">
        <v>3</v>
      </c>
      <c r="P35" s="14">
        <f t="shared" si="4"/>
        <v>280</v>
      </c>
      <c r="Q35" s="88">
        <v>0.12</v>
      </c>
      <c r="R35" s="14">
        <v>1</v>
      </c>
      <c r="S35" s="14">
        <v>1</v>
      </c>
      <c r="T35" s="88">
        <v>0.12</v>
      </c>
      <c r="U35" s="14">
        <v>1</v>
      </c>
      <c r="V35" s="14">
        <v>2</v>
      </c>
      <c r="W35" s="88">
        <v>0.12</v>
      </c>
      <c r="X35" s="14">
        <v>1</v>
      </c>
      <c r="Y35" s="14">
        <v>3</v>
      </c>
      <c r="AO35" s="48">
        <v>4</v>
      </c>
      <c r="AP35" s="86">
        <v>9</v>
      </c>
      <c r="AQ35" s="86">
        <v>2</v>
      </c>
      <c r="AR35" s="48">
        <v>2</v>
      </c>
      <c r="AS35" s="86" t="s">
        <v>315</v>
      </c>
      <c r="AT35" s="21">
        <f t="shared" si="0"/>
        <v>7.4999999999999997E-2</v>
      </c>
      <c r="AU35" s="86">
        <f t="shared" si="5"/>
        <v>2</v>
      </c>
      <c r="AV35" s="86">
        <f t="shared" si="6"/>
        <v>4</v>
      </c>
      <c r="AW35" s="87">
        <f t="shared" si="7"/>
        <v>0.22499999999999998</v>
      </c>
      <c r="AX35" s="86">
        <f t="shared" si="8"/>
        <v>4.5</v>
      </c>
      <c r="BA35" s="86">
        <v>31</v>
      </c>
      <c r="BB35" s="14" t="e">
        <f>INDEX(节奏总表!#REF!,神器!BA35)</f>
        <v>#REF!</v>
      </c>
      <c r="BC35" s="14" t="e">
        <f t="shared" si="9"/>
        <v>#REF!</v>
      </c>
      <c r="BD35" s="14">
        <v>5</v>
      </c>
      <c r="BE35" s="14">
        <v>3</v>
      </c>
      <c r="BF35" s="14">
        <f t="shared" si="10"/>
        <v>0</v>
      </c>
      <c r="BG35" s="14">
        <f t="shared" si="59"/>
        <v>0</v>
      </c>
      <c r="BH35" s="14">
        <f t="shared" si="59"/>
        <v>0</v>
      </c>
      <c r="BI35" s="14">
        <f t="shared" si="59"/>
        <v>0</v>
      </c>
      <c r="BJ35" s="14">
        <f t="shared" si="59"/>
        <v>0</v>
      </c>
      <c r="BK35" s="14">
        <f t="shared" si="59"/>
        <v>0</v>
      </c>
      <c r="BL35" s="14">
        <f t="shared" si="59"/>
        <v>0</v>
      </c>
      <c r="BM35" s="14">
        <f t="shared" si="59"/>
        <v>0</v>
      </c>
      <c r="BN35" s="14">
        <f t="shared" si="59"/>
        <v>0</v>
      </c>
      <c r="BO35" s="14">
        <f t="shared" si="59"/>
        <v>0</v>
      </c>
      <c r="BP35" s="14">
        <f t="shared" si="59"/>
        <v>0</v>
      </c>
      <c r="BQ35" s="14">
        <f t="shared" si="59"/>
        <v>0</v>
      </c>
      <c r="BR35" s="14">
        <f t="shared" si="59"/>
        <v>0</v>
      </c>
      <c r="BS35" s="14">
        <f t="shared" si="59"/>
        <v>0</v>
      </c>
      <c r="BT35" s="14">
        <f t="shared" si="59"/>
        <v>0</v>
      </c>
      <c r="BU35" s="14">
        <f t="shared" si="59"/>
        <v>0</v>
      </c>
      <c r="BV35" s="14">
        <f t="shared" si="59"/>
        <v>0</v>
      </c>
      <c r="BW35" s="14">
        <f t="shared" si="59"/>
        <v>0</v>
      </c>
      <c r="BX35" s="14">
        <f t="shared" si="59"/>
        <v>0</v>
      </c>
      <c r="BY35" s="14">
        <f t="shared" si="59"/>
        <v>0</v>
      </c>
      <c r="BZ35" s="14">
        <f t="shared" si="59"/>
        <v>0</v>
      </c>
      <c r="CA35" s="14">
        <f t="shared" si="59"/>
        <v>0</v>
      </c>
      <c r="CB35" s="14">
        <f t="shared" si="59"/>
        <v>0</v>
      </c>
      <c r="CC35" s="14">
        <f t="shared" si="59"/>
        <v>0</v>
      </c>
      <c r="CD35" s="14">
        <f t="shared" si="59"/>
        <v>0</v>
      </c>
      <c r="CE35" s="14">
        <f t="shared" si="59"/>
        <v>0</v>
      </c>
      <c r="CF35" s="14">
        <f t="shared" si="59"/>
        <v>0</v>
      </c>
      <c r="CG35" s="14">
        <f t="shared" si="59"/>
        <v>0</v>
      </c>
      <c r="CH35" s="14">
        <f t="shared" si="59"/>
        <v>0</v>
      </c>
      <c r="CI35" s="14">
        <f t="shared" si="59"/>
        <v>0</v>
      </c>
      <c r="CJ35" s="14">
        <f t="shared" si="59"/>
        <v>0</v>
      </c>
      <c r="CK35" s="14">
        <f t="shared" si="59"/>
        <v>0</v>
      </c>
      <c r="CL35" s="14">
        <f t="shared" si="59"/>
        <v>0</v>
      </c>
      <c r="CM35" s="14">
        <f t="shared" si="59"/>
        <v>0</v>
      </c>
      <c r="CN35" s="14">
        <f t="shared" si="59"/>
        <v>0</v>
      </c>
      <c r="CO35" s="14">
        <f t="shared" si="59"/>
        <v>0</v>
      </c>
      <c r="CP35" s="14">
        <f t="shared" si="59"/>
        <v>0</v>
      </c>
      <c r="CQ35" s="14">
        <f t="shared" si="59"/>
        <v>0</v>
      </c>
      <c r="CR35" s="14">
        <f t="shared" si="59"/>
        <v>0</v>
      </c>
      <c r="CS35" s="14">
        <f t="shared" si="59"/>
        <v>0</v>
      </c>
      <c r="CT35" s="14">
        <f t="shared" si="59"/>
        <v>0</v>
      </c>
      <c r="CU35" s="14">
        <f t="shared" si="59"/>
        <v>0</v>
      </c>
      <c r="CW35" s="14">
        <f>SUM(BF$5:BF35)</f>
        <v>0</v>
      </c>
      <c r="CX35" s="14">
        <f>SUM(BG$5:BG35)</f>
        <v>0</v>
      </c>
      <c r="CY35" s="14">
        <f>SUM(BH$5:BH35)</f>
        <v>0</v>
      </c>
      <c r="CZ35" s="14">
        <f>SUM(BI$5:BI35)</f>
        <v>0</v>
      </c>
      <c r="DA35" s="14">
        <f>SUM(BJ$5:BJ35)</f>
        <v>0</v>
      </c>
      <c r="DB35" s="14">
        <f>SUM(BK$5:BK35)</f>
        <v>0</v>
      </c>
      <c r="DC35" s="14">
        <f>SUM(BL$5:BL35)</f>
        <v>0</v>
      </c>
      <c r="DD35" s="14">
        <f>SUM(BM$5:BM35)</f>
        <v>0</v>
      </c>
      <c r="DE35" s="14">
        <f>SUM(BN$5:BN35)</f>
        <v>0</v>
      </c>
      <c r="DF35" s="14">
        <f>SUM(BO$5:BO35)</f>
        <v>0</v>
      </c>
      <c r="DG35" s="14">
        <f>SUM(BP$5:BP35)</f>
        <v>0</v>
      </c>
      <c r="DH35" s="14">
        <f>SUM(BQ$5:BQ35)</f>
        <v>0</v>
      </c>
      <c r="DI35" s="14">
        <f>SUM(BR$5:BR35)</f>
        <v>0</v>
      </c>
      <c r="DJ35" s="14">
        <f>SUM(BS$5:BS35)</f>
        <v>0</v>
      </c>
      <c r="DK35" s="14">
        <f>SUM(BT$5:BT35)</f>
        <v>0</v>
      </c>
      <c r="DL35" s="14">
        <f>SUM(BU$5:BU35)</f>
        <v>0</v>
      </c>
      <c r="DM35" s="14">
        <f>SUM(BV$5:BV35)</f>
        <v>0</v>
      </c>
      <c r="DN35" s="14">
        <f>SUM(BW$5:BW35)</f>
        <v>0</v>
      </c>
      <c r="DO35" s="14">
        <f>SUM(BX$5:BX35)</f>
        <v>0</v>
      </c>
      <c r="DP35" s="14">
        <f>SUM(BY$5:BY35)</f>
        <v>0</v>
      </c>
      <c r="DQ35" s="14">
        <f>SUM(BZ$5:BZ35)</f>
        <v>0</v>
      </c>
      <c r="DR35" s="14">
        <f>SUM(CA$5:CA35)</f>
        <v>0</v>
      </c>
      <c r="DS35" s="14">
        <f>SUM(CB$5:CB35)</f>
        <v>0</v>
      </c>
      <c r="DT35" s="14">
        <f>SUM(CC$5:CC35)</f>
        <v>0</v>
      </c>
      <c r="DU35" s="14">
        <f>SUM(CD$5:CD35)</f>
        <v>0</v>
      </c>
      <c r="DV35" s="14">
        <f>SUM(CE$5:CE35)</f>
        <v>0</v>
      </c>
      <c r="DW35" s="14">
        <f>SUM(CF$5:CF35)</f>
        <v>0</v>
      </c>
      <c r="DX35" s="14">
        <f>SUM(CG$5:CG35)</f>
        <v>0</v>
      </c>
      <c r="DY35" s="14">
        <f>SUM(CH$5:CH35)</f>
        <v>0</v>
      </c>
      <c r="DZ35" s="14">
        <f>SUM(CI$5:CI35)</f>
        <v>0</v>
      </c>
      <c r="EA35" s="14">
        <f>SUM(CJ$5:CJ35)</f>
        <v>0</v>
      </c>
      <c r="EB35" s="14">
        <f>SUM(CK$5:CK35)</f>
        <v>0</v>
      </c>
      <c r="EC35" s="14">
        <f>SUM(CL$5:CL35)</f>
        <v>0</v>
      </c>
      <c r="ED35" s="14">
        <f>SUM(CM$5:CM35)</f>
        <v>0</v>
      </c>
      <c r="EE35" s="14">
        <f>SUM(CN$5:CN35)</f>
        <v>0</v>
      </c>
      <c r="EF35" s="14">
        <f>SUM(CO$5:CO35)</f>
        <v>0</v>
      </c>
      <c r="EG35" s="14">
        <f>SUM(CP$5:CP35)</f>
        <v>0</v>
      </c>
      <c r="EH35" s="14">
        <f>SUM(CQ$5:CQ35)</f>
        <v>0</v>
      </c>
      <c r="EI35" s="14">
        <f>SUM(CR$5:CR35)</f>
        <v>0</v>
      </c>
      <c r="EJ35" s="14">
        <f>SUM(CS$5:CS35)</f>
        <v>0</v>
      </c>
      <c r="EK35" s="14">
        <f>SUM(CT$5:CT35)</f>
        <v>0</v>
      </c>
      <c r="EL35" s="14">
        <f>SUM(CU$5:CU35)</f>
        <v>0</v>
      </c>
      <c r="EO35" s="87">
        <f t="shared" si="11"/>
        <v>0</v>
      </c>
      <c r="EP35" s="87">
        <f t="shared" si="12"/>
        <v>0</v>
      </c>
      <c r="EQ35" s="87">
        <f t="shared" si="13"/>
        <v>0</v>
      </c>
      <c r="ER35" s="87">
        <f t="shared" si="14"/>
        <v>0</v>
      </c>
      <c r="ES35" s="87">
        <f t="shared" si="15"/>
        <v>0</v>
      </c>
      <c r="ET35" s="87">
        <f t="shared" si="16"/>
        <v>0</v>
      </c>
      <c r="EU35" s="87">
        <f t="shared" si="17"/>
        <v>0</v>
      </c>
      <c r="EV35" s="87">
        <f t="shared" si="18"/>
        <v>0</v>
      </c>
      <c r="EW35" s="87">
        <f t="shared" si="19"/>
        <v>0</v>
      </c>
      <c r="EX35" s="87">
        <f t="shared" si="20"/>
        <v>0</v>
      </c>
      <c r="EY35" s="87">
        <f t="shared" si="21"/>
        <v>0</v>
      </c>
      <c r="EZ35" s="87">
        <f t="shared" si="22"/>
        <v>0</v>
      </c>
      <c r="FA35" s="87">
        <f t="shared" si="23"/>
        <v>0</v>
      </c>
      <c r="FB35" s="87">
        <f t="shared" si="24"/>
        <v>0</v>
      </c>
      <c r="FC35" s="87">
        <f t="shared" si="25"/>
        <v>0</v>
      </c>
      <c r="FD35" s="87">
        <f t="shared" si="26"/>
        <v>0</v>
      </c>
      <c r="FE35" s="87">
        <f t="shared" si="27"/>
        <v>0</v>
      </c>
      <c r="FF35" s="87">
        <f t="shared" si="28"/>
        <v>0</v>
      </c>
      <c r="FG35" s="87">
        <f t="shared" si="29"/>
        <v>0</v>
      </c>
      <c r="FH35" s="87">
        <f t="shared" si="30"/>
        <v>0</v>
      </c>
      <c r="FI35" s="87">
        <f t="shared" si="31"/>
        <v>0</v>
      </c>
      <c r="FJ35" s="87">
        <f t="shared" si="32"/>
        <v>0</v>
      </c>
      <c r="FK35" s="87">
        <f t="shared" si="33"/>
        <v>0</v>
      </c>
      <c r="FL35" s="87">
        <f t="shared" si="34"/>
        <v>0</v>
      </c>
      <c r="FM35" s="87">
        <f t="shared" si="35"/>
        <v>0</v>
      </c>
      <c r="FN35" s="87">
        <f t="shared" si="36"/>
        <v>0</v>
      </c>
      <c r="FO35" s="87">
        <f t="shared" si="37"/>
        <v>0</v>
      </c>
      <c r="FP35" s="87">
        <f t="shared" si="38"/>
        <v>0</v>
      </c>
      <c r="FQ35" s="87">
        <f t="shared" si="39"/>
        <v>0</v>
      </c>
      <c r="FR35" s="87">
        <f t="shared" si="40"/>
        <v>0</v>
      </c>
      <c r="FS35" s="87">
        <f t="shared" si="41"/>
        <v>0</v>
      </c>
      <c r="FT35" s="87">
        <f t="shared" si="42"/>
        <v>0</v>
      </c>
      <c r="FU35" s="87">
        <f t="shared" si="43"/>
        <v>0</v>
      </c>
      <c r="FV35" s="87">
        <f t="shared" si="44"/>
        <v>0</v>
      </c>
      <c r="FW35" s="87">
        <f t="shared" si="45"/>
        <v>0</v>
      </c>
      <c r="FX35" s="87">
        <f t="shared" si="46"/>
        <v>0</v>
      </c>
      <c r="FY35" s="87">
        <f t="shared" si="47"/>
        <v>0</v>
      </c>
      <c r="FZ35" s="87">
        <f t="shared" si="48"/>
        <v>0</v>
      </c>
      <c r="GA35" s="87">
        <f t="shared" si="49"/>
        <v>0</v>
      </c>
      <c r="GB35" s="87">
        <f t="shared" si="50"/>
        <v>0</v>
      </c>
      <c r="GC35" s="87">
        <f t="shared" si="51"/>
        <v>0</v>
      </c>
      <c r="GD35" s="87">
        <f t="shared" si="52"/>
        <v>0</v>
      </c>
    </row>
    <row r="36" spans="11:186" ht="16.5" x14ac:dyDescent="0.2">
      <c r="K36" s="86">
        <v>32</v>
      </c>
      <c r="L36" s="86">
        <v>6</v>
      </c>
      <c r="M36" s="86">
        <v>6</v>
      </c>
      <c r="N36" s="86" t="str">
        <f t="shared" si="3"/>
        <v>神器6-6</v>
      </c>
      <c r="O36" s="86">
        <v>3</v>
      </c>
      <c r="P36" s="14">
        <f t="shared" si="4"/>
        <v>280</v>
      </c>
      <c r="Q36" s="88">
        <v>0.12</v>
      </c>
      <c r="R36" s="14">
        <v>1</v>
      </c>
      <c r="S36" s="14">
        <v>1</v>
      </c>
      <c r="T36" s="88">
        <v>0.12</v>
      </c>
      <c r="U36" s="14">
        <v>1</v>
      </c>
      <c r="V36" s="14">
        <v>2</v>
      </c>
      <c r="W36" s="88">
        <v>0.12</v>
      </c>
      <c r="X36" s="14">
        <v>1</v>
      </c>
      <c r="Y36" s="14">
        <v>3</v>
      </c>
      <c r="AO36" s="48">
        <v>4</v>
      </c>
      <c r="AP36" s="86">
        <v>10</v>
      </c>
      <c r="AQ36" s="86">
        <v>2</v>
      </c>
      <c r="AR36" s="48">
        <v>2</v>
      </c>
      <c r="AS36" s="86" t="s">
        <v>316</v>
      </c>
      <c r="AT36" s="21">
        <f t="shared" si="0"/>
        <v>7.4999999999999997E-2</v>
      </c>
      <c r="AU36" s="86">
        <f t="shared" si="5"/>
        <v>2</v>
      </c>
      <c r="AV36" s="86">
        <f t="shared" si="6"/>
        <v>4</v>
      </c>
      <c r="AW36" s="87">
        <f t="shared" si="7"/>
        <v>0.22499999999999998</v>
      </c>
      <c r="AX36" s="86">
        <f t="shared" si="8"/>
        <v>4.5</v>
      </c>
      <c r="BA36" s="86">
        <v>32</v>
      </c>
      <c r="BB36" s="14" t="e">
        <f>INDEX(节奏总表!#REF!,神器!BA36)</f>
        <v>#REF!</v>
      </c>
      <c r="BC36" s="14" t="e">
        <f t="shared" si="9"/>
        <v>#REF!</v>
      </c>
      <c r="BD36" s="14">
        <v>5</v>
      </c>
      <c r="BE36" s="14">
        <v>3</v>
      </c>
      <c r="BF36" s="14">
        <f t="shared" ref="BF36:BF64" si="60">SUMIFS($AT$5:$AT$122,$AO$5:$AO$122,"="&amp;$BC36,$AP$5:$AP$122,"="&amp;BF$2) * (SUMIFS($AU$5:$AU$122,$AO$5:$AO$122,"="&amp;$BC36,$AP$5:$AP$122,"="&amp;BF$2)+SUMIFS($AV$5:$AV$122,$AO$5:$AO$122,"="&amp;$BC36,$AP$5:$AP$122,"="&amp;BF$2))/2*$BD36*$BE36</f>
        <v>0</v>
      </c>
      <c r="BG36" s="14">
        <f t="shared" si="59"/>
        <v>0</v>
      </c>
      <c r="BH36" s="14">
        <f t="shared" si="59"/>
        <v>0</v>
      </c>
      <c r="BI36" s="14">
        <f t="shared" si="59"/>
        <v>0</v>
      </c>
      <c r="BJ36" s="14">
        <f t="shared" si="59"/>
        <v>0</v>
      </c>
      <c r="BK36" s="14">
        <f t="shared" si="59"/>
        <v>0</v>
      </c>
      <c r="BL36" s="14">
        <f t="shared" si="59"/>
        <v>0</v>
      </c>
      <c r="BM36" s="14">
        <f t="shared" si="59"/>
        <v>0</v>
      </c>
      <c r="BN36" s="14">
        <f t="shared" si="59"/>
        <v>0</v>
      </c>
      <c r="BO36" s="14">
        <f t="shared" si="59"/>
        <v>0</v>
      </c>
      <c r="BP36" s="14">
        <f t="shared" si="59"/>
        <v>0</v>
      </c>
      <c r="BQ36" s="14">
        <f t="shared" si="59"/>
        <v>0</v>
      </c>
      <c r="BR36" s="14">
        <f t="shared" si="59"/>
        <v>0</v>
      </c>
      <c r="BS36" s="14">
        <f t="shared" si="59"/>
        <v>0</v>
      </c>
      <c r="BT36" s="14">
        <f t="shared" si="59"/>
        <v>0</v>
      </c>
      <c r="BU36" s="14">
        <f t="shared" si="59"/>
        <v>0</v>
      </c>
      <c r="BV36" s="14">
        <f t="shared" si="59"/>
        <v>0</v>
      </c>
      <c r="BW36" s="14">
        <f t="shared" si="59"/>
        <v>0</v>
      </c>
      <c r="BX36" s="14">
        <f t="shared" si="59"/>
        <v>0</v>
      </c>
      <c r="BY36" s="14">
        <f t="shared" si="59"/>
        <v>0</v>
      </c>
      <c r="BZ36" s="14">
        <f t="shared" si="59"/>
        <v>0</v>
      </c>
      <c r="CA36" s="14">
        <f t="shared" si="59"/>
        <v>0</v>
      </c>
      <c r="CB36" s="14">
        <f t="shared" si="59"/>
        <v>0</v>
      </c>
      <c r="CC36" s="14">
        <f t="shared" si="59"/>
        <v>0</v>
      </c>
      <c r="CD36" s="14">
        <f t="shared" si="59"/>
        <v>0</v>
      </c>
      <c r="CE36" s="14">
        <f t="shared" si="59"/>
        <v>0</v>
      </c>
      <c r="CF36" s="14">
        <f t="shared" si="59"/>
        <v>0</v>
      </c>
      <c r="CG36" s="14">
        <f t="shared" si="59"/>
        <v>0</v>
      </c>
      <c r="CH36" s="14">
        <f t="shared" si="59"/>
        <v>0</v>
      </c>
      <c r="CI36" s="14">
        <f t="shared" si="59"/>
        <v>0</v>
      </c>
      <c r="CJ36" s="14">
        <f t="shared" si="59"/>
        <v>0</v>
      </c>
      <c r="CK36" s="14">
        <f t="shared" si="59"/>
        <v>0</v>
      </c>
      <c r="CL36" s="14">
        <f t="shared" si="59"/>
        <v>0</v>
      </c>
      <c r="CM36" s="14">
        <f t="shared" si="59"/>
        <v>0</v>
      </c>
      <c r="CN36" s="14">
        <f t="shared" si="59"/>
        <v>0</v>
      </c>
      <c r="CO36" s="14">
        <f t="shared" si="59"/>
        <v>0</v>
      </c>
      <c r="CP36" s="14">
        <f t="shared" si="59"/>
        <v>0</v>
      </c>
      <c r="CQ36" s="14">
        <f t="shared" si="59"/>
        <v>0</v>
      </c>
      <c r="CR36" s="14">
        <f t="shared" si="59"/>
        <v>0</v>
      </c>
      <c r="CS36" s="14">
        <f t="shared" si="59"/>
        <v>0</v>
      </c>
      <c r="CT36" s="14">
        <f t="shared" si="59"/>
        <v>0</v>
      </c>
      <c r="CU36" s="14">
        <f t="shared" si="59"/>
        <v>0</v>
      </c>
      <c r="CW36" s="14">
        <f>SUM(BF$5:BF36)</f>
        <v>0</v>
      </c>
      <c r="CX36" s="14">
        <f>SUM(BG$5:BG36)</f>
        <v>0</v>
      </c>
      <c r="CY36" s="14">
        <f>SUM(BH$5:BH36)</f>
        <v>0</v>
      </c>
      <c r="CZ36" s="14">
        <f>SUM(BI$5:BI36)</f>
        <v>0</v>
      </c>
      <c r="DA36" s="14">
        <f>SUM(BJ$5:BJ36)</f>
        <v>0</v>
      </c>
      <c r="DB36" s="14">
        <f>SUM(BK$5:BK36)</f>
        <v>0</v>
      </c>
      <c r="DC36" s="14">
        <f>SUM(BL$5:BL36)</f>
        <v>0</v>
      </c>
      <c r="DD36" s="14">
        <f>SUM(BM$5:BM36)</f>
        <v>0</v>
      </c>
      <c r="DE36" s="14">
        <f>SUM(BN$5:BN36)</f>
        <v>0</v>
      </c>
      <c r="DF36" s="14">
        <f>SUM(BO$5:BO36)</f>
        <v>0</v>
      </c>
      <c r="DG36" s="14">
        <f>SUM(BP$5:BP36)</f>
        <v>0</v>
      </c>
      <c r="DH36" s="14">
        <f>SUM(BQ$5:BQ36)</f>
        <v>0</v>
      </c>
      <c r="DI36" s="14">
        <f>SUM(BR$5:BR36)</f>
        <v>0</v>
      </c>
      <c r="DJ36" s="14">
        <f>SUM(BS$5:BS36)</f>
        <v>0</v>
      </c>
      <c r="DK36" s="14">
        <f>SUM(BT$5:BT36)</f>
        <v>0</v>
      </c>
      <c r="DL36" s="14">
        <f>SUM(BU$5:BU36)</f>
        <v>0</v>
      </c>
      <c r="DM36" s="14">
        <f>SUM(BV$5:BV36)</f>
        <v>0</v>
      </c>
      <c r="DN36" s="14">
        <f>SUM(BW$5:BW36)</f>
        <v>0</v>
      </c>
      <c r="DO36" s="14">
        <f>SUM(BX$5:BX36)</f>
        <v>0</v>
      </c>
      <c r="DP36" s="14">
        <f>SUM(BY$5:BY36)</f>
        <v>0</v>
      </c>
      <c r="DQ36" s="14">
        <f>SUM(BZ$5:BZ36)</f>
        <v>0</v>
      </c>
      <c r="DR36" s="14">
        <f>SUM(CA$5:CA36)</f>
        <v>0</v>
      </c>
      <c r="DS36" s="14">
        <f>SUM(CB$5:CB36)</f>
        <v>0</v>
      </c>
      <c r="DT36" s="14">
        <f>SUM(CC$5:CC36)</f>
        <v>0</v>
      </c>
      <c r="DU36" s="14">
        <f>SUM(CD$5:CD36)</f>
        <v>0</v>
      </c>
      <c r="DV36" s="14">
        <f>SUM(CE$5:CE36)</f>
        <v>0</v>
      </c>
      <c r="DW36" s="14">
        <f>SUM(CF$5:CF36)</f>
        <v>0</v>
      </c>
      <c r="DX36" s="14">
        <f>SUM(CG$5:CG36)</f>
        <v>0</v>
      </c>
      <c r="DY36" s="14">
        <f>SUM(CH$5:CH36)</f>
        <v>0</v>
      </c>
      <c r="DZ36" s="14">
        <f>SUM(CI$5:CI36)</f>
        <v>0</v>
      </c>
      <c r="EA36" s="14">
        <f>SUM(CJ$5:CJ36)</f>
        <v>0</v>
      </c>
      <c r="EB36" s="14">
        <f>SUM(CK$5:CK36)</f>
        <v>0</v>
      </c>
      <c r="EC36" s="14">
        <f>SUM(CL$5:CL36)</f>
        <v>0</v>
      </c>
      <c r="ED36" s="14">
        <f>SUM(CM$5:CM36)</f>
        <v>0</v>
      </c>
      <c r="EE36" s="14">
        <f>SUM(CN$5:CN36)</f>
        <v>0</v>
      </c>
      <c r="EF36" s="14">
        <f>SUM(CO$5:CO36)</f>
        <v>0</v>
      </c>
      <c r="EG36" s="14">
        <f>SUM(CP$5:CP36)</f>
        <v>0</v>
      </c>
      <c r="EH36" s="14">
        <f>SUM(CQ$5:CQ36)</f>
        <v>0</v>
      </c>
      <c r="EI36" s="14">
        <f>SUM(CR$5:CR36)</f>
        <v>0</v>
      </c>
      <c r="EJ36" s="14">
        <f>SUM(CS$5:CS36)</f>
        <v>0</v>
      </c>
      <c r="EK36" s="14">
        <f>SUM(CT$5:CT36)</f>
        <v>0</v>
      </c>
      <c r="EL36" s="14">
        <f>SUM(CU$5:CU36)</f>
        <v>0</v>
      </c>
      <c r="EO36" s="87">
        <f t="shared" si="11"/>
        <v>0</v>
      </c>
      <c r="EP36" s="87">
        <f t="shared" si="12"/>
        <v>0</v>
      </c>
      <c r="EQ36" s="87">
        <f t="shared" si="13"/>
        <v>0</v>
      </c>
      <c r="ER36" s="87">
        <f t="shared" si="14"/>
        <v>0</v>
      </c>
      <c r="ES36" s="87">
        <f t="shared" si="15"/>
        <v>0</v>
      </c>
      <c r="ET36" s="87">
        <f t="shared" si="16"/>
        <v>0</v>
      </c>
      <c r="EU36" s="87">
        <f t="shared" si="17"/>
        <v>0</v>
      </c>
      <c r="EV36" s="87">
        <f t="shared" si="18"/>
        <v>0</v>
      </c>
      <c r="EW36" s="87">
        <f t="shared" si="19"/>
        <v>0</v>
      </c>
      <c r="EX36" s="87">
        <f t="shared" si="20"/>
        <v>0</v>
      </c>
      <c r="EY36" s="87">
        <f t="shared" si="21"/>
        <v>0</v>
      </c>
      <c r="EZ36" s="87">
        <f t="shared" si="22"/>
        <v>0</v>
      </c>
      <c r="FA36" s="87">
        <f t="shared" si="23"/>
        <v>0</v>
      </c>
      <c r="FB36" s="87">
        <f t="shared" si="24"/>
        <v>0</v>
      </c>
      <c r="FC36" s="87">
        <f t="shared" si="25"/>
        <v>0</v>
      </c>
      <c r="FD36" s="87">
        <f t="shared" si="26"/>
        <v>0</v>
      </c>
      <c r="FE36" s="87">
        <f t="shared" si="27"/>
        <v>0</v>
      </c>
      <c r="FF36" s="87">
        <f t="shared" si="28"/>
        <v>0</v>
      </c>
      <c r="FG36" s="87">
        <f t="shared" si="29"/>
        <v>0</v>
      </c>
      <c r="FH36" s="87">
        <f t="shared" si="30"/>
        <v>0</v>
      </c>
      <c r="FI36" s="87">
        <f t="shared" si="31"/>
        <v>0</v>
      </c>
      <c r="FJ36" s="87">
        <f t="shared" si="32"/>
        <v>0</v>
      </c>
      <c r="FK36" s="87">
        <f t="shared" si="33"/>
        <v>0</v>
      </c>
      <c r="FL36" s="87">
        <f t="shared" si="34"/>
        <v>0</v>
      </c>
      <c r="FM36" s="87">
        <f t="shared" si="35"/>
        <v>0</v>
      </c>
      <c r="FN36" s="87">
        <f t="shared" si="36"/>
        <v>0</v>
      </c>
      <c r="FO36" s="87">
        <f t="shared" si="37"/>
        <v>0</v>
      </c>
      <c r="FP36" s="87">
        <f t="shared" si="38"/>
        <v>0</v>
      </c>
      <c r="FQ36" s="87">
        <f t="shared" si="39"/>
        <v>0</v>
      </c>
      <c r="FR36" s="87">
        <f t="shared" si="40"/>
        <v>0</v>
      </c>
      <c r="FS36" s="87">
        <f t="shared" si="41"/>
        <v>0</v>
      </c>
      <c r="FT36" s="87">
        <f t="shared" si="42"/>
        <v>0</v>
      </c>
      <c r="FU36" s="87">
        <f t="shared" si="43"/>
        <v>0</v>
      </c>
      <c r="FV36" s="87">
        <f t="shared" si="44"/>
        <v>0</v>
      </c>
      <c r="FW36" s="87">
        <f t="shared" si="45"/>
        <v>0</v>
      </c>
      <c r="FX36" s="87">
        <f t="shared" si="46"/>
        <v>0</v>
      </c>
      <c r="FY36" s="87">
        <f t="shared" si="47"/>
        <v>0</v>
      </c>
      <c r="FZ36" s="87">
        <f t="shared" si="48"/>
        <v>0</v>
      </c>
      <c r="GA36" s="87">
        <f t="shared" si="49"/>
        <v>0</v>
      </c>
      <c r="GB36" s="87">
        <f t="shared" si="50"/>
        <v>0</v>
      </c>
      <c r="GC36" s="87">
        <f t="shared" si="51"/>
        <v>0</v>
      </c>
      <c r="GD36" s="87">
        <f t="shared" si="52"/>
        <v>0</v>
      </c>
    </row>
    <row r="37" spans="11:186" ht="16.5" x14ac:dyDescent="0.2">
      <c r="K37" s="86">
        <v>33</v>
      </c>
      <c r="L37" s="86">
        <v>6</v>
      </c>
      <c r="M37" s="86">
        <v>7</v>
      </c>
      <c r="N37" s="86" t="str">
        <f t="shared" si="3"/>
        <v>神器6-7</v>
      </c>
      <c r="O37" s="86">
        <v>4</v>
      </c>
      <c r="P37" s="14">
        <f t="shared" si="4"/>
        <v>600</v>
      </c>
      <c r="Q37" s="88">
        <v>0.05</v>
      </c>
      <c r="R37" s="14">
        <v>1</v>
      </c>
      <c r="S37" s="14">
        <v>1</v>
      </c>
      <c r="T37" s="88">
        <v>0.05</v>
      </c>
      <c r="U37" s="14">
        <v>1</v>
      </c>
      <c r="V37" s="14">
        <v>2</v>
      </c>
      <c r="W37" s="88">
        <v>0.05</v>
      </c>
      <c r="X37" s="14">
        <v>1</v>
      </c>
      <c r="Y37" s="14">
        <v>3</v>
      </c>
      <c r="AO37" s="48">
        <v>4</v>
      </c>
      <c r="AP37" s="86">
        <v>11</v>
      </c>
      <c r="AQ37" s="86">
        <v>2</v>
      </c>
      <c r="AR37" s="48">
        <v>2</v>
      </c>
      <c r="AS37" s="86" t="s">
        <v>317</v>
      </c>
      <c r="AT37" s="21">
        <f t="shared" ref="AT37:AT68" si="61">INDEX($AJ$6:$AL$13,AO37,AQ37)*INDEX($Q$5:$Y$46,AP37,(AR37-1)*3+1)</f>
        <v>4.8000000000000001E-2</v>
      </c>
      <c r="AU37" s="86">
        <f t="shared" si="5"/>
        <v>1</v>
      </c>
      <c r="AV37" s="86">
        <f t="shared" si="6"/>
        <v>3</v>
      </c>
      <c r="AW37" s="87">
        <f t="shared" si="7"/>
        <v>9.6000000000000002E-2</v>
      </c>
      <c r="AX37" s="86">
        <f t="shared" si="8"/>
        <v>5.76</v>
      </c>
      <c r="BA37" s="86">
        <v>33</v>
      </c>
      <c r="BB37" s="14" t="e">
        <f>INDEX(节奏总表!#REF!,神器!BA37)</f>
        <v>#REF!</v>
      </c>
      <c r="BC37" s="14" t="e">
        <f t="shared" si="9"/>
        <v>#REF!</v>
      </c>
      <c r="BD37" s="14">
        <v>5</v>
      </c>
      <c r="BE37" s="14">
        <v>3</v>
      </c>
      <c r="BF37" s="14">
        <f t="shared" si="60"/>
        <v>0</v>
      </c>
      <c r="BG37" s="14">
        <f t="shared" si="59"/>
        <v>0</v>
      </c>
      <c r="BH37" s="14">
        <f t="shared" si="59"/>
        <v>0</v>
      </c>
      <c r="BI37" s="14">
        <f t="shared" si="59"/>
        <v>0</v>
      </c>
      <c r="BJ37" s="14">
        <f t="shared" si="59"/>
        <v>0</v>
      </c>
      <c r="BK37" s="14">
        <f t="shared" si="59"/>
        <v>0</v>
      </c>
      <c r="BL37" s="14">
        <f t="shared" si="59"/>
        <v>0</v>
      </c>
      <c r="BM37" s="14">
        <f t="shared" si="59"/>
        <v>0</v>
      </c>
      <c r="BN37" s="14">
        <f t="shared" si="59"/>
        <v>0</v>
      </c>
      <c r="BO37" s="14">
        <f t="shared" si="59"/>
        <v>0</v>
      </c>
      <c r="BP37" s="14">
        <f t="shared" si="59"/>
        <v>0</v>
      </c>
      <c r="BQ37" s="14">
        <f t="shared" si="59"/>
        <v>0</v>
      </c>
      <c r="BR37" s="14">
        <f t="shared" si="59"/>
        <v>0</v>
      </c>
      <c r="BS37" s="14">
        <f t="shared" si="59"/>
        <v>0</v>
      </c>
      <c r="BT37" s="14">
        <f t="shared" si="59"/>
        <v>0</v>
      </c>
      <c r="BU37" s="14">
        <f t="shared" si="59"/>
        <v>0</v>
      </c>
      <c r="BV37" s="14">
        <f t="shared" si="59"/>
        <v>0</v>
      </c>
      <c r="BW37" s="14">
        <f t="shared" si="59"/>
        <v>0</v>
      </c>
      <c r="BX37" s="14">
        <f t="shared" si="59"/>
        <v>0</v>
      </c>
      <c r="BY37" s="14">
        <f t="shared" si="59"/>
        <v>0</v>
      </c>
      <c r="BZ37" s="14">
        <f t="shared" si="59"/>
        <v>0</v>
      </c>
      <c r="CA37" s="14">
        <f t="shared" si="59"/>
        <v>0</v>
      </c>
      <c r="CB37" s="14">
        <f t="shared" si="59"/>
        <v>0</v>
      </c>
      <c r="CC37" s="14">
        <f t="shared" si="59"/>
        <v>0</v>
      </c>
      <c r="CD37" s="14">
        <f t="shared" si="59"/>
        <v>0</v>
      </c>
      <c r="CE37" s="14">
        <f t="shared" si="59"/>
        <v>0</v>
      </c>
      <c r="CF37" s="14">
        <f t="shared" si="59"/>
        <v>0</v>
      </c>
      <c r="CG37" s="14">
        <f t="shared" si="59"/>
        <v>0</v>
      </c>
      <c r="CH37" s="14">
        <f t="shared" si="59"/>
        <v>0</v>
      </c>
      <c r="CI37" s="14">
        <f t="shared" si="59"/>
        <v>0</v>
      </c>
      <c r="CJ37" s="14">
        <f t="shared" si="59"/>
        <v>0</v>
      </c>
      <c r="CK37" s="14">
        <f t="shared" si="59"/>
        <v>0</v>
      </c>
      <c r="CL37" s="14">
        <f t="shared" si="59"/>
        <v>0</v>
      </c>
      <c r="CM37" s="14">
        <f t="shared" si="59"/>
        <v>0</v>
      </c>
      <c r="CN37" s="14">
        <f t="shared" si="59"/>
        <v>0</v>
      </c>
      <c r="CO37" s="14">
        <f t="shared" si="59"/>
        <v>0</v>
      </c>
      <c r="CP37" s="14">
        <f t="shared" si="59"/>
        <v>0</v>
      </c>
      <c r="CQ37" s="14">
        <f t="shared" si="59"/>
        <v>0</v>
      </c>
      <c r="CR37" s="14">
        <f t="shared" si="59"/>
        <v>0</v>
      </c>
      <c r="CS37" s="14">
        <f t="shared" si="59"/>
        <v>0</v>
      </c>
      <c r="CT37" s="14">
        <f t="shared" si="59"/>
        <v>0</v>
      </c>
      <c r="CU37" s="14">
        <f t="shared" si="59"/>
        <v>0</v>
      </c>
      <c r="CW37" s="14">
        <f>SUM(BF$5:BF37)</f>
        <v>0</v>
      </c>
      <c r="CX37" s="14">
        <f>SUM(BG$5:BG37)</f>
        <v>0</v>
      </c>
      <c r="CY37" s="14">
        <f>SUM(BH$5:BH37)</f>
        <v>0</v>
      </c>
      <c r="CZ37" s="14">
        <f>SUM(BI$5:BI37)</f>
        <v>0</v>
      </c>
      <c r="DA37" s="14">
        <f>SUM(BJ$5:BJ37)</f>
        <v>0</v>
      </c>
      <c r="DB37" s="14">
        <f>SUM(BK$5:BK37)</f>
        <v>0</v>
      </c>
      <c r="DC37" s="14">
        <f>SUM(BL$5:BL37)</f>
        <v>0</v>
      </c>
      <c r="DD37" s="14">
        <f>SUM(BM$5:BM37)</f>
        <v>0</v>
      </c>
      <c r="DE37" s="14">
        <f>SUM(BN$5:BN37)</f>
        <v>0</v>
      </c>
      <c r="DF37" s="14">
        <f>SUM(BO$5:BO37)</f>
        <v>0</v>
      </c>
      <c r="DG37" s="14">
        <f>SUM(BP$5:BP37)</f>
        <v>0</v>
      </c>
      <c r="DH37" s="14">
        <f>SUM(BQ$5:BQ37)</f>
        <v>0</v>
      </c>
      <c r="DI37" s="14">
        <f>SUM(BR$5:BR37)</f>
        <v>0</v>
      </c>
      <c r="DJ37" s="14">
        <f>SUM(BS$5:BS37)</f>
        <v>0</v>
      </c>
      <c r="DK37" s="14">
        <f>SUM(BT$5:BT37)</f>
        <v>0</v>
      </c>
      <c r="DL37" s="14">
        <f>SUM(BU$5:BU37)</f>
        <v>0</v>
      </c>
      <c r="DM37" s="14">
        <f>SUM(BV$5:BV37)</f>
        <v>0</v>
      </c>
      <c r="DN37" s="14">
        <f>SUM(BW$5:BW37)</f>
        <v>0</v>
      </c>
      <c r="DO37" s="14">
        <f>SUM(BX$5:BX37)</f>
        <v>0</v>
      </c>
      <c r="DP37" s="14">
        <f>SUM(BY$5:BY37)</f>
        <v>0</v>
      </c>
      <c r="DQ37" s="14">
        <f>SUM(BZ$5:BZ37)</f>
        <v>0</v>
      </c>
      <c r="DR37" s="14">
        <f>SUM(CA$5:CA37)</f>
        <v>0</v>
      </c>
      <c r="DS37" s="14">
        <f>SUM(CB$5:CB37)</f>
        <v>0</v>
      </c>
      <c r="DT37" s="14">
        <f>SUM(CC$5:CC37)</f>
        <v>0</v>
      </c>
      <c r="DU37" s="14">
        <f>SUM(CD$5:CD37)</f>
        <v>0</v>
      </c>
      <c r="DV37" s="14">
        <f>SUM(CE$5:CE37)</f>
        <v>0</v>
      </c>
      <c r="DW37" s="14">
        <f>SUM(CF$5:CF37)</f>
        <v>0</v>
      </c>
      <c r="DX37" s="14">
        <f>SUM(CG$5:CG37)</f>
        <v>0</v>
      </c>
      <c r="DY37" s="14">
        <f>SUM(CH$5:CH37)</f>
        <v>0</v>
      </c>
      <c r="DZ37" s="14">
        <f>SUM(CI$5:CI37)</f>
        <v>0</v>
      </c>
      <c r="EA37" s="14">
        <f>SUM(CJ$5:CJ37)</f>
        <v>0</v>
      </c>
      <c r="EB37" s="14">
        <f>SUM(CK$5:CK37)</f>
        <v>0</v>
      </c>
      <c r="EC37" s="14">
        <f>SUM(CL$5:CL37)</f>
        <v>0</v>
      </c>
      <c r="ED37" s="14">
        <f>SUM(CM$5:CM37)</f>
        <v>0</v>
      </c>
      <c r="EE37" s="14">
        <f>SUM(CN$5:CN37)</f>
        <v>0</v>
      </c>
      <c r="EF37" s="14">
        <f>SUM(CO$5:CO37)</f>
        <v>0</v>
      </c>
      <c r="EG37" s="14">
        <f>SUM(CP$5:CP37)</f>
        <v>0</v>
      </c>
      <c r="EH37" s="14">
        <f>SUM(CQ$5:CQ37)</f>
        <v>0</v>
      </c>
      <c r="EI37" s="14">
        <f>SUM(CR$5:CR37)</f>
        <v>0</v>
      </c>
      <c r="EJ37" s="14">
        <f>SUM(CS$5:CS37)</f>
        <v>0</v>
      </c>
      <c r="EK37" s="14">
        <f>SUM(CT$5:CT37)</f>
        <v>0</v>
      </c>
      <c r="EL37" s="14">
        <f>SUM(CU$5:CU37)</f>
        <v>0</v>
      </c>
      <c r="EO37" s="87">
        <f t="shared" si="11"/>
        <v>0</v>
      </c>
      <c r="EP37" s="87">
        <f t="shared" si="12"/>
        <v>0</v>
      </c>
      <c r="EQ37" s="87">
        <f t="shared" si="13"/>
        <v>0</v>
      </c>
      <c r="ER37" s="87">
        <f t="shared" si="14"/>
        <v>0</v>
      </c>
      <c r="ES37" s="87">
        <f t="shared" si="15"/>
        <v>0</v>
      </c>
      <c r="ET37" s="87">
        <f t="shared" si="16"/>
        <v>0</v>
      </c>
      <c r="EU37" s="87">
        <f t="shared" si="17"/>
        <v>0</v>
      </c>
      <c r="EV37" s="87">
        <f t="shared" si="18"/>
        <v>0</v>
      </c>
      <c r="EW37" s="87">
        <f t="shared" si="19"/>
        <v>0</v>
      </c>
      <c r="EX37" s="87">
        <f t="shared" si="20"/>
        <v>0</v>
      </c>
      <c r="EY37" s="87">
        <f t="shared" si="21"/>
        <v>0</v>
      </c>
      <c r="EZ37" s="87">
        <f t="shared" si="22"/>
        <v>0</v>
      </c>
      <c r="FA37" s="87">
        <f t="shared" si="23"/>
        <v>0</v>
      </c>
      <c r="FB37" s="87">
        <f t="shared" si="24"/>
        <v>0</v>
      </c>
      <c r="FC37" s="87">
        <f t="shared" si="25"/>
        <v>0</v>
      </c>
      <c r="FD37" s="87">
        <f t="shared" si="26"/>
        <v>0</v>
      </c>
      <c r="FE37" s="87">
        <f t="shared" si="27"/>
        <v>0</v>
      </c>
      <c r="FF37" s="87">
        <f t="shared" si="28"/>
        <v>0</v>
      </c>
      <c r="FG37" s="87">
        <f t="shared" si="29"/>
        <v>0</v>
      </c>
      <c r="FH37" s="87">
        <f t="shared" si="30"/>
        <v>0</v>
      </c>
      <c r="FI37" s="87">
        <f t="shared" si="31"/>
        <v>0</v>
      </c>
      <c r="FJ37" s="87">
        <f t="shared" si="32"/>
        <v>0</v>
      </c>
      <c r="FK37" s="87">
        <f t="shared" si="33"/>
        <v>0</v>
      </c>
      <c r="FL37" s="87">
        <f t="shared" si="34"/>
        <v>0</v>
      </c>
      <c r="FM37" s="87">
        <f t="shared" si="35"/>
        <v>0</v>
      </c>
      <c r="FN37" s="87">
        <f t="shared" si="36"/>
        <v>0</v>
      </c>
      <c r="FO37" s="87">
        <f t="shared" si="37"/>
        <v>0</v>
      </c>
      <c r="FP37" s="87">
        <f t="shared" si="38"/>
        <v>0</v>
      </c>
      <c r="FQ37" s="87">
        <f t="shared" si="39"/>
        <v>0</v>
      </c>
      <c r="FR37" s="87">
        <f t="shared" si="40"/>
        <v>0</v>
      </c>
      <c r="FS37" s="87">
        <f t="shared" si="41"/>
        <v>0</v>
      </c>
      <c r="FT37" s="87">
        <f t="shared" si="42"/>
        <v>0</v>
      </c>
      <c r="FU37" s="87">
        <f t="shared" si="43"/>
        <v>0</v>
      </c>
      <c r="FV37" s="87">
        <f t="shared" si="44"/>
        <v>0</v>
      </c>
      <c r="FW37" s="87">
        <f t="shared" si="45"/>
        <v>0</v>
      </c>
      <c r="FX37" s="87">
        <f t="shared" si="46"/>
        <v>0</v>
      </c>
      <c r="FY37" s="87">
        <f t="shared" si="47"/>
        <v>0</v>
      </c>
      <c r="FZ37" s="87">
        <f t="shared" si="48"/>
        <v>0</v>
      </c>
      <c r="GA37" s="87">
        <f t="shared" si="49"/>
        <v>0</v>
      </c>
      <c r="GB37" s="87">
        <f t="shared" si="50"/>
        <v>0</v>
      </c>
      <c r="GC37" s="87">
        <f t="shared" si="51"/>
        <v>0</v>
      </c>
      <c r="GD37" s="87">
        <f t="shared" si="52"/>
        <v>0</v>
      </c>
    </row>
    <row r="38" spans="11:186" ht="16.5" x14ac:dyDescent="0.2">
      <c r="K38" s="86">
        <v>34</v>
      </c>
      <c r="L38" s="86">
        <v>6</v>
      </c>
      <c r="M38" s="86">
        <v>8</v>
      </c>
      <c r="N38" s="86" t="str">
        <f t="shared" si="3"/>
        <v>神器6-8</v>
      </c>
      <c r="O38" s="86">
        <v>4</v>
      </c>
      <c r="P38" s="14">
        <f t="shared" si="4"/>
        <v>600</v>
      </c>
      <c r="Q38" s="88">
        <v>0.05</v>
      </c>
      <c r="R38" s="14">
        <v>1</v>
      </c>
      <c r="S38" s="14">
        <v>1</v>
      </c>
      <c r="T38" s="88">
        <v>0.05</v>
      </c>
      <c r="U38" s="14">
        <v>1</v>
      </c>
      <c r="V38" s="14">
        <v>2</v>
      </c>
      <c r="W38" s="88">
        <v>0.05</v>
      </c>
      <c r="X38" s="14">
        <v>1</v>
      </c>
      <c r="Y38" s="14">
        <v>3</v>
      </c>
      <c r="AO38" s="48">
        <v>4</v>
      </c>
      <c r="AP38" s="86">
        <v>12</v>
      </c>
      <c r="AQ38" s="86">
        <v>2</v>
      </c>
      <c r="AR38" s="48">
        <v>2</v>
      </c>
      <c r="AS38" s="86" t="s">
        <v>318</v>
      </c>
      <c r="AT38" s="21">
        <f t="shared" si="61"/>
        <v>4.8000000000000001E-2</v>
      </c>
      <c r="AU38" s="86">
        <f t="shared" si="5"/>
        <v>1</v>
      </c>
      <c r="AV38" s="86">
        <f t="shared" si="6"/>
        <v>3</v>
      </c>
      <c r="AW38" s="87">
        <f t="shared" si="7"/>
        <v>9.6000000000000002E-2</v>
      </c>
      <c r="AX38" s="86">
        <f t="shared" si="8"/>
        <v>5.76</v>
      </c>
      <c r="BA38" s="86">
        <v>34</v>
      </c>
      <c r="BB38" s="14" t="e">
        <f>INDEX(节奏总表!#REF!,神器!BA38)</f>
        <v>#REF!</v>
      </c>
      <c r="BC38" s="14" t="e">
        <f t="shared" si="9"/>
        <v>#REF!</v>
      </c>
      <c r="BD38" s="14">
        <v>5</v>
      </c>
      <c r="BE38" s="14">
        <v>3</v>
      </c>
      <c r="BF38" s="14">
        <f t="shared" si="60"/>
        <v>0</v>
      </c>
      <c r="BG38" s="14">
        <f t="shared" si="59"/>
        <v>0</v>
      </c>
      <c r="BH38" s="14">
        <f t="shared" si="59"/>
        <v>0</v>
      </c>
      <c r="BI38" s="14">
        <f t="shared" si="59"/>
        <v>0</v>
      </c>
      <c r="BJ38" s="14">
        <f t="shared" si="59"/>
        <v>0</v>
      </c>
      <c r="BK38" s="14">
        <f t="shared" si="59"/>
        <v>0</v>
      </c>
      <c r="BL38" s="14">
        <f t="shared" si="59"/>
        <v>0</v>
      </c>
      <c r="BM38" s="14">
        <f t="shared" si="59"/>
        <v>0</v>
      </c>
      <c r="BN38" s="14">
        <f t="shared" si="59"/>
        <v>0</v>
      </c>
      <c r="BO38" s="14">
        <f t="shared" si="59"/>
        <v>0</v>
      </c>
      <c r="BP38" s="14">
        <f t="shared" si="59"/>
        <v>0</v>
      </c>
      <c r="BQ38" s="14">
        <f t="shared" si="59"/>
        <v>0</v>
      </c>
      <c r="BR38" s="14">
        <f t="shared" si="59"/>
        <v>0</v>
      </c>
      <c r="BS38" s="14">
        <f t="shared" si="59"/>
        <v>0</v>
      </c>
      <c r="BT38" s="14">
        <f t="shared" si="59"/>
        <v>0</v>
      </c>
      <c r="BU38" s="14">
        <f t="shared" si="59"/>
        <v>0</v>
      </c>
      <c r="BV38" s="14">
        <f t="shared" si="59"/>
        <v>0</v>
      </c>
      <c r="BW38" s="14">
        <f t="shared" si="59"/>
        <v>0</v>
      </c>
      <c r="BX38" s="14">
        <f t="shared" si="59"/>
        <v>0</v>
      </c>
      <c r="BY38" s="14">
        <f t="shared" si="59"/>
        <v>0</v>
      </c>
      <c r="BZ38" s="14">
        <f t="shared" si="59"/>
        <v>0</v>
      </c>
      <c r="CA38" s="14">
        <f t="shared" si="59"/>
        <v>0</v>
      </c>
      <c r="CB38" s="14">
        <f t="shared" si="59"/>
        <v>0</v>
      </c>
      <c r="CC38" s="14">
        <f t="shared" si="59"/>
        <v>0</v>
      </c>
      <c r="CD38" s="14">
        <f t="shared" si="59"/>
        <v>0</v>
      </c>
      <c r="CE38" s="14">
        <f t="shared" si="59"/>
        <v>0</v>
      </c>
      <c r="CF38" s="14">
        <f t="shared" si="59"/>
        <v>0</v>
      </c>
      <c r="CG38" s="14">
        <f t="shared" si="59"/>
        <v>0</v>
      </c>
      <c r="CH38" s="14">
        <f t="shared" si="59"/>
        <v>0</v>
      </c>
      <c r="CI38" s="14">
        <f t="shared" si="59"/>
        <v>0</v>
      </c>
      <c r="CJ38" s="14">
        <f t="shared" si="59"/>
        <v>0</v>
      </c>
      <c r="CK38" s="14">
        <f t="shared" si="59"/>
        <v>0</v>
      </c>
      <c r="CL38" s="14">
        <f t="shared" si="59"/>
        <v>0</v>
      </c>
      <c r="CM38" s="14">
        <f t="shared" si="59"/>
        <v>0</v>
      </c>
      <c r="CN38" s="14">
        <f t="shared" si="59"/>
        <v>0</v>
      </c>
      <c r="CO38" s="14">
        <f t="shared" si="59"/>
        <v>0</v>
      </c>
      <c r="CP38" s="14">
        <f t="shared" si="59"/>
        <v>0</v>
      </c>
      <c r="CQ38" s="14">
        <f t="shared" si="59"/>
        <v>0</v>
      </c>
      <c r="CR38" s="14">
        <f t="shared" si="59"/>
        <v>0</v>
      </c>
      <c r="CS38" s="14">
        <f t="shared" si="59"/>
        <v>0</v>
      </c>
      <c r="CT38" s="14">
        <f t="shared" si="59"/>
        <v>0</v>
      </c>
      <c r="CU38" s="14">
        <f t="shared" si="59"/>
        <v>0</v>
      </c>
      <c r="CW38" s="14">
        <f>SUM(BF$5:BF38)</f>
        <v>0</v>
      </c>
      <c r="CX38" s="14">
        <f>SUM(BG$5:BG38)</f>
        <v>0</v>
      </c>
      <c r="CY38" s="14">
        <f>SUM(BH$5:BH38)</f>
        <v>0</v>
      </c>
      <c r="CZ38" s="14">
        <f>SUM(BI$5:BI38)</f>
        <v>0</v>
      </c>
      <c r="DA38" s="14">
        <f>SUM(BJ$5:BJ38)</f>
        <v>0</v>
      </c>
      <c r="DB38" s="14">
        <f>SUM(BK$5:BK38)</f>
        <v>0</v>
      </c>
      <c r="DC38" s="14">
        <f>SUM(BL$5:BL38)</f>
        <v>0</v>
      </c>
      <c r="DD38" s="14">
        <f>SUM(BM$5:BM38)</f>
        <v>0</v>
      </c>
      <c r="DE38" s="14">
        <f>SUM(BN$5:BN38)</f>
        <v>0</v>
      </c>
      <c r="DF38" s="14">
        <f>SUM(BO$5:BO38)</f>
        <v>0</v>
      </c>
      <c r="DG38" s="14">
        <f>SUM(BP$5:BP38)</f>
        <v>0</v>
      </c>
      <c r="DH38" s="14">
        <f>SUM(BQ$5:BQ38)</f>
        <v>0</v>
      </c>
      <c r="DI38" s="14">
        <f>SUM(BR$5:BR38)</f>
        <v>0</v>
      </c>
      <c r="DJ38" s="14">
        <f>SUM(BS$5:BS38)</f>
        <v>0</v>
      </c>
      <c r="DK38" s="14">
        <f>SUM(BT$5:BT38)</f>
        <v>0</v>
      </c>
      <c r="DL38" s="14">
        <f>SUM(BU$5:BU38)</f>
        <v>0</v>
      </c>
      <c r="DM38" s="14">
        <f>SUM(BV$5:BV38)</f>
        <v>0</v>
      </c>
      <c r="DN38" s="14">
        <f>SUM(BW$5:BW38)</f>
        <v>0</v>
      </c>
      <c r="DO38" s="14">
        <f>SUM(BX$5:BX38)</f>
        <v>0</v>
      </c>
      <c r="DP38" s="14">
        <f>SUM(BY$5:BY38)</f>
        <v>0</v>
      </c>
      <c r="DQ38" s="14">
        <f>SUM(BZ$5:BZ38)</f>
        <v>0</v>
      </c>
      <c r="DR38" s="14">
        <f>SUM(CA$5:CA38)</f>
        <v>0</v>
      </c>
      <c r="DS38" s="14">
        <f>SUM(CB$5:CB38)</f>
        <v>0</v>
      </c>
      <c r="DT38" s="14">
        <f>SUM(CC$5:CC38)</f>
        <v>0</v>
      </c>
      <c r="DU38" s="14">
        <f>SUM(CD$5:CD38)</f>
        <v>0</v>
      </c>
      <c r="DV38" s="14">
        <f>SUM(CE$5:CE38)</f>
        <v>0</v>
      </c>
      <c r="DW38" s="14">
        <f>SUM(CF$5:CF38)</f>
        <v>0</v>
      </c>
      <c r="DX38" s="14">
        <f>SUM(CG$5:CG38)</f>
        <v>0</v>
      </c>
      <c r="DY38" s="14">
        <f>SUM(CH$5:CH38)</f>
        <v>0</v>
      </c>
      <c r="DZ38" s="14">
        <f>SUM(CI$5:CI38)</f>
        <v>0</v>
      </c>
      <c r="EA38" s="14">
        <f>SUM(CJ$5:CJ38)</f>
        <v>0</v>
      </c>
      <c r="EB38" s="14">
        <f>SUM(CK$5:CK38)</f>
        <v>0</v>
      </c>
      <c r="EC38" s="14">
        <f>SUM(CL$5:CL38)</f>
        <v>0</v>
      </c>
      <c r="ED38" s="14">
        <f>SUM(CM$5:CM38)</f>
        <v>0</v>
      </c>
      <c r="EE38" s="14">
        <f>SUM(CN$5:CN38)</f>
        <v>0</v>
      </c>
      <c r="EF38" s="14">
        <f>SUM(CO$5:CO38)</f>
        <v>0</v>
      </c>
      <c r="EG38" s="14">
        <f>SUM(CP$5:CP38)</f>
        <v>0</v>
      </c>
      <c r="EH38" s="14">
        <f>SUM(CQ$5:CQ38)</f>
        <v>0</v>
      </c>
      <c r="EI38" s="14">
        <f>SUM(CR$5:CR38)</f>
        <v>0</v>
      </c>
      <c r="EJ38" s="14">
        <f>SUM(CS$5:CS38)</f>
        <v>0</v>
      </c>
      <c r="EK38" s="14">
        <f>SUM(CT$5:CT38)</f>
        <v>0</v>
      </c>
      <c r="EL38" s="14">
        <f>SUM(CU$5:CU38)</f>
        <v>0</v>
      </c>
      <c r="EO38" s="87">
        <f t="shared" si="11"/>
        <v>0</v>
      </c>
      <c r="EP38" s="87">
        <f t="shared" si="12"/>
        <v>0</v>
      </c>
      <c r="EQ38" s="87">
        <f t="shared" si="13"/>
        <v>0</v>
      </c>
      <c r="ER38" s="87">
        <f t="shared" si="14"/>
        <v>0</v>
      </c>
      <c r="ES38" s="87">
        <f t="shared" si="15"/>
        <v>0</v>
      </c>
      <c r="ET38" s="87">
        <f t="shared" si="16"/>
        <v>0</v>
      </c>
      <c r="EU38" s="87">
        <f t="shared" si="17"/>
        <v>0</v>
      </c>
      <c r="EV38" s="87">
        <f t="shared" si="18"/>
        <v>0</v>
      </c>
      <c r="EW38" s="87">
        <f t="shared" si="19"/>
        <v>0</v>
      </c>
      <c r="EX38" s="87">
        <f t="shared" si="20"/>
        <v>0</v>
      </c>
      <c r="EY38" s="87">
        <f t="shared" si="21"/>
        <v>0</v>
      </c>
      <c r="EZ38" s="87">
        <f t="shared" si="22"/>
        <v>0</v>
      </c>
      <c r="FA38" s="87">
        <f t="shared" si="23"/>
        <v>0</v>
      </c>
      <c r="FB38" s="87">
        <f t="shared" si="24"/>
        <v>0</v>
      </c>
      <c r="FC38" s="87">
        <f t="shared" si="25"/>
        <v>0</v>
      </c>
      <c r="FD38" s="87">
        <f t="shared" si="26"/>
        <v>0</v>
      </c>
      <c r="FE38" s="87">
        <f t="shared" si="27"/>
        <v>0</v>
      </c>
      <c r="FF38" s="87">
        <f t="shared" si="28"/>
        <v>0</v>
      </c>
      <c r="FG38" s="87">
        <f t="shared" si="29"/>
        <v>0</v>
      </c>
      <c r="FH38" s="87">
        <f t="shared" si="30"/>
        <v>0</v>
      </c>
      <c r="FI38" s="87">
        <f t="shared" si="31"/>
        <v>0</v>
      </c>
      <c r="FJ38" s="87">
        <f t="shared" si="32"/>
        <v>0</v>
      </c>
      <c r="FK38" s="87">
        <f t="shared" si="33"/>
        <v>0</v>
      </c>
      <c r="FL38" s="87">
        <f t="shared" si="34"/>
        <v>0</v>
      </c>
      <c r="FM38" s="87">
        <f t="shared" si="35"/>
        <v>0</v>
      </c>
      <c r="FN38" s="87">
        <f t="shared" si="36"/>
        <v>0</v>
      </c>
      <c r="FO38" s="87">
        <f t="shared" si="37"/>
        <v>0</v>
      </c>
      <c r="FP38" s="87">
        <f t="shared" si="38"/>
        <v>0</v>
      </c>
      <c r="FQ38" s="87">
        <f t="shared" si="39"/>
        <v>0</v>
      </c>
      <c r="FR38" s="87">
        <f t="shared" si="40"/>
        <v>0</v>
      </c>
      <c r="FS38" s="87">
        <f t="shared" si="41"/>
        <v>0</v>
      </c>
      <c r="FT38" s="87">
        <f t="shared" si="42"/>
        <v>0</v>
      </c>
      <c r="FU38" s="87">
        <f t="shared" si="43"/>
        <v>0</v>
      </c>
      <c r="FV38" s="87">
        <f t="shared" si="44"/>
        <v>0</v>
      </c>
      <c r="FW38" s="87">
        <f t="shared" si="45"/>
        <v>0</v>
      </c>
      <c r="FX38" s="87">
        <f t="shared" si="46"/>
        <v>0</v>
      </c>
      <c r="FY38" s="87">
        <f t="shared" si="47"/>
        <v>0</v>
      </c>
      <c r="FZ38" s="87">
        <f t="shared" si="48"/>
        <v>0</v>
      </c>
      <c r="GA38" s="87">
        <f t="shared" si="49"/>
        <v>0</v>
      </c>
      <c r="GB38" s="87">
        <f t="shared" si="50"/>
        <v>0</v>
      </c>
      <c r="GC38" s="87">
        <f t="shared" si="51"/>
        <v>0</v>
      </c>
      <c r="GD38" s="87">
        <f t="shared" si="52"/>
        <v>0</v>
      </c>
    </row>
    <row r="39" spans="11:186" ht="16.5" x14ac:dyDescent="0.2">
      <c r="K39" s="86">
        <v>35</v>
      </c>
      <c r="L39" s="86">
        <v>7</v>
      </c>
      <c r="M39" s="86">
        <v>1</v>
      </c>
      <c r="N39" s="86" t="str">
        <f t="shared" si="3"/>
        <v>神器7-1</v>
      </c>
      <c r="O39" s="86">
        <v>2</v>
      </c>
      <c r="P39" s="14">
        <f t="shared" si="4"/>
        <v>150</v>
      </c>
      <c r="Q39" s="88">
        <v>0.18</v>
      </c>
      <c r="R39" s="14">
        <v>1</v>
      </c>
      <c r="S39" s="14">
        <v>2</v>
      </c>
      <c r="T39" s="88">
        <v>0.18</v>
      </c>
      <c r="U39" s="14">
        <v>1</v>
      </c>
      <c r="V39" s="14">
        <v>3</v>
      </c>
      <c r="W39" s="88">
        <v>0.18</v>
      </c>
      <c r="X39" s="14">
        <v>2</v>
      </c>
      <c r="Y39" s="14">
        <v>4</v>
      </c>
      <c r="AO39" s="48">
        <v>4</v>
      </c>
      <c r="AP39" s="86">
        <v>13</v>
      </c>
      <c r="AQ39" s="86">
        <v>2</v>
      </c>
      <c r="AR39" s="48">
        <v>2</v>
      </c>
      <c r="AS39" s="86" t="s">
        <v>319</v>
      </c>
      <c r="AT39" s="21">
        <f t="shared" si="61"/>
        <v>3.5999999999999997E-2</v>
      </c>
      <c r="AU39" s="86">
        <f t="shared" si="5"/>
        <v>1</v>
      </c>
      <c r="AV39" s="86">
        <f t="shared" si="6"/>
        <v>2</v>
      </c>
      <c r="AW39" s="87">
        <f t="shared" si="7"/>
        <v>5.3999999999999992E-2</v>
      </c>
      <c r="AX39" s="86">
        <f t="shared" si="8"/>
        <v>7.5600000000000005</v>
      </c>
      <c r="BA39" s="86">
        <v>35</v>
      </c>
      <c r="BB39" s="14" t="e">
        <f>INDEX(节奏总表!#REF!,神器!BA39)</f>
        <v>#REF!</v>
      </c>
      <c r="BC39" s="14" t="e">
        <f t="shared" si="9"/>
        <v>#REF!</v>
      </c>
      <c r="BD39" s="14">
        <v>5</v>
      </c>
      <c r="BE39" s="14">
        <v>3</v>
      </c>
      <c r="BF39" s="14">
        <f t="shared" si="60"/>
        <v>0</v>
      </c>
      <c r="BG39" s="14">
        <f t="shared" si="59"/>
        <v>0</v>
      </c>
      <c r="BH39" s="14">
        <f t="shared" si="59"/>
        <v>0</v>
      </c>
      <c r="BI39" s="14">
        <f t="shared" si="59"/>
        <v>0</v>
      </c>
      <c r="BJ39" s="14">
        <f t="shared" si="59"/>
        <v>0</v>
      </c>
      <c r="BK39" s="14">
        <f t="shared" si="59"/>
        <v>0</v>
      </c>
      <c r="BL39" s="14">
        <f t="shared" si="59"/>
        <v>0</v>
      </c>
      <c r="BM39" s="14">
        <f t="shared" si="59"/>
        <v>0</v>
      </c>
      <c r="BN39" s="14">
        <f t="shared" si="59"/>
        <v>0</v>
      </c>
      <c r="BO39" s="14">
        <f t="shared" si="59"/>
        <v>0</v>
      </c>
      <c r="BP39" s="14">
        <f t="shared" si="59"/>
        <v>0</v>
      </c>
      <c r="BQ39" s="14">
        <f t="shared" si="59"/>
        <v>0</v>
      </c>
      <c r="BR39" s="14">
        <f t="shared" si="59"/>
        <v>0</v>
      </c>
      <c r="BS39" s="14">
        <f t="shared" si="59"/>
        <v>0</v>
      </c>
      <c r="BT39" s="14">
        <f t="shared" si="59"/>
        <v>0</v>
      </c>
      <c r="BU39" s="14">
        <f t="shared" si="59"/>
        <v>0</v>
      </c>
      <c r="BV39" s="14">
        <f t="shared" si="59"/>
        <v>0</v>
      </c>
      <c r="BW39" s="14">
        <f t="shared" si="59"/>
        <v>0</v>
      </c>
      <c r="BX39" s="14">
        <f t="shared" si="59"/>
        <v>0</v>
      </c>
      <c r="BY39" s="14">
        <f t="shared" si="59"/>
        <v>0</v>
      </c>
      <c r="BZ39" s="14">
        <f t="shared" si="59"/>
        <v>0</v>
      </c>
      <c r="CA39" s="14">
        <f t="shared" si="59"/>
        <v>0</v>
      </c>
      <c r="CB39" s="14">
        <f t="shared" si="59"/>
        <v>0</v>
      </c>
      <c r="CC39" s="14">
        <f t="shared" si="59"/>
        <v>0</v>
      </c>
      <c r="CD39" s="14">
        <f t="shared" si="59"/>
        <v>0</v>
      </c>
      <c r="CE39" s="14">
        <f t="shared" si="59"/>
        <v>0</v>
      </c>
      <c r="CF39" s="14">
        <f t="shared" si="59"/>
        <v>0</v>
      </c>
      <c r="CG39" s="14">
        <f t="shared" si="59"/>
        <v>0</v>
      </c>
      <c r="CH39" s="14">
        <f t="shared" si="59"/>
        <v>0</v>
      </c>
      <c r="CI39" s="14">
        <f t="shared" si="59"/>
        <v>0</v>
      </c>
      <c r="CJ39" s="14">
        <f t="shared" si="59"/>
        <v>0</v>
      </c>
      <c r="CK39" s="14">
        <f t="shared" si="59"/>
        <v>0</v>
      </c>
      <c r="CL39" s="14">
        <f t="shared" si="59"/>
        <v>0</v>
      </c>
      <c r="CM39" s="14">
        <f t="shared" si="59"/>
        <v>0</v>
      </c>
      <c r="CN39" s="14">
        <f t="shared" si="59"/>
        <v>0</v>
      </c>
      <c r="CO39" s="14">
        <f t="shared" si="59"/>
        <v>0</v>
      </c>
      <c r="CP39" s="14">
        <f t="shared" si="59"/>
        <v>0</v>
      </c>
      <c r="CQ39" s="14">
        <f t="shared" si="59"/>
        <v>0</v>
      </c>
      <c r="CR39" s="14">
        <f t="shared" si="59"/>
        <v>0</v>
      </c>
      <c r="CS39" s="14">
        <f t="shared" si="59"/>
        <v>0</v>
      </c>
      <c r="CT39" s="14">
        <f t="shared" si="59"/>
        <v>0</v>
      </c>
      <c r="CU39" s="14">
        <f t="shared" si="59"/>
        <v>0</v>
      </c>
      <c r="CW39" s="14">
        <f>SUM(BF$5:BF39)</f>
        <v>0</v>
      </c>
      <c r="CX39" s="14">
        <f>SUM(BG$5:BG39)</f>
        <v>0</v>
      </c>
      <c r="CY39" s="14">
        <f>SUM(BH$5:BH39)</f>
        <v>0</v>
      </c>
      <c r="CZ39" s="14">
        <f>SUM(BI$5:BI39)</f>
        <v>0</v>
      </c>
      <c r="DA39" s="14">
        <f>SUM(BJ$5:BJ39)</f>
        <v>0</v>
      </c>
      <c r="DB39" s="14">
        <f>SUM(BK$5:BK39)</f>
        <v>0</v>
      </c>
      <c r="DC39" s="14">
        <f>SUM(BL$5:BL39)</f>
        <v>0</v>
      </c>
      <c r="DD39" s="14">
        <f>SUM(BM$5:BM39)</f>
        <v>0</v>
      </c>
      <c r="DE39" s="14">
        <f>SUM(BN$5:BN39)</f>
        <v>0</v>
      </c>
      <c r="DF39" s="14">
        <f>SUM(BO$5:BO39)</f>
        <v>0</v>
      </c>
      <c r="DG39" s="14">
        <f>SUM(BP$5:BP39)</f>
        <v>0</v>
      </c>
      <c r="DH39" s="14">
        <f>SUM(BQ$5:BQ39)</f>
        <v>0</v>
      </c>
      <c r="DI39" s="14">
        <f>SUM(BR$5:BR39)</f>
        <v>0</v>
      </c>
      <c r="DJ39" s="14">
        <f>SUM(BS$5:BS39)</f>
        <v>0</v>
      </c>
      <c r="DK39" s="14">
        <f>SUM(BT$5:BT39)</f>
        <v>0</v>
      </c>
      <c r="DL39" s="14">
        <f>SUM(BU$5:BU39)</f>
        <v>0</v>
      </c>
      <c r="DM39" s="14">
        <f>SUM(BV$5:BV39)</f>
        <v>0</v>
      </c>
      <c r="DN39" s="14">
        <f>SUM(BW$5:BW39)</f>
        <v>0</v>
      </c>
      <c r="DO39" s="14">
        <f>SUM(BX$5:BX39)</f>
        <v>0</v>
      </c>
      <c r="DP39" s="14">
        <f>SUM(BY$5:BY39)</f>
        <v>0</v>
      </c>
      <c r="DQ39" s="14">
        <f>SUM(BZ$5:BZ39)</f>
        <v>0</v>
      </c>
      <c r="DR39" s="14">
        <f>SUM(CA$5:CA39)</f>
        <v>0</v>
      </c>
      <c r="DS39" s="14">
        <f>SUM(CB$5:CB39)</f>
        <v>0</v>
      </c>
      <c r="DT39" s="14">
        <f>SUM(CC$5:CC39)</f>
        <v>0</v>
      </c>
      <c r="DU39" s="14">
        <f>SUM(CD$5:CD39)</f>
        <v>0</v>
      </c>
      <c r="DV39" s="14">
        <f>SUM(CE$5:CE39)</f>
        <v>0</v>
      </c>
      <c r="DW39" s="14">
        <f>SUM(CF$5:CF39)</f>
        <v>0</v>
      </c>
      <c r="DX39" s="14">
        <f>SUM(CG$5:CG39)</f>
        <v>0</v>
      </c>
      <c r="DY39" s="14">
        <f>SUM(CH$5:CH39)</f>
        <v>0</v>
      </c>
      <c r="DZ39" s="14">
        <f>SUM(CI$5:CI39)</f>
        <v>0</v>
      </c>
      <c r="EA39" s="14">
        <f>SUM(CJ$5:CJ39)</f>
        <v>0</v>
      </c>
      <c r="EB39" s="14">
        <f>SUM(CK$5:CK39)</f>
        <v>0</v>
      </c>
      <c r="EC39" s="14">
        <f>SUM(CL$5:CL39)</f>
        <v>0</v>
      </c>
      <c r="ED39" s="14">
        <f>SUM(CM$5:CM39)</f>
        <v>0</v>
      </c>
      <c r="EE39" s="14">
        <f>SUM(CN$5:CN39)</f>
        <v>0</v>
      </c>
      <c r="EF39" s="14">
        <f>SUM(CO$5:CO39)</f>
        <v>0</v>
      </c>
      <c r="EG39" s="14">
        <f>SUM(CP$5:CP39)</f>
        <v>0</v>
      </c>
      <c r="EH39" s="14">
        <f>SUM(CQ$5:CQ39)</f>
        <v>0</v>
      </c>
      <c r="EI39" s="14">
        <f>SUM(CR$5:CR39)</f>
        <v>0</v>
      </c>
      <c r="EJ39" s="14">
        <f>SUM(CS$5:CS39)</f>
        <v>0</v>
      </c>
      <c r="EK39" s="14">
        <f>SUM(CT$5:CT39)</f>
        <v>0</v>
      </c>
      <c r="EL39" s="14">
        <f>SUM(CU$5:CU39)</f>
        <v>0</v>
      </c>
      <c r="EO39" s="87">
        <f t="shared" si="11"/>
        <v>0</v>
      </c>
      <c r="EP39" s="87">
        <f t="shared" si="12"/>
        <v>0</v>
      </c>
      <c r="EQ39" s="87">
        <f t="shared" si="13"/>
        <v>0</v>
      </c>
      <c r="ER39" s="87">
        <f t="shared" si="14"/>
        <v>0</v>
      </c>
      <c r="ES39" s="87">
        <f t="shared" si="15"/>
        <v>0</v>
      </c>
      <c r="ET39" s="87">
        <f t="shared" si="16"/>
        <v>0</v>
      </c>
      <c r="EU39" s="87">
        <f t="shared" si="17"/>
        <v>0</v>
      </c>
      <c r="EV39" s="87">
        <f t="shared" si="18"/>
        <v>0</v>
      </c>
      <c r="EW39" s="87">
        <f t="shared" si="19"/>
        <v>0</v>
      </c>
      <c r="EX39" s="87">
        <f t="shared" si="20"/>
        <v>0</v>
      </c>
      <c r="EY39" s="87">
        <f t="shared" si="21"/>
        <v>0</v>
      </c>
      <c r="EZ39" s="87">
        <f t="shared" si="22"/>
        <v>0</v>
      </c>
      <c r="FA39" s="87">
        <f t="shared" si="23"/>
        <v>0</v>
      </c>
      <c r="FB39" s="87">
        <f t="shared" si="24"/>
        <v>0</v>
      </c>
      <c r="FC39" s="87">
        <f t="shared" si="25"/>
        <v>0</v>
      </c>
      <c r="FD39" s="87">
        <f t="shared" si="26"/>
        <v>0</v>
      </c>
      <c r="FE39" s="87">
        <f t="shared" si="27"/>
        <v>0</v>
      </c>
      <c r="FF39" s="87">
        <f t="shared" si="28"/>
        <v>0</v>
      </c>
      <c r="FG39" s="87">
        <f t="shared" si="29"/>
        <v>0</v>
      </c>
      <c r="FH39" s="87">
        <f t="shared" si="30"/>
        <v>0</v>
      </c>
      <c r="FI39" s="87">
        <f t="shared" si="31"/>
        <v>0</v>
      </c>
      <c r="FJ39" s="87">
        <f t="shared" si="32"/>
        <v>0</v>
      </c>
      <c r="FK39" s="87">
        <f t="shared" si="33"/>
        <v>0</v>
      </c>
      <c r="FL39" s="87">
        <f t="shared" si="34"/>
        <v>0</v>
      </c>
      <c r="FM39" s="87">
        <f t="shared" si="35"/>
        <v>0</v>
      </c>
      <c r="FN39" s="87">
        <f t="shared" si="36"/>
        <v>0</v>
      </c>
      <c r="FO39" s="87">
        <f t="shared" si="37"/>
        <v>0</v>
      </c>
      <c r="FP39" s="87">
        <f t="shared" si="38"/>
        <v>0</v>
      </c>
      <c r="FQ39" s="87">
        <f t="shared" si="39"/>
        <v>0</v>
      </c>
      <c r="FR39" s="87">
        <f t="shared" si="40"/>
        <v>0</v>
      </c>
      <c r="FS39" s="87">
        <f t="shared" si="41"/>
        <v>0</v>
      </c>
      <c r="FT39" s="87">
        <f t="shared" si="42"/>
        <v>0</v>
      </c>
      <c r="FU39" s="87">
        <f t="shared" si="43"/>
        <v>0</v>
      </c>
      <c r="FV39" s="87">
        <f t="shared" si="44"/>
        <v>0</v>
      </c>
      <c r="FW39" s="87">
        <f t="shared" si="45"/>
        <v>0</v>
      </c>
      <c r="FX39" s="87">
        <f t="shared" si="46"/>
        <v>0</v>
      </c>
      <c r="FY39" s="87">
        <f t="shared" si="47"/>
        <v>0</v>
      </c>
      <c r="FZ39" s="87">
        <f t="shared" si="48"/>
        <v>0</v>
      </c>
      <c r="GA39" s="87">
        <f t="shared" si="49"/>
        <v>0</v>
      </c>
      <c r="GB39" s="87">
        <f t="shared" si="50"/>
        <v>0</v>
      </c>
      <c r="GC39" s="87">
        <f t="shared" si="51"/>
        <v>0</v>
      </c>
      <c r="GD39" s="87">
        <f t="shared" si="52"/>
        <v>0</v>
      </c>
    </row>
    <row r="40" spans="11:186" ht="16.5" x14ac:dyDescent="0.2">
      <c r="K40" s="86">
        <v>36</v>
      </c>
      <c r="L40" s="86">
        <v>7</v>
      </c>
      <c r="M40" s="86">
        <v>2</v>
      </c>
      <c r="N40" s="86" t="str">
        <f t="shared" si="3"/>
        <v>神器7-2</v>
      </c>
      <c r="O40" s="86">
        <v>2</v>
      </c>
      <c r="P40" s="14">
        <f t="shared" si="4"/>
        <v>150</v>
      </c>
      <c r="Q40" s="88">
        <v>0.18</v>
      </c>
      <c r="R40" s="14">
        <v>1</v>
      </c>
      <c r="S40" s="14">
        <v>2</v>
      </c>
      <c r="T40" s="88">
        <v>0.18</v>
      </c>
      <c r="U40" s="14">
        <v>1</v>
      </c>
      <c r="V40" s="14">
        <v>3</v>
      </c>
      <c r="W40" s="88">
        <v>0.18</v>
      </c>
      <c r="X40" s="14">
        <v>2</v>
      </c>
      <c r="Y40" s="14">
        <v>4</v>
      </c>
      <c r="AO40" s="48">
        <v>4</v>
      </c>
      <c r="AP40" s="86">
        <v>14</v>
      </c>
      <c r="AQ40" s="86">
        <v>2</v>
      </c>
      <c r="AR40" s="48">
        <v>2</v>
      </c>
      <c r="AS40" s="86" t="s">
        <v>320</v>
      </c>
      <c r="AT40" s="21">
        <f t="shared" si="61"/>
        <v>1.7999999999999999E-2</v>
      </c>
      <c r="AU40" s="86">
        <f t="shared" si="5"/>
        <v>1</v>
      </c>
      <c r="AV40" s="86">
        <f t="shared" si="6"/>
        <v>2</v>
      </c>
      <c r="AW40" s="87">
        <f t="shared" si="7"/>
        <v>2.6999999999999996E-2</v>
      </c>
      <c r="AX40" s="86">
        <f t="shared" si="8"/>
        <v>8.1</v>
      </c>
      <c r="BA40" s="86">
        <v>36</v>
      </c>
      <c r="BB40" s="14" t="e">
        <f>INDEX(节奏总表!#REF!,神器!BA40)</f>
        <v>#REF!</v>
      </c>
      <c r="BC40" s="14" t="e">
        <f t="shared" si="9"/>
        <v>#REF!</v>
      </c>
      <c r="BD40" s="14">
        <v>5</v>
      </c>
      <c r="BE40" s="14">
        <v>3</v>
      </c>
      <c r="BF40" s="14">
        <f t="shared" si="60"/>
        <v>0</v>
      </c>
      <c r="BG40" s="14">
        <f t="shared" si="59"/>
        <v>0</v>
      </c>
      <c r="BH40" s="14">
        <f t="shared" si="59"/>
        <v>0</v>
      </c>
      <c r="BI40" s="14">
        <f t="shared" si="59"/>
        <v>0</v>
      </c>
      <c r="BJ40" s="14">
        <f t="shared" si="59"/>
        <v>0</v>
      </c>
      <c r="BK40" s="14">
        <f t="shared" si="59"/>
        <v>0</v>
      </c>
      <c r="BL40" s="14">
        <f t="shared" si="59"/>
        <v>0</v>
      </c>
      <c r="BM40" s="14">
        <f t="shared" si="59"/>
        <v>0</v>
      </c>
      <c r="BN40" s="14">
        <f t="shared" si="59"/>
        <v>0</v>
      </c>
      <c r="BO40" s="14">
        <f t="shared" ref="BO40:CD40" si="62">SUMIFS($AT$5:$AT$122,$AO$5:$AO$122,"="&amp;$BC40,$AP$5:$AP$122,"="&amp;BO$2) * (SUMIFS($AU$5:$AU$122,$AO$5:$AO$122,"="&amp;$BC40,$AP$5:$AP$122,"="&amp;BO$2)+SUMIFS($AV$5:$AV$122,$AO$5:$AO$122,"="&amp;$BC40,$AP$5:$AP$122,"="&amp;BO$2))/2*$BD40*$BE40</f>
        <v>0</v>
      </c>
      <c r="BP40" s="14">
        <f t="shared" si="62"/>
        <v>0</v>
      </c>
      <c r="BQ40" s="14">
        <f t="shared" si="62"/>
        <v>0</v>
      </c>
      <c r="BR40" s="14">
        <f t="shared" si="62"/>
        <v>0</v>
      </c>
      <c r="BS40" s="14">
        <f t="shared" si="62"/>
        <v>0</v>
      </c>
      <c r="BT40" s="14">
        <f t="shared" si="62"/>
        <v>0</v>
      </c>
      <c r="BU40" s="14">
        <f t="shared" si="62"/>
        <v>0</v>
      </c>
      <c r="BV40" s="14">
        <f t="shared" si="62"/>
        <v>0</v>
      </c>
      <c r="BW40" s="14">
        <f t="shared" si="62"/>
        <v>0</v>
      </c>
      <c r="BX40" s="14">
        <f t="shared" si="62"/>
        <v>0</v>
      </c>
      <c r="BY40" s="14">
        <f t="shared" si="62"/>
        <v>0</v>
      </c>
      <c r="BZ40" s="14">
        <f t="shared" si="62"/>
        <v>0</v>
      </c>
      <c r="CA40" s="14">
        <f t="shared" si="62"/>
        <v>0</v>
      </c>
      <c r="CB40" s="14">
        <f t="shared" si="62"/>
        <v>0</v>
      </c>
      <c r="CC40" s="14">
        <f t="shared" si="62"/>
        <v>0</v>
      </c>
      <c r="CD40" s="14">
        <f t="shared" si="62"/>
        <v>0</v>
      </c>
      <c r="CE40" s="14">
        <f t="shared" ref="CE40:CT40" si="63">SUMIFS($AT$5:$AT$122,$AO$5:$AO$122,"="&amp;$BC40,$AP$5:$AP$122,"="&amp;CE$2) * (SUMIFS($AU$5:$AU$122,$AO$5:$AO$122,"="&amp;$BC40,$AP$5:$AP$122,"="&amp;CE$2)+SUMIFS($AV$5:$AV$122,$AO$5:$AO$122,"="&amp;$BC40,$AP$5:$AP$122,"="&amp;CE$2))/2*$BD40*$BE40</f>
        <v>0</v>
      </c>
      <c r="CF40" s="14">
        <f t="shared" si="63"/>
        <v>0</v>
      </c>
      <c r="CG40" s="14">
        <f t="shared" si="63"/>
        <v>0</v>
      </c>
      <c r="CH40" s="14">
        <f t="shared" si="63"/>
        <v>0</v>
      </c>
      <c r="CI40" s="14">
        <f t="shared" si="63"/>
        <v>0</v>
      </c>
      <c r="CJ40" s="14">
        <f t="shared" si="63"/>
        <v>0</v>
      </c>
      <c r="CK40" s="14">
        <f t="shared" si="63"/>
        <v>0</v>
      </c>
      <c r="CL40" s="14">
        <f t="shared" si="63"/>
        <v>0</v>
      </c>
      <c r="CM40" s="14">
        <f t="shared" si="63"/>
        <v>0</v>
      </c>
      <c r="CN40" s="14">
        <f t="shared" si="63"/>
        <v>0</v>
      </c>
      <c r="CO40" s="14">
        <f t="shared" si="63"/>
        <v>0</v>
      </c>
      <c r="CP40" s="14">
        <f t="shared" si="63"/>
        <v>0</v>
      </c>
      <c r="CQ40" s="14">
        <f t="shared" si="63"/>
        <v>0</v>
      </c>
      <c r="CR40" s="14">
        <f t="shared" si="63"/>
        <v>0</v>
      </c>
      <c r="CS40" s="14">
        <f t="shared" si="63"/>
        <v>0</v>
      </c>
      <c r="CT40" s="14">
        <f t="shared" si="63"/>
        <v>0</v>
      </c>
      <c r="CU40" s="14">
        <f t="shared" ref="BG40:CU47" si="64">SUMIFS($AT$5:$AT$122,$AO$5:$AO$122,"="&amp;$BC40,$AP$5:$AP$122,"="&amp;CU$2) * (SUMIFS($AU$5:$AU$122,$AO$5:$AO$122,"="&amp;$BC40,$AP$5:$AP$122,"="&amp;CU$2)+SUMIFS($AV$5:$AV$122,$AO$5:$AO$122,"="&amp;$BC40,$AP$5:$AP$122,"="&amp;CU$2))/2*$BD40*$BE40</f>
        <v>0</v>
      </c>
      <c r="CW40" s="14">
        <f>SUM(BF$5:BF40)</f>
        <v>0</v>
      </c>
      <c r="CX40" s="14">
        <f>SUM(BG$5:BG40)</f>
        <v>0</v>
      </c>
      <c r="CY40" s="14">
        <f>SUM(BH$5:BH40)</f>
        <v>0</v>
      </c>
      <c r="CZ40" s="14">
        <f>SUM(BI$5:BI40)</f>
        <v>0</v>
      </c>
      <c r="DA40" s="14">
        <f>SUM(BJ$5:BJ40)</f>
        <v>0</v>
      </c>
      <c r="DB40" s="14">
        <f>SUM(BK$5:BK40)</f>
        <v>0</v>
      </c>
      <c r="DC40" s="14">
        <f>SUM(BL$5:BL40)</f>
        <v>0</v>
      </c>
      <c r="DD40" s="14">
        <f>SUM(BM$5:BM40)</f>
        <v>0</v>
      </c>
      <c r="DE40" s="14">
        <f>SUM(BN$5:BN40)</f>
        <v>0</v>
      </c>
      <c r="DF40" s="14">
        <f>SUM(BO$5:BO40)</f>
        <v>0</v>
      </c>
      <c r="DG40" s="14">
        <f>SUM(BP$5:BP40)</f>
        <v>0</v>
      </c>
      <c r="DH40" s="14">
        <f>SUM(BQ$5:BQ40)</f>
        <v>0</v>
      </c>
      <c r="DI40" s="14">
        <f>SUM(BR$5:BR40)</f>
        <v>0</v>
      </c>
      <c r="DJ40" s="14">
        <f>SUM(BS$5:BS40)</f>
        <v>0</v>
      </c>
      <c r="DK40" s="14">
        <f>SUM(BT$5:BT40)</f>
        <v>0</v>
      </c>
      <c r="DL40" s="14">
        <f>SUM(BU$5:BU40)</f>
        <v>0</v>
      </c>
      <c r="DM40" s="14">
        <f>SUM(BV$5:BV40)</f>
        <v>0</v>
      </c>
      <c r="DN40" s="14">
        <f>SUM(BW$5:BW40)</f>
        <v>0</v>
      </c>
      <c r="DO40" s="14">
        <f>SUM(BX$5:BX40)</f>
        <v>0</v>
      </c>
      <c r="DP40" s="14">
        <f>SUM(BY$5:BY40)</f>
        <v>0</v>
      </c>
      <c r="DQ40" s="14">
        <f>SUM(BZ$5:BZ40)</f>
        <v>0</v>
      </c>
      <c r="DR40" s="14">
        <f>SUM(CA$5:CA40)</f>
        <v>0</v>
      </c>
      <c r="DS40" s="14">
        <f>SUM(CB$5:CB40)</f>
        <v>0</v>
      </c>
      <c r="DT40" s="14">
        <f>SUM(CC$5:CC40)</f>
        <v>0</v>
      </c>
      <c r="DU40" s="14">
        <f>SUM(CD$5:CD40)</f>
        <v>0</v>
      </c>
      <c r="DV40" s="14">
        <f>SUM(CE$5:CE40)</f>
        <v>0</v>
      </c>
      <c r="DW40" s="14">
        <f>SUM(CF$5:CF40)</f>
        <v>0</v>
      </c>
      <c r="DX40" s="14">
        <f>SUM(CG$5:CG40)</f>
        <v>0</v>
      </c>
      <c r="DY40" s="14">
        <f>SUM(CH$5:CH40)</f>
        <v>0</v>
      </c>
      <c r="DZ40" s="14">
        <f>SUM(CI$5:CI40)</f>
        <v>0</v>
      </c>
      <c r="EA40" s="14">
        <f>SUM(CJ$5:CJ40)</f>
        <v>0</v>
      </c>
      <c r="EB40" s="14">
        <f>SUM(CK$5:CK40)</f>
        <v>0</v>
      </c>
      <c r="EC40" s="14">
        <f>SUM(CL$5:CL40)</f>
        <v>0</v>
      </c>
      <c r="ED40" s="14">
        <f>SUM(CM$5:CM40)</f>
        <v>0</v>
      </c>
      <c r="EE40" s="14">
        <f>SUM(CN$5:CN40)</f>
        <v>0</v>
      </c>
      <c r="EF40" s="14">
        <f>SUM(CO$5:CO40)</f>
        <v>0</v>
      </c>
      <c r="EG40" s="14">
        <f>SUM(CP$5:CP40)</f>
        <v>0</v>
      </c>
      <c r="EH40" s="14">
        <f>SUM(CQ$5:CQ40)</f>
        <v>0</v>
      </c>
      <c r="EI40" s="14">
        <f>SUM(CR$5:CR40)</f>
        <v>0</v>
      </c>
      <c r="EJ40" s="14">
        <f>SUM(CS$5:CS40)</f>
        <v>0</v>
      </c>
      <c r="EK40" s="14">
        <f>SUM(CT$5:CT40)</f>
        <v>0</v>
      </c>
      <c r="EL40" s="14">
        <f>SUM(CU$5:CU40)</f>
        <v>0</v>
      </c>
      <c r="EO40" s="87">
        <f t="shared" si="11"/>
        <v>0</v>
      </c>
      <c r="EP40" s="87">
        <f t="shared" si="12"/>
        <v>0</v>
      </c>
      <c r="EQ40" s="87">
        <f t="shared" si="13"/>
        <v>0</v>
      </c>
      <c r="ER40" s="87">
        <f t="shared" si="14"/>
        <v>0</v>
      </c>
      <c r="ES40" s="87">
        <f t="shared" si="15"/>
        <v>0</v>
      </c>
      <c r="ET40" s="87">
        <f t="shared" si="16"/>
        <v>0</v>
      </c>
      <c r="EU40" s="87">
        <f t="shared" si="17"/>
        <v>0</v>
      </c>
      <c r="EV40" s="87">
        <f t="shared" si="18"/>
        <v>0</v>
      </c>
      <c r="EW40" s="87">
        <f t="shared" si="19"/>
        <v>0</v>
      </c>
      <c r="EX40" s="87">
        <f t="shared" si="20"/>
        <v>0</v>
      </c>
      <c r="EY40" s="87">
        <f t="shared" si="21"/>
        <v>0</v>
      </c>
      <c r="EZ40" s="87">
        <f t="shared" si="22"/>
        <v>0</v>
      </c>
      <c r="FA40" s="87">
        <f t="shared" si="23"/>
        <v>0</v>
      </c>
      <c r="FB40" s="87">
        <f t="shared" si="24"/>
        <v>0</v>
      </c>
      <c r="FC40" s="87">
        <f t="shared" si="25"/>
        <v>0</v>
      </c>
      <c r="FD40" s="87">
        <f t="shared" si="26"/>
        <v>0</v>
      </c>
      <c r="FE40" s="87">
        <f t="shared" si="27"/>
        <v>0</v>
      </c>
      <c r="FF40" s="87">
        <f t="shared" si="28"/>
        <v>0</v>
      </c>
      <c r="FG40" s="87">
        <f t="shared" si="29"/>
        <v>0</v>
      </c>
      <c r="FH40" s="87">
        <f t="shared" si="30"/>
        <v>0</v>
      </c>
      <c r="FI40" s="87">
        <f t="shared" si="31"/>
        <v>0</v>
      </c>
      <c r="FJ40" s="87">
        <f t="shared" si="32"/>
        <v>0</v>
      </c>
      <c r="FK40" s="87">
        <f t="shared" si="33"/>
        <v>0</v>
      </c>
      <c r="FL40" s="87">
        <f t="shared" si="34"/>
        <v>0</v>
      </c>
      <c r="FM40" s="87">
        <f t="shared" si="35"/>
        <v>0</v>
      </c>
      <c r="FN40" s="87">
        <f t="shared" si="36"/>
        <v>0</v>
      </c>
      <c r="FO40" s="87">
        <f t="shared" si="37"/>
        <v>0</v>
      </c>
      <c r="FP40" s="87">
        <f t="shared" si="38"/>
        <v>0</v>
      </c>
      <c r="FQ40" s="87">
        <f t="shared" si="39"/>
        <v>0</v>
      </c>
      <c r="FR40" s="87">
        <f t="shared" si="40"/>
        <v>0</v>
      </c>
      <c r="FS40" s="87">
        <f t="shared" si="41"/>
        <v>0</v>
      </c>
      <c r="FT40" s="87">
        <f t="shared" si="42"/>
        <v>0</v>
      </c>
      <c r="FU40" s="87">
        <f t="shared" si="43"/>
        <v>0</v>
      </c>
      <c r="FV40" s="87">
        <f t="shared" si="44"/>
        <v>0</v>
      </c>
      <c r="FW40" s="87">
        <f t="shared" si="45"/>
        <v>0</v>
      </c>
      <c r="FX40" s="87">
        <f t="shared" si="46"/>
        <v>0</v>
      </c>
      <c r="FY40" s="87">
        <f t="shared" si="47"/>
        <v>0</v>
      </c>
      <c r="FZ40" s="87">
        <f t="shared" si="48"/>
        <v>0</v>
      </c>
      <c r="GA40" s="87">
        <f t="shared" si="49"/>
        <v>0</v>
      </c>
      <c r="GB40" s="87">
        <f t="shared" si="50"/>
        <v>0</v>
      </c>
      <c r="GC40" s="87">
        <f t="shared" si="51"/>
        <v>0</v>
      </c>
      <c r="GD40" s="87">
        <f t="shared" si="52"/>
        <v>0</v>
      </c>
    </row>
    <row r="41" spans="11:186" ht="16.5" x14ac:dyDescent="0.2">
      <c r="K41" s="86">
        <v>37</v>
      </c>
      <c r="L41" s="86">
        <v>7</v>
      </c>
      <c r="M41" s="86">
        <v>3</v>
      </c>
      <c r="N41" s="86" t="str">
        <f t="shared" si="3"/>
        <v>神器7-3</v>
      </c>
      <c r="O41" s="86">
        <v>2</v>
      </c>
      <c r="P41" s="14">
        <f t="shared" si="4"/>
        <v>150</v>
      </c>
      <c r="Q41" s="88">
        <v>0.18</v>
      </c>
      <c r="R41" s="14">
        <v>1</v>
      </c>
      <c r="S41" s="14">
        <v>2</v>
      </c>
      <c r="T41" s="88">
        <v>0.18</v>
      </c>
      <c r="U41" s="14">
        <v>1</v>
      </c>
      <c r="V41" s="14">
        <v>3</v>
      </c>
      <c r="W41" s="88">
        <v>0.18</v>
      </c>
      <c r="X41" s="14">
        <v>2</v>
      </c>
      <c r="Y41" s="14">
        <v>4</v>
      </c>
      <c r="AO41" s="48">
        <v>4</v>
      </c>
      <c r="AP41" s="86">
        <v>15</v>
      </c>
      <c r="AQ41" s="86">
        <v>3</v>
      </c>
      <c r="AR41" s="48">
        <v>1</v>
      </c>
      <c r="AS41" s="86" t="s">
        <v>321</v>
      </c>
      <c r="AT41" s="21">
        <f t="shared" si="61"/>
        <v>3.7499999999999999E-2</v>
      </c>
      <c r="AU41" s="86">
        <f t="shared" si="5"/>
        <v>1</v>
      </c>
      <c r="AV41" s="86">
        <f t="shared" si="6"/>
        <v>3</v>
      </c>
      <c r="AW41" s="87">
        <f t="shared" si="7"/>
        <v>7.4999999999999997E-2</v>
      </c>
      <c r="AX41" s="86">
        <f t="shared" si="8"/>
        <v>1.875</v>
      </c>
      <c r="BA41" s="86">
        <v>37</v>
      </c>
      <c r="BB41" s="14" t="e">
        <f>INDEX(节奏总表!#REF!,神器!BA41)</f>
        <v>#REF!</v>
      </c>
      <c r="BC41" s="14" t="e">
        <f t="shared" si="9"/>
        <v>#REF!</v>
      </c>
      <c r="BD41" s="14">
        <v>5</v>
      </c>
      <c r="BE41" s="14">
        <v>3</v>
      </c>
      <c r="BF41" s="14">
        <f t="shared" si="60"/>
        <v>0</v>
      </c>
      <c r="BG41" s="14">
        <f t="shared" si="64"/>
        <v>0</v>
      </c>
      <c r="BH41" s="14">
        <f t="shared" si="64"/>
        <v>0</v>
      </c>
      <c r="BI41" s="14">
        <f t="shared" si="64"/>
        <v>0</v>
      </c>
      <c r="BJ41" s="14">
        <f t="shared" si="64"/>
        <v>0</v>
      </c>
      <c r="BK41" s="14">
        <f t="shared" si="64"/>
        <v>0</v>
      </c>
      <c r="BL41" s="14">
        <f t="shared" si="64"/>
        <v>0</v>
      </c>
      <c r="BM41" s="14">
        <f t="shared" si="64"/>
        <v>0</v>
      </c>
      <c r="BN41" s="14">
        <f t="shared" si="64"/>
        <v>0</v>
      </c>
      <c r="BO41" s="14">
        <f t="shared" si="64"/>
        <v>0</v>
      </c>
      <c r="BP41" s="14">
        <f t="shared" si="64"/>
        <v>0</v>
      </c>
      <c r="BQ41" s="14">
        <f t="shared" si="64"/>
        <v>0</v>
      </c>
      <c r="BR41" s="14">
        <f t="shared" si="64"/>
        <v>0</v>
      </c>
      <c r="BS41" s="14">
        <f t="shared" si="64"/>
        <v>0</v>
      </c>
      <c r="BT41" s="14">
        <f t="shared" si="64"/>
        <v>0</v>
      </c>
      <c r="BU41" s="14">
        <f t="shared" si="64"/>
        <v>0</v>
      </c>
      <c r="BV41" s="14">
        <f t="shared" si="64"/>
        <v>0</v>
      </c>
      <c r="BW41" s="14">
        <f t="shared" si="64"/>
        <v>0</v>
      </c>
      <c r="BX41" s="14">
        <f t="shared" si="64"/>
        <v>0</v>
      </c>
      <c r="BY41" s="14">
        <f t="shared" si="64"/>
        <v>0</v>
      </c>
      <c r="BZ41" s="14">
        <f t="shared" si="64"/>
        <v>0</v>
      </c>
      <c r="CA41" s="14">
        <f t="shared" si="64"/>
        <v>0</v>
      </c>
      <c r="CB41" s="14">
        <f t="shared" si="64"/>
        <v>0</v>
      </c>
      <c r="CC41" s="14">
        <f t="shared" si="64"/>
        <v>0</v>
      </c>
      <c r="CD41" s="14">
        <f t="shared" si="64"/>
        <v>0</v>
      </c>
      <c r="CE41" s="14">
        <f t="shared" si="64"/>
        <v>0</v>
      </c>
      <c r="CF41" s="14">
        <f t="shared" si="64"/>
        <v>0</v>
      </c>
      <c r="CG41" s="14">
        <f t="shared" si="64"/>
        <v>0</v>
      </c>
      <c r="CH41" s="14">
        <f t="shared" si="64"/>
        <v>0</v>
      </c>
      <c r="CI41" s="14">
        <f t="shared" si="64"/>
        <v>0</v>
      </c>
      <c r="CJ41" s="14">
        <f t="shared" si="64"/>
        <v>0</v>
      </c>
      <c r="CK41" s="14">
        <f t="shared" si="64"/>
        <v>0</v>
      </c>
      <c r="CL41" s="14">
        <f t="shared" si="64"/>
        <v>0</v>
      </c>
      <c r="CM41" s="14">
        <f t="shared" si="64"/>
        <v>0</v>
      </c>
      <c r="CN41" s="14">
        <f t="shared" si="64"/>
        <v>0</v>
      </c>
      <c r="CO41" s="14">
        <f t="shared" si="64"/>
        <v>0</v>
      </c>
      <c r="CP41" s="14">
        <f t="shared" si="64"/>
        <v>0</v>
      </c>
      <c r="CQ41" s="14">
        <f t="shared" si="64"/>
        <v>0</v>
      </c>
      <c r="CR41" s="14">
        <f t="shared" si="64"/>
        <v>0</v>
      </c>
      <c r="CS41" s="14">
        <f t="shared" si="64"/>
        <v>0</v>
      </c>
      <c r="CT41" s="14">
        <f t="shared" si="64"/>
        <v>0</v>
      </c>
      <c r="CU41" s="14">
        <f t="shared" si="64"/>
        <v>0</v>
      </c>
      <c r="CW41" s="14">
        <f>SUM(BF$5:BF41)</f>
        <v>0</v>
      </c>
      <c r="CX41" s="14">
        <f>SUM(BG$5:BG41)</f>
        <v>0</v>
      </c>
      <c r="CY41" s="14">
        <f>SUM(BH$5:BH41)</f>
        <v>0</v>
      </c>
      <c r="CZ41" s="14">
        <f>SUM(BI$5:BI41)</f>
        <v>0</v>
      </c>
      <c r="DA41" s="14">
        <f>SUM(BJ$5:BJ41)</f>
        <v>0</v>
      </c>
      <c r="DB41" s="14">
        <f>SUM(BK$5:BK41)</f>
        <v>0</v>
      </c>
      <c r="DC41" s="14">
        <f>SUM(BL$5:BL41)</f>
        <v>0</v>
      </c>
      <c r="DD41" s="14">
        <f>SUM(BM$5:BM41)</f>
        <v>0</v>
      </c>
      <c r="DE41" s="14">
        <f>SUM(BN$5:BN41)</f>
        <v>0</v>
      </c>
      <c r="DF41" s="14">
        <f>SUM(BO$5:BO41)</f>
        <v>0</v>
      </c>
      <c r="DG41" s="14">
        <f>SUM(BP$5:BP41)</f>
        <v>0</v>
      </c>
      <c r="DH41" s="14">
        <f>SUM(BQ$5:BQ41)</f>
        <v>0</v>
      </c>
      <c r="DI41" s="14">
        <f>SUM(BR$5:BR41)</f>
        <v>0</v>
      </c>
      <c r="DJ41" s="14">
        <f>SUM(BS$5:BS41)</f>
        <v>0</v>
      </c>
      <c r="DK41" s="14">
        <f>SUM(BT$5:BT41)</f>
        <v>0</v>
      </c>
      <c r="DL41" s="14">
        <f>SUM(BU$5:BU41)</f>
        <v>0</v>
      </c>
      <c r="DM41" s="14">
        <f>SUM(BV$5:BV41)</f>
        <v>0</v>
      </c>
      <c r="DN41" s="14">
        <f>SUM(BW$5:BW41)</f>
        <v>0</v>
      </c>
      <c r="DO41" s="14">
        <f>SUM(BX$5:BX41)</f>
        <v>0</v>
      </c>
      <c r="DP41" s="14">
        <f>SUM(BY$5:BY41)</f>
        <v>0</v>
      </c>
      <c r="DQ41" s="14">
        <f>SUM(BZ$5:BZ41)</f>
        <v>0</v>
      </c>
      <c r="DR41" s="14">
        <f>SUM(CA$5:CA41)</f>
        <v>0</v>
      </c>
      <c r="DS41" s="14">
        <f>SUM(CB$5:CB41)</f>
        <v>0</v>
      </c>
      <c r="DT41" s="14">
        <f>SUM(CC$5:CC41)</f>
        <v>0</v>
      </c>
      <c r="DU41" s="14">
        <f>SUM(CD$5:CD41)</f>
        <v>0</v>
      </c>
      <c r="DV41" s="14">
        <f>SUM(CE$5:CE41)</f>
        <v>0</v>
      </c>
      <c r="DW41" s="14">
        <f>SUM(CF$5:CF41)</f>
        <v>0</v>
      </c>
      <c r="DX41" s="14">
        <f>SUM(CG$5:CG41)</f>
        <v>0</v>
      </c>
      <c r="DY41" s="14">
        <f>SUM(CH$5:CH41)</f>
        <v>0</v>
      </c>
      <c r="DZ41" s="14">
        <f>SUM(CI$5:CI41)</f>
        <v>0</v>
      </c>
      <c r="EA41" s="14">
        <f>SUM(CJ$5:CJ41)</f>
        <v>0</v>
      </c>
      <c r="EB41" s="14">
        <f>SUM(CK$5:CK41)</f>
        <v>0</v>
      </c>
      <c r="EC41" s="14">
        <f>SUM(CL$5:CL41)</f>
        <v>0</v>
      </c>
      <c r="ED41" s="14">
        <f>SUM(CM$5:CM41)</f>
        <v>0</v>
      </c>
      <c r="EE41" s="14">
        <f>SUM(CN$5:CN41)</f>
        <v>0</v>
      </c>
      <c r="EF41" s="14">
        <f>SUM(CO$5:CO41)</f>
        <v>0</v>
      </c>
      <c r="EG41" s="14">
        <f>SUM(CP$5:CP41)</f>
        <v>0</v>
      </c>
      <c r="EH41" s="14">
        <f>SUM(CQ$5:CQ41)</f>
        <v>0</v>
      </c>
      <c r="EI41" s="14">
        <f>SUM(CR$5:CR41)</f>
        <v>0</v>
      </c>
      <c r="EJ41" s="14">
        <f>SUM(CS$5:CS41)</f>
        <v>0</v>
      </c>
      <c r="EK41" s="14">
        <f>SUM(CT$5:CT41)</f>
        <v>0</v>
      </c>
      <c r="EL41" s="14">
        <f>SUM(CU$5:CU41)</f>
        <v>0</v>
      </c>
      <c r="EO41" s="87">
        <f t="shared" si="11"/>
        <v>0</v>
      </c>
      <c r="EP41" s="87">
        <f t="shared" si="12"/>
        <v>0</v>
      </c>
      <c r="EQ41" s="87">
        <f t="shared" si="13"/>
        <v>0</v>
      </c>
      <c r="ER41" s="87">
        <f t="shared" si="14"/>
        <v>0</v>
      </c>
      <c r="ES41" s="87">
        <f t="shared" si="15"/>
        <v>0</v>
      </c>
      <c r="ET41" s="87">
        <f t="shared" si="16"/>
        <v>0</v>
      </c>
      <c r="EU41" s="87">
        <f t="shared" si="17"/>
        <v>0</v>
      </c>
      <c r="EV41" s="87">
        <f t="shared" si="18"/>
        <v>0</v>
      </c>
      <c r="EW41" s="87">
        <f t="shared" si="19"/>
        <v>0</v>
      </c>
      <c r="EX41" s="87">
        <f t="shared" si="20"/>
        <v>0</v>
      </c>
      <c r="EY41" s="87">
        <f t="shared" si="21"/>
        <v>0</v>
      </c>
      <c r="EZ41" s="87">
        <f t="shared" si="22"/>
        <v>0</v>
      </c>
      <c r="FA41" s="87">
        <f t="shared" si="23"/>
        <v>0</v>
      </c>
      <c r="FB41" s="87">
        <f t="shared" si="24"/>
        <v>0</v>
      </c>
      <c r="FC41" s="87">
        <f t="shared" si="25"/>
        <v>0</v>
      </c>
      <c r="FD41" s="87">
        <f t="shared" si="26"/>
        <v>0</v>
      </c>
      <c r="FE41" s="87">
        <f t="shared" si="27"/>
        <v>0</v>
      </c>
      <c r="FF41" s="87">
        <f t="shared" si="28"/>
        <v>0</v>
      </c>
      <c r="FG41" s="87">
        <f t="shared" si="29"/>
        <v>0</v>
      </c>
      <c r="FH41" s="87">
        <f t="shared" si="30"/>
        <v>0</v>
      </c>
      <c r="FI41" s="87">
        <f t="shared" si="31"/>
        <v>0</v>
      </c>
      <c r="FJ41" s="87">
        <f t="shared" si="32"/>
        <v>0</v>
      </c>
      <c r="FK41" s="87">
        <f t="shared" si="33"/>
        <v>0</v>
      </c>
      <c r="FL41" s="87">
        <f t="shared" si="34"/>
        <v>0</v>
      </c>
      <c r="FM41" s="87">
        <f t="shared" si="35"/>
        <v>0</v>
      </c>
      <c r="FN41" s="87">
        <f t="shared" si="36"/>
        <v>0</v>
      </c>
      <c r="FO41" s="87">
        <f t="shared" si="37"/>
        <v>0</v>
      </c>
      <c r="FP41" s="87">
        <f t="shared" si="38"/>
        <v>0</v>
      </c>
      <c r="FQ41" s="87">
        <f t="shared" si="39"/>
        <v>0</v>
      </c>
      <c r="FR41" s="87">
        <f t="shared" si="40"/>
        <v>0</v>
      </c>
      <c r="FS41" s="87">
        <f t="shared" si="41"/>
        <v>0</v>
      </c>
      <c r="FT41" s="87">
        <f t="shared" si="42"/>
        <v>0</v>
      </c>
      <c r="FU41" s="87">
        <f t="shared" si="43"/>
        <v>0</v>
      </c>
      <c r="FV41" s="87">
        <f t="shared" si="44"/>
        <v>0</v>
      </c>
      <c r="FW41" s="87">
        <f t="shared" si="45"/>
        <v>0</v>
      </c>
      <c r="FX41" s="87">
        <f t="shared" si="46"/>
        <v>0</v>
      </c>
      <c r="FY41" s="87">
        <f t="shared" si="47"/>
        <v>0</v>
      </c>
      <c r="FZ41" s="87">
        <f t="shared" si="48"/>
        <v>0</v>
      </c>
      <c r="GA41" s="87">
        <f t="shared" si="49"/>
        <v>0</v>
      </c>
      <c r="GB41" s="87">
        <f t="shared" si="50"/>
        <v>0</v>
      </c>
      <c r="GC41" s="87">
        <f t="shared" si="51"/>
        <v>0</v>
      </c>
      <c r="GD41" s="87">
        <f t="shared" si="52"/>
        <v>0</v>
      </c>
    </row>
    <row r="42" spans="11:186" ht="16.5" x14ac:dyDescent="0.2">
      <c r="K42" s="86">
        <v>38</v>
      </c>
      <c r="L42" s="86">
        <v>7</v>
      </c>
      <c r="M42" s="86">
        <v>4</v>
      </c>
      <c r="N42" s="86" t="str">
        <f t="shared" si="3"/>
        <v>神器7-4</v>
      </c>
      <c r="O42" s="86">
        <v>3</v>
      </c>
      <c r="P42" s="14">
        <f t="shared" si="4"/>
        <v>350</v>
      </c>
      <c r="Q42" s="88">
        <v>0.12</v>
      </c>
      <c r="R42" s="14">
        <v>1</v>
      </c>
      <c r="S42" s="14">
        <v>1</v>
      </c>
      <c r="T42" s="88">
        <v>0.12</v>
      </c>
      <c r="U42" s="14">
        <v>1</v>
      </c>
      <c r="V42" s="14">
        <v>2</v>
      </c>
      <c r="W42" s="88">
        <v>0.12</v>
      </c>
      <c r="X42" s="14">
        <v>1</v>
      </c>
      <c r="Y42" s="14">
        <v>3</v>
      </c>
      <c r="AO42" s="48">
        <v>4</v>
      </c>
      <c r="AP42" s="86">
        <v>16</v>
      </c>
      <c r="AQ42" s="86">
        <v>3</v>
      </c>
      <c r="AR42" s="48">
        <v>1</v>
      </c>
      <c r="AS42" s="86" t="s">
        <v>322</v>
      </c>
      <c r="AT42" s="21">
        <f t="shared" si="61"/>
        <v>3.7499999999999999E-2</v>
      </c>
      <c r="AU42" s="86">
        <f t="shared" si="5"/>
        <v>1</v>
      </c>
      <c r="AV42" s="86">
        <f t="shared" si="6"/>
        <v>3</v>
      </c>
      <c r="AW42" s="87">
        <f t="shared" si="7"/>
        <v>7.4999999999999997E-2</v>
      </c>
      <c r="AX42" s="86">
        <f t="shared" si="8"/>
        <v>1.875</v>
      </c>
      <c r="BA42" s="86">
        <v>38</v>
      </c>
      <c r="BB42" s="14" t="e">
        <f>INDEX(节奏总表!#REF!,神器!BA42)</f>
        <v>#REF!</v>
      </c>
      <c r="BC42" s="14" t="e">
        <f t="shared" si="9"/>
        <v>#REF!</v>
      </c>
      <c r="BD42" s="14">
        <v>5</v>
      </c>
      <c r="BE42" s="14">
        <v>3</v>
      </c>
      <c r="BF42" s="14">
        <f t="shared" si="60"/>
        <v>0</v>
      </c>
      <c r="BG42" s="14">
        <f t="shared" si="64"/>
        <v>0</v>
      </c>
      <c r="BH42" s="14">
        <f t="shared" si="64"/>
        <v>0</v>
      </c>
      <c r="BI42" s="14">
        <f t="shared" si="64"/>
        <v>0</v>
      </c>
      <c r="BJ42" s="14">
        <f t="shared" si="64"/>
        <v>0</v>
      </c>
      <c r="BK42" s="14">
        <f t="shared" si="64"/>
        <v>0</v>
      </c>
      <c r="BL42" s="14">
        <f t="shared" si="64"/>
        <v>0</v>
      </c>
      <c r="BM42" s="14">
        <f t="shared" si="64"/>
        <v>0</v>
      </c>
      <c r="BN42" s="14">
        <f t="shared" si="64"/>
        <v>0</v>
      </c>
      <c r="BO42" s="14">
        <f t="shared" si="64"/>
        <v>0</v>
      </c>
      <c r="BP42" s="14">
        <f t="shared" si="64"/>
        <v>0</v>
      </c>
      <c r="BQ42" s="14">
        <f t="shared" si="64"/>
        <v>0</v>
      </c>
      <c r="BR42" s="14">
        <f t="shared" si="64"/>
        <v>0</v>
      </c>
      <c r="BS42" s="14">
        <f t="shared" si="64"/>
        <v>0</v>
      </c>
      <c r="BT42" s="14">
        <f t="shared" si="64"/>
        <v>0</v>
      </c>
      <c r="BU42" s="14">
        <f t="shared" si="64"/>
        <v>0</v>
      </c>
      <c r="BV42" s="14">
        <f t="shared" si="64"/>
        <v>0</v>
      </c>
      <c r="BW42" s="14">
        <f t="shared" si="64"/>
        <v>0</v>
      </c>
      <c r="BX42" s="14">
        <f t="shared" si="64"/>
        <v>0</v>
      </c>
      <c r="BY42" s="14">
        <f t="shared" si="64"/>
        <v>0</v>
      </c>
      <c r="BZ42" s="14">
        <f t="shared" si="64"/>
        <v>0</v>
      </c>
      <c r="CA42" s="14">
        <f t="shared" si="64"/>
        <v>0</v>
      </c>
      <c r="CB42" s="14">
        <f t="shared" si="64"/>
        <v>0</v>
      </c>
      <c r="CC42" s="14">
        <f t="shared" si="64"/>
        <v>0</v>
      </c>
      <c r="CD42" s="14">
        <f t="shared" si="64"/>
        <v>0</v>
      </c>
      <c r="CE42" s="14">
        <f t="shared" si="64"/>
        <v>0</v>
      </c>
      <c r="CF42" s="14">
        <f t="shared" si="64"/>
        <v>0</v>
      </c>
      <c r="CG42" s="14">
        <f t="shared" si="64"/>
        <v>0</v>
      </c>
      <c r="CH42" s="14">
        <f t="shared" si="64"/>
        <v>0</v>
      </c>
      <c r="CI42" s="14">
        <f t="shared" si="64"/>
        <v>0</v>
      </c>
      <c r="CJ42" s="14">
        <f t="shared" si="64"/>
        <v>0</v>
      </c>
      <c r="CK42" s="14">
        <f t="shared" si="64"/>
        <v>0</v>
      </c>
      <c r="CL42" s="14">
        <f t="shared" si="64"/>
        <v>0</v>
      </c>
      <c r="CM42" s="14">
        <f t="shared" si="64"/>
        <v>0</v>
      </c>
      <c r="CN42" s="14">
        <f t="shared" si="64"/>
        <v>0</v>
      </c>
      <c r="CO42" s="14">
        <f t="shared" si="64"/>
        <v>0</v>
      </c>
      <c r="CP42" s="14">
        <f t="shared" si="64"/>
        <v>0</v>
      </c>
      <c r="CQ42" s="14">
        <f t="shared" si="64"/>
        <v>0</v>
      </c>
      <c r="CR42" s="14">
        <f t="shared" si="64"/>
        <v>0</v>
      </c>
      <c r="CS42" s="14">
        <f t="shared" si="64"/>
        <v>0</v>
      </c>
      <c r="CT42" s="14">
        <f t="shared" si="64"/>
        <v>0</v>
      </c>
      <c r="CU42" s="14">
        <f t="shared" si="64"/>
        <v>0</v>
      </c>
      <c r="CW42" s="14">
        <f>SUM(BF$5:BF42)</f>
        <v>0</v>
      </c>
      <c r="CX42" s="14">
        <f>SUM(BG$5:BG42)</f>
        <v>0</v>
      </c>
      <c r="CY42" s="14">
        <f>SUM(BH$5:BH42)</f>
        <v>0</v>
      </c>
      <c r="CZ42" s="14">
        <f>SUM(BI$5:BI42)</f>
        <v>0</v>
      </c>
      <c r="DA42" s="14">
        <f>SUM(BJ$5:BJ42)</f>
        <v>0</v>
      </c>
      <c r="DB42" s="14">
        <f>SUM(BK$5:BK42)</f>
        <v>0</v>
      </c>
      <c r="DC42" s="14">
        <f>SUM(BL$5:BL42)</f>
        <v>0</v>
      </c>
      <c r="DD42" s="14">
        <f>SUM(BM$5:BM42)</f>
        <v>0</v>
      </c>
      <c r="DE42" s="14">
        <f>SUM(BN$5:BN42)</f>
        <v>0</v>
      </c>
      <c r="DF42" s="14">
        <f>SUM(BO$5:BO42)</f>
        <v>0</v>
      </c>
      <c r="DG42" s="14">
        <f>SUM(BP$5:BP42)</f>
        <v>0</v>
      </c>
      <c r="DH42" s="14">
        <f>SUM(BQ$5:BQ42)</f>
        <v>0</v>
      </c>
      <c r="DI42" s="14">
        <f>SUM(BR$5:BR42)</f>
        <v>0</v>
      </c>
      <c r="DJ42" s="14">
        <f>SUM(BS$5:BS42)</f>
        <v>0</v>
      </c>
      <c r="DK42" s="14">
        <f>SUM(BT$5:BT42)</f>
        <v>0</v>
      </c>
      <c r="DL42" s="14">
        <f>SUM(BU$5:BU42)</f>
        <v>0</v>
      </c>
      <c r="DM42" s="14">
        <f>SUM(BV$5:BV42)</f>
        <v>0</v>
      </c>
      <c r="DN42" s="14">
        <f>SUM(BW$5:BW42)</f>
        <v>0</v>
      </c>
      <c r="DO42" s="14">
        <f>SUM(BX$5:BX42)</f>
        <v>0</v>
      </c>
      <c r="DP42" s="14">
        <f>SUM(BY$5:BY42)</f>
        <v>0</v>
      </c>
      <c r="DQ42" s="14">
        <f>SUM(BZ$5:BZ42)</f>
        <v>0</v>
      </c>
      <c r="DR42" s="14">
        <f>SUM(CA$5:CA42)</f>
        <v>0</v>
      </c>
      <c r="DS42" s="14">
        <f>SUM(CB$5:CB42)</f>
        <v>0</v>
      </c>
      <c r="DT42" s="14">
        <f>SUM(CC$5:CC42)</f>
        <v>0</v>
      </c>
      <c r="DU42" s="14">
        <f>SUM(CD$5:CD42)</f>
        <v>0</v>
      </c>
      <c r="DV42" s="14">
        <f>SUM(CE$5:CE42)</f>
        <v>0</v>
      </c>
      <c r="DW42" s="14">
        <f>SUM(CF$5:CF42)</f>
        <v>0</v>
      </c>
      <c r="DX42" s="14">
        <f>SUM(CG$5:CG42)</f>
        <v>0</v>
      </c>
      <c r="DY42" s="14">
        <f>SUM(CH$5:CH42)</f>
        <v>0</v>
      </c>
      <c r="DZ42" s="14">
        <f>SUM(CI$5:CI42)</f>
        <v>0</v>
      </c>
      <c r="EA42" s="14">
        <f>SUM(CJ$5:CJ42)</f>
        <v>0</v>
      </c>
      <c r="EB42" s="14">
        <f>SUM(CK$5:CK42)</f>
        <v>0</v>
      </c>
      <c r="EC42" s="14">
        <f>SUM(CL$5:CL42)</f>
        <v>0</v>
      </c>
      <c r="ED42" s="14">
        <f>SUM(CM$5:CM42)</f>
        <v>0</v>
      </c>
      <c r="EE42" s="14">
        <f>SUM(CN$5:CN42)</f>
        <v>0</v>
      </c>
      <c r="EF42" s="14">
        <f>SUM(CO$5:CO42)</f>
        <v>0</v>
      </c>
      <c r="EG42" s="14">
        <f>SUM(CP$5:CP42)</f>
        <v>0</v>
      </c>
      <c r="EH42" s="14">
        <f>SUM(CQ$5:CQ42)</f>
        <v>0</v>
      </c>
      <c r="EI42" s="14">
        <f>SUM(CR$5:CR42)</f>
        <v>0</v>
      </c>
      <c r="EJ42" s="14">
        <f>SUM(CS$5:CS42)</f>
        <v>0</v>
      </c>
      <c r="EK42" s="14">
        <f>SUM(CT$5:CT42)</f>
        <v>0</v>
      </c>
      <c r="EL42" s="14">
        <f>SUM(CU$5:CU42)</f>
        <v>0</v>
      </c>
      <c r="EO42" s="87">
        <f t="shared" si="11"/>
        <v>0</v>
      </c>
      <c r="EP42" s="87">
        <f t="shared" si="12"/>
        <v>0</v>
      </c>
      <c r="EQ42" s="87">
        <f t="shared" si="13"/>
        <v>0</v>
      </c>
      <c r="ER42" s="87">
        <f t="shared" si="14"/>
        <v>0</v>
      </c>
      <c r="ES42" s="87">
        <f t="shared" si="15"/>
        <v>0</v>
      </c>
      <c r="ET42" s="87">
        <f t="shared" si="16"/>
        <v>0</v>
      </c>
      <c r="EU42" s="87">
        <f t="shared" si="17"/>
        <v>0</v>
      </c>
      <c r="EV42" s="87">
        <f t="shared" si="18"/>
        <v>0</v>
      </c>
      <c r="EW42" s="87">
        <f t="shared" si="19"/>
        <v>0</v>
      </c>
      <c r="EX42" s="87">
        <f t="shared" si="20"/>
        <v>0</v>
      </c>
      <c r="EY42" s="87">
        <f t="shared" si="21"/>
        <v>0</v>
      </c>
      <c r="EZ42" s="87">
        <f t="shared" si="22"/>
        <v>0</v>
      </c>
      <c r="FA42" s="87">
        <f t="shared" si="23"/>
        <v>0</v>
      </c>
      <c r="FB42" s="87">
        <f t="shared" si="24"/>
        <v>0</v>
      </c>
      <c r="FC42" s="87">
        <f t="shared" si="25"/>
        <v>0</v>
      </c>
      <c r="FD42" s="87">
        <f t="shared" si="26"/>
        <v>0</v>
      </c>
      <c r="FE42" s="87">
        <f t="shared" si="27"/>
        <v>0</v>
      </c>
      <c r="FF42" s="87">
        <f t="shared" si="28"/>
        <v>0</v>
      </c>
      <c r="FG42" s="87">
        <f t="shared" si="29"/>
        <v>0</v>
      </c>
      <c r="FH42" s="87">
        <f t="shared" si="30"/>
        <v>0</v>
      </c>
      <c r="FI42" s="87">
        <f t="shared" si="31"/>
        <v>0</v>
      </c>
      <c r="FJ42" s="87">
        <f t="shared" si="32"/>
        <v>0</v>
      </c>
      <c r="FK42" s="87">
        <f t="shared" si="33"/>
        <v>0</v>
      </c>
      <c r="FL42" s="87">
        <f t="shared" si="34"/>
        <v>0</v>
      </c>
      <c r="FM42" s="87">
        <f t="shared" si="35"/>
        <v>0</v>
      </c>
      <c r="FN42" s="87">
        <f t="shared" si="36"/>
        <v>0</v>
      </c>
      <c r="FO42" s="87">
        <f t="shared" si="37"/>
        <v>0</v>
      </c>
      <c r="FP42" s="87">
        <f t="shared" si="38"/>
        <v>0</v>
      </c>
      <c r="FQ42" s="87">
        <f t="shared" si="39"/>
        <v>0</v>
      </c>
      <c r="FR42" s="87">
        <f t="shared" si="40"/>
        <v>0</v>
      </c>
      <c r="FS42" s="87">
        <f t="shared" si="41"/>
        <v>0</v>
      </c>
      <c r="FT42" s="87">
        <f t="shared" si="42"/>
        <v>0</v>
      </c>
      <c r="FU42" s="87">
        <f t="shared" si="43"/>
        <v>0</v>
      </c>
      <c r="FV42" s="87">
        <f t="shared" si="44"/>
        <v>0</v>
      </c>
      <c r="FW42" s="87">
        <f t="shared" si="45"/>
        <v>0</v>
      </c>
      <c r="FX42" s="87">
        <f t="shared" si="46"/>
        <v>0</v>
      </c>
      <c r="FY42" s="87">
        <f t="shared" si="47"/>
        <v>0</v>
      </c>
      <c r="FZ42" s="87">
        <f t="shared" si="48"/>
        <v>0</v>
      </c>
      <c r="GA42" s="87">
        <f t="shared" si="49"/>
        <v>0</v>
      </c>
      <c r="GB42" s="87">
        <f t="shared" si="50"/>
        <v>0</v>
      </c>
      <c r="GC42" s="87">
        <f t="shared" si="51"/>
        <v>0</v>
      </c>
      <c r="GD42" s="87">
        <f t="shared" si="52"/>
        <v>0</v>
      </c>
    </row>
    <row r="43" spans="11:186" ht="16.5" x14ac:dyDescent="0.2">
      <c r="K43" s="86">
        <v>39</v>
      </c>
      <c r="L43" s="86">
        <v>7</v>
      </c>
      <c r="M43" s="86">
        <v>5</v>
      </c>
      <c r="N43" s="86" t="str">
        <f t="shared" si="3"/>
        <v>神器7-5</v>
      </c>
      <c r="O43" s="86">
        <v>3</v>
      </c>
      <c r="P43" s="14">
        <f t="shared" si="4"/>
        <v>350</v>
      </c>
      <c r="Q43" s="88">
        <v>0.12</v>
      </c>
      <c r="R43" s="14">
        <v>1</v>
      </c>
      <c r="S43" s="14">
        <v>1</v>
      </c>
      <c r="T43" s="88">
        <v>0.12</v>
      </c>
      <c r="U43" s="14">
        <v>1</v>
      </c>
      <c r="V43" s="14">
        <v>2</v>
      </c>
      <c r="W43" s="88">
        <v>0.12</v>
      </c>
      <c r="X43" s="14">
        <v>1</v>
      </c>
      <c r="Y43" s="14">
        <v>3</v>
      </c>
      <c r="AO43" s="48">
        <v>4</v>
      </c>
      <c r="AP43" s="86">
        <v>17</v>
      </c>
      <c r="AQ43" s="86">
        <v>3</v>
      </c>
      <c r="AR43" s="48">
        <v>1</v>
      </c>
      <c r="AS43" s="86" t="s">
        <v>323</v>
      </c>
      <c r="AT43" s="21">
        <f t="shared" si="61"/>
        <v>2.4E-2</v>
      </c>
      <c r="AU43" s="86">
        <f t="shared" si="5"/>
        <v>1</v>
      </c>
      <c r="AV43" s="86">
        <f t="shared" si="6"/>
        <v>2</v>
      </c>
      <c r="AW43" s="87">
        <f t="shared" si="7"/>
        <v>3.6000000000000004E-2</v>
      </c>
      <c r="AX43" s="86">
        <f t="shared" si="8"/>
        <v>2.7</v>
      </c>
      <c r="BA43" s="86">
        <v>39</v>
      </c>
      <c r="BB43" s="14" t="e">
        <f>INDEX(节奏总表!#REF!,神器!BA43)</f>
        <v>#REF!</v>
      </c>
      <c r="BC43" s="14" t="e">
        <f t="shared" si="9"/>
        <v>#REF!</v>
      </c>
      <c r="BD43" s="14">
        <v>5</v>
      </c>
      <c r="BE43" s="14">
        <v>3</v>
      </c>
      <c r="BF43" s="14">
        <f t="shared" si="60"/>
        <v>0</v>
      </c>
      <c r="BG43" s="14">
        <f t="shared" si="64"/>
        <v>0</v>
      </c>
      <c r="BH43" s="14">
        <f t="shared" si="64"/>
        <v>0</v>
      </c>
      <c r="BI43" s="14">
        <f t="shared" si="64"/>
        <v>0</v>
      </c>
      <c r="BJ43" s="14">
        <f t="shared" si="64"/>
        <v>0</v>
      </c>
      <c r="BK43" s="14">
        <f t="shared" si="64"/>
        <v>0</v>
      </c>
      <c r="BL43" s="14">
        <f t="shared" si="64"/>
        <v>0</v>
      </c>
      <c r="BM43" s="14">
        <f t="shared" si="64"/>
        <v>0</v>
      </c>
      <c r="BN43" s="14">
        <f t="shared" si="64"/>
        <v>0</v>
      </c>
      <c r="BO43" s="14">
        <f t="shared" si="64"/>
        <v>0</v>
      </c>
      <c r="BP43" s="14">
        <f t="shared" si="64"/>
        <v>0</v>
      </c>
      <c r="BQ43" s="14">
        <f t="shared" si="64"/>
        <v>0</v>
      </c>
      <c r="BR43" s="14">
        <f t="shared" si="64"/>
        <v>0</v>
      </c>
      <c r="BS43" s="14">
        <f t="shared" si="64"/>
        <v>0</v>
      </c>
      <c r="BT43" s="14">
        <f t="shared" si="64"/>
        <v>0</v>
      </c>
      <c r="BU43" s="14">
        <f t="shared" si="64"/>
        <v>0</v>
      </c>
      <c r="BV43" s="14">
        <f t="shared" si="64"/>
        <v>0</v>
      </c>
      <c r="BW43" s="14">
        <f t="shared" si="64"/>
        <v>0</v>
      </c>
      <c r="BX43" s="14">
        <f t="shared" si="64"/>
        <v>0</v>
      </c>
      <c r="BY43" s="14">
        <f t="shared" si="64"/>
        <v>0</v>
      </c>
      <c r="BZ43" s="14">
        <f t="shared" si="64"/>
        <v>0</v>
      </c>
      <c r="CA43" s="14">
        <f t="shared" si="64"/>
        <v>0</v>
      </c>
      <c r="CB43" s="14">
        <f t="shared" si="64"/>
        <v>0</v>
      </c>
      <c r="CC43" s="14">
        <f t="shared" si="64"/>
        <v>0</v>
      </c>
      <c r="CD43" s="14">
        <f t="shared" si="64"/>
        <v>0</v>
      </c>
      <c r="CE43" s="14">
        <f t="shared" si="64"/>
        <v>0</v>
      </c>
      <c r="CF43" s="14">
        <f t="shared" si="64"/>
        <v>0</v>
      </c>
      <c r="CG43" s="14">
        <f t="shared" si="64"/>
        <v>0</v>
      </c>
      <c r="CH43" s="14">
        <f t="shared" si="64"/>
        <v>0</v>
      </c>
      <c r="CI43" s="14">
        <f t="shared" si="64"/>
        <v>0</v>
      </c>
      <c r="CJ43" s="14">
        <f t="shared" si="64"/>
        <v>0</v>
      </c>
      <c r="CK43" s="14">
        <f t="shared" si="64"/>
        <v>0</v>
      </c>
      <c r="CL43" s="14">
        <f t="shared" si="64"/>
        <v>0</v>
      </c>
      <c r="CM43" s="14">
        <f t="shared" si="64"/>
        <v>0</v>
      </c>
      <c r="CN43" s="14">
        <f t="shared" si="64"/>
        <v>0</v>
      </c>
      <c r="CO43" s="14">
        <f t="shared" si="64"/>
        <v>0</v>
      </c>
      <c r="CP43" s="14">
        <f t="shared" si="64"/>
        <v>0</v>
      </c>
      <c r="CQ43" s="14">
        <f t="shared" si="64"/>
        <v>0</v>
      </c>
      <c r="CR43" s="14">
        <f t="shared" si="64"/>
        <v>0</v>
      </c>
      <c r="CS43" s="14">
        <f t="shared" si="64"/>
        <v>0</v>
      </c>
      <c r="CT43" s="14">
        <f t="shared" si="64"/>
        <v>0</v>
      </c>
      <c r="CU43" s="14">
        <f t="shared" si="64"/>
        <v>0</v>
      </c>
      <c r="CW43" s="14">
        <f>SUM(BF$5:BF43)</f>
        <v>0</v>
      </c>
      <c r="CX43" s="14">
        <f>SUM(BG$5:BG43)</f>
        <v>0</v>
      </c>
      <c r="CY43" s="14">
        <f>SUM(BH$5:BH43)</f>
        <v>0</v>
      </c>
      <c r="CZ43" s="14">
        <f>SUM(BI$5:BI43)</f>
        <v>0</v>
      </c>
      <c r="DA43" s="14">
        <f>SUM(BJ$5:BJ43)</f>
        <v>0</v>
      </c>
      <c r="DB43" s="14">
        <f>SUM(BK$5:BK43)</f>
        <v>0</v>
      </c>
      <c r="DC43" s="14">
        <f>SUM(BL$5:BL43)</f>
        <v>0</v>
      </c>
      <c r="DD43" s="14">
        <f>SUM(BM$5:BM43)</f>
        <v>0</v>
      </c>
      <c r="DE43" s="14">
        <f>SUM(BN$5:BN43)</f>
        <v>0</v>
      </c>
      <c r="DF43" s="14">
        <f>SUM(BO$5:BO43)</f>
        <v>0</v>
      </c>
      <c r="DG43" s="14">
        <f>SUM(BP$5:BP43)</f>
        <v>0</v>
      </c>
      <c r="DH43" s="14">
        <f>SUM(BQ$5:BQ43)</f>
        <v>0</v>
      </c>
      <c r="DI43" s="14">
        <f>SUM(BR$5:BR43)</f>
        <v>0</v>
      </c>
      <c r="DJ43" s="14">
        <f>SUM(BS$5:BS43)</f>
        <v>0</v>
      </c>
      <c r="DK43" s="14">
        <f>SUM(BT$5:BT43)</f>
        <v>0</v>
      </c>
      <c r="DL43" s="14">
        <f>SUM(BU$5:BU43)</f>
        <v>0</v>
      </c>
      <c r="DM43" s="14">
        <f>SUM(BV$5:BV43)</f>
        <v>0</v>
      </c>
      <c r="DN43" s="14">
        <f>SUM(BW$5:BW43)</f>
        <v>0</v>
      </c>
      <c r="DO43" s="14">
        <f>SUM(BX$5:BX43)</f>
        <v>0</v>
      </c>
      <c r="DP43" s="14">
        <f>SUM(BY$5:BY43)</f>
        <v>0</v>
      </c>
      <c r="DQ43" s="14">
        <f>SUM(BZ$5:BZ43)</f>
        <v>0</v>
      </c>
      <c r="DR43" s="14">
        <f>SUM(CA$5:CA43)</f>
        <v>0</v>
      </c>
      <c r="DS43" s="14">
        <f>SUM(CB$5:CB43)</f>
        <v>0</v>
      </c>
      <c r="DT43" s="14">
        <f>SUM(CC$5:CC43)</f>
        <v>0</v>
      </c>
      <c r="DU43" s="14">
        <f>SUM(CD$5:CD43)</f>
        <v>0</v>
      </c>
      <c r="DV43" s="14">
        <f>SUM(CE$5:CE43)</f>
        <v>0</v>
      </c>
      <c r="DW43" s="14">
        <f>SUM(CF$5:CF43)</f>
        <v>0</v>
      </c>
      <c r="DX43" s="14">
        <f>SUM(CG$5:CG43)</f>
        <v>0</v>
      </c>
      <c r="DY43" s="14">
        <f>SUM(CH$5:CH43)</f>
        <v>0</v>
      </c>
      <c r="DZ43" s="14">
        <f>SUM(CI$5:CI43)</f>
        <v>0</v>
      </c>
      <c r="EA43" s="14">
        <f>SUM(CJ$5:CJ43)</f>
        <v>0</v>
      </c>
      <c r="EB43" s="14">
        <f>SUM(CK$5:CK43)</f>
        <v>0</v>
      </c>
      <c r="EC43" s="14">
        <f>SUM(CL$5:CL43)</f>
        <v>0</v>
      </c>
      <c r="ED43" s="14">
        <f>SUM(CM$5:CM43)</f>
        <v>0</v>
      </c>
      <c r="EE43" s="14">
        <f>SUM(CN$5:CN43)</f>
        <v>0</v>
      </c>
      <c r="EF43" s="14">
        <f>SUM(CO$5:CO43)</f>
        <v>0</v>
      </c>
      <c r="EG43" s="14">
        <f>SUM(CP$5:CP43)</f>
        <v>0</v>
      </c>
      <c r="EH43" s="14">
        <f>SUM(CQ$5:CQ43)</f>
        <v>0</v>
      </c>
      <c r="EI43" s="14">
        <f>SUM(CR$5:CR43)</f>
        <v>0</v>
      </c>
      <c r="EJ43" s="14">
        <f>SUM(CS$5:CS43)</f>
        <v>0</v>
      </c>
      <c r="EK43" s="14">
        <f>SUM(CT$5:CT43)</f>
        <v>0</v>
      </c>
      <c r="EL43" s="14">
        <f>SUM(CU$5:CU43)</f>
        <v>0</v>
      </c>
      <c r="EO43" s="87">
        <f t="shared" si="11"/>
        <v>0</v>
      </c>
      <c r="EP43" s="87">
        <f t="shared" si="12"/>
        <v>0</v>
      </c>
      <c r="EQ43" s="87">
        <f t="shared" si="13"/>
        <v>0</v>
      </c>
      <c r="ER43" s="87">
        <f t="shared" si="14"/>
        <v>0</v>
      </c>
      <c r="ES43" s="87">
        <f t="shared" si="15"/>
        <v>0</v>
      </c>
      <c r="ET43" s="87">
        <f t="shared" si="16"/>
        <v>0</v>
      </c>
      <c r="EU43" s="87">
        <f t="shared" si="17"/>
        <v>0</v>
      </c>
      <c r="EV43" s="87">
        <f t="shared" si="18"/>
        <v>0</v>
      </c>
      <c r="EW43" s="87">
        <f t="shared" si="19"/>
        <v>0</v>
      </c>
      <c r="EX43" s="87">
        <f t="shared" si="20"/>
        <v>0</v>
      </c>
      <c r="EY43" s="87">
        <f t="shared" si="21"/>
        <v>0</v>
      </c>
      <c r="EZ43" s="87">
        <f t="shared" si="22"/>
        <v>0</v>
      </c>
      <c r="FA43" s="87">
        <f t="shared" si="23"/>
        <v>0</v>
      </c>
      <c r="FB43" s="87">
        <f t="shared" si="24"/>
        <v>0</v>
      </c>
      <c r="FC43" s="87">
        <f t="shared" si="25"/>
        <v>0</v>
      </c>
      <c r="FD43" s="87">
        <f t="shared" si="26"/>
        <v>0</v>
      </c>
      <c r="FE43" s="87">
        <f t="shared" si="27"/>
        <v>0</v>
      </c>
      <c r="FF43" s="87">
        <f t="shared" si="28"/>
        <v>0</v>
      </c>
      <c r="FG43" s="87">
        <f t="shared" si="29"/>
        <v>0</v>
      </c>
      <c r="FH43" s="87">
        <f t="shared" si="30"/>
        <v>0</v>
      </c>
      <c r="FI43" s="87">
        <f t="shared" si="31"/>
        <v>0</v>
      </c>
      <c r="FJ43" s="87">
        <f t="shared" si="32"/>
        <v>0</v>
      </c>
      <c r="FK43" s="87">
        <f t="shared" si="33"/>
        <v>0</v>
      </c>
      <c r="FL43" s="87">
        <f t="shared" si="34"/>
        <v>0</v>
      </c>
      <c r="FM43" s="87">
        <f t="shared" si="35"/>
        <v>0</v>
      </c>
      <c r="FN43" s="87">
        <f t="shared" si="36"/>
        <v>0</v>
      </c>
      <c r="FO43" s="87">
        <f t="shared" si="37"/>
        <v>0</v>
      </c>
      <c r="FP43" s="87">
        <f t="shared" si="38"/>
        <v>0</v>
      </c>
      <c r="FQ43" s="87">
        <f t="shared" si="39"/>
        <v>0</v>
      </c>
      <c r="FR43" s="87">
        <f t="shared" si="40"/>
        <v>0</v>
      </c>
      <c r="FS43" s="87">
        <f t="shared" si="41"/>
        <v>0</v>
      </c>
      <c r="FT43" s="87">
        <f t="shared" si="42"/>
        <v>0</v>
      </c>
      <c r="FU43" s="87">
        <f t="shared" si="43"/>
        <v>0</v>
      </c>
      <c r="FV43" s="87">
        <f t="shared" si="44"/>
        <v>0</v>
      </c>
      <c r="FW43" s="87">
        <f t="shared" si="45"/>
        <v>0</v>
      </c>
      <c r="FX43" s="87">
        <f t="shared" si="46"/>
        <v>0</v>
      </c>
      <c r="FY43" s="87">
        <f t="shared" si="47"/>
        <v>0</v>
      </c>
      <c r="FZ43" s="87">
        <f t="shared" si="48"/>
        <v>0</v>
      </c>
      <c r="GA43" s="87">
        <f t="shared" si="49"/>
        <v>0</v>
      </c>
      <c r="GB43" s="87">
        <f t="shared" si="50"/>
        <v>0</v>
      </c>
      <c r="GC43" s="87">
        <f t="shared" si="51"/>
        <v>0</v>
      </c>
      <c r="GD43" s="87">
        <f t="shared" si="52"/>
        <v>0</v>
      </c>
    </row>
    <row r="44" spans="11:186" ht="16.5" x14ac:dyDescent="0.2">
      <c r="K44" s="86">
        <v>40</v>
      </c>
      <c r="L44" s="86">
        <v>7</v>
      </c>
      <c r="M44" s="86">
        <v>6</v>
      </c>
      <c r="N44" s="86" t="str">
        <f t="shared" si="3"/>
        <v>神器7-6</v>
      </c>
      <c r="O44" s="86">
        <v>3</v>
      </c>
      <c r="P44" s="14">
        <f t="shared" si="4"/>
        <v>350</v>
      </c>
      <c r="Q44" s="88">
        <v>0.12</v>
      </c>
      <c r="R44" s="14">
        <v>1</v>
      </c>
      <c r="S44" s="14">
        <v>1</v>
      </c>
      <c r="T44" s="88">
        <v>0.12</v>
      </c>
      <c r="U44" s="14">
        <v>1</v>
      </c>
      <c r="V44" s="14">
        <v>2</v>
      </c>
      <c r="W44" s="88">
        <v>0.12</v>
      </c>
      <c r="X44" s="14">
        <v>1</v>
      </c>
      <c r="Y44" s="14">
        <v>3</v>
      </c>
      <c r="AO44" s="48">
        <v>4</v>
      </c>
      <c r="AP44" s="86">
        <v>18</v>
      </c>
      <c r="AQ44" s="86">
        <v>3</v>
      </c>
      <c r="AR44" s="48">
        <v>1</v>
      </c>
      <c r="AS44" s="86" t="s">
        <v>324</v>
      </c>
      <c r="AT44" s="21">
        <f t="shared" si="61"/>
        <v>2.4E-2</v>
      </c>
      <c r="AU44" s="86">
        <f t="shared" si="5"/>
        <v>1</v>
      </c>
      <c r="AV44" s="86">
        <f t="shared" si="6"/>
        <v>2</v>
      </c>
      <c r="AW44" s="87">
        <f t="shared" si="7"/>
        <v>3.6000000000000004E-2</v>
      </c>
      <c r="AX44" s="86">
        <f t="shared" si="8"/>
        <v>2.7</v>
      </c>
      <c r="BA44" s="86">
        <v>40</v>
      </c>
      <c r="BB44" s="14" t="e">
        <f>INDEX(节奏总表!#REF!,神器!BA44)</f>
        <v>#REF!</v>
      </c>
      <c r="BC44" s="14" t="e">
        <f t="shared" si="9"/>
        <v>#REF!</v>
      </c>
      <c r="BD44" s="14">
        <v>5</v>
      </c>
      <c r="BE44" s="14">
        <v>3</v>
      </c>
      <c r="BF44" s="14">
        <f t="shared" si="60"/>
        <v>0</v>
      </c>
      <c r="BG44" s="14">
        <f t="shared" si="64"/>
        <v>0</v>
      </c>
      <c r="BH44" s="14">
        <f t="shared" si="64"/>
        <v>0</v>
      </c>
      <c r="BI44" s="14">
        <f t="shared" si="64"/>
        <v>0</v>
      </c>
      <c r="BJ44" s="14">
        <f t="shared" si="64"/>
        <v>0</v>
      </c>
      <c r="BK44" s="14">
        <f t="shared" si="64"/>
        <v>0</v>
      </c>
      <c r="BL44" s="14">
        <f t="shared" si="64"/>
        <v>0</v>
      </c>
      <c r="BM44" s="14">
        <f t="shared" si="64"/>
        <v>0</v>
      </c>
      <c r="BN44" s="14">
        <f t="shared" si="64"/>
        <v>0</v>
      </c>
      <c r="BO44" s="14">
        <f t="shared" si="64"/>
        <v>0</v>
      </c>
      <c r="BP44" s="14">
        <f t="shared" si="64"/>
        <v>0</v>
      </c>
      <c r="BQ44" s="14">
        <f t="shared" si="64"/>
        <v>0</v>
      </c>
      <c r="BR44" s="14">
        <f t="shared" si="64"/>
        <v>0</v>
      </c>
      <c r="BS44" s="14">
        <f t="shared" si="64"/>
        <v>0</v>
      </c>
      <c r="BT44" s="14">
        <f t="shared" si="64"/>
        <v>0</v>
      </c>
      <c r="BU44" s="14">
        <f t="shared" si="64"/>
        <v>0</v>
      </c>
      <c r="BV44" s="14">
        <f t="shared" si="64"/>
        <v>0</v>
      </c>
      <c r="BW44" s="14">
        <f t="shared" si="64"/>
        <v>0</v>
      </c>
      <c r="BX44" s="14">
        <f t="shared" si="64"/>
        <v>0</v>
      </c>
      <c r="BY44" s="14">
        <f t="shared" si="64"/>
        <v>0</v>
      </c>
      <c r="BZ44" s="14">
        <f t="shared" si="64"/>
        <v>0</v>
      </c>
      <c r="CA44" s="14">
        <f t="shared" si="64"/>
        <v>0</v>
      </c>
      <c r="CB44" s="14">
        <f t="shared" si="64"/>
        <v>0</v>
      </c>
      <c r="CC44" s="14">
        <f t="shared" si="64"/>
        <v>0</v>
      </c>
      <c r="CD44" s="14">
        <f t="shared" si="64"/>
        <v>0</v>
      </c>
      <c r="CE44" s="14">
        <f t="shared" si="64"/>
        <v>0</v>
      </c>
      <c r="CF44" s="14">
        <f t="shared" si="64"/>
        <v>0</v>
      </c>
      <c r="CG44" s="14">
        <f t="shared" si="64"/>
        <v>0</v>
      </c>
      <c r="CH44" s="14">
        <f t="shared" si="64"/>
        <v>0</v>
      </c>
      <c r="CI44" s="14">
        <f t="shared" si="64"/>
        <v>0</v>
      </c>
      <c r="CJ44" s="14">
        <f t="shared" si="64"/>
        <v>0</v>
      </c>
      <c r="CK44" s="14">
        <f t="shared" si="64"/>
        <v>0</v>
      </c>
      <c r="CL44" s="14">
        <f t="shared" si="64"/>
        <v>0</v>
      </c>
      <c r="CM44" s="14">
        <f t="shared" si="64"/>
        <v>0</v>
      </c>
      <c r="CN44" s="14">
        <f t="shared" si="64"/>
        <v>0</v>
      </c>
      <c r="CO44" s="14">
        <f t="shared" si="64"/>
        <v>0</v>
      </c>
      <c r="CP44" s="14">
        <f t="shared" si="64"/>
        <v>0</v>
      </c>
      <c r="CQ44" s="14">
        <f t="shared" si="64"/>
        <v>0</v>
      </c>
      <c r="CR44" s="14">
        <f t="shared" si="64"/>
        <v>0</v>
      </c>
      <c r="CS44" s="14">
        <f t="shared" si="64"/>
        <v>0</v>
      </c>
      <c r="CT44" s="14">
        <f t="shared" si="64"/>
        <v>0</v>
      </c>
      <c r="CU44" s="14">
        <f t="shared" si="64"/>
        <v>0</v>
      </c>
      <c r="CW44" s="14">
        <f>SUM(BF$5:BF44)</f>
        <v>0</v>
      </c>
      <c r="CX44" s="14">
        <f>SUM(BG$5:BG44)</f>
        <v>0</v>
      </c>
      <c r="CY44" s="14">
        <f>SUM(BH$5:BH44)</f>
        <v>0</v>
      </c>
      <c r="CZ44" s="14">
        <f>SUM(BI$5:BI44)</f>
        <v>0</v>
      </c>
      <c r="DA44" s="14">
        <f>SUM(BJ$5:BJ44)</f>
        <v>0</v>
      </c>
      <c r="DB44" s="14">
        <f>SUM(BK$5:BK44)</f>
        <v>0</v>
      </c>
      <c r="DC44" s="14">
        <f>SUM(BL$5:BL44)</f>
        <v>0</v>
      </c>
      <c r="DD44" s="14">
        <f>SUM(BM$5:BM44)</f>
        <v>0</v>
      </c>
      <c r="DE44" s="14">
        <f>SUM(BN$5:BN44)</f>
        <v>0</v>
      </c>
      <c r="DF44" s="14">
        <f>SUM(BO$5:BO44)</f>
        <v>0</v>
      </c>
      <c r="DG44" s="14">
        <f>SUM(BP$5:BP44)</f>
        <v>0</v>
      </c>
      <c r="DH44" s="14">
        <f>SUM(BQ$5:BQ44)</f>
        <v>0</v>
      </c>
      <c r="DI44" s="14">
        <f>SUM(BR$5:BR44)</f>
        <v>0</v>
      </c>
      <c r="DJ44" s="14">
        <f>SUM(BS$5:BS44)</f>
        <v>0</v>
      </c>
      <c r="DK44" s="14">
        <f>SUM(BT$5:BT44)</f>
        <v>0</v>
      </c>
      <c r="DL44" s="14">
        <f>SUM(BU$5:BU44)</f>
        <v>0</v>
      </c>
      <c r="DM44" s="14">
        <f>SUM(BV$5:BV44)</f>
        <v>0</v>
      </c>
      <c r="DN44" s="14">
        <f>SUM(BW$5:BW44)</f>
        <v>0</v>
      </c>
      <c r="DO44" s="14">
        <f>SUM(BX$5:BX44)</f>
        <v>0</v>
      </c>
      <c r="DP44" s="14">
        <f>SUM(BY$5:BY44)</f>
        <v>0</v>
      </c>
      <c r="DQ44" s="14">
        <f>SUM(BZ$5:BZ44)</f>
        <v>0</v>
      </c>
      <c r="DR44" s="14">
        <f>SUM(CA$5:CA44)</f>
        <v>0</v>
      </c>
      <c r="DS44" s="14">
        <f>SUM(CB$5:CB44)</f>
        <v>0</v>
      </c>
      <c r="DT44" s="14">
        <f>SUM(CC$5:CC44)</f>
        <v>0</v>
      </c>
      <c r="DU44" s="14">
        <f>SUM(CD$5:CD44)</f>
        <v>0</v>
      </c>
      <c r="DV44" s="14">
        <f>SUM(CE$5:CE44)</f>
        <v>0</v>
      </c>
      <c r="DW44" s="14">
        <f>SUM(CF$5:CF44)</f>
        <v>0</v>
      </c>
      <c r="DX44" s="14">
        <f>SUM(CG$5:CG44)</f>
        <v>0</v>
      </c>
      <c r="DY44" s="14">
        <f>SUM(CH$5:CH44)</f>
        <v>0</v>
      </c>
      <c r="DZ44" s="14">
        <f>SUM(CI$5:CI44)</f>
        <v>0</v>
      </c>
      <c r="EA44" s="14">
        <f>SUM(CJ$5:CJ44)</f>
        <v>0</v>
      </c>
      <c r="EB44" s="14">
        <f>SUM(CK$5:CK44)</f>
        <v>0</v>
      </c>
      <c r="EC44" s="14">
        <f>SUM(CL$5:CL44)</f>
        <v>0</v>
      </c>
      <c r="ED44" s="14">
        <f>SUM(CM$5:CM44)</f>
        <v>0</v>
      </c>
      <c r="EE44" s="14">
        <f>SUM(CN$5:CN44)</f>
        <v>0</v>
      </c>
      <c r="EF44" s="14">
        <f>SUM(CO$5:CO44)</f>
        <v>0</v>
      </c>
      <c r="EG44" s="14">
        <f>SUM(CP$5:CP44)</f>
        <v>0</v>
      </c>
      <c r="EH44" s="14">
        <f>SUM(CQ$5:CQ44)</f>
        <v>0</v>
      </c>
      <c r="EI44" s="14">
        <f>SUM(CR$5:CR44)</f>
        <v>0</v>
      </c>
      <c r="EJ44" s="14">
        <f>SUM(CS$5:CS44)</f>
        <v>0</v>
      </c>
      <c r="EK44" s="14">
        <f>SUM(CT$5:CT44)</f>
        <v>0</v>
      </c>
      <c r="EL44" s="14">
        <f>SUM(CU$5:CU44)</f>
        <v>0</v>
      </c>
      <c r="EO44" s="87">
        <f t="shared" si="11"/>
        <v>0</v>
      </c>
      <c r="EP44" s="87">
        <f t="shared" si="12"/>
        <v>0</v>
      </c>
      <c r="EQ44" s="87">
        <f t="shared" si="13"/>
        <v>0</v>
      </c>
      <c r="ER44" s="87">
        <f t="shared" si="14"/>
        <v>0</v>
      </c>
      <c r="ES44" s="87">
        <f t="shared" si="15"/>
        <v>0</v>
      </c>
      <c r="ET44" s="87">
        <f t="shared" si="16"/>
        <v>0</v>
      </c>
      <c r="EU44" s="87">
        <f t="shared" si="17"/>
        <v>0</v>
      </c>
      <c r="EV44" s="87">
        <f t="shared" si="18"/>
        <v>0</v>
      </c>
      <c r="EW44" s="87">
        <f t="shared" si="19"/>
        <v>0</v>
      </c>
      <c r="EX44" s="87">
        <f t="shared" si="20"/>
        <v>0</v>
      </c>
      <c r="EY44" s="87">
        <f t="shared" si="21"/>
        <v>0</v>
      </c>
      <c r="EZ44" s="87">
        <f t="shared" si="22"/>
        <v>0</v>
      </c>
      <c r="FA44" s="87">
        <f t="shared" si="23"/>
        <v>0</v>
      </c>
      <c r="FB44" s="87">
        <f t="shared" si="24"/>
        <v>0</v>
      </c>
      <c r="FC44" s="87">
        <f t="shared" si="25"/>
        <v>0</v>
      </c>
      <c r="FD44" s="87">
        <f t="shared" si="26"/>
        <v>0</v>
      </c>
      <c r="FE44" s="87">
        <f t="shared" si="27"/>
        <v>0</v>
      </c>
      <c r="FF44" s="87">
        <f t="shared" si="28"/>
        <v>0</v>
      </c>
      <c r="FG44" s="87">
        <f t="shared" si="29"/>
        <v>0</v>
      </c>
      <c r="FH44" s="87">
        <f t="shared" si="30"/>
        <v>0</v>
      </c>
      <c r="FI44" s="87">
        <f t="shared" si="31"/>
        <v>0</v>
      </c>
      <c r="FJ44" s="87">
        <f t="shared" si="32"/>
        <v>0</v>
      </c>
      <c r="FK44" s="87">
        <f t="shared" si="33"/>
        <v>0</v>
      </c>
      <c r="FL44" s="87">
        <f t="shared" si="34"/>
        <v>0</v>
      </c>
      <c r="FM44" s="87">
        <f t="shared" si="35"/>
        <v>0</v>
      </c>
      <c r="FN44" s="87">
        <f t="shared" si="36"/>
        <v>0</v>
      </c>
      <c r="FO44" s="87">
        <f t="shared" si="37"/>
        <v>0</v>
      </c>
      <c r="FP44" s="87">
        <f t="shared" si="38"/>
        <v>0</v>
      </c>
      <c r="FQ44" s="87">
        <f t="shared" si="39"/>
        <v>0</v>
      </c>
      <c r="FR44" s="87">
        <f t="shared" si="40"/>
        <v>0</v>
      </c>
      <c r="FS44" s="87">
        <f t="shared" si="41"/>
        <v>0</v>
      </c>
      <c r="FT44" s="87">
        <f t="shared" si="42"/>
        <v>0</v>
      </c>
      <c r="FU44" s="87">
        <f t="shared" si="43"/>
        <v>0</v>
      </c>
      <c r="FV44" s="87">
        <f t="shared" si="44"/>
        <v>0</v>
      </c>
      <c r="FW44" s="87">
        <f t="shared" si="45"/>
        <v>0</v>
      </c>
      <c r="FX44" s="87">
        <f t="shared" si="46"/>
        <v>0</v>
      </c>
      <c r="FY44" s="87">
        <f t="shared" si="47"/>
        <v>0</v>
      </c>
      <c r="FZ44" s="87">
        <f t="shared" si="48"/>
        <v>0</v>
      </c>
      <c r="GA44" s="87">
        <f t="shared" si="49"/>
        <v>0</v>
      </c>
      <c r="GB44" s="87">
        <f t="shared" si="50"/>
        <v>0</v>
      </c>
      <c r="GC44" s="87">
        <f t="shared" si="51"/>
        <v>0</v>
      </c>
      <c r="GD44" s="87">
        <f t="shared" si="52"/>
        <v>0</v>
      </c>
    </row>
    <row r="45" spans="11:186" ht="16.5" x14ac:dyDescent="0.2">
      <c r="K45" s="86">
        <v>41</v>
      </c>
      <c r="L45" s="86">
        <v>7</v>
      </c>
      <c r="M45" s="86">
        <v>7</v>
      </c>
      <c r="N45" s="86" t="str">
        <f t="shared" si="3"/>
        <v>神器7-7</v>
      </c>
      <c r="O45" s="86">
        <v>4</v>
      </c>
      <c r="P45" s="14">
        <f t="shared" si="4"/>
        <v>750</v>
      </c>
      <c r="Q45" s="88">
        <v>0.05</v>
      </c>
      <c r="R45" s="14">
        <v>1</v>
      </c>
      <c r="S45" s="14">
        <v>1</v>
      </c>
      <c r="T45" s="88">
        <v>0.05</v>
      </c>
      <c r="U45" s="14">
        <v>1</v>
      </c>
      <c r="V45" s="14">
        <v>2</v>
      </c>
      <c r="W45" s="88">
        <v>0.05</v>
      </c>
      <c r="X45" s="14">
        <v>1</v>
      </c>
      <c r="Y45" s="14">
        <v>3</v>
      </c>
      <c r="AO45" s="48">
        <v>4</v>
      </c>
      <c r="AP45" s="86">
        <v>19</v>
      </c>
      <c r="AQ45" s="86">
        <v>3</v>
      </c>
      <c r="AR45" s="48">
        <v>1</v>
      </c>
      <c r="AS45" s="86" t="s">
        <v>325</v>
      </c>
      <c r="AT45" s="21">
        <f t="shared" si="61"/>
        <v>1.7999999999999999E-2</v>
      </c>
      <c r="AU45" s="86">
        <f t="shared" si="5"/>
        <v>1</v>
      </c>
      <c r="AV45" s="86">
        <f t="shared" si="6"/>
        <v>1</v>
      </c>
      <c r="AW45" s="87">
        <f t="shared" si="7"/>
        <v>1.7999999999999999E-2</v>
      </c>
      <c r="AX45" s="86">
        <f t="shared" si="8"/>
        <v>3.15</v>
      </c>
      <c r="BA45" s="86">
        <v>41</v>
      </c>
      <c r="BB45" s="14" t="e">
        <f>INDEX(节奏总表!#REF!,神器!BA45)</f>
        <v>#REF!</v>
      </c>
      <c r="BC45" s="14" t="e">
        <f t="shared" si="9"/>
        <v>#REF!</v>
      </c>
      <c r="BD45" s="14">
        <v>5</v>
      </c>
      <c r="BE45" s="14">
        <v>3</v>
      </c>
      <c r="BF45" s="14">
        <f t="shared" si="60"/>
        <v>0</v>
      </c>
      <c r="BG45" s="14">
        <f t="shared" si="64"/>
        <v>0</v>
      </c>
      <c r="BH45" s="14">
        <f t="shared" si="64"/>
        <v>0</v>
      </c>
      <c r="BI45" s="14">
        <f t="shared" si="64"/>
        <v>0</v>
      </c>
      <c r="BJ45" s="14">
        <f t="shared" si="64"/>
        <v>0</v>
      </c>
      <c r="BK45" s="14">
        <f t="shared" si="64"/>
        <v>0</v>
      </c>
      <c r="BL45" s="14">
        <f t="shared" si="64"/>
        <v>0</v>
      </c>
      <c r="BM45" s="14">
        <f t="shared" si="64"/>
        <v>0</v>
      </c>
      <c r="BN45" s="14">
        <f t="shared" si="64"/>
        <v>0</v>
      </c>
      <c r="BO45" s="14">
        <f t="shared" si="64"/>
        <v>0</v>
      </c>
      <c r="BP45" s="14">
        <f t="shared" si="64"/>
        <v>0</v>
      </c>
      <c r="BQ45" s="14">
        <f t="shared" si="64"/>
        <v>0</v>
      </c>
      <c r="BR45" s="14">
        <f t="shared" si="64"/>
        <v>0</v>
      </c>
      <c r="BS45" s="14">
        <f t="shared" si="64"/>
        <v>0</v>
      </c>
      <c r="BT45" s="14">
        <f t="shared" si="64"/>
        <v>0</v>
      </c>
      <c r="BU45" s="14">
        <f t="shared" si="64"/>
        <v>0</v>
      </c>
      <c r="BV45" s="14">
        <f t="shared" si="64"/>
        <v>0</v>
      </c>
      <c r="BW45" s="14">
        <f t="shared" si="64"/>
        <v>0</v>
      </c>
      <c r="BX45" s="14">
        <f t="shared" si="64"/>
        <v>0</v>
      </c>
      <c r="BY45" s="14">
        <f t="shared" si="64"/>
        <v>0</v>
      </c>
      <c r="BZ45" s="14">
        <f t="shared" si="64"/>
        <v>0</v>
      </c>
      <c r="CA45" s="14">
        <f t="shared" si="64"/>
        <v>0</v>
      </c>
      <c r="CB45" s="14">
        <f t="shared" si="64"/>
        <v>0</v>
      </c>
      <c r="CC45" s="14">
        <f t="shared" si="64"/>
        <v>0</v>
      </c>
      <c r="CD45" s="14">
        <f t="shared" si="64"/>
        <v>0</v>
      </c>
      <c r="CE45" s="14">
        <f t="shared" si="64"/>
        <v>0</v>
      </c>
      <c r="CF45" s="14">
        <f t="shared" si="64"/>
        <v>0</v>
      </c>
      <c r="CG45" s="14">
        <f t="shared" si="64"/>
        <v>0</v>
      </c>
      <c r="CH45" s="14">
        <f t="shared" si="64"/>
        <v>0</v>
      </c>
      <c r="CI45" s="14">
        <f t="shared" si="64"/>
        <v>0</v>
      </c>
      <c r="CJ45" s="14">
        <f t="shared" si="64"/>
        <v>0</v>
      </c>
      <c r="CK45" s="14">
        <f t="shared" si="64"/>
        <v>0</v>
      </c>
      <c r="CL45" s="14">
        <f t="shared" si="64"/>
        <v>0</v>
      </c>
      <c r="CM45" s="14">
        <f t="shared" si="64"/>
        <v>0</v>
      </c>
      <c r="CN45" s="14">
        <f t="shared" si="64"/>
        <v>0</v>
      </c>
      <c r="CO45" s="14">
        <f t="shared" si="64"/>
        <v>0</v>
      </c>
      <c r="CP45" s="14">
        <f t="shared" si="64"/>
        <v>0</v>
      </c>
      <c r="CQ45" s="14">
        <f t="shared" si="64"/>
        <v>0</v>
      </c>
      <c r="CR45" s="14">
        <f t="shared" si="64"/>
        <v>0</v>
      </c>
      <c r="CS45" s="14">
        <f t="shared" si="64"/>
        <v>0</v>
      </c>
      <c r="CT45" s="14">
        <f t="shared" si="64"/>
        <v>0</v>
      </c>
      <c r="CU45" s="14">
        <f t="shared" si="64"/>
        <v>0</v>
      </c>
      <c r="CW45" s="14">
        <f>SUM(BF$5:BF45)</f>
        <v>0</v>
      </c>
      <c r="CX45" s="14">
        <f>SUM(BG$5:BG45)</f>
        <v>0</v>
      </c>
      <c r="CY45" s="14">
        <f>SUM(BH$5:BH45)</f>
        <v>0</v>
      </c>
      <c r="CZ45" s="14">
        <f>SUM(BI$5:BI45)</f>
        <v>0</v>
      </c>
      <c r="DA45" s="14">
        <f>SUM(BJ$5:BJ45)</f>
        <v>0</v>
      </c>
      <c r="DB45" s="14">
        <f>SUM(BK$5:BK45)</f>
        <v>0</v>
      </c>
      <c r="DC45" s="14">
        <f>SUM(BL$5:BL45)</f>
        <v>0</v>
      </c>
      <c r="DD45" s="14">
        <f>SUM(BM$5:BM45)</f>
        <v>0</v>
      </c>
      <c r="DE45" s="14">
        <f>SUM(BN$5:BN45)</f>
        <v>0</v>
      </c>
      <c r="DF45" s="14">
        <f>SUM(BO$5:BO45)</f>
        <v>0</v>
      </c>
      <c r="DG45" s="14">
        <f>SUM(BP$5:BP45)</f>
        <v>0</v>
      </c>
      <c r="DH45" s="14">
        <f>SUM(BQ$5:BQ45)</f>
        <v>0</v>
      </c>
      <c r="DI45" s="14">
        <f>SUM(BR$5:BR45)</f>
        <v>0</v>
      </c>
      <c r="DJ45" s="14">
        <f>SUM(BS$5:BS45)</f>
        <v>0</v>
      </c>
      <c r="DK45" s="14">
        <f>SUM(BT$5:BT45)</f>
        <v>0</v>
      </c>
      <c r="DL45" s="14">
        <f>SUM(BU$5:BU45)</f>
        <v>0</v>
      </c>
      <c r="DM45" s="14">
        <f>SUM(BV$5:BV45)</f>
        <v>0</v>
      </c>
      <c r="DN45" s="14">
        <f>SUM(BW$5:BW45)</f>
        <v>0</v>
      </c>
      <c r="DO45" s="14">
        <f>SUM(BX$5:BX45)</f>
        <v>0</v>
      </c>
      <c r="DP45" s="14">
        <f>SUM(BY$5:BY45)</f>
        <v>0</v>
      </c>
      <c r="DQ45" s="14">
        <f>SUM(BZ$5:BZ45)</f>
        <v>0</v>
      </c>
      <c r="DR45" s="14">
        <f>SUM(CA$5:CA45)</f>
        <v>0</v>
      </c>
      <c r="DS45" s="14">
        <f>SUM(CB$5:CB45)</f>
        <v>0</v>
      </c>
      <c r="DT45" s="14">
        <f>SUM(CC$5:CC45)</f>
        <v>0</v>
      </c>
      <c r="DU45" s="14">
        <f>SUM(CD$5:CD45)</f>
        <v>0</v>
      </c>
      <c r="DV45" s="14">
        <f>SUM(CE$5:CE45)</f>
        <v>0</v>
      </c>
      <c r="DW45" s="14">
        <f>SUM(CF$5:CF45)</f>
        <v>0</v>
      </c>
      <c r="DX45" s="14">
        <f>SUM(CG$5:CG45)</f>
        <v>0</v>
      </c>
      <c r="DY45" s="14">
        <f>SUM(CH$5:CH45)</f>
        <v>0</v>
      </c>
      <c r="DZ45" s="14">
        <f>SUM(CI$5:CI45)</f>
        <v>0</v>
      </c>
      <c r="EA45" s="14">
        <f>SUM(CJ$5:CJ45)</f>
        <v>0</v>
      </c>
      <c r="EB45" s="14">
        <f>SUM(CK$5:CK45)</f>
        <v>0</v>
      </c>
      <c r="EC45" s="14">
        <f>SUM(CL$5:CL45)</f>
        <v>0</v>
      </c>
      <c r="ED45" s="14">
        <f>SUM(CM$5:CM45)</f>
        <v>0</v>
      </c>
      <c r="EE45" s="14">
        <f>SUM(CN$5:CN45)</f>
        <v>0</v>
      </c>
      <c r="EF45" s="14">
        <f>SUM(CO$5:CO45)</f>
        <v>0</v>
      </c>
      <c r="EG45" s="14">
        <f>SUM(CP$5:CP45)</f>
        <v>0</v>
      </c>
      <c r="EH45" s="14">
        <f>SUM(CQ$5:CQ45)</f>
        <v>0</v>
      </c>
      <c r="EI45" s="14">
        <f>SUM(CR$5:CR45)</f>
        <v>0</v>
      </c>
      <c r="EJ45" s="14">
        <f>SUM(CS$5:CS45)</f>
        <v>0</v>
      </c>
      <c r="EK45" s="14">
        <f>SUM(CT$5:CT45)</f>
        <v>0</v>
      </c>
      <c r="EL45" s="14">
        <f>SUM(CU$5:CU45)</f>
        <v>0</v>
      </c>
      <c r="EO45" s="87">
        <f t="shared" si="11"/>
        <v>0</v>
      </c>
      <c r="EP45" s="87">
        <f t="shared" si="12"/>
        <v>0</v>
      </c>
      <c r="EQ45" s="87">
        <f t="shared" si="13"/>
        <v>0</v>
      </c>
      <c r="ER45" s="87">
        <f t="shared" si="14"/>
        <v>0</v>
      </c>
      <c r="ES45" s="87">
        <f t="shared" si="15"/>
        <v>0</v>
      </c>
      <c r="ET45" s="87">
        <f t="shared" si="16"/>
        <v>0</v>
      </c>
      <c r="EU45" s="87">
        <f t="shared" si="17"/>
        <v>0</v>
      </c>
      <c r="EV45" s="87">
        <f t="shared" si="18"/>
        <v>0</v>
      </c>
      <c r="EW45" s="87">
        <f t="shared" si="19"/>
        <v>0</v>
      </c>
      <c r="EX45" s="87">
        <f t="shared" si="20"/>
        <v>0</v>
      </c>
      <c r="EY45" s="87">
        <f t="shared" si="21"/>
        <v>0</v>
      </c>
      <c r="EZ45" s="87">
        <f t="shared" si="22"/>
        <v>0</v>
      </c>
      <c r="FA45" s="87">
        <f t="shared" si="23"/>
        <v>0</v>
      </c>
      <c r="FB45" s="87">
        <f t="shared" si="24"/>
        <v>0</v>
      </c>
      <c r="FC45" s="87">
        <f t="shared" si="25"/>
        <v>0</v>
      </c>
      <c r="FD45" s="87">
        <f t="shared" si="26"/>
        <v>0</v>
      </c>
      <c r="FE45" s="87">
        <f t="shared" si="27"/>
        <v>0</v>
      </c>
      <c r="FF45" s="87">
        <f t="shared" si="28"/>
        <v>0</v>
      </c>
      <c r="FG45" s="87">
        <f t="shared" si="29"/>
        <v>0</v>
      </c>
      <c r="FH45" s="87">
        <f t="shared" si="30"/>
        <v>0</v>
      </c>
      <c r="FI45" s="87">
        <f t="shared" si="31"/>
        <v>0</v>
      </c>
      <c r="FJ45" s="87">
        <f t="shared" si="32"/>
        <v>0</v>
      </c>
      <c r="FK45" s="87">
        <f t="shared" si="33"/>
        <v>0</v>
      </c>
      <c r="FL45" s="87">
        <f t="shared" si="34"/>
        <v>0</v>
      </c>
      <c r="FM45" s="87">
        <f t="shared" si="35"/>
        <v>0</v>
      </c>
      <c r="FN45" s="87">
        <f t="shared" si="36"/>
        <v>0</v>
      </c>
      <c r="FO45" s="87">
        <f t="shared" si="37"/>
        <v>0</v>
      </c>
      <c r="FP45" s="87">
        <f t="shared" si="38"/>
        <v>0</v>
      </c>
      <c r="FQ45" s="87">
        <f t="shared" si="39"/>
        <v>0</v>
      </c>
      <c r="FR45" s="87">
        <f t="shared" si="40"/>
        <v>0</v>
      </c>
      <c r="FS45" s="87">
        <f t="shared" si="41"/>
        <v>0</v>
      </c>
      <c r="FT45" s="87">
        <f t="shared" si="42"/>
        <v>0</v>
      </c>
      <c r="FU45" s="87">
        <f t="shared" si="43"/>
        <v>0</v>
      </c>
      <c r="FV45" s="87">
        <f t="shared" si="44"/>
        <v>0</v>
      </c>
      <c r="FW45" s="87">
        <f t="shared" si="45"/>
        <v>0</v>
      </c>
      <c r="FX45" s="87">
        <f t="shared" si="46"/>
        <v>0</v>
      </c>
      <c r="FY45" s="87">
        <f t="shared" si="47"/>
        <v>0</v>
      </c>
      <c r="FZ45" s="87">
        <f t="shared" si="48"/>
        <v>0</v>
      </c>
      <c r="GA45" s="87">
        <f t="shared" si="49"/>
        <v>0</v>
      </c>
      <c r="GB45" s="87">
        <f t="shared" si="50"/>
        <v>0</v>
      </c>
      <c r="GC45" s="87">
        <f t="shared" si="51"/>
        <v>0</v>
      </c>
      <c r="GD45" s="87">
        <f t="shared" si="52"/>
        <v>0</v>
      </c>
    </row>
    <row r="46" spans="11:186" ht="16.5" x14ac:dyDescent="0.2">
      <c r="K46" s="86">
        <v>42</v>
      </c>
      <c r="L46" s="86">
        <v>7</v>
      </c>
      <c r="M46" s="86">
        <v>8</v>
      </c>
      <c r="N46" s="86" t="str">
        <f t="shared" si="3"/>
        <v>神器7-8</v>
      </c>
      <c r="O46" s="86">
        <v>4</v>
      </c>
      <c r="P46" s="14">
        <f t="shared" si="4"/>
        <v>750</v>
      </c>
      <c r="Q46" s="88">
        <v>0.05</v>
      </c>
      <c r="R46" s="14">
        <v>1</v>
      </c>
      <c r="S46" s="14">
        <v>1</v>
      </c>
      <c r="T46" s="88">
        <v>0.05</v>
      </c>
      <c r="U46" s="14">
        <v>1</v>
      </c>
      <c r="V46" s="14">
        <v>2</v>
      </c>
      <c r="W46" s="88">
        <v>0.05</v>
      </c>
      <c r="X46" s="14">
        <v>1</v>
      </c>
      <c r="Y46" s="14">
        <v>3</v>
      </c>
      <c r="AO46" s="48">
        <v>4</v>
      </c>
      <c r="AP46" s="86">
        <v>20</v>
      </c>
      <c r="AQ46" s="86">
        <v>3</v>
      </c>
      <c r="AR46" s="48">
        <v>1</v>
      </c>
      <c r="AS46" s="86" t="s">
        <v>326</v>
      </c>
      <c r="AT46" s="21">
        <f t="shared" si="61"/>
        <v>8.9999999999999993E-3</v>
      </c>
      <c r="AU46" s="86">
        <f t="shared" si="5"/>
        <v>1</v>
      </c>
      <c r="AV46" s="86">
        <f t="shared" si="6"/>
        <v>1</v>
      </c>
      <c r="AW46" s="87">
        <f t="shared" si="7"/>
        <v>8.9999999999999993E-3</v>
      </c>
      <c r="AX46" s="86">
        <f t="shared" si="8"/>
        <v>3.3749999999999996</v>
      </c>
      <c r="BA46" s="86">
        <v>42</v>
      </c>
      <c r="BB46" s="14" t="e">
        <f>INDEX(节奏总表!#REF!,神器!BA46)</f>
        <v>#REF!</v>
      </c>
      <c r="BC46" s="14" t="e">
        <f t="shared" si="9"/>
        <v>#REF!</v>
      </c>
      <c r="BD46" s="14">
        <v>5</v>
      </c>
      <c r="BE46" s="14">
        <v>3</v>
      </c>
      <c r="BF46" s="14">
        <f t="shared" si="60"/>
        <v>0</v>
      </c>
      <c r="BG46" s="14">
        <f t="shared" si="64"/>
        <v>0</v>
      </c>
      <c r="BH46" s="14">
        <f t="shared" si="64"/>
        <v>0</v>
      </c>
      <c r="BI46" s="14">
        <f t="shared" si="64"/>
        <v>0</v>
      </c>
      <c r="BJ46" s="14">
        <f t="shared" si="64"/>
        <v>0</v>
      </c>
      <c r="BK46" s="14">
        <f t="shared" si="64"/>
        <v>0</v>
      </c>
      <c r="BL46" s="14">
        <f t="shared" si="64"/>
        <v>0</v>
      </c>
      <c r="BM46" s="14">
        <f t="shared" si="64"/>
        <v>0</v>
      </c>
      <c r="BN46" s="14">
        <f t="shared" si="64"/>
        <v>0</v>
      </c>
      <c r="BO46" s="14">
        <f t="shared" si="64"/>
        <v>0</v>
      </c>
      <c r="BP46" s="14">
        <f t="shared" si="64"/>
        <v>0</v>
      </c>
      <c r="BQ46" s="14">
        <f t="shared" si="64"/>
        <v>0</v>
      </c>
      <c r="BR46" s="14">
        <f t="shared" si="64"/>
        <v>0</v>
      </c>
      <c r="BS46" s="14">
        <f t="shared" si="64"/>
        <v>0</v>
      </c>
      <c r="BT46" s="14">
        <f t="shared" si="64"/>
        <v>0</v>
      </c>
      <c r="BU46" s="14">
        <f t="shared" si="64"/>
        <v>0</v>
      </c>
      <c r="BV46" s="14">
        <f t="shared" si="64"/>
        <v>0</v>
      </c>
      <c r="BW46" s="14">
        <f t="shared" si="64"/>
        <v>0</v>
      </c>
      <c r="BX46" s="14">
        <f t="shared" si="64"/>
        <v>0</v>
      </c>
      <c r="BY46" s="14">
        <f t="shared" si="64"/>
        <v>0</v>
      </c>
      <c r="BZ46" s="14">
        <f t="shared" si="64"/>
        <v>0</v>
      </c>
      <c r="CA46" s="14">
        <f t="shared" si="64"/>
        <v>0</v>
      </c>
      <c r="CB46" s="14">
        <f t="shared" si="64"/>
        <v>0</v>
      </c>
      <c r="CC46" s="14">
        <f t="shared" si="64"/>
        <v>0</v>
      </c>
      <c r="CD46" s="14">
        <f t="shared" si="64"/>
        <v>0</v>
      </c>
      <c r="CE46" s="14">
        <f t="shared" si="64"/>
        <v>0</v>
      </c>
      <c r="CF46" s="14">
        <f t="shared" si="64"/>
        <v>0</v>
      </c>
      <c r="CG46" s="14">
        <f t="shared" si="64"/>
        <v>0</v>
      </c>
      <c r="CH46" s="14">
        <f t="shared" si="64"/>
        <v>0</v>
      </c>
      <c r="CI46" s="14">
        <f t="shared" si="64"/>
        <v>0</v>
      </c>
      <c r="CJ46" s="14">
        <f t="shared" si="64"/>
        <v>0</v>
      </c>
      <c r="CK46" s="14">
        <f t="shared" si="64"/>
        <v>0</v>
      </c>
      <c r="CL46" s="14">
        <f t="shared" si="64"/>
        <v>0</v>
      </c>
      <c r="CM46" s="14">
        <f t="shared" si="64"/>
        <v>0</v>
      </c>
      <c r="CN46" s="14">
        <f t="shared" si="64"/>
        <v>0</v>
      </c>
      <c r="CO46" s="14">
        <f t="shared" si="64"/>
        <v>0</v>
      </c>
      <c r="CP46" s="14">
        <f t="shared" si="64"/>
        <v>0</v>
      </c>
      <c r="CQ46" s="14">
        <f t="shared" si="64"/>
        <v>0</v>
      </c>
      <c r="CR46" s="14">
        <f t="shared" si="64"/>
        <v>0</v>
      </c>
      <c r="CS46" s="14">
        <f t="shared" si="64"/>
        <v>0</v>
      </c>
      <c r="CT46" s="14">
        <f t="shared" si="64"/>
        <v>0</v>
      </c>
      <c r="CU46" s="14">
        <f t="shared" si="64"/>
        <v>0</v>
      </c>
      <c r="CW46" s="14">
        <f>SUM(BF$5:BF46)</f>
        <v>0</v>
      </c>
      <c r="CX46" s="14">
        <f>SUM(BG$5:BG46)</f>
        <v>0</v>
      </c>
      <c r="CY46" s="14">
        <f>SUM(BH$5:BH46)</f>
        <v>0</v>
      </c>
      <c r="CZ46" s="14">
        <f>SUM(BI$5:BI46)</f>
        <v>0</v>
      </c>
      <c r="DA46" s="14">
        <f>SUM(BJ$5:BJ46)</f>
        <v>0</v>
      </c>
      <c r="DB46" s="14">
        <f>SUM(BK$5:BK46)</f>
        <v>0</v>
      </c>
      <c r="DC46" s="14">
        <f>SUM(BL$5:BL46)</f>
        <v>0</v>
      </c>
      <c r="DD46" s="14">
        <f>SUM(BM$5:BM46)</f>
        <v>0</v>
      </c>
      <c r="DE46" s="14">
        <f>SUM(BN$5:BN46)</f>
        <v>0</v>
      </c>
      <c r="DF46" s="14">
        <f>SUM(BO$5:BO46)</f>
        <v>0</v>
      </c>
      <c r="DG46" s="14">
        <f>SUM(BP$5:BP46)</f>
        <v>0</v>
      </c>
      <c r="DH46" s="14">
        <f>SUM(BQ$5:BQ46)</f>
        <v>0</v>
      </c>
      <c r="DI46" s="14">
        <f>SUM(BR$5:BR46)</f>
        <v>0</v>
      </c>
      <c r="DJ46" s="14">
        <f>SUM(BS$5:BS46)</f>
        <v>0</v>
      </c>
      <c r="DK46" s="14">
        <f>SUM(BT$5:BT46)</f>
        <v>0</v>
      </c>
      <c r="DL46" s="14">
        <f>SUM(BU$5:BU46)</f>
        <v>0</v>
      </c>
      <c r="DM46" s="14">
        <f>SUM(BV$5:BV46)</f>
        <v>0</v>
      </c>
      <c r="DN46" s="14">
        <f>SUM(BW$5:BW46)</f>
        <v>0</v>
      </c>
      <c r="DO46" s="14">
        <f>SUM(BX$5:BX46)</f>
        <v>0</v>
      </c>
      <c r="DP46" s="14">
        <f>SUM(BY$5:BY46)</f>
        <v>0</v>
      </c>
      <c r="DQ46" s="14">
        <f>SUM(BZ$5:BZ46)</f>
        <v>0</v>
      </c>
      <c r="DR46" s="14">
        <f>SUM(CA$5:CA46)</f>
        <v>0</v>
      </c>
      <c r="DS46" s="14">
        <f>SUM(CB$5:CB46)</f>
        <v>0</v>
      </c>
      <c r="DT46" s="14">
        <f>SUM(CC$5:CC46)</f>
        <v>0</v>
      </c>
      <c r="DU46" s="14">
        <f>SUM(CD$5:CD46)</f>
        <v>0</v>
      </c>
      <c r="DV46" s="14">
        <f>SUM(CE$5:CE46)</f>
        <v>0</v>
      </c>
      <c r="DW46" s="14">
        <f>SUM(CF$5:CF46)</f>
        <v>0</v>
      </c>
      <c r="DX46" s="14">
        <f>SUM(CG$5:CG46)</f>
        <v>0</v>
      </c>
      <c r="DY46" s="14">
        <f>SUM(CH$5:CH46)</f>
        <v>0</v>
      </c>
      <c r="DZ46" s="14">
        <f>SUM(CI$5:CI46)</f>
        <v>0</v>
      </c>
      <c r="EA46" s="14">
        <f>SUM(CJ$5:CJ46)</f>
        <v>0</v>
      </c>
      <c r="EB46" s="14">
        <f>SUM(CK$5:CK46)</f>
        <v>0</v>
      </c>
      <c r="EC46" s="14">
        <f>SUM(CL$5:CL46)</f>
        <v>0</v>
      </c>
      <c r="ED46" s="14">
        <f>SUM(CM$5:CM46)</f>
        <v>0</v>
      </c>
      <c r="EE46" s="14">
        <f>SUM(CN$5:CN46)</f>
        <v>0</v>
      </c>
      <c r="EF46" s="14">
        <f>SUM(CO$5:CO46)</f>
        <v>0</v>
      </c>
      <c r="EG46" s="14">
        <f>SUM(CP$5:CP46)</f>
        <v>0</v>
      </c>
      <c r="EH46" s="14">
        <f>SUM(CQ$5:CQ46)</f>
        <v>0</v>
      </c>
      <c r="EI46" s="14">
        <f>SUM(CR$5:CR46)</f>
        <v>0</v>
      </c>
      <c r="EJ46" s="14">
        <f>SUM(CS$5:CS46)</f>
        <v>0</v>
      </c>
      <c r="EK46" s="14">
        <f>SUM(CT$5:CT46)</f>
        <v>0</v>
      </c>
      <c r="EL46" s="14">
        <f>SUM(CU$5:CU46)</f>
        <v>0</v>
      </c>
      <c r="EO46" s="87">
        <f t="shared" si="11"/>
        <v>0</v>
      </c>
      <c r="EP46" s="87">
        <f t="shared" si="12"/>
        <v>0</v>
      </c>
      <c r="EQ46" s="87">
        <f t="shared" si="13"/>
        <v>0</v>
      </c>
      <c r="ER46" s="87">
        <f t="shared" si="14"/>
        <v>0</v>
      </c>
      <c r="ES46" s="87">
        <f t="shared" si="15"/>
        <v>0</v>
      </c>
      <c r="ET46" s="87">
        <f t="shared" si="16"/>
        <v>0</v>
      </c>
      <c r="EU46" s="87">
        <f t="shared" si="17"/>
        <v>0</v>
      </c>
      <c r="EV46" s="87">
        <f t="shared" si="18"/>
        <v>0</v>
      </c>
      <c r="EW46" s="87">
        <f t="shared" si="19"/>
        <v>0</v>
      </c>
      <c r="EX46" s="87">
        <f t="shared" si="20"/>
        <v>0</v>
      </c>
      <c r="EY46" s="87">
        <f t="shared" si="21"/>
        <v>0</v>
      </c>
      <c r="EZ46" s="87">
        <f t="shared" si="22"/>
        <v>0</v>
      </c>
      <c r="FA46" s="87">
        <f t="shared" si="23"/>
        <v>0</v>
      </c>
      <c r="FB46" s="87">
        <f t="shared" si="24"/>
        <v>0</v>
      </c>
      <c r="FC46" s="87">
        <f t="shared" si="25"/>
        <v>0</v>
      </c>
      <c r="FD46" s="87">
        <f t="shared" si="26"/>
        <v>0</v>
      </c>
      <c r="FE46" s="87">
        <f t="shared" si="27"/>
        <v>0</v>
      </c>
      <c r="FF46" s="87">
        <f t="shared" si="28"/>
        <v>0</v>
      </c>
      <c r="FG46" s="87">
        <f t="shared" si="29"/>
        <v>0</v>
      </c>
      <c r="FH46" s="87">
        <f t="shared" si="30"/>
        <v>0</v>
      </c>
      <c r="FI46" s="87">
        <f t="shared" si="31"/>
        <v>0</v>
      </c>
      <c r="FJ46" s="87">
        <f t="shared" si="32"/>
        <v>0</v>
      </c>
      <c r="FK46" s="87">
        <f t="shared" si="33"/>
        <v>0</v>
      </c>
      <c r="FL46" s="87">
        <f t="shared" si="34"/>
        <v>0</v>
      </c>
      <c r="FM46" s="87">
        <f t="shared" si="35"/>
        <v>0</v>
      </c>
      <c r="FN46" s="87">
        <f t="shared" si="36"/>
        <v>0</v>
      </c>
      <c r="FO46" s="87">
        <f t="shared" si="37"/>
        <v>0</v>
      </c>
      <c r="FP46" s="87">
        <f t="shared" si="38"/>
        <v>0</v>
      </c>
      <c r="FQ46" s="87">
        <f t="shared" si="39"/>
        <v>0</v>
      </c>
      <c r="FR46" s="87">
        <f t="shared" si="40"/>
        <v>0</v>
      </c>
      <c r="FS46" s="87">
        <f t="shared" si="41"/>
        <v>0</v>
      </c>
      <c r="FT46" s="87">
        <f t="shared" si="42"/>
        <v>0</v>
      </c>
      <c r="FU46" s="87">
        <f t="shared" si="43"/>
        <v>0</v>
      </c>
      <c r="FV46" s="87">
        <f t="shared" si="44"/>
        <v>0</v>
      </c>
      <c r="FW46" s="87">
        <f t="shared" si="45"/>
        <v>0</v>
      </c>
      <c r="FX46" s="87">
        <f t="shared" si="46"/>
        <v>0</v>
      </c>
      <c r="FY46" s="87">
        <f t="shared" si="47"/>
        <v>0</v>
      </c>
      <c r="FZ46" s="87">
        <f t="shared" si="48"/>
        <v>0</v>
      </c>
      <c r="GA46" s="87">
        <f t="shared" si="49"/>
        <v>0</v>
      </c>
      <c r="GB46" s="87">
        <f t="shared" si="50"/>
        <v>0</v>
      </c>
      <c r="GC46" s="87">
        <f t="shared" si="51"/>
        <v>0</v>
      </c>
      <c r="GD46" s="87">
        <f t="shared" si="52"/>
        <v>0</v>
      </c>
    </row>
    <row r="47" spans="11:186" ht="16.5" x14ac:dyDescent="0.2">
      <c r="AO47" s="48">
        <v>5</v>
      </c>
      <c r="AP47" s="86">
        <v>9</v>
      </c>
      <c r="AQ47" s="86">
        <v>1</v>
      </c>
      <c r="AR47" s="48">
        <v>3</v>
      </c>
      <c r="AS47" s="86" t="s">
        <v>315</v>
      </c>
      <c r="AT47" s="21">
        <f t="shared" si="61"/>
        <v>0.13750000000000001</v>
      </c>
      <c r="AU47" s="86">
        <f t="shared" si="5"/>
        <v>3</v>
      </c>
      <c r="AV47" s="86">
        <f t="shared" si="6"/>
        <v>5</v>
      </c>
      <c r="AW47" s="87">
        <f t="shared" si="7"/>
        <v>0.55000000000000004</v>
      </c>
      <c r="AX47" s="86">
        <f t="shared" si="8"/>
        <v>11</v>
      </c>
      <c r="BA47" s="86">
        <v>43</v>
      </c>
      <c r="BB47" s="14" t="e">
        <f>INDEX(节奏总表!#REF!,神器!BA47)</f>
        <v>#REF!</v>
      </c>
      <c r="BC47" s="14" t="e">
        <f t="shared" si="9"/>
        <v>#REF!</v>
      </c>
      <c r="BD47" s="14">
        <v>5</v>
      </c>
      <c r="BE47" s="14">
        <v>3</v>
      </c>
      <c r="BF47" s="14">
        <f t="shared" si="60"/>
        <v>0</v>
      </c>
      <c r="BG47" s="14">
        <f t="shared" si="64"/>
        <v>0</v>
      </c>
      <c r="BH47" s="14">
        <f t="shared" si="64"/>
        <v>0</v>
      </c>
      <c r="BI47" s="14">
        <f t="shared" si="64"/>
        <v>0</v>
      </c>
      <c r="BJ47" s="14">
        <f t="shared" si="64"/>
        <v>0</v>
      </c>
      <c r="BK47" s="14">
        <f t="shared" si="64"/>
        <v>0</v>
      </c>
      <c r="BL47" s="14">
        <f t="shared" si="64"/>
        <v>0</v>
      </c>
      <c r="BM47" s="14">
        <f t="shared" si="64"/>
        <v>0</v>
      </c>
      <c r="BN47" s="14">
        <f t="shared" si="64"/>
        <v>0</v>
      </c>
      <c r="BO47" s="14">
        <f t="shared" ref="BO47:CD47" si="65">SUMIFS($AT$5:$AT$122,$AO$5:$AO$122,"="&amp;$BC47,$AP$5:$AP$122,"="&amp;BO$2) * (SUMIFS($AU$5:$AU$122,$AO$5:$AO$122,"="&amp;$BC47,$AP$5:$AP$122,"="&amp;BO$2)+SUMIFS($AV$5:$AV$122,$AO$5:$AO$122,"="&amp;$BC47,$AP$5:$AP$122,"="&amp;BO$2))/2*$BD47*$BE47</f>
        <v>0</v>
      </c>
      <c r="BP47" s="14">
        <f t="shared" si="65"/>
        <v>0</v>
      </c>
      <c r="BQ47" s="14">
        <f t="shared" si="65"/>
        <v>0</v>
      </c>
      <c r="BR47" s="14">
        <f t="shared" si="65"/>
        <v>0</v>
      </c>
      <c r="BS47" s="14">
        <f t="shared" si="65"/>
        <v>0</v>
      </c>
      <c r="BT47" s="14">
        <f t="shared" si="65"/>
        <v>0</v>
      </c>
      <c r="BU47" s="14">
        <f t="shared" si="65"/>
        <v>0</v>
      </c>
      <c r="BV47" s="14">
        <f t="shared" si="65"/>
        <v>0</v>
      </c>
      <c r="BW47" s="14">
        <f t="shared" si="65"/>
        <v>0</v>
      </c>
      <c r="BX47" s="14">
        <f t="shared" si="65"/>
        <v>0</v>
      </c>
      <c r="BY47" s="14">
        <f t="shared" si="65"/>
        <v>0</v>
      </c>
      <c r="BZ47" s="14">
        <f t="shared" si="65"/>
        <v>0</v>
      </c>
      <c r="CA47" s="14">
        <f t="shared" si="65"/>
        <v>0</v>
      </c>
      <c r="CB47" s="14">
        <f t="shared" si="65"/>
        <v>0</v>
      </c>
      <c r="CC47" s="14">
        <f t="shared" si="65"/>
        <v>0</v>
      </c>
      <c r="CD47" s="14">
        <f t="shared" si="65"/>
        <v>0</v>
      </c>
      <c r="CE47" s="14">
        <f t="shared" ref="CE47:CT47" si="66">SUMIFS($AT$5:$AT$122,$AO$5:$AO$122,"="&amp;$BC47,$AP$5:$AP$122,"="&amp;CE$2) * (SUMIFS($AU$5:$AU$122,$AO$5:$AO$122,"="&amp;$BC47,$AP$5:$AP$122,"="&amp;CE$2)+SUMIFS($AV$5:$AV$122,$AO$5:$AO$122,"="&amp;$BC47,$AP$5:$AP$122,"="&amp;CE$2))/2*$BD47*$BE47</f>
        <v>0</v>
      </c>
      <c r="CF47" s="14">
        <f t="shared" si="66"/>
        <v>0</v>
      </c>
      <c r="CG47" s="14">
        <f t="shared" si="66"/>
        <v>0</v>
      </c>
      <c r="CH47" s="14">
        <f t="shared" si="66"/>
        <v>0</v>
      </c>
      <c r="CI47" s="14">
        <f t="shared" si="66"/>
        <v>0</v>
      </c>
      <c r="CJ47" s="14">
        <f t="shared" si="66"/>
        <v>0</v>
      </c>
      <c r="CK47" s="14">
        <f t="shared" si="66"/>
        <v>0</v>
      </c>
      <c r="CL47" s="14">
        <f t="shared" si="66"/>
        <v>0</v>
      </c>
      <c r="CM47" s="14">
        <f t="shared" si="66"/>
        <v>0</v>
      </c>
      <c r="CN47" s="14">
        <f t="shared" si="66"/>
        <v>0</v>
      </c>
      <c r="CO47" s="14">
        <f t="shared" si="66"/>
        <v>0</v>
      </c>
      <c r="CP47" s="14">
        <f t="shared" si="66"/>
        <v>0</v>
      </c>
      <c r="CQ47" s="14">
        <f t="shared" si="66"/>
        <v>0</v>
      </c>
      <c r="CR47" s="14">
        <f t="shared" si="66"/>
        <v>0</v>
      </c>
      <c r="CS47" s="14">
        <f t="shared" si="66"/>
        <v>0</v>
      </c>
      <c r="CT47" s="14">
        <f t="shared" si="66"/>
        <v>0</v>
      </c>
      <c r="CU47" s="14">
        <f t="shared" ref="BG47:CU54" si="67">SUMIFS($AT$5:$AT$122,$AO$5:$AO$122,"="&amp;$BC47,$AP$5:$AP$122,"="&amp;CU$2) * (SUMIFS($AU$5:$AU$122,$AO$5:$AO$122,"="&amp;$BC47,$AP$5:$AP$122,"="&amp;CU$2)+SUMIFS($AV$5:$AV$122,$AO$5:$AO$122,"="&amp;$BC47,$AP$5:$AP$122,"="&amp;CU$2))/2*$BD47*$BE47</f>
        <v>0</v>
      </c>
      <c r="CW47" s="14">
        <f>SUM(BF$5:BF47)</f>
        <v>0</v>
      </c>
      <c r="CX47" s="14">
        <f>SUM(BG$5:BG47)</f>
        <v>0</v>
      </c>
      <c r="CY47" s="14">
        <f>SUM(BH$5:BH47)</f>
        <v>0</v>
      </c>
      <c r="CZ47" s="14">
        <f>SUM(BI$5:BI47)</f>
        <v>0</v>
      </c>
      <c r="DA47" s="14">
        <f>SUM(BJ$5:BJ47)</f>
        <v>0</v>
      </c>
      <c r="DB47" s="14">
        <f>SUM(BK$5:BK47)</f>
        <v>0</v>
      </c>
      <c r="DC47" s="14">
        <f>SUM(BL$5:BL47)</f>
        <v>0</v>
      </c>
      <c r="DD47" s="14">
        <f>SUM(BM$5:BM47)</f>
        <v>0</v>
      </c>
      <c r="DE47" s="14">
        <f>SUM(BN$5:BN47)</f>
        <v>0</v>
      </c>
      <c r="DF47" s="14">
        <f>SUM(BO$5:BO47)</f>
        <v>0</v>
      </c>
      <c r="DG47" s="14">
        <f>SUM(BP$5:BP47)</f>
        <v>0</v>
      </c>
      <c r="DH47" s="14">
        <f>SUM(BQ$5:BQ47)</f>
        <v>0</v>
      </c>
      <c r="DI47" s="14">
        <f>SUM(BR$5:BR47)</f>
        <v>0</v>
      </c>
      <c r="DJ47" s="14">
        <f>SUM(BS$5:BS47)</f>
        <v>0</v>
      </c>
      <c r="DK47" s="14">
        <f>SUM(BT$5:BT47)</f>
        <v>0</v>
      </c>
      <c r="DL47" s="14">
        <f>SUM(BU$5:BU47)</f>
        <v>0</v>
      </c>
      <c r="DM47" s="14">
        <f>SUM(BV$5:BV47)</f>
        <v>0</v>
      </c>
      <c r="DN47" s="14">
        <f>SUM(BW$5:BW47)</f>
        <v>0</v>
      </c>
      <c r="DO47" s="14">
        <f>SUM(BX$5:BX47)</f>
        <v>0</v>
      </c>
      <c r="DP47" s="14">
        <f>SUM(BY$5:BY47)</f>
        <v>0</v>
      </c>
      <c r="DQ47" s="14">
        <f>SUM(BZ$5:BZ47)</f>
        <v>0</v>
      </c>
      <c r="DR47" s="14">
        <f>SUM(CA$5:CA47)</f>
        <v>0</v>
      </c>
      <c r="DS47" s="14">
        <f>SUM(CB$5:CB47)</f>
        <v>0</v>
      </c>
      <c r="DT47" s="14">
        <f>SUM(CC$5:CC47)</f>
        <v>0</v>
      </c>
      <c r="DU47" s="14">
        <f>SUM(CD$5:CD47)</f>
        <v>0</v>
      </c>
      <c r="DV47" s="14">
        <f>SUM(CE$5:CE47)</f>
        <v>0</v>
      </c>
      <c r="DW47" s="14">
        <f>SUM(CF$5:CF47)</f>
        <v>0</v>
      </c>
      <c r="DX47" s="14">
        <f>SUM(CG$5:CG47)</f>
        <v>0</v>
      </c>
      <c r="DY47" s="14">
        <f>SUM(CH$5:CH47)</f>
        <v>0</v>
      </c>
      <c r="DZ47" s="14">
        <f>SUM(CI$5:CI47)</f>
        <v>0</v>
      </c>
      <c r="EA47" s="14">
        <f>SUM(CJ$5:CJ47)</f>
        <v>0</v>
      </c>
      <c r="EB47" s="14">
        <f>SUM(CK$5:CK47)</f>
        <v>0</v>
      </c>
      <c r="EC47" s="14">
        <f>SUM(CL$5:CL47)</f>
        <v>0</v>
      </c>
      <c r="ED47" s="14">
        <f>SUM(CM$5:CM47)</f>
        <v>0</v>
      </c>
      <c r="EE47" s="14">
        <f>SUM(CN$5:CN47)</f>
        <v>0</v>
      </c>
      <c r="EF47" s="14">
        <f>SUM(CO$5:CO47)</f>
        <v>0</v>
      </c>
      <c r="EG47" s="14">
        <f>SUM(CP$5:CP47)</f>
        <v>0</v>
      </c>
      <c r="EH47" s="14">
        <f>SUM(CQ$5:CQ47)</f>
        <v>0</v>
      </c>
      <c r="EI47" s="14">
        <f>SUM(CR$5:CR47)</f>
        <v>0</v>
      </c>
      <c r="EJ47" s="14">
        <f>SUM(CS$5:CS47)</f>
        <v>0</v>
      </c>
      <c r="EK47" s="14">
        <f>SUM(CT$5:CT47)</f>
        <v>0</v>
      </c>
      <c r="EL47" s="14">
        <f>SUM(CU$5:CU47)</f>
        <v>0</v>
      </c>
      <c r="EO47" s="87">
        <f t="shared" si="11"/>
        <v>0</v>
      </c>
      <c r="EP47" s="87">
        <f t="shared" si="12"/>
        <v>0</v>
      </c>
      <c r="EQ47" s="87">
        <f t="shared" si="13"/>
        <v>0</v>
      </c>
      <c r="ER47" s="87">
        <f t="shared" si="14"/>
        <v>0</v>
      </c>
      <c r="ES47" s="87">
        <f t="shared" si="15"/>
        <v>0</v>
      </c>
      <c r="ET47" s="87">
        <f t="shared" si="16"/>
        <v>0</v>
      </c>
      <c r="EU47" s="87">
        <f t="shared" si="17"/>
        <v>0</v>
      </c>
      <c r="EV47" s="87">
        <f t="shared" si="18"/>
        <v>0</v>
      </c>
      <c r="EW47" s="87">
        <f t="shared" si="19"/>
        <v>0</v>
      </c>
      <c r="EX47" s="87">
        <f t="shared" si="20"/>
        <v>0</v>
      </c>
      <c r="EY47" s="87">
        <f t="shared" si="21"/>
        <v>0</v>
      </c>
      <c r="EZ47" s="87">
        <f t="shared" si="22"/>
        <v>0</v>
      </c>
      <c r="FA47" s="87">
        <f t="shared" si="23"/>
        <v>0</v>
      </c>
      <c r="FB47" s="87">
        <f t="shared" si="24"/>
        <v>0</v>
      </c>
      <c r="FC47" s="87">
        <f t="shared" si="25"/>
        <v>0</v>
      </c>
      <c r="FD47" s="87">
        <f t="shared" si="26"/>
        <v>0</v>
      </c>
      <c r="FE47" s="87">
        <f t="shared" si="27"/>
        <v>0</v>
      </c>
      <c r="FF47" s="87">
        <f t="shared" si="28"/>
        <v>0</v>
      </c>
      <c r="FG47" s="87">
        <f t="shared" si="29"/>
        <v>0</v>
      </c>
      <c r="FH47" s="87">
        <f t="shared" si="30"/>
        <v>0</v>
      </c>
      <c r="FI47" s="87">
        <f t="shared" si="31"/>
        <v>0</v>
      </c>
      <c r="FJ47" s="87">
        <f t="shared" si="32"/>
        <v>0</v>
      </c>
      <c r="FK47" s="87">
        <f t="shared" si="33"/>
        <v>0</v>
      </c>
      <c r="FL47" s="87">
        <f t="shared" si="34"/>
        <v>0</v>
      </c>
      <c r="FM47" s="87">
        <f t="shared" si="35"/>
        <v>0</v>
      </c>
      <c r="FN47" s="87">
        <f t="shared" si="36"/>
        <v>0</v>
      </c>
      <c r="FO47" s="87">
        <f t="shared" si="37"/>
        <v>0</v>
      </c>
      <c r="FP47" s="87">
        <f t="shared" si="38"/>
        <v>0</v>
      </c>
      <c r="FQ47" s="87">
        <f t="shared" si="39"/>
        <v>0</v>
      </c>
      <c r="FR47" s="87">
        <f t="shared" si="40"/>
        <v>0</v>
      </c>
      <c r="FS47" s="87">
        <f t="shared" si="41"/>
        <v>0</v>
      </c>
      <c r="FT47" s="87">
        <f t="shared" si="42"/>
        <v>0</v>
      </c>
      <c r="FU47" s="87">
        <f t="shared" si="43"/>
        <v>0</v>
      </c>
      <c r="FV47" s="87">
        <f t="shared" si="44"/>
        <v>0</v>
      </c>
      <c r="FW47" s="87">
        <f t="shared" si="45"/>
        <v>0</v>
      </c>
      <c r="FX47" s="87">
        <f t="shared" si="46"/>
        <v>0</v>
      </c>
      <c r="FY47" s="87">
        <f t="shared" si="47"/>
        <v>0</v>
      </c>
      <c r="FZ47" s="87">
        <f t="shared" si="48"/>
        <v>0</v>
      </c>
      <c r="GA47" s="87">
        <f t="shared" si="49"/>
        <v>0</v>
      </c>
      <c r="GB47" s="87">
        <f t="shared" si="50"/>
        <v>0</v>
      </c>
      <c r="GC47" s="87">
        <f t="shared" si="51"/>
        <v>0</v>
      </c>
      <c r="GD47" s="87">
        <f t="shared" si="52"/>
        <v>0</v>
      </c>
    </row>
    <row r="48" spans="11:186" ht="16.5" x14ac:dyDescent="0.2">
      <c r="AO48" s="48">
        <v>5</v>
      </c>
      <c r="AP48" s="86">
        <v>10</v>
      </c>
      <c r="AQ48" s="86">
        <v>1</v>
      </c>
      <c r="AR48" s="48">
        <v>3</v>
      </c>
      <c r="AS48" s="86" t="s">
        <v>316</v>
      </c>
      <c r="AT48" s="21">
        <f t="shared" si="61"/>
        <v>0.13750000000000001</v>
      </c>
      <c r="AU48" s="86">
        <f t="shared" si="5"/>
        <v>3</v>
      </c>
      <c r="AV48" s="86">
        <f t="shared" si="6"/>
        <v>5</v>
      </c>
      <c r="AW48" s="87">
        <f t="shared" si="7"/>
        <v>0.55000000000000004</v>
      </c>
      <c r="AX48" s="86">
        <f t="shared" si="8"/>
        <v>11</v>
      </c>
      <c r="BA48" s="86">
        <v>44</v>
      </c>
      <c r="BB48" s="14" t="e">
        <f>INDEX(节奏总表!#REF!,神器!BA48)</f>
        <v>#REF!</v>
      </c>
      <c r="BC48" s="14" t="e">
        <f t="shared" si="9"/>
        <v>#REF!</v>
      </c>
      <c r="BD48" s="14">
        <v>5</v>
      </c>
      <c r="BE48" s="14">
        <v>3</v>
      </c>
      <c r="BF48" s="14">
        <f t="shared" si="60"/>
        <v>0</v>
      </c>
      <c r="BG48" s="14">
        <f t="shared" si="67"/>
        <v>0</v>
      </c>
      <c r="BH48" s="14">
        <f t="shared" si="67"/>
        <v>0</v>
      </c>
      <c r="BI48" s="14">
        <f t="shared" si="67"/>
        <v>0</v>
      </c>
      <c r="BJ48" s="14">
        <f t="shared" si="67"/>
        <v>0</v>
      </c>
      <c r="BK48" s="14">
        <f t="shared" si="67"/>
        <v>0</v>
      </c>
      <c r="BL48" s="14">
        <f t="shared" si="67"/>
        <v>0</v>
      </c>
      <c r="BM48" s="14">
        <f t="shared" si="67"/>
        <v>0</v>
      </c>
      <c r="BN48" s="14">
        <f t="shared" si="67"/>
        <v>0</v>
      </c>
      <c r="BO48" s="14">
        <f t="shared" si="67"/>
        <v>0</v>
      </c>
      <c r="BP48" s="14">
        <f t="shared" si="67"/>
        <v>0</v>
      </c>
      <c r="BQ48" s="14">
        <f t="shared" si="67"/>
        <v>0</v>
      </c>
      <c r="BR48" s="14">
        <f t="shared" si="67"/>
        <v>0</v>
      </c>
      <c r="BS48" s="14">
        <f t="shared" si="67"/>
        <v>0</v>
      </c>
      <c r="BT48" s="14">
        <f t="shared" si="67"/>
        <v>0</v>
      </c>
      <c r="BU48" s="14">
        <f t="shared" si="67"/>
        <v>0</v>
      </c>
      <c r="BV48" s="14">
        <f t="shared" si="67"/>
        <v>0</v>
      </c>
      <c r="BW48" s="14">
        <f t="shared" si="67"/>
        <v>0</v>
      </c>
      <c r="BX48" s="14">
        <f t="shared" si="67"/>
        <v>0</v>
      </c>
      <c r="BY48" s="14">
        <f t="shared" si="67"/>
        <v>0</v>
      </c>
      <c r="BZ48" s="14">
        <f t="shared" si="67"/>
        <v>0</v>
      </c>
      <c r="CA48" s="14">
        <f t="shared" si="67"/>
        <v>0</v>
      </c>
      <c r="CB48" s="14">
        <f t="shared" si="67"/>
        <v>0</v>
      </c>
      <c r="CC48" s="14">
        <f t="shared" si="67"/>
        <v>0</v>
      </c>
      <c r="CD48" s="14">
        <f t="shared" si="67"/>
        <v>0</v>
      </c>
      <c r="CE48" s="14">
        <f t="shared" si="67"/>
        <v>0</v>
      </c>
      <c r="CF48" s="14">
        <f t="shared" si="67"/>
        <v>0</v>
      </c>
      <c r="CG48" s="14">
        <f t="shared" si="67"/>
        <v>0</v>
      </c>
      <c r="CH48" s="14">
        <f t="shared" si="67"/>
        <v>0</v>
      </c>
      <c r="CI48" s="14">
        <f t="shared" si="67"/>
        <v>0</v>
      </c>
      <c r="CJ48" s="14">
        <f t="shared" si="67"/>
        <v>0</v>
      </c>
      <c r="CK48" s="14">
        <f t="shared" si="67"/>
        <v>0</v>
      </c>
      <c r="CL48" s="14">
        <f t="shared" si="67"/>
        <v>0</v>
      </c>
      <c r="CM48" s="14">
        <f t="shared" si="67"/>
        <v>0</v>
      </c>
      <c r="CN48" s="14">
        <f t="shared" si="67"/>
        <v>0</v>
      </c>
      <c r="CO48" s="14">
        <f t="shared" si="67"/>
        <v>0</v>
      </c>
      <c r="CP48" s="14">
        <f t="shared" si="67"/>
        <v>0</v>
      </c>
      <c r="CQ48" s="14">
        <f t="shared" si="67"/>
        <v>0</v>
      </c>
      <c r="CR48" s="14">
        <f t="shared" si="67"/>
        <v>0</v>
      </c>
      <c r="CS48" s="14">
        <f t="shared" si="67"/>
        <v>0</v>
      </c>
      <c r="CT48" s="14">
        <f t="shared" si="67"/>
        <v>0</v>
      </c>
      <c r="CU48" s="14">
        <f t="shared" si="67"/>
        <v>0</v>
      </c>
      <c r="CW48" s="14">
        <f>SUM(BF$5:BF48)</f>
        <v>0</v>
      </c>
      <c r="CX48" s="14">
        <f>SUM(BG$5:BG48)</f>
        <v>0</v>
      </c>
      <c r="CY48" s="14">
        <f>SUM(BH$5:BH48)</f>
        <v>0</v>
      </c>
      <c r="CZ48" s="14">
        <f>SUM(BI$5:BI48)</f>
        <v>0</v>
      </c>
      <c r="DA48" s="14">
        <f>SUM(BJ$5:BJ48)</f>
        <v>0</v>
      </c>
      <c r="DB48" s="14">
        <f>SUM(BK$5:BK48)</f>
        <v>0</v>
      </c>
      <c r="DC48" s="14">
        <f>SUM(BL$5:BL48)</f>
        <v>0</v>
      </c>
      <c r="DD48" s="14">
        <f>SUM(BM$5:BM48)</f>
        <v>0</v>
      </c>
      <c r="DE48" s="14">
        <f>SUM(BN$5:BN48)</f>
        <v>0</v>
      </c>
      <c r="DF48" s="14">
        <f>SUM(BO$5:BO48)</f>
        <v>0</v>
      </c>
      <c r="DG48" s="14">
        <f>SUM(BP$5:BP48)</f>
        <v>0</v>
      </c>
      <c r="DH48" s="14">
        <f>SUM(BQ$5:BQ48)</f>
        <v>0</v>
      </c>
      <c r="DI48" s="14">
        <f>SUM(BR$5:BR48)</f>
        <v>0</v>
      </c>
      <c r="DJ48" s="14">
        <f>SUM(BS$5:BS48)</f>
        <v>0</v>
      </c>
      <c r="DK48" s="14">
        <f>SUM(BT$5:BT48)</f>
        <v>0</v>
      </c>
      <c r="DL48" s="14">
        <f>SUM(BU$5:BU48)</f>
        <v>0</v>
      </c>
      <c r="DM48" s="14">
        <f>SUM(BV$5:BV48)</f>
        <v>0</v>
      </c>
      <c r="DN48" s="14">
        <f>SUM(BW$5:BW48)</f>
        <v>0</v>
      </c>
      <c r="DO48" s="14">
        <f>SUM(BX$5:BX48)</f>
        <v>0</v>
      </c>
      <c r="DP48" s="14">
        <f>SUM(BY$5:BY48)</f>
        <v>0</v>
      </c>
      <c r="DQ48" s="14">
        <f>SUM(BZ$5:BZ48)</f>
        <v>0</v>
      </c>
      <c r="DR48" s="14">
        <f>SUM(CA$5:CA48)</f>
        <v>0</v>
      </c>
      <c r="DS48" s="14">
        <f>SUM(CB$5:CB48)</f>
        <v>0</v>
      </c>
      <c r="DT48" s="14">
        <f>SUM(CC$5:CC48)</f>
        <v>0</v>
      </c>
      <c r="DU48" s="14">
        <f>SUM(CD$5:CD48)</f>
        <v>0</v>
      </c>
      <c r="DV48" s="14">
        <f>SUM(CE$5:CE48)</f>
        <v>0</v>
      </c>
      <c r="DW48" s="14">
        <f>SUM(CF$5:CF48)</f>
        <v>0</v>
      </c>
      <c r="DX48" s="14">
        <f>SUM(CG$5:CG48)</f>
        <v>0</v>
      </c>
      <c r="DY48" s="14">
        <f>SUM(CH$5:CH48)</f>
        <v>0</v>
      </c>
      <c r="DZ48" s="14">
        <f>SUM(CI$5:CI48)</f>
        <v>0</v>
      </c>
      <c r="EA48" s="14">
        <f>SUM(CJ$5:CJ48)</f>
        <v>0</v>
      </c>
      <c r="EB48" s="14">
        <f>SUM(CK$5:CK48)</f>
        <v>0</v>
      </c>
      <c r="EC48" s="14">
        <f>SUM(CL$5:CL48)</f>
        <v>0</v>
      </c>
      <c r="ED48" s="14">
        <f>SUM(CM$5:CM48)</f>
        <v>0</v>
      </c>
      <c r="EE48" s="14">
        <f>SUM(CN$5:CN48)</f>
        <v>0</v>
      </c>
      <c r="EF48" s="14">
        <f>SUM(CO$5:CO48)</f>
        <v>0</v>
      </c>
      <c r="EG48" s="14">
        <f>SUM(CP$5:CP48)</f>
        <v>0</v>
      </c>
      <c r="EH48" s="14">
        <f>SUM(CQ$5:CQ48)</f>
        <v>0</v>
      </c>
      <c r="EI48" s="14">
        <f>SUM(CR$5:CR48)</f>
        <v>0</v>
      </c>
      <c r="EJ48" s="14">
        <f>SUM(CS$5:CS48)</f>
        <v>0</v>
      </c>
      <c r="EK48" s="14">
        <f>SUM(CT$5:CT48)</f>
        <v>0</v>
      </c>
      <c r="EL48" s="14">
        <f>SUM(CU$5:CU48)</f>
        <v>0</v>
      </c>
      <c r="EO48" s="87">
        <f t="shared" ref="EO48:EO64" si="68">MATCH(CW48,$AD$5:$AD$26,1)-1</f>
        <v>0</v>
      </c>
      <c r="EP48" s="87">
        <f t="shared" ref="EP48:EP62" si="69">MATCH(CX48,$AD$5:$AD$26,1)-1</f>
        <v>0</v>
      </c>
      <c r="EQ48" s="87">
        <f t="shared" ref="EQ48:EQ62" si="70">MATCH(CY48,$AD$5:$AD$26,1)-1</f>
        <v>0</v>
      </c>
      <c r="ER48" s="87">
        <f t="shared" ref="ER48:ER62" si="71">MATCH(CZ48,$AD$5:$AD$26,1)-1</f>
        <v>0</v>
      </c>
      <c r="ES48" s="87">
        <f t="shared" ref="ES48:ES62" si="72">MATCH(DA48,$AD$5:$AD$26,1)-1</f>
        <v>0</v>
      </c>
      <c r="ET48" s="87">
        <f t="shared" ref="ET48:ET62" si="73">MATCH(DB48,$AD$5:$AD$26,1)-1</f>
        <v>0</v>
      </c>
      <c r="EU48" s="87">
        <f t="shared" ref="EU48:EU62" si="74">MATCH(DC48,$AD$5:$AD$26,1)-1</f>
        <v>0</v>
      </c>
      <c r="EV48" s="87">
        <f t="shared" ref="EV48:EV62" si="75">MATCH(DD48,$AD$5:$AD$26,1)-1</f>
        <v>0</v>
      </c>
      <c r="EW48" s="87">
        <f t="shared" ref="EW48:EW62" si="76">MATCH(DE48,$AD$5:$AD$26,1)-1</f>
        <v>0</v>
      </c>
      <c r="EX48" s="87">
        <f t="shared" ref="EX48:EX62" si="77">MATCH(DF48,$AD$5:$AD$26,1)-1</f>
        <v>0</v>
      </c>
      <c r="EY48" s="87">
        <f t="shared" ref="EY48:EY62" si="78">MATCH(DG48,$AD$5:$AD$26,1)-1</f>
        <v>0</v>
      </c>
      <c r="EZ48" s="87">
        <f t="shared" ref="EZ48:EZ62" si="79">MATCH(DH48,$AD$5:$AD$26,1)-1</f>
        <v>0</v>
      </c>
      <c r="FA48" s="87">
        <f t="shared" ref="FA48:FA62" si="80">MATCH(DI48,$AD$5:$AD$26,1)-1</f>
        <v>0</v>
      </c>
      <c r="FB48" s="87">
        <f t="shared" ref="FB48:FB62" si="81">MATCH(DJ48,$AD$5:$AD$26,1)-1</f>
        <v>0</v>
      </c>
      <c r="FC48" s="87">
        <f t="shared" ref="FC48:FC62" si="82">MATCH(DK48,$AD$5:$AD$26,1)-1</f>
        <v>0</v>
      </c>
      <c r="FD48" s="87">
        <f t="shared" ref="FD48:FD62" si="83">MATCH(DL48,$AD$5:$AD$26,1)-1</f>
        <v>0</v>
      </c>
      <c r="FE48" s="87">
        <f t="shared" ref="FE48:FE62" si="84">MATCH(DM48,$AD$5:$AD$26,1)-1</f>
        <v>0</v>
      </c>
      <c r="FF48" s="87">
        <f t="shared" ref="FF48:FF62" si="85">MATCH(DN48,$AD$5:$AD$26,1)-1</f>
        <v>0</v>
      </c>
      <c r="FG48" s="87">
        <f t="shared" ref="FG48:FG62" si="86">MATCH(DO48,$AD$5:$AD$26,1)-1</f>
        <v>0</v>
      </c>
      <c r="FH48" s="87">
        <f t="shared" ref="FH48:FH62" si="87">MATCH(DP48,$AD$5:$AD$26,1)-1</f>
        <v>0</v>
      </c>
      <c r="FI48" s="87">
        <f t="shared" ref="FI48:FI62" si="88">MATCH(DQ48,$AD$5:$AD$26,1)-1</f>
        <v>0</v>
      </c>
      <c r="FJ48" s="87">
        <f t="shared" ref="FJ48:FJ62" si="89">MATCH(DR48,$AD$5:$AD$26,1)-1</f>
        <v>0</v>
      </c>
      <c r="FK48" s="87">
        <f t="shared" ref="FK48:FK62" si="90">MATCH(DS48,$AD$5:$AD$26,1)-1</f>
        <v>0</v>
      </c>
      <c r="FL48" s="87">
        <f t="shared" ref="FL48:FL62" si="91">MATCH(DT48,$AD$5:$AD$26,1)-1</f>
        <v>0</v>
      </c>
      <c r="FM48" s="87">
        <f t="shared" ref="FM48:FM62" si="92">MATCH(DU48,$AD$5:$AD$26,1)-1</f>
        <v>0</v>
      </c>
      <c r="FN48" s="87">
        <f t="shared" ref="FN48:FN62" si="93">MATCH(DV48,$AD$5:$AD$26,1)-1</f>
        <v>0</v>
      </c>
      <c r="FO48" s="87">
        <f t="shared" ref="FO48:FO62" si="94">MATCH(DW48,$AD$5:$AD$26,1)-1</f>
        <v>0</v>
      </c>
      <c r="FP48" s="87">
        <f t="shared" ref="FP48:FP62" si="95">MATCH(DX48,$AD$5:$AD$26,1)-1</f>
        <v>0</v>
      </c>
      <c r="FQ48" s="87">
        <f t="shared" ref="FQ48:FQ62" si="96">MATCH(DY48,$AD$5:$AD$26,1)-1</f>
        <v>0</v>
      </c>
      <c r="FR48" s="87">
        <f t="shared" ref="FR48:FR62" si="97">MATCH(DZ48,$AD$5:$AD$26,1)-1</f>
        <v>0</v>
      </c>
      <c r="FS48" s="87">
        <f t="shared" ref="FS48:FS62" si="98">MATCH(EA48,$AD$5:$AD$26,1)-1</f>
        <v>0</v>
      </c>
      <c r="FT48" s="87">
        <f t="shared" ref="FT48:FT62" si="99">MATCH(EB48,$AD$5:$AD$26,1)-1</f>
        <v>0</v>
      </c>
      <c r="FU48" s="87">
        <f t="shared" ref="FU48:FU62" si="100">MATCH(EC48,$AD$5:$AD$26,1)-1</f>
        <v>0</v>
      </c>
      <c r="FV48" s="87">
        <f t="shared" ref="FV48:FV62" si="101">MATCH(ED48,$AD$5:$AD$26,1)-1</f>
        <v>0</v>
      </c>
      <c r="FW48" s="87">
        <f t="shared" ref="FW48:FW62" si="102">MATCH(EE48,$AD$5:$AD$26,1)-1</f>
        <v>0</v>
      </c>
      <c r="FX48" s="87">
        <f t="shared" ref="FX48:FX62" si="103">MATCH(EF48,$AD$5:$AD$26,1)-1</f>
        <v>0</v>
      </c>
      <c r="FY48" s="87">
        <f t="shared" ref="FY48:FY62" si="104">MATCH(EG48,$AD$5:$AD$26,1)-1</f>
        <v>0</v>
      </c>
      <c r="FZ48" s="87">
        <f t="shared" ref="FZ48:FZ62" si="105">MATCH(EH48,$AD$5:$AD$26,1)-1</f>
        <v>0</v>
      </c>
      <c r="GA48" s="87">
        <f t="shared" ref="GA48:GA62" si="106">MATCH(EI48,$AD$5:$AD$26,1)-1</f>
        <v>0</v>
      </c>
      <c r="GB48" s="87">
        <f t="shared" ref="GB48:GB62" si="107">MATCH(EJ48,$AD$5:$AD$26,1)-1</f>
        <v>0</v>
      </c>
      <c r="GC48" s="87">
        <f t="shared" ref="GC48:GC62" si="108">MATCH(EK48,$AD$5:$AD$26,1)-1</f>
        <v>0</v>
      </c>
      <c r="GD48" s="87">
        <f t="shared" ref="GD48:GD62" si="109">MATCH(EL48,$AD$5:$AD$26,1)-1</f>
        <v>0</v>
      </c>
    </row>
    <row r="49" spans="41:186" ht="16.5" x14ac:dyDescent="0.2">
      <c r="AO49" s="48">
        <v>5</v>
      </c>
      <c r="AP49" s="86">
        <v>11</v>
      </c>
      <c r="AQ49" s="86">
        <v>1</v>
      </c>
      <c r="AR49" s="48">
        <v>3</v>
      </c>
      <c r="AS49" s="86" t="s">
        <v>317</v>
      </c>
      <c r="AT49" s="21">
        <f t="shared" si="61"/>
        <v>8.8000000000000009E-2</v>
      </c>
      <c r="AU49" s="86">
        <f t="shared" si="5"/>
        <v>2</v>
      </c>
      <c r="AV49" s="86">
        <f t="shared" si="6"/>
        <v>4</v>
      </c>
      <c r="AW49" s="87">
        <f t="shared" si="7"/>
        <v>0.26400000000000001</v>
      </c>
      <c r="AX49" s="86">
        <f t="shared" si="8"/>
        <v>15.84</v>
      </c>
      <c r="BA49" s="86">
        <v>45</v>
      </c>
      <c r="BB49" s="14" t="e">
        <f>INDEX(节奏总表!#REF!,神器!BA49)</f>
        <v>#REF!</v>
      </c>
      <c r="BC49" s="14" t="e">
        <f t="shared" si="9"/>
        <v>#REF!</v>
      </c>
      <c r="BD49" s="14">
        <v>5</v>
      </c>
      <c r="BE49" s="14">
        <v>3</v>
      </c>
      <c r="BF49" s="14">
        <f t="shared" si="60"/>
        <v>0</v>
      </c>
      <c r="BG49" s="14">
        <f t="shared" si="67"/>
        <v>0</v>
      </c>
      <c r="BH49" s="14">
        <f t="shared" si="67"/>
        <v>0</v>
      </c>
      <c r="BI49" s="14">
        <f t="shared" si="67"/>
        <v>0</v>
      </c>
      <c r="BJ49" s="14">
        <f t="shared" si="67"/>
        <v>0</v>
      </c>
      <c r="BK49" s="14">
        <f t="shared" si="67"/>
        <v>0</v>
      </c>
      <c r="BL49" s="14">
        <f t="shared" si="67"/>
        <v>0</v>
      </c>
      <c r="BM49" s="14">
        <f t="shared" si="67"/>
        <v>0</v>
      </c>
      <c r="BN49" s="14">
        <f t="shared" si="67"/>
        <v>0</v>
      </c>
      <c r="BO49" s="14">
        <f t="shared" si="67"/>
        <v>0</v>
      </c>
      <c r="BP49" s="14">
        <f t="shared" si="67"/>
        <v>0</v>
      </c>
      <c r="BQ49" s="14">
        <f t="shared" si="67"/>
        <v>0</v>
      </c>
      <c r="BR49" s="14">
        <f t="shared" si="67"/>
        <v>0</v>
      </c>
      <c r="BS49" s="14">
        <f t="shared" si="67"/>
        <v>0</v>
      </c>
      <c r="BT49" s="14">
        <f t="shared" si="67"/>
        <v>0</v>
      </c>
      <c r="BU49" s="14">
        <f t="shared" si="67"/>
        <v>0</v>
      </c>
      <c r="BV49" s="14">
        <f t="shared" si="67"/>
        <v>0</v>
      </c>
      <c r="BW49" s="14">
        <f t="shared" si="67"/>
        <v>0</v>
      </c>
      <c r="BX49" s="14">
        <f t="shared" si="67"/>
        <v>0</v>
      </c>
      <c r="BY49" s="14">
        <f t="shared" si="67"/>
        <v>0</v>
      </c>
      <c r="BZ49" s="14">
        <f t="shared" si="67"/>
        <v>0</v>
      </c>
      <c r="CA49" s="14">
        <f t="shared" si="67"/>
        <v>0</v>
      </c>
      <c r="CB49" s="14">
        <f t="shared" si="67"/>
        <v>0</v>
      </c>
      <c r="CC49" s="14">
        <f t="shared" si="67"/>
        <v>0</v>
      </c>
      <c r="CD49" s="14">
        <f t="shared" si="67"/>
        <v>0</v>
      </c>
      <c r="CE49" s="14">
        <f t="shared" si="67"/>
        <v>0</v>
      </c>
      <c r="CF49" s="14">
        <f t="shared" si="67"/>
        <v>0</v>
      </c>
      <c r="CG49" s="14">
        <f t="shared" si="67"/>
        <v>0</v>
      </c>
      <c r="CH49" s="14">
        <f t="shared" si="67"/>
        <v>0</v>
      </c>
      <c r="CI49" s="14">
        <f t="shared" si="67"/>
        <v>0</v>
      </c>
      <c r="CJ49" s="14">
        <f t="shared" si="67"/>
        <v>0</v>
      </c>
      <c r="CK49" s="14">
        <f t="shared" si="67"/>
        <v>0</v>
      </c>
      <c r="CL49" s="14">
        <f t="shared" si="67"/>
        <v>0</v>
      </c>
      <c r="CM49" s="14">
        <f t="shared" si="67"/>
        <v>0</v>
      </c>
      <c r="CN49" s="14">
        <f t="shared" si="67"/>
        <v>0</v>
      </c>
      <c r="CO49" s="14">
        <f t="shared" si="67"/>
        <v>0</v>
      </c>
      <c r="CP49" s="14">
        <f t="shared" si="67"/>
        <v>0</v>
      </c>
      <c r="CQ49" s="14">
        <f t="shared" si="67"/>
        <v>0</v>
      </c>
      <c r="CR49" s="14">
        <f t="shared" si="67"/>
        <v>0</v>
      </c>
      <c r="CS49" s="14">
        <f t="shared" si="67"/>
        <v>0</v>
      </c>
      <c r="CT49" s="14">
        <f t="shared" si="67"/>
        <v>0</v>
      </c>
      <c r="CU49" s="14">
        <f t="shared" si="67"/>
        <v>0</v>
      </c>
      <c r="CW49" s="14">
        <f>SUM(BF$5:BF49)</f>
        <v>0</v>
      </c>
      <c r="CX49" s="14">
        <f>SUM(BG$5:BG49)</f>
        <v>0</v>
      </c>
      <c r="CY49" s="14">
        <f>SUM(BH$5:BH49)</f>
        <v>0</v>
      </c>
      <c r="CZ49" s="14">
        <f>SUM(BI$5:BI49)</f>
        <v>0</v>
      </c>
      <c r="DA49" s="14">
        <f>SUM(BJ$5:BJ49)</f>
        <v>0</v>
      </c>
      <c r="DB49" s="14">
        <f>SUM(BK$5:BK49)</f>
        <v>0</v>
      </c>
      <c r="DC49" s="14">
        <f>SUM(BL$5:BL49)</f>
        <v>0</v>
      </c>
      <c r="DD49" s="14">
        <f>SUM(BM$5:BM49)</f>
        <v>0</v>
      </c>
      <c r="DE49" s="14">
        <f>SUM(BN$5:BN49)</f>
        <v>0</v>
      </c>
      <c r="DF49" s="14">
        <f>SUM(BO$5:BO49)</f>
        <v>0</v>
      </c>
      <c r="DG49" s="14">
        <f>SUM(BP$5:BP49)</f>
        <v>0</v>
      </c>
      <c r="DH49" s="14">
        <f>SUM(BQ$5:BQ49)</f>
        <v>0</v>
      </c>
      <c r="DI49" s="14">
        <f>SUM(BR$5:BR49)</f>
        <v>0</v>
      </c>
      <c r="DJ49" s="14">
        <f>SUM(BS$5:BS49)</f>
        <v>0</v>
      </c>
      <c r="DK49" s="14">
        <f>SUM(BT$5:BT49)</f>
        <v>0</v>
      </c>
      <c r="DL49" s="14">
        <f>SUM(BU$5:BU49)</f>
        <v>0</v>
      </c>
      <c r="DM49" s="14">
        <f>SUM(BV$5:BV49)</f>
        <v>0</v>
      </c>
      <c r="DN49" s="14">
        <f>SUM(BW$5:BW49)</f>
        <v>0</v>
      </c>
      <c r="DO49" s="14">
        <f>SUM(BX$5:BX49)</f>
        <v>0</v>
      </c>
      <c r="DP49" s="14">
        <f>SUM(BY$5:BY49)</f>
        <v>0</v>
      </c>
      <c r="DQ49" s="14">
        <f>SUM(BZ$5:BZ49)</f>
        <v>0</v>
      </c>
      <c r="DR49" s="14">
        <f>SUM(CA$5:CA49)</f>
        <v>0</v>
      </c>
      <c r="DS49" s="14">
        <f>SUM(CB$5:CB49)</f>
        <v>0</v>
      </c>
      <c r="DT49" s="14">
        <f>SUM(CC$5:CC49)</f>
        <v>0</v>
      </c>
      <c r="DU49" s="14">
        <f>SUM(CD$5:CD49)</f>
        <v>0</v>
      </c>
      <c r="DV49" s="14">
        <f>SUM(CE$5:CE49)</f>
        <v>0</v>
      </c>
      <c r="DW49" s="14">
        <f>SUM(CF$5:CF49)</f>
        <v>0</v>
      </c>
      <c r="DX49" s="14">
        <f>SUM(CG$5:CG49)</f>
        <v>0</v>
      </c>
      <c r="DY49" s="14">
        <f>SUM(CH$5:CH49)</f>
        <v>0</v>
      </c>
      <c r="DZ49" s="14">
        <f>SUM(CI$5:CI49)</f>
        <v>0</v>
      </c>
      <c r="EA49" s="14">
        <f>SUM(CJ$5:CJ49)</f>
        <v>0</v>
      </c>
      <c r="EB49" s="14">
        <f>SUM(CK$5:CK49)</f>
        <v>0</v>
      </c>
      <c r="EC49" s="14">
        <f>SUM(CL$5:CL49)</f>
        <v>0</v>
      </c>
      <c r="ED49" s="14">
        <f>SUM(CM$5:CM49)</f>
        <v>0</v>
      </c>
      <c r="EE49" s="14">
        <f>SUM(CN$5:CN49)</f>
        <v>0</v>
      </c>
      <c r="EF49" s="14">
        <f>SUM(CO$5:CO49)</f>
        <v>0</v>
      </c>
      <c r="EG49" s="14">
        <f>SUM(CP$5:CP49)</f>
        <v>0</v>
      </c>
      <c r="EH49" s="14">
        <f>SUM(CQ$5:CQ49)</f>
        <v>0</v>
      </c>
      <c r="EI49" s="14">
        <f>SUM(CR$5:CR49)</f>
        <v>0</v>
      </c>
      <c r="EJ49" s="14">
        <f>SUM(CS$5:CS49)</f>
        <v>0</v>
      </c>
      <c r="EK49" s="14">
        <f>SUM(CT$5:CT49)</f>
        <v>0</v>
      </c>
      <c r="EL49" s="14">
        <f>SUM(CU$5:CU49)</f>
        <v>0</v>
      </c>
      <c r="EO49" s="87">
        <f t="shared" si="68"/>
        <v>0</v>
      </c>
      <c r="EP49" s="87">
        <f t="shared" si="69"/>
        <v>0</v>
      </c>
      <c r="EQ49" s="87">
        <f t="shared" si="70"/>
        <v>0</v>
      </c>
      <c r="ER49" s="87">
        <f t="shared" si="71"/>
        <v>0</v>
      </c>
      <c r="ES49" s="87">
        <f t="shared" si="72"/>
        <v>0</v>
      </c>
      <c r="ET49" s="87">
        <f t="shared" si="73"/>
        <v>0</v>
      </c>
      <c r="EU49" s="87">
        <f t="shared" si="74"/>
        <v>0</v>
      </c>
      <c r="EV49" s="87">
        <f t="shared" si="75"/>
        <v>0</v>
      </c>
      <c r="EW49" s="87">
        <f t="shared" si="76"/>
        <v>0</v>
      </c>
      <c r="EX49" s="87">
        <f t="shared" si="77"/>
        <v>0</v>
      </c>
      <c r="EY49" s="87">
        <f t="shared" si="78"/>
        <v>0</v>
      </c>
      <c r="EZ49" s="87">
        <f t="shared" si="79"/>
        <v>0</v>
      </c>
      <c r="FA49" s="87">
        <f t="shared" si="80"/>
        <v>0</v>
      </c>
      <c r="FB49" s="87">
        <f t="shared" si="81"/>
        <v>0</v>
      </c>
      <c r="FC49" s="87">
        <f t="shared" si="82"/>
        <v>0</v>
      </c>
      <c r="FD49" s="87">
        <f t="shared" si="83"/>
        <v>0</v>
      </c>
      <c r="FE49" s="87">
        <f t="shared" si="84"/>
        <v>0</v>
      </c>
      <c r="FF49" s="87">
        <f t="shared" si="85"/>
        <v>0</v>
      </c>
      <c r="FG49" s="87">
        <f t="shared" si="86"/>
        <v>0</v>
      </c>
      <c r="FH49" s="87">
        <f t="shared" si="87"/>
        <v>0</v>
      </c>
      <c r="FI49" s="87">
        <f t="shared" si="88"/>
        <v>0</v>
      </c>
      <c r="FJ49" s="87">
        <f t="shared" si="89"/>
        <v>0</v>
      </c>
      <c r="FK49" s="87">
        <f t="shared" si="90"/>
        <v>0</v>
      </c>
      <c r="FL49" s="87">
        <f t="shared" si="91"/>
        <v>0</v>
      </c>
      <c r="FM49" s="87">
        <f t="shared" si="92"/>
        <v>0</v>
      </c>
      <c r="FN49" s="87">
        <f t="shared" si="93"/>
        <v>0</v>
      </c>
      <c r="FO49" s="87">
        <f t="shared" si="94"/>
        <v>0</v>
      </c>
      <c r="FP49" s="87">
        <f t="shared" si="95"/>
        <v>0</v>
      </c>
      <c r="FQ49" s="87">
        <f t="shared" si="96"/>
        <v>0</v>
      </c>
      <c r="FR49" s="87">
        <f t="shared" si="97"/>
        <v>0</v>
      </c>
      <c r="FS49" s="87">
        <f t="shared" si="98"/>
        <v>0</v>
      </c>
      <c r="FT49" s="87">
        <f t="shared" si="99"/>
        <v>0</v>
      </c>
      <c r="FU49" s="87">
        <f t="shared" si="100"/>
        <v>0</v>
      </c>
      <c r="FV49" s="87">
        <f t="shared" si="101"/>
        <v>0</v>
      </c>
      <c r="FW49" s="87">
        <f t="shared" si="102"/>
        <v>0</v>
      </c>
      <c r="FX49" s="87">
        <f t="shared" si="103"/>
        <v>0</v>
      </c>
      <c r="FY49" s="87">
        <f t="shared" si="104"/>
        <v>0</v>
      </c>
      <c r="FZ49" s="87">
        <f t="shared" si="105"/>
        <v>0</v>
      </c>
      <c r="GA49" s="87">
        <f t="shared" si="106"/>
        <v>0</v>
      </c>
      <c r="GB49" s="87">
        <f t="shared" si="107"/>
        <v>0</v>
      </c>
      <c r="GC49" s="87">
        <f t="shared" si="108"/>
        <v>0</v>
      </c>
      <c r="GD49" s="87">
        <f t="shared" si="109"/>
        <v>0</v>
      </c>
    </row>
    <row r="50" spans="41:186" ht="16.5" x14ac:dyDescent="0.2">
      <c r="AO50" s="48">
        <v>5</v>
      </c>
      <c r="AP50" s="86">
        <v>12</v>
      </c>
      <c r="AQ50" s="86">
        <v>1</v>
      </c>
      <c r="AR50" s="48">
        <v>3</v>
      </c>
      <c r="AS50" s="86" t="s">
        <v>318</v>
      </c>
      <c r="AT50" s="21">
        <f t="shared" si="61"/>
        <v>8.8000000000000009E-2</v>
      </c>
      <c r="AU50" s="86">
        <f t="shared" si="5"/>
        <v>2</v>
      </c>
      <c r="AV50" s="86">
        <f t="shared" si="6"/>
        <v>4</v>
      </c>
      <c r="AW50" s="87">
        <f t="shared" si="7"/>
        <v>0.26400000000000001</v>
      </c>
      <c r="AX50" s="86">
        <f t="shared" si="8"/>
        <v>15.84</v>
      </c>
      <c r="BA50" s="86">
        <v>46</v>
      </c>
      <c r="BB50" s="14" t="e">
        <f>INDEX(节奏总表!#REF!,神器!BA50)</f>
        <v>#REF!</v>
      </c>
      <c r="BC50" s="14" t="e">
        <f t="shared" si="9"/>
        <v>#REF!</v>
      </c>
      <c r="BD50" s="14">
        <v>5</v>
      </c>
      <c r="BE50" s="14">
        <v>3</v>
      </c>
      <c r="BF50" s="14">
        <f t="shared" si="60"/>
        <v>0</v>
      </c>
      <c r="BG50" s="14">
        <f t="shared" si="67"/>
        <v>0</v>
      </c>
      <c r="BH50" s="14">
        <f t="shared" si="67"/>
        <v>0</v>
      </c>
      <c r="BI50" s="14">
        <f t="shared" si="67"/>
        <v>0</v>
      </c>
      <c r="BJ50" s="14">
        <f t="shared" si="67"/>
        <v>0</v>
      </c>
      <c r="BK50" s="14">
        <f t="shared" si="67"/>
        <v>0</v>
      </c>
      <c r="BL50" s="14">
        <f t="shared" si="67"/>
        <v>0</v>
      </c>
      <c r="BM50" s="14">
        <f t="shared" si="67"/>
        <v>0</v>
      </c>
      <c r="BN50" s="14">
        <f t="shared" si="67"/>
        <v>0</v>
      </c>
      <c r="BO50" s="14">
        <f t="shared" si="67"/>
        <v>0</v>
      </c>
      <c r="BP50" s="14">
        <f t="shared" si="67"/>
        <v>0</v>
      </c>
      <c r="BQ50" s="14">
        <f t="shared" si="67"/>
        <v>0</v>
      </c>
      <c r="BR50" s="14">
        <f t="shared" si="67"/>
        <v>0</v>
      </c>
      <c r="BS50" s="14">
        <f t="shared" si="67"/>
        <v>0</v>
      </c>
      <c r="BT50" s="14">
        <f t="shared" si="67"/>
        <v>0</v>
      </c>
      <c r="BU50" s="14">
        <f t="shared" si="67"/>
        <v>0</v>
      </c>
      <c r="BV50" s="14">
        <f t="shared" si="67"/>
        <v>0</v>
      </c>
      <c r="BW50" s="14">
        <f t="shared" si="67"/>
        <v>0</v>
      </c>
      <c r="BX50" s="14">
        <f t="shared" si="67"/>
        <v>0</v>
      </c>
      <c r="BY50" s="14">
        <f t="shared" si="67"/>
        <v>0</v>
      </c>
      <c r="BZ50" s="14">
        <f t="shared" si="67"/>
        <v>0</v>
      </c>
      <c r="CA50" s="14">
        <f t="shared" si="67"/>
        <v>0</v>
      </c>
      <c r="CB50" s="14">
        <f t="shared" si="67"/>
        <v>0</v>
      </c>
      <c r="CC50" s="14">
        <f t="shared" si="67"/>
        <v>0</v>
      </c>
      <c r="CD50" s="14">
        <f t="shared" si="67"/>
        <v>0</v>
      </c>
      <c r="CE50" s="14">
        <f t="shared" si="67"/>
        <v>0</v>
      </c>
      <c r="CF50" s="14">
        <f t="shared" si="67"/>
        <v>0</v>
      </c>
      <c r="CG50" s="14">
        <f t="shared" si="67"/>
        <v>0</v>
      </c>
      <c r="CH50" s="14">
        <f t="shared" si="67"/>
        <v>0</v>
      </c>
      <c r="CI50" s="14">
        <f t="shared" si="67"/>
        <v>0</v>
      </c>
      <c r="CJ50" s="14">
        <f t="shared" si="67"/>
        <v>0</v>
      </c>
      <c r="CK50" s="14">
        <f t="shared" si="67"/>
        <v>0</v>
      </c>
      <c r="CL50" s="14">
        <f t="shared" si="67"/>
        <v>0</v>
      </c>
      <c r="CM50" s="14">
        <f t="shared" si="67"/>
        <v>0</v>
      </c>
      <c r="CN50" s="14">
        <f t="shared" si="67"/>
        <v>0</v>
      </c>
      <c r="CO50" s="14">
        <f t="shared" si="67"/>
        <v>0</v>
      </c>
      <c r="CP50" s="14">
        <f t="shared" si="67"/>
        <v>0</v>
      </c>
      <c r="CQ50" s="14">
        <f t="shared" si="67"/>
        <v>0</v>
      </c>
      <c r="CR50" s="14">
        <f t="shared" si="67"/>
        <v>0</v>
      </c>
      <c r="CS50" s="14">
        <f t="shared" si="67"/>
        <v>0</v>
      </c>
      <c r="CT50" s="14">
        <f t="shared" si="67"/>
        <v>0</v>
      </c>
      <c r="CU50" s="14">
        <f t="shared" si="67"/>
        <v>0</v>
      </c>
      <c r="CW50" s="14">
        <f>SUM(BF$5:BF50)</f>
        <v>0</v>
      </c>
      <c r="CX50" s="14">
        <f>SUM(BG$5:BG50)</f>
        <v>0</v>
      </c>
      <c r="CY50" s="14">
        <f>SUM(BH$5:BH50)</f>
        <v>0</v>
      </c>
      <c r="CZ50" s="14">
        <f>SUM(BI$5:BI50)</f>
        <v>0</v>
      </c>
      <c r="DA50" s="14">
        <f>SUM(BJ$5:BJ50)</f>
        <v>0</v>
      </c>
      <c r="DB50" s="14">
        <f>SUM(BK$5:BK50)</f>
        <v>0</v>
      </c>
      <c r="DC50" s="14">
        <f>SUM(BL$5:BL50)</f>
        <v>0</v>
      </c>
      <c r="DD50" s="14">
        <f>SUM(BM$5:BM50)</f>
        <v>0</v>
      </c>
      <c r="DE50" s="14">
        <f>SUM(BN$5:BN50)</f>
        <v>0</v>
      </c>
      <c r="DF50" s="14">
        <f>SUM(BO$5:BO50)</f>
        <v>0</v>
      </c>
      <c r="DG50" s="14">
        <f>SUM(BP$5:BP50)</f>
        <v>0</v>
      </c>
      <c r="DH50" s="14">
        <f>SUM(BQ$5:BQ50)</f>
        <v>0</v>
      </c>
      <c r="DI50" s="14">
        <f>SUM(BR$5:BR50)</f>
        <v>0</v>
      </c>
      <c r="DJ50" s="14">
        <f>SUM(BS$5:BS50)</f>
        <v>0</v>
      </c>
      <c r="DK50" s="14">
        <f>SUM(BT$5:BT50)</f>
        <v>0</v>
      </c>
      <c r="DL50" s="14">
        <f>SUM(BU$5:BU50)</f>
        <v>0</v>
      </c>
      <c r="DM50" s="14">
        <f>SUM(BV$5:BV50)</f>
        <v>0</v>
      </c>
      <c r="DN50" s="14">
        <f>SUM(BW$5:BW50)</f>
        <v>0</v>
      </c>
      <c r="DO50" s="14">
        <f>SUM(BX$5:BX50)</f>
        <v>0</v>
      </c>
      <c r="DP50" s="14">
        <f>SUM(BY$5:BY50)</f>
        <v>0</v>
      </c>
      <c r="DQ50" s="14">
        <f>SUM(BZ$5:BZ50)</f>
        <v>0</v>
      </c>
      <c r="DR50" s="14">
        <f>SUM(CA$5:CA50)</f>
        <v>0</v>
      </c>
      <c r="DS50" s="14">
        <f>SUM(CB$5:CB50)</f>
        <v>0</v>
      </c>
      <c r="DT50" s="14">
        <f>SUM(CC$5:CC50)</f>
        <v>0</v>
      </c>
      <c r="DU50" s="14">
        <f>SUM(CD$5:CD50)</f>
        <v>0</v>
      </c>
      <c r="DV50" s="14">
        <f>SUM(CE$5:CE50)</f>
        <v>0</v>
      </c>
      <c r="DW50" s="14">
        <f>SUM(CF$5:CF50)</f>
        <v>0</v>
      </c>
      <c r="DX50" s="14">
        <f>SUM(CG$5:CG50)</f>
        <v>0</v>
      </c>
      <c r="DY50" s="14">
        <f>SUM(CH$5:CH50)</f>
        <v>0</v>
      </c>
      <c r="DZ50" s="14">
        <f>SUM(CI$5:CI50)</f>
        <v>0</v>
      </c>
      <c r="EA50" s="14">
        <f>SUM(CJ$5:CJ50)</f>
        <v>0</v>
      </c>
      <c r="EB50" s="14">
        <f>SUM(CK$5:CK50)</f>
        <v>0</v>
      </c>
      <c r="EC50" s="14">
        <f>SUM(CL$5:CL50)</f>
        <v>0</v>
      </c>
      <c r="ED50" s="14">
        <f>SUM(CM$5:CM50)</f>
        <v>0</v>
      </c>
      <c r="EE50" s="14">
        <f>SUM(CN$5:CN50)</f>
        <v>0</v>
      </c>
      <c r="EF50" s="14">
        <f>SUM(CO$5:CO50)</f>
        <v>0</v>
      </c>
      <c r="EG50" s="14">
        <f>SUM(CP$5:CP50)</f>
        <v>0</v>
      </c>
      <c r="EH50" s="14">
        <f>SUM(CQ$5:CQ50)</f>
        <v>0</v>
      </c>
      <c r="EI50" s="14">
        <f>SUM(CR$5:CR50)</f>
        <v>0</v>
      </c>
      <c r="EJ50" s="14">
        <f>SUM(CS$5:CS50)</f>
        <v>0</v>
      </c>
      <c r="EK50" s="14">
        <f>SUM(CT$5:CT50)</f>
        <v>0</v>
      </c>
      <c r="EL50" s="14">
        <f>SUM(CU$5:CU50)</f>
        <v>0</v>
      </c>
      <c r="EO50" s="87">
        <f t="shared" si="68"/>
        <v>0</v>
      </c>
      <c r="EP50" s="87">
        <f t="shared" si="69"/>
        <v>0</v>
      </c>
      <c r="EQ50" s="87">
        <f t="shared" si="70"/>
        <v>0</v>
      </c>
      <c r="ER50" s="87">
        <f t="shared" si="71"/>
        <v>0</v>
      </c>
      <c r="ES50" s="87">
        <f t="shared" si="72"/>
        <v>0</v>
      </c>
      <c r="ET50" s="87">
        <f t="shared" si="73"/>
        <v>0</v>
      </c>
      <c r="EU50" s="87">
        <f t="shared" si="74"/>
        <v>0</v>
      </c>
      <c r="EV50" s="87">
        <f t="shared" si="75"/>
        <v>0</v>
      </c>
      <c r="EW50" s="87">
        <f t="shared" si="76"/>
        <v>0</v>
      </c>
      <c r="EX50" s="87">
        <f t="shared" si="77"/>
        <v>0</v>
      </c>
      <c r="EY50" s="87">
        <f t="shared" si="78"/>
        <v>0</v>
      </c>
      <c r="EZ50" s="87">
        <f t="shared" si="79"/>
        <v>0</v>
      </c>
      <c r="FA50" s="87">
        <f t="shared" si="80"/>
        <v>0</v>
      </c>
      <c r="FB50" s="87">
        <f t="shared" si="81"/>
        <v>0</v>
      </c>
      <c r="FC50" s="87">
        <f t="shared" si="82"/>
        <v>0</v>
      </c>
      <c r="FD50" s="87">
        <f t="shared" si="83"/>
        <v>0</v>
      </c>
      <c r="FE50" s="87">
        <f t="shared" si="84"/>
        <v>0</v>
      </c>
      <c r="FF50" s="87">
        <f t="shared" si="85"/>
        <v>0</v>
      </c>
      <c r="FG50" s="87">
        <f t="shared" si="86"/>
        <v>0</v>
      </c>
      <c r="FH50" s="87">
        <f t="shared" si="87"/>
        <v>0</v>
      </c>
      <c r="FI50" s="87">
        <f t="shared" si="88"/>
        <v>0</v>
      </c>
      <c r="FJ50" s="87">
        <f t="shared" si="89"/>
        <v>0</v>
      </c>
      <c r="FK50" s="87">
        <f t="shared" si="90"/>
        <v>0</v>
      </c>
      <c r="FL50" s="87">
        <f t="shared" si="91"/>
        <v>0</v>
      </c>
      <c r="FM50" s="87">
        <f t="shared" si="92"/>
        <v>0</v>
      </c>
      <c r="FN50" s="87">
        <f t="shared" si="93"/>
        <v>0</v>
      </c>
      <c r="FO50" s="87">
        <f t="shared" si="94"/>
        <v>0</v>
      </c>
      <c r="FP50" s="87">
        <f t="shared" si="95"/>
        <v>0</v>
      </c>
      <c r="FQ50" s="87">
        <f t="shared" si="96"/>
        <v>0</v>
      </c>
      <c r="FR50" s="87">
        <f t="shared" si="97"/>
        <v>0</v>
      </c>
      <c r="FS50" s="87">
        <f t="shared" si="98"/>
        <v>0</v>
      </c>
      <c r="FT50" s="87">
        <f t="shared" si="99"/>
        <v>0</v>
      </c>
      <c r="FU50" s="87">
        <f t="shared" si="100"/>
        <v>0</v>
      </c>
      <c r="FV50" s="87">
        <f t="shared" si="101"/>
        <v>0</v>
      </c>
      <c r="FW50" s="87">
        <f t="shared" si="102"/>
        <v>0</v>
      </c>
      <c r="FX50" s="87">
        <f t="shared" si="103"/>
        <v>0</v>
      </c>
      <c r="FY50" s="87">
        <f t="shared" si="104"/>
        <v>0</v>
      </c>
      <c r="FZ50" s="87">
        <f t="shared" si="105"/>
        <v>0</v>
      </c>
      <c r="GA50" s="87">
        <f t="shared" si="106"/>
        <v>0</v>
      </c>
      <c r="GB50" s="87">
        <f t="shared" si="107"/>
        <v>0</v>
      </c>
      <c r="GC50" s="87">
        <f t="shared" si="108"/>
        <v>0</v>
      </c>
      <c r="GD50" s="87">
        <f t="shared" si="109"/>
        <v>0</v>
      </c>
    </row>
    <row r="51" spans="41:186" ht="16.5" x14ac:dyDescent="0.2">
      <c r="AO51" s="48">
        <v>5</v>
      </c>
      <c r="AP51" s="86">
        <v>13</v>
      </c>
      <c r="AQ51" s="86">
        <v>1</v>
      </c>
      <c r="AR51" s="48">
        <v>3</v>
      </c>
      <c r="AS51" s="86" t="s">
        <v>319</v>
      </c>
      <c r="AT51" s="21">
        <f t="shared" si="61"/>
        <v>6.6000000000000003E-2</v>
      </c>
      <c r="AU51" s="86">
        <f t="shared" si="5"/>
        <v>1</v>
      </c>
      <c r="AV51" s="86">
        <f t="shared" si="6"/>
        <v>3</v>
      </c>
      <c r="AW51" s="87">
        <f t="shared" si="7"/>
        <v>0.13200000000000001</v>
      </c>
      <c r="AX51" s="86">
        <f t="shared" si="8"/>
        <v>18.48</v>
      </c>
      <c r="BA51" s="86">
        <v>47</v>
      </c>
      <c r="BB51" s="14" t="e">
        <f>INDEX(节奏总表!#REF!,神器!BA51)</f>
        <v>#REF!</v>
      </c>
      <c r="BC51" s="14" t="e">
        <f t="shared" si="9"/>
        <v>#REF!</v>
      </c>
      <c r="BD51" s="14">
        <v>5</v>
      </c>
      <c r="BE51" s="14">
        <v>3</v>
      </c>
      <c r="BF51" s="14">
        <f t="shared" si="60"/>
        <v>0</v>
      </c>
      <c r="BG51" s="14">
        <f t="shared" si="67"/>
        <v>0</v>
      </c>
      <c r="BH51" s="14">
        <f t="shared" si="67"/>
        <v>0</v>
      </c>
      <c r="BI51" s="14">
        <f t="shared" si="67"/>
        <v>0</v>
      </c>
      <c r="BJ51" s="14">
        <f t="shared" si="67"/>
        <v>0</v>
      </c>
      <c r="BK51" s="14">
        <f t="shared" si="67"/>
        <v>0</v>
      </c>
      <c r="BL51" s="14">
        <f t="shared" si="67"/>
        <v>0</v>
      </c>
      <c r="BM51" s="14">
        <f t="shared" si="67"/>
        <v>0</v>
      </c>
      <c r="BN51" s="14">
        <f t="shared" si="67"/>
        <v>0</v>
      </c>
      <c r="BO51" s="14">
        <f t="shared" si="67"/>
        <v>0</v>
      </c>
      <c r="BP51" s="14">
        <f t="shared" si="67"/>
        <v>0</v>
      </c>
      <c r="BQ51" s="14">
        <f t="shared" si="67"/>
        <v>0</v>
      </c>
      <c r="BR51" s="14">
        <f t="shared" si="67"/>
        <v>0</v>
      </c>
      <c r="BS51" s="14">
        <f t="shared" si="67"/>
        <v>0</v>
      </c>
      <c r="BT51" s="14">
        <f t="shared" si="67"/>
        <v>0</v>
      </c>
      <c r="BU51" s="14">
        <f t="shared" si="67"/>
        <v>0</v>
      </c>
      <c r="BV51" s="14">
        <f t="shared" si="67"/>
        <v>0</v>
      </c>
      <c r="BW51" s="14">
        <f t="shared" si="67"/>
        <v>0</v>
      </c>
      <c r="BX51" s="14">
        <f t="shared" si="67"/>
        <v>0</v>
      </c>
      <c r="BY51" s="14">
        <f t="shared" si="67"/>
        <v>0</v>
      </c>
      <c r="BZ51" s="14">
        <f t="shared" si="67"/>
        <v>0</v>
      </c>
      <c r="CA51" s="14">
        <f t="shared" si="67"/>
        <v>0</v>
      </c>
      <c r="CB51" s="14">
        <f t="shared" si="67"/>
        <v>0</v>
      </c>
      <c r="CC51" s="14">
        <f t="shared" si="67"/>
        <v>0</v>
      </c>
      <c r="CD51" s="14">
        <f t="shared" si="67"/>
        <v>0</v>
      </c>
      <c r="CE51" s="14">
        <f t="shared" si="67"/>
        <v>0</v>
      </c>
      <c r="CF51" s="14">
        <f t="shared" si="67"/>
        <v>0</v>
      </c>
      <c r="CG51" s="14">
        <f t="shared" si="67"/>
        <v>0</v>
      </c>
      <c r="CH51" s="14">
        <f t="shared" si="67"/>
        <v>0</v>
      </c>
      <c r="CI51" s="14">
        <f t="shared" si="67"/>
        <v>0</v>
      </c>
      <c r="CJ51" s="14">
        <f t="shared" si="67"/>
        <v>0</v>
      </c>
      <c r="CK51" s="14">
        <f t="shared" si="67"/>
        <v>0</v>
      </c>
      <c r="CL51" s="14">
        <f t="shared" si="67"/>
        <v>0</v>
      </c>
      <c r="CM51" s="14">
        <f t="shared" si="67"/>
        <v>0</v>
      </c>
      <c r="CN51" s="14">
        <f t="shared" si="67"/>
        <v>0</v>
      </c>
      <c r="CO51" s="14">
        <f t="shared" si="67"/>
        <v>0</v>
      </c>
      <c r="CP51" s="14">
        <f t="shared" si="67"/>
        <v>0</v>
      </c>
      <c r="CQ51" s="14">
        <f t="shared" si="67"/>
        <v>0</v>
      </c>
      <c r="CR51" s="14">
        <f t="shared" si="67"/>
        <v>0</v>
      </c>
      <c r="CS51" s="14">
        <f t="shared" si="67"/>
        <v>0</v>
      </c>
      <c r="CT51" s="14">
        <f t="shared" si="67"/>
        <v>0</v>
      </c>
      <c r="CU51" s="14">
        <f t="shared" si="67"/>
        <v>0</v>
      </c>
      <c r="CW51" s="14">
        <f>SUM(BF$5:BF51)</f>
        <v>0</v>
      </c>
      <c r="CX51" s="14">
        <f>SUM(BG$5:BG51)</f>
        <v>0</v>
      </c>
      <c r="CY51" s="14">
        <f>SUM(BH$5:BH51)</f>
        <v>0</v>
      </c>
      <c r="CZ51" s="14">
        <f>SUM(BI$5:BI51)</f>
        <v>0</v>
      </c>
      <c r="DA51" s="14">
        <f>SUM(BJ$5:BJ51)</f>
        <v>0</v>
      </c>
      <c r="DB51" s="14">
        <f>SUM(BK$5:BK51)</f>
        <v>0</v>
      </c>
      <c r="DC51" s="14">
        <f>SUM(BL$5:BL51)</f>
        <v>0</v>
      </c>
      <c r="DD51" s="14">
        <f>SUM(BM$5:BM51)</f>
        <v>0</v>
      </c>
      <c r="DE51" s="14">
        <f>SUM(BN$5:BN51)</f>
        <v>0</v>
      </c>
      <c r="DF51" s="14">
        <f>SUM(BO$5:BO51)</f>
        <v>0</v>
      </c>
      <c r="DG51" s="14">
        <f>SUM(BP$5:BP51)</f>
        <v>0</v>
      </c>
      <c r="DH51" s="14">
        <f>SUM(BQ$5:BQ51)</f>
        <v>0</v>
      </c>
      <c r="DI51" s="14">
        <f>SUM(BR$5:BR51)</f>
        <v>0</v>
      </c>
      <c r="DJ51" s="14">
        <f>SUM(BS$5:BS51)</f>
        <v>0</v>
      </c>
      <c r="DK51" s="14">
        <f>SUM(BT$5:BT51)</f>
        <v>0</v>
      </c>
      <c r="DL51" s="14">
        <f>SUM(BU$5:BU51)</f>
        <v>0</v>
      </c>
      <c r="DM51" s="14">
        <f>SUM(BV$5:BV51)</f>
        <v>0</v>
      </c>
      <c r="DN51" s="14">
        <f>SUM(BW$5:BW51)</f>
        <v>0</v>
      </c>
      <c r="DO51" s="14">
        <f>SUM(BX$5:BX51)</f>
        <v>0</v>
      </c>
      <c r="DP51" s="14">
        <f>SUM(BY$5:BY51)</f>
        <v>0</v>
      </c>
      <c r="DQ51" s="14">
        <f>SUM(BZ$5:BZ51)</f>
        <v>0</v>
      </c>
      <c r="DR51" s="14">
        <f>SUM(CA$5:CA51)</f>
        <v>0</v>
      </c>
      <c r="DS51" s="14">
        <f>SUM(CB$5:CB51)</f>
        <v>0</v>
      </c>
      <c r="DT51" s="14">
        <f>SUM(CC$5:CC51)</f>
        <v>0</v>
      </c>
      <c r="DU51" s="14">
        <f>SUM(CD$5:CD51)</f>
        <v>0</v>
      </c>
      <c r="DV51" s="14">
        <f>SUM(CE$5:CE51)</f>
        <v>0</v>
      </c>
      <c r="DW51" s="14">
        <f>SUM(CF$5:CF51)</f>
        <v>0</v>
      </c>
      <c r="DX51" s="14">
        <f>SUM(CG$5:CG51)</f>
        <v>0</v>
      </c>
      <c r="DY51" s="14">
        <f>SUM(CH$5:CH51)</f>
        <v>0</v>
      </c>
      <c r="DZ51" s="14">
        <f>SUM(CI$5:CI51)</f>
        <v>0</v>
      </c>
      <c r="EA51" s="14">
        <f>SUM(CJ$5:CJ51)</f>
        <v>0</v>
      </c>
      <c r="EB51" s="14">
        <f>SUM(CK$5:CK51)</f>
        <v>0</v>
      </c>
      <c r="EC51" s="14">
        <f>SUM(CL$5:CL51)</f>
        <v>0</v>
      </c>
      <c r="ED51" s="14">
        <f>SUM(CM$5:CM51)</f>
        <v>0</v>
      </c>
      <c r="EE51" s="14">
        <f>SUM(CN$5:CN51)</f>
        <v>0</v>
      </c>
      <c r="EF51" s="14">
        <f>SUM(CO$5:CO51)</f>
        <v>0</v>
      </c>
      <c r="EG51" s="14">
        <f>SUM(CP$5:CP51)</f>
        <v>0</v>
      </c>
      <c r="EH51" s="14">
        <f>SUM(CQ$5:CQ51)</f>
        <v>0</v>
      </c>
      <c r="EI51" s="14">
        <f>SUM(CR$5:CR51)</f>
        <v>0</v>
      </c>
      <c r="EJ51" s="14">
        <f>SUM(CS$5:CS51)</f>
        <v>0</v>
      </c>
      <c r="EK51" s="14">
        <f>SUM(CT$5:CT51)</f>
        <v>0</v>
      </c>
      <c r="EL51" s="14">
        <f>SUM(CU$5:CU51)</f>
        <v>0</v>
      </c>
      <c r="EO51" s="87">
        <f t="shared" si="68"/>
        <v>0</v>
      </c>
      <c r="EP51" s="87">
        <f t="shared" si="69"/>
        <v>0</v>
      </c>
      <c r="EQ51" s="87">
        <f t="shared" si="70"/>
        <v>0</v>
      </c>
      <c r="ER51" s="87">
        <f t="shared" si="71"/>
        <v>0</v>
      </c>
      <c r="ES51" s="87">
        <f t="shared" si="72"/>
        <v>0</v>
      </c>
      <c r="ET51" s="87">
        <f t="shared" si="73"/>
        <v>0</v>
      </c>
      <c r="EU51" s="87">
        <f t="shared" si="74"/>
        <v>0</v>
      </c>
      <c r="EV51" s="87">
        <f t="shared" si="75"/>
        <v>0</v>
      </c>
      <c r="EW51" s="87">
        <f t="shared" si="76"/>
        <v>0</v>
      </c>
      <c r="EX51" s="87">
        <f t="shared" si="77"/>
        <v>0</v>
      </c>
      <c r="EY51" s="87">
        <f t="shared" si="78"/>
        <v>0</v>
      </c>
      <c r="EZ51" s="87">
        <f t="shared" si="79"/>
        <v>0</v>
      </c>
      <c r="FA51" s="87">
        <f t="shared" si="80"/>
        <v>0</v>
      </c>
      <c r="FB51" s="87">
        <f t="shared" si="81"/>
        <v>0</v>
      </c>
      <c r="FC51" s="87">
        <f t="shared" si="82"/>
        <v>0</v>
      </c>
      <c r="FD51" s="87">
        <f t="shared" si="83"/>
        <v>0</v>
      </c>
      <c r="FE51" s="87">
        <f t="shared" si="84"/>
        <v>0</v>
      </c>
      <c r="FF51" s="87">
        <f t="shared" si="85"/>
        <v>0</v>
      </c>
      <c r="FG51" s="87">
        <f t="shared" si="86"/>
        <v>0</v>
      </c>
      <c r="FH51" s="87">
        <f t="shared" si="87"/>
        <v>0</v>
      </c>
      <c r="FI51" s="87">
        <f t="shared" si="88"/>
        <v>0</v>
      </c>
      <c r="FJ51" s="87">
        <f t="shared" si="89"/>
        <v>0</v>
      </c>
      <c r="FK51" s="87">
        <f t="shared" si="90"/>
        <v>0</v>
      </c>
      <c r="FL51" s="87">
        <f t="shared" si="91"/>
        <v>0</v>
      </c>
      <c r="FM51" s="87">
        <f t="shared" si="92"/>
        <v>0</v>
      </c>
      <c r="FN51" s="87">
        <f t="shared" si="93"/>
        <v>0</v>
      </c>
      <c r="FO51" s="87">
        <f t="shared" si="94"/>
        <v>0</v>
      </c>
      <c r="FP51" s="87">
        <f t="shared" si="95"/>
        <v>0</v>
      </c>
      <c r="FQ51" s="87">
        <f t="shared" si="96"/>
        <v>0</v>
      </c>
      <c r="FR51" s="87">
        <f t="shared" si="97"/>
        <v>0</v>
      </c>
      <c r="FS51" s="87">
        <f t="shared" si="98"/>
        <v>0</v>
      </c>
      <c r="FT51" s="87">
        <f t="shared" si="99"/>
        <v>0</v>
      </c>
      <c r="FU51" s="87">
        <f t="shared" si="100"/>
        <v>0</v>
      </c>
      <c r="FV51" s="87">
        <f t="shared" si="101"/>
        <v>0</v>
      </c>
      <c r="FW51" s="87">
        <f t="shared" si="102"/>
        <v>0</v>
      </c>
      <c r="FX51" s="87">
        <f t="shared" si="103"/>
        <v>0</v>
      </c>
      <c r="FY51" s="87">
        <f t="shared" si="104"/>
        <v>0</v>
      </c>
      <c r="FZ51" s="87">
        <f t="shared" si="105"/>
        <v>0</v>
      </c>
      <c r="GA51" s="87">
        <f t="shared" si="106"/>
        <v>0</v>
      </c>
      <c r="GB51" s="87">
        <f t="shared" si="107"/>
        <v>0</v>
      </c>
      <c r="GC51" s="87">
        <f t="shared" si="108"/>
        <v>0</v>
      </c>
      <c r="GD51" s="87">
        <f t="shared" si="109"/>
        <v>0</v>
      </c>
    </row>
    <row r="52" spans="41:186" ht="16.5" x14ac:dyDescent="0.2">
      <c r="AO52" s="48">
        <v>5</v>
      </c>
      <c r="AP52" s="86">
        <v>14</v>
      </c>
      <c r="AQ52" s="86">
        <v>1</v>
      </c>
      <c r="AR52" s="48">
        <v>3</v>
      </c>
      <c r="AS52" s="86" t="s">
        <v>320</v>
      </c>
      <c r="AT52" s="21">
        <f t="shared" si="61"/>
        <v>3.3000000000000002E-2</v>
      </c>
      <c r="AU52" s="86">
        <f t="shared" si="5"/>
        <v>1</v>
      </c>
      <c r="AV52" s="86">
        <f t="shared" si="6"/>
        <v>3</v>
      </c>
      <c r="AW52" s="87">
        <f t="shared" si="7"/>
        <v>6.6000000000000003E-2</v>
      </c>
      <c r="AX52" s="86">
        <f t="shared" si="8"/>
        <v>19.8</v>
      </c>
      <c r="BA52" s="86">
        <v>48</v>
      </c>
      <c r="BB52" s="14" t="e">
        <f>INDEX(节奏总表!#REF!,神器!BA52)</f>
        <v>#REF!</v>
      </c>
      <c r="BC52" s="14" t="e">
        <f t="shared" si="9"/>
        <v>#REF!</v>
      </c>
      <c r="BD52" s="14">
        <v>5</v>
      </c>
      <c r="BE52" s="14">
        <v>3</v>
      </c>
      <c r="BF52" s="14">
        <f t="shared" si="60"/>
        <v>0</v>
      </c>
      <c r="BG52" s="14">
        <f t="shared" si="67"/>
        <v>0</v>
      </c>
      <c r="BH52" s="14">
        <f t="shared" si="67"/>
        <v>0</v>
      </c>
      <c r="BI52" s="14">
        <f t="shared" si="67"/>
        <v>0</v>
      </c>
      <c r="BJ52" s="14">
        <f t="shared" si="67"/>
        <v>0</v>
      </c>
      <c r="BK52" s="14">
        <f t="shared" si="67"/>
        <v>0</v>
      </c>
      <c r="BL52" s="14">
        <f t="shared" si="67"/>
        <v>0</v>
      </c>
      <c r="BM52" s="14">
        <f t="shared" si="67"/>
        <v>0</v>
      </c>
      <c r="BN52" s="14">
        <f t="shared" si="67"/>
        <v>0</v>
      </c>
      <c r="BO52" s="14">
        <f t="shared" si="67"/>
        <v>0</v>
      </c>
      <c r="BP52" s="14">
        <f t="shared" si="67"/>
        <v>0</v>
      </c>
      <c r="BQ52" s="14">
        <f t="shared" si="67"/>
        <v>0</v>
      </c>
      <c r="BR52" s="14">
        <f t="shared" si="67"/>
        <v>0</v>
      </c>
      <c r="BS52" s="14">
        <f t="shared" si="67"/>
        <v>0</v>
      </c>
      <c r="BT52" s="14">
        <f t="shared" si="67"/>
        <v>0</v>
      </c>
      <c r="BU52" s="14">
        <f t="shared" si="67"/>
        <v>0</v>
      </c>
      <c r="BV52" s="14">
        <f t="shared" si="67"/>
        <v>0</v>
      </c>
      <c r="BW52" s="14">
        <f t="shared" si="67"/>
        <v>0</v>
      </c>
      <c r="BX52" s="14">
        <f t="shared" si="67"/>
        <v>0</v>
      </c>
      <c r="BY52" s="14">
        <f t="shared" si="67"/>
        <v>0</v>
      </c>
      <c r="BZ52" s="14">
        <f t="shared" si="67"/>
        <v>0</v>
      </c>
      <c r="CA52" s="14">
        <f t="shared" si="67"/>
        <v>0</v>
      </c>
      <c r="CB52" s="14">
        <f t="shared" si="67"/>
        <v>0</v>
      </c>
      <c r="CC52" s="14">
        <f t="shared" si="67"/>
        <v>0</v>
      </c>
      <c r="CD52" s="14">
        <f t="shared" si="67"/>
        <v>0</v>
      </c>
      <c r="CE52" s="14">
        <f t="shared" si="67"/>
        <v>0</v>
      </c>
      <c r="CF52" s="14">
        <f t="shared" si="67"/>
        <v>0</v>
      </c>
      <c r="CG52" s="14">
        <f t="shared" si="67"/>
        <v>0</v>
      </c>
      <c r="CH52" s="14">
        <f t="shared" si="67"/>
        <v>0</v>
      </c>
      <c r="CI52" s="14">
        <f t="shared" si="67"/>
        <v>0</v>
      </c>
      <c r="CJ52" s="14">
        <f t="shared" si="67"/>
        <v>0</v>
      </c>
      <c r="CK52" s="14">
        <f t="shared" si="67"/>
        <v>0</v>
      </c>
      <c r="CL52" s="14">
        <f t="shared" si="67"/>
        <v>0</v>
      </c>
      <c r="CM52" s="14">
        <f t="shared" si="67"/>
        <v>0</v>
      </c>
      <c r="CN52" s="14">
        <f t="shared" si="67"/>
        <v>0</v>
      </c>
      <c r="CO52" s="14">
        <f t="shared" si="67"/>
        <v>0</v>
      </c>
      <c r="CP52" s="14">
        <f t="shared" si="67"/>
        <v>0</v>
      </c>
      <c r="CQ52" s="14">
        <f t="shared" si="67"/>
        <v>0</v>
      </c>
      <c r="CR52" s="14">
        <f t="shared" si="67"/>
        <v>0</v>
      </c>
      <c r="CS52" s="14">
        <f t="shared" si="67"/>
        <v>0</v>
      </c>
      <c r="CT52" s="14">
        <f t="shared" si="67"/>
        <v>0</v>
      </c>
      <c r="CU52" s="14">
        <f t="shared" si="67"/>
        <v>0</v>
      </c>
      <c r="CW52" s="14">
        <f>SUM(BF$5:BF52)</f>
        <v>0</v>
      </c>
      <c r="CX52" s="14">
        <f>SUM(BG$5:BG52)</f>
        <v>0</v>
      </c>
      <c r="CY52" s="14">
        <f>SUM(BH$5:BH52)</f>
        <v>0</v>
      </c>
      <c r="CZ52" s="14">
        <f>SUM(BI$5:BI52)</f>
        <v>0</v>
      </c>
      <c r="DA52" s="14">
        <f>SUM(BJ$5:BJ52)</f>
        <v>0</v>
      </c>
      <c r="DB52" s="14">
        <f>SUM(BK$5:BK52)</f>
        <v>0</v>
      </c>
      <c r="DC52" s="14">
        <f>SUM(BL$5:BL52)</f>
        <v>0</v>
      </c>
      <c r="DD52" s="14">
        <f>SUM(BM$5:BM52)</f>
        <v>0</v>
      </c>
      <c r="DE52" s="14">
        <f>SUM(BN$5:BN52)</f>
        <v>0</v>
      </c>
      <c r="DF52" s="14">
        <f>SUM(BO$5:BO52)</f>
        <v>0</v>
      </c>
      <c r="DG52" s="14">
        <f>SUM(BP$5:BP52)</f>
        <v>0</v>
      </c>
      <c r="DH52" s="14">
        <f>SUM(BQ$5:BQ52)</f>
        <v>0</v>
      </c>
      <c r="DI52" s="14">
        <f>SUM(BR$5:BR52)</f>
        <v>0</v>
      </c>
      <c r="DJ52" s="14">
        <f>SUM(BS$5:BS52)</f>
        <v>0</v>
      </c>
      <c r="DK52" s="14">
        <f>SUM(BT$5:BT52)</f>
        <v>0</v>
      </c>
      <c r="DL52" s="14">
        <f>SUM(BU$5:BU52)</f>
        <v>0</v>
      </c>
      <c r="DM52" s="14">
        <f>SUM(BV$5:BV52)</f>
        <v>0</v>
      </c>
      <c r="DN52" s="14">
        <f>SUM(BW$5:BW52)</f>
        <v>0</v>
      </c>
      <c r="DO52" s="14">
        <f>SUM(BX$5:BX52)</f>
        <v>0</v>
      </c>
      <c r="DP52" s="14">
        <f>SUM(BY$5:BY52)</f>
        <v>0</v>
      </c>
      <c r="DQ52" s="14">
        <f>SUM(BZ$5:BZ52)</f>
        <v>0</v>
      </c>
      <c r="DR52" s="14">
        <f>SUM(CA$5:CA52)</f>
        <v>0</v>
      </c>
      <c r="DS52" s="14">
        <f>SUM(CB$5:CB52)</f>
        <v>0</v>
      </c>
      <c r="DT52" s="14">
        <f>SUM(CC$5:CC52)</f>
        <v>0</v>
      </c>
      <c r="DU52" s="14">
        <f>SUM(CD$5:CD52)</f>
        <v>0</v>
      </c>
      <c r="DV52" s="14">
        <f>SUM(CE$5:CE52)</f>
        <v>0</v>
      </c>
      <c r="DW52" s="14">
        <f>SUM(CF$5:CF52)</f>
        <v>0</v>
      </c>
      <c r="DX52" s="14">
        <f>SUM(CG$5:CG52)</f>
        <v>0</v>
      </c>
      <c r="DY52" s="14">
        <f>SUM(CH$5:CH52)</f>
        <v>0</v>
      </c>
      <c r="DZ52" s="14">
        <f>SUM(CI$5:CI52)</f>
        <v>0</v>
      </c>
      <c r="EA52" s="14">
        <f>SUM(CJ$5:CJ52)</f>
        <v>0</v>
      </c>
      <c r="EB52" s="14">
        <f>SUM(CK$5:CK52)</f>
        <v>0</v>
      </c>
      <c r="EC52" s="14">
        <f>SUM(CL$5:CL52)</f>
        <v>0</v>
      </c>
      <c r="ED52" s="14">
        <f>SUM(CM$5:CM52)</f>
        <v>0</v>
      </c>
      <c r="EE52" s="14">
        <f>SUM(CN$5:CN52)</f>
        <v>0</v>
      </c>
      <c r="EF52" s="14">
        <f>SUM(CO$5:CO52)</f>
        <v>0</v>
      </c>
      <c r="EG52" s="14">
        <f>SUM(CP$5:CP52)</f>
        <v>0</v>
      </c>
      <c r="EH52" s="14">
        <f>SUM(CQ$5:CQ52)</f>
        <v>0</v>
      </c>
      <c r="EI52" s="14">
        <f>SUM(CR$5:CR52)</f>
        <v>0</v>
      </c>
      <c r="EJ52" s="14">
        <f>SUM(CS$5:CS52)</f>
        <v>0</v>
      </c>
      <c r="EK52" s="14">
        <f>SUM(CT$5:CT52)</f>
        <v>0</v>
      </c>
      <c r="EL52" s="14">
        <f>SUM(CU$5:CU52)</f>
        <v>0</v>
      </c>
      <c r="EO52" s="87">
        <f t="shared" si="68"/>
        <v>0</v>
      </c>
      <c r="EP52" s="87">
        <f t="shared" si="69"/>
        <v>0</v>
      </c>
      <c r="EQ52" s="87">
        <f t="shared" si="70"/>
        <v>0</v>
      </c>
      <c r="ER52" s="87">
        <f t="shared" si="71"/>
        <v>0</v>
      </c>
      <c r="ES52" s="87">
        <f t="shared" si="72"/>
        <v>0</v>
      </c>
      <c r="ET52" s="87">
        <f t="shared" si="73"/>
        <v>0</v>
      </c>
      <c r="EU52" s="87">
        <f t="shared" si="74"/>
        <v>0</v>
      </c>
      <c r="EV52" s="87">
        <f t="shared" si="75"/>
        <v>0</v>
      </c>
      <c r="EW52" s="87">
        <f t="shared" si="76"/>
        <v>0</v>
      </c>
      <c r="EX52" s="87">
        <f t="shared" si="77"/>
        <v>0</v>
      </c>
      <c r="EY52" s="87">
        <f t="shared" si="78"/>
        <v>0</v>
      </c>
      <c r="EZ52" s="87">
        <f t="shared" si="79"/>
        <v>0</v>
      </c>
      <c r="FA52" s="87">
        <f t="shared" si="80"/>
        <v>0</v>
      </c>
      <c r="FB52" s="87">
        <f t="shared" si="81"/>
        <v>0</v>
      </c>
      <c r="FC52" s="87">
        <f t="shared" si="82"/>
        <v>0</v>
      </c>
      <c r="FD52" s="87">
        <f t="shared" si="83"/>
        <v>0</v>
      </c>
      <c r="FE52" s="87">
        <f t="shared" si="84"/>
        <v>0</v>
      </c>
      <c r="FF52" s="87">
        <f t="shared" si="85"/>
        <v>0</v>
      </c>
      <c r="FG52" s="87">
        <f t="shared" si="86"/>
        <v>0</v>
      </c>
      <c r="FH52" s="87">
        <f t="shared" si="87"/>
        <v>0</v>
      </c>
      <c r="FI52" s="87">
        <f t="shared" si="88"/>
        <v>0</v>
      </c>
      <c r="FJ52" s="87">
        <f t="shared" si="89"/>
        <v>0</v>
      </c>
      <c r="FK52" s="87">
        <f t="shared" si="90"/>
        <v>0</v>
      </c>
      <c r="FL52" s="87">
        <f t="shared" si="91"/>
        <v>0</v>
      </c>
      <c r="FM52" s="87">
        <f t="shared" si="92"/>
        <v>0</v>
      </c>
      <c r="FN52" s="87">
        <f t="shared" si="93"/>
        <v>0</v>
      </c>
      <c r="FO52" s="87">
        <f t="shared" si="94"/>
        <v>0</v>
      </c>
      <c r="FP52" s="87">
        <f t="shared" si="95"/>
        <v>0</v>
      </c>
      <c r="FQ52" s="87">
        <f t="shared" si="96"/>
        <v>0</v>
      </c>
      <c r="FR52" s="87">
        <f t="shared" si="97"/>
        <v>0</v>
      </c>
      <c r="FS52" s="87">
        <f t="shared" si="98"/>
        <v>0</v>
      </c>
      <c r="FT52" s="87">
        <f t="shared" si="99"/>
        <v>0</v>
      </c>
      <c r="FU52" s="87">
        <f t="shared" si="100"/>
        <v>0</v>
      </c>
      <c r="FV52" s="87">
        <f t="shared" si="101"/>
        <v>0</v>
      </c>
      <c r="FW52" s="87">
        <f t="shared" si="102"/>
        <v>0</v>
      </c>
      <c r="FX52" s="87">
        <f t="shared" si="103"/>
        <v>0</v>
      </c>
      <c r="FY52" s="87">
        <f t="shared" si="104"/>
        <v>0</v>
      </c>
      <c r="FZ52" s="87">
        <f t="shared" si="105"/>
        <v>0</v>
      </c>
      <c r="GA52" s="87">
        <f t="shared" si="106"/>
        <v>0</v>
      </c>
      <c r="GB52" s="87">
        <f t="shared" si="107"/>
        <v>0</v>
      </c>
      <c r="GC52" s="87">
        <f t="shared" si="108"/>
        <v>0</v>
      </c>
      <c r="GD52" s="87">
        <f t="shared" si="109"/>
        <v>0</v>
      </c>
    </row>
    <row r="53" spans="41:186" ht="16.5" x14ac:dyDescent="0.2">
      <c r="AO53" s="48">
        <v>5</v>
      </c>
      <c r="AP53" s="86">
        <v>15</v>
      </c>
      <c r="AQ53" s="86">
        <v>2</v>
      </c>
      <c r="AR53" s="48">
        <v>2</v>
      </c>
      <c r="AS53" s="86" t="s">
        <v>321</v>
      </c>
      <c r="AT53" s="21">
        <f t="shared" si="61"/>
        <v>7.4999999999999997E-2</v>
      </c>
      <c r="AU53" s="86">
        <f t="shared" si="5"/>
        <v>2</v>
      </c>
      <c r="AV53" s="86">
        <f t="shared" si="6"/>
        <v>4</v>
      </c>
      <c r="AW53" s="87">
        <f t="shared" si="7"/>
        <v>0.22499999999999998</v>
      </c>
      <c r="AX53" s="86">
        <f t="shared" si="8"/>
        <v>5.625</v>
      </c>
      <c r="BA53" s="86">
        <v>49</v>
      </c>
      <c r="BB53" s="14" t="e">
        <f>INDEX(节奏总表!#REF!,神器!BA53)</f>
        <v>#REF!</v>
      </c>
      <c r="BC53" s="14" t="e">
        <f t="shared" si="9"/>
        <v>#REF!</v>
      </c>
      <c r="BD53" s="14">
        <v>5</v>
      </c>
      <c r="BE53" s="14">
        <v>3</v>
      </c>
      <c r="BF53" s="14">
        <f t="shared" si="60"/>
        <v>0</v>
      </c>
      <c r="BG53" s="14">
        <f t="shared" si="67"/>
        <v>0</v>
      </c>
      <c r="BH53" s="14">
        <f t="shared" si="67"/>
        <v>0</v>
      </c>
      <c r="BI53" s="14">
        <f t="shared" si="67"/>
        <v>0</v>
      </c>
      <c r="BJ53" s="14">
        <f t="shared" si="67"/>
        <v>0</v>
      </c>
      <c r="BK53" s="14">
        <f t="shared" si="67"/>
        <v>0</v>
      </c>
      <c r="BL53" s="14">
        <f t="shared" si="67"/>
        <v>0</v>
      </c>
      <c r="BM53" s="14">
        <f t="shared" si="67"/>
        <v>0</v>
      </c>
      <c r="BN53" s="14">
        <f t="shared" si="67"/>
        <v>0</v>
      </c>
      <c r="BO53" s="14">
        <f t="shared" si="67"/>
        <v>0</v>
      </c>
      <c r="BP53" s="14">
        <f t="shared" si="67"/>
        <v>0</v>
      </c>
      <c r="BQ53" s="14">
        <f t="shared" si="67"/>
        <v>0</v>
      </c>
      <c r="BR53" s="14">
        <f t="shared" si="67"/>
        <v>0</v>
      </c>
      <c r="BS53" s="14">
        <f t="shared" si="67"/>
        <v>0</v>
      </c>
      <c r="BT53" s="14">
        <f t="shared" si="67"/>
        <v>0</v>
      </c>
      <c r="BU53" s="14">
        <f t="shared" si="67"/>
        <v>0</v>
      </c>
      <c r="BV53" s="14">
        <f t="shared" si="67"/>
        <v>0</v>
      </c>
      <c r="BW53" s="14">
        <f t="shared" si="67"/>
        <v>0</v>
      </c>
      <c r="BX53" s="14">
        <f t="shared" si="67"/>
        <v>0</v>
      </c>
      <c r="BY53" s="14">
        <f t="shared" si="67"/>
        <v>0</v>
      </c>
      <c r="BZ53" s="14">
        <f t="shared" si="67"/>
        <v>0</v>
      </c>
      <c r="CA53" s="14">
        <f t="shared" si="67"/>
        <v>0</v>
      </c>
      <c r="CB53" s="14">
        <f t="shared" si="67"/>
        <v>0</v>
      </c>
      <c r="CC53" s="14">
        <f t="shared" si="67"/>
        <v>0</v>
      </c>
      <c r="CD53" s="14">
        <f t="shared" si="67"/>
        <v>0</v>
      </c>
      <c r="CE53" s="14">
        <f t="shared" si="67"/>
        <v>0</v>
      </c>
      <c r="CF53" s="14">
        <f t="shared" si="67"/>
        <v>0</v>
      </c>
      <c r="CG53" s="14">
        <f t="shared" si="67"/>
        <v>0</v>
      </c>
      <c r="CH53" s="14">
        <f t="shared" si="67"/>
        <v>0</v>
      </c>
      <c r="CI53" s="14">
        <f t="shared" si="67"/>
        <v>0</v>
      </c>
      <c r="CJ53" s="14">
        <f t="shared" si="67"/>
        <v>0</v>
      </c>
      <c r="CK53" s="14">
        <f t="shared" si="67"/>
        <v>0</v>
      </c>
      <c r="CL53" s="14">
        <f t="shared" si="67"/>
        <v>0</v>
      </c>
      <c r="CM53" s="14">
        <f t="shared" si="67"/>
        <v>0</v>
      </c>
      <c r="CN53" s="14">
        <f t="shared" si="67"/>
        <v>0</v>
      </c>
      <c r="CO53" s="14">
        <f t="shared" si="67"/>
        <v>0</v>
      </c>
      <c r="CP53" s="14">
        <f t="shared" si="67"/>
        <v>0</v>
      </c>
      <c r="CQ53" s="14">
        <f t="shared" si="67"/>
        <v>0</v>
      </c>
      <c r="CR53" s="14">
        <f t="shared" si="67"/>
        <v>0</v>
      </c>
      <c r="CS53" s="14">
        <f t="shared" si="67"/>
        <v>0</v>
      </c>
      <c r="CT53" s="14">
        <f t="shared" si="67"/>
        <v>0</v>
      </c>
      <c r="CU53" s="14">
        <f t="shared" si="67"/>
        <v>0</v>
      </c>
      <c r="CW53" s="14">
        <f>SUM(BF$5:BF53)</f>
        <v>0</v>
      </c>
      <c r="CX53" s="14">
        <f>SUM(BG$5:BG53)</f>
        <v>0</v>
      </c>
      <c r="CY53" s="14">
        <f>SUM(BH$5:BH53)</f>
        <v>0</v>
      </c>
      <c r="CZ53" s="14">
        <f>SUM(BI$5:BI53)</f>
        <v>0</v>
      </c>
      <c r="DA53" s="14">
        <f>SUM(BJ$5:BJ53)</f>
        <v>0</v>
      </c>
      <c r="DB53" s="14">
        <f>SUM(BK$5:BK53)</f>
        <v>0</v>
      </c>
      <c r="DC53" s="14">
        <f>SUM(BL$5:BL53)</f>
        <v>0</v>
      </c>
      <c r="DD53" s="14">
        <f>SUM(BM$5:BM53)</f>
        <v>0</v>
      </c>
      <c r="DE53" s="14">
        <f>SUM(BN$5:BN53)</f>
        <v>0</v>
      </c>
      <c r="DF53" s="14">
        <f>SUM(BO$5:BO53)</f>
        <v>0</v>
      </c>
      <c r="DG53" s="14">
        <f>SUM(BP$5:BP53)</f>
        <v>0</v>
      </c>
      <c r="DH53" s="14">
        <f>SUM(BQ$5:BQ53)</f>
        <v>0</v>
      </c>
      <c r="DI53" s="14">
        <f>SUM(BR$5:BR53)</f>
        <v>0</v>
      </c>
      <c r="DJ53" s="14">
        <f>SUM(BS$5:BS53)</f>
        <v>0</v>
      </c>
      <c r="DK53" s="14">
        <f>SUM(BT$5:BT53)</f>
        <v>0</v>
      </c>
      <c r="DL53" s="14">
        <f>SUM(BU$5:BU53)</f>
        <v>0</v>
      </c>
      <c r="DM53" s="14">
        <f>SUM(BV$5:BV53)</f>
        <v>0</v>
      </c>
      <c r="DN53" s="14">
        <f>SUM(BW$5:BW53)</f>
        <v>0</v>
      </c>
      <c r="DO53" s="14">
        <f>SUM(BX$5:BX53)</f>
        <v>0</v>
      </c>
      <c r="DP53" s="14">
        <f>SUM(BY$5:BY53)</f>
        <v>0</v>
      </c>
      <c r="DQ53" s="14">
        <f>SUM(BZ$5:BZ53)</f>
        <v>0</v>
      </c>
      <c r="DR53" s="14">
        <f>SUM(CA$5:CA53)</f>
        <v>0</v>
      </c>
      <c r="DS53" s="14">
        <f>SUM(CB$5:CB53)</f>
        <v>0</v>
      </c>
      <c r="DT53" s="14">
        <f>SUM(CC$5:CC53)</f>
        <v>0</v>
      </c>
      <c r="DU53" s="14">
        <f>SUM(CD$5:CD53)</f>
        <v>0</v>
      </c>
      <c r="DV53" s="14">
        <f>SUM(CE$5:CE53)</f>
        <v>0</v>
      </c>
      <c r="DW53" s="14">
        <f>SUM(CF$5:CF53)</f>
        <v>0</v>
      </c>
      <c r="DX53" s="14">
        <f>SUM(CG$5:CG53)</f>
        <v>0</v>
      </c>
      <c r="DY53" s="14">
        <f>SUM(CH$5:CH53)</f>
        <v>0</v>
      </c>
      <c r="DZ53" s="14">
        <f>SUM(CI$5:CI53)</f>
        <v>0</v>
      </c>
      <c r="EA53" s="14">
        <f>SUM(CJ$5:CJ53)</f>
        <v>0</v>
      </c>
      <c r="EB53" s="14">
        <f>SUM(CK$5:CK53)</f>
        <v>0</v>
      </c>
      <c r="EC53" s="14">
        <f>SUM(CL$5:CL53)</f>
        <v>0</v>
      </c>
      <c r="ED53" s="14">
        <f>SUM(CM$5:CM53)</f>
        <v>0</v>
      </c>
      <c r="EE53" s="14">
        <f>SUM(CN$5:CN53)</f>
        <v>0</v>
      </c>
      <c r="EF53" s="14">
        <f>SUM(CO$5:CO53)</f>
        <v>0</v>
      </c>
      <c r="EG53" s="14">
        <f>SUM(CP$5:CP53)</f>
        <v>0</v>
      </c>
      <c r="EH53" s="14">
        <f>SUM(CQ$5:CQ53)</f>
        <v>0</v>
      </c>
      <c r="EI53" s="14">
        <f>SUM(CR$5:CR53)</f>
        <v>0</v>
      </c>
      <c r="EJ53" s="14">
        <f>SUM(CS$5:CS53)</f>
        <v>0</v>
      </c>
      <c r="EK53" s="14">
        <f>SUM(CT$5:CT53)</f>
        <v>0</v>
      </c>
      <c r="EL53" s="14">
        <f>SUM(CU$5:CU53)</f>
        <v>0</v>
      </c>
      <c r="EO53" s="87">
        <f t="shared" si="68"/>
        <v>0</v>
      </c>
      <c r="EP53" s="87">
        <f t="shared" si="69"/>
        <v>0</v>
      </c>
      <c r="EQ53" s="87">
        <f t="shared" si="70"/>
        <v>0</v>
      </c>
      <c r="ER53" s="87">
        <f t="shared" si="71"/>
        <v>0</v>
      </c>
      <c r="ES53" s="87">
        <f t="shared" si="72"/>
        <v>0</v>
      </c>
      <c r="ET53" s="87">
        <f t="shared" si="73"/>
        <v>0</v>
      </c>
      <c r="EU53" s="87">
        <f t="shared" si="74"/>
        <v>0</v>
      </c>
      <c r="EV53" s="87">
        <f t="shared" si="75"/>
        <v>0</v>
      </c>
      <c r="EW53" s="87">
        <f t="shared" si="76"/>
        <v>0</v>
      </c>
      <c r="EX53" s="87">
        <f t="shared" si="77"/>
        <v>0</v>
      </c>
      <c r="EY53" s="87">
        <f t="shared" si="78"/>
        <v>0</v>
      </c>
      <c r="EZ53" s="87">
        <f t="shared" si="79"/>
        <v>0</v>
      </c>
      <c r="FA53" s="87">
        <f t="shared" si="80"/>
        <v>0</v>
      </c>
      <c r="FB53" s="87">
        <f t="shared" si="81"/>
        <v>0</v>
      </c>
      <c r="FC53" s="87">
        <f t="shared" si="82"/>
        <v>0</v>
      </c>
      <c r="FD53" s="87">
        <f t="shared" si="83"/>
        <v>0</v>
      </c>
      <c r="FE53" s="87">
        <f t="shared" si="84"/>
        <v>0</v>
      </c>
      <c r="FF53" s="87">
        <f t="shared" si="85"/>
        <v>0</v>
      </c>
      <c r="FG53" s="87">
        <f t="shared" si="86"/>
        <v>0</v>
      </c>
      <c r="FH53" s="87">
        <f t="shared" si="87"/>
        <v>0</v>
      </c>
      <c r="FI53" s="87">
        <f t="shared" si="88"/>
        <v>0</v>
      </c>
      <c r="FJ53" s="87">
        <f t="shared" si="89"/>
        <v>0</v>
      </c>
      <c r="FK53" s="87">
        <f t="shared" si="90"/>
        <v>0</v>
      </c>
      <c r="FL53" s="87">
        <f t="shared" si="91"/>
        <v>0</v>
      </c>
      <c r="FM53" s="87">
        <f t="shared" si="92"/>
        <v>0</v>
      </c>
      <c r="FN53" s="87">
        <f t="shared" si="93"/>
        <v>0</v>
      </c>
      <c r="FO53" s="87">
        <f t="shared" si="94"/>
        <v>0</v>
      </c>
      <c r="FP53" s="87">
        <f t="shared" si="95"/>
        <v>0</v>
      </c>
      <c r="FQ53" s="87">
        <f t="shared" si="96"/>
        <v>0</v>
      </c>
      <c r="FR53" s="87">
        <f t="shared" si="97"/>
        <v>0</v>
      </c>
      <c r="FS53" s="87">
        <f t="shared" si="98"/>
        <v>0</v>
      </c>
      <c r="FT53" s="87">
        <f t="shared" si="99"/>
        <v>0</v>
      </c>
      <c r="FU53" s="87">
        <f t="shared" si="100"/>
        <v>0</v>
      </c>
      <c r="FV53" s="87">
        <f t="shared" si="101"/>
        <v>0</v>
      </c>
      <c r="FW53" s="87">
        <f t="shared" si="102"/>
        <v>0</v>
      </c>
      <c r="FX53" s="87">
        <f t="shared" si="103"/>
        <v>0</v>
      </c>
      <c r="FY53" s="87">
        <f t="shared" si="104"/>
        <v>0</v>
      </c>
      <c r="FZ53" s="87">
        <f t="shared" si="105"/>
        <v>0</v>
      </c>
      <c r="GA53" s="87">
        <f t="shared" si="106"/>
        <v>0</v>
      </c>
      <c r="GB53" s="87">
        <f t="shared" si="107"/>
        <v>0</v>
      </c>
      <c r="GC53" s="87">
        <f t="shared" si="108"/>
        <v>0</v>
      </c>
      <c r="GD53" s="87">
        <f t="shared" si="109"/>
        <v>0</v>
      </c>
    </row>
    <row r="54" spans="41:186" ht="16.5" x14ac:dyDescent="0.2">
      <c r="AO54" s="48">
        <v>5</v>
      </c>
      <c r="AP54" s="86">
        <v>16</v>
      </c>
      <c r="AQ54" s="86">
        <v>2</v>
      </c>
      <c r="AR54" s="48">
        <v>2</v>
      </c>
      <c r="AS54" s="86" t="s">
        <v>322</v>
      </c>
      <c r="AT54" s="21">
        <f t="shared" si="61"/>
        <v>7.4999999999999997E-2</v>
      </c>
      <c r="AU54" s="86">
        <f t="shared" si="5"/>
        <v>2</v>
      </c>
      <c r="AV54" s="86">
        <f t="shared" si="6"/>
        <v>4</v>
      </c>
      <c r="AW54" s="87">
        <f t="shared" si="7"/>
        <v>0.22499999999999998</v>
      </c>
      <c r="AX54" s="86">
        <f t="shared" si="8"/>
        <v>5.625</v>
      </c>
      <c r="BA54" s="86">
        <v>50</v>
      </c>
      <c r="BB54" s="14" t="e">
        <f>INDEX(节奏总表!#REF!,神器!BA54)</f>
        <v>#REF!</v>
      </c>
      <c r="BC54" s="14" t="e">
        <f t="shared" si="9"/>
        <v>#REF!</v>
      </c>
      <c r="BD54" s="14">
        <v>5</v>
      </c>
      <c r="BE54" s="14">
        <v>3</v>
      </c>
      <c r="BF54" s="14">
        <f t="shared" si="60"/>
        <v>0</v>
      </c>
      <c r="BG54" s="14">
        <f t="shared" si="67"/>
        <v>0</v>
      </c>
      <c r="BH54" s="14">
        <f t="shared" si="67"/>
        <v>0</v>
      </c>
      <c r="BI54" s="14">
        <f t="shared" si="67"/>
        <v>0</v>
      </c>
      <c r="BJ54" s="14">
        <f t="shared" si="67"/>
        <v>0</v>
      </c>
      <c r="BK54" s="14">
        <f t="shared" si="67"/>
        <v>0</v>
      </c>
      <c r="BL54" s="14">
        <f t="shared" si="67"/>
        <v>0</v>
      </c>
      <c r="BM54" s="14">
        <f t="shared" si="67"/>
        <v>0</v>
      </c>
      <c r="BN54" s="14">
        <f t="shared" si="67"/>
        <v>0</v>
      </c>
      <c r="BO54" s="14">
        <f t="shared" ref="BO54:CD54" si="110">SUMIFS($AT$5:$AT$122,$AO$5:$AO$122,"="&amp;$BC54,$AP$5:$AP$122,"="&amp;BO$2) * (SUMIFS($AU$5:$AU$122,$AO$5:$AO$122,"="&amp;$BC54,$AP$5:$AP$122,"="&amp;BO$2)+SUMIFS($AV$5:$AV$122,$AO$5:$AO$122,"="&amp;$BC54,$AP$5:$AP$122,"="&amp;BO$2))/2*$BD54*$BE54</f>
        <v>0</v>
      </c>
      <c r="BP54" s="14">
        <f t="shared" si="110"/>
        <v>0</v>
      </c>
      <c r="BQ54" s="14">
        <f t="shared" si="110"/>
        <v>0</v>
      </c>
      <c r="BR54" s="14">
        <f t="shared" si="110"/>
        <v>0</v>
      </c>
      <c r="BS54" s="14">
        <f t="shared" si="110"/>
        <v>0</v>
      </c>
      <c r="BT54" s="14">
        <f t="shared" si="110"/>
        <v>0</v>
      </c>
      <c r="BU54" s="14">
        <f t="shared" si="110"/>
        <v>0</v>
      </c>
      <c r="BV54" s="14">
        <f t="shared" si="110"/>
        <v>0</v>
      </c>
      <c r="BW54" s="14">
        <f t="shared" si="110"/>
        <v>0</v>
      </c>
      <c r="BX54" s="14">
        <f t="shared" si="110"/>
        <v>0</v>
      </c>
      <c r="BY54" s="14">
        <f t="shared" si="110"/>
        <v>0</v>
      </c>
      <c r="BZ54" s="14">
        <f t="shared" si="110"/>
        <v>0</v>
      </c>
      <c r="CA54" s="14">
        <f t="shared" si="110"/>
        <v>0</v>
      </c>
      <c r="CB54" s="14">
        <f t="shared" si="110"/>
        <v>0</v>
      </c>
      <c r="CC54" s="14">
        <f t="shared" si="110"/>
        <v>0</v>
      </c>
      <c r="CD54" s="14">
        <f t="shared" si="110"/>
        <v>0</v>
      </c>
      <c r="CE54" s="14">
        <f t="shared" ref="CE54:CT54" si="111">SUMIFS($AT$5:$AT$122,$AO$5:$AO$122,"="&amp;$BC54,$AP$5:$AP$122,"="&amp;CE$2) * (SUMIFS($AU$5:$AU$122,$AO$5:$AO$122,"="&amp;$BC54,$AP$5:$AP$122,"="&amp;CE$2)+SUMIFS($AV$5:$AV$122,$AO$5:$AO$122,"="&amp;$BC54,$AP$5:$AP$122,"="&amp;CE$2))/2*$BD54*$BE54</f>
        <v>0</v>
      </c>
      <c r="CF54" s="14">
        <f t="shared" si="111"/>
        <v>0</v>
      </c>
      <c r="CG54" s="14">
        <f t="shared" si="111"/>
        <v>0</v>
      </c>
      <c r="CH54" s="14">
        <f t="shared" si="111"/>
        <v>0</v>
      </c>
      <c r="CI54" s="14">
        <f t="shared" si="111"/>
        <v>0</v>
      </c>
      <c r="CJ54" s="14">
        <f t="shared" si="111"/>
        <v>0</v>
      </c>
      <c r="CK54" s="14">
        <f t="shared" si="111"/>
        <v>0</v>
      </c>
      <c r="CL54" s="14">
        <f t="shared" si="111"/>
        <v>0</v>
      </c>
      <c r="CM54" s="14">
        <f t="shared" si="111"/>
        <v>0</v>
      </c>
      <c r="CN54" s="14">
        <f t="shared" si="111"/>
        <v>0</v>
      </c>
      <c r="CO54" s="14">
        <f t="shared" si="111"/>
        <v>0</v>
      </c>
      <c r="CP54" s="14">
        <f t="shared" si="111"/>
        <v>0</v>
      </c>
      <c r="CQ54" s="14">
        <f t="shared" si="111"/>
        <v>0</v>
      </c>
      <c r="CR54" s="14">
        <f t="shared" si="111"/>
        <v>0</v>
      </c>
      <c r="CS54" s="14">
        <f t="shared" si="111"/>
        <v>0</v>
      </c>
      <c r="CT54" s="14">
        <f t="shared" si="111"/>
        <v>0</v>
      </c>
      <c r="CU54" s="14">
        <f t="shared" ref="BG54:CU61" si="112">SUMIFS($AT$5:$AT$122,$AO$5:$AO$122,"="&amp;$BC54,$AP$5:$AP$122,"="&amp;CU$2) * (SUMIFS($AU$5:$AU$122,$AO$5:$AO$122,"="&amp;$BC54,$AP$5:$AP$122,"="&amp;CU$2)+SUMIFS($AV$5:$AV$122,$AO$5:$AO$122,"="&amp;$BC54,$AP$5:$AP$122,"="&amp;CU$2))/2*$BD54*$BE54</f>
        <v>0</v>
      </c>
      <c r="CW54" s="14">
        <f>SUM(BF$5:BF54)</f>
        <v>0</v>
      </c>
      <c r="CX54" s="14">
        <f>SUM(BG$5:BG54)</f>
        <v>0</v>
      </c>
      <c r="CY54" s="14">
        <f>SUM(BH$5:BH54)</f>
        <v>0</v>
      </c>
      <c r="CZ54" s="14">
        <f>SUM(BI$5:BI54)</f>
        <v>0</v>
      </c>
      <c r="DA54" s="14">
        <f>SUM(BJ$5:BJ54)</f>
        <v>0</v>
      </c>
      <c r="DB54" s="14">
        <f>SUM(BK$5:BK54)</f>
        <v>0</v>
      </c>
      <c r="DC54" s="14">
        <f>SUM(BL$5:BL54)</f>
        <v>0</v>
      </c>
      <c r="DD54" s="14">
        <f>SUM(BM$5:BM54)</f>
        <v>0</v>
      </c>
      <c r="DE54" s="14">
        <f>SUM(BN$5:BN54)</f>
        <v>0</v>
      </c>
      <c r="DF54" s="14">
        <f>SUM(BO$5:BO54)</f>
        <v>0</v>
      </c>
      <c r="DG54" s="14">
        <f>SUM(BP$5:BP54)</f>
        <v>0</v>
      </c>
      <c r="DH54" s="14">
        <f>SUM(BQ$5:BQ54)</f>
        <v>0</v>
      </c>
      <c r="DI54" s="14">
        <f>SUM(BR$5:BR54)</f>
        <v>0</v>
      </c>
      <c r="DJ54" s="14">
        <f>SUM(BS$5:BS54)</f>
        <v>0</v>
      </c>
      <c r="DK54" s="14">
        <f>SUM(BT$5:BT54)</f>
        <v>0</v>
      </c>
      <c r="DL54" s="14">
        <f>SUM(BU$5:BU54)</f>
        <v>0</v>
      </c>
      <c r="DM54" s="14">
        <f>SUM(BV$5:BV54)</f>
        <v>0</v>
      </c>
      <c r="DN54" s="14">
        <f>SUM(BW$5:BW54)</f>
        <v>0</v>
      </c>
      <c r="DO54" s="14">
        <f>SUM(BX$5:BX54)</f>
        <v>0</v>
      </c>
      <c r="DP54" s="14">
        <f>SUM(BY$5:BY54)</f>
        <v>0</v>
      </c>
      <c r="DQ54" s="14">
        <f>SUM(BZ$5:BZ54)</f>
        <v>0</v>
      </c>
      <c r="DR54" s="14">
        <f>SUM(CA$5:CA54)</f>
        <v>0</v>
      </c>
      <c r="DS54" s="14">
        <f>SUM(CB$5:CB54)</f>
        <v>0</v>
      </c>
      <c r="DT54" s="14">
        <f>SUM(CC$5:CC54)</f>
        <v>0</v>
      </c>
      <c r="DU54" s="14">
        <f>SUM(CD$5:CD54)</f>
        <v>0</v>
      </c>
      <c r="DV54" s="14">
        <f>SUM(CE$5:CE54)</f>
        <v>0</v>
      </c>
      <c r="DW54" s="14">
        <f>SUM(CF$5:CF54)</f>
        <v>0</v>
      </c>
      <c r="DX54" s="14">
        <f>SUM(CG$5:CG54)</f>
        <v>0</v>
      </c>
      <c r="DY54" s="14">
        <f>SUM(CH$5:CH54)</f>
        <v>0</v>
      </c>
      <c r="DZ54" s="14">
        <f>SUM(CI$5:CI54)</f>
        <v>0</v>
      </c>
      <c r="EA54" s="14">
        <f>SUM(CJ$5:CJ54)</f>
        <v>0</v>
      </c>
      <c r="EB54" s="14">
        <f>SUM(CK$5:CK54)</f>
        <v>0</v>
      </c>
      <c r="EC54" s="14">
        <f>SUM(CL$5:CL54)</f>
        <v>0</v>
      </c>
      <c r="ED54" s="14">
        <f>SUM(CM$5:CM54)</f>
        <v>0</v>
      </c>
      <c r="EE54" s="14">
        <f>SUM(CN$5:CN54)</f>
        <v>0</v>
      </c>
      <c r="EF54" s="14">
        <f>SUM(CO$5:CO54)</f>
        <v>0</v>
      </c>
      <c r="EG54" s="14">
        <f>SUM(CP$5:CP54)</f>
        <v>0</v>
      </c>
      <c r="EH54" s="14">
        <f>SUM(CQ$5:CQ54)</f>
        <v>0</v>
      </c>
      <c r="EI54" s="14">
        <f>SUM(CR$5:CR54)</f>
        <v>0</v>
      </c>
      <c r="EJ54" s="14">
        <f>SUM(CS$5:CS54)</f>
        <v>0</v>
      </c>
      <c r="EK54" s="14">
        <f>SUM(CT$5:CT54)</f>
        <v>0</v>
      </c>
      <c r="EL54" s="14">
        <f>SUM(CU$5:CU54)</f>
        <v>0</v>
      </c>
      <c r="EO54" s="87">
        <f t="shared" si="68"/>
        <v>0</v>
      </c>
      <c r="EP54" s="87">
        <f t="shared" si="69"/>
        <v>0</v>
      </c>
      <c r="EQ54" s="87">
        <f t="shared" si="70"/>
        <v>0</v>
      </c>
      <c r="ER54" s="87">
        <f t="shared" si="71"/>
        <v>0</v>
      </c>
      <c r="ES54" s="87">
        <f t="shared" si="72"/>
        <v>0</v>
      </c>
      <c r="ET54" s="87">
        <f t="shared" si="73"/>
        <v>0</v>
      </c>
      <c r="EU54" s="87">
        <f t="shared" si="74"/>
        <v>0</v>
      </c>
      <c r="EV54" s="87">
        <f t="shared" si="75"/>
        <v>0</v>
      </c>
      <c r="EW54" s="87">
        <f t="shared" si="76"/>
        <v>0</v>
      </c>
      <c r="EX54" s="87">
        <f t="shared" si="77"/>
        <v>0</v>
      </c>
      <c r="EY54" s="87">
        <f t="shared" si="78"/>
        <v>0</v>
      </c>
      <c r="EZ54" s="87">
        <f t="shared" si="79"/>
        <v>0</v>
      </c>
      <c r="FA54" s="87">
        <f t="shared" si="80"/>
        <v>0</v>
      </c>
      <c r="FB54" s="87">
        <f t="shared" si="81"/>
        <v>0</v>
      </c>
      <c r="FC54" s="87">
        <f t="shared" si="82"/>
        <v>0</v>
      </c>
      <c r="FD54" s="87">
        <f t="shared" si="83"/>
        <v>0</v>
      </c>
      <c r="FE54" s="87">
        <f t="shared" si="84"/>
        <v>0</v>
      </c>
      <c r="FF54" s="87">
        <f t="shared" si="85"/>
        <v>0</v>
      </c>
      <c r="FG54" s="87">
        <f t="shared" si="86"/>
        <v>0</v>
      </c>
      <c r="FH54" s="87">
        <f t="shared" si="87"/>
        <v>0</v>
      </c>
      <c r="FI54" s="87">
        <f t="shared" si="88"/>
        <v>0</v>
      </c>
      <c r="FJ54" s="87">
        <f t="shared" si="89"/>
        <v>0</v>
      </c>
      <c r="FK54" s="87">
        <f t="shared" si="90"/>
        <v>0</v>
      </c>
      <c r="FL54" s="87">
        <f t="shared" si="91"/>
        <v>0</v>
      </c>
      <c r="FM54" s="87">
        <f t="shared" si="92"/>
        <v>0</v>
      </c>
      <c r="FN54" s="87">
        <f t="shared" si="93"/>
        <v>0</v>
      </c>
      <c r="FO54" s="87">
        <f t="shared" si="94"/>
        <v>0</v>
      </c>
      <c r="FP54" s="87">
        <f t="shared" si="95"/>
        <v>0</v>
      </c>
      <c r="FQ54" s="87">
        <f t="shared" si="96"/>
        <v>0</v>
      </c>
      <c r="FR54" s="87">
        <f t="shared" si="97"/>
        <v>0</v>
      </c>
      <c r="FS54" s="87">
        <f t="shared" si="98"/>
        <v>0</v>
      </c>
      <c r="FT54" s="87">
        <f t="shared" si="99"/>
        <v>0</v>
      </c>
      <c r="FU54" s="87">
        <f t="shared" si="100"/>
        <v>0</v>
      </c>
      <c r="FV54" s="87">
        <f t="shared" si="101"/>
        <v>0</v>
      </c>
      <c r="FW54" s="87">
        <f t="shared" si="102"/>
        <v>0</v>
      </c>
      <c r="FX54" s="87">
        <f t="shared" si="103"/>
        <v>0</v>
      </c>
      <c r="FY54" s="87">
        <f t="shared" si="104"/>
        <v>0</v>
      </c>
      <c r="FZ54" s="87">
        <f t="shared" si="105"/>
        <v>0</v>
      </c>
      <c r="GA54" s="87">
        <f t="shared" si="106"/>
        <v>0</v>
      </c>
      <c r="GB54" s="87">
        <f t="shared" si="107"/>
        <v>0</v>
      </c>
      <c r="GC54" s="87">
        <f t="shared" si="108"/>
        <v>0</v>
      </c>
      <c r="GD54" s="87">
        <f t="shared" si="109"/>
        <v>0</v>
      </c>
    </row>
    <row r="55" spans="41:186" ht="16.5" x14ac:dyDescent="0.2">
      <c r="AO55" s="48">
        <v>5</v>
      </c>
      <c r="AP55" s="86">
        <v>17</v>
      </c>
      <c r="AQ55" s="86">
        <v>2</v>
      </c>
      <c r="AR55" s="48">
        <v>2</v>
      </c>
      <c r="AS55" s="86" t="s">
        <v>323</v>
      </c>
      <c r="AT55" s="21">
        <f t="shared" si="61"/>
        <v>4.8000000000000001E-2</v>
      </c>
      <c r="AU55" s="86">
        <f t="shared" si="5"/>
        <v>1</v>
      </c>
      <c r="AV55" s="86">
        <f t="shared" si="6"/>
        <v>3</v>
      </c>
      <c r="AW55" s="87">
        <f t="shared" si="7"/>
        <v>9.6000000000000002E-2</v>
      </c>
      <c r="AX55" s="86">
        <f t="shared" si="8"/>
        <v>7.2</v>
      </c>
      <c r="BA55" s="86">
        <v>51</v>
      </c>
      <c r="BB55" s="14" t="e">
        <f>INDEX(节奏总表!#REF!,神器!BA55)</f>
        <v>#REF!</v>
      </c>
      <c r="BC55" s="14" t="e">
        <f t="shared" si="9"/>
        <v>#REF!</v>
      </c>
      <c r="BD55" s="14">
        <v>5</v>
      </c>
      <c r="BE55" s="14">
        <v>3</v>
      </c>
      <c r="BF55" s="14">
        <f t="shared" si="60"/>
        <v>0</v>
      </c>
      <c r="BG55" s="14">
        <f t="shared" si="112"/>
        <v>0</v>
      </c>
      <c r="BH55" s="14">
        <f t="shared" si="112"/>
        <v>0</v>
      </c>
      <c r="BI55" s="14">
        <f t="shared" si="112"/>
        <v>0</v>
      </c>
      <c r="BJ55" s="14">
        <f t="shared" si="112"/>
        <v>0</v>
      </c>
      <c r="BK55" s="14">
        <f t="shared" si="112"/>
        <v>0</v>
      </c>
      <c r="BL55" s="14">
        <f t="shared" si="112"/>
        <v>0</v>
      </c>
      <c r="BM55" s="14">
        <f t="shared" si="112"/>
        <v>0</v>
      </c>
      <c r="BN55" s="14">
        <f t="shared" si="112"/>
        <v>0</v>
      </c>
      <c r="BO55" s="14">
        <f t="shared" si="112"/>
        <v>0</v>
      </c>
      <c r="BP55" s="14">
        <f t="shared" si="112"/>
        <v>0</v>
      </c>
      <c r="BQ55" s="14">
        <f t="shared" si="112"/>
        <v>0</v>
      </c>
      <c r="BR55" s="14">
        <f t="shared" si="112"/>
        <v>0</v>
      </c>
      <c r="BS55" s="14">
        <f t="shared" si="112"/>
        <v>0</v>
      </c>
      <c r="BT55" s="14">
        <f t="shared" si="112"/>
        <v>0</v>
      </c>
      <c r="BU55" s="14">
        <f t="shared" si="112"/>
        <v>0</v>
      </c>
      <c r="BV55" s="14">
        <f t="shared" si="112"/>
        <v>0</v>
      </c>
      <c r="BW55" s="14">
        <f t="shared" si="112"/>
        <v>0</v>
      </c>
      <c r="BX55" s="14">
        <f t="shared" si="112"/>
        <v>0</v>
      </c>
      <c r="BY55" s="14">
        <f t="shared" si="112"/>
        <v>0</v>
      </c>
      <c r="BZ55" s="14">
        <f t="shared" si="112"/>
        <v>0</v>
      </c>
      <c r="CA55" s="14">
        <f t="shared" si="112"/>
        <v>0</v>
      </c>
      <c r="CB55" s="14">
        <f t="shared" si="112"/>
        <v>0</v>
      </c>
      <c r="CC55" s="14">
        <f t="shared" si="112"/>
        <v>0</v>
      </c>
      <c r="CD55" s="14">
        <f t="shared" si="112"/>
        <v>0</v>
      </c>
      <c r="CE55" s="14">
        <f t="shared" si="112"/>
        <v>0</v>
      </c>
      <c r="CF55" s="14">
        <f t="shared" si="112"/>
        <v>0</v>
      </c>
      <c r="CG55" s="14">
        <f t="shared" si="112"/>
        <v>0</v>
      </c>
      <c r="CH55" s="14">
        <f t="shared" si="112"/>
        <v>0</v>
      </c>
      <c r="CI55" s="14">
        <f t="shared" si="112"/>
        <v>0</v>
      </c>
      <c r="CJ55" s="14">
        <f t="shared" si="112"/>
        <v>0</v>
      </c>
      <c r="CK55" s="14">
        <f t="shared" si="112"/>
        <v>0</v>
      </c>
      <c r="CL55" s="14">
        <f t="shared" si="112"/>
        <v>0</v>
      </c>
      <c r="CM55" s="14">
        <f t="shared" si="112"/>
        <v>0</v>
      </c>
      <c r="CN55" s="14">
        <f t="shared" si="112"/>
        <v>0</v>
      </c>
      <c r="CO55" s="14">
        <f t="shared" si="112"/>
        <v>0</v>
      </c>
      <c r="CP55" s="14">
        <f t="shared" si="112"/>
        <v>0</v>
      </c>
      <c r="CQ55" s="14">
        <f t="shared" si="112"/>
        <v>0</v>
      </c>
      <c r="CR55" s="14">
        <f t="shared" si="112"/>
        <v>0</v>
      </c>
      <c r="CS55" s="14">
        <f t="shared" si="112"/>
        <v>0</v>
      </c>
      <c r="CT55" s="14">
        <f t="shared" si="112"/>
        <v>0</v>
      </c>
      <c r="CU55" s="14">
        <f t="shared" si="112"/>
        <v>0</v>
      </c>
      <c r="CW55" s="14">
        <f>SUM(BF$5:BF55)</f>
        <v>0</v>
      </c>
      <c r="CX55" s="14">
        <f>SUM(BG$5:BG55)</f>
        <v>0</v>
      </c>
      <c r="CY55" s="14">
        <f>SUM(BH$5:BH55)</f>
        <v>0</v>
      </c>
      <c r="CZ55" s="14">
        <f>SUM(BI$5:BI55)</f>
        <v>0</v>
      </c>
      <c r="DA55" s="14">
        <f>SUM(BJ$5:BJ55)</f>
        <v>0</v>
      </c>
      <c r="DB55" s="14">
        <f>SUM(BK$5:BK55)</f>
        <v>0</v>
      </c>
      <c r="DC55" s="14">
        <f>SUM(BL$5:BL55)</f>
        <v>0</v>
      </c>
      <c r="DD55" s="14">
        <f>SUM(BM$5:BM55)</f>
        <v>0</v>
      </c>
      <c r="DE55" s="14">
        <f>SUM(BN$5:BN55)</f>
        <v>0</v>
      </c>
      <c r="DF55" s="14">
        <f>SUM(BO$5:BO55)</f>
        <v>0</v>
      </c>
      <c r="DG55" s="14">
        <f>SUM(BP$5:BP55)</f>
        <v>0</v>
      </c>
      <c r="DH55" s="14">
        <f>SUM(BQ$5:BQ55)</f>
        <v>0</v>
      </c>
      <c r="DI55" s="14">
        <f>SUM(BR$5:BR55)</f>
        <v>0</v>
      </c>
      <c r="DJ55" s="14">
        <f>SUM(BS$5:BS55)</f>
        <v>0</v>
      </c>
      <c r="DK55" s="14">
        <f>SUM(BT$5:BT55)</f>
        <v>0</v>
      </c>
      <c r="DL55" s="14">
        <f>SUM(BU$5:BU55)</f>
        <v>0</v>
      </c>
      <c r="DM55" s="14">
        <f>SUM(BV$5:BV55)</f>
        <v>0</v>
      </c>
      <c r="DN55" s="14">
        <f>SUM(BW$5:BW55)</f>
        <v>0</v>
      </c>
      <c r="DO55" s="14">
        <f>SUM(BX$5:BX55)</f>
        <v>0</v>
      </c>
      <c r="DP55" s="14">
        <f>SUM(BY$5:BY55)</f>
        <v>0</v>
      </c>
      <c r="DQ55" s="14">
        <f>SUM(BZ$5:BZ55)</f>
        <v>0</v>
      </c>
      <c r="DR55" s="14">
        <f>SUM(CA$5:CA55)</f>
        <v>0</v>
      </c>
      <c r="DS55" s="14">
        <f>SUM(CB$5:CB55)</f>
        <v>0</v>
      </c>
      <c r="DT55" s="14">
        <f>SUM(CC$5:CC55)</f>
        <v>0</v>
      </c>
      <c r="DU55" s="14">
        <f>SUM(CD$5:CD55)</f>
        <v>0</v>
      </c>
      <c r="DV55" s="14">
        <f>SUM(CE$5:CE55)</f>
        <v>0</v>
      </c>
      <c r="DW55" s="14">
        <f>SUM(CF$5:CF55)</f>
        <v>0</v>
      </c>
      <c r="DX55" s="14">
        <f>SUM(CG$5:CG55)</f>
        <v>0</v>
      </c>
      <c r="DY55" s="14">
        <f>SUM(CH$5:CH55)</f>
        <v>0</v>
      </c>
      <c r="DZ55" s="14">
        <f>SUM(CI$5:CI55)</f>
        <v>0</v>
      </c>
      <c r="EA55" s="14">
        <f>SUM(CJ$5:CJ55)</f>
        <v>0</v>
      </c>
      <c r="EB55" s="14">
        <f>SUM(CK$5:CK55)</f>
        <v>0</v>
      </c>
      <c r="EC55" s="14">
        <f>SUM(CL$5:CL55)</f>
        <v>0</v>
      </c>
      <c r="ED55" s="14">
        <f>SUM(CM$5:CM55)</f>
        <v>0</v>
      </c>
      <c r="EE55" s="14">
        <f>SUM(CN$5:CN55)</f>
        <v>0</v>
      </c>
      <c r="EF55" s="14">
        <f>SUM(CO$5:CO55)</f>
        <v>0</v>
      </c>
      <c r="EG55" s="14">
        <f>SUM(CP$5:CP55)</f>
        <v>0</v>
      </c>
      <c r="EH55" s="14">
        <f>SUM(CQ$5:CQ55)</f>
        <v>0</v>
      </c>
      <c r="EI55" s="14">
        <f>SUM(CR$5:CR55)</f>
        <v>0</v>
      </c>
      <c r="EJ55" s="14">
        <f>SUM(CS$5:CS55)</f>
        <v>0</v>
      </c>
      <c r="EK55" s="14">
        <f>SUM(CT$5:CT55)</f>
        <v>0</v>
      </c>
      <c r="EL55" s="14">
        <f>SUM(CU$5:CU55)</f>
        <v>0</v>
      </c>
      <c r="EO55" s="87">
        <f t="shared" si="68"/>
        <v>0</v>
      </c>
      <c r="EP55" s="87">
        <f t="shared" si="69"/>
        <v>0</v>
      </c>
      <c r="EQ55" s="87">
        <f t="shared" si="70"/>
        <v>0</v>
      </c>
      <c r="ER55" s="87">
        <f t="shared" si="71"/>
        <v>0</v>
      </c>
      <c r="ES55" s="87">
        <f t="shared" si="72"/>
        <v>0</v>
      </c>
      <c r="ET55" s="87">
        <f t="shared" si="73"/>
        <v>0</v>
      </c>
      <c r="EU55" s="87">
        <f t="shared" si="74"/>
        <v>0</v>
      </c>
      <c r="EV55" s="87">
        <f t="shared" si="75"/>
        <v>0</v>
      </c>
      <c r="EW55" s="87">
        <f t="shared" si="76"/>
        <v>0</v>
      </c>
      <c r="EX55" s="87">
        <f t="shared" si="77"/>
        <v>0</v>
      </c>
      <c r="EY55" s="87">
        <f t="shared" si="78"/>
        <v>0</v>
      </c>
      <c r="EZ55" s="87">
        <f t="shared" si="79"/>
        <v>0</v>
      </c>
      <c r="FA55" s="87">
        <f t="shared" si="80"/>
        <v>0</v>
      </c>
      <c r="FB55" s="87">
        <f t="shared" si="81"/>
        <v>0</v>
      </c>
      <c r="FC55" s="87">
        <f t="shared" si="82"/>
        <v>0</v>
      </c>
      <c r="FD55" s="87">
        <f t="shared" si="83"/>
        <v>0</v>
      </c>
      <c r="FE55" s="87">
        <f t="shared" si="84"/>
        <v>0</v>
      </c>
      <c r="FF55" s="87">
        <f t="shared" si="85"/>
        <v>0</v>
      </c>
      <c r="FG55" s="87">
        <f t="shared" si="86"/>
        <v>0</v>
      </c>
      <c r="FH55" s="87">
        <f t="shared" si="87"/>
        <v>0</v>
      </c>
      <c r="FI55" s="87">
        <f t="shared" si="88"/>
        <v>0</v>
      </c>
      <c r="FJ55" s="87">
        <f t="shared" si="89"/>
        <v>0</v>
      </c>
      <c r="FK55" s="87">
        <f t="shared" si="90"/>
        <v>0</v>
      </c>
      <c r="FL55" s="87">
        <f t="shared" si="91"/>
        <v>0</v>
      </c>
      <c r="FM55" s="87">
        <f t="shared" si="92"/>
        <v>0</v>
      </c>
      <c r="FN55" s="87">
        <f t="shared" si="93"/>
        <v>0</v>
      </c>
      <c r="FO55" s="87">
        <f t="shared" si="94"/>
        <v>0</v>
      </c>
      <c r="FP55" s="87">
        <f t="shared" si="95"/>
        <v>0</v>
      </c>
      <c r="FQ55" s="87">
        <f t="shared" si="96"/>
        <v>0</v>
      </c>
      <c r="FR55" s="87">
        <f t="shared" si="97"/>
        <v>0</v>
      </c>
      <c r="FS55" s="87">
        <f t="shared" si="98"/>
        <v>0</v>
      </c>
      <c r="FT55" s="87">
        <f t="shared" si="99"/>
        <v>0</v>
      </c>
      <c r="FU55" s="87">
        <f t="shared" si="100"/>
        <v>0</v>
      </c>
      <c r="FV55" s="87">
        <f t="shared" si="101"/>
        <v>0</v>
      </c>
      <c r="FW55" s="87">
        <f t="shared" si="102"/>
        <v>0</v>
      </c>
      <c r="FX55" s="87">
        <f t="shared" si="103"/>
        <v>0</v>
      </c>
      <c r="FY55" s="87">
        <f t="shared" si="104"/>
        <v>0</v>
      </c>
      <c r="FZ55" s="87">
        <f t="shared" si="105"/>
        <v>0</v>
      </c>
      <c r="GA55" s="87">
        <f t="shared" si="106"/>
        <v>0</v>
      </c>
      <c r="GB55" s="87">
        <f t="shared" si="107"/>
        <v>0</v>
      </c>
      <c r="GC55" s="87">
        <f t="shared" si="108"/>
        <v>0</v>
      </c>
      <c r="GD55" s="87">
        <f t="shared" si="109"/>
        <v>0</v>
      </c>
    </row>
    <row r="56" spans="41:186" ht="16.5" x14ac:dyDescent="0.2">
      <c r="AO56" s="48">
        <v>5</v>
      </c>
      <c r="AP56" s="86">
        <v>18</v>
      </c>
      <c r="AQ56" s="86">
        <v>2</v>
      </c>
      <c r="AR56" s="48">
        <v>2</v>
      </c>
      <c r="AS56" s="86" t="s">
        <v>324</v>
      </c>
      <c r="AT56" s="21">
        <f t="shared" si="61"/>
        <v>4.8000000000000001E-2</v>
      </c>
      <c r="AU56" s="86">
        <f t="shared" si="5"/>
        <v>1</v>
      </c>
      <c r="AV56" s="86">
        <f t="shared" si="6"/>
        <v>3</v>
      </c>
      <c r="AW56" s="87">
        <f t="shared" si="7"/>
        <v>9.6000000000000002E-2</v>
      </c>
      <c r="AX56" s="86">
        <f t="shared" si="8"/>
        <v>7.2</v>
      </c>
      <c r="BA56" s="86">
        <v>52</v>
      </c>
      <c r="BB56" s="14" t="e">
        <f>INDEX(节奏总表!#REF!,神器!BA56)</f>
        <v>#REF!</v>
      </c>
      <c r="BC56" s="14" t="e">
        <f t="shared" si="9"/>
        <v>#REF!</v>
      </c>
      <c r="BD56" s="14">
        <v>5</v>
      </c>
      <c r="BE56" s="14">
        <v>3</v>
      </c>
      <c r="BF56" s="14">
        <f t="shared" si="60"/>
        <v>0</v>
      </c>
      <c r="BG56" s="14">
        <f t="shared" si="112"/>
        <v>0</v>
      </c>
      <c r="BH56" s="14">
        <f t="shared" si="112"/>
        <v>0</v>
      </c>
      <c r="BI56" s="14">
        <f t="shared" si="112"/>
        <v>0</v>
      </c>
      <c r="BJ56" s="14">
        <f t="shared" si="112"/>
        <v>0</v>
      </c>
      <c r="BK56" s="14">
        <f t="shared" si="112"/>
        <v>0</v>
      </c>
      <c r="BL56" s="14">
        <f t="shared" si="112"/>
        <v>0</v>
      </c>
      <c r="BM56" s="14">
        <f t="shared" si="112"/>
        <v>0</v>
      </c>
      <c r="BN56" s="14">
        <f t="shared" si="112"/>
        <v>0</v>
      </c>
      <c r="BO56" s="14">
        <f t="shared" si="112"/>
        <v>0</v>
      </c>
      <c r="BP56" s="14">
        <f t="shared" si="112"/>
        <v>0</v>
      </c>
      <c r="BQ56" s="14">
        <f t="shared" si="112"/>
        <v>0</v>
      </c>
      <c r="BR56" s="14">
        <f t="shared" si="112"/>
        <v>0</v>
      </c>
      <c r="BS56" s="14">
        <f t="shared" si="112"/>
        <v>0</v>
      </c>
      <c r="BT56" s="14">
        <f t="shared" si="112"/>
        <v>0</v>
      </c>
      <c r="BU56" s="14">
        <f t="shared" si="112"/>
        <v>0</v>
      </c>
      <c r="BV56" s="14">
        <f t="shared" si="112"/>
        <v>0</v>
      </c>
      <c r="BW56" s="14">
        <f t="shared" si="112"/>
        <v>0</v>
      </c>
      <c r="BX56" s="14">
        <f t="shared" si="112"/>
        <v>0</v>
      </c>
      <c r="BY56" s="14">
        <f t="shared" si="112"/>
        <v>0</v>
      </c>
      <c r="BZ56" s="14">
        <f t="shared" si="112"/>
        <v>0</v>
      </c>
      <c r="CA56" s="14">
        <f t="shared" si="112"/>
        <v>0</v>
      </c>
      <c r="CB56" s="14">
        <f t="shared" si="112"/>
        <v>0</v>
      </c>
      <c r="CC56" s="14">
        <f t="shared" si="112"/>
        <v>0</v>
      </c>
      <c r="CD56" s="14">
        <f t="shared" si="112"/>
        <v>0</v>
      </c>
      <c r="CE56" s="14">
        <f t="shared" si="112"/>
        <v>0</v>
      </c>
      <c r="CF56" s="14">
        <f t="shared" si="112"/>
        <v>0</v>
      </c>
      <c r="CG56" s="14">
        <f t="shared" si="112"/>
        <v>0</v>
      </c>
      <c r="CH56" s="14">
        <f t="shared" si="112"/>
        <v>0</v>
      </c>
      <c r="CI56" s="14">
        <f t="shared" si="112"/>
        <v>0</v>
      </c>
      <c r="CJ56" s="14">
        <f t="shared" si="112"/>
        <v>0</v>
      </c>
      <c r="CK56" s="14">
        <f t="shared" si="112"/>
        <v>0</v>
      </c>
      <c r="CL56" s="14">
        <f t="shared" si="112"/>
        <v>0</v>
      </c>
      <c r="CM56" s="14">
        <f t="shared" si="112"/>
        <v>0</v>
      </c>
      <c r="CN56" s="14">
        <f t="shared" si="112"/>
        <v>0</v>
      </c>
      <c r="CO56" s="14">
        <f t="shared" si="112"/>
        <v>0</v>
      </c>
      <c r="CP56" s="14">
        <f t="shared" si="112"/>
        <v>0</v>
      </c>
      <c r="CQ56" s="14">
        <f t="shared" si="112"/>
        <v>0</v>
      </c>
      <c r="CR56" s="14">
        <f t="shared" si="112"/>
        <v>0</v>
      </c>
      <c r="CS56" s="14">
        <f t="shared" si="112"/>
        <v>0</v>
      </c>
      <c r="CT56" s="14">
        <f t="shared" si="112"/>
        <v>0</v>
      </c>
      <c r="CU56" s="14">
        <f t="shared" si="112"/>
        <v>0</v>
      </c>
      <c r="CW56" s="14">
        <f>SUM(BF$5:BF56)</f>
        <v>0</v>
      </c>
      <c r="CX56" s="14">
        <f>SUM(BG$5:BG56)</f>
        <v>0</v>
      </c>
      <c r="CY56" s="14">
        <f>SUM(BH$5:BH56)</f>
        <v>0</v>
      </c>
      <c r="CZ56" s="14">
        <f>SUM(BI$5:BI56)</f>
        <v>0</v>
      </c>
      <c r="DA56" s="14">
        <f>SUM(BJ$5:BJ56)</f>
        <v>0</v>
      </c>
      <c r="DB56" s="14">
        <f>SUM(BK$5:BK56)</f>
        <v>0</v>
      </c>
      <c r="DC56" s="14">
        <f>SUM(BL$5:BL56)</f>
        <v>0</v>
      </c>
      <c r="DD56" s="14">
        <f>SUM(BM$5:BM56)</f>
        <v>0</v>
      </c>
      <c r="DE56" s="14">
        <f>SUM(BN$5:BN56)</f>
        <v>0</v>
      </c>
      <c r="DF56" s="14">
        <f>SUM(BO$5:BO56)</f>
        <v>0</v>
      </c>
      <c r="DG56" s="14">
        <f>SUM(BP$5:BP56)</f>
        <v>0</v>
      </c>
      <c r="DH56" s="14">
        <f>SUM(BQ$5:BQ56)</f>
        <v>0</v>
      </c>
      <c r="DI56" s="14">
        <f>SUM(BR$5:BR56)</f>
        <v>0</v>
      </c>
      <c r="DJ56" s="14">
        <f>SUM(BS$5:BS56)</f>
        <v>0</v>
      </c>
      <c r="DK56" s="14">
        <f>SUM(BT$5:BT56)</f>
        <v>0</v>
      </c>
      <c r="DL56" s="14">
        <f>SUM(BU$5:BU56)</f>
        <v>0</v>
      </c>
      <c r="DM56" s="14">
        <f>SUM(BV$5:BV56)</f>
        <v>0</v>
      </c>
      <c r="DN56" s="14">
        <f>SUM(BW$5:BW56)</f>
        <v>0</v>
      </c>
      <c r="DO56" s="14">
        <f>SUM(BX$5:BX56)</f>
        <v>0</v>
      </c>
      <c r="DP56" s="14">
        <f>SUM(BY$5:BY56)</f>
        <v>0</v>
      </c>
      <c r="DQ56" s="14">
        <f>SUM(BZ$5:BZ56)</f>
        <v>0</v>
      </c>
      <c r="DR56" s="14">
        <f>SUM(CA$5:CA56)</f>
        <v>0</v>
      </c>
      <c r="DS56" s="14">
        <f>SUM(CB$5:CB56)</f>
        <v>0</v>
      </c>
      <c r="DT56" s="14">
        <f>SUM(CC$5:CC56)</f>
        <v>0</v>
      </c>
      <c r="DU56" s="14">
        <f>SUM(CD$5:CD56)</f>
        <v>0</v>
      </c>
      <c r="DV56" s="14">
        <f>SUM(CE$5:CE56)</f>
        <v>0</v>
      </c>
      <c r="DW56" s="14">
        <f>SUM(CF$5:CF56)</f>
        <v>0</v>
      </c>
      <c r="DX56" s="14">
        <f>SUM(CG$5:CG56)</f>
        <v>0</v>
      </c>
      <c r="DY56" s="14">
        <f>SUM(CH$5:CH56)</f>
        <v>0</v>
      </c>
      <c r="DZ56" s="14">
        <f>SUM(CI$5:CI56)</f>
        <v>0</v>
      </c>
      <c r="EA56" s="14">
        <f>SUM(CJ$5:CJ56)</f>
        <v>0</v>
      </c>
      <c r="EB56" s="14">
        <f>SUM(CK$5:CK56)</f>
        <v>0</v>
      </c>
      <c r="EC56" s="14">
        <f>SUM(CL$5:CL56)</f>
        <v>0</v>
      </c>
      <c r="ED56" s="14">
        <f>SUM(CM$5:CM56)</f>
        <v>0</v>
      </c>
      <c r="EE56" s="14">
        <f>SUM(CN$5:CN56)</f>
        <v>0</v>
      </c>
      <c r="EF56" s="14">
        <f>SUM(CO$5:CO56)</f>
        <v>0</v>
      </c>
      <c r="EG56" s="14">
        <f>SUM(CP$5:CP56)</f>
        <v>0</v>
      </c>
      <c r="EH56" s="14">
        <f>SUM(CQ$5:CQ56)</f>
        <v>0</v>
      </c>
      <c r="EI56" s="14">
        <f>SUM(CR$5:CR56)</f>
        <v>0</v>
      </c>
      <c r="EJ56" s="14">
        <f>SUM(CS$5:CS56)</f>
        <v>0</v>
      </c>
      <c r="EK56" s="14">
        <f>SUM(CT$5:CT56)</f>
        <v>0</v>
      </c>
      <c r="EL56" s="14">
        <f>SUM(CU$5:CU56)</f>
        <v>0</v>
      </c>
      <c r="EO56" s="87">
        <f t="shared" si="68"/>
        <v>0</v>
      </c>
      <c r="EP56" s="87">
        <f t="shared" si="69"/>
        <v>0</v>
      </c>
      <c r="EQ56" s="87">
        <f t="shared" si="70"/>
        <v>0</v>
      </c>
      <c r="ER56" s="87">
        <f t="shared" si="71"/>
        <v>0</v>
      </c>
      <c r="ES56" s="87">
        <f t="shared" si="72"/>
        <v>0</v>
      </c>
      <c r="ET56" s="87">
        <f t="shared" si="73"/>
        <v>0</v>
      </c>
      <c r="EU56" s="87">
        <f t="shared" si="74"/>
        <v>0</v>
      </c>
      <c r="EV56" s="87">
        <f t="shared" si="75"/>
        <v>0</v>
      </c>
      <c r="EW56" s="87">
        <f t="shared" si="76"/>
        <v>0</v>
      </c>
      <c r="EX56" s="87">
        <f t="shared" si="77"/>
        <v>0</v>
      </c>
      <c r="EY56" s="87">
        <f t="shared" si="78"/>
        <v>0</v>
      </c>
      <c r="EZ56" s="87">
        <f t="shared" si="79"/>
        <v>0</v>
      </c>
      <c r="FA56" s="87">
        <f t="shared" si="80"/>
        <v>0</v>
      </c>
      <c r="FB56" s="87">
        <f t="shared" si="81"/>
        <v>0</v>
      </c>
      <c r="FC56" s="87">
        <f t="shared" si="82"/>
        <v>0</v>
      </c>
      <c r="FD56" s="87">
        <f t="shared" si="83"/>
        <v>0</v>
      </c>
      <c r="FE56" s="87">
        <f t="shared" si="84"/>
        <v>0</v>
      </c>
      <c r="FF56" s="87">
        <f t="shared" si="85"/>
        <v>0</v>
      </c>
      <c r="FG56" s="87">
        <f t="shared" si="86"/>
        <v>0</v>
      </c>
      <c r="FH56" s="87">
        <f t="shared" si="87"/>
        <v>0</v>
      </c>
      <c r="FI56" s="87">
        <f t="shared" si="88"/>
        <v>0</v>
      </c>
      <c r="FJ56" s="87">
        <f t="shared" si="89"/>
        <v>0</v>
      </c>
      <c r="FK56" s="87">
        <f t="shared" si="90"/>
        <v>0</v>
      </c>
      <c r="FL56" s="87">
        <f t="shared" si="91"/>
        <v>0</v>
      </c>
      <c r="FM56" s="87">
        <f t="shared" si="92"/>
        <v>0</v>
      </c>
      <c r="FN56" s="87">
        <f t="shared" si="93"/>
        <v>0</v>
      </c>
      <c r="FO56" s="87">
        <f t="shared" si="94"/>
        <v>0</v>
      </c>
      <c r="FP56" s="87">
        <f t="shared" si="95"/>
        <v>0</v>
      </c>
      <c r="FQ56" s="87">
        <f t="shared" si="96"/>
        <v>0</v>
      </c>
      <c r="FR56" s="87">
        <f t="shared" si="97"/>
        <v>0</v>
      </c>
      <c r="FS56" s="87">
        <f t="shared" si="98"/>
        <v>0</v>
      </c>
      <c r="FT56" s="87">
        <f t="shared" si="99"/>
        <v>0</v>
      </c>
      <c r="FU56" s="87">
        <f t="shared" si="100"/>
        <v>0</v>
      </c>
      <c r="FV56" s="87">
        <f t="shared" si="101"/>
        <v>0</v>
      </c>
      <c r="FW56" s="87">
        <f t="shared" si="102"/>
        <v>0</v>
      </c>
      <c r="FX56" s="87">
        <f t="shared" si="103"/>
        <v>0</v>
      </c>
      <c r="FY56" s="87">
        <f t="shared" si="104"/>
        <v>0</v>
      </c>
      <c r="FZ56" s="87">
        <f t="shared" si="105"/>
        <v>0</v>
      </c>
      <c r="GA56" s="87">
        <f t="shared" si="106"/>
        <v>0</v>
      </c>
      <c r="GB56" s="87">
        <f t="shared" si="107"/>
        <v>0</v>
      </c>
      <c r="GC56" s="87">
        <f t="shared" si="108"/>
        <v>0</v>
      </c>
      <c r="GD56" s="87">
        <f t="shared" si="109"/>
        <v>0</v>
      </c>
    </row>
    <row r="57" spans="41:186" ht="16.5" x14ac:dyDescent="0.2">
      <c r="AO57" s="48">
        <v>5</v>
      </c>
      <c r="AP57" s="86">
        <v>19</v>
      </c>
      <c r="AQ57" s="86">
        <v>2</v>
      </c>
      <c r="AR57" s="48">
        <v>2</v>
      </c>
      <c r="AS57" s="86" t="s">
        <v>325</v>
      </c>
      <c r="AT57" s="21">
        <f t="shared" si="61"/>
        <v>3.5999999999999997E-2</v>
      </c>
      <c r="AU57" s="86">
        <f t="shared" si="5"/>
        <v>1</v>
      </c>
      <c r="AV57" s="86">
        <f t="shared" si="6"/>
        <v>2</v>
      </c>
      <c r="AW57" s="87">
        <f t="shared" si="7"/>
        <v>5.3999999999999992E-2</v>
      </c>
      <c r="AX57" s="86">
        <f t="shared" si="8"/>
        <v>9.4499999999999993</v>
      </c>
      <c r="BA57" s="86">
        <v>53</v>
      </c>
      <c r="BB57" s="14" t="e">
        <f>INDEX(节奏总表!#REF!,神器!BA57)</f>
        <v>#REF!</v>
      </c>
      <c r="BC57" s="14" t="e">
        <f t="shared" si="9"/>
        <v>#REF!</v>
      </c>
      <c r="BD57" s="14">
        <v>5</v>
      </c>
      <c r="BE57" s="14">
        <v>3</v>
      </c>
      <c r="BF57" s="14">
        <f t="shared" si="60"/>
        <v>0</v>
      </c>
      <c r="BG57" s="14">
        <f t="shared" si="112"/>
        <v>0</v>
      </c>
      <c r="BH57" s="14">
        <f t="shared" si="112"/>
        <v>0</v>
      </c>
      <c r="BI57" s="14">
        <f t="shared" si="112"/>
        <v>0</v>
      </c>
      <c r="BJ57" s="14">
        <f t="shared" si="112"/>
        <v>0</v>
      </c>
      <c r="BK57" s="14">
        <f t="shared" si="112"/>
        <v>0</v>
      </c>
      <c r="BL57" s="14">
        <f t="shared" si="112"/>
        <v>0</v>
      </c>
      <c r="BM57" s="14">
        <f t="shared" si="112"/>
        <v>0</v>
      </c>
      <c r="BN57" s="14">
        <f t="shared" si="112"/>
        <v>0</v>
      </c>
      <c r="BO57" s="14">
        <f t="shared" si="112"/>
        <v>0</v>
      </c>
      <c r="BP57" s="14">
        <f t="shared" si="112"/>
        <v>0</v>
      </c>
      <c r="BQ57" s="14">
        <f t="shared" si="112"/>
        <v>0</v>
      </c>
      <c r="BR57" s="14">
        <f t="shared" si="112"/>
        <v>0</v>
      </c>
      <c r="BS57" s="14">
        <f t="shared" si="112"/>
        <v>0</v>
      </c>
      <c r="BT57" s="14">
        <f t="shared" si="112"/>
        <v>0</v>
      </c>
      <c r="BU57" s="14">
        <f t="shared" si="112"/>
        <v>0</v>
      </c>
      <c r="BV57" s="14">
        <f t="shared" si="112"/>
        <v>0</v>
      </c>
      <c r="BW57" s="14">
        <f t="shared" si="112"/>
        <v>0</v>
      </c>
      <c r="BX57" s="14">
        <f t="shared" si="112"/>
        <v>0</v>
      </c>
      <c r="BY57" s="14">
        <f t="shared" si="112"/>
        <v>0</v>
      </c>
      <c r="BZ57" s="14">
        <f t="shared" si="112"/>
        <v>0</v>
      </c>
      <c r="CA57" s="14">
        <f t="shared" si="112"/>
        <v>0</v>
      </c>
      <c r="CB57" s="14">
        <f t="shared" si="112"/>
        <v>0</v>
      </c>
      <c r="CC57" s="14">
        <f t="shared" si="112"/>
        <v>0</v>
      </c>
      <c r="CD57" s="14">
        <f t="shared" si="112"/>
        <v>0</v>
      </c>
      <c r="CE57" s="14">
        <f t="shared" si="112"/>
        <v>0</v>
      </c>
      <c r="CF57" s="14">
        <f t="shared" si="112"/>
        <v>0</v>
      </c>
      <c r="CG57" s="14">
        <f t="shared" si="112"/>
        <v>0</v>
      </c>
      <c r="CH57" s="14">
        <f t="shared" si="112"/>
        <v>0</v>
      </c>
      <c r="CI57" s="14">
        <f t="shared" si="112"/>
        <v>0</v>
      </c>
      <c r="CJ57" s="14">
        <f t="shared" si="112"/>
        <v>0</v>
      </c>
      <c r="CK57" s="14">
        <f t="shared" si="112"/>
        <v>0</v>
      </c>
      <c r="CL57" s="14">
        <f t="shared" si="112"/>
        <v>0</v>
      </c>
      <c r="CM57" s="14">
        <f t="shared" si="112"/>
        <v>0</v>
      </c>
      <c r="CN57" s="14">
        <f t="shared" si="112"/>
        <v>0</v>
      </c>
      <c r="CO57" s="14">
        <f t="shared" si="112"/>
        <v>0</v>
      </c>
      <c r="CP57" s="14">
        <f t="shared" si="112"/>
        <v>0</v>
      </c>
      <c r="CQ57" s="14">
        <f t="shared" si="112"/>
        <v>0</v>
      </c>
      <c r="CR57" s="14">
        <f t="shared" si="112"/>
        <v>0</v>
      </c>
      <c r="CS57" s="14">
        <f t="shared" si="112"/>
        <v>0</v>
      </c>
      <c r="CT57" s="14">
        <f t="shared" si="112"/>
        <v>0</v>
      </c>
      <c r="CU57" s="14">
        <f t="shared" si="112"/>
        <v>0</v>
      </c>
      <c r="CW57" s="14">
        <f>SUM(BF$5:BF57)</f>
        <v>0</v>
      </c>
      <c r="CX57" s="14">
        <f>SUM(BG$5:BG57)</f>
        <v>0</v>
      </c>
      <c r="CY57" s="14">
        <f>SUM(BH$5:BH57)</f>
        <v>0</v>
      </c>
      <c r="CZ57" s="14">
        <f>SUM(BI$5:BI57)</f>
        <v>0</v>
      </c>
      <c r="DA57" s="14">
        <f>SUM(BJ$5:BJ57)</f>
        <v>0</v>
      </c>
      <c r="DB57" s="14">
        <f>SUM(BK$5:BK57)</f>
        <v>0</v>
      </c>
      <c r="DC57" s="14">
        <f>SUM(BL$5:BL57)</f>
        <v>0</v>
      </c>
      <c r="DD57" s="14">
        <f>SUM(BM$5:BM57)</f>
        <v>0</v>
      </c>
      <c r="DE57" s="14">
        <f>SUM(BN$5:BN57)</f>
        <v>0</v>
      </c>
      <c r="DF57" s="14">
        <f>SUM(BO$5:BO57)</f>
        <v>0</v>
      </c>
      <c r="DG57" s="14">
        <f>SUM(BP$5:BP57)</f>
        <v>0</v>
      </c>
      <c r="DH57" s="14">
        <f>SUM(BQ$5:BQ57)</f>
        <v>0</v>
      </c>
      <c r="DI57" s="14">
        <f>SUM(BR$5:BR57)</f>
        <v>0</v>
      </c>
      <c r="DJ57" s="14">
        <f>SUM(BS$5:BS57)</f>
        <v>0</v>
      </c>
      <c r="DK57" s="14">
        <f>SUM(BT$5:BT57)</f>
        <v>0</v>
      </c>
      <c r="DL57" s="14">
        <f>SUM(BU$5:BU57)</f>
        <v>0</v>
      </c>
      <c r="DM57" s="14">
        <f>SUM(BV$5:BV57)</f>
        <v>0</v>
      </c>
      <c r="DN57" s="14">
        <f>SUM(BW$5:BW57)</f>
        <v>0</v>
      </c>
      <c r="DO57" s="14">
        <f>SUM(BX$5:BX57)</f>
        <v>0</v>
      </c>
      <c r="DP57" s="14">
        <f>SUM(BY$5:BY57)</f>
        <v>0</v>
      </c>
      <c r="DQ57" s="14">
        <f>SUM(BZ$5:BZ57)</f>
        <v>0</v>
      </c>
      <c r="DR57" s="14">
        <f>SUM(CA$5:CA57)</f>
        <v>0</v>
      </c>
      <c r="DS57" s="14">
        <f>SUM(CB$5:CB57)</f>
        <v>0</v>
      </c>
      <c r="DT57" s="14">
        <f>SUM(CC$5:CC57)</f>
        <v>0</v>
      </c>
      <c r="DU57" s="14">
        <f>SUM(CD$5:CD57)</f>
        <v>0</v>
      </c>
      <c r="DV57" s="14">
        <f>SUM(CE$5:CE57)</f>
        <v>0</v>
      </c>
      <c r="DW57" s="14">
        <f>SUM(CF$5:CF57)</f>
        <v>0</v>
      </c>
      <c r="DX57" s="14">
        <f>SUM(CG$5:CG57)</f>
        <v>0</v>
      </c>
      <c r="DY57" s="14">
        <f>SUM(CH$5:CH57)</f>
        <v>0</v>
      </c>
      <c r="DZ57" s="14">
        <f>SUM(CI$5:CI57)</f>
        <v>0</v>
      </c>
      <c r="EA57" s="14">
        <f>SUM(CJ$5:CJ57)</f>
        <v>0</v>
      </c>
      <c r="EB57" s="14">
        <f>SUM(CK$5:CK57)</f>
        <v>0</v>
      </c>
      <c r="EC57" s="14">
        <f>SUM(CL$5:CL57)</f>
        <v>0</v>
      </c>
      <c r="ED57" s="14">
        <f>SUM(CM$5:CM57)</f>
        <v>0</v>
      </c>
      <c r="EE57" s="14">
        <f>SUM(CN$5:CN57)</f>
        <v>0</v>
      </c>
      <c r="EF57" s="14">
        <f>SUM(CO$5:CO57)</f>
        <v>0</v>
      </c>
      <c r="EG57" s="14">
        <f>SUM(CP$5:CP57)</f>
        <v>0</v>
      </c>
      <c r="EH57" s="14">
        <f>SUM(CQ$5:CQ57)</f>
        <v>0</v>
      </c>
      <c r="EI57" s="14">
        <f>SUM(CR$5:CR57)</f>
        <v>0</v>
      </c>
      <c r="EJ57" s="14">
        <f>SUM(CS$5:CS57)</f>
        <v>0</v>
      </c>
      <c r="EK57" s="14">
        <f>SUM(CT$5:CT57)</f>
        <v>0</v>
      </c>
      <c r="EL57" s="14">
        <f>SUM(CU$5:CU57)</f>
        <v>0</v>
      </c>
      <c r="EO57" s="87">
        <f t="shared" si="68"/>
        <v>0</v>
      </c>
      <c r="EP57" s="87">
        <f t="shared" si="69"/>
        <v>0</v>
      </c>
      <c r="EQ57" s="87">
        <f t="shared" si="70"/>
        <v>0</v>
      </c>
      <c r="ER57" s="87">
        <f t="shared" si="71"/>
        <v>0</v>
      </c>
      <c r="ES57" s="87">
        <f t="shared" si="72"/>
        <v>0</v>
      </c>
      <c r="ET57" s="87">
        <f t="shared" si="73"/>
        <v>0</v>
      </c>
      <c r="EU57" s="87">
        <f t="shared" si="74"/>
        <v>0</v>
      </c>
      <c r="EV57" s="87">
        <f t="shared" si="75"/>
        <v>0</v>
      </c>
      <c r="EW57" s="87">
        <f t="shared" si="76"/>
        <v>0</v>
      </c>
      <c r="EX57" s="87">
        <f t="shared" si="77"/>
        <v>0</v>
      </c>
      <c r="EY57" s="87">
        <f t="shared" si="78"/>
        <v>0</v>
      </c>
      <c r="EZ57" s="87">
        <f t="shared" si="79"/>
        <v>0</v>
      </c>
      <c r="FA57" s="87">
        <f t="shared" si="80"/>
        <v>0</v>
      </c>
      <c r="FB57" s="87">
        <f t="shared" si="81"/>
        <v>0</v>
      </c>
      <c r="FC57" s="87">
        <f t="shared" si="82"/>
        <v>0</v>
      </c>
      <c r="FD57" s="87">
        <f t="shared" si="83"/>
        <v>0</v>
      </c>
      <c r="FE57" s="87">
        <f t="shared" si="84"/>
        <v>0</v>
      </c>
      <c r="FF57" s="87">
        <f t="shared" si="85"/>
        <v>0</v>
      </c>
      <c r="FG57" s="87">
        <f t="shared" si="86"/>
        <v>0</v>
      </c>
      <c r="FH57" s="87">
        <f t="shared" si="87"/>
        <v>0</v>
      </c>
      <c r="FI57" s="87">
        <f t="shared" si="88"/>
        <v>0</v>
      </c>
      <c r="FJ57" s="87">
        <f t="shared" si="89"/>
        <v>0</v>
      </c>
      <c r="FK57" s="87">
        <f t="shared" si="90"/>
        <v>0</v>
      </c>
      <c r="FL57" s="87">
        <f t="shared" si="91"/>
        <v>0</v>
      </c>
      <c r="FM57" s="87">
        <f t="shared" si="92"/>
        <v>0</v>
      </c>
      <c r="FN57" s="87">
        <f t="shared" si="93"/>
        <v>0</v>
      </c>
      <c r="FO57" s="87">
        <f t="shared" si="94"/>
        <v>0</v>
      </c>
      <c r="FP57" s="87">
        <f t="shared" si="95"/>
        <v>0</v>
      </c>
      <c r="FQ57" s="87">
        <f t="shared" si="96"/>
        <v>0</v>
      </c>
      <c r="FR57" s="87">
        <f t="shared" si="97"/>
        <v>0</v>
      </c>
      <c r="FS57" s="87">
        <f t="shared" si="98"/>
        <v>0</v>
      </c>
      <c r="FT57" s="87">
        <f t="shared" si="99"/>
        <v>0</v>
      </c>
      <c r="FU57" s="87">
        <f t="shared" si="100"/>
        <v>0</v>
      </c>
      <c r="FV57" s="87">
        <f t="shared" si="101"/>
        <v>0</v>
      </c>
      <c r="FW57" s="87">
        <f t="shared" si="102"/>
        <v>0</v>
      </c>
      <c r="FX57" s="87">
        <f t="shared" si="103"/>
        <v>0</v>
      </c>
      <c r="FY57" s="87">
        <f t="shared" si="104"/>
        <v>0</v>
      </c>
      <c r="FZ57" s="87">
        <f t="shared" si="105"/>
        <v>0</v>
      </c>
      <c r="GA57" s="87">
        <f t="shared" si="106"/>
        <v>0</v>
      </c>
      <c r="GB57" s="87">
        <f t="shared" si="107"/>
        <v>0</v>
      </c>
      <c r="GC57" s="87">
        <f t="shared" si="108"/>
        <v>0</v>
      </c>
      <c r="GD57" s="87">
        <f t="shared" si="109"/>
        <v>0</v>
      </c>
    </row>
    <row r="58" spans="41:186" ht="16.5" x14ac:dyDescent="0.2">
      <c r="AO58" s="48">
        <v>5</v>
      </c>
      <c r="AP58" s="86">
        <v>20</v>
      </c>
      <c r="AQ58" s="86">
        <v>2</v>
      </c>
      <c r="AR58" s="48">
        <v>2</v>
      </c>
      <c r="AS58" s="86" t="s">
        <v>326</v>
      </c>
      <c r="AT58" s="21">
        <f t="shared" si="61"/>
        <v>1.7999999999999999E-2</v>
      </c>
      <c r="AU58" s="86">
        <f t="shared" si="5"/>
        <v>1</v>
      </c>
      <c r="AV58" s="86">
        <f t="shared" si="6"/>
        <v>2</v>
      </c>
      <c r="AW58" s="87">
        <f t="shared" si="7"/>
        <v>2.6999999999999996E-2</v>
      </c>
      <c r="AX58" s="86">
        <f t="shared" si="8"/>
        <v>10.124999999999998</v>
      </c>
      <c r="BA58" s="86">
        <v>54</v>
      </c>
      <c r="BB58" s="14" t="e">
        <f>INDEX(节奏总表!#REF!,神器!BA58)</f>
        <v>#REF!</v>
      </c>
      <c r="BC58" s="14" t="e">
        <f t="shared" si="9"/>
        <v>#REF!</v>
      </c>
      <c r="BD58" s="14">
        <v>5</v>
      </c>
      <c r="BE58" s="14">
        <v>3</v>
      </c>
      <c r="BF58" s="14">
        <f t="shared" si="60"/>
        <v>0</v>
      </c>
      <c r="BG58" s="14">
        <f t="shared" si="112"/>
        <v>0</v>
      </c>
      <c r="BH58" s="14">
        <f t="shared" si="112"/>
        <v>0</v>
      </c>
      <c r="BI58" s="14">
        <f t="shared" si="112"/>
        <v>0</v>
      </c>
      <c r="BJ58" s="14">
        <f t="shared" si="112"/>
        <v>0</v>
      </c>
      <c r="BK58" s="14">
        <f t="shared" si="112"/>
        <v>0</v>
      </c>
      <c r="BL58" s="14">
        <f t="shared" si="112"/>
        <v>0</v>
      </c>
      <c r="BM58" s="14">
        <f t="shared" si="112"/>
        <v>0</v>
      </c>
      <c r="BN58" s="14">
        <f t="shared" si="112"/>
        <v>0</v>
      </c>
      <c r="BO58" s="14">
        <f t="shared" si="112"/>
        <v>0</v>
      </c>
      <c r="BP58" s="14">
        <f t="shared" si="112"/>
        <v>0</v>
      </c>
      <c r="BQ58" s="14">
        <f t="shared" si="112"/>
        <v>0</v>
      </c>
      <c r="BR58" s="14">
        <f t="shared" si="112"/>
        <v>0</v>
      </c>
      <c r="BS58" s="14">
        <f t="shared" si="112"/>
        <v>0</v>
      </c>
      <c r="BT58" s="14">
        <f t="shared" si="112"/>
        <v>0</v>
      </c>
      <c r="BU58" s="14">
        <f t="shared" si="112"/>
        <v>0</v>
      </c>
      <c r="BV58" s="14">
        <f t="shared" si="112"/>
        <v>0</v>
      </c>
      <c r="BW58" s="14">
        <f t="shared" si="112"/>
        <v>0</v>
      </c>
      <c r="BX58" s="14">
        <f t="shared" si="112"/>
        <v>0</v>
      </c>
      <c r="BY58" s="14">
        <f t="shared" si="112"/>
        <v>0</v>
      </c>
      <c r="BZ58" s="14">
        <f t="shared" si="112"/>
        <v>0</v>
      </c>
      <c r="CA58" s="14">
        <f t="shared" si="112"/>
        <v>0</v>
      </c>
      <c r="CB58" s="14">
        <f t="shared" si="112"/>
        <v>0</v>
      </c>
      <c r="CC58" s="14">
        <f t="shared" si="112"/>
        <v>0</v>
      </c>
      <c r="CD58" s="14">
        <f t="shared" si="112"/>
        <v>0</v>
      </c>
      <c r="CE58" s="14">
        <f t="shared" si="112"/>
        <v>0</v>
      </c>
      <c r="CF58" s="14">
        <f t="shared" si="112"/>
        <v>0</v>
      </c>
      <c r="CG58" s="14">
        <f t="shared" si="112"/>
        <v>0</v>
      </c>
      <c r="CH58" s="14">
        <f t="shared" si="112"/>
        <v>0</v>
      </c>
      <c r="CI58" s="14">
        <f t="shared" si="112"/>
        <v>0</v>
      </c>
      <c r="CJ58" s="14">
        <f t="shared" si="112"/>
        <v>0</v>
      </c>
      <c r="CK58" s="14">
        <f t="shared" si="112"/>
        <v>0</v>
      </c>
      <c r="CL58" s="14">
        <f t="shared" si="112"/>
        <v>0</v>
      </c>
      <c r="CM58" s="14">
        <f t="shared" si="112"/>
        <v>0</v>
      </c>
      <c r="CN58" s="14">
        <f t="shared" si="112"/>
        <v>0</v>
      </c>
      <c r="CO58" s="14">
        <f t="shared" si="112"/>
        <v>0</v>
      </c>
      <c r="CP58" s="14">
        <f t="shared" si="112"/>
        <v>0</v>
      </c>
      <c r="CQ58" s="14">
        <f t="shared" si="112"/>
        <v>0</v>
      </c>
      <c r="CR58" s="14">
        <f t="shared" si="112"/>
        <v>0</v>
      </c>
      <c r="CS58" s="14">
        <f t="shared" si="112"/>
        <v>0</v>
      </c>
      <c r="CT58" s="14">
        <f t="shared" si="112"/>
        <v>0</v>
      </c>
      <c r="CU58" s="14">
        <f t="shared" si="112"/>
        <v>0</v>
      </c>
      <c r="CW58" s="14">
        <f>SUM(BF$5:BF58)</f>
        <v>0</v>
      </c>
      <c r="CX58" s="14">
        <f>SUM(BG$5:BG58)</f>
        <v>0</v>
      </c>
      <c r="CY58" s="14">
        <f>SUM(BH$5:BH58)</f>
        <v>0</v>
      </c>
      <c r="CZ58" s="14">
        <f>SUM(BI$5:BI58)</f>
        <v>0</v>
      </c>
      <c r="DA58" s="14">
        <f>SUM(BJ$5:BJ58)</f>
        <v>0</v>
      </c>
      <c r="DB58" s="14">
        <f>SUM(BK$5:BK58)</f>
        <v>0</v>
      </c>
      <c r="DC58" s="14">
        <f>SUM(BL$5:BL58)</f>
        <v>0</v>
      </c>
      <c r="DD58" s="14">
        <f>SUM(BM$5:BM58)</f>
        <v>0</v>
      </c>
      <c r="DE58" s="14">
        <f>SUM(BN$5:BN58)</f>
        <v>0</v>
      </c>
      <c r="DF58" s="14">
        <f>SUM(BO$5:BO58)</f>
        <v>0</v>
      </c>
      <c r="DG58" s="14">
        <f>SUM(BP$5:BP58)</f>
        <v>0</v>
      </c>
      <c r="DH58" s="14">
        <f>SUM(BQ$5:BQ58)</f>
        <v>0</v>
      </c>
      <c r="DI58" s="14">
        <f>SUM(BR$5:BR58)</f>
        <v>0</v>
      </c>
      <c r="DJ58" s="14">
        <f>SUM(BS$5:BS58)</f>
        <v>0</v>
      </c>
      <c r="DK58" s="14">
        <f>SUM(BT$5:BT58)</f>
        <v>0</v>
      </c>
      <c r="DL58" s="14">
        <f>SUM(BU$5:BU58)</f>
        <v>0</v>
      </c>
      <c r="DM58" s="14">
        <f>SUM(BV$5:BV58)</f>
        <v>0</v>
      </c>
      <c r="DN58" s="14">
        <f>SUM(BW$5:BW58)</f>
        <v>0</v>
      </c>
      <c r="DO58" s="14">
        <f>SUM(BX$5:BX58)</f>
        <v>0</v>
      </c>
      <c r="DP58" s="14">
        <f>SUM(BY$5:BY58)</f>
        <v>0</v>
      </c>
      <c r="DQ58" s="14">
        <f>SUM(BZ$5:BZ58)</f>
        <v>0</v>
      </c>
      <c r="DR58" s="14">
        <f>SUM(CA$5:CA58)</f>
        <v>0</v>
      </c>
      <c r="DS58" s="14">
        <f>SUM(CB$5:CB58)</f>
        <v>0</v>
      </c>
      <c r="DT58" s="14">
        <f>SUM(CC$5:CC58)</f>
        <v>0</v>
      </c>
      <c r="DU58" s="14">
        <f>SUM(CD$5:CD58)</f>
        <v>0</v>
      </c>
      <c r="DV58" s="14">
        <f>SUM(CE$5:CE58)</f>
        <v>0</v>
      </c>
      <c r="DW58" s="14">
        <f>SUM(CF$5:CF58)</f>
        <v>0</v>
      </c>
      <c r="DX58" s="14">
        <f>SUM(CG$5:CG58)</f>
        <v>0</v>
      </c>
      <c r="DY58" s="14">
        <f>SUM(CH$5:CH58)</f>
        <v>0</v>
      </c>
      <c r="DZ58" s="14">
        <f>SUM(CI$5:CI58)</f>
        <v>0</v>
      </c>
      <c r="EA58" s="14">
        <f>SUM(CJ$5:CJ58)</f>
        <v>0</v>
      </c>
      <c r="EB58" s="14">
        <f>SUM(CK$5:CK58)</f>
        <v>0</v>
      </c>
      <c r="EC58" s="14">
        <f>SUM(CL$5:CL58)</f>
        <v>0</v>
      </c>
      <c r="ED58" s="14">
        <f>SUM(CM$5:CM58)</f>
        <v>0</v>
      </c>
      <c r="EE58" s="14">
        <f>SUM(CN$5:CN58)</f>
        <v>0</v>
      </c>
      <c r="EF58" s="14">
        <f>SUM(CO$5:CO58)</f>
        <v>0</v>
      </c>
      <c r="EG58" s="14">
        <f>SUM(CP$5:CP58)</f>
        <v>0</v>
      </c>
      <c r="EH58" s="14">
        <f>SUM(CQ$5:CQ58)</f>
        <v>0</v>
      </c>
      <c r="EI58" s="14">
        <f>SUM(CR$5:CR58)</f>
        <v>0</v>
      </c>
      <c r="EJ58" s="14">
        <f>SUM(CS$5:CS58)</f>
        <v>0</v>
      </c>
      <c r="EK58" s="14">
        <f>SUM(CT$5:CT58)</f>
        <v>0</v>
      </c>
      <c r="EL58" s="14">
        <f>SUM(CU$5:CU58)</f>
        <v>0</v>
      </c>
      <c r="EO58" s="87">
        <f t="shared" si="68"/>
        <v>0</v>
      </c>
      <c r="EP58" s="87">
        <f t="shared" si="69"/>
        <v>0</v>
      </c>
      <c r="EQ58" s="87">
        <f t="shared" si="70"/>
        <v>0</v>
      </c>
      <c r="ER58" s="87">
        <f t="shared" si="71"/>
        <v>0</v>
      </c>
      <c r="ES58" s="87">
        <f t="shared" si="72"/>
        <v>0</v>
      </c>
      <c r="ET58" s="87">
        <f t="shared" si="73"/>
        <v>0</v>
      </c>
      <c r="EU58" s="87">
        <f t="shared" si="74"/>
        <v>0</v>
      </c>
      <c r="EV58" s="87">
        <f t="shared" si="75"/>
        <v>0</v>
      </c>
      <c r="EW58" s="87">
        <f t="shared" si="76"/>
        <v>0</v>
      </c>
      <c r="EX58" s="87">
        <f t="shared" si="77"/>
        <v>0</v>
      </c>
      <c r="EY58" s="87">
        <f t="shared" si="78"/>
        <v>0</v>
      </c>
      <c r="EZ58" s="87">
        <f t="shared" si="79"/>
        <v>0</v>
      </c>
      <c r="FA58" s="87">
        <f t="shared" si="80"/>
        <v>0</v>
      </c>
      <c r="FB58" s="87">
        <f t="shared" si="81"/>
        <v>0</v>
      </c>
      <c r="FC58" s="87">
        <f t="shared" si="82"/>
        <v>0</v>
      </c>
      <c r="FD58" s="87">
        <f t="shared" si="83"/>
        <v>0</v>
      </c>
      <c r="FE58" s="87">
        <f t="shared" si="84"/>
        <v>0</v>
      </c>
      <c r="FF58" s="87">
        <f t="shared" si="85"/>
        <v>0</v>
      </c>
      <c r="FG58" s="87">
        <f t="shared" si="86"/>
        <v>0</v>
      </c>
      <c r="FH58" s="87">
        <f t="shared" si="87"/>
        <v>0</v>
      </c>
      <c r="FI58" s="87">
        <f t="shared" si="88"/>
        <v>0</v>
      </c>
      <c r="FJ58" s="87">
        <f t="shared" si="89"/>
        <v>0</v>
      </c>
      <c r="FK58" s="87">
        <f t="shared" si="90"/>
        <v>0</v>
      </c>
      <c r="FL58" s="87">
        <f t="shared" si="91"/>
        <v>0</v>
      </c>
      <c r="FM58" s="87">
        <f t="shared" si="92"/>
        <v>0</v>
      </c>
      <c r="FN58" s="87">
        <f t="shared" si="93"/>
        <v>0</v>
      </c>
      <c r="FO58" s="87">
        <f t="shared" si="94"/>
        <v>0</v>
      </c>
      <c r="FP58" s="87">
        <f t="shared" si="95"/>
        <v>0</v>
      </c>
      <c r="FQ58" s="87">
        <f t="shared" si="96"/>
        <v>0</v>
      </c>
      <c r="FR58" s="87">
        <f t="shared" si="97"/>
        <v>0</v>
      </c>
      <c r="FS58" s="87">
        <f t="shared" si="98"/>
        <v>0</v>
      </c>
      <c r="FT58" s="87">
        <f t="shared" si="99"/>
        <v>0</v>
      </c>
      <c r="FU58" s="87">
        <f t="shared" si="100"/>
        <v>0</v>
      </c>
      <c r="FV58" s="87">
        <f t="shared" si="101"/>
        <v>0</v>
      </c>
      <c r="FW58" s="87">
        <f t="shared" si="102"/>
        <v>0</v>
      </c>
      <c r="FX58" s="87">
        <f t="shared" si="103"/>
        <v>0</v>
      </c>
      <c r="FY58" s="87">
        <f t="shared" si="104"/>
        <v>0</v>
      </c>
      <c r="FZ58" s="87">
        <f t="shared" si="105"/>
        <v>0</v>
      </c>
      <c r="GA58" s="87">
        <f t="shared" si="106"/>
        <v>0</v>
      </c>
      <c r="GB58" s="87">
        <f t="shared" si="107"/>
        <v>0</v>
      </c>
      <c r="GC58" s="87">
        <f t="shared" si="108"/>
        <v>0</v>
      </c>
      <c r="GD58" s="87">
        <f t="shared" si="109"/>
        <v>0</v>
      </c>
    </row>
    <row r="59" spans="41:186" ht="16.5" x14ac:dyDescent="0.2">
      <c r="AO59" s="48">
        <v>5</v>
      </c>
      <c r="AP59" s="86">
        <v>21</v>
      </c>
      <c r="AQ59" s="86">
        <v>3</v>
      </c>
      <c r="AR59" s="48">
        <v>1</v>
      </c>
      <c r="AS59" s="86" t="s">
        <v>664</v>
      </c>
      <c r="AT59" s="21">
        <f t="shared" si="61"/>
        <v>3.7499999999999999E-2</v>
      </c>
      <c r="AU59" s="86">
        <f t="shared" si="5"/>
        <v>1</v>
      </c>
      <c r="AV59" s="86">
        <f t="shared" si="6"/>
        <v>3</v>
      </c>
      <c r="AW59" s="87">
        <f t="shared" si="7"/>
        <v>7.4999999999999997E-2</v>
      </c>
      <c r="AX59" s="86">
        <f t="shared" si="8"/>
        <v>2.25</v>
      </c>
      <c r="BA59" s="86">
        <v>55</v>
      </c>
      <c r="BB59" s="14" t="e">
        <f>INDEX(节奏总表!#REF!,神器!BA59)</f>
        <v>#REF!</v>
      </c>
      <c r="BC59" s="14" t="e">
        <f t="shared" si="9"/>
        <v>#REF!</v>
      </c>
      <c r="BD59" s="14">
        <v>5</v>
      </c>
      <c r="BE59" s="14">
        <v>3</v>
      </c>
      <c r="BF59" s="14">
        <f t="shared" si="60"/>
        <v>0</v>
      </c>
      <c r="BG59" s="14">
        <f t="shared" si="112"/>
        <v>0</v>
      </c>
      <c r="BH59" s="14">
        <f t="shared" si="112"/>
        <v>0</v>
      </c>
      <c r="BI59" s="14">
        <f t="shared" si="112"/>
        <v>0</v>
      </c>
      <c r="BJ59" s="14">
        <f t="shared" si="112"/>
        <v>0</v>
      </c>
      <c r="BK59" s="14">
        <f t="shared" si="112"/>
        <v>0</v>
      </c>
      <c r="BL59" s="14">
        <f t="shared" si="112"/>
        <v>0</v>
      </c>
      <c r="BM59" s="14">
        <f t="shared" si="112"/>
        <v>0</v>
      </c>
      <c r="BN59" s="14">
        <f t="shared" si="112"/>
        <v>0</v>
      </c>
      <c r="BO59" s="14">
        <f t="shared" si="112"/>
        <v>0</v>
      </c>
      <c r="BP59" s="14">
        <f t="shared" si="112"/>
        <v>0</v>
      </c>
      <c r="BQ59" s="14">
        <f t="shared" si="112"/>
        <v>0</v>
      </c>
      <c r="BR59" s="14">
        <f t="shared" si="112"/>
        <v>0</v>
      </c>
      <c r="BS59" s="14">
        <f t="shared" si="112"/>
        <v>0</v>
      </c>
      <c r="BT59" s="14">
        <f t="shared" si="112"/>
        <v>0</v>
      </c>
      <c r="BU59" s="14">
        <f t="shared" si="112"/>
        <v>0</v>
      </c>
      <c r="BV59" s="14">
        <f t="shared" si="112"/>
        <v>0</v>
      </c>
      <c r="BW59" s="14">
        <f t="shared" si="112"/>
        <v>0</v>
      </c>
      <c r="BX59" s="14">
        <f t="shared" si="112"/>
        <v>0</v>
      </c>
      <c r="BY59" s="14">
        <f t="shared" si="112"/>
        <v>0</v>
      </c>
      <c r="BZ59" s="14">
        <f t="shared" si="112"/>
        <v>0</v>
      </c>
      <c r="CA59" s="14">
        <f t="shared" si="112"/>
        <v>0</v>
      </c>
      <c r="CB59" s="14">
        <f t="shared" si="112"/>
        <v>0</v>
      </c>
      <c r="CC59" s="14">
        <f t="shared" si="112"/>
        <v>0</v>
      </c>
      <c r="CD59" s="14">
        <f t="shared" si="112"/>
        <v>0</v>
      </c>
      <c r="CE59" s="14">
        <f t="shared" si="112"/>
        <v>0</v>
      </c>
      <c r="CF59" s="14">
        <f t="shared" si="112"/>
        <v>0</v>
      </c>
      <c r="CG59" s="14">
        <f t="shared" si="112"/>
        <v>0</v>
      </c>
      <c r="CH59" s="14">
        <f t="shared" si="112"/>
        <v>0</v>
      </c>
      <c r="CI59" s="14">
        <f t="shared" si="112"/>
        <v>0</v>
      </c>
      <c r="CJ59" s="14">
        <f t="shared" si="112"/>
        <v>0</v>
      </c>
      <c r="CK59" s="14">
        <f t="shared" si="112"/>
        <v>0</v>
      </c>
      <c r="CL59" s="14">
        <f t="shared" si="112"/>
        <v>0</v>
      </c>
      <c r="CM59" s="14">
        <f t="shared" si="112"/>
        <v>0</v>
      </c>
      <c r="CN59" s="14">
        <f t="shared" si="112"/>
        <v>0</v>
      </c>
      <c r="CO59" s="14">
        <f t="shared" si="112"/>
        <v>0</v>
      </c>
      <c r="CP59" s="14">
        <f t="shared" si="112"/>
        <v>0</v>
      </c>
      <c r="CQ59" s="14">
        <f t="shared" si="112"/>
        <v>0</v>
      </c>
      <c r="CR59" s="14">
        <f t="shared" si="112"/>
        <v>0</v>
      </c>
      <c r="CS59" s="14">
        <f t="shared" si="112"/>
        <v>0</v>
      </c>
      <c r="CT59" s="14">
        <f t="shared" si="112"/>
        <v>0</v>
      </c>
      <c r="CU59" s="14">
        <f t="shared" si="112"/>
        <v>0</v>
      </c>
      <c r="CW59" s="14">
        <f>SUM(BF$5:BF59)</f>
        <v>0</v>
      </c>
      <c r="CX59" s="14">
        <f>SUM(BG$5:BG59)</f>
        <v>0</v>
      </c>
      <c r="CY59" s="14">
        <f>SUM(BH$5:BH59)</f>
        <v>0</v>
      </c>
      <c r="CZ59" s="14">
        <f>SUM(BI$5:BI59)</f>
        <v>0</v>
      </c>
      <c r="DA59" s="14">
        <f>SUM(BJ$5:BJ59)</f>
        <v>0</v>
      </c>
      <c r="DB59" s="14">
        <f>SUM(BK$5:BK59)</f>
        <v>0</v>
      </c>
      <c r="DC59" s="14">
        <f>SUM(BL$5:BL59)</f>
        <v>0</v>
      </c>
      <c r="DD59" s="14">
        <f>SUM(BM$5:BM59)</f>
        <v>0</v>
      </c>
      <c r="DE59" s="14">
        <f>SUM(BN$5:BN59)</f>
        <v>0</v>
      </c>
      <c r="DF59" s="14">
        <f>SUM(BO$5:BO59)</f>
        <v>0</v>
      </c>
      <c r="DG59" s="14">
        <f>SUM(BP$5:BP59)</f>
        <v>0</v>
      </c>
      <c r="DH59" s="14">
        <f>SUM(BQ$5:BQ59)</f>
        <v>0</v>
      </c>
      <c r="DI59" s="14">
        <f>SUM(BR$5:BR59)</f>
        <v>0</v>
      </c>
      <c r="DJ59" s="14">
        <f>SUM(BS$5:BS59)</f>
        <v>0</v>
      </c>
      <c r="DK59" s="14">
        <f>SUM(BT$5:BT59)</f>
        <v>0</v>
      </c>
      <c r="DL59" s="14">
        <f>SUM(BU$5:BU59)</f>
        <v>0</v>
      </c>
      <c r="DM59" s="14">
        <f>SUM(BV$5:BV59)</f>
        <v>0</v>
      </c>
      <c r="DN59" s="14">
        <f>SUM(BW$5:BW59)</f>
        <v>0</v>
      </c>
      <c r="DO59" s="14">
        <f>SUM(BX$5:BX59)</f>
        <v>0</v>
      </c>
      <c r="DP59" s="14">
        <f>SUM(BY$5:BY59)</f>
        <v>0</v>
      </c>
      <c r="DQ59" s="14">
        <f>SUM(BZ$5:BZ59)</f>
        <v>0</v>
      </c>
      <c r="DR59" s="14">
        <f>SUM(CA$5:CA59)</f>
        <v>0</v>
      </c>
      <c r="DS59" s="14">
        <f>SUM(CB$5:CB59)</f>
        <v>0</v>
      </c>
      <c r="DT59" s="14">
        <f>SUM(CC$5:CC59)</f>
        <v>0</v>
      </c>
      <c r="DU59" s="14">
        <f>SUM(CD$5:CD59)</f>
        <v>0</v>
      </c>
      <c r="DV59" s="14">
        <f>SUM(CE$5:CE59)</f>
        <v>0</v>
      </c>
      <c r="DW59" s="14">
        <f>SUM(CF$5:CF59)</f>
        <v>0</v>
      </c>
      <c r="DX59" s="14">
        <f>SUM(CG$5:CG59)</f>
        <v>0</v>
      </c>
      <c r="DY59" s="14">
        <f>SUM(CH$5:CH59)</f>
        <v>0</v>
      </c>
      <c r="DZ59" s="14">
        <f>SUM(CI$5:CI59)</f>
        <v>0</v>
      </c>
      <c r="EA59" s="14">
        <f>SUM(CJ$5:CJ59)</f>
        <v>0</v>
      </c>
      <c r="EB59" s="14">
        <f>SUM(CK$5:CK59)</f>
        <v>0</v>
      </c>
      <c r="EC59" s="14">
        <f>SUM(CL$5:CL59)</f>
        <v>0</v>
      </c>
      <c r="ED59" s="14">
        <f>SUM(CM$5:CM59)</f>
        <v>0</v>
      </c>
      <c r="EE59" s="14">
        <f>SUM(CN$5:CN59)</f>
        <v>0</v>
      </c>
      <c r="EF59" s="14">
        <f>SUM(CO$5:CO59)</f>
        <v>0</v>
      </c>
      <c r="EG59" s="14">
        <f>SUM(CP$5:CP59)</f>
        <v>0</v>
      </c>
      <c r="EH59" s="14">
        <f>SUM(CQ$5:CQ59)</f>
        <v>0</v>
      </c>
      <c r="EI59" s="14">
        <f>SUM(CR$5:CR59)</f>
        <v>0</v>
      </c>
      <c r="EJ59" s="14">
        <f>SUM(CS$5:CS59)</f>
        <v>0</v>
      </c>
      <c r="EK59" s="14">
        <f>SUM(CT$5:CT59)</f>
        <v>0</v>
      </c>
      <c r="EL59" s="14">
        <f>SUM(CU$5:CU59)</f>
        <v>0</v>
      </c>
      <c r="EO59" s="87">
        <f t="shared" si="68"/>
        <v>0</v>
      </c>
      <c r="EP59" s="87">
        <f t="shared" si="69"/>
        <v>0</v>
      </c>
      <c r="EQ59" s="87">
        <f t="shared" si="70"/>
        <v>0</v>
      </c>
      <c r="ER59" s="87">
        <f t="shared" si="71"/>
        <v>0</v>
      </c>
      <c r="ES59" s="87">
        <f t="shared" si="72"/>
        <v>0</v>
      </c>
      <c r="ET59" s="87">
        <f t="shared" si="73"/>
        <v>0</v>
      </c>
      <c r="EU59" s="87">
        <f t="shared" si="74"/>
        <v>0</v>
      </c>
      <c r="EV59" s="87">
        <f t="shared" si="75"/>
        <v>0</v>
      </c>
      <c r="EW59" s="87">
        <f t="shared" si="76"/>
        <v>0</v>
      </c>
      <c r="EX59" s="87">
        <f t="shared" si="77"/>
        <v>0</v>
      </c>
      <c r="EY59" s="87">
        <f t="shared" si="78"/>
        <v>0</v>
      </c>
      <c r="EZ59" s="87">
        <f t="shared" si="79"/>
        <v>0</v>
      </c>
      <c r="FA59" s="87">
        <f t="shared" si="80"/>
        <v>0</v>
      </c>
      <c r="FB59" s="87">
        <f t="shared" si="81"/>
        <v>0</v>
      </c>
      <c r="FC59" s="87">
        <f t="shared" si="82"/>
        <v>0</v>
      </c>
      <c r="FD59" s="87">
        <f t="shared" si="83"/>
        <v>0</v>
      </c>
      <c r="FE59" s="87">
        <f t="shared" si="84"/>
        <v>0</v>
      </c>
      <c r="FF59" s="87">
        <f t="shared" si="85"/>
        <v>0</v>
      </c>
      <c r="FG59" s="87">
        <f t="shared" si="86"/>
        <v>0</v>
      </c>
      <c r="FH59" s="87">
        <f t="shared" si="87"/>
        <v>0</v>
      </c>
      <c r="FI59" s="87">
        <f t="shared" si="88"/>
        <v>0</v>
      </c>
      <c r="FJ59" s="87">
        <f t="shared" si="89"/>
        <v>0</v>
      </c>
      <c r="FK59" s="87">
        <f t="shared" si="90"/>
        <v>0</v>
      </c>
      <c r="FL59" s="87">
        <f t="shared" si="91"/>
        <v>0</v>
      </c>
      <c r="FM59" s="87">
        <f t="shared" si="92"/>
        <v>0</v>
      </c>
      <c r="FN59" s="87">
        <f t="shared" si="93"/>
        <v>0</v>
      </c>
      <c r="FO59" s="87">
        <f t="shared" si="94"/>
        <v>0</v>
      </c>
      <c r="FP59" s="87">
        <f t="shared" si="95"/>
        <v>0</v>
      </c>
      <c r="FQ59" s="87">
        <f t="shared" si="96"/>
        <v>0</v>
      </c>
      <c r="FR59" s="87">
        <f t="shared" si="97"/>
        <v>0</v>
      </c>
      <c r="FS59" s="87">
        <f t="shared" si="98"/>
        <v>0</v>
      </c>
      <c r="FT59" s="87">
        <f t="shared" si="99"/>
        <v>0</v>
      </c>
      <c r="FU59" s="87">
        <f t="shared" si="100"/>
        <v>0</v>
      </c>
      <c r="FV59" s="87">
        <f t="shared" si="101"/>
        <v>0</v>
      </c>
      <c r="FW59" s="87">
        <f t="shared" si="102"/>
        <v>0</v>
      </c>
      <c r="FX59" s="87">
        <f t="shared" si="103"/>
        <v>0</v>
      </c>
      <c r="FY59" s="87">
        <f t="shared" si="104"/>
        <v>0</v>
      </c>
      <c r="FZ59" s="87">
        <f t="shared" si="105"/>
        <v>0</v>
      </c>
      <c r="GA59" s="87">
        <f t="shared" si="106"/>
        <v>0</v>
      </c>
      <c r="GB59" s="87">
        <f t="shared" si="107"/>
        <v>0</v>
      </c>
      <c r="GC59" s="87">
        <f t="shared" si="108"/>
        <v>0</v>
      </c>
      <c r="GD59" s="87">
        <f t="shared" si="109"/>
        <v>0</v>
      </c>
    </row>
    <row r="60" spans="41:186" ht="16.5" x14ac:dyDescent="0.2">
      <c r="AO60" s="48">
        <v>5</v>
      </c>
      <c r="AP60" s="86">
        <v>22</v>
      </c>
      <c r="AQ60" s="86">
        <v>3</v>
      </c>
      <c r="AR60" s="48">
        <v>1</v>
      </c>
      <c r="AS60" s="86" t="s">
        <v>665</v>
      </c>
      <c r="AT60" s="21">
        <f t="shared" si="61"/>
        <v>3.7499999999999999E-2</v>
      </c>
      <c r="AU60" s="86">
        <f t="shared" si="5"/>
        <v>1</v>
      </c>
      <c r="AV60" s="86">
        <f t="shared" si="6"/>
        <v>3</v>
      </c>
      <c r="AW60" s="87">
        <f t="shared" si="7"/>
        <v>7.4999999999999997E-2</v>
      </c>
      <c r="AX60" s="86">
        <f t="shared" si="8"/>
        <v>2.25</v>
      </c>
      <c r="BA60" s="86">
        <v>56</v>
      </c>
      <c r="BB60" s="14" t="e">
        <f>INDEX(节奏总表!#REF!,神器!BA60)</f>
        <v>#REF!</v>
      </c>
      <c r="BC60" s="14" t="e">
        <f t="shared" si="9"/>
        <v>#REF!</v>
      </c>
      <c r="BD60" s="14">
        <v>5</v>
      </c>
      <c r="BE60" s="14">
        <v>3</v>
      </c>
      <c r="BF60" s="14">
        <f t="shared" si="60"/>
        <v>0</v>
      </c>
      <c r="BG60" s="14">
        <f t="shared" si="112"/>
        <v>0</v>
      </c>
      <c r="BH60" s="14">
        <f t="shared" si="112"/>
        <v>0</v>
      </c>
      <c r="BI60" s="14">
        <f t="shared" si="112"/>
        <v>0</v>
      </c>
      <c r="BJ60" s="14">
        <f t="shared" si="112"/>
        <v>0</v>
      </c>
      <c r="BK60" s="14">
        <f t="shared" si="112"/>
        <v>0</v>
      </c>
      <c r="BL60" s="14">
        <f t="shared" si="112"/>
        <v>0</v>
      </c>
      <c r="BM60" s="14">
        <f t="shared" si="112"/>
        <v>0</v>
      </c>
      <c r="BN60" s="14">
        <f t="shared" si="112"/>
        <v>0</v>
      </c>
      <c r="BO60" s="14">
        <f t="shared" si="112"/>
        <v>0</v>
      </c>
      <c r="BP60" s="14">
        <f t="shared" si="112"/>
        <v>0</v>
      </c>
      <c r="BQ60" s="14">
        <f t="shared" si="112"/>
        <v>0</v>
      </c>
      <c r="BR60" s="14">
        <f t="shared" si="112"/>
        <v>0</v>
      </c>
      <c r="BS60" s="14">
        <f t="shared" si="112"/>
        <v>0</v>
      </c>
      <c r="BT60" s="14">
        <f t="shared" si="112"/>
        <v>0</v>
      </c>
      <c r="BU60" s="14">
        <f t="shared" si="112"/>
        <v>0</v>
      </c>
      <c r="BV60" s="14">
        <f t="shared" si="112"/>
        <v>0</v>
      </c>
      <c r="BW60" s="14">
        <f t="shared" si="112"/>
        <v>0</v>
      </c>
      <c r="BX60" s="14">
        <f t="shared" si="112"/>
        <v>0</v>
      </c>
      <c r="BY60" s="14">
        <f t="shared" si="112"/>
        <v>0</v>
      </c>
      <c r="BZ60" s="14">
        <f t="shared" si="112"/>
        <v>0</v>
      </c>
      <c r="CA60" s="14">
        <f t="shared" si="112"/>
        <v>0</v>
      </c>
      <c r="CB60" s="14">
        <f t="shared" si="112"/>
        <v>0</v>
      </c>
      <c r="CC60" s="14">
        <f t="shared" si="112"/>
        <v>0</v>
      </c>
      <c r="CD60" s="14">
        <f t="shared" si="112"/>
        <v>0</v>
      </c>
      <c r="CE60" s="14">
        <f t="shared" si="112"/>
        <v>0</v>
      </c>
      <c r="CF60" s="14">
        <f t="shared" si="112"/>
        <v>0</v>
      </c>
      <c r="CG60" s="14">
        <f t="shared" si="112"/>
        <v>0</v>
      </c>
      <c r="CH60" s="14">
        <f t="shared" si="112"/>
        <v>0</v>
      </c>
      <c r="CI60" s="14">
        <f t="shared" si="112"/>
        <v>0</v>
      </c>
      <c r="CJ60" s="14">
        <f t="shared" si="112"/>
        <v>0</v>
      </c>
      <c r="CK60" s="14">
        <f t="shared" si="112"/>
        <v>0</v>
      </c>
      <c r="CL60" s="14">
        <f t="shared" si="112"/>
        <v>0</v>
      </c>
      <c r="CM60" s="14">
        <f t="shared" si="112"/>
        <v>0</v>
      </c>
      <c r="CN60" s="14">
        <f t="shared" si="112"/>
        <v>0</v>
      </c>
      <c r="CO60" s="14">
        <f t="shared" si="112"/>
        <v>0</v>
      </c>
      <c r="CP60" s="14">
        <f t="shared" si="112"/>
        <v>0</v>
      </c>
      <c r="CQ60" s="14">
        <f t="shared" si="112"/>
        <v>0</v>
      </c>
      <c r="CR60" s="14">
        <f t="shared" si="112"/>
        <v>0</v>
      </c>
      <c r="CS60" s="14">
        <f t="shared" si="112"/>
        <v>0</v>
      </c>
      <c r="CT60" s="14">
        <f t="shared" si="112"/>
        <v>0</v>
      </c>
      <c r="CU60" s="14">
        <f t="shared" si="112"/>
        <v>0</v>
      </c>
      <c r="CW60" s="14">
        <f>SUM(BF$5:BF60)</f>
        <v>0</v>
      </c>
      <c r="CX60" s="14">
        <f>SUM(BG$5:BG60)</f>
        <v>0</v>
      </c>
      <c r="CY60" s="14">
        <f>SUM(BH$5:BH60)</f>
        <v>0</v>
      </c>
      <c r="CZ60" s="14">
        <f>SUM(BI$5:BI60)</f>
        <v>0</v>
      </c>
      <c r="DA60" s="14">
        <f>SUM(BJ$5:BJ60)</f>
        <v>0</v>
      </c>
      <c r="DB60" s="14">
        <f>SUM(BK$5:BK60)</f>
        <v>0</v>
      </c>
      <c r="DC60" s="14">
        <f>SUM(BL$5:BL60)</f>
        <v>0</v>
      </c>
      <c r="DD60" s="14">
        <f>SUM(BM$5:BM60)</f>
        <v>0</v>
      </c>
      <c r="DE60" s="14">
        <f>SUM(BN$5:BN60)</f>
        <v>0</v>
      </c>
      <c r="DF60" s="14">
        <f>SUM(BO$5:BO60)</f>
        <v>0</v>
      </c>
      <c r="DG60" s="14">
        <f>SUM(BP$5:BP60)</f>
        <v>0</v>
      </c>
      <c r="DH60" s="14">
        <f>SUM(BQ$5:BQ60)</f>
        <v>0</v>
      </c>
      <c r="DI60" s="14">
        <f>SUM(BR$5:BR60)</f>
        <v>0</v>
      </c>
      <c r="DJ60" s="14">
        <f>SUM(BS$5:BS60)</f>
        <v>0</v>
      </c>
      <c r="DK60" s="14">
        <f>SUM(BT$5:BT60)</f>
        <v>0</v>
      </c>
      <c r="DL60" s="14">
        <f>SUM(BU$5:BU60)</f>
        <v>0</v>
      </c>
      <c r="DM60" s="14">
        <f>SUM(BV$5:BV60)</f>
        <v>0</v>
      </c>
      <c r="DN60" s="14">
        <f>SUM(BW$5:BW60)</f>
        <v>0</v>
      </c>
      <c r="DO60" s="14">
        <f>SUM(BX$5:BX60)</f>
        <v>0</v>
      </c>
      <c r="DP60" s="14">
        <f>SUM(BY$5:BY60)</f>
        <v>0</v>
      </c>
      <c r="DQ60" s="14">
        <f>SUM(BZ$5:BZ60)</f>
        <v>0</v>
      </c>
      <c r="DR60" s="14">
        <f>SUM(CA$5:CA60)</f>
        <v>0</v>
      </c>
      <c r="DS60" s="14">
        <f>SUM(CB$5:CB60)</f>
        <v>0</v>
      </c>
      <c r="DT60" s="14">
        <f>SUM(CC$5:CC60)</f>
        <v>0</v>
      </c>
      <c r="DU60" s="14">
        <f>SUM(CD$5:CD60)</f>
        <v>0</v>
      </c>
      <c r="DV60" s="14">
        <f>SUM(CE$5:CE60)</f>
        <v>0</v>
      </c>
      <c r="DW60" s="14">
        <f>SUM(CF$5:CF60)</f>
        <v>0</v>
      </c>
      <c r="DX60" s="14">
        <f>SUM(CG$5:CG60)</f>
        <v>0</v>
      </c>
      <c r="DY60" s="14">
        <f>SUM(CH$5:CH60)</f>
        <v>0</v>
      </c>
      <c r="DZ60" s="14">
        <f>SUM(CI$5:CI60)</f>
        <v>0</v>
      </c>
      <c r="EA60" s="14">
        <f>SUM(CJ$5:CJ60)</f>
        <v>0</v>
      </c>
      <c r="EB60" s="14">
        <f>SUM(CK$5:CK60)</f>
        <v>0</v>
      </c>
      <c r="EC60" s="14">
        <f>SUM(CL$5:CL60)</f>
        <v>0</v>
      </c>
      <c r="ED60" s="14">
        <f>SUM(CM$5:CM60)</f>
        <v>0</v>
      </c>
      <c r="EE60" s="14">
        <f>SUM(CN$5:CN60)</f>
        <v>0</v>
      </c>
      <c r="EF60" s="14">
        <f>SUM(CO$5:CO60)</f>
        <v>0</v>
      </c>
      <c r="EG60" s="14">
        <f>SUM(CP$5:CP60)</f>
        <v>0</v>
      </c>
      <c r="EH60" s="14">
        <f>SUM(CQ$5:CQ60)</f>
        <v>0</v>
      </c>
      <c r="EI60" s="14">
        <f>SUM(CR$5:CR60)</f>
        <v>0</v>
      </c>
      <c r="EJ60" s="14">
        <f>SUM(CS$5:CS60)</f>
        <v>0</v>
      </c>
      <c r="EK60" s="14">
        <f>SUM(CT$5:CT60)</f>
        <v>0</v>
      </c>
      <c r="EL60" s="14">
        <f>SUM(CU$5:CU60)</f>
        <v>0</v>
      </c>
      <c r="EO60" s="87">
        <f t="shared" si="68"/>
        <v>0</v>
      </c>
      <c r="EP60" s="87">
        <f t="shared" si="69"/>
        <v>0</v>
      </c>
      <c r="EQ60" s="87">
        <f t="shared" si="70"/>
        <v>0</v>
      </c>
      <c r="ER60" s="87">
        <f t="shared" si="71"/>
        <v>0</v>
      </c>
      <c r="ES60" s="87">
        <f t="shared" si="72"/>
        <v>0</v>
      </c>
      <c r="ET60" s="87">
        <f t="shared" si="73"/>
        <v>0</v>
      </c>
      <c r="EU60" s="87">
        <f t="shared" si="74"/>
        <v>0</v>
      </c>
      <c r="EV60" s="87">
        <f t="shared" si="75"/>
        <v>0</v>
      </c>
      <c r="EW60" s="87">
        <f t="shared" si="76"/>
        <v>0</v>
      </c>
      <c r="EX60" s="87">
        <f t="shared" si="77"/>
        <v>0</v>
      </c>
      <c r="EY60" s="87">
        <f t="shared" si="78"/>
        <v>0</v>
      </c>
      <c r="EZ60" s="87">
        <f t="shared" si="79"/>
        <v>0</v>
      </c>
      <c r="FA60" s="87">
        <f t="shared" si="80"/>
        <v>0</v>
      </c>
      <c r="FB60" s="87">
        <f t="shared" si="81"/>
        <v>0</v>
      </c>
      <c r="FC60" s="87">
        <f t="shared" si="82"/>
        <v>0</v>
      </c>
      <c r="FD60" s="87">
        <f t="shared" si="83"/>
        <v>0</v>
      </c>
      <c r="FE60" s="87">
        <f t="shared" si="84"/>
        <v>0</v>
      </c>
      <c r="FF60" s="87">
        <f t="shared" si="85"/>
        <v>0</v>
      </c>
      <c r="FG60" s="87">
        <f t="shared" si="86"/>
        <v>0</v>
      </c>
      <c r="FH60" s="87">
        <f t="shared" si="87"/>
        <v>0</v>
      </c>
      <c r="FI60" s="87">
        <f t="shared" si="88"/>
        <v>0</v>
      </c>
      <c r="FJ60" s="87">
        <f t="shared" si="89"/>
        <v>0</v>
      </c>
      <c r="FK60" s="87">
        <f t="shared" si="90"/>
        <v>0</v>
      </c>
      <c r="FL60" s="87">
        <f t="shared" si="91"/>
        <v>0</v>
      </c>
      <c r="FM60" s="87">
        <f t="shared" si="92"/>
        <v>0</v>
      </c>
      <c r="FN60" s="87">
        <f t="shared" si="93"/>
        <v>0</v>
      </c>
      <c r="FO60" s="87">
        <f t="shared" si="94"/>
        <v>0</v>
      </c>
      <c r="FP60" s="87">
        <f t="shared" si="95"/>
        <v>0</v>
      </c>
      <c r="FQ60" s="87">
        <f t="shared" si="96"/>
        <v>0</v>
      </c>
      <c r="FR60" s="87">
        <f t="shared" si="97"/>
        <v>0</v>
      </c>
      <c r="FS60" s="87">
        <f t="shared" si="98"/>
        <v>0</v>
      </c>
      <c r="FT60" s="87">
        <f t="shared" si="99"/>
        <v>0</v>
      </c>
      <c r="FU60" s="87">
        <f t="shared" si="100"/>
        <v>0</v>
      </c>
      <c r="FV60" s="87">
        <f t="shared" si="101"/>
        <v>0</v>
      </c>
      <c r="FW60" s="87">
        <f t="shared" si="102"/>
        <v>0</v>
      </c>
      <c r="FX60" s="87">
        <f t="shared" si="103"/>
        <v>0</v>
      </c>
      <c r="FY60" s="87">
        <f t="shared" si="104"/>
        <v>0</v>
      </c>
      <c r="FZ60" s="87">
        <f t="shared" si="105"/>
        <v>0</v>
      </c>
      <c r="GA60" s="87">
        <f t="shared" si="106"/>
        <v>0</v>
      </c>
      <c r="GB60" s="87">
        <f t="shared" si="107"/>
        <v>0</v>
      </c>
      <c r="GC60" s="87">
        <f t="shared" si="108"/>
        <v>0</v>
      </c>
      <c r="GD60" s="87">
        <f t="shared" si="109"/>
        <v>0</v>
      </c>
    </row>
    <row r="61" spans="41:186" ht="16.5" x14ac:dyDescent="0.2">
      <c r="AO61" s="48">
        <v>5</v>
      </c>
      <c r="AP61" s="86">
        <v>23</v>
      </c>
      <c r="AQ61" s="86">
        <v>3</v>
      </c>
      <c r="AR61" s="48">
        <v>1</v>
      </c>
      <c r="AS61" s="86" t="s">
        <v>666</v>
      </c>
      <c r="AT61" s="21">
        <f t="shared" si="61"/>
        <v>2.4E-2</v>
      </c>
      <c r="AU61" s="86">
        <f t="shared" si="5"/>
        <v>1</v>
      </c>
      <c r="AV61" s="86">
        <f t="shared" si="6"/>
        <v>2</v>
      </c>
      <c r="AW61" s="87">
        <f t="shared" si="7"/>
        <v>3.6000000000000004E-2</v>
      </c>
      <c r="AX61" s="86">
        <f t="shared" si="8"/>
        <v>3.24</v>
      </c>
      <c r="BA61" s="86">
        <v>57</v>
      </c>
      <c r="BB61" s="14" t="e">
        <f>INDEX(节奏总表!#REF!,神器!BA61)</f>
        <v>#REF!</v>
      </c>
      <c r="BC61" s="14" t="e">
        <f t="shared" si="9"/>
        <v>#REF!</v>
      </c>
      <c r="BD61" s="14">
        <v>5</v>
      </c>
      <c r="BE61" s="14">
        <v>3</v>
      </c>
      <c r="BF61" s="14">
        <f t="shared" si="60"/>
        <v>0</v>
      </c>
      <c r="BG61" s="14">
        <f t="shared" si="112"/>
        <v>0</v>
      </c>
      <c r="BH61" s="14">
        <f t="shared" si="112"/>
        <v>0</v>
      </c>
      <c r="BI61" s="14">
        <f t="shared" si="112"/>
        <v>0</v>
      </c>
      <c r="BJ61" s="14">
        <f t="shared" si="112"/>
        <v>0</v>
      </c>
      <c r="BK61" s="14">
        <f t="shared" si="112"/>
        <v>0</v>
      </c>
      <c r="BL61" s="14">
        <f t="shared" si="112"/>
        <v>0</v>
      </c>
      <c r="BM61" s="14">
        <f t="shared" si="112"/>
        <v>0</v>
      </c>
      <c r="BN61" s="14">
        <f t="shared" si="112"/>
        <v>0</v>
      </c>
      <c r="BO61" s="14">
        <f t="shared" ref="BO61:CD61" si="113">SUMIFS($AT$5:$AT$122,$AO$5:$AO$122,"="&amp;$BC61,$AP$5:$AP$122,"="&amp;BO$2) * (SUMIFS($AU$5:$AU$122,$AO$5:$AO$122,"="&amp;$BC61,$AP$5:$AP$122,"="&amp;BO$2)+SUMIFS($AV$5:$AV$122,$AO$5:$AO$122,"="&amp;$BC61,$AP$5:$AP$122,"="&amp;BO$2))/2*$BD61*$BE61</f>
        <v>0</v>
      </c>
      <c r="BP61" s="14">
        <f t="shared" si="113"/>
        <v>0</v>
      </c>
      <c r="BQ61" s="14">
        <f t="shared" si="113"/>
        <v>0</v>
      </c>
      <c r="BR61" s="14">
        <f t="shared" si="113"/>
        <v>0</v>
      </c>
      <c r="BS61" s="14">
        <f t="shared" si="113"/>
        <v>0</v>
      </c>
      <c r="BT61" s="14">
        <f t="shared" si="113"/>
        <v>0</v>
      </c>
      <c r="BU61" s="14">
        <f t="shared" si="113"/>
        <v>0</v>
      </c>
      <c r="BV61" s="14">
        <f t="shared" si="113"/>
        <v>0</v>
      </c>
      <c r="BW61" s="14">
        <f t="shared" si="113"/>
        <v>0</v>
      </c>
      <c r="BX61" s="14">
        <f t="shared" si="113"/>
        <v>0</v>
      </c>
      <c r="BY61" s="14">
        <f t="shared" si="113"/>
        <v>0</v>
      </c>
      <c r="BZ61" s="14">
        <f t="shared" si="113"/>
        <v>0</v>
      </c>
      <c r="CA61" s="14">
        <f t="shared" si="113"/>
        <v>0</v>
      </c>
      <c r="CB61" s="14">
        <f t="shared" si="113"/>
        <v>0</v>
      </c>
      <c r="CC61" s="14">
        <f t="shared" si="113"/>
        <v>0</v>
      </c>
      <c r="CD61" s="14">
        <f t="shared" si="113"/>
        <v>0</v>
      </c>
      <c r="CE61" s="14">
        <f t="shared" ref="CE61:CT61" si="114">SUMIFS($AT$5:$AT$122,$AO$5:$AO$122,"="&amp;$BC61,$AP$5:$AP$122,"="&amp;CE$2) * (SUMIFS($AU$5:$AU$122,$AO$5:$AO$122,"="&amp;$BC61,$AP$5:$AP$122,"="&amp;CE$2)+SUMIFS($AV$5:$AV$122,$AO$5:$AO$122,"="&amp;$BC61,$AP$5:$AP$122,"="&amp;CE$2))/2*$BD61*$BE61</f>
        <v>0</v>
      </c>
      <c r="CF61" s="14">
        <f t="shared" si="114"/>
        <v>0</v>
      </c>
      <c r="CG61" s="14">
        <f t="shared" si="114"/>
        <v>0</v>
      </c>
      <c r="CH61" s="14">
        <f t="shared" si="114"/>
        <v>0</v>
      </c>
      <c r="CI61" s="14">
        <f t="shared" si="114"/>
        <v>0</v>
      </c>
      <c r="CJ61" s="14">
        <f t="shared" si="114"/>
        <v>0</v>
      </c>
      <c r="CK61" s="14">
        <f t="shared" si="114"/>
        <v>0</v>
      </c>
      <c r="CL61" s="14">
        <f t="shared" si="114"/>
        <v>0</v>
      </c>
      <c r="CM61" s="14">
        <f t="shared" si="114"/>
        <v>0</v>
      </c>
      <c r="CN61" s="14">
        <f t="shared" si="114"/>
        <v>0</v>
      </c>
      <c r="CO61" s="14">
        <f t="shared" si="114"/>
        <v>0</v>
      </c>
      <c r="CP61" s="14">
        <f t="shared" si="114"/>
        <v>0</v>
      </c>
      <c r="CQ61" s="14">
        <f t="shared" si="114"/>
        <v>0</v>
      </c>
      <c r="CR61" s="14">
        <f t="shared" si="114"/>
        <v>0</v>
      </c>
      <c r="CS61" s="14">
        <f t="shared" si="114"/>
        <v>0</v>
      </c>
      <c r="CT61" s="14">
        <f t="shared" si="114"/>
        <v>0</v>
      </c>
      <c r="CU61" s="14">
        <f t="shared" ref="BG61:CU64" si="115">SUMIFS($AT$5:$AT$122,$AO$5:$AO$122,"="&amp;$BC61,$AP$5:$AP$122,"="&amp;CU$2) * (SUMIFS($AU$5:$AU$122,$AO$5:$AO$122,"="&amp;$BC61,$AP$5:$AP$122,"="&amp;CU$2)+SUMIFS($AV$5:$AV$122,$AO$5:$AO$122,"="&amp;$BC61,$AP$5:$AP$122,"="&amp;CU$2))/2*$BD61*$BE61</f>
        <v>0</v>
      </c>
      <c r="CW61" s="14">
        <f>SUM(BF$5:BF61)</f>
        <v>0</v>
      </c>
      <c r="CX61" s="14">
        <f>SUM(BG$5:BG61)</f>
        <v>0</v>
      </c>
      <c r="CY61" s="14">
        <f>SUM(BH$5:BH61)</f>
        <v>0</v>
      </c>
      <c r="CZ61" s="14">
        <f>SUM(BI$5:BI61)</f>
        <v>0</v>
      </c>
      <c r="DA61" s="14">
        <f>SUM(BJ$5:BJ61)</f>
        <v>0</v>
      </c>
      <c r="DB61" s="14">
        <f>SUM(BK$5:BK61)</f>
        <v>0</v>
      </c>
      <c r="DC61" s="14">
        <f>SUM(BL$5:BL61)</f>
        <v>0</v>
      </c>
      <c r="DD61" s="14">
        <f>SUM(BM$5:BM61)</f>
        <v>0</v>
      </c>
      <c r="DE61" s="14">
        <f>SUM(BN$5:BN61)</f>
        <v>0</v>
      </c>
      <c r="DF61" s="14">
        <f>SUM(BO$5:BO61)</f>
        <v>0</v>
      </c>
      <c r="DG61" s="14">
        <f>SUM(BP$5:BP61)</f>
        <v>0</v>
      </c>
      <c r="DH61" s="14">
        <f>SUM(BQ$5:BQ61)</f>
        <v>0</v>
      </c>
      <c r="DI61" s="14">
        <f>SUM(BR$5:BR61)</f>
        <v>0</v>
      </c>
      <c r="DJ61" s="14">
        <f>SUM(BS$5:BS61)</f>
        <v>0</v>
      </c>
      <c r="DK61" s="14">
        <f>SUM(BT$5:BT61)</f>
        <v>0</v>
      </c>
      <c r="DL61" s="14">
        <f>SUM(BU$5:BU61)</f>
        <v>0</v>
      </c>
      <c r="DM61" s="14">
        <f>SUM(BV$5:BV61)</f>
        <v>0</v>
      </c>
      <c r="DN61" s="14">
        <f>SUM(BW$5:BW61)</f>
        <v>0</v>
      </c>
      <c r="DO61" s="14">
        <f>SUM(BX$5:BX61)</f>
        <v>0</v>
      </c>
      <c r="DP61" s="14">
        <f>SUM(BY$5:BY61)</f>
        <v>0</v>
      </c>
      <c r="DQ61" s="14">
        <f>SUM(BZ$5:BZ61)</f>
        <v>0</v>
      </c>
      <c r="DR61" s="14">
        <f>SUM(CA$5:CA61)</f>
        <v>0</v>
      </c>
      <c r="DS61" s="14">
        <f>SUM(CB$5:CB61)</f>
        <v>0</v>
      </c>
      <c r="DT61" s="14">
        <f>SUM(CC$5:CC61)</f>
        <v>0</v>
      </c>
      <c r="DU61" s="14">
        <f>SUM(CD$5:CD61)</f>
        <v>0</v>
      </c>
      <c r="DV61" s="14">
        <f>SUM(CE$5:CE61)</f>
        <v>0</v>
      </c>
      <c r="DW61" s="14">
        <f>SUM(CF$5:CF61)</f>
        <v>0</v>
      </c>
      <c r="DX61" s="14">
        <f>SUM(CG$5:CG61)</f>
        <v>0</v>
      </c>
      <c r="DY61" s="14">
        <f>SUM(CH$5:CH61)</f>
        <v>0</v>
      </c>
      <c r="DZ61" s="14">
        <f>SUM(CI$5:CI61)</f>
        <v>0</v>
      </c>
      <c r="EA61" s="14">
        <f>SUM(CJ$5:CJ61)</f>
        <v>0</v>
      </c>
      <c r="EB61" s="14">
        <f>SUM(CK$5:CK61)</f>
        <v>0</v>
      </c>
      <c r="EC61" s="14">
        <f>SUM(CL$5:CL61)</f>
        <v>0</v>
      </c>
      <c r="ED61" s="14">
        <f>SUM(CM$5:CM61)</f>
        <v>0</v>
      </c>
      <c r="EE61" s="14">
        <f>SUM(CN$5:CN61)</f>
        <v>0</v>
      </c>
      <c r="EF61" s="14">
        <f>SUM(CO$5:CO61)</f>
        <v>0</v>
      </c>
      <c r="EG61" s="14">
        <f>SUM(CP$5:CP61)</f>
        <v>0</v>
      </c>
      <c r="EH61" s="14">
        <f>SUM(CQ$5:CQ61)</f>
        <v>0</v>
      </c>
      <c r="EI61" s="14">
        <f>SUM(CR$5:CR61)</f>
        <v>0</v>
      </c>
      <c r="EJ61" s="14">
        <f>SUM(CS$5:CS61)</f>
        <v>0</v>
      </c>
      <c r="EK61" s="14">
        <f>SUM(CT$5:CT61)</f>
        <v>0</v>
      </c>
      <c r="EL61" s="14">
        <f>SUM(CU$5:CU61)</f>
        <v>0</v>
      </c>
      <c r="EO61" s="87">
        <f t="shared" si="68"/>
        <v>0</v>
      </c>
      <c r="EP61" s="87">
        <f t="shared" si="69"/>
        <v>0</v>
      </c>
      <c r="EQ61" s="87">
        <f t="shared" si="70"/>
        <v>0</v>
      </c>
      <c r="ER61" s="87">
        <f t="shared" si="71"/>
        <v>0</v>
      </c>
      <c r="ES61" s="87">
        <f t="shared" si="72"/>
        <v>0</v>
      </c>
      <c r="ET61" s="87">
        <f t="shared" si="73"/>
        <v>0</v>
      </c>
      <c r="EU61" s="87">
        <f t="shared" si="74"/>
        <v>0</v>
      </c>
      <c r="EV61" s="87">
        <f t="shared" si="75"/>
        <v>0</v>
      </c>
      <c r="EW61" s="87">
        <f t="shared" si="76"/>
        <v>0</v>
      </c>
      <c r="EX61" s="87">
        <f t="shared" si="77"/>
        <v>0</v>
      </c>
      <c r="EY61" s="87">
        <f t="shared" si="78"/>
        <v>0</v>
      </c>
      <c r="EZ61" s="87">
        <f t="shared" si="79"/>
        <v>0</v>
      </c>
      <c r="FA61" s="87">
        <f t="shared" si="80"/>
        <v>0</v>
      </c>
      <c r="FB61" s="87">
        <f t="shared" si="81"/>
        <v>0</v>
      </c>
      <c r="FC61" s="87">
        <f t="shared" si="82"/>
        <v>0</v>
      </c>
      <c r="FD61" s="87">
        <f t="shared" si="83"/>
        <v>0</v>
      </c>
      <c r="FE61" s="87">
        <f t="shared" si="84"/>
        <v>0</v>
      </c>
      <c r="FF61" s="87">
        <f t="shared" si="85"/>
        <v>0</v>
      </c>
      <c r="FG61" s="87">
        <f t="shared" si="86"/>
        <v>0</v>
      </c>
      <c r="FH61" s="87">
        <f t="shared" si="87"/>
        <v>0</v>
      </c>
      <c r="FI61" s="87">
        <f t="shared" si="88"/>
        <v>0</v>
      </c>
      <c r="FJ61" s="87">
        <f t="shared" si="89"/>
        <v>0</v>
      </c>
      <c r="FK61" s="87">
        <f t="shared" si="90"/>
        <v>0</v>
      </c>
      <c r="FL61" s="87">
        <f t="shared" si="91"/>
        <v>0</v>
      </c>
      <c r="FM61" s="87">
        <f t="shared" si="92"/>
        <v>0</v>
      </c>
      <c r="FN61" s="87">
        <f t="shared" si="93"/>
        <v>0</v>
      </c>
      <c r="FO61" s="87">
        <f t="shared" si="94"/>
        <v>0</v>
      </c>
      <c r="FP61" s="87">
        <f t="shared" si="95"/>
        <v>0</v>
      </c>
      <c r="FQ61" s="87">
        <f t="shared" si="96"/>
        <v>0</v>
      </c>
      <c r="FR61" s="87">
        <f t="shared" si="97"/>
        <v>0</v>
      </c>
      <c r="FS61" s="87">
        <f t="shared" si="98"/>
        <v>0</v>
      </c>
      <c r="FT61" s="87">
        <f t="shared" si="99"/>
        <v>0</v>
      </c>
      <c r="FU61" s="87">
        <f t="shared" si="100"/>
        <v>0</v>
      </c>
      <c r="FV61" s="87">
        <f t="shared" si="101"/>
        <v>0</v>
      </c>
      <c r="FW61" s="87">
        <f t="shared" si="102"/>
        <v>0</v>
      </c>
      <c r="FX61" s="87">
        <f t="shared" si="103"/>
        <v>0</v>
      </c>
      <c r="FY61" s="87">
        <f t="shared" si="104"/>
        <v>0</v>
      </c>
      <c r="FZ61" s="87">
        <f t="shared" si="105"/>
        <v>0</v>
      </c>
      <c r="GA61" s="87">
        <f t="shared" si="106"/>
        <v>0</v>
      </c>
      <c r="GB61" s="87">
        <f t="shared" si="107"/>
        <v>0</v>
      </c>
      <c r="GC61" s="87">
        <f t="shared" si="108"/>
        <v>0</v>
      </c>
      <c r="GD61" s="87">
        <f t="shared" si="109"/>
        <v>0</v>
      </c>
    </row>
    <row r="62" spans="41:186" ht="16.5" x14ac:dyDescent="0.2">
      <c r="AO62" s="48">
        <v>5</v>
      </c>
      <c r="AP62" s="86">
        <v>24</v>
      </c>
      <c r="AQ62" s="86">
        <v>3</v>
      </c>
      <c r="AR62" s="48">
        <v>1</v>
      </c>
      <c r="AS62" s="86" t="s">
        <v>667</v>
      </c>
      <c r="AT62" s="21">
        <f t="shared" si="61"/>
        <v>2.4E-2</v>
      </c>
      <c r="AU62" s="86">
        <f t="shared" si="5"/>
        <v>1</v>
      </c>
      <c r="AV62" s="86">
        <f t="shared" si="6"/>
        <v>2</v>
      </c>
      <c r="AW62" s="87">
        <f t="shared" si="7"/>
        <v>3.6000000000000004E-2</v>
      </c>
      <c r="AX62" s="86">
        <f t="shared" si="8"/>
        <v>3.24</v>
      </c>
      <c r="BA62" s="86">
        <v>58</v>
      </c>
      <c r="BB62" s="14" t="e">
        <f>INDEX(节奏总表!#REF!,神器!BA62)</f>
        <v>#REF!</v>
      </c>
      <c r="BC62" s="14" t="e">
        <f t="shared" si="9"/>
        <v>#REF!</v>
      </c>
      <c r="BD62" s="14">
        <v>5</v>
      </c>
      <c r="BE62" s="14">
        <v>3</v>
      </c>
      <c r="BF62" s="14">
        <f t="shared" si="60"/>
        <v>0</v>
      </c>
      <c r="BG62" s="14">
        <f t="shared" si="115"/>
        <v>0</v>
      </c>
      <c r="BH62" s="14">
        <f t="shared" si="115"/>
        <v>0</v>
      </c>
      <c r="BI62" s="14">
        <f t="shared" si="115"/>
        <v>0</v>
      </c>
      <c r="BJ62" s="14">
        <f t="shared" si="115"/>
        <v>0</v>
      </c>
      <c r="BK62" s="14">
        <f t="shared" si="115"/>
        <v>0</v>
      </c>
      <c r="BL62" s="14">
        <f t="shared" si="115"/>
        <v>0</v>
      </c>
      <c r="BM62" s="14">
        <f t="shared" si="115"/>
        <v>0</v>
      </c>
      <c r="BN62" s="14">
        <f t="shared" si="115"/>
        <v>0</v>
      </c>
      <c r="BO62" s="14">
        <f t="shared" si="115"/>
        <v>0</v>
      </c>
      <c r="BP62" s="14">
        <f t="shared" si="115"/>
        <v>0</v>
      </c>
      <c r="BQ62" s="14">
        <f t="shared" si="115"/>
        <v>0</v>
      </c>
      <c r="BR62" s="14">
        <f t="shared" si="115"/>
        <v>0</v>
      </c>
      <c r="BS62" s="14">
        <f t="shared" si="115"/>
        <v>0</v>
      </c>
      <c r="BT62" s="14">
        <f t="shared" si="115"/>
        <v>0</v>
      </c>
      <c r="BU62" s="14">
        <f t="shared" si="115"/>
        <v>0</v>
      </c>
      <c r="BV62" s="14">
        <f t="shared" si="115"/>
        <v>0</v>
      </c>
      <c r="BW62" s="14">
        <f t="shared" si="115"/>
        <v>0</v>
      </c>
      <c r="BX62" s="14">
        <f t="shared" si="115"/>
        <v>0</v>
      </c>
      <c r="BY62" s="14">
        <f t="shared" si="115"/>
        <v>0</v>
      </c>
      <c r="BZ62" s="14">
        <f t="shared" si="115"/>
        <v>0</v>
      </c>
      <c r="CA62" s="14">
        <f t="shared" si="115"/>
        <v>0</v>
      </c>
      <c r="CB62" s="14">
        <f t="shared" si="115"/>
        <v>0</v>
      </c>
      <c r="CC62" s="14">
        <f t="shared" si="115"/>
        <v>0</v>
      </c>
      <c r="CD62" s="14">
        <f t="shared" si="115"/>
        <v>0</v>
      </c>
      <c r="CE62" s="14">
        <f t="shared" si="115"/>
        <v>0</v>
      </c>
      <c r="CF62" s="14">
        <f t="shared" si="115"/>
        <v>0</v>
      </c>
      <c r="CG62" s="14">
        <f t="shared" si="115"/>
        <v>0</v>
      </c>
      <c r="CH62" s="14">
        <f t="shared" si="115"/>
        <v>0</v>
      </c>
      <c r="CI62" s="14">
        <f t="shared" si="115"/>
        <v>0</v>
      </c>
      <c r="CJ62" s="14">
        <f t="shared" si="115"/>
        <v>0</v>
      </c>
      <c r="CK62" s="14">
        <f t="shared" si="115"/>
        <v>0</v>
      </c>
      <c r="CL62" s="14">
        <f t="shared" si="115"/>
        <v>0</v>
      </c>
      <c r="CM62" s="14">
        <f t="shared" si="115"/>
        <v>0</v>
      </c>
      <c r="CN62" s="14">
        <f t="shared" si="115"/>
        <v>0</v>
      </c>
      <c r="CO62" s="14">
        <f t="shared" si="115"/>
        <v>0</v>
      </c>
      <c r="CP62" s="14">
        <f t="shared" si="115"/>
        <v>0</v>
      </c>
      <c r="CQ62" s="14">
        <f t="shared" si="115"/>
        <v>0</v>
      </c>
      <c r="CR62" s="14">
        <f t="shared" si="115"/>
        <v>0</v>
      </c>
      <c r="CS62" s="14">
        <f t="shared" si="115"/>
        <v>0</v>
      </c>
      <c r="CT62" s="14">
        <f t="shared" si="115"/>
        <v>0</v>
      </c>
      <c r="CU62" s="14">
        <f t="shared" si="115"/>
        <v>0</v>
      </c>
      <c r="CW62" s="14">
        <f>SUM(BF$5:BF62)</f>
        <v>0</v>
      </c>
      <c r="CX62" s="14">
        <f>SUM(BG$5:BG62)</f>
        <v>0</v>
      </c>
      <c r="CY62" s="14">
        <f>SUM(BH$5:BH62)</f>
        <v>0</v>
      </c>
      <c r="CZ62" s="14">
        <f>SUM(BI$5:BI62)</f>
        <v>0</v>
      </c>
      <c r="DA62" s="14">
        <f>SUM(BJ$5:BJ62)</f>
        <v>0</v>
      </c>
      <c r="DB62" s="14">
        <f>SUM(BK$5:BK62)</f>
        <v>0</v>
      </c>
      <c r="DC62" s="14">
        <f>SUM(BL$5:BL62)</f>
        <v>0</v>
      </c>
      <c r="DD62" s="14">
        <f>SUM(BM$5:BM62)</f>
        <v>0</v>
      </c>
      <c r="DE62" s="14">
        <f>SUM(BN$5:BN62)</f>
        <v>0</v>
      </c>
      <c r="DF62" s="14">
        <f>SUM(BO$5:BO62)</f>
        <v>0</v>
      </c>
      <c r="DG62" s="14">
        <f>SUM(BP$5:BP62)</f>
        <v>0</v>
      </c>
      <c r="DH62" s="14">
        <f>SUM(BQ$5:BQ62)</f>
        <v>0</v>
      </c>
      <c r="DI62" s="14">
        <f>SUM(BR$5:BR62)</f>
        <v>0</v>
      </c>
      <c r="DJ62" s="14">
        <f>SUM(BS$5:BS62)</f>
        <v>0</v>
      </c>
      <c r="DK62" s="14">
        <f>SUM(BT$5:BT62)</f>
        <v>0</v>
      </c>
      <c r="DL62" s="14">
        <f>SUM(BU$5:BU62)</f>
        <v>0</v>
      </c>
      <c r="DM62" s="14">
        <f>SUM(BV$5:BV62)</f>
        <v>0</v>
      </c>
      <c r="DN62" s="14">
        <f>SUM(BW$5:BW62)</f>
        <v>0</v>
      </c>
      <c r="DO62" s="14">
        <f>SUM(BX$5:BX62)</f>
        <v>0</v>
      </c>
      <c r="DP62" s="14">
        <f>SUM(BY$5:BY62)</f>
        <v>0</v>
      </c>
      <c r="DQ62" s="14">
        <f>SUM(BZ$5:BZ62)</f>
        <v>0</v>
      </c>
      <c r="DR62" s="14">
        <f>SUM(CA$5:CA62)</f>
        <v>0</v>
      </c>
      <c r="DS62" s="14">
        <f>SUM(CB$5:CB62)</f>
        <v>0</v>
      </c>
      <c r="DT62" s="14">
        <f>SUM(CC$5:CC62)</f>
        <v>0</v>
      </c>
      <c r="DU62" s="14">
        <f>SUM(CD$5:CD62)</f>
        <v>0</v>
      </c>
      <c r="DV62" s="14">
        <f>SUM(CE$5:CE62)</f>
        <v>0</v>
      </c>
      <c r="DW62" s="14">
        <f>SUM(CF$5:CF62)</f>
        <v>0</v>
      </c>
      <c r="DX62" s="14">
        <f>SUM(CG$5:CG62)</f>
        <v>0</v>
      </c>
      <c r="DY62" s="14">
        <f>SUM(CH$5:CH62)</f>
        <v>0</v>
      </c>
      <c r="DZ62" s="14">
        <f>SUM(CI$5:CI62)</f>
        <v>0</v>
      </c>
      <c r="EA62" s="14">
        <f>SUM(CJ$5:CJ62)</f>
        <v>0</v>
      </c>
      <c r="EB62" s="14">
        <f>SUM(CK$5:CK62)</f>
        <v>0</v>
      </c>
      <c r="EC62" s="14">
        <f>SUM(CL$5:CL62)</f>
        <v>0</v>
      </c>
      <c r="ED62" s="14">
        <f>SUM(CM$5:CM62)</f>
        <v>0</v>
      </c>
      <c r="EE62" s="14">
        <f>SUM(CN$5:CN62)</f>
        <v>0</v>
      </c>
      <c r="EF62" s="14">
        <f>SUM(CO$5:CO62)</f>
        <v>0</v>
      </c>
      <c r="EG62" s="14">
        <f>SUM(CP$5:CP62)</f>
        <v>0</v>
      </c>
      <c r="EH62" s="14">
        <f>SUM(CQ$5:CQ62)</f>
        <v>0</v>
      </c>
      <c r="EI62" s="14">
        <f>SUM(CR$5:CR62)</f>
        <v>0</v>
      </c>
      <c r="EJ62" s="14">
        <f>SUM(CS$5:CS62)</f>
        <v>0</v>
      </c>
      <c r="EK62" s="14">
        <f>SUM(CT$5:CT62)</f>
        <v>0</v>
      </c>
      <c r="EL62" s="14">
        <f>SUM(CU$5:CU62)</f>
        <v>0</v>
      </c>
      <c r="EO62" s="87">
        <f t="shared" si="68"/>
        <v>0</v>
      </c>
      <c r="EP62" s="87">
        <f t="shared" si="69"/>
        <v>0</v>
      </c>
      <c r="EQ62" s="87">
        <f t="shared" si="70"/>
        <v>0</v>
      </c>
      <c r="ER62" s="87">
        <f t="shared" si="71"/>
        <v>0</v>
      </c>
      <c r="ES62" s="87">
        <f t="shared" si="72"/>
        <v>0</v>
      </c>
      <c r="ET62" s="87">
        <f t="shared" si="73"/>
        <v>0</v>
      </c>
      <c r="EU62" s="87">
        <f t="shared" si="74"/>
        <v>0</v>
      </c>
      <c r="EV62" s="87">
        <f t="shared" si="75"/>
        <v>0</v>
      </c>
      <c r="EW62" s="87">
        <f t="shared" si="76"/>
        <v>0</v>
      </c>
      <c r="EX62" s="87">
        <f t="shared" si="77"/>
        <v>0</v>
      </c>
      <c r="EY62" s="87">
        <f t="shared" si="78"/>
        <v>0</v>
      </c>
      <c r="EZ62" s="87">
        <f t="shared" si="79"/>
        <v>0</v>
      </c>
      <c r="FA62" s="87">
        <f t="shared" si="80"/>
        <v>0</v>
      </c>
      <c r="FB62" s="87">
        <f t="shared" si="81"/>
        <v>0</v>
      </c>
      <c r="FC62" s="87">
        <f t="shared" si="82"/>
        <v>0</v>
      </c>
      <c r="FD62" s="87">
        <f t="shared" si="83"/>
        <v>0</v>
      </c>
      <c r="FE62" s="87">
        <f t="shared" si="84"/>
        <v>0</v>
      </c>
      <c r="FF62" s="87">
        <f t="shared" si="85"/>
        <v>0</v>
      </c>
      <c r="FG62" s="87">
        <f t="shared" si="86"/>
        <v>0</v>
      </c>
      <c r="FH62" s="87">
        <f t="shared" si="87"/>
        <v>0</v>
      </c>
      <c r="FI62" s="87">
        <f t="shared" si="88"/>
        <v>0</v>
      </c>
      <c r="FJ62" s="87">
        <f t="shared" si="89"/>
        <v>0</v>
      </c>
      <c r="FK62" s="87">
        <f t="shared" si="90"/>
        <v>0</v>
      </c>
      <c r="FL62" s="87">
        <f t="shared" si="91"/>
        <v>0</v>
      </c>
      <c r="FM62" s="87">
        <f t="shared" si="92"/>
        <v>0</v>
      </c>
      <c r="FN62" s="87">
        <f t="shared" si="93"/>
        <v>0</v>
      </c>
      <c r="FO62" s="87">
        <f t="shared" si="94"/>
        <v>0</v>
      </c>
      <c r="FP62" s="87">
        <f t="shared" si="95"/>
        <v>0</v>
      </c>
      <c r="FQ62" s="87">
        <f t="shared" si="96"/>
        <v>0</v>
      </c>
      <c r="FR62" s="87">
        <f t="shared" si="97"/>
        <v>0</v>
      </c>
      <c r="FS62" s="87">
        <f t="shared" si="98"/>
        <v>0</v>
      </c>
      <c r="FT62" s="87">
        <f t="shared" si="99"/>
        <v>0</v>
      </c>
      <c r="FU62" s="87">
        <f t="shared" si="100"/>
        <v>0</v>
      </c>
      <c r="FV62" s="87">
        <f t="shared" si="101"/>
        <v>0</v>
      </c>
      <c r="FW62" s="87">
        <f t="shared" si="102"/>
        <v>0</v>
      </c>
      <c r="FX62" s="87">
        <f t="shared" si="103"/>
        <v>0</v>
      </c>
      <c r="FY62" s="87">
        <f t="shared" si="104"/>
        <v>0</v>
      </c>
      <c r="FZ62" s="87">
        <f t="shared" si="105"/>
        <v>0</v>
      </c>
      <c r="GA62" s="87">
        <f t="shared" si="106"/>
        <v>0</v>
      </c>
      <c r="GB62" s="87">
        <f t="shared" si="107"/>
        <v>0</v>
      </c>
      <c r="GC62" s="87">
        <f t="shared" si="108"/>
        <v>0</v>
      </c>
      <c r="GD62" s="87">
        <f t="shared" si="109"/>
        <v>0</v>
      </c>
    </row>
    <row r="63" spans="41:186" ht="16.5" x14ac:dyDescent="0.2">
      <c r="AO63" s="48">
        <v>5</v>
      </c>
      <c r="AP63" s="86">
        <v>25</v>
      </c>
      <c r="AQ63" s="86">
        <v>3</v>
      </c>
      <c r="AR63" s="48">
        <v>1</v>
      </c>
      <c r="AS63" s="86" t="s">
        <v>668</v>
      </c>
      <c r="AT63" s="21">
        <f t="shared" si="61"/>
        <v>1.7999999999999999E-2</v>
      </c>
      <c r="AU63" s="86">
        <f t="shared" si="5"/>
        <v>1</v>
      </c>
      <c r="AV63" s="86">
        <f t="shared" si="6"/>
        <v>1</v>
      </c>
      <c r="AW63" s="87">
        <f t="shared" si="7"/>
        <v>1.7999999999999999E-2</v>
      </c>
      <c r="AX63" s="86">
        <f t="shared" si="8"/>
        <v>3.78</v>
      </c>
      <c r="BA63" s="86">
        <v>59</v>
      </c>
      <c r="BB63" s="14" t="e">
        <f>INDEX(节奏总表!#REF!,神器!BA63)</f>
        <v>#REF!</v>
      </c>
      <c r="BC63" s="14" t="e">
        <f t="shared" si="9"/>
        <v>#REF!</v>
      </c>
      <c r="BD63" s="14">
        <v>5</v>
      </c>
      <c r="BE63" s="14">
        <v>3</v>
      </c>
      <c r="BF63" s="14">
        <f t="shared" si="60"/>
        <v>0</v>
      </c>
      <c r="BG63" s="14">
        <f t="shared" si="115"/>
        <v>0</v>
      </c>
      <c r="BH63" s="14">
        <f t="shared" si="115"/>
        <v>0</v>
      </c>
      <c r="BI63" s="14">
        <f t="shared" si="115"/>
        <v>0</v>
      </c>
      <c r="BJ63" s="14">
        <f t="shared" si="115"/>
        <v>0</v>
      </c>
      <c r="BK63" s="14">
        <f t="shared" si="115"/>
        <v>0</v>
      </c>
      <c r="BL63" s="14">
        <f t="shared" si="115"/>
        <v>0</v>
      </c>
      <c r="BM63" s="14">
        <f t="shared" si="115"/>
        <v>0</v>
      </c>
      <c r="BN63" s="14">
        <f t="shared" si="115"/>
        <v>0</v>
      </c>
      <c r="BO63" s="14">
        <f t="shared" si="115"/>
        <v>0</v>
      </c>
      <c r="BP63" s="14">
        <f t="shared" si="115"/>
        <v>0</v>
      </c>
      <c r="BQ63" s="14">
        <f t="shared" si="115"/>
        <v>0</v>
      </c>
      <c r="BR63" s="14">
        <f t="shared" si="115"/>
        <v>0</v>
      </c>
      <c r="BS63" s="14">
        <f t="shared" si="115"/>
        <v>0</v>
      </c>
      <c r="BT63" s="14">
        <f t="shared" si="115"/>
        <v>0</v>
      </c>
      <c r="BU63" s="14">
        <f t="shared" si="115"/>
        <v>0</v>
      </c>
      <c r="BV63" s="14">
        <f t="shared" si="115"/>
        <v>0</v>
      </c>
      <c r="BW63" s="14">
        <f t="shared" si="115"/>
        <v>0</v>
      </c>
      <c r="BX63" s="14">
        <f t="shared" si="115"/>
        <v>0</v>
      </c>
      <c r="BY63" s="14">
        <f t="shared" si="115"/>
        <v>0</v>
      </c>
      <c r="BZ63" s="14">
        <f t="shared" si="115"/>
        <v>0</v>
      </c>
      <c r="CA63" s="14">
        <f t="shared" si="115"/>
        <v>0</v>
      </c>
      <c r="CB63" s="14">
        <f t="shared" si="115"/>
        <v>0</v>
      </c>
      <c r="CC63" s="14">
        <f t="shared" si="115"/>
        <v>0</v>
      </c>
      <c r="CD63" s="14">
        <f t="shared" si="115"/>
        <v>0</v>
      </c>
      <c r="CE63" s="14">
        <f t="shared" si="115"/>
        <v>0</v>
      </c>
      <c r="CF63" s="14">
        <f t="shared" si="115"/>
        <v>0</v>
      </c>
      <c r="CG63" s="14">
        <f t="shared" si="115"/>
        <v>0</v>
      </c>
      <c r="CH63" s="14">
        <f t="shared" si="115"/>
        <v>0</v>
      </c>
      <c r="CI63" s="14">
        <f t="shared" si="115"/>
        <v>0</v>
      </c>
      <c r="CJ63" s="14">
        <f t="shared" si="115"/>
        <v>0</v>
      </c>
      <c r="CK63" s="14">
        <f t="shared" si="115"/>
        <v>0</v>
      </c>
      <c r="CL63" s="14">
        <f t="shared" si="115"/>
        <v>0</v>
      </c>
      <c r="CM63" s="14">
        <f t="shared" si="115"/>
        <v>0</v>
      </c>
      <c r="CN63" s="14">
        <f t="shared" si="115"/>
        <v>0</v>
      </c>
      <c r="CO63" s="14">
        <f t="shared" si="115"/>
        <v>0</v>
      </c>
      <c r="CP63" s="14">
        <f t="shared" si="115"/>
        <v>0</v>
      </c>
      <c r="CQ63" s="14">
        <f t="shared" si="115"/>
        <v>0</v>
      </c>
      <c r="CR63" s="14">
        <f t="shared" si="115"/>
        <v>0</v>
      </c>
      <c r="CS63" s="14">
        <f t="shared" si="115"/>
        <v>0</v>
      </c>
      <c r="CT63" s="14">
        <f t="shared" si="115"/>
        <v>0</v>
      </c>
      <c r="CU63" s="14">
        <f t="shared" si="115"/>
        <v>0</v>
      </c>
      <c r="CW63" s="14">
        <f>SUM(BF$5:BF63)</f>
        <v>0</v>
      </c>
      <c r="CX63" s="14">
        <f>SUM(BG$5:BG63)</f>
        <v>0</v>
      </c>
      <c r="CY63" s="14">
        <f>SUM(BH$5:BH63)</f>
        <v>0</v>
      </c>
      <c r="CZ63" s="14">
        <f>SUM(BI$5:BI63)</f>
        <v>0</v>
      </c>
      <c r="DA63" s="14">
        <f>SUM(BJ$5:BJ63)</f>
        <v>0</v>
      </c>
      <c r="DB63" s="14">
        <f>SUM(BK$5:BK63)</f>
        <v>0</v>
      </c>
      <c r="DC63" s="14">
        <f>SUM(BL$5:BL63)</f>
        <v>0</v>
      </c>
      <c r="DD63" s="14">
        <f>SUM(BM$5:BM63)</f>
        <v>0</v>
      </c>
      <c r="DE63" s="14">
        <f>SUM(BN$5:BN63)</f>
        <v>0</v>
      </c>
      <c r="DF63" s="14">
        <f>SUM(BO$5:BO63)</f>
        <v>0</v>
      </c>
      <c r="DG63" s="14">
        <f>SUM(BP$5:BP63)</f>
        <v>0</v>
      </c>
      <c r="DH63" s="14">
        <f>SUM(BQ$5:BQ63)</f>
        <v>0</v>
      </c>
      <c r="DI63" s="14">
        <f>SUM(BR$5:BR63)</f>
        <v>0</v>
      </c>
      <c r="DJ63" s="14">
        <f>SUM(BS$5:BS63)</f>
        <v>0</v>
      </c>
      <c r="DK63" s="14">
        <f>SUM(BT$5:BT63)</f>
        <v>0</v>
      </c>
      <c r="DL63" s="14">
        <f>SUM(BU$5:BU63)</f>
        <v>0</v>
      </c>
      <c r="DM63" s="14">
        <f>SUM(BV$5:BV63)</f>
        <v>0</v>
      </c>
      <c r="DN63" s="14">
        <f>SUM(BW$5:BW63)</f>
        <v>0</v>
      </c>
      <c r="DO63" s="14">
        <f>SUM(BX$5:BX63)</f>
        <v>0</v>
      </c>
      <c r="DP63" s="14">
        <f>SUM(BY$5:BY63)</f>
        <v>0</v>
      </c>
      <c r="DQ63" s="14">
        <f>SUM(BZ$5:BZ63)</f>
        <v>0</v>
      </c>
      <c r="DR63" s="14">
        <f>SUM(CA$5:CA63)</f>
        <v>0</v>
      </c>
      <c r="DS63" s="14">
        <f>SUM(CB$5:CB63)</f>
        <v>0</v>
      </c>
      <c r="DT63" s="14">
        <f>SUM(CC$5:CC63)</f>
        <v>0</v>
      </c>
      <c r="DU63" s="14">
        <f>SUM(CD$5:CD63)</f>
        <v>0</v>
      </c>
      <c r="DV63" s="14">
        <f>SUM(CE$5:CE63)</f>
        <v>0</v>
      </c>
      <c r="DW63" s="14">
        <f>SUM(CF$5:CF63)</f>
        <v>0</v>
      </c>
      <c r="DX63" s="14">
        <f>SUM(CG$5:CG63)</f>
        <v>0</v>
      </c>
      <c r="DY63" s="14">
        <f>SUM(CH$5:CH63)</f>
        <v>0</v>
      </c>
      <c r="DZ63" s="14">
        <f>SUM(CI$5:CI63)</f>
        <v>0</v>
      </c>
      <c r="EA63" s="14">
        <f>SUM(CJ$5:CJ63)</f>
        <v>0</v>
      </c>
      <c r="EB63" s="14">
        <f>SUM(CK$5:CK63)</f>
        <v>0</v>
      </c>
      <c r="EC63" s="14">
        <f>SUM(CL$5:CL63)</f>
        <v>0</v>
      </c>
      <c r="ED63" s="14">
        <f>SUM(CM$5:CM63)</f>
        <v>0</v>
      </c>
      <c r="EE63" s="14">
        <f>SUM(CN$5:CN63)</f>
        <v>0</v>
      </c>
      <c r="EF63" s="14">
        <f>SUM(CO$5:CO63)</f>
        <v>0</v>
      </c>
      <c r="EG63" s="14">
        <f>SUM(CP$5:CP63)</f>
        <v>0</v>
      </c>
      <c r="EH63" s="14">
        <f>SUM(CQ$5:CQ63)</f>
        <v>0</v>
      </c>
      <c r="EI63" s="14">
        <f>SUM(CR$5:CR63)</f>
        <v>0</v>
      </c>
      <c r="EJ63" s="14">
        <f>SUM(CS$5:CS63)</f>
        <v>0</v>
      </c>
      <c r="EK63" s="14">
        <f>SUM(CT$5:CT63)</f>
        <v>0</v>
      </c>
      <c r="EL63" s="14">
        <f>SUM(CU$5:CU63)</f>
        <v>0</v>
      </c>
      <c r="EO63" s="87">
        <f t="shared" si="68"/>
        <v>0</v>
      </c>
      <c r="EP63" s="87">
        <f t="shared" ref="EP63:EP64" si="116">MATCH(CX63,$AD$5:$AD$26,1)-1</f>
        <v>0</v>
      </c>
      <c r="EQ63" s="87">
        <f t="shared" ref="EQ63:EQ64" si="117">MATCH(CY63,$AD$5:$AD$26,1)-1</f>
        <v>0</v>
      </c>
      <c r="ER63" s="87">
        <f t="shared" ref="ER63:ER64" si="118">MATCH(CZ63,$AD$5:$AD$26,1)-1</f>
        <v>0</v>
      </c>
      <c r="ES63" s="87">
        <f t="shared" ref="ES63:ES64" si="119">MATCH(DA63,$AD$5:$AD$26,1)-1</f>
        <v>0</v>
      </c>
      <c r="ET63" s="87">
        <f t="shared" ref="ET63:ET64" si="120">MATCH(DB63,$AD$5:$AD$26,1)-1</f>
        <v>0</v>
      </c>
      <c r="EU63" s="87">
        <f t="shared" ref="EU63:EU64" si="121">MATCH(DC63,$AD$5:$AD$26,1)-1</f>
        <v>0</v>
      </c>
      <c r="EV63" s="87">
        <f t="shared" ref="EV63:EV64" si="122">MATCH(DD63,$AD$5:$AD$26,1)-1</f>
        <v>0</v>
      </c>
      <c r="EW63" s="87">
        <f t="shared" ref="EW63:EW64" si="123">MATCH(DE63,$AD$5:$AD$26,1)-1</f>
        <v>0</v>
      </c>
      <c r="EX63" s="87">
        <f t="shared" ref="EX63:EX64" si="124">MATCH(DF63,$AD$5:$AD$26,1)-1</f>
        <v>0</v>
      </c>
      <c r="EY63" s="87">
        <f t="shared" ref="EY63:EY64" si="125">MATCH(DG63,$AD$5:$AD$26,1)-1</f>
        <v>0</v>
      </c>
      <c r="EZ63" s="87">
        <f t="shared" ref="EZ63:EZ64" si="126">MATCH(DH63,$AD$5:$AD$26,1)-1</f>
        <v>0</v>
      </c>
      <c r="FA63" s="87">
        <f t="shared" ref="FA63:FA64" si="127">MATCH(DI63,$AD$5:$AD$26,1)-1</f>
        <v>0</v>
      </c>
      <c r="FB63" s="87">
        <f t="shared" ref="FB63:FB64" si="128">MATCH(DJ63,$AD$5:$AD$26,1)-1</f>
        <v>0</v>
      </c>
      <c r="FC63" s="87">
        <f t="shared" ref="FC63:FC64" si="129">MATCH(DK63,$AD$5:$AD$26,1)-1</f>
        <v>0</v>
      </c>
      <c r="FD63" s="87">
        <f t="shared" ref="FD63:FD64" si="130">MATCH(DL63,$AD$5:$AD$26,1)-1</f>
        <v>0</v>
      </c>
      <c r="FE63" s="87">
        <f t="shared" ref="FE63:FE64" si="131">MATCH(DM63,$AD$5:$AD$26,1)-1</f>
        <v>0</v>
      </c>
      <c r="FF63" s="87">
        <f t="shared" ref="FF63:FF64" si="132">MATCH(DN63,$AD$5:$AD$26,1)-1</f>
        <v>0</v>
      </c>
      <c r="FG63" s="87">
        <f t="shared" ref="FG63:FG64" si="133">MATCH(DO63,$AD$5:$AD$26,1)-1</f>
        <v>0</v>
      </c>
      <c r="FH63" s="87">
        <f t="shared" ref="FH63:FH64" si="134">MATCH(DP63,$AD$5:$AD$26,1)-1</f>
        <v>0</v>
      </c>
      <c r="FI63" s="87">
        <f t="shared" ref="FI63:FI64" si="135">MATCH(DQ63,$AD$5:$AD$26,1)-1</f>
        <v>0</v>
      </c>
      <c r="FJ63" s="87">
        <f t="shared" ref="FJ63:FJ64" si="136">MATCH(DR63,$AD$5:$AD$26,1)-1</f>
        <v>0</v>
      </c>
      <c r="FK63" s="87">
        <f t="shared" ref="FK63:FK64" si="137">MATCH(DS63,$AD$5:$AD$26,1)-1</f>
        <v>0</v>
      </c>
      <c r="FL63" s="87">
        <f t="shared" ref="FL63:FL64" si="138">MATCH(DT63,$AD$5:$AD$26,1)-1</f>
        <v>0</v>
      </c>
      <c r="FM63" s="87">
        <f t="shared" ref="FM63:FM64" si="139">MATCH(DU63,$AD$5:$AD$26,1)-1</f>
        <v>0</v>
      </c>
      <c r="FN63" s="87">
        <f t="shared" ref="FN63:FN64" si="140">MATCH(DV63,$AD$5:$AD$26,1)-1</f>
        <v>0</v>
      </c>
      <c r="FO63" s="87">
        <f t="shared" ref="FO63:FO64" si="141">MATCH(DW63,$AD$5:$AD$26,1)-1</f>
        <v>0</v>
      </c>
      <c r="FP63" s="87">
        <f t="shared" ref="FP63:FP64" si="142">MATCH(DX63,$AD$5:$AD$26,1)-1</f>
        <v>0</v>
      </c>
      <c r="FQ63" s="87">
        <f t="shared" ref="FQ63:FQ64" si="143">MATCH(DY63,$AD$5:$AD$26,1)-1</f>
        <v>0</v>
      </c>
      <c r="FR63" s="87">
        <f t="shared" ref="FR63:FR64" si="144">MATCH(DZ63,$AD$5:$AD$26,1)-1</f>
        <v>0</v>
      </c>
      <c r="FS63" s="87">
        <f t="shared" ref="FS63:FS64" si="145">MATCH(EA63,$AD$5:$AD$26,1)-1</f>
        <v>0</v>
      </c>
      <c r="FT63" s="87">
        <f t="shared" ref="FT63:FT64" si="146">MATCH(EB63,$AD$5:$AD$26,1)-1</f>
        <v>0</v>
      </c>
      <c r="FU63" s="87">
        <f t="shared" ref="FU63:FU64" si="147">MATCH(EC63,$AD$5:$AD$26,1)-1</f>
        <v>0</v>
      </c>
      <c r="FV63" s="87">
        <f t="shared" ref="FV63:FV64" si="148">MATCH(ED63,$AD$5:$AD$26,1)-1</f>
        <v>0</v>
      </c>
      <c r="FW63" s="87">
        <f t="shared" ref="FW63:FW64" si="149">MATCH(EE63,$AD$5:$AD$26,1)-1</f>
        <v>0</v>
      </c>
      <c r="FX63" s="87">
        <f t="shared" ref="FX63:FX64" si="150">MATCH(EF63,$AD$5:$AD$26,1)-1</f>
        <v>0</v>
      </c>
      <c r="FY63" s="87">
        <f t="shared" ref="FY63:FY64" si="151">MATCH(EG63,$AD$5:$AD$26,1)-1</f>
        <v>0</v>
      </c>
      <c r="FZ63" s="87">
        <f t="shared" ref="FZ63:FZ64" si="152">MATCH(EH63,$AD$5:$AD$26,1)-1</f>
        <v>0</v>
      </c>
      <c r="GA63" s="87">
        <f t="shared" ref="GA63:GA64" si="153">MATCH(EI63,$AD$5:$AD$26,1)-1</f>
        <v>0</v>
      </c>
      <c r="GB63" s="87">
        <f t="shared" ref="GB63:GB64" si="154">MATCH(EJ63,$AD$5:$AD$26,1)-1</f>
        <v>0</v>
      </c>
      <c r="GC63" s="87">
        <f t="shared" ref="GC63:GC64" si="155">MATCH(EK63,$AD$5:$AD$26,1)-1</f>
        <v>0</v>
      </c>
      <c r="GD63" s="87">
        <f t="shared" ref="GD63:GD64" si="156">MATCH(EL63,$AD$5:$AD$26,1)-1</f>
        <v>0</v>
      </c>
    </row>
    <row r="64" spans="41:186" ht="16.5" x14ac:dyDescent="0.2">
      <c r="AO64" s="48">
        <v>5</v>
      </c>
      <c r="AP64" s="86">
        <v>26</v>
      </c>
      <c r="AQ64" s="86">
        <v>3</v>
      </c>
      <c r="AR64" s="48">
        <v>1</v>
      </c>
      <c r="AS64" s="86" t="s">
        <v>669</v>
      </c>
      <c r="AT64" s="21">
        <f t="shared" si="61"/>
        <v>8.9999999999999993E-3</v>
      </c>
      <c r="AU64" s="86">
        <f t="shared" si="5"/>
        <v>1</v>
      </c>
      <c r="AV64" s="86">
        <f t="shared" si="6"/>
        <v>1</v>
      </c>
      <c r="AW64" s="87">
        <f t="shared" si="7"/>
        <v>8.9999999999999993E-3</v>
      </c>
      <c r="AX64" s="86">
        <f t="shared" si="8"/>
        <v>4.05</v>
      </c>
      <c r="BA64" s="86">
        <v>60</v>
      </c>
      <c r="BB64" s="14" t="e">
        <f>INDEX(节奏总表!#REF!,神器!BA64)</f>
        <v>#REF!</v>
      </c>
      <c r="BC64" s="14" t="e">
        <f t="shared" si="9"/>
        <v>#REF!</v>
      </c>
      <c r="BD64" s="14">
        <v>5</v>
      </c>
      <c r="BE64" s="14">
        <v>3</v>
      </c>
      <c r="BF64" s="14">
        <f t="shared" si="60"/>
        <v>0</v>
      </c>
      <c r="BG64" s="14">
        <f t="shared" si="115"/>
        <v>0</v>
      </c>
      <c r="BH64" s="14">
        <f t="shared" si="115"/>
        <v>0</v>
      </c>
      <c r="BI64" s="14">
        <f t="shared" si="115"/>
        <v>0</v>
      </c>
      <c r="BJ64" s="14">
        <f t="shared" si="115"/>
        <v>0</v>
      </c>
      <c r="BK64" s="14">
        <f t="shared" si="115"/>
        <v>0</v>
      </c>
      <c r="BL64" s="14">
        <f t="shared" si="115"/>
        <v>0</v>
      </c>
      <c r="BM64" s="14">
        <f t="shared" si="115"/>
        <v>0</v>
      </c>
      <c r="BN64" s="14">
        <f t="shared" si="115"/>
        <v>0</v>
      </c>
      <c r="BO64" s="14">
        <f t="shared" si="115"/>
        <v>0</v>
      </c>
      <c r="BP64" s="14">
        <f t="shared" si="115"/>
        <v>0</v>
      </c>
      <c r="BQ64" s="14">
        <f t="shared" si="115"/>
        <v>0</v>
      </c>
      <c r="BR64" s="14">
        <f t="shared" si="115"/>
        <v>0</v>
      </c>
      <c r="BS64" s="14">
        <f t="shared" si="115"/>
        <v>0</v>
      </c>
      <c r="BT64" s="14">
        <f t="shared" si="115"/>
        <v>0</v>
      </c>
      <c r="BU64" s="14">
        <f t="shared" si="115"/>
        <v>0</v>
      </c>
      <c r="BV64" s="14">
        <f t="shared" si="115"/>
        <v>0</v>
      </c>
      <c r="BW64" s="14">
        <f t="shared" si="115"/>
        <v>0</v>
      </c>
      <c r="BX64" s="14">
        <f t="shared" si="115"/>
        <v>0</v>
      </c>
      <c r="BY64" s="14">
        <f t="shared" si="115"/>
        <v>0</v>
      </c>
      <c r="BZ64" s="14">
        <f t="shared" si="115"/>
        <v>0</v>
      </c>
      <c r="CA64" s="14">
        <f t="shared" si="115"/>
        <v>0</v>
      </c>
      <c r="CB64" s="14">
        <f t="shared" si="115"/>
        <v>0</v>
      </c>
      <c r="CC64" s="14">
        <f t="shared" si="115"/>
        <v>0</v>
      </c>
      <c r="CD64" s="14">
        <f t="shared" si="115"/>
        <v>0</v>
      </c>
      <c r="CE64" s="14">
        <f t="shared" si="115"/>
        <v>0</v>
      </c>
      <c r="CF64" s="14">
        <f t="shared" si="115"/>
        <v>0</v>
      </c>
      <c r="CG64" s="14">
        <f t="shared" si="115"/>
        <v>0</v>
      </c>
      <c r="CH64" s="14">
        <f t="shared" si="115"/>
        <v>0</v>
      </c>
      <c r="CI64" s="14">
        <f t="shared" si="115"/>
        <v>0</v>
      </c>
      <c r="CJ64" s="14">
        <f t="shared" si="115"/>
        <v>0</v>
      </c>
      <c r="CK64" s="14">
        <f t="shared" si="115"/>
        <v>0</v>
      </c>
      <c r="CL64" s="14">
        <f t="shared" si="115"/>
        <v>0</v>
      </c>
      <c r="CM64" s="14">
        <f t="shared" si="115"/>
        <v>0</v>
      </c>
      <c r="CN64" s="14">
        <f t="shared" si="115"/>
        <v>0</v>
      </c>
      <c r="CO64" s="14">
        <f t="shared" si="115"/>
        <v>0</v>
      </c>
      <c r="CP64" s="14">
        <f t="shared" si="115"/>
        <v>0</v>
      </c>
      <c r="CQ64" s="14">
        <f t="shared" si="115"/>
        <v>0</v>
      </c>
      <c r="CR64" s="14">
        <f t="shared" si="115"/>
        <v>0</v>
      </c>
      <c r="CS64" s="14">
        <f t="shared" si="115"/>
        <v>0</v>
      </c>
      <c r="CT64" s="14">
        <f t="shared" si="115"/>
        <v>0</v>
      </c>
      <c r="CU64" s="14">
        <f t="shared" si="115"/>
        <v>0</v>
      </c>
      <c r="CW64" s="14">
        <f>SUM(BF$5:BF64)</f>
        <v>0</v>
      </c>
      <c r="CX64" s="14">
        <f>SUM(BG$5:BG64)</f>
        <v>0</v>
      </c>
      <c r="CY64" s="14">
        <f>SUM(BH$5:BH64)</f>
        <v>0</v>
      </c>
      <c r="CZ64" s="14">
        <f>SUM(BI$5:BI64)</f>
        <v>0</v>
      </c>
      <c r="DA64" s="14">
        <f>SUM(BJ$5:BJ64)</f>
        <v>0</v>
      </c>
      <c r="DB64" s="14">
        <f>SUM(BK$5:BK64)</f>
        <v>0</v>
      </c>
      <c r="DC64" s="14">
        <f>SUM(BL$5:BL64)</f>
        <v>0</v>
      </c>
      <c r="DD64" s="14">
        <f>SUM(BM$5:BM64)</f>
        <v>0</v>
      </c>
      <c r="DE64" s="14">
        <f>SUM(BN$5:BN64)</f>
        <v>0</v>
      </c>
      <c r="DF64" s="14">
        <f>SUM(BO$5:BO64)</f>
        <v>0</v>
      </c>
      <c r="DG64" s="14">
        <f>SUM(BP$5:BP64)</f>
        <v>0</v>
      </c>
      <c r="DH64" s="14">
        <f>SUM(BQ$5:BQ64)</f>
        <v>0</v>
      </c>
      <c r="DI64" s="14">
        <f>SUM(BR$5:BR64)</f>
        <v>0</v>
      </c>
      <c r="DJ64" s="14">
        <f>SUM(BS$5:BS64)</f>
        <v>0</v>
      </c>
      <c r="DK64" s="14">
        <f>SUM(BT$5:BT64)</f>
        <v>0</v>
      </c>
      <c r="DL64" s="14">
        <f>SUM(BU$5:BU64)</f>
        <v>0</v>
      </c>
      <c r="DM64" s="14">
        <f>SUM(BV$5:BV64)</f>
        <v>0</v>
      </c>
      <c r="DN64" s="14">
        <f>SUM(BW$5:BW64)</f>
        <v>0</v>
      </c>
      <c r="DO64" s="14">
        <f>SUM(BX$5:BX64)</f>
        <v>0</v>
      </c>
      <c r="DP64" s="14">
        <f>SUM(BY$5:BY64)</f>
        <v>0</v>
      </c>
      <c r="DQ64" s="14">
        <f>SUM(BZ$5:BZ64)</f>
        <v>0</v>
      </c>
      <c r="DR64" s="14">
        <f>SUM(CA$5:CA64)</f>
        <v>0</v>
      </c>
      <c r="DS64" s="14">
        <f>SUM(CB$5:CB64)</f>
        <v>0</v>
      </c>
      <c r="DT64" s="14">
        <f>SUM(CC$5:CC64)</f>
        <v>0</v>
      </c>
      <c r="DU64" s="14">
        <f>SUM(CD$5:CD64)</f>
        <v>0</v>
      </c>
      <c r="DV64" s="14">
        <f>SUM(CE$5:CE64)</f>
        <v>0</v>
      </c>
      <c r="DW64" s="14">
        <f>SUM(CF$5:CF64)</f>
        <v>0</v>
      </c>
      <c r="DX64" s="14">
        <f>SUM(CG$5:CG64)</f>
        <v>0</v>
      </c>
      <c r="DY64" s="14">
        <f>SUM(CH$5:CH64)</f>
        <v>0</v>
      </c>
      <c r="DZ64" s="14">
        <f>SUM(CI$5:CI64)</f>
        <v>0</v>
      </c>
      <c r="EA64" s="14">
        <f>SUM(CJ$5:CJ64)</f>
        <v>0</v>
      </c>
      <c r="EB64" s="14">
        <f>SUM(CK$5:CK64)</f>
        <v>0</v>
      </c>
      <c r="EC64" s="14">
        <f>SUM(CL$5:CL64)</f>
        <v>0</v>
      </c>
      <c r="ED64" s="14">
        <f>SUM(CM$5:CM64)</f>
        <v>0</v>
      </c>
      <c r="EE64" s="14">
        <f>SUM(CN$5:CN64)</f>
        <v>0</v>
      </c>
      <c r="EF64" s="14">
        <f>SUM(CO$5:CO64)</f>
        <v>0</v>
      </c>
      <c r="EG64" s="14">
        <f>SUM(CP$5:CP64)</f>
        <v>0</v>
      </c>
      <c r="EH64" s="14">
        <f>SUM(CQ$5:CQ64)</f>
        <v>0</v>
      </c>
      <c r="EI64" s="14">
        <f>SUM(CR$5:CR64)</f>
        <v>0</v>
      </c>
      <c r="EJ64" s="14">
        <f>SUM(CS$5:CS64)</f>
        <v>0</v>
      </c>
      <c r="EK64" s="14">
        <f>SUM(CT$5:CT64)</f>
        <v>0</v>
      </c>
      <c r="EL64" s="14">
        <f>SUM(CU$5:CU64)</f>
        <v>0</v>
      </c>
      <c r="EO64" s="87">
        <f t="shared" si="68"/>
        <v>0</v>
      </c>
      <c r="EP64" s="87">
        <f t="shared" si="116"/>
        <v>0</v>
      </c>
      <c r="EQ64" s="87">
        <f t="shared" si="117"/>
        <v>0</v>
      </c>
      <c r="ER64" s="87">
        <f t="shared" si="118"/>
        <v>0</v>
      </c>
      <c r="ES64" s="87">
        <f t="shared" si="119"/>
        <v>0</v>
      </c>
      <c r="ET64" s="87">
        <f t="shared" si="120"/>
        <v>0</v>
      </c>
      <c r="EU64" s="87">
        <f t="shared" si="121"/>
        <v>0</v>
      </c>
      <c r="EV64" s="87">
        <f t="shared" si="122"/>
        <v>0</v>
      </c>
      <c r="EW64" s="87">
        <f t="shared" si="123"/>
        <v>0</v>
      </c>
      <c r="EX64" s="87">
        <f t="shared" si="124"/>
        <v>0</v>
      </c>
      <c r="EY64" s="87">
        <f t="shared" si="125"/>
        <v>0</v>
      </c>
      <c r="EZ64" s="87">
        <f t="shared" si="126"/>
        <v>0</v>
      </c>
      <c r="FA64" s="87">
        <f t="shared" si="127"/>
        <v>0</v>
      </c>
      <c r="FB64" s="87">
        <f t="shared" si="128"/>
        <v>0</v>
      </c>
      <c r="FC64" s="87">
        <f t="shared" si="129"/>
        <v>0</v>
      </c>
      <c r="FD64" s="87">
        <f t="shared" si="130"/>
        <v>0</v>
      </c>
      <c r="FE64" s="87">
        <f t="shared" si="131"/>
        <v>0</v>
      </c>
      <c r="FF64" s="87">
        <f t="shared" si="132"/>
        <v>0</v>
      </c>
      <c r="FG64" s="87">
        <f t="shared" si="133"/>
        <v>0</v>
      </c>
      <c r="FH64" s="87">
        <f t="shared" si="134"/>
        <v>0</v>
      </c>
      <c r="FI64" s="87">
        <f t="shared" si="135"/>
        <v>0</v>
      </c>
      <c r="FJ64" s="87">
        <f t="shared" si="136"/>
        <v>0</v>
      </c>
      <c r="FK64" s="87">
        <f t="shared" si="137"/>
        <v>0</v>
      </c>
      <c r="FL64" s="87">
        <f t="shared" si="138"/>
        <v>0</v>
      </c>
      <c r="FM64" s="87">
        <f t="shared" si="139"/>
        <v>0</v>
      </c>
      <c r="FN64" s="87">
        <f t="shared" si="140"/>
        <v>0</v>
      </c>
      <c r="FO64" s="87">
        <f t="shared" si="141"/>
        <v>0</v>
      </c>
      <c r="FP64" s="87">
        <f t="shared" si="142"/>
        <v>0</v>
      </c>
      <c r="FQ64" s="87">
        <f t="shared" si="143"/>
        <v>0</v>
      </c>
      <c r="FR64" s="87">
        <f t="shared" si="144"/>
        <v>0</v>
      </c>
      <c r="FS64" s="87">
        <f t="shared" si="145"/>
        <v>0</v>
      </c>
      <c r="FT64" s="87">
        <f t="shared" si="146"/>
        <v>0</v>
      </c>
      <c r="FU64" s="87">
        <f t="shared" si="147"/>
        <v>0</v>
      </c>
      <c r="FV64" s="87">
        <f t="shared" si="148"/>
        <v>0</v>
      </c>
      <c r="FW64" s="87">
        <f t="shared" si="149"/>
        <v>0</v>
      </c>
      <c r="FX64" s="87">
        <f t="shared" si="150"/>
        <v>0</v>
      </c>
      <c r="FY64" s="87">
        <f t="shared" si="151"/>
        <v>0</v>
      </c>
      <c r="FZ64" s="87">
        <f t="shared" si="152"/>
        <v>0</v>
      </c>
      <c r="GA64" s="87">
        <f t="shared" si="153"/>
        <v>0</v>
      </c>
      <c r="GB64" s="87">
        <f t="shared" si="154"/>
        <v>0</v>
      </c>
      <c r="GC64" s="87">
        <f t="shared" si="155"/>
        <v>0</v>
      </c>
      <c r="GD64" s="87">
        <f t="shared" si="156"/>
        <v>0</v>
      </c>
    </row>
    <row r="65" spans="41:57" ht="16.5" x14ac:dyDescent="0.2">
      <c r="AO65" s="48">
        <v>6</v>
      </c>
      <c r="AP65" s="86">
        <v>15</v>
      </c>
      <c r="AQ65" s="86">
        <v>1</v>
      </c>
      <c r="AR65" s="48">
        <v>3</v>
      </c>
      <c r="AS65" s="86" t="s">
        <v>321</v>
      </c>
      <c r="AT65" s="21">
        <f t="shared" si="61"/>
        <v>0.13750000000000001</v>
      </c>
      <c r="AU65" s="86">
        <f t="shared" si="5"/>
        <v>3</v>
      </c>
      <c r="AV65" s="86">
        <f t="shared" si="6"/>
        <v>5</v>
      </c>
      <c r="AW65" s="87">
        <f t="shared" si="7"/>
        <v>0.55000000000000004</v>
      </c>
      <c r="AX65" s="86">
        <f t="shared" si="8"/>
        <v>13.750000000000002</v>
      </c>
      <c r="BE65" s="14">
        <v>3</v>
      </c>
    </row>
    <row r="66" spans="41:57" ht="16.5" x14ac:dyDescent="0.2">
      <c r="AO66" s="48">
        <v>6</v>
      </c>
      <c r="AP66" s="86">
        <v>16</v>
      </c>
      <c r="AQ66" s="86">
        <v>1</v>
      </c>
      <c r="AR66" s="48">
        <v>3</v>
      </c>
      <c r="AS66" s="86" t="s">
        <v>322</v>
      </c>
      <c r="AT66" s="21">
        <f t="shared" si="61"/>
        <v>0.13750000000000001</v>
      </c>
      <c r="AU66" s="86">
        <f t="shared" si="5"/>
        <v>3</v>
      </c>
      <c r="AV66" s="86">
        <f t="shared" si="6"/>
        <v>5</v>
      </c>
      <c r="AW66" s="87">
        <f t="shared" si="7"/>
        <v>0.55000000000000004</v>
      </c>
      <c r="AX66" s="86">
        <f t="shared" si="8"/>
        <v>13.750000000000002</v>
      </c>
      <c r="BE66" s="14">
        <v>3</v>
      </c>
    </row>
    <row r="67" spans="41:57" ht="16.5" x14ac:dyDescent="0.2">
      <c r="AO67" s="48">
        <v>6</v>
      </c>
      <c r="AP67" s="86">
        <v>17</v>
      </c>
      <c r="AQ67" s="86">
        <v>1</v>
      </c>
      <c r="AR67" s="48">
        <v>3</v>
      </c>
      <c r="AS67" s="86" t="s">
        <v>323</v>
      </c>
      <c r="AT67" s="21">
        <f t="shared" si="61"/>
        <v>8.8000000000000009E-2</v>
      </c>
      <c r="AU67" s="86">
        <f t="shared" si="5"/>
        <v>2</v>
      </c>
      <c r="AV67" s="86">
        <f t="shared" si="6"/>
        <v>4</v>
      </c>
      <c r="AW67" s="87">
        <f t="shared" si="7"/>
        <v>0.26400000000000001</v>
      </c>
      <c r="AX67" s="86">
        <f t="shared" si="8"/>
        <v>19.8</v>
      </c>
      <c r="BE67" s="14">
        <v>3</v>
      </c>
    </row>
    <row r="68" spans="41:57" ht="16.5" x14ac:dyDescent="0.2">
      <c r="AO68" s="48">
        <v>6</v>
      </c>
      <c r="AP68" s="86">
        <v>18</v>
      </c>
      <c r="AQ68" s="86">
        <v>1</v>
      </c>
      <c r="AR68" s="48">
        <v>3</v>
      </c>
      <c r="AS68" s="86" t="s">
        <v>324</v>
      </c>
      <c r="AT68" s="21">
        <f t="shared" si="61"/>
        <v>8.8000000000000009E-2</v>
      </c>
      <c r="AU68" s="86">
        <f t="shared" si="5"/>
        <v>2</v>
      </c>
      <c r="AV68" s="86">
        <f t="shared" si="6"/>
        <v>4</v>
      </c>
      <c r="AW68" s="87">
        <f t="shared" si="7"/>
        <v>0.26400000000000001</v>
      </c>
      <c r="AX68" s="86">
        <f t="shared" si="8"/>
        <v>19.8</v>
      </c>
      <c r="BE68" s="14">
        <v>3</v>
      </c>
    </row>
    <row r="69" spans="41:57" ht="16.5" x14ac:dyDescent="0.2">
      <c r="AO69" s="48">
        <v>6</v>
      </c>
      <c r="AP69" s="86">
        <v>19</v>
      </c>
      <c r="AQ69" s="86">
        <v>1</v>
      </c>
      <c r="AR69" s="48">
        <v>3</v>
      </c>
      <c r="AS69" s="86" t="s">
        <v>325</v>
      </c>
      <c r="AT69" s="21">
        <f t="shared" ref="AT69:AT100" si="157">INDEX($AJ$6:$AL$13,AO69,AQ69)*INDEX($Q$5:$Y$46,AP69,(AR69-1)*3+1)</f>
        <v>6.6000000000000003E-2</v>
      </c>
      <c r="AU69" s="86">
        <f t="shared" si="5"/>
        <v>1</v>
      </c>
      <c r="AV69" s="86">
        <f t="shared" si="6"/>
        <v>3</v>
      </c>
      <c r="AW69" s="87">
        <f t="shared" si="7"/>
        <v>0.13200000000000001</v>
      </c>
      <c r="AX69" s="86">
        <f t="shared" si="8"/>
        <v>23.1</v>
      </c>
      <c r="BE69" s="14">
        <v>3</v>
      </c>
    </row>
    <row r="70" spans="41:57" ht="16.5" x14ac:dyDescent="0.2">
      <c r="AO70" s="48">
        <v>6</v>
      </c>
      <c r="AP70" s="86">
        <v>20</v>
      </c>
      <c r="AQ70" s="86">
        <v>1</v>
      </c>
      <c r="AR70" s="48">
        <v>3</v>
      </c>
      <c r="AS70" s="86" t="s">
        <v>326</v>
      </c>
      <c r="AT70" s="21">
        <f t="shared" si="157"/>
        <v>3.3000000000000002E-2</v>
      </c>
      <c r="AU70" s="86">
        <f t="shared" ref="AU70:AU122" si="158">INDEX($Q$5:$Y$46,AP70,(AR70-1)*3+2)</f>
        <v>1</v>
      </c>
      <c r="AV70" s="86">
        <f t="shared" ref="AV70:AV122" si="159">INDEX($Q$5:$Y$46,AP70,(AR70-1)*3+3)</f>
        <v>3</v>
      </c>
      <c r="AW70" s="87">
        <f t="shared" ref="AW70:AW122" si="160">AT70*(AU70+AV70)/2</f>
        <v>6.6000000000000003E-2</v>
      </c>
      <c r="AX70" s="86">
        <f t="shared" ref="AX70:AX122" si="161">INDEX($P$5:$P$46,AP70)*AT70*(AU70+AV70)/2</f>
        <v>24.75</v>
      </c>
      <c r="BE70" s="14">
        <v>3</v>
      </c>
    </row>
    <row r="71" spans="41:57" ht="16.5" x14ac:dyDescent="0.2">
      <c r="AO71" s="48">
        <v>6</v>
      </c>
      <c r="AP71" s="86">
        <v>21</v>
      </c>
      <c r="AQ71" s="86">
        <v>2</v>
      </c>
      <c r="AR71" s="48">
        <v>2</v>
      </c>
      <c r="AS71" s="86" t="s">
        <v>664</v>
      </c>
      <c r="AT71" s="21">
        <f t="shared" si="157"/>
        <v>7.4999999999999997E-2</v>
      </c>
      <c r="AU71" s="86">
        <f t="shared" si="158"/>
        <v>2</v>
      </c>
      <c r="AV71" s="86">
        <f t="shared" si="159"/>
        <v>4</v>
      </c>
      <c r="AW71" s="87">
        <f t="shared" si="160"/>
        <v>0.22499999999999998</v>
      </c>
      <c r="AX71" s="86">
        <f t="shared" si="161"/>
        <v>6.75</v>
      </c>
      <c r="BE71" s="14">
        <v>3</v>
      </c>
    </row>
    <row r="72" spans="41:57" ht="16.5" x14ac:dyDescent="0.2">
      <c r="AO72" s="48">
        <v>6</v>
      </c>
      <c r="AP72" s="86">
        <v>22</v>
      </c>
      <c r="AQ72" s="86">
        <v>2</v>
      </c>
      <c r="AR72" s="48">
        <v>2</v>
      </c>
      <c r="AS72" s="86" t="s">
        <v>665</v>
      </c>
      <c r="AT72" s="21">
        <f t="shared" si="157"/>
        <v>7.4999999999999997E-2</v>
      </c>
      <c r="AU72" s="86">
        <f t="shared" si="158"/>
        <v>2</v>
      </c>
      <c r="AV72" s="86">
        <f t="shared" si="159"/>
        <v>4</v>
      </c>
      <c r="AW72" s="87">
        <f t="shared" si="160"/>
        <v>0.22499999999999998</v>
      </c>
      <c r="AX72" s="86">
        <f t="shared" si="161"/>
        <v>6.75</v>
      </c>
      <c r="BE72" s="14">
        <v>3</v>
      </c>
    </row>
    <row r="73" spans="41:57" ht="16.5" x14ac:dyDescent="0.2">
      <c r="AO73" s="48">
        <v>6</v>
      </c>
      <c r="AP73" s="86">
        <v>23</v>
      </c>
      <c r="AQ73" s="86">
        <v>2</v>
      </c>
      <c r="AR73" s="48">
        <v>2</v>
      </c>
      <c r="AS73" s="86" t="s">
        <v>666</v>
      </c>
      <c r="AT73" s="21">
        <f t="shared" si="157"/>
        <v>4.8000000000000001E-2</v>
      </c>
      <c r="AU73" s="86">
        <f t="shared" si="158"/>
        <v>1</v>
      </c>
      <c r="AV73" s="86">
        <f t="shared" si="159"/>
        <v>3</v>
      </c>
      <c r="AW73" s="87">
        <f t="shared" si="160"/>
        <v>9.6000000000000002E-2</v>
      </c>
      <c r="AX73" s="86">
        <f t="shared" si="161"/>
        <v>8.64</v>
      </c>
      <c r="BE73" s="14">
        <v>3</v>
      </c>
    </row>
    <row r="74" spans="41:57" ht="16.5" x14ac:dyDescent="0.2">
      <c r="AO74" s="48">
        <v>6</v>
      </c>
      <c r="AP74" s="86">
        <v>24</v>
      </c>
      <c r="AQ74" s="86">
        <v>2</v>
      </c>
      <c r="AR74" s="48">
        <v>2</v>
      </c>
      <c r="AS74" s="86" t="s">
        <v>667</v>
      </c>
      <c r="AT74" s="21">
        <f t="shared" si="157"/>
        <v>4.8000000000000001E-2</v>
      </c>
      <c r="AU74" s="86">
        <f t="shared" si="158"/>
        <v>1</v>
      </c>
      <c r="AV74" s="86">
        <f t="shared" si="159"/>
        <v>3</v>
      </c>
      <c r="AW74" s="87">
        <f t="shared" si="160"/>
        <v>9.6000000000000002E-2</v>
      </c>
      <c r="AX74" s="86">
        <f t="shared" si="161"/>
        <v>8.64</v>
      </c>
      <c r="BE74" s="14">
        <v>3</v>
      </c>
    </row>
    <row r="75" spans="41:57" ht="16.5" x14ac:dyDescent="0.2">
      <c r="AO75" s="48">
        <v>6</v>
      </c>
      <c r="AP75" s="86">
        <v>25</v>
      </c>
      <c r="AQ75" s="86">
        <v>2</v>
      </c>
      <c r="AR75" s="48">
        <v>2</v>
      </c>
      <c r="AS75" s="86" t="s">
        <v>668</v>
      </c>
      <c r="AT75" s="21">
        <f t="shared" si="157"/>
        <v>3.5999999999999997E-2</v>
      </c>
      <c r="AU75" s="86">
        <f t="shared" si="158"/>
        <v>1</v>
      </c>
      <c r="AV75" s="86">
        <f t="shared" si="159"/>
        <v>2</v>
      </c>
      <c r="AW75" s="87">
        <f t="shared" si="160"/>
        <v>5.3999999999999992E-2</v>
      </c>
      <c r="AX75" s="86">
        <f t="shared" si="161"/>
        <v>11.34</v>
      </c>
      <c r="BE75" s="14">
        <v>3</v>
      </c>
    </row>
    <row r="76" spans="41:57" ht="16.5" x14ac:dyDescent="0.2">
      <c r="AO76" s="48">
        <v>6</v>
      </c>
      <c r="AP76" s="86">
        <v>26</v>
      </c>
      <c r="AQ76" s="86">
        <v>2</v>
      </c>
      <c r="AR76" s="48">
        <v>2</v>
      </c>
      <c r="AS76" s="86" t="s">
        <v>669</v>
      </c>
      <c r="AT76" s="21">
        <f t="shared" si="157"/>
        <v>1.7999999999999999E-2</v>
      </c>
      <c r="AU76" s="86">
        <f t="shared" si="158"/>
        <v>1</v>
      </c>
      <c r="AV76" s="86">
        <f t="shared" si="159"/>
        <v>2</v>
      </c>
      <c r="AW76" s="87">
        <f t="shared" si="160"/>
        <v>2.6999999999999996E-2</v>
      </c>
      <c r="AX76" s="86">
        <f t="shared" si="161"/>
        <v>12.149999999999999</v>
      </c>
      <c r="BE76" s="14">
        <v>3</v>
      </c>
    </row>
    <row r="77" spans="41:57" ht="16.5" x14ac:dyDescent="0.2">
      <c r="AO77" s="48">
        <v>6</v>
      </c>
      <c r="AP77" s="86">
        <v>27</v>
      </c>
      <c r="AQ77" s="86">
        <v>3</v>
      </c>
      <c r="AR77" s="48">
        <v>1</v>
      </c>
      <c r="AS77" s="86" t="s">
        <v>333</v>
      </c>
      <c r="AT77" s="21">
        <f t="shared" si="157"/>
        <v>2.7E-2</v>
      </c>
      <c r="AU77" s="86">
        <f t="shared" si="158"/>
        <v>1</v>
      </c>
      <c r="AV77" s="86">
        <f t="shared" si="159"/>
        <v>2</v>
      </c>
      <c r="AW77" s="87">
        <f t="shared" si="160"/>
        <v>4.0500000000000001E-2</v>
      </c>
      <c r="AX77" s="86">
        <f t="shared" si="161"/>
        <v>4.8599999999999994</v>
      </c>
      <c r="BE77" s="14">
        <v>3</v>
      </c>
    </row>
    <row r="78" spans="41:57" ht="16.5" x14ac:dyDescent="0.2">
      <c r="AO78" s="48">
        <v>6</v>
      </c>
      <c r="AP78" s="86">
        <v>28</v>
      </c>
      <c r="AQ78" s="86">
        <v>3</v>
      </c>
      <c r="AR78" s="48">
        <v>1</v>
      </c>
      <c r="AS78" s="86" t="s">
        <v>334</v>
      </c>
      <c r="AT78" s="21">
        <f t="shared" si="157"/>
        <v>2.7E-2</v>
      </c>
      <c r="AU78" s="86">
        <f t="shared" si="158"/>
        <v>1</v>
      </c>
      <c r="AV78" s="86">
        <f t="shared" si="159"/>
        <v>2</v>
      </c>
      <c r="AW78" s="87">
        <f t="shared" si="160"/>
        <v>4.0500000000000001E-2</v>
      </c>
      <c r="AX78" s="86">
        <f t="shared" si="161"/>
        <v>4.8599999999999994</v>
      </c>
      <c r="BE78" s="14">
        <v>3</v>
      </c>
    </row>
    <row r="79" spans="41:57" ht="16.5" x14ac:dyDescent="0.2">
      <c r="AO79" s="48">
        <v>6</v>
      </c>
      <c r="AP79" s="86">
        <v>29</v>
      </c>
      <c r="AQ79" s="86">
        <v>3</v>
      </c>
      <c r="AR79" s="48">
        <v>1</v>
      </c>
      <c r="AS79" s="86" t="s">
        <v>335</v>
      </c>
      <c r="AT79" s="21">
        <f t="shared" si="157"/>
        <v>2.7E-2</v>
      </c>
      <c r="AU79" s="86">
        <f t="shared" si="158"/>
        <v>1</v>
      </c>
      <c r="AV79" s="86">
        <f t="shared" si="159"/>
        <v>2</v>
      </c>
      <c r="AW79" s="87">
        <f t="shared" si="160"/>
        <v>4.0500000000000001E-2</v>
      </c>
      <c r="AX79" s="86">
        <f t="shared" si="161"/>
        <v>4.8599999999999994</v>
      </c>
      <c r="BE79" s="14">
        <v>3</v>
      </c>
    </row>
    <row r="80" spans="41:57" ht="16.5" x14ac:dyDescent="0.2">
      <c r="AO80" s="48">
        <v>6</v>
      </c>
      <c r="AP80" s="86">
        <v>30</v>
      </c>
      <c r="AQ80" s="86">
        <v>3</v>
      </c>
      <c r="AR80" s="48">
        <v>1</v>
      </c>
      <c r="AS80" s="86" t="s">
        <v>336</v>
      </c>
      <c r="AT80" s="21">
        <f t="shared" si="157"/>
        <v>1.7999999999999999E-2</v>
      </c>
      <c r="AU80" s="86">
        <f t="shared" si="158"/>
        <v>1</v>
      </c>
      <c r="AV80" s="86">
        <f t="shared" si="159"/>
        <v>1</v>
      </c>
      <c r="AW80" s="87">
        <f t="shared" si="160"/>
        <v>1.7999999999999999E-2</v>
      </c>
      <c r="AX80" s="86">
        <f t="shared" si="161"/>
        <v>5.04</v>
      </c>
      <c r="BE80" s="14">
        <v>3</v>
      </c>
    </row>
    <row r="81" spans="41:57" ht="16.5" x14ac:dyDescent="0.2">
      <c r="AO81" s="48">
        <v>6</v>
      </c>
      <c r="AP81" s="86">
        <v>31</v>
      </c>
      <c r="AQ81" s="86">
        <v>3</v>
      </c>
      <c r="AR81" s="48">
        <v>1</v>
      </c>
      <c r="AS81" s="86" t="s">
        <v>337</v>
      </c>
      <c r="AT81" s="21">
        <f t="shared" si="157"/>
        <v>1.7999999999999999E-2</v>
      </c>
      <c r="AU81" s="86">
        <f t="shared" si="158"/>
        <v>1</v>
      </c>
      <c r="AV81" s="86">
        <f t="shared" si="159"/>
        <v>1</v>
      </c>
      <c r="AW81" s="87">
        <f t="shared" si="160"/>
        <v>1.7999999999999999E-2</v>
      </c>
      <c r="AX81" s="86">
        <f t="shared" si="161"/>
        <v>5.04</v>
      </c>
      <c r="BE81" s="14">
        <v>3</v>
      </c>
    </row>
    <row r="82" spans="41:57" ht="16.5" x14ac:dyDescent="0.2">
      <c r="AO82" s="48">
        <v>6</v>
      </c>
      <c r="AP82" s="86">
        <v>32</v>
      </c>
      <c r="AQ82" s="86">
        <v>3</v>
      </c>
      <c r="AR82" s="48">
        <v>1</v>
      </c>
      <c r="AS82" s="86" t="s">
        <v>338</v>
      </c>
      <c r="AT82" s="21">
        <f t="shared" si="157"/>
        <v>1.7999999999999999E-2</v>
      </c>
      <c r="AU82" s="86">
        <f t="shared" si="158"/>
        <v>1</v>
      </c>
      <c r="AV82" s="86">
        <f t="shared" si="159"/>
        <v>1</v>
      </c>
      <c r="AW82" s="87">
        <f t="shared" si="160"/>
        <v>1.7999999999999999E-2</v>
      </c>
      <c r="AX82" s="86">
        <f t="shared" si="161"/>
        <v>5.04</v>
      </c>
      <c r="BE82" s="14">
        <v>3</v>
      </c>
    </row>
    <row r="83" spans="41:57" ht="16.5" x14ac:dyDescent="0.2">
      <c r="AO83" s="48">
        <v>6</v>
      </c>
      <c r="AP83" s="86">
        <v>33</v>
      </c>
      <c r="AQ83" s="86">
        <v>3</v>
      </c>
      <c r="AR83" s="48">
        <v>1</v>
      </c>
      <c r="AS83" s="86" t="s">
        <v>339</v>
      </c>
      <c r="AT83" s="21">
        <f t="shared" si="157"/>
        <v>7.4999999999999997E-3</v>
      </c>
      <c r="AU83" s="86">
        <f t="shared" si="158"/>
        <v>1</v>
      </c>
      <c r="AV83" s="86">
        <f t="shared" si="159"/>
        <v>1</v>
      </c>
      <c r="AW83" s="87">
        <f t="shared" si="160"/>
        <v>7.4999999999999997E-3</v>
      </c>
      <c r="AX83" s="86">
        <f t="shared" si="161"/>
        <v>4.5</v>
      </c>
      <c r="BE83" s="14">
        <v>3</v>
      </c>
    </row>
    <row r="84" spans="41:57" ht="16.5" x14ac:dyDescent="0.2">
      <c r="AO84" s="48">
        <v>6</v>
      </c>
      <c r="AP84" s="86">
        <v>34</v>
      </c>
      <c r="AQ84" s="86">
        <v>3</v>
      </c>
      <c r="AR84" s="48">
        <v>1</v>
      </c>
      <c r="AS84" s="86" t="s">
        <v>340</v>
      </c>
      <c r="AT84" s="21">
        <f t="shared" si="157"/>
        <v>7.4999999999999997E-3</v>
      </c>
      <c r="AU84" s="86">
        <f t="shared" si="158"/>
        <v>1</v>
      </c>
      <c r="AV84" s="86">
        <f t="shared" si="159"/>
        <v>1</v>
      </c>
      <c r="AW84" s="87">
        <f t="shared" si="160"/>
        <v>7.4999999999999997E-3</v>
      </c>
      <c r="AX84" s="86">
        <f t="shared" si="161"/>
        <v>4.5</v>
      </c>
      <c r="BE84" s="14">
        <v>3</v>
      </c>
    </row>
    <row r="85" spans="41:57" ht="16.5" x14ac:dyDescent="0.2">
      <c r="AO85" s="48">
        <v>7</v>
      </c>
      <c r="AP85" s="86">
        <v>21</v>
      </c>
      <c r="AQ85" s="86">
        <v>1</v>
      </c>
      <c r="AR85" s="48">
        <v>3</v>
      </c>
      <c r="AS85" s="86" t="s">
        <v>664</v>
      </c>
      <c r="AT85" s="21">
        <f t="shared" si="157"/>
        <v>0.13750000000000001</v>
      </c>
      <c r="AU85" s="86">
        <f t="shared" si="158"/>
        <v>3</v>
      </c>
      <c r="AV85" s="86">
        <f t="shared" si="159"/>
        <v>5</v>
      </c>
      <c r="AW85" s="87">
        <f t="shared" si="160"/>
        <v>0.55000000000000004</v>
      </c>
      <c r="AX85" s="86">
        <f t="shared" si="161"/>
        <v>16.5</v>
      </c>
      <c r="BE85" s="14">
        <v>3</v>
      </c>
    </row>
    <row r="86" spans="41:57" ht="16.5" x14ac:dyDescent="0.2">
      <c r="AO86" s="48">
        <v>7</v>
      </c>
      <c r="AP86" s="86">
        <v>22</v>
      </c>
      <c r="AQ86" s="86">
        <v>1</v>
      </c>
      <c r="AR86" s="48">
        <v>3</v>
      </c>
      <c r="AS86" s="86" t="s">
        <v>665</v>
      </c>
      <c r="AT86" s="21">
        <f t="shared" si="157"/>
        <v>0.13750000000000001</v>
      </c>
      <c r="AU86" s="86">
        <f t="shared" si="158"/>
        <v>3</v>
      </c>
      <c r="AV86" s="86">
        <f t="shared" si="159"/>
        <v>5</v>
      </c>
      <c r="AW86" s="87">
        <f t="shared" si="160"/>
        <v>0.55000000000000004</v>
      </c>
      <c r="AX86" s="86">
        <f t="shared" si="161"/>
        <v>16.5</v>
      </c>
      <c r="BE86" s="14">
        <v>3</v>
      </c>
    </row>
    <row r="87" spans="41:57" ht="16.5" x14ac:dyDescent="0.2">
      <c r="AO87" s="48">
        <v>7</v>
      </c>
      <c r="AP87" s="86">
        <v>23</v>
      </c>
      <c r="AQ87" s="86">
        <v>1</v>
      </c>
      <c r="AR87" s="48">
        <v>3</v>
      </c>
      <c r="AS87" s="86" t="s">
        <v>666</v>
      </c>
      <c r="AT87" s="21">
        <f t="shared" si="157"/>
        <v>8.8000000000000009E-2</v>
      </c>
      <c r="AU87" s="86">
        <f t="shared" si="158"/>
        <v>2</v>
      </c>
      <c r="AV87" s="86">
        <f t="shared" si="159"/>
        <v>4</v>
      </c>
      <c r="AW87" s="87">
        <f t="shared" si="160"/>
        <v>0.26400000000000001</v>
      </c>
      <c r="AX87" s="86">
        <f t="shared" si="161"/>
        <v>23.76</v>
      </c>
      <c r="BE87" s="14">
        <v>3</v>
      </c>
    </row>
    <row r="88" spans="41:57" ht="16.5" x14ac:dyDescent="0.2">
      <c r="AO88" s="48">
        <v>7</v>
      </c>
      <c r="AP88" s="86">
        <v>24</v>
      </c>
      <c r="AQ88" s="86">
        <v>1</v>
      </c>
      <c r="AR88" s="48">
        <v>3</v>
      </c>
      <c r="AS88" s="86" t="s">
        <v>667</v>
      </c>
      <c r="AT88" s="21">
        <f t="shared" si="157"/>
        <v>8.8000000000000009E-2</v>
      </c>
      <c r="AU88" s="86">
        <f t="shared" si="158"/>
        <v>2</v>
      </c>
      <c r="AV88" s="86">
        <f t="shared" si="159"/>
        <v>4</v>
      </c>
      <c r="AW88" s="87">
        <f t="shared" si="160"/>
        <v>0.26400000000000001</v>
      </c>
      <c r="AX88" s="86">
        <f t="shared" si="161"/>
        <v>23.76</v>
      </c>
      <c r="BE88" s="14">
        <v>3</v>
      </c>
    </row>
    <row r="89" spans="41:57" ht="16.5" x14ac:dyDescent="0.2">
      <c r="AO89" s="48">
        <v>7</v>
      </c>
      <c r="AP89" s="86">
        <v>25</v>
      </c>
      <c r="AQ89" s="86">
        <v>1</v>
      </c>
      <c r="AR89" s="48">
        <v>3</v>
      </c>
      <c r="AS89" s="86" t="s">
        <v>668</v>
      </c>
      <c r="AT89" s="21">
        <f t="shared" si="157"/>
        <v>6.6000000000000003E-2</v>
      </c>
      <c r="AU89" s="86">
        <f t="shared" si="158"/>
        <v>1</v>
      </c>
      <c r="AV89" s="86">
        <f t="shared" si="159"/>
        <v>3</v>
      </c>
      <c r="AW89" s="87">
        <f t="shared" si="160"/>
        <v>0.13200000000000001</v>
      </c>
      <c r="AX89" s="86">
        <f t="shared" si="161"/>
        <v>27.720000000000002</v>
      </c>
      <c r="BE89" s="14">
        <v>3</v>
      </c>
    </row>
    <row r="90" spans="41:57" ht="16.5" x14ac:dyDescent="0.2">
      <c r="AO90" s="48">
        <v>7</v>
      </c>
      <c r="AP90" s="86">
        <v>26</v>
      </c>
      <c r="AQ90" s="86">
        <v>1</v>
      </c>
      <c r="AR90" s="48">
        <v>3</v>
      </c>
      <c r="AS90" s="86" t="s">
        <v>669</v>
      </c>
      <c r="AT90" s="21">
        <f t="shared" si="157"/>
        <v>3.3000000000000002E-2</v>
      </c>
      <c r="AU90" s="86">
        <f t="shared" si="158"/>
        <v>1</v>
      </c>
      <c r="AV90" s="86">
        <f t="shared" si="159"/>
        <v>3</v>
      </c>
      <c r="AW90" s="87">
        <f t="shared" si="160"/>
        <v>6.6000000000000003E-2</v>
      </c>
      <c r="AX90" s="86">
        <f t="shared" si="161"/>
        <v>29.700000000000003</v>
      </c>
      <c r="BE90" s="14">
        <v>3</v>
      </c>
    </row>
    <row r="91" spans="41:57" ht="16.5" x14ac:dyDescent="0.2">
      <c r="AO91" s="48">
        <v>7</v>
      </c>
      <c r="AP91" s="86">
        <v>27</v>
      </c>
      <c r="AQ91" s="86">
        <v>2</v>
      </c>
      <c r="AR91" s="48">
        <v>2</v>
      </c>
      <c r="AS91" s="86" t="s">
        <v>333</v>
      </c>
      <c r="AT91" s="21">
        <f t="shared" si="157"/>
        <v>5.3999999999999999E-2</v>
      </c>
      <c r="AU91" s="86">
        <f t="shared" si="158"/>
        <v>1</v>
      </c>
      <c r="AV91" s="86">
        <f t="shared" si="159"/>
        <v>3</v>
      </c>
      <c r="AW91" s="87">
        <f t="shared" si="160"/>
        <v>0.108</v>
      </c>
      <c r="AX91" s="86">
        <f t="shared" si="161"/>
        <v>12.959999999999999</v>
      </c>
      <c r="BE91" s="14">
        <v>3</v>
      </c>
    </row>
    <row r="92" spans="41:57" ht="16.5" x14ac:dyDescent="0.2">
      <c r="AO92" s="48">
        <v>7</v>
      </c>
      <c r="AP92" s="86">
        <v>28</v>
      </c>
      <c r="AQ92" s="86">
        <v>2</v>
      </c>
      <c r="AR92" s="48">
        <v>2</v>
      </c>
      <c r="AS92" s="86" t="s">
        <v>334</v>
      </c>
      <c r="AT92" s="21">
        <f t="shared" si="157"/>
        <v>5.3999999999999999E-2</v>
      </c>
      <c r="AU92" s="86">
        <f t="shared" si="158"/>
        <v>1</v>
      </c>
      <c r="AV92" s="86">
        <f t="shared" si="159"/>
        <v>3</v>
      </c>
      <c r="AW92" s="87">
        <f t="shared" si="160"/>
        <v>0.108</v>
      </c>
      <c r="AX92" s="86">
        <f t="shared" si="161"/>
        <v>12.959999999999999</v>
      </c>
      <c r="BE92" s="14">
        <v>3</v>
      </c>
    </row>
    <row r="93" spans="41:57" ht="16.5" x14ac:dyDescent="0.2">
      <c r="AO93" s="48">
        <v>7</v>
      </c>
      <c r="AP93" s="86">
        <v>29</v>
      </c>
      <c r="AQ93" s="86">
        <v>2</v>
      </c>
      <c r="AR93" s="48">
        <v>2</v>
      </c>
      <c r="AS93" s="86" t="s">
        <v>335</v>
      </c>
      <c r="AT93" s="21">
        <f t="shared" si="157"/>
        <v>5.3999999999999999E-2</v>
      </c>
      <c r="AU93" s="86">
        <f t="shared" si="158"/>
        <v>1</v>
      </c>
      <c r="AV93" s="86">
        <f t="shared" si="159"/>
        <v>3</v>
      </c>
      <c r="AW93" s="87">
        <f t="shared" si="160"/>
        <v>0.108</v>
      </c>
      <c r="AX93" s="86">
        <f t="shared" si="161"/>
        <v>12.959999999999999</v>
      </c>
      <c r="BE93" s="14">
        <v>3</v>
      </c>
    </row>
    <row r="94" spans="41:57" ht="16.5" x14ac:dyDescent="0.2">
      <c r="AO94" s="48">
        <v>7</v>
      </c>
      <c r="AP94" s="86">
        <v>30</v>
      </c>
      <c r="AQ94" s="86">
        <v>2</v>
      </c>
      <c r="AR94" s="48">
        <v>2</v>
      </c>
      <c r="AS94" s="86" t="s">
        <v>336</v>
      </c>
      <c r="AT94" s="21">
        <f t="shared" si="157"/>
        <v>3.5999999999999997E-2</v>
      </c>
      <c r="AU94" s="86">
        <f t="shared" si="158"/>
        <v>1</v>
      </c>
      <c r="AV94" s="86">
        <f t="shared" si="159"/>
        <v>2</v>
      </c>
      <c r="AW94" s="87">
        <f t="shared" si="160"/>
        <v>5.3999999999999992E-2</v>
      </c>
      <c r="AX94" s="86">
        <f t="shared" si="161"/>
        <v>15.120000000000001</v>
      </c>
      <c r="BE94" s="14">
        <v>3</v>
      </c>
    </row>
    <row r="95" spans="41:57" ht="16.5" x14ac:dyDescent="0.2">
      <c r="AO95" s="48">
        <v>7</v>
      </c>
      <c r="AP95" s="86">
        <v>31</v>
      </c>
      <c r="AQ95" s="86">
        <v>2</v>
      </c>
      <c r="AR95" s="48">
        <v>2</v>
      </c>
      <c r="AS95" s="86" t="s">
        <v>337</v>
      </c>
      <c r="AT95" s="21">
        <f t="shared" si="157"/>
        <v>3.5999999999999997E-2</v>
      </c>
      <c r="AU95" s="86">
        <f t="shared" si="158"/>
        <v>1</v>
      </c>
      <c r="AV95" s="86">
        <f t="shared" si="159"/>
        <v>2</v>
      </c>
      <c r="AW95" s="87">
        <f t="shared" si="160"/>
        <v>5.3999999999999992E-2</v>
      </c>
      <c r="AX95" s="86">
        <f t="shared" si="161"/>
        <v>15.120000000000001</v>
      </c>
      <c r="BE95" s="14">
        <v>3</v>
      </c>
    </row>
    <row r="96" spans="41:57" ht="16.5" x14ac:dyDescent="0.2">
      <c r="AO96" s="48">
        <v>7</v>
      </c>
      <c r="AP96" s="86">
        <v>32</v>
      </c>
      <c r="AQ96" s="86">
        <v>2</v>
      </c>
      <c r="AR96" s="48">
        <v>2</v>
      </c>
      <c r="AS96" s="86" t="s">
        <v>338</v>
      </c>
      <c r="AT96" s="21">
        <f t="shared" si="157"/>
        <v>3.5999999999999997E-2</v>
      </c>
      <c r="AU96" s="86">
        <f t="shared" si="158"/>
        <v>1</v>
      </c>
      <c r="AV96" s="86">
        <f t="shared" si="159"/>
        <v>2</v>
      </c>
      <c r="AW96" s="87">
        <f t="shared" si="160"/>
        <v>5.3999999999999992E-2</v>
      </c>
      <c r="AX96" s="86">
        <f t="shared" si="161"/>
        <v>15.120000000000001</v>
      </c>
      <c r="BE96" s="14">
        <v>3</v>
      </c>
    </row>
    <row r="97" spans="41:57" ht="16.5" x14ac:dyDescent="0.2">
      <c r="AO97" s="48">
        <v>7</v>
      </c>
      <c r="AP97" s="86">
        <v>33</v>
      </c>
      <c r="AQ97" s="86">
        <v>2</v>
      </c>
      <c r="AR97" s="48">
        <v>2</v>
      </c>
      <c r="AS97" s="86" t="s">
        <v>339</v>
      </c>
      <c r="AT97" s="21">
        <f t="shared" si="157"/>
        <v>1.4999999999999999E-2</v>
      </c>
      <c r="AU97" s="86">
        <f t="shared" si="158"/>
        <v>1</v>
      </c>
      <c r="AV97" s="86">
        <f t="shared" si="159"/>
        <v>2</v>
      </c>
      <c r="AW97" s="87">
        <f t="shared" si="160"/>
        <v>2.2499999999999999E-2</v>
      </c>
      <c r="AX97" s="86">
        <f t="shared" si="161"/>
        <v>13.5</v>
      </c>
      <c r="BE97" s="14">
        <v>3</v>
      </c>
    </row>
    <row r="98" spans="41:57" ht="16.5" x14ac:dyDescent="0.2">
      <c r="AO98" s="48">
        <v>7</v>
      </c>
      <c r="AP98" s="86">
        <v>34</v>
      </c>
      <c r="AQ98" s="86">
        <v>2</v>
      </c>
      <c r="AR98" s="48">
        <v>2</v>
      </c>
      <c r="AS98" s="86" t="s">
        <v>340</v>
      </c>
      <c r="AT98" s="21">
        <f t="shared" si="157"/>
        <v>1.4999999999999999E-2</v>
      </c>
      <c r="AU98" s="86">
        <f t="shared" si="158"/>
        <v>1</v>
      </c>
      <c r="AV98" s="86">
        <f t="shared" si="159"/>
        <v>2</v>
      </c>
      <c r="AW98" s="87">
        <f t="shared" si="160"/>
        <v>2.2499999999999999E-2</v>
      </c>
      <c r="AX98" s="86">
        <f t="shared" si="161"/>
        <v>13.5</v>
      </c>
      <c r="BE98" s="14">
        <v>3</v>
      </c>
    </row>
    <row r="99" spans="41:57" ht="16.5" x14ac:dyDescent="0.2">
      <c r="AO99" s="48">
        <v>7</v>
      </c>
      <c r="AP99" s="86">
        <v>35</v>
      </c>
      <c r="AQ99" s="86">
        <v>3</v>
      </c>
      <c r="AR99" s="48">
        <v>1</v>
      </c>
      <c r="AS99" s="86" t="s">
        <v>670</v>
      </c>
      <c r="AT99" s="21">
        <f t="shared" si="157"/>
        <v>2.7E-2</v>
      </c>
      <c r="AU99" s="86">
        <f t="shared" si="158"/>
        <v>1</v>
      </c>
      <c r="AV99" s="86">
        <f t="shared" si="159"/>
        <v>2</v>
      </c>
      <c r="AW99" s="87">
        <f t="shared" si="160"/>
        <v>4.0500000000000001E-2</v>
      </c>
      <c r="AX99" s="86">
        <f t="shared" si="161"/>
        <v>6.0749999999999993</v>
      </c>
      <c r="BE99" s="14">
        <v>3</v>
      </c>
    </row>
    <row r="100" spans="41:57" ht="16.5" x14ac:dyDescent="0.2">
      <c r="AO100" s="48">
        <v>7</v>
      </c>
      <c r="AP100" s="86">
        <v>36</v>
      </c>
      <c r="AQ100" s="86">
        <v>3</v>
      </c>
      <c r="AR100" s="48">
        <v>1</v>
      </c>
      <c r="AS100" s="86" t="s">
        <v>342</v>
      </c>
      <c r="AT100" s="21">
        <f t="shared" si="157"/>
        <v>2.7E-2</v>
      </c>
      <c r="AU100" s="86">
        <f t="shared" si="158"/>
        <v>1</v>
      </c>
      <c r="AV100" s="86">
        <f t="shared" si="159"/>
        <v>2</v>
      </c>
      <c r="AW100" s="87">
        <f t="shared" si="160"/>
        <v>4.0500000000000001E-2</v>
      </c>
      <c r="AX100" s="86">
        <f t="shared" si="161"/>
        <v>6.0749999999999993</v>
      </c>
      <c r="BE100" s="14">
        <v>3</v>
      </c>
    </row>
    <row r="101" spans="41:57" ht="16.5" x14ac:dyDescent="0.2">
      <c r="AO101" s="48">
        <v>7</v>
      </c>
      <c r="AP101" s="86">
        <v>37</v>
      </c>
      <c r="AQ101" s="86">
        <v>3</v>
      </c>
      <c r="AR101" s="48">
        <v>1</v>
      </c>
      <c r="AS101" s="86" t="s">
        <v>343</v>
      </c>
      <c r="AT101" s="21">
        <f t="shared" ref="AT101:AT122" si="162">INDEX($AJ$6:$AL$13,AO101,AQ101)*INDEX($Q$5:$Y$46,AP101,(AR101-1)*3+1)</f>
        <v>2.7E-2</v>
      </c>
      <c r="AU101" s="86">
        <f t="shared" si="158"/>
        <v>1</v>
      </c>
      <c r="AV101" s="86">
        <f t="shared" si="159"/>
        <v>2</v>
      </c>
      <c r="AW101" s="87">
        <f t="shared" si="160"/>
        <v>4.0500000000000001E-2</v>
      </c>
      <c r="AX101" s="86">
        <f t="shared" si="161"/>
        <v>6.0749999999999993</v>
      </c>
      <c r="BE101" s="14">
        <v>3</v>
      </c>
    </row>
    <row r="102" spans="41:57" ht="16.5" x14ac:dyDescent="0.2">
      <c r="AO102" s="48">
        <v>7</v>
      </c>
      <c r="AP102" s="86">
        <v>38</v>
      </c>
      <c r="AQ102" s="86">
        <v>3</v>
      </c>
      <c r="AR102" s="48">
        <v>1</v>
      </c>
      <c r="AS102" s="86" t="s">
        <v>344</v>
      </c>
      <c r="AT102" s="21">
        <f t="shared" si="162"/>
        <v>1.7999999999999999E-2</v>
      </c>
      <c r="AU102" s="86">
        <f t="shared" si="158"/>
        <v>1</v>
      </c>
      <c r="AV102" s="86">
        <f t="shared" si="159"/>
        <v>1</v>
      </c>
      <c r="AW102" s="87">
        <f t="shared" si="160"/>
        <v>1.7999999999999999E-2</v>
      </c>
      <c r="AX102" s="86">
        <f t="shared" si="161"/>
        <v>6.3</v>
      </c>
      <c r="BE102" s="14">
        <v>3</v>
      </c>
    </row>
    <row r="103" spans="41:57" ht="16.5" x14ac:dyDescent="0.2">
      <c r="AO103" s="48">
        <v>7</v>
      </c>
      <c r="AP103" s="86">
        <v>39</v>
      </c>
      <c r="AQ103" s="86">
        <v>3</v>
      </c>
      <c r="AR103" s="48">
        <v>1</v>
      </c>
      <c r="AS103" s="86" t="s">
        <v>345</v>
      </c>
      <c r="AT103" s="21">
        <f t="shared" si="162"/>
        <v>1.7999999999999999E-2</v>
      </c>
      <c r="AU103" s="86">
        <f t="shared" si="158"/>
        <v>1</v>
      </c>
      <c r="AV103" s="86">
        <f t="shared" si="159"/>
        <v>1</v>
      </c>
      <c r="AW103" s="87">
        <f t="shared" si="160"/>
        <v>1.7999999999999999E-2</v>
      </c>
      <c r="AX103" s="86">
        <f t="shared" si="161"/>
        <v>6.3</v>
      </c>
      <c r="BE103" s="14">
        <v>3</v>
      </c>
    </row>
    <row r="104" spans="41:57" ht="16.5" x14ac:dyDescent="0.2">
      <c r="AO104" s="48">
        <v>7</v>
      </c>
      <c r="AP104" s="86">
        <v>40</v>
      </c>
      <c r="AQ104" s="86">
        <v>3</v>
      </c>
      <c r="AR104" s="48">
        <v>1</v>
      </c>
      <c r="AS104" s="86" t="s">
        <v>346</v>
      </c>
      <c r="AT104" s="21">
        <f t="shared" si="162"/>
        <v>1.7999999999999999E-2</v>
      </c>
      <c r="AU104" s="86">
        <f t="shared" si="158"/>
        <v>1</v>
      </c>
      <c r="AV104" s="86">
        <f t="shared" si="159"/>
        <v>1</v>
      </c>
      <c r="AW104" s="87">
        <f t="shared" si="160"/>
        <v>1.7999999999999999E-2</v>
      </c>
      <c r="AX104" s="86">
        <f t="shared" si="161"/>
        <v>6.3</v>
      </c>
      <c r="BE104" s="14">
        <v>3</v>
      </c>
    </row>
    <row r="105" spans="41:57" ht="16.5" x14ac:dyDescent="0.2">
      <c r="AO105" s="48">
        <v>7</v>
      </c>
      <c r="AP105" s="86">
        <v>41</v>
      </c>
      <c r="AQ105" s="86">
        <v>3</v>
      </c>
      <c r="AR105" s="48">
        <v>1</v>
      </c>
      <c r="AS105" s="86" t="s">
        <v>347</v>
      </c>
      <c r="AT105" s="21">
        <f t="shared" si="162"/>
        <v>7.4999999999999997E-3</v>
      </c>
      <c r="AU105" s="86">
        <f t="shared" si="158"/>
        <v>1</v>
      </c>
      <c r="AV105" s="86">
        <f t="shared" si="159"/>
        <v>1</v>
      </c>
      <c r="AW105" s="87">
        <f t="shared" si="160"/>
        <v>7.4999999999999997E-3</v>
      </c>
      <c r="AX105" s="86">
        <f t="shared" si="161"/>
        <v>5.625</v>
      </c>
      <c r="BE105" s="14">
        <v>3</v>
      </c>
    </row>
    <row r="106" spans="41:57" ht="16.5" x14ac:dyDescent="0.2">
      <c r="AO106" s="48">
        <v>7</v>
      </c>
      <c r="AP106" s="86">
        <v>42</v>
      </c>
      <c r="AQ106" s="86">
        <v>3</v>
      </c>
      <c r="AR106" s="48">
        <v>1</v>
      </c>
      <c r="AS106" s="86" t="s">
        <v>348</v>
      </c>
      <c r="AT106" s="21">
        <f t="shared" si="162"/>
        <v>7.4999999999999997E-3</v>
      </c>
      <c r="AU106" s="86">
        <f t="shared" si="158"/>
        <v>1</v>
      </c>
      <c r="AV106" s="86">
        <f t="shared" si="159"/>
        <v>1</v>
      </c>
      <c r="AW106" s="87">
        <f t="shared" si="160"/>
        <v>7.4999999999999997E-3</v>
      </c>
      <c r="AX106" s="86">
        <f t="shared" si="161"/>
        <v>5.625</v>
      </c>
      <c r="BE106" s="14">
        <v>3</v>
      </c>
    </row>
    <row r="107" spans="41:57" ht="16.5" x14ac:dyDescent="0.2">
      <c r="AO107" s="48">
        <v>8</v>
      </c>
      <c r="AP107" s="86">
        <v>27</v>
      </c>
      <c r="AQ107" s="86">
        <v>1</v>
      </c>
      <c r="AR107" s="48">
        <v>3</v>
      </c>
      <c r="AS107" s="86" t="s">
        <v>333</v>
      </c>
      <c r="AT107" s="21">
        <f t="shared" si="162"/>
        <v>0.108</v>
      </c>
      <c r="AU107" s="86">
        <f t="shared" si="158"/>
        <v>2</v>
      </c>
      <c r="AV107" s="86">
        <f t="shared" si="159"/>
        <v>4</v>
      </c>
      <c r="AW107" s="87">
        <f t="shared" si="160"/>
        <v>0.32400000000000001</v>
      </c>
      <c r="AX107" s="86">
        <f t="shared" si="161"/>
        <v>38.879999999999995</v>
      </c>
      <c r="BE107" s="14">
        <v>3</v>
      </c>
    </row>
    <row r="108" spans="41:57" ht="16.5" x14ac:dyDescent="0.2">
      <c r="AO108" s="48">
        <v>8</v>
      </c>
      <c r="AP108" s="86">
        <v>28</v>
      </c>
      <c r="AQ108" s="86">
        <v>1</v>
      </c>
      <c r="AR108" s="48">
        <v>3</v>
      </c>
      <c r="AS108" s="86" t="s">
        <v>334</v>
      </c>
      <c r="AT108" s="21">
        <f t="shared" si="162"/>
        <v>0.108</v>
      </c>
      <c r="AU108" s="86">
        <f t="shared" si="158"/>
        <v>2</v>
      </c>
      <c r="AV108" s="86">
        <f t="shared" si="159"/>
        <v>4</v>
      </c>
      <c r="AW108" s="87">
        <f t="shared" si="160"/>
        <v>0.32400000000000001</v>
      </c>
      <c r="AX108" s="86">
        <f t="shared" si="161"/>
        <v>38.879999999999995</v>
      </c>
      <c r="BE108" s="14">
        <v>3</v>
      </c>
    </row>
    <row r="109" spans="41:57" ht="16.5" x14ac:dyDescent="0.2">
      <c r="AO109" s="48">
        <v>8</v>
      </c>
      <c r="AP109" s="86">
        <v>29</v>
      </c>
      <c r="AQ109" s="86">
        <v>1</v>
      </c>
      <c r="AR109" s="48">
        <v>3</v>
      </c>
      <c r="AS109" s="86" t="s">
        <v>335</v>
      </c>
      <c r="AT109" s="21">
        <f t="shared" si="162"/>
        <v>0.108</v>
      </c>
      <c r="AU109" s="86">
        <f t="shared" si="158"/>
        <v>2</v>
      </c>
      <c r="AV109" s="86">
        <f t="shared" si="159"/>
        <v>4</v>
      </c>
      <c r="AW109" s="87">
        <f t="shared" si="160"/>
        <v>0.32400000000000001</v>
      </c>
      <c r="AX109" s="86">
        <f t="shared" si="161"/>
        <v>38.879999999999995</v>
      </c>
      <c r="BE109" s="14">
        <v>3</v>
      </c>
    </row>
    <row r="110" spans="41:57" ht="16.5" x14ac:dyDescent="0.2">
      <c r="AO110" s="48">
        <v>8</v>
      </c>
      <c r="AP110" s="86">
        <v>30</v>
      </c>
      <c r="AQ110" s="86">
        <v>1</v>
      </c>
      <c r="AR110" s="48">
        <v>3</v>
      </c>
      <c r="AS110" s="86" t="s">
        <v>336</v>
      </c>
      <c r="AT110" s="21">
        <f t="shared" si="162"/>
        <v>7.1999999999999995E-2</v>
      </c>
      <c r="AU110" s="86">
        <f t="shared" si="158"/>
        <v>1</v>
      </c>
      <c r="AV110" s="86">
        <f t="shared" si="159"/>
        <v>3</v>
      </c>
      <c r="AW110" s="87">
        <f t="shared" si="160"/>
        <v>0.14399999999999999</v>
      </c>
      <c r="AX110" s="86">
        <f t="shared" si="161"/>
        <v>40.32</v>
      </c>
      <c r="BE110" s="14">
        <v>3</v>
      </c>
    </row>
    <row r="111" spans="41:57" ht="16.5" x14ac:dyDescent="0.2">
      <c r="AO111" s="48">
        <v>8</v>
      </c>
      <c r="AP111" s="86">
        <v>31</v>
      </c>
      <c r="AQ111" s="86">
        <v>1</v>
      </c>
      <c r="AR111" s="48">
        <v>3</v>
      </c>
      <c r="AS111" s="86" t="s">
        <v>337</v>
      </c>
      <c r="AT111" s="21">
        <f t="shared" si="162"/>
        <v>7.1999999999999995E-2</v>
      </c>
      <c r="AU111" s="86">
        <f t="shared" si="158"/>
        <v>1</v>
      </c>
      <c r="AV111" s="86">
        <f t="shared" si="159"/>
        <v>3</v>
      </c>
      <c r="AW111" s="87">
        <f t="shared" si="160"/>
        <v>0.14399999999999999</v>
      </c>
      <c r="AX111" s="86">
        <f t="shared" si="161"/>
        <v>40.32</v>
      </c>
      <c r="BE111" s="14">
        <v>3</v>
      </c>
    </row>
    <row r="112" spans="41:57" ht="16.5" x14ac:dyDescent="0.2">
      <c r="AO112" s="48">
        <v>8</v>
      </c>
      <c r="AP112" s="86">
        <v>32</v>
      </c>
      <c r="AQ112" s="86">
        <v>1</v>
      </c>
      <c r="AR112" s="48">
        <v>3</v>
      </c>
      <c r="AS112" s="86" t="s">
        <v>338</v>
      </c>
      <c r="AT112" s="21">
        <f t="shared" si="162"/>
        <v>7.1999999999999995E-2</v>
      </c>
      <c r="AU112" s="86">
        <f t="shared" si="158"/>
        <v>1</v>
      </c>
      <c r="AV112" s="86">
        <f t="shared" si="159"/>
        <v>3</v>
      </c>
      <c r="AW112" s="87">
        <f t="shared" si="160"/>
        <v>0.14399999999999999</v>
      </c>
      <c r="AX112" s="86">
        <f t="shared" si="161"/>
        <v>40.32</v>
      </c>
      <c r="BE112" s="14">
        <v>3</v>
      </c>
    </row>
    <row r="113" spans="41:57" ht="16.5" x14ac:dyDescent="0.2">
      <c r="AO113" s="48">
        <v>8</v>
      </c>
      <c r="AP113" s="86">
        <v>33</v>
      </c>
      <c r="AQ113" s="86">
        <v>1</v>
      </c>
      <c r="AR113" s="48">
        <v>3</v>
      </c>
      <c r="AS113" s="86" t="s">
        <v>339</v>
      </c>
      <c r="AT113" s="21">
        <f t="shared" si="162"/>
        <v>0.03</v>
      </c>
      <c r="AU113" s="86">
        <f t="shared" si="158"/>
        <v>1</v>
      </c>
      <c r="AV113" s="86">
        <f t="shared" si="159"/>
        <v>3</v>
      </c>
      <c r="AW113" s="87">
        <f t="shared" si="160"/>
        <v>0.06</v>
      </c>
      <c r="AX113" s="86">
        <f t="shared" si="161"/>
        <v>36</v>
      </c>
      <c r="BE113" s="14">
        <v>3</v>
      </c>
    </row>
    <row r="114" spans="41:57" ht="16.5" x14ac:dyDescent="0.2">
      <c r="AO114" s="48">
        <v>8</v>
      </c>
      <c r="AP114" s="86">
        <v>34</v>
      </c>
      <c r="AQ114" s="86">
        <v>1</v>
      </c>
      <c r="AR114" s="48">
        <v>3</v>
      </c>
      <c r="AS114" s="86" t="s">
        <v>340</v>
      </c>
      <c r="AT114" s="21">
        <f t="shared" si="162"/>
        <v>0.03</v>
      </c>
      <c r="AU114" s="86">
        <f t="shared" si="158"/>
        <v>1</v>
      </c>
      <c r="AV114" s="86">
        <f t="shared" si="159"/>
        <v>3</v>
      </c>
      <c r="AW114" s="87">
        <f t="shared" si="160"/>
        <v>0.06</v>
      </c>
      <c r="AX114" s="86">
        <f t="shared" si="161"/>
        <v>36</v>
      </c>
      <c r="BE114" s="14">
        <v>3</v>
      </c>
    </row>
    <row r="115" spans="41:57" ht="16.5" x14ac:dyDescent="0.2">
      <c r="AO115" s="48">
        <v>8</v>
      </c>
      <c r="AP115" s="86">
        <v>35</v>
      </c>
      <c r="AQ115" s="86">
        <v>2</v>
      </c>
      <c r="AR115" s="48">
        <v>2</v>
      </c>
      <c r="AS115" s="86" t="s">
        <v>670</v>
      </c>
      <c r="AT115" s="21">
        <f t="shared" si="162"/>
        <v>7.1999999999999995E-2</v>
      </c>
      <c r="AU115" s="86">
        <f t="shared" si="158"/>
        <v>1</v>
      </c>
      <c r="AV115" s="86">
        <f t="shared" si="159"/>
        <v>3</v>
      </c>
      <c r="AW115" s="87">
        <f t="shared" si="160"/>
        <v>0.14399999999999999</v>
      </c>
      <c r="AX115" s="86">
        <f t="shared" si="161"/>
        <v>21.599999999999998</v>
      </c>
      <c r="BE115" s="14">
        <v>3</v>
      </c>
    </row>
    <row r="116" spans="41:57" ht="16.5" x14ac:dyDescent="0.2">
      <c r="AO116" s="48">
        <v>8</v>
      </c>
      <c r="AP116" s="86">
        <v>36</v>
      </c>
      <c r="AQ116" s="86">
        <v>2</v>
      </c>
      <c r="AR116" s="48">
        <v>2</v>
      </c>
      <c r="AS116" s="86" t="s">
        <v>342</v>
      </c>
      <c r="AT116" s="21">
        <f t="shared" si="162"/>
        <v>7.1999999999999995E-2</v>
      </c>
      <c r="AU116" s="86">
        <f t="shared" si="158"/>
        <v>1</v>
      </c>
      <c r="AV116" s="86">
        <f t="shared" si="159"/>
        <v>3</v>
      </c>
      <c r="AW116" s="87">
        <f t="shared" si="160"/>
        <v>0.14399999999999999</v>
      </c>
      <c r="AX116" s="86">
        <f t="shared" si="161"/>
        <v>21.599999999999998</v>
      </c>
      <c r="BE116" s="14">
        <v>3</v>
      </c>
    </row>
    <row r="117" spans="41:57" ht="16.5" x14ac:dyDescent="0.2">
      <c r="AO117" s="48">
        <v>8</v>
      </c>
      <c r="AP117" s="86">
        <v>37</v>
      </c>
      <c r="AQ117" s="86">
        <v>2</v>
      </c>
      <c r="AR117" s="48">
        <v>2</v>
      </c>
      <c r="AS117" s="86" t="s">
        <v>343</v>
      </c>
      <c r="AT117" s="21">
        <f t="shared" si="162"/>
        <v>7.1999999999999995E-2</v>
      </c>
      <c r="AU117" s="86">
        <f t="shared" si="158"/>
        <v>1</v>
      </c>
      <c r="AV117" s="86">
        <f t="shared" si="159"/>
        <v>3</v>
      </c>
      <c r="AW117" s="87">
        <f t="shared" si="160"/>
        <v>0.14399999999999999</v>
      </c>
      <c r="AX117" s="86">
        <f t="shared" si="161"/>
        <v>21.599999999999998</v>
      </c>
      <c r="BE117" s="14">
        <v>3</v>
      </c>
    </row>
    <row r="118" spans="41:57" ht="16.5" x14ac:dyDescent="0.2">
      <c r="AO118" s="48">
        <v>8</v>
      </c>
      <c r="AP118" s="86">
        <v>38</v>
      </c>
      <c r="AQ118" s="86">
        <v>2</v>
      </c>
      <c r="AR118" s="48">
        <v>2</v>
      </c>
      <c r="AS118" s="86" t="s">
        <v>344</v>
      </c>
      <c r="AT118" s="21">
        <f t="shared" si="162"/>
        <v>4.8000000000000001E-2</v>
      </c>
      <c r="AU118" s="86">
        <f t="shared" si="158"/>
        <v>1</v>
      </c>
      <c r="AV118" s="86">
        <f t="shared" si="159"/>
        <v>2</v>
      </c>
      <c r="AW118" s="87">
        <f t="shared" si="160"/>
        <v>7.2000000000000008E-2</v>
      </c>
      <c r="AX118" s="86">
        <f t="shared" si="161"/>
        <v>25.200000000000003</v>
      </c>
      <c r="BE118" s="14">
        <v>3</v>
      </c>
    </row>
    <row r="119" spans="41:57" ht="16.5" x14ac:dyDescent="0.2">
      <c r="AO119" s="48">
        <v>8</v>
      </c>
      <c r="AP119" s="86">
        <v>39</v>
      </c>
      <c r="AQ119" s="86">
        <v>2</v>
      </c>
      <c r="AR119" s="48">
        <v>2</v>
      </c>
      <c r="AS119" s="86" t="s">
        <v>345</v>
      </c>
      <c r="AT119" s="21">
        <f t="shared" si="162"/>
        <v>4.8000000000000001E-2</v>
      </c>
      <c r="AU119" s="86">
        <f t="shared" si="158"/>
        <v>1</v>
      </c>
      <c r="AV119" s="86">
        <f t="shared" si="159"/>
        <v>2</v>
      </c>
      <c r="AW119" s="87">
        <f t="shared" si="160"/>
        <v>7.2000000000000008E-2</v>
      </c>
      <c r="AX119" s="86">
        <f t="shared" si="161"/>
        <v>25.200000000000003</v>
      </c>
      <c r="BE119" s="14">
        <v>3</v>
      </c>
    </row>
    <row r="120" spans="41:57" ht="16.5" x14ac:dyDescent="0.2">
      <c r="AO120" s="48">
        <v>8</v>
      </c>
      <c r="AP120" s="86">
        <v>40</v>
      </c>
      <c r="AQ120" s="86">
        <v>2</v>
      </c>
      <c r="AR120" s="48">
        <v>2</v>
      </c>
      <c r="AS120" s="86" t="s">
        <v>346</v>
      </c>
      <c r="AT120" s="21">
        <f t="shared" si="162"/>
        <v>4.8000000000000001E-2</v>
      </c>
      <c r="AU120" s="86">
        <f t="shared" si="158"/>
        <v>1</v>
      </c>
      <c r="AV120" s="86">
        <f t="shared" si="159"/>
        <v>2</v>
      </c>
      <c r="AW120" s="87">
        <f t="shared" si="160"/>
        <v>7.2000000000000008E-2</v>
      </c>
      <c r="AX120" s="86">
        <f t="shared" si="161"/>
        <v>25.200000000000003</v>
      </c>
      <c r="BE120" s="14">
        <v>3</v>
      </c>
    </row>
    <row r="121" spans="41:57" ht="16.5" x14ac:dyDescent="0.2">
      <c r="AO121" s="48">
        <v>8</v>
      </c>
      <c r="AP121" s="86">
        <v>41</v>
      </c>
      <c r="AQ121" s="86">
        <v>2</v>
      </c>
      <c r="AR121" s="48">
        <v>2</v>
      </c>
      <c r="AS121" s="86" t="s">
        <v>347</v>
      </c>
      <c r="AT121" s="21">
        <f t="shared" si="162"/>
        <v>2.0000000000000004E-2</v>
      </c>
      <c r="AU121" s="86">
        <f t="shared" si="158"/>
        <v>1</v>
      </c>
      <c r="AV121" s="86">
        <f t="shared" si="159"/>
        <v>2</v>
      </c>
      <c r="AW121" s="87">
        <f t="shared" si="160"/>
        <v>3.0000000000000006E-2</v>
      </c>
      <c r="AX121" s="86">
        <f t="shared" si="161"/>
        <v>22.500000000000007</v>
      </c>
      <c r="BE121" s="14">
        <v>3</v>
      </c>
    </row>
    <row r="122" spans="41:57" ht="16.5" x14ac:dyDescent="0.2">
      <c r="AO122" s="48">
        <v>8</v>
      </c>
      <c r="AP122" s="86">
        <v>42</v>
      </c>
      <c r="AQ122" s="86">
        <v>2</v>
      </c>
      <c r="AR122" s="48">
        <v>2</v>
      </c>
      <c r="AS122" s="86" t="s">
        <v>348</v>
      </c>
      <c r="AT122" s="21">
        <f t="shared" si="162"/>
        <v>2.0000000000000004E-2</v>
      </c>
      <c r="AU122" s="86">
        <f t="shared" si="158"/>
        <v>1</v>
      </c>
      <c r="AV122" s="86">
        <f t="shared" si="159"/>
        <v>2</v>
      </c>
      <c r="AW122" s="87">
        <f t="shared" si="160"/>
        <v>3.0000000000000006E-2</v>
      </c>
      <c r="AX122" s="86">
        <f t="shared" si="161"/>
        <v>22.500000000000007</v>
      </c>
      <c r="BE122" s="14">
        <v>3</v>
      </c>
    </row>
  </sheetData>
  <mergeCells count="3">
    <mergeCell ref="AF3:AL3"/>
    <mergeCell ref="AB3:AD3"/>
    <mergeCell ref="AO3:EL3"/>
  </mergeCells>
  <phoneticPr fontId="2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DN221"/>
  <sheetViews>
    <sheetView workbookViewId="0">
      <selection activeCell="AP70" sqref="AP70:AP74"/>
    </sheetView>
  </sheetViews>
  <sheetFormatPr defaultRowHeight="14.25" x14ac:dyDescent="0.2"/>
  <cols>
    <col min="1" max="13" width="10.625" customWidth="1"/>
    <col min="16" max="16" width="9" style="126"/>
    <col min="19" max="19" width="9.75" customWidth="1"/>
    <col min="23" max="23" width="9" style="142"/>
    <col min="24" max="24" width="9.375" customWidth="1"/>
    <col min="29" max="29" width="9.125" style="142" customWidth="1"/>
    <col min="30" max="31" width="9" style="142"/>
    <col min="35" max="35" width="8.5" style="190" customWidth="1"/>
    <col min="36" max="36" width="9.125" style="190" customWidth="1"/>
    <col min="46" max="46" width="9" style="142"/>
    <col min="53" max="53" width="9" style="142"/>
    <col min="57" max="58" width="9" style="142"/>
    <col min="70" max="70" width="10.5" customWidth="1"/>
    <col min="72" max="72" width="10.75" customWidth="1"/>
    <col min="77" max="82" width="10.625" customWidth="1"/>
    <col min="84" max="84" width="9.125" style="142" bestFit="1" customWidth="1"/>
    <col min="85" max="85" width="13.875" bestFit="1" customWidth="1"/>
    <col min="92" max="94" width="9" style="146"/>
    <col min="96" max="96" width="11.375" style="146" customWidth="1"/>
    <col min="108" max="108" width="10.625" customWidth="1"/>
    <col min="113" max="113" width="10.625" style="146" customWidth="1"/>
    <col min="115" max="115" width="14.125" style="146" customWidth="1"/>
    <col min="116" max="116" width="17.625" style="146" customWidth="1"/>
    <col min="117" max="118" width="10.625" customWidth="1"/>
  </cols>
  <sheetData>
    <row r="2" spans="1:118" s="117" customFormat="1" x14ac:dyDescent="0.2">
      <c r="P2" s="126"/>
      <c r="W2" s="142"/>
      <c r="AC2" s="142"/>
      <c r="AD2" s="142"/>
      <c r="AE2" s="142"/>
      <c r="AI2" s="190"/>
      <c r="AJ2" s="190"/>
      <c r="AT2" s="142"/>
      <c r="BA2" s="142"/>
      <c r="BE2" s="142"/>
      <c r="BF2" s="142"/>
      <c r="CF2" s="142"/>
      <c r="CN2" s="146"/>
      <c r="CO2" s="146"/>
      <c r="CP2" s="146"/>
      <c r="CR2" s="146"/>
      <c r="DI2" s="146"/>
      <c r="DK2" s="146"/>
      <c r="DL2" s="146"/>
    </row>
    <row r="3" spans="1:118" s="117" customFormat="1" ht="16.5" x14ac:dyDescent="0.2">
      <c r="P3" s="126"/>
      <c r="S3" s="35">
        <v>0.6</v>
      </c>
      <c r="T3" s="35">
        <v>0.3</v>
      </c>
      <c r="U3" s="35">
        <v>0.1</v>
      </c>
      <c r="V3" s="35">
        <v>0</v>
      </c>
      <c r="W3" s="35"/>
      <c r="AC3" s="142"/>
      <c r="AD3" s="142"/>
      <c r="AE3" s="142"/>
      <c r="AI3" s="190"/>
      <c r="AJ3" s="190"/>
      <c r="AM3" s="117">
        <v>0.5</v>
      </c>
      <c r="AN3" s="117">
        <v>0.8</v>
      </c>
      <c r="AO3" s="117">
        <v>1</v>
      </c>
      <c r="AP3" s="117">
        <v>1.2</v>
      </c>
      <c r="AT3" s="142"/>
      <c r="BA3" s="142"/>
      <c r="BE3" s="142"/>
      <c r="BF3" s="142"/>
      <c r="BG3" s="117">
        <f>BA6</f>
        <v>79.5</v>
      </c>
      <c r="BH3" s="117">
        <f>BA7</f>
        <v>122.39999999999999</v>
      </c>
      <c r="BI3" s="117">
        <f>BA8</f>
        <v>138</v>
      </c>
      <c r="BJ3" s="117">
        <f>BA9</f>
        <v>192.60000000000002</v>
      </c>
      <c r="BK3" s="117">
        <f>BA10</f>
        <v>240</v>
      </c>
      <c r="BL3" s="117">
        <f>BA11</f>
        <v>294</v>
      </c>
      <c r="BM3" s="117">
        <f>BA12</f>
        <v>342</v>
      </c>
      <c r="BN3" s="117">
        <f>BA13</f>
        <v>446.40000000000003</v>
      </c>
      <c r="BO3" s="117">
        <f>BA14</f>
        <v>540</v>
      </c>
      <c r="BP3" s="117">
        <f>BA15</f>
        <v>648</v>
      </c>
      <c r="BQ3" s="117">
        <f>BA16</f>
        <v>864</v>
      </c>
      <c r="BW3" s="140" t="s">
        <v>1167</v>
      </c>
      <c r="BX3" s="19">
        <v>0.6</v>
      </c>
      <c r="CF3" s="142"/>
      <c r="CN3" s="146"/>
      <c r="CO3" s="146"/>
      <c r="CP3" s="146"/>
      <c r="CR3" s="146"/>
      <c r="CS3" s="14">
        <f>CD6</f>
        <v>50</v>
      </c>
      <c r="CT3" s="14">
        <f>CD7</f>
        <v>80</v>
      </c>
      <c r="CU3" s="14">
        <f>CD8</f>
        <v>100</v>
      </c>
      <c r="CV3" s="14">
        <f>CD9</f>
        <v>132</v>
      </c>
      <c r="CW3" s="14">
        <f>CD10</f>
        <v>176</v>
      </c>
      <c r="CX3" s="14">
        <f>CD11</f>
        <v>214</v>
      </c>
      <c r="CY3" s="14">
        <f>CD12</f>
        <v>251.03999999999996</v>
      </c>
      <c r="CZ3" s="14">
        <f>CD13</f>
        <v>330.88000000000005</v>
      </c>
      <c r="DA3" s="14">
        <f>CD14</f>
        <v>408.8</v>
      </c>
      <c r="DB3" s="14">
        <f>CD15</f>
        <v>484.8</v>
      </c>
      <c r="DC3" s="14">
        <f>CD16</f>
        <v>641.28000000000009</v>
      </c>
      <c r="DI3" s="146"/>
      <c r="DK3" s="146"/>
      <c r="DL3" s="146"/>
    </row>
    <row r="4" spans="1:118" s="117" customFormat="1" ht="20.25" x14ac:dyDescent="0.2">
      <c r="O4" s="233" t="s">
        <v>1006</v>
      </c>
      <c r="P4" s="233"/>
      <c r="Q4" s="233"/>
      <c r="R4" s="233"/>
      <c r="S4" s="233"/>
      <c r="T4" s="233"/>
      <c r="U4" s="233"/>
      <c r="V4" s="233"/>
      <c r="W4" s="233"/>
      <c r="X4" s="233"/>
      <c r="AC4" s="142"/>
      <c r="AD4" s="142"/>
      <c r="AE4" s="142"/>
      <c r="AI4" s="190"/>
      <c r="AJ4" s="190"/>
      <c r="AS4" s="233" t="s">
        <v>1142</v>
      </c>
      <c r="AT4" s="233"/>
      <c r="AU4" s="233"/>
      <c r="AV4" s="233"/>
      <c r="AW4" s="233"/>
      <c r="AX4" s="233"/>
      <c r="AY4" s="233"/>
      <c r="AZ4" s="233"/>
      <c r="BA4" s="233"/>
      <c r="BD4" s="233" t="s">
        <v>1163</v>
      </c>
      <c r="BE4" s="233"/>
      <c r="BF4" s="233"/>
      <c r="BG4" s="233"/>
      <c r="BH4" s="233"/>
      <c r="BI4" s="233"/>
      <c r="BJ4" s="233"/>
      <c r="BK4" s="233"/>
      <c r="BL4" s="233"/>
      <c r="BM4" s="233"/>
      <c r="BN4" s="233"/>
      <c r="BO4" s="233"/>
      <c r="BP4" s="233"/>
      <c r="BQ4" s="233"/>
      <c r="BR4" s="233"/>
      <c r="BS4" s="233"/>
      <c r="BT4" s="233"/>
      <c r="BW4" s="233" t="s">
        <v>1166</v>
      </c>
      <c r="BX4" s="233"/>
      <c r="BY4" s="233"/>
      <c r="BZ4" s="233"/>
      <c r="CA4" s="233"/>
      <c r="CB4" s="233"/>
      <c r="CC4" s="233"/>
      <c r="CD4" s="233"/>
      <c r="CF4" s="142"/>
      <c r="CN4" s="146"/>
      <c r="CO4" s="146"/>
      <c r="CP4" s="146"/>
      <c r="CR4" s="146"/>
      <c r="DI4" s="146"/>
      <c r="DK4" s="146"/>
      <c r="DL4" s="146"/>
    </row>
    <row r="5" spans="1:118" ht="20.25" customHeight="1" x14ac:dyDescent="0.2">
      <c r="A5" s="235" t="s">
        <v>1049</v>
      </c>
      <c r="B5" s="235"/>
      <c r="C5" s="235"/>
      <c r="D5" s="235"/>
      <c r="E5" s="235"/>
      <c r="F5" s="235"/>
      <c r="G5" s="235"/>
      <c r="H5" s="235"/>
      <c r="I5" s="235"/>
      <c r="J5" s="235"/>
      <c r="K5" s="235"/>
      <c r="L5" s="235"/>
      <c r="M5" s="235"/>
      <c r="O5" s="12" t="s">
        <v>930</v>
      </c>
      <c r="P5" s="12" t="s">
        <v>1050</v>
      </c>
      <c r="Q5" s="12" t="s">
        <v>931</v>
      </c>
      <c r="R5" s="12" t="s">
        <v>932</v>
      </c>
      <c r="S5" s="12" t="s">
        <v>933</v>
      </c>
      <c r="T5" s="12" t="s">
        <v>934</v>
      </c>
      <c r="U5" s="12" t="s">
        <v>935</v>
      </c>
      <c r="V5" s="12" t="s">
        <v>1164</v>
      </c>
      <c r="W5" s="12" t="s">
        <v>1165</v>
      </c>
      <c r="X5" s="12" t="s">
        <v>1007</v>
      </c>
      <c r="AB5" s="140" t="s">
        <v>1137</v>
      </c>
      <c r="AC5" s="139">
        <v>48</v>
      </c>
      <c r="AF5" s="12" t="s">
        <v>1132</v>
      </c>
      <c r="AG5" s="12" t="s">
        <v>1133</v>
      </c>
      <c r="AH5" s="12" t="s">
        <v>1134</v>
      </c>
      <c r="AI5" s="12" t="s">
        <v>1581</v>
      </c>
      <c r="AJ5" s="12" t="s">
        <v>1582</v>
      </c>
      <c r="AK5" s="12" t="s">
        <v>1135</v>
      </c>
      <c r="AM5" s="12" t="s">
        <v>1138</v>
      </c>
      <c r="AN5" s="12" t="s">
        <v>1139</v>
      </c>
      <c r="AO5" s="12" t="s">
        <v>1140</v>
      </c>
      <c r="AP5" s="12" t="s">
        <v>1141</v>
      </c>
      <c r="AS5" s="12" t="s">
        <v>79</v>
      </c>
      <c r="AT5" s="12" t="s">
        <v>1155</v>
      </c>
      <c r="AU5" s="12" t="s">
        <v>80</v>
      </c>
      <c r="AV5" s="12" t="s">
        <v>931</v>
      </c>
      <c r="AW5" s="12" t="s">
        <v>933</v>
      </c>
      <c r="AX5" s="12" t="s">
        <v>934</v>
      </c>
      <c r="AY5" s="12" t="s">
        <v>935</v>
      </c>
      <c r="AZ5" s="12" t="s">
        <v>936</v>
      </c>
      <c r="BA5" s="12" t="s">
        <v>1157</v>
      </c>
      <c r="BD5" s="23" t="s">
        <v>1143</v>
      </c>
      <c r="BE5" s="23" t="s">
        <v>1108</v>
      </c>
      <c r="BF5" s="23" t="s">
        <v>1156</v>
      </c>
      <c r="BG5" s="23" t="s">
        <v>1144</v>
      </c>
      <c r="BH5" s="23" t="s">
        <v>1145</v>
      </c>
      <c r="BI5" s="23" t="s">
        <v>1146</v>
      </c>
      <c r="BJ5" s="23" t="s">
        <v>1147</v>
      </c>
      <c r="BK5" s="23" t="s">
        <v>1148</v>
      </c>
      <c r="BL5" s="23" t="s">
        <v>1149</v>
      </c>
      <c r="BM5" s="23" t="s">
        <v>1150</v>
      </c>
      <c r="BN5" s="23" t="s">
        <v>1151</v>
      </c>
      <c r="BO5" s="23" t="s">
        <v>1152</v>
      </c>
      <c r="BP5" s="23" t="s">
        <v>1153</v>
      </c>
      <c r="BQ5" s="23" t="s">
        <v>1154</v>
      </c>
      <c r="BR5" s="23" t="s">
        <v>1158</v>
      </c>
      <c r="BS5" s="23" t="s">
        <v>1159</v>
      </c>
      <c r="BT5" s="23" t="s">
        <v>1160</v>
      </c>
      <c r="BW5" s="12" t="s">
        <v>79</v>
      </c>
      <c r="BX5" s="12" t="s">
        <v>1155</v>
      </c>
      <c r="BY5" s="12" t="s">
        <v>933</v>
      </c>
      <c r="BZ5" s="12" t="s">
        <v>934</v>
      </c>
      <c r="CA5" s="12" t="s">
        <v>935</v>
      </c>
      <c r="CB5" s="12" t="s">
        <v>936</v>
      </c>
      <c r="CC5" s="12" t="s">
        <v>1161</v>
      </c>
      <c r="CD5" s="12" t="s">
        <v>1162</v>
      </c>
      <c r="CF5" s="12" t="s">
        <v>1132</v>
      </c>
      <c r="CG5" s="12" t="s">
        <v>1168</v>
      </c>
      <c r="CJ5" s="12" t="s">
        <v>1131</v>
      </c>
      <c r="CK5" s="12" t="s">
        <v>1169</v>
      </c>
      <c r="CM5" s="12" t="s">
        <v>1175</v>
      </c>
      <c r="CN5" s="12" t="s">
        <v>1182</v>
      </c>
      <c r="CO5" s="12" t="s">
        <v>1181</v>
      </c>
      <c r="CQ5" s="12" t="s">
        <v>1170</v>
      </c>
      <c r="CR5" s="12" t="s">
        <v>1171</v>
      </c>
      <c r="CS5" s="12" t="s">
        <v>1144</v>
      </c>
      <c r="CT5" s="12" t="s">
        <v>1145</v>
      </c>
      <c r="CU5" s="12" t="s">
        <v>1146</v>
      </c>
      <c r="CV5" s="12" t="s">
        <v>1147</v>
      </c>
      <c r="CW5" s="12" t="s">
        <v>1148</v>
      </c>
      <c r="CX5" s="12" t="s">
        <v>1149</v>
      </c>
      <c r="CY5" s="12" t="s">
        <v>1150</v>
      </c>
      <c r="CZ5" s="12" t="s">
        <v>1151</v>
      </c>
      <c r="DA5" s="12" t="s">
        <v>1152</v>
      </c>
      <c r="DB5" s="12" t="s">
        <v>1153</v>
      </c>
      <c r="DC5" s="12" t="s">
        <v>1154</v>
      </c>
      <c r="DD5" s="12" t="s">
        <v>1172</v>
      </c>
      <c r="DG5" s="12" t="s">
        <v>1173</v>
      </c>
      <c r="DH5" s="12" t="s">
        <v>1174</v>
      </c>
      <c r="DI5" s="12" t="s">
        <v>1176</v>
      </c>
      <c r="DJ5" s="12" t="s">
        <v>1175</v>
      </c>
      <c r="DK5" s="12" t="s">
        <v>1182</v>
      </c>
      <c r="DL5" s="12" t="s">
        <v>1180</v>
      </c>
      <c r="DM5" s="12" t="s">
        <v>1178</v>
      </c>
      <c r="DN5" s="12" t="s">
        <v>1179</v>
      </c>
    </row>
    <row r="6" spans="1:118" ht="16.5" x14ac:dyDescent="0.2">
      <c r="A6" s="235"/>
      <c r="B6" s="235"/>
      <c r="C6" s="235"/>
      <c r="D6" s="235"/>
      <c r="E6" s="235"/>
      <c r="F6" s="235"/>
      <c r="G6" s="235"/>
      <c r="H6" s="235"/>
      <c r="I6" s="235"/>
      <c r="J6" s="235"/>
      <c r="K6" s="235"/>
      <c r="L6" s="235"/>
      <c r="M6" s="235"/>
      <c r="O6" s="100">
        <v>1</v>
      </c>
      <c r="P6" s="123">
        <f>SUMIFS(节奏总表!$N$5:$N$32,节奏总表!$L$5:$L$32,"&gt;="&amp;装备!Q6,节奏总表!$L$5:$L$32,"&lt;"&amp;装备!Q7)+SUMIFS(节奏总表!$O$5:$O$32,节奏总表!$L$5:$L$32,"&gt;="&amp;装备!Q6,节奏总表!$L$5:$L$32,"&lt;"&amp;装备!Q7)</f>
        <v>84</v>
      </c>
      <c r="Q6" s="100">
        <v>25</v>
      </c>
      <c r="R6" s="100">
        <v>1</v>
      </c>
      <c r="S6" s="100">
        <v>5</v>
      </c>
      <c r="T6" s="100">
        <v>15</v>
      </c>
      <c r="U6" s="100">
        <v>25</v>
      </c>
      <c r="V6" s="100">
        <v>50</v>
      </c>
      <c r="W6" s="139">
        <f>V6*4</f>
        <v>200</v>
      </c>
      <c r="X6" s="14">
        <f>SUMPRODUCT(S$3:V$3,S6:V6)</f>
        <v>10</v>
      </c>
      <c r="Y6">
        <f>X6*6</f>
        <v>60</v>
      </c>
      <c r="AF6" s="139">
        <v>1</v>
      </c>
      <c r="AG6" s="139">
        <v>2</v>
      </c>
      <c r="AH6" s="21">
        <v>0.02</v>
      </c>
      <c r="AI6" s="188">
        <f>ROUND(INDEX(金币总表!$Z$5:$Z$12,装备!AG6)*装备!AH6/$AC$5,0)</f>
        <v>122</v>
      </c>
      <c r="AJ6" s="188">
        <v>0.19</v>
      </c>
      <c r="AK6" s="139">
        <f>ROUND(INDEX(金币总表!$Z$5:$Z$12,装备!AG6)*装备!AH6/$AC$5,0)</f>
        <v>122</v>
      </c>
      <c r="AM6" s="139">
        <f>ROUND($AK6*AM$3/5,0)*5</f>
        <v>60</v>
      </c>
      <c r="AN6" s="139">
        <f t="shared" ref="AN6:AP21" si="0">ROUND($AK6*AN$3/5,0)*5</f>
        <v>100</v>
      </c>
      <c r="AO6" s="139">
        <f t="shared" si="0"/>
        <v>120</v>
      </c>
      <c r="AP6" s="139">
        <f t="shared" si="0"/>
        <v>145</v>
      </c>
      <c r="AS6" s="139">
        <v>1</v>
      </c>
      <c r="AT6" s="139">
        <v>25</v>
      </c>
      <c r="AU6" s="139">
        <f>SUMIFS(节奏总表!$N$5:$N$32,节奏总表!$L$5:$L$32,"&gt;="&amp;装备!AV6,节奏总表!$L$5:$L$32,"&lt;"&amp;装备!AV7)</f>
        <v>72</v>
      </c>
      <c r="AV6" s="139">
        <v>25</v>
      </c>
      <c r="AW6" s="19">
        <v>0.5</v>
      </c>
      <c r="AX6" s="19">
        <v>0.3</v>
      </c>
      <c r="AY6" s="19">
        <v>0.15</v>
      </c>
      <c r="AZ6" s="19">
        <v>0.05</v>
      </c>
      <c r="BA6" s="14">
        <f>SUMPRODUCT($S6:$V6,AW6:AZ6)*6</f>
        <v>79.5</v>
      </c>
      <c r="BC6">
        <v>10</v>
      </c>
      <c r="BD6" s="139">
        <v>1</v>
      </c>
      <c r="BE6" s="139">
        <f>节奏总表!L5</f>
        <v>1</v>
      </c>
      <c r="BF6" s="139">
        <f>节奏总表!N5+2</f>
        <v>2</v>
      </c>
      <c r="BG6" s="139"/>
      <c r="BH6" s="139"/>
      <c r="BI6" s="139"/>
      <c r="BJ6" s="139"/>
      <c r="BK6" s="139"/>
      <c r="BL6" s="139"/>
      <c r="BM6" s="139"/>
      <c r="BN6" s="139"/>
      <c r="BO6" s="139"/>
      <c r="BP6" s="139"/>
      <c r="BQ6" s="139"/>
      <c r="BR6" s="14">
        <f t="shared" ref="BR6:BR35" si="1">SUMPRODUCT(BG$3:BQ$3,BG6:BQ6)</f>
        <v>0</v>
      </c>
      <c r="BS6" s="14">
        <f>BF6*BR6</f>
        <v>0</v>
      </c>
      <c r="BT6" s="14">
        <f>SUM(BS$6:BS6)</f>
        <v>0</v>
      </c>
      <c r="BW6" s="139">
        <v>1</v>
      </c>
      <c r="BX6" s="139">
        <v>25</v>
      </c>
      <c r="BY6" s="19">
        <v>0</v>
      </c>
      <c r="BZ6" s="19">
        <v>0.5</v>
      </c>
      <c r="CA6" s="19">
        <v>0.35</v>
      </c>
      <c r="CB6" s="19">
        <v>0.1</v>
      </c>
      <c r="CC6" s="21">
        <v>0.05</v>
      </c>
      <c r="CD6" s="139">
        <f>SUMPRODUCT(S6:W6,BY6:CC6)*(1+$BX$3)</f>
        <v>50</v>
      </c>
      <c r="CF6" s="139">
        <v>8</v>
      </c>
      <c r="CG6" s="139">
        <f>INDEX($BT$6:$BT$35,CF6)/CD6*CC6</f>
        <v>13.200600000000001</v>
      </c>
      <c r="CJ6" s="139">
        <v>1</v>
      </c>
      <c r="CK6" s="139">
        <v>1</v>
      </c>
      <c r="CM6" s="144">
        <v>1</v>
      </c>
      <c r="CN6" s="144" t="s">
        <v>1183</v>
      </c>
      <c r="CO6" s="144">
        <v>2</v>
      </c>
      <c r="CQ6" s="144">
        <v>20</v>
      </c>
      <c r="CR6" s="144" t="str">
        <f>CQ6&amp;"级锻造"</f>
        <v>20级锻造</v>
      </c>
      <c r="CS6" s="19">
        <v>1</v>
      </c>
      <c r="CT6" s="144"/>
      <c r="CU6" s="144"/>
      <c r="CV6" s="144"/>
      <c r="CW6" s="144"/>
      <c r="CX6" s="144"/>
      <c r="CY6" s="144"/>
      <c r="CZ6" s="144"/>
      <c r="DA6" s="144"/>
      <c r="DB6" s="144"/>
      <c r="DC6" s="144"/>
      <c r="DD6" s="144">
        <f>ROUND(SUMPRODUCT(CS$3:DC$3,CS6:DC6)/5,0)*5</f>
        <v>50</v>
      </c>
      <c r="DG6" s="144">
        <v>1</v>
      </c>
      <c r="DH6" s="144">
        <f>INT((DG6-1)/8)+1</f>
        <v>1</v>
      </c>
      <c r="DI6" s="144" t="s">
        <v>1177</v>
      </c>
      <c r="DJ6" s="144">
        <f>DG6-(DH6-1)*8</f>
        <v>1</v>
      </c>
      <c r="DK6" s="144" t="str">
        <f>INDEX($CN$6:$CN$13,DJ6)&amp;"锻造"</f>
        <v>灵器锻造</v>
      </c>
      <c r="DL6" s="144" t="str">
        <f>"ui_dtex_Equ_0"&amp;DJ6</f>
        <v>ui_dtex_Equ_01</v>
      </c>
      <c r="DM6" s="144" t="s">
        <v>1172</v>
      </c>
      <c r="DN6" s="144">
        <f>ROUND(INDEX($DD$6:$DD$26,DH6)*INDEX($CO$6:$CO$13,DJ6)/5,0)*5</f>
        <v>100</v>
      </c>
    </row>
    <row r="7" spans="1:118" ht="16.5" x14ac:dyDescent="0.2">
      <c r="A7" s="235"/>
      <c r="B7" s="235"/>
      <c r="C7" s="235"/>
      <c r="D7" s="235"/>
      <c r="E7" s="235"/>
      <c r="F7" s="235"/>
      <c r="G7" s="235"/>
      <c r="H7" s="235"/>
      <c r="I7" s="235"/>
      <c r="J7" s="235"/>
      <c r="K7" s="235"/>
      <c r="L7" s="235"/>
      <c r="M7" s="235"/>
      <c r="O7" s="100">
        <v>2</v>
      </c>
      <c r="P7" s="123">
        <f>SUMIFS(节奏总表!$N$5:$N$32,节奏总表!$L$5:$L$32,"&gt;="&amp;装备!Q7,节奏总表!$L$5:$L$32,"&lt;"&amp;装备!Q8)+SUMIFS(节奏总表!$O$5:$O$32,节奏总表!$L$5:$L$32,"&gt;="&amp;装备!Q7,节奏总表!$L$5:$L$32,"&lt;"&amp;装备!Q8)</f>
        <v>148</v>
      </c>
      <c r="Q7" s="100">
        <v>40</v>
      </c>
      <c r="R7" s="100">
        <v>1.6</v>
      </c>
      <c r="S7" s="100">
        <f>$R7*S$6</f>
        <v>8</v>
      </c>
      <c r="T7" s="100">
        <f t="shared" ref="T7:V16" si="2">$R7*T$6</f>
        <v>24</v>
      </c>
      <c r="U7" s="100">
        <f t="shared" si="2"/>
        <v>40</v>
      </c>
      <c r="V7" s="100">
        <f t="shared" si="2"/>
        <v>80</v>
      </c>
      <c r="W7" s="139">
        <f t="shared" ref="W7:W16" si="3">V7*4</f>
        <v>320</v>
      </c>
      <c r="X7" s="14">
        <f t="shared" ref="X7:X16" si="4">SUMPRODUCT(S$3:V$3,S7:V7)</f>
        <v>16</v>
      </c>
      <c r="Y7" s="209">
        <f t="shared" ref="Y7:Y16" si="5">X7*6</f>
        <v>96</v>
      </c>
      <c r="AF7" s="139">
        <v>2</v>
      </c>
      <c r="AG7" s="139">
        <v>2</v>
      </c>
      <c r="AH7" s="21">
        <v>2.0919500000000001E-2</v>
      </c>
      <c r="AI7" s="188">
        <f>ROUND(INDEX(金币总表!$Z$5:$Z$12,装备!AG7)*装备!AH7/$AC$5,0)</f>
        <v>127</v>
      </c>
      <c r="AJ7" s="188">
        <v>0.22375</v>
      </c>
      <c r="AK7" s="139">
        <f>ROUND(INDEX(金币总表!$Z$5:$Z$12,装备!AG7)*装备!AH7/$AC$5,0)</f>
        <v>127</v>
      </c>
      <c r="AM7" s="139">
        <f t="shared" ref="AM7:AP38" si="6">ROUND($AK7*AM$3/5,0)*5</f>
        <v>65</v>
      </c>
      <c r="AN7" s="139">
        <f t="shared" si="0"/>
        <v>100</v>
      </c>
      <c r="AO7" s="139">
        <f t="shared" si="0"/>
        <v>125</v>
      </c>
      <c r="AP7" s="139">
        <f t="shared" si="0"/>
        <v>150</v>
      </c>
      <c r="AS7" s="139">
        <v>2</v>
      </c>
      <c r="AT7" s="139">
        <v>40</v>
      </c>
      <c r="AU7" s="139">
        <f>SUMIFS(节奏总表!$N$5:$N$32,节奏总表!$L$5:$L$32,"&gt;="&amp;装备!AV7,节奏总表!$L$5:$L$32,"&lt;"&amp;装备!AV8)</f>
        <v>132</v>
      </c>
      <c r="AV7" s="139">
        <v>40</v>
      </c>
      <c r="AW7" s="19">
        <v>0.5</v>
      </c>
      <c r="AX7" s="19">
        <v>0.3</v>
      </c>
      <c r="AY7" s="19">
        <v>0.17</v>
      </c>
      <c r="AZ7" s="19">
        <v>0.03</v>
      </c>
      <c r="BA7" s="14">
        <f t="shared" ref="BA7:BA16" si="7">SUMPRODUCT($S7:$V7,AW7:AZ7)*6</f>
        <v>122.39999999999999</v>
      </c>
      <c r="BC7">
        <v>15</v>
      </c>
      <c r="BD7" s="139">
        <v>2</v>
      </c>
      <c r="BE7" s="163">
        <f>节奏总表!L6</f>
        <v>7</v>
      </c>
      <c r="BF7" s="163">
        <f>节奏总表!N6+2</f>
        <v>6</v>
      </c>
      <c r="BG7" s="139"/>
      <c r="BH7" s="139"/>
      <c r="BI7" s="139"/>
      <c r="BJ7" s="139"/>
      <c r="BK7" s="139"/>
      <c r="BL7" s="139"/>
      <c r="BM7" s="139"/>
      <c r="BN7" s="139"/>
      <c r="BO7" s="139"/>
      <c r="BP7" s="139"/>
      <c r="BQ7" s="139"/>
      <c r="BR7" s="14">
        <f t="shared" si="1"/>
        <v>0</v>
      </c>
      <c r="BS7" s="14">
        <f t="shared" ref="BS7:BS35" si="8">BF7*BR7</f>
        <v>0</v>
      </c>
      <c r="BT7" s="14">
        <f>SUM(BS$6:BS7)</f>
        <v>0</v>
      </c>
      <c r="BW7" s="139">
        <v>2</v>
      </c>
      <c r="BX7" s="139">
        <v>40</v>
      </c>
      <c r="BY7" s="19">
        <v>0</v>
      </c>
      <c r="BZ7" s="19">
        <v>0.5</v>
      </c>
      <c r="CA7" s="19">
        <v>0.35</v>
      </c>
      <c r="CB7" s="19">
        <v>0.1</v>
      </c>
      <c r="CC7" s="21">
        <v>0.05</v>
      </c>
      <c r="CD7" s="139">
        <f t="shared" ref="CD7:CD16" si="9">SUMPRODUCT(S7:W7,BY7:CC7)*(1+$BX$3)</f>
        <v>80</v>
      </c>
      <c r="CF7" s="139">
        <v>12</v>
      </c>
      <c r="CG7" s="139">
        <f t="shared" ref="CG7:CG16" si="10">INDEX($BT$6:$BT$35,CF7)/CD7*CC7</f>
        <v>22.4840625</v>
      </c>
      <c r="CJ7" s="139">
        <v>2</v>
      </c>
      <c r="CK7" s="139">
        <v>10</v>
      </c>
      <c r="CM7" s="144">
        <v>2</v>
      </c>
      <c r="CN7" s="144" t="s">
        <v>1184</v>
      </c>
      <c r="CO7" s="144">
        <v>1</v>
      </c>
      <c r="CQ7" s="144">
        <v>30</v>
      </c>
      <c r="CR7" s="144" t="str">
        <f t="shared" ref="CR7:CR26" si="11">CQ7&amp;"级锻造"</f>
        <v>30级锻造</v>
      </c>
      <c r="CS7" s="19">
        <v>0.8</v>
      </c>
      <c r="CT7" s="19">
        <v>0.2</v>
      </c>
      <c r="CU7" s="144"/>
      <c r="CV7" s="144"/>
      <c r="CW7" s="144"/>
      <c r="CX7" s="144"/>
      <c r="CY7" s="144"/>
      <c r="CZ7" s="144"/>
      <c r="DA7" s="144"/>
      <c r="DB7" s="144"/>
      <c r="DC7" s="144"/>
      <c r="DD7" s="144">
        <f t="shared" ref="DD7:DD26" si="12">ROUND(SUMPRODUCT(CS$3:DC$3,CS7:DC7)/5,0)*5</f>
        <v>55</v>
      </c>
      <c r="DG7" s="144">
        <v>2</v>
      </c>
      <c r="DH7" s="144">
        <f t="shared" ref="DH7:DH70" si="13">INT((DG7-1)/8)+1</f>
        <v>1</v>
      </c>
      <c r="DI7" s="144" t="s">
        <v>1177</v>
      </c>
      <c r="DJ7" s="144">
        <f t="shared" ref="DJ7:DJ70" si="14">DG7-(DH7-1)*8</f>
        <v>2</v>
      </c>
      <c r="DK7" s="144" t="str">
        <f t="shared" ref="DK7:DK70" si="15">INDEX($CN$6:$CN$13,DJ7)&amp;"锻造"</f>
        <v>头盔锻造</v>
      </c>
      <c r="DL7" s="144" t="str">
        <f t="shared" ref="DL7:DL70" si="16">"ui_dtex_Equ_0"&amp;DJ7</f>
        <v>ui_dtex_Equ_02</v>
      </c>
      <c r="DM7" s="144" t="s">
        <v>1172</v>
      </c>
      <c r="DN7" s="144">
        <f t="shared" ref="DN7:DN70" si="17">ROUND(INDEX($DD$6:$DD$26,DH7)*INDEX($CO$6:$CO$13,DJ7)/5,0)*5</f>
        <v>50</v>
      </c>
    </row>
    <row r="8" spans="1:118" ht="16.5" x14ac:dyDescent="0.2">
      <c r="A8" s="235"/>
      <c r="B8" s="235"/>
      <c r="C8" s="235"/>
      <c r="D8" s="235"/>
      <c r="E8" s="235"/>
      <c r="F8" s="235"/>
      <c r="G8" s="235"/>
      <c r="H8" s="235"/>
      <c r="I8" s="235"/>
      <c r="J8" s="235"/>
      <c r="K8" s="235"/>
      <c r="L8" s="235"/>
      <c r="M8" s="235"/>
      <c r="O8" s="100">
        <v>3</v>
      </c>
      <c r="P8" s="123">
        <f>SUMIFS(节奏总表!$N$5:$N$32,节奏总表!$L$5:$L$32,"&gt;="&amp;装备!Q8,节奏总表!$L$5:$L$32,"&lt;"&amp;装备!Q9)+SUMIFS(节奏总表!$O$5:$O$32,节奏总表!$L$5:$L$32,"&gt;="&amp;装备!Q8,节奏总表!$L$5:$L$32,"&lt;"&amp;装备!Q9)</f>
        <v>253</v>
      </c>
      <c r="Q8" s="100">
        <v>60</v>
      </c>
      <c r="R8" s="100">
        <v>2</v>
      </c>
      <c r="S8" s="100">
        <f t="shared" ref="S8:S16" si="18">$R8*S$6</f>
        <v>10</v>
      </c>
      <c r="T8" s="100">
        <f t="shared" si="2"/>
        <v>30</v>
      </c>
      <c r="U8" s="100">
        <f t="shared" si="2"/>
        <v>50</v>
      </c>
      <c r="V8" s="100">
        <f t="shared" si="2"/>
        <v>100</v>
      </c>
      <c r="W8" s="139">
        <f t="shared" si="3"/>
        <v>400</v>
      </c>
      <c r="X8" s="14">
        <f t="shared" si="4"/>
        <v>20</v>
      </c>
      <c r="Y8" s="209">
        <f t="shared" si="5"/>
        <v>120</v>
      </c>
      <c r="AF8" s="139">
        <v>3</v>
      </c>
      <c r="AG8" s="139">
        <v>2</v>
      </c>
      <c r="AH8" s="21">
        <v>2.1839000000000001E-2</v>
      </c>
      <c r="AI8" s="188">
        <f>ROUND(INDEX(金币总表!$Z$5:$Z$12,装备!AG8)*装备!AH8/$AC$5,0)</f>
        <v>133</v>
      </c>
      <c r="AJ8" s="188">
        <v>0.25750000000000001</v>
      </c>
      <c r="AK8" s="139">
        <f>ROUND(INDEX(金币总表!$Z$5:$Z$12,装备!AG8)*装备!AH8/$AC$5,0)</f>
        <v>133</v>
      </c>
      <c r="AM8" s="139">
        <f t="shared" si="6"/>
        <v>65</v>
      </c>
      <c r="AN8" s="139">
        <f t="shared" si="0"/>
        <v>105</v>
      </c>
      <c r="AO8" s="139">
        <f t="shared" si="0"/>
        <v>135</v>
      </c>
      <c r="AP8" s="139">
        <f t="shared" si="0"/>
        <v>160</v>
      </c>
      <c r="AS8" s="139">
        <v>3</v>
      </c>
      <c r="AT8" s="139">
        <v>60</v>
      </c>
      <c r="AU8" s="139">
        <f>SUMIFS(节奏总表!$N$5:$N$32,节奏总表!$L$5:$L$32,"&gt;="&amp;装备!AV8,节奏总表!$L$5:$L$32,"&lt;"&amp;装备!AV9)</f>
        <v>237</v>
      </c>
      <c r="AV8" s="139">
        <v>60</v>
      </c>
      <c r="AW8" s="19">
        <v>0.5</v>
      </c>
      <c r="AX8" s="19">
        <v>0.35</v>
      </c>
      <c r="AY8" s="19">
        <v>0.15</v>
      </c>
      <c r="AZ8" s="19">
        <v>0</v>
      </c>
      <c r="BA8" s="14">
        <f t="shared" si="7"/>
        <v>138</v>
      </c>
      <c r="BC8">
        <v>20</v>
      </c>
      <c r="BD8" s="139">
        <v>3</v>
      </c>
      <c r="BE8" s="163">
        <f>节奏总表!L7</f>
        <v>15</v>
      </c>
      <c r="BF8" s="163">
        <f>节奏总表!N7+2</f>
        <v>22</v>
      </c>
      <c r="BG8" s="19">
        <v>0.5</v>
      </c>
      <c r="BH8" s="139"/>
      <c r="BI8" s="139"/>
      <c r="BJ8" s="139"/>
      <c r="BK8" s="139"/>
      <c r="BL8" s="139"/>
      <c r="BM8" s="139"/>
      <c r="BN8" s="139"/>
      <c r="BO8" s="139"/>
      <c r="BP8" s="139"/>
      <c r="BQ8" s="139"/>
      <c r="BR8" s="14">
        <f t="shared" si="1"/>
        <v>39.75</v>
      </c>
      <c r="BS8" s="14">
        <f t="shared" si="8"/>
        <v>874.5</v>
      </c>
      <c r="BT8" s="14">
        <f>SUM(BS$6:BS8)</f>
        <v>874.5</v>
      </c>
      <c r="BW8" s="139">
        <v>3</v>
      </c>
      <c r="BX8" s="139">
        <v>60</v>
      </c>
      <c r="BY8" s="19">
        <v>0</v>
      </c>
      <c r="BZ8" s="19">
        <v>0.5</v>
      </c>
      <c r="CA8" s="19">
        <v>0.35</v>
      </c>
      <c r="CB8" s="19">
        <v>0.1</v>
      </c>
      <c r="CC8" s="21">
        <v>0.05</v>
      </c>
      <c r="CD8" s="139">
        <f t="shared" si="9"/>
        <v>100</v>
      </c>
      <c r="CF8" s="139">
        <v>16</v>
      </c>
      <c r="CG8" s="139">
        <f t="shared" si="10"/>
        <v>45.900150000000004</v>
      </c>
      <c r="CJ8" s="139">
        <v>3</v>
      </c>
      <c r="CK8" s="139">
        <v>15</v>
      </c>
      <c r="CM8" s="144">
        <v>3</v>
      </c>
      <c r="CN8" s="144" t="s">
        <v>1185</v>
      </c>
      <c r="CO8" s="144">
        <v>1</v>
      </c>
      <c r="CQ8" s="144">
        <v>40</v>
      </c>
      <c r="CR8" s="144" t="str">
        <f t="shared" si="11"/>
        <v>40级锻造</v>
      </c>
      <c r="CS8" s="19">
        <v>0.5</v>
      </c>
      <c r="CT8" s="19">
        <v>0.5</v>
      </c>
      <c r="CU8" s="144"/>
      <c r="CV8" s="144"/>
      <c r="CW8" s="144"/>
      <c r="CX8" s="144"/>
      <c r="CY8" s="144"/>
      <c r="CZ8" s="144"/>
      <c r="DA8" s="144"/>
      <c r="DB8" s="144"/>
      <c r="DC8" s="144"/>
      <c r="DD8" s="144">
        <f t="shared" si="12"/>
        <v>65</v>
      </c>
      <c r="DG8" s="144">
        <v>3</v>
      </c>
      <c r="DH8" s="144">
        <f t="shared" si="13"/>
        <v>1</v>
      </c>
      <c r="DI8" s="144" t="s">
        <v>1177</v>
      </c>
      <c r="DJ8" s="144">
        <f t="shared" si="14"/>
        <v>3</v>
      </c>
      <c r="DK8" s="144" t="str">
        <f t="shared" si="15"/>
        <v>铠甲锻造</v>
      </c>
      <c r="DL8" s="144" t="str">
        <f t="shared" si="16"/>
        <v>ui_dtex_Equ_03</v>
      </c>
      <c r="DM8" s="144" t="s">
        <v>1172</v>
      </c>
      <c r="DN8" s="144">
        <f t="shared" si="17"/>
        <v>50</v>
      </c>
    </row>
    <row r="9" spans="1:118" ht="16.5" x14ac:dyDescent="0.2">
      <c r="A9" s="235"/>
      <c r="B9" s="235"/>
      <c r="C9" s="235"/>
      <c r="D9" s="235"/>
      <c r="E9" s="235"/>
      <c r="F9" s="235"/>
      <c r="G9" s="235"/>
      <c r="H9" s="235"/>
      <c r="I9" s="235"/>
      <c r="J9" s="235"/>
      <c r="K9" s="235"/>
      <c r="L9" s="235"/>
      <c r="M9" s="235"/>
      <c r="O9" s="100">
        <v>4</v>
      </c>
      <c r="P9" s="123">
        <f>SUMIFS(节奏总表!$N$5:$N$32,节奏总表!$L$5:$L$32,"&gt;="&amp;装备!Q9,节奏总表!$L$5:$L$32,"&lt;"&amp;装备!Q10)+SUMIFS(节奏总表!$O$5:$O$32,节奏总表!$L$5:$L$32,"&gt;="&amp;装备!Q9,节奏总表!$L$5:$L$32,"&lt;"&amp;装备!Q10)</f>
        <v>203</v>
      </c>
      <c r="Q9" s="100">
        <v>80</v>
      </c>
      <c r="R9" s="100">
        <v>3</v>
      </c>
      <c r="S9" s="100">
        <f t="shared" si="18"/>
        <v>15</v>
      </c>
      <c r="T9" s="100">
        <f t="shared" si="2"/>
        <v>45</v>
      </c>
      <c r="U9" s="100">
        <f t="shared" si="2"/>
        <v>75</v>
      </c>
      <c r="V9" s="100">
        <f t="shared" si="2"/>
        <v>150</v>
      </c>
      <c r="W9" s="139">
        <f t="shared" si="3"/>
        <v>600</v>
      </c>
      <c r="X9" s="14">
        <f t="shared" si="4"/>
        <v>30</v>
      </c>
      <c r="Y9" s="209">
        <f t="shared" si="5"/>
        <v>180</v>
      </c>
      <c r="AF9" s="139">
        <v>4</v>
      </c>
      <c r="AG9" s="139">
        <v>2</v>
      </c>
      <c r="AH9" s="21">
        <v>2.2758500000000001E-2</v>
      </c>
      <c r="AI9" s="188">
        <f>ROUND(INDEX(金币总表!$Z$5:$Z$12,装备!AG9)*装备!AH9/$AC$5,0)</f>
        <v>139</v>
      </c>
      <c r="AJ9" s="188">
        <v>0.29125000000000001</v>
      </c>
      <c r="AK9" s="139">
        <f>ROUND(INDEX(金币总表!$Z$5:$Z$12,装备!AG9)*装备!AH9/$AC$5,0)</f>
        <v>139</v>
      </c>
      <c r="AM9" s="139">
        <f t="shared" si="6"/>
        <v>70</v>
      </c>
      <c r="AN9" s="139">
        <f t="shared" si="0"/>
        <v>110</v>
      </c>
      <c r="AO9" s="139">
        <f t="shared" si="0"/>
        <v>140</v>
      </c>
      <c r="AP9" s="139">
        <f t="shared" si="0"/>
        <v>165</v>
      </c>
      <c r="AS9" s="139">
        <v>4</v>
      </c>
      <c r="AT9" s="139">
        <v>80</v>
      </c>
      <c r="AU9" s="139">
        <f>SUMIFS(节奏总表!$N$5:$N$32,节奏总表!$L$5:$L$32,"&gt;="&amp;装备!AV9,节奏总表!$L$5:$L$32,"&lt;"&amp;装备!AV10)</f>
        <v>195</v>
      </c>
      <c r="AV9" s="139">
        <v>80</v>
      </c>
      <c r="AW9" s="19">
        <v>0.55000000000000004</v>
      </c>
      <c r="AX9" s="19">
        <v>0.33</v>
      </c>
      <c r="AY9" s="19">
        <v>0.12</v>
      </c>
      <c r="AZ9" s="19">
        <v>0</v>
      </c>
      <c r="BA9" s="14">
        <f t="shared" si="7"/>
        <v>192.60000000000002</v>
      </c>
      <c r="BC9">
        <v>25</v>
      </c>
      <c r="BD9" s="139">
        <v>4</v>
      </c>
      <c r="BE9" s="163">
        <f>节奏总表!L8</f>
        <v>25</v>
      </c>
      <c r="BF9" s="163">
        <f>节奏总表!N8+2</f>
        <v>24</v>
      </c>
      <c r="BG9" s="19">
        <v>0.75</v>
      </c>
      <c r="BH9" s="139"/>
      <c r="BI9" s="139"/>
      <c r="BJ9" s="139"/>
      <c r="BK9" s="139"/>
      <c r="BL9" s="139"/>
      <c r="BM9" s="139"/>
      <c r="BN9" s="139"/>
      <c r="BO9" s="139"/>
      <c r="BP9" s="139"/>
      <c r="BQ9" s="139"/>
      <c r="BR9" s="14">
        <f t="shared" si="1"/>
        <v>59.625</v>
      </c>
      <c r="BS9" s="14">
        <f t="shared" si="8"/>
        <v>1431</v>
      </c>
      <c r="BT9" s="14">
        <f>SUM(BS$6:BS9)</f>
        <v>2305.5</v>
      </c>
      <c r="BW9" s="139">
        <v>4</v>
      </c>
      <c r="BX9" s="139">
        <v>80</v>
      </c>
      <c r="BY9" s="19">
        <v>0</v>
      </c>
      <c r="BZ9" s="19">
        <v>0.5</v>
      </c>
      <c r="CA9" s="19">
        <v>0.35</v>
      </c>
      <c r="CB9" s="19">
        <v>0.125</v>
      </c>
      <c r="CC9" s="21">
        <v>2.5000000000000001E-2</v>
      </c>
      <c r="CD9" s="139">
        <f t="shared" si="9"/>
        <v>132</v>
      </c>
      <c r="CF9" s="139">
        <v>20</v>
      </c>
      <c r="CG9" s="139">
        <f t="shared" si="10"/>
        <v>41.374147727272728</v>
      </c>
      <c r="CJ9" s="139">
        <v>4</v>
      </c>
      <c r="CK9" s="139">
        <v>20</v>
      </c>
      <c r="CM9" s="144">
        <v>4</v>
      </c>
      <c r="CN9" s="144" t="s">
        <v>1186</v>
      </c>
      <c r="CO9" s="144">
        <v>1</v>
      </c>
      <c r="CQ9" s="144">
        <v>50</v>
      </c>
      <c r="CR9" s="144" t="str">
        <f t="shared" si="11"/>
        <v>50级锻造</v>
      </c>
      <c r="CS9" s="19">
        <v>0.3</v>
      </c>
      <c r="CT9" s="19">
        <v>0.5</v>
      </c>
      <c r="CU9" s="19">
        <v>0.2</v>
      </c>
      <c r="CV9" s="144"/>
      <c r="CW9" s="144"/>
      <c r="CX9" s="144"/>
      <c r="CY9" s="144"/>
      <c r="CZ9" s="144"/>
      <c r="DA9" s="144"/>
      <c r="DB9" s="144"/>
      <c r="DC9" s="144"/>
      <c r="DD9" s="144">
        <f t="shared" si="12"/>
        <v>75</v>
      </c>
      <c r="DG9" s="144">
        <v>4</v>
      </c>
      <c r="DH9" s="144">
        <f t="shared" si="13"/>
        <v>1</v>
      </c>
      <c r="DI9" s="144" t="s">
        <v>1177</v>
      </c>
      <c r="DJ9" s="144">
        <f t="shared" si="14"/>
        <v>4</v>
      </c>
      <c r="DK9" s="144" t="str">
        <f t="shared" si="15"/>
        <v>裤子锻造</v>
      </c>
      <c r="DL9" s="144" t="str">
        <f t="shared" si="16"/>
        <v>ui_dtex_Equ_04</v>
      </c>
      <c r="DM9" s="144" t="s">
        <v>1172</v>
      </c>
      <c r="DN9" s="144">
        <f t="shared" si="17"/>
        <v>50</v>
      </c>
    </row>
    <row r="10" spans="1:118" ht="16.5" x14ac:dyDescent="0.2">
      <c r="A10" s="235"/>
      <c r="B10" s="235"/>
      <c r="C10" s="235"/>
      <c r="D10" s="235"/>
      <c r="E10" s="235"/>
      <c r="F10" s="235"/>
      <c r="G10" s="235"/>
      <c r="H10" s="235"/>
      <c r="I10" s="235"/>
      <c r="J10" s="235"/>
      <c r="K10" s="235"/>
      <c r="L10" s="235"/>
      <c r="M10" s="235"/>
      <c r="O10" s="100">
        <v>5</v>
      </c>
      <c r="P10" s="123">
        <f>SUMIFS(节奏总表!$N$5:$N$32,节奏总表!$L$5:$L$32,"&gt;="&amp;装备!Q10,节奏总表!$L$5:$L$32,"&lt;"&amp;装备!Q11)+SUMIFS(节奏总表!$O$5:$O$32,节奏总表!$L$5:$L$32,"&gt;="&amp;装备!Q10,节奏总表!$L$5:$L$32,"&lt;"&amp;装备!Q11)</f>
        <v>240</v>
      </c>
      <c r="Q10" s="100">
        <v>90</v>
      </c>
      <c r="R10" s="100">
        <v>4</v>
      </c>
      <c r="S10" s="100">
        <f t="shared" si="18"/>
        <v>20</v>
      </c>
      <c r="T10" s="100">
        <f t="shared" si="2"/>
        <v>60</v>
      </c>
      <c r="U10" s="100">
        <f t="shared" si="2"/>
        <v>100</v>
      </c>
      <c r="V10" s="100">
        <f t="shared" si="2"/>
        <v>200</v>
      </c>
      <c r="W10" s="139">
        <f t="shared" si="3"/>
        <v>800</v>
      </c>
      <c r="X10" s="14">
        <f t="shared" si="4"/>
        <v>40</v>
      </c>
      <c r="Y10" s="209">
        <f t="shared" si="5"/>
        <v>240</v>
      </c>
      <c r="AF10" s="139">
        <v>5</v>
      </c>
      <c r="AG10" s="139">
        <v>2</v>
      </c>
      <c r="AH10" s="21">
        <v>2.3678000000000001E-2</v>
      </c>
      <c r="AI10" s="188">
        <f>ROUND(INDEX(金币总表!$Z$5:$Z$12,装备!AG10)*装备!AH10/$AC$5,0)</f>
        <v>144</v>
      </c>
      <c r="AJ10" s="188">
        <v>0.32500000000000001</v>
      </c>
      <c r="AK10" s="139">
        <f>ROUND(INDEX(金币总表!$Z$5:$Z$12,装备!AG10)*装备!AH10/$AC$5,0)</f>
        <v>144</v>
      </c>
      <c r="AM10" s="139">
        <f t="shared" si="6"/>
        <v>70</v>
      </c>
      <c r="AN10" s="139">
        <f t="shared" si="0"/>
        <v>115</v>
      </c>
      <c r="AO10" s="139">
        <f t="shared" si="0"/>
        <v>145</v>
      </c>
      <c r="AP10" s="139">
        <f t="shared" si="0"/>
        <v>175</v>
      </c>
      <c r="AS10" s="139">
        <v>5</v>
      </c>
      <c r="AT10" s="139">
        <v>90</v>
      </c>
      <c r="AU10" s="139">
        <f>SUMIFS(节奏总表!$N$5:$N$32,节奏总表!$L$5:$L$32,"&gt;="&amp;装备!AV10,节奏总表!$L$5:$L$32,"&lt;"&amp;装备!AV11)</f>
        <v>232</v>
      </c>
      <c r="AV10" s="139">
        <v>90</v>
      </c>
      <c r="AW10" s="19">
        <v>0.6</v>
      </c>
      <c r="AX10" s="19">
        <v>0.3</v>
      </c>
      <c r="AY10" s="19">
        <v>0.1</v>
      </c>
      <c r="AZ10" s="19">
        <v>0</v>
      </c>
      <c r="BA10" s="14">
        <f t="shared" si="7"/>
        <v>240</v>
      </c>
      <c r="BC10">
        <v>30</v>
      </c>
      <c r="BD10" s="139">
        <v>5</v>
      </c>
      <c r="BE10" s="163">
        <f>节奏总表!L9</f>
        <v>30</v>
      </c>
      <c r="BF10" s="163">
        <f>节奏总表!N9+2</f>
        <v>26</v>
      </c>
      <c r="BG10" s="19">
        <v>1</v>
      </c>
      <c r="BH10" s="139"/>
      <c r="BI10" s="139"/>
      <c r="BJ10" s="139"/>
      <c r="BK10" s="139"/>
      <c r="BL10" s="139"/>
      <c r="BM10" s="139"/>
      <c r="BN10" s="139"/>
      <c r="BO10" s="139"/>
      <c r="BP10" s="139"/>
      <c r="BQ10" s="139"/>
      <c r="BR10" s="14">
        <f t="shared" si="1"/>
        <v>79.5</v>
      </c>
      <c r="BS10" s="14">
        <f t="shared" si="8"/>
        <v>2067</v>
      </c>
      <c r="BT10" s="14">
        <f>SUM(BS$6:BS10)</f>
        <v>4372.5</v>
      </c>
      <c r="BW10" s="139">
        <v>5</v>
      </c>
      <c r="BX10" s="139">
        <v>90</v>
      </c>
      <c r="BY10" s="19">
        <v>0</v>
      </c>
      <c r="BZ10" s="19">
        <v>0.5</v>
      </c>
      <c r="CA10" s="19">
        <v>0.35</v>
      </c>
      <c r="CB10" s="19">
        <v>0.125</v>
      </c>
      <c r="CC10" s="21">
        <v>2.5000000000000001E-2</v>
      </c>
      <c r="CD10" s="139">
        <f t="shared" si="9"/>
        <v>176</v>
      </c>
      <c r="CF10" s="139">
        <v>22</v>
      </c>
      <c r="CG10" s="139">
        <f t="shared" si="10"/>
        <v>44.401917613636364</v>
      </c>
      <c r="CJ10" s="139">
        <v>5</v>
      </c>
      <c r="CK10" s="139">
        <v>25</v>
      </c>
      <c r="CM10" s="144">
        <v>5</v>
      </c>
      <c r="CN10" s="144" t="s">
        <v>1187</v>
      </c>
      <c r="CO10" s="144">
        <v>1</v>
      </c>
      <c r="CQ10" s="144">
        <v>60</v>
      </c>
      <c r="CR10" s="144" t="str">
        <f t="shared" si="11"/>
        <v>60级锻造</v>
      </c>
      <c r="CS10" s="19">
        <v>0.2</v>
      </c>
      <c r="CT10" s="19">
        <v>0.3</v>
      </c>
      <c r="CU10" s="19">
        <v>0.5</v>
      </c>
      <c r="CV10" s="144"/>
      <c r="CW10" s="144"/>
      <c r="CX10" s="144"/>
      <c r="CY10" s="144"/>
      <c r="CZ10" s="144"/>
      <c r="DA10" s="144"/>
      <c r="DB10" s="144"/>
      <c r="DC10" s="144"/>
      <c r="DD10" s="144">
        <f t="shared" si="12"/>
        <v>85</v>
      </c>
      <c r="DG10" s="144">
        <v>5</v>
      </c>
      <c r="DH10" s="144">
        <f t="shared" si="13"/>
        <v>1</v>
      </c>
      <c r="DI10" s="144" t="s">
        <v>1177</v>
      </c>
      <c r="DJ10" s="144">
        <f t="shared" si="14"/>
        <v>5</v>
      </c>
      <c r="DK10" s="144" t="str">
        <f t="shared" si="15"/>
        <v>鞋子锻造</v>
      </c>
      <c r="DL10" s="144" t="str">
        <f t="shared" si="16"/>
        <v>ui_dtex_Equ_05</v>
      </c>
      <c r="DM10" s="144" t="s">
        <v>1172</v>
      </c>
      <c r="DN10" s="144">
        <f t="shared" si="17"/>
        <v>50</v>
      </c>
    </row>
    <row r="11" spans="1:118" ht="16.5" x14ac:dyDescent="0.2">
      <c r="A11" s="235"/>
      <c r="B11" s="235"/>
      <c r="C11" s="235"/>
      <c r="D11" s="235"/>
      <c r="E11" s="235"/>
      <c r="F11" s="235"/>
      <c r="G11" s="235"/>
      <c r="H11" s="235"/>
      <c r="I11" s="235"/>
      <c r="J11" s="235"/>
      <c r="K11" s="235"/>
      <c r="L11" s="235"/>
      <c r="M11" s="235"/>
      <c r="O11" s="100">
        <v>6</v>
      </c>
      <c r="P11" s="123">
        <f>SUMIFS(节奏总表!$N$5:$N$32,节奏总表!$L$5:$L$32,"&gt;="&amp;装备!Q11,节奏总表!$L$5:$L$32,"&lt;"&amp;装备!Q12)+SUMIFS(节奏总表!$O$5:$O$32,节奏总表!$L$5:$L$32,"&gt;="&amp;装备!Q11,节奏总表!$L$5:$L$32,"&lt;"&amp;装备!Q12)</f>
        <v>263</v>
      </c>
      <c r="Q11" s="100">
        <v>100</v>
      </c>
      <c r="R11" s="100">
        <v>5</v>
      </c>
      <c r="S11" s="100">
        <f t="shared" si="18"/>
        <v>25</v>
      </c>
      <c r="T11" s="100">
        <f t="shared" si="2"/>
        <v>75</v>
      </c>
      <c r="U11" s="100">
        <f t="shared" si="2"/>
        <v>125</v>
      </c>
      <c r="V11" s="100">
        <f t="shared" si="2"/>
        <v>250</v>
      </c>
      <c r="W11" s="139">
        <f t="shared" si="3"/>
        <v>1000</v>
      </c>
      <c r="X11" s="14">
        <f t="shared" si="4"/>
        <v>50</v>
      </c>
      <c r="Y11" s="209">
        <f t="shared" si="5"/>
        <v>300</v>
      </c>
      <c r="AF11" s="139">
        <v>6</v>
      </c>
      <c r="AG11" s="139">
        <v>2</v>
      </c>
      <c r="AH11" s="21">
        <v>2.4597500000000001E-2</v>
      </c>
      <c r="AI11" s="188">
        <f>ROUND(INDEX(金币总表!$Z$5:$Z$12,装备!AG11)*装备!AH11/$AC$5,0)</f>
        <v>150</v>
      </c>
      <c r="AJ11" s="188">
        <v>0.35875000000000001</v>
      </c>
      <c r="AK11" s="139">
        <f>ROUND(INDEX(金币总表!$Z$5:$Z$12,装备!AG11)*装备!AH11/$AC$5,0)</f>
        <v>150</v>
      </c>
      <c r="AM11" s="139">
        <f t="shared" si="6"/>
        <v>75</v>
      </c>
      <c r="AN11" s="139">
        <f t="shared" si="0"/>
        <v>120</v>
      </c>
      <c r="AO11" s="139">
        <f t="shared" si="0"/>
        <v>150</v>
      </c>
      <c r="AP11" s="139">
        <f t="shared" si="0"/>
        <v>180</v>
      </c>
      <c r="AS11" s="139">
        <v>6</v>
      </c>
      <c r="AT11" s="139">
        <v>100</v>
      </c>
      <c r="AU11" s="139">
        <f>SUMIFS(节奏总表!$N$5:$N$32,节奏总表!$L$5:$L$32,"&gt;="&amp;装备!AV11,节奏总表!$L$5:$L$32,"&lt;"&amp;装备!AV12)</f>
        <v>255</v>
      </c>
      <c r="AV11" s="139">
        <v>100</v>
      </c>
      <c r="AW11" s="19">
        <v>0.6</v>
      </c>
      <c r="AX11" s="19">
        <v>0.32</v>
      </c>
      <c r="AY11" s="19">
        <v>0.08</v>
      </c>
      <c r="AZ11" s="19">
        <v>0</v>
      </c>
      <c r="BA11" s="14">
        <f t="shared" si="7"/>
        <v>294</v>
      </c>
      <c r="BC11">
        <v>35</v>
      </c>
      <c r="BD11" s="139">
        <v>6</v>
      </c>
      <c r="BE11" s="163">
        <f>节奏总表!L10</f>
        <v>35</v>
      </c>
      <c r="BF11" s="163">
        <f>节奏总表!N10+2</f>
        <v>28</v>
      </c>
      <c r="BG11" s="19">
        <v>1</v>
      </c>
      <c r="BH11" s="139"/>
      <c r="BI11" s="139"/>
      <c r="BJ11" s="139"/>
      <c r="BK11" s="139"/>
      <c r="BL11" s="139"/>
      <c r="BM11" s="139"/>
      <c r="BN11" s="139"/>
      <c r="BO11" s="139"/>
      <c r="BP11" s="139"/>
      <c r="BQ11" s="139"/>
      <c r="BR11" s="14">
        <f t="shared" si="1"/>
        <v>79.5</v>
      </c>
      <c r="BS11" s="14">
        <f t="shared" si="8"/>
        <v>2226</v>
      </c>
      <c r="BT11" s="14">
        <f>SUM(BS$6:BS11)</f>
        <v>6598.5</v>
      </c>
      <c r="BW11" s="139">
        <v>6</v>
      </c>
      <c r="BX11" s="139">
        <v>100</v>
      </c>
      <c r="BY11" s="19">
        <v>0</v>
      </c>
      <c r="BZ11" s="19">
        <v>0.5</v>
      </c>
      <c r="CA11" s="19">
        <v>0.35</v>
      </c>
      <c r="CB11" s="19">
        <v>0.13</v>
      </c>
      <c r="CC11" s="21">
        <v>0.02</v>
      </c>
      <c r="CD11" s="139">
        <f t="shared" si="9"/>
        <v>214</v>
      </c>
      <c r="CF11" s="139">
        <v>24</v>
      </c>
      <c r="CG11" s="139">
        <f t="shared" si="10"/>
        <v>42.775205607476636</v>
      </c>
      <c r="CJ11" s="139">
        <v>6</v>
      </c>
      <c r="CK11" s="139">
        <v>30</v>
      </c>
      <c r="CM11" s="144">
        <v>6</v>
      </c>
      <c r="CN11" s="144" t="s">
        <v>1188</v>
      </c>
      <c r="CO11" s="144">
        <v>1</v>
      </c>
      <c r="CQ11" s="144">
        <v>70</v>
      </c>
      <c r="CR11" s="144" t="str">
        <f t="shared" si="11"/>
        <v>70级锻造</v>
      </c>
      <c r="CS11" s="144"/>
      <c r="CT11" s="19">
        <v>0.3</v>
      </c>
      <c r="CU11" s="19">
        <v>0.5</v>
      </c>
      <c r="CV11" s="19">
        <v>0.2</v>
      </c>
      <c r="CW11" s="144"/>
      <c r="CX11" s="144"/>
      <c r="CY11" s="144"/>
      <c r="CZ11" s="144"/>
      <c r="DA11" s="144"/>
      <c r="DB11" s="144"/>
      <c r="DC11" s="144"/>
      <c r="DD11" s="144">
        <f t="shared" si="12"/>
        <v>100</v>
      </c>
      <c r="DG11" s="144">
        <v>6</v>
      </c>
      <c r="DH11" s="144">
        <f t="shared" si="13"/>
        <v>1</v>
      </c>
      <c r="DI11" s="144" t="s">
        <v>1177</v>
      </c>
      <c r="DJ11" s="144">
        <f t="shared" si="14"/>
        <v>6</v>
      </c>
      <c r="DK11" s="144" t="str">
        <f t="shared" si="15"/>
        <v>护手锻造</v>
      </c>
      <c r="DL11" s="144" t="str">
        <f t="shared" si="16"/>
        <v>ui_dtex_Equ_06</v>
      </c>
      <c r="DM11" s="144" t="s">
        <v>1172</v>
      </c>
      <c r="DN11" s="144">
        <f t="shared" si="17"/>
        <v>50</v>
      </c>
    </row>
    <row r="12" spans="1:118" ht="16.5" x14ac:dyDescent="0.2">
      <c r="A12" s="235"/>
      <c r="B12" s="235"/>
      <c r="C12" s="235"/>
      <c r="D12" s="235"/>
      <c r="E12" s="235"/>
      <c r="F12" s="235"/>
      <c r="G12" s="235"/>
      <c r="H12" s="235"/>
      <c r="I12" s="235"/>
      <c r="J12" s="235"/>
      <c r="K12" s="235"/>
      <c r="L12" s="235"/>
      <c r="M12" s="235"/>
      <c r="O12" s="100">
        <v>7</v>
      </c>
      <c r="P12" s="123">
        <f>SUMIFS(节奏总表!$N$5:$N$32,节奏总表!$L$5:$L$32,"&gt;="&amp;装备!Q12,节奏总表!$L$5:$L$32,"&lt;"&amp;装备!Q13)+SUMIFS(节奏总表!$O$5:$O$32,节奏总表!$L$5:$L$32,"&gt;="&amp;装备!Q12,节奏总表!$L$5:$L$32,"&lt;"&amp;装备!Q13)</f>
        <v>289</v>
      </c>
      <c r="Q12" s="100">
        <v>110</v>
      </c>
      <c r="R12" s="100">
        <v>6</v>
      </c>
      <c r="S12" s="100">
        <f t="shared" si="18"/>
        <v>30</v>
      </c>
      <c r="T12" s="100">
        <f t="shared" si="2"/>
        <v>90</v>
      </c>
      <c r="U12" s="100">
        <f t="shared" si="2"/>
        <v>150</v>
      </c>
      <c r="V12" s="100">
        <f t="shared" si="2"/>
        <v>300</v>
      </c>
      <c r="W12" s="139">
        <f t="shared" si="3"/>
        <v>1200</v>
      </c>
      <c r="X12" s="14">
        <f t="shared" si="4"/>
        <v>60</v>
      </c>
      <c r="Y12" s="209">
        <f t="shared" si="5"/>
        <v>360</v>
      </c>
      <c r="AF12" s="139">
        <v>7</v>
      </c>
      <c r="AG12" s="139">
        <v>2</v>
      </c>
      <c r="AH12" s="21">
        <v>2.5517000000000001E-2</v>
      </c>
      <c r="AI12" s="188">
        <f>ROUND(INDEX(金币总表!$Z$5:$Z$12,装备!AG12)*装备!AH12/$AC$5,0)</f>
        <v>156</v>
      </c>
      <c r="AJ12" s="188">
        <v>0.39250000000000002</v>
      </c>
      <c r="AK12" s="139">
        <f>ROUND(INDEX(金币总表!$Z$5:$Z$12,装备!AG12)*装备!AH12/$AC$5,0)</f>
        <v>156</v>
      </c>
      <c r="AM12" s="139">
        <f t="shared" si="6"/>
        <v>80</v>
      </c>
      <c r="AN12" s="139">
        <f t="shared" si="0"/>
        <v>125</v>
      </c>
      <c r="AO12" s="139">
        <f t="shared" si="0"/>
        <v>155</v>
      </c>
      <c r="AP12" s="139">
        <f t="shared" si="0"/>
        <v>185</v>
      </c>
      <c r="AS12" s="139">
        <v>7</v>
      </c>
      <c r="AT12" s="139">
        <v>110</v>
      </c>
      <c r="AU12" s="139">
        <f>SUMIFS(节奏总表!$N$5:$N$32,节奏总表!$L$5:$L$32,"&gt;="&amp;装备!AV12,节奏总表!$L$5:$L$32,"&lt;"&amp;装备!AV13)</f>
        <v>281</v>
      </c>
      <c r="AV12" s="139">
        <v>110</v>
      </c>
      <c r="AW12" s="19">
        <v>0.6</v>
      </c>
      <c r="AX12" s="19">
        <v>0.35</v>
      </c>
      <c r="AY12" s="19">
        <v>0.05</v>
      </c>
      <c r="AZ12" s="19">
        <v>0</v>
      </c>
      <c r="BA12" s="14">
        <f t="shared" si="7"/>
        <v>342</v>
      </c>
      <c r="BC12">
        <v>40</v>
      </c>
      <c r="BD12" s="139">
        <v>7</v>
      </c>
      <c r="BE12" s="163">
        <f>节奏总表!L11</f>
        <v>40</v>
      </c>
      <c r="BF12" s="163">
        <f>节奏总表!N11+2</f>
        <v>30</v>
      </c>
      <c r="BG12" s="19">
        <v>0.5</v>
      </c>
      <c r="BH12" s="19">
        <v>0.5</v>
      </c>
      <c r="BI12" s="139"/>
      <c r="BJ12" s="139"/>
      <c r="BK12" s="139"/>
      <c r="BL12" s="139"/>
      <c r="BM12" s="139"/>
      <c r="BN12" s="139"/>
      <c r="BO12" s="139"/>
      <c r="BP12" s="139"/>
      <c r="BQ12" s="139"/>
      <c r="BR12" s="14">
        <f t="shared" si="1"/>
        <v>100.94999999999999</v>
      </c>
      <c r="BS12" s="14">
        <f t="shared" si="8"/>
        <v>3028.4999999999995</v>
      </c>
      <c r="BT12" s="14">
        <f>SUM(BS$6:BS12)</f>
        <v>9627</v>
      </c>
      <c r="BW12" s="139">
        <v>7</v>
      </c>
      <c r="BX12" s="139">
        <v>110</v>
      </c>
      <c r="BY12" s="19">
        <v>0</v>
      </c>
      <c r="BZ12" s="19">
        <v>0.5</v>
      </c>
      <c r="CA12" s="19">
        <v>0.35</v>
      </c>
      <c r="CB12" s="19">
        <v>0.13400000000000001</v>
      </c>
      <c r="CC12" s="21">
        <v>1.6E-2</v>
      </c>
      <c r="CD12" s="139">
        <f t="shared" si="9"/>
        <v>251.03999999999996</v>
      </c>
      <c r="CF12" s="139">
        <v>26</v>
      </c>
      <c r="CG12" s="139">
        <f t="shared" si="10"/>
        <v>44.508164435946469</v>
      </c>
      <c r="CJ12" s="139">
        <v>7</v>
      </c>
      <c r="CK12" s="139">
        <v>35</v>
      </c>
      <c r="CM12" s="144">
        <v>7</v>
      </c>
      <c r="CN12" s="144" t="s">
        <v>1189</v>
      </c>
      <c r="CO12" s="144">
        <v>1.5</v>
      </c>
      <c r="CQ12" s="144">
        <v>80</v>
      </c>
      <c r="CR12" s="144" t="str">
        <f t="shared" si="11"/>
        <v>80级锻造</v>
      </c>
      <c r="CS12" s="144"/>
      <c r="CT12" s="19">
        <v>0.2</v>
      </c>
      <c r="CU12" s="19">
        <v>0.3</v>
      </c>
      <c r="CV12" s="19">
        <v>0.5</v>
      </c>
      <c r="CW12" s="144"/>
      <c r="CX12" s="144"/>
      <c r="CY12" s="144"/>
      <c r="CZ12" s="144"/>
      <c r="DA12" s="144"/>
      <c r="DB12" s="144"/>
      <c r="DC12" s="144"/>
      <c r="DD12" s="144">
        <f t="shared" si="12"/>
        <v>110</v>
      </c>
      <c r="DG12" s="144">
        <v>7</v>
      </c>
      <c r="DH12" s="144">
        <f t="shared" si="13"/>
        <v>1</v>
      </c>
      <c r="DI12" s="144" t="s">
        <v>1177</v>
      </c>
      <c r="DJ12" s="144">
        <f t="shared" si="14"/>
        <v>7</v>
      </c>
      <c r="DK12" s="144" t="str">
        <f t="shared" si="15"/>
        <v>项链锻造</v>
      </c>
      <c r="DL12" s="144" t="str">
        <f t="shared" si="16"/>
        <v>ui_dtex_Equ_07</v>
      </c>
      <c r="DM12" s="144" t="s">
        <v>1172</v>
      </c>
      <c r="DN12" s="144">
        <f t="shared" si="17"/>
        <v>75</v>
      </c>
    </row>
    <row r="13" spans="1:118" ht="16.5" x14ac:dyDescent="0.2">
      <c r="A13" s="235"/>
      <c r="B13" s="235"/>
      <c r="C13" s="235"/>
      <c r="D13" s="235"/>
      <c r="E13" s="235"/>
      <c r="F13" s="235"/>
      <c r="G13" s="235"/>
      <c r="H13" s="235"/>
      <c r="I13" s="235"/>
      <c r="J13" s="235"/>
      <c r="K13" s="235"/>
      <c r="L13" s="235"/>
      <c r="M13" s="235"/>
      <c r="O13" s="100">
        <v>8</v>
      </c>
      <c r="P13" s="123">
        <f>SUMIFS(节奏总表!$N$5:$N$32,节奏总表!$L$5:$L$32,"&gt;="&amp;装备!Q13,节奏总表!$L$5:$L$32,"&lt;"&amp;装备!Q14)+SUMIFS(节奏总表!$O$5:$O$32,节奏总表!$L$5:$L$32,"&gt;="&amp;装备!Q13,节奏总表!$L$5:$L$32,"&lt;"&amp;装备!Q14)</f>
        <v>348</v>
      </c>
      <c r="Q13" s="100">
        <v>120</v>
      </c>
      <c r="R13" s="100">
        <v>8</v>
      </c>
      <c r="S13" s="100">
        <f t="shared" si="18"/>
        <v>40</v>
      </c>
      <c r="T13" s="100">
        <f t="shared" si="2"/>
        <v>120</v>
      </c>
      <c r="U13" s="100">
        <f t="shared" si="2"/>
        <v>200</v>
      </c>
      <c r="V13" s="100">
        <f t="shared" si="2"/>
        <v>400</v>
      </c>
      <c r="W13" s="139">
        <f t="shared" si="3"/>
        <v>1600</v>
      </c>
      <c r="X13" s="14">
        <f t="shared" si="4"/>
        <v>80</v>
      </c>
      <c r="Y13" s="209">
        <f t="shared" si="5"/>
        <v>480</v>
      </c>
      <c r="AF13" s="139">
        <v>8</v>
      </c>
      <c r="AG13" s="139">
        <v>2</v>
      </c>
      <c r="AH13" s="21">
        <v>2.6436500000000002E-2</v>
      </c>
      <c r="AI13" s="188">
        <f>ROUND(INDEX(金币总表!$Z$5:$Z$12,装备!AG13)*装备!AH13/$AC$5,0)</f>
        <v>161</v>
      </c>
      <c r="AJ13" s="188">
        <v>0.42625000000000002</v>
      </c>
      <c r="AK13" s="139">
        <f>ROUND(INDEX(金币总表!$Z$5:$Z$12,装备!AG13)*装备!AH13/$AC$5,0)</f>
        <v>161</v>
      </c>
      <c r="AM13" s="139">
        <f t="shared" si="6"/>
        <v>80</v>
      </c>
      <c r="AN13" s="139">
        <f t="shared" si="0"/>
        <v>130</v>
      </c>
      <c r="AO13" s="139">
        <f t="shared" si="0"/>
        <v>160</v>
      </c>
      <c r="AP13" s="139">
        <f t="shared" si="0"/>
        <v>195</v>
      </c>
      <c r="AS13" s="139">
        <v>8</v>
      </c>
      <c r="AT13" s="139">
        <v>120</v>
      </c>
      <c r="AU13" s="139">
        <f>SUMIFS(节奏总表!$N$5:$N$32,节奏总表!$L$5:$L$32,"&gt;="&amp;装备!AV13,节奏总表!$L$5:$L$32,"&lt;"&amp;装备!AV14)</f>
        <v>340</v>
      </c>
      <c r="AV13" s="139">
        <v>120</v>
      </c>
      <c r="AW13" s="19">
        <v>0.6</v>
      </c>
      <c r="AX13" s="19">
        <v>0.37</v>
      </c>
      <c r="AY13" s="19">
        <v>0.03</v>
      </c>
      <c r="AZ13" s="19">
        <v>0</v>
      </c>
      <c r="BA13" s="14">
        <f t="shared" si="7"/>
        <v>446.40000000000003</v>
      </c>
      <c r="BC13">
        <v>45</v>
      </c>
      <c r="BD13" s="139">
        <v>8</v>
      </c>
      <c r="BE13" s="163">
        <f>节奏总表!L12</f>
        <v>45</v>
      </c>
      <c r="BF13" s="163">
        <f>节奏总表!N12+2</f>
        <v>32</v>
      </c>
      <c r="BG13" s="19">
        <v>0.25</v>
      </c>
      <c r="BH13" s="19">
        <v>0.75</v>
      </c>
      <c r="BI13" s="139"/>
      <c r="BJ13" s="139"/>
      <c r="BK13" s="139"/>
      <c r="BL13" s="139"/>
      <c r="BM13" s="139"/>
      <c r="BN13" s="139"/>
      <c r="BO13" s="139"/>
      <c r="BP13" s="139"/>
      <c r="BQ13" s="139"/>
      <c r="BR13" s="14">
        <f t="shared" si="1"/>
        <v>111.675</v>
      </c>
      <c r="BS13" s="14">
        <f t="shared" si="8"/>
        <v>3573.6</v>
      </c>
      <c r="BT13" s="14">
        <f>SUM(BS$6:BS13)</f>
        <v>13200.6</v>
      </c>
      <c r="BW13" s="139">
        <v>8</v>
      </c>
      <c r="BX13" s="139">
        <v>120</v>
      </c>
      <c r="BY13" s="19">
        <v>0</v>
      </c>
      <c r="BZ13" s="19">
        <v>0.5</v>
      </c>
      <c r="CA13" s="19">
        <v>0.35</v>
      </c>
      <c r="CB13" s="19">
        <v>0.13600000000000001</v>
      </c>
      <c r="CC13" s="21">
        <v>1.4E-2</v>
      </c>
      <c r="CD13" s="139">
        <f t="shared" si="9"/>
        <v>330.88000000000005</v>
      </c>
      <c r="CF13" s="139">
        <v>28</v>
      </c>
      <c r="CG13" s="139">
        <f t="shared" si="10"/>
        <v>46.514504956479684</v>
      </c>
      <c r="CJ13" s="139">
        <v>8</v>
      </c>
      <c r="CK13" s="139">
        <v>40</v>
      </c>
      <c r="CM13" s="144">
        <v>8</v>
      </c>
      <c r="CN13" s="144" t="s">
        <v>1190</v>
      </c>
      <c r="CO13" s="144">
        <v>1.5</v>
      </c>
      <c r="CQ13" s="144">
        <v>85</v>
      </c>
      <c r="CR13" s="144" t="str">
        <f t="shared" si="11"/>
        <v>85级锻造</v>
      </c>
      <c r="CS13" s="144"/>
      <c r="CT13" s="144"/>
      <c r="CU13" s="19">
        <v>0.3</v>
      </c>
      <c r="CV13" s="19">
        <v>0.7</v>
      </c>
      <c r="CW13" s="144"/>
      <c r="CX13" s="144"/>
      <c r="CY13" s="144"/>
      <c r="CZ13" s="144"/>
      <c r="DA13" s="144"/>
      <c r="DB13" s="144"/>
      <c r="DC13" s="144"/>
      <c r="DD13" s="144">
        <f t="shared" si="12"/>
        <v>120</v>
      </c>
      <c r="DG13" s="144">
        <v>8</v>
      </c>
      <c r="DH13" s="144">
        <f t="shared" si="13"/>
        <v>1</v>
      </c>
      <c r="DI13" s="144" t="s">
        <v>1177</v>
      </c>
      <c r="DJ13" s="144">
        <f t="shared" si="14"/>
        <v>8</v>
      </c>
      <c r="DK13" s="144" t="str">
        <f t="shared" si="15"/>
        <v>戒指锻造</v>
      </c>
      <c r="DL13" s="144" t="str">
        <f t="shared" si="16"/>
        <v>ui_dtex_Equ_08</v>
      </c>
      <c r="DM13" s="144" t="s">
        <v>1172</v>
      </c>
      <c r="DN13" s="144">
        <f t="shared" si="17"/>
        <v>75</v>
      </c>
    </row>
    <row r="14" spans="1:118" ht="16.5" customHeight="1" x14ac:dyDescent="0.2">
      <c r="A14" s="235"/>
      <c r="B14" s="235"/>
      <c r="C14" s="235"/>
      <c r="D14" s="235"/>
      <c r="E14" s="235"/>
      <c r="F14" s="235"/>
      <c r="G14" s="235"/>
      <c r="H14" s="235"/>
      <c r="I14" s="235"/>
      <c r="J14" s="235"/>
      <c r="K14" s="235"/>
      <c r="L14" s="235"/>
      <c r="M14" s="235"/>
      <c r="O14" s="100">
        <v>9</v>
      </c>
      <c r="P14" s="123">
        <f>SUMIFS(节奏总表!$N$5:$N$32,节奏总表!$L$5:$L$32,"&gt;="&amp;装备!Q14,节奏总表!$L$5:$L$32,"&lt;"&amp;装备!Q15)+SUMIFS(节奏总表!$O$5:$O$32,节奏总表!$L$5:$L$32,"&gt;="&amp;装备!Q14,节奏总表!$L$5:$L$32,"&lt;"&amp;装备!Q15)</f>
        <v>468</v>
      </c>
      <c r="Q14" s="100">
        <v>130</v>
      </c>
      <c r="R14" s="100">
        <v>10</v>
      </c>
      <c r="S14" s="100">
        <f t="shared" si="18"/>
        <v>50</v>
      </c>
      <c r="T14" s="100">
        <f t="shared" si="2"/>
        <v>150</v>
      </c>
      <c r="U14" s="100">
        <f t="shared" si="2"/>
        <v>250</v>
      </c>
      <c r="V14" s="100">
        <f t="shared" si="2"/>
        <v>500</v>
      </c>
      <c r="W14" s="139">
        <f t="shared" si="3"/>
        <v>2000</v>
      </c>
      <c r="X14" s="14">
        <f t="shared" si="4"/>
        <v>100</v>
      </c>
      <c r="Y14" s="209">
        <f t="shared" si="5"/>
        <v>600</v>
      </c>
      <c r="AF14" s="139">
        <v>9</v>
      </c>
      <c r="AG14" s="139">
        <v>2</v>
      </c>
      <c r="AH14" s="21">
        <v>2.7355999999999998E-2</v>
      </c>
      <c r="AI14" s="188">
        <f>ROUND(INDEX(金币总表!$Z$5:$Z$12,装备!AG14)*装备!AH14/$AC$5,0)</f>
        <v>167</v>
      </c>
      <c r="AJ14" s="188">
        <v>0.46</v>
      </c>
      <c r="AK14" s="139">
        <f>ROUND(INDEX(金币总表!$Z$5:$Z$12,装备!AG14)*装备!AH14/$AC$5,0)</f>
        <v>167</v>
      </c>
      <c r="AM14" s="139">
        <f t="shared" si="6"/>
        <v>85</v>
      </c>
      <c r="AN14" s="139">
        <f t="shared" si="0"/>
        <v>135</v>
      </c>
      <c r="AO14" s="139">
        <f t="shared" si="0"/>
        <v>165</v>
      </c>
      <c r="AP14" s="139">
        <f t="shared" si="0"/>
        <v>200</v>
      </c>
      <c r="AS14" s="139">
        <v>9</v>
      </c>
      <c r="AT14" s="139">
        <v>130</v>
      </c>
      <c r="AU14" s="139">
        <f>SUMIFS(节奏总表!$N$5:$N$32,节奏总表!$L$5:$L$32,"&gt;="&amp;装备!AV14,节奏总表!$L$5:$L$32,"&lt;"&amp;装备!AV15)</f>
        <v>460</v>
      </c>
      <c r="AV14" s="139">
        <v>130</v>
      </c>
      <c r="AW14" s="19">
        <v>0.6</v>
      </c>
      <c r="AX14" s="19">
        <v>0.4</v>
      </c>
      <c r="AY14" s="19">
        <v>0</v>
      </c>
      <c r="AZ14" s="19">
        <v>0</v>
      </c>
      <c r="BA14" s="14">
        <f t="shared" si="7"/>
        <v>540</v>
      </c>
      <c r="BC14">
        <v>50</v>
      </c>
      <c r="BD14" s="139">
        <v>9</v>
      </c>
      <c r="BE14" s="163">
        <f>节奏总表!L13</f>
        <v>50</v>
      </c>
      <c r="BF14" s="163">
        <f>节奏总表!N13+2</f>
        <v>36</v>
      </c>
      <c r="BG14" s="139"/>
      <c r="BH14" s="19">
        <v>1</v>
      </c>
      <c r="BI14" s="139"/>
      <c r="BJ14" s="139"/>
      <c r="BK14" s="139"/>
      <c r="BL14" s="139"/>
      <c r="BM14" s="139"/>
      <c r="BN14" s="139"/>
      <c r="BO14" s="139"/>
      <c r="BP14" s="139"/>
      <c r="BQ14" s="139"/>
      <c r="BR14" s="14">
        <f t="shared" si="1"/>
        <v>122.39999999999999</v>
      </c>
      <c r="BS14" s="14">
        <f t="shared" si="8"/>
        <v>4406.3999999999996</v>
      </c>
      <c r="BT14" s="14">
        <f>SUM(BS$6:BS14)</f>
        <v>17607</v>
      </c>
      <c r="BW14" s="139">
        <v>9</v>
      </c>
      <c r="BX14" s="139">
        <v>130</v>
      </c>
      <c r="BY14" s="19">
        <v>0</v>
      </c>
      <c r="BZ14" s="19">
        <v>0.5</v>
      </c>
      <c r="CA14" s="19">
        <v>0.35</v>
      </c>
      <c r="CB14" s="19">
        <v>0.13800000000000001</v>
      </c>
      <c r="CC14" s="21">
        <v>1.2E-2</v>
      </c>
      <c r="CD14" s="139">
        <f t="shared" si="9"/>
        <v>408.8</v>
      </c>
      <c r="CF14" s="139">
        <v>30</v>
      </c>
      <c r="CG14" s="139">
        <f t="shared" si="10"/>
        <v>137.36410273972601</v>
      </c>
      <c r="CJ14" s="139">
        <v>9</v>
      </c>
      <c r="CK14" s="139">
        <v>45</v>
      </c>
      <c r="CQ14" s="144">
        <v>90</v>
      </c>
      <c r="CR14" s="144" t="str">
        <f t="shared" si="11"/>
        <v>90级锻造</v>
      </c>
      <c r="CS14" s="144"/>
      <c r="CT14" s="144"/>
      <c r="CU14" s="19">
        <v>0.2</v>
      </c>
      <c r="CV14" s="19">
        <v>0.3</v>
      </c>
      <c r="CW14" s="19">
        <v>0.5</v>
      </c>
      <c r="CX14" s="144"/>
      <c r="CY14" s="144"/>
      <c r="CZ14" s="144"/>
      <c r="DA14" s="144"/>
      <c r="DB14" s="144"/>
      <c r="DC14" s="144"/>
      <c r="DD14" s="144">
        <f t="shared" si="12"/>
        <v>150</v>
      </c>
      <c r="DG14" s="144">
        <v>9</v>
      </c>
      <c r="DH14" s="144">
        <f t="shared" si="13"/>
        <v>2</v>
      </c>
      <c r="DI14" s="144" t="s">
        <v>1177</v>
      </c>
      <c r="DJ14" s="144">
        <f t="shared" si="14"/>
        <v>1</v>
      </c>
      <c r="DK14" s="144" t="str">
        <f t="shared" si="15"/>
        <v>灵器锻造</v>
      </c>
      <c r="DL14" s="144" t="str">
        <f t="shared" si="16"/>
        <v>ui_dtex_Equ_01</v>
      </c>
      <c r="DM14" s="144" t="s">
        <v>1172</v>
      </c>
      <c r="DN14" s="144">
        <f t="shared" si="17"/>
        <v>110</v>
      </c>
    </row>
    <row r="15" spans="1:118" ht="16.5" x14ac:dyDescent="0.2">
      <c r="A15" s="235"/>
      <c r="B15" s="235"/>
      <c r="C15" s="235"/>
      <c r="D15" s="235"/>
      <c r="E15" s="235"/>
      <c r="F15" s="235"/>
      <c r="G15" s="235"/>
      <c r="H15" s="235"/>
      <c r="I15" s="235"/>
      <c r="J15" s="235"/>
      <c r="K15" s="235"/>
      <c r="L15" s="235"/>
      <c r="M15" s="235"/>
      <c r="O15" s="100">
        <v>10</v>
      </c>
      <c r="P15" s="123">
        <f>SUMIFS(节奏总表!$N$5:$N$32,节奏总表!$L$5:$L$32,"&gt;="&amp;装备!Q15,节奏总表!$L$5:$L$32,"&lt;"&amp;装备!Q16)+SUMIFS(节奏总表!$O$5:$O$32,节奏总表!$L$5:$L$32,"&gt;="&amp;装备!Q15,节奏总表!$L$5:$L$32,"&lt;"&amp;装备!Q16)</f>
        <v>648</v>
      </c>
      <c r="Q15" s="100">
        <v>140</v>
      </c>
      <c r="R15" s="100">
        <v>12</v>
      </c>
      <c r="S15" s="100">
        <f t="shared" si="18"/>
        <v>60</v>
      </c>
      <c r="T15" s="100">
        <f t="shared" si="2"/>
        <v>180</v>
      </c>
      <c r="U15" s="100">
        <f t="shared" si="2"/>
        <v>300</v>
      </c>
      <c r="V15" s="100">
        <f t="shared" si="2"/>
        <v>600</v>
      </c>
      <c r="W15" s="139">
        <f t="shared" si="3"/>
        <v>2400</v>
      </c>
      <c r="X15" s="14">
        <f t="shared" si="4"/>
        <v>120</v>
      </c>
      <c r="Y15" s="209">
        <f t="shared" si="5"/>
        <v>720</v>
      </c>
      <c r="AF15" s="139">
        <v>10</v>
      </c>
      <c r="AG15" s="139">
        <v>2</v>
      </c>
      <c r="AH15" s="21">
        <v>2.8275499999999999E-2</v>
      </c>
      <c r="AI15" s="188">
        <f>ROUND(INDEX(金币总表!$Z$5:$Z$12,装备!AG15)*装备!AH15/$AC$5,0)</f>
        <v>172</v>
      </c>
      <c r="AJ15" s="188">
        <v>0.49375000000000002</v>
      </c>
      <c r="AK15" s="139">
        <f>ROUND(INDEX(金币总表!$Z$5:$Z$12,装备!AG15)*装备!AH15/$AC$5,0)</f>
        <v>172</v>
      </c>
      <c r="AM15" s="139">
        <f t="shared" si="6"/>
        <v>85</v>
      </c>
      <c r="AN15" s="139">
        <f t="shared" si="0"/>
        <v>140</v>
      </c>
      <c r="AO15" s="139">
        <f t="shared" si="0"/>
        <v>170</v>
      </c>
      <c r="AP15" s="139">
        <f t="shared" si="0"/>
        <v>205</v>
      </c>
      <c r="AS15" s="139">
        <v>10</v>
      </c>
      <c r="AT15" s="139">
        <v>140</v>
      </c>
      <c r="AU15" s="139">
        <f>SUMIFS(节奏总表!$N$5:$N$32,节奏总表!$L$5:$L$32,"&gt;="&amp;装备!AV15,节奏总表!$L$5:$L$32,"&lt;"&amp;装备!AV16)</f>
        <v>640</v>
      </c>
      <c r="AV15" s="139">
        <v>140</v>
      </c>
      <c r="AW15" s="19">
        <v>0.6</v>
      </c>
      <c r="AX15" s="19">
        <v>0.4</v>
      </c>
      <c r="AY15" s="19">
        <v>0</v>
      </c>
      <c r="AZ15" s="19">
        <v>0</v>
      </c>
      <c r="BA15" s="14">
        <f t="shared" si="7"/>
        <v>648</v>
      </c>
      <c r="BC15">
        <v>55</v>
      </c>
      <c r="BD15" s="139">
        <v>10</v>
      </c>
      <c r="BE15" s="163">
        <f>节奏总表!L14</f>
        <v>55</v>
      </c>
      <c r="BF15" s="163">
        <f>节奏总表!N14+2</f>
        <v>42</v>
      </c>
      <c r="BG15" s="139"/>
      <c r="BH15" s="19">
        <v>1</v>
      </c>
      <c r="BI15" s="139"/>
      <c r="BJ15" s="139"/>
      <c r="BK15" s="139"/>
      <c r="BL15" s="139"/>
      <c r="BM15" s="139"/>
      <c r="BN15" s="139"/>
      <c r="BO15" s="139"/>
      <c r="BP15" s="139"/>
      <c r="BQ15" s="139"/>
      <c r="BR15" s="14">
        <f t="shared" si="1"/>
        <v>122.39999999999999</v>
      </c>
      <c r="BS15" s="14">
        <f t="shared" si="8"/>
        <v>5140.7999999999993</v>
      </c>
      <c r="BT15" s="14">
        <f>SUM(BS$6:BS15)</f>
        <v>22747.8</v>
      </c>
      <c r="BW15" s="139">
        <v>10</v>
      </c>
      <c r="BX15" s="139">
        <v>140</v>
      </c>
      <c r="BY15" s="19">
        <v>0</v>
      </c>
      <c r="BZ15" s="19">
        <v>0.5</v>
      </c>
      <c r="CA15" s="19">
        <v>0.35</v>
      </c>
      <c r="CB15" s="19">
        <v>0.14000000000000001</v>
      </c>
      <c r="CC15" s="21">
        <v>0.01</v>
      </c>
      <c r="CD15" s="139">
        <f t="shared" si="9"/>
        <v>484.8</v>
      </c>
      <c r="CF15" s="139">
        <v>30</v>
      </c>
      <c r="CG15" s="139">
        <f t="shared" si="10"/>
        <v>96.525105198019787</v>
      </c>
      <c r="CJ15" s="139">
        <v>10</v>
      </c>
      <c r="CK15" s="139">
        <v>50</v>
      </c>
      <c r="CQ15" s="144">
        <v>95</v>
      </c>
      <c r="CR15" s="144" t="str">
        <f t="shared" si="11"/>
        <v>95级锻造</v>
      </c>
      <c r="CS15" s="144"/>
      <c r="CT15" s="144"/>
      <c r="CU15" s="144"/>
      <c r="CV15" s="19">
        <v>0.3</v>
      </c>
      <c r="CW15" s="19">
        <v>0.7</v>
      </c>
      <c r="CX15" s="144"/>
      <c r="CY15" s="144"/>
      <c r="CZ15" s="144"/>
      <c r="DA15" s="144"/>
      <c r="DB15" s="144"/>
      <c r="DC15" s="144"/>
      <c r="DD15" s="144">
        <f t="shared" si="12"/>
        <v>165</v>
      </c>
      <c r="DG15" s="144">
        <v>10</v>
      </c>
      <c r="DH15" s="144">
        <f t="shared" si="13"/>
        <v>2</v>
      </c>
      <c r="DI15" s="144" t="s">
        <v>1177</v>
      </c>
      <c r="DJ15" s="144">
        <f t="shared" si="14"/>
        <v>2</v>
      </c>
      <c r="DK15" s="144" t="str">
        <f t="shared" si="15"/>
        <v>头盔锻造</v>
      </c>
      <c r="DL15" s="144" t="str">
        <f t="shared" si="16"/>
        <v>ui_dtex_Equ_02</v>
      </c>
      <c r="DM15" s="144" t="s">
        <v>1172</v>
      </c>
      <c r="DN15" s="144">
        <f t="shared" si="17"/>
        <v>55</v>
      </c>
    </row>
    <row r="16" spans="1:118" ht="16.5" x14ac:dyDescent="0.2">
      <c r="A16" s="235"/>
      <c r="B16" s="235"/>
      <c r="C16" s="235"/>
      <c r="D16" s="235"/>
      <c r="E16" s="235"/>
      <c r="F16" s="235"/>
      <c r="G16" s="235"/>
      <c r="H16" s="235"/>
      <c r="I16" s="235"/>
      <c r="J16" s="235"/>
      <c r="K16" s="235"/>
      <c r="L16" s="235"/>
      <c r="M16" s="235"/>
      <c r="O16" s="100">
        <v>11</v>
      </c>
      <c r="P16" s="123">
        <f>SUMIFS(节奏总表!$N$5:$N$32,节奏总表!$L$5:$L$32,"&gt;="&amp;装备!Q16,节奏总表!$L$5:$L$32,"&lt;"&amp;装备!Q17)+SUMIFS(节奏总表!$O$5:$O$32,节奏总表!$L$5:$L$32,"&gt;="&amp;装备!Q16,节奏总表!$L$5:$L$32,"&lt;"&amp;装备!Q17)</f>
        <v>0</v>
      </c>
      <c r="Q16" s="100">
        <v>150</v>
      </c>
      <c r="R16" s="100">
        <v>16</v>
      </c>
      <c r="S16" s="100">
        <f t="shared" si="18"/>
        <v>80</v>
      </c>
      <c r="T16" s="100">
        <f t="shared" si="2"/>
        <v>240</v>
      </c>
      <c r="U16" s="100">
        <f t="shared" si="2"/>
        <v>400</v>
      </c>
      <c r="V16" s="100">
        <f t="shared" si="2"/>
        <v>800</v>
      </c>
      <c r="W16" s="139">
        <f t="shared" si="3"/>
        <v>3200</v>
      </c>
      <c r="X16" s="14">
        <f t="shared" si="4"/>
        <v>160</v>
      </c>
      <c r="Y16" s="209">
        <f t="shared" si="5"/>
        <v>960</v>
      </c>
      <c r="AF16" s="139">
        <v>11</v>
      </c>
      <c r="AG16" s="139">
        <f>MATCH(AF16-1,金币总表!$Y$4:$Y$12,1)</f>
        <v>2</v>
      </c>
      <c r="AH16" s="21">
        <v>2.9194999999999999E-2</v>
      </c>
      <c r="AI16" s="188">
        <f>ROUND(INDEX(金币总表!$Z$5:$Z$12,装备!AG16)*装备!AH16/$AC$5,0)</f>
        <v>178</v>
      </c>
      <c r="AJ16" s="188">
        <v>0.52749999999999997</v>
      </c>
      <c r="AK16" s="139">
        <f>ROUND(INDEX(金币总表!$Z$5:$Z$12,装备!AG16)*装备!AH16/$AC$5,0)</f>
        <v>178</v>
      </c>
      <c r="AM16" s="139">
        <f t="shared" si="6"/>
        <v>90</v>
      </c>
      <c r="AN16" s="139">
        <f t="shared" si="0"/>
        <v>140</v>
      </c>
      <c r="AO16" s="139">
        <f t="shared" si="0"/>
        <v>180</v>
      </c>
      <c r="AP16" s="139">
        <f t="shared" si="0"/>
        <v>215</v>
      </c>
      <c r="AS16" s="139">
        <v>11</v>
      </c>
      <c r="AT16" s="139">
        <v>150</v>
      </c>
      <c r="AU16" s="139">
        <f>SUMIFS(节奏总表!$N$5:$N$32,节奏总表!$L$5:$L$32,"&gt;="&amp;装备!AV16,节奏总表!$L$5:$L$32,"&lt;"&amp;装备!AV17)</f>
        <v>0</v>
      </c>
      <c r="AV16" s="139">
        <v>150</v>
      </c>
      <c r="AW16" s="19">
        <v>0.6</v>
      </c>
      <c r="AX16" s="19">
        <v>0.4</v>
      </c>
      <c r="AY16" s="19">
        <v>0</v>
      </c>
      <c r="AZ16" s="19">
        <v>0</v>
      </c>
      <c r="BA16" s="14">
        <f t="shared" si="7"/>
        <v>864</v>
      </c>
      <c r="BC16">
        <v>60</v>
      </c>
      <c r="BD16" s="139">
        <v>11</v>
      </c>
      <c r="BE16" s="163">
        <f>节奏总表!L15</f>
        <v>60</v>
      </c>
      <c r="BF16" s="163">
        <f>节奏总表!N15+2</f>
        <v>47</v>
      </c>
      <c r="BG16" s="139"/>
      <c r="BH16" s="19">
        <v>0.5</v>
      </c>
      <c r="BI16" s="19">
        <v>0.5</v>
      </c>
      <c r="BJ16" s="139"/>
      <c r="BK16" s="139"/>
      <c r="BL16" s="139"/>
      <c r="BM16" s="139"/>
      <c r="BN16" s="139"/>
      <c r="BO16" s="139"/>
      <c r="BP16" s="139"/>
      <c r="BQ16" s="139"/>
      <c r="BR16" s="14">
        <f t="shared" si="1"/>
        <v>130.19999999999999</v>
      </c>
      <c r="BS16" s="14">
        <f t="shared" si="8"/>
        <v>6119.4</v>
      </c>
      <c r="BT16" s="14">
        <f>SUM(BS$6:BS16)</f>
        <v>28867.199999999997</v>
      </c>
      <c r="BW16" s="139">
        <v>11</v>
      </c>
      <c r="BX16" s="139">
        <v>150</v>
      </c>
      <c r="BY16" s="19">
        <v>0</v>
      </c>
      <c r="BZ16" s="19">
        <v>0.5</v>
      </c>
      <c r="CA16" s="19">
        <v>0.35</v>
      </c>
      <c r="CB16" s="19">
        <v>0.13600000000000001</v>
      </c>
      <c r="CC16" s="21">
        <v>0.01</v>
      </c>
      <c r="CD16" s="139">
        <f t="shared" si="9"/>
        <v>641.28000000000009</v>
      </c>
      <c r="CF16" s="139">
        <v>30</v>
      </c>
      <c r="CG16" s="139">
        <f t="shared" si="10"/>
        <v>72.971823540419152</v>
      </c>
      <c r="CJ16" s="139">
        <v>11</v>
      </c>
      <c r="CK16" s="139">
        <v>55</v>
      </c>
      <c r="CQ16" s="144">
        <v>100</v>
      </c>
      <c r="CR16" s="144" t="str">
        <f t="shared" si="11"/>
        <v>100级锻造</v>
      </c>
      <c r="CS16" s="144"/>
      <c r="CT16" s="144"/>
      <c r="CU16" s="144"/>
      <c r="CV16" s="19">
        <v>0.2</v>
      </c>
      <c r="CW16" s="19">
        <v>0.3</v>
      </c>
      <c r="CX16" s="19">
        <v>0.5</v>
      </c>
      <c r="CY16" s="144"/>
      <c r="CZ16" s="144"/>
      <c r="DA16" s="144"/>
      <c r="DB16" s="144"/>
      <c r="DC16" s="144"/>
      <c r="DD16" s="144">
        <f t="shared" si="12"/>
        <v>185</v>
      </c>
      <c r="DG16" s="144">
        <v>11</v>
      </c>
      <c r="DH16" s="144">
        <f t="shared" si="13"/>
        <v>2</v>
      </c>
      <c r="DI16" s="144" t="s">
        <v>1177</v>
      </c>
      <c r="DJ16" s="144">
        <f t="shared" si="14"/>
        <v>3</v>
      </c>
      <c r="DK16" s="144" t="str">
        <f t="shared" si="15"/>
        <v>铠甲锻造</v>
      </c>
      <c r="DL16" s="144" t="str">
        <f t="shared" si="16"/>
        <v>ui_dtex_Equ_03</v>
      </c>
      <c r="DM16" s="144" t="s">
        <v>1172</v>
      </c>
      <c r="DN16" s="144">
        <f t="shared" si="17"/>
        <v>55</v>
      </c>
    </row>
    <row r="17" spans="1:118" ht="14.25" customHeight="1" x14ac:dyDescent="0.2">
      <c r="A17" s="235"/>
      <c r="B17" s="235"/>
      <c r="C17" s="235"/>
      <c r="D17" s="235"/>
      <c r="E17" s="235"/>
      <c r="F17" s="235"/>
      <c r="G17" s="235"/>
      <c r="H17" s="235"/>
      <c r="I17" s="235"/>
      <c r="J17" s="235"/>
      <c r="K17" s="235"/>
      <c r="L17" s="235"/>
      <c r="M17" s="235"/>
      <c r="AF17" s="139">
        <v>12</v>
      </c>
      <c r="AG17" s="139">
        <f>MATCH(AF17-1,金币总表!$Y$4:$Y$12,1)</f>
        <v>2</v>
      </c>
      <c r="AH17" s="21">
        <v>3.0114499999999999E-2</v>
      </c>
      <c r="AI17" s="188">
        <f>ROUND(INDEX(金币总表!$Z$5:$Z$12,装备!AG17)*装备!AH17/$AC$5,0)</f>
        <v>184</v>
      </c>
      <c r="AJ17" s="188">
        <v>0.56125000000000003</v>
      </c>
      <c r="AK17" s="139">
        <f>ROUND(INDEX(金币总表!$Z$5:$Z$12,装备!AG17)*装备!AH17/$AC$5,0)</f>
        <v>184</v>
      </c>
      <c r="AM17" s="139">
        <f t="shared" si="6"/>
        <v>90</v>
      </c>
      <c r="AN17" s="139">
        <f t="shared" si="0"/>
        <v>145</v>
      </c>
      <c r="AO17" s="139">
        <f t="shared" si="0"/>
        <v>185</v>
      </c>
      <c r="AP17" s="139">
        <f t="shared" si="0"/>
        <v>220</v>
      </c>
      <c r="BC17">
        <v>65</v>
      </c>
      <c r="BD17" s="139">
        <v>12</v>
      </c>
      <c r="BE17" s="163">
        <f>节奏总表!L16</f>
        <v>65</v>
      </c>
      <c r="BF17" s="163">
        <f>节奏总表!N16+2</f>
        <v>53</v>
      </c>
      <c r="BG17" s="139"/>
      <c r="BH17" s="19">
        <v>0.25</v>
      </c>
      <c r="BI17" s="19">
        <v>0.75</v>
      </c>
      <c r="BJ17" s="139"/>
      <c r="BK17" s="139"/>
      <c r="BL17" s="139"/>
      <c r="BM17" s="139"/>
      <c r="BN17" s="139"/>
      <c r="BO17" s="139"/>
      <c r="BP17" s="139"/>
      <c r="BQ17" s="139"/>
      <c r="BR17" s="14">
        <f t="shared" si="1"/>
        <v>134.1</v>
      </c>
      <c r="BS17" s="14">
        <f t="shared" si="8"/>
        <v>7107.2999999999993</v>
      </c>
      <c r="BT17" s="14">
        <f>SUM(BS$6:BS17)</f>
        <v>35974.5</v>
      </c>
      <c r="CJ17" s="139">
        <v>12</v>
      </c>
      <c r="CK17" s="139">
        <v>60</v>
      </c>
      <c r="CQ17" s="144">
        <v>105</v>
      </c>
      <c r="CR17" s="144" t="str">
        <f t="shared" si="11"/>
        <v>105级锻造</v>
      </c>
      <c r="CS17" s="144"/>
      <c r="CT17" s="144"/>
      <c r="CU17" s="144"/>
      <c r="CV17" s="19"/>
      <c r="CW17" s="19">
        <v>0.3</v>
      </c>
      <c r="CX17" s="19">
        <v>0.7</v>
      </c>
      <c r="CY17" s="144"/>
      <c r="CZ17" s="144"/>
      <c r="DA17" s="144"/>
      <c r="DB17" s="144"/>
      <c r="DC17" s="144"/>
      <c r="DD17" s="144">
        <f t="shared" si="12"/>
        <v>205</v>
      </c>
      <c r="DG17" s="144">
        <v>12</v>
      </c>
      <c r="DH17" s="144">
        <f t="shared" si="13"/>
        <v>2</v>
      </c>
      <c r="DI17" s="144" t="s">
        <v>1177</v>
      </c>
      <c r="DJ17" s="144">
        <f t="shared" si="14"/>
        <v>4</v>
      </c>
      <c r="DK17" s="144" t="str">
        <f t="shared" si="15"/>
        <v>裤子锻造</v>
      </c>
      <c r="DL17" s="144" t="str">
        <f t="shared" si="16"/>
        <v>ui_dtex_Equ_04</v>
      </c>
      <c r="DM17" s="144" t="s">
        <v>1172</v>
      </c>
      <c r="DN17" s="144">
        <f t="shared" si="17"/>
        <v>55</v>
      </c>
    </row>
    <row r="18" spans="1:118" ht="14.25" customHeight="1" x14ac:dyDescent="0.2">
      <c r="A18" s="235"/>
      <c r="B18" s="235"/>
      <c r="C18" s="235"/>
      <c r="D18" s="235"/>
      <c r="E18" s="235"/>
      <c r="F18" s="235"/>
      <c r="G18" s="235"/>
      <c r="H18" s="235"/>
      <c r="I18" s="235"/>
      <c r="J18" s="235"/>
      <c r="K18" s="235"/>
      <c r="L18" s="235"/>
      <c r="M18" s="235"/>
      <c r="AF18" s="139">
        <v>13</v>
      </c>
      <c r="AG18" s="139">
        <f>MATCH(AF18-1,金币总表!$Y$4:$Y$12,1)</f>
        <v>2</v>
      </c>
      <c r="AH18" s="21">
        <v>3.1033999999999999E-2</v>
      </c>
      <c r="AI18" s="188">
        <f>ROUND(INDEX(金币总表!$Z$5:$Z$12,装备!AG18)*装备!AH18/$AC$5,0)</f>
        <v>189</v>
      </c>
      <c r="AJ18" s="188">
        <v>0.59499999999999997</v>
      </c>
      <c r="AK18" s="139">
        <f>ROUND(INDEX(金币总表!$Z$5:$Z$12,装备!AG18)*装备!AH18/$AC$5,0)</f>
        <v>189</v>
      </c>
      <c r="AM18" s="139">
        <f t="shared" si="6"/>
        <v>95</v>
      </c>
      <c r="AN18" s="139">
        <f t="shared" si="0"/>
        <v>150</v>
      </c>
      <c r="AO18" s="139">
        <f t="shared" si="0"/>
        <v>190</v>
      </c>
      <c r="AP18" s="139">
        <f t="shared" si="0"/>
        <v>225</v>
      </c>
      <c r="BC18">
        <v>70</v>
      </c>
      <c r="BD18" s="139">
        <v>13</v>
      </c>
      <c r="BE18" s="163">
        <f>节奏总表!L17</f>
        <v>70</v>
      </c>
      <c r="BF18" s="163">
        <f>节奏总表!N17+2</f>
        <v>67</v>
      </c>
      <c r="BG18" s="139"/>
      <c r="BH18" s="139"/>
      <c r="BI18" s="19">
        <v>1</v>
      </c>
      <c r="BJ18" s="139"/>
      <c r="BK18" s="139"/>
      <c r="BL18" s="139"/>
      <c r="BM18" s="139"/>
      <c r="BN18" s="139"/>
      <c r="BO18" s="139"/>
      <c r="BP18" s="139"/>
      <c r="BQ18" s="139"/>
      <c r="BR18" s="14">
        <f t="shared" si="1"/>
        <v>138</v>
      </c>
      <c r="BS18" s="14">
        <f t="shared" si="8"/>
        <v>9246</v>
      </c>
      <c r="BT18" s="14">
        <f>SUM(BS$6:BS18)</f>
        <v>45220.5</v>
      </c>
      <c r="CJ18" s="139">
        <v>13</v>
      </c>
      <c r="CK18" s="139">
        <v>65</v>
      </c>
      <c r="CQ18" s="144">
        <v>110</v>
      </c>
      <c r="CR18" s="144" t="str">
        <f t="shared" si="11"/>
        <v>110级锻造</v>
      </c>
      <c r="CS18" s="144"/>
      <c r="CT18" s="144"/>
      <c r="CU18" s="144"/>
      <c r="CV18" s="144"/>
      <c r="CW18" s="19">
        <v>0.2</v>
      </c>
      <c r="CX18" s="19">
        <v>0.3</v>
      </c>
      <c r="CY18" s="19">
        <v>0.5</v>
      </c>
      <c r="CZ18" s="144"/>
      <c r="DA18" s="144"/>
      <c r="DB18" s="144"/>
      <c r="DC18" s="144"/>
      <c r="DD18" s="144">
        <f t="shared" si="12"/>
        <v>225</v>
      </c>
      <c r="DG18" s="144">
        <v>13</v>
      </c>
      <c r="DH18" s="144">
        <f t="shared" si="13"/>
        <v>2</v>
      </c>
      <c r="DI18" s="144" t="s">
        <v>1177</v>
      </c>
      <c r="DJ18" s="144">
        <f t="shared" si="14"/>
        <v>5</v>
      </c>
      <c r="DK18" s="144" t="str">
        <f t="shared" si="15"/>
        <v>鞋子锻造</v>
      </c>
      <c r="DL18" s="144" t="str">
        <f t="shared" si="16"/>
        <v>ui_dtex_Equ_05</v>
      </c>
      <c r="DM18" s="144" t="s">
        <v>1172</v>
      </c>
      <c r="DN18" s="144">
        <f t="shared" si="17"/>
        <v>55</v>
      </c>
    </row>
    <row r="19" spans="1:118" ht="14.25" customHeight="1" x14ac:dyDescent="0.2">
      <c r="A19" s="235"/>
      <c r="B19" s="235"/>
      <c r="C19" s="235"/>
      <c r="D19" s="235"/>
      <c r="E19" s="235"/>
      <c r="F19" s="235"/>
      <c r="G19" s="235"/>
      <c r="H19" s="235"/>
      <c r="I19" s="235"/>
      <c r="J19" s="235"/>
      <c r="K19" s="235"/>
      <c r="L19" s="235"/>
      <c r="M19" s="235"/>
      <c r="AF19" s="139">
        <v>14</v>
      </c>
      <c r="AG19" s="139">
        <f>MATCH(AF19-1,金币总表!$Y$4:$Y$12,1)</f>
        <v>2</v>
      </c>
      <c r="AH19" s="21">
        <v>3.1953500000000003E-2</v>
      </c>
      <c r="AI19" s="188">
        <f>ROUND(INDEX(金币总表!$Z$5:$Z$12,装备!AG19)*装备!AH19/$AC$5,0)</f>
        <v>195</v>
      </c>
      <c r="AJ19" s="188">
        <v>0.62875000000000003</v>
      </c>
      <c r="AK19" s="139">
        <f>ROUND(INDEX(金币总表!$Z$5:$Z$12,装备!AG19)*装备!AH19/$AC$5,0)</f>
        <v>195</v>
      </c>
      <c r="AM19" s="139">
        <f t="shared" si="6"/>
        <v>100</v>
      </c>
      <c r="AN19" s="139">
        <f t="shared" si="0"/>
        <v>155</v>
      </c>
      <c r="AO19" s="139">
        <f t="shared" si="0"/>
        <v>195</v>
      </c>
      <c r="AP19" s="139">
        <f t="shared" si="0"/>
        <v>235</v>
      </c>
      <c r="BC19">
        <v>75</v>
      </c>
      <c r="BD19" s="139">
        <v>14</v>
      </c>
      <c r="BE19" s="163">
        <f>节奏总表!L18</f>
        <v>75</v>
      </c>
      <c r="BF19" s="163">
        <f>节奏总表!N18+2</f>
        <v>78</v>
      </c>
      <c r="BG19" s="139"/>
      <c r="BH19" s="139"/>
      <c r="BI19" s="19">
        <v>1</v>
      </c>
      <c r="BJ19" s="139"/>
      <c r="BK19" s="139"/>
      <c r="BL19" s="139"/>
      <c r="BM19" s="139"/>
      <c r="BN19" s="139"/>
      <c r="BO19" s="139"/>
      <c r="BP19" s="139"/>
      <c r="BQ19" s="139"/>
      <c r="BR19" s="14">
        <f t="shared" si="1"/>
        <v>138</v>
      </c>
      <c r="BS19" s="14">
        <f t="shared" si="8"/>
        <v>10764</v>
      </c>
      <c r="BT19" s="14">
        <f>SUM(BS$6:BS19)</f>
        <v>55984.5</v>
      </c>
      <c r="CJ19" s="139">
        <v>14</v>
      </c>
      <c r="CK19" s="139">
        <v>70</v>
      </c>
      <c r="CQ19" s="144">
        <v>115</v>
      </c>
      <c r="CR19" s="144" t="str">
        <f t="shared" si="11"/>
        <v>115级锻造</v>
      </c>
      <c r="CS19" s="144"/>
      <c r="CT19" s="144"/>
      <c r="CU19" s="144"/>
      <c r="CV19" s="144"/>
      <c r="CW19" s="144"/>
      <c r="CX19" s="19">
        <v>0.3</v>
      </c>
      <c r="CY19" s="19">
        <v>0.7</v>
      </c>
      <c r="CZ19" s="144"/>
      <c r="DA19" s="144"/>
      <c r="DB19" s="144"/>
      <c r="DC19" s="144"/>
      <c r="DD19" s="144">
        <f t="shared" si="12"/>
        <v>240</v>
      </c>
      <c r="DG19" s="144">
        <v>14</v>
      </c>
      <c r="DH19" s="144">
        <f t="shared" si="13"/>
        <v>2</v>
      </c>
      <c r="DI19" s="144" t="s">
        <v>1177</v>
      </c>
      <c r="DJ19" s="144">
        <f t="shared" si="14"/>
        <v>6</v>
      </c>
      <c r="DK19" s="144" t="str">
        <f t="shared" si="15"/>
        <v>护手锻造</v>
      </c>
      <c r="DL19" s="144" t="str">
        <f t="shared" si="16"/>
        <v>ui_dtex_Equ_06</v>
      </c>
      <c r="DM19" s="144" t="s">
        <v>1172</v>
      </c>
      <c r="DN19" s="144">
        <f t="shared" si="17"/>
        <v>55</v>
      </c>
    </row>
    <row r="20" spans="1:118" ht="14.25" customHeight="1" x14ac:dyDescent="0.2">
      <c r="A20" s="235"/>
      <c r="B20" s="235"/>
      <c r="C20" s="235"/>
      <c r="D20" s="235"/>
      <c r="E20" s="235"/>
      <c r="F20" s="235"/>
      <c r="G20" s="235"/>
      <c r="H20" s="235"/>
      <c r="I20" s="235"/>
      <c r="J20" s="235"/>
      <c r="K20" s="235"/>
      <c r="L20" s="235"/>
      <c r="M20" s="235"/>
      <c r="AF20" s="139">
        <v>15</v>
      </c>
      <c r="AG20" s="139">
        <f>MATCH(AF20-1,金币总表!$Y$4:$Y$12,1)</f>
        <v>2</v>
      </c>
      <c r="AH20" s="21">
        <v>3.2872999999999999E-2</v>
      </c>
      <c r="AI20" s="188">
        <f>ROUND(INDEX(金币总表!$Z$5:$Z$12,装备!AG20)*装备!AH20/$AC$5,0)</f>
        <v>200</v>
      </c>
      <c r="AJ20" s="188">
        <v>0.66249999999999998</v>
      </c>
      <c r="AK20" s="139">
        <f>ROUND(INDEX(金币总表!$Z$5:$Z$12,装备!AG20)*装备!AH20/$AC$5,0)</f>
        <v>200</v>
      </c>
      <c r="AM20" s="139">
        <f t="shared" si="6"/>
        <v>100</v>
      </c>
      <c r="AN20" s="139">
        <f t="shared" si="0"/>
        <v>160</v>
      </c>
      <c r="AO20" s="139">
        <f t="shared" si="0"/>
        <v>200</v>
      </c>
      <c r="AP20" s="139">
        <f t="shared" si="0"/>
        <v>240</v>
      </c>
      <c r="BC20">
        <v>80</v>
      </c>
      <c r="BD20" s="139">
        <v>15</v>
      </c>
      <c r="BE20" s="163">
        <f>节奏总表!L19</f>
        <v>80</v>
      </c>
      <c r="BF20" s="163">
        <f>节奏总表!N19+2</f>
        <v>92</v>
      </c>
      <c r="BG20" s="139"/>
      <c r="BH20" s="139"/>
      <c r="BI20" s="19">
        <v>0.5</v>
      </c>
      <c r="BJ20" s="19">
        <v>0.5</v>
      </c>
      <c r="BK20" s="139"/>
      <c r="BL20" s="139"/>
      <c r="BM20" s="139"/>
      <c r="BN20" s="139"/>
      <c r="BO20" s="139"/>
      <c r="BP20" s="139"/>
      <c r="BQ20" s="139"/>
      <c r="BR20" s="14">
        <f t="shared" si="1"/>
        <v>165.3</v>
      </c>
      <c r="BS20" s="14">
        <f t="shared" si="8"/>
        <v>15207.6</v>
      </c>
      <c r="BT20" s="14">
        <f>SUM(BS$6:BS20)</f>
        <v>71192.100000000006</v>
      </c>
      <c r="CJ20" s="139">
        <v>15</v>
      </c>
      <c r="CK20" s="139">
        <v>75</v>
      </c>
      <c r="CQ20" s="144">
        <v>120</v>
      </c>
      <c r="CR20" s="144" t="str">
        <f t="shared" si="11"/>
        <v>120级锻造</v>
      </c>
      <c r="CS20" s="144"/>
      <c r="CT20" s="144"/>
      <c r="CU20" s="144"/>
      <c r="CV20" s="144"/>
      <c r="CW20" s="144"/>
      <c r="CX20" s="19">
        <v>0.2</v>
      </c>
      <c r="CY20" s="19">
        <v>0.3</v>
      </c>
      <c r="CZ20" s="19">
        <v>0.5</v>
      </c>
      <c r="DA20" s="144"/>
      <c r="DB20" s="144"/>
      <c r="DC20" s="144"/>
      <c r="DD20" s="144">
        <f t="shared" si="12"/>
        <v>285</v>
      </c>
      <c r="DG20" s="144">
        <v>15</v>
      </c>
      <c r="DH20" s="144">
        <f t="shared" si="13"/>
        <v>2</v>
      </c>
      <c r="DI20" s="144" t="s">
        <v>1177</v>
      </c>
      <c r="DJ20" s="144">
        <f t="shared" si="14"/>
        <v>7</v>
      </c>
      <c r="DK20" s="144" t="str">
        <f t="shared" si="15"/>
        <v>项链锻造</v>
      </c>
      <c r="DL20" s="144" t="str">
        <f t="shared" si="16"/>
        <v>ui_dtex_Equ_07</v>
      </c>
      <c r="DM20" s="144" t="s">
        <v>1172</v>
      </c>
      <c r="DN20" s="144">
        <f t="shared" si="17"/>
        <v>85</v>
      </c>
    </row>
    <row r="21" spans="1:118" ht="14.25" customHeight="1" x14ac:dyDescent="0.2">
      <c r="A21" s="235"/>
      <c r="B21" s="235"/>
      <c r="C21" s="235"/>
      <c r="D21" s="235"/>
      <c r="E21" s="235"/>
      <c r="F21" s="235"/>
      <c r="G21" s="235"/>
      <c r="H21" s="235"/>
      <c r="I21" s="235"/>
      <c r="J21" s="235"/>
      <c r="K21" s="235"/>
      <c r="L21" s="235"/>
      <c r="M21" s="235"/>
      <c r="AF21" s="139">
        <v>16</v>
      </c>
      <c r="AG21" s="139">
        <f>MATCH(AF21-1,金币总表!$Y$4:$Y$12,1)</f>
        <v>2</v>
      </c>
      <c r="AH21" s="21">
        <v>3.3792500000000003E-2</v>
      </c>
      <c r="AI21" s="188">
        <f>ROUND(INDEX(金币总表!$Z$5:$Z$12,装备!AG21)*装备!AH21/$AC$5,0)</f>
        <v>206</v>
      </c>
      <c r="AJ21" s="188">
        <v>0.69625000000000004</v>
      </c>
      <c r="AK21" s="139">
        <f>ROUND(INDEX(金币总表!$Z$5:$Z$12,装备!AG21)*装备!AH21/$AC$5,0)</f>
        <v>206</v>
      </c>
      <c r="AM21" s="139">
        <f t="shared" si="6"/>
        <v>105</v>
      </c>
      <c r="AN21" s="139">
        <f t="shared" si="0"/>
        <v>165</v>
      </c>
      <c r="AO21" s="139">
        <f t="shared" si="0"/>
        <v>205</v>
      </c>
      <c r="AP21" s="139">
        <f t="shared" si="0"/>
        <v>245</v>
      </c>
      <c r="BC21">
        <v>85</v>
      </c>
      <c r="BD21" s="139">
        <v>16</v>
      </c>
      <c r="BE21" s="163">
        <f>节奏总表!L20</f>
        <v>85</v>
      </c>
      <c r="BF21" s="163">
        <f>节奏总表!N20+2</f>
        <v>107</v>
      </c>
      <c r="BG21" s="139"/>
      <c r="BH21" s="139"/>
      <c r="BI21" s="139"/>
      <c r="BJ21" s="19">
        <v>1</v>
      </c>
      <c r="BK21" s="139"/>
      <c r="BL21" s="139"/>
      <c r="BM21" s="139"/>
      <c r="BN21" s="139"/>
      <c r="BO21" s="139"/>
      <c r="BP21" s="139"/>
      <c r="BQ21" s="139"/>
      <c r="BR21" s="14">
        <f t="shared" si="1"/>
        <v>192.60000000000002</v>
      </c>
      <c r="BS21" s="14">
        <f t="shared" si="8"/>
        <v>20608.2</v>
      </c>
      <c r="BT21" s="14">
        <f>SUM(BS$6:BS21)</f>
        <v>91800.3</v>
      </c>
      <c r="CJ21" s="139">
        <v>16</v>
      </c>
      <c r="CK21" s="139">
        <v>80</v>
      </c>
      <c r="CQ21" s="144">
        <v>125</v>
      </c>
      <c r="CR21" s="144" t="str">
        <f t="shared" si="11"/>
        <v>125级锻造</v>
      </c>
      <c r="CS21" s="144"/>
      <c r="CT21" s="144"/>
      <c r="CU21" s="144"/>
      <c r="CV21" s="144"/>
      <c r="CW21" s="144"/>
      <c r="CX21" s="144"/>
      <c r="CY21" s="19">
        <v>0.3</v>
      </c>
      <c r="CZ21" s="19">
        <v>0.7</v>
      </c>
      <c r="DA21" s="144"/>
      <c r="DB21" s="144"/>
      <c r="DC21" s="144"/>
      <c r="DD21" s="144">
        <f t="shared" si="12"/>
        <v>305</v>
      </c>
      <c r="DG21" s="144">
        <v>16</v>
      </c>
      <c r="DH21" s="144">
        <f t="shared" si="13"/>
        <v>2</v>
      </c>
      <c r="DI21" s="144" t="s">
        <v>1177</v>
      </c>
      <c r="DJ21" s="144">
        <f t="shared" si="14"/>
        <v>8</v>
      </c>
      <c r="DK21" s="144" t="str">
        <f t="shared" si="15"/>
        <v>戒指锻造</v>
      </c>
      <c r="DL21" s="144" t="str">
        <f t="shared" si="16"/>
        <v>ui_dtex_Equ_08</v>
      </c>
      <c r="DM21" s="144" t="s">
        <v>1172</v>
      </c>
      <c r="DN21" s="144">
        <f t="shared" si="17"/>
        <v>85</v>
      </c>
    </row>
    <row r="22" spans="1:118" ht="14.25" customHeight="1" x14ac:dyDescent="0.2">
      <c r="A22" s="235"/>
      <c r="B22" s="235"/>
      <c r="C22" s="235"/>
      <c r="D22" s="235"/>
      <c r="E22" s="235"/>
      <c r="F22" s="235"/>
      <c r="G22" s="235"/>
      <c r="H22" s="235"/>
      <c r="I22" s="235"/>
      <c r="J22" s="235"/>
      <c r="K22" s="235"/>
      <c r="L22" s="235"/>
      <c r="M22" s="235"/>
      <c r="AF22" s="139">
        <v>17</v>
      </c>
      <c r="AG22" s="139">
        <f>MATCH(AF22-1,金币总表!$Y$4:$Y$12,1)</f>
        <v>2</v>
      </c>
      <c r="AH22" s="21">
        <v>3.4712E-2</v>
      </c>
      <c r="AI22" s="188">
        <f>ROUND(INDEX(金币总表!$Z$5:$Z$12,装备!AG22)*装备!AH22/$AC$5,0)</f>
        <v>212</v>
      </c>
      <c r="AJ22" s="188">
        <v>0.73</v>
      </c>
      <c r="AK22" s="139">
        <f>ROUND(INDEX(金币总表!$Z$5:$Z$12,装备!AG22)*装备!AH22/$AC$5,0)</f>
        <v>212</v>
      </c>
      <c r="AM22" s="139">
        <f t="shared" si="6"/>
        <v>105</v>
      </c>
      <c r="AN22" s="139">
        <f t="shared" si="6"/>
        <v>170</v>
      </c>
      <c r="AO22" s="139">
        <f t="shared" si="6"/>
        <v>210</v>
      </c>
      <c r="AP22" s="139">
        <f t="shared" si="6"/>
        <v>255</v>
      </c>
      <c r="BC22">
        <v>90</v>
      </c>
      <c r="BD22" s="139">
        <v>17</v>
      </c>
      <c r="BE22" s="163">
        <f>节奏总表!L21</f>
        <v>90</v>
      </c>
      <c r="BF22" s="163">
        <f>节奏总表!N21+2</f>
        <v>114</v>
      </c>
      <c r="BG22" s="139"/>
      <c r="BH22" s="139"/>
      <c r="BI22" s="139"/>
      <c r="BJ22" s="19">
        <v>0.5</v>
      </c>
      <c r="BK22" s="19">
        <v>0.5</v>
      </c>
      <c r="BL22" s="139"/>
      <c r="BM22" s="139"/>
      <c r="BN22" s="139"/>
      <c r="BO22" s="139"/>
      <c r="BP22" s="139"/>
      <c r="BQ22" s="139"/>
      <c r="BR22" s="14">
        <f t="shared" si="1"/>
        <v>216.3</v>
      </c>
      <c r="BS22" s="14">
        <f t="shared" si="8"/>
        <v>24658.2</v>
      </c>
      <c r="BT22" s="14">
        <f>SUM(BS$6:BS22)</f>
        <v>116458.5</v>
      </c>
      <c r="CJ22" s="139">
        <v>17</v>
      </c>
      <c r="CK22" s="139">
        <v>85</v>
      </c>
      <c r="CQ22" s="144">
        <v>130</v>
      </c>
      <c r="CR22" s="144" t="str">
        <f t="shared" si="11"/>
        <v>130级锻造</v>
      </c>
      <c r="CS22" s="144"/>
      <c r="CT22" s="144"/>
      <c r="CU22" s="144"/>
      <c r="CV22" s="144"/>
      <c r="CW22" s="144"/>
      <c r="CX22" s="144"/>
      <c r="CY22" s="19">
        <v>0.2</v>
      </c>
      <c r="CZ22" s="19">
        <v>0.3</v>
      </c>
      <c r="DA22" s="19">
        <v>0.5</v>
      </c>
      <c r="DB22" s="144"/>
      <c r="DC22" s="144"/>
      <c r="DD22" s="144">
        <f t="shared" si="12"/>
        <v>355</v>
      </c>
      <c r="DG22" s="144">
        <v>17</v>
      </c>
      <c r="DH22" s="144">
        <f t="shared" si="13"/>
        <v>3</v>
      </c>
      <c r="DI22" s="144" t="s">
        <v>1177</v>
      </c>
      <c r="DJ22" s="144">
        <f t="shared" si="14"/>
        <v>1</v>
      </c>
      <c r="DK22" s="144" t="str">
        <f t="shared" si="15"/>
        <v>灵器锻造</v>
      </c>
      <c r="DL22" s="144" t="str">
        <f t="shared" si="16"/>
        <v>ui_dtex_Equ_01</v>
      </c>
      <c r="DM22" s="144" t="s">
        <v>1172</v>
      </c>
      <c r="DN22" s="144">
        <f t="shared" si="17"/>
        <v>130</v>
      </c>
    </row>
    <row r="23" spans="1:118" ht="14.25" customHeight="1" x14ac:dyDescent="0.2">
      <c r="A23" s="235"/>
      <c r="B23" s="235"/>
      <c r="C23" s="235"/>
      <c r="D23" s="235"/>
      <c r="E23" s="235"/>
      <c r="F23" s="235"/>
      <c r="G23" s="235"/>
      <c r="H23" s="235"/>
      <c r="I23" s="235"/>
      <c r="J23" s="235"/>
      <c r="K23" s="235"/>
      <c r="L23" s="235"/>
      <c r="M23" s="235"/>
      <c r="AF23" s="139">
        <v>18</v>
      </c>
      <c r="AG23" s="139">
        <f>MATCH(AF23-1,金币总表!$Y$4:$Y$12,1)</f>
        <v>2</v>
      </c>
      <c r="AH23" s="21">
        <v>3.5631500000000003E-2</v>
      </c>
      <c r="AI23" s="188">
        <f>ROUND(INDEX(金币总表!$Z$5:$Z$12,装备!AG23)*装备!AH23/$AC$5,0)</f>
        <v>217</v>
      </c>
      <c r="AJ23" s="188">
        <v>0.76375000000000004</v>
      </c>
      <c r="AK23" s="139">
        <f>ROUND(INDEX(金币总表!$Z$5:$Z$12,装备!AG23)*装备!AH23/$AC$5,0)</f>
        <v>217</v>
      </c>
      <c r="AM23" s="139">
        <f t="shared" si="6"/>
        <v>110</v>
      </c>
      <c r="AN23" s="139">
        <f t="shared" si="6"/>
        <v>175</v>
      </c>
      <c r="AO23" s="139">
        <f t="shared" si="6"/>
        <v>215</v>
      </c>
      <c r="AP23" s="139">
        <f t="shared" si="6"/>
        <v>260</v>
      </c>
      <c r="BC23">
        <v>95</v>
      </c>
      <c r="BD23" s="139">
        <v>18</v>
      </c>
      <c r="BE23" s="163">
        <f>节奏总表!L22</f>
        <v>95</v>
      </c>
      <c r="BF23" s="163">
        <f>节奏总表!N22+2</f>
        <v>122</v>
      </c>
      <c r="BG23" s="139"/>
      <c r="BH23" s="139"/>
      <c r="BI23" s="139"/>
      <c r="BJ23" s="139"/>
      <c r="BK23" s="19">
        <v>1</v>
      </c>
      <c r="BL23" s="139"/>
      <c r="BM23" s="139"/>
      <c r="BN23" s="139"/>
      <c r="BO23" s="139"/>
      <c r="BP23" s="139"/>
      <c r="BQ23" s="139"/>
      <c r="BR23" s="14">
        <f t="shared" si="1"/>
        <v>240</v>
      </c>
      <c r="BS23" s="14">
        <f t="shared" si="8"/>
        <v>29280</v>
      </c>
      <c r="BT23" s="14">
        <f>SUM(BS$6:BS23)</f>
        <v>145738.5</v>
      </c>
      <c r="CJ23" s="139">
        <v>18</v>
      </c>
      <c r="CK23" s="139">
        <v>90</v>
      </c>
      <c r="CQ23" s="144">
        <v>135</v>
      </c>
      <c r="CR23" s="144" t="str">
        <f t="shared" si="11"/>
        <v>135级锻造</v>
      </c>
      <c r="CS23" s="144"/>
      <c r="CT23" s="144"/>
      <c r="CU23" s="144"/>
      <c r="CV23" s="144"/>
      <c r="CW23" s="144"/>
      <c r="CX23" s="144"/>
      <c r="CY23" s="144"/>
      <c r="CZ23" s="19">
        <v>0.3</v>
      </c>
      <c r="DA23" s="19">
        <v>0.7</v>
      </c>
      <c r="DB23" s="144"/>
      <c r="DC23" s="144"/>
      <c r="DD23" s="144">
        <f t="shared" si="12"/>
        <v>385</v>
      </c>
      <c r="DG23" s="144">
        <v>18</v>
      </c>
      <c r="DH23" s="144">
        <f t="shared" si="13"/>
        <v>3</v>
      </c>
      <c r="DI23" s="144" t="s">
        <v>1177</v>
      </c>
      <c r="DJ23" s="144">
        <f t="shared" si="14"/>
        <v>2</v>
      </c>
      <c r="DK23" s="144" t="str">
        <f t="shared" si="15"/>
        <v>头盔锻造</v>
      </c>
      <c r="DL23" s="144" t="str">
        <f t="shared" si="16"/>
        <v>ui_dtex_Equ_02</v>
      </c>
      <c r="DM23" s="144" t="s">
        <v>1172</v>
      </c>
      <c r="DN23" s="144">
        <f t="shared" si="17"/>
        <v>65</v>
      </c>
    </row>
    <row r="24" spans="1:118" ht="14.25" customHeight="1" x14ac:dyDescent="0.2">
      <c r="A24" s="235"/>
      <c r="B24" s="235"/>
      <c r="C24" s="235"/>
      <c r="D24" s="235"/>
      <c r="E24" s="235"/>
      <c r="F24" s="235"/>
      <c r="G24" s="235"/>
      <c r="H24" s="235"/>
      <c r="I24" s="235"/>
      <c r="J24" s="235"/>
      <c r="K24" s="235"/>
      <c r="L24" s="235"/>
      <c r="M24" s="235"/>
      <c r="AF24" s="139">
        <v>19</v>
      </c>
      <c r="AG24" s="139">
        <f>MATCH(AF24-1,金币总表!$Y$4:$Y$12,1)</f>
        <v>2</v>
      </c>
      <c r="AH24" s="21">
        <v>3.6551E-2</v>
      </c>
      <c r="AI24" s="188">
        <f>ROUND(INDEX(金币总表!$Z$5:$Z$12,装备!AG24)*装备!AH24/$AC$5,0)</f>
        <v>223</v>
      </c>
      <c r="AJ24" s="188">
        <v>0.79749999999999999</v>
      </c>
      <c r="AK24" s="139">
        <f>ROUND(INDEX(金币总表!$Z$5:$Z$12,装备!AG24)*装备!AH24/$AC$5,0)</f>
        <v>223</v>
      </c>
      <c r="AM24" s="139">
        <f t="shared" si="6"/>
        <v>110</v>
      </c>
      <c r="AN24" s="139">
        <f t="shared" si="6"/>
        <v>180</v>
      </c>
      <c r="AO24" s="139">
        <f t="shared" si="6"/>
        <v>225</v>
      </c>
      <c r="AP24" s="139">
        <f t="shared" si="6"/>
        <v>270</v>
      </c>
      <c r="BC24">
        <v>100</v>
      </c>
      <c r="BD24" s="139">
        <v>19</v>
      </c>
      <c r="BE24" s="163">
        <f>节奏总表!L23</f>
        <v>100</v>
      </c>
      <c r="BF24" s="163">
        <f>节奏总表!N23+2</f>
        <v>127</v>
      </c>
      <c r="BG24" s="139"/>
      <c r="BH24" s="139"/>
      <c r="BI24" s="139"/>
      <c r="BJ24" s="139"/>
      <c r="BK24" s="19">
        <v>0.5</v>
      </c>
      <c r="BL24" s="19">
        <v>0.5</v>
      </c>
      <c r="BM24" s="139"/>
      <c r="BN24" s="139"/>
      <c r="BO24" s="139"/>
      <c r="BP24" s="139"/>
      <c r="BQ24" s="139"/>
      <c r="BR24" s="14">
        <f t="shared" si="1"/>
        <v>267</v>
      </c>
      <c r="BS24" s="14">
        <f t="shared" si="8"/>
        <v>33909</v>
      </c>
      <c r="BT24" s="14">
        <f>SUM(BS$6:BS24)</f>
        <v>179647.5</v>
      </c>
      <c r="CJ24" s="139">
        <v>19</v>
      </c>
      <c r="CK24" s="139">
        <v>95</v>
      </c>
      <c r="CQ24" s="144">
        <v>140</v>
      </c>
      <c r="CR24" s="144" t="str">
        <f t="shared" si="11"/>
        <v>140级锻造</v>
      </c>
      <c r="CS24" s="144"/>
      <c r="CT24" s="144"/>
      <c r="CU24" s="144"/>
      <c r="CV24" s="144"/>
      <c r="CW24" s="144"/>
      <c r="CX24" s="144"/>
      <c r="CY24" s="144"/>
      <c r="CZ24" s="19">
        <v>0.2</v>
      </c>
      <c r="DA24" s="19">
        <v>0.3</v>
      </c>
      <c r="DB24" s="19">
        <v>0.5</v>
      </c>
      <c r="DC24" s="144"/>
      <c r="DD24" s="144">
        <f t="shared" si="12"/>
        <v>430</v>
      </c>
      <c r="DG24" s="144">
        <v>19</v>
      </c>
      <c r="DH24" s="144">
        <f t="shared" si="13"/>
        <v>3</v>
      </c>
      <c r="DI24" s="144" t="s">
        <v>1177</v>
      </c>
      <c r="DJ24" s="144">
        <f t="shared" si="14"/>
        <v>3</v>
      </c>
      <c r="DK24" s="144" t="str">
        <f t="shared" si="15"/>
        <v>铠甲锻造</v>
      </c>
      <c r="DL24" s="144" t="str">
        <f t="shared" si="16"/>
        <v>ui_dtex_Equ_03</v>
      </c>
      <c r="DM24" s="144" t="s">
        <v>1172</v>
      </c>
      <c r="DN24" s="144">
        <f t="shared" si="17"/>
        <v>65</v>
      </c>
    </row>
    <row r="25" spans="1:118" ht="14.25" customHeight="1" x14ac:dyDescent="0.2">
      <c r="A25" s="235"/>
      <c r="B25" s="235"/>
      <c r="C25" s="235"/>
      <c r="D25" s="235"/>
      <c r="E25" s="235"/>
      <c r="F25" s="235"/>
      <c r="G25" s="235"/>
      <c r="H25" s="235"/>
      <c r="I25" s="235"/>
      <c r="J25" s="235"/>
      <c r="K25" s="235"/>
      <c r="L25" s="235"/>
      <c r="M25" s="235"/>
      <c r="AF25" s="139">
        <v>20</v>
      </c>
      <c r="AG25" s="139">
        <f>MATCH(AF25-1,金币总表!$Y$4:$Y$12,1)</f>
        <v>2</v>
      </c>
      <c r="AH25" s="21">
        <v>3.7470499999999997E-2</v>
      </c>
      <c r="AI25" s="188">
        <f>ROUND(INDEX(金币总表!$Z$5:$Z$12,装备!AG25)*装备!AH25/$AC$5,0)</f>
        <v>228</v>
      </c>
      <c r="AJ25" s="188">
        <v>0.83125000000000004</v>
      </c>
      <c r="AK25" s="139">
        <f>ROUND(INDEX(金币总表!$Z$5:$Z$12,装备!AG25)*装备!AH25/$AC$5,0)</f>
        <v>228</v>
      </c>
      <c r="AM25" s="139">
        <f t="shared" si="6"/>
        <v>115</v>
      </c>
      <c r="AN25" s="139">
        <f t="shared" si="6"/>
        <v>180</v>
      </c>
      <c r="AO25" s="139">
        <f t="shared" si="6"/>
        <v>230</v>
      </c>
      <c r="AP25" s="139">
        <f t="shared" si="6"/>
        <v>275</v>
      </c>
      <c r="BC25">
        <v>105</v>
      </c>
      <c r="BD25" s="139">
        <v>20</v>
      </c>
      <c r="BE25" s="163">
        <f>节奏总表!L24</f>
        <v>105</v>
      </c>
      <c r="BF25" s="163">
        <f>节奏总表!N24+2</f>
        <v>132</v>
      </c>
      <c r="BG25" s="139"/>
      <c r="BH25" s="139"/>
      <c r="BI25" s="139"/>
      <c r="BJ25" s="139"/>
      <c r="BK25" s="139"/>
      <c r="BL25" s="19">
        <v>1</v>
      </c>
      <c r="BM25" s="139"/>
      <c r="BN25" s="139"/>
      <c r="BO25" s="139"/>
      <c r="BP25" s="139"/>
      <c r="BQ25" s="139"/>
      <c r="BR25" s="14">
        <f t="shared" si="1"/>
        <v>294</v>
      </c>
      <c r="BS25" s="14">
        <f t="shared" si="8"/>
        <v>38808</v>
      </c>
      <c r="BT25" s="14">
        <f>SUM(BS$6:BS25)</f>
        <v>218455.5</v>
      </c>
      <c r="CJ25" s="139">
        <v>20</v>
      </c>
      <c r="CK25" s="139">
        <v>100</v>
      </c>
      <c r="CQ25" s="144">
        <v>145</v>
      </c>
      <c r="CR25" s="144" t="str">
        <f t="shared" si="11"/>
        <v>145级锻造</v>
      </c>
      <c r="CS25" s="144"/>
      <c r="CT25" s="144"/>
      <c r="CU25" s="144"/>
      <c r="CV25" s="144"/>
      <c r="CW25" s="144"/>
      <c r="CX25" s="144"/>
      <c r="CY25" s="144"/>
      <c r="CZ25" s="144"/>
      <c r="DA25" s="19">
        <v>0.3</v>
      </c>
      <c r="DB25" s="19">
        <v>0.7</v>
      </c>
      <c r="DC25" s="144"/>
      <c r="DD25" s="144">
        <f t="shared" si="12"/>
        <v>460</v>
      </c>
      <c r="DG25" s="144">
        <v>20</v>
      </c>
      <c r="DH25" s="144">
        <f t="shared" si="13"/>
        <v>3</v>
      </c>
      <c r="DI25" s="144" t="s">
        <v>1177</v>
      </c>
      <c r="DJ25" s="144">
        <f t="shared" si="14"/>
        <v>4</v>
      </c>
      <c r="DK25" s="144" t="str">
        <f t="shared" si="15"/>
        <v>裤子锻造</v>
      </c>
      <c r="DL25" s="144" t="str">
        <f t="shared" si="16"/>
        <v>ui_dtex_Equ_04</v>
      </c>
      <c r="DM25" s="144" t="s">
        <v>1172</v>
      </c>
      <c r="DN25" s="144">
        <f t="shared" si="17"/>
        <v>65</v>
      </c>
    </row>
    <row r="26" spans="1:118" ht="14.25" customHeight="1" x14ac:dyDescent="0.2">
      <c r="A26" s="235"/>
      <c r="B26" s="235"/>
      <c r="C26" s="235"/>
      <c r="D26" s="235"/>
      <c r="E26" s="235"/>
      <c r="F26" s="235"/>
      <c r="G26" s="235"/>
      <c r="H26" s="235"/>
      <c r="I26" s="235"/>
      <c r="J26" s="235"/>
      <c r="K26" s="235"/>
      <c r="L26" s="235"/>
      <c r="M26" s="235"/>
      <c r="AF26" s="139">
        <v>21</v>
      </c>
      <c r="AG26" s="139">
        <f>MATCH(AF26-1,金币总表!$Y$4:$Y$12,1)</f>
        <v>2</v>
      </c>
      <c r="AH26" s="21">
        <v>3.8390000000000001E-2</v>
      </c>
      <c r="AI26" s="188">
        <f>ROUND(INDEX(金币总表!$Z$5:$Z$12,装备!AG26)*装备!AH26/$AC$5,0)</f>
        <v>234</v>
      </c>
      <c r="AJ26" s="188">
        <v>0.86499999999999999</v>
      </c>
      <c r="AK26" s="139">
        <f>ROUND(INDEX(金币总表!$Z$5:$Z$12,装备!AG26)*装备!AH26/$AC$5,0)</f>
        <v>234</v>
      </c>
      <c r="AM26" s="139">
        <f t="shared" si="6"/>
        <v>115</v>
      </c>
      <c r="AN26" s="139">
        <f t="shared" si="6"/>
        <v>185</v>
      </c>
      <c r="AO26" s="139">
        <f t="shared" si="6"/>
        <v>235</v>
      </c>
      <c r="AP26" s="139">
        <f t="shared" si="6"/>
        <v>280</v>
      </c>
      <c r="BC26">
        <v>110</v>
      </c>
      <c r="BD26" s="139">
        <v>21</v>
      </c>
      <c r="BE26" s="163">
        <f>节奏总表!L25</f>
        <v>110</v>
      </c>
      <c r="BF26" s="163">
        <f>节奏总表!N25+2</f>
        <v>139</v>
      </c>
      <c r="BG26" s="139"/>
      <c r="BH26" s="139"/>
      <c r="BI26" s="139"/>
      <c r="BJ26" s="139"/>
      <c r="BK26" s="139"/>
      <c r="BL26" s="19">
        <v>0.5</v>
      </c>
      <c r="BM26" s="19">
        <v>0.5</v>
      </c>
      <c r="BN26" s="139"/>
      <c r="BO26" s="139"/>
      <c r="BP26" s="139"/>
      <c r="BQ26" s="139"/>
      <c r="BR26" s="14">
        <f t="shared" si="1"/>
        <v>318</v>
      </c>
      <c r="BS26" s="14">
        <f t="shared" si="8"/>
        <v>44202</v>
      </c>
      <c r="BT26" s="14">
        <f>SUM(BS$6:BS26)</f>
        <v>262657.5</v>
      </c>
      <c r="CJ26" s="139">
        <v>21</v>
      </c>
      <c r="CK26" s="139">
        <v>105</v>
      </c>
      <c r="CQ26" s="144">
        <v>150</v>
      </c>
      <c r="CR26" s="144" t="str">
        <f t="shared" si="11"/>
        <v>150级锻造</v>
      </c>
      <c r="CS26" s="144"/>
      <c r="CT26" s="144"/>
      <c r="CU26" s="144"/>
      <c r="CV26" s="144"/>
      <c r="CW26" s="144"/>
      <c r="CX26" s="144"/>
      <c r="CY26" s="144"/>
      <c r="CZ26" s="144"/>
      <c r="DA26" s="19">
        <v>0.2</v>
      </c>
      <c r="DB26" s="19">
        <v>0.3</v>
      </c>
      <c r="DC26" s="19">
        <v>0.5</v>
      </c>
      <c r="DD26" s="144">
        <f t="shared" si="12"/>
        <v>550</v>
      </c>
      <c r="DG26" s="144">
        <v>21</v>
      </c>
      <c r="DH26" s="144">
        <f t="shared" si="13"/>
        <v>3</v>
      </c>
      <c r="DI26" s="144" t="s">
        <v>1177</v>
      </c>
      <c r="DJ26" s="144">
        <f t="shared" si="14"/>
        <v>5</v>
      </c>
      <c r="DK26" s="144" t="str">
        <f t="shared" si="15"/>
        <v>鞋子锻造</v>
      </c>
      <c r="DL26" s="144" t="str">
        <f t="shared" si="16"/>
        <v>ui_dtex_Equ_05</v>
      </c>
      <c r="DM26" s="144" t="s">
        <v>1172</v>
      </c>
      <c r="DN26" s="144">
        <f t="shared" si="17"/>
        <v>65</v>
      </c>
    </row>
    <row r="27" spans="1:118" ht="14.25" customHeight="1" x14ac:dyDescent="0.2">
      <c r="A27" s="235"/>
      <c r="B27" s="235"/>
      <c r="C27" s="235"/>
      <c r="D27" s="235"/>
      <c r="E27" s="235"/>
      <c r="F27" s="235"/>
      <c r="G27" s="235"/>
      <c r="H27" s="235"/>
      <c r="I27" s="235"/>
      <c r="J27" s="235"/>
      <c r="K27" s="235"/>
      <c r="L27" s="235"/>
      <c r="M27" s="235"/>
      <c r="AF27" s="139">
        <v>22</v>
      </c>
      <c r="AG27" s="139">
        <f>MATCH(AF27-1,金币总表!$Y$4:$Y$12,1)</f>
        <v>2</v>
      </c>
      <c r="AH27" s="21">
        <v>3.9309499999999997E-2</v>
      </c>
      <c r="AI27" s="188">
        <f>ROUND(INDEX(金币总表!$Z$5:$Z$12,装备!AG27)*装备!AH27/$AC$5,0)</f>
        <v>240</v>
      </c>
      <c r="AJ27" s="188">
        <v>0.89875000000000005</v>
      </c>
      <c r="AK27" s="139">
        <f>ROUND(INDEX(金币总表!$Z$5:$Z$12,装备!AG27)*装备!AH27/$AC$5,0)</f>
        <v>240</v>
      </c>
      <c r="AM27" s="139">
        <f t="shared" si="6"/>
        <v>120</v>
      </c>
      <c r="AN27" s="139">
        <f t="shared" si="6"/>
        <v>190</v>
      </c>
      <c r="AO27" s="139">
        <f t="shared" si="6"/>
        <v>240</v>
      </c>
      <c r="AP27" s="139">
        <f t="shared" si="6"/>
        <v>290</v>
      </c>
      <c r="BC27">
        <v>115</v>
      </c>
      <c r="BD27" s="139">
        <v>22</v>
      </c>
      <c r="BE27" s="163">
        <f>节奏总表!L26</f>
        <v>115</v>
      </c>
      <c r="BF27" s="163">
        <f>节奏总表!N26+2</f>
        <v>146</v>
      </c>
      <c r="BG27" s="139"/>
      <c r="BH27" s="139"/>
      <c r="BI27" s="139"/>
      <c r="BJ27" s="139"/>
      <c r="BK27" s="139"/>
      <c r="BL27" s="139"/>
      <c r="BM27" s="19">
        <v>1</v>
      </c>
      <c r="BN27" s="139"/>
      <c r="BO27" s="139"/>
      <c r="BP27" s="139"/>
      <c r="BQ27" s="139"/>
      <c r="BR27" s="14">
        <f t="shared" si="1"/>
        <v>342</v>
      </c>
      <c r="BS27" s="14">
        <f t="shared" si="8"/>
        <v>49932</v>
      </c>
      <c r="BT27" s="14">
        <f>SUM(BS$6:BS27)</f>
        <v>312589.5</v>
      </c>
      <c r="CJ27" s="139">
        <v>22</v>
      </c>
      <c r="CK27" s="139">
        <v>110</v>
      </c>
      <c r="DG27" s="144">
        <v>22</v>
      </c>
      <c r="DH27" s="144">
        <f t="shared" si="13"/>
        <v>3</v>
      </c>
      <c r="DI27" s="144" t="s">
        <v>1177</v>
      </c>
      <c r="DJ27" s="144">
        <f t="shared" si="14"/>
        <v>6</v>
      </c>
      <c r="DK27" s="144" t="str">
        <f t="shared" si="15"/>
        <v>护手锻造</v>
      </c>
      <c r="DL27" s="144" t="str">
        <f t="shared" si="16"/>
        <v>ui_dtex_Equ_06</v>
      </c>
      <c r="DM27" s="144" t="s">
        <v>1172</v>
      </c>
      <c r="DN27" s="144">
        <f t="shared" si="17"/>
        <v>65</v>
      </c>
    </row>
    <row r="28" spans="1:118" ht="14.25" customHeight="1" x14ac:dyDescent="0.2">
      <c r="A28" s="235"/>
      <c r="B28" s="235"/>
      <c r="C28" s="235"/>
      <c r="D28" s="235"/>
      <c r="E28" s="235"/>
      <c r="F28" s="235"/>
      <c r="G28" s="235"/>
      <c r="H28" s="235"/>
      <c r="I28" s="235"/>
      <c r="J28" s="235"/>
      <c r="K28" s="235"/>
      <c r="L28" s="235"/>
      <c r="M28" s="235"/>
      <c r="AF28" s="139">
        <v>23</v>
      </c>
      <c r="AG28" s="139">
        <f>MATCH(AF28-1,金币总表!$Y$4:$Y$12,1)</f>
        <v>2</v>
      </c>
      <c r="AH28" s="21">
        <v>4.0229000000000001E-2</v>
      </c>
      <c r="AI28" s="188">
        <f>ROUND(INDEX(金币总表!$Z$5:$Z$12,装备!AG28)*装备!AH28/$AC$5,0)</f>
        <v>245</v>
      </c>
      <c r="AJ28" s="188">
        <v>0.9325</v>
      </c>
      <c r="AK28" s="139">
        <f>ROUND(INDEX(金币总表!$Z$5:$Z$12,装备!AG28)*装备!AH28/$AC$5,0)</f>
        <v>245</v>
      </c>
      <c r="AM28" s="139">
        <f t="shared" si="6"/>
        <v>125</v>
      </c>
      <c r="AN28" s="139">
        <f t="shared" si="6"/>
        <v>195</v>
      </c>
      <c r="AO28" s="139">
        <f t="shared" si="6"/>
        <v>245</v>
      </c>
      <c r="AP28" s="139">
        <f t="shared" si="6"/>
        <v>295</v>
      </c>
      <c r="BC28">
        <v>120</v>
      </c>
      <c r="BD28" s="139">
        <v>23</v>
      </c>
      <c r="BE28" s="163">
        <f>节奏总表!L27</f>
        <v>120</v>
      </c>
      <c r="BF28" s="163">
        <f>节奏总表!N27+2</f>
        <v>162</v>
      </c>
      <c r="BG28" s="139"/>
      <c r="BH28" s="139"/>
      <c r="BI28" s="139"/>
      <c r="BJ28" s="139"/>
      <c r="BK28" s="139"/>
      <c r="BL28" s="139"/>
      <c r="BM28" s="19">
        <v>0.5</v>
      </c>
      <c r="BN28" s="19">
        <v>0.5</v>
      </c>
      <c r="BO28" s="139"/>
      <c r="BP28" s="139"/>
      <c r="BQ28" s="139"/>
      <c r="BR28" s="14">
        <f t="shared" si="1"/>
        <v>394.20000000000005</v>
      </c>
      <c r="BS28" s="14">
        <f t="shared" si="8"/>
        <v>63860.400000000009</v>
      </c>
      <c r="BT28" s="14">
        <f>SUM(BS$6:BS28)</f>
        <v>376449.9</v>
      </c>
      <c r="CJ28" s="139">
        <v>23</v>
      </c>
      <c r="CK28" s="139">
        <v>115</v>
      </c>
      <c r="DG28" s="144">
        <v>23</v>
      </c>
      <c r="DH28" s="144">
        <f t="shared" si="13"/>
        <v>3</v>
      </c>
      <c r="DI28" s="144" t="s">
        <v>1177</v>
      </c>
      <c r="DJ28" s="144">
        <f t="shared" si="14"/>
        <v>7</v>
      </c>
      <c r="DK28" s="144" t="str">
        <f t="shared" si="15"/>
        <v>项链锻造</v>
      </c>
      <c r="DL28" s="144" t="str">
        <f t="shared" si="16"/>
        <v>ui_dtex_Equ_07</v>
      </c>
      <c r="DM28" s="144" t="s">
        <v>1172</v>
      </c>
      <c r="DN28" s="144">
        <f t="shared" si="17"/>
        <v>100</v>
      </c>
    </row>
    <row r="29" spans="1:118" ht="14.25" customHeight="1" x14ac:dyDescent="0.2">
      <c r="A29" s="235"/>
      <c r="B29" s="235"/>
      <c r="C29" s="235"/>
      <c r="D29" s="235"/>
      <c r="E29" s="235"/>
      <c r="F29" s="235"/>
      <c r="G29" s="235"/>
      <c r="H29" s="235"/>
      <c r="I29" s="235"/>
      <c r="J29" s="235"/>
      <c r="K29" s="235"/>
      <c r="L29" s="235"/>
      <c r="M29" s="235"/>
      <c r="AF29" s="139">
        <v>24</v>
      </c>
      <c r="AG29" s="139">
        <f>MATCH(AF29-1,金币总表!$Y$4:$Y$12,1)</f>
        <v>2</v>
      </c>
      <c r="AH29" s="21">
        <v>4.1148499999999998E-2</v>
      </c>
      <c r="AI29" s="188">
        <f>ROUND(INDEX(金币总表!$Z$5:$Z$12,装备!AG29)*装备!AH29/$AC$5,0)</f>
        <v>251</v>
      </c>
      <c r="AJ29" s="188">
        <v>0.96625000000000005</v>
      </c>
      <c r="AK29" s="139">
        <f>ROUND(INDEX(金币总表!$Z$5:$Z$12,装备!AG29)*装备!AH29/$AC$5,0)</f>
        <v>251</v>
      </c>
      <c r="AM29" s="139">
        <f t="shared" si="6"/>
        <v>125</v>
      </c>
      <c r="AN29" s="139">
        <f t="shared" si="6"/>
        <v>200</v>
      </c>
      <c r="AO29" s="139">
        <f t="shared" si="6"/>
        <v>250</v>
      </c>
      <c r="AP29" s="139">
        <f t="shared" si="6"/>
        <v>300</v>
      </c>
      <c r="BC29">
        <v>125</v>
      </c>
      <c r="BD29" s="139">
        <v>24</v>
      </c>
      <c r="BE29" s="163">
        <f>节奏总表!L28</f>
        <v>125</v>
      </c>
      <c r="BF29" s="163">
        <f>节奏总表!N28+2</f>
        <v>182</v>
      </c>
      <c r="BG29" s="139"/>
      <c r="BH29" s="139"/>
      <c r="BI29" s="139"/>
      <c r="BJ29" s="139"/>
      <c r="BK29" s="139"/>
      <c r="BL29" s="139"/>
      <c r="BM29" s="139"/>
      <c r="BN29" s="19">
        <v>1</v>
      </c>
      <c r="BO29" s="139"/>
      <c r="BP29" s="139"/>
      <c r="BQ29" s="139"/>
      <c r="BR29" s="14">
        <f t="shared" si="1"/>
        <v>446.40000000000003</v>
      </c>
      <c r="BS29" s="14">
        <f t="shared" si="8"/>
        <v>81244.800000000003</v>
      </c>
      <c r="BT29" s="14">
        <f>SUM(BS$6:BS29)</f>
        <v>457694.7</v>
      </c>
      <c r="CJ29" s="139">
        <v>24</v>
      </c>
      <c r="CK29" s="139">
        <v>120</v>
      </c>
      <c r="DG29" s="144">
        <v>24</v>
      </c>
      <c r="DH29" s="144">
        <f t="shared" si="13"/>
        <v>3</v>
      </c>
      <c r="DI29" s="144" t="s">
        <v>1177</v>
      </c>
      <c r="DJ29" s="144">
        <f t="shared" si="14"/>
        <v>8</v>
      </c>
      <c r="DK29" s="144" t="str">
        <f t="shared" si="15"/>
        <v>戒指锻造</v>
      </c>
      <c r="DL29" s="144" t="str">
        <f t="shared" si="16"/>
        <v>ui_dtex_Equ_08</v>
      </c>
      <c r="DM29" s="144" t="s">
        <v>1172</v>
      </c>
      <c r="DN29" s="144">
        <f t="shared" si="17"/>
        <v>100</v>
      </c>
    </row>
    <row r="30" spans="1:118" ht="14.25" customHeight="1" x14ac:dyDescent="0.2">
      <c r="A30" s="235"/>
      <c r="B30" s="235"/>
      <c r="C30" s="235"/>
      <c r="D30" s="235"/>
      <c r="E30" s="235"/>
      <c r="F30" s="235"/>
      <c r="G30" s="235"/>
      <c r="H30" s="235"/>
      <c r="I30" s="235"/>
      <c r="J30" s="235"/>
      <c r="K30" s="235"/>
      <c r="L30" s="235"/>
      <c r="M30" s="235"/>
      <c r="AF30" s="139">
        <v>25</v>
      </c>
      <c r="AG30" s="139">
        <f>MATCH(AF30-1,金币总表!$Y$4:$Y$12,1)</f>
        <v>2</v>
      </c>
      <c r="AH30" s="21">
        <v>4.2068000000000001E-2</v>
      </c>
      <c r="AI30" s="188">
        <f>ROUND(INDEX(金币总表!$Z$5:$Z$12,装备!AG30)*装备!AH30/$AC$5,0)</f>
        <v>256</v>
      </c>
      <c r="AJ30" s="188">
        <v>1</v>
      </c>
      <c r="AK30" s="139">
        <f>ROUND(INDEX(金币总表!$Z$5:$Z$12,装备!AG30)*装备!AH30/$AC$5,0)</f>
        <v>256</v>
      </c>
      <c r="AM30" s="139">
        <f t="shared" si="6"/>
        <v>130</v>
      </c>
      <c r="AN30" s="139">
        <f t="shared" si="6"/>
        <v>205</v>
      </c>
      <c r="AO30" s="139">
        <f t="shared" si="6"/>
        <v>255</v>
      </c>
      <c r="AP30" s="139">
        <f t="shared" si="6"/>
        <v>305</v>
      </c>
      <c r="BC30">
        <v>130</v>
      </c>
      <c r="BD30" s="139">
        <v>25</v>
      </c>
      <c r="BE30" s="163">
        <f>节奏总表!L29</f>
        <v>130</v>
      </c>
      <c r="BF30" s="163">
        <f>节奏总表!N29+2</f>
        <v>212</v>
      </c>
      <c r="BG30" s="139"/>
      <c r="BH30" s="139"/>
      <c r="BI30" s="139"/>
      <c r="BJ30" s="139"/>
      <c r="BK30" s="139"/>
      <c r="BL30" s="139"/>
      <c r="BM30" s="139"/>
      <c r="BN30" s="19">
        <v>0.5</v>
      </c>
      <c r="BO30" s="19">
        <v>0.5</v>
      </c>
      <c r="BP30" s="139"/>
      <c r="BQ30" s="139"/>
      <c r="BR30" s="14">
        <f t="shared" si="1"/>
        <v>493.20000000000005</v>
      </c>
      <c r="BS30" s="14">
        <f t="shared" si="8"/>
        <v>104558.40000000001</v>
      </c>
      <c r="BT30" s="14">
        <f>SUM(BS$6:BS30)</f>
        <v>562253.1</v>
      </c>
      <c r="CJ30" s="139">
        <v>25</v>
      </c>
      <c r="CK30" s="139">
        <v>125</v>
      </c>
      <c r="DG30" s="144">
        <v>25</v>
      </c>
      <c r="DH30" s="144">
        <f t="shared" si="13"/>
        <v>4</v>
      </c>
      <c r="DI30" s="144" t="s">
        <v>1177</v>
      </c>
      <c r="DJ30" s="144">
        <f t="shared" si="14"/>
        <v>1</v>
      </c>
      <c r="DK30" s="144" t="str">
        <f t="shared" si="15"/>
        <v>灵器锻造</v>
      </c>
      <c r="DL30" s="144" t="str">
        <f t="shared" si="16"/>
        <v>ui_dtex_Equ_01</v>
      </c>
      <c r="DM30" s="144" t="s">
        <v>1172</v>
      </c>
      <c r="DN30" s="144">
        <f t="shared" si="17"/>
        <v>150</v>
      </c>
    </row>
    <row r="31" spans="1:118" ht="14.25" customHeight="1" x14ac:dyDescent="0.2">
      <c r="A31" s="235"/>
      <c r="B31" s="235"/>
      <c r="C31" s="235"/>
      <c r="D31" s="235"/>
      <c r="E31" s="235"/>
      <c r="F31" s="235"/>
      <c r="G31" s="235"/>
      <c r="H31" s="235"/>
      <c r="I31" s="235"/>
      <c r="J31" s="235"/>
      <c r="K31" s="235"/>
      <c r="L31" s="235"/>
      <c r="M31" s="235"/>
      <c r="AF31" s="139">
        <v>26</v>
      </c>
      <c r="AG31" s="139">
        <f>MATCH(AF31-1,金币总表!$Y$4:$Y$12,1)</f>
        <v>2</v>
      </c>
      <c r="AH31" s="21">
        <v>4.2987499999999998E-2</v>
      </c>
      <c r="AI31" s="188">
        <f>ROUND(INDEX(金币总表!$Z$5:$Z$12,装备!AG31)*装备!AH31/$AC$5,0)</f>
        <v>262</v>
      </c>
      <c r="AJ31" s="188">
        <v>1</v>
      </c>
      <c r="AK31" s="139">
        <f>ROUND(INDEX(金币总表!$Z$5:$Z$12,装备!AG31)*装备!AH31/$AC$5,0)</f>
        <v>262</v>
      </c>
      <c r="AM31" s="139">
        <f t="shared" si="6"/>
        <v>130</v>
      </c>
      <c r="AN31" s="139">
        <f t="shared" si="6"/>
        <v>210</v>
      </c>
      <c r="AO31" s="139">
        <f t="shared" si="6"/>
        <v>260</v>
      </c>
      <c r="AP31" s="139">
        <f t="shared" si="6"/>
        <v>315</v>
      </c>
      <c r="BC31">
        <v>135</v>
      </c>
      <c r="BD31" s="139">
        <v>26</v>
      </c>
      <c r="BE31" s="163">
        <f>节奏总表!L30</f>
        <v>135</v>
      </c>
      <c r="BF31" s="163">
        <f>节奏总表!N30+2</f>
        <v>252</v>
      </c>
      <c r="BG31" s="139"/>
      <c r="BH31" s="139"/>
      <c r="BI31" s="139"/>
      <c r="BJ31" s="139"/>
      <c r="BK31" s="139"/>
      <c r="BL31" s="139"/>
      <c r="BM31" s="139"/>
      <c r="BN31" s="139"/>
      <c r="BO31" s="19">
        <v>1</v>
      </c>
      <c r="BP31" s="139"/>
      <c r="BQ31" s="139"/>
      <c r="BR31" s="14">
        <f t="shared" si="1"/>
        <v>540</v>
      </c>
      <c r="BS31" s="14">
        <f t="shared" si="8"/>
        <v>136080</v>
      </c>
      <c r="BT31" s="14">
        <f>SUM(BS$6:BS31)</f>
        <v>698333.1</v>
      </c>
      <c r="CJ31" s="139">
        <v>26</v>
      </c>
      <c r="CK31" s="139">
        <v>130</v>
      </c>
      <c r="DG31" s="144">
        <v>26</v>
      </c>
      <c r="DH31" s="144">
        <f t="shared" si="13"/>
        <v>4</v>
      </c>
      <c r="DI31" s="144" t="s">
        <v>1177</v>
      </c>
      <c r="DJ31" s="144">
        <f t="shared" si="14"/>
        <v>2</v>
      </c>
      <c r="DK31" s="144" t="str">
        <f t="shared" si="15"/>
        <v>头盔锻造</v>
      </c>
      <c r="DL31" s="144" t="str">
        <f t="shared" si="16"/>
        <v>ui_dtex_Equ_02</v>
      </c>
      <c r="DM31" s="144" t="s">
        <v>1172</v>
      </c>
      <c r="DN31" s="144">
        <f t="shared" si="17"/>
        <v>75</v>
      </c>
    </row>
    <row r="32" spans="1:118" ht="14.25" customHeight="1" x14ac:dyDescent="0.2">
      <c r="A32" s="235"/>
      <c r="B32" s="235"/>
      <c r="C32" s="235"/>
      <c r="D32" s="235"/>
      <c r="E32" s="235"/>
      <c r="F32" s="235"/>
      <c r="G32" s="235"/>
      <c r="H32" s="235"/>
      <c r="I32" s="235"/>
      <c r="J32" s="235"/>
      <c r="K32" s="235"/>
      <c r="L32" s="235"/>
      <c r="M32" s="235"/>
      <c r="AF32" s="139">
        <v>27</v>
      </c>
      <c r="AG32" s="139">
        <f>MATCH(AF32-1,金币总表!$Y$4:$Y$12,1)</f>
        <v>2</v>
      </c>
      <c r="AH32" s="21">
        <v>4.3907000000000002E-2</v>
      </c>
      <c r="AI32" s="188">
        <f>ROUND(INDEX(金币总表!$Z$5:$Z$12,装备!AG32)*装备!AH32/$AC$5,0)</f>
        <v>268</v>
      </c>
      <c r="AJ32" s="188">
        <v>1</v>
      </c>
      <c r="AK32" s="139">
        <f>ROUND(INDEX(金币总表!$Z$5:$Z$12,装备!AG32)*装备!AH32/$AC$5,0)</f>
        <v>268</v>
      </c>
      <c r="AM32" s="139">
        <f t="shared" si="6"/>
        <v>135</v>
      </c>
      <c r="AN32" s="139">
        <f t="shared" si="6"/>
        <v>215</v>
      </c>
      <c r="AO32" s="139">
        <f t="shared" si="6"/>
        <v>270</v>
      </c>
      <c r="AP32" s="139">
        <f t="shared" si="6"/>
        <v>320</v>
      </c>
      <c r="BC32">
        <v>140</v>
      </c>
      <c r="BD32" s="139">
        <v>27</v>
      </c>
      <c r="BE32" s="163">
        <f>节奏总表!L31</f>
        <v>140</v>
      </c>
      <c r="BF32" s="163">
        <f>节奏总表!N31+2</f>
        <v>302</v>
      </c>
      <c r="BG32" s="139"/>
      <c r="BH32" s="139"/>
      <c r="BI32" s="139"/>
      <c r="BJ32" s="139"/>
      <c r="BK32" s="139"/>
      <c r="BL32" s="139"/>
      <c r="BM32" s="139"/>
      <c r="BN32" s="139"/>
      <c r="BO32" s="19">
        <v>0.5</v>
      </c>
      <c r="BP32" s="19">
        <v>0.5</v>
      </c>
      <c r="BQ32" s="139"/>
      <c r="BR32" s="14">
        <f t="shared" si="1"/>
        <v>594</v>
      </c>
      <c r="BS32" s="14">
        <f t="shared" si="8"/>
        <v>179388</v>
      </c>
      <c r="BT32" s="14">
        <f>SUM(BS$6:BS32)</f>
        <v>877721.1</v>
      </c>
      <c r="CJ32" s="139">
        <v>27</v>
      </c>
      <c r="CK32" s="139">
        <v>135</v>
      </c>
      <c r="DG32" s="144">
        <v>27</v>
      </c>
      <c r="DH32" s="144">
        <f t="shared" si="13"/>
        <v>4</v>
      </c>
      <c r="DI32" s="144" t="s">
        <v>1177</v>
      </c>
      <c r="DJ32" s="144">
        <f t="shared" si="14"/>
        <v>3</v>
      </c>
      <c r="DK32" s="144" t="str">
        <f t="shared" si="15"/>
        <v>铠甲锻造</v>
      </c>
      <c r="DL32" s="144" t="str">
        <f t="shared" si="16"/>
        <v>ui_dtex_Equ_03</v>
      </c>
      <c r="DM32" s="144" t="s">
        <v>1172</v>
      </c>
      <c r="DN32" s="144">
        <f t="shared" si="17"/>
        <v>75</v>
      </c>
    </row>
    <row r="33" spans="1:118" ht="14.25" customHeight="1" x14ac:dyDescent="0.2">
      <c r="A33" s="235"/>
      <c r="B33" s="235"/>
      <c r="C33" s="235"/>
      <c r="D33" s="235"/>
      <c r="E33" s="235"/>
      <c r="F33" s="235"/>
      <c r="G33" s="235"/>
      <c r="H33" s="235"/>
      <c r="I33" s="235"/>
      <c r="J33" s="235"/>
      <c r="K33" s="235"/>
      <c r="L33" s="235"/>
      <c r="M33" s="235"/>
      <c r="AF33" s="139">
        <v>28</v>
      </c>
      <c r="AG33" s="139">
        <f>MATCH(AF33-1,金币总表!$Y$4:$Y$12,1)</f>
        <v>2</v>
      </c>
      <c r="AH33" s="21">
        <v>4.4826499999999998E-2</v>
      </c>
      <c r="AI33" s="188">
        <f>ROUND(INDEX(金币总表!$Z$5:$Z$12,装备!AG33)*装备!AH33/$AC$5,0)</f>
        <v>273</v>
      </c>
      <c r="AJ33" s="188">
        <v>1</v>
      </c>
      <c r="AK33" s="139">
        <f>ROUND(INDEX(金币总表!$Z$5:$Z$12,装备!AG33)*装备!AH33/$AC$5,0)</f>
        <v>273</v>
      </c>
      <c r="AM33" s="139">
        <f t="shared" si="6"/>
        <v>135</v>
      </c>
      <c r="AN33" s="139">
        <f t="shared" si="6"/>
        <v>220</v>
      </c>
      <c r="AO33" s="139">
        <f t="shared" si="6"/>
        <v>275</v>
      </c>
      <c r="AP33" s="139">
        <f t="shared" si="6"/>
        <v>330</v>
      </c>
      <c r="BC33">
        <v>145</v>
      </c>
      <c r="BD33" s="139">
        <v>28</v>
      </c>
      <c r="BE33" s="163">
        <f>节奏总表!L32</f>
        <v>145</v>
      </c>
      <c r="BF33" s="163">
        <f>节奏总表!N32+2</f>
        <v>342</v>
      </c>
      <c r="BG33" s="139"/>
      <c r="BH33" s="139"/>
      <c r="BI33" s="139"/>
      <c r="BJ33" s="139"/>
      <c r="BK33" s="139"/>
      <c r="BL33" s="139"/>
      <c r="BM33" s="139"/>
      <c r="BN33" s="139"/>
      <c r="BO33" s="139"/>
      <c r="BP33" s="19">
        <v>1</v>
      </c>
      <c r="BQ33" s="139"/>
      <c r="BR33" s="14">
        <f t="shared" si="1"/>
        <v>648</v>
      </c>
      <c r="BS33" s="14">
        <f t="shared" si="8"/>
        <v>221616</v>
      </c>
      <c r="BT33" s="14">
        <f>SUM(BS$6:BS33)</f>
        <v>1099337.1000000001</v>
      </c>
      <c r="CJ33" s="139">
        <v>28</v>
      </c>
      <c r="CK33" s="139">
        <v>140</v>
      </c>
      <c r="DG33" s="144">
        <v>28</v>
      </c>
      <c r="DH33" s="144">
        <f t="shared" si="13"/>
        <v>4</v>
      </c>
      <c r="DI33" s="144" t="s">
        <v>1177</v>
      </c>
      <c r="DJ33" s="144">
        <f t="shared" si="14"/>
        <v>4</v>
      </c>
      <c r="DK33" s="144" t="str">
        <f t="shared" si="15"/>
        <v>裤子锻造</v>
      </c>
      <c r="DL33" s="144" t="str">
        <f t="shared" si="16"/>
        <v>ui_dtex_Equ_04</v>
      </c>
      <c r="DM33" s="144" t="s">
        <v>1172</v>
      </c>
      <c r="DN33" s="144">
        <f t="shared" si="17"/>
        <v>75</v>
      </c>
    </row>
    <row r="34" spans="1:118" ht="14.25" customHeight="1" x14ac:dyDescent="0.2">
      <c r="A34" s="235"/>
      <c r="B34" s="235"/>
      <c r="C34" s="235"/>
      <c r="D34" s="235"/>
      <c r="E34" s="235"/>
      <c r="F34" s="235"/>
      <c r="G34" s="235"/>
      <c r="H34" s="235"/>
      <c r="I34" s="235"/>
      <c r="J34" s="235"/>
      <c r="K34" s="235"/>
      <c r="L34" s="235"/>
      <c r="M34" s="235"/>
      <c r="AF34" s="139">
        <v>29</v>
      </c>
      <c r="AG34" s="139">
        <f>MATCH(AF34-1,金币总表!$Y$4:$Y$12,1)</f>
        <v>2</v>
      </c>
      <c r="AH34" s="21">
        <v>4.5746000000000002E-2</v>
      </c>
      <c r="AI34" s="188">
        <f>ROUND(INDEX(金币总表!$Z$5:$Z$12,装备!AG34)*装备!AH34/$AC$5,0)</f>
        <v>279</v>
      </c>
      <c r="AJ34" s="188">
        <v>1</v>
      </c>
      <c r="AK34" s="139">
        <f>ROUND(INDEX(金币总表!$Z$5:$Z$12,装备!AG34)*装备!AH34/$AC$5,0)</f>
        <v>279</v>
      </c>
      <c r="AM34" s="139">
        <f t="shared" si="6"/>
        <v>140</v>
      </c>
      <c r="AN34" s="139">
        <f t="shared" si="6"/>
        <v>225</v>
      </c>
      <c r="AO34" s="139">
        <f t="shared" si="6"/>
        <v>280</v>
      </c>
      <c r="AP34" s="139">
        <f t="shared" si="6"/>
        <v>335</v>
      </c>
      <c r="BC34">
        <v>150</v>
      </c>
      <c r="BD34" s="139">
        <v>29</v>
      </c>
      <c r="BE34" s="163">
        <f>节奏总表!L33</f>
        <v>150</v>
      </c>
      <c r="BF34" s="163">
        <f>节奏总表!N33+2</f>
        <v>1442</v>
      </c>
      <c r="BG34" s="139"/>
      <c r="BH34" s="139"/>
      <c r="BI34" s="139"/>
      <c r="BJ34" s="139"/>
      <c r="BK34" s="139"/>
      <c r="BL34" s="139"/>
      <c r="BM34" s="139"/>
      <c r="BN34" s="139"/>
      <c r="BO34" s="139"/>
      <c r="BP34" s="19">
        <v>0.5</v>
      </c>
      <c r="BQ34" s="19">
        <v>0.5</v>
      </c>
      <c r="BR34" s="14">
        <f t="shared" si="1"/>
        <v>756</v>
      </c>
      <c r="BS34" s="14">
        <f t="shared" si="8"/>
        <v>1090152</v>
      </c>
      <c r="BT34" s="14">
        <f>SUM(BS$6:BS34)</f>
        <v>2189489.1</v>
      </c>
      <c r="CJ34" s="139">
        <v>29</v>
      </c>
      <c r="CK34" s="139">
        <v>145</v>
      </c>
      <c r="DG34" s="144">
        <v>29</v>
      </c>
      <c r="DH34" s="144">
        <f t="shared" si="13"/>
        <v>4</v>
      </c>
      <c r="DI34" s="144" t="s">
        <v>1177</v>
      </c>
      <c r="DJ34" s="144">
        <f t="shared" si="14"/>
        <v>5</v>
      </c>
      <c r="DK34" s="144" t="str">
        <f t="shared" si="15"/>
        <v>鞋子锻造</v>
      </c>
      <c r="DL34" s="144" t="str">
        <f t="shared" si="16"/>
        <v>ui_dtex_Equ_05</v>
      </c>
      <c r="DM34" s="144" t="s">
        <v>1172</v>
      </c>
      <c r="DN34" s="144">
        <f t="shared" si="17"/>
        <v>75</v>
      </c>
    </row>
    <row r="35" spans="1:118" ht="14.25" customHeight="1" x14ac:dyDescent="0.2">
      <c r="A35" s="235"/>
      <c r="B35" s="235"/>
      <c r="C35" s="235"/>
      <c r="D35" s="235"/>
      <c r="E35" s="235"/>
      <c r="F35" s="235"/>
      <c r="G35" s="235"/>
      <c r="H35" s="235"/>
      <c r="I35" s="235"/>
      <c r="J35" s="235"/>
      <c r="K35" s="235"/>
      <c r="L35" s="235"/>
      <c r="M35" s="235"/>
      <c r="AF35" s="139">
        <v>30</v>
      </c>
      <c r="AG35" s="139">
        <f>MATCH(AF35-1,金币总表!$Y$4:$Y$12,1)</f>
        <v>2</v>
      </c>
      <c r="AH35" s="21">
        <v>4.6665499999999999E-2</v>
      </c>
      <c r="AI35" s="188">
        <f>ROUND(INDEX(金币总表!$Z$5:$Z$12,装备!AG35)*装备!AH35/$AC$5,0)</f>
        <v>284</v>
      </c>
      <c r="AJ35" s="188">
        <v>1</v>
      </c>
      <c r="AK35" s="139">
        <f>ROUND(INDEX(金币总表!$Z$5:$Z$12,装备!AG35)*装备!AH35/$AC$5,0)</f>
        <v>284</v>
      </c>
      <c r="AM35" s="139">
        <f t="shared" si="6"/>
        <v>140</v>
      </c>
      <c r="AN35" s="139">
        <f t="shared" si="6"/>
        <v>225</v>
      </c>
      <c r="AO35" s="139">
        <f t="shared" si="6"/>
        <v>285</v>
      </c>
      <c r="AP35" s="139">
        <f t="shared" si="6"/>
        <v>340</v>
      </c>
      <c r="BC35">
        <v>150</v>
      </c>
      <c r="BD35" s="139">
        <v>30</v>
      </c>
      <c r="BE35" s="163">
        <f>节奏总表!L34</f>
        <v>150</v>
      </c>
      <c r="BF35" s="163">
        <f>节奏总表!N34+2</f>
        <v>2882</v>
      </c>
      <c r="BG35" s="139"/>
      <c r="BH35" s="139"/>
      <c r="BI35" s="139"/>
      <c r="BJ35" s="139"/>
      <c r="BK35" s="139"/>
      <c r="BL35" s="139"/>
      <c r="BM35" s="139"/>
      <c r="BN35" s="139"/>
      <c r="BO35" s="139"/>
      <c r="BP35" s="139"/>
      <c r="BQ35" s="19">
        <v>1</v>
      </c>
      <c r="BR35" s="14">
        <f t="shared" si="1"/>
        <v>864</v>
      </c>
      <c r="BS35" s="14">
        <f t="shared" si="8"/>
        <v>2490048</v>
      </c>
      <c r="BT35" s="14">
        <f>SUM(BS$6:BS35)</f>
        <v>4679537.0999999996</v>
      </c>
      <c r="CJ35" s="139">
        <v>30</v>
      </c>
      <c r="CK35" s="139">
        <v>150</v>
      </c>
      <c r="DG35" s="144">
        <v>30</v>
      </c>
      <c r="DH35" s="144">
        <f t="shared" si="13"/>
        <v>4</v>
      </c>
      <c r="DI35" s="144" t="s">
        <v>1177</v>
      </c>
      <c r="DJ35" s="144">
        <f t="shared" si="14"/>
        <v>6</v>
      </c>
      <c r="DK35" s="144" t="str">
        <f t="shared" si="15"/>
        <v>护手锻造</v>
      </c>
      <c r="DL35" s="144" t="str">
        <f t="shared" si="16"/>
        <v>ui_dtex_Equ_06</v>
      </c>
      <c r="DM35" s="144" t="s">
        <v>1172</v>
      </c>
      <c r="DN35" s="144">
        <f t="shared" si="17"/>
        <v>75</v>
      </c>
    </row>
    <row r="36" spans="1:118" ht="14.25" customHeight="1" x14ac:dyDescent="0.2">
      <c r="A36" s="235"/>
      <c r="B36" s="235"/>
      <c r="C36" s="235"/>
      <c r="D36" s="235"/>
      <c r="E36" s="235"/>
      <c r="F36" s="235"/>
      <c r="G36" s="235"/>
      <c r="H36" s="235"/>
      <c r="I36" s="235"/>
      <c r="J36" s="235"/>
      <c r="K36" s="235"/>
      <c r="L36" s="235"/>
      <c r="M36" s="235"/>
      <c r="AF36" s="139">
        <v>31</v>
      </c>
      <c r="AG36" s="139">
        <f>MATCH(AF36-1,金币总表!$Y$4:$Y$12,1)</f>
        <v>3</v>
      </c>
      <c r="AH36" s="19">
        <v>0.03</v>
      </c>
      <c r="AI36" s="188">
        <f>ROUND(INDEX(金币总表!$Z$5:$Z$12,装备!AG36)*装备!AH36/$AC$5,0)</f>
        <v>556</v>
      </c>
      <c r="AJ36" s="188">
        <v>1</v>
      </c>
      <c r="AK36" s="139">
        <f>ROUND(INDEX(金币总表!$Z$5:$Z$12,装备!AG36)*装备!AH36/$AC$5,0)</f>
        <v>556</v>
      </c>
      <c r="AM36" s="139">
        <f t="shared" si="6"/>
        <v>280</v>
      </c>
      <c r="AN36" s="139">
        <f t="shared" si="6"/>
        <v>445</v>
      </c>
      <c r="AO36" s="139">
        <f t="shared" si="6"/>
        <v>555</v>
      </c>
      <c r="AP36" s="139">
        <f t="shared" si="6"/>
        <v>665</v>
      </c>
      <c r="DG36" s="144">
        <v>31</v>
      </c>
      <c r="DH36" s="144">
        <f t="shared" si="13"/>
        <v>4</v>
      </c>
      <c r="DI36" s="144" t="s">
        <v>1177</v>
      </c>
      <c r="DJ36" s="144">
        <f t="shared" si="14"/>
        <v>7</v>
      </c>
      <c r="DK36" s="144" t="str">
        <f t="shared" si="15"/>
        <v>项链锻造</v>
      </c>
      <c r="DL36" s="144" t="str">
        <f t="shared" si="16"/>
        <v>ui_dtex_Equ_07</v>
      </c>
      <c r="DM36" s="144" t="s">
        <v>1172</v>
      </c>
      <c r="DN36" s="144">
        <f t="shared" si="17"/>
        <v>115</v>
      </c>
    </row>
    <row r="37" spans="1:118" ht="14.25" customHeight="1" x14ac:dyDescent="0.2">
      <c r="A37" s="235"/>
      <c r="B37" s="235"/>
      <c r="C37" s="235"/>
      <c r="D37" s="235"/>
      <c r="E37" s="235"/>
      <c r="F37" s="235"/>
      <c r="G37" s="235"/>
      <c r="H37" s="235"/>
      <c r="I37" s="235"/>
      <c r="J37" s="235"/>
      <c r="K37" s="235"/>
      <c r="L37" s="235"/>
      <c r="M37" s="235"/>
      <c r="AF37" s="139">
        <v>32</v>
      </c>
      <c r="AG37" s="139">
        <f>MATCH(AF37-1,金币总表!$Y$4:$Y$12,1)</f>
        <v>3</v>
      </c>
      <c r="AH37" s="21">
        <v>3.2105000000000002E-2</v>
      </c>
      <c r="AI37" s="188">
        <f>ROUND(INDEX(金币总表!$Z$5:$Z$12,装备!AG37)*装备!AH37/$AC$5,0)</f>
        <v>595</v>
      </c>
      <c r="AJ37" s="188">
        <v>1</v>
      </c>
      <c r="AK37" s="139">
        <f>ROUND(INDEX(金币总表!$Z$5:$Z$12,装备!AG37)*装备!AH37/$AC$5,0)</f>
        <v>595</v>
      </c>
      <c r="AM37" s="139">
        <f t="shared" si="6"/>
        <v>300</v>
      </c>
      <c r="AN37" s="139">
        <f t="shared" si="6"/>
        <v>475</v>
      </c>
      <c r="AO37" s="139">
        <f t="shared" si="6"/>
        <v>595</v>
      </c>
      <c r="AP37" s="139">
        <f t="shared" si="6"/>
        <v>715</v>
      </c>
      <c r="DG37" s="144">
        <v>32</v>
      </c>
      <c r="DH37" s="144">
        <f t="shared" si="13"/>
        <v>4</v>
      </c>
      <c r="DI37" s="144" t="s">
        <v>1177</v>
      </c>
      <c r="DJ37" s="144">
        <f t="shared" si="14"/>
        <v>8</v>
      </c>
      <c r="DK37" s="144" t="str">
        <f t="shared" si="15"/>
        <v>戒指锻造</v>
      </c>
      <c r="DL37" s="144" t="str">
        <f t="shared" si="16"/>
        <v>ui_dtex_Equ_08</v>
      </c>
      <c r="DM37" s="144" t="s">
        <v>1172</v>
      </c>
      <c r="DN37" s="144">
        <f t="shared" si="17"/>
        <v>115</v>
      </c>
    </row>
    <row r="38" spans="1:118" ht="14.25" customHeight="1" x14ac:dyDescent="0.2">
      <c r="A38" s="235"/>
      <c r="B38" s="235"/>
      <c r="C38" s="235"/>
      <c r="D38" s="235"/>
      <c r="E38" s="235"/>
      <c r="F38" s="235"/>
      <c r="G38" s="235"/>
      <c r="H38" s="235"/>
      <c r="I38" s="235"/>
      <c r="J38" s="235"/>
      <c r="K38" s="235"/>
      <c r="L38" s="235"/>
      <c r="M38" s="235"/>
      <c r="AF38" s="139">
        <v>33</v>
      </c>
      <c r="AG38" s="139">
        <f>MATCH(AF38-1,金币总表!$Y$4:$Y$12,1)</f>
        <v>3</v>
      </c>
      <c r="AH38" s="19">
        <v>3.4209999999999997E-2</v>
      </c>
      <c r="AI38" s="188">
        <f>ROUND(INDEX(金币总表!$Z$5:$Z$12,装备!AG38)*装备!AH38/$AC$5,0)</f>
        <v>634</v>
      </c>
      <c r="AJ38" s="188">
        <v>1</v>
      </c>
      <c r="AK38" s="139">
        <f>ROUND(INDEX(金币总表!$Z$5:$Z$12,装备!AG38)*装备!AH38/$AC$5,0)</f>
        <v>634</v>
      </c>
      <c r="AM38" s="139">
        <f t="shared" si="6"/>
        <v>315</v>
      </c>
      <c r="AN38" s="139">
        <f t="shared" si="6"/>
        <v>505</v>
      </c>
      <c r="AO38" s="139">
        <f t="shared" si="6"/>
        <v>635</v>
      </c>
      <c r="AP38" s="139">
        <f t="shared" si="6"/>
        <v>760</v>
      </c>
      <c r="DG38" s="144">
        <v>33</v>
      </c>
      <c r="DH38" s="144">
        <f t="shared" si="13"/>
        <v>5</v>
      </c>
      <c r="DI38" s="144" t="s">
        <v>1177</v>
      </c>
      <c r="DJ38" s="144">
        <f t="shared" si="14"/>
        <v>1</v>
      </c>
      <c r="DK38" s="144" t="str">
        <f t="shared" si="15"/>
        <v>灵器锻造</v>
      </c>
      <c r="DL38" s="144" t="str">
        <f t="shared" si="16"/>
        <v>ui_dtex_Equ_01</v>
      </c>
      <c r="DM38" s="144" t="s">
        <v>1172</v>
      </c>
      <c r="DN38" s="144">
        <f t="shared" si="17"/>
        <v>170</v>
      </c>
    </row>
    <row r="39" spans="1:118" ht="14.25" customHeight="1" x14ac:dyDescent="0.2">
      <c r="A39" s="235"/>
      <c r="B39" s="235"/>
      <c r="C39" s="235"/>
      <c r="D39" s="235"/>
      <c r="E39" s="235"/>
      <c r="F39" s="235"/>
      <c r="G39" s="235"/>
      <c r="H39" s="235"/>
      <c r="I39" s="235"/>
      <c r="J39" s="235"/>
      <c r="K39" s="235"/>
      <c r="L39" s="235"/>
      <c r="M39" s="235"/>
      <c r="AF39" s="139">
        <v>34</v>
      </c>
      <c r="AG39" s="139">
        <f>MATCH(AF39-1,金币总表!$Y$4:$Y$12,1)</f>
        <v>3</v>
      </c>
      <c r="AH39" s="21">
        <v>3.6315E-2</v>
      </c>
      <c r="AI39" s="188">
        <f>ROUND(INDEX(金币总表!$Z$5:$Z$12,装备!AG39)*装备!AH39/$AC$5,0)</f>
        <v>673</v>
      </c>
      <c r="AJ39" s="188">
        <v>1</v>
      </c>
      <c r="AK39" s="139">
        <f>ROUND(INDEX(金币总表!$Z$5:$Z$12,装备!AG39)*装备!AH39/$AC$5,0)</f>
        <v>673</v>
      </c>
      <c r="AM39" s="139">
        <f t="shared" ref="AM39:AP70" si="19">ROUND($AK39*AM$3/5,0)*5</f>
        <v>335</v>
      </c>
      <c r="AN39" s="139">
        <f t="shared" si="19"/>
        <v>540</v>
      </c>
      <c r="AO39" s="139">
        <f t="shared" si="19"/>
        <v>675</v>
      </c>
      <c r="AP39" s="139">
        <f t="shared" si="19"/>
        <v>810</v>
      </c>
      <c r="DG39" s="144">
        <v>34</v>
      </c>
      <c r="DH39" s="144">
        <f t="shared" si="13"/>
        <v>5</v>
      </c>
      <c r="DI39" s="144" t="s">
        <v>1177</v>
      </c>
      <c r="DJ39" s="144">
        <f t="shared" si="14"/>
        <v>2</v>
      </c>
      <c r="DK39" s="144" t="str">
        <f t="shared" si="15"/>
        <v>头盔锻造</v>
      </c>
      <c r="DL39" s="144" t="str">
        <f t="shared" si="16"/>
        <v>ui_dtex_Equ_02</v>
      </c>
      <c r="DM39" s="144" t="s">
        <v>1172</v>
      </c>
      <c r="DN39" s="144">
        <f t="shared" si="17"/>
        <v>85</v>
      </c>
    </row>
    <row r="40" spans="1:118" ht="14.25" customHeight="1" x14ac:dyDescent="0.2">
      <c r="A40" s="235"/>
      <c r="B40" s="235"/>
      <c r="C40" s="235"/>
      <c r="D40" s="235"/>
      <c r="E40" s="235"/>
      <c r="F40" s="235"/>
      <c r="G40" s="235"/>
      <c r="H40" s="235"/>
      <c r="I40" s="235"/>
      <c r="J40" s="235"/>
      <c r="K40" s="235"/>
      <c r="L40" s="235"/>
      <c r="M40" s="235"/>
      <c r="AF40" s="139">
        <v>35</v>
      </c>
      <c r="AG40" s="139">
        <f>MATCH(AF40-1,金币总表!$Y$4:$Y$12,1)</f>
        <v>3</v>
      </c>
      <c r="AH40" s="19">
        <v>3.8420000000000003E-2</v>
      </c>
      <c r="AI40" s="188">
        <f>ROUND(INDEX(金币总表!$Z$5:$Z$12,装备!AG40)*装备!AH40/$AC$5,0)</f>
        <v>712</v>
      </c>
      <c r="AJ40" s="188">
        <v>1</v>
      </c>
      <c r="AK40" s="139">
        <f>ROUND(INDEX(金币总表!$Z$5:$Z$12,装备!AG40)*装备!AH40/$AC$5,0)</f>
        <v>712</v>
      </c>
      <c r="AM40" s="139">
        <f t="shared" si="19"/>
        <v>355</v>
      </c>
      <c r="AN40" s="139">
        <f t="shared" si="19"/>
        <v>570</v>
      </c>
      <c r="AO40" s="139">
        <f t="shared" si="19"/>
        <v>710</v>
      </c>
      <c r="AP40" s="139">
        <f t="shared" si="19"/>
        <v>855</v>
      </c>
      <c r="DG40" s="144">
        <v>35</v>
      </c>
      <c r="DH40" s="144">
        <f t="shared" si="13"/>
        <v>5</v>
      </c>
      <c r="DI40" s="144" t="s">
        <v>1177</v>
      </c>
      <c r="DJ40" s="144">
        <f t="shared" si="14"/>
        <v>3</v>
      </c>
      <c r="DK40" s="144" t="str">
        <f t="shared" si="15"/>
        <v>铠甲锻造</v>
      </c>
      <c r="DL40" s="144" t="str">
        <f t="shared" si="16"/>
        <v>ui_dtex_Equ_03</v>
      </c>
      <c r="DM40" s="144" t="s">
        <v>1172</v>
      </c>
      <c r="DN40" s="144">
        <f t="shared" si="17"/>
        <v>85</v>
      </c>
    </row>
    <row r="41" spans="1:118" ht="14.25" customHeight="1" x14ac:dyDescent="0.2">
      <c r="A41" s="235"/>
      <c r="B41" s="235"/>
      <c r="C41" s="235"/>
      <c r="D41" s="235"/>
      <c r="E41" s="235"/>
      <c r="F41" s="235"/>
      <c r="G41" s="235"/>
      <c r="H41" s="235"/>
      <c r="I41" s="235"/>
      <c r="J41" s="235"/>
      <c r="K41" s="235"/>
      <c r="L41" s="235"/>
      <c r="M41" s="235"/>
      <c r="AF41" s="139">
        <v>36</v>
      </c>
      <c r="AG41" s="139">
        <f>MATCH(AF41-1,金币总表!$Y$4:$Y$12,1)</f>
        <v>3</v>
      </c>
      <c r="AH41" s="21">
        <v>4.0524999999999999E-2</v>
      </c>
      <c r="AI41" s="188">
        <f>ROUND(INDEX(金币总表!$Z$5:$Z$12,装备!AG41)*装备!AH41/$AC$5,0)</f>
        <v>751</v>
      </c>
      <c r="AJ41" s="188">
        <v>1</v>
      </c>
      <c r="AK41" s="139">
        <f>ROUND(INDEX(金币总表!$Z$5:$Z$12,装备!AG41)*装备!AH41/$AC$5,0)</f>
        <v>751</v>
      </c>
      <c r="AM41" s="139">
        <f t="shared" si="19"/>
        <v>375</v>
      </c>
      <c r="AN41" s="139">
        <f t="shared" si="19"/>
        <v>600</v>
      </c>
      <c r="AO41" s="139">
        <f t="shared" si="19"/>
        <v>750</v>
      </c>
      <c r="AP41" s="139">
        <f t="shared" si="19"/>
        <v>900</v>
      </c>
      <c r="DG41" s="144">
        <v>36</v>
      </c>
      <c r="DH41" s="144">
        <f t="shared" si="13"/>
        <v>5</v>
      </c>
      <c r="DI41" s="144" t="s">
        <v>1177</v>
      </c>
      <c r="DJ41" s="144">
        <f t="shared" si="14"/>
        <v>4</v>
      </c>
      <c r="DK41" s="144" t="str">
        <f t="shared" si="15"/>
        <v>裤子锻造</v>
      </c>
      <c r="DL41" s="144" t="str">
        <f t="shared" si="16"/>
        <v>ui_dtex_Equ_04</v>
      </c>
      <c r="DM41" s="144" t="s">
        <v>1172</v>
      </c>
      <c r="DN41" s="144">
        <f t="shared" si="17"/>
        <v>85</v>
      </c>
    </row>
    <row r="42" spans="1:118" ht="14.25" customHeight="1" x14ac:dyDescent="0.2">
      <c r="A42" s="235"/>
      <c r="B42" s="235"/>
      <c r="C42" s="235"/>
      <c r="D42" s="235"/>
      <c r="E42" s="235"/>
      <c r="F42" s="235"/>
      <c r="G42" s="235"/>
      <c r="H42" s="235"/>
      <c r="I42" s="235"/>
      <c r="J42" s="235"/>
      <c r="K42" s="235"/>
      <c r="L42" s="235"/>
      <c r="M42" s="235"/>
      <c r="AF42" s="139">
        <v>37</v>
      </c>
      <c r="AG42" s="139">
        <f>MATCH(AF42-1,金币总表!$Y$4:$Y$12,1)</f>
        <v>3</v>
      </c>
      <c r="AH42" s="19">
        <v>4.2630000000000001E-2</v>
      </c>
      <c r="AI42" s="188">
        <f>ROUND(INDEX(金币总表!$Z$5:$Z$12,装备!AG42)*装备!AH42/$AC$5,0)</f>
        <v>791</v>
      </c>
      <c r="AJ42" s="188">
        <v>1</v>
      </c>
      <c r="AK42" s="139">
        <f>ROUND(INDEX(金币总表!$Z$5:$Z$12,装备!AG42)*装备!AH42/$AC$5,0)</f>
        <v>791</v>
      </c>
      <c r="AM42" s="139">
        <f t="shared" si="19"/>
        <v>395</v>
      </c>
      <c r="AN42" s="139">
        <f t="shared" si="19"/>
        <v>635</v>
      </c>
      <c r="AO42" s="139">
        <f t="shared" si="19"/>
        <v>790</v>
      </c>
      <c r="AP42" s="139">
        <f t="shared" si="19"/>
        <v>950</v>
      </c>
      <c r="DG42" s="144">
        <v>37</v>
      </c>
      <c r="DH42" s="144">
        <f t="shared" si="13"/>
        <v>5</v>
      </c>
      <c r="DI42" s="144" t="s">
        <v>1177</v>
      </c>
      <c r="DJ42" s="144">
        <f t="shared" si="14"/>
        <v>5</v>
      </c>
      <c r="DK42" s="144" t="str">
        <f t="shared" si="15"/>
        <v>鞋子锻造</v>
      </c>
      <c r="DL42" s="144" t="str">
        <f t="shared" si="16"/>
        <v>ui_dtex_Equ_05</v>
      </c>
      <c r="DM42" s="144" t="s">
        <v>1172</v>
      </c>
      <c r="DN42" s="144">
        <f t="shared" si="17"/>
        <v>85</v>
      </c>
    </row>
    <row r="43" spans="1:118" ht="16.5" x14ac:dyDescent="0.2">
      <c r="A43" s="235"/>
      <c r="B43" s="235"/>
      <c r="C43" s="235"/>
      <c r="D43" s="235"/>
      <c r="E43" s="235"/>
      <c r="F43" s="235"/>
      <c r="G43" s="235"/>
      <c r="H43" s="235"/>
      <c r="I43" s="235"/>
      <c r="J43" s="235"/>
      <c r="K43" s="235"/>
      <c r="L43" s="235"/>
      <c r="M43" s="235"/>
      <c r="AF43" s="139">
        <v>38</v>
      </c>
      <c r="AG43" s="139">
        <f>MATCH(AF43-1,金币总表!$Y$4:$Y$12,1)</f>
        <v>3</v>
      </c>
      <c r="AH43" s="21">
        <v>4.4734999999999997E-2</v>
      </c>
      <c r="AI43" s="188">
        <f>ROUND(INDEX(金币总表!$Z$5:$Z$12,装备!AG43)*装备!AH43/$AC$5,0)</f>
        <v>830</v>
      </c>
      <c r="AJ43" s="188">
        <v>1</v>
      </c>
      <c r="AK43" s="139">
        <f>ROUND(INDEX(金币总表!$Z$5:$Z$12,装备!AG43)*装备!AH43/$AC$5,0)</f>
        <v>830</v>
      </c>
      <c r="AM43" s="139">
        <f t="shared" si="19"/>
        <v>415</v>
      </c>
      <c r="AN43" s="139">
        <f t="shared" si="19"/>
        <v>665</v>
      </c>
      <c r="AO43" s="139">
        <f t="shared" si="19"/>
        <v>830</v>
      </c>
      <c r="AP43" s="139">
        <f t="shared" si="19"/>
        <v>995</v>
      </c>
      <c r="DG43" s="144">
        <v>38</v>
      </c>
      <c r="DH43" s="144">
        <f t="shared" si="13"/>
        <v>5</v>
      </c>
      <c r="DI43" s="144" t="s">
        <v>1177</v>
      </c>
      <c r="DJ43" s="144">
        <f t="shared" si="14"/>
        <v>6</v>
      </c>
      <c r="DK43" s="144" t="str">
        <f t="shared" si="15"/>
        <v>护手锻造</v>
      </c>
      <c r="DL43" s="144" t="str">
        <f t="shared" si="16"/>
        <v>ui_dtex_Equ_06</v>
      </c>
      <c r="DM43" s="144" t="s">
        <v>1172</v>
      </c>
      <c r="DN43" s="144">
        <f t="shared" si="17"/>
        <v>85</v>
      </c>
    </row>
    <row r="44" spans="1:118" ht="16.5" x14ac:dyDescent="0.2">
      <c r="A44" s="235"/>
      <c r="B44" s="235"/>
      <c r="C44" s="235"/>
      <c r="D44" s="235"/>
      <c r="E44" s="235"/>
      <c r="F44" s="235"/>
      <c r="G44" s="235"/>
      <c r="H44" s="235"/>
      <c r="I44" s="235"/>
      <c r="J44" s="235"/>
      <c r="K44" s="235"/>
      <c r="L44" s="235"/>
      <c r="M44" s="235"/>
      <c r="AF44" s="139">
        <v>39</v>
      </c>
      <c r="AG44" s="139">
        <f>MATCH(AF44-1,金币总表!$Y$4:$Y$12,1)</f>
        <v>3</v>
      </c>
      <c r="AH44" s="19">
        <v>4.684E-2</v>
      </c>
      <c r="AI44" s="188">
        <f>ROUND(INDEX(金币总表!$Z$5:$Z$12,装备!AG44)*装备!AH44/$AC$5,0)</f>
        <v>869</v>
      </c>
      <c r="AJ44" s="188">
        <v>1</v>
      </c>
      <c r="AK44" s="139">
        <f>ROUND(INDEX(金币总表!$Z$5:$Z$12,装备!AG44)*装备!AH44/$AC$5,0)</f>
        <v>869</v>
      </c>
      <c r="AM44" s="139">
        <f t="shared" si="19"/>
        <v>435</v>
      </c>
      <c r="AN44" s="139">
        <f t="shared" si="19"/>
        <v>695</v>
      </c>
      <c r="AO44" s="139">
        <f t="shared" si="19"/>
        <v>870</v>
      </c>
      <c r="AP44" s="139">
        <f t="shared" si="19"/>
        <v>1045</v>
      </c>
      <c r="DG44" s="144">
        <v>39</v>
      </c>
      <c r="DH44" s="144">
        <f t="shared" si="13"/>
        <v>5</v>
      </c>
      <c r="DI44" s="144" t="s">
        <v>1177</v>
      </c>
      <c r="DJ44" s="144">
        <f t="shared" si="14"/>
        <v>7</v>
      </c>
      <c r="DK44" s="144" t="str">
        <f t="shared" si="15"/>
        <v>项链锻造</v>
      </c>
      <c r="DL44" s="144" t="str">
        <f t="shared" si="16"/>
        <v>ui_dtex_Equ_07</v>
      </c>
      <c r="DM44" s="144" t="s">
        <v>1172</v>
      </c>
      <c r="DN44" s="144">
        <f t="shared" si="17"/>
        <v>130</v>
      </c>
    </row>
    <row r="45" spans="1:118" ht="16.5" x14ac:dyDescent="0.2">
      <c r="A45" s="235"/>
      <c r="B45" s="235"/>
      <c r="C45" s="235"/>
      <c r="D45" s="235"/>
      <c r="E45" s="235"/>
      <c r="F45" s="235"/>
      <c r="G45" s="235"/>
      <c r="H45" s="235"/>
      <c r="I45" s="235"/>
      <c r="J45" s="235"/>
      <c r="K45" s="235"/>
      <c r="L45" s="235"/>
      <c r="M45" s="235"/>
      <c r="AF45" s="139">
        <v>40</v>
      </c>
      <c r="AG45" s="139">
        <f>MATCH(AF45-1,金币总表!$Y$4:$Y$12,1)</f>
        <v>3</v>
      </c>
      <c r="AH45" s="21">
        <v>4.8945000000000002E-2</v>
      </c>
      <c r="AI45" s="188">
        <f>ROUND(INDEX(金币总表!$Z$5:$Z$12,装备!AG45)*装备!AH45/$AC$5,0)</f>
        <v>908</v>
      </c>
      <c r="AJ45" s="188">
        <v>1</v>
      </c>
      <c r="AK45" s="139">
        <f>ROUND(INDEX(金币总表!$Z$5:$Z$12,装备!AG45)*装备!AH45/$AC$5,0)</f>
        <v>908</v>
      </c>
      <c r="AM45" s="139">
        <f t="shared" si="19"/>
        <v>455</v>
      </c>
      <c r="AN45" s="139">
        <f t="shared" si="19"/>
        <v>725</v>
      </c>
      <c r="AO45" s="139">
        <f t="shared" si="19"/>
        <v>910</v>
      </c>
      <c r="AP45" s="139">
        <f t="shared" si="19"/>
        <v>1090</v>
      </c>
      <c r="DG45" s="144">
        <v>40</v>
      </c>
      <c r="DH45" s="144">
        <f t="shared" si="13"/>
        <v>5</v>
      </c>
      <c r="DI45" s="144" t="s">
        <v>1177</v>
      </c>
      <c r="DJ45" s="144">
        <f t="shared" si="14"/>
        <v>8</v>
      </c>
      <c r="DK45" s="144" t="str">
        <f t="shared" si="15"/>
        <v>戒指锻造</v>
      </c>
      <c r="DL45" s="144" t="str">
        <f t="shared" si="16"/>
        <v>ui_dtex_Equ_08</v>
      </c>
      <c r="DM45" s="144" t="s">
        <v>1172</v>
      </c>
      <c r="DN45" s="144">
        <f t="shared" si="17"/>
        <v>130</v>
      </c>
    </row>
    <row r="46" spans="1:118" ht="16.5" x14ac:dyDescent="0.2">
      <c r="AF46" s="139">
        <v>41</v>
      </c>
      <c r="AG46" s="139">
        <f>MATCH(AF46-1,金币总表!$Y$4:$Y$12,1)</f>
        <v>3</v>
      </c>
      <c r="AH46" s="19">
        <v>5.1049999999999998E-2</v>
      </c>
      <c r="AI46" s="188">
        <f>ROUND(INDEX(金币总表!$Z$5:$Z$12,装备!AG46)*装备!AH46/$AC$5,0)</f>
        <v>947</v>
      </c>
      <c r="AJ46" s="188">
        <v>1</v>
      </c>
      <c r="AK46" s="139">
        <f>ROUND(INDEX(金币总表!$Z$5:$Z$12,装备!AG46)*装备!AH46/$AC$5,0)</f>
        <v>947</v>
      </c>
      <c r="AM46" s="139">
        <f t="shared" si="19"/>
        <v>475</v>
      </c>
      <c r="AN46" s="139">
        <f t="shared" si="19"/>
        <v>760</v>
      </c>
      <c r="AO46" s="139">
        <f t="shared" si="19"/>
        <v>945</v>
      </c>
      <c r="AP46" s="139">
        <f t="shared" si="19"/>
        <v>1135</v>
      </c>
      <c r="DG46" s="144">
        <v>41</v>
      </c>
      <c r="DH46" s="144">
        <f t="shared" si="13"/>
        <v>6</v>
      </c>
      <c r="DI46" s="144" t="s">
        <v>1177</v>
      </c>
      <c r="DJ46" s="144">
        <f t="shared" si="14"/>
        <v>1</v>
      </c>
      <c r="DK46" s="144" t="str">
        <f t="shared" si="15"/>
        <v>灵器锻造</v>
      </c>
      <c r="DL46" s="144" t="str">
        <f t="shared" si="16"/>
        <v>ui_dtex_Equ_01</v>
      </c>
      <c r="DM46" s="144" t="s">
        <v>1172</v>
      </c>
      <c r="DN46" s="144">
        <f t="shared" si="17"/>
        <v>200</v>
      </c>
    </row>
    <row r="47" spans="1:118" ht="16.5" x14ac:dyDescent="0.2">
      <c r="AF47" s="139">
        <v>42</v>
      </c>
      <c r="AG47" s="139">
        <f>MATCH(AF47-1,金币总表!$Y$4:$Y$12,1)</f>
        <v>3</v>
      </c>
      <c r="AH47" s="21">
        <v>5.3155000000000001E-2</v>
      </c>
      <c r="AI47" s="188">
        <f>ROUND(INDEX(金币总表!$Z$5:$Z$12,装备!AG47)*装备!AH47/$AC$5,0)</f>
        <v>986</v>
      </c>
      <c r="AJ47" s="188">
        <v>1</v>
      </c>
      <c r="AK47" s="139">
        <f>ROUND(INDEX(金币总表!$Z$5:$Z$12,装备!AG47)*装备!AH47/$AC$5,0)</f>
        <v>986</v>
      </c>
      <c r="AM47" s="139">
        <f t="shared" si="19"/>
        <v>495</v>
      </c>
      <c r="AN47" s="139">
        <f t="shared" si="19"/>
        <v>790</v>
      </c>
      <c r="AO47" s="139">
        <f t="shared" si="19"/>
        <v>985</v>
      </c>
      <c r="AP47" s="139">
        <f t="shared" si="19"/>
        <v>1185</v>
      </c>
      <c r="DG47" s="144">
        <v>42</v>
      </c>
      <c r="DH47" s="144">
        <f t="shared" si="13"/>
        <v>6</v>
      </c>
      <c r="DI47" s="144" t="s">
        <v>1177</v>
      </c>
      <c r="DJ47" s="144">
        <f t="shared" si="14"/>
        <v>2</v>
      </c>
      <c r="DK47" s="144" t="str">
        <f t="shared" si="15"/>
        <v>头盔锻造</v>
      </c>
      <c r="DL47" s="144" t="str">
        <f t="shared" si="16"/>
        <v>ui_dtex_Equ_02</v>
      </c>
      <c r="DM47" s="144" t="s">
        <v>1172</v>
      </c>
      <c r="DN47" s="144">
        <f t="shared" si="17"/>
        <v>100</v>
      </c>
    </row>
    <row r="48" spans="1:118" ht="16.5" x14ac:dyDescent="0.2">
      <c r="AF48" s="139">
        <v>43</v>
      </c>
      <c r="AG48" s="139">
        <f>MATCH(AF48-1,金币总表!$Y$4:$Y$12,1)</f>
        <v>3</v>
      </c>
      <c r="AH48" s="19">
        <v>5.5259999999999997E-2</v>
      </c>
      <c r="AI48" s="188">
        <f>ROUND(INDEX(金币总表!$Z$5:$Z$12,装备!AG48)*装备!AH48/$AC$5,0)</f>
        <v>1025</v>
      </c>
      <c r="AJ48" s="188">
        <v>1</v>
      </c>
      <c r="AK48" s="139">
        <f>ROUND(INDEX(金币总表!$Z$5:$Z$12,装备!AG48)*装备!AH48/$AC$5,0)</f>
        <v>1025</v>
      </c>
      <c r="AM48" s="139">
        <f t="shared" si="19"/>
        <v>515</v>
      </c>
      <c r="AN48" s="139">
        <f t="shared" si="19"/>
        <v>820</v>
      </c>
      <c r="AO48" s="139">
        <f t="shared" si="19"/>
        <v>1025</v>
      </c>
      <c r="AP48" s="139">
        <f t="shared" si="19"/>
        <v>1230</v>
      </c>
      <c r="DG48" s="144">
        <v>43</v>
      </c>
      <c r="DH48" s="144">
        <f t="shared" si="13"/>
        <v>6</v>
      </c>
      <c r="DI48" s="144" t="s">
        <v>1177</v>
      </c>
      <c r="DJ48" s="144">
        <f t="shared" si="14"/>
        <v>3</v>
      </c>
      <c r="DK48" s="144" t="str">
        <f t="shared" si="15"/>
        <v>铠甲锻造</v>
      </c>
      <c r="DL48" s="144" t="str">
        <f t="shared" si="16"/>
        <v>ui_dtex_Equ_03</v>
      </c>
      <c r="DM48" s="144" t="s">
        <v>1172</v>
      </c>
      <c r="DN48" s="144">
        <f t="shared" si="17"/>
        <v>100</v>
      </c>
    </row>
    <row r="49" spans="1:118" ht="16.5" x14ac:dyDescent="0.2">
      <c r="AF49" s="139">
        <v>44</v>
      </c>
      <c r="AG49" s="139">
        <f>MATCH(AF49-1,金币总表!$Y$4:$Y$12,1)</f>
        <v>3</v>
      </c>
      <c r="AH49" s="21">
        <v>5.7364999999999999E-2</v>
      </c>
      <c r="AI49" s="188">
        <f>ROUND(INDEX(金币总表!$Z$5:$Z$12,装备!AG49)*装备!AH49/$AC$5,0)</f>
        <v>1064</v>
      </c>
      <c r="AJ49" s="188">
        <v>1</v>
      </c>
      <c r="AK49" s="139">
        <f>ROUND(INDEX(金币总表!$Z$5:$Z$12,装备!AG49)*装备!AH49/$AC$5,0)</f>
        <v>1064</v>
      </c>
      <c r="AM49" s="139">
        <f t="shared" si="19"/>
        <v>530</v>
      </c>
      <c r="AN49" s="139">
        <f t="shared" si="19"/>
        <v>850</v>
      </c>
      <c r="AO49" s="139">
        <f t="shared" si="19"/>
        <v>1065</v>
      </c>
      <c r="AP49" s="139">
        <f t="shared" si="19"/>
        <v>1275</v>
      </c>
      <c r="DG49" s="144">
        <v>44</v>
      </c>
      <c r="DH49" s="144">
        <f t="shared" si="13"/>
        <v>6</v>
      </c>
      <c r="DI49" s="144" t="s">
        <v>1177</v>
      </c>
      <c r="DJ49" s="144">
        <f t="shared" si="14"/>
        <v>4</v>
      </c>
      <c r="DK49" s="144" t="str">
        <f t="shared" si="15"/>
        <v>裤子锻造</v>
      </c>
      <c r="DL49" s="144" t="str">
        <f t="shared" si="16"/>
        <v>ui_dtex_Equ_04</v>
      </c>
      <c r="DM49" s="144" t="s">
        <v>1172</v>
      </c>
      <c r="DN49" s="144">
        <f t="shared" si="17"/>
        <v>100</v>
      </c>
    </row>
    <row r="50" spans="1:118" ht="16.5" x14ac:dyDescent="0.2">
      <c r="AF50" s="139">
        <v>45</v>
      </c>
      <c r="AG50" s="139">
        <f>MATCH(AF50-1,金币总表!$Y$4:$Y$12,1)</f>
        <v>3</v>
      </c>
      <c r="AH50" s="19">
        <v>5.9470000000000002E-2</v>
      </c>
      <c r="AI50" s="188">
        <f>ROUND(INDEX(金币总表!$Z$5:$Z$12,装备!AG50)*装备!AH50/$AC$5,0)</f>
        <v>1103</v>
      </c>
      <c r="AJ50" s="188">
        <v>1</v>
      </c>
      <c r="AK50" s="139">
        <f>ROUND(INDEX(金币总表!$Z$5:$Z$12,装备!AG50)*装备!AH50/$AC$5,0)</f>
        <v>1103</v>
      </c>
      <c r="AM50" s="139">
        <f t="shared" si="19"/>
        <v>550</v>
      </c>
      <c r="AN50" s="139">
        <f t="shared" si="19"/>
        <v>880</v>
      </c>
      <c r="AO50" s="139">
        <f t="shared" si="19"/>
        <v>1105</v>
      </c>
      <c r="AP50" s="139">
        <f t="shared" si="19"/>
        <v>1325</v>
      </c>
      <c r="DG50" s="144">
        <v>45</v>
      </c>
      <c r="DH50" s="144">
        <f t="shared" si="13"/>
        <v>6</v>
      </c>
      <c r="DI50" s="144" t="s">
        <v>1177</v>
      </c>
      <c r="DJ50" s="144">
        <f t="shared" si="14"/>
        <v>5</v>
      </c>
      <c r="DK50" s="144" t="str">
        <f t="shared" si="15"/>
        <v>鞋子锻造</v>
      </c>
      <c r="DL50" s="144" t="str">
        <f t="shared" si="16"/>
        <v>ui_dtex_Equ_05</v>
      </c>
      <c r="DM50" s="144" t="s">
        <v>1172</v>
      </c>
      <c r="DN50" s="144">
        <f t="shared" si="17"/>
        <v>100</v>
      </c>
    </row>
    <row r="51" spans="1:118" ht="16.5" x14ac:dyDescent="0.2">
      <c r="A51" s="251"/>
      <c r="B51" s="251"/>
      <c r="C51" s="251"/>
      <c r="D51" s="251"/>
      <c r="E51" s="251"/>
      <c r="F51" s="251"/>
      <c r="G51" s="251"/>
      <c r="AF51" s="139">
        <v>46</v>
      </c>
      <c r="AG51" s="139">
        <f>MATCH(AF51-1,金币总表!$Y$4:$Y$12,1)</f>
        <v>3</v>
      </c>
      <c r="AH51" s="21">
        <v>6.1574999999999998E-2</v>
      </c>
      <c r="AI51" s="188">
        <f>ROUND(INDEX(金币总表!$Z$5:$Z$12,装备!AG51)*装备!AH51/$AC$5,0)</f>
        <v>1142</v>
      </c>
      <c r="AJ51" s="188">
        <v>1</v>
      </c>
      <c r="AK51" s="139">
        <f>ROUND(INDEX(金币总表!$Z$5:$Z$12,装备!AG51)*装备!AH51/$AC$5,0)</f>
        <v>1142</v>
      </c>
      <c r="AM51" s="139">
        <f t="shared" si="19"/>
        <v>570</v>
      </c>
      <c r="AN51" s="139">
        <f t="shared" si="19"/>
        <v>915</v>
      </c>
      <c r="AO51" s="139">
        <f t="shared" si="19"/>
        <v>1140</v>
      </c>
      <c r="AP51" s="139">
        <f t="shared" si="19"/>
        <v>1370</v>
      </c>
      <c r="DG51" s="144">
        <v>46</v>
      </c>
      <c r="DH51" s="144">
        <f t="shared" si="13"/>
        <v>6</v>
      </c>
      <c r="DI51" s="144" t="s">
        <v>1177</v>
      </c>
      <c r="DJ51" s="144">
        <f t="shared" si="14"/>
        <v>6</v>
      </c>
      <c r="DK51" s="144" t="str">
        <f t="shared" si="15"/>
        <v>护手锻造</v>
      </c>
      <c r="DL51" s="144" t="str">
        <f t="shared" si="16"/>
        <v>ui_dtex_Equ_06</v>
      </c>
      <c r="DM51" s="144" t="s">
        <v>1172</v>
      </c>
      <c r="DN51" s="144">
        <f t="shared" si="17"/>
        <v>100</v>
      </c>
    </row>
    <row r="52" spans="1:118" ht="16.5" x14ac:dyDescent="0.2">
      <c r="AF52" s="139">
        <v>47</v>
      </c>
      <c r="AG52" s="139">
        <f>MATCH(AF52-1,金币总表!$Y$4:$Y$12,1)</f>
        <v>3</v>
      </c>
      <c r="AH52" s="19">
        <v>6.368E-2</v>
      </c>
      <c r="AI52" s="188">
        <f>ROUND(INDEX(金币总表!$Z$5:$Z$12,装备!AG52)*装备!AH52/$AC$5,0)</f>
        <v>1181</v>
      </c>
      <c r="AJ52" s="188">
        <v>1</v>
      </c>
      <c r="AK52" s="139">
        <f>ROUND(INDEX(金币总表!$Z$5:$Z$12,装备!AG52)*装备!AH52/$AC$5,0)</f>
        <v>1181</v>
      </c>
      <c r="AM52" s="139">
        <f t="shared" si="19"/>
        <v>590</v>
      </c>
      <c r="AN52" s="139">
        <f t="shared" si="19"/>
        <v>945</v>
      </c>
      <c r="AO52" s="139">
        <f t="shared" si="19"/>
        <v>1180</v>
      </c>
      <c r="AP52" s="139">
        <f t="shared" si="19"/>
        <v>1415</v>
      </c>
      <c r="DG52" s="144">
        <v>47</v>
      </c>
      <c r="DH52" s="144">
        <f t="shared" si="13"/>
        <v>6</v>
      </c>
      <c r="DI52" s="144" t="s">
        <v>1177</v>
      </c>
      <c r="DJ52" s="144">
        <f t="shared" si="14"/>
        <v>7</v>
      </c>
      <c r="DK52" s="144" t="str">
        <f t="shared" si="15"/>
        <v>项链锻造</v>
      </c>
      <c r="DL52" s="144" t="str">
        <f t="shared" si="16"/>
        <v>ui_dtex_Equ_07</v>
      </c>
      <c r="DM52" s="144" t="s">
        <v>1172</v>
      </c>
      <c r="DN52" s="144">
        <f t="shared" si="17"/>
        <v>150</v>
      </c>
    </row>
    <row r="53" spans="1:118" ht="16.5" x14ac:dyDescent="0.2">
      <c r="AF53" s="139">
        <v>48</v>
      </c>
      <c r="AG53" s="139">
        <f>MATCH(AF53-1,金币总表!$Y$4:$Y$12,1)</f>
        <v>3</v>
      </c>
      <c r="AH53" s="21">
        <v>6.5784999999999996E-2</v>
      </c>
      <c r="AI53" s="188">
        <f>ROUND(INDEX(金币总表!$Z$5:$Z$12,装备!AG53)*装备!AH53/$AC$5,0)</f>
        <v>1220</v>
      </c>
      <c r="AJ53" s="188">
        <v>1</v>
      </c>
      <c r="AK53" s="139">
        <f>ROUND(INDEX(金币总表!$Z$5:$Z$12,装备!AG53)*装备!AH53/$AC$5,0)</f>
        <v>1220</v>
      </c>
      <c r="AM53" s="139">
        <f t="shared" si="19"/>
        <v>610</v>
      </c>
      <c r="AN53" s="139">
        <f t="shared" si="19"/>
        <v>975</v>
      </c>
      <c r="AO53" s="139">
        <f t="shared" si="19"/>
        <v>1220</v>
      </c>
      <c r="AP53" s="139">
        <f t="shared" si="19"/>
        <v>1465</v>
      </c>
      <c r="DG53" s="144">
        <v>48</v>
      </c>
      <c r="DH53" s="144">
        <f t="shared" si="13"/>
        <v>6</v>
      </c>
      <c r="DI53" s="144" t="s">
        <v>1177</v>
      </c>
      <c r="DJ53" s="144">
        <f t="shared" si="14"/>
        <v>8</v>
      </c>
      <c r="DK53" s="144" t="str">
        <f t="shared" si="15"/>
        <v>戒指锻造</v>
      </c>
      <c r="DL53" s="144" t="str">
        <f t="shared" si="16"/>
        <v>ui_dtex_Equ_08</v>
      </c>
      <c r="DM53" s="144" t="s">
        <v>1172</v>
      </c>
      <c r="DN53" s="144">
        <f t="shared" si="17"/>
        <v>150</v>
      </c>
    </row>
    <row r="54" spans="1:118" ht="16.5" x14ac:dyDescent="0.2">
      <c r="AF54" s="139">
        <v>49</v>
      </c>
      <c r="AG54" s="139">
        <f>MATCH(AF54-1,金币总表!$Y$4:$Y$12,1)</f>
        <v>3</v>
      </c>
      <c r="AH54" s="19">
        <v>6.7890000000000006E-2</v>
      </c>
      <c r="AI54" s="188">
        <f>ROUND(INDEX(金币总表!$Z$5:$Z$12,装备!AG54)*装备!AH54/$AC$5,0)</f>
        <v>1259</v>
      </c>
      <c r="AJ54" s="188">
        <v>1</v>
      </c>
      <c r="AK54" s="139">
        <f>ROUND(INDEX(金币总表!$Z$5:$Z$12,装备!AG54)*装备!AH54/$AC$5,0)</f>
        <v>1259</v>
      </c>
      <c r="AM54" s="139">
        <f t="shared" si="19"/>
        <v>630</v>
      </c>
      <c r="AN54" s="139">
        <f t="shared" si="19"/>
        <v>1005</v>
      </c>
      <c r="AO54" s="139">
        <f t="shared" si="19"/>
        <v>1260</v>
      </c>
      <c r="AP54" s="139">
        <f t="shared" si="19"/>
        <v>1510</v>
      </c>
      <c r="DG54" s="144">
        <v>49</v>
      </c>
      <c r="DH54" s="144">
        <f t="shared" si="13"/>
        <v>7</v>
      </c>
      <c r="DI54" s="144" t="s">
        <v>1177</v>
      </c>
      <c r="DJ54" s="144">
        <f t="shared" si="14"/>
        <v>1</v>
      </c>
      <c r="DK54" s="144" t="str">
        <f t="shared" si="15"/>
        <v>灵器锻造</v>
      </c>
      <c r="DL54" s="144" t="str">
        <f t="shared" si="16"/>
        <v>ui_dtex_Equ_01</v>
      </c>
      <c r="DM54" s="144" t="s">
        <v>1172</v>
      </c>
      <c r="DN54" s="144">
        <f t="shared" si="17"/>
        <v>220</v>
      </c>
    </row>
    <row r="55" spans="1:118" ht="16.5" x14ac:dyDescent="0.2">
      <c r="AF55" s="139">
        <v>50</v>
      </c>
      <c r="AG55" s="139">
        <f>MATCH(AF55-1,金币总表!$Y$4:$Y$12,1)</f>
        <v>3</v>
      </c>
      <c r="AH55" s="21">
        <v>6.9995000000000099E-2</v>
      </c>
      <c r="AI55" s="188">
        <f>ROUND(INDEX(金币总表!$Z$5:$Z$12,装备!AG55)*装备!AH55/$AC$5,0)</f>
        <v>1298</v>
      </c>
      <c r="AJ55" s="188">
        <v>1</v>
      </c>
      <c r="AK55" s="139">
        <f>ROUND(INDEX(金币总表!$Z$5:$Z$12,装备!AG55)*装备!AH55/$AC$5,0)</f>
        <v>1298</v>
      </c>
      <c r="AM55" s="139">
        <f t="shared" si="19"/>
        <v>650</v>
      </c>
      <c r="AN55" s="139">
        <f t="shared" si="19"/>
        <v>1040</v>
      </c>
      <c r="AO55" s="139">
        <f t="shared" si="19"/>
        <v>1300</v>
      </c>
      <c r="AP55" s="139">
        <f t="shared" si="19"/>
        <v>1560</v>
      </c>
      <c r="DG55" s="144">
        <v>50</v>
      </c>
      <c r="DH55" s="144">
        <f t="shared" si="13"/>
        <v>7</v>
      </c>
      <c r="DI55" s="144" t="s">
        <v>1177</v>
      </c>
      <c r="DJ55" s="144">
        <f t="shared" si="14"/>
        <v>2</v>
      </c>
      <c r="DK55" s="144" t="str">
        <f t="shared" si="15"/>
        <v>头盔锻造</v>
      </c>
      <c r="DL55" s="144" t="str">
        <f t="shared" si="16"/>
        <v>ui_dtex_Equ_02</v>
      </c>
      <c r="DM55" s="144" t="s">
        <v>1172</v>
      </c>
      <c r="DN55" s="144">
        <f t="shared" si="17"/>
        <v>110</v>
      </c>
    </row>
    <row r="56" spans="1:118" ht="16.5" x14ac:dyDescent="0.2">
      <c r="AF56" s="139">
        <v>51</v>
      </c>
      <c r="AG56" s="139">
        <f>MATCH(AF56-1,金币总表!$Y$4:$Y$12,1)</f>
        <v>4</v>
      </c>
      <c r="AH56" s="21">
        <v>3.5000000000000003E-2</v>
      </c>
      <c r="AI56" s="188">
        <f>ROUND(INDEX(金币总表!$Z$5:$Z$12,装备!AG56)*装备!AH56/$AC$5,0)</f>
        <v>1393</v>
      </c>
      <c r="AJ56" s="188">
        <v>1</v>
      </c>
      <c r="AK56" s="139">
        <f>ROUND(INDEX(金币总表!$Z$5:$Z$12,装备!AG56)*装备!AH56/$AC$5,0)</f>
        <v>1393</v>
      </c>
      <c r="AM56" s="139">
        <f t="shared" si="19"/>
        <v>695</v>
      </c>
      <c r="AN56" s="139">
        <f t="shared" si="19"/>
        <v>1115</v>
      </c>
      <c r="AO56" s="139">
        <f t="shared" si="19"/>
        <v>1395</v>
      </c>
      <c r="AP56" s="139">
        <f t="shared" si="19"/>
        <v>1670</v>
      </c>
      <c r="DG56" s="144">
        <v>51</v>
      </c>
      <c r="DH56" s="144">
        <f t="shared" si="13"/>
        <v>7</v>
      </c>
      <c r="DI56" s="144" t="s">
        <v>1177</v>
      </c>
      <c r="DJ56" s="144">
        <f t="shared" si="14"/>
        <v>3</v>
      </c>
      <c r="DK56" s="144" t="str">
        <f t="shared" si="15"/>
        <v>铠甲锻造</v>
      </c>
      <c r="DL56" s="144" t="str">
        <f t="shared" si="16"/>
        <v>ui_dtex_Equ_03</v>
      </c>
      <c r="DM56" s="144" t="s">
        <v>1172</v>
      </c>
      <c r="DN56" s="144">
        <f t="shared" si="17"/>
        <v>110</v>
      </c>
    </row>
    <row r="57" spans="1:118" ht="16.5" x14ac:dyDescent="0.2">
      <c r="AF57" s="139">
        <v>52</v>
      </c>
      <c r="AG57" s="139">
        <f>MATCH(AF57-1,金币总表!$Y$4:$Y$12,1)</f>
        <v>4</v>
      </c>
      <c r="AH57" s="21">
        <v>3.6578899999999998E-2</v>
      </c>
      <c r="AI57" s="188">
        <f>ROUND(INDEX(金币总表!$Z$5:$Z$12,装备!AG57)*装备!AH57/$AC$5,0)</f>
        <v>1455</v>
      </c>
      <c r="AJ57" s="188">
        <v>1</v>
      </c>
      <c r="AK57" s="139">
        <f>ROUND(INDEX(金币总表!$Z$5:$Z$12,装备!AG57)*装备!AH57/$AC$5,0)</f>
        <v>1455</v>
      </c>
      <c r="AM57" s="139">
        <f t="shared" si="19"/>
        <v>730</v>
      </c>
      <c r="AN57" s="139">
        <f t="shared" si="19"/>
        <v>1165</v>
      </c>
      <c r="AO57" s="139">
        <f t="shared" si="19"/>
        <v>1455</v>
      </c>
      <c r="AP57" s="139">
        <f t="shared" si="19"/>
        <v>1745</v>
      </c>
      <c r="DG57" s="144">
        <v>52</v>
      </c>
      <c r="DH57" s="144">
        <f t="shared" si="13"/>
        <v>7</v>
      </c>
      <c r="DI57" s="144" t="s">
        <v>1177</v>
      </c>
      <c r="DJ57" s="144">
        <f t="shared" si="14"/>
        <v>4</v>
      </c>
      <c r="DK57" s="144" t="str">
        <f t="shared" si="15"/>
        <v>裤子锻造</v>
      </c>
      <c r="DL57" s="144" t="str">
        <f t="shared" si="16"/>
        <v>ui_dtex_Equ_04</v>
      </c>
      <c r="DM57" s="144" t="s">
        <v>1172</v>
      </c>
      <c r="DN57" s="144">
        <f t="shared" si="17"/>
        <v>110</v>
      </c>
    </row>
    <row r="58" spans="1:118" ht="16.5" x14ac:dyDescent="0.2">
      <c r="AF58" s="139">
        <v>53</v>
      </c>
      <c r="AG58" s="139">
        <f>MATCH(AF58-1,金币总表!$Y$4:$Y$12,1)</f>
        <v>4</v>
      </c>
      <c r="AH58" s="21">
        <v>3.8157799999999999E-2</v>
      </c>
      <c r="AI58" s="188">
        <f>ROUND(INDEX(金币总表!$Z$5:$Z$12,装备!AG58)*装备!AH58/$AC$5,0)</f>
        <v>1518</v>
      </c>
      <c r="AJ58" s="188">
        <v>1</v>
      </c>
      <c r="AK58" s="139">
        <f>ROUND(INDEX(金币总表!$Z$5:$Z$12,装备!AG58)*装备!AH58/$AC$5,0)</f>
        <v>1518</v>
      </c>
      <c r="AM58" s="139">
        <f t="shared" si="19"/>
        <v>760</v>
      </c>
      <c r="AN58" s="139">
        <f t="shared" si="19"/>
        <v>1215</v>
      </c>
      <c r="AO58" s="139">
        <f t="shared" si="19"/>
        <v>1520</v>
      </c>
      <c r="AP58" s="139">
        <f t="shared" si="19"/>
        <v>1820</v>
      </c>
      <c r="DG58" s="144">
        <v>53</v>
      </c>
      <c r="DH58" s="144">
        <f t="shared" si="13"/>
        <v>7</v>
      </c>
      <c r="DI58" s="144" t="s">
        <v>1177</v>
      </c>
      <c r="DJ58" s="144">
        <f t="shared" si="14"/>
        <v>5</v>
      </c>
      <c r="DK58" s="144" t="str">
        <f t="shared" si="15"/>
        <v>鞋子锻造</v>
      </c>
      <c r="DL58" s="144" t="str">
        <f t="shared" si="16"/>
        <v>ui_dtex_Equ_05</v>
      </c>
      <c r="DM58" s="144" t="s">
        <v>1172</v>
      </c>
      <c r="DN58" s="144">
        <f t="shared" si="17"/>
        <v>110</v>
      </c>
    </row>
    <row r="59" spans="1:118" ht="16.5" x14ac:dyDescent="0.2">
      <c r="AF59" s="139">
        <v>54</v>
      </c>
      <c r="AG59" s="139">
        <f>MATCH(AF59-1,金币总表!$Y$4:$Y$12,1)</f>
        <v>4</v>
      </c>
      <c r="AH59" s="21">
        <v>3.97367E-2</v>
      </c>
      <c r="AI59" s="188">
        <f>ROUND(INDEX(金币总表!$Z$5:$Z$12,装备!AG59)*装备!AH59/$AC$5,0)</f>
        <v>1581</v>
      </c>
      <c r="AJ59" s="188">
        <v>1</v>
      </c>
      <c r="AK59" s="139">
        <f>ROUND(INDEX(金币总表!$Z$5:$Z$12,装备!AG59)*装备!AH59/$AC$5,0)</f>
        <v>1581</v>
      </c>
      <c r="AM59" s="139">
        <f t="shared" si="19"/>
        <v>790</v>
      </c>
      <c r="AN59" s="139">
        <f t="shared" si="19"/>
        <v>1265</v>
      </c>
      <c r="AO59" s="139">
        <f t="shared" si="19"/>
        <v>1580</v>
      </c>
      <c r="AP59" s="139">
        <f t="shared" si="19"/>
        <v>1895</v>
      </c>
      <c r="DG59" s="144">
        <v>54</v>
      </c>
      <c r="DH59" s="144">
        <f t="shared" si="13"/>
        <v>7</v>
      </c>
      <c r="DI59" s="144" t="s">
        <v>1177</v>
      </c>
      <c r="DJ59" s="144">
        <f t="shared" si="14"/>
        <v>6</v>
      </c>
      <c r="DK59" s="144" t="str">
        <f t="shared" si="15"/>
        <v>护手锻造</v>
      </c>
      <c r="DL59" s="144" t="str">
        <f t="shared" si="16"/>
        <v>ui_dtex_Equ_06</v>
      </c>
      <c r="DM59" s="144" t="s">
        <v>1172</v>
      </c>
      <c r="DN59" s="144">
        <f t="shared" si="17"/>
        <v>110</v>
      </c>
    </row>
    <row r="60" spans="1:118" ht="16.5" x14ac:dyDescent="0.2">
      <c r="AF60" s="139">
        <v>55</v>
      </c>
      <c r="AG60" s="139">
        <f>MATCH(AF60-1,金币总表!$Y$4:$Y$12,1)</f>
        <v>4</v>
      </c>
      <c r="AH60" s="21">
        <v>4.1315600000000001E-2</v>
      </c>
      <c r="AI60" s="188">
        <f>ROUND(INDEX(金币总表!$Z$5:$Z$12,装备!AG60)*装备!AH60/$AC$5,0)</f>
        <v>1644</v>
      </c>
      <c r="AJ60" s="188">
        <v>1</v>
      </c>
      <c r="AK60" s="139">
        <f>ROUND(INDEX(金币总表!$Z$5:$Z$12,装备!AG60)*装备!AH60/$AC$5,0)</f>
        <v>1644</v>
      </c>
      <c r="AM60" s="139">
        <f t="shared" si="19"/>
        <v>820</v>
      </c>
      <c r="AN60" s="139">
        <f t="shared" si="19"/>
        <v>1315</v>
      </c>
      <c r="AO60" s="139">
        <f t="shared" si="19"/>
        <v>1645</v>
      </c>
      <c r="AP60" s="139">
        <f t="shared" si="19"/>
        <v>1975</v>
      </c>
      <c r="DG60" s="144">
        <v>55</v>
      </c>
      <c r="DH60" s="144">
        <f t="shared" si="13"/>
        <v>7</v>
      </c>
      <c r="DI60" s="144" t="s">
        <v>1177</v>
      </c>
      <c r="DJ60" s="144">
        <f t="shared" si="14"/>
        <v>7</v>
      </c>
      <c r="DK60" s="144" t="str">
        <f t="shared" si="15"/>
        <v>项链锻造</v>
      </c>
      <c r="DL60" s="144" t="str">
        <f t="shared" si="16"/>
        <v>ui_dtex_Equ_07</v>
      </c>
      <c r="DM60" s="144" t="s">
        <v>1172</v>
      </c>
      <c r="DN60" s="144">
        <f t="shared" si="17"/>
        <v>165</v>
      </c>
    </row>
    <row r="61" spans="1:118" ht="16.5" x14ac:dyDescent="0.2">
      <c r="AF61" s="139">
        <v>56</v>
      </c>
      <c r="AG61" s="139">
        <f>MATCH(AF61-1,金币总表!$Y$4:$Y$12,1)</f>
        <v>4</v>
      </c>
      <c r="AH61" s="21">
        <v>4.2894500000000002E-2</v>
      </c>
      <c r="AI61" s="188">
        <f>ROUND(INDEX(金币总表!$Z$5:$Z$12,装备!AG61)*装备!AH61/$AC$5,0)</f>
        <v>1707</v>
      </c>
      <c r="AJ61" s="188">
        <v>1</v>
      </c>
      <c r="AK61" s="139">
        <f>ROUND(INDEX(金币总表!$Z$5:$Z$12,装备!AG61)*装备!AH61/$AC$5,0)</f>
        <v>1707</v>
      </c>
      <c r="AM61" s="139">
        <f t="shared" si="19"/>
        <v>855</v>
      </c>
      <c r="AN61" s="139">
        <f t="shared" si="19"/>
        <v>1365</v>
      </c>
      <c r="AO61" s="139">
        <f t="shared" si="19"/>
        <v>1705</v>
      </c>
      <c r="AP61" s="139">
        <f t="shared" si="19"/>
        <v>2050</v>
      </c>
      <c r="DG61" s="144">
        <v>56</v>
      </c>
      <c r="DH61" s="144">
        <f t="shared" si="13"/>
        <v>7</v>
      </c>
      <c r="DI61" s="144" t="s">
        <v>1177</v>
      </c>
      <c r="DJ61" s="144">
        <f t="shared" si="14"/>
        <v>8</v>
      </c>
      <c r="DK61" s="144" t="str">
        <f t="shared" si="15"/>
        <v>戒指锻造</v>
      </c>
      <c r="DL61" s="144" t="str">
        <f t="shared" si="16"/>
        <v>ui_dtex_Equ_08</v>
      </c>
      <c r="DM61" s="144" t="s">
        <v>1172</v>
      </c>
      <c r="DN61" s="144">
        <f t="shared" si="17"/>
        <v>165</v>
      </c>
    </row>
    <row r="62" spans="1:118" ht="16.5" x14ac:dyDescent="0.2">
      <c r="AF62" s="139">
        <v>57</v>
      </c>
      <c r="AG62" s="139">
        <f>MATCH(AF62-1,金币总表!$Y$4:$Y$12,1)</f>
        <v>4</v>
      </c>
      <c r="AH62" s="21">
        <v>4.4473400000000003E-2</v>
      </c>
      <c r="AI62" s="188">
        <f>ROUND(INDEX(金币总表!$Z$5:$Z$12,装备!AG62)*装备!AH62/$AC$5,0)</f>
        <v>1770</v>
      </c>
      <c r="AJ62" s="188">
        <v>1</v>
      </c>
      <c r="AK62" s="139">
        <f>ROUND(INDEX(金币总表!$Z$5:$Z$12,装备!AG62)*装备!AH62/$AC$5,0)</f>
        <v>1770</v>
      </c>
      <c r="AM62" s="139">
        <f t="shared" si="19"/>
        <v>885</v>
      </c>
      <c r="AN62" s="139">
        <f t="shared" si="19"/>
        <v>1415</v>
      </c>
      <c r="AO62" s="139">
        <f t="shared" si="19"/>
        <v>1770</v>
      </c>
      <c r="AP62" s="139">
        <f t="shared" si="19"/>
        <v>2125</v>
      </c>
      <c r="DG62" s="144">
        <v>57</v>
      </c>
      <c r="DH62" s="144">
        <f t="shared" si="13"/>
        <v>8</v>
      </c>
      <c r="DI62" s="144" t="s">
        <v>1177</v>
      </c>
      <c r="DJ62" s="144">
        <f t="shared" si="14"/>
        <v>1</v>
      </c>
      <c r="DK62" s="144" t="str">
        <f t="shared" si="15"/>
        <v>灵器锻造</v>
      </c>
      <c r="DL62" s="144" t="str">
        <f t="shared" si="16"/>
        <v>ui_dtex_Equ_01</v>
      </c>
      <c r="DM62" s="144" t="s">
        <v>1172</v>
      </c>
      <c r="DN62" s="144">
        <f t="shared" si="17"/>
        <v>240</v>
      </c>
    </row>
    <row r="63" spans="1:118" ht="16.5" x14ac:dyDescent="0.2">
      <c r="AF63" s="139">
        <v>58</v>
      </c>
      <c r="AG63" s="139">
        <f>MATCH(AF63-1,金币总表!$Y$4:$Y$12,1)</f>
        <v>4</v>
      </c>
      <c r="AH63" s="21">
        <v>4.6052299999999997E-2</v>
      </c>
      <c r="AI63" s="188">
        <f>ROUND(INDEX(金币总表!$Z$5:$Z$12,装备!AG63)*装备!AH63/$AC$5,0)</f>
        <v>1832</v>
      </c>
      <c r="AJ63" s="188">
        <v>1</v>
      </c>
      <c r="AK63" s="139">
        <f>ROUND(INDEX(金币总表!$Z$5:$Z$12,装备!AG63)*装备!AH63/$AC$5,0)</f>
        <v>1832</v>
      </c>
      <c r="AM63" s="139">
        <f t="shared" si="19"/>
        <v>915</v>
      </c>
      <c r="AN63" s="139">
        <f t="shared" si="19"/>
        <v>1465</v>
      </c>
      <c r="AO63" s="139">
        <f t="shared" si="19"/>
        <v>1830</v>
      </c>
      <c r="AP63" s="139">
        <f t="shared" si="19"/>
        <v>2200</v>
      </c>
      <c r="DG63" s="144">
        <v>58</v>
      </c>
      <c r="DH63" s="144">
        <f t="shared" si="13"/>
        <v>8</v>
      </c>
      <c r="DI63" s="144" t="s">
        <v>1177</v>
      </c>
      <c r="DJ63" s="144">
        <f t="shared" si="14"/>
        <v>2</v>
      </c>
      <c r="DK63" s="144" t="str">
        <f t="shared" si="15"/>
        <v>头盔锻造</v>
      </c>
      <c r="DL63" s="144" t="str">
        <f t="shared" si="16"/>
        <v>ui_dtex_Equ_02</v>
      </c>
      <c r="DM63" s="144" t="s">
        <v>1172</v>
      </c>
      <c r="DN63" s="144">
        <f t="shared" si="17"/>
        <v>120</v>
      </c>
    </row>
    <row r="64" spans="1:118" ht="16.5" x14ac:dyDescent="0.2">
      <c r="AF64" s="139">
        <v>59</v>
      </c>
      <c r="AG64" s="139">
        <f>MATCH(AF64-1,金币总表!$Y$4:$Y$12,1)</f>
        <v>4</v>
      </c>
      <c r="AH64" s="21">
        <v>4.7631199999999999E-2</v>
      </c>
      <c r="AI64" s="188">
        <f>ROUND(INDEX(金币总表!$Z$5:$Z$12,装备!AG64)*装备!AH64/$AC$5,0)</f>
        <v>1895</v>
      </c>
      <c r="AJ64" s="188">
        <v>1</v>
      </c>
      <c r="AK64" s="139">
        <f>ROUND(INDEX(金币总表!$Z$5:$Z$12,装备!AG64)*装备!AH64/$AC$5,0)</f>
        <v>1895</v>
      </c>
      <c r="AM64" s="139">
        <f t="shared" si="19"/>
        <v>950</v>
      </c>
      <c r="AN64" s="139">
        <f t="shared" si="19"/>
        <v>1515</v>
      </c>
      <c r="AO64" s="139">
        <f t="shared" si="19"/>
        <v>1895</v>
      </c>
      <c r="AP64" s="139">
        <f t="shared" si="19"/>
        <v>2275</v>
      </c>
      <c r="DG64" s="144">
        <v>59</v>
      </c>
      <c r="DH64" s="144">
        <f t="shared" si="13"/>
        <v>8</v>
      </c>
      <c r="DI64" s="144" t="s">
        <v>1177</v>
      </c>
      <c r="DJ64" s="144">
        <f t="shared" si="14"/>
        <v>3</v>
      </c>
      <c r="DK64" s="144" t="str">
        <f t="shared" si="15"/>
        <v>铠甲锻造</v>
      </c>
      <c r="DL64" s="144" t="str">
        <f t="shared" si="16"/>
        <v>ui_dtex_Equ_03</v>
      </c>
      <c r="DM64" s="144" t="s">
        <v>1172</v>
      </c>
      <c r="DN64" s="144">
        <f t="shared" si="17"/>
        <v>120</v>
      </c>
    </row>
    <row r="65" spans="32:118" ht="16.5" x14ac:dyDescent="0.2">
      <c r="AF65" s="139">
        <v>60</v>
      </c>
      <c r="AG65" s="139">
        <f>MATCH(AF65-1,金币总表!$Y$4:$Y$12,1)</f>
        <v>4</v>
      </c>
      <c r="AH65" s="21">
        <v>4.9210099999999903E-2</v>
      </c>
      <c r="AI65" s="188">
        <f>ROUND(INDEX(金币总表!$Z$5:$Z$12,装备!AG65)*装备!AH65/$AC$5,0)</f>
        <v>1958</v>
      </c>
      <c r="AJ65" s="188">
        <v>1</v>
      </c>
      <c r="AK65" s="139">
        <f>ROUND(INDEX(金币总表!$Z$5:$Z$12,装备!AG65)*装备!AH65/$AC$5,0)</f>
        <v>1958</v>
      </c>
      <c r="AM65" s="139">
        <f t="shared" si="19"/>
        <v>980</v>
      </c>
      <c r="AN65" s="139">
        <f t="shared" si="19"/>
        <v>1565</v>
      </c>
      <c r="AO65" s="139">
        <f t="shared" si="19"/>
        <v>1960</v>
      </c>
      <c r="AP65" s="139">
        <f t="shared" si="19"/>
        <v>2350</v>
      </c>
      <c r="DG65" s="144">
        <v>60</v>
      </c>
      <c r="DH65" s="144">
        <f t="shared" si="13"/>
        <v>8</v>
      </c>
      <c r="DI65" s="144" t="s">
        <v>1177</v>
      </c>
      <c r="DJ65" s="144">
        <f t="shared" si="14"/>
        <v>4</v>
      </c>
      <c r="DK65" s="144" t="str">
        <f t="shared" si="15"/>
        <v>裤子锻造</v>
      </c>
      <c r="DL65" s="144" t="str">
        <f t="shared" si="16"/>
        <v>ui_dtex_Equ_04</v>
      </c>
      <c r="DM65" s="144" t="s">
        <v>1172</v>
      </c>
      <c r="DN65" s="144">
        <f t="shared" si="17"/>
        <v>120</v>
      </c>
    </row>
    <row r="66" spans="32:118" ht="16.5" x14ac:dyDescent="0.2">
      <c r="AF66" s="139">
        <v>61</v>
      </c>
      <c r="AG66" s="139">
        <f>MATCH(AF66-1,金币总表!$Y$4:$Y$12,1)</f>
        <v>4</v>
      </c>
      <c r="AH66" s="21">
        <v>5.0788999999999897E-2</v>
      </c>
      <c r="AI66" s="188">
        <f>ROUND(INDEX(金币总表!$Z$5:$Z$12,装备!AG66)*装备!AH66/$AC$5,0)</f>
        <v>2021</v>
      </c>
      <c r="AJ66" s="188">
        <v>1</v>
      </c>
      <c r="AK66" s="139">
        <f>ROUND(INDEX(金币总表!$Z$5:$Z$12,装备!AG66)*装备!AH66/$AC$5,0)</f>
        <v>2021</v>
      </c>
      <c r="AM66" s="139">
        <f t="shared" si="19"/>
        <v>1010</v>
      </c>
      <c r="AN66" s="139">
        <f t="shared" si="19"/>
        <v>1615</v>
      </c>
      <c r="AO66" s="139">
        <f t="shared" si="19"/>
        <v>2020</v>
      </c>
      <c r="AP66" s="139">
        <f t="shared" si="19"/>
        <v>2425</v>
      </c>
      <c r="DG66" s="144">
        <v>61</v>
      </c>
      <c r="DH66" s="144">
        <f t="shared" si="13"/>
        <v>8</v>
      </c>
      <c r="DI66" s="144" t="s">
        <v>1177</v>
      </c>
      <c r="DJ66" s="144">
        <f t="shared" si="14"/>
        <v>5</v>
      </c>
      <c r="DK66" s="144" t="str">
        <f t="shared" si="15"/>
        <v>鞋子锻造</v>
      </c>
      <c r="DL66" s="144" t="str">
        <f t="shared" si="16"/>
        <v>ui_dtex_Equ_05</v>
      </c>
      <c r="DM66" s="144" t="s">
        <v>1172</v>
      </c>
      <c r="DN66" s="144">
        <f t="shared" si="17"/>
        <v>120</v>
      </c>
    </row>
    <row r="67" spans="32:118" ht="16.5" x14ac:dyDescent="0.2">
      <c r="AF67" s="139">
        <v>62</v>
      </c>
      <c r="AG67" s="139">
        <f>MATCH(AF67-1,金币总表!$Y$4:$Y$12,1)</f>
        <v>4</v>
      </c>
      <c r="AH67" s="21">
        <v>5.2367899999999898E-2</v>
      </c>
      <c r="AI67" s="188">
        <f>ROUND(INDEX(金币总表!$Z$5:$Z$12,装备!AG67)*装备!AH67/$AC$5,0)</f>
        <v>2084</v>
      </c>
      <c r="AJ67" s="188">
        <v>1</v>
      </c>
      <c r="AK67" s="139">
        <f>ROUND(INDEX(金币总表!$Z$5:$Z$12,装备!AG67)*装备!AH67/$AC$5,0)</f>
        <v>2084</v>
      </c>
      <c r="AM67" s="139">
        <f t="shared" si="19"/>
        <v>1040</v>
      </c>
      <c r="AN67" s="139">
        <f t="shared" si="19"/>
        <v>1665</v>
      </c>
      <c r="AO67" s="139">
        <f t="shared" si="19"/>
        <v>2085</v>
      </c>
      <c r="AP67" s="139">
        <f t="shared" si="19"/>
        <v>2500</v>
      </c>
      <c r="DG67" s="144">
        <v>62</v>
      </c>
      <c r="DH67" s="144">
        <f t="shared" si="13"/>
        <v>8</v>
      </c>
      <c r="DI67" s="144" t="s">
        <v>1177</v>
      </c>
      <c r="DJ67" s="144">
        <f t="shared" si="14"/>
        <v>6</v>
      </c>
      <c r="DK67" s="144" t="str">
        <f t="shared" si="15"/>
        <v>护手锻造</v>
      </c>
      <c r="DL67" s="144" t="str">
        <f t="shared" si="16"/>
        <v>ui_dtex_Equ_06</v>
      </c>
      <c r="DM67" s="144" t="s">
        <v>1172</v>
      </c>
      <c r="DN67" s="144">
        <f t="shared" si="17"/>
        <v>120</v>
      </c>
    </row>
    <row r="68" spans="32:118" ht="16.5" x14ac:dyDescent="0.2">
      <c r="AF68" s="139">
        <v>63</v>
      </c>
      <c r="AG68" s="139">
        <f>MATCH(AF68-1,金币总表!$Y$4:$Y$12,1)</f>
        <v>4</v>
      </c>
      <c r="AH68" s="21">
        <v>5.3946799999999899E-2</v>
      </c>
      <c r="AI68" s="188">
        <f>ROUND(INDEX(金币总表!$Z$5:$Z$12,装备!AG68)*装备!AH68/$AC$5,0)</f>
        <v>2146</v>
      </c>
      <c r="AJ68" s="188">
        <v>1</v>
      </c>
      <c r="AK68" s="139">
        <f>ROUND(INDEX(金币总表!$Z$5:$Z$12,装备!AG68)*装备!AH68/$AC$5,0)</f>
        <v>2146</v>
      </c>
      <c r="AM68" s="139">
        <f t="shared" si="19"/>
        <v>1075</v>
      </c>
      <c r="AN68" s="139">
        <f t="shared" si="19"/>
        <v>1715</v>
      </c>
      <c r="AO68" s="139">
        <f t="shared" si="19"/>
        <v>2145</v>
      </c>
      <c r="AP68" s="139">
        <f t="shared" si="19"/>
        <v>2575</v>
      </c>
      <c r="DG68" s="144">
        <v>63</v>
      </c>
      <c r="DH68" s="144">
        <f t="shared" si="13"/>
        <v>8</v>
      </c>
      <c r="DI68" s="144" t="s">
        <v>1177</v>
      </c>
      <c r="DJ68" s="144">
        <f t="shared" si="14"/>
        <v>7</v>
      </c>
      <c r="DK68" s="144" t="str">
        <f t="shared" si="15"/>
        <v>项链锻造</v>
      </c>
      <c r="DL68" s="144" t="str">
        <f t="shared" si="16"/>
        <v>ui_dtex_Equ_07</v>
      </c>
      <c r="DM68" s="144" t="s">
        <v>1172</v>
      </c>
      <c r="DN68" s="144">
        <f t="shared" si="17"/>
        <v>180</v>
      </c>
    </row>
    <row r="69" spans="32:118" ht="16.5" x14ac:dyDescent="0.2">
      <c r="AF69" s="139">
        <v>64</v>
      </c>
      <c r="AG69" s="139">
        <f>MATCH(AF69-1,金币总表!$Y$4:$Y$12,1)</f>
        <v>4</v>
      </c>
      <c r="AH69" s="21">
        <v>5.55256999999999E-2</v>
      </c>
      <c r="AI69" s="188">
        <f>ROUND(INDEX(金币总表!$Z$5:$Z$12,装备!AG69)*装备!AH69/$AC$5,0)</f>
        <v>2209</v>
      </c>
      <c r="AJ69" s="188">
        <v>1</v>
      </c>
      <c r="AK69" s="139">
        <f>ROUND(INDEX(金币总表!$Z$5:$Z$12,装备!AG69)*装备!AH69/$AC$5,0)</f>
        <v>2209</v>
      </c>
      <c r="AM69" s="139">
        <f t="shared" si="19"/>
        <v>1105</v>
      </c>
      <c r="AN69" s="139">
        <f t="shared" si="19"/>
        <v>1765</v>
      </c>
      <c r="AO69" s="139">
        <f t="shared" si="19"/>
        <v>2210</v>
      </c>
      <c r="AP69" s="139">
        <f t="shared" si="19"/>
        <v>2650</v>
      </c>
      <c r="DG69" s="144">
        <v>64</v>
      </c>
      <c r="DH69" s="144">
        <f t="shared" si="13"/>
        <v>8</v>
      </c>
      <c r="DI69" s="144" t="s">
        <v>1177</v>
      </c>
      <c r="DJ69" s="144">
        <f t="shared" si="14"/>
        <v>8</v>
      </c>
      <c r="DK69" s="144" t="str">
        <f t="shared" si="15"/>
        <v>戒指锻造</v>
      </c>
      <c r="DL69" s="144" t="str">
        <f t="shared" si="16"/>
        <v>ui_dtex_Equ_08</v>
      </c>
      <c r="DM69" s="144" t="s">
        <v>1172</v>
      </c>
      <c r="DN69" s="144">
        <f t="shared" si="17"/>
        <v>180</v>
      </c>
    </row>
    <row r="70" spans="32:118" ht="16.5" x14ac:dyDescent="0.2">
      <c r="AF70" s="139">
        <v>65</v>
      </c>
      <c r="AG70" s="139">
        <f>MATCH(AF70-1,金币总表!$Y$4:$Y$12,1)</f>
        <v>4</v>
      </c>
      <c r="AH70" s="21">
        <v>5.7104599999999901E-2</v>
      </c>
      <c r="AI70" s="188">
        <f>ROUND(INDEX(金币总表!$Z$5:$Z$12,装备!AG70)*装备!AH70/$AC$5,0)</f>
        <v>2272</v>
      </c>
      <c r="AJ70" s="188">
        <v>1</v>
      </c>
      <c r="AK70" s="139">
        <f>ROUND(INDEX(金币总表!$Z$5:$Z$12,装备!AG70)*装备!AH70/$AC$5,0)</f>
        <v>2272</v>
      </c>
      <c r="AM70" s="139">
        <f t="shared" si="19"/>
        <v>1135</v>
      </c>
      <c r="AN70" s="139">
        <f t="shared" si="19"/>
        <v>1820</v>
      </c>
      <c r="AO70" s="139">
        <f t="shared" si="19"/>
        <v>2270</v>
      </c>
      <c r="AP70" s="139">
        <f t="shared" si="19"/>
        <v>2725</v>
      </c>
      <c r="DG70" s="144">
        <v>65</v>
      </c>
      <c r="DH70" s="144">
        <f t="shared" si="13"/>
        <v>9</v>
      </c>
      <c r="DI70" s="144" t="s">
        <v>1177</v>
      </c>
      <c r="DJ70" s="144">
        <f t="shared" si="14"/>
        <v>1</v>
      </c>
      <c r="DK70" s="144" t="str">
        <f t="shared" si="15"/>
        <v>灵器锻造</v>
      </c>
      <c r="DL70" s="144" t="str">
        <f t="shared" si="16"/>
        <v>ui_dtex_Equ_01</v>
      </c>
      <c r="DM70" s="144" t="s">
        <v>1172</v>
      </c>
      <c r="DN70" s="144">
        <f t="shared" si="17"/>
        <v>300</v>
      </c>
    </row>
    <row r="71" spans="32:118" ht="16.5" x14ac:dyDescent="0.2">
      <c r="AF71" s="139">
        <v>66</v>
      </c>
      <c r="AG71" s="139">
        <f>MATCH(AF71-1,金币总表!$Y$4:$Y$12,1)</f>
        <v>4</v>
      </c>
      <c r="AH71" s="21">
        <v>5.8683499999999902E-2</v>
      </c>
      <c r="AI71" s="188">
        <f>ROUND(INDEX(金币总表!$Z$5:$Z$12,装备!AG71)*装备!AH71/$AC$5,0)</f>
        <v>2335</v>
      </c>
      <c r="AJ71" s="188">
        <v>1</v>
      </c>
      <c r="AK71" s="139">
        <f>ROUND(INDEX(金币总表!$Z$5:$Z$12,装备!AG71)*装备!AH71/$AC$5,0)</f>
        <v>2335</v>
      </c>
      <c r="AM71" s="139">
        <f t="shared" ref="AM71:AP102" si="20">ROUND($AK71*AM$3/5,0)*5</f>
        <v>1170</v>
      </c>
      <c r="AN71" s="139">
        <f t="shared" si="20"/>
        <v>1870</v>
      </c>
      <c r="AO71" s="139">
        <f t="shared" si="20"/>
        <v>2335</v>
      </c>
      <c r="AP71" s="139">
        <f t="shared" si="20"/>
        <v>2800</v>
      </c>
      <c r="DG71" s="144">
        <v>66</v>
      </c>
      <c r="DH71" s="144">
        <f t="shared" ref="DH71:DH134" si="21">INT((DG71-1)/8)+1</f>
        <v>9</v>
      </c>
      <c r="DI71" s="144" t="s">
        <v>1177</v>
      </c>
      <c r="DJ71" s="144">
        <f t="shared" ref="DJ71:DJ134" si="22">DG71-(DH71-1)*8</f>
        <v>2</v>
      </c>
      <c r="DK71" s="144" t="str">
        <f t="shared" ref="DK71:DK134" si="23">INDEX($CN$6:$CN$13,DJ71)&amp;"锻造"</f>
        <v>头盔锻造</v>
      </c>
      <c r="DL71" s="144" t="str">
        <f t="shared" ref="DL71:DL134" si="24">"ui_dtex_Equ_0"&amp;DJ71</f>
        <v>ui_dtex_Equ_02</v>
      </c>
      <c r="DM71" s="144" t="s">
        <v>1172</v>
      </c>
      <c r="DN71" s="144">
        <f t="shared" ref="DN71:DN134" si="25">ROUND(INDEX($DD$6:$DD$26,DH71)*INDEX($CO$6:$CO$13,DJ71)/5,0)*5</f>
        <v>150</v>
      </c>
    </row>
    <row r="72" spans="32:118" ht="16.5" x14ac:dyDescent="0.2">
      <c r="AF72" s="139">
        <v>67</v>
      </c>
      <c r="AG72" s="139">
        <f>MATCH(AF72-1,金币总表!$Y$4:$Y$12,1)</f>
        <v>4</v>
      </c>
      <c r="AH72" s="21">
        <v>6.0262399999999897E-2</v>
      </c>
      <c r="AI72" s="188">
        <f>ROUND(INDEX(金币总表!$Z$5:$Z$12,装备!AG72)*装备!AH72/$AC$5,0)</f>
        <v>2398</v>
      </c>
      <c r="AJ72" s="188">
        <v>1</v>
      </c>
      <c r="AK72" s="139">
        <f>ROUND(INDEX(金币总表!$Z$5:$Z$12,装备!AG72)*装备!AH72/$AC$5,0)</f>
        <v>2398</v>
      </c>
      <c r="AM72" s="139">
        <f t="shared" si="20"/>
        <v>1200</v>
      </c>
      <c r="AN72" s="139">
        <f t="shared" si="20"/>
        <v>1920</v>
      </c>
      <c r="AO72" s="139">
        <f t="shared" si="20"/>
        <v>2400</v>
      </c>
      <c r="AP72" s="139">
        <f t="shared" si="20"/>
        <v>2880</v>
      </c>
      <c r="DG72" s="144">
        <v>67</v>
      </c>
      <c r="DH72" s="144">
        <f t="shared" si="21"/>
        <v>9</v>
      </c>
      <c r="DI72" s="144" t="s">
        <v>1177</v>
      </c>
      <c r="DJ72" s="144">
        <f t="shared" si="22"/>
        <v>3</v>
      </c>
      <c r="DK72" s="144" t="str">
        <f t="shared" si="23"/>
        <v>铠甲锻造</v>
      </c>
      <c r="DL72" s="144" t="str">
        <f t="shared" si="24"/>
        <v>ui_dtex_Equ_03</v>
      </c>
      <c r="DM72" s="144" t="s">
        <v>1172</v>
      </c>
      <c r="DN72" s="144">
        <f t="shared" si="25"/>
        <v>150</v>
      </c>
    </row>
    <row r="73" spans="32:118" ht="16.5" x14ac:dyDescent="0.2">
      <c r="AF73" s="139">
        <v>68</v>
      </c>
      <c r="AG73" s="139">
        <f>MATCH(AF73-1,金币总表!$Y$4:$Y$12,1)</f>
        <v>4</v>
      </c>
      <c r="AH73" s="21">
        <v>6.1841299999999898E-2</v>
      </c>
      <c r="AI73" s="188">
        <f>ROUND(INDEX(金币总表!$Z$5:$Z$12,装备!AG73)*装备!AH73/$AC$5,0)</f>
        <v>2461</v>
      </c>
      <c r="AJ73" s="188">
        <v>1</v>
      </c>
      <c r="AK73" s="139">
        <f>ROUND(INDEX(金币总表!$Z$5:$Z$12,装备!AG73)*装备!AH73/$AC$5,0)</f>
        <v>2461</v>
      </c>
      <c r="AM73" s="139">
        <f t="shared" si="20"/>
        <v>1230</v>
      </c>
      <c r="AN73" s="139">
        <f t="shared" si="20"/>
        <v>1970</v>
      </c>
      <c r="AO73" s="139">
        <f t="shared" si="20"/>
        <v>2460</v>
      </c>
      <c r="AP73" s="139">
        <f t="shared" si="20"/>
        <v>2955</v>
      </c>
      <c r="DG73" s="144">
        <v>68</v>
      </c>
      <c r="DH73" s="144">
        <f t="shared" si="21"/>
        <v>9</v>
      </c>
      <c r="DI73" s="144" t="s">
        <v>1177</v>
      </c>
      <c r="DJ73" s="144">
        <f t="shared" si="22"/>
        <v>4</v>
      </c>
      <c r="DK73" s="144" t="str">
        <f t="shared" si="23"/>
        <v>裤子锻造</v>
      </c>
      <c r="DL73" s="144" t="str">
        <f t="shared" si="24"/>
        <v>ui_dtex_Equ_04</v>
      </c>
      <c r="DM73" s="144" t="s">
        <v>1172</v>
      </c>
      <c r="DN73" s="144">
        <f t="shared" si="25"/>
        <v>150</v>
      </c>
    </row>
    <row r="74" spans="32:118" ht="16.5" x14ac:dyDescent="0.2">
      <c r="AF74" s="139">
        <v>69</v>
      </c>
      <c r="AG74" s="139">
        <f>MATCH(AF74-1,金币总表!$Y$4:$Y$12,1)</f>
        <v>4</v>
      </c>
      <c r="AH74" s="21">
        <v>6.3420199999999899E-2</v>
      </c>
      <c r="AI74" s="188">
        <f>ROUND(INDEX(金币总表!$Z$5:$Z$12,装备!AG74)*装备!AH74/$AC$5,0)</f>
        <v>2523</v>
      </c>
      <c r="AJ74" s="188">
        <v>1</v>
      </c>
      <c r="AK74" s="139">
        <f>ROUND(INDEX(金币总表!$Z$5:$Z$12,装备!AG74)*装备!AH74/$AC$5,0)</f>
        <v>2523</v>
      </c>
      <c r="AM74" s="139">
        <f t="shared" si="20"/>
        <v>1260</v>
      </c>
      <c r="AN74" s="139">
        <f t="shared" si="20"/>
        <v>2020</v>
      </c>
      <c r="AO74" s="139">
        <f t="shared" si="20"/>
        <v>2525</v>
      </c>
      <c r="AP74" s="139">
        <f t="shared" si="20"/>
        <v>3030</v>
      </c>
      <c r="DG74" s="144">
        <v>69</v>
      </c>
      <c r="DH74" s="144">
        <f t="shared" si="21"/>
        <v>9</v>
      </c>
      <c r="DI74" s="144" t="s">
        <v>1177</v>
      </c>
      <c r="DJ74" s="144">
        <f t="shared" si="22"/>
        <v>5</v>
      </c>
      <c r="DK74" s="144" t="str">
        <f t="shared" si="23"/>
        <v>鞋子锻造</v>
      </c>
      <c r="DL74" s="144" t="str">
        <f t="shared" si="24"/>
        <v>ui_dtex_Equ_05</v>
      </c>
      <c r="DM74" s="144" t="s">
        <v>1172</v>
      </c>
      <c r="DN74" s="144">
        <f t="shared" si="25"/>
        <v>150</v>
      </c>
    </row>
    <row r="75" spans="32:118" ht="16.5" x14ac:dyDescent="0.2">
      <c r="AF75" s="139">
        <v>70</v>
      </c>
      <c r="AG75" s="139">
        <f>MATCH(AF75-1,金币总表!$Y$4:$Y$12,1)</f>
        <v>4</v>
      </c>
      <c r="AH75" s="21">
        <v>6.4999099999999893E-2</v>
      </c>
      <c r="AI75" s="188">
        <f>ROUND(INDEX(金币总表!$Z$5:$Z$12,装备!AG75)*装备!AH75/$AC$5,0)</f>
        <v>2586</v>
      </c>
      <c r="AJ75" s="188">
        <v>1</v>
      </c>
      <c r="AK75" s="139">
        <f>ROUND(INDEX(金币总表!$Z$5:$Z$12,装备!AG75)*装备!AH75/$AC$5,0)</f>
        <v>2586</v>
      </c>
      <c r="AM75" s="139">
        <f t="shared" si="20"/>
        <v>1295</v>
      </c>
      <c r="AN75" s="139">
        <f t="shared" si="20"/>
        <v>2070</v>
      </c>
      <c r="AO75" s="139">
        <f t="shared" si="20"/>
        <v>2585</v>
      </c>
      <c r="AP75" s="139">
        <f t="shared" si="20"/>
        <v>3105</v>
      </c>
      <c r="DG75" s="144">
        <v>70</v>
      </c>
      <c r="DH75" s="144">
        <f t="shared" si="21"/>
        <v>9</v>
      </c>
      <c r="DI75" s="144" t="s">
        <v>1177</v>
      </c>
      <c r="DJ75" s="144">
        <f t="shared" si="22"/>
        <v>6</v>
      </c>
      <c r="DK75" s="144" t="str">
        <f t="shared" si="23"/>
        <v>护手锻造</v>
      </c>
      <c r="DL75" s="144" t="str">
        <f t="shared" si="24"/>
        <v>ui_dtex_Equ_06</v>
      </c>
      <c r="DM75" s="144" t="s">
        <v>1172</v>
      </c>
      <c r="DN75" s="144">
        <f t="shared" si="25"/>
        <v>150</v>
      </c>
    </row>
    <row r="76" spans="32:118" ht="16.5" x14ac:dyDescent="0.2">
      <c r="AF76" s="139">
        <v>71</v>
      </c>
      <c r="AG76" s="139">
        <f>MATCH(AF76-1,金币总表!$Y$4:$Y$12,1)</f>
        <v>5</v>
      </c>
      <c r="AH76" s="21">
        <v>3.5000000000000003E-2</v>
      </c>
      <c r="AI76" s="188">
        <f>ROUND(INDEX(金币总表!$Z$5:$Z$12,装备!AG76)*装备!AH76/$AC$5,0)</f>
        <v>3202</v>
      </c>
      <c r="AJ76" s="188">
        <v>1</v>
      </c>
      <c r="AK76" s="139">
        <f>ROUND(INDEX(金币总表!$Z$5:$Z$12,装备!AG76)*装备!AH76/$AC$5,0)</f>
        <v>3202</v>
      </c>
      <c r="AM76" s="139">
        <f t="shared" si="20"/>
        <v>1600</v>
      </c>
      <c r="AN76" s="139">
        <f t="shared" si="20"/>
        <v>2560</v>
      </c>
      <c r="AO76" s="139">
        <f t="shared" si="20"/>
        <v>3200</v>
      </c>
      <c r="AP76" s="139">
        <f t="shared" si="20"/>
        <v>3840</v>
      </c>
      <c r="DG76" s="144">
        <v>71</v>
      </c>
      <c r="DH76" s="144">
        <f t="shared" si="21"/>
        <v>9</v>
      </c>
      <c r="DI76" s="144" t="s">
        <v>1177</v>
      </c>
      <c r="DJ76" s="144">
        <f t="shared" si="22"/>
        <v>7</v>
      </c>
      <c r="DK76" s="144" t="str">
        <f t="shared" si="23"/>
        <v>项链锻造</v>
      </c>
      <c r="DL76" s="144" t="str">
        <f t="shared" si="24"/>
        <v>ui_dtex_Equ_07</v>
      </c>
      <c r="DM76" s="144" t="s">
        <v>1172</v>
      </c>
      <c r="DN76" s="144">
        <f t="shared" si="25"/>
        <v>225</v>
      </c>
    </row>
    <row r="77" spans="32:118" ht="16.5" x14ac:dyDescent="0.2">
      <c r="AF77" s="139">
        <v>72</v>
      </c>
      <c r="AG77" s="139">
        <f>MATCH(AF77-1,金币总表!$Y$4:$Y$12,1)</f>
        <v>5</v>
      </c>
      <c r="AH77" s="21">
        <v>3.6578899999999998E-2</v>
      </c>
      <c r="AI77" s="188">
        <f>ROUND(INDEX(金币总表!$Z$5:$Z$12,装备!AG77)*装备!AH77/$AC$5,0)</f>
        <v>3346</v>
      </c>
      <c r="AJ77" s="188">
        <v>1</v>
      </c>
      <c r="AK77" s="139">
        <f>ROUND(INDEX(金币总表!$Z$5:$Z$12,装备!AG77)*装备!AH77/$AC$5,0)</f>
        <v>3346</v>
      </c>
      <c r="AM77" s="139">
        <f t="shared" si="20"/>
        <v>1675</v>
      </c>
      <c r="AN77" s="139">
        <f t="shared" si="20"/>
        <v>2675</v>
      </c>
      <c r="AO77" s="139">
        <f t="shared" si="20"/>
        <v>3345</v>
      </c>
      <c r="AP77" s="139">
        <f t="shared" si="20"/>
        <v>4015</v>
      </c>
      <c r="DG77" s="144">
        <v>72</v>
      </c>
      <c r="DH77" s="144">
        <f t="shared" si="21"/>
        <v>9</v>
      </c>
      <c r="DI77" s="144" t="s">
        <v>1177</v>
      </c>
      <c r="DJ77" s="144">
        <f t="shared" si="22"/>
        <v>8</v>
      </c>
      <c r="DK77" s="144" t="str">
        <f t="shared" si="23"/>
        <v>戒指锻造</v>
      </c>
      <c r="DL77" s="144" t="str">
        <f t="shared" si="24"/>
        <v>ui_dtex_Equ_08</v>
      </c>
      <c r="DM77" s="144" t="s">
        <v>1172</v>
      </c>
      <c r="DN77" s="144">
        <f t="shared" si="25"/>
        <v>225</v>
      </c>
    </row>
    <row r="78" spans="32:118" ht="16.5" x14ac:dyDescent="0.2">
      <c r="AF78" s="139">
        <v>73</v>
      </c>
      <c r="AG78" s="139">
        <f>MATCH(AF78-1,金币总表!$Y$4:$Y$12,1)</f>
        <v>5</v>
      </c>
      <c r="AH78" s="21">
        <v>3.8157799999999999E-2</v>
      </c>
      <c r="AI78" s="188">
        <f>ROUND(INDEX(金币总表!$Z$5:$Z$12,装备!AG78)*装备!AH78/$AC$5,0)</f>
        <v>3491</v>
      </c>
      <c r="AJ78" s="188">
        <v>1</v>
      </c>
      <c r="AK78" s="139">
        <f>ROUND(INDEX(金币总表!$Z$5:$Z$12,装备!AG78)*装备!AH78/$AC$5,0)</f>
        <v>3491</v>
      </c>
      <c r="AM78" s="139">
        <f t="shared" si="20"/>
        <v>1745</v>
      </c>
      <c r="AN78" s="139">
        <f t="shared" si="20"/>
        <v>2795</v>
      </c>
      <c r="AO78" s="139">
        <f t="shared" si="20"/>
        <v>3490</v>
      </c>
      <c r="AP78" s="139">
        <f t="shared" si="20"/>
        <v>4190</v>
      </c>
      <c r="DG78" s="144">
        <v>73</v>
      </c>
      <c r="DH78" s="144">
        <f t="shared" si="21"/>
        <v>10</v>
      </c>
      <c r="DI78" s="144" t="s">
        <v>1177</v>
      </c>
      <c r="DJ78" s="144">
        <f t="shared" si="22"/>
        <v>1</v>
      </c>
      <c r="DK78" s="144" t="str">
        <f t="shared" si="23"/>
        <v>灵器锻造</v>
      </c>
      <c r="DL78" s="144" t="str">
        <f t="shared" si="24"/>
        <v>ui_dtex_Equ_01</v>
      </c>
      <c r="DM78" s="144" t="s">
        <v>1172</v>
      </c>
      <c r="DN78" s="144">
        <f t="shared" si="25"/>
        <v>330</v>
      </c>
    </row>
    <row r="79" spans="32:118" ht="16.5" x14ac:dyDescent="0.2">
      <c r="AF79" s="139">
        <v>74</v>
      </c>
      <c r="AG79" s="139">
        <f>MATCH(AF79-1,金币总表!$Y$4:$Y$12,1)</f>
        <v>5</v>
      </c>
      <c r="AH79" s="21">
        <v>3.97367E-2</v>
      </c>
      <c r="AI79" s="188">
        <f>ROUND(INDEX(金币总表!$Z$5:$Z$12,装备!AG79)*装备!AH79/$AC$5,0)</f>
        <v>3635</v>
      </c>
      <c r="AJ79" s="188">
        <v>1</v>
      </c>
      <c r="AK79" s="139">
        <f>ROUND(INDEX(金币总表!$Z$5:$Z$12,装备!AG79)*装备!AH79/$AC$5,0)</f>
        <v>3635</v>
      </c>
      <c r="AM79" s="139">
        <f t="shared" si="20"/>
        <v>1820</v>
      </c>
      <c r="AN79" s="139">
        <f t="shared" si="20"/>
        <v>2910</v>
      </c>
      <c r="AO79" s="139">
        <f t="shared" si="20"/>
        <v>3635</v>
      </c>
      <c r="AP79" s="139">
        <f t="shared" si="20"/>
        <v>4360</v>
      </c>
      <c r="DG79" s="144">
        <v>74</v>
      </c>
      <c r="DH79" s="144">
        <f t="shared" si="21"/>
        <v>10</v>
      </c>
      <c r="DI79" s="144" t="s">
        <v>1177</v>
      </c>
      <c r="DJ79" s="144">
        <f t="shared" si="22"/>
        <v>2</v>
      </c>
      <c r="DK79" s="144" t="str">
        <f t="shared" si="23"/>
        <v>头盔锻造</v>
      </c>
      <c r="DL79" s="144" t="str">
        <f t="shared" si="24"/>
        <v>ui_dtex_Equ_02</v>
      </c>
      <c r="DM79" s="144" t="s">
        <v>1172</v>
      </c>
      <c r="DN79" s="144">
        <f t="shared" si="25"/>
        <v>165</v>
      </c>
    </row>
    <row r="80" spans="32:118" ht="16.5" x14ac:dyDescent="0.2">
      <c r="AF80" s="139">
        <v>75</v>
      </c>
      <c r="AG80" s="139">
        <f>MATCH(AF80-1,金币总表!$Y$4:$Y$12,1)</f>
        <v>5</v>
      </c>
      <c r="AH80" s="21">
        <v>4.1315600000000001E-2</v>
      </c>
      <c r="AI80" s="188">
        <f>ROUND(INDEX(金币总表!$Z$5:$Z$12,装备!AG80)*装备!AH80/$AC$5,0)</f>
        <v>3780</v>
      </c>
      <c r="AJ80" s="188">
        <v>1</v>
      </c>
      <c r="AK80" s="139">
        <f>ROUND(INDEX(金币总表!$Z$5:$Z$12,装备!AG80)*装备!AH80/$AC$5,0)</f>
        <v>3780</v>
      </c>
      <c r="AM80" s="139">
        <f t="shared" si="20"/>
        <v>1890</v>
      </c>
      <c r="AN80" s="139">
        <f t="shared" si="20"/>
        <v>3025</v>
      </c>
      <c r="AO80" s="139">
        <f t="shared" si="20"/>
        <v>3780</v>
      </c>
      <c r="AP80" s="139">
        <f t="shared" si="20"/>
        <v>4535</v>
      </c>
      <c r="DG80" s="144">
        <v>75</v>
      </c>
      <c r="DH80" s="144">
        <f t="shared" si="21"/>
        <v>10</v>
      </c>
      <c r="DI80" s="144" t="s">
        <v>1177</v>
      </c>
      <c r="DJ80" s="144">
        <f t="shared" si="22"/>
        <v>3</v>
      </c>
      <c r="DK80" s="144" t="str">
        <f t="shared" si="23"/>
        <v>铠甲锻造</v>
      </c>
      <c r="DL80" s="144" t="str">
        <f t="shared" si="24"/>
        <v>ui_dtex_Equ_03</v>
      </c>
      <c r="DM80" s="144" t="s">
        <v>1172</v>
      </c>
      <c r="DN80" s="144">
        <f t="shared" si="25"/>
        <v>165</v>
      </c>
    </row>
    <row r="81" spans="32:118" ht="16.5" x14ac:dyDescent="0.2">
      <c r="AF81" s="139">
        <v>76</v>
      </c>
      <c r="AG81" s="139">
        <f>MATCH(AF81-1,金币总表!$Y$4:$Y$12,1)</f>
        <v>5</v>
      </c>
      <c r="AH81" s="21">
        <v>4.2894500000000002E-2</v>
      </c>
      <c r="AI81" s="188">
        <f>ROUND(INDEX(金币总表!$Z$5:$Z$12,装备!AG81)*装备!AH81/$AC$5,0)</f>
        <v>3924</v>
      </c>
      <c r="AJ81" s="188">
        <v>1</v>
      </c>
      <c r="AK81" s="139">
        <f>ROUND(INDEX(金币总表!$Z$5:$Z$12,装备!AG81)*装备!AH81/$AC$5,0)</f>
        <v>3924</v>
      </c>
      <c r="AM81" s="139">
        <f t="shared" si="20"/>
        <v>1960</v>
      </c>
      <c r="AN81" s="139">
        <f t="shared" si="20"/>
        <v>3140</v>
      </c>
      <c r="AO81" s="139">
        <f t="shared" si="20"/>
        <v>3925</v>
      </c>
      <c r="AP81" s="139">
        <f t="shared" si="20"/>
        <v>4710</v>
      </c>
      <c r="DG81" s="144">
        <v>76</v>
      </c>
      <c r="DH81" s="144">
        <f t="shared" si="21"/>
        <v>10</v>
      </c>
      <c r="DI81" s="144" t="s">
        <v>1177</v>
      </c>
      <c r="DJ81" s="144">
        <f t="shared" si="22"/>
        <v>4</v>
      </c>
      <c r="DK81" s="144" t="str">
        <f t="shared" si="23"/>
        <v>裤子锻造</v>
      </c>
      <c r="DL81" s="144" t="str">
        <f t="shared" si="24"/>
        <v>ui_dtex_Equ_04</v>
      </c>
      <c r="DM81" s="144" t="s">
        <v>1172</v>
      </c>
      <c r="DN81" s="144">
        <f t="shared" si="25"/>
        <v>165</v>
      </c>
    </row>
    <row r="82" spans="32:118" ht="16.5" x14ac:dyDescent="0.2">
      <c r="AF82" s="139">
        <v>77</v>
      </c>
      <c r="AG82" s="139">
        <f>MATCH(AF82-1,金币总表!$Y$4:$Y$12,1)</f>
        <v>5</v>
      </c>
      <c r="AH82" s="21">
        <v>4.4473400000000003E-2</v>
      </c>
      <c r="AI82" s="188">
        <f>ROUND(INDEX(金币总表!$Z$5:$Z$12,装备!AG82)*装备!AH82/$AC$5,0)</f>
        <v>4068</v>
      </c>
      <c r="AJ82" s="188">
        <v>1</v>
      </c>
      <c r="AK82" s="139">
        <f>ROUND(INDEX(金币总表!$Z$5:$Z$12,装备!AG82)*装备!AH82/$AC$5,0)</f>
        <v>4068</v>
      </c>
      <c r="AM82" s="139">
        <f t="shared" si="20"/>
        <v>2035</v>
      </c>
      <c r="AN82" s="139">
        <f t="shared" si="20"/>
        <v>3255</v>
      </c>
      <c r="AO82" s="139">
        <f t="shared" si="20"/>
        <v>4070</v>
      </c>
      <c r="AP82" s="139">
        <f t="shared" si="20"/>
        <v>4880</v>
      </c>
      <c r="DG82" s="144">
        <v>77</v>
      </c>
      <c r="DH82" s="144">
        <f t="shared" si="21"/>
        <v>10</v>
      </c>
      <c r="DI82" s="144" t="s">
        <v>1177</v>
      </c>
      <c r="DJ82" s="144">
        <f t="shared" si="22"/>
        <v>5</v>
      </c>
      <c r="DK82" s="144" t="str">
        <f t="shared" si="23"/>
        <v>鞋子锻造</v>
      </c>
      <c r="DL82" s="144" t="str">
        <f t="shared" si="24"/>
        <v>ui_dtex_Equ_05</v>
      </c>
      <c r="DM82" s="144" t="s">
        <v>1172</v>
      </c>
      <c r="DN82" s="144">
        <f t="shared" si="25"/>
        <v>165</v>
      </c>
    </row>
    <row r="83" spans="32:118" ht="16.5" x14ac:dyDescent="0.2">
      <c r="AF83" s="139">
        <v>78</v>
      </c>
      <c r="AG83" s="139">
        <f>MATCH(AF83-1,金币总表!$Y$4:$Y$12,1)</f>
        <v>5</v>
      </c>
      <c r="AH83" s="21">
        <v>4.6052299999999997E-2</v>
      </c>
      <c r="AI83" s="188">
        <f>ROUND(INDEX(金币总表!$Z$5:$Z$12,装备!AG83)*装备!AH83/$AC$5,0)</f>
        <v>4213</v>
      </c>
      <c r="AJ83" s="188">
        <v>1</v>
      </c>
      <c r="AK83" s="139">
        <f>ROUND(INDEX(金币总表!$Z$5:$Z$12,装备!AG83)*装备!AH83/$AC$5,0)</f>
        <v>4213</v>
      </c>
      <c r="AM83" s="139">
        <f t="shared" si="20"/>
        <v>2105</v>
      </c>
      <c r="AN83" s="139">
        <f t="shared" si="20"/>
        <v>3370</v>
      </c>
      <c r="AO83" s="139">
        <f t="shared" si="20"/>
        <v>4215</v>
      </c>
      <c r="AP83" s="139">
        <f t="shared" si="20"/>
        <v>5055</v>
      </c>
      <c r="DG83" s="144">
        <v>78</v>
      </c>
      <c r="DH83" s="144">
        <f t="shared" si="21"/>
        <v>10</v>
      </c>
      <c r="DI83" s="144" t="s">
        <v>1177</v>
      </c>
      <c r="DJ83" s="144">
        <f t="shared" si="22"/>
        <v>6</v>
      </c>
      <c r="DK83" s="144" t="str">
        <f t="shared" si="23"/>
        <v>护手锻造</v>
      </c>
      <c r="DL83" s="144" t="str">
        <f t="shared" si="24"/>
        <v>ui_dtex_Equ_06</v>
      </c>
      <c r="DM83" s="144" t="s">
        <v>1172</v>
      </c>
      <c r="DN83" s="144">
        <f t="shared" si="25"/>
        <v>165</v>
      </c>
    </row>
    <row r="84" spans="32:118" ht="16.5" x14ac:dyDescent="0.2">
      <c r="AF84" s="139">
        <v>79</v>
      </c>
      <c r="AG84" s="139">
        <f>MATCH(AF84-1,金币总表!$Y$4:$Y$12,1)</f>
        <v>5</v>
      </c>
      <c r="AH84" s="21">
        <v>4.7631199999999999E-2</v>
      </c>
      <c r="AI84" s="188">
        <f>ROUND(INDEX(金币总表!$Z$5:$Z$12,装备!AG84)*装备!AH84/$AC$5,0)</f>
        <v>4357</v>
      </c>
      <c r="AJ84" s="188">
        <v>1</v>
      </c>
      <c r="AK84" s="139">
        <f>ROUND(INDEX(金币总表!$Z$5:$Z$12,装备!AG84)*装备!AH84/$AC$5,0)</f>
        <v>4357</v>
      </c>
      <c r="AM84" s="139">
        <f t="shared" si="20"/>
        <v>2180</v>
      </c>
      <c r="AN84" s="139">
        <f t="shared" si="20"/>
        <v>3485</v>
      </c>
      <c r="AO84" s="139">
        <f t="shared" si="20"/>
        <v>4355</v>
      </c>
      <c r="AP84" s="139">
        <f t="shared" si="20"/>
        <v>5230</v>
      </c>
      <c r="DG84" s="144">
        <v>79</v>
      </c>
      <c r="DH84" s="144">
        <f t="shared" si="21"/>
        <v>10</v>
      </c>
      <c r="DI84" s="144" t="s">
        <v>1177</v>
      </c>
      <c r="DJ84" s="144">
        <f t="shared" si="22"/>
        <v>7</v>
      </c>
      <c r="DK84" s="144" t="str">
        <f t="shared" si="23"/>
        <v>项链锻造</v>
      </c>
      <c r="DL84" s="144" t="str">
        <f t="shared" si="24"/>
        <v>ui_dtex_Equ_07</v>
      </c>
      <c r="DM84" s="144" t="s">
        <v>1172</v>
      </c>
      <c r="DN84" s="144">
        <f t="shared" si="25"/>
        <v>250</v>
      </c>
    </row>
    <row r="85" spans="32:118" ht="16.5" x14ac:dyDescent="0.2">
      <c r="AF85" s="139">
        <v>80</v>
      </c>
      <c r="AG85" s="139">
        <f>MATCH(AF85-1,金币总表!$Y$4:$Y$12,1)</f>
        <v>5</v>
      </c>
      <c r="AH85" s="21">
        <v>4.9210099999999903E-2</v>
      </c>
      <c r="AI85" s="188">
        <f>ROUND(INDEX(金币总表!$Z$5:$Z$12,装备!AG85)*装备!AH85/$AC$5,0)</f>
        <v>4502</v>
      </c>
      <c r="AJ85" s="188">
        <v>1</v>
      </c>
      <c r="AK85" s="139">
        <f>ROUND(INDEX(金币总表!$Z$5:$Z$12,装备!AG85)*装备!AH85/$AC$5,0)</f>
        <v>4502</v>
      </c>
      <c r="AM85" s="139">
        <f t="shared" si="20"/>
        <v>2250</v>
      </c>
      <c r="AN85" s="139">
        <f t="shared" si="20"/>
        <v>3600</v>
      </c>
      <c r="AO85" s="139">
        <f t="shared" si="20"/>
        <v>4500</v>
      </c>
      <c r="AP85" s="139">
        <f t="shared" si="20"/>
        <v>5400</v>
      </c>
      <c r="DG85" s="144">
        <v>80</v>
      </c>
      <c r="DH85" s="144">
        <f t="shared" si="21"/>
        <v>10</v>
      </c>
      <c r="DI85" s="144" t="s">
        <v>1177</v>
      </c>
      <c r="DJ85" s="144">
        <f t="shared" si="22"/>
        <v>8</v>
      </c>
      <c r="DK85" s="144" t="str">
        <f t="shared" si="23"/>
        <v>戒指锻造</v>
      </c>
      <c r="DL85" s="144" t="str">
        <f t="shared" si="24"/>
        <v>ui_dtex_Equ_08</v>
      </c>
      <c r="DM85" s="144" t="s">
        <v>1172</v>
      </c>
      <c r="DN85" s="144">
        <f t="shared" si="25"/>
        <v>250</v>
      </c>
    </row>
    <row r="86" spans="32:118" ht="16.5" x14ac:dyDescent="0.2">
      <c r="AF86" s="139">
        <v>81</v>
      </c>
      <c r="AG86" s="139">
        <f>MATCH(AF86-1,金币总表!$Y$4:$Y$12,1)</f>
        <v>5</v>
      </c>
      <c r="AH86" s="21">
        <v>5.0788999999999897E-2</v>
      </c>
      <c r="AI86" s="188">
        <f>ROUND(INDEX(金币总表!$Z$5:$Z$12,装备!AG86)*装备!AH86/$AC$5,0)</f>
        <v>4646</v>
      </c>
      <c r="AJ86" s="188">
        <v>1</v>
      </c>
      <c r="AK86" s="139">
        <f>ROUND(INDEX(金币总表!$Z$5:$Z$12,装备!AG86)*装备!AH86/$AC$5,0)</f>
        <v>4646</v>
      </c>
      <c r="AM86" s="139">
        <f t="shared" si="20"/>
        <v>2325</v>
      </c>
      <c r="AN86" s="139">
        <f t="shared" si="20"/>
        <v>3715</v>
      </c>
      <c r="AO86" s="139">
        <f t="shared" si="20"/>
        <v>4645</v>
      </c>
      <c r="AP86" s="139">
        <f t="shared" si="20"/>
        <v>5575</v>
      </c>
      <c r="DG86" s="144">
        <v>81</v>
      </c>
      <c r="DH86" s="144">
        <f t="shared" si="21"/>
        <v>11</v>
      </c>
      <c r="DI86" s="144" t="s">
        <v>1177</v>
      </c>
      <c r="DJ86" s="144">
        <f t="shared" si="22"/>
        <v>1</v>
      </c>
      <c r="DK86" s="144" t="str">
        <f t="shared" si="23"/>
        <v>灵器锻造</v>
      </c>
      <c r="DL86" s="144" t="str">
        <f t="shared" si="24"/>
        <v>ui_dtex_Equ_01</v>
      </c>
      <c r="DM86" s="144" t="s">
        <v>1172</v>
      </c>
      <c r="DN86" s="144">
        <f t="shared" si="25"/>
        <v>370</v>
      </c>
    </row>
    <row r="87" spans="32:118" ht="16.5" x14ac:dyDescent="0.2">
      <c r="AF87" s="139">
        <v>82</v>
      </c>
      <c r="AG87" s="139">
        <f>MATCH(AF87-1,金币总表!$Y$4:$Y$12,1)</f>
        <v>5</v>
      </c>
      <c r="AH87" s="21">
        <v>5.2367899999999898E-2</v>
      </c>
      <c r="AI87" s="188">
        <f>ROUND(INDEX(金币总表!$Z$5:$Z$12,装备!AG87)*装备!AH87/$AC$5,0)</f>
        <v>4791</v>
      </c>
      <c r="AJ87" s="188">
        <v>1</v>
      </c>
      <c r="AK87" s="139">
        <f>ROUND(INDEX(金币总表!$Z$5:$Z$12,装备!AG87)*装备!AH87/$AC$5,0)</f>
        <v>4791</v>
      </c>
      <c r="AM87" s="139">
        <f t="shared" si="20"/>
        <v>2395</v>
      </c>
      <c r="AN87" s="139">
        <f t="shared" si="20"/>
        <v>3835</v>
      </c>
      <c r="AO87" s="139">
        <f t="shared" si="20"/>
        <v>4790</v>
      </c>
      <c r="AP87" s="139">
        <f t="shared" si="20"/>
        <v>5750</v>
      </c>
      <c r="DG87" s="144">
        <v>82</v>
      </c>
      <c r="DH87" s="144">
        <f t="shared" si="21"/>
        <v>11</v>
      </c>
      <c r="DI87" s="144" t="s">
        <v>1177</v>
      </c>
      <c r="DJ87" s="144">
        <f t="shared" si="22"/>
        <v>2</v>
      </c>
      <c r="DK87" s="144" t="str">
        <f t="shared" si="23"/>
        <v>头盔锻造</v>
      </c>
      <c r="DL87" s="144" t="str">
        <f t="shared" si="24"/>
        <v>ui_dtex_Equ_02</v>
      </c>
      <c r="DM87" s="144" t="s">
        <v>1172</v>
      </c>
      <c r="DN87" s="144">
        <f t="shared" si="25"/>
        <v>185</v>
      </c>
    </row>
    <row r="88" spans="32:118" ht="16.5" x14ac:dyDescent="0.2">
      <c r="AF88" s="139">
        <v>83</v>
      </c>
      <c r="AG88" s="139">
        <f>MATCH(AF88-1,金币总表!$Y$4:$Y$12,1)</f>
        <v>5</v>
      </c>
      <c r="AH88" s="21">
        <v>5.3946799999999899E-2</v>
      </c>
      <c r="AI88" s="188">
        <f>ROUND(INDEX(金币总表!$Z$5:$Z$12,装备!AG88)*装备!AH88/$AC$5,0)</f>
        <v>4935</v>
      </c>
      <c r="AJ88" s="188">
        <v>1</v>
      </c>
      <c r="AK88" s="139">
        <f>ROUND(INDEX(金币总表!$Z$5:$Z$12,装备!AG88)*装备!AH88/$AC$5,0)</f>
        <v>4935</v>
      </c>
      <c r="AM88" s="139">
        <f t="shared" si="20"/>
        <v>2470</v>
      </c>
      <c r="AN88" s="139">
        <f t="shared" si="20"/>
        <v>3950</v>
      </c>
      <c r="AO88" s="139">
        <f t="shared" si="20"/>
        <v>4935</v>
      </c>
      <c r="AP88" s="139">
        <f t="shared" si="20"/>
        <v>5920</v>
      </c>
      <c r="DG88" s="144">
        <v>83</v>
      </c>
      <c r="DH88" s="144">
        <f t="shared" si="21"/>
        <v>11</v>
      </c>
      <c r="DI88" s="144" t="s">
        <v>1177</v>
      </c>
      <c r="DJ88" s="144">
        <f t="shared" si="22"/>
        <v>3</v>
      </c>
      <c r="DK88" s="144" t="str">
        <f t="shared" si="23"/>
        <v>铠甲锻造</v>
      </c>
      <c r="DL88" s="144" t="str">
        <f t="shared" si="24"/>
        <v>ui_dtex_Equ_03</v>
      </c>
      <c r="DM88" s="144" t="s">
        <v>1172</v>
      </c>
      <c r="DN88" s="144">
        <f t="shared" si="25"/>
        <v>185</v>
      </c>
    </row>
    <row r="89" spans="32:118" ht="16.5" x14ac:dyDescent="0.2">
      <c r="AF89" s="139">
        <v>84</v>
      </c>
      <c r="AG89" s="139">
        <f>MATCH(AF89-1,金币总表!$Y$4:$Y$12,1)</f>
        <v>5</v>
      </c>
      <c r="AH89" s="21">
        <v>5.55256999999999E-2</v>
      </c>
      <c r="AI89" s="188">
        <f>ROUND(INDEX(金币总表!$Z$5:$Z$12,装备!AG89)*装备!AH89/$AC$5,0)</f>
        <v>5079</v>
      </c>
      <c r="AJ89" s="188">
        <v>1</v>
      </c>
      <c r="AK89" s="139">
        <f>ROUND(INDEX(金币总表!$Z$5:$Z$12,装备!AG89)*装备!AH89/$AC$5,0)</f>
        <v>5079</v>
      </c>
      <c r="AM89" s="139">
        <f t="shared" si="20"/>
        <v>2540</v>
      </c>
      <c r="AN89" s="139">
        <f t="shared" si="20"/>
        <v>4065</v>
      </c>
      <c r="AO89" s="139">
        <f t="shared" si="20"/>
        <v>5080</v>
      </c>
      <c r="AP89" s="139">
        <f t="shared" si="20"/>
        <v>6095</v>
      </c>
      <c r="DG89" s="144">
        <v>84</v>
      </c>
      <c r="DH89" s="144">
        <f t="shared" si="21"/>
        <v>11</v>
      </c>
      <c r="DI89" s="144" t="s">
        <v>1177</v>
      </c>
      <c r="DJ89" s="144">
        <f t="shared" si="22"/>
        <v>4</v>
      </c>
      <c r="DK89" s="144" t="str">
        <f t="shared" si="23"/>
        <v>裤子锻造</v>
      </c>
      <c r="DL89" s="144" t="str">
        <f t="shared" si="24"/>
        <v>ui_dtex_Equ_04</v>
      </c>
      <c r="DM89" s="144" t="s">
        <v>1172</v>
      </c>
      <c r="DN89" s="144">
        <f t="shared" si="25"/>
        <v>185</v>
      </c>
    </row>
    <row r="90" spans="32:118" ht="16.5" x14ac:dyDescent="0.2">
      <c r="AF90" s="139">
        <v>85</v>
      </c>
      <c r="AG90" s="139">
        <f>MATCH(AF90-1,金币总表!$Y$4:$Y$12,1)</f>
        <v>5</v>
      </c>
      <c r="AH90" s="21">
        <v>5.7104599999999901E-2</v>
      </c>
      <c r="AI90" s="188">
        <f>ROUND(INDEX(金币总表!$Z$5:$Z$12,装备!AG90)*装备!AH90/$AC$5,0)</f>
        <v>5224</v>
      </c>
      <c r="AJ90" s="188">
        <v>1</v>
      </c>
      <c r="AK90" s="139">
        <f>ROUND(INDEX(金币总表!$Z$5:$Z$12,装备!AG90)*装备!AH90/$AC$5,0)</f>
        <v>5224</v>
      </c>
      <c r="AM90" s="139">
        <f t="shared" si="20"/>
        <v>2610</v>
      </c>
      <c r="AN90" s="139">
        <f t="shared" si="20"/>
        <v>4180</v>
      </c>
      <c r="AO90" s="139">
        <f t="shared" si="20"/>
        <v>5225</v>
      </c>
      <c r="AP90" s="139">
        <f t="shared" si="20"/>
        <v>6270</v>
      </c>
      <c r="DG90" s="144">
        <v>85</v>
      </c>
      <c r="DH90" s="144">
        <f t="shared" si="21"/>
        <v>11</v>
      </c>
      <c r="DI90" s="144" t="s">
        <v>1177</v>
      </c>
      <c r="DJ90" s="144">
        <f t="shared" si="22"/>
        <v>5</v>
      </c>
      <c r="DK90" s="144" t="str">
        <f t="shared" si="23"/>
        <v>鞋子锻造</v>
      </c>
      <c r="DL90" s="144" t="str">
        <f t="shared" si="24"/>
        <v>ui_dtex_Equ_05</v>
      </c>
      <c r="DM90" s="144" t="s">
        <v>1172</v>
      </c>
      <c r="DN90" s="144">
        <f t="shared" si="25"/>
        <v>185</v>
      </c>
    </row>
    <row r="91" spans="32:118" ht="16.5" x14ac:dyDescent="0.2">
      <c r="AF91" s="139">
        <v>86</v>
      </c>
      <c r="AG91" s="139">
        <f>MATCH(AF91-1,金币总表!$Y$4:$Y$12,1)</f>
        <v>5</v>
      </c>
      <c r="AH91" s="21">
        <v>5.8683499999999902E-2</v>
      </c>
      <c r="AI91" s="188">
        <f>ROUND(INDEX(金币总表!$Z$5:$Z$12,装备!AG91)*装备!AH91/$AC$5,0)</f>
        <v>5368</v>
      </c>
      <c r="AJ91" s="188">
        <v>1</v>
      </c>
      <c r="AK91" s="139">
        <f>ROUND(INDEX(金币总表!$Z$5:$Z$12,装备!AG91)*装备!AH91/$AC$5,0)</f>
        <v>5368</v>
      </c>
      <c r="AM91" s="139">
        <f t="shared" si="20"/>
        <v>2685</v>
      </c>
      <c r="AN91" s="139">
        <f t="shared" si="20"/>
        <v>4295</v>
      </c>
      <c r="AO91" s="139">
        <f t="shared" si="20"/>
        <v>5370</v>
      </c>
      <c r="AP91" s="139">
        <f t="shared" si="20"/>
        <v>6440</v>
      </c>
      <c r="DG91" s="144">
        <v>86</v>
      </c>
      <c r="DH91" s="144">
        <f t="shared" si="21"/>
        <v>11</v>
      </c>
      <c r="DI91" s="144" t="s">
        <v>1177</v>
      </c>
      <c r="DJ91" s="144">
        <f t="shared" si="22"/>
        <v>6</v>
      </c>
      <c r="DK91" s="144" t="str">
        <f t="shared" si="23"/>
        <v>护手锻造</v>
      </c>
      <c r="DL91" s="144" t="str">
        <f t="shared" si="24"/>
        <v>ui_dtex_Equ_06</v>
      </c>
      <c r="DM91" s="144" t="s">
        <v>1172</v>
      </c>
      <c r="DN91" s="144">
        <f t="shared" si="25"/>
        <v>185</v>
      </c>
    </row>
    <row r="92" spans="32:118" ht="16.5" x14ac:dyDescent="0.2">
      <c r="AF92" s="139">
        <v>87</v>
      </c>
      <c r="AG92" s="139">
        <f>MATCH(AF92-1,金币总表!$Y$4:$Y$12,1)</f>
        <v>5</v>
      </c>
      <c r="AH92" s="21">
        <v>6.0262399999999897E-2</v>
      </c>
      <c r="AI92" s="188">
        <f>ROUND(INDEX(金币总表!$Z$5:$Z$12,装备!AG92)*装备!AH92/$AC$5,0)</f>
        <v>5513</v>
      </c>
      <c r="AJ92" s="188">
        <v>1</v>
      </c>
      <c r="AK92" s="139">
        <f>ROUND(INDEX(金币总表!$Z$5:$Z$12,装备!AG92)*装备!AH92/$AC$5,0)</f>
        <v>5513</v>
      </c>
      <c r="AM92" s="139">
        <f t="shared" si="20"/>
        <v>2755</v>
      </c>
      <c r="AN92" s="139">
        <f t="shared" si="20"/>
        <v>4410</v>
      </c>
      <c r="AO92" s="139">
        <f t="shared" si="20"/>
        <v>5515</v>
      </c>
      <c r="AP92" s="139">
        <f t="shared" si="20"/>
        <v>6615</v>
      </c>
      <c r="DG92" s="144">
        <v>87</v>
      </c>
      <c r="DH92" s="144">
        <f t="shared" si="21"/>
        <v>11</v>
      </c>
      <c r="DI92" s="144" t="s">
        <v>1177</v>
      </c>
      <c r="DJ92" s="144">
        <f t="shared" si="22"/>
        <v>7</v>
      </c>
      <c r="DK92" s="144" t="str">
        <f t="shared" si="23"/>
        <v>项链锻造</v>
      </c>
      <c r="DL92" s="144" t="str">
        <f t="shared" si="24"/>
        <v>ui_dtex_Equ_07</v>
      </c>
      <c r="DM92" s="144" t="s">
        <v>1172</v>
      </c>
      <c r="DN92" s="144">
        <f t="shared" si="25"/>
        <v>280</v>
      </c>
    </row>
    <row r="93" spans="32:118" ht="16.5" x14ac:dyDescent="0.2">
      <c r="AF93" s="139">
        <v>88</v>
      </c>
      <c r="AG93" s="139">
        <f>MATCH(AF93-1,金币总表!$Y$4:$Y$12,1)</f>
        <v>5</v>
      </c>
      <c r="AH93" s="21">
        <v>6.1841299999999898E-2</v>
      </c>
      <c r="AI93" s="188">
        <f>ROUND(INDEX(金币总表!$Z$5:$Z$12,装备!AG93)*装备!AH93/$AC$5,0)</f>
        <v>5657</v>
      </c>
      <c r="AJ93" s="188">
        <v>1</v>
      </c>
      <c r="AK93" s="139">
        <f>ROUND(INDEX(金币总表!$Z$5:$Z$12,装备!AG93)*装备!AH93/$AC$5,0)</f>
        <v>5657</v>
      </c>
      <c r="AM93" s="139">
        <f t="shared" si="20"/>
        <v>2830</v>
      </c>
      <c r="AN93" s="139">
        <f t="shared" si="20"/>
        <v>4525</v>
      </c>
      <c r="AO93" s="139">
        <f t="shared" si="20"/>
        <v>5655</v>
      </c>
      <c r="AP93" s="139">
        <f t="shared" si="20"/>
        <v>6790</v>
      </c>
      <c r="DG93" s="144">
        <v>88</v>
      </c>
      <c r="DH93" s="144">
        <f t="shared" si="21"/>
        <v>11</v>
      </c>
      <c r="DI93" s="144" t="s">
        <v>1177</v>
      </c>
      <c r="DJ93" s="144">
        <f t="shared" si="22"/>
        <v>8</v>
      </c>
      <c r="DK93" s="144" t="str">
        <f t="shared" si="23"/>
        <v>戒指锻造</v>
      </c>
      <c r="DL93" s="144" t="str">
        <f t="shared" si="24"/>
        <v>ui_dtex_Equ_08</v>
      </c>
      <c r="DM93" s="144" t="s">
        <v>1172</v>
      </c>
      <c r="DN93" s="144">
        <f t="shared" si="25"/>
        <v>280</v>
      </c>
    </row>
    <row r="94" spans="32:118" ht="16.5" x14ac:dyDescent="0.2">
      <c r="AF94" s="139">
        <v>89</v>
      </c>
      <c r="AG94" s="139">
        <f>MATCH(AF94-1,金币总表!$Y$4:$Y$12,1)</f>
        <v>5</v>
      </c>
      <c r="AH94" s="21">
        <v>6.3420199999999899E-2</v>
      </c>
      <c r="AI94" s="188">
        <f>ROUND(INDEX(金币总表!$Z$5:$Z$12,装备!AG94)*装备!AH94/$AC$5,0)</f>
        <v>5802</v>
      </c>
      <c r="AJ94" s="188">
        <v>1</v>
      </c>
      <c r="AK94" s="139">
        <f>ROUND(INDEX(金币总表!$Z$5:$Z$12,装备!AG94)*装备!AH94/$AC$5,0)</f>
        <v>5802</v>
      </c>
      <c r="AM94" s="139">
        <f t="shared" si="20"/>
        <v>2900</v>
      </c>
      <c r="AN94" s="139">
        <f t="shared" si="20"/>
        <v>4640</v>
      </c>
      <c r="AO94" s="139">
        <f t="shared" si="20"/>
        <v>5800</v>
      </c>
      <c r="AP94" s="139">
        <f t="shared" si="20"/>
        <v>6960</v>
      </c>
      <c r="DG94" s="144">
        <v>89</v>
      </c>
      <c r="DH94" s="144">
        <f t="shared" si="21"/>
        <v>12</v>
      </c>
      <c r="DI94" s="144" t="s">
        <v>1177</v>
      </c>
      <c r="DJ94" s="144">
        <f t="shared" si="22"/>
        <v>1</v>
      </c>
      <c r="DK94" s="144" t="str">
        <f t="shared" si="23"/>
        <v>灵器锻造</v>
      </c>
      <c r="DL94" s="144" t="str">
        <f t="shared" si="24"/>
        <v>ui_dtex_Equ_01</v>
      </c>
      <c r="DM94" s="144" t="s">
        <v>1172</v>
      </c>
      <c r="DN94" s="144">
        <f t="shared" si="25"/>
        <v>410</v>
      </c>
    </row>
    <row r="95" spans="32:118" ht="16.5" x14ac:dyDescent="0.2">
      <c r="AF95" s="139">
        <v>90</v>
      </c>
      <c r="AG95" s="139">
        <f>MATCH(AF95-1,金币总表!$Y$4:$Y$12,1)</f>
        <v>5</v>
      </c>
      <c r="AH95" s="21">
        <v>6.4999099999999893E-2</v>
      </c>
      <c r="AI95" s="188">
        <f>ROUND(INDEX(金币总表!$Z$5:$Z$12,装备!AG95)*装备!AH95/$AC$5,0)</f>
        <v>5946</v>
      </c>
      <c r="AJ95" s="188">
        <v>1</v>
      </c>
      <c r="AK95" s="139">
        <f>ROUND(INDEX(金币总表!$Z$5:$Z$12,装备!AG95)*装备!AH95/$AC$5,0)</f>
        <v>5946</v>
      </c>
      <c r="AM95" s="139">
        <f t="shared" si="20"/>
        <v>2975</v>
      </c>
      <c r="AN95" s="139">
        <f t="shared" si="20"/>
        <v>4755</v>
      </c>
      <c r="AO95" s="139">
        <f t="shared" si="20"/>
        <v>5945</v>
      </c>
      <c r="AP95" s="139">
        <f t="shared" si="20"/>
        <v>7135</v>
      </c>
      <c r="DG95" s="144">
        <v>90</v>
      </c>
      <c r="DH95" s="144">
        <f t="shared" si="21"/>
        <v>12</v>
      </c>
      <c r="DI95" s="144" t="s">
        <v>1177</v>
      </c>
      <c r="DJ95" s="144">
        <f t="shared" si="22"/>
        <v>2</v>
      </c>
      <c r="DK95" s="144" t="str">
        <f t="shared" si="23"/>
        <v>头盔锻造</v>
      </c>
      <c r="DL95" s="144" t="str">
        <f t="shared" si="24"/>
        <v>ui_dtex_Equ_02</v>
      </c>
      <c r="DM95" s="144" t="s">
        <v>1172</v>
      </c>
      <c r="DN95" s="144">
        <f t="shared" si="25"/>
        <v>205</v>
      </c>
    </row>
    <row r="96" spans="32:118" ht="16.5" x14ac:dyDescent="0.2">
      <c r="AF96" s="139">
        <v>91</v>
      </c>
      <c r="AG96" s="139">
        <f>MATCH(AF96-1,金币总表!$Y$4:$Y$12,1)</f>
        <v>6</v>
      </c>
      <c r="AH96" s="21">
        <v>3.5000000000000003E-2</v>
      </c>
      <c r="AI96" s="188">
        <f>ROUND(INDEX(金币总表!$Z$5:$Z$12,装备!AG96)*装备!AH96/$AC$5,0)</f>
        <v>5671</v>
      </c>
      <c r="AJ96" s="188">
        <v>1</v>
      </c>
      <c r="AK96" s="139">
        <f>ROUND(INDEX(金币总表!$Z$5:$Z$12,装备!AG96)*装备!AH96/$AC$5,0)</f>
        <v>5671</v>
      </c>
      <c r="AM96" s="139">
        <f t="shared" si="20"/>
        <v>2835</v>
      </c>
      <c r="AN96" s="139">
        <f t="shared" si="20"/>
        <v>4535</v>
      </c>
      <c r="AO96" s="139">
        <f t="shared" si="20"/>
        <v>5670</v>
      </c>
      <c r="AP96" s="139">
        <f t="shared" si="20"/>
        <v>6805</v>
      </c>
      <c r="DG96" s="144">
        <v>91</v>
      </c>
      <c r="DH96" s="144">
        <f t="shared" si="21"/>
        <v>12</v>
      </c>
      <c r="DI96" s="144" t="s">
        <v>1177</v>
      </c>
      <c r="DJ96" s="144">
        <f t="shared" si="22"/>
        <v>3</v>
      </c>
      <c r="DK96" s="144" t="str">
        <f t="shared" si="23"/>
        <v>铠甲锻造</v>
      </c>
      <c r="DL96" s="144" t="str">
        <f t="shared" si="24"/>
        <v>ui_dtex_Equ_03</v>
      </c>
      <c r="DM96" s="144" t="s">
        <v>1172</v>
      </c>
      <c r="DN96" s="144">
        <f t="shared" si="25"/>
        <v>205</v>
      </c>
    </row>
    <row r="97" spans="32:118" ht="16.5" x14ac:dyDescent="0.2">
      <c r="AF97" s="139">
        <v>92</v>
      </c>
      <c r="AG97" s="139">
        <f>MATCH(AF97-1,金币总表!$Y$4:$Y$12,1)</f>
        <v>6</v>
      </c>
      <c r="AH97" s="21">
        <v>3.6578899999999998E-2</v>
      </c>
      <c r="AI97" s="188">
        <f>ROUND(INDEX(金币总表!$Z$5:$Z$12,装备!AG97)*装备!AH97/$AC$5,0)</f>
        <v>5927</v>
      </c>
      <c r="AJ97" s="188">
        <v>1</v>
      </c>
      <c r="AK97" s="139">
        <f>ROUND(INDEX(金币总表!$Z$5:$Z$12,装备!AG97)*装备!AH97/$AC$5,0)</f>
        <v>5927</v>
      </c>
      <c r="AM97" s="139">
        <f t="shared" si="20"/>
        <v>2965</v>
      </c>
      <c r="AN97" s="139">
        <f t="shared" si="20"/>
        <v>4740</v>
      </c>
      <c r="AO97" s="139">
        <f t="shared" si="20"/>
        <v>5925</v>
      </c>
      <c r="AP97" s="139">
        <f t="shared" si="20"/>
        <v>7110</v>
      </c>
      <c r="DG97" s="144">
        <v>92</v>
      </c>
      <c r="DH97" s="144">
        <f t="shared" si="21"/>
        <v>12</v>
      </c>
      <c r="DI97" s="144" t="s">
        <v>1177</v>
      </c>
      <c r="DJ97" s="144">
        <f t="shared" si="22"/>
        <v>4</v>
      </c>
      <c r="DK97" s="144" t="str">
        <f t="shared" si="23"/>
        <v>裤子锻造</v>
      </c>
      <c r="DL97" s="144" t="str">
        <f t="shared" si="24"/>
        <v>ui_dtex_Equ_04</v>
      </c>
      <c r="DM97" s="144" t="s">
        <v>1172</v>
      </c>
      <c r="DN97" s="144">
        <f t="shared" si="25"/>
        <v>205</v>
      </c>
    </row>
    <row r="98" spans="32:118" ht="16.5" x14ac:dyDescent="0.2">
      <c r="AF98" s="139">
        <v>93</v>
      </c>
      <c r="AG98" s="139">
        <f>MATCH(AF98-1,金币总表!$Y$4:$Y$12,1)</f>
        <v>6</v>
      </c>
      <c r="AH98" s="21">
        <v>3.8157799999999999E-2</v>
      </c>
      <c r="AI98" s="188">
        <f>ROUND(INDEX(金币总表!$Z$5:$Z$12,装备!AG98)*装备!AH98/$AC$5,0)</f>
        <v>6183</v>
      </c>
      <c r="AJ98" s="188">
        <v>1</v>
      </c>
      <c r="AK98" s="139">
        <f>ROUND(INDEX(金币总表!$Z$5:$Z$12,装备!AG98)*装备!AH98/$AC$5,0)</f>
        <v>6183</v>
      </c>
      <c r="AM98" s="139">
        <f t="shared" si="20"/>
        <v>3090</v>
      </c>
      <c r="AN98" s="139">
        <f t="shared" si="20"/>
        <v>4945</v>
      </c>
      <c r="AO98" s="139">
        <f t="shared" si="20"/>
        <v>6185</v>
      </c>
      <c r="AP98" s="139">
        <f t="shared" si="20"/>
        <v>7420</v>
      </c>
      <c r="DG98" s="144">
        <v>93</v>
      </c>
      <c r="DH98" s="144">
        <f t="shared" si="21"/>
        <v>12</v>
      </c>
      <c r="DI98" s="144" t="s">
        <v>1177</v>
      </c>
      <c r="DJ98" s="144">
        <f t="shared" si="22"/>
        <v>5</v>
      </c>
      <c r="DK98" s="144" t="str">
        <f t="shared" si="23"/>
        <v>鞋子锻造</v>
      </c>
      <c r="DL98" s="144" t="str">
        <f t="shared" si="24"/>
        <v>ui_dtex_Equ_05</v>
      </c>
      <c r="DM98" s="144" t="s">
        <v>1172</v>
      </c>
      <c r="DN98" s="144">
        <f t="shared" si="25"/>
        <v>205</v>
      </c>
    </row>
    <row r="99" spans="32:118" ht="16.5" x14ac:dyDescent="0.2">
      <c r="AF99" s="139">
        <v>94</v>
      </c>
      <c r="AG99" s="139">
        <f>MATCH(AF99-1,金币总表!$Y$4:$Y$12,1)</f>
        <v>6</v>
      </c>
      <c r="AH99" s="21">
        <v>3.97367E-2</v>
      </c>
      <c r="AI99" s="188">
        <f>ROUND(INDEX(金币总表!$Z$5:$Z$12,装备!AG99)*装备!AH99/$AC$5,0)</f>
        <v>6439</v>
      </c>
      <c r="AJ99" s="188">
        <v>1</v>
      </c>
      <c r="AK99" s="139">
        <f>ROUND(INDEX(金币总表!$Z$5:$Z$12,装备!AG99)*装备!AH99/$AC$5,0)</f>
        <v>6439</v>
      </c>
      <c r="AM99" s="139">
        <f t="shared" si="20"/>
        <v>3220</v>
      </c>
      <c r="AN99" s="139">
        <f t="shared" si="20"/>
        <v>5150</v>
      </c>
      <c r="AO99" s="139">
        <f t="shared" si="20"/>
        <v>6440</v>
      </c>
      <c r="AP99" s="139">
        <f t="shared" si="20"/>
        <v>7725</v>
      </c>
      <c r="DG99" s="144">
        <v>94</v>
      </c>
      <c r="DH99" s="144">
        <f t="shared" si="21"/>
        <v>12</v>
      </c>
      <c r="DI99" s="144" t="s">
        <v>1177</v>
      </c>
      <c r="DJ99" s="144">
        <f t="shared" si="22"/>
        <v>6</v>
      </c>
      <c r="DK99" s="144" t="str">
        <f t="shared" si="23"/>
        <v>护手锻造</v>
      </c>
      <c r="DL99" s="144" t="str">
        <f t="shared" si="24"/>
        <v>ui_dtex_Equ_06</v>
      </c>
      <c r="DM99" s="144" t="s">
        <v>1172</v>
      </c>
      <c r="DN99" s="144">
        <f t="shared" si="25"/>
        <v>205</v>
      </c>
    </row>
    <row r="100" spans="32:118" ht="16.5" x14ac:dyDescent="0.2">
      <c r="AF100" s="139">
        <v>95</v>
      </c>
      <c r="AG100" s="139">
        <f>MATCH(AF100-1,金币总表!$Y$4:$Y$12,1)</f>
        <v>6</v>
      </c>
      <c r="AH100" s="21">
        <v>4.1315600000000001E-2</v>
      </c>
      <c r="AI100" s="188">
        <f>ROUND(INDEX(金币总表!$Z$5:$Z$12,装备!AG100)*装备!AH100/$AC$5,0)</f>
        <v>6694</v>
      </c>
      <c r="AJ100" s="188">
        <v>1</v>
      </c>
      <c r="AK100" s="139">
        <f>ROUND(INDEX(金币总表!$Z$5:$Z$12,装备!AG100)*装备!AH100/$AC$5,0)</f>
        <v>6694</v>
      </c>
      <c r="AM100" s="139">
        <f t="shared" si="20"/>
        <v>3345</v>
      </c>
      <c r="AN100" s="139">
        <f t="shared" si="20"/>
        <v>5355</v>
      </c>
      <c r="AO100" s="139">
        <f t="shared" si="20"/>
        <v>6695</v>
      </c>
      <c r="AP100" s="139">
        <f t="shared" si="20"/>
        <v>8035</v>
      </c>
      <c r="DG100" s="144">
        <v>95</v>
      </c>
      <c r="DH100" s="144">
        <f t="shared" si="21"/>
        <v>12</v>
      </c>
      <c r="DI100" s="144" t="s">
        <v>1177</v>
      </c>
      <c r="DJ100" s="144">
        <f t="shared" si="22"/>
        <v>7</v>
      </c>
      <c r="DK100" s="144" t="str">
        <f t="shared" si="23"/>
        <v>项链锻造</v>
      </c>
      <c r="DL100" s="144" t="str">
        <f t="shared" si="24"/>
        <v>ui_dtex_Equ_07</v>
      </c>
      <c r="DM100" s="144" t="s">
        <v>1172</v>
      </c>
      <c r="DN100" s="144">
        <f t="shared" si="25"/>
        <v>310</v>
      </c>
    </row>
    <row r="101" spans="32:118" ht="16.5" x14ac:dyDescent="0.2">
      <c r="AF101" s="139">
        <v>96</v>
      </c>
      <c r="AG101" s="139">
        <f>MATCH(AF101-1,金币总表!$Y$4:$Y$12,1)</f>
        <v>6</v>
      </c>
      <c r="AH101" s="21">
        <v>4.2894500000000002E-2</v>
      </c>
      <c r="AI101" s="188">
        <f>ROUND(INDEX(金币总表!$Z$5:$Z$12,装备!AG101)*装备!AH101/$AC$5,0)</f>
        <v>6950</v>
      </c>
      <c r="AJ101" s="188">
        <v>1</v>
      </c>
      <c r="AK101" s="139">
        <f>ROUND(INDEX(金币总表!$Z$5:$Z$12,装备!AG101)*装备!AH101/$AC$5,0)</f>
        <v>6950</v>
      </c>
      <c r="AM101" s="139">
        <f t="shared" si="20"/>
        <v>3475</v>
      </c>
      <c r="AN101" s="139">
        <f t="shared" si="20"/>
        <v>5560</v>
      </c>
      <c r="AO101" s="139">
        <f t="shared" si="20"/>
        <v>6950</v>
      </c>
      <c r="AP101" s="139">
        <f t="shared" si="20"/>
        <v>8340</v>
      </c>
      <c r="DG101" s="144">
        <v>96</v>
      </c>
      <c r="DH101" s="144">
        <f t="shared" si="21"/>
        <v>12</v>
      </c>
      <c r="DI101" s="144" t="s">
        <v>1177</v>
      </c>
      <c r="DJ101" s="144">
        <f t="shared" si="22"/>
        <v>8</v>
      </c>
      <c r="DK101" s="144" t="str">
        <f t="shared" si="23"/>
        <v>戒指锻造</v>
      </c>
      <c r="DL101" s="144" t="str">
        <f t="shared" si="24"/>
        <v>ui_dtex_Equ_08</v>
      </c>
      <c r="DM101" s="144" t="s">
        <v>1172</v>
      </c>
      <c r="DN101" s="144">
        <f t="shared" si="25"/>
        <v>310</v>
      </c>
    </row>
    <row r="102" spans="32:118" ht="16.5" x14ac:dyDescent="0.2">
      <c r="AF102" s="139">
        <v>97</v>
      </c>
      <c r="AG102" s="139">
        <f>MATCH(AF102-1,金币总表!$Y$4:$Y$12,1)</f>
        <v>6</v>
      </c>
      <c r="AH102" s="21">
        <v>4.4473400000000003E-2</v>
      </c>
      <c r="AI102" s="188">
        <f>ROUND(INDEX(金币总表!$Z$5:$Z$12,装备!AG102)*装备!AH102/$AC$5,0)</f>
        <v>7206</v>
      </c>
      <c r="AJ102" s="188">
        <v>1</v>
      </c>
      <c r="AK102" s="139">
        <f>ROUND(INDEX(金币总表!$Z$5:$Z$12,装备!AG102)*装备!AH102/$AC$5,0)</f>
        <v>7206</v>
      </c>
      <c r="AM102" s="139">
        <f t="shared" si="20"/>
        <v>3605</v>
      </c>
      <c r="AN102" s="139">
        <f t="shared" si="20"/>
        <v>5765</v>
      </c>
      <c r="AO102" s="139">
        <f t="shared" si="20"/>
        <v>7205</v>
      </c>
      <c r="AP102" s="139">
        <f t="shared" si="20"/>
        <v>8645</v>
      </c>
      <c r="DG102" s="144">
        <v>97</v>
      </c>
      <c r="DH102" s="144">
        <f t="shared" si="21"/>
        <v>13</v>
      </c>
      <c r="DI102" s="144" t="s">
        <v>1177</v>
      </c>
      <c r="DJ102" s="144">
        <f t="shared" si="22"/>
        <v>1</v>
      </c>
      <c r="DK102" s="144" t="str">
        <f t="shared" si="23"/>
        <v>灵器锻造</v>
      </c>
      <c r="DL102" s="144" t="str">
        <f t="shared" si="24"/>
        <v>ui_dtex_Equ_01</v>
      </c>
      <c r="DM102" s="144" t="s">
        <v>1172</v>
      </c>
      <c r="DN102" s="144">
        <f t="shared" si="25"/>
        <v>450</v>
      </c>
    </row>
    <row r="103" spans="32:118" ht="16.5" x14ac:dyDescent="0.2">
      <c r="AF103" s="139">
        <v>98</v>
      </c>
      <c r="AG103" s="139">
        <f>MATCH(AF103-1,金币总表!$Y$4:$Y$12,1)</f>
        <v>6</v>
      </c>
      <c r="AH103" s="21">
        <v>4.6052299999999997E-2</v>
      </c>
      <c r="AI103" s="188">
        <f>ROUND(INDEX(金币总表!$Z$5:$Z$12,装备!AG103)*装备!AH103/$AC$5,0)</f>
        <v>7462</v>
      </c>
      <c r="AJ103" s="188">
        <v>1</v>
      </c>
      <c r="AK103" s="139">
        <f>ROUND(INDEX(金币总表!$Z$5:$Z$12,装备!AG103)*装备!AH103/$AC$5,0)</f>
        <v>7462</v>
      </c>
      <c r="AM103" s="139">
        <f t="shared" ref="AM103:AP134" si="26">ROUND($AK103*AM$3/5,0)*5</f>
        <v>3730</v>
      </c>
      <c r="AN103" s="139">
        <f t="shared" si="26"/>
        <v>5970</v>
      </c>
      <c r="AO103" s="139">
        <f t="shared" si="26"/>
        <v>7460</v>
      </c>
      <c r="AP103" s="139">
        <f t="shared" si="26"/>
        <v>8955</v>
      </c>
      <c r="DG103" s="144">
        <v>98</v>
      </c>
      <c r="DH103" s="144">
        <f t="shared" si="21"/>
        <v>13</v>
      </c>
      <c r="DI103" s="144" t="s">
        <v>1177</v>
      </c>
      <c r="DJ103" s="144">
        <f t="shared" si="22"/>
        <v>2</v>
      </c>
      <c r="DK103" s="144" t="str">
        <f t="shared" si="23"/>
        <v>头盔锻造</v>
      </c>
      <c r="DL103" s="144" t="str">
        <f t="shared" si="24"/>
        <v>ui_dtex_Equ_02</v>
      </c>
      <c r="DM103" s="144" t="s">
        <v>1172</v>
      </c>
      <c r="DN103" s="144">
        <f t="shared" si="25"/>
        <v>225</v>
      </c>
    </row>
    <row r="104" spans="32:118" ht="16.5" x14ac:dyDescent="0.2">
      <c r="AF104" s="139">
        <v>99</v>
      </c>
      <c r="AG104" s="139">
        <f>MATCH(AF104-1,金币总表!$Y$4:$Y$12,1)</f>
        <v>6</v>
      </c>
      <c r="AH104" s="21">
        <v>4.7631199999999999E-2</v>
      </c>
      <c r="AI104" s="188">
        <f>ROUND(INDEX(金币总表!$Z$5:$Z$12,装备!AG104)*装备!AH104/$AC$5,0)</f>
        <v>7718</v>
      </c>
      <c r="AJ104" s="188">
        <v>1</v>
      </c>
      <c r="AK104" s="139">
        <f>ROUND(INDEX(金币总表!$Z$5:$Z$12,装备!AG104)*装备!AH104/$AC$5,0)</f>
        <v>7718</v>
      </c>
      <c r="AM104" s="139">
        <f t="shared" si="26"/>
        <v>3860</v>
      </c>
      <c r="AN104" s="139">
        <f t="shared" si="26"/>
        <v>6175</v>
      </c>
      <c r="AO104" s="139">
        <f t="shared" si="26"/>
        <v>7720</v>
      </c>
      <c r="AP104" s="139">
        <f t="shared" si="26"/>
        <v>9260</v>
      </c>
      <c r="DG104" s="144">
        <v>99</v>
      </c>
      <c r="DH104" s="144">
        <f t="shared" si="21"/>
        <v>13</v>
      </c>
      <c r="DI104" s="144" t="s">
        <v>1177</v>
      </c>
      <c r="DJ104" s="144">
        <f t="shared" si="22"/>
        <v>3</v>
      </c>
      <c r="DK104" s="144" t="str">
        <f t="shared" si="23"/>
        <v>铠甲锻造</v>
      </c>
      <c r="DL104" s="144" t="str">
        <f t="shared" si="24"/>
        <v>ui_dtex_Equ_03</v>
      </c>
      <c r="DM104" s="144" t="s">
        <v>1172</v>
      </c>
      <c r="DN104" s="144">
        <f t="shared" si="25"/>
        <v>225</v>
      </c>
    </row>
    <row r="105" spans="32:118" ht="16.5" x14ac:dyDescent="0.2">
      <c r="AF105" s="139">
        <v>100</v>
      </c>
      <c r="AG105" s="139">
        <f>MATCH(AF105-1,金币总表!$Y$4:$Y$12,1)</f>
        <v>6</v>
      </c>
      <c r="AH105" s="21">
        <v>4.9210099999999903E-2</v>
      </c>
      <c r="AI105" s="188">
        <f>ROUND(INDEX(金币总表!$Z$5:$Z$12,装备!AG105)*装备!AH105/$AC$5,0)</f>
        <v>7973</v>
      </c>
      <c r="AJ105" s="188">
        <v>1</v>
      </c>
      <c r="AK105" s="139">
        <f>ROUND(INDEX(金币总表!$Z$5:$Z$12,装备!AG105)*装备!AH105/$AC$5,0)</f>
        <v>7973</v>
      </c>
      <c r="AM105" s="139">
        <f t="shared" si="26"/>
        <v>3985</v>
      </c>
      <c r="AN105" s="139">
        <f t="shared" si="26"/>
        <v>6380</v>
      </c>
      <c r="AO105" s="139">
        <f t="shared" si="26"/>
        <v>7975</v>
      </c>
      <c r="AP105" s="139">
        <f t="shared" si="26"/>
        <v>9570</v>
      </c>
      <c r="DG105" s="144">
        <v>100</v>
      </c>
      <c r="DH105" s="144">
        <f t="shared" si="21"/>
        <v>13</v>
      </c>
      <c r="DI105" s="144" t="s">
        <v>1177</v>
      </c>
      <c r="DJ105" s="144">
        <f t="shared" si="22"/>
        <v>4</v>
      </c>
      <c r="DK105" s="144" t="str">
        <f t="shared" si="23"/>
        <v>裤子锻造</v>
      </c>
      <c r="DL105" s="144" t="str">
        <f t="shared" si="24"/>
        <v>ui_dtex_Equ_04</v>
      </c>
      <c r="DM105" s="144" t="s">
        <v>1172</v>
      </c>
      <c r="DN105" s="144">
        <f t="shared" si="25"/>
        <v>225</v>
      </c>
    </row>
    <row r="106" spans="32:118" ht="16.5" x14ac:dyDescent="0.2">
      <c r="AF106" s="139">
        <v>101</v>
      </c>
      <c r="AG106" s="139">
        <f>MATCH(AF106-1,金币总表!$Y$4:$Y$12,1)</f>
        <v>6</v>
      </c>
      <c r="AH106" s="21">
        <v>5.0788999999999897E-2</v>
      </c>
      <c r="AI106" s="188">
        <f>ROUND(INDEX(金币总表!$Z$5:$Z$12,装备!AG106)*装备!AH106/$AC$5,0)</f>
        <v>8229</v>
      </c>
      <c r="AJ106" s="188">
        <v>1</v>
      </c>
      <c r="AK106" s="139">
        <f>ROUND(INDEX(金币总表!$Z$5:$Z$12,装备!AG106)*装备!AH106/$AC$5,0)</f>
        <v>8229</v>
      </c>
      <c r="AM106" s="139">
        <f t="shared" si="26"/>
        <v>4115</v>
      </c>
      <c r="AN106" s="139">
        <f t="shared" si="26"/>
        <v>6585</v>
      </c>
      <c r="AO106" s="139">
        <f t="shared" si="26"/>
        <v>8230</v>
      </c>
      <c r="AP106" s="139">
        <f t="shared" si="26"/>
        <v>9875</v>
      </c>
      <c r="DG106" s="144">
        <v>101</v>
      </c>
      <c r="DH106" s="144">
        <f t="shared" si="21"/>
        <v>13</v>
      </c>
      <c r="DI106" s="144" t="s">
        <v>1177</v>
      </c>
      <c r="DJ106" s="144">
        <f t="shared" si="22"/>
        <v>5</v>
      </c>
      <c r="DK106" s="144" t="str">
        <f t="shared" si="23"/>
        <v>鞋子锻造</v>
      </c>
      <c r="DL106" s="144" t="str">
        <f t="shared" si="24"/>
        <v>ui_dtex_Equ_05</v>
      </c>
      <c r="DM106" s="144" t="s">
        <v>1172</v>
      </c>
      <c r="DN106" s="144">
        <f t="shared" si="25"/>
        <v>225</v>
      </c>
    </row>
    <row r="107" spans="32:118" ht="16.5" x14ac:dyDescent="0.2">
      <c r="AF107" s="139">
        <v>102</v>
      </c>
      <c r="AG107" s="139">
        <f>MATCH(AF107-1,金币总表!$Y$4:$Y$12,1)</f>
        <v>6</v>
      </c>
      <c r="AH107" s="21">
        <v>5.2367899999999898E-2</v>
      </c>
      <c r="AI107" s="188">
        <f>ROUND(INDEX(金币总表!$Z$5:$Z$12,装备!AG107)*装备!AH107/$AC$5,0)</f>
        <v>8485</v>
      </c>
      <c r="AJ107" s="188">
        <v>1</v>
      </c>
      <c r="AK107" s="139">
        <f>ROUND(INDEX(金币总表!$Z$5:$Z$12,装备!AG107)*装备!AH107/$AC$5,0)</f>
        <v>8485</v>
      </c>
      <c r="AM107" s="139">
        <f t="shared" si="26"/>
        <v>4245</v>
      </c>
      <c r="AN107" s="139">
        <f t="shared" si="26"/>
        <v>6790</v>
      </c>
      <c r="AO107" s="139">
        <f t="shared" si="26"/>
        <v>8485</v>
      </c>
      <c r="AP107" s="139">
        <f t="shared" si="26"/>
        <v>10180</v>
      </c>
      <c r="DG107" s="144">
        <v>102</v>
      </c>
      <c r="DH107" s="144">
        <f t="shared" si="21"/>
        <v>13</v>
      </c>
      <c r="DI107" s="144" t="s">
        <v>1177</v>
      </c>
      <c r="DJ107" s="144">
        <f t="shared" si="22"/>
        <v>6</v>
      </c>
      <c r="DK107" s="144" t="str">
        <f t="shared" si="23"/>
        <v>护手锻造</v>
      </c>
      <c r="DL107" s="144" t="str">
        <f t="shared" si="24"/>
        <v>ui_dtex_Equ_06</v>
      </c>
      <c r="DM107" s="144" t="s">
        <v>1172</v>
      </c>
      <c r="DN107" s="144">
        <f t="shared" si="25"/>
        <v>225</v>
      </c>
    </row>
    <row r="108" spans="32:118" ht="16.5" x14ac:dyDescent="0.2">
      <c r="AF108" s="139">
        <v>103</v>
      </c>
      <c r="AG108" s="139">
        <f>MATCH(AF108-1,金币总表!$Y$4:$Y$12,1)</f>
        <v>6</v>
      </c>
      <c r="AH108" s="21">
        <v>5.3946799999999899E-2</v>
      </c>
      <c r="AI108" s="188">
        <f>ROUND(INDEX(金币总表!$Z$5:$Z$12,装备!AG108)*装备!AH108/$AC$5,0)</f>
        <v>8741</v>
      </c>
      <c r="AJ108" s="188">
        <v>1</v>
      </c>
      <c r="AK108" s="139">
        <f>ROUND(INDEX(金币总表!$Z$5:$Z$12,装备!AG108)*装备!AH108/$AC$5,0)</f>
        <v>8741</v>
      </c>
      <c r="AM108" s="139">
        <f t="shared" si="26"/>
        <v>4370</v>
      </c>
      <c r="AN108" s="139">
        <f t="shared" si="26"/>
        <v>6995</v>
      </c>
      <c r="AO108" s="139">
        <f t="shared" si="26"/>
        <v>8740</v>
      </c>
      <c r="AP108" s="139">
        <f t="shared" si="26"/>
        <v>10490</v>
      </c>
      <c r="DG108" s="144">
        <v>103</v>
      </c>
      <c r="DH108" s="144">
        <f t="shared" si="21"/>
        <v>13</v>
      </c>
      <c r="DI108" s="144" t="s">
        <v>1177</v>
      </c>
      <c r="DJ108" s="144">
        <f t="shared" si="22"/>
        <v>7</v>
      </c>
      <c r="DK108" s="144" t="str">
        <f t="shared" si="23"/>
        <v>项链锻造</v>
      </c>
      <c r="DL108" s="144" t="str">
        <f t="shared" si="24"/>
        <v>ui_dtex_Equ_07</v>
      </c>
      <c r="DM108" s="144" t="s">
        <v>1172</v>
      </c>
      <c r="DN108" s="144">
        <f t="shared" si="25"/>
        <v>340</v>
      </c>
    </row>
    <row r="109" spans="32:118" ht="16.5" x14ac:dyDescent="0.2">
      <c r="AF109" s="139">
        <v>104</v>
      </c>
      <c r="AG109" s="139">
        <f>MATCH(AF109-1,金币总表!$Y$4:$Y$12,1)</f>
        <v>6</v>
      </c>
      <c r="AH109" s="21">
        <v>5.55256999999999E-2</v>
      </c>
      <c r="AI109" s="188">
        <f>ROUND(INDEX(金币总表!$Z$5:$Z$12,装备!AG109)*装备!AH109/$AC$5,0)</f>
        <v>8997</v>
      </c>
      <c r="AJ109" s="188">
        <v>1</v>
      </c>
      <c r="AK109" s="139">
        <f>ROUND(INDEX(金币总表!$Z$5:$Z$12,装备!AG109)*装备!AH109/$AC$5,0)</f>
        <v>8997</v>
      </c>
      <c r="AM109" s="139">
        <f t="shared" si="26"/>
        <v>4500</v>
      </c>
      <c r="AN109" s="139">
        <f t="shared" si="26"/>
        <v>7200</v>
      </c>
      <c r="AO109" s="139">
        <f t="shared" si="26"/>
        <v>8995</v>
      </c>
      <c r="AP109" s="139">
        <f t="shared" si="26"/>
        <v>10795</v>
      </c>
      <c r="DG109" s="144">
        <v>104</v>
      </c>
      <c r="DH109" s="144">
        <f t="shared" si="21"/>
        <v>13</v>
      </c>
      <c r="DI109" s="144" t="s">
        <v>1177</v>
      </c>
      <c r="DJ109" s="144">
        <f t="shared" si="22"/>
        <v>8</v>
      </c>
      <c r="DK109" s="144" t="str">
        <f t="shared" si="23"/>
        <v>戒指锻造</v>
      </c>
      <c r="DL109" s="144" t="str">
        <f t="shared" si="24"/>
        <v>ui_dtex_Equ_08</v>
      </c>
      <c r="DM109" s="144" t="s">
        <v>1172</v>
      </c>
      <c r="DN109" s="144">
        <f t="shared" si="25"/>
        <v>340</v>
      </c>
    </row>
    <row r="110" spans="32:118" ht="16.5" x14ac:dyDescent="0.2">
      <c r="AF110" s="139">
        <v>105</v>
      </c>
      <c r="AG110" s="139">
        <f>MATCH(AF110-1,金币总表!$Y$4:$Y$12,1)</f>
        <v>6</v>
      </c>
      <c r="AH110" s="21">
        <v>5.7104599999999901E-2</v>
      </c>
      <c r="AI110" s="188">
        <f>ROUND(INDEX(金币总表!$Z$5:$Z$12,装备!AG110)*装备!AH110/$AC$5,0)</f>
        <v>9253</v>
      </c>
      <c r="AJ110" s="188">
        <v>1</v>
      </c>
      <c r="AK110" s="139">
        <f>ROUND(INDEX(金币总表!$Z$5:$Z$12,装备!AG110)*装备!AH110/$AC$5,0)</f>
        <v>9253</v>
      </c>
      <c r="AM110" s="139">
        <f t="shared" si="26"/>
        <v>4625</v>
      </c>
      <c r="AN110" s="139">
        <f t="shared" si="26"/>
        <v>7400</v>
      </c>
      <c r="AO110" s="139">
        <f t="shared" si="26"/>
        <v>9255</v>
      </c>
      <c r="AP110" s="139">
        <f t="shared" si="26"/>
        <v>11105</v>
      </c>
      <c r="DG110" s="144">
        <v>105</v>
      </c>
      <c r="DH110" s="144">
        <f t="shared" si="21"/>
        <v>14</v>
      </c>
      <c r="DI110" s="144" t="s">
        <v>1177</v>
      </c>
      <c r="DJ110" s="144">
        <f t="shared" si="22"/>
        <v>1</v>
      </c>
      <c r="DK110" s="144" t="str">
        <f t="shared" si="23"/>
        <v>灵器锻造</v>
      </c>
      <c r="DL110" s="144" t="str">
        <f t="shared" si="24"/>
        <v>ui_dtex_Equ_01</v>
      </c>
      <c r="DM110" s="144" t="s">
        <v>1172</v>
      </c>
      <c r="DN110" s="144">
        <f t="shared" si="25"/>
        <v>480</v>
      </c>
    </row>
    <row r="111" spans="32:118" ht="16.5" x14ac:dyDescent="0.2">
      <c r="AF111" s="139">
        <v>106</v>
      </c>
      <c r="AG111" s="139">
        <f>MATCH(AF111-1,金币总表!$Y$4:$Y$12,1)</f>
        <v>6</v>
      </c>
      <c r="AH111" s="21">
        <v>5.8683499999999902E-2</v>
      </c>
      <c r="AI111" s="188">
        <f>ROUND(INDEX(金币总表!$Z$5:$Z$12,装备!AG111)*装备!AH111/$AC$5,0)</f>
        <v>9508</v>
      </c>
      <c r="AJ111" s="188">
        <v>1</v>
      </c>
      <c r="AK111" s="139">
        <f>ROUND(INDEX(金币总表!$Z$5:$Z$12,装备!AG111)*装备!AH111/$AC$5,0)</f>
        <v>9508</v>
      </c>
      <c r="AM111" s="139">
        <f t="shared" si="26"/>
        <v>4755</v>
      </c>
      <c r="AN111" s="139">
        <f t="shared" si="26"/>
        <v>7605</v>
      </c>
      <c r="AO111" s="139">
        <f t="shared" si="26"/>
        <v>9510</v>
      </c>
      <c r="AP111" s="139">
        <f t="shared" si="26"/>
        <v>11410</v>
      </c>
      <c r="DG111" s="144">
        <v>106</v>
      </c>
      <c r="DH111" s="144">
        <f t="shared" si="21"/>
        <v>14</v>
      </c>
      <c r="DI111" s="144" t="s">
        <v>1177</v>
      </c>
      <c r="DJ111" s="144">
        <f t="shared" si="22"/>
        <v>2</v>
      </c>
      <c r="DK111" s="144" t="str">
        <f t="shared" si="23"/>
        <v>头盔锻造</v>
      </c>
      <c r="DL111" s="144" t="str">
        <f t="shared" si="24"/>
        <v>ui_dtex_Equ_02</v>
      </c>
      <c r="DM111" s="144" t="s">
        <v>1172</v>
      </c>
      <c r="DN111" s="144">
        <f t="shared" si="25"/>
        <v>240</v>
      </c>
    </row>
    <row r="112" spans="32:118" ht="16.5" x14ac:dyDescent="0.2">
      <c r="AF112" s="139">
        <v>107</v>
      </c>
      <c r="AG112" s="139">
        <f>MATCH(AF112-1,金币总表!$Y$4:$Y$12,1)</f>
        <v>6</v>
      </c>
      <c r="AH112" s="21">
        <v>6.0262399999999897E-2</v>
      </c>
      <c r="AI112" s="188">
        <f>ROUND(INDEX(金币总表!$Z$5:$Z$12,装备!AG112)*装备!AH112/$AC$5,0)</f>
        <v>9764</v>
      </c>
      <c r="AJ112" s="188">
        <v>1</v>
      </c>
      <c r="AK112" s="139">
        <f>ROUND(INDEX(金币总表!$Z$5:$Z$12,装备!AG112)*装备!AH112/$AC$5,0)</f>
        <v>9764</v>
      </c>
      <c r="AM112" s="139">
        <f t="shared" si="26"/>
        <v>4880</v>
      </c>
      <c r="AN112" s="139">
        <f t="shared" si="26"/>
        <v>7810</v>
      </c>
      <c r="AO112" s="139">
        <f t="shared" si="26"/>
        <v>9765</v>
      </c>
      <c r="AP112" s="139">
        <f t="shared" si="26"/>
        <v>11715</v>
      </c>
      <c r="DG112" s="144">
        <v>107</v>
      </c>
      <c r="DH112" s="144">
        <f t="shared" si="21"/>
        <v>14</v>
      </c>
      <c r="DI112" s="144" t="s">
        <v>1177</v>
      </c>
      <c r="DJ112" s="144">
        <f t="shared" si="22"/>
        <v>3</v>
      </c>
      <c r="DK112" s="144" t="str">
        <f t="shared" si="23"/>
        <v>铠甲锻造</v>
      </c>
      <c r="DL112" s="144" t="str">
        <f t="shared" si="24"/>
        <v>ui_dtex_Equ_03</v>
      </c>
      <c r="DM112" s="144" t="s">
        <v>1172</v>
      </c>
      <c r="DN112" s="144">
        <f t="shared" si="25"/>
        <v>240</v>
      </c>
    </row>
    <row r="113" spans="32:118" ht="16.5" x14ac:dyDescent="0.2">
      <c r="AF113" s="139">
        <v>108</v>
      </c>
      <c r="AG113" s="139">
        <f>MATCH(AF113-1,金币总表!$Y$4:$Y$12,1)</f>
        <v>6</v>
      </c>
      <c r="AH113" s="21">
        <v>6.1841299999999898E-2</v>
      </c>
      <c r="AI113" s="188">
        <f>ROUND(INDEX(金币总表!$Z$5:$Z$12,装备!AG113)*装备!AH113/$AC$5,0)</f>
        <v>10020</v>
      </c>
      <c r="AJ113" s="188">
        <v>1</v>
      </c>
      <c r="AK113" s="139">
        <f>ROUND(INDEX(金币总表!$Z$5:$Z$12,装备!AG113)*装备!AH113/$AC$5,0)</f>
        <v>10020</v>
      </c>
      <c r="AM113" s="139">
        <f t="shared" si="26"/>
        <v>5010</v>
      </c>
      <c r="AN113" s="139">
        <f t="shared" si="26"/>
        <v>8015</v>
      </c>
      <c r="AO113" s="139">
        <f t="shared" si="26"/>
        <v>10020</v>
      </c>
      <c r="AP113" s="139">
        <f t="shared" si="26"/>
        <v>12025</v>
      </c>
      <c r="DG113" s="144">
        <v>108</v>
      </c>
      <c r="DH113" s="144">
        <f t="shared" si="21"/>
        <v>14</v>
      </c>
      <c r="DI113" s="144" t="s">
        <v>1177</v>
      </c>
      <c r="DJ113" s="144">
        <f t="shared" si="22"/>
        <v>4</v>
      </c>
      <c r="DK113" s="144" t="str">
        <f t="shared" si="23"/>
        <v>裤子锻造</v>
      </c>
      <c r="DL113" s="144" t="str">
        <f t="shared" si="24"/>
        <v>ui_dtex_Equ_04</v>
      </c>
      <c r="DM113" s="144" t="s">
        <v>1172</v>
      </c>
      <c r="DN113" s="144">
        <f t="shared" si="25"/>
        <v>240</v>
      </c>
    </row>
    <row r="114" spans="32:118" ht="16.5" x14ac:dyDescent="0.2">
      <c r="AF114" s="139">
        <v>109</v>
      </c>
      <c r="AG114" s="139">
        <f>MATCH(AF114-1,金币总表!$Y$4:$Y$12,1)</f>
        <v>6</v>
      </c>
      <c r="AH114" s="21">
        <v>6.3420199999999899E-2</v>
      </c>
      <c r="AI114" s="188">
        <f>ROUND(INDEX(金币总表!$Z$5:$Z$12,装备!AG114)*装备!AH114/$AC$5,0)</f>
        <v>10276</v>
      </c>
      <c r="AJ114" s="188">
        <v>1</v>
      </c>
      <c r="AK114" s="139">
        <f>ROUND(INDEX(金币总表!$Z$5:$Z$12,装备!AG114)*装备!AH114/$AC$5,0)</f>
        <v>10276</v>
      </c>
      <c r="AM114" s="139">
        <f t="shared" si="26"/>
        <v>5140</v>
      </c>
      <c r="AN114" s="139">
        <f t="shared" si="26"/>
        <v>8220</v>
      </c>
      <c r="AO114" s="139">
        <f t="shared" si="26"/>
        <v>10275</v>
      </c>
      <c r="AP114" s="139">
        <f t="shared" si="26"/>
        <v>12330</v>
      </c>
      <c r="DG114" s="144">
        <v>109</v>
      </c>
      <c r="DH114" s="144">
        <f t="shared" si="21"/>
        <v>14</v>
      </c>
      <c r="DI114" s="144" t="s">
        <v>1177</v>
      </c>
      <c r="DJ114" s="144">
        <f t="shared" si="22"/>
        <v>5</v>
      </c>
      <c r="DK114" s="144" t="str">
        <f t="shared" si="23"/>
        <v>鞋子锻造</v>
      </c>
      <c r="DL114" s="144" t="str">
        <f t="shared" si="24"/>
        <v>ui_dtex_Equ_05</v>
      </c>
      <c r="DM114" s="144" t="s">
        <v>1172</v>
      </c>
      <c r="DN114" s="144">
        <f t="shared" si="25"/>
        <v>240</v>
      </c>
    </row>
    <row r="115" spans="32:118" ht="16.5" x14ac:dyDescent="0.2">
      <c r="AF115" s="139">
        <v>110</v>
      </c>
      <c r="AG115" s="139">
        <f>MATCH(AF115-1,金币总表!$Y$4:$Y$12,1)</f>
        <v>6</v>
      </c>
      <c r="AH115" s="21">
        <v>6.4999099999999893E-2</v>
      </c>
      <c r="AI115" s="188">
        <f>ROUND(INDEX(金币总表!$Z$5:$Z$12,装备!AG115)*装备!AH115/$AC$5,0)</f>
        <v>10532</v>
      </c>
      <c r="AJ115" s="188">
        <v>1</v>
      </c>
      <c r="AK115" s="139">
        <f>ROUND(INDEX(金币总表!$Z$5:$Z$12,装备!AG115)*装备!AH115/$AC$5,0)</f>
        <v>10532</v>
      </c>
      <c r="AM115" s="139">
        <f t="shared" si="26"/>
        <v>5265</v>
      </c>
      <c r="AN115" s="139">
        <f t="shared" si="26"/>
        <v>8425</v>
      </c>
      <c r="AO115" s="139">
        <f t="shared" si="26"/>
        <v>10530</v>
      </c>
      <c r="AP115" s="139">
        <f t="shared" si="26"/>
        <v>12640</v>
      </c>
      <c r="DG115" s="144">
        <v>110</v>
      </c>
      <c r="DH115" s="144">
        <f t="shared" si="21"/>
        <v>14</v>
      </c>
      <c r="DI115" s="144" t="s">
        <v>1177</v>
      </c>
      <c r="DJ115" s="144">
        <f t="shared" si="22"/>
        <v>6</v>
      </c>
      <c r="DK115" s="144" t="str">
        <f t="shared" si="23"/>
        <v>护手锻造</v>
      </c>
      <c r="DL115" s="144" t="str">
        <f t="shared" si="24"/>
        <v>ui_dtex_Equ_06</v>
      </c>
      <c r="DM115" s="144" t="s">
        <v>1172</v>
      </c>
      <c r="DN115" s="144">
        <f t="shared" si="25"/>
        <v>240</v>
      </c>
    </row>
    <row r="116" spans="32:118" ht="16.5" x14ac:dyDescent="0.2">
      <c r="AF116" s="139">
        <v>111</v>
      </c>
      <c r="AG116" s="139">
        <f>MATCH(AF116-1,金币总表!$Y$4:$Y$12,1)</f>
        <v>7</v>
      </c>
      <c r="AH116" s="21">
        <v>0.03</v>
      </c>
      <c r="AI116" s="188">
        <f>ROUND(INDEX(金币总表!$Z$5:$Z$12,装备!AG116)*装备!AH116/$AC$5,0)</f>
        <v>11751</v>
      </c>
      <c r="AJ116" s="188">
        <v>1</v>
      </c>
      <c r="AK116" s="139">
        <f>ROUND(INDEX(金币总表!$Z$5:$Z$12,装备!AG116)*装备!AH116/$AC$5,0)</f>
        <v>11751</v>
      </c>
      <c r="AM116" s="139">
        <f t="shared" si="26"/>
        <v>5875</v>
      </c>
      <c r="AN116" s="139">
        <f t="shared" si="26"/>
        <v>9400</v>
      </c>
      <c r="AO116" s="139">
        <f t="shared" si="26"/>
        <v>11750</v>
      </c>
      <c r="AP116" s="139">
        <f t="shared" si="26"/>
        <v>14100</v>
      </c>
      <c r="DG116" s="144">
        <v>111</v>
      </c>
      <c r="DH116" s="144">
        <f t="shared" si="21"/>
        <v>14</v>
      </c>
      <c r="DI116" s="144" t="s">
        <v>1177</v>
      </c>
      <c r="DJ116" s="144">
        <f t="shared" si="22"/>
        <v>7</v>
      </c>
      <c r="DK116" s="144" t="str">
        <f t="shared" si="23"/>
        <v>项链锻造</v>
      </c>
      <c r="DL116" s="144" t="str">
        <f t="shared" si="24"/>
        <v>ui_dtex_Equ_07</v>
      </c>
      <c r="DM116" s="144" t="s">
        <v>1172</v>
      </c>
      <c r="DN116" s="144">
        <f t="shared" si="25"/>
        <v>360</v>
      </c>
    </row>
    <row r="117" spans="32:118" ht="16.5" x14ac:dyDescent="0.2">
      <c r="AF117" s="139">
        <v>112</v>
      </c>
      <c r="AG117" s="139">
        <f>MATCH(AF117-1,金币总表!$Y$4:$Y$12,1)</f>
        <v>7</v>
      </c>
      <c r="AH117" s="21">
        <v>3.0833300000000001E-2</v>
      </c>
      <c r="AI117" s="188">
        <f>ROUND(INDEX(金币总表!$Z$5:$Z$12,装备!AG117)*装备!AH117/$AC$5,0)</f>
        <v>12078</v>
      </c>
      <c r="AJ117" s="188">
        <v>1</v>
      </c>
      <c r="AK117" s="139">
        <f>ROUND(INDEX(金币总表!$Z$5:$Z$12,装备!AG117)*装备!AH117/$AC$5,0)</f>
        <v>12078</v>
      </c>
      <c r="AM117" s="139">
        <f t="shared" si="26"/>
        <v>6040</v>
      </c>
      <c r="AN117" s="139">
        <f t="shared" si="26"/>
        <v>9660</v>
      </c>
      <c r="AO117" s="139">
        <f t="shared" si="26"/>
        <v>12080</v>
      </c>
      <c r="AP117" s="139">
        <f t="shared" si="26"/>
        <v>14495</v>
      </c>
      <c r="DG117" s="144">
        <v>112</v>
      </c>
      <c r="DH117" s="144">
        <f t="shared" si="21"/>
        <v>14</v>
      </c>
      <c r="DI117" s="144" t="s">
        <v>1177</v>
      </c>
      <c r="DJ117" s="144">
        <f t="shared" si="22"/>
        <v>8</v>
      </c>
      <c r="DK117" s="144" t="str">
        <f t="shared" si="23"/>
        <v>戒指锻造</v>
      </c>
      <c r="DL117" s="144" t="str">
        <f t="shared" si="24"/>
        <v>ui_dtex_Equ_08</v>
      </c>
      <c r="DM117" s="144" t="s">
        <v>1172</v>
      </c>
      <c r="DN117" s="144">
        <f t="shared" si="25"/>
        <v>360</v>
      </c>
    </row>
    <row r="118" spans="32:118" ht="16.5" x14ac:dyDescent="0.2">
      <c r="AF118" s="139">
        <v>113</v>
      </c>
      <c r="AG118" s="139">
        <f>MATCH(AF118-1,金币总表!$Y$4:$Y$12,1)</f>
        <v>7</v>
      </c>
      <c r="AH118" s="21">
        <v>3.1666600000000003E-2</v>
      </c>
      <c r="AI118" s="188">
        <f>ROUND(INDEX(金币总表!$Z$5:$Z$12,装备!AG118)*装备!AH118/$AC$5,0)</f>
        <v>12404</v>
      </c>
      <c r="AJ118" s="188">
        <v>1</v>
      </c>
      <c r="AK118" s="139">
        <f>ROUND(INDEX(金币总表!$Z$5:$Z$12,装备!AG118)*装备!AH118/$AC$5,0)</f>
        <v>12404</v>
      </c>
      <c r="AM118" s="139">
        <f t="shared" si="26"/>
        <v>6200</v>
      </c>
      <c r="AN118" s="139">
        <f t="shared" si="26"/>
        <v>9925</v>
      </c>
      <c r="AO118" s="139">
        <f t="shared" si="26"/>
        <v>12405</v>
      </c>
      <c r="AP118" s="139">
        <f t="shared" si="26"/>
        <v>14885</v>
      </c>
      <c r="DG118" s="144">
        <v>113</v>
      </c>
      <c r="DH118" s="144">
        <f t="shared" si="21"/>
        <v>15</v>
      </c>
      <c r="DI118" s="144" t="s">
        <v>1177</v>
      </c>
      <c r="DJ118" s="144">
        <f t="shared" si="22"/>
        <v>1</v>
      </c>
      <c r="DK118" s="144" t="str">
        <f t="shared" si="23"/>
        <v>灵器锻造</v>
      </c>
      <c r="DL118" s="144" t="str">
        <f t="shared" si="24"/>
        <v>ui_dtex_Equ_01</v>
      </c>
      <c r="DM118" s="144" t="s">
        <v>1172</v>
      </c>
      <c r="DN118" s="144">
        <f t="shared" si="25"/>
        <v>570</v>
      </c>
    </row>
    <row r="119" spans="32:118" ht="16.5" x14ac:dyDescent="0.2">
      <c r="AF119" s="139">
        <v>114</v>
      </c>
      <c r="AG119" s="139">
        <f>MATCH(AF119-1,金币总表!$Y$4:$Y$12,1)</f>
        <v>7</v>
      </c>
      <c r="AH119" s="21">
        <v>3.2499899999999998E-2</v>
      </c>
      <c r="AI119" s="188">
        <f>ROUND(INDEX(金币总表!$Z$5:$Z$12,装备!AG119)*装备!AH119/$AC$5,0)</f>
        <v>12731</v>
      </c>
      <c r="AJ119" s="188">
        <v>1</v>
      </c>
      <c r="AK119" s="139">
        <f>ROUND(INDEX(金币总表!$Z$5:$Z$12,装备!AG119)*装备!AH119/$AC$5,0)</f>
        <v>12731</v>
      </c>
      <c r="AM119" s="139">
        <f t="shared" si="26"/>
        <v>6365</v>
      </c>
      <c r="AN119" s="139">
        <f t="shared" si="26"/>
        <v>10185</v>
      </c>
      <c r="AO119" s="139">
        <f t="shared" si="26"/>
        <v>12730</v>
      </c>
      <c r="AP119" s="139">
        <f t="shared" si="26"/>
        <v>15275</v>
      </c>
      <c r="DG119" s="144">
        <v>114</v>
      </c>
      <c r="DH119" s="144">
        <f t="shared" si="21"/>
        <v>15</v>
      </c>
      <c r="DI119" s="144" t="s">
        <v>1177</v>
      </c>
      <c r="DJ119" s="144">
        <f t="shared" si="22"/>
        <v>2</v>
      </c>
      <c r="DK119" s="144" t="str">
        <f t="shared" si="23"/>
        <v>头盔锻造</v>
      </c>
      <c r="DL119" s="144" t="str">
        <f t="shared" si="24"/>
        <v>ui_dtex_Equ_02</v>
      </c>
      <c r="DM119" s="144" t="s">
        <v>1172</v>
      </c>
      <c r="DN119" s="144">
        <f t="shared" si="25"/>
        <v>285</v>
      </c>
    </row>
    <row r="120" spans="32:118" ht="16.5" x14ac:dyDescent="0.2">
      <c r="AF120" s="139">
        <v>115</v>
      </c>
      <c r="AG120" s="139">
        <f>MATCH(AF120-1,金币总表!$Y$4:$Y$12,1)</f>
        <v>7</v>
      </c>
      <c r="AH120" s="21">
        <v>3.33332E-2</v>
      </c>
      <c r="AI120" s="188">
        <f>ROUND(INDEX(金币总表!$Z$5:$Z$12,装备!AG120)*装备!AH120/$AC$5,0)</f>
        <v>13057</v>
      </c>
      <c r="AJ120" s="188">
        <v>1</v>
      </c>
      <c r="AK120" s="139">
        <f>ROUND(INDEX(金币总表!$Z$5:$Z$12,装备!AG120)*装备!AH120/$AC$5,0)</f>
        <v>13057</v>
      </c>
      <c r="AM120" s="139">
        <f t="shared" si="26"/>
        <v>6530</v>
      </c>
      <c r="AN120" s="139">
        <f t="shared" si="26"/>
        <v>10445</v>
      </c>
      <c r="AO120" s="139">
        <f t="shared" si="26"/>
        <v>13055</v>
      </c>
      <c r="AP120" s="139">
        <f t="shared" si="26"/>
        <v>15670</v>
      </c>
      <c r="DG120" s="144">
        <v>115</v>
      </c>
      <c r="DH120" s="144">
        <f t="shared" si="21"/>
        <v>15</v>
      </c>
      <c r="DI120" s="144" t="s">
        <v>1177</v>
      </c>
      <c r="DJ120" s="144">
        <f t="shared" si="22"/>
        <v>3</v>
      </c>
      <c r="DK120" s="144" t="str">
        <f t="shared" si="23"/>
        <v>铠甲锻造</v>
      </c>
      <c r="DL120" s="144" t="str">
        <f t="shared" si="24"/>
        <v>ui_dtex_Equ_03</v>
      </c>
      <c r="DM120" s="144" t="s">
        <v>1172</v>
      </c>
      <c r="DN120" s="144">
        <f t="shared" si="25"/>
        <v>285</v>
      </c>
    </row>
    <row r="121" spans="32:118" ht="16.5" x14ac:dyDescent="0.2">
      <c r="AF121" s="139">
        <v>116</v>
      </c>
      <c r="AG121" s="139">
        <f>MATCH(AF121-1,金币总表!$Y$4:$Y$12,1)</f>
        <v>7</v>
      </c>
      <c r="AH121" s="21">
        <v>3.4166500000000002E-2</v>
      </c>
      <c r="AI121" s="188">
        <f>ROUND(INDEX(金币总表!$Z$5:$Z$12,装备!AG121)*装备!AH121/$AC$5,0)</f>
        <v>13384</v>
      </c>
      <c r="AJ121" s="188">
        <v>1</v>
      </c>
      <c r="AK121" s="139">
        <f>ROUND(INDEX(金币总表!$Z$5:$Z$12,装备!AG121)*装备!AH121/$AC$5,0)</f>
        <v>13384</v>
      </c>
      <c r="AM121" s="139">
        <f t="shared" si="26"/>
        <v>6690</v>
      </c>
      <c r="AN121" s="139">
        <f t="shared" si="26"/>
        <v>10705</v>
      </c>
      <c r="AO121" s="139">
        <f t="shared" si="26"/>
        <v>13385</v>
      </c>
      <c r="AP121" s="139">
        <f t="shared" si="26"/>
        <v>16060</v>
      </c>
      <c r="DG121" s="144">
        <v>116</v>
      </c>
      <c r="DH121" s="144">
        <f t="shared" si="21"/>
        <v>15</v>
      </c>
      <c r="DI121" s="144" t="s">
        <v>1177</v>
      </c>
      <c r="DJ121" s="144">
        <f t="shared" si="22"/>
        <v>4</v>
      </c>
      <c r="DK121" s="144" t="str">
        <f t="shared" si="23"/>
        <v>裤子锻造</v>
      </c>
      <c r="DL121" s="144" t="str">
        <f t="shared" si="24"/>
        <v>ui_dtex_Equ_04</v>
      </c>
      <c r="DM121" s="144" t="s">
        <v>1172</v>
      </c>
      <c r="DN121" s="144">
        <f t="shared" si="25"/>
        <v>285</v>
      </c>
    </row>
    <row r="122" spans="32:118" ht="16.5" x14ac:dyDescent="0.2">
      <c r="AF122" s="139">
        <v>117</v>
      </c>
      <c r="AG122" s="139">
        <f>MATCH(AF122-1,金币总表!$Y$4:$Y$12,1)</f>
        <v>7</v>
      </c>
      <c r="AH122" s="21">
        <v>3.4999799999999998E-2</v>
      </c>
      <c r="AI122" s="188">
        <f>ROUND(INDEX(金币总表!$Z$5:$Z$12,装备!AG122)*装备!AH122/$AC$5,0)</f>
        <v>13710</v>
      </c>
      <c r="AJ122" s="188">
        <v>1</v>
      </c>
      <c r="AK122" s="139">
        <f>ROUND(INDEX(金币总表!$Z$5:$Z$12,装备!AG122)*装备!AH122/$AC$5,0)</f>
        <v>13710</v>
      </c>
      <c r="AM122" s="139">
        <f t="shared" si="26"/>
        <v>6855</v>
      </c>
      <c r="AN122" s="139">
        <f t="shared" si="26"/>
        <v>10970</v>
      </c>
      <c r="AO122" s="139">
        <f t="shared" si="26"/>
        <v>13710</v>
      </c>
      <c r="AP122" s="139">
        <f t="shared" si="26"/>
        <v>16450</v>
      </c>
      <c r="DG122" s="144">
        <v>117</v>
      </c>
      <c r="DH122" s="144">
        <f t="shared" si="21"/>
        <v>15</v>
      </c>
      <c r="DI122" s="144" t="s">
        <v>1177</v>
      </c>
      <c r="DJ122" s="144">
        <f t="shared" si="22"/>
        <v>5</v>
      </c>
      <c r="DK122" s="144" t="str">
        <f t="shared" si="23"/>
        <v>鞋子锻造</v>
      </c>
      <c r="DL122" s="144" t="str">
        <f t="shared" si="24"/>
        <v>ui_dtex_Equ_05</v>
      </c>
      <c r="DM122" s="144" t="s">
        <v>1172</v>
      </c>
      <c r="DN122" s="144">
        <f t="shared" si="25"/>
        <v>285</v>
      </c>
    </row>
    <row r="123" spans="32:118" ht="16.5" x14ac:dyDescent="0.2">
      <c r="AF123" s="139">
        <v>118</v>
      </c>
      <c r="AG123" s="139">
        <f>MATCH(AF123-1,金币总表!$Y$4:$Y$12,1)</f>
        <v>7</v>
      </c>
      <c r="AH123" s="21">
        <v>3.58331E-2</v>
      </c>
      <c r="AI123" s="188">
        <f>ROUND(INDEX(金币总表!$Z$5:$Z$12,装备!AG123)*装备!AH123/$AC$5,0)</f>
        <v>14036</v>
      </c>
      <c r="AJ123" s="188">
        <v>1</v>
      </c>
      <c r="AK123" s="139">
        <f>ROUND(INDEX(金币总表!$Z$5:$Z$12,装备!AG123)*装备!AH123/$AC$5,0)</f>
        <v>14036</v>
      </c>
      <c r="AM123" s="139">
        <f t="shared" si="26"/>
        <v>7020</v>
      </c>
      <c r="AN123" s="139">
        <f t="shared" si="26"/>
        <v>11230</v>
      </c>
      <c r="AO123" s="139">
        <f t="shared" si="26"/>
        <v>14035</v>
      </c>
      <c r="AP123" s="139">
        <f t="shared" si="26"/>
        <v>16845</v>
      </c>
      <c r="DG123" s="144">
        <v>118</v>
      </c>
      <c r="DH123" s="144">
        <f t="shared" si="21"/>
        <v>15</v>
      </c>
      <c r="DI123" s="144" t="s">
        <v>1177</v>
      </c>
      <c r="DJ123" s="144">
        <f t="shared" si="22"/>
        <v>6</v>
      </c>
      <c r="DK123" s="144" t="str">
        <f t="shared" si="23"/>
        <v>护手锻造</v>
      </c>
      <c r="DL123" s="144" t="str">
        <f t="shared" si="24"/>
        <v>ui_dtex_Equ_06</v>
      </c>
      <c r="DM123" s="144" t="s">
        <v>1172</v>
      </c>
      <c r="DN123" s="144">
        <f t="shared" si="25"/>
        <v>285</v>
      </c>
    </row>
    <row r="124" spans="32:118" ht="16.5" x14ac:dyDescent="0.2">
      <c r="AF124" s="139">
        <v>119</v>
      </c>
      <c r="AG124" s="139">
        <f>MATCH(AF124-1,金币总表!$Y$4:$Y$12,1)</f>
        <v>7</v>
      </c>
      <c r="AH124" s="21">
        <v>3.6666400000000002E-2</v>
      </c>
      <c r="AI124" s="188">
        <f>ROUND(INDEX(金币总表!$Z$5:$Z$12,装备!AG124)*装备!AH124/$AC$5,0)</f>
        <v>14363</v>
      </c>
      <c r="AJ124" s="188">
        <v>1</v>
      </c>
      <c r="AK124" s="139">
        <f>ROUND(INDEX(金币总表!$Z$5:$Z$12,装备!AG124)*装备!AH124/$AC$5,0)</f>
        <v>14363</v>
      </c>
      <c r="AM124" s="139">
        <f t="shared" si="26"/>
        <v>7180</v>
      </c>
      <c r="AN124" s="139">
        <f t="shared" si="26"/>
        <v>11490</v>
      </c>
      <c r="AO124" s="139">
        <f t="shared" si="26"/>
        <v>14365</v>
      </c>
      <c r="AP124" s="139">
        <f t="shared" si="26"/>
        <v>17235</v>
      </c>
      <c r="DG124" s="144">
        <v>119</v>
      </c>
      <c r="DH124" s="144">
        <f t="shared" si="21"/>
        <v>15</v>
      </c>
      <c r="DI124" s="144" t="s">
        <v>1177</v>
      </c>
      <c r="DJ124" s="144">
        <f t="shared" si="22"/>
        <v>7</v>
      </c>
      <c r="DK124" s="144" t="str">
        <f t="shared" si="23"/>
        <v>项链锻造</v>
      </c>
      <c r="DL124" s="144" t="str">
        <f t="shared" si="24"/>
        <v>ui_dtex_Equ_07</v>
      </c>
      <c r="DM124" s="144" t="s">
        <v>1172</v>
      </c>
      <c r="DN124" s="144">
        <f t="shared" si="25"/>
        <v>430</v>
      </c>
    </row>
    <row r="125" spans="32:118" ht="16.5" x14ac:dyDescent="0.2">
      <c r="AF125" s="139">
        <v>120</v>
      </c>
      <c r="AG125" s="139">
        <f>MATCH(AF125-1,金币总表!$Y$4:$Y$12,1)</f>
        <v>7</v>
      </c>
      <c r="AH125" s="21">
        <v>3.7499699999999997E-2</v>
      </c>
      <c r="AI125" s="188">
        <f>ROUND(INDEX(金币总表!$Z$5:$Z$12,装备!AG125)*装备!AH125/$AC$5,0)</f>
        <v>14689</v>
      </c>
      <c r="AJ125" s="188">
        <v>1</v>
      </c>
      <c r="AK125" s="139">
        <f>ROUND(INDEX(金币总表!$Z$5:$Z$12,装备!AG125)*装备!AH125/$AC$5,0)</f>
        <v>14689</v>
      </c>
      <c r="AM125" s="139">
        <f t="shared" si="26"/>
        <v>7345</v>
      </c>
      <c r="AN125" s="139">
        <f t="shared" si="26"/>
        <v>11750</v>
      </c>
      <c r="AO125" s="139">
        <f t="shared" si="26"/>
        <v>14690</v>
      </c>
      <c r="AP125" s="139">
        <f t="shared" si="26"/>
        <v>17625</v>
      </c>
      <c r="DG125" s="144">
        <v>120</v>
      </c>
      <c r="DH125" s="144">
        <f t="shared" si="21"/>
        <v>15</v>
      </c>
      <c r="DI125" s="144" t="s">
        <v>1177</v>
      </c>
      <c r="DJ125" s="144">
        <f t="shared" si="22"/>
        <v>8</v>
      </c>
      <c r="DK125" s="144" t="str">
        <f t="shared" si="23"/>
        <v>戒指锻造</v>
      </c>
      <c r="DL125" s="144" t="str">
        <f t="shared" si="24"/>
        <v>ui_dtex_Equ_08</v>
      </c>
      <c r="DM125" s="144" t="s">
        <v>1172</v>
      </c>
      <c r="DN125" s="144">
        <f t="shared" si="25"/>
        <v>430</v>
      </c>
    </row>
    <row r="126" spans="32:118" ht="16.5" x14ac:dyDescent="0.2">
      <c r="AF126" s="139">
        <v>121</v>
      </c>
      <c r="AG126" s="139">
        <f>MATCH(AF126-1,金币总表!$Y$4:$Y$12,1)</f>
        <v>7</v>
      </c>
      <c r="AH126" s="21">
        <v>3.8332999999999999E-2</v>
      </c>
      <c r="AI126" s="188">
        <f>ROUND(INDEX(金币总表!$Z$5:$Z$12,装备!AG126)*装备!AH126/$AC$5,0)</f>
        <v>15016</v>
      </c>
      <c r="AJ126" s="188">
        <v>1</v>
      </c>
      <c r="AK126" s="139">
        <f>ROUND(INDEX(金币总表!$Z$5:$Z$12,装备!AG126)*装备!AH126/$AC$5,0)</f>
        <v>15016</v>
      </c>
      <c r="AM126" s="139">
        <f t="shared" si="26"/>
        <v>7510</v>
      </c>
      <c r="AN126" s="139">
        <f t="shared" si="26"/>
        <v>12015</v>
      </c>
      <c r="AO126" s="139">
        <f t="shared" si="26"/>
        <v>15015</v>
      </c>
      <c r="AP126" s="139">
        <f t="shared" si="26"/>
        <v>18020</v>
      </c>
      <c r="DG126" s="144">
        <v>121</v>
      </c>
      <c r="DH126" s="144">
        <f t="shared" si="21"/>
        <v>16</v>
      </c>
      <c r="DI126" s="144" t="s">
        <v>1177</v>
      </c>
      <c r="DJ126" s="144">
        <f t="shared" si="22"/>
        <v>1</v>
      </c>
      <c r="DK126" s="144" t="str">
        <f t="shared" si="23"/>
        <v>灵器锻造</v>
      </c>
      <c r="DL126" s="144" t="str">
        <f t="shared" si="24"/>
        <v>ui_dtex_Equ_01</v>
      </c>
      <c r="DM126" s="144" t="s">
        <v>1172</v>
      </c>
      <c r="DN126" s="144">
        <f t="shared" si="25"/>
        <v>610</v>
      </c>
    </row>
    <row r="127" spans="32:118" ht="16.5" x14ac:dyDescent="0.2">
      <c r="AF127" s="139">
        <v>122</v>
      </c>
      <c r="AG127" s="139">
        <f>MATCH(AF127-1,金币总表!$Y$4:$Y$12,1)</f>
        <v>7</v>
      </c>
      <c r="AH127" s="21">
        <v>3.9166300000000001E-2</v>
      </c>
      <c r="AI127" s="188">
        <f>ROUND(INDEX(金币总表!$Z$5:$Z$12,装备!AG127)*装备!AH127/$AC$5,0)</f>
        <v>15342</v>
      </c>
      <c r="AJ127" s="188">
        <v>1</v>
      </c>
      <c r="AK127" s="139">
        <f>ROUND(INDEX(金币总表!$Z$5:$Z$12,装备!AG127)*装备!AH127/$AC$5,0)</f>
        <v>15342</v>
      </c>
      <c r="AM127" s="139">
        <f t="shared" si="26"/>
        <v>7670</v>
      </c>
      <c r="AN127" s="139">
        <f t="shared" si="26"/>
        <v>12275</v>
      </c>
      <c r="AO127" s="139">
        <f t="shared" si="26"/>
        <v>15340</v>
      </c>
      <c r="AP127" s="139">
        <f t="shared" si="26"/>
        <v>18410</v>
      </c>
      <c r="DG127" s="144">
        <v>122</v>
      </c>
      <c r="DH127" s="144">
        <f t="shared" si="21"/>
        <v>16</v>
      </c>
      <c r="DI127" s="144" t="s">
        <v>1177</v>
      </c>
      <c r="DJ127" s="144">
        <f t="shared" si="22"/>
        <v>2</v>
      </c>
      <c r="DK127" s="144" t="str">
        <f t="shared" si="23"/>
        <v>头盔锻造</v>
      </c>
      <c r="DL127" s="144" t="str">
        <f t="shared" si="24"/>
        <v>ui_dtex_Equ_02</v>
      </c>
      <c r="DM127" s="144" t="s">
        <v>1172</v>
      </c>
      <c r="DN127" s="144">
        <f t="shared" si="25"/>
        <v>305</v>
      </c>
    </row>
    <row r="128" spans="32:118" ht="16.5" x14ac:dyDescent="0.2">
      <c r="AF128" s="139">
        <v>123</v>
      </c>
      <c r="AG128" s="139">
        <f>MATCH(AF128-1,金币总表!$Y$4:$Y$12,1)</f>
        <v>7</v>
      </c>
      <c r="AH128" s="21">
        <v>3.9999600000000003E-2</v>
      </c>
      <c r="AI128" s="188">
        <f>ROUND(INDEX(金币总表!$Z$5:$Z$12,装备!AG128)*装备!AH128/$AC$5,0)</f>
        <v>15668</v>
      </c>
      <c r="AJ128" s="188">
        <v>1</v>
      </c>
      <c r="AK128" s="139">
        <f>ROUND(INDEX(金币总表!$Z$5:$Z$12,装备!AG128)*装备!AH128/$AC$5,0)</f>
        <v>15668</v>
      </c>
      <c r="AM128" s="139">
        <f t="shared" si="26"/>
        <v>7835</v>
      </c>
      <c r="AN128" s="139">
        <f t="shared" si="26"/>
        <v>12535</v>
      </c>
      <c r="AO128" s="139">
        <f t="shared" si="26"/>
        <v>15670</v>
      </c>
      <c r="AP128" s="139">
        <f t="shared" si="26"/>
        <v>18800</v>
      </c>
      <c r="DG128" s="144">
        <v>123</v>
      </c>
      <c r="DH128" s="144">
        <f t="shared" si="21"/>
        <v>16</v>
      </c>
      <c r="DI128" s="144" t="s">
        <v>1177</v>
      </c>
      <c r="DJ128" s="144">
        <f t="shared" si="22"/>
        <v>3</v>
      </c>
      <c r="DK128" s="144" t="str">
        <f t="shared" si="23"/>
        <v>铠甲锻造</v>
      </c>
      <c r="DL128" s="144" t="str">
        <f t="shared" si="24"/>
        <v>ui_dtex_Equ_03</v>
      </c>
      <c r="DM128" s="144" t="s">
        <v>1172</v>
      </c>
      <c r="DN128" s="144">
        <f t="shared" si="25"/>
        <v>305</v>
      </c>
    </row>
    <row r="129" spans="32:118" ht="16.5" x14ac:dyDescent="0.2">
      <c r="AF129" s="139">
        <v>124</v>
      </c>
      <c r="AG129" s="139">
        <f>MATCH(AF129-1,金币总表!$Y$4:$Y$12,1)</f>
        <v>7</v>
      </c>
      <c r="AH129" s="21">
        <v>4.0832899999999998E-2</v>
      </c>
      <c r="AI129" s="188">
        <f>ROUND(INDEX(金币总表!$Z$5:$Z$12,装备!AG129)*装备!AH129/$AC$5,0)</f>
        <v>15995</v>
      </c>
      <c r="AJ129" s="188">
        <v>1</v>
      </c>
      <c r="AK129" s="139">
        <f>ROUND(INDEX(金币总表!$Z$5:$Z$12,装备!AG129)*装备!AH129/$AC$5,0)</f>
        <v>15995</v>
      </c>
      <c r="AM129" s="139">
        <f t="shared" si="26"/>
        <v>8000</v>
      </c>
      <c r="AN129" s="139">
        <f t="shared" si="26"/>
        <v>12795</v>
      </c>
      <c r="AO129" s="139">
        <f t="shared" si="26"/>
        <v>15995</v>
      </c>
      <c r="AP129" s="139">
        <f t="shared" si="26"/>
        <v>19195</v>
      </c>
      <c r="DG129" s="144">
        <v>124</v>
      </c>
      <c r="DH129" s="144">
        <f t="shared" si="21"/>
        <v>16</v>
      </c>
      <c r="DI129" s="144" t="s">
        <v>1177</v>
      </c>
      <c r="DJ129" s="144">
        <f t="shared" si="22"/>
        <v>4</v>
      </c>
      <c r="DK129" s="144" t="str">
        <f t="shared" si="23"/>
        <v>裤子锻造</v>
      </c>
      <c r="DL129" s="144" t="str">
        <f t="shared" si="24"/>
        <v>ui_dtex_Equ_04</v>
      </c>
      <c r="DM129" s="144" t="s">
        <v>1172</v>
      </c>
      <c r="DN129" s="144">
        <f t="shared" si="25"/>
        <v>305</v>
      </c>
    </row>
    <row r="130" spans="32:118" ht="16.5" x14ac:dyDescent="0.2">
      <c r="AF130" s="139">
        <v>125</v>
      </c>
      <c r="AG130" s="139">
        <f>MATCH(AF130-1,金币总表!$Y$4:$Y$12,1)</f>
        <v>7</v>
      </c>
      <c r="AH130" s="21">
        <v>4.16662E-2</v>
      </c>
      <c r="AI130" s="188">
        <f>ROUND(INDEX(金币总表!$Z$5:$Z$12,装备!AG130)*装备!AH130/$AC$5,0)</f>
        <v>16321</v>
      </c>
      <c r="AJ130" s="188">
        <v>1</v>
      </c>
      <c r="AK130" s="139">
        <f>ROUND(INDEX(金币总表!$Z$5:$Z$12,装备!AG130)*装备!AH130/$AC$5,0)</f>
        <v>16321</v>
      </c>
      <c r="AM130" s="139">
        <f t="shared" si="26"/>
        <v>8160</v>
      </c>
      <c r="AN130" s="139">
        <f t="shared" si="26"/>
        <v>13055</v>
      </c>
      <c r="AO130" s="139">
        <f t="shared" si="26"/>
        <v>16320</v>
      </c>
      <c r="AP130" s="139">
        <f t="shared" si="26"/>
        <v>19585</v>
      </c>
      <c r="DG130" s="144">
        <v>125</v>
      </c>
      <c r="DH130" s="144">
        <f t="shared" si="21"/>
        <v>16</v>
      </c>
      <c r="DI130" s="144" t="s">
        <v>1177</v>
      </c>
      <c r="DJ130" s="144">
        <f t="shared" si="22"/>
        <v>5</v>
      </c>
      <c r="DK130" s="144" t="str">
        <f t="shared" si="23"/>
        <v>鞋子锻造</v>
      </c>
      <c r="DL130" s="144" t="str">
        <f t="shared" si="24"/>
        <v>ui_dtex_Equ_05</v>
      </c>
      <c r="DM130" s="144" t="s">
        <v>1172</v>
      </c>
      <c r="DN130" s="144">
        <f t="shared" si="25"/>
        <v>305</v>
      </c>
    </row>
    <row r="131" spans="32:118" ht="16.5" x14ac:dyDescent="0.2">
      <c r="AF131" s="139">
        <v>126</v>
      </c>
      <c r="AG131" s="139">
        <f>MATCH(AF131-1,金币总表!$Y$4:$Y$12,1)</f>
        <v>7</v>
      </c>
      <c r="AH131" s="21">
        <v>4.2499500000000003E-2</v>
      </c>
      <c r="AI131" s="188">
        <f>ROUND(INDEX(金币总表!$Z$5:$Z$12,装备!AG131)*装备!AH131/$AC$5,0)</f>
        <v>16648</v>
      </c>
      <c r="AJ131" s="188">
        <v>1</v>
      </c>
      <c r="AK131" s="139">
        <f>ROUND(INDEX(金币总表!$Z$5:$Z$12,装备!AG131)*装备!AH131/$AC$5,0)</f>
        <v>16648</v>
      </c>
      <c r="AM131" s="139">
        <f t="shared" si="26"/>
        <v>8325</v>
      </c>
      <c r="AN131" s="139">
        <f t="shared" si="26"/>
        <v>13320</v>
      </c>
      <c r="AO131" s="139">
        <f t="shared" si="26"/>
        <v>16650</v>
      </c>
      <c r="AP131" s="139">
        <f t="shared" si="26"/>
        <v>19980</v>
      </c>
      <c r="DG131" s="144">
        <v>126</v>
      </c>
      <c r="DH131" s="144">
        <f t="shared" si="21"/>
        <v>16</v>
      </c>
      <c r="DI131" s="144" t="s">
        <v>1177</v>
      </c>
      <c r="DJ131" s="144">
        <f t="shared" si="22"/>
        <v>6</v>
      </c>
      <c r="DK131" s="144" t="str">
        <f t="shared" si="23"/>
        <v>护手锻造</v>
      </c>
      <c r="DL131" s="144" t="str">
        <f t="shared" si="24"/>
        <v>ui_dtex_Equ_06</v>
      </c>
      <c r="DM131" s="144" t="s">
        <v>1172</v>
      </c>
      <c r="DN131" s="144">
        <f t="shared" si="25"/>
        <v>305</v>
      </c>
    </row>
    <row r="132" spans="32:118" ht="16.5" x14ac:dyDescent="0.2">
      <c r="AF132" s="139">
        <v>127</v>
      </c>
      <c r="AG132" s="139">
        <f>MATCH(AF132-1,金币总表!$Y$4:$Y$12,1)</f>
        <v>7</v>
      </c>
      <c r="AH132" s="21">
        <v>4.3332799999999998E-2</v>
      </c>
      <c r="AI132" s="188">
        <f>ROUND(INDEX(金币总表!$Z$5:$Z$12,装备!AG132)*装备!AH132/$AC$5,0)</f>
        <v>16974</v>
      </c>
      <c r="AJ132" s="188">
        <v>1</v>
      </c>
      <c r="AK132" s="139">
        <f>ROUND(INDEX(金币总表!$Z$5:$Z$12,装备!AG132)*装备!AH132/$AC$5,0)</f>
        <v>16974</v>
      </c>
      <c r="AM132" s="139">
        <f t="shared" si="26"/>
        <v>8485</v>
      </c>
      <c r="AN132" s="139">
        <f t="shared" si="26"/>
        <v>13580</v>
      </c>
      <c r="AO132" s="139">
        <f t="shared" si="26"/>
        <v>16975</v>
      </c>
      <c r="AP132" s="139">
        <f t="shared" si="26"/>
        <v>20370</v>
      </c>
      <c r="DG132" s="144">
        <v>127</v>
      </c>
      <c r="DH132" s="144">
        <f t="shared" si="21"/>
        <v>16</v>
      </c>
      <c r="DI132" s="144" t="s">
        <v>1177</v>
      </c>
      <c r="DJ132" s="144">
        <f t="shared" si="22"/>
        <v>7</v>
      </c>
      <c r="DK132" s="144" t="str">
        <f t="shared" si="23"/>
        <v>项链锻造</v>
      </c>
      <c r="DL132" s="144" t="str">
        <f t="shared" si="24"/>
        <v>ui_dtex_Equ_07</v>
      </c>
      <c r="DM132" s="144" t="s">
        <v>1172</v>
      </c>
      <c r="DN132" s="144">
        <f t="shared" si="25"/>
        <v>460</v>
      </c>
    </row>
    <row r="133" spans="32:118" ht="16.5" x14ac:dyDescent="0.2">
      <c r="AF133" s="139">
        <v>128</v>
      </c>
      <c r="AG133" s="139">
        <f>MATCH(AF133-1,金币总表!$Y$4:$Y$12,1)</f>
        <v>7</v>
      </c>
      <c r="AH133" s="21">
        <v>4.41661E-2</v>
      </c>
      <c r="AI133" s="188">
        <f>ROUND(INDEX(金币总表!$Z$5:$Z$12,装备!AG133)*装备!AH133/$AC$5,0)</f>
        <v>17301</v>
      </c>
      <c r="AJ133" s="188">
        <v>1</v>
      </c>
      <c r="AK133" s="139">
        <f>ROUND(INDEX(金币总表!$Z$5:$Z$12,装备!AG133)*装备!AH133/$AC$5,0)</f>
        <v>17301</v>
      </c>
      <c r="AM133" s="139">
        <f t="shared" si="26"/>
        <v>8650</v>
      </c>
      <c r="AN133" s="139">
        <f t="shared" si="26"/>
        <v>13840</v>
      </c>
      <c r="AO133" s="139">
        <f t="shared" si="26"/>
        <v>17300</v>
      </c>
      <c r="AP133" s="139">
        <f t="shared" si="26"/>
        <v>20760</v>
      </c>
      <c r="DG133" s="144">
        <v>128</v>
      </c>
      <c r="DH133" s="144">
        <f t="shared" si="21"/>
        <v>16</v>
      </c>
      <c r="DI133" s="144" t="s">
        <v>1177</v>
      </c>
      <c r="DJ133" s="144">
        <f t="shared" si="22"/>
        <v>8</v>
      </c>
      <c r="DK133" s="144" t="str">
        <f t="shared" si="23"/>
        <v>戒指锻造</v>
      </c>
      <c r="DL133" s="144" t="str">
        <f t="shared" si="24"/>
        <v>ui_dtex_Equ_08</v>
      </c>
      <c r="DM133" s="144" t="s">
        <v>1172</v>
      </c>
      <c r="DN133" s="144">
        <f t="shared" si="25"/>
        <v>460</v>
      </c>
    </row>
    <row r="134" spans="32:118" ht="16.5" x14ac:dyDescent="0.2">
      <c r="AF134" s="139">
        <v>129</v>
      </c>
      <c r="AG134" s="139">
        <f>MATCH(AF134-1,金币总表!$Y$4:$Y$12,1)</f>
        <v>7</v>
      </c>
      <c r="AH134" s="21">
        <v>4.4999400000000002E-2</v>
      </c>
      <c r="AI134" s="188">
        <f>ROUND(INDEX(金币总表!$Z$5:$Z$12,装备!AG134)*装备!AH134/$AC$5,0)</f>
        <v>17627</v>
      </c>
      <c r="AJ134" s="188">
        <v>1</v>
      </c>
      <c r="AK134" s="139">
        <f>ROUND(INDEX(金币总表!$Z$5:$Z$12,装备!AG134)*装备!AH134/$AC$5,0)</f>
        <v>17627</v>
      </c>
      <c r="AM134" s="139">
        <f t="shared" si="26"/>
        <v>8815</v>
      </c>
      <c r="AN134" s="139">
        <f t="shared" si="26"/>
        <v>14100</v>
      </c>
      <c r="AO134" s="139">
        <f t="shared" si="26"/>
        <v>17625</v>
      </c>
      <c r="AP134" s="139">
        <f t="shared" si="26"/>
        <v>21150</v>
      </c>
      <c r="DG134" s="144">
        <v>129</v>
      </c>
      <c r="DH134" s="144">
        <f t="shared" si="21"/>
        <v>17</v>
      </c>
      <c r="DI134" s="144" t="s">
        <v>1177</v>
      </c>
      <c r="DJ134" s="144">
        <f t="shared" si="22"/>
        <v>1</v>
      </c>
      <c r="DK134" s="144" t="str">
        <f t="shared" si="23"/>
        <v>灵器锻造</v>
      </c>
      <c r="DL134" s="144" t="str">
        <f t="shared" si="24"/>
        <v>ui_dtex_Equ_01</v>
      </c>
      <c r="DM134" s="144" t="s">
        <v>1172</v>
      </c>
      <c r="DN134" s="144">
        <f t="shared" si="25"/>
        <v>710</v>
      </c>
    </row>
    <row r="135" spans="32:118" ht="16.5" x14ac:dyDescent="0.2">
      <c r="AF135" s="139">
        <v>130</v>
      </c>
      <c r="AG135" s="139">
        <f>MATCH(AF135-1,金币总表!$Y$4:$Y$12,1)</f>
        <v>7</v>
      </c>
      <c r="AH135" s="21">
        <v>4.5832699999999997E-2</v>
      </c>
      <c r="AI135" s="188">
        <f>ROUND(INDEX(金币总表!$Z$5:$Z$12,装备!AG135)*装备!AH135/$AC$5,0)</f>
        <v>17953</v>
      </c>
      <c r="AJ135" s="188">
        <v>1</v>
      </c>
      <c r="AK135" s="139">
        <f>ROUND(INDEX(金币总表!$Z$5:$Z$12,装备!AG135)*装备!AH135/$AC$5,0)</f>
        <v>17953</v>
      </c>
      <c r="AM135" s="139">
        <f t="shared" ref="AM135:AP155" si="27">ROUND($AK135*AM$3/5,0)*5</f>
        <v>8975</v>
      </c>
      <c r="AN135" s="139">
        <f t="shared" si="27"/>
        <v>14360</v>
      </c>
      <c r="AO135" s="139">
        <f t="shared" si="27"/>
        <v>17955</v>
      </c>
      <c r="AP135" s="139">
        <f t="shared" si="27"/>
        <v>21545</v>
      </c>
      <c r="DG135" s="144">
        <v>130</v>
      </c>
      <c r="DH135" s="144">
        <f t="shared" ref="DH135:DH173" si="28">INT((DG135-1)/8)+1</f>
        <v>17</v>
      </c>
      <c r="DI135" s="144" t="s">
        <v>1177</v>
      </c>
      <c r="DJ135" s="144">
        <f t="shared" ref="DJ135:DJ173" si="29">DG135-(DH135-1)*8</f>
        <v>2</v>
      </c>
      <c r="DK135" s="144" t="str">
        <f t="shared" ref="DK135:DK173" si="30">INDEX($CN$6:$CN$13,DJ135)&amp;"锻造"</f>
        <v>头盔锻造</v>
      </c>
      <c r="DL135" s="144" t="str">
        <f t="shared" ref="DL135:DL173" si="31">"ui_dtex_Equ_0"&amp;DJ135</f>
        <v>ui_dtex_Equ_02</v>
      </c>
      <c r="DM135" s="144" t="s">
        <v>1172</v>
      </c>
      <c r="DN135" s="144">
        <f t="shared" ref="DN135:DN173" si="32">ROUND(INDEX($DD$6:$DD$26,DH135)*INDEX($CO$6:$CO$13,DJ135)/5,0)*5</f>
        <v>355</v>
      </c>
    </row>
    <row r="136" spans="32:118" ht="16.5" x14ac:dyDescent="0.2">
      <c r="AF136" s="139">
        <v>131</v>
      </c>
      <c r="AG136" s="139">
        <f>MATCH(AF136-1,金币总表!$Y$4:$Y$12,1)</f>
        <v>7</v>
      </c>
      <c r="AH136" s="21">
        <v>4.6665999999999999E-2</v>
      </c>
      <c r="AI136" s="188">
        <f>ROUND(INDEX(金币总表!$Z$5:$Z$12,装备!AG136)*装备!AH136/$AC$5,0)</f>
        <v>18280</v>
      </c>
      <c r="AJ136" s="188">
        <v>1</v>
      </c>
      <c r="AK136" s="139">
        <f>ROUND(INDEX(金币总表!$Z$5:$Z$12,装备!AG136)*装备!AH136/$AC$5,0)</f>
        <v>18280</v>
      </c>
      <c r="AM136" s="139">
        <f t="shared" si="27"/>
        <v>9140</v>
      </c>
      <c r="AN136" s="139">
        <f t="shared" si="27"/>
        <v>14625</v>
      </c>
      <c r="AO136" s="139">
        <f t="shared" si="27"/>
        <v>18280</v>
      </c>
      <c r="AP136" s="139">
        <f t="shared" si="27"/>
        <v>21935</v>
      </c>
      <c r="DG136" s="144">
        <v>131</v>
      </c>
      <c r="DH136" s="144">
        <f t="shared" si="28"/>
        <v>17</v>
      </c>
      <c r="DI136" s="144" t="s">
        <v>1177</v>
      </c>
      <c r="DJ136" s="144">
        <f t="shared" si="29"/>
        <v>3</v>
      </c>
      <c r="DK136" s="144" t="str">
        <f t="shared" si="30"/>
        <v>铠甲锻造</v>
      </c>
      <c r="DL136" s="144" t="str">
        <f t="shared" si="31"/>
        <v>ui_dtex_Equ_03</v>
      </c>
      <c r="DM136" s="144" t="s">
        <v>1172</v>
      </c>
      <c r="DN136" s="144">
        <f t="shared" si="32"/>
        <v>355</v>
      </c>
    </row>
    <row r="137" spans="32:118" ht="16.5" x14ac:dyDescent="0.2">
      <c r="AF137" s="139">
        <v>132</v>
      </c>
      <c r="AG137" s="139">
        <f>MATCH(AF137-1,金币总表!$Y$4:$Y$12,1)</f>
        <v>7</v>
      </c>
      <c r="AH137" s="21">
        <v>4.7499300000000001E-2</v>
      </c>
      <c r="AI137" s="188">
        <f>ROUND(INDEX(金币总表!$Z$5:$Z$12,装备!AG137)*装备!AH137/$AC$5,0)</f>
        <v>18606</v>
      </c>
      <c r="AJ137" s="188">
        <v>1</v>
      </c>
      <c r="AK137" s="139">
        <f>ROUND(INDEX(金币总表!$Z$5:$Z$12,装备!AG137)*装备!AH137/$AC$5,0)</f>
        <v>18606</v>
      </c>
      <c r="AM137" s="139">
        <f t="shared" si="27"/>
        <v>9305</v>
      </c>
      <c r="AN137" s="139">
        <f t="shared" si="27"/>
        <v>14885</v>
      </c>
      <c r="AO137" s="139">
        <f t="shared" si="27"/>
        <v>18605</v>
      </c>
      <c r="AP137" s="139">
        <f t="shared" si="27"/>
        <v>22325</v>
      </c>
      <c r="DG137" s="144">
        <v>132</v>
      </c>
      <c r="DH137" s="144">
        <f t="shared" si="28"/>
        <v>17</v>
      </c>
      <c r="DI137" s="144" t="s">
        <v>1177</v>
      </c>
      <c r="DJ137" s="144">
        <f t="shared" si="29"/>
        <v>4</v>
      </c>
      <c r="DK137" s="144" t="str">
        <f t="shared" si="30"/>
        <v>裤子锻造</v>
      </c>
      <c r="DL137" s="144" t="str">
        <f t="shared" si="31"/>
        <v>ui_dtex_Equ_04</v>
      </c>
      <c r="DM137" s="144" t="s">
        <v>1172</v>
      </c>
      <c r="DN137" s="144">
        <f t="shared" si="32"/>
        <v>355</v>
      </c>
    </row>
    <row r="138" spans="32:118" ht="16.5" x14ac:dyDescent="0.2">
      <c r="AF138" s="139">
        <v>133</v>
      </c>
      <c r="AG138" s="139">
        <f>MATCH(AF138-1,金币总表!$Y$4:$Y$12,1)</f>
        <v>7</v>
      </c>
      <c r="AH138" s="21">
        <v>4.8332600000000003E-2</v>
      </c>
      <c r="AI138" s="188">
        <f>ROUND(INDEX(金币总表!$Z$5:$Z$12,装备!AG138)*装备!AH138/$AC$5,0)</f>
        <v>18933</v>
      </c>
      <c r="AJ138" s="188">
        <v>1</v>
      </c>
      <c r="AK138" s="139">
        <f>ROUND(INDEX(金币总表!$Z$5:$Z$12,装备!AG138)*装备!AH138/$AC$5,0)</f>
        <v>18933</v>
      </c>
      <c r="AM138" s="139">
        <f t="shared" si="27"/>
        <v>9465</v>
      </c>
      <c r="AN138" s="139">
        <f t="shared" si="27"/>
        <v>15145</v>
      </c>
      <c r="AO138" s="139">
        <f t="shared" si="27"/>
        <v>18935</v>
      </c>
      <c r="AP138" s="139">
        <f t="shared" si="27"/>
        <v>22720</v>
      </c>
      <c r="DG138" s="144">
        <v>133</v>
      </c>
      <c r="DH138" s="144">
        <f t="shared" si="28"/>
        <v>17</v>
      </c>
      <c r="DI138" s="144" t="s">
        <v>1177</v>
      </c>
      <c r="DJ138" s="144">
        <f t="shared" si="29"/>
        <v>5</v>
      </c>
      <c r="DK138" s="144" t="str">
        <f t="shared" si="30"/>
        <v>鞋子锻造</v>
      </c>
      <c r="DL138" s="144" t="str">
        <f t="shared" si="31"/>
        <v>ui_dtex_Equ_05</v>
      </c>
      <c r="DM138" s="144" t="s">
        <v>1172</v>
      </c>
      <c r="DN138" s="144">
        <f t="shared" si="32"/>
        <v>355</v>
      </c>
    </row>
    <row r="139" spans="32:118" ht="16.5" x14ac:dyDescent="0.2">
      <c r="AF139" s="139">
        <v>134</v>
      </c>
      <c r="AG139" s="139">
        <f>MATCH(AF139-1,金币总表!$Y$4:$Y$12,1)</f>
        <v>7</v>
      </c>
      <c r="AH139" s="21">
        <v>4.9165899999999998E-2</v>
      </c>
      <c r="AI139" s="188">
        <f>ROUND(INDEX(金币总表!$Z$5:$Z$12,装备!AG139)*装备!AH139/$AC$5,0)</f>
        <v>19259</v>
      </c>
      <c r="AJ139" s="188">
        <v>1</v>
      </c>
      <c r="AK139" s="139">
        <f>ROUND(INDEX(金币总表!$Z$5:$Z$12,装备!AG139)*装备!AH139/$AC$5,0)</f>
        <v>19259</v>
      </c>
      <c r="AM139" s="139">
        <f t="shared" si="27"/>
        <v>9630</v>
      </c>
      <c r="AN139" s="139">
        <f t="shared" si="27"/>
        <v>15405</v>
      </c>
      <c r="AO139" s="139">
        <f t="shared" si="27"/>
        <v>19260</v>
      </c>
      <c r="AP139" s="139">
        <f t="shared" si="27"/>
        <v>23110</v>
      </c>
      <c r="DG139" s="144">
        <v>134</v>
      </c>
      <c r="DH139" s="144">
        <f t="shared" si="28"/>
        <v>17</v>
      </c>
      <c r="DI139" s="144" t="s">
        <v>1177</v>
      </c>
      <c r="DJ139" s="144">
        <f t="shared" si="29"/>
        <v>6</v>
      </c>
      <c r="DK139" s="144" t="str">
        <f t="shared" si="30"/>
        <v>护手锻造</v>
      </c>
      <c r="DL139" s="144" t="str">
        <f t="shared" si="31"/>
        <v>ui_dtex_Equ_06</v>
      </c>
      <c r="DM139" s="144" t="s">
        <v>1172</v>
      </c>
      <c r="DN139" s="144">
        <f t="shared" si="32"/>
        <v>355</v>
      </c>
    </row>
    <row r="140" spans="32:118" ht="16.5" x14ac:dyDescent="0.2">
      <c r="AF140" s="139">
        <v>135</v>
      </c>
      <c r="AG140" s="139">
        <f>MATCH(AF140-1,金币总表!$Y$4:$Y$12,1)</f>
        <v>7</v>
      </c>
      <c r="AH140" s="21">
        <v>4.9999200000000098E-2</v>
      </c>
      <c r="AI140" s="188">
        <f>ROUND(INDEX(金币总表!$Z$5:$Z$12,装备!AG140)*装备!AH140/$AC$5,0)</f>
        <v>19585</v>
      </c>
      <c r="AJ140" s="188">
        <v>1</v>
      </c>
      <c r="AK140" s="139">
        <f>ROUND(INDEX(金币总表!$Z$5:$Z$12,装备!AG140)*装备!AH140/$AC$5,0)</f>
        <v>19585</v>
      </c>
      <c r="AM140" s="139">
        <f t="shared" si="27"/>
        <v>9795</v>
      </c>
      <c r="AN140" s="139">
        <f t="shared" si="27"/>
        <v>15670</v>
      </c>
      <c r="AO140" s="139">
        <f t="shared" si="27"/>
        <v>19585</v>
      </c>
      <c r="AP140" s="139">
        <f t="shared" si="27"/>
        <v>23500</v>
      </c>
      <c r="DG140" s="144">
        <v>135</v>
      </c>
      <c r="DH140" s="144">
        <f t="shared" si="28"/>
        <v>17</v>
      </c>
      <c r="DI140" s="144" t="s">
        <v>1177</v>
      </c>
      <c r="DJ140" s="144">
        <f t="shared" si="29"/>
        <v>7</v>
      </c>
      <c r="DK140" s="144" t="str">
        <f t="shared" si="30"/>
        <v>项链锻造</v>
      </c>
      <c r="DL140" s="144" t="str">
        <f t="shared" si="31"/>
        <v>ui_dtex_Equ_07</v>
      </c>
      <c r="DM140" s="144" t="s">
        <v>1172</v>
      </c>
      <c r="DN140" s="144">
        <f t="shared" si="32"/>
        <v>535</v>
      </c>
    </row>
    <row r="141" spans="32:118" ht="16.5" x14ac:dyDescent="0.2">
      <c r="AF141" s="139">
        <v>136</v>
      </c>
      <c r="AG141" s="139">
        <f>MATCH(AF141-1,金币总表!$Y$4:$Y$12,1)</f>
        <v>8</v>
      </c>
      <c r="AH141" s="19">
        <v>0.04</v>
      </c>
      <c r="AI141" s="188">
        <f>ROUND(INDEX(金币总表!$Z$5:$Z$12,装备!AG141)*装备!AH141/$AC$5,0)</f>
        <v>39891</v>
      </c>
      <c r="AJ141" s="188">
        <v>1</v>
      </c>
      <c r="AK141" s="139">
        <f>ROUND(INDEX(金币总表!$Z$5:$Z$12,装备!AG141)*装备!AH141/$AC$5,0)</f>
        <v>39891</v>
      </c>
      <c r="AM141" s="139">
        <f t="shared" si="27"/>
        <v>19945</v>
      </c>
      <c r="AN141" s="139">
        <f t="shared" si="27"/>
        <v>31915</v>
      </c>
      <c r="AO141" s="139">
        <f t="shared" si="27"/>
        <v>39890</v>
      </c>
      <c r="AP141" s="139">
        <f t="shared" si="27"/>
        <v>47870</v>
      </c>
      <c r="DG141" s="144">
        <v>136</v>
      </c>
      <c r="DH141" s="144">
        <f t="shared" si="28"/>
        <v>17</v>
      </c>
      <c r="DI141" s="144" t="s">
        <v>1177</v>
      </c>
      <c r="DJ141" s="144">
        <f t="shared" si="29"/>
        <v>8</v>
      </c>
      <c r="DK141" s="144" t="str">
        <f t="shared" si="30"/>
        <v>戒指锻造</v>
      </c>
      <c r="DL141" s="144" t="str">
        <f t="shared" si="31"/>
        <v>ui_dtex_Equ_08</v>
      </c>
      <c r="DM141" s="144" t="s">
        <v>1172</v>
      </c>
      <c r="DN141" s="144">
        <f t="shared" si="32"/>
        <v>535</v>
      </c>
    </row>
    <row r="142" spans="32:118" ht="16.5" x14ac:dyDescent="0.2">
      <c r="AF142" s="139">
        <v>137</v>
      </c>
      <c r="AG142" s="139">
        <f>MATCH(AF142-1,金币总表!$Y$4:$Y$12,1)</f>
        <v>8</v>
      </c>
      <c r="AH142" s="21">
        <v>4.3809500000000001E-2</v>
      </c>
      <c r="AI142" s="188">
        <f>ROUND(INDEX(金币总表!$Z$5:$Z$12,装备!AG142)*装备!AH142/$AC$5,0)</f>
        <v>43690</v>
      </c>
      <c r="AJ142" s="188">
        <v>1</v>
      </c>
      <c r="AK142" s="139">
        <f>ROUND(INDEX(金币总表!$Z$5:$Z$12,装备!AG142)*装备!AH142/$AC$5,0)</f>
        <v>43690</v>
      </c>
      <c r="AM142" s="139">
        <f t="shared" si="27"/>
        <v>21845</v>
      </c>
      <c r="AN142" s="139">
        <f t="shared" si="27"/>
        <v>34950</v>
      </c>
      <c r="AO142" s="139">
        <f t="shared" si="27"/>
        <v>43690</v>
      </c>
      <c r="AP142" s="139">
        <f t="shared" si="27"/>
        <v>52430</v>
      </c>
      <c r="DG142" s="144">
        <v>137</v>
      </c>
      <c r="DH142" s="144">
        <f t="shared" si="28"/>
        <v>18</v>
      </c>
      <c r="DI142" s="144" t="s">
        <v>1177</v>
      </c>
      <c r="DJ142" s="144">
        <f t="shared" si="29"/>
        <v>1</v>
      </c>
      <c r="DK142" s="144" t="str">
        <f t="shared" si="30"/>
        <v>灵器锻造</v>
      </c>
      <c r="DL142" s="144" t="str">
        <f t="shared" si="31"/>
        <v>ui_dtex_Equ_01</v>
      </c>
      <c r="DM142" s="144" t="s">
        <v>1172</v>
      </c>
      <c r="DN142" s="144">
        <f t="shared" si="32"/>
        <v>770</v>
      </c>
    </row>
    <row r="143" spans="32:118" ht="16.5" x14ac:dyDescent="0.2">
      <c r="AF143" s="139">
        <v>138</v>
      </c>
      <c r="AG143" s="139">
        <f>MATCH(AF143-1,金币总表!$Y$4:$Y$12,1)</f>
        <v>8</v>
      </c>
      <c r="AH143" s="19">
        <v>4.7619000000000002E-2</v>
      </c>
      <c r="AI143" s="188">
        <f>ROUND(INDEX(金币总表!$Z$5:$Z$12,装备!AG143)*装备!AH143/$AC$5,0)</f>
        <v>47489</v>
      </c>
      <c r="AJ143" s="188">
        <v>1</v>
      </c>
      <c r="AK143" s="139">
        <f>ROUND(INDEX(金币总表!$Z$5:$Z$12,装备!AG143)*装备!AH143/$AC$5,0)</f>
        <v>47489</v>
      </c>
      <c r="AM143" s="139">
        <f t="shared" si="27"/>
        <v>23745</v>
      </c>
      <c r="AN143" s="139">
        <f t="shared" si="27"/>
        <v>37990</v>
      </c>
      <c r="AO143" s="139">
        <f t="shared" si="27"/>
        <v>47490</v>
      </c>
      <c r="AP143" s="139">
        <f t="shared" si="27"/>
        <v>56985</v>
      </c>
      <c r="DG143" s="144">
        <v>138</v>
      </c>
      <c r="DH143" s="144">
        <f t="shared" si="28"/>
        <v>18</v>
      </c>
      <c r="DI143" s="144" t="s">
        <v>1177</v>
      </c>
      <c r="DJ143" s="144">
        <f t="shared" si="29"/>
        <v>2</v>
      </c>
      <c r="DK143" s="144" t="str">
        <f t="shared" si="30"/>
        <v>头盔锻造</v>
      </c>
      <c r="DL143" s="144" t="str">
        <f t="shared" si="31"/>
        <v>ui_dtex_Equ_02</v>
      </c>
      <c r="DM143" s="144" t="s">
        <v>1172</v>
      </c>
      <c r="DN143" s="144">
        <f t="shared" si="32"/>
        <v>385</v>
      </c>
    </row>
    <row r="144" spans="32:118" ht="16.5" x14ac:dyDescent="0.2">
      <c r="AF144" s="139">
        <v>139</v>
      </c>
      <c r="AG144" s="139">
        <f>MATCH(AF144-1,金币总表!$Y$4:$Y$12,1)</f>
        <v>8</v>
      </c>
      <c r="AH144" s="21">
        <v>5.1428500000000002E-2</v>
      </c>
      <c r="AI144" s="188">
        <f>ROUND(INDEX(金币总表!$Z$5:$Z$12,装备!AG144)*装备!AH144/$AC$5,0)</f>
        <v>51288</v>
      </c>
      <c r="AJ144" s="188">
        <v>1</v>
      </c>
      <c r="AK144" s="139">
        <f>ROUND(INDEX(金币总表!$Z$5:$Z$12,装备!AG144)*装备!AH144/$AC$5,0)</f>
        <v>51288</v>
      </c>
      <c r="AM144" s="139">
        <f t="shared" si="27"/>
        <v>25645</v>
      </c>
      <c r="AN144" s="139">
        <f t="shared" si="27"/>
        <v>41030</v>
      </c>
      <c r="AO144" s="139">
        <f t="shared" si="27"/>
        <v>51290</v>
      </c>
      <c r="AP144" s="139">
        <f t="shared" si="27"/>
        <v>61545</v>
      </c>
      <c r="DG144" s="144">
        <v>139</v>
      </c>
      <c r="DH144" s="144">
        <f t="shared" si="28"/>
        <v>18</v>
      </c>
      <c r="DI144" s="144" t="s">
        <v>1177</v>
      </c>
      <c r="DJ144" s="144">
        <f t="shared" si="29"/>
        <v>3</v>
      </c>
      <c r="DK144" s="144" t="str">
        <f t="shared" si="30"/>
        <v>铠甲锻造</v>
      </c>
      <c r="DL144" s="144" t="str">
        <f t="shared" si="31"/>
        <v>ui_dtex_Equ_03</v>
      </c>
      <c r="DM144" s="144" t="s">
        <v>1172</v>
      </c>
      <c r="DN144" s="144">
        <f t="shared" si="32"/>
        <v>385</v>
      </c>
    </row>
    <row r="145" spans="32:118" ht="16.5" x14ac:dyDescent="0.2">
      <c r="AF145" s="139">
        <v>140</v>
      </c>
      <c r="AG145" s="139">
        <f>MATCH(AF145-1,金币总表!$Y$4:$Y$12,1)</f>
        <v>8</v>
      </c>
      <c r="AH145" s="19">
        <v>5.5238000000000002E-2</v>
      </c>
      <c r="AI145" s="188">
        <f>ROUND(INDEX(金币总表!$Z$5:$Z$12,装备!AG145)*装备!AH145/$AC$5,0)</f>
        <v>55087</v>
      </c>
      <c r="AJ145" s="188">
        <v>1</v>
      </c>
      <c r="AK145" s="139">
        <f>ROUND(INDEX(金币总表!$Z$5:$Z$12,装备!AG145)*装备!AH145/$AC$5,0)</f>
        <v>55087</v>
      </c>
      <c r="AM145" s="139">
        <f t="shared" si="27"/>
        <v>27545</v>
      </c>
      <c r="AN145" s="139">
        <f t="shared" si="27"/>
        <v>44070</v>
      </c>
      <c r="AO145" s="139">
        <f t="shared" si="27"/>
        <v>55085</v>
      </c>
      <c r="AP145" s="139">
        <f t="shared" si="27"/>
        <v>66105</v>
      </c>
      <c r="DG145" s="144">
        <v>140</v>
      </c>
      <c r="DH145" s="144">
        <f t="shared" si="28"/>
        <v>18</v>
      </c>
      <c r="DI145" s="144" t="s">
        <v>1177</v>
      </c>
      <c r="DJ145" s="144">
        <f t="shared" si="29"/>
        <v>4</v>
      </c>
      <c r="DK145" s="144" t="str">
        <f t="shared" si="30"/>
        <v>裤子锻造</v>
      </c>
      <c r="DL145" s="144" t="str">
        <f t="shared" si="31"/>
        <v>ui_dtex_Equ_04</v>
      </c>
      <c r="DM145" s="144" t="s">
        <v>1172</v>
      </c>
      <c r="DN145" s="144">
        <f t="shared" si="32"/>
        <v>385</v>
      </c>
    </row>
    <row r="146" spans="32:118" ht="16.5" x14ac:dyDescent="0.2">
      <c r="AF146" s="139">
        <v>141</v>
      </c>
      <c r="AG146" s="139">
        <f>MATCH(AF146-1,金币总表!$Y$4:$Y$12,1)</f>
        <v>8</v>
      </c>
      <c r="AH146" s="21">
        <v>5.9047500000000003E-2</v>
      </c>
      <c r="AI146" s="188">
        <f>ROUND(INDEX(金币总表!$Z$5:$Z$12,装备!AG146)*装备!AH146/$AC$5,0)</f>
        <v>58886</v>
      </c>
      <c r="AJ146" s="188">
        <v>1</v>
      </c>
      <c r="AK146" s="139">
        <f>ROUND(INDEX(金币总表!$Z$5:$Z$12,装备!AG146)*装备!AH146/$AC$5,0)</f>
        <v>58886</v>
      </c>
      <c r="AM146" s="139">
        <f t="shared" si="27"/>
        <v>29445</v>
      </c>
      <c r="AN146" s="139">
        <f t="shared" si="27"/>
        <v>47110</v>
      </c>
      <c r="AO146" s="139">
        <f t="shared" si="27"/>
        <v>58885</v>
      </c>
      <c r="AP146" s="139">
        <f t="shared" si="27"/>
        <v>70665</v>
      </c>
      <c r="DG146" s="144">
        <v>141</v>
      </c>
      <c r="DH146" s="144">
        <f t="shared" si="28"/>
        <v>18</v>
      </c>
      <c r="DI146" s="144" t="s">
        <v>1177</v>
      </c>
      <c r="DJ146" s="144">
        <f t="shared" si="29"/>
        <v>5</v>
      </c>
      <c r="DK146" s="144" t="str">
        <f t="shared" si="30"/>
        <v>鞋子锻造</v>
      </c>
      <c r="DL146" s="144" t="str">
        <f t="shared" si="31"/>
        <v>ui_dtex_Equ_05</v>
      </c>
      <c r="DM146" s="144" t="s">
        <v>1172</v>
      </c>
      <c r="DN146" s="144">
        <f t="shared" si="32"/>
        <v>385</v>
      </c>
    </row>
    <row r="147" spans="32:118" ht="16.5" x14ac:dyDescent="0.2">
      <c r="AF147" s="139">
        <v>142</v>
      </c>
      <c r="AG147" s="139">
        <f>MATCH(AF147-1,金币总表!$Y$4:$Y$12,1)</f>
        <v>8</v>
      </c>
      <c r="AH147" s="19">
        <v>6.2856999999999996E-2</v>
      </c>
      <c r="AI147" s="188">
        <f>ROUND(INDEX(金币总表!$Z$5:$Z$12,装备!AG147)*装备!AH147/$AC$5,0)</f>
        <v>62685</v>
      </c>
      <c r="AJ147" s="188">
        <v>1</v>
      </c>
      <c r="AK147" s="139">
        <f>ROUND(INDEX(金币总表!$Z$5:$Z$12,装备!AG147)*装备!AH147/$AC$5,0)</f>
        <v>62685</v>
      </c>
      <c r="AM147" s="139">
        <f t="shared" si="27"/>
        <v>31345</v>
      </c>
      <c r="AN147" s="139">
        <f t="shared" si="27"/>
        <v>50150</v>
      </c>
      <c r="AO147" s="139">
        <f t="shared" si="27"/>
        <v>62685</v>
      </c>
      <c r="AP147" s="139">
        <f t="shared" si="27"/>
        <v>75220</v>
      </c>
      <c r="DG147" s="144">
        <v>142</v>
      </c>
      <c r="DH147" s="144">
        <f t="shared" si="28"/>
        <v>18</v>
      </c>
      <c r="DI147" s="144" t="s">
        <v>1177</v>
      </c>
      <c r="DJ147" s="144">
        <f t="shared" si="29"/>
        <v>6</v>
      </c>
      <c r="DK147" s="144" t="str">
        <f t="shared" si="30"/>
        <v>护手锻造</v>
      </c>
      <c r="DL147" s="144" t="str">
        <f t="shared" si="31"/>
        <v>ui_dtex_Equ_06</v>
      </c>
      <c r="DM147" s="144" t="s">
        <v>1172</v>
      </c>
      <c r="DN147" s="144">
        <f t="shared" si="32"/>
        <v>385</v>
      </c>
    </row>
    <row r="148" spans="32:118" ht="16.5" x14ac:dyDescent="0.2">
      <c r="AF148" s="139">
        <v>143</v>
      </c>
      <c r="AG148" s="139">
        <f>MATCH(AF148-1,金币总表!$Y$4:$Y$12,1)</f>
        <v>8</v>
      </c>
      <c r="AH148" s="21">
        <v>6.6666500000000004E-2</v>
      </c>
      <c r="AI148" s="188">
        <f>ROUND(INDEX(金币总表!$Z$5:$Z$12,装备!AG148)*装备!AH148/$AC$5,0)</f>
        <v>66485</v>
      </c>
      <c r="AJ148" s="188">
        <v>1</v>
      </c>
      <c r="AK148" s="139">
        <f>ROUND(INDEX(金币总表!$Z$5:$Z$12,装备!AG148)*装备!AH148/$AC$5,0)</f>
        <v>66485</v>
      </c>
      <c r="AM148" s="139">
        <f t="shared" si="27"/>
        <v>33245</v>
      </c>
      <c r="AN148" s="139">
        <f t="shared" si="27"/>
        <v>53190</v>
      </c>
      <c r="AO148" s="139">
        <f t="shared" si="27"/>
        <v>66485</v>
      </c>
      <c r="AP148" s="139">
        <f t="shared" si="27"/>
        <v>79780</v>
      </c>
      <c r="DG148" s="144">
        <v>143</v>
      </c>
      <c r="DH148" s="144">
        <f t="shared" si="28"/>
        <v>18</v>
      </c>
      <c r="DI148" s="144" t="s">
        <v>1177</v>
      </c>
      <c r="DJ148" s="144">
        <f t="shared" si="29"/>
        <v>7</v>
      </c>
      <c r="DK148" s="144" t="str">
        <f t="shared" si="30"/>
        <v>项链锻造</v>
      </c>
      <c r="DL148" s="144" t="str">
        <f t="shared" si="31"/>
        <v>ui_dtex_Equ_07</v>
      </c>
      <c r="DM148" s="144" t="s">
        <v>1172</v>
      </c>
      <c r="DN148" s="144">
        <f t="shared" si="32"/>
        <v>580</v>
      </c>
    </row>
    <row r="149" spans="32:118" ht="16.5" x14ac:dyDescent="0.2">
      <c r="AF149" s="139">
        <v>144</v>
      </c>
      <c r="AG149" s="139">
        <f>MATCH(AF149-1,金币总表!$Y$4:$Y$12,1)</f>
        <v>8</v>
      </c>
      <c r="AH149" s="19">
        <v>7.0475999999999997E-2</v>
      </c>
      <c r="AI149" s="188">
        <f>ROUND(INDEX(金币总表!$Z$5:$Z$12,装备!AG149)*装备!AH149/$AC$5,0)</f>
        <v>70284</v>
      </c>
      <c r="AJ149" s="188">
        <v>1</v>
      </c>
      <c r="AK149" s="139">
        <f>ROUND(INDEX(金币总表!$Z$5:$Z$12,装备!AG149)*装备!AH149/$AC$5,0)</f>
        <v>70284</v>
      </c>
      <c r="AM149" s="139">
        <f t="shared" si="27"/>
        <v>35140</v>
      </c>
      <c r="AN149" s="139">
        <f t="shared" si="27"/>
        <v>56225</v>
      </c>
      <c r="AO149" s="139">
        <f t="shared" si="27"/>
        <v>70285</v>
      </c>
      <c r="AP149" s="139">
        <f t="shared" si="27"/>
        <v>84340</v>
      </c>
      <c r="DG149" s="144">
        <v>144</v>
      </c>
      <c r="DH149" s="144">
        <f t="shared" si="28"/>
        <v>18</v>
      </c>
      <c r="DI149" s="144" t="s">
        <v>1177</v>
      </c>
      <c r="DJ149" s="144">
        <f t="shared" si="29"/>
        <v>8</v>
      </c>
      <c r="DK149" s="144" t="str">
        <f t="shared" si="30"/>
        <v>戒指锻造</v>
      </c>
      <c r="DL149" s="144" t="str">
        <f t="shared" si="31"/>
        <v>ui_dtex_Equ_08</v>
      </c>
      <c r="DM149" s="144" t="s">
        <v>1172</v>
      </c>
      <c r="DN149" s="144">
        <f t="shared" si="32"/>
        <v>580</v>
      </c>
    </row>
    <row r="150" spans="32:118" ht="16.5" x14ac:dyDescent="0.2">
      <c r="AF150" s="139">
        <v>145</v>
      </c>
      <c r="AG150" s="139">
        <f>MATCH(AF150-1,金币总表!$Y$4:$Y$12,1)</f>
        <v>8</v>
      </c>
      <c r="AH150" s="21">
        <v>7.4285500000000004E-2</v>
      </c>
      <c r="AI150" s="188">
        <f>ROUND(INDEX(金币总表!$Z$5:$Z$12,装备!AG150)*装备!AH150/$AC$5,0)</f>
        <v>74083</v>
      </c>
      <c r="AJ150" s="188">
        <v>1</v>
      </c>
      <c r="AK150" s="139">
        <f>ROUND(INDEX(金币总表!$Z$5:$Z$12,装备!AG150)*装备!AH150/$AC$5,0)</f>
        <v>74083</v>
      </c>
      <c r="AM150" s="139">
        <f t="shared" si="27"/>
        <v>37040</v>
      </c>
      <c r="AN150" s="139">
        <f t="shared" si="27"/>
        <v>59265</v>
      </c>
      <c r="AO150" s="139">
        <f t="shared" si="27"/>
        <v>74085</v>
      </c>
      <c r="AP150" s="139">
        <f t="shared" si="27"/>
        <v>88900</v>
      </c>
      <c r="DG150" s="144">
        <v>145</v>
      </c>
      <c r="DH150" s="144">
        <f t="shared" si="28"/>
        <v>19</v>
      </c>
      <c r="DI150" s="144" t="s">
        <v>1177</v>
      </c>
      <c r="DJ150" s="144">
        <f t="shared" si="29"/>
        <v>1</v>
      </c>
      <c r="DK150" s="144" t="str">
        <f t="shared" si="30"/>
        <v>灵器锻造</v>
      </c>
      <c r="DL150" s="144" t="str">
        <f t="shared" si="31"/>
        <v>ui_dtex_Equ_01</v>
      </c>
      <c r="DM150" s="144" t="s">
        <v>1172</v>
      </c>
      <c r="DN150" s="144">
        <f t="shared" si="32"/>
        <v>860</v>
      </c>
    </row>
    <row r="151" spans="32:118" ht="16.5" x14ac:dyDescent="0.2">
      <c r="AF151" s="139">
        <v>146</v>
      </c>
      <c r="AG151" s="139">
        <f>MATCH(AF151-1,金币总表!$Y$4:$Y$12,1)</f>
        <v>8</v>
      </c>
      <c r="AH151" s="19">
        <v>7.8094999999999998E-2</v>
      </c>
      <c r="AI151" s="188">
        <f>ROUND(INDEX(金币总表!$Z$5:$Z$12,装备!AG151)*装备!AH151/$AC$5,0)</f>
        <v>77882</v>
      </c>
      <c r="AJ151" s="188">
        <v>1</v>
      </c>
      <c r="AK151" s="139">
        <f>ROUND(INDEX(金币总表!$Z$5:$Z$12,装备!AG151)*装备!AH151/$AC$5,0)</f>
        <v>77882</v>
      </c>
      <c r="AM151" s="139">
        <f t="shared" si="27"/>
        <v>38940</v>
      </c>
      <c r="AN151" s="139">
        <f t="shared" si="27"/>
        <v>62305</v>
      </c>
      <c r="AO151" s="139">
        <f t="shared" si="27"/>
        <v>77880</v>
      </c>
      <c r="AP151" s="139">
        <f t="shared" si="27"/>
        <v>93460</v>
      </c>
      <c r="DG151" s="144">
        <v>146</v>
      </c>
      <c r="DH151" s="144">
        <f t="shared" si="28"/>
        <v>19</v>
      </c>
      <c r="DI151" s="144" t="s">
        <v>1177</v>
      </c>
      <c r="DJ151" s="144">
        <f t="shared" si="29"/>
        <v>2</v>
      </c>
      <c r="DK151" s="144" t="str">
        <f t="shared" si="30"/>
        <v>头盔锻造</v>
      </c>
      <c r="DL151" s="144" t="str">
        <f t="shared" si="31"/>
        <v>ui_dtex_Equ_02</v>
      </c>
      <c r="DM151" s="144" t="s">
        <v>1172</v>
      </c>
      <c r="DN151" s="144">
        <f t="shared" si="32"/>
        <v>430</v>
      </c>
    </row>
    <row r="152" spans="32:118" ht="16.5" x14ac:dyDescent="0.2">
      <c r="AF152" s="139">
        <v>147</v>
      </c>
      <c r="AG152" s="139">
        <f>MATCH(AF152-1,金币总表!$Y$4:$Y$12,1)</f>
        <v>8</v>
      </c>
      <c r="AH152" s="21">
        <v>8.1904500000000005E-2</v>
      </c>
      <c r="AI152" s="188">
        <f>ROUND(INDEX(金币总表!$Z$5:$Z$12,装备!AG152)*装备!AH152/$AC$5,0)</f>
        <v>81681</v>
      </c>
      <c r="AJ152" s="188">
        <v>1</v>
      </c>
      <c r="AK152" s="139">
        <f>ROUND(INDEX(金币总表!$Z$5:$Z$12,装备!AG152)*装备!AH152/$AC$5,0)</f>
        <v>81681</v>
      </c>
      <c r="AM152" s="139">
        <f t="shared" si="27"/>
        <v>40840</v>
      </c>
      <c r="AN152" s="139">
        <f t="shared" si="27"/>
        <v>65345</v>
      </c>
      <c r="AO152" s="139">
        <f t="shared" si="27"/>
        <v>81680</v>
      </c>
      <c r="AP152" s="139">
        <f t="shared" si="27"/>
        <v>98015</v>
      </c>
      <c r="DG152" s="144">
        <v>147</v>
      </c>
      <c r="DH152" s="144">
        <f t="shared" si="28"/>
        <v>19</v>
      </c>
      <c r="DI152" s="144" t="s">
        <v>1177</v>
      </c>
      <c r="DJ152" s="144">
        <f t="shared" si="29"/>
        <v>3</v>
      </c>
      <c r="DK152" s="144" t="str">
        <f t="shared" si="30"/>
        <v>铠甲锻造</v>
      </c>
      <c r="DL152" s="144" t="str">
        <f t="shared" si="31"/>
        <v>ui_dtex_Equ_03</v>
      </c>
      <c r="DM152" s="144" t="s">
        <v>1172</v>
      </c>
      <c r="DN152" s="144">
        <f t="shared" si="32"/>
        <v>430</v>
      </c>
    </row>
    <row r="153" spans="32:118" ht="16.5" x14ac:dyDescent="0.2">
      <c r="AF153" s="139">
        <v>148</v>
      </c>
      <c r="AG153" s="139">
        <f>MATCH(AF153-1,金币总表!$Y$4:$Y$12,1)</f>
        <v>8</v>
      </c>
      <c r="AH153" s="19">
        <v>8.5713999999999999E-2</v>
      </c>
      <c r="AI153" s="188">
        <f>ROUND(INDEX(金币总表!$Z$5:$Z$12,装备!AG153)*装备!AH153/$AC$5,0)</f>
        <v>85480</v>
      </c>
      <c r="AJ153" s="188">
        <v>1</v>
      </c>
      <c r="AK153" s="139">
        <f>ROUND(INDEX(金币总表!$Z$5:$Z$12,装备!AG153)*装备!AH153/$AC$5,0)</f>
        <v>85480</v>
      </c>
      <c r="AM153" s="139">
        <f t="shared" si="27"/>
        <v>42740</v>
      </c>
      <c r="AN153" s="139">
        <f t="shared" si="27"/>
        <v>68385</v>
      </c>
      <c r="AO153" s="139">
        <f t="shared" si="27"/>
        <v>85480</v>
      </c>
      <c r="AP153" s="139">
        <f t="shared" si="27"/>
        <v>102575</v>
      </c>
      <c r="DG153" s="144">
        <v>148</v>
      </c>
      <c r="DH153" s="144">
        <f t="shared" si="28"/>
        <v>19</v>
      </c>
      <c r="DI153" s="144" t="s">
        <v>1177</v>
      </c>
      <c r="DJ153" s="144">
        <f t="shared" si="29"/>
        <v>4</v>
      </c>
      <c r="DK153" s="144" t="str">
        <f t="shared" si="30"/>
        <v>裤子锻造</v>
      </c>
      <c r="DL153" s="144" t="str">
        <f t="shared" si="31"/>
        <v>ui_dtex_Equ_04</v>
      </c>
      <c r="DM153" s="144" t="s">
        <v>1172</v>
      </c>
      <c r="DN153" s="144">
        <f t="shared" si="32"/>
        <v>430</v>
      </c>
    </row>
    <row r="154" spans="32:118" ht="16.5" x14ac:dyDescent="0.2">
      <c r="AF154" s="139">
        <v>149</v>
      </c>
      <c r="AG154" s="139">
        <f>MATCH(AF154-1,金币总表!$Y$4:$Y$12,1)</f>
        <v>8</v>
      </c>
      <c r="AH154" s="21">
        <v>8.9523500000000006E-2</v>
      </c>
      <c r="AI154" s="188">
        <f>ROUND(INDEX(金币总表!$Z$5:$Z$12,装备!AG154)*装备!AH154/$AC$5,0)</f>
        <v>89279</v>
      </c>
      <c r="AJ154" s="188">
        <v>1</v>
      </c>
      <c r="AK154" s="139">
        <f>ROUND(INDEX(金币总表!$Z$5:$Z$12,装备!AG154)*装备!AH154/$AC$5,0)</f>
        <v>89279</v>
      </c>
      <c r="AM154" s="139">
        <f t="shared" si="27"/>
        <v>44640</v>
      </c>
      <c r="AN154" s="139">
        <f t="shared" si="27"/>
        <v>71425</v>
      </c>
      <c r="AO154" s="139">
        <f t="shared" si="27"/>
        <v>89280</v>
      </c>
      <c r="AP154" s="139">
        <f t="shared" si="27"/>
        <v>107135</v>
      </c>
      <c r="DG154" s="144">
        <v>149</v>
      </c>
      <c r="DH154" s="144">
        <f t="shared" si="28"/>
        <v>19</v>
      </c>
      <c r="DI154" s="144" t="s">
        <v>1177</v>
      </c>
      <c r="DJ154" s="144">
        <f t="shared" si="29"/>
        <v>5</v>
      </c>
      <c r="DK154" s="144" t="str">
        <f t="shared" si="30"/>
        <v>鞋子锻造</v>
      </c>
      <c r="DL154" s="144" t="str">
        <f t="shared" si="31"/>
        <v>ui_dtex_Equ_05</v>
      </c>
      <c r="DM154" s="144" t="s">
        <v>1172</v>
      </c>
      <c r="DN154" s="144">
        <f t="shared" si="32"/>
        <v>430</v>
      </c>
    </row>
    <row r="155" spans="32:118" ht="16.5" x14ac:dyDescent="0.2">
      <c r="AF155" s="139">
        <v>150</v>
      </c>
      <c r="AG155" s="139">
        <f>MATCH(AF155-1,金币总表!$Y$4:$Y$12,1)</f>
        <v>8</v>
      </c>
      <c r="AH155" s="19">
        <v>9.3332999999999999E-2</v>
      </c>
      <c r="AI155" s="188">
        <f>ROUND(INDEX(金币总表!$Z$5:$Z$12,装备!AG155)*装备!AH155/$AC$5,0)</f>
        <v>93078</v>
      </c>
      <c r="AJ155" s="188">
        <v>1</v>
      </c>
      <c r="AK155" s="139">
        <f>ROUND(INDEX(金币总表!$Z$5:$Z$12,装备!AG155)*装备!AH155/$AC$5,0)</f>
        <v>93078</v>
      </c>
      <c r="AM155" s="139">
        <f t="shared" si="27"/>
        <v>46540</v>
      </c>
      <c r="AN155" s="139">
        <f t="shared" si="27"/>
        <v>74460</v>
      </c>
      <c r="AO155" s="139">
        <f t="shared" si="27"/>
        <v>93080</v>
      </c>
      <c r="AP155" s="139">
        <f t="shared" si="27"/>
        <v>111695</v>
      </c>
      <c r="DG155" s="144">
        <v>150</v>
      </c>
      <c r="DH155" s="144">
        <f t="shared" si="28"/>
        <v>19</v>
      </c>
      <c r="DI155" s="144" t="s">
        <v>1177</v>
      </c>
      <c r="DJ155" s="144">
        <f t="shared" si="29"/>
        <v>6</v>
      </c>
      <c r="DK155" s="144" t="str">
        <f t="shared" si="30"/>
        <v>护手锻造</v>
      </c>
      <c r="DL155" s="144" t="str">
        <f t="shared" si="31"/>
        <v>ui_dtex_Equ_06</v>
      </c>
      <c r="DM155" s="144" t="s">
        <v>1172</v>
      </c>
      <c r="DN155" s="144">
        <f t="shared" si="32"/>
        <v>430</v>
      </c>
    </row>
    <row r="156" spans="32:118" ht="16.5" x14ac:dyDescent="0.2">
      <c r="DG156" s="144">
        <v>151</v>
      </c>
      <c r="DH156" s="144">
        <f t="shared" si="28"/>
        <v>19</v>
      </c>
      <c r="DI156" s="144" t="s">
        <v>1177</v>
      </c>
      <c r="DJ156" s="144">
        <f t="shared" si="29"/>
        <v>7</v>
      </c>
      <c r="DK156" s="144" t="str">
        <f t="shared" si="30"/>
        <v>项链锻造</v>
      </c>
      <c r="DL156" s="144" t="str">
        <f t="shared" si="31"/>
        <v>ui_dtex_Equ_07</v>
      </c>
      <c r="DM156" s="144" t="s">
        <v>1172</v>
      </c>
      <c r="DN156" s="144">
        <f t="shared" si="32"/>
        <v>645</v>
      </c>
    </row>
    <row r="157" spans="32:118" ht="16.5" x14ac:dyDescent="0.2">
      <c r="DG157" s="144">
        <v>152</v>
      </c>
      <c r="DH157" s="144">
        <f t="shared" si="28"/>
        <v>19</v>
      </c>
      <c r="DI157" s="144" t="s">
        <v>1177</v>
      </c>
      <c r="DJ157" s="144">
        <f t="shared" si="29"/>
        <v>8</v>
      </c>
      <c r="DK157" s="144" t="str">
        <f t="shared" si="30"/>
        <v>戒指锻造</v>
      </c>
      <c r="DL157" s="144" t="str">
        <f t="shared" si="31"/>
        <v>ui_dtex_Equ_08</v>
      </c>
      <c r="DM157" s="144" t="s">
        <v>1172</v>
      </c>
      <c r="DN157" s="144">
        <f t="shared" si="32"/>
        <v>645</v>
      </c>
    </row>
    <row r="158" spans="32:118" ht="16.5" x14ac:dyDescent="0.2">
      <c r="DG158" s="144">
        <v>153</v>
      </c>
      <c r="DH158" s="144">
        <f t="shared" si="28"/>
        <v>20</v>
      </c>
      <c r="DI158" s="144" t="s">
        <v>1177</v>
      </c>
      <c r="DJ158" s="144">
        <f t="shared" si="29"/>
        <v>1</v>
      </c>
      <c r="DK158" s="144" t="str">
        <f t="shared" si="30"/>
        <v>灵器锻造</v>
      </c>
      <c r="DL158" s="144" t="str">
        <f t="shared" si="31"/>
        <v>ui_dtex_Equ_01</v>
      </c>
      <c r="DM158" s="144" t="s">
        <v>1172</v>
      </c>
      <c r="DN158" s="144">
        <f t="shared" si="32"/>
        <v>920</v>
      </c>
    </row>
    <row r="159" spans="32:118" ht="16.5" x14ac:dyDescent="0.2">
      <c r="DG159" s="144">
        <v>154</v>
      </c>
      <c r="DH159" s="144">
        <f t="shared" si="28"/>
        <v>20</v>
      </c>
      <c r="DI159" s="144" t="s">
        <v>1177</v>
      </c>
      <c r="DJ159" s="144">
        <f t="shared" si="29"/>
        <v>2</v>
      </c>
      <c r="DK159" s="144" t="str">
        <f t="shared" si="30"/>
        <v>头盔锻造</v>
      </c>
      <c r="DL159" s="144" t="str">
        <f t="shared" si="31"/>
        <v>ui_dtex_Equ_02</v>
      </c>
      <c r="DM159" s="144" t="s">
        <v>1172</v>
      </c>
      <c r="DN159" s="144">
        <f t="shared" si="32"/>
        <v>460</v>
      </c>
    </row>
    <row r="160" spans="32:118" ht="16.5" x14ac:dyDescent="0.2">
      <c r="DG160" s="144">
        <v>155</v>
      </c>
      <c r="DH160" s="144">
        <f t="shared" si="28"/>
        <v>20</v>
      </c>
      <c r="DI160" s="144" t="s">
        <v>1177</v>
      </c>
      <c r="DJ160" s="144">
        <f t="shared" si="29"/>
        <v>3</v>
      </c>
      <c r="DK160" s="144" t="str">
        <f t="shared" si="30"/>
        <v>铠甲锻造</v>
      </c>
      <c r="DL160" s="144" t="str">
        <f t="shared" si="31"/>
        <v>ui_dtex_Equ_03</v>
      </c>
      <c r="DM160" s="144" t="s">
        <v>1172</v>
      </c>
      <c r="DN160" s="144">
        <f t="shared" si="32"/>
        <v>460</v>
      </c>
    </row>
    <row r="161" spans="111:118" ht="16.5" x14ac:dyDescent="0.2">
      <c r="DG161" s="144">
        <v>156</v>
      </c>
      <c r="DH161" s="144">
        <f t="shared" si="28"/>
        <v>20</v>
      </c>
      <c r="DI161" s="144" t="s">
        <v>1177</v>
      </c>
      <c r="DJ161" s="144">
        <f t="shared" si="29"/>
        <v>4</v>
      </c>
      <c r="DK161" s="144" t="str">
        <f t="shared" si="30"/>
        <v>裤子锻造</v>
      </c>
      <c r="DL161" s="144" t="str">
        <f t="shared" si="31"/>
        <v>ui_dtex_Equ_04</v>
      </c>
      <c r="DM161" s="144" t="s">
        <v>1172</v>
      </c>
      <c r="DN161" s="144">
        <f t="shared" si="32"/>
        <v>460</v>
      </c>
    </row>
    <row r="162" spans="111:118" ht="16.5" x14ac:dyDescent="0.2">
      <c r="DG162" s="144">
        <v>157</v>
      </c>
      <c r="DH162" s="144">
        <f t="shared" si="28"/>
        <v>20</v>
      </c>
      <c r="DI162" s="144" t="s">
        <v>1177</v>
      </c>
      <c r="DJ162" s="144">
        <f t="shared" si="29"/>
        <v>5</v>
      </c>
      <c r="DK162" s="144" t="str">
        <f t="shared" si="30"/>
        <v>鞋子锻造</v>
      </c>
      <c r="DL162" s="144" t="str">
        <f t="shared" si="31"/>
        <v>ui_dtex_Equ_05</v>
      </c>
      <c r="DM162" s="144" t="s">
        <v>1172</v>
      </c>
      <c r="DN162" s="144">
        <f t="shared" si="32"/>
        <v>460</v>
      </c>
    </row>
    <row r="163" spans="111:118" ht="16.5" x14ac:dyDescent="0.2">
      <c r="DG163" s="144">
        <v>158</v>
      </c>
      <c r="DH163" s="144">
        <f t="shared" si="28"/>
        <v>20</v>
      </c>
      <c r="DI163" s="144" t="s">
        <v>1177</v>
      </c>
      <c r="DJ163" s="144">
        <f t="shared" si="29"/>
        <v>6</v>
      </c>
      <c r="DK163" s="144" t="str">
        <f t="shared" si="30"/>
        <v>护手锻造</v>
      </c>
      <c r="DL163" s="144" t="str">
        <f t="shared" si="31"/>
        <v>ui_dtex_Equ_06</v>
      </c>
      <c r="DM163" s="144" t="s">
        <v>1172</v>
      </c>
      <c r="DN163" s="144">
        <f t="shared" si="32"/>
        <v>460</v>
      </c>
    </row>
    <row r="164" spans="111:118" ht="16.5" x14ac:dyDescent="0.2">
      <c r="DG164" s="144">
        <v>159</v>
      </c>
      <c r="DH164" s="144">
        <f t="shared" si="28"/>
        <v>20</v>
      </c>
      <c r="DI164" s="144" t="s">
        <v>1177</v>
      </c>
      <c r="DJ164" s="144">
        <f t="shared" si="29"/>
        <v>7</v>
      </c>
      <c r="DK164" s="144" t="str">
        <f t="shared" si="30"/>
        <v>项链锻造</v>
      </c>
      <c r="DL164" s="144" t="str">
        <f t="shared" si="31"/>
        <v>ui_dtex_Equ_07</v>
      </c>
      <c r="DM164" s="144" t="s">
        <v>1172</v>
      </c>
      <c r="DN164" s="144">
        <f t="shared" si="32"/>
        <v>690</v>
      </c>
    </row>
    <row r="165" spans="111:118" ht="16.5" x14ac:dyDescent="0.2">
      <c r="DG165" s="144">
        <v>160</v>
      </c>
      <c r="DH165" s="144">
        <f t="shared" si="28"/>
        <v>20</v>
      </c>
      <c r="DI165" s="144" t="s">
        <v>1177</v>
      </c>
      <c r="DJ165" s="144">
        <f t="shared" si="29"/>
        <v>8</v>
      </c>
      <c r="DK165" s="144" t="str">
        <f t="shared" si="30"/>
        <v>戒指锻造</v>
      </c>
      <c r="DL165" s="144" t="str">
        <f t="shared" si="31"/>
        <v>ui_dtex_Equ_08</v>
      </c>
      <c r="DM165" s="144" t="s">
        <v>1172</v>
      </c>
      <c r="DN165" s="144">
        <f t="shared" si="32"/>
        <v>690</v>
      </c>
    </row>
    <row r="166" spans="111:118" ht="16.5" x14ac:dyDescent="0.2">
      <c r="DG166" s="144">
        <v>161</v>
      </c>
      <c r="DH166" s="144">
        <f t="shared" si="28"/>
        <v>21</v>
      </c>
      <c r="DI166" s="144" t="s">
        <v>1177</v>
      </c>
      <c r="DJ166" s="144">
        <f t="shared" si="29"/>
        <v>1</v>
      </c>
      <c r="DK166" s="144" t="str">
        <f t="shared" si="30"/>
        <v>灵器锻造</v>
      </c>
      <c r="DL166" s="144" t="str">
        <f t="shared" si="31"/>
        <v>ui_dtex_Equ_01</v>
      </c>
      <c r="DM166" s="144" t="s">
        <v>1172</v>
      </c>
      <c r="DN166" s="144">
        <f t="shared" si="32"/>
        <v>1100</v>
      </c>
    </row>
    <row r="167" spans="111:118" ht="16.5" x14ac:dyDescent="0.2">
      <c r="DG167" s="144">
        <v>162</v>
      </c>
      <c r="DH167" s="144">
        <f t="shared" si="28"/>
        <v>21</v>
      </c>
      <c r="DI167" s="144" t="s">
        <v>1177</v>
      </c>
      <c r="DJ167" s="144">
        <f t="shared" si="29"/>
        <v>2</v>
      </c>
      <c r="DK167" s="144" t="str">
        <f t="shared" si="30"/>
        <v>头盔锻造</v>
      </c>
      <c r="DL167" s="144" t="str">
        <f t="shared" si="31"/>
        <v>ui_dtex_Equ_02</v>
      </c>
      <c r="DM167" s="144" t="s">
        <v>1172</v>
      </c>
      <c r="DN167" s="144">
        <f t="shared" si="32"/>
        <v>550</v>
      </c>
    </row>
    <row r="168" spans="111:118" ht="16.5" x14ac:dyDescent="0.2">
      <c r="DG168" s="144">
        <v>163</v>
      </c>
      <c r="DH168" s="144">
        <f t="shared" si="28"/>
        <v>21</v>
      </c>
      <c r="DI168" s="144" t="s">
        <v>1177</v>
      </c>
      <c r="DJ168" s="144">
        <f t="shared" si="29"/>
        <v>3</v>
      </c>
      <c r="DK168" s="144" t="str">
        <f t="shared" si="30"/>
        <v>铠甲锻造</v>
      </c>
      <c r="DL168" s="144" t="str">
        <f t="shared" si="31"/>
        <v>ui_dtex_Equ_03</v>
      </c>
      <c r="DM168" s="144" t="s">
        <v>1172</v>
      </c>
      <c r="DN168" s="144">
        <f t="shared" si="32"/>
        <v>550</v>
      </c>
    </row>
    <row r="169" spans="111:118" ht="16.5" x14ac:dyDescent="0.2">
      <c r="DG169" s="144">
        <v>164</v>
      </c>
      <c r="DH169" s="144">
        <f t="shared" si="28"/>
        <v>21</v>
      </c>
      <c r="DI169" s="144" t="s">
        <v>1177</v>
      </c>
      <c r="DJ169" s="144">
        <f t="shared" si="29"/>
        <v>4</v>
      </c>
      <c r="DK169" s="144" t="str">
        <f t="shared" si="30"/>
        <v>裤子锻造</v>
      </c>
      <c r="DL169" s="144" t="str">
        <f t="shared" si="31"/>
        <v>ui_dtex_Equ_04</v>
      </c>
      <c r="DM169" s="144" t="s">
        <v>1172</v>
      </c>
      <c r="DN169" s="144">
        <f t="shared" si="32"/>
        <v>550</v>
      </c>
    </row>
    <row r="170" spans="111:118" ht="16.5" x14ac:dyDescent="0.2">
      <c r="DG170" s="144">
        <v>165</v>
      </c>
      <c r="DH170" s="144">
        <f t="shared" si="28"/>
        <v>21</v>
      </c>
      <c r="DI170" s="144" t="s">
        <v>1177</v>
      </c>
      <c r="DJ170" s="144">
        <f t="shared" si="29"/>
        <v>5</v>
      </c>
      <c r="DK170" s="144" t="str">
        <f t="shared" si="30"/>
        <v>鞋子锻造</v>
      </c>
      <c r="DL170" s="144" t="str">
        <f t="shared" si="31"/>
        <v>ui_dtex_Equ_05</v>
      </c>
      <c r="DM170" s="144" t="s">
        <v>1172</v>
      </c>
      <c r="DN170" s="144">
        <f t="shared" si="32"/>
        <v>550</v>
      </c>
    </row>
    <row r="171" spans="111:118" ht="16.5" x14ac:dyDescent="0.2">
      <c r="DG171" s="144">
        <v>166</v>
      </c>
      <c r="DH171" s="144">
        <f t="shared" si="28"/>
        <v>21</v>
      </c>
      <c r="DI171" s="144" t="s">
        <v>1177</v>
      </c>
      <c r="DJ171" s="144">
        <f t="shared" si="29"/>
        <v>6</v>
      </c>
      <c r="DK171" s="144" t="str">
        <f t="shared" si="30"/>
        <v>护手锻造</v>
      </c>
      <c r="DL171" s="144" t="str">
        <f t="shared" si="31"/>
        <v>ui_dtex_Equ_06</v>
      </c>
      <c r="DM171" s="144" t="s">
        <v>1172</v>
      </c>
      <c r="DN171" s="144">
        <f t="shared" si="32"/>
        <v>550</v>
      </c>
    </row>
    <row r="172" spans="111:118" ht="16.5" x14ac:dyDescent="0.2">
      <c r="DG172" s="144">
        <v>167</v>
      </c>
      <c r="DH172" s="144">
        <f t="shared" si="28"/>
        <v>21</v>
      </c>
      <c r="DI172" s="144" t="s">
        <v>1177</v>
      </c>
      <c r="DJ172" s="144">
        <f t="shared" si="29"/>
        <v>7</v>
      </c>
      <c r="DK172" s="144" t="str">
        <f t="shared" si="30"/>
        <v>项链锻造</v>
      </c>
      <c r="DL172" s="144" t="str">
        <f t="shared" si="31"/>
        <v>ui_dtex_Equ_07</v>
      </c>
      <c r="DM172" s="144" t="s">
        <v>1172</v>
      </c>
      <c r="DN172" s="144">
        <f t="shared" si="32"/>
        <v>825</v>
      </c>
    </row>
    <row r="173" spans="111:118" ht="16.5" x14ac:dyDescent="0.2">
      <c r="DG173" s="144">
        <v>168</v>
      </c>
      <c r="DH173" s="144">
        <f t="shared" si="28"/>
        <v>21</v>
      </c>
      <c r="DI173" s="144" t="s">
        <v>1177</v>
      </c>
      <c r="DJ173" s="144">
        <f t="shared" si="29"/>
        <v>8</v>
      </c>
      <c r="DK173" s="144" t="str">
        <f t="shared" si="30"/>
        <v>戒指锻造</v>
      </c>
      <c r="DL173" s="144" t="str">
        <f t="shared" si="31"/>
        <v>ui_dtex_Equ_08</v>
      </c>
      <c r="DM173" s="144" t="s">
        <v>1172</v>
      </c>
      <c r="DN173" s="144">
        <f t="shared" si="32"/>
        <v>825</v>
      </c>
    </row>
    <row r="174" spans="111:118" x14ac:dyDescent="0.2">
      <c r="DG174" s="146"/>
      <c r="DH174" s="146"/>
    </row>
    <row r="175" spans="111:118" x14ac:dyDescent="0.2">
      <c r="DG175" s="146"/>
      <c r="DH175" s="146"/>
    </row>
    <row r="176" spans="111:118" x14ac:dyDescent="0.2">
      <c r="DG176" s="146"/>
      <c r="DH176" s="146"/>
    </row>
    <row r="177" spans="111:112" x14ac:dyDescent="0.2">
      <c r="DG177" s="146"/>
      <c r="DH177" s="146"/>
    </row>
    <row r="178" spans="111:112" x14ac:dyDescent="0.2">
      <c r="DG178" s="146"/>
      <c r="DH178" s="146"/>
    </row>
    <row r="179" spans="111:112" x14ac:dyDescent="0.2">
      <c r="DG179" s="146"/>
      <c r="DH179" s="146"/>
    </row>
    <row r="180" spans="111:112" x14ac:dyDescent="0.2">
      <c r="DG180" s="146"/>
      <c r="DH180" s="146"/>
    </row>
    <row r="181" spans="111:112" x14ac:dyDescent="0.2">
      <c r="DG181" s="146"/>
      <c r="DH181" s="146"/>
    </row>
    <row r="182" spans="111:112" x14ac:dyDescent="0.2">
      <c r="DG182" s="146"/>
      <c r="DH182" s="146"/>
    </row>
    <row r="183" spans="111:112" x14ac:dyDescent="0.2">
      <c r="DG183" s="146"/>
      <c r="DH183" s="146"/>
    </row>
    <row r="184" spans="111:112" x14ac:dyDescent="0.2">
      <c r="DG184" s="146"/>
      <c r="DH184" s="146"/>
    </row>
    <row r="185" spans="111:112" x14ac:dyDescent="0.2">
      <c r="DG185" s="146"/>
      <c r="DH185" s="146"/>
    </row>
    <row r="186" spans="111:112" x14ac:dyDescent="0.2">
      <c r="DG186" s="146"/>
      <c r="DH186" s="146"/>
    </row>
    <row r="187" spans="111:112" x14ac:dyDescent="0.2">
      <c r="DG187" s="146"/>
      <c r="DH187" s="146"/>
    </row>
    <row r="188" spans="111:112" x14ac:dyDescent="0.2">
      <c r="DG188" s="146"/>
      <c r="DH188" s="146"/>
    </row>
    <row r="189" spans="111:112" x14ac:dyDescent="0.2">
      <c r="DG189" s="146"/>
      <c r="DH189" s="146"/>
    </row>
    <row r="190" spans="111:112" x14ac:dyDescent="0.2">
      <c r="DG190" s="146"/>
      <c r="DH190" s="146"/>
    </row>
    <row r="191" spans="111:112" x14ac:dyDescent="0.2">
      <c r="DG191" s="146"/>
      <c r="DH191" s="146"/>
    </row>
    <row r="192" spans="111:112" x14ac:dyDescent="0.2">
      <c r="DG192" s="146"/>
      <c r="DH192" s="146"/>
    </row>
    <row r="193" spans="111:112" x14ac:dyDescent="0.2">
      <c r="DG193" s="146"/>
      <c r="DH193" s="146"/>
    </row>
    <row r="194" spans="111:112" x14ac:dyDescent="0.2">
      <c r="DG194" s="146"/>
      <c r="DH194" s="146"/>
    </row>
    <row r="195" spans="111:112" x14ac:dyDescent="0.2">
      <c r="DG195" s="146"/>
      <c r="DH195" s="146"/>
    </row>
    <row r="196" spans="111:112" x14ac:dyDescent="0.2">
      <c r="DG196" s="146"/>
      <c r="DH196" s="146"/>
    </row>
    <row r="197" spans="111:112" x14ac:dyDescent="0.2">
      <c r="DG197" s="146"/>
      <c r="DH197" s="146"/>
    </row>
    <row r="198" spans="111:112" x14ac:dyDescent="0.2">
      <c r="DG198" s="146"/>
      <c r="DH198" s="146"/>
    </row>
    <row r="199" spans="111:112" x14ac:dyDescent="0.2">
      <c r="DG199" s="146"/>
      <c r="DH199" s="146"/>
    </row>
    <row r="200" spans="111:112" x14ac:dyDescent="0.2">
      <c r="DG200" s="146"/>
      <c r="DH200" s="146"/>
    </row>
    <row r="201" spans="111:112" x14ac:dyDescent="0.2">
      <c r="DG201" s="146"/>
      <c r="DH201" s="146"/>
    </row>
    <row r="202" spans="111:112" x14ac:dyDescent="0.2">
      <c r="DG202" s="146"/>
      <c r="DH202" s="146"/>
    </row>
    <row r="203" spans="111:112" x14ac:dyDescent="0.2">
      <c r="DG203" s="146"/>
      <c r="DH203" s="146"/>
    </row>
    <row r="204" spans="111:112" x14ac:dyDescent="0.2">
      <c r="DG204" s="146"/>
      <c r="DH204" s="146"/>
    </row>
    <row r="205" spans="111:112" x14ac:dyDescent="0.2">
      <c r="DG205" s="146"/>
      <c r="DH205" s="146"/>
    </row>
    <row r="206" spans="111:112" x14ac:dyDescent="0.2">
      <c r="DG206" s="146"/>
      <c r="DH206" s="146"/>
    </row>
    <row r="207" spans="111:112" x14ac:dyDescent="0.2">
      <c r="DG207" s="146"/>
      <c r="DH207" s="146"/>
    </row>
    <row r="208" spans="111:112" x14ac:dyDescent="0.2">
      <c r="DG208" s="146"/>
      <c r="DH208" s="146"/>
    </row>
    <row r="209" spans="111:112" x14ac:dyDescent="0.2">
      <c r="DG209" s="146"/>
      <c r="DH209" s="146"/>
    </row>
    <row r="210" spans="111:112" x14ac:dyDescent="0.2">
      <c r="DG210" s="146"/>
      <c r="DH210" s="146"/>
    </row>
    <row r="211" spans="111:112" x14ac:dyDescent="0.2">
      <c r="DG211" s="146"/>
      <c r="DH211" s="146"/>
    </row>
    <row r="212" spans="111:112" x14ac:dyDescent="0.2">
      <c r="DG212" s="146"/>
      <c r="DH212" s="146"/>
    </row>
    <row r="213" spans="111:112" x14ac:dyDescent="0.2">
      <c r="DG213" s="146"/>
      <c r="DH213" s="146"/>
    </row>
    <row r="214" spans="111:112" x14ac:dyDescent="0.2">
      <c r="DG214" s="146"/>
      <c r="DH214" s="146"/>
    </row>
    <row r="215" spans="111:112" x14ac:dyDescent="0.2">
      <c r="DG215" s="146"/>
      <c r="DH215" s="146"/>
    </row>
    <row r="216" spans="111:112" x14ac:dyDescent="0.2">
      <c r="DG216" s="146"/>
      <c r="DH216" s="146"/>
    </row>
    <row r="217" spans="111:112" x14ac:dyDescent="0.2">
      <c r="DG217" s="146"/>
      <c r="DH217" s="146"/>
    </row>
    <row r="218" spans="111:112" x14ac:dyDescent="0.2">
      <c r="DG218" s="146"/>
      <c r="DH218" s="146"/>
    </row>
    <row r="219" spans="111:112" x14ac:dyDescent="0.2">
      <c r="DG219" s="146"/>
      <c r="DH219" s="146"/>
    </row>
    <row r="220" spans="111:112" x14ac:dyDescent="0.2">
      <c r="DG220" s="146"/>
      <c r="DH220" s="146"/>
    </row>
    <row r="221" spans="111:112" x14ac:dyDescent="0.2">
      <c r="DG221" s="146"/>
      <c r="DH221" s="146"/>
    </row>
  </sheetData>
  <mergeCells count="6">
    <mergeCell ref="BD4:BT4"/>
    <mergeCell ref="BW4:CD4"/>
    <mergeCell ref="A51:G51"/>
    <mergeCell ref="A5:M45"/>
    <mergeCell ref="O4:X4"/>
    <mergeCell ref="AS4:BA4"/>
  </mergeCells>
  <phoneticPr fontId="2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HK786"/>
  <sheetViews>
    <sheetView workbookViewId="0">
      <selection activeCell="AB19" sqref="AB19"/>
    </sheetView>
  </sheetViews>
  <sheetFormatPr defaultRowHeight="14.25" x14ac:dyDescent="0.2"/>
  <cols>
    <col min="19" max="19" width="9.625" bestFit="1" customWidth="1"/>
    <col min="25" max="25" width="11.375" style="204" bestFit="1" customWidth="1"/>
    <col min="26" max="26" width="11.375" style="204" customWidth="1"/>
    <col min="27" max="27" width="40.125" customWidth="1"/>
    <col min="28" max="28" width="61.25" customWidth="1"/>
    <col min="29" max="29" width="78.75" customWidth="1"/>
    <col min="30" max="31" width="10.375" customWidth="1"/>
    <col min="32" max="34" width="9" customWidth="1"/>
    <col min="35" max="35" width="12.625" style="201" customWidth="1"/>
    <col min="36" max="40" width="9" customWidth="1"/>
    <col min="44" max="44" width="10.5" style="146" customWidth="1"/>
    <col min="45" max="45" width="20.75" style="146" customWidth="1"/>
    <col min="46" max="46" width="23.75" style="146" customWidth="1"/>
    <col min="49" max="49" width="9.625" customWidth="1"/>
    <col min="62" max="62" width="9.5" style="204" bestFit="1" customWidth="1"/>
    <col min="69" max="153" width="9" customWidth="1"/>
    <col min="155" max="155" width="9" style="204"/>
    <col min="156" max="156" width="9" style="182"/>
    <col min="160" max="160" width="7.625" style="182" customWidth="1"/>
    <col min="166" max="166" width="9" style="182"/>
    <col min="173" max="173" width="9" style="182"/>
    <col min="180" max="180" width="9" style="182"/>
    <col min="187" max="187" width="9" style="182"/>
    <col min="196" max="196" width="9" style="182"/>
    <col min="208" max="208" width="9.875" customWidth="1"/>
    <col min="209" max="209" width="9.875" style="204" customWidth="1"/>
    <col min="210" max="211" width="7.75" style="204" customWidth="1"/>
    <col min="212" max="212" width="15.5" customWidth="1"/>
    <col min="213" max="213" width="18.625" customWidth="1"/>
    <col min="214" max="214" width="9.375" customWidth="1"/>
    <col min="215" max="215" width="10.25" customWidth="1"/>
    <col min="216" max="216" width="14.25" customWidth="1"/>
    <col min="217" max="217" width="13.125" customWidth="1"/>
    <col min="218" max="218" width="11" customWidth="1"/>
    <col min="219" max="219" width="10.625" customWidth="1"/>
  </cols>
  <sheetData>
    <row r="2" spans="1:219" x14ac:dyDescent="0.2">
      <c r="BQ2">
        <v>1</v>
      </c>
      <c r="BR2">
        <v>2</v>
      </c>
      <c r="BS2">
        <v>3</v>
      </c>
      <c r="BT2">
        <v>4</v>
      </c>
      <c r="BU2">
        <v>5</v>
      </c>
      <c r="BV2">
        <v>6</v>
      </c>
      <c r="BW2">
        <v>7</v>
      </c>
      <c r="BX2">
        <v>8</v>
      </c>
      <c r="BY2">
        <v>9</v>
      </c>
      <c r="BZ2">
        <v>10</v>
      </c>
      <c r="CA2">
        <v>11</v>
      </c>
      <c r="CB2">
        <v>12</v>
      </c>
      <c r="CC2">
        <v>13</v>
      </c>
      <c r="CD2">
        <v>14</v>
      </c>
      <c r="CE2">
        <v>15</v>
      </c>
      <c r="CF2">
        <v>16</v>
      </c>
      <c r="CG2">
        <v>17</v>
      </c>
      <c r="CH2">
        <v>18</v>
      </c>
      <c r="CI2">
        <v>19</v>
      </c>
      <c r="CJ2">
        <v>20</v>
      </c>
      <c r="CK2">
        <v>21</v>
      </c>
      <c r="CL2">
        <v>22</v>
      </c>
      <c r="CM2">
        <v>23</v>
      </c>
      <c r="CN2">
        <v>24</v>
      </c>
      <c r="CO2">
        <v>25</v>
      </c>
      <c r="CP2">
        <v>26</v>
      </c>
      <c r="CQ2">
        <v>27</v>
      </c>
      <c r="CR2">
        <v>28</v>
      </c>
      <c r="CS2">
        <v>29</v>
      </c>
      <c r="CT2">
        <v>30</v>
      </c>
      <c r="CU2">
        <v>31</v>
      </c>
      <c r="CV2">
        <v>32</v>
      </c>
      <c r="CW2">
        <v>33</v>
      </c>
      <c r="CX2">
        <v>34</v>
      </c>
      <c r="CY2">
        <v>35</v>
      </c>
      <c r="CZ2">
        <v>36</v>
      </c>
      <c r="DA2">
        <v>37</v>
      </c>
      <c r="DB2">
        <v>38</v>
      </c>
      <c r="DC2">
        <v>39</v>
      </c>
      <c r="DD2">
        <v>40</v>
      </c>
      <c r="DE2">
        <v>41</v>
      </c>
      <c r="DF2">
        <v>42</v>
      </c>
    </row>
    <row r="4" spans="1:219" ht="20.25" x14ac:dyDescent="0.2">
      <c r="A4" s="27" t="s">
        <v>637</v>
      </c>
      <c r="B4" s="87">
        <v>5</v>
      </c>
      <c r="J4" s="233" t="s">
        <v>722</v>
      </c>
      <c r="K4" s="233"/>
      <c r="L4" s="233"/>
      <c r="N4" s="234" t="s">
        <v>1591</v>
      </c>
      <c r="O4" s="234"/>
      <c r="P4" s="234"/>
      <c r="Q4" s="234"/>
      <c r="R4" s="234"/>
      <c r="S4" s="234"/>
      <c r="T4" s="234"/>
      <c r="W4" s="233" t="s">
        <v>728</v>
      </c>
      <c r="X4" s="233"/>
      <c r="Y4" s="233"/>
      <c r="Z4" s="233"/>
      <c r="AA4" s="233"/>
      <c r="AB4" s="233"/>
      <c r="AC4" s="233"/>
      <c r="AF4" s="233" t="s">
        <v>773</v>
      </c>
      <c r="AG4" s="233"/>
      <c r="AH4" s="233"/>
      <c r="AI4" s="233"/>
      <c r="AJ4" s="233"/>
      <c r="AK4" s="233"/>
      <c r="AL4" s="233"/>
      <c r="AO4" s="233" t="s">
        <v>774</v>
      </c>
      <c r="AP4" s="233"/>
      <c r="AQ4" s="233"/>
      <c r="AR4" s="233"/>
      <c r="AS4" s="233"/>
      <c r="AT4" s="233"/>
      <c r="AU4" s="233"/>
      <c r="AV4" s="233"/>
      <c r="AW4" s="233"/>
      <c r="AX4" s="233"/>
      <c r="AY4" s="233"/>
      <c r="AZ4" s="233"/>
      <c r="BA4" s="233"/>
      <c r="BB4" s="233"/>
      <c r="BE4" s="233" t="s">
        <v>777</v>
      </c>
      <c r="BF4" s="233"/>
      <c r="BG4" s="233"/>
      <c r="BI4" s="234" t="s">
        <v>1598</v>
      </c>
      <c r="BJ4" s="234"/>
      <c r="BL4" s="233" t="s">
        <v>780</v>
      </c>
      <c r="BM4" s="233"/>
      <c r="BN4" s="233"/>
      <c r="BO4" s="233"/>
      <c r="BP4" s="233"/>
      <c r="BQ4" s="233"/>
      <c r="BR4" s="233"/>
      <c r="BS4" s="233"/>
      <c r="BT4" s="233"/>
      <c r="BU4" s="233"/>
      <c r="BV4" s="233"/>
      <c r="BW4" s="233"/>
      <c r="BX4" s="233"/>
      <c r="BY4" s="233"/>
      <c r="BZ4" s="233"/>
      <c r="CA4" s="233"/>
      <c r="CB4" s="233"/>
      <c r="CC4" s="233"/>
      <c r="CD4" s="233"/>
      <c r="CE4" s="233"/>
      <c r="CF4" s="233"/>
      <c r="CG4" s="233"/>
      <c r="CH4" s="233"/>
      <c r="CI4" s="233"/>
      <c r="CJ4" s="233"/>
      <c r="CK4" s="233"/>
      <c r="CL4" s="233"/>
      <c r="CM4" s="233"/>
      <c r="CN4" s="233"/>
      <c r="CO4" s="233"/>
      <c r="CP4" s="233"/>
      <c r="CQ4" s="233"/>
      <c r="CR4" s="233"/>
      <c r="CS4" s="233"/>
      <c r="CT4" s="233"/>
      <c r="CU4" s="233"/>
      <c r="CV4" s="233"/>
      <c r="CW4" s="233"/>
      <c r="CX4" s="233"/>
      <c r="CY4" s="233"/>
      <c r="CZ4" s="233"/>
      <c r="DA4" s="233"/>
      <c r="DB4" s="233"/>
      <c r="DC4" s="233"/>
      <c r="DD4" s="233"/>
      <c r="DE4" s="233"/>
      <c r="DF4" s="233"/>
      <c r="DH4" s="233" t="s">
        <v>787</v>
      </c>
      <c r="DI4" s="233"/>
      <c r="DJ4" s="233"/>
      <c r="DK4" s="233"/>
      <c r="DL4" s="233"/>
      <c r="DM4" s="233"/>
      <c r="DN4" s="233"/>
      <c r="DO4" s="233"/>
      <c r="DP4" s="233"/>
      <c r="DQ4" s="233"/>
      <c r="DR4" s="233"/>
      <c r="DS4" s="233"/>
      <c r="DT4" s="233"/>
      <c r="DU4" s="233"/>
      <c r="DV4" s="233"/>
      <c r="DW4" s="233"/>
      <c r="DX4" s="233"/>
      <c r="DY4" s="233"/>
      <c r="DZ4" s="233"/>
      <c r="EA4" s="233"/>
      <c r="EB4" s="233"/>
      <c r="EC4" s="233"/>
      <c r="ED4" s="233"/>
      <c r="EE4" s="233"/>
      <c r="EF4" s="233"/>
      <c r="EG4" s="233"/>
      <c r="EH4" s="233"/>
      <c r="EI4" s="233"/>
      <c r="EJ4" s="233"/>
      <c r="EK4" s="233"/>
      <c r="EL4" s="233"/>
      <c r="EM4" s="233"/>
      <c r="EN4" s="233"/>
      <c r="EO4" s="233"/>
      <c r="EP4" s="233"/>
      <c r="EQ4" s="233"/>
      <c r="ER4" s="233"/>
      <c r="ES4" s="233"/>
      <c r="ET4" s="233"/>
      <c r="EU4" s="233"/>
      <c r="EV4" s="233"/>
      <c r="EW4" s="233"/>
      <c r="EZ4" s="233" t="s">
        <v>578</v>
      </c>
      <c r="FA4" s="233"/>
      <c r="FB4" s="233"/>
      <c r="FC4" s="233"/>
      <c r="FD4" s="233"/>
      <c r="FE4" s="233"/>
      <c r="FF4" s="233"/>
      <c r="FG4" s="233"/>
      <c r="FH4" s="233"/>
      <c r="FI4" s="233"/>
      <c r="FJ4" s="233"/>
      <c r="FK4" s="233"/>
      <c r="FL4" s="233"/>
      <c r="FM4" s="233"/>
      <c r="FN4" s="233"/>
      <c r="FO4" s="233"/>
      <c r="FP4" s="233"/>
      <c r="FQ4" s="233"/>
      <c r="FR4" s="233"/>
      <c r="FS4" s="233"/>
      <c r="FT4" s="233"/>
      <c r="FU4" s="233"/>
      <c r="FV4" s="233"/>
      <c r="FW4" s="233"/>
      <c r="FX4" s="233"/>
      <c r="FY4" s="233"/>
      <c r="FZ4" s="233"/>
      <c r="GA4" s="233"/>
      <c r="GB4" s="233"/>
      <c r="GC4" s="233"/>
      <c r="GD4" s="233"/>
      <c r="GE4" s="233"/>
      <c r="GF4" s="233"/>
      <c r="GG4" s="233"/>
      <c r="GH4" s="233"/>
      <c r="GI4" s="233"/>
      <c r="GJ4" s="233"/>
      <c r="GK4" s="233"/>
      <c r="GL4" s="233"/>
      <c r="GM4" s="233"/>
      <c r="GN4" s="233"/>
      <c r="GO4" s="233"/>
      <c r="GP4" s="233"/>
      <c r="GQ4" s="233"/>
      <c r="GR4" s="233"/>
      <c r="GS4" s="233"/>
      <c r="GT4" s="233"/>
      <c r="GU4" s="233"/>
      <c r="GV4" s="233"/>
      <c r="GY4" s="233" t="s">
        <v>803</v>
      </c>
      <c r="GZ4" s="233"/>
      <c r="HA4" s="233"/>
      <c r="HB4" s="233"/>
      <c r="HC4" s="233"/>
      <c r="HD4" s="233"/>
      <c r="HE4" s="233"/>
      <c r="HF4" s="233"/>
      <c r="HG4" s="233"/>
      <c r="HH4" s="233"/>
      <c r="HI4" s="233"/>
      <c r="HJ4" s="233"/>
      <c r="HK4" s="233"/>
    </row>
    <row r="5" spans="1:219" ht="16.5" customHeight="1" x14ac:dyDescent="0.2">
      <c r="A5" s="132"/>
      <c r="B5" s="132"/>
      <c r="C5" s="132"/>
      <c r="J5" s="93"/>
      <c r="K5" s="93"/>
      <c r="L5" s="93"/>
      <c r="N5" s="94"/>
      <c r="O5" s="94"/>
      <c r="P5" s="94"/>
      <c r="Q5" s="94"/>
      <c r="R5" s="94"/>
      <c r="S5" s="94"/>
      <c r="T5" s="94"/>
      <c r="W5" s="93"/>
      <c r="X5" s="93"/>
      <c r="Y5" s="202"/>
      <c r="Z5" s="202"/>
      <c r="AA5" s="93"/>
      <c r="AB5" s="93"/>
      <c r="AC5" s="93"/>
      <c r="AF5" s="93"/>
      <c r="AG5" s="93"/>
      <c r="AH5" s="93"/>
      <c r="AI5" s="199"/>
      <c r="AJ5" s="93"/>
      <c r="AK5" s="93"/>
      <c r="AL5" s="93"/>
      <c r="AO5" s="93"/>
      <c r="AP5" s="93"/>
      <c r="AQ5" s="93"/>
      <c r="AR5" s="143"/>
      <c r="AS5" s="143"/>
      <c r="AT5" s="143"/>
      <c r="AU5" s="93"/>
      <c r="AV5" s="93"/>
      <c r="AW5" s="93"/>
      <c r="AX5" s="93"/>
      <c r="AY5" s="93"/>
      <c r="AZ5" s="93"/>
      <c r="BA5" s="93"/>
      <c r="BB5" s="93"/>
      <c r="BE5" s="93"/>
      <c r="BF5" s="93"/>
      <c r="BG5" s="93"/>
      <c r="BL5" s="93"/>
      <c r="BM5" s="93"/>
      <c r="BN5" s="93"/>
      <c r="BO5" s="93"/>
      <c r="BP5" s="93"/>
      <c r="BQ5" s="93"/>
      <c r="BR5" s="93"/>
      <c r="BS5" s="93"/>
      <c r="BT5" s="93"/>
      <c r="BU5" s="93"/>
      <c r="BV5" s="93"/>
      <c r="BW5" s="93"/>
      <c r="BX5" s="93"/>
      <c r="BY5" s="93"/>
      <c r="BZ5" s="93"/>
      <c r="CA5" s="93"/>
      <c r="CB5" s="93"/>
      <c r="CC5" s="93"/>
      <c r="CD5" s="93"/>
      <c r="CE5" s="93"/>
      <c r="CF5" s="93"/>
      <c r="CG5" s="93"/>
      <c r="CH5" s="93"/>
      <c r="CI5" s="93"/>
      <c r="CJ5" s="93"/>
      <c r="CK5" s="93"/>
      <c r="CL5" s="93"/>
      <c r="CM5" s="93"/>
      <c r="CN5" s="93"/>
      <c r="CO5" s="93"/>
      <c r="CP5" s="93"/>
      <c r="CQ5" s="93"/>
      <c r="CR5" s="93"/>
      <c r="CS5" s="93"/>
      <c r="CT5" s="93"/>
      <c r="CU5" s="93"/>
      <c r="CV5" s="93"/>
      <c r="CW5" s="93"/>
      <c r="CX5" s="93"/>
      <c r="CY5" s="93"/>
      <c r="CZ5" s="93"/>
      <c r="DA5" s="93"/>
      <c r="DB5" s="93"/>
      <c r="DC5" s="93"/>
      <c r="DD5" s="93"/>
      <c r="DE5" s="93"/>
      <c r="DF5" s="93"/>
      <c r="DH5" s="93"/>
      <c r="DI5" s="93"/>
      <c r="DJ5" s="93"/>
      <c r="DK5" s="93"/>
      <c r="DL5" s="93"/>
      <c r="DM5" s="93"/>
      <c r="DN5" s="93"/>
      <c r="DO5" s="93"/>
      <c r="DP5" s="93"/>
      <c r="DQ5" s="93"/>
      <c r="DR5" s="93"/>
      <c r="DS5" s="93"/>
      <c r="DT5" s="93"/>
      <c r="DU5" s="93"/>
      <c r="DV5" s="93"/>
      <c r="DW5" s="93"/>
      <c r="DX5" s="93"/>
      <c r="DY5" s="93"/>
      <c r="DZ5" s="93"/>
      <c r="EA5" s="93"/>
      <c r="EB5" s="93"/>
      <c r="EC5" s="93"/>
      <c r="ED5" s="93"/>
      <c r="EE5" s="93"/>
      <c r="EF5" s="93"/>
      <c r="EG5" s="93"/>
      <c r="EH5" s="93"/>
      <c r="EI5" s="93"/>
      <c r="EJ5" s="93"/>
      <c r="EK5" s="93"/>
      <c r="EL5" s="93"/>
      <c r="EM5" s="93"/>
      <c r="EN5" s="93"/>
      <c r="EO5" s="93"/>
      <c r="EP5" s="93"/>
      <c r="EQ5" s="93"/>
      <c r="ER5" s="93"/>
      <c r="ES5" s="93"/>
      <c r="ET5" s="93"/>
      <c r="EU5" s="93"/>
      <c r="EV5" s="93"/>
      <c r="EW5" s="93"/>
      <c r="EZ5" s="254" t="s">
        <v>804</v>
      </c>
      <c r="FA5" s="254"/>
      <c r="FB5" s="254"/>
      <c r="FC5" s="254"/>
      <c r="FD5" s="253" t="s">
        <v>805</v>
      </c>
      <c r="FE5" s="253"/>
      <c r="FF5" s="253"/>
      <c r="FG5" s="253"/>
      <c r="FH5" s="253"/>
      <c r="FI5" s="253"/>
      <c r="FJ5" s="253" t="s">
        <v>806</v>
      </c>
      <c r="FK5" s="253"/>
      <c r="FL5" s="253"/>
      <c r="FM5" s="253"/>
      <c r="FN5" s="253"/>
      <c r="FO5" s="253"/>
      <c r="FP5" s="253"/>
      <c r="FQ5" s="252" t="s">
        <v>807</v>
      </c>
      <c r="FR5" s="252"/>
      <c r="FS5" s="252"/>
      <c r="FT5" s="252"/>
      <c r="FU5" s="252"/>
      <c r="FV5" s="252"/>
      <c r="FW5" s="252"/>
      <c r="FX5" s="253" t="s">
        <v>808</v>
      </c>
      <c r="FY5" s="253"/>
      <c r="FZ5" s="253"/>
      <c r="GA5" s="253"/>
      <c r="GB5" s="253"/>
      <c r="GC5" s="253"/>
      <c r="GD5" s="253"/>
      <c r="GE5" s="253" t="s">
        <v>809</v>
      </c>
      <c r="GF5" s="253"/>
      <c r="GG5" s="253"/>
      <c r="GH5" s="253"/>
      <c r="GI5" s="253"/>
      <c r="GJ5" s="253"/>
      <c r="GK5" s="253"/>
      <c r="GL5" s="253"/>
      <c r="GM5" s="253"/>
      <c r="GN5" s="253" t="s">
        <v>1551</v>
      </c>
      <c r="GO5" s="253"/>
      <c r="GP5" s="253"/>
      <c r="GQ5" s="253"/>
      <c r="GR5" s="253"/>
      <c r="GS5" s="253"/>
      <c r="GT5" s="253"/>
      <c r="GU5" s="253"/>
      <c r="GV5" s="253"/>
      <c r="GY5" s="93"/>
      <c r="GZ5" s="93"/>
      <c r="HA5" s="202"/>
      <c r="HB5" s="202"/>
      <c r="HC5" s="202"/>
      <c r="HD5" s="93"/>
      <c r="HE5" s="93"/>
      <c r="HF5" s="93"/>
      <c r="HG5" s="93"/>
      <c r="HH5" s="93"/>
      <c r="HI5" s="93"/>
    </row>
    <row r="6" spans="1:219" ht="17.25" x14ac:dyDescent="0.2">
      <c r="A6" s="12" t="s">
        <v>627</v>
      </c>
      <c r="B6" s="12" t="s">
        <v>214</v>
      </c>
      <c r="C6" s="12" t="s">
        <v>549</v>
      </c>
      <c r="E6" s="12" t="s">
        <v>168</v>
      </c>
      <c r="F6" s="12" t="s">
        <v>629</v>
      </c>
      <c r="G6" s="12" t="s">
        <v>630</v>
      </c>
      <c r="H6" s="12" t="s">
        <v>549</v>
      </c>
      <c r="J6" s="12" t="s">
        <v>73</v>
      </c>
      <c r="K6" s="12" t="s">
        <v>675</v>
      </c>
      <c r="L6" s="12" t="s">
        <v>431</v>
      </c>
      <c r="N6" s="12" t="s">
        <v>788</v>
      </c>
      <c r="O6" s="12" t="s">
        <v>789</v>
      </c>
      <c r="P6" s="12" t="s">
        <v>790</v>
      </c>
      <c r="Q6" s="12" t="s">
        <v>791</v>
      </c>
      <c r="R6" s="12" t="s">
        <v>792</v>
      </c>
      <c r="S6" s="12" t="s">
        <v>795</v>
      </c>
      <c r="T6" s="12" t="s">
        <v>793</v>
      </c>
      <c r="W6" s="12" t="s">
        <v>729</v>
      </c>
      <c r="X6" s="12" t="s">
        <v>726</v>
      </c>
      <c r="Y6" s="12" t="s">
        <v>1592</v>
      </c>
      <c r="Z6" s="12" t="s">
        <v>1602</v>
      </c>
      <c r="AA6" s="12" t="s">
        <v>730</v>
      </c>
      <c r="AB6" s="12" t="s">
        <v>731</v>
      </c>
      <c r="AC6" s="12" t="s">
        <v>564</v>
      </c>
      <c r="AF6" s="12" t="s">
        <v>639</v>
      </c>
      <c r="AG6" s="12" t="s">
        <v>624</v>
      </c>
      <c r="AH6" s="12" t="s">
        <v>625</v>
      </c>
      <c r="AI6" s="12" t="s">
        <v>1590</v>
      </c>
      <c r="AJ6" s="12" t="s">
        <v>356</v>
      </c>
      <c r="AK6" s="12" t="s">
        <v>626</v>
      </c>
      <c r="AL6" s="12" t="s">
        <v>772</v>
      </c>
      <c r="AO6" s="12" t="s">
        <v>743</v>
      </c>
      <c r="AP6" s="12" t="s">
        <v>744</v>
      </c>
      <c r="AQ6" s="12" t="s">
        <v>749</v>
      </c>
      <c r="AR6" s="12" t="s">
        <v>1201</v>
      </c>
      <c r="AS6" s="12"/>
      <c r="AT6" s="12"/>
      <c r="AU6" s="12" t="s">
        <v>745</v>
      </c>
      <c r="AV6" s="12" t="s">
        <v>735</v>
      </c>
      <c r="AW6" s="12" t="s">
        <v>738</v>
      </c>
      <c r="AX6" s="12" t="s">
        <v>736</v>
      </c>
      <c r="AY6" s="12" t="s">
        <v>737</v>
      </c>
      <c r="AZ6" s="12" t="s">
        <v>739</v>
      </c>
      <c r="BA6" s="12" t="s">
        <v>211</v>
      </c>
      <c r="BB6" s="12" t="s">
        <v>746</v>
      </c>
      <c r="BE6" s="23" t="s">
        <v>775</v>
      </c>
      <c r="BF6" s="23" t="s">
        <v>562</v>
      </c>
      <c r="BG6" s="23" t="s">
        <v>776</v>
      </c>
      <c r="BI6" s="45" t="s">
        <v>1596</v>
      </c>
      <c r="BJ6" s="45" t="s">
        <v>1597</v>
      </c>
      <c r="BL6" s="12" t="s">
        <v>778</v>
      </c>
      <c r="BM6" s="12" t="s">
        <v>779</v>
      </c>
      <c r="BN6" s="12" t="s">
        <v>781</v>
      </c>
      <c r="BO6" s="12" t="s">
        <v>782</v>
      </c>
      <c r="BP6" s="12" t="s">
        <v>684</v>
      </c>
      <c r="BQ6" s="12" t="s">
        <v>676</v>
      </c>
      <c r="BR6" s="12" t="s">
        <v>218</v>
      </c>
      <c r="BS6" s="12" t="s">
        <v>677</v>
      </c>
      <c r="BT6" s="12" t="s">
        <v>678</v>
      </c>
      <c r="BU6" s="12" t="s">
        <v>679</v>
      </c>
      <c r="BV6" s="12" t="s">
        <v>680</v>
      </c>
      <c r="BW6" s="12" t="s">
        <v>681</v>
      </c>
      <c r="BX6" s="12" t="s">
        <v>682</v>
      </c>
      <c r="BY6" s="12" t="s">
        <v>687</v>
      </c>
      <c r="BZ6" s="12" t="s">
        <v>688</v>
      </c>
      <c r="CA6" s="12" t="s">
        <v>689</v>
      </c>
      <c r="CB6" s="12" t="s">
        <v>690</v>
      </c>
      <c r="CC6" s="12" t="s">
        <v>691</v>
      </c>
      <c r="CD6" s="12" t="s">
        <v>692</v>
      </c>
      <c r="CE6" s="12" t="s">
        <v>693</v>
      </c>
      <c r="CF6" s="12" t="s">
        <v>694</v>
      </c>
      <c r="CG6" s="12" t="s">
        <v>695</v>
      </c>
      <c r="CH6" s="12" t="s">
        <v>696</v>
      </c>
      <c r="CI6" s="12" t="s">
        <v>697</v>
      </c>
      <c r="CJ6" s="12" t="s">
        <v>698</v>
      </c>
      <c r="CK6" s="12" t="s">
        <v>699</v>
      </c>
      <c r="CL6" s="12" t="s">
        <v>700</v>
      </c>
      <c r="CM6" s="12" t="s">
        <v>701</v>
      </c>
      <c r="CN6" s="12" t="s">
        <v>702</v>
      </c>
      <c r="CO6" s="12" t="s">
        <v>703</v>
      </c>
      <c r="CP6" s="12" t="s">
        <v>704</v>
      </c>
      <c r="CQ6" s="12" t="s">
        <v>705</v>
      </c>
      <c r="CR6" s="12" t="s">
        <v>706</v>
      </c>
      <c r="CS6" s="12" t="s">
        <v>707</v>
      </c>
      <c r="CT6" s="12" t="s">
        <v>708</v>
      </c>
      <c r="CU6" s="12" t="s">
        <v>709</v>
      </c>
      <c r="CV6" s="12" t="s">
        <v>710</v>
      </c>
      <c r="CW6" s="12" t="s">
        <v>711</v>
      </c>
      <c r="CX6" s="12" t="s">
        <v>712</v>
      </c>
      <c r="CY6" s="12" t="s">
        <v>713</v>
      </c>
      <c r="CZ6" s="12" t="s">
        <v>714</v>
      </c>
      <c r="DA6" s="12" t="s">
        <v>715</v>
      </c>
      <c r="DB6" s="12" t="s">
        <v>716</v>
      </c>
      <c r="DC6" s="12" t="s">
        <v>717</v>
      </c>
      <c r="DD6" s="12" t="s">
        <v>718</v>
      </c>
      <c r="DE6" s="12" t="s">
        <v>719</v>
      </c>
      <c r="DF6" s="12" t="s">
        <v>720</v>
      </c>
      <c r="DH6" s="12" t="s">
        <v>676</v>
      </c>
      <c r="DI6" s="12" t="s">
        <v>218</v>
      </c>
      <c r="DJ6" s="12" t="s">
        <v>677</v>
      </c>
      <c r="DK6" s="12" t="s">
        <v>678</v>
      </c>
      <c r="DL6" s="12" t="s">
        <v>679</v>
      </c>
      <c r="DM6" s="12" t="s">
        <v>680</v>
      </c>
      <c r="DN6" s="12" t="s">
        <v>681</v>
      </c>
      <c r="DO6" s="12" t="s">
        <v>682</v>
      </c>
      <c r="DP6" s="12" t="s">
        <v>687</v>
      </c>
      <c r="DQ6" s="12" t="s">
        <v>688</v>
      </c>
      <c r="DR6" s="12" t="s">
        <v>689</v>
      </c>
      <c r="DS6" s="12" t="s">
        <v>690</v>
      </c>
      <c r="DT6" s="12" t="s">
        <v>691</v>
      </c>
      <c r="DU6" s="12" t="s">
        <v>692</v>
      </c>
      <c r="DV6" s="12" t="s">
        <v>693</v>
      </c>
      <c r="DW6" s="12" t="s">
        <v>694</v>
      </c>
      <c r="DX6" s="12" t="s">
        <v>695</v>
      </c>
      <c r="DY6" s="12" t="s">
        <v>696</v>
      </c>
      <c r="DZ6" s="12" t="s">
        <v>697</v>
      </c>
      <c r="EA6" s="12" t="s">
        <v>698</v>
      </c>
      <c r="EB6" s="12" t="s">
        <v>699</v>
      </c>
      <c r="EC6" s="12" t="s">
        <v>700</v>
      </c>
      <c r="ED6" s="12" t="s">
        <v>701</v>
      </c>
      <c r="EE6" s="12" t="s">
        <v>702</v>
      </c>
      <c r="EF6" s="12" t="s">
        <v>703</v>
      </c>
      <c r="EG6" s="12" t="s">
        <v>704</v>
      </c>
      <c r="EH6" s="12" t="s">
        <v>705</v>
      </c>
      <c r="EI6" s="12" t="s">
        <v>706</v>
      </c>
      <c r="EJ6" s="12" t="s">
        <v>707</v>
      </c>
      <c r="EK6" s="12" t="s">
        <v>708</v>
      </c>
      <c r="EL6" s="12" t="s">
        <v>709</v>
      </c>
      <c r="EM6" s="12" t="s">
        <v>710</v>
      </c>
      <c r="EN6" s="12" t="s">
        <v>711</v>
      </c>
      <c r="EO6" s="12" t="s">
        <v>712</v>
      </c>
      <c r="EP6" s="12" t="s">
        <v>713</v>
      </c>
      <c r="EQ6" s="12" t="s">
        <v>714</v>
      </c>
      <c r="ER6" s="12" t="s">
        <v>715</v>
      </c>
      <c r="ES6" s="12" t="s">
        <v>716</v>
      </c>
      <c r="ET6" s="12" t="s">
        <v>717</v>
      </c>
      <c r="EU6" s="12" t="s">
        <v>718</v>
      </c>
      <c r="EV6" s="12" t="s">
        <v>719</v>
      </c>
      <c r="EW6" s="12" t="s">
        <v>720</v>
      </c>
      <c r="EZ6" s="12" t="s">
        <v>1548</v>
      </c>
      <c r="FA6" s="12" t="s">
        <v>676</v>
      </c>
      <c r="FB6" s="12" t="s">
        <v>218</v>
      </c>
      <c r="FC6" s="12" t="s">
        <v>677</v>
      </c>
      <c r="FD6" s="12" t="s">
        <v>1548</v>
      </c>
      <c r="FE6" s="12" t="s">
        <v>810</v>
      </c>
      <c r="FF6" s="12" t="s">
        <v>811</v>
      </c>
      <c r="FG6" s="12" t="s">
        <v>812</v>
      </c>
      <c r="FH6" s="12" t="s">
        <v>813</v>
      </c>
      <c r="FI6" s="12" t="s">
        <v>814</v>
      </c>
      <c r="FJ6" s="12" t="s">
        <v>1548</v>
      </c>
      <c r="FK6" s="12" t="s">
        <v>810</v>
      </c>
      <c r="FL6" s="12" t="s">
        <v>815</v>
      </c>
      <c r="FM6" s="12" t="s">
        <v>816</v>
      </c>
      <c r="FN6" s="12" t="s">
        <v>817</v>
      </c>
      <c r="FO6" s="12" t="s">
        <v>818</v>
      </c>
      <c r="FP6" s="12" t="s">
        <v>819</v>
      </c>
      <c r="FQ6" s="12" t="s">
        <v>1549</v>
      </c>
      <c r="FR6" s="12" t="s">
        <v>820</v>
      </c>
      <c r="FS6" s="12" t="s">
        <v>811</v>
      </c>
      <c r="FT6" s="12" t="s">
        <v>821</v>
      </c>
      <c r="FU6" s="12" t="s">
        <v>813</v>
      </c>
      <c r="FV6" s="12" t="s">
        <v>818</v>
      </c>
      <c r="FW6" s="12" t="s">
        <v>822</v>
      </c>
      <c r="FX6" s="12" t="s">
        <v>1549</v>
      </c>
      <c r="FY6" s="12" t="s">
        <v>823</v>
      </c>
      <c r="FZ6" s="12" t="s">
        <v>218</v>
      </c>
      <c r="GA6" s="12" t="s">
        <v>677</v>
      </c>
      <c r="GB6" s="12" t="s">
        <v>678</v>
      </c>
      <c r="GC6" s="12" t="s">
        <v>679</v>
      </c>
      <c r="GD6" s="12" t="s">
        <v>680</v>
      </c>
      <c r="GE6" s="12" t="s">
        <v>1550</v>
      </c>
      <c r="GF6" s="12" t="s">
        <v>823</v>
      </c>
      <c r="GG6" s="12" t="s">
        <v>218</v>
      </c>
      <c r="GH6" s="12" t="s">
        <v>677</v>
      </c>
      <c r="GI6" s="12" t="s">
        <v>678</v>
      </c>
      <c r="GJ6" s="12" t="s">
        <v>679</v>
      </c>
      <c r="GK6" s="12" t="s">
        <v>680</v>
      </c>
      <c r="GL6" s="12" t="s">
        <v>681</v>
      </c>
      <c r="GM6" s="12" t="s">
        <v>682</v>
      </c>
      <c r="GN6" s="12" t="s">
        <v>1550</v>
      </c>
      <c r="GO6" s="12" t="s">
        <v>823</v>
      </c>
      <c r="GP6" s="12" t="s">
        <v>218</v>
      </c>
      <c r="GQ6" s="12" t="s">
        <v>677</v>
      </c>
      <c r="GR6" s="12" t="s">
        <v>678</v>
      </c>
      <c r="GS6" s="12" t="s">
        <v>679</v>
      </c>
      <c r="GT6" s="12" t="s">
        <v>680</v>
      </c>
      <c r="GU6" s="12" t="s">
        <v>681</v>
      </c>
      <c r="GV6" s="12" t="s">
        <v>682</v>
      </c>
      <c r="GY6" s="12" t="s">
        <v>794</v>
      </c>
      <c r="GZ6" s="12" t="s">
        <v>799</v>
      </c>
      <c r="HA6" s="12" t="s">
        <v>1601</v>
      </c>
      <c r="HB6" s="12" t="s">
        <v>1599</v>
      </c>
      <c r="HC6" s="12" t="s">
        <v>1600</v>
      </c>
      <c r="HD6" s="12" t="s">
        <v>796</v>
      </c>
      <c r="HE6" s="12" t="s">
        <v>303</v>
      </c>
      <c r="HF6" s="12" t="s">
        <v>797</v>
      </c>
      <c r="HG6" s="12" t="s">
        <v>798</v>
      </c>
      <c r="HH6" s="12" t="s">
        <v>801</v>
      </c>
      <c r="HI6" s="12" t="s">
        <v>802</v>
      </c>
      <c r="HJ6" s="12" t="s">
        <v>1593</v>
      </c>
      <c r="HK6" s="12" t="s">
        <v>1594</v>
      </c>
    </row>
    <row r="7" spans="1:219" ht="16.5" x14ac:dyDescent="0.2">
      <c r="A7" s="87">
        <v>1</v>
      </c>
      <c r="B7" s="87">
        <v>2</v>
      </c>
      <c r="C7" s="87">
        <v>2</v>
      </c>
      <c r="E7" s="87">
        <v>1</v>
      </c>
      <c r="F7" s="87" t="s">
        <v>404</v>
      </c>
      <c r="G7" s="87">
        <v>1</v>
      </c>
      <c r="H7" s="87">
        <v>1</v>
      </c>
      <c r="J7" s="87">
        <v>0</v>
      </c>
      <c r="K7" s="87">
        <v>0</v>
      </c>
      <c r="L7" s="87">
        <v>0</v>
      </c>
      <c r="N7" s="92">
        <v>0</v>
      </c>
      <c r="O7" s="92">
        <v>0</v>
      </c>
      <c r="P7" s="92">
        <v>0</v>
      </c>
      <c r="Q7" s="44">
        <v>0</v>
      </c>
      <c r="R7" s="44">
        <v>0</v>
      </c>
      <c r="S7" s="44"/>
      <c r="T7" s="91" t="str">
        <f>"神器"&amp;N7&amp;"-"&amp;O7</f>
        <v>神器0-0</v>
      </c>
      <c r="W7" s="87">
        <v>0</v>
      </c>
      <c r="X7" s="87">
        <v>0</v>
      </c>
      <c r="Y7" s="203"/>
      <c r="Z7" s="203"/>
      <c r="AA7" s="87"/>
      <c r="AB7" s="87"/>
      <c r="AC7" s="87"/>
      <c r="AF7" s="87">
        <v>1</v>
      </c>
      <c r="AG7" s="87">
        <v>1</v>
      </c>
      <c r="AH7" s="87">
        <v>1</v>
      </c>
      <c r="AI7" s="200">
        <v>1606003</v>
      </c>
      <c r="AJ7" s="87" t="str">
        <f>"神器"&amp;AG7&amp;"-"&amp;AH7</f>
        <v>神器1-1</v>
      </c>
      <c r="AK7" s="87">
        <v>1</v>
      </c>
      <c r="AL7" s="87">
        <f>INDEX($C$7:$C$13,AG7)*INDEX($H$7:$H$10,AK7)*$B$4</f>
        <v>10</v>
      </c>
      <c r="AO7" s="87">
        <v>1</v>
      </c>
      <c r="AP7" s="87">
        <v>1</v>
      </c>
      <c r="AQ7" s="87">
        <v>1</v>
      </c>
      <c r="AR7" s="144">
        <f>4400+AQ7</f>
        <v>4401</v>
      </c>
      <c r="AS7" s="144" t="s">
        <v>1202</v>
      </c>
      <c r="AT7" s="144" t="str">
        <f>AS7&amp;"  "&amp;AV7</f>
        <v>神器本-1-普通-1  神器1-1</v>
      </c>
      <c r="AU7" s="87">
        <v>1</v>
      </c>
      <c r="AV7" s="87" t="s">
        <v>732</v>
      </c>
      <c r="AW7" s="32">
        <v>5000</v>
      </c>
      <c r="AX7" s="87">
        <v>1</v>
      </c>
      <c r="AY7" s="87">
        <v>3</v>
      </c>
      <c r="AZ7" s="87">
        <f>INDEX($AK$7:$AK$48,AU7)</f>
        <v>1</v>
      </c>
      <c r="BA7" s="14">
        <f>(AX7+AY7)/2*AW7/10000</f>
        <v>1</v>
      </c>
      <c r="BB7" s="14">
        <f>(AX7+AY7)/2*AW7/10000*INDEX($AL$7:$AL$48,AU7)</f>
        <v>10</v>
      </c>
      <c r="BE7" s="87">
        <v>1</v>
      </c>
      <c r="BF7" s="87">
        <v>1</v>
      </c>
      <c r="BG7" s="87">
        <f t="shared" ref="BG7:BG24" si="0">SUMIFS($BB$7:$BB$301,$AO$7:$AO$301,"="&amp;BE7,$AP$7:$AP$301,"="&amp;BF7)</f>
        <v>33.5</v>
      </c>
      <c r="BI7" s="203">
        <v>1</v>
      </c>
      <c r="BJ7" s="21">
        <f>5%+BI7*0.4%</f>
        <v>5.4000000000000006E-2</v>
      </c>
      <c r="BL7" s="87">
        <v>1</v>
      </c>
      <c r="BM7" s="14">
        <f>INDEX(节奏总表!$CK$4:$CK$63,新神器!BL7)</f>
        <v>27</v>
      </c>
      <c r="BN7" s="14">
        <f>MATCH(BM7,$X$7:$X$14,1)-1</f>
        <v>0</v>
      </c>
      <c r="BO7" s="87">
        <v>0</v>
      </c>
      <c r="BP7" s="87">
        <v>5</v>
      </c>
      <c r="BQ7" s="14">
        <f t="shared" ref="BQ7:BZ16" si="1">SUMIFS($BA$7:$BA$301,$AO$7:$AO$301,"="&amp;$BN7,$AP$7:$AP$301,"="&amp;$BO7,$AU$7:$AU$301,"="&amp;BQ$2)*$BP7</f>
        <v>0</v>
      </c>
      <c r="BR7" s="14">
        <f t="shared" si="1"/>
        <v>0</v>
      </c>
      <c r="BS7" s="14">
        <f t="shared" si="1"/>
        <v>0</v>
      </c>
      <c r="BT7" s="14">
        <f t="shared" si="1"/>
        <v>0</v>
      </c>
      <c r="BU7" s="14">
        <f t="shared" si="1"/>
        <v>0</v>
      </c>
      <c r="BV7" s="14">
        <f t="shared" si="1"/>
        <v>0</v>
      </c>
      <c r="BW7" s="14">
        <f t="shared" si="1"/>
        <v>0</v>
      </c>
      <c r="BX7" s="14">
        <f t="shared" si="1"/>
        <v>0</v>
      </c>
      <c r="BY7" s="14">
        <f t="shared" si="1"/>
        <v>0</v>
      </c>
      <c r="BZ7" s="14">
        <f t="shared" si="1"/>
        <v>0</v>
      </c>
      <c r="CA7" s="14">
        <f t="shared" ref="CA7:CJ16" si="2">SUMIFS($BA$7:$BA$301,$AO$7:$AO$301,"="&amp;$BN7,$AP$7:$AP$301,"="&amp;$BO7,$AU$7:$AU$301,"="&amp;CA$2)*$BP7</f>
        <v>0</v>
      </c>
      <c r="CB7" s="14">
        <f t="shared" si="2"/>
        <v>0</v>
      </c>
      <c r="CC7" s="14">
        <f t="shared" si="2"/>
        <v>0</v>
      </c>
      <c r="CD7" s="14">
        <f t="shared" si="2"/>
        <v>0</v>
      </c>
      <c r="CE7" s="14">
        <f t="shared" si="2"/>
        <v>0</v>
      </c>
      <c r="CF7" s="14">
        <f t="shared" si="2"/>
        <v>0</v>
      </c>
      <c r="CG7" s="14">
        <f t="shared" si="2"/>
        <v>0</v>
      </c>
      <c r="CH7" s="14">
        <f t="shared" si="2"/>
        <v>0</v>
      </c>
      <c r="CI7" s="14">
        <f t="shared" si="2"/>
        <v>0</v>
      </c>
      <c r="CJ7" s="14">
        <f t="shared" si="2"/>
        <v>0</v>
      </c>
      <c r="CK7" s="14">
        <f t="shared" ref="CK7:CT16" si="3">SUMIFS($BA$7:$BA$301,$AO$7:$AO$301,"="&amp;$BN7,$AP$7:$AP$301,"="&amp;$BO7,$AU$7:$AU$301,"="&amp;CK$2)*$BP7</f>
        <v>0</v>
      </c>
      <c r="CL7" s="14">
        <f t="shared" si="3"/>
        <v>0</v>
      </c>
      <c r="CM7" s="14">
        <f t="shared" si="3"/>
        <v>0</v>
      </c>
      <c r="CN7" s="14">
        <f t="shared" si="3"/>
        <v>0</v>
      </c>
      <c r="CO7" s="14">
        <f t="shared" si="3"/>
        <v>0</v>
      </c>
      <c r="CP7" s="14">
        <f t="shared" si="3"/>
        <v>0</v>
      </c>
      <c r="CQ7" s="14">
        <f t="shared" si="3"/>
        <v>0</v>
      </c>
      <c r="CR7" s="14">
        <f t="shared" si="3"/>
        <v>0</v>
      </c>
      <c r="CS7" s="14">
        <f t="shared" si="3"/>
        <v>0</v>
      </c>
      <c r="CT7" s="14">
        <f t="shared" si="3"/>
        <v>0</v>
      </c>
      <c r="CU7" s="14">
        <f t="shared" ref="CU7:DF16" si="4">SUMIFS($BA$7:$BA$301,$AO$7:$AO$301,"="&amp;$BN7,$AP$7:$AP$301,"="&amp;$BO7,$AU$7:$AU$301,"="&amp;CU$2)*$BP7</f>
        <v>0</v>
      </c>
      <c r="CV7" s="14">
        <f t="shared" si="4"/>
        <v>0</v>
      </c>
      <c r="CW7" s="14">
        <f t="shared" si="4"/>
        <v>0</v>
      </c>
      <c r="CX7" s="14">
        <f t="shared" si="4"/>
        <v>0</v>
      </c>
      <c r="CY7" s="14">
        <f t="shared" si="4"/>
        <v>0</v>
      </c>
      <c r="CZ7" s="14">
        <f t="shared" si="4"/>
        <v>0</v>
      </c>
      <c r="DA7" s="14">
        <f t="shared" si="4"/>
        <v>0</v>
      </c>
      <c r="DB7" s="14">
        <f t="shared" si="4"/>
        <v>0</v>
      </c>
      <c r="DC7" s="14">
        <f t="shared" si="4"/>
        <v>0</v>
      </c>
      <c r="DD7" s="14">
        <f t="shared" si="4"/>
        <v>0</v>
      </c>
      <c r="DE7" s="14">
        <f t="shared" si="4"/>
        <v>0</v>
      </c>
      <c r="DF7" s="14">
        <f t="shared" si="4"/>
        <v>0</v>
      </c>
      <c r="DH7" s="14">
        <f>SUM(BQ$7:BQ7)</f>
        <v>0</v>
      </c>
      <c r="DI7" s="14">
        <f>SUM(BR$7:BR7)</f>
        <v>0</v>
      </c>
      <c r="DJ7" s="14">
        <f>SUM(BS$7:BS7)</f>
        <v>0</v>
      </c>
      <c r="DK7" s="14">
        <f>SUM(BT$7:BT7)</f>
        <v>0</v>
      </c>
      <c r="DL7" s="14">
        <f>SUM(BU$7:BU7)</f>
        <v>0</v>
      </c>
      <c r="DM7" s="14">
        <f>SUM(BV$7:BV7)</f>
        <v>0</v>
      </c>
      <c r="DN7" s="14">
        <f>SUM(BW$7:BW7)</f>
        <v>0</v>
      </c>
      <c r="DO7" s="14">
        <f>SUM(BX$7:BX7)</f>
        <v>0</v>
      </c>
      <c r="DP7" s="14">
        <f>SUM(BY$7:BY7)</f>
        <v>0</v>
      </c>
      <c r="DQ7" s="14">
        <f>SUM(BZ$7:BZ7)</f>
        <v>0</v>
      </c>
      <c r="DR7" s="14">
        <f>SUM(CA$7:CA7)</f>
        <v>0</v>
      </c>
      <c r="DS7" s="14">
        <f>SUM(CB$7:CB7)</f>
        <v>0</v>
      </c>
      <c r="DT7" s="14">
        <f>SUM(CC$7:CC7)</f>
        <v>0</v>
      </c>
      <c r="DU7" s="14">
        <f>SUM(CD$7:CD7)</f>
        <v>0</v>
      </c>
      <c r="DV7" s="14">
        <f>SUM(CE$7:CE7)</f>
        <v>0</v>
      </c>
      <c r="DW7" s="14">
        <f>SUM(CF$7:CF7)</f>
        <v>0</v>
      </c>
      <c r="DX7" s="14">
        <f>SUM(CG$7:CG7)</f>
        <v>0</v>
      </c>
      <c r="DY7" s="14">
        <f>SUM(CH$7:CH7)</f>
        <v>0</v>
      </c>
      <c r="DZ7" s="14">
        <f>SUM(CI$7:CI7)</f>
        <v>0</v>
      </c>
      <c r="EA7" s="14">
        <f>SUM(CJ$7:CJ7)</f>
        <v>0</v>
      </c>
      <c r="EB7" s="14">
        <f>SUM(CK$7:CK7)</f>
        <v>0</v>
      </c>
      <c r="EC7" s="14">
        <f>SUM(CL$7:CL7)</f>
        <v>0</v>
      </c>
      <c r="ED7" s="14">
        <f>SUM(CM$7:CM7)</f>
        <v>0</v>
      </c>
      <c r="EE7" s="14">
        <f>SUM(CN$7:CN7)</f>
        <v>0</v>
      </c>
      <c r="EF7" s="14">
        <f>SUM(CO$7:CO7)</f>
        <v>0</v>
      </c>
      <c r="EG7" s="14">
        <f>SUM(CP$7:CP7)</f>
        <v>0</v>
      </c>
      <c r="EH7" s="14">
        <f>SUM(CQ$7:CQ7)</f>
        <v>0</v>
      </c>
      <c r="EI7" s="14">
        <f>SUM(CR$7:CR7)</f>
        <v>0</v>
      </c>
      <c r="EJ7" s="14">
        <f>SUM(CS$7:CS7)</f>
        <v>0</v>
      </c>
      <c r="EK7" s="14">
        <f>SUM(CT$7:CT7)</f>
        <v>0</v>
      </c>
      <c r="EL7" s="14">
        <f>SUM(CU$7:CU7)</f>
        <v>0</v>
      </c>
      <c r="EM7" s="14">
        <f>SUM(CV$7:CV7)</f>
        <v>0</v>
      </c>
      <c r="EN7" s="14">
        <f>SUM(CW$7:CW7)</f>
        <v>0</v>
      </c>
      <c r="EO7" s="14">
        <f>SUM(CX$7:CX7)</f>
        <v>0</v>
      </c>
      <c r="EP7" s="14">
        <f>SUM(CY$7:CY7)</f>
        <v>0</v>
      </c>
      <c r="EQ7" s="14">
        <f>SUM(CZ$7:CZ7)</f>
        <v>0</v>
      </c>
      <c r="ER7" s="14">
        <f>SUM(DA$7:DA7)</f>
        <v>0</v>
      </c>
      <c r="ES7" s="14">
        <f>SUM(DB$7:DB7)</f>
        <v>0</v>
      </c>
      <c r="ET7" s="14">
        <f>SUM(DC$7:DC7)</f>
        <v>0</v>
      </c>
      <c r="EU7" s="14">
        <f>SUM(DD$7:DD7)</f>
        <v>0</v>
      </c>
      <c r="EV7" s="14">
        <f>SUM(DE$7:DE7)</f>
        <v>0</v>
      </c>
      <c r="EW7" s="14">
        <f>SUM(DF$7:DF7)</f>
        <v>0</v>
      </c>
      <c r="EZ7" s="14">
        <f>MIN(FA7:FC7)</f>
        <v>0</v>
      </c>
      <c r="FA7" s="14">
        <f t="shared" ref="FA7:FA38" si="5">MATCH(DH7,$L$7:$L$28,1)-1</f>
        <v>0</v>
      </c>
      <c r="FB7" s="14">
        <f t="shared" ref="FB7:FB38" si="6">MATCH(DI7,$L$7:$L$28,1)-1</f>
        <v>0</v>
      </c>
      <c r="FC7" s="14">
        <f t="shared" ref="FC7:FC38" si="7">MATCH(DJ7,$L$7:$L$28,1)-1</f>
        <v>0</v>
      </c>
      <c r="FD7" s="14">
        <f>MIN(FE7:FI7)</f>
        <v>0</v>
      </c>
      <c r="FE7" s="14">
        <f t="shared" ref="FE7:FE38" si="8">MATCH(DK7,$L$7:$L$28,1)-1</f>
        <v>0</v>
      </c>
      <c r="FF7" s="14">
        <f t="shared" ref="FF7:FF38" si="9">MATCH(DL7,$L$7:$L$28,1)-1</f>
        <v>0</v>
      </c>
      <c r="FG7" s="14">
        <f t="shared" ref="FG7:FG38" si="10">MATCH(DM7,$L$7:$L$28,1)-1</f>
        <v>0</v>
      </c>
      <c r="FH7" s="14">
        <f t="shared" ref="FH7:FH38" si="11">MATCH(DN7,$L$7:$L$28,1)-1</f>
        <v>0</v>
      </c>
      <c r="FI7" s="14">
        <f t="shared" ref="FI7:FI38" si="12">MATCH(DO7,$L$7:$L$28,1)-1</f>
        <v>0</v>
      </c>
      <c r="FJ7" s="14">
        <f>MIN(FK7:FP7)</f>
        <v>0</v>
      </c>
      <c r="FK7" s="14">
        <f t="shared" ref="FK7:FK38" si="13">MATCH(DP7,$L$7:$L$28,1)-1</f>
        <v>0</v>
      </c>
      <c r="FL7" s="14">
        <f t="shared" ref="FL7:FL38" si="14">MATCH(DQ7,$L$7:$L$28,1)-1</f>
        <v>0</v>
      </c>
      <c r="FM7" s="14">
        <f t="shared" ref="FM7:FM38" si="15">MATCH(DR7,$L$7:$L$28,1)-1</f>
        <v>0</v>
      </c>
      <c r="FN7" s="14">
        <f t="shared" ref="FN7:FN38" si="16">MATCH(DS7,$L$7:$L$28,1)-1</f>
        <v>0</v>
      </c>
      <c r="FO7" s="14">
        <f t="shared" ref="FO7:FO38" si="17">MATCH(DT7,$L$7:$L$28,1)-1</f>
        <v>0</v>
      </c>
      <c r="FP7" s="14">
        <f t="shared" ref="FP7:FP38" si="18">MATCH(DU7,$L$7:$L$28,1)-1</f>
        <v>0</v>
      </c>
      <c r="FQ7" s="14">
        <f>MIN(FR7:FW7)</f>
        <v>0</v>
      </c>
      <c r="FR7" s="14">
        <f t="shared" ref="FR7:FR38" si="19">MATCH(DV7,$L$7:$L$28,1)-1</f>
        <v>0</v>
      </c>
      <c r="FS7" s="14">
        <f t="shared" ref="FS7:FS38" si="20">MATCH(DW7,$L$7:$L$28,1)-1</f>
        <v>0</v>
      </c>
      <c r="FT7" s="14">
        <f t="shared" ref="FT7:FT38" si="21">MATCH(DX7,$L$7:$L$28,1)-1</f>
        <v>0</v>
      </c>
      <c r="FU7" s="14">
        <f t="shared" ref="FU7:FU38" si="22">MATCH(DY7,$L$7:$L$28,1)-1</f>
        <v>0</v>
      </c>
      <c r="FV7" s="14">
        <f t="shared" ref="FV7:FV38" si="23">MATCH(DZ7,$L$7:$L$28,1)-1</f>
        <v>0</v>
      </c>
      <c r="FW7" s="14">
        <f t="shared" ref="FW7:FW38" si="24">MATCH(EA7,$L$7:$L$28,1)-1</f>
        <v>0</v>
      </c>
      <c r="FX7" s="14">
        <f>MIN(FY7:GD7)</f>
        <v>0</v>
      </c>
      <c r="FY7" s="14">
        <f t="shared" ref="FY7:FY38" si="25">MATCH(EB7,$L$7:$L$28,1)-1</f>
        <v>0</v>
      </c>
      <c r="FZ7" s="14">
        <f t="shared" ref="FZ7:FZ38" si="26">MATCH(EC7,$L$7:$L$28,1)-1</f>
        <v>0</v>
      </c>
      <c r="GA7" s="14">
        <f t="shared" ref="GA7:GA38" si="27">MATCH(ED7,$L$7:$L$28,1)-1</f>
        <v>0</v>
      </c>
      <c r="GB7" s="14">
        <f t="shared" ref="GB7:GB38" si="28">MATCH(EE7,$L$7:$L$28,1)-1</f>
        <v>0</v>
      </c>
      <c r="GC7" s="14">
        <f t="shared" ref="GC7:GC38" si="29">MATCH(EF7,$L$7:$L$28,1)-1</f>
        <v>0</v>
      </c>
      <c r="GD7" s="14">
        <f t="shared" ref="GD7:GD38" si="30">MATCH(EG7,$L$7:$L$28,1)-1</f>
        <v>0</v>
      </c>
      <c r="GE7" s="14">
        <f>MIN(GF7:GM7)</f>
        <v>0</v>
      </c>
      <c r="GF7" s="14">
        <f t="shared" ref="GF7:GF38" si="31">MATCH(EH7,$L$7:$L$28,1)-1</f>
        <v>0</v>
      </c>
      <c r="GG7" s="14">
        <f t="shared" ref="GG7:GG38" si="32">MATCH(EI7,$L$7:$L$28,1)-1</f>
        <v>0</v>
      </c>
      <c r="GH7" s="14">
        <f t="shared" ref="GH7:GH38" si="33">MATCH(EJ7,$L$7:$L$28,1)-1</f>
        <v>0</v>
      </c>
      <c r="GI7" s="14">
        <f t="shared" ref="GI7:GI38" si="34">MATCH(EK7,$L$7:$L$28,1)-1</f>
        <v>0</v>
      </c>
      <c r="GJ7" s="14">
        <f t="shared" ref="GJ7:GJ38" si="35">MATCH(EL7,$L$7:$L$28,1)-1</f>
        <v>0</v>
      </c>
      <c r="GK7" s="14">
        <f t="shared" ref="GK7:GK38" si="36">MATCH(EM7,$L$7:$L$28,1)-1</f>
        <v>0</v>
      </c>
      <c r="GL7" s="14">
        <f t="shared" ref="GL7:GL38" si="37">MATCH(EN7,$L$7:$L$28,1)-1</f>
        <v>0</v>
      </c>
      <c r="GM7" s="14">
        <f t="shared" ref="GM7:GM38" si="38">MATCH(EO7,$L$7:$L$28,1)-1</f>
        <v>0</v>
      </c>
      <c r="GN7" s="14">
        <f>MIN(GO7:GV7)</f>
        <v>0</v>
      </c>
      <c r="GO7" s="14">
        <f t="shared" ref="GO7:GO38" si="39">MATCH(EP7,$L$7:$L$28,1)-1</f>
        <v>0</v>
      </c>
      <c r="GP7" s="14">
        <f t="shared" ref="GP7:GP38" si="40">MATCH(EQ7,$L$7:$L$28,1)-1</f>
        <v>0</v>
      </c>
      <c r="GQ7" s="14">
        <f t="shared" ref="GQ7:GQ38" si="41">MATCH(ER7,$L$7:$L$28,1)-1</f>
        <v>0</v>
      </c>
      <c r="GR7" s="14">
        <f t="shared" ref="GR7:GR38" si="42">MATCH(ES7,$L$7:$L$28,1)-1</f>
        <v>0</v>
      </c>
      <c r="GS7" s="14">
        <f t="shared" ref="GS7:GS38" si="43">MATCH(ET7,$L$7:$L$28,1)-1</f>
        <v>0</v>
      </c>
      <c r="GT7" s="14">
        <f t="shared" ref="GT7:GT38" si="44">MATCH(EU7,$L$7:$L$28,1)-1</f>
        <v>0</v>
      </c>
      <c r="GU7" s="14">
        <f t="shared" ref="GU7:GU38" si="45">MATCH(EV7,$L$7:$L$28,1)-1</f>
        <v>0</v>
      </c>
      <c r="GV7" s="14">
        <f t="shared" ref="GV7:GV38" si="46">MATCH(EW7,$L$7:$L$28,1)-1</f>
        <v>0</v>
      </c>
      <c r="GY7" s="91">
        <v>1</v>
      </c>
      <c r="GZ7" s="14">
        <f>MATCH(GY7-1,$R$7:$R$49,1)</f>
        <v>1</v>
      </c>
      <c r="HA7" s="14">
        <f>INDEX($N$8:$N$49,GZ7)</f>
        <v>1</v>
      </c>
      <c r="HB7" s="14">
        <f>INDEX($P$8:$P$49,GZ7)</f>
        <v>1</v>
      </c>
      <c r="HC7" s="14">
        <f>ROUND(SQRT(INDEX($BJ$7:$BJ$27,HG7)*INDEX($H$7:$H$10,HB7)),3)</f>
        <v>0.23200000000000001</v>
      </c>
      <c r="HD7" s="14">
        <f>INDEX($S$8:$S$49,GZ7)</f>
        <v>1606003</v>
      </c>
      <c r="HE7" s="14" t="str">
        <f>INDEX($T$8:$T$49,GZ7)&amp;" : "&amp;HG7&amp;"级"</f>
        <v>神器1-1 : 1级</v>
      </c>
      <c r="HF7" s="14" t="s">
        <v>800</v>
      </c>
      <c r="HG7" s="14">
        <f>GY7-INDEX($R$7:$R$49,GZ7)</f>
        <v>1</v>
      </c>
      <c r="HH7" s="14" t="str">
        <f>INDEX($T$8:$T$49,GZ7)</f>
        <v>神器1-1</v>
      </c>
      <c r="HI7" s="14">
        <f>INDEX($K$8:$K$28,HG7)</f>
        <v>1</v>
      </c>
      <c r="HJ7" s="14" t="s">
        <v>1595</v>
      </c>
      <c r="HK7" s="14">
        <f>ROUND(INDEX($Y$8:$Y$14,HA7)/INDEX($Z$8:$Z$14,HA7)*HC7/50,0)*50</f>
        <v>2800</v>
      </c>
    </row>
    <row r="8" spans="1:219" ht="16.5" x14ac:dyDescent="0.2">
      <c r="A8" s="87">
        <v>2</v>
      </c>
      <c r="B8" s="87">
        <v>3</v>
      </c>
      <c r="C8" s="87">
        <v>3</v>
      </c>
      <c r="E8" s="87">
        <v>2</v>
      </c>
      <c r="F8" s="87" t="s">
        <v>202</v>
      </c>
      <c r="G8" s="87">
        <v>1.5</v>
      </c>
      <c r="H8" s="87">
        <v>3</v>
      </c>
      <c r="J8" s="87">
        <v>1</v>
      </c>
      <c r="K8" s="87">
        <v>1</v>
      </c>
      <c r="L8" s="87">
        <f>SUM(K$8:K8)</f>
        <v>1</v>
      </c>
      <c r="N8" s="90">
        <v>1</v>
      </c>
      <c r="O8" s="90">
        <v>1</v>
      </c>
      <c r="P8" s="90">
        <v>1</v>
      </c>
      <c r="Q8" s="90">
        <v>15</v>
      </c>
      <c r="R8" s="14">
        <f>SUM(Q$7:Q8)</f>
        <v>15</v>
      </c>
      <c r="S8" s="91">
        <v>1606003</v>
      </c>
      <c r="T8" s="14" t="str">
        <f>"神器"&amp;N8&amp;"-"&amp;O8</f>
        <v>神器1-1</v>
      </c>
      <c r="W8" s="87">
        <v>1</v>
      </c>
      <c r="X8" s="87">
        <v>43</v>
      </c>
      <c r="Y8" s="203">
        <f>金币总表!AS8*0.5</f>
        <v>190985</v>
      </c>
      <c r="Z8" s="203">
        <f>SUMIFS($HC$7:$HC$786,$HA$7:$HA$786,"="&amp;W8)</f>
        <v>15.938000000000001</v>
      </c>
      <c r="AA8" s="87" t="s">
        <v>740</v>
      </c>
      <c r="AB8" s="87"/>
      <c r="AC8" s="87"/>
      <c r="AF8" s="87">
        <v>2</v>
      </c>
      <c r="AG8" s="87">
        <v>1</v>
      </c>
      <c r="AH8" s="87">
        <v>2</v>
      </c>
      <c r="AI8" s="200">
        <v>1606004</v>
      </c>
      <c r="AJ8" s="87" t="str">
        <f t="shared" ref="AJ8:AJ48" si="47">"神器"&amp;AG8&amp;"-"&amp;AH8</f>
        <v>神器1-2</v>
      </c>
      <c r="AK8" s="87">
        <v>1</v>
      </c>
      <c r="AL8" s="87">
        <f t="shared" ref="AL8:AL48" si="48">INDEX($C$7:$C$13,AG8)*INDEX($H$7:$H$10,AK8)*$B$4</f>
        <v>10</v>
      </c>
      <c r="AO8" s="87">
        <v>1</v>
      </c>
      <c r="AP8" s="87">
        <v>1</v>
      </c>
      <c r="AQ8" s="87">
        <v>1</v>
      </c>
      <c r="AR8" s="144">
        <f t="shared" ref="AR8:AR71" si="49">4400+AQ8</f>
        <v>4401</v>
      </c>
      <c r="AS8" s="144" t="s">
        <v>1203</v>
      </c>
      <c r="AT8" s="144" t="str">
        <f t="shared" ref="AT8:AT71" si="50">AS8&amp;"  "&amp;AV8</f>
        <v>神器本-1-普通-1  神器1-2</v>
      </c>
      <c r="AU8" s="87">
        <v>2</v>
      </c>
      <c r="AV8" s="87" t="s">
        <v>733</v>
      </c>
      <c r="AW8" s="32">
        <v>5000</v>
      </c>
      <c r="AX8" s="87">
        <v>1</v>
      </c>
      <c r="AY8" s="87">
        <v>3</v>
      </c>
      <c r="AZ8" s="87">
        <f t="shared" ref="AZ8:AZ71" si="51">INDEX($AK$7:$AK$48,AU8)</f>
        <v>1</v>
      </c>
      <c r="BA8" s="14">
        <f t="shared" ref="BA8:BA71" si="52">(AX8+AY8)/2*AW8/10000</f>
        <v>1</v>
      </c>
      <c r="BB8" s="14">
        <f t="shared" ref="BB8:BB71" si="53">(AX8+AY8)/2*AW8/10000*INDEX($AL$7:$AL$48,AU8)</f>
        <v>10</v>
      </c>
      <c r="BE8" s="87">
        <v>2</v>
      </c>
      <c r="BF8" s="87">
        <v>1</v>
      </c>
      <c r="BG8" s="87">
        <f t="shared" si="0"/>
        <v>92.05</v>
      </c>
      <c r="BI8" s="203">
        <v>2</v>
      </c>
      <c r="BJ8" s="21">
        <f t="shared" ref="BJ8:BJ27" si="54">5%+BI8*0.4%</f>
        <v>5.8000000000000003E-2</v>
      </c>
      <c r="BL8" s="87">
        <v>2</v>
      </c>
      <c r="BM8" s="14">
        <f>INDEX(节奏总表!$CK$4:$CK$63,新神器!BL8)</f>
        <v>36</v>
      </c>
      <c r="BN8" s="14">
        <f t="shared" ref="BN8:BN66" si="55">MATCH(BM8,$X$7:$X$14,1)-1</f>
        <v>0</v>
      </c>
      <c r="BO8" s="87">
        <v>0</v>
      </c>
      <c r="BP8" s="87">
        <v>5</v>
      </c>
      <c r="BQ8" s="14">
        <f t="shared" si="1"/>
        <v>0</v>
      </c>
      <c r="BR8" s="14">
        <f t="shared" si="1"/>
        <v>0</v>
      </c>
      <c r="BS8" s="14">
        <f t="shared" si="1"/>
        <v>0</v>
      </c>
      <c r="BT8" s="14">
        <f t="shared" si="1"/>
        <v>0</v>
      </c>
      <c r="BU8" s="14">
        <f t="shared" si="1"/>
        <v>0</v>
      </c>
      <c r="BV8" s="14">
        <f t="shared" si="1"/>
        <v>0</v>
      </c>
      <c r="BW8" s="14">
        <f t="shared" si="1"/>
        <v>0</v>
      </c>
      <c r="BX8" s="14">
        <f t="shared" si="1"/>
        <v>0</v>
      </c>
      <c r="BY8" s="14">
        <f t="shared" si="1"/>
        <v>0</v>
      </c>
      <c r="BZ8" s="14">
        <f t="shared" si="1"/>
        <v>0</v>
      </c>
      <c r="CA8" s="14">
        <f t="shared" si="2"/>
        <v>0</v>
      </c>
      <c r="CB8" s="14">
        <f t="shared" si="2"/>
        <v>0</v>
      </c>
      <c r="CC8" s="14">
        <f t="shared" si="2"/>
        <v>0</v>
      </c>
      <c r="CD8" s="14">
        <f t="shared" si="2"/>
        <v>0</v>
      </c>
      <c r="CE8" s="14">
        <f t="shared" si="2"/>
        <v>0</v>
      </c>
      <c r="CF8" s="14">
        <f t="shared" si="2"/>
        <v>0</v>
      </c>
      <c r="CG8" s="14">
        <f t="shared" si="2"/>
        <v>0</v>
      </c>
      <c r="CH8" s="14">
        <f t="shared" si="2"/>
        <v>0</v>
      </c>
      <c r="CI8" s="14">
        <f t="shared" si="2"/>
        <v>0</v>
      </c>
      <c r="CJ8" s="14">
        <f t="shared" si="2"/>
        <v>0</v>
      </c>
      <c r="CK8" s="14">
        <f t="shared" si="3"/>
        <v>0</v>
      </c>
      <c r="CL8" s="14">
        <f t="shared" si="3"/>
        <v>0</v>
      </c>
      <c r="CM8" s="14">
        <f t="shared" si="3"/>
        <v>0</v>
      </c>
      <c r="CN8" s="14">
        <f t="shared" si="3"/>
        <v>0</v>
      </c>
      <c r="CO8" s="14">
        <f t="shared" si="3"/>
        <v>0</v>
      </c>
      <c r="CP8" s="14">
        <f t="shared" si="3"/>
        <v>0</v>
      </c>
      <c r="CQ8" s="14">
        <f t="shared" si="3"/>
        <v>0</v>
      </c>
      <c r="CR8" s="14">
        <f t="shared" si="3"/>
        <v>0</v>
      </c>
      <c r="CS8" s="14">
        <f t="shared" si="3"/>
        <v>0</v>
      </c>
      <c r="CT8" s="14">
        <f t="shared" si="3"/>
        <v>0</v>
      </c>
      <c r="CU8" s="14">
        <f t="shared" si="4"/>
        <v>0</v>
      </c>
      <c r="CV8" s="14">
        <f t="shared" si="4"/>
        <v>0</v>
      </c>
      <c r="CW8" s="14">
        <f t="shared" si="4"/>
        <v>0</v>
      </c>
      <c r="CX8" s="14">
        <f t="shared" si="4"/>
        <v>0</v>
      </c>
      <c r="CY8" s="14">
        <f t="shared" si="4"/>
        <v>0</v>
      </c>
      <c r="CZ8" s="14">
        <f t="shared" si="4"/>
        <v>0</v>
      </c>
      <c r="DA8" s="14">
        <f t="shared" si="4"/>
        <v>0</v>
      </c>
      <c r="DB8" s="14">
        <f t="shared" si="4"/>
        <v>0</v>
      </c>
      <c r="DC8" s="14">
        <f t="shared" si="4"/>
        <v>0</v>
      </c>
      <c r="DD8" s="14">
        <f t="shared" si="4"/>
        <v>0</v>
      </c>
      <c r="DE8" s="14">
        <f t="shared" si="4"/>
        <v>0</v>
      </c>
      <c r="DF8" s="14">
        <f t="shared" si="4"/>
        <v>0</v>
      </c>
      <c r="DH8" s="14">
        <f>SUM(BQ$7:BQ8)</f>
        <v>0</v>
      </c>
      <c r="DI8" s="14">
        <f>SUM(BR$7:BR8)</f>
        <v>0</v>
      </c>
      <c r="DJ8" s="14">
        <f>SUM(BS$7:BS8)</f>
        <v>0</v>
      </c>
      <c r="DK8" s="14">
        <f>SUM(BT$7:BT8)</f>
        <v>0</v>
      </c>
      <c r="DL8" s="14">
        <f>SUM(BU$7:BU8)</f>
        <v>0</v>
      </c>
      <c r="DM8" s="14">
        <f>SUM(BV$7:BV8)</f>
        <v>0</v>
      </c>
      <c r="DN8" s="14">
        <f>SUM(BW$7:BW8)</f>
        <v>0</v>
      </c>
      <c r="DO8" s="14">
        <f>SUM(BX$7:BX8)</f>
        <v>0</v>
      </c>
      <c r="DP8" s="14">
        <f>SUM(BY$7:BY8)</f>
        <v>0</v>
      </c>
      <c r="DQ8" s="14">
        <f>SUM(BZ$7:BZ8)</f>
        <v>0</v>
      </c>
      <c r="DR8" s="14">
        <f>SUM(CA$7:CA8)</f>
        <v>0</v>
      </c>
      <c r="DS8" s="14">
        <f>SUM(CB$7:CB8)</f>
        <v>0</v>
      </c>
      <c r="DT8" s="14">
        <f>SUM(CC$7:CC8)</f>
        <v>0</v>
      </c>
      <c r="DU8" s="14">
        <f>SUM(CD$7:CD8)</f>
        <v>0</v>
      </c>
      <c r="DV8" s="14">
        <f>SUM(CE$7:CE8)</f>
        <v>0</v>
      </c>
      <c r="DW8" s="14">
        <f>SUM(CF$7:CF8)</f>
        <v>0</v>
      </c>
      <c r="DX8" s="14">
        <f>SUM(CG$7:CG8)</f>
        <v>0</v>
      </c>
      <c r="DY8" s="14">
        <f>SUM(CH$7:CH8)</f>
        <v>0</v>
      </c>
      <c r="DZ8" s="14">
        <f>SUM(CI$7:CI8)</f>
        <v>0</v>
      </c>
      <c r="EA8" s="14">
        <f>SUM(CJ$7:CJ8)</f>
        <v>0</v>
      </c>
      <c r="EB8" s="14">
        <f>SUM(CK$7:CK8)</f>
        <v>0</v>
      </c>
      <c r="EC8" s="14">
        <f>SUM(CL$7:CL8)</f>
        <v>0</v>
      </c>
      <c r="ED8" s="14">
        <f>SUM(CM$7:CM8)</f>
        <v>0</v>
      </c>
      <c r="EE8" s="14">
        <f>SUM(CN$7:CN8)</f>
        <v>0</v>
      </c>
      <c r="EF8" s="14">
        <f>SUM(CO$7:CO8)</f>
        <v>0</v>
      </c>
      <c r="EG8" s="14">
        <f>SUM(CP$7:CP8)</f>
        <v>0</v>
      </c>
      <c r="EH8" s="14">
        <f>SUM(CQ$7:CQ8)</f>
        <v>0</v>
      </c>
      <c r="EI8" s="14">
        <f>SUM(CR$7:CR8)</f>
        <v>0</v>
      </c>
      <c r="EJ8" s="14">
        <f>SUM(CS$7:CS8)</f>
        <v>0</v>
      </c>
      <c r="EK8" s="14">
        <f>SUM(CT$7:CT8)</f>
        <v>0</v>
      </c>
      <c r="EL8" s="14">
        <f>SUM(CU$7:CU8)</f>
        <v>0</v>
      </c>
      <c r="EM8" s="14">
        <f>SUM(CV$7:CV8)</f>
        <v>0</v>
      </c>
      <c r="EN8" s="14">
        <f>SUM(CW$7:CW8)</f>
        <v>0</v>
      </c>
      <c r="EO8" s="14">
        <f>SUM(CX$7:CX8)</f>
        <v>0</v>
      </c>
      <c r="EP8" s="14">
        <f>SUM(CY$7:CY8)</f>
        <v>0</v>
      </c>
      <c r="EQ8" s="14">
        <f>SUM(CZ$7:CZ8)</f>
        <v>0</v>
      </c>
      <c r="ER8" s="14">
        <f>SUM(DA$7:DA8)</f>
        <v>0</v>
      </c>
      <c r="ES8" s="14">
        <f>SUM(DB$7:DB8)</f>
        <v>0</v>
      </c>
      <c r="ET8" s="14">
        <f>SUM(DC$7:DC8)</f>
        <v>0</v>
      </c>
      <c r="EU8" s="14">
        <f>SUM(DD$7:DD8)</f>
        <v>0</v>
      </c>
      <c r="EV8" s="14">
        <f>SUM(DE$7:DE8)</f>
        <v>0</v>
      </c>
      <c r="EW8" s="14">
        <f>SUM(DF$7:DF8)</f>
        <v>0</v>
      </c>
      <c r="EZ8" s="14">
        <f t="shared" ref="EZ8:EZ66" si="56">MIN(FA8:FC8)</f>
        <v>0</v>
      </c>
      <c r="FA8" s="14">
        <f t="shared" si="5"/>
        <v>0</v>
      </c>
      <c r="FB8" s="14">
        <f t="shared" si="6"/>
        <v>0</v>
      </c>
      <c r="FC8" s="14">
        <f t="shared" si="7"/>
        <v>0</v>
      </c>
      <c r="FD8" s="14">
        <f t="shared" ref="FD8:FD66" si="57">MIN(FE8:FI8)</f>
        <v>0</v>
      </c>
      <c r="FE8" s="14">
        <f t="shared" si="8"/>
        <v>0</v>
      </c>
      <c r="FF8" s="14">
        <f t="shared" si="9"/>
        <v>0</v>
      </c>
      <c r="FG8" s="14">
        <f t="shared" si="10"/>
        <v>0</v>
      </c>
      <c r="FH8" s="14">
        <f t="shared" si="11"/>
        <v>0</v>
      </c>
      <c r="FI8" s="14">
        <f t="shared" si="12"/>
        <v>0</v>
      </c>
      <c r="FJ8" s="14">
        <f t="shared" ref="FJ8:FJ66" si="58">MIN(FK8:FP8)</f>
        <v>0</v>
      </c>
      <c r="FK8" s="14">
        <f t="shared" si="13"/>
        <v>0</v>
      </c>
      <c r="FL8" s="14">
        <f t="shared" si="14"/>
        <v>0</v>
      </c>
      <c r="FM8" s="14">
        <f t="shared" si="15"/>
        <v>0</v>
      </c>
      <c r="FN8" s="14">
        <f t="shared" si="16"/>
        <v>0</v>
      </c>
      <c r="FO8" s="14">
        <f t="shared" si="17"/>
        <v>0</v>
      </c>
      <c r="FP8" s="14">
        <f t="shared" si="18"/>
        <v>0</v>
      </c>
      <c r="FQ8" s="14">
        <f t="shared" ref="FQ8:FQ66" si="59">MIN(FR8:FW8)</f>
        <v>0</v>
      </c>
      <c r="FR8" s="14">
        <f t="shared" si="19"/>
        <v>0</v>
      </c>
      <c r="FS8" s="14">
        <f t="shared" si="20"/>
        <v>0</v>
      </c>
      <c r="FT8" s="14">
        <f t="shared" si="21"/>
        <v>0</v>
      </c>
      <c r="FU8" s="14">
        <f t="shared" si="22"/>
        <v>0</v>
      </c>
      <c r="FV8" s="14">
        <f t="shared" si="23"/>
        <v>0</v>
      </c>
      <c r="FW8" s="14">
        <f t="shared" si="24"/>
        <v>0</v>
      </c>
      <c r="FX8" s="14">
        <f t="shared" ref="FX8:FX66" si="60">MIN(FY8:GD8)</f>
        <v>0</v>
      </c>
      <c r="FY8" s="14">
        <f t="shared" si="25"/>
        <v>0</v>
      </c>
      <c r="FZ8" s="14">
        <f t="shared" si="26"/>
        <v>0</v>
      </c>
      <c r="GA8" s="14">
        <f t="shared" si="27"/>
        <v>0</v>
      </c>
      <c r="GB8" s="14">
        <f t="shared" si="28"/>
        <v>0</v>
      </c>
      <c r="GC8" s="14">
        <f t="shared" si="29"/>
        <v>0</v>
      </c>
      <c r="GD8" s="14">
        <f t="shared" si="30"/>
        <v>0</v>
      </c>
      <c r="GE8" s="14">
        <f t="shared" ref="GE8:GE66" si="61">MIN(GF8:GM8)</f>
        <v>0</v>
      </c>
      <c r="GF8" s="14">
        <f t="shared" si="31"/>
        <v>0</v>
      </c>
      <c r="GG8" s="14">
        <f t="shared" si="32"/>
        <v>0</v>
      </c>
      <c r="GH8" s="14">
        <f t="shared" si="33"/>
        <v>0</v>
      </c>
      <c r="GI8" s="14">
        <f t="shared" si="34"/>
        <v>0</v>
      </c>
      <c r="GJ8" s="14">
        <f t="shared" si="35"/>
        <v>0</v>
      </c>
      <c r="GK8" s="14">
        <f t="shared" si="36"/>
        <v>0</v>
      </c>
      <c r="GL8" s="14">
        <f t="shared" si="37"/>
        <v>0</v>
      </c>
      <c r="GM8" s="14">
        <f t="shared" si="38"/>
        <v>0</v>
      </c>
      <c r="GN8" s="14">
        <f t="shared" ref="GN8:GN66" si="62">MIN(GO8:GV8)</f>
        <v>0</v>
      </c>
      <c r="GO8" s="14">
        <f t="shared" si="39"/>
        <v>0</v>
      </c>
      <c r="GP8" s="14">
        <f t="shared" si="40"/>
        <v>0</v>
      </c>
      <c r="GQ8" s="14">
        <f t="shared" si="41"/>
        <v>0</v>
      </c>
      <c r="GR8" s="14">
        <f t="shared" si="42"/>
        <v>0</v>
      </c>
      <c r="GS8" s="14">
        <f t="shared" si="43"/>
        <v>0</v>
      </c>
      <c r="GT8" s="14">
        <f t="shared" si="44"/>
        <v>0</v>
      </c>
      <c r="GU8" s="14">
        <f t="shared" si="45"/>
        <v>0</v>
      </c>
      <c r="GV8" s="14">
        <f t="shared" si="46"/>
        <v>0</v>
      </c>
      <c r="GY8" s="91">
        <v>2</v>
      </c>
      <c r="GZ8" s="14">
        <f t="shared" ref="GZ8:GZ71" si="63">MATCH(GY8-1,$R$7:$R$49,1)</f>
        <v>1</v>
      </c>
      <c r="HA8" s="14">
        <f t="shared" ref="HA8:HA71" si="64">INDEX($N$8:$N$49,GZ8)</f>
        <v>1</v>
      </c>
      <c r="HB8" s="14">
        <f t="shared" ref="HB8:HB71" si="65">INDEX($P$8:$P$49,GZ8)</f>
        <v>1</v>
      </c>
      <c r="HC8" s="14">
        <f t="shared" ref="HC8:HC71" si="66">ROUND(SQRT(INDEX($BJ$7:$BJ$27,HG8)*INDEX($H$7:$H$10,HB8)),3)</f>
        <v>0.24099999999999999</v>
      </c>
      <c r="HD8" s="14">
        <f t="shared" ref="HD8:HD71" si="67">INDEX($S$8:$S$49,GZ8)</f>
        <v>1606003</v>
      </c>
      <c r="HE8" s="14" t="str">
        <f t="shared" ref="HE8:HE71" si="68">INDEX($T$8:$T$49,GZ8)&amp;" : "&amp;HG8&amp;"级"</f>
        <v>神器1-1 : 2级</v>
      </c>
      <c r="HF8" s="14" t="s">
        <v>800</v>
      </c>
      <c r="HG8" s="14">
        <f t="shared" ref="HG8:HG71" si="69">GY8-INDEX($R$7:$R$49,GZ8)</f>
        <v>2</v>
      </c>
      <c r="HH8" s="14" t="str">
        <f t="shared" ref="HH8:HH71" si="70">INDEX($T$8:$T$49,GZ8)</f>
        <v>神器1-1</v>
      </c>
      <c r="HI8" s="14">
        <f t="shared" ref="HI8:HI71" si="71">INDEX($K$8:$K$28,HG8)</f>
        <v>1</v>
      </c>
      <c r="HJ8" s="14" t="s">
        <v>1595</v>
      </c>
      <c r="HK8" s="14">
        <f t="shared" ref="HK8:HK71" si="72">ROUND(INDEX($Y$8:$Y$14,HA8)/INDEX($Z$8:$Z$14,HA8)*HC8/50,0)*50</f>
        <v>2900</v>
      </c>
    </row>
    <row r="9" spans="1:219" ht="16.5" x14ac:dyDescent="0.2">
      <c r="A9" s="87">
        <v>3</v>
      </c>
      <c r="B9" s="87">
        <v>4</v>
      </c>
      <c r="C9" s="87">
        <v>4</v>
      </c>
      <c r="E9" s="87">
        <v>3</v>
      </c>
      <c r="F9" s="87" t="s">
        <v>632</v>
      </c>
      <c r="G9" s="87">
        <v>2</v>
      </c>
      <c r="H9" s="87">
        <v>7</v>
      </c>
      <c r="J9" s="87">
        <v>2</v>
      </c>
      <c r="K9" s="87">
        <v>1</v>
      </c>
      <c r="L9" s="87">
        <f>SUM(K$8:K9)</f>
        <v>2</v>
      </c>
      <c r="N9" s="90">
        <v>1</v>
      </c>
      <c r="O9" s="90">
        <v>2</v>
      </c>
      <c r="P9" s="90">
        <v>1</v>
      </c>
      <c r="Q9" s="90">
        <v>15</v>
      </c>
      <c r="R9" s="14">
        <f>SUM(Q$7:Q9)</f>
        <v>30</v>
      </c>
      <c r="S9" s="91">
        <v>1606004</v>
      </c>
      <c r="T9" s="14" t="str">
        <f t="shared" ref="T9:T49" si="73">"神器"&amp;N9&amp;"-"&amp;O9</f>
        <v>神器1-2</v>
      </c>
      <c r="W9" s="87">
        <v>2</v>
      </c>
      <c r="X9" s="87">
        <v>63</v>
      </c>
      <c r="Y9" s="203">
        <f>金币总表!AS8*0.5+金币总表!AS9*0.3</f>
        <v>454445</v>
      </c>
      <c r="Z9" s="203">
        <f t="shared" ref="Z9:Z14" si="74">SUMIFS($HC$7:$HC$786,$HA$7:$HA$786,"="&amp;W9)</f>
        <v>34.633999999999993</v>
      </c>
      <c r="AA9" s="87" t="s">
        <v>741</v>
      </c>
      <c r="AB9" s="87" t="s">
        <v>742</v>
      </c>
      <c r="AC9" s="87"/>
      <c r="AF9" s="87">
        <v>3</v>
      </c>
      <c r="AG9" s="87">
        <v>1</v>
      </c>
      <c r="AH9" s="87">
        <v>3</v>
      </c>
      <c r="AI9" s="200">
        <v>1606005</v>
      </c>
      <c r="AJ9" s="87" t="str">
        <f t="shared" si="47"/>
        <v>神器1-3</v>
      </c>
      <c r="AK9" s="87">
        <v>2</v>
      </c>
      <c r="AL9" s="87">
        <f t="shared" si="48"/>
        <v>30</v>
      </c>
      <c r="AO9" s="87">
        <v>1</v>
      </c>
      <c r="AP9" s="87">
        <v>1</v>
      </c>
      <c r="AQ9" s="87">
        <v>2</v>
      </c>
      <c r="AR9" s="144">
        <f t="shared" si="49"/>
        <v>4402</v>
      </c>
      <c r="AS9" s="144" t="s">
        <v>1204</v>
      </c>
      <c r="AT9" s="144" t="str">
        <f t="shared" si="50"/>
        <v>神器本-1-普通-2  神器1-3</v>
      </c>
      <c r="AU9" s="87">
        <v>3</v>
      </c>
      <c r="AV9" s="87" t="s">
        <v>734</v>
      </c>
      <c r="AW9" s="32">
        <v>3000</v>
      </c>
      <c r="AX9" s="87">
        <v>1</v>
      </c>
      <c r="AY9" s="87">
        <v>2</v>
      </c>
      <c r="AZ9" s="87">
        <f t="shared" si="51"/>
        <v>2</v>
      </c>
      <c r="BA9" s="14">
        <f t="shared" si="52"/>
        <v>0.45</v>
      </c>
      <c r="BB9" s="14">
        <f t="shared" si="53"/>
        <v>13.5</v>
      </c>
      <c r="BE9" s="87">
        <v>2</v>
      </c>
      <c r="BF9" s="87">
        <v>2</v>
      </c>
      <c r="BG9" s="87">
        <f t="shared" si="0"/>
        <v>118.3</v>
      </c>
      <c r="BI9" s="203">
        <v>3</v>
      </c>
      <c r="BJ9" s="21">
        <f t="shared" si="54"/>
        <v>6.2E-2</v>
      </c>
      <c r="BL9" s="87">
        <v>3</v>
      </c>
      <c r="BM9" s="14">
        <f>INDEX(节奏总表!$CK$4:$CK$63,新神器!BL9)</f>
        <v>45</v>
      </c>
      <c r="BN9" s="14">
        <f t="shared" si="55"/>
        <v>1</v>
      </c>
      <c r="BO9" s="87">
        <v>1</v>
      </c>
      <c r="BP9" s="87">
        <v>5</v>
      </c>
      <c r="BQ9" s="14">
        <f t="shared" si="1"/>
        <v>5</v>
      </c>
      <c r="BR9" s="14">
        <f t="shared" si="1"/>
        <v>5</v>
      </c>
      <c r="BS9" s="14">
        <f t="shared" si="1"/>
        <v>2.25</v>
      </c>
      <c r="BT9" s="14">
        <f t="shared" si="1"/>
        <v>0</v>
      </c>
      <c r="BU9" s="14">
        <f t="shared" si="1"/>
        <v>0</v>
      </c>
      <c r="BV9" s="14">
        <f t="shared" si="1"/>
        <v>0</v>
      </c>
      <c r="BW9" s="14">
        <f t="shared" si="1"/>
        <v>0</v>
      </c>
      <c r="BX9" s="14">
        <f t="shared" si="1"/>
        <v>0</v>
      </c>
      <c r="BY9" s="14">
        <f t="shared" si="1"/>
        <v>0</v>
      </c>
      <c r="BZ9" s="14">
        <f t="shared" si="1"/>
        <v>0</v>
      </c>
      <c r="CA9" s="14">
        <f t="shared" si="2"/>
        <v>0</v>
      </c>
      <c r="CB9" s="14">
        <f t="shared" si="2"/>
        <v>0</v>
      </c>
      <c r="CC9" s="14">
        <f t="shared" si="2"/>
        <v>0</v>
      </c>
      <c r="CD9" s="14">
        <f t="shared" si="2"/>
        <v>0</v>
      </c>
      <c r="CE9" s="14">
        <f t="shared" si="2"/>
        <v>0</v>
      </c>
      <c r="CF9" s="14">
        <f t="shared" si="2"/>
        <v>0</v>
      </c>
      <c r="CG9" s="14">
        <f t="shared" si="2"/>
        <v>0</v>
      </c>
      <c r="CH9" s="14">
        <f t="shared" si="2"/>
        <v>0</v>
      </c>
      <c r="CI9" s="14">
        <f t="shared" si="2"/>
        <v>0</v>
      </c>
      <c r="CJ9" s="14">
        <f t="shared" si="2"/>
        <v>0</v>
      </c>
      <c r="CK9" s="14">
        <f t="shared" si="3"/>
        <v>0</v>
      </c>
      <c r="CL9" s="14">
        <f t="shared" si="3"/>
        <v>0</v>
      </c>
      <c r="CM9" s="14">
        <f t="shared" si="3"/>
        <v>0</v>
      </c>
      <c r="CN9" s="14">
        <f t="shared" si="3"/>
        <v>0</v>
      </c>
      <c r="CO9" s="14">
        <f t="shared" si="3"/>
        <v>0</v>
      </c>
      <c r="CP9" s="14">
        <f t="shared" si="3"/>
        <v>0</v>
      </c>
      <c r="CQ9" s="14">
        <f t="shared" si="3"/>
        <v>0</v>
      </c>
      <c r="CR9" s="14">
        <f t="shared" si="3"/>
        <v>0</v>
      </c>
      <c r="CS9" s="14">
        <f t="shared" si="3"/>
        <v>0</v>
      </c>
      <c r="CT9" s="14">
        <f t="shared" si="3"/>
        <v>0</v>
      </c>
      <c r="CU9" s="14">
        <f t="shared" si="4"/>
        <v>0</v>
      </c>
      <c r="CV9" s="14">
        <f t="shared" si="4"/>
        <v>0</v>
      </c>
      <c r="CW9" s="14">
        <f t="shared" si="4"/>
        <v>0</v>
      </c>
      <c r="CX9" s="14">
        <f t="shared" si="4"/>
        <v>0</v>
      </c>
      <c r="CY9" s="14">
        <f t="shared" si="4"/>
        <v>0</v>
      </c>
      <c r="CZ9" s="14">
        <f t="shared" si="4"/>
        <v>0</v>
      </c>
      <c r="DA9" s="14">
        <f t="shared" si="4"/>
        <v>0</v>
      </c>
      <c r="DB9" s="14">
        <f t="shared" si="4"/>
        <v>0</v>
      </c>
      <c r="DC9" s="14">
        <f t="shared" si="4"/>
        <v>0</v>
      </c>
      <c r="DD9" s="14">
        <f t="shared" si="4"/>
        <v>0</v>
      </c>
      <c r="DE9" s="14">
        <f t="shared" si="4"/>
        <v>0</v>
      </c>
      <c r="DF9" s="14">
        <f t="shared" si="4"/>
        <v>0</v>
      </c>
      <c r="DH9" s="14">
        <f>SUM(BQ$7:BQ9)</f>
        <v>5</v>
      </c>
      <c r="DI9" s="14">
        <f>SUM(BR$7:BR9)</f>
        <v>5</v>
      </c>
      <c r="DJ9" s="14">
        <f>SUM(BS$7:BS9)</f>
        <v>2.25</v>
      </c>
      <c r="DK9" s="14">
        <f>SUM(BT$7:BT9)</f>
        <v>0</v>
      </c>
      <c r="DL9" s="14">
        <f>SUM(BU$7:BU9)</f>
        <v>0</v>
      </c>
      <c r="DM9" s="14">
        <f>SUM(BV$7:BV9)</f>
        <v>0</v>
      </c>
      <c r="DN9" s="14">
        <f>SUM(BW$7:BW9)</f>
        <v>0</v>
      </c>
      <c r="DO9" s="14">
        <f>SUM(BX$7:BX9)</f>
        <v>0</v>
      </c>
      <c r="DP9" s="14">
        <f>SUM(BY$7:BY9)</f>
        <v>0</v>
      </c>
      <c r="DQ9" s="14">
        <f>SUM(BZ$7:BZ9)</f>
        <v>0</v>
      </c>
      <c r="DR9" s="14">
        <f>SUM(CA$7:CA9)</f>
        <v>0</v>
      </c>
      <c r="DS9" s="14">
        <f>SUM(CB$7:CB9)</f>
        <v>0</v>
      </c>
      <c r="DT9" s="14">
        <f>SUM(CC$7:CC9)</f>
        <v>0</v>
      </c>
      <c r="DU9" s="14">
        <f>SUM(CD$7:CD9)</f>
        <v>0</v>
      </c>
      <c r="DV9" s="14">
        <f>SUM(CE$7:CE9)</f>
        <v>0</v>
      </c>
      <c r="DW9" s="14">
        <f>SUM(CF$7:CF9)</f>
        <v>0</v>
      </c>
      <c r="DX9" s="14">
        <f>SUM(CG$7:CG9)</f>
        <v>0</v>
      </c>
      <c r="DY9" s="14">
        <f>SUM(CH$7:CH9)</f>
        <v>0</v>
      </c>
      <c r="DZ9" s="14">
        <f>SUM(CI$7:CI9)</f>
        <v>0</v>
      </c>
      <c r="EA9" s="14">
        <f>SUM(CJ$7:CJ9)</f>
        <v>0</v>
      </c>
      <c r="EB9" s="14">
        <f>SUM(CK$7:CK9)</f>
        <v>0</v>
      </c>
      <c r="EC9" s="14">
        <f>SUM(CL$7:CL9)</f>
        <v>0</v>
      </c>
      <c r="ED9" s="14">
        <f>SUM(CM$7:CM9)</f>
        <v>0</v>
      </c>
      <c r="EE9" s="14">
        <f>SUM(CN$7:CN9)</f>
        <v>0</v>
      </c>
      <c r="EF9" s="14">
        <f>SUM(CO$7:CO9)</f>
        <v>0</v>
      </c>
      <c r="EG9" s="14">
        <f>SUM(CP$7:CP9)</f>
        <v>0</v>
      </c>
      <c r="EH9" s="14">
        <f>SUM(CQ$7:CQ9)</f>
        <v>0</v>
      </c>
      <c r="EI9" s="14">
        <f>SUM(CR$7:CR9)</f>
        <v>0</v>
      </c>
      <c r="EJ9" s="14">
        <f>SUM(CS$7:CS9)</f>
        <v>0</v>
      </c>
      <c r="EK9" s="14">
        <f>SUM(CT$7:CT9)</f>
        <v>0</v>
      </c>
      <c r="EL9" s="14">
        <f>SUM(CU$7:CU9)</f>
        <v>0</v>
      </c>
      <c r="EM9" s="14">
        <f>SUM(CV$7:CV9)</f>
        <v>0</v>
      </c>
      <c r="EN9" s="14">
        <f>SUM(CW$7:CW9)</f>
        <v>0</v>
      </c>
      <c r="EO9" s="14">
        <f>SUM(CX$7:CX9)</f>
        <v>0</v>
      </c>
      <c r="EP9" s="14">
        <f>SUM(CY$7:CY9)</f>
        <v>0</v>
      </c>
      <c r="EQ9" s="14">
        <f>SUM(CZ$7:CZ9)</f>
        <v>0</v>
      </c>
      <c r="ER9" s="14">
        <f>SUM(DA$7:DA9)</f>
        <v>0</v>
      </c>
      <c r="ES9" s="14">
        <f>SUM(DB$7:DB9)</f>
        <v>0</v>
      </c>
      <c r="ET9" s="14">
        <f>SUM(DC$7:DC9)</f>
        <v>0</v>
      </c>
      <c r="EU9" s="14">
        <f>SUM(DD$7:DD9)</f>
        <v>0</v>
      </c>
      <c r="EV9" s="14">
        <f>SUM(DE$7:DE9)</f>
        <v>0</v>
      </c>
      <c r="EW9" s="14">
        <f>SUM(DF$7:DF9)</f>
        <v>0</v>
      </c>
      <c r="EZ9" s="14">
        <f t="shared" si="56"/>
        <v>2</v>
      </c>
      <c r="FA9" s="14">
        <f t="shared" si="5"/>
        <v>4</v>
      </c>
      <c r="FB9" s="14">
        <f t="shared" si="6"/>
        <v>4</v>
      </c>
      <c r="FC9" s="14">
        <f t="shared" si="7"/>
        <v>2</v>
      </c>
      <c r="FD9" s="14">
        <f t="shared" si="57"/>
        <v>0</v>
      </c>
      <c r="FE9" s="14">
        <f t="shared" si="8"/>
        <v>0</v>
      </c>
      <c r="FF9" s="14">
        <f t="shared" si="9"/>
        <v>0</v>
      </c>
      <c r="FG9" s="14">
        <f t="shared" si="10"/>
        <v>0</v>
      </c>
      <c r="FH9" s="14">
        <f t="shared" si="11"/>
        <v>0</v>
      </c>
      <c r="FI9" s="14">
        <f t="shared" si="12"/>
        <v>0</v>
      </c>
      <c r="FJ9" s="14">
        <f t="shared" si="58"/>
        <v>0</v>
      </c>
      <c r="FK9" s="14">
        <f t="shared" si="13"/>
        <v>0</v>
      </c>
      <c r="FL9" s="14">
        <f t="shared" si="14"/>
        <v>0</v>
      </c>
      <c r="FM9" s="14">
        <f t="shared" si="15"/>
        <v>0</v>
      </c>
      <c r="FN9" s="14">
        <f t="shared" si="16"/>
        <v>0</v>
      </c>
      <c r="FO9" s="14">
        <f t="shared" si="17"/>
        <v>0</v>
      </c>
      <c r="FP9" s="14">
        <f t="shared" si="18"/>
        <v>0</v>
      </c>
      <c r="FQ9" s="14">
        <f t="shared" si="59"/>
        <v>0</v>
      </c>
      <c r="FR9" s="14">
        <f t="shared" si="19"/>
        <v>0</v>
      </c>
      <c r="FS9" s="14">
        <f t="shared" si="20"/>
        <v>0</v>
      </c>
      <c r="FT9" s="14">
        <f t="shared" si="21"/>
        <v>0</v>
      </c>
      <c r="FU9" s="14">
        <f t="shared" si="22"/>
        <v>0</v>
      </c>
      <c r="FV9" s="14">
        <f t="shared" si="23"/>
        <v>0</v>
      </c>
      <c r="FW9" s="14">
        <f t="shared" si="24"/>
        <v>0</v>
      </c>
      <c r="FX9" s="14">
        <f t="shared" si="60"/>
        <v>0</v>
      </c>
      <c r="FY9" s="14">
        <f t="shared" si="25"/>
        <v>0</v>
      </c>
      <c r="FZ9" s="14">
        <f t="shared" si="26"/>
        <v>0</v>
      </c>
      <c r="GA9" s="14">
        <f t="shared" si="27"/>
        <v>0</v>
      </c>
      <c r="GB9" s="14">
        <f t="shared" si="28"/>
        <v>0</v>
      </c>
      <c r="GC9" s="14">
        <f t="shared" si="29"/>
        <v>0</v>
      </c>
      <c r="GD9" s="14">
        <f t="shared" si="30"/>
        <v>0</v>
      </c>
      <c r="GE9" s="14">
        <f t="shared" si="61"/>
        <v>0</v>
      </c>
      <c r="GF9" s="14">
        <f t="shared" si="31"/>
        <v>0</v>
      </c>
      <c r="GG9" s="14">
        <f t="shared" si="32"/>
        <v>0</v>
      </c>
      <c r="GH9" s="14">
        <f t="shared" si="33"/>
        <v>0</v>
      </c>
      <c r="GI9" s="14">
        <f t="shared" si="34"/>
        <v>0</v>
      </c>
      <c r="GJ9" s="14">
        <f t="shared" si="35"/>
        <v>0</v>
      </c>
      <c r="GK9" s="14">
        <f t="shared" si="36"/>
        <v>0</v>
      </c>
      <c r="GL9" s="14">
        <f t="shared" si="37"/>
        <v>0</v>
      </c>
      <c r="GM9" s="14">
        <f t="shared" si="38"/>
        <v>0</v>
      </c>
      <c r="GN9" s="14">
        <f t="shared" si="62"/>
        <v>0</v>
      </c>
      <c r="GO9" s="14">
        <f t="shared" si="39"/>
        <v>0</v>
      </c>
      <c r="GP9" s="14">
        <f t="shared" si="40"/>
        <v>0</v>
      </c>
      <c r="GQ9" s="14">
        <f t="shared" si="41"/>
        <v>0</v>
      </c>
      <c r="GR9" s="14">
        <f t="shared" si="42"/>
        <v>0</v>
      </c>
      <c r="GS9" s="14">
        <f t="shared" si="43"/>
        <v>0</v>
      </c>
      <c r="GT9" s="14">
        <f t="shared" si="44"/>
        <v>0</v>
      </c>
      <c r="GU9" s="14">
        <f t="shared" si="45"/>
        <v>0</v>
      </c>
      <c r="GV9" s="14">
        <f t="shared" si="46"/>
        <v>0</v>
      </c>
      <c r="GY9" s="91">
        <v>3</v>
      </c>
      <c r="GZ9" s="14">
        <f t="shared" si="63"/>
        <v>1</v>
      </c>
      <c r="HA9" s="14">
        <f t="shared" si="64"/>
        <v>1</v>
      </c>
      <c r="HB9" s="14">
        <f t="shared" si="65"/>
        <v>1</v>
      </c>
      <c r="HC9" s="14">
        <f t="shared" si="66"/>
        <v>0.249</v>
      </c>
      <c r="HD9" s="14">
        <f t="shared" si="67"/>
        <v>1606003</v>
      </c>
      <c r="HE9" s="14" t="str">
        <f t="shared" si="68"/>
        <v>神器1-1 : 3级</v>
      </c>
      <c r="HF9" s="14" t="s">
        <v>800</v>
      </c>
      <c r="HG9" s="14">
        <f t="shared" si="69"/>
        <v>3</v>
      </c>
      <c r="HH9" s="14" t="str">
        <f t="shared" si="70"/>
        <v>神器1-1</v>
      </c>
      <c r="HI9" s="14">
        <f t="shared" si="71"/>
        <v>1</v>
      </c>
      <c r="HJ9" s="14" t="s">
        <v>1595</v>
      </c>
      <c r="HK9" s="14">
        <f t="shared" si="72"/>
        <v>3000</v>
      </c>
    </row>
    <row r="10" spans="1:219" ht="16.5" x14ac:dyDescent="0.2">
      <c r="A10" s="87">
        <v>4</v>
      </c>
      <c r="B10" s="87">
        <v>5</v>
      </c>
      <c r="C10" s="87">
        <v>5</v>
      </c>
      <c r="E10" s="87">
        <v>4</v>
      </c>
      <c r="F10" s="87" t="s">
        <v>362</v>
      </c>
      <c r="G10" s="87">
        <v>3</v>
      </c>
      <c r="H10" s="87">
        <v>15</v>
      </c>
      <c r="J10" s="87">
        <v>3</v>
      </c>
      <c r="K10" s="87">
        <v>1</v>
      </c>
      <c r="L10" s="87">
        <f>SUM(K$8:K10)</f>
        <v>3</v>
      </c>
      <c r="N10" s="90">
        <v>1</v>
      </c>
      <c r="O10" s="90">
        <v>3</v>
      </c>
      <c r="P10" s="90">
        <v>2</v>
      </c>
      <c r="Q10" s="90">
        <v>15</v>
      </c>
      <c r="R10" s="14">
        <f>SUM(Q$7:Q10)</f>
        <v>45</v>
      </c>
      <c r="S10" s="91">
        <v>1606005</v>
      </c>
      <c r="T10" s="14" t="str">
        <f t="shared" si="73"/>
        <v>神器1-3</v>
      </c>
      <c r="W10" s="87">
        <v>3</v>
      </c>
      <c r="X10" s="87">
        <v>83</v>
      </c>
      <c r="Y10" s="203">
        <f>金币总表!AS9*0.7</f>
        <v>614740</v>
      </c>
      <c r="Z10" s="203">
        <f t="shared" si="74"/>
        <v>63.525000000000006</v>
      </c>
      <c r="AA10" s="87" t="s">
        <v>758</v>
      </c>
      <c r="AB10" s="87" t="s">
        <v>755</v>
      </c>
      <c r="AC10" s="87" t="s">
        <v>753</v>
      </c>
      <c r="AF10" s="87">
        <v>4</v>
      </c>
      <c r="AG10" s="87">
        <v>2</v>
      </c>
      <c r="AH10" s="87">
        <v>1</v>
      </c>
      <c r="AI10" s="200">
        <v>1606006</v>
      </c>
      <c r="AJ10" s="87" t="str">
        <f t="shared" si="47"/>
        <v>神器2-1</v>
      </c>
      <c r="AK10" s="87">
        <v>1</v>
      </c>
      <c r="AL10" s="87">
        <f t="shared" si="48"/>
        <v>15</v>
      </c>
      <c r="AO10" s="87">
        <v>2</v>
      </c>
      <c r="AP10" s="87">
        <v>1</v>
      </c>
      <c r="AQ10" s="87">
        <v>3</v>
      </c>
      <c r="AR10" s="144">
        <f t="shared" si="49"/>
        <v>4403</v>
      </c>
      <c r="AS10" s="144" t="s">
        <v>1205</v>
      </c>
      <c r="AT10" s="144" t="str">
        <f t="shared" si="50"/>
        <v>神器本-2-普通-1  神器1-1</v>
      </c>
      <c r="AU10" s="87">
        <v>1</v>
      </c>
      <c r="AV10" s="87" t="s">
        <v>732</v>
      </c>
      <c r="AW10" s="32">
        <v>3800</v>
      </c>
      <c r="AX10" s="87">
        <v>1</v>
      </c>
      <c r="AY10" s="87">
        <v>1</v>
      </c>
      <c r="AZ10" s="87">
        <f t="shared" si="51"/>
        <v>1</v>
      </c>
      <c r="BA10" s="14">
        <f t="shared" si="52"/>
        <v>0.38</v>
      </c>
      <c r="BB10" s="14">
        <f t="shared" si="53"/>
        <v>3.8</v>
      </c>
      <c r="BE10" s="87">
        <v>3</v>
      </c>
      <c r="BF10" s="87">
        <v>1</v>
      </c>
      <c r="BG10" s="87">
        <f t="shared" si="0"/>
        <v>133</v>
      </c>
      <c r="BI10" s="203">
        <v>4</v>
      </c>
      <c r="BJ10" s="21">
        <f t="shared" si="54"/>
        <v>6.6000000000000003E-2</v>
      </c>
      <c r="BL10" s="87">
        <v>4</v>
      </c>
      <c r="BM10" s="14">
        <f>INDEX(节奏总表!$CK$4:$CK$63,新神器!BL10)</f>
        <v>52</v>
      </c>
      <c r="BN10" s="14">
        <f t="shared" si="55"/>
        <v>1</v>
      </c>
      <c r="BO10" s="87">
        <v>1</v>
      </c>
      <c r="BP10" s="87">
        <v>5</v>
      </c>
      <c r="BQ10" s="14">
        <f t="shared" si="1"/>
        <v>5</v>
      </c>
      <c r="BR10" s="14">
        <f t="shared" si="1"/>
        <v>5</v>
      </c>
      <c r="BS10" s="14">
        <f t="shared" si="1"/>
        <v>2.25</v>
      </c>
      <c r="BT10" s="14">
        <f t="shared" si="1"/>
        <v>0</v>
      </c>
      <c r="BU10" s="14">
        <f t="shared" si="1"/>
        <v>0</v>
      </c>
      <c r="BV10" s="14">
        <f t="shared" si="1"/>
        <v>0</v>
      </c>
      <c r="BW10" s="14">
        <f t="shared" si="1"/>
        <v>0</v>
      </c>
      <c r="BX10" s="14">
        <f t="shared" si="1"/>
        <v>0</v>
      </c>
      <c r="BY10" s="14">
        <f t="shared" si="1"/>
        <v>0</v>
      </c>
      <c r="BZ10" s="14">
        <f t="shared" si="1"/>
        <v>0</v>
      </c>
      <c r="CA10" s="14">
        <f t="shared" si="2"/>
        <v>0</v>
      </c>
      <c r="CB10" s="14">
        <f t="shared" si="2"/>
        <v>0</v>
      </c>
      <c r="CC10" s="14">
        <f t="shared" si="2"/>
        <v>0</v>
      </c>
      <c r="CD10" s="14">
        <f t="shared" si="2"/>
        <v>0</v>
      </c>
      <c r="CE10" s="14">
        <f t="shared" si="2"/>
        <v>0</v>
      </c>
      <c r="CF10" s="14">
        <f t="shared" si="2"/>
        <v>0</v>
      </c>
      <c r="CG10" s="14">
        <f t="shared" si="2"/>
        <v>0</v>
      </c>
      <c r="CH10" s="14">
        <f t="shared" si="2"/>
        <v>0</v>
      </c>
      <c r="CI10" s="14">
        <f t="shared" si="2"/>
        <v>0</v>
      </c>
      <c r="CJ10" s="14">
        <f t="shared" si="2"/>
        <v>0</v>
      </c>
      <c r="CK10" s="14">
        <f t="shared" si="3"/>
        <v>0</v>
      </c>
      <c r="CL10" s="14">
        <f t="shared" si="3"/>
        <v>0</v>
      </c>
      <c r="CM10" s="14">
        <f t="shared" si="3"/>
        <v>0</v>
      </c>
      <c r="CN10" s="14">
        <f t="shared" si="3"/>
        <v>0</v>
      </c>
      <c r="CO10" s="14">
        <f t="shared" si="3"/>
        <v>0</v>
      </c>
      <c r="CP10" s="14">
        <f t="shared" si="3"/>
        <v>0</v>
      </c>
      <c r="CQ10" s="14">
        <f t="shared" si="3"/>
        <v>0</v>
      </c>
      <c r="CR10" s="14">
        <f t="shared" si="3"/>
        <v>0</v>
      </c>
      <c r="CS10" s="14">
        <f t="shared" si="3"/>
        <v>0</v>
      </c>
      <c r="CT10" s="14">
        <f t="shared" si="3"/>
        <v>0</v>
      </c>
      <c r="CU10" s="14">
        <f t="shared" si="4"/>
        <v>0</v>
      </c>
      <c r="CV10" s="14">
        <f t="shared" si="4"/>
        <v>0</v>
      </c>
      <c r="CW10" s="14">
        <f t="shared" si="4"/>
        <v>0</v>
      </c>
      <c r="CX10" s="14">
        <f t="shared" si="4"/>
        <v>0</v>
      </c>
      <c r="CY10" s="14">
        <f t="shared" si="4"/>
        <v>0</v>
      </c>
      <c r="CZ10" s="14">
        <f t="shared" si="4"/>
        <v>0</v>
      </c>
      <c r="DA10" s="14">
        <f t="shared" si="4"/>
        <v>0</v>
      </c>
      <c r="DB10" s="14">
        <f t="shared" si="4"/>
        <v>0</v>
      </c>
      <c r="DC10" s="14">
        <f t="shared" si="4"/>
        <v>0</v>
      </c>
      <c r="DD10" s="14">
        <f t="shared" si="4"/>
        <v>0</v>
      </c>
      <c r="DE10" s="14">
        <f t="shared" si="4"/>
        <v>0</v>
      </c>
      <c r="DF10" s="14">
        <f t="shared" si="4"/>
        <v>0</v>
      </c>
      <c r="DH10" s="14">
        <f>SUM(BQ$7:BQ10)</f>
        <v>10</v>
      </c>
      <c r="DI10" s="14">
        <f>SUM(BR$7:BR10)</f>
        <v>10</v>
      </c>
      <c r="DJ10" s="14">
        <f>SUM(BS$7:BS10)</f>
        <v>4.5</v>
      </c>
      <c r="DK10" s="14">
        <f>SUM(BT$7:BT10)</f>
        <v>0</v>
      </c>
      <c r="DL10" s="14">
        <f>SUM(BU$7:BU10)</f>
        <v>0</v>
      </c>
      <c r="DM10" s="14">
        <f>SUM(BV$7:BV10)</f>
        <v>0</v>
      </c>
      <c r="DN10" s="14">
        <f>SUM(BW$7:BW10)</f>
        <v>0</v>
      </c>
      <c r="DO10" s="14">
        <f>SUM(BX$7:BX10)</f>
        <v>0</v>
      </c>
      <c r="DP10" s="14">
        <f>SUM(BY$7:BY10)</f>
        <v>0</v>
      </c>
      <c r="DQ10" s="14">
        <f>SUM(BZ$7:BZ10)</f>
        <v>0</v>
      </c>
      <c r="DR10" s="14">
        <f>SUM(CA$7:CA10)</f>
        <v>0</v>
      </c>
      <c r="DS10" s="14">
        <f>SUM(CB$7:CB10)</f>
        <v>0</v>
      </c>
      <c r="DT10" s="14">
        <f>SUM(CC$7:CC10)</f>
        <v>0</v>
      </c>
      <c r="DU10" s="14">
        <f>SUM(CD$7:CD10)</f>
        <v>0</v>
      </c>
      <c r="DV10" s="14">
        <f>SUM(CE$7:CE10)</f>
        <v>0</v>
      </c>
      <c r="DW10" s="14">
        <f>SUM(CF$7:CF10)</f>
        <v>0</v>
      </c>
      <c r="DX10" s="14">
        <f>SUM(CG$7:CG10)</f>
        <v>0</v>
      </c>
      <c r="DY10" s="14">
        <f>SUM(CH$7:CH10)</f>
        <v>0</v>
      </c>
      <c r="DZ10" s="14">
        <f>SUM(CI$7:CI10)</f>
        <v>0</v>
      </c>
      <c r="EA10" s="14">
        <f>SUM(CJ$7:CJ10)</f>
        <v>0</v>
      </c>
      <c r="EB10" s="14">
        <f>SUM(CK$7:CK10)</f>
        <v>0</v>
      </c>
      <c r="EC10" s="14">
        <f>SUM(CL$7:CL10)</f>
        <v>0</v>
      </c>
      <c r="ED10" s="14">
        <f>SUM(CM$7:CM10)</f>
        <v>0</v>
      </c>
      <c r="EE10" s="14">
        <f>SUM(CN$7:CN10)</f>
        <v>0</v>
      </c>
      <c r="EF10" s="14">
        <f>SUM(CO$7:CO10)</f>
        <v>0</v>
      </c>
      <c r="EG10" s="14">
        <f>SUM(CP$7:CP10)</f>
        <v>0</v>
      </c>
      <c r="EH10" s="14">
        <f>SUM(CQ$7:CQ10)</f>
        <v>0</v>
      </c>
      <c r="EI10" s="14">
        <f>SUM(CR$7:CR10)</f>
        <v>0</v>
      </c>
      <c r="EJ10" s="14">
        <f>SUM(CS$7:CS10)</f>
        <v>0</v>
      </c>
      <c r="EK10" s="14">
        <f>SUM(CT$7:CT10)</f>
        <v>0</v>
      </c>
      <c r="EL10" s="14">
        <f>SUM(CU$7:CU10)</f>
        <v>0</v>
      </c>
      <c r="EM10" s="14">
        <f>SUM(CV$7:CV10)</f>
        <v>0</v>
      </c>
      <c r="EN10" s="14">
        <f>SUM(CW$7:CW10)</f>
        <v>0</v>
      </c>
      <c r="EO10" s="14">
        <f>SUM(CX$7:CX10)</f>
        <v>0</v>
      </c>
      <c r="EP10" s="14">
        <f>SUM(CY$7:CY10)</f>
        <v>0</v>
      </c>
      <c r="EQ10" s="14">
        <f>SUM(CZ$7:CZ10)</f>
        <v>0</v>
      </c>
      <c r="ER10" s="14">
        <f>SUM(DA$7:DA10)</f>
        <v>0</v>
      </c>
      <c r="ES10" s="14">
        <f>SUM(DB$7:DB10)</f>
        <v>0</v>
      </c>
      <c r="ET10" s="14">
        <f>SUM(DC$7:DC10)</f>
        <v>0</v>
      </c>
      <c r="EU10" s="14">
        <f>SUM(DD$7:DD10)</f>
        <v>0</v>
      </c>
      <c r="EV10" s="14">
        <f>SUM(DE$7:DE10)</f>
        <v>0</v>
      </c>
      <c r="EW10" s="14">
        <f>SUM(DF$7:DF10)</f>
        <v>0</v>
      </c>
      <c r="EZ10" s="14">
        <f t="shared" si="56"/>
        <v>3</v>
      </c>
      <c r="FA10" s="14">
        <f t="shared" si="5"/>
        <v>6</v>
      </c>
      <c r="FB10" s="14">
        <f t="shared" si="6"/>
        <v>6</v>
      </c>
      <c r="FC10" s="14">
        <f t="shared" si="7"/>
        <v>3</v>
      </c>
      <c r="FD10" s="14">
        <f t="shared" si="57"/>
        <v>0</v>
      </c>
      <c r="FE10" s="14">
        <f t="shared" si="8"/>
        <v>0</v>
      </c>
      <c r="FF10" s="14">
        <f t="shared" si="9"/>
        <v>0</v>
      </c>
      <c r="FG10" s="14">
        <f t="shared" si="10"/>
        <v>0</v>
      </c>
      <c r="FH10" s="14">
        <f t="shared" si="11"/>
        <v>0</v>
      </c>
      <c r="FI10" s="14">
        <f t="shared" si="12"/>
        <v>0</v>
      </c>
      <c r="FJ10" s="14">
        <f t="shared" si="58"/>
        <v>0</v>
      </c>
      <c r="FK10" s="14">
        <f t="shared" si="13"/>
        <v>0</v>
      </c>
      <c r="FL10" s="14">
        <f t="shared" si="14"/>
        <v>0</v>
      </c>
      <c r="FM10" s="14">
        <f t="shared" si="15"/>
        <v>0</v>
      </c>
      <c r="FN10" s="14">
        <f t="shared" si="16"/>
        <v>0</v>
      </c>
      <c r="FO10" s="14">
        <f t="shared" si="17"/>
        <v>0</v>
      </c>
      <c r="FP10" s="14">
        <f t="shared" si="18"/>
        <v>0</v>
      </c>
      <c r="FQ10" s="14">
        <f t="shared" si="59"/>
        <v>0</v>
      </c>
      <c r="FR10" s="14">
        <f t="shared" si="19"/>
        <v>0</v>
      </c>
      <c r="FS10" s="14">
        <f t="shared" si="20"/>
        <v>0</v>
      </c>
      <c r="FT10" s="14">
        <f t="shared" si="21"/>
        <v>0</v>
      </c>
      <c r="FU10" s="14">
        <f t="shared" si="22"/>
        <v>0</v>
      </c>
      <c r="FV10" s="14">
        <f t="shared" si="23"/>
        <v>0</v>
      </c>
      <c r="FW10" s="14">
        <f t="shared" si="24"/>
        <v>0</v>
      </c>
      <c r="FX10" s="14">
        <f t="shared" si="60"/>
        <v>0</v>
      </c>
      <c r="FY10" s="14">
        <f t="shared" si="25"/>
        <v>0</v>
      </c>
      <c r="FZ10" s="14">
        <f t="shared" si="26"/>
        <v>0</v>
      </c>
      <c r="GA10" s="14">
        <f t="shared" si="27"/>
        <v>0</v>
      </c>
      <c r="GB10" s="14">
        <f t="shared" si="28"/>
        <v>0</v>
      </c>
      <c r="GC10" s="14">
        <f t="shared" si="29"/>
        <v>0</v>
      </c>
      <c r="GD10" s="14">
        <f t="shared" si="30"/>
        <v>0</v>
      </c>
      <c r="GE10" s="14">
        <f t="shared" si="61"/>
        <v>0</v>
      </c>
      <c r="GF10" s="14">
        <f t="shared" si="31"/>
        <v>0</v>
      </c>
      <c r="GG10" s="14">
        <f t="shared" si="32"/>
        <v>0</v>
      </c>
      <c r="GH10" s="14">
        <f t="shared" si="33"/>
        <v>0</v>
      </c>
      <c r="GI10" s="14">
        <f t="shared" si="34"/>
        <v>0</v>
      </c>
      <c r="GJ10" s="14">
        <f t="shared" si="35"/>
        <v>0</v>
      </c>
      <c r="GK10" s="14">
        <f t="shared" si="36"/>
        <v>0</v>
      </c>
      <c r="GL10" s="14">
        <f t="shared" si="37"/>
        <v>0</v>
      </c>
      <c r="GM10" s="14">
        <f t="shared" si="38"/>
        <v>0</v>
      </c>
      <c r="GN10" s="14">
        <f t="shared" si="62"/>
        <v>0</v>
      </c>
      <c r="GO10" s="14">
        <f t="shared" si="39"/>
        <v>0</v>
      </c>
      <c r="GP10" s="14">
        <f t="shared" si="40"/>
        <v>0</v>
      </c>
      <c r="GQ10" s="14">
        <f t="shared" si="41"/>
        <v>0</v>
      </c>
      <c r="GR10" s="14">
        <f t="shared" si="42"/>
        <v>0</v>
      </c>
      <c r="GS10" s="14">
        <f t="shared" si="43"/>
        <v>0</v>
      </c>
      <c r="GT10" s="14">
        <f t="shared" si="44"/>
        <v>0</v>
      </c>
      <c r="GU10" s="14">
        <f t="shared" si="45"/>
        <v>0</v>
      </c>
      <c r="GV10" s="14">
        <f t="shared" si="46"/>
        <v>0</v>
      </c>
      <c r="GY10" s="91">
        <v>4</v>
      </c>
      <c r="GZ10" s="14">
        <f t="shared" si="63"/>
        <v>1</v>
      </c>
      <c r="HA10" s="14">
        <f t="shared" si="64"/>
        <v>1</v>
      </c>
      <c r="HB10" s="14">
        <f t="shared" si="65"/>
        <v>1</v>
      </c>
      <c r="HC10" s="14">
        <f t="shared" si="66"/>
        <v>0.25700000000000001</v>
      </c>
      <c r="HD10" s="14">
        <f t="shared" si="67"/>
        <v>1606003</v>
      </c>
      <c r="HE10" s="14" t="str">
        <f t="shared" si="68"/>
        <v>神器1-1 : 4级</v>
      </c>
      <c r="HF10" s="14" t="s">
        <v>800</v>
      </c>
      <c r="HG10" s="14">
        <f t="shared" si="69"/>
        <v>4</v>
      </c>
      <c r="HH10" s="14" t="str">
        <f t="shared" si="70"/>
        <v>神器1-1</v>
      </c>
      <c r="HI10" s="14">
        <f t="shared" si="71"/>
        <v>2</v>
      </c>
      <c r="HJ10" s="14" t="s">
        <v>1595</v>
      </c>
      <c r="HK10" s="14">
        <f t="shared" si="72"/>
        <v>3100</v>
      </c>
    </row>
    <row r="11" spans="1:219" ht="16.5" x14ac:dyDescent="0.2">
      <c r="A11" s="87">
        <v>5</v>
      </c>
      <c r="B11" s="87">
        <v>6</v>
      </c>
      <c r="C11" s="87">
        <v>6</v>
      </c>
      <c r="J11" s="87">
        <v>4</v>
      </c>
      <c r="K11" s="87">
        <v>2</v>
      </c>
      <c r="L11" s="87">
        <f>SUM(K$8:K11)</f>
        <v>5</v>
      </c>
      <c r="N11" s="90">
        <v>2</v>
      </c>
      <c r="O11" s="90">
        <v>1</v>
      </c>
      <c r="P11" s="90">
        <v>1</v>
      </c>
      <c r="Q11" s="90">
        <v>15</v>
      </c>
      <c r="R11" s="14">
        <f>SUM(Q$7:Q11)</f>
        <v>60</v>
      </c>
      <c r="S11" s="91">
        <v>1606006</v>
      </c>
      <c r="T11" s="14" t="str">
        <f t="shared" si="73"/>
        <v>神器2-1</v>
      </c>
      <c r="W11" s="87">
        <v>4</v>
      </c>
      <c r="X11" s="87">
        <v>93</v>
      </c>
      <c r="Y11" s="203">
        <f>ROUND(金币总表!AS10*0.5,0)</f>
        <v>777743</v>
      </c>
      <c r="Z11" s="203">
        <f t="shared" si="74"/>
        <v>63.525000000000006</v>
      </c>
      <c r="AA11" s="87" t="s">
        <v>759</v>
      </c>
      <c r="AB11" s="87" t="s">
        <v>756</v>
      </c>
      <c r="AC11" s="87" t="s">
        <v>754</v>
      </c>
      <c r="AF11" s="87">
        <v>5</v>
      </c>
      <c r="AG11" s="87">
        <v>2</v>
      </c>
      <c r="AH11" s="87">
        <v>2</v>
      </c>
      <c r="AI11" s="200">
        <v>1606007</v>
      </c>
      <c r="AJ11" s="87" t="str">
        <f t="shared" si="47"/>
        <v>神器2-2</v>
      </c>
      <c r="AK11" s="87">
        <v>1</v>
      </c>
      <c r="AL11" s="87">
        <f t="shared" si="48"/>
        <v>15</v>
      </c>
      <c r="AO11" s="87">
        <v>2</v>
      </c>
      <c r="AP11" s="87">
        <v>1</v>
      </c>
      <c r="AQ11" s="87">
        <v>3</v>
      </c>
      <c r="AR11" s="144">
        <f t="shared" si="49"/>
        <v>4403</v>
      </c>
      <c r="AS11" s="144" t="s">
        <v>1205</v>
      </c>
      <c r="AT11" s="144" t="str">
        <f t="shared" si="50"/>
        <v>神器本-2-普通-1  神器1-2</v>
      </c>
      <c r="AU11" s="87">
        <v>2</v>
      </c>
      <c r="AV11" s="87" t="s">
        <v>733</v>
      </c>
      <c r="AW11" s="32">
        <v>3800</v>
      </c>
      <c r="AX11" s="87">
        <v>1</v>
      </c>
      <c r="AY11" s="87">
        <v>1</v>
      </c>
      <c r="AZ11" s="87">
        <f t="shared" si="51"/>
        <v>1</v>
      </c>
      <c r="BA11" s="14">
        <f t="shared" si="52"/>
        <v>0.38</v>
      </c>
      <c r="BB11" s="14">
        <f t="shared" si="53"/>
        <v>3.8</v>
      </c>
      <c r="BE11" s="87">
        <v>3</v>
      </c>
      <c r="BF11" s="87">
        <v>2</v>
      </c>
      <c r="BG11" s="87">
        <f t="shared" si="0"/>
        <v>161</v>
      </c>
      <c r="BI11" s="203">
        <v>5</v>
      </c>
      <c r="BJ11" s="21">
        <f t="shared" si="54"/>
        <v>7.0000000000000007E-2</v>
      </c>
      <c r="BL11" s="87">
        <v>5</v>
      </c>
      <c r="BM11" s="14">
        <f>INDEX(节奏总表!$CK$4:$CK$63,新神器!BL11)</f>
        <v>58</v>
      </c>
      <c r="BN11" s="14">
        <f t="shared" si="55"/>
        <v>1</v>
      </c>
      <c r="BO11" s="87">
        <v>1</v>
      </c>
      <c r="BP11" s="87">
        <v>5</v>
      </c>
      <c r="BQ11" s="14">
        <f t="shared" si="1"/>
        <v>5</v>
      </c>
      <c r="BR11" s="14">
        <f t="shared" si="1"/>
        <v>5</v>
      </c>
      <c r="BS11" s="14">
        <f t="shared" si="1"/>
        <v>2.25</v>
      </c>
      <c r="BT11" s="14">
        <f t="shared" si="1"/>
        <v>0</v>
      </c>
      <c r="BU11" s="14">
        <f t="shared" si="1"/>
        <v>0</v>
      </c>
      <c r="BV11" s="14">
        <f t="shared" si="1"/>
        <v>0</v>
      </c>
      <c r="BW11" s="14">
        <f t="shared" si="1"/>
        <v>0</v>
      </c>
      <c r="BX11" s="14">
        <f t="shared" si="1"/>
        <v>0</v>
      </c>
      <c r="BY11" s="14">
        <f t="shared" si="1"/>
        <v>0</v>
      </c>
      <c r="BZ11" s="14">
        <f t="shared" si="1"/>
        <v>0</v>
      </c>
      <c r="CA11" s="14">
        <f t="shared" si="2"/>
        <v>0</v>
      </c>
      <c r="CB11" s="14">
        <f t="shared" si="2"/>
        <v>0</v>
      </c>
      <c r="CC11" s="14">
        <f t="shared" si="2"/>
        <v>0</v>
      </c>
      <c r="CD11" s="14">
        <f t="shared" si="2"/>
        <v>0</v>
      </c>
      <c r="CE11" s="14">
        <f t="shared" si="2"/>
        <v>0</v>
      </c>
      <c r="CF11" s="14">
        <f t="shared" si="2"/>
        <v>0</v>
      </c>
      <c r="CG11" s="14">
        <f t="shared" si="2"/>
        <v>0</v>
      </c>
      <c r="CH11" s="14">
        <f t="shared" si="2"/>
        <v>0</v>
      </c>
      <c r="CI11" s="14">
        <f t="shared" si="2"/>
        <v>0</v>
      </c>
      <c r="CJ11" s="14">
        <f t="shared" si="2"/>
        <v>0</v>
      </c>
      <c r="CK11" s="14">
        <f t="shared" si="3"/>
        <v>0</v>
      </c>
      <c r="CL11" s="14">
        <f t="shared" si="3"/>
        <v>0</v>
      </c>
      <c r="CM11" s="14">
        <f t="shared" si="3"/>
        <v>0</v>
      </c>
      <c r="CN11" s="14">
        <f t="shared" si="3"/>
        <v>0</v>
      </c>
      <c r="CO11" s="14">
        <f t="shared" si="3"/>
        <v>0</v>
      </c>
      <c r="CP11" s="14">
        <f t="shared" si="3"/>
        <v>0</v>
      </c>
      <c r="CQ11" s="14">
        <f t="shared" si="3"/>
        <v>0</v>
      </c>
      <c r="CR11" s="14">
        <f t="shared" si="3"/>
        <v>0</v>
      </c>
      <c r="CS11" s="14">
        <f t="shared" si="3"/>
        <v>0</v>
      </c>
      <c r="CT11" s="14">
        <f t="shared" si="3"/>
        <v>0</v>
      </c>
      <c r="CU11" s="14">
        <f t="shared" si="4"/>
        <v>0</v>
      </c>
      <c r="CV11" s="14">
        <f t="shared" si="4"/>
        <v>0</v>
      </c>
      <c r="CW11" s="14">
        <f t="shared" si="4"/>
        <v>0</v>
      </c>
      <c r="CX11" s="14">
        <f t="shared" si="4"/>
        <v>0</v>
      </c>
      <c r="CY11" s="14">
        <f t="shared" si="4"/>
        <v>0</v>
      </c>
      <c r="CZ11" s="14">
        <f t="shared" si="4"/>
        <v>0</v>
      </c>
      <c r="DA11" s="14">
        <f t="shared" si="4"/>
        <v>0</v>
      </c>
      <c r="DB11" s="14">
        <f t="shared" si="4"/>
        <v>0</v>
      </c>
      <c r="DC11" s="14">
        <f t="shared" si="4"/>
        <v>0</v>
      </c>
      <c r="DD11" s="14">
        <f t="shared" si="4"/>
        <v>0</v>
      </c>
      <c r="DE11" s="14">
        <f t="shared" si="4"/>
        <v>0</v>
      </c>
      <c r="DF11" s="14">
        <f t="shared" si="4"/>
        <v>0</v>
      </c>
      <c r="DH11" s="14">
        <f>SUM(BQ$7:BQ11)</f>
        <v>15</v>
      </c>
      <c r="DI11" s="14">
        <f>SUM(BR$7:BR11)</f>
        <v>15</v>
      </c>
      <c r="DJ11" s="14">
        <f>SUM(BS$7:BS11)</f>
        <v>6.75</v>
      </c>
      <c r="DK11" s="14">
        <f>SUM(BT$7:BT11)</f>
        <v>0</v>
      </c>
      <c r="DL11" s="14">
        <f>SUM(BU$7:BU11)</f>
        <v>0</v>
      </c>
      <c r="DM11" s="14">
        <f>SUM(BV$7:BV11)</f>
        <v>0</v>
      </c>
      <c r="DN11" s="14">
        <f>SUM(BW$7:BW11)</f>
        <v>0</v>
      </c>
      <c r="DO11" s="14">
        <f>SUM(BX$7:BX11)</f>
        <v>0</v>
      </c>
      <c r="DP11" s="14">
        <f>SUM(BY$7:BY11)</f>
        <v>0</v>
      </c>
      <c r="DQ11" s="14">
        <f>SUM(BZ$7:BZ11)</f>
        <v>0</v>
      </c>
      <c r="DR11" s="14">
        <f>SUM(CA$7:CA11)</f>
        <v>0</v>
      </c>
      <c r="DS11" s="14">
        <f>SUM(CB$7:CB11)</f>
        <v>0</v>
      </c>
      <c r="DT11" s="14">
        <f>SUM(CC$7:CC11)</f>
        <v>0</v>
      </c>
      <c r="DU11" s="14">
        <f>SUM(CD$7:CD11)</f>
        <v>0</v>
      </c>
      <c r="DV11" s="14">
        <f>SUM(CE$7:CE11)</f>
        <v>0</v>
      </c>
      <c r="DW11" s="14">
        <f>SUM(CF$7:CF11)</f>
        <v>0</v>
      </c>
      <c r="DX11" s="14">
        <f>SUM(CG$7:CG11)</f>
        <v>0</v>
      </c>
      <c r="DY11" s="14">
        <f>SUM(CH$7:CH11)</f>
        <v>0</v>
      </c>
      <c r="DZ11" s="14">
        <f>SUM(CI$7:CI11)</f>
        <v>0</v>
      </c>
      <c r="EA11" s="14">
        <f>SUM(CJ$7:CJ11)</f>
        <v>0</v>
      </c>
      <c r="EB11" s="14">
        <f>SUM(CK$7:CK11)</f>
        <v>0</v>
      </c>
      <c r="EC11" s="14">
        <f>SUM(CL$7:CL11)</f>
        <v>0</v>
      </c>
      <c r="ED11" s="14">
        <f>SUM(CM$7:CM11)</f>
        <v>0</v>
      </c>
      <c r="EE11" s="14">
        <f>SUM(CN$7:CN11)</f>
        <v>0</v>
      </c>
      <c r="EF11" s="14">
        <f>SUM(CO$7:CO11)</f>
        <v>0</v>
      </c>
      <c r="EG11" s="14">
        <f>SUM(CP$7:CP11)</f>
        <v>0</v>
      </c>
      <c r="EH11" s="14">
        <f>SUM(CQ$7:CQ11)</f>
        <v>0</v>
      </c>
      <c r="EI11" s="14">
        <f>SUM(CR$7:CR11)</f>
        <v>0</v>
      </c>
      <c r="EJ11" s="14">
        <f>SUM(CS$7:CS11)</f>
        <v>0</v>
      </c>
      <c r="EK11" s="14">
        <f>SUM(CT$7:CT11)</f>
        <v>0</v>
      </c>
      <c r="EL11" s="14">
        <f>SUM(CU$7:CU11)</f>
        <v>0</v>
      </c>
      <c r="EM11" s="14">
        <f>SUM(CV$7:CV11)</f>
        <v>0</v>
      </c>
      <c r="EN11" s="14">
        <f>SUM(CW$7:CW11)</f>
        <v>0</v>
      </c>
      <c r="EO11" s="14">
        <f>SUM(CX$7:CX11)</f>
        <v>0</v>
      </c>
      <c r="EP11" s="14">
        <f>SUM(CY$7:CY11)</f>
        <v>0</v>
      </c>
      <c r="EQ11" s="14">
        <f>SUM(CZ$7:CZ11)</f>
        <v>0</v>
      </c>
      <c r="ER11" s="14">
        <f>SUM(DA$7:DA11)</f>
        <v>0</v>
      </c>
      <c r="ES11" s="14">
        <f>SUM(DB$7:DB11)</f>
        <v>0</v>
      </c>
      <c r="ET11" s="14">
        <f>SUM(DC$7:DC11)</f>
        <v>0</v>
      </c>
      <c r="EU11" s="14">
        <f>SUM(DD$7:DD11)</f>
        <v>0</v>
      </c>
      <c r="EV11" s="14">
        <f>SUM(DE$7:DE11)</f>
        <v>0</v>
      </c>
      <c r="EW11" s="14">
        <f>SUM(DF$7:DF11)</f>
        <v>0</v>
      </c>
      <c r="EZ11" s="14">
        <f t="shared" si="56"/>
        <v>4</v>
      </c>
      <c r="FA11" s="14">
        <f t="shared" si="5"/>
        <v>8</v>
      </c>
      <c r="FB11" s="14">
        <f t="shared" si="6"/>
        <v>8</v>
      </c>
      <c r="FC11" s="14">
        <f t="shared" si="7"/>
        <v>4</v>
      </c>
      <c r="FD11" s="14">
        <f t="shared" si="57"/>
        <v>0</v>
      </c>
      <c r="FE11" s="14">
        <f t="shared" si="8"/>
        <v>0</v>
      </c>
      <c r="FF11" s="14">
        <f t="shared" si="9"/>
        <v>0</v>
      </c>
      <c r="FG11" s="14">
        <f t="shared" si="10"/>
        <v>0</v>
      </c>
      <c r="FH11" s="14">
        <f t="shared" si="11"/>
        <v>0</v>
      </c>
      <c r="FI11" s="14">
        <f t="shared" si="12"/>
        <v>0</v>
      </c>
      <c r="FJ11" s="14">
        <f t="shared" si="58"/>
        <v>0</v>
      </c>
      <c r="FK11" s="14">
        <f t="shared" si="13"/>
        <v>0</v>
      </c>
      <c r="FL11" s="14">
        <f t="shared" si="14"/>
        <v>0</v>
      </c>
      <c r="FM11" s="14">
        <f t="shared" si="15"/>
        <v>0</v>
      </c>
      <c r="FN11" s="14">
        <f t="shared" si="16"/>
        <v>0</v>
      </c>
      <c r="FO11" s="14">
        <f t="shared" si="17"/>
        <v>0</v>
      </c>
      <c r="FP11" s="14">
        <f t="shared" si="18"/>
        <v>0</v>
      </c>
      <c r="FQ11" s="14">
        <f t="shared" si="59"/>
        <v>0</v>
      </c>
      <c r="FR11" s="14">
        <f t="shared" si="19"/>
        <v>0</v>
      </c>
      <c r="FS11" s="14">
        <f t="shared" si="20"/>
        <v>0</v>
      </c>
      <c r="FT11" s="14">
        <f t="shared" si="21"/>
        <v>0</v>
      </c>
      <c r="FU11" s="14">
        <f t="shared" si="22"/>
        <v>0</v>
      </c>
      <c r="FV11" s="14">
        <f t="shared" si="23"/>
        <v>0</v>
      </c>
      <c r="FW11" s="14">
        <f t="shared" si="24"/>
        <v>0</v>
      </c>
      <c r="FX11" s="14">
        <f t="shared" si="60"/>
        <v>0</v>
      </c>
      <c r="FY11" s="14">
        <f t="shared" si="25"/>
        <v>0</v>
      </c>
      <c r="FZ11" s="14">
        <f t="shared" si="26"/>
        <v>0</v>
      </c>
      <c r="GA11" s="14">
        <f t="shared" si="27"/>
        <v>0</v>
      </c>
      <c r="GB11" s="14">
        <f t="shared" si="28"/>
        <v>0</v>
      </c>
      <c r="GC11" s="14">
        <f t="shared" si="29"/>
        <v>0</v>
      </c>
      <c r="GD11" s="14">
        <f t="shared" si="30"/>
        <v>0</v>
      </c>
      <c r="GE11" s="14">
        <f t="shared" si="61"/>
        <v>0</v>
      </c>
      <c r="GF11" s="14">
        <f t="shared" si="31"/>
        <v>0</v>
      </c>
      <c r="GG11" s="14">
        <f t="shared" si="32"/>
        <v>0</v>
      </c>
      <c r="GH11" s="14">
        <f t="shared" si="33"/>
        <v>0</v>
      </c>
      <c r="GI11" s="14">
        <f t="shared" si="34"/>
        <v>0</v>
      </c>
      <c r="GJ11" s="14">
        <f t="shared" si="35"/>
        <v>0</v>
      </c>
      <c r="GK11" s="14">
        <f t="shared" si="36"/>
        <v>0</v>
      </c>
      <c r="GL11" s="14">
        <f t="shared" si="37"/>
        <v>0</v>
      </c>
      <c r="GM11" s="14">
        <f t="shared" si="38"/>
        <v>0</v>
      </c>
      <c r="GN11" s="14">
        <f t="shared" si="62"/>
        <v>0</v>
      </c>
      <c r="GO11" s="14">
        <f t="shared" si="39"/>
        <v>0</v>
      </c>
      <c r="GP11" s="14">
        <f t="shared" si="40"/>
        <v>0</v>
      </c>
      <c r="GQ11" s="14">
        <f t="shared" si="41"/>
        <v>0</v>
      </c>
      <c r="GR11" s="14">
        <f t="shared" si="42"/>
        <v>0</v>
      </c>
      <c r="GS11" s="14">
        <f t="shared" si="43"/>
        <v>0</v>
      </c>
      <c r="GT11" s="14">
        <f t="shared" si="44"/>
        <v>0</v>
      </c>
      <c r="GU11" s="14">
        <f t="shared" si="45"/>
        <v>0</v>
      </c>
      <c r="GV11" s="14">
        <f t="shared" si="46"/>
        <v>0</v>
      </c>
      <c r="GY11" s="91">
        <v>5</v>
      </c>
      <c r="GZ11" s="14">
        <f t="shared" si="63"/>
        <v>1</v>
      </c>
      <c r="HA11" s="14">
        <f t="shared" si="64"/>
        <v>1</v>
      </c>
      <c r="HB11" s="14">
        <f t="shared" si="65"/>
        <v>1</v>
      </c>
      <c r="HC11" s="14">
        <f t="shared" si="66"/>
        <v>0.26500000000000001</v>
      </c>
      <c r="HD11" s="14">
        <f t="shared" si="67"/>
        <v>1606003</v>
      </c>
      <c r="HE11" s="14" t="str">
        <f t="shared" si="68"/>
        <v>神器1-1 : 5级</v>
      </c>
      <c r="HF11" s="14" t="s">
        <v>800</v>
      </c>
      <c r="HG11" s="14">
        <f t="shared" si="69"/>
        <v>5</v>
      </c>
      <c r="HH11" s="14" t="str">
        <f t="shared" si="70"/>
        <v>神器1-1</v>
      </c>
      <c r="HI11" s="14">
        <f t="shared" si="71"/>
        <v>2</v>
      </c>
      <c r="HJ11" s="14" t="s">
        <v>1595</v>
      </c>
      <c r="HK11" s="14">
        <f t="shared" si="72"/>
        <v>3200</v>
      </c>
    </row>
    <row r="12" spans="1:219" ht="16.5" x14ac:dyDescent="0.2">
      <c r="A12" s="87">
        <v>6</v>
      </c>
      <c r="B12" s="87">
        <v>8</v>
      </c>
      <c r="C12" s="87">
        <v>8</v>
      </c>
      <c r="J12" s="87">
        <v>5</v>
      </c>
      <c r="K12" s="87">
        <v>2</v>
      </c>
      <c r="L12" s="87">
        <f>SUM(K$8:K12)</f>
        <v>7</v>
      </c>
      <c r="N12" s="90">
        <v>2</v>
      </c>
      <c r="O12" s="90">
        <v>2</v>
      </c>
      <c r="P12" s="90">
        <v>1</v>
      </c>
      <c r="Q12" s="90">
        <v>15</v>
      </c>
      <c r="R12" s="14">
        <f>SUM(Q$7:Q12)</f>
        <v>75</v>
      </c>
      <c r="S12" s="91">
        <v>1606007</v>
      </c>
      <c r="T12" s="14" t="str">
        <f t="shared" si="73"/>
        <v>神器2-2</v>
      </c>
      <c r="W12" s="87">
        <v>5</v>
      </c>
      <c r="X12" s="87">
        <v>103</v>
      </c>
      <c r="Y12" s="203">
        <f>ROUND(金币总表!AS10*0.5+金币总表!AS11*0.1,0)</f>
        <v>1153789</v>
      </c>
      <c r="Z12" s="203">
        <f t="shared" si="74"/>
        <v>63.525000000000006</v>
      </c>
      <c r="AA12" s="87" t="s">
        <v>760</v>
      </c>
      <c r="AB12" s="87" t="s">
        <v>757</v>
      </c>
      <c r="AC12" s="87" t="s">
        <v>754</v>
      </c>
      <c r="AF12" s="87">
        <v>6</v>
      </c>
      <c r="AG12" s="87">
        <v>2</v>
      </c>
      <c r="AH12" s="87">
        <v>3</v>
      </c>
      <c r="AI12" s="200">
        <v>1606008</v>
      </c>
      <c r="AJ12" s="87" t="str">
        <f t="shared" si="47"/>
        <v>神器2-3</v>
      </c>
      <c r="AK12" s="87">
        <v>2</v>
      </c>
      <c r="AL12" s="87">
        <f t="shared" si="48"/>
        <v>45</v>
      </c>
      <c r="AO12" s="87">
        <v>2</v>
      </c>
      <c r="AP12" s="87">
        <v>1</v>
      </c>
      <c r="AQ12" s="87">
        <v>3</v>
      </c>
      <c r="AR12" s="144">
        <f t="shared" si="49"/>
        <v>4403</v>
      </c>
      <c r="AS12" s="144" t="s">
        <v>1205</v>
      </c>
      <c r="AT12" s="144" t="str">
        <f t="shared" si="50"/>
        <v>神器本-2-普通-1  神器1-3</v>
      </c>
      <c r="AU12" s="87">
        <v>3</v>
      </c>
      <c r="AV12" s="87" t="s">
        <v>734</v>
      </c>
      <c r="AW12" s="32">
        <v>2400</v>
      </c>
      <c r="AX12" s="87">
        <v>1</v>
      </c>
      <c r="AY12" s="87">
        <v>1</v>
      </c>
      <c r="AZ12" s="87">
        <f t="shared" si="51"/>
        <v>2</v>
      </c>
      <c r="BA12" s="14">
        <f t="shared" si="52"/>
        <v>0.24</v>
      </c>
      <c r="BB12" s="14">
        <f t="shared" si="53"/>
        <v>7.1999999999999993</v>
      </c>
      <c r="BE12" s="87">
        <v>3</v>
      </c>
      <c r="BF12" s="87">
        <v>3</v>
      </c>
      <c r="BG12" s="87">
        <f t="shared" si="0"/>
        <v>191</v>
      </c>
      <c r="BI12" s="203">
        <v>6</v>
      </c>
      <c r="BJ12" s="21">
        <f t="shared" si="54"/>
        <v>7.400000000000001E-2</v>
      </c>
      <c r="BL12" s="87">
        <v>6</v>
      </c>
      <c r="BM12" s="14">
        <f>INDEX(节奏总表!$CK$4:$CK$63,新神器!BL12)</f>
        <v>64</v>
      </c>
      <c r="BN12" s="14">
        <f t="shared" si="55"/>
        <v>2</v>
      </c>
      <c r="BO12" s="87">
        <v>2</v>
      </c>
      <c r="BP12" s="87">
        <v>5</v>
      </c>
      <c r="BQ12" s="14">
        <f t="shared" si="1"/>
        <v>1.9</v>
      </c>
      <c r="BR12" s="14">
        <f t="shared" si="1"/>
        <v>1.9</v>
      </c>
      <c r="BS12" s="14">
        <f t="shared" si="1"/>
        <v>1.2</v>
      </c>
      <c r="BT12" s="14">
        <f t="shared" si="1"/>
        <v>5</v>
      </c>
      <c r="BU12" s="14">
        <f t="shared" si="1"/>
        <v>5</v>
      </c>
      <c r="BV12" s="14">
        <f t="shared" si="1"/>
        <v>2.625</v>
      </c>
      <c r="BW12" s="14">
        <f t="shared" si="1"/>
        <v>2.625</v>
      </c>
      <c r="BX12" s="14">
        <f t="shared" si="1"/>
        <v>1.25</v>
      </c>
      <c r="BY12" s="14">
        <f t="shared" si="1"/>
        <v>0</v>
      </c>
      <c r="BZ12" s="14">
        <f t="shared" si="1"/>
        <v>0</v>
      </c>
      <c r="CA12" s="14">
        <f t="shared" si="2"/>
        <v>0</v>
      </c>
      <c r="CB12" s="14">
        <f t="shared" si="2"/>
        <v>0</v>
      </c>
      <c r="CC12" s="14">
        <f t="shared" si="2"/>
        <v>0</v>
      </c>
      <c r="CD12" s="14">
        <f t="shared" si="2"/>
        <v>0</v>
      </c>
      <c r="CE12" s="14">
        <f t="shared" si="2"/>
        <v>0</v>
      </c>
      <c r="CF12" s="14">
        <f t="shared" si="2"/>
        <v>0</v>
      </c>
      <c r="CG12" s="14">
        <f t="shared" si="2"/>
        <v>0</v>
      </c>
      <c r="CH12" s="14">
        <f t="shared" si="2"/>
        <v>0</v>
      </c>
      <c r="CI12" s="14">
        <f t="shared" si="2"/>
        <v>0</v>
      </c>
      <c r="CJ12" s="14">
        <f t="shared" si="2"/>
        <v>0</v>
      </c>
      <c r="CK12" s="14">
        <f t="shared" si="3"/>
        <v>0</v>
      </c>
      <c r="CL12" s="14">
        <f t="shared" si="3"/>
        <v>0</v>
      </c>
      <c r="CM12" s="14">
        <f t="shared" si="3"/>
        <v>0</v>
      </c>
      <c r="CN12" s="14">
        <f t="shared" si="3"/>
        <v>0</v>
      </c>
      <c r="CO12" s="14">
        <f t="shared" si="3"/>
        <v>0</v>
      </c>
      <c r="CP12" s="14">
        <f t="shared" si="3"/>
        <v>0</v>
      </c>
      <c r="CQ12" s="14">
        <f t="shared" si="3"/>
        <v>0</v>
      </c>
      <c r="CR12" s="14">
        <f t="shared" si="3"/>
        <v>0</v>
      </c>
      <c r="CS12" s="14">
        <f t="shared" si="3"/>
        <v>0</v>
      </c>
      <c r="CT12" s="14">
        <f t="shared" si="3"/>
        <v>0</v>
      </c>
      <c r="CU12" s="14">
        <f t="shared" si="4"/>
        <v>0</v>
      </c>
      <c r="CV12" s="14">
        <f t="shared" si="4"/>
        <v>0</v>
      </c>
      <c r="CW12" s="14">
        <f t="shared" si="4"/>
        <v>0</v>
      </c>
      <c r="CX12" s="14">
        <f t="shared" si="4"/>
        <v>0</v>
      </c>
      <c r="CY12" s="14">
        <f t="shared" si="4"/>
        <v>0</v>
      </c>
      <c r="CZ12" s="14">
        <f t="shared" si="4"/>
        <v>0</v>
      </c>
      <c r="DA12" s="14">
        <f t="shared" si="4"/>
        <v>0</v>
      </c>
      <c r="DB12" s="14">
        <f t="shared" si="4"/>
        <v>0</v>
      </c>
      <c r="DC12" s="14">
        <f t="shared" si="4"/>
        <v>0</v>
      </c>
      <c r="DD12" s="14">
        <f t="shared" si="4"/>
        <v>0</v>
      </c>
      <c r="DE12" s="14">
        <f t="shared" si="4"/>
        <v>0</v>
      </c>
      <c r="DF12" s="14">
        <f t="shared" si="4"/>
        <v>0</v>
      </c>
      <c r="DH12" s="14">
        <f>SUM(BQ$7:BQ12)</f>
        <v>16.899999999999999</v>
      </c>
      <c r="DI12" s="14">
        <f>SUM(BR$7:BR12)</f>
        <v>16.899999999999999</v>
      </c>
      <c r="DJ12" s="14">
        <f>SUM(BS$7:BS12)</f>
        <v>7.95</v>
      </c>
      <c r="DK12" s="14">
        <f>SUM(BT$7:BT12)</f>
        <v>5</v>
      </c>
      <c r="DL12" s="14">
        <f>SUM(BU$7:BU12)</f>
        <v>5</v>
      </c>
      <c r="DM12" s="14">
        <f>SUM(BV$7:BV12)</f>
        <v>2.625</v>
      </c>
      <c r="DN12" s="14">
        <f>SUM(BW$7:BW12)</f>
        <v>2.625</v>
      </c>
      <c r="DO12" s="14">
        <f>SUM(BX$7:BX12)</f>
        <v>1.25</v>
      </c>
      <c r="DP12" s="14">
        <f>SUM(BY$7:BY12)</f>
        <v>0</v>
      </c>
      <c r="DQ12" s="14">
        <f>SUM(BZ$7:BZ12)</f>
        <v>0</v>
      </c>
      <c r="DR12" s="14">
        <f>SUM(CA$7:CA12)</f>
        <v>0</v>
      </c>
      <c r="DS12" s="14">
        <f>SUM(CB$7:CB12)</f>
        <v>0</v>
      </c>
      <c r="DT12" s="14">
        <f>SUM(CC$7:CC12)</f>
        <v>0</v>
      </c>
      <c r="DU12" s="14">
        <f>SUM(CD$7:CD12)</f>
        <v>0</v>
      </c>
      <c r="DV12" s="14">
        <f>SUM(CE$7:CE12)</f>
        <v>0</v>
      </c>
      <c r="DW12" s="14">
        <f>SUM(CF$7:CF12)</f>
        <v>0</v>
      </c>
      <c r="DX12" s="14">
        <f>SUM(CG$7:CG12)</f>
        <v>0</v>
      </c>
      <c r="DY12" s="14">
        <f>SUM(CH$7:CH12)</f>
        <v>0</v>
      </c>
      <c r="DZ12" s="14">
        <f>SUM(CI$7:CI12)</f>
        <v>0</v>
      </c>
      <c r="EA12" s="14">
        <f>SUM(CJ$7:CJ12)</f>
        <v>0</v>
      </c>
      <c r="EB12" s="14">
        <f>SUM(CK$7:CK12)</f>
        <v>0</v>
      </c>
      <c r="EC12" s="14">
        <f>SUM(CL$7:CL12)</f>
        <v>0</v>
      </c>
      <c r="ED12" s="14">
        <f>SUM(CM$7:CM12)</f>
        <v>0</v>
      </c>
      <c r="EE12" s="14">
        <f>SUM(CN$7:CN12)</f>
        <v>0</v>
      </c>
      <c r="EF12" s="14">
        <f>SUM(CO$7:CO12)</f>
        <v>0</v>
      </c>
      <c r="EG12" s="14">
        <f>SUM(CP$7:CP12)</f>
        <v>0</v>
      </c>
      <c r="EH12" s="14">
        <f>SUM(CQ$7:CQ12)</f>
        <v>0</v>
      </c>
      <c r="EI12" s="14">
        <f>SUM(CR$7:CR12)</f>
        <v>0</v>
      </c>
      <c r="EJ12" s="14">
        <f>SUM(CS$7:CS12)</f>
        <v>0</v>
      </c>
      <c r="EK12" s="14">
        <f>SUM(CT$7:CT12)</f>
        <v>0</v>
      </c>
      <c r="EL12" s="14">
        <f>SUM(CU$7:CU12)</f>
        <v>0</v>
      </c>
      <c r="EM12" s="14">
        <f>SUM(CV$7:CV12)</f>
        <v>0</v>
      </c>
      <c r="EN12" s="14">
        <f>SUM(CW$7:CW12)</f>
        <v>0</v>
      </c>
      <c r="EO12" s="14">
        <f>SUM(CX$7:CX12)</f>
        <v>0</v>
      </c>
      <c r="EP12" s="14">
        <f>SUM(CY$7:CY12)</f>
        <v>0</v>
      </c>
      <c r="EQ12" s="14">
        <f>SUM(CZ$7:CZ12)</f>
        <v>0</v>
      </c>
      <c r="ER12" s="14">
        <f>SUM(DA$7:DA12)</f>
        <v>0</v>
      </c>
      <c r="ES12" s="14">
        <f>SUM(DB$7:DB12)</f>
        <v>0</v>
      </c>
      <c r="ET12" s="14">
        <f>SUM(DC$7:DC12)</f>
        <v>0</v>
      </c>
      <c r="EU12" s="14">
        <f>SUM(DD$7:DD12)</f>
        <v>0</v>
      </c>
      <c r="EV12" s="14">
        <f>SUM(DE$7:DE12)</f>
        <v>0</v>
      </c>
      <c r="EW12" s="14">
        <f>SUM(DF$7:DF12)</f>
        <v>0</v>
      </c>
      <c r="EZ12" s="14">
        <f t="shared" si="56"/>
        <v>5</v>
      </c>
      <c r="FA12" s="14">
        <f t="shared" si="5"/>
        <v>8</v>
      </c>
      <c r="FB12" s="14">
        <f t="shared" si="6"/>
        <v>8</v>
      </c>
      <c r="FC12" s="14">
        <f t="shared" si="7"/>
        <v>5</v>
      </c>
      <c r="FD12" s="14">
        <f t="shared" si="57"/>
        <v>1</v>
      </c>
      <c r="FE12" s="14">
        <f t="shared" si="8"/>
        <v>4</v>
      </c>
      <c r="FF12" s="14">
        <f t="shared" si="9"/>
        <v>4</v>
      </c>
      <c r="FG12" s="14">
        <f t="shared" si="10"/>
        <v>2</v>
      </c>
      <c r="FH12" s="14">
        <f t="shared" si="11"/>
        <v>2</v>
      </c>
      <c r="FI12" s="14">
        <f t="shared" si="12"/>
        <v>1</v>
      </c>
      <c r="FJ12" s="14">
        <f t="shared" si="58"/>
        <v>0</v>
      </c>
      <c r="FK12" s="14">
        <f t="shared" si="13"/>
        <v>0</v>
      </c>
      <c r="FL12" s="14">
        <f t="shared" si="14"/>
        <v>0</v>
      </c>
      <c r="FM12" s="14">
        <f t="shared" si="15"/>
        <v>0</v>
      </c>
      <c r="FN12" s="14">
        <f t="shared" si="16"/>
        <v>0</v>
      </c>
      <c r="FO12" s="14">
        <f t="shared" si="17"/>
        <v>0</v>
      </c>
      <c r="FP12" s="14">
        <f t="shared" si="18"/>
        <v>0</v>
      </c>
      <c r="FQ12" s="14">
        <f t="shared" si="59"/>
        <v>0</v>
      </c>
      <c r="FR12" s="14">
        <f t="shared" si="19"/>
        <v>0</v>
      </c>
      <c r="FS12" s="14">
        <f t="shared" si="20"/>
        <v>0</v>
      </c>
      <c r="FT12" s="14">
        <f t="shared" si="21"/>
        <v>0</v>
      </c>
      <c r="FU12" s="14">
        <f t="shared" si="22"/>
        <v>0</v>
      </c>
      <c r="FV12" s="14">
        <f t="shared" si="23"/>
        <v>0</v>
      </c>
      <c r="FW12" s="14">
        <f t="shared" si="24"/>
        <v>0</v>
      </c>
      <c r="FX12" s="14">
        <f t="shared" si="60"/>
        <v>0</v>
      </c>
      <c r="FY12" s="14">
        <f t="shared" si="25"/>
        <v>0</v>
      </c>
      <c r="FZ12" s="14">
        <f t="shared" si="26"/>
        <v>0</v>
      </c>
      <c r="GA12" s="14">
        <f t="shared" si="27"/>
        <v>0</v>
      </c>
      <c r="GB12" s="14">
        <f t="shared" si="28"/>
        <v>0</v>
      </c>
      <c r="GC12" s="14">
        <f t="shared" si="29"/>
        <v>0</v>
      </c>
      <c r="GD12" s="14">
        <f t="shared" si="30"/>
        <v>0</v>
      </c>
      <c r="GE12" s="14">
        <f t="shared" si="61"/>
        <v>0</v>
      </c>
      <c r="GF12" s="14">
        <f t="shared" si="31"/>
        <v>0</v>
      </c>
      <c r="GG12" s="14">
        <f t="shared" si="32"/>
        <v>0</v>
      </c>
      <c r="GH12" s="14">
        <f t="shared" si="33"/>
        <v>0</v>
      </c>
      <c r="GI12" s="14">
        <f t="shared" si="34"/>
        <v>0</v>
      </c>
      <c r="GJ12" s="14">
        <f t="shared" si="35"/>
        <v>0</v>
      </c>
      <c r="GK12" s="14">
        <f t="shared" si="36"/>
        <v>0</v>
      </c>
      <c r="GL12" s="14">
        <f t="shared" si="37"/>
        <v>0</v>
      </c>
      <c r="GM12" s="14">
        <f t="shared" si="38"/>
        <v>0</v>
      </c>
      <c r="GN12" s="14">
        <f t="shared" si="62"/>
        <v>0</v>
      </c>
      <c r="GO12" s="14">
        <f t="shared" si="39"/>
        <v>0</v>
      </c>
      <c r="GP12" s="14">
        <f t="shared" si="40"/>
        <v>0</v>
      </c>
      <c r="GQ12" s="14">
        <f t="shared" si="41"/>
        <v>0</v>
      </c>
      <c r="GR12" s="14">
        <f t="shared" si="42"/>
        <v>0</v>
      </c>
      <c r="GS12" s="14">
        <f t="shared" si="43"/>
        <v>0</v>
      </c>
      <c r="GT12" s="14">
        <f t="shared" si="44"/>
        <v>0</v>
      </c>
      <c r="GU12" s="14">
        <f t="shared" si="45"/>
        <v>0</v>
      </c>
      <c r="GV12" s="14">
        <f t="shared" si="46"/>
        <v>0</v>
      </c>
      <c r="GY12" s="91">
        <v>6</v>
      </c>
      <c r="GZ12" s="14">
        <f t="shared" si="63"/>
        <v>1</v>
      </c>
      <c r="HA12" s="14">
        <f t="shared" si="64"/>
        <v>1</v>
      </c>
      <c r="HB12" s="14">
        <f t="shared" si="65"/>
        <v>1</v>
      </c>
      <c r="HC12" s="14">
        <f t="shared" si="66"/>
        <v>0.27200000000000002</v>
      </c>
      <c r="HD12" s="14">
        <f t="shared" si="67"/>
        <v>1606003</v>
      </c>
      <c r="HE12" s="14" t="str">
        <f t="shared" si="68"/>
        <v>神器1-1 : 6级</v>
      </c>
      <c r="HF12" s="14" t="s">
        <v>800</v>
      </c>
      <c r="HG12" s="14">
        <f t="shared" si="69"/>
        <v>6</v>
      </c>
      <c r="HH12" s="14" t="str">
        <f t="shared" si="70"/>
        <v>神器1-1</v>
      </c>
      <c r="HI12" s="14">
        <f t="shared" si="71"/>
        <v>2</v>
      </c>
      <c r="HJ12" s="14" t="s">
        <v>1595</v>
      </c>
      <c r="HK12" s="14">
        <f t="shared" si="72"/>
        <v>3250</v>
      </c>
    </row>
    <row r="13" spans="1:219" ht="16.5" x14ac:dyDescent="0.2">
      <c r="A13" s="87">
        <v>7</v>
      </c>
      <c r="B13" s="87">
        <v>10</v>
      </c>
      <c r="C13" s="87">
        <v>10</v>
      </c>
      <c r="J13" s="87">
        <v>6</v>
      </c>
      <c r="K13" s="87">
        <v>2</v>
      </c>
      <c r="L13" s="87">
        <f>SUM(K$8:K13)</f>
        <v>9</v>
      </c>
      <c r="N13" s="90">
        <v>2</v>
      </c>
      <c r="O13" s="90">
        <v>3</v>
      </c>
      <c r="P13" s="90">
        <v>2</v>
      </c>
      <c r="Q13" s="90">
        <v>15</v>
      </c>
      <c r="R13" s="14">
        <f>SUM(Q$7:Q13)</f>
        <v>90</v>
      </c>
      <c r="S13" s="91">
        <v>1606008</v>
      </c>
      <c r="T13" s="14" t="str">
        <f t="shared" si="73"/>
        <v>神器2-3</v>
      </c>
      <c r="W13" s="87">
        <v>6</v>
      </c>
      <c r="X13" s="87">
        <v>113</v>
      </c>
      <c r="Y13" s="203">
        <f>ROUND(金币总表!AS11*0.7+金币总表!AS12*0.1,0)</f>
        <v>3589705</v>
      </c>
      <c r="Z13" s="203">
        <f t="shared" si="74"/>
        <v>133.27000000000001</v>
      </c>
      <c r="AA13" s="87" t="s">
        <v>752</v>
      </c>
      <c r="AB13" s="87" t="s">
        <v>751</v>
      </c>
      <c r="AC13" s="87" t="s">
        <v>750</v>
      </c>
      <c r="AF13" s="87">
        <v>7</v>
      </c>
      <c r="AG13" s="87">
        <v>2</v>
      </c>
      <c r="AH13" s="87">
        <v>4</v>
      </c>
      <c r="AI13" s="200">
        <v>1606009</v>
      </c>
      <c r="AJ13" s="87" t="str">
        <f t="shared" si="47"/>
        <v>神器2-4</v>
      </c>
      <c r="AK13" s="87">
        <v>2</v>
      </c>
      <c r="AL13" s="87">
        <f t="shared" si="48"/>
        <v>45</v>
      </c>
      <c r="AO13" s="87">
        <v>2</v>
      </c>
      <c r="AP13" s="87">
        <v>1</v>
      </c>
      <c r="AQ13" s="87">
        <v>4</v>
      </c>
      <c r="AR13" s="144">
        <f t="shared" si="49"/>
        <v>4404</v>
      </c>
      <c r="AS13" s="144" t="s">
        <v>1207</v>
      </c>
      <c r="AT13" s="144" t="str">
        <f t="shared" si="50"/>
        <v>神器本-2-普通-2  神器2-1</v>
      </c>
      <c r="AU13" s="87">
        <v>4</v>
      </c>
      <c r="AV13" s="87" t="s">
        <v>747</v>
      </c>
      <c r="AW13" s="32">
        <v>5000</v>
      </c>
      <c r="AX13" s="87">
        <v>1</v>
      </c>
      <c r="AY13" s="87">
        <v>3</v>
      </c>
      <c r="AZ13" s="87">
        <f t="shared" si="51"/>
        <v>1</v>
      </c>
      <c r="BA13" s="14">
        <f t="shared" si="52"/>
        <v>1</v>
      </c>
      <c r="BB13" s="14">
        <f t="shared" si="53"/>
        <v>15</v>
      </c>
      <c r="BE13" s="87">
        <v>4</v>
      </c>
      <c r="BF13" s="87">
        <v>1</v>
      </c>
      <c r="BG13" s="87">
        <f t="shared" si="0"/>
        <v>158.75</v>
      </c>
      <c r="BI13" s="203">
        <v>7</v>
      </c>
      <c r="BJ13" s="21">
        <f t="shared" si="54"/>
        <v>7.8E-2</v>
      </c>
      <c r="BL13" s="87">
        <v>7</v>
      </c>
      <c r="BM13" s="14">
        <f>INDEX(节奏总表!$CK$4:$CK$63,新神器!BL13)</f>
        <v>68</v>
      </c>
      <c r="BN13" s="14">
        <f t="shared" si="55"/>
        <v>2</v>
      </c>
      <c r="BO13" s="87">
        <v>2</v>
      </c>
      <c r="BP13" s="87">
        <v>5</v>
      </c>
      <c r="BQ13" s="14">
        <f t="shared" si="1"/>
        <v>1.9</v>
      </c>
      <c r="BR13" s="14">
        <f t="shared" si="1"/>
        <v>1.9</v>
      </c>
      <c r="BS13" s="14">
        <f t="shared" si="1"/>
        <v>1.2</v>
      </c>
      <c r="BT13" s="14">
        <f t="shared" si="1"/>
        <v>5</v>
      </c>
      <c r="BU13" s="14">
        <f t="shared" si="1"/>
        <v>5</v>
      </c>
      <c r="BV13" s="14">
        <f t="shared" si="1"/>
        <v>2.625</v>
      </c>
      <c r="BW13" s="14">
        <f t="shared" si="1"/>
        <v>2.625</v>
      </c>
      <c r="BX13" s="14">
        <f t="shared" si="1"/>
        <v>1.25</v>
      </c>
      <c r="BY13" s="14">
        <f t="shared" si="1"/>
        <v>0</v>
      </c>
      <c r="BZ13" s="14">
        <f t="shared" si="1"/>
        <v>0</v>
      </c>
      <c r="CA13" s="14">
        <f t="shared" si="2"/>
        <v>0</v>
      </c>
      <c r="CB13" s="14">
        <f t="shared" si="2"/>
        <v>0</v>
      </c>
      <c r="CC13" s="14">
        <f t="shared" si="2"/>
        <v>0</v>
      </c>
      <c r="CD13" s="14">
        <f t="shared" si="2"/>
        <v>0</v>
      </c>
      <c r="CE13" s="14">
        <f t="shared" si="2"/>
        <v>0</v>
      </c>
      <c r="CF13" s="14">
        <f t="shared" si="2"/>
        <v>0</v>
      </c>
      <c r="CG13" s="14">
        <f t="shared" si="2"/>
        <v>0</v>
      </c>
      <c r="CH13" s="14">
        <f t="shared" si="2"/>
        <v>0</v>
      </c>
      <c r="CI13" s="14">
        <f t="shared" si="2"/>
        <v>0</v>
      </c>
      <c r="CJ13" s="14">
        <f t="shared" si="2"/>
        <v>0</v>
      </c>
      <c r="CK13" s="14">
        <f t="shared" si="3"/>
        <v>0</v>
      </c>
      <c r="CL13" s="14">
        <f t="shared" si="3"/>
        <v>0</v>
      </c>
      <c r="CM13" s="14">
        <f t="shared" si="3"/>
        <v>0</v>
      </c>
      <c r="CN13" s="14">
        <f t="shared" si="3"/>
        <v>0</v>
      </c>
      <c r="CO13" s="14">
        <f t="shared" si="3"/>
        <v>0</v>
      </c>
      <c r="CP13" s="14">
        <f t="shared" si="3"/>
        <v>0</v>
      </c>
      <c r="CQ13" s="14">
        <f t="shared" si="3"/>
        <v>0</v>
      </c>
      <c r="CR13" s="14">
        <f t="shared" si="3"/>
        <v>0</v>
      </c>
      <c r="CS13" s="14">
        <f t="shared" si="3"/>
        <v>0</v>
      </c>
      <c r="CT13" s="14">
        <f t="shared" si="3"/>
        <v>0</v>
      </c>
      <c r="CU13" s="14">
        <f t="shared" si="4"/>
        <v>0</v>
      </c>
      <c r="CV13" s="14">
        <f t="shared" si="4"/>
        <v>0</v>
      </c>
      <c r="CW13" s="14">
        <f t="shared" si="4"/>
        <v>0</v>
      </c>
      <c r="CX13" s="14">
        <f t="shared" si="4"/>
        <v>0</v>
      </c>
      <c r="CY13" s="14">
        <f t="shared" si="4"/>
        <v>0</v>
      </c>
      <c r="CZ13" s="14">
        <f t="shared" si="4"/>
        <v>0</v>
      </c>
      <c r="DA13" s="14">
        <f t="shared" si="4"/>
        <v>0</v>
      </c>
      <c r="DB13" s="14">
        <f t="shared" si="4"/>
        <v>0</v>
      </c>
      <c r="DC13" s="14">
        <f t="shared" si="4"/>
        <v>0</v>
      </c>
      <c r="DD13" s="14">
        <f t="shared" si="4"/>
        <v>0</v>
      </c>
      <c r="DE13" s="14">
        <f t="shared" si="4"/>
        <v>0</v>
      </c>
      <c r="DF13" s="14">
        <f t="shared" si="4"/>
        <v>0</v>
      </c>
      <c r="DH13" s="14">
        <f>SUM(BQ$7:BQ13)</f>
        <v>18.799999999999997</v>
      </c>
      <c r="DI13" s="14">
        <f>SUM(BR$7:BR13)</f>
        <v>18.799999999999997</v>
      </c>
      <c r="DJ13" s="14">
        <f>SUM(BS$7:BS13)</f>
        <v>9.15</v>
      </c>
      <c r="DK13" s="14">
        <f>SUM(BT$7:BT13)</f>
        <v>10</v>
      </c>
      <c r="DL13" s="14">
        <f>SUM(BU$7:BU13)</f>
        <v>10</v>
      </c>
      <c r="DM13" s="14">
        <f>SUM(BV$7:BV13)</f>
        <v>5.25</v>
      </c>
      <c r="DN13" s="14">
        <f>SUM(BW$7:BW13)</f>
        <v>5.25</v>
      </c>
      <c r="DO13" s="14">
        <f>SUM(BX$7:BX13)</f>
        <v>2.5</v>
      </c>
      <c r="DP13" s="14">
        <f>SUM(BY$7:BY13)</f>
        <v>0</v>
      </c>
      <c r="DQ13" s="14">
        <f>SUM(BZ$7:BZ13)</f>
        <v>0</v>
      </c>
      <c r="DR13" s="14">
        <f>SUM(CA$7:CA13)</f>
        <v>0</v>
      </c>
      <c r="DS13" s="14">
        <f>SUM(CB$7:CB13)</f>
        <v>0</v>
      </c>
      <c r="DT13" s="14">
        <f>SUM(CC$7:CC13)</f>
        <v>0</v>
      </c>
      <c r="DU13" s="14">
        <f>SUM(CD$7:CD13)</f>
        <v>0</v>
      </c>
      <c r="DV13" s="14">
        <f>SUM(CE$7:CE13)</f>
        <v>0</v>
      </c>
      <c r="DW13" s="14">
        <f>SUM(CF$7:CF13)</f>
        <v>0</v>
      </c>
      <c r="DX13" s="14">
        <f>SUM(CG$7:CG13)</f>
        <v>0</v>
      </c>
      <c r="DY13" s="14">
        <f>SUM(CH$7:CH13)</f>
        <v>0</v>
      </c>
      <c r="DZ13" s="14">
        <f>SUM(CI$7:CI13)</f>
        <v>0</v>
      </c>
      <c r="EA13" s="14">
        <f>SUM(CJ$7:CJ13)</f>
        <v>0</v>
      </c>
      <c r="EB13" s="14">
        <f>SUM(CK$7:CK13)</f>
        <v>0</v>
      </c>
      <c r="EC13" s="14">
        <f>SUM(CL$7:CL13)</f>
        <v>0</v>
      </c>
      <c r="ED13" s="14">
        <f>SUM(CM$7:CM13)</f>
        <v>0</v>
      </c>
      <c r="EE13" s="14">
        <f>SUM(CN$7:CN13)</f>
        <v>0</v>
      </c>
      <c r="EF13" s="14">
        <f>SUM(CO$7:CO13)</f>
        <v>0</v>
      </c>
      <c r="EG13" s="14">
        <f>SUM(CP$7:CP13)</f>
        <v>0</v>
      </c>
      <c r="EH13" s="14">
        <f>SUM(CQ$7:CQ13)</f>
        <v>0</v>
      </c>
      <c r="EI13" s="14">
        <f>SUM(CR$7:CR13)</f>
        <v>0</v>
      </c>
      <c r="EJ13" s="14">
        <f>SUM(CS$7:CS13)</f>
        <v>0</v>
      </c>
      <c r="EK13" s="14">
        <f>SUM(CT$7:CT13)</f>
        <v>0</v>
      </c>
      <c r="EL13" s="14">
        <f>SUM(CU$7:CU13)</f>
        <v>0</v>
      </c>
      <c r="EM13" s="14">
        <f>SUM(CV$7:CV13)</f>
        <v>0</v>
      </c>
      <c r="EN13" s="14">
        <f>SUM(CW$7:CW13)</f>
        <v>0</v>
      </c>
      <c r="EO13" s="14">
        <f>SUM(CX$7:CX13)</f>
        <v>0</v>
      </c>
      <c r="EP13" s="14">
        <f>SUM(CY$7:CY13)</f>
        <v>0</v>
      </c>
      <c r="EQ13" s="14">
        <f>SUM(CZ$7:CZ13)</f>
        <v>0</v>
      </c>
      <c r="ER13" s="14">
        <f>SUM(DA$7:DA13)</f>
        <v>0</v>
      </c>
      <c r="ES13" s="14">
        <f>SUM(DB$7:DB13)</f>
        <v>0</v>
      </c>
      <c r="ET13" s="14">
        <f>SUM(DC$7:DC13)</f>
        <v>0</v>
      </c>
      <c r="EU13" s="14">
        <f>SUM(DD$7:DD13)</f>
        <v>0</v>
      </c>
      <c r="EV13" s="14">
        <f>SUM(DE$7:DE13)</f>
        <v>0</v>
      </c>
      <c r="EW13" s="14">
        <f>SUM(DF$7:DF13)</f>
        <v>0</v>
      </c>
      <c r="EZ13" s="14">
        <f t="shared" si="56"/>
        <v>6</v>
      </c>
      <c r="FA13" s="14">
        <f t="shared" si="5"/>
        <v>9</v>
      </c>
      <c r="FB13" s="14">
        <f t="shared" si="6"/>
        <v>9</v>
      </c>
      <c r="FC13" s="14">
        <f t="shared" si="7"/>
        <v>6</v>
      </c>
      <c r="FD13" s="14">
        <f t="shared" si="57"/>
        <v>2</v>
      </c>
      <c r="FE13" s="14">
        <f t="shared" si="8"/>
        <v>6</v>
      </c>
      <c r="FF13" s="14">
        <f t="shared" si="9"/>
        <v>6</v>
      </c>
      <c r="FG13" s="14">
        <f t="shared" si="10"/>
        <v>4</v>
      </c>
      <c r="FH13" s="14">
        <f t="shared" si="11"/>
        <v>4</v>
      </c>
      <c r="FI13" s="14">
        <f t="shared" si="12"/>
        <v>2</v>
      </c>
      <c r="FJ13" s="14">
        <f t="shared" si="58"/>
        <v>0</v>
      </c>
      <c r="FK13" s="14">
        <f t="shared" si="13"/>
        <v>0</v>
      </c>
      <c r="FL13" s="14">
        <f t="shared" si="14"/>
        <v>0</v>
      </c>
      <c r="FM13" s="14">
        <f t="shared" si="15"/>
        <v>0</v>
      </c>
      <c r="FN13" s="14">
        <f t="shared" si="16"/>
        <v>0</v>
      </c>
      <c r="FO13" s="14">
        <f t="shared" si="17"/>
        <v>0</v>
      </c>
      <c r="FP13" s="14">
        <f t="shared" si="18"/>
        <v>0</v>
      </c>
      <c r="FQ13" s="14">
        <f t="shared" si="59"/>
        <v>0</v>
      </c>
      <c r="FR13" s="14">
        <f t="shared" si="19"/>
        <v>0</v>
      </c>
      <c r="FS13" s="14">
        <f t="shared" si="20"/>
        <v>0</v>
      </c>
      <c r="FT13" s="14">
        <f t="shared" si="21"/>
        <v>0</v>
      </c>
      <c r="FU13" s="14">
        <f t="shared" si="22"/>
        <v>0</v>
      </c>
      <c r="FV13" s="14">
        <f t="shared" si="23"/>
        <v>0</v>
      </c>
      <c r="FW13" s="14">
        <f t="shared" si="24"/>
        <v>0</v>
      </c>
      <c r="FX13" s="14">
        <f t="shared" si="60"/>
        <v>0</v>
      </c>
      <c r="FY13" s="14">
        <f t="shared" si="25"/>
        <v>0</v>
      </c>
      <c r="FZ13" s="14">
        <f t="shared" si="26"/>
        <v>0</v>
      </c>
      <c r="GA13" s="14">
        <f t="shared" si="27"/>
        <v>0</v>
      </c>
      <c r="GB13" s="14">
        <f t="shared" si="28"/>
        <v>0</v>
      </c>
      <c r="GC13" s="14">
        <f t="shared" si="29"/>
        <v>0</v>
      </c>
      <c r="GD13" s="14">
        <f t="shared" si="30"/>
        <v>0</v>
      </c>
      <c r="GE13" s="14">
        <f t="shared" si="61"/>
        <v>0</v>
      </c>
      <c r="GF13" s="14">
        <f t="shared" si="31"/>
        <v>0</v>
      </c>
      <c r="GG13" s="14">
        <f t="shared" si="32"/>
        <v>0</v>
      </c>
      <c r="GH13" s="14">
        <f t="shared" si="33"/>
        <v>0</v>
      </c>
      <c r="GI13" s="14">
        <f t="shared" si="34"/>
        <v>0</v>
      </c>
      <c r="GJ13" s="14">
        <f t="shared" si="35"/>
        <v>0</v>
      </c>
      <c r="GK13" s="14">
        <f t="shared" si="36"/>
        <v>0</v>
      </c>
      <c r="GL13" s="14">
        <f t="shared" si="37"/>
        <v>0</v>
      </c>
      <c r="GM13" s="14">
        <f t="shared" si="38"/>
        <v>0</v>
      </c>
      <c r="GN13" s="14">
        <f t="shared" si="62"/>
        <v>0</v>
      </c>
      <c r="GO13" s="14">
        <f t="shared" si="39"/>
        <v>0</v>
      </c>
      <c r="GP13" s="14">
        <f t="shared" si="40"/>
        <v>0</v>
      </c>
      <c r="GQ13" s="14">
        <f t="shared" si="41"/>
        <v>0</v>
      </c>
      <c r="GR13" s="14">
        <f t="shared" si="42"/>
        <v>0</v>
      </c>
      <c r="GS13" s="14">
        <f t="shared" si="43"/>
        <v>0</v>
      </c>
      <c r="GT13" s="14">
        <f t="shared" si="44"/>
        <v>0</v>
      </c>
      <c r="GU13" s="14">
        <f t="shared" si="45"/>
        <v>0</v>
      </c>
      <c r="GV13" s="14">
        <f t="shared" si="46"/>
        <v>0</v>
      </c>
      <c r="GY13" s="91">
        <v>7</v>
      </c>
      <c r="GZ13" s="14">
        <f t="shared" si="63"/>
        <v>1</v>
      </c>
      <c r="HA13" s="14">
        <f t="shared" si="64"/>
        <v>1</v>
      </c>
      <c r="HB13" s="14">
        <f t="shared" si="65"/>
        <v>1</v>
      </c>
      <c r="HC13" s="14">
        <f t="shared" si="66"/>
        <v>0.27900000000000003</v>
      </c>
      <c r="HD13" s="14">
        <f t="shared" si="67"/>
        <v>1606003</v>
      </c>
      <c r="HE13" s="14" t="str">
        <f t="shared" si="68"/>
        <v>神器1-1 : 7级</v>
      </c>
      <c r="HF13" s="14" t="s">
        <v>800</v>
      </c>
      <c r="HG13" s="14">
        <f t="shared" si="69"/>
        <v>7</v>
      </c>
      <c r="HH13" s="14" t="str">
        <f t="shared" si="70"/>
        <v>神器1-1</v>
      </c>
      <c r="HI13" s="14">
        <f t="shared" si="71"/>
        <v>3</v>
      </c>
      <c r="HJ13" s="14" t="s">
        <v>1595</v>
      </c>
      <c r="HK13" s="14">
        <f t="shared" si="72"/>
        <v>3350</v>
      </c>
    </row>
    <row r="14" spans="1:219" ht="19.5" customHeight="1" x14ac:dyDescent="0.2">
      <c r="J14" s="87">
        <v>7</v>
      </c>
      <c r="K14" s="87">
        <v>3</v>
      </c>
      <c r="L14" s="87">
        <f>SUM(K$8:K14)</f>
        <v>12</v>
      </c>
      <c r="N14" s="90">
        <v>2</v>
      </c>
      <c r="O14" s="90">
        <v>4</v>
      </c>
      <c r="P14" s="90">
        <v>2</v>
      </c>
      <c r="Q14" s="90">
        <v>15</v>
      </c>
      <c r="R14" s="14">
        <f>SUM(Q$7:Q14)</f>
        <v>105</v>
      </c>
      <c r="S14" s="91">
        <v>1606009</v>
      </c>
      <c r="T14" s="14" t="str">
        <f t="shared" si="73"/>
        <v>神器2-4</v>
      </c>
      <c r="W14" s="87">
        <v>7</v>
      </c>
      <c r="X14" s="87">
        <v>123</v>
      </c>
      <c r="Y14" s="203">
        <f>ROUND(金币总表!AS11*0.2+金币总表!AS12*0.5,0)</f>
        <v>5538993</v>
      </c>
      <c r="Z14" s="203">
        <f t="shared" si="74"/>
        <v>133.27000000000001</v>
      </c>
      <c r="AA14" s="87" t="s">
        <v>783</v>
      </c>
      <c r="AB14" s="87" t="s">
        <v>784</v>
      </c>
      <c r="AC14" s="87" t="s">
        <v>785</v>
      </c>
      <c r="AF14" s="87">
        <v>8</v>
      </c>
      <c r="AG14" s="87">
        <v>2</v>
      </c>
      <c r="AH14" s="87">
        <v>5</v>
      </c>
      <c r="AI14" s="200">
        <v>1606010</v>
      </c>
      <c r="AJ14" s="87" t="str">
        <f t="shared" si="47"/>
        <v>神器2-5</v>
      </c>
      <c r="AK14" s="87">
        <v>3</v>
      </c>
      <c r="AL14" s="87">
        <f t="shared" si="48"/>
        <v>105</v>
      </c>
      <c r="AO14" s="87">
        <v>2</v>
      </c>
      <c r="AP14" s="87">
        <v>1</v>
      </c>
      <c r="AQ14" s="87">
        <v>4</v>
      </c>
      <c r="AR14" s="144">
        <f t="shared" si="49"/>
        <v>4404</v>
      </c>
      <c r="AS14" s="144" t="s">
        <v>1207</v>
      </c>
      <c r="AT14" s="144" t="str">
        <f t="shared" si="50"/>
        <v>神器本-2-普通-2  神器2-2</v>
      </c>
      <c r="AU14" s="87">
        <v>5</v>
      </c>
      <c r="AV14" s="87" t="s">
        <v>748</v>
      </c>
      <c r="AW14" s="32">
        <v>5000</v>
      </c>
      <c r="AX14" s="87">
        <v>1</v>
      </c>
      <c r="AY14" s="87">
        <v>3</v>
      </c>
      <c r="AZ14" s="87">
        <f t="shared" si="51"/>
        <v>1</v>
      </c>
      <c r="BA14" s="14">
        <f t="shared" si="52"/>
        <v>1</v>
      </c>
      <c r="BB14" s="14">
        <f t="shared" si="53"/>
        <v>15</v>
      </c>
      <c r="BE14" s="87">
        <v>4</v>
      </c>
      <c r="BF14" s="87">
        <v>2</v>
      </c>
      <c r="BG14" s="87">
        <f t="shared" si="0"/>
        <v>193.75</v>
      </c>
      <c r="BI14" s="203">
        <v>8</v>
      </c>
      <c r="BJ14" s="21">
        <f t="shared" si="54"/>
        <v>8.2000000000000003E-2</v>
      </c>
      <c r="BL14" s="87">
        <v>8</v>
      </c>
      <c r="BM14" s="14">
        <f>INDEX(节奏总表!$CK$4:$CK$63,新神器!BL14)</f>
        <v>72</v>
      </c>
      <c r="BN14" s="14">
        <f t="shared" si="55"/>
        <v>2</v>
      </c>
      <c r="BO14" s="87">
        <v>2</v>
      </c>
      <c r="BP14" s="87">
        <v>5</v>
      </c>
      <c r="BQ14" s="14">
        <f t="shared" si="1"/>
        <v>1.9</v>
      </c>
      <c r="BR14" s="14">
        <f t="shared" si="1"/>
        <v>1.9</v>
      </c>
      <c r="BS14" s="14">
        <f t="shared" si="1"/>
        <v>1.2</v>
      </c>
      <c r="BT14" s="14">
        <f t="shared" si="1"/>
        <v>5</v>
      </c>
      <c r="BU14" s="14">
        <f t="shared" si="1"/>
        <v>5</v>
      </c>
      <c r="BV14" s="14">
        <f t="shared" si="1"/>
        <v>2.625</v>
      </c>
      <c r="BW14" s="14">
        <f t="shared" si="1"/>
        <v>2.625</v>
      </c>
      <c r="BX14" s="14">
        <f t="shared" si="1"/>
        <v>1.25</v>
      </c>
      <c r="BY14" s="14">
        <f t="shared" si="1"/>
        <v>0</v>
      </c>
      <c r="BZ14" s="14">
        <f t="shared" si="1"/>
        <v>0</v>
      </c>
      <c r="CA14" s="14">
        <f t="shared" si="2"/>
        <v>0</v>
      </c>
      <c r="CB14" s="14">
        <f t="shared" si="2"/>
        <v>0</v>
      </c>
      <c r="CC14" s="14">
        <f t="shared" si="2"/>
        <v>0</v>
      </c>
      <c r="CD14" s="14">
        <f t="shared" si="2"/>
        <v>0</v>
      </c>
      <c r="CE14" s="14">
        <f t="shared" si="2"/>
        <v>0</v>
      </c>
      <c r="CF14" s="14">
        <f t="shared" si="2"/>
        <v>0</v>
      </c>
      <c r="CG14" s="14">
        <f t="shared" si="2"/>
        <v>0</v>
      </c>
      <c r="CH14" s="14">
        <f t="shared" si="2"/>
        <v>0</v>
      </c>
      <c r="CI14" s="14">
        <f t="shared" si="2"/>
        <v>0</v>
      </c>
      <c r="CJ14" s="14">
        <f t="shared" si="2"/>
        <v>0</v>
      </c>
      <c r="CK14" s="14">
        <f t="shared" si="3"/>
        <v>0</v>
      </c>
      <c r="CL14" s="14">
        <f t="shared" si="3"/>
        <v>0</v>
      </c>
      <c r="CM14" s="14">
        <f t="shared" si="3"/>
        <v>0</v>
      </c>
      <c r="CN14" s="14">
        <f t="shared" si="3"/>
        <v>0</v>
      </c>
      <c r="CO14" s="14">
        <f t="shared" si="3"/>
        <v>0</v>
      </c>
      <c r="CP14" s="14">
        <f t="shared" si="3"/>
        <v>0</v>
      </c>
      <c r="CQ14" s="14">
        <f t="shared" si="3"/>
        <v>0</v>
      </c>
      <c r="CR14" s="14">
        <f t="shared" si="3"/>
        <v>0</v>
      </c>
      <c r="CS14" s="14">
        <f t="shared" si="3"/>
        <v>0</v>
      </c>
      <c r="CT14" s="14">
        <f t="shared" si="3"/>
        <v>0</v>
      </c>
      <c r="CU14" s="14">
        <f t="shared" si="4"/>
        <v>0</v>
      </c>
      <c r="CV14" s="14">
        <f t="shared" si="4"/>
        <v>0</v>
      </c>
      <c r="CW14" s="14">
        <f t="shared" si="4"/>
        <v>0</v>
      </c>
      <c r="CX14" s="14">
        <f t="shared" si="4"/>
        <v>0</v>
      </c>
      <c r="CY14" s="14">
        <f t="shared" si="4"/>
        <v>0</v>
      </c>
      <c r="CZ14" s="14">
        <f t="shared" si="4"/>
        <v>0</v>
      </c>
      <c r="DA14" s="14">
        <f t="shared" si="4"/>
        <v>0</v>
      </c>
      <c r="DB14" s="14">
        <f t="shared" si="4"/>
        <v>0</v>
      </c>
      <c r="DC14" s="14">
        <f t="shared" si="4"/>
        <v>0</v>
      </c>
      <c r="DD14" s="14">
        <f t="shared" si="4"/>
        <v>0</v>
      </c>
      <c r="DE14" s="14">
        <f t="shared" si="4"/>
        <v>0</v>
      </c>
      <c r="DF14" s="14">
        <f t="shared" si="4"/>
        <v>0</v>
      </c>
      <c r="DH14" s="14">
        <f>SUM(BQ$7:BQ14)</f>
        <v>20.699999999999996</v>
      </c>
      <c r="DI14" s="14">
        <f>SUM(BR$7:BR14)</f>
        <v>20.699999999999996</v>
      </c>
      <c r="DJ14" s="14">
        <f>SUM(BS$7:BS14)</f>
        <v>10.35</v>
      </c>
      <c r="DK14" s="14">
        <f>SUM(BT$7:BT14)</f>
        <v>15</v>
      </c>
      <c r="DL14" s="14">
        <f>SUM(BU$7:BU14)</f>
        <v>15</v>
      </c>
      <c r="DM14" s="14">
        <f>SUM(BV$7:BV14)</f>
        <v>7.875</v>
      </c>
      <c r="DN14" s="14">
        <f>SUM(BW$7:BW14)</f>
        <v>7.875</v>
      </c>
      <c r="DO14" s="14">
        <f>SUM(BX$7:BX14)</f>
        <v>3.75</v>
      </c>
      <c r="DP14" s="14">
        <f>SUM(BY$7:BY14)</f>
        <v>0</v>
      </c>
      <c r="DQ14" s="14">
        <f>SUM(BZ$7:BZ14)</f>
        <v>0</v>
      </c>
      <c r="DR14" s="14">
        <f>SUM(CA$7:CA14)</f>
        <v>0</v>
      </c>
      <c r="DS14" s="14">
        <f>SUM(CB$7:CB14)</f>
        <v>0</v>
      </c>
      <c r="DT14" s="14">
        <f>SUM(CC$7:CC14)</f>
        <v>0</v>
      </c>
      <c r="DU14" s="14">
        <f>SUM(CD$7:CD14)</f>
        <v>0</v>
      </c>
      <c r="DV14" s="14">
        <f>SUM(CE$7:CE14)</f>
        <v>0</v>
      </c>
      <c r="DW14" s="14">
        <f>SUM(CF$7:CF14)</f>
        <v>0</v>
      </c>
      <c r="DX14" s="14">
        <f>SUM(CG$7:CG14)</f>
        <v>0</v>
      </c>
      <c r="DY14" s="14">
        <f>SUM(CH$7:CH14)</f>
        <v>0</v>
      </c>
      <c r="DZ14" s="14">
        <f>SUM(CI$7:CI14)</f>
        <v>0</v>
      </c>
      <c r="EA14" s="14">
        <f>SUM(CJ$7:CJ14)</f>
        <v>0</v>
      </c>
      <c r="EB14" s="14">
        <f>SUM(CK$7:CK14)</f>
        <v>0</v>
      </c>
      <c r="EC14" s="14">
        <f>SUM(CL$7:CL14)</f>
        <v>0</v>
      </c>
      <c r="ED14" s="14">
        <f>SUM(CM$7:CM14)</f>
        <v>0</v>
      </c>
      <c r="EE14" s="14">
        <f>SUM(CN$7:CN14)</f>
        <v>0</v>
      </c>
      <c r="EF14" s="14">
        <f>SUM(CO$7:CO14)</f>
        <v>0</v>
      </c>
      <c r="EG14" s="14">
        <f>SUM(CP$7:CP14)</f>
        <v>0</v>
      </c>
      <c r="EH14" s="14">
        <f>SUM(CQ$7:CQ14)</f>
        <v>0</v>
      </c>
      <c r="EI14" s="14">
        <f>SUM(CR$7:CR14)</f>
        <v>0</v>
      </c>
      <c r="EJ14" s="14">
        <f>SUM(CS$7:CS14)</f>
        <v>0</v>
      </c>
      <c r="EK14" s="14">
        <f>SUM(CT$7:CT14)</f>
        <v>0</v>
      </c>
      <c r="EL14" s="14">
        <f>SUM(CU$7:CU14)</f>
        <v>0</v>
      </c>
      <c r="EM14" s="14">
        <f>SUM(CV$7:CV14)</f>
        <v>0</v>
      </c>
      <c r="EN14" s="14">
        <f>SUM(CW$7:CW14)</f>
        <v>0</v>
      </c>
      <c r="EO14" s="14">
        <f>SUM(CX$7:CX14)</f>
        <v>0</v>
      </c>
      <c r="EP14" s="14">
        <f>SUM(CY$7:CY14)</f>
        <v>0</v>
      </c>
      <c r="EQ14" s="14">
        <f>SUM(CZ$7:CZ14)</f>
        <v>0</v>
      </c>
      <c r="ER14" s="14">
        <f>SUM(DA$7:DA14)</f>
        <v>0</v>
      </c>
      <c r="ES14" s="14">
        <f>SUM(DB$7:DB14)</f>
        <v>0</v>
      </c>
      <c r="ET14" s="14">
        <f>SUM(DC$7:DC14)</f>
        <v>0</v>
      </c>
      <c r="EU14" s="14">
        <f>SUM(DD$7:DD14)</f>
        <v>0</v>
      </c>
      <c r="EV14" s="14">
        <f>SUM(DE$7:DE14)</f>
        <v>0</v>
      </c>
      <c r="EW14" s="14">
        <f>SUM(DF$7:DF14)</f>
        <v>0</v>
      </c>
      <c r="EZ14" s="14">
        <f t="shared" si="56"/>
        <v>6</v>
      </c>
      <c r="FA14" s="14">
        <f t="shared" si="5"/>
        <v>9</v>
      </c>
      <c r="FB14" s="14">
        <f t="shared" si="6"/>
        <v>9</v>
      </c>
      <c r="FC14" s="14">
        <f t="shared" si="7"/>
        <v>6</v>
      </c>
      <c r="FD14" s="14">
        <f t="shared" si="57"/>
        <v>3</v>
      </c>
      <c r="FE14" s="14">
        <f t="shared" si="8"/>
        <v>8</v>
      </c>
      <c r="FF14" s="14">
        <f t="shared" si="9"/>
        <v>8</v>
      </c>
      <c r="FG14" s="14">
        <f t="shared" si="10"/>
        <v>5</v>
      </c>
      <c r="FH14" s="14">
        <f t="shared" si="11"/>
        <v>5</v>
      </c>
      <c r="FI14" s="14">
        <f t="shared" si="12"/>
        <v>3</v>
      </c>
      <c r="FJ14" s="14">
        <f t="shared" si="58"/>
        <v>0</v>
      </c>
      <c r="FK14" s="14">
        <f t="shared" si="13"/>
        <v>0</v>
      </c>
      <c r="FL14" s="14">
        <f t="shared" si="14"/>
        <v>0</v>
      </c>
      <c r="FM14" s="14">
        <f t="shared" si="15"/>
        <v>0</v>
      </c>
      <c r="FN14" s="14">
        <f t="shared" si="16"/>
        <v>0</v>
      </c>
      <c r="FO14" s="14">
        <f t="shared" si="17"/>
        <v>0</v>
      </c>
      <c r="FP14" s="14">
        <f t="shared" si="18"/>
        <v>0</v>
      </c>
      <c r="FQ14" s="14">
        <f t="shared" si="59"/>
        <v>0</v>
      </c>
      <c r="FR14" s="14">
        <f t="shared" si="19"/>
        <v>0</v>
      </c>
      <c r="FS14" s="14">
        <f t="shared" si="20"/>
        <v>0</v>
      </c>
      <c r="FT14" s="14">
        <f t="shared" si="21"/>
        <v>0</v>
      </c>
      <c r="FU14" s="14">
        <f t="shared" si="22"/>
        <v>0</v>
      </c>
      <c r="FV14" s="14">
        <f t="shared" si="23"/>
        <v>0</v>
      </c>
      <c r="FW14" s="14">
        <f t="shared" si="24"/>
        <v>0</v>
      </c>
      <c r="FX14" s="14">
        <f t="shared" si="60"/>
        <v>0</v>
      </c>
      <c r="FY14" s="14">
        <f t="shared" si="25"/>
        <v>0</v>
      </c>
      <c r="FZ14" s="14">
        <f t="shared" si="26"/>
        <v>0</v>
      </c>
      <c r="GA14" s="14">
        <f t="shared" si="27"/>
        <v>0</v>
      </c>
      <c r="GB14" s="14">
        <f t="shared" si="28"/>
        <v>0</v>
      </c>
      <c r="GC14" s="14">
        <f t="shared" si="29"/>
        <v>0</v>
      </c>
      <c r="GD14" s="14">
        <f t="shared" si="30"/>
        <v>0</v>
      </c>
      <c r="GE14" s="14">
        <f t="shared" si="61"/>
        <v>0</v>
      </c>
      <c r="GF14" s="14">
        <f t="shared" si="31"/>
        <v>0</v>
      </c>
      <c r="GG14" s="14">
        <f t="shared" si="32"/>
        <v>0</v>
      </c>
      <c r="GH14" s="14">
        <f t="shared" si="33"/>
        <v>0</v>
      </c>
      <c r="GI14" s="14">
        <f t="shared" si="34"/>
        <v>0</v>
      </c>
      <c r="GJ14" s="14">
        <f t="shared" si="35"/>
        <v>0</v>
      </c>
      <c r="GK14" s="14">
        <f t="shared" si="36"/>
        <v>0</v>
      </c>
      <c r="GL14" s="14">
        <f t="shared" si="37"/>
        <v>0</v>
      </c>
      <c r="GM14" s="14">
        <f t="shared" si="38"/>
        <v>0</v>
      </c>
      <c r="GN14" s="14">
        <f t="shared" si="62"/>
        <v>0</v>
      </c>
      <c r="GO14" s="14">
        <f t="shared" si="39"/>
        <v>0</v>
      </c>
      <c r="GP14" s="14">
        <f t="shared" si="40"/>
        <v>0</v>
      </c>
      <c r="GQ14" s="14">
        <f t="shared" si="41"/>
        <v>0</v>
      </c>
      <c r="GR14" s="14">
        <f t="shared" si="42"/>
        <v>0</v>
      </c>
      <c r="GS14" s="14">
        <f t="shared" si="43"/>
        <v>0</v>
      </c>
      <c r="GT14" s="14">
        <f t="shared" si="44"/>
        <v>0</v>
      </c>
      <c r="GU14" s="14">
        <f t="shared" si="45"/>
        <v>0</v>
      </c>
      <c r="GV14" s="14">
        <f t="shared" si="46"/>
        <v>0</v>
      </c>
      <c r="GY14" s="91">
        <v>8</v>
      </c>
      <c r="GZ14" s="14">
        <f t="shared" si="63"/>
        <v>1</v>
      </c>
      <c r="HA14" s="14">
        <f t="shared" si="64"/>
        <v>1</v>
      </c>
      <c r="HB14" s="14">
        <f t="shared" si="65"/>
        <v>1</v>
      </c>
      <c r="HC14" s="14">
        <f t="shared" si="66"/>
        <v>0.28599999999999998</v>
      </c>
      <c r="HD14" s="14">
        <f t="shared" si="67"/>
        <v>1606003</v>
      </c>
      <c r="HE14" s="14" t="str">
        <f t="shared" si="68"/>
        <v>神器1-1 : 8级</v>
      </c>
      <c r="HF14" s="14" t="s">
        <v>800</v>
      </c>
      <c r="HG14" s="14">
        <f t="shared" si="69"/>
        <v>8</v>
      </c>
      <c r="HH14" s="14" t="str">
        <f t="shared" si="70"/>
        <v>神器1-1</v>
      </c>
      <c r="HI14" s="14">
        <f t="shared" si="71"/>
        <v>3</v>
      </c>
      <c r="HJ14" s="14" t="s">
        <v>1595</v>
      </c>
      <c r="HK14" s="14">
        <f t="shared" si="72"/>
        <v>3450</v>
      </c>
    </row>
    <row r="15" spans="1:219" ht="16.5" x14ac:dyDescent="0.2">
      <c r="J15" s="87">
        <v>8</v>
      </c>
      <c r="K15" s="87">
        <v>3</v>
      </c>
      <c r="L15" s="87">
        <f>SUM(K$8:K15)</f>
        <v>15</v>
      </c>
      <c r="N15" s="90">
        <v>2</v>
      </c>
      <c r="O15" s="90">
        <v>5</v>
      </c>
      <c r="P15" s="90">
        <v>3</v>
      </c>
      <c r="Q15" s="90">
        <v>15</v>
      </c>
      <c r="R15" s="14">
        <f>SUM(Q$7:Q15)</f>
        <v>120</v>
      </c>
      <c r="S15" s="91">
        <v>1606010</v>
      </c>
      <c r="T15" s="14" t="str">
        <f t="shared" si="73"/>
        <v>神器2-5</v>
      </c>
      <c r="AF15" s="87">
        <v>9</v>
      </c>
      <c r="AG15" s="87">
        <v>3</v>
      </c>
      <c r="AH15" s="87">
        <v>1</v>
      </c>
      <c r="AI15" s="200">
        <v>1606011</v>
      </c>
      <c r="AJ15" s="87" t="str">
        <f t="shared" si="47"/>
        <v>神器3-1</v>
      </c>
      <c r="AK15" s="87">
        <v>1</v>
      </c>
      <c r="AL15" s="87">
        <f t="shared" si="48"/>
        <v>20</v>
      </c>
      <c r="AO15" s="87">
        <v>2</v>
      </c>
      <c r="AP15" s="87">
        <v>1</v>
      </c>
      <c r="AQ15" s="87">
        <v>5</v>
      </c>
      <c r="AR15" s="144">
        <f t="shared" si="49"/>
        <v>4405</v>
      </c>
      <c r="AS15" s="144" t="s">
        <v>1208</v>
      </c>
      <c r="AT15" s="144" t="str">
        <f t="shared" si="50"/>
        <v>神器本-2-普通-3  神器2-3</v>
      </c>
      <c r="AU15" s="87">
        <v>6</v>
      </c>
      <c r="AV15" s="87" t="s">
        <v>312</v>
      </c>
      <c r="AW15" s="32">
        <v>3500</v>
      </c>
      <c r="AX15" s="87">
        <v>1</v>
      </c>
      <c r="AY15" s="87">
        <v>2</v>
      </c>
      <c r="AZ15" s="87">
        <f t="shared" si="51"/>
        <v>2</v>
      </c>
      <c r="BA15" s="14">
        <f t="shared" si="52"/>
        <v>0.52500000000000002</v>
      </c>
      <c r="BB15" s="14">
        <f t="shared" si="53"/>
        <v>23.625</v>
      </c>
      <c r="BE15" s="87">
        <v>4</v>
      </c>
      <c r="BF15" s="87">
        <v>3</v>
      </c>
      <c r="BG15" s="87">
        <f t="shared" si="0"/>
        <v>231.25</v>
      </c>
      <c r="BI15" s="203">
        <v>9</v>
      </c>
      <c r="BJ15" s="21">
        <f t="shared" si="54"/>
        <v>8.6000000000000007E-2</v>
      </c>
      <c r="BL15" s="87">
        <v>9</v>
      </c>
      <c r="BM15" s="14">
        <f>INDEX(节奏总表!$CK$4:$CK$63,新神器!BL15)</f>
        <v>76</v>
      </c>
      <c r="BN15" s="14">
        <f t="shared" si="55"/>
        <v>2</v>
      </c>
      <c r="BO15" s="87">
        <v>2</v>
      </c>
      <c r="BP15" s="87">
        <v>5</v>
      </c>
      <c r="BQ15" s="14">
        <f t="shared" si="1"/>
        <v>1.9</v>
      </c>
      <c r="BR15" s="14">
        <f t="shared" si="1"/>
        <v>1.9</v>
      </c>
      <c r="BS15" s="14">
        <f t="shared" si="1"/>
        <v>1.2</v>
      </c>
      <c r="BT15" s="14">
        <f t="shared" si="1"/>
        <v>5</v>
      </c>
      <c r="BU15" s="14">
        <f t="shared" si="1"/>
        <v>5</v>
      </c>
      <c r="BV15" s="14">
        <f t="shared" si="1"/>
        <v>2.625</v>
      </c>
      <c r="BW15" s="14">
        <f t="shared" si="1"/>
        <v>2.625</v>
      </c>
      <c r="BX15" s="14">
        <f t="shared" si="1"/>
        <v>1.25</v>
      </c>
      <c r="BY15" s="14">
        <f t="shared" si="1"/>
        <v>0</v>
      </c>
      <c r="BZ15" s="14">
        <f t="shared" si="1"/>
        <v>0</v>
      </c>
      <c r="CA15" s="14">
        <f t="shared" si="2"/>
        <v>0</v>
      </c>
      <c r="CB15" s="14">
        <f t="shared" si="2"/>
        <v>0</v>
      </c>
      <c r="CC15" s="14">
        <f t="shared" si="2"/>
        <v>0</v>
      </c>
      <c r="CD15" s="14">
        <f t="shared" si="2"/>
        <v>0</v>
      </c>
      <c r="CE15" s="14">
        <f t="shared" si="2"/>
        <v>0</v>
      </c>
      <c r="CF15" s="14">
        <f t="shared" si="2"/>
        <v>0</v>
      </c>
      <c r="CG15" s="14">
        <f t="shared" si="2"/>
        <v>0</v>
      </c>
      <c r="CH15" s="14">
        <f t="shared" si="2"/>
        <v>0</v>
      </c>
      <c r="CI15" s="14">
        <f t="shared" si="2"/>
        <v>0</v>
      </c>
      <c r="CJ15" s="14">
        <f t="shared" si="2"/>
        <v>0</v>
      </c>
      <c r="CK15" s="14">
        <f t="shared" si="3"/>
        <v>0</v>
      </c>
      <c r="CL15" s="14">
        <f t="shared" si="3"/>
        <v>0</v>
      </c>
      <c r="CM15" s="14">
        <f t="shared" si="3"/>
        <v>0</v>
      </c>
      <c r="CN15" s="14">
        <f t="shared" si="3"/>
        <v>0</v>
      </c>
      <c r="CO15" s="14">
        <f t="shared" si="3"/>
        <v>0</v>
      </c>
      <c r="CP15" s="14">
        <f t="shared" si="3"/>
        <v>0</v>
      </c>
      <c r="CQ15" s="14">
        <f t="shared" si="3"/>
        <v>0</v>
      </c>
      <c r="CR15" s="14">
        <f t="shared" si="3"/>
        <v>0</v>
      </c>
      <c r="CS15" s="14">
        <f t="shared" si="3"/>
        <v>0</v>
      </c>
      <c r="CT15" s="14">
        <f t="shared" si="3"/>
        <v>0</v>
      </c>
      <c r="CU15" s="14">
        <f t="shared" si="4"/>
        <v>0</v>
      </c>
      <c r="CV15" s="14">
        <f t="shared" si="4"/>
        <v>0</v>
      </c>
      <c r="CW15" s="14">
        <f t="shared" si="4"/>
        <v>0</v>
      </c>
      <c r="CX15" s="14">
        <f t="shared" si="4"/>
        <v>0</v>
      </c>
      <c r="CY15" s="14">
        <f t="shared" si="4"/>
        <v>0</v>
      </c>
      <c r="CZ15" s="14">
        <f t="shared" si="4"/>
        <v>0</v>
      </c>
      <c r="DA15" s="14">
        <f t="shared" si="4"/>
        <v>0</v>
      </c>
      <c r="DB15" s="14">
        <f t="shared" si="4"/>
        <v>0</v>
      </c>
      <c r="DC15" s="14">
        <f t="shared" si="4"/>
        <v>0</v>
      </c>
      <c r="DD15" s="14">
        <f t="shared" si="4"/>
        <v>0</v>
      </c>
      <c r="DE15" s="14">
        <f t="shared" si="4"/>
        <v>0</v>
      </c>
      <c r="DF15" s="14">
        <f t="shared" si="4"/>
        <v>0</v>
      </c>
      <c r="DH15" s="14">
        <f>SUM(BQ$7:BQ15)</f>
        <v>22.599999999999994</v>
      </c>
      <c r="DI15" s="14">
        <f>SUM(BR$7:BR15)</f>
        <v>22.599999999999994</v>
      </c>
      <c r="DJ15" s="14">
        <f>SUM(BS$7:BS15)</f>
        <v>11.549999999999999</v>
      </c>
      <c r="DK15" s="14">
        <f>SUM(BT$7:BT15)</f>
        <v>20</v>
      </c>
      <c r="DL15" s="14">
        <f>SUM(BU$7:BU15)</f>
        <v>20</v>
      </c>
      <c r="DM15" s="14">
        <f>SUM(BV$7:BV15)</f>
        <v>10.5</v>
      </c>
      <c r="DN15" s="14">
        <f>SUM(BW$7:BW15)</f>
        <v>10.5</v>
      </c>
      <c r="DO15" s="14">
        <f>SUM(BX$7:BX15)</f>
        <v>5</v>
      </c>
      <c r="DP15" s="14">
        <f>SUM(BY$7:BY15)</f>
        <v>0</v>
      </c>
      <c r="DQ15" s="14">
        <f>SUM(BZ$7:BZ15)</f>
        <v>0</v>
      </c>
      <c r="DR15" s="14">
        <f>SUM(CA$7:CA15)</f>
        <v>0</v>
      </c>
      <c r="DS15" s="14">
        <f>SUM(CB$7:CB15)</f>
        <v>0</v>
      </c>
      <c r="DT15" s="14">
        <f>SUM(CC$7:CC15)</f>
        <v>0</v>
      </c>
      <c r="DU15" s="14">
        <f>SUM(CD$7:CD15)</f>
        <v>0</v>
      </c>
      <c r="DV15" s="14">
        <f>SUM(CE$7:CE15)</f>
        <v>0</v>
      </c>
      <c r="DW15" s="14">
        <f>SUM(CF$7:CF15)</f>
        <v>0</v>
      </c>
      <c r="DX15" s="14">
        <f>SUM(CG$7:CG15)</f>
        <v>0</v>
      </c>
      <c r="DY15" s="14">
        <f>SUM(CH$7:CH15)</f>
        <v>0</v>
      </c>
      <c r="DZ15" s="14">
        <f>SUM(CI$7:CI15)</f>
        <v>0</v>
      </c>
      <c r="EA15" s="14">
        <f>SUM(CJ$7:CJ15)</f>
        <v>0</v>
      </c>
      <c r="EB15" s="14">
        <f>SUM(CK$7:CK15)</f>
        <v>0</v>
      </c>
      <c r="EC15" s="14">
        <f>SUM(CL$7:CL15)</f>
        <v>0</v>
      </c>
      <c r="ED15" s="14">
        <f>SUM(CM$7:CM15)</f>
        <v>0</v>
      </c>
      <c r="EE15" s="14">
        <f>SUM(CN$7:CN15)</f>
        <v>0</v>
      </c>
      <c r="EF15" s="14">
        <f>SUM(CO$7:CO15)</f>
        <v>0</v>
      </c>
      <c r="EG15" s="14">
        <f>SUM(CP$7:CP15)</f>
        <v>0</v>
      </c>
      <c r="EH15" s="14">
        <f>SUM(CQ$7:CQ15)</f>
        <v>0</v>
      </c>
      <c r="EI15" s="14">
        <f>SUM(CR$7:CR15)</f>
        <v>0</v>
      </c>
      <c r="EJ15" s="14">
        <f>SUM(CS$7:CS15)</f>
        <v>0</v>
      </c>
      <c r="EK15" s="14">
        <f>SUM(CT$7:CT15)</f>
        <v>0</v>
      </c>
      <c r="EL15" s="14">
        <f>SUM(CU$7:CU15)</f>
        <v>0</v>
      </c>
      <c r="EM15" s="14">
        <f>SUM(CV$7:CV15)</f>
        <v>0</v>
      </c>
      <c r="EN15" s="14">
        <f>SUM(CW$7:CW15)</f>
        <v>0</v>
      </c>
      <c r="EO15" s="14">
        <f>SUM(CX$7:CX15)</f>
        <v>0</v>
      </c>
      <c r="EP15" s="14">
        <f>SUM(CY$7:CY15)</f>
        <v>0</v>
      </c>
      <c r="EQ15" s="14">
        <f>SUM(CZ$7:CZ15)</f>
        <v>0</v>
      </c>
      <c r="ER15" s="14">
        <f>SUM(DA$7:DA15)</f>
        <v>0</v>
      </c>
      <c r="ES15" s="14">
        <f>SUM(DB$7:DB15)</f>
        <v>0</v>
      </c>
      <c r="ET15" s="14">
        <f>SUM(DC$7:DC15)</f>
        <v>0</v>
      </c>
      <c r="EU15" s="14">
        <f>SUM(DD$7:DD15)</f>
        <v>0</v>
      </c>
      <c r="EV15" s="14">
        <f>SUM(DE$7:DE15)</f>
        <v>0</v>
      </c>
      <c r="EW15" s="14">
        <f>SUM(DF$7:DF15)</f>
        <v>0</v>
      </c>
      <c r="EZ15" s="14">
        <f t="shared" si="56"/>
        <v>6</v>
      </c>
      <c r="FA15" s="14">
        <f t="shared" si="5"/>
        <v>9</v>
      </c>
      <c r="FB15" s="14">
        <f t="shared" si="6"/>
        <v>9</v>
      </c>
      <c r="FC15" s="14">
        <f t="shared" si="7"/>
        <v>6</v>
      </c>
      <c r="FD15" s="14">
        <f t="shared" si="57"/>
        <v>4</v>
      </c>
      <c r="FE15" s="14">
        <f t="shared" si="8"/>
        <v>9</v>
      </c>
      <c r="FF15" s="14">
        <f t="shared" si="9"/>
        <v>9</v>
      </c>
      <c r="FG15" s="14">
        <f t="shared" si="10"/>
        <v>6</v>
      </c>
      <c r="FH15" s="14">
        <f t="shared" si="11"/>
        <v>6</v>
      </c>
      <c r="FI15" s="14">
        <f t="shared" si="12"/>
        <v>4</v>
      </c>
      <c r="FJ15" s="14">
        <f t="shared" si="58"/>
        <v>0</v>
      </c>
      <c r="FK15" s="14">
        <f t="shared" si="13"/>
        <v>0</v>
      </c>
      <c r="FL15" s="14">
        <f t="shared" si="14"/>
        <v>0</v>
      </c>
      <c r="FM15" s="14">
        <f t="shared" si="15"/>
        <v>0</v>
      </c>
      <c r="FN15" s="14">
        <f t="shared" si="16"/>
        <v>0</v>
      </c>
      <c r="FO15" s="14">
        <f t="shared" si="17"/>
        <v>0</v>
      </c>
      <c r="FP15" s="14">
        <f t="shared" si="18"/>
        <v>0</v>
      </c>
      <c r="FQ15" s="14">
        <f t="shared" si="59"/>
        <v>0</v>
      </c>
      <c r="FR15" s="14">
        <f t="shared" si="19"/>
        <v>0</v>
      </c>
      <c r="FS15" s="14">
        <f t="shared" si="20"/>
        <v>0</v>
      </c>
      <c r="FT15" s="14">
        <f t="shared" si="21"/>
        <v>0</v>
      </c>
      <c r="FU15" s="14">
        <f t="shared" si="22"/>
        <v>0</v>
      </c>
      <c r="FV15" s="14">
        <f t="shared" si="23"/>
        <v>0</v>
      </c>
      <c r="FW15" s="14">
        <f t="shared" si="24"/>
        <v>0</v>
      </c>
      <c r="FX15" s="14">
        <f t="shared" si="60"/>
        <v>0</v>
      </c>
      <c r="FY15" s="14">
        <f t="shared" si="25"/>
        <v>0</v>
      </c>
      <c r="FZ15" s="14">
        <f t="shared" si="26"/>
        <v>0</v>
      </c>
      <c r="GA15" s="14">
        <f t="shared" si="27"/>
        <v>0</v>
      </c>
      <c r="GB15" s="14">
        <f t="shared" si="28"/>
        <v>0</v>
      </c>
      <c r="GC15" s="14">
        <f t="shared" si="29"/>
        <v>0</v>
      </c>
      <c r="GD15" s="14">
        <f t="shared" si="30"/>
        <v>0</v>
      </c>
      <c r="GE15" s="14">
        <f t="shared" si="61"/>
        <v>0</v>
      </c>
      <c r="GF15" s="14">
        <f t="shared" si="31"/>
        <v>0</v>
      </c>
      <c r="GG15" s="14">
        <f t="shared" si="32"/>
        <v>0</v>
      </c>
      <c r="GH15" s="14">
        <f t="shared" si="33"/>
        <v>0</v>
      </c>
      <c r="GI15" s="14">
        <f t="shared" si="34"/>
        <v>0</v>
      </c>
      <c r="GJ15" s="14">
        <f t="shared" si="35"/>
        <v>0</v>
      </c>
      <c r="GK15" s="14">
        <f t="shared" si="36"/>
        <v>0</v>
      </c>
      <c r="GL15" s="14">
        <f t="shared" si="37"/>
        <v>0</v>
      </c>
      <c r="GM15" s="14">
        <f t="shared" si="38"/>
        <v>0</v>
      </c>
      <c r="GN15" s="14">
        <f t="shared" si="62"/>
        <v>0</v>
      </c>
      <c r="GO15" s="14">
        <f t="shared" si="39"/>
        <v>0</v>
      </c>
      <c r="GP15" s="14">
        <f t="shared" si="40"/>
        <v>0</v>
      </c>
      <c r="GQ15" s="14">
        <f t="shared" si="41"/>
        <v>0</v>
      </c>
      <c r="GR15" s="14">
        <f t="shared" si="42"/>
        <v>0</v>
      </c>
      <c r="GS15" s="14">
        <f t="shared" si="43"/>
        <v>0</v>
      </c>
      <c r="GT15" s="14">
        <f t="shared" si="44"/>
        <v>0</v>
      </c>
      <c r="GU15" s="14">
        <f t="shared" si="45"/>
        <v>0</v>
      </c>
      <c r="GV15" s="14">
        <f t="shared" si="46"/>
        <v>0</v>
      </c>
      <c r="GY15" s="91">
        <v>9</v>
      </c>
      <c r="GZ15" s="14">
        <f t="shared" si="63"/>
        <v>1</v>
      </c>
      <c r="HA15" s="14">
        <f t="shared" si="64"/>
        <v>1</v>
      </c>
      <c r="HB15" s="14">
        <f t="shared" si="65"/>
        <v>1</v>
      </c>
      <c r="HC15" s="14">
        <f t="shared" si="66"/>
        <v>0.29299999999999998</v>
      </c>
      <c r="HD15" s="14">
        <f t="shared" si="67"/>
        <v>1606003</v>
      </c>
      <c r="HE15" s="14" t="str">
        <f t="shared" si="68"/>
        <v>神器1-1 : 9级</v>
      </c>
      <c r="HF15" s="14" t="s">
        <v>800</v>
      </c>
      <c r="HG15" s="14">
        <f t="shared" si="69"/>
        <v>9</v>
      </c>
      <c r="HH15" s="14" t="str">
        <f t="shared" si="70"/>
        <v>神器1-1</v>
      </c>
      <c r="HI15" s="14">
        <f t="shared" si="71"/>
        <v>3</v>
      </c>
      <c r="HJ15" s="14" t="s">
        <v>1595</v>
      </c>
      <c r="HK15" s="14">
        <f t="shared" si="72"/>
        <v>3500</v>
      </c>
    </row>
    <row r="16" spans="1:219" ht="16.5" x14ac:dyDescent="0.2">
      <c r="J16" s="87">
        <v>9</v>
      </c>
      <c r="K16" s="87">
        <v>3</v>
      </c>
      <c r="L16" s="87">
        <f>SUM(K$8:K16)</f>
        <v>18</v>
      </c>
      <c r="N16" s="90">
        <v>3</v>
      </c>
      <c r="O16" s="90">
        <v>1</v>
      </c>
      <c r="P16" s="90">
        <v>1</v>
      </c>
      <c r="Q16" s="90">
        <v>18</v>
      </c>
      <c r="R16" s="14">
        <f>SUM(Q$7:Q16)</f>
        <v>138</v>
      </c>
      <c r="S16" s="91">
        <v>1606011</v>
      </c>
      <c r="T16" s="14" t="str">
        <f t="shared" si="73"/>
        <v>神器3-1</v>
      </c>
      <c r="AF16" s="87">
        <v>10</v>
      </c>
      <c r="AG16" s="87">
        <v>3</v>
      </c>
      <c r="AH16" s="87">
        <v>2</v>
      </c>
      <c r="AI16" s="200">
        <v>1606012</v>
      </c>
      <c r="AJ16" s="87" t="str">
        <f t="shared" si="47"/>
        <v>神器3-2</v>
      </c>
      <c r="AK16" s="87">
        <v>1</v>
      </c>
      <c r="AL16" s="87">
        <f t="shared" si="48"/>
        <v>20</v>
      </c>
      <c r="AO16" s="87">
        <v>2</v>
      </c>
      <c r="AP16" s="87">
        <v>1</v>
      </c>
      <c r="AQ16" s="87">
        <v>5</v>
      </c>
      <c r="AR16" s="144">
        <f t="shared" si="49"/>
        <v>4405</v>
      </c>
      <c r="AS16" s="144" t="s">
        <v>1209</v>
      </c>
      <c r="AT16" s="144" t="str">
        <f t="shared" si="50"/>
        <v>神器本-2-普通-3  神器2-4</v>
      </c>
      <c r="AU16" s="87">
        <v>7</v>
      </c>
      <c r="AV16" s="87" t="s">
        <v>313</v>
      </c>
      <c r="AW16" s="32">
        <v>3500</v>
      </c>
      <c r="AX16" s="87">
        <v>1</v>
      </c>
      <c r="AY16" s="87">
        <v>2</v>
      </c>
      <c r="AZ16" s="87">
        <f t="shared" si="51"/>
        <v>2</v>
      </c>
      <c r="BA16" s="14">
        <f t="shared" si="52"/>
        <v>0.52500000000000002</v>
      </c>
      <c r="BB16" s="14">
        <f t="shared" si="53"/>
        <v>23.625</v>
      </c>
      <c r="BE16" s="87">
        <v>5</v>
      </c>
      <c r="BF16" s="87">
        <v>1</v>
      </c>
      <c r="BG16" s="87">
        <f t="shared" si="0"/>
        <v>184.5</v>
      </c>
      <c r="BI16" s="203">
        <v>10</v>
      </c>
      <c r="BJ16" s="21">
        <f t="shared" si="54"/>
        <v>0.09</v>
      </c>
      <c r="BL16" s="87">
        <v>10</v>
      </c>
      <c r="BM16" s="14">
        <f>INDEX(节奏总表!$CK$4:$CK$63,新神器!BL16)</f>
        <v>79</v>
      </c>
      <c r="BN16" s="14">
        <f t="shared" si="55"/>
        <v>2</v>
      </c>
      <c r="BO16" s="87">
        <v>2</v>
      </c>
      <c r="BP16" s="87">
        <v>5</v>
      </c>
      <c r="BQ16" s="14">
        <f t="shared" si="1"/>
        <v>1.9</v>
      </c>
      <c r="BR16" s="14">
        <f t="shared" si="1"/>
        <v>1.9</v>
      </c>
      <c r="BS16" s="14">
        <f t="shared" si="1"/>
        <v>1.2</v>
      </c>
      <c r="BT16" s="14">
        <f t="shared" si="1"/>
        <v>5</v>
      </c>
      <c r="BU16" s="14">
        <f t="shared" si="1"/>
        <v>5</v>
      </c>
      <c r="BV16" s="14">
        <f t="shared" si="1"/>
        <v>2.625</v>
      </c>
      <c r="BW16" s="14">
        <f t="shared" si="1"/>
        <v>2.625</v>
      </c>
      <c r="BX16" s="14">
        <f t="shared" si="1"/>
        <v>1.25</v>
      </c>
      <c r="BY16" s="14">
        <f t="shared" si="1"/>
        <v>0</v>
      </c>
      <c r="BZ16" s="14">
        <f t="shared" si="1"/>
        <v>0</v>
      </c>
      <c r="CA16" s="14">
        <f t="shared" si="2"/>
        <v>0</v>
      </c>
      <c r="CB16" s="14">
        <f t="shared" si="2"/>
        <v>0</v>
      </c>
      <c r="CC16" s="14">
        <f t="shared" si="2"/>
        <v>0</v>
      </c>
      <c r="CD16" s="14">
        <f t="shared" si="2"/>
        <v>0</v>
      </c>
      <c r="CE16" s="14">
        <f t="shared" si="2"/>
        <v>0</v>
      </c>
      <c r="CF16" s="14">
        <f t="shared" si="2"/>
        <v>0</v>
      </c>
      <c r="CG16" s="14">
        <f t="shared" si="2"/>
        <v>0</v>
      </c>
      <c r="CH16" s="14">
        <f t="shared" si="2"/>
        <v>0</v>
      </c>
      <c r="CI16" s="14">
        <f t="shared" si="2"/>
        <v>0</v>
      </c>
      <c r="CJ16" s="14">
        <f t="shared" si="2"/>
        <v>0</v>
      </c>
      <c r="CK16" s="14">
        <f t="shared" si="3"/>
        <v>0</v>
      </c>
      <c r="CL16" s="14">
        <f t="shared" si="3"/>
        <v>0</v>
      </c>
      <c r="CM16" s="14">
        <f t="shared" si="3"/>
        <v>0</v>
      </c>
      <c r="CN16" s="14">
        <f t="shared" si="3"/>
        <v>0</v>
      </c>
      <c r="CO16" s="14">
        <f t="shared" si="3"/>
        <v>0</v>
      </c>
      <c r="CP16" s="14">
        <f t="shared" si="3"/>
        <v>0</v>
      </c>
      <c r="CQ16" s="14">
        <f t="shared" si="3"/>
        <v>0</v>
      </c>
      <c r="CR16" s="14">
        <f t="shared" si="3"/>
        <v>0</v>
      </c>
      <c r="CS16" s="14">
        <f t="shared" si="3"/>
        <v>0</v>
      </c>
      <c r="CT16" s="14">
        <f t="shared" si="3"/>
        <v>0</v>
      </c>
      <c r="CU16" s="14">
        <f t="shared" si="4"/>
        <v>0</v>
      </c>
      <c r="CV16" s="14">
        <f t="shared" si="4"/>
        <v>0</v>
      </c>
      <c r="CW16" s="14">
        <f t="shared" si="4"/>
        <v>0</v>
      </c>
      <c r="CX16" s="14">
        <f t="shared" si="4"/>
        <v>0</v>
      </c>
      <c r="CY16" s="14">
        <f t="shared" si="4"/>
        <v>0</v>
      </c>
      <c r="CZ16" s="14">
        <f t="shared" si="4"/>
        <v>0</v>
      </c>
      <c r="DA16" s="14">
        <f t="shared" si="4"/>
        <v>0</v>
      </c>
      <c r="DB16" s="14">
        <f t="shared" si="4"/>
        <v>0</v>
      </c>
      <c r="DC16" s="14">
        <f t="shared" si="4"/>
        <v>0</v>
      </c>
      <c r="DD16" s="14">
        <f t="shared" si="4"/>
        <v>0</v>
      </c>
      <c r="DE16" s="14">
        <f t="shared" si="4"/>
        <v>0</v>
      </c>
      <c r="DF16" s="14">
        <f t="shared" si="4"/>
        <v>0</v>
      </c>
      <c r="DH16" s="14">
        <f>SUM(BQ$7:BQ16)</f>
        <v>24.499999999999993</v>
      </c>
      <c r="DI16" s="14">
        <f>SUM(BR$7:BR16)</f>
        <v>24.499999999999993</v>
      </c>
      <c r="DJ16" s="14">
        <f>SUM(BS$7:BS16)</f>
        <v>12.749999999999998</v>
      </c>
      <c r="DK16" s="14">
        <f>SUM(BT$7:BT16)</f>
        <v>25</v>
      </c>
      <c r="DL16" s="14">
        <f>SUM(BU$7:BU16)</f>
        <v>25</v>
      </c>
      <c r="DM16" s="14">
        <f>SUM(BV$7:BV16)</f>
        <v>13.125</v>
      </c>
      <c r="DN16" s="14">
        <f>SUM(BW$7:BW16)</f>
        <v>13.125</v>
      </c>
      <c r="DO16" s="14">
        <f>SUM(BX$7:BX16)</f>
        <v>6.25</v>
      </c>
      <c r="DP16" s="14">
        <f>SUM(BY$7:BY16)</f>
        <v>0</v>
      </c>
      <c r="DQ16" s="14">
        <f>SUM(BZ$7:BZ16)</f>
        <v>0</v>
      </c>
      <c r="DR16" s="14">
        <f>SUM(CA$7:CA16)</f>
        <v>0</v>
      </c>
      <c r="DS16" s="14">
        <f>SUM(CB$7:CB16)</f>
        <v>0</v>
      </c>
      <c r="DT16" s="14">
        <f>SUM(CC$7:CC16)</f>
        <v>0</v>
      </c>
      <c r="DU16" s="14">
        <f>SUM(CD$7:CD16)</f>
        <v>0</v>
      </c>
      <c r="DV16" s="14">
        <f>SUM(CE$7:CE16)</f>
        <v>0</v>
      </c>
      <c r="DW16" s="14">
        <f>SUM(CF$7:CF16)</f>
        <v>0</v>
      </c>
      <c r="DX16" s="14">
        <f>SUM(CG$7:CG16)</f>
        <v>0</v>
      </c>
      <c r="DY16" s="14">
        <f>SUM(CH$7:CH16)</f>
        <v>0</v>
      </c>
      <c r="DZ16" s="14">
        <f>SUM(CI$7:CI16)</f>
        <v>0</v>
      </c>
      <c r="EA16" s="14">
        <f>SUM(CJ$7:CJ16)</f>
        <v>0</v>
      </c>
      <c r="EB16" s="14">
        <f>SUM(CK$7:CK16)</f>
        <v>0</v>
      </c>
      <c r="EC16" s="14">
        <f>SUM(CL$7:CL16)</f>
        <v>0</v>
      </c>
      <c r="ED16" s="14">
        <f>SUM(CM$7:CM16)</f>
        <v>0</v>
      </c>
      <c r="EE16" s="14">
        <f>SUM(CN$7:CN16)</f>
        <v>0</v>
      </c>
      <c r="EF16" s="14">
        <f>SUM(CO$7:CO16)</f>
        <v>0</v>
      </c>
      <c r="EG16" s="14">
        <f>SUM(CP$7:CP16)</f>
        <v>0</v>
      </c>
      <c r="EH16" s="14">
        <f>SUM(CQ$7:CQ16)</f>
        <v>0</v>
      </c>
      <c r="EI16" s="14">
        <f>SUM(CR$7:CR16)</f>
        <v>0</v>
      </c>
      <c r="EJ16" s="14">
        <f>SUM(CS$7:CS16)</f>
        <v>0</v>
      </c>
      <c r="EK16" s="14">
        <f>SUM(CT$7:CT16)</f>
        <v>0</v>
      </c>
      <c r="EL16" s="14">
        <f>SUM(CU$7:CU16)</f>
        <v>0</v>
      </c>
      <c r="EM16" s="14">
        <f>SUM(CV$7:CV16)</f>
        <v>0</v>
      </c>
      <c r="EN16" s="14">
        <f>SUM(CW$7:CW16)</f>
        <v>0</v>
      </c>
      <c r="EO16" s="14">
        <f>SUM(CX$7:CX16)</f>
        <v>0</v>
      </c>
      <c r="EP16" s="14">
        <f>SUM(CY$7:CY16)</f>
        <v>0</v>
      </c>
      <c r="EQ16" s="14">
        <f>SUM(CZ$7:CZ16)</f>
        <v>0</v>
      </c>
      <c r="ER16" s="14">
        <f>SUM(DA$7:DA16)</f>
        <v>0</v>
      </c>
      <c r="ES16" s="14">
        <f>SUM(DB$7:DB16)</f>
        <v>0</v>
      </c>
      <c r="ET16" s="14">
        <f>SUM(DC$7:DC16)</f>
        <v>0</v>
      </c>
      <c r="EU16" s="14">
        <f>SUM(DD$7:DD16)</f>
        <v>0</v>
      </c>
      <c r="EV16" s="14">
        <f>SUM(DE$7:DE16)</f>
        <v>0</v>
      </c>
      <c r="EW16" s="14">
        <f>SUM(DF$7:DF16)</f>
        <v>0</v>
      </c>
      <c r="EZ16" s="14">
        <f t="shared" si="56"/>
        <v>7</v>
      </c>
      <c r="FA16" s="14">
        <f t="shared" si="5"/>
        <v>10</v>
      </c>
      <c r="FB16" s="14">
        <f t="shared" si="6"/>
        <v>10</v>
      </c>
      <c r="FC16" s="14">
        <f t="shared" si="7"/>
        <v>7</v>
      </c>
      <c r="FD16" s="14">
        <f t="shared" si="57"/>
        <v>4</v>
      </c>
      <c r="FE16" s="14">
        <f t="shared" si="8"/>
        <v>10</v>
      </c>
      <c r="FF16" s="14">
        <f t="shared" si="9"/>
        <v>10</v>
      </c>
      <c r="FG16" s="14">
        <f t="shared" si="10"/>
        <v>7</v>
      </c>
      <c r="FH16" s="14">
        <f t="shared" si="11"/>
        <v>7</v>
      </c>
      <c r="FI16" s="14">
        <f t="shared" si="12"/>
        <v>4</v>
      </c>
      <c r="FJ16" s="14">
        <f t="shared" si="58"/>
        <v>0</v>
      </c>
      <c r="FK16" s="14">
        <f t="shared" si="13"/>
        <v>0</v>
      </c>
      <c r="FL16" s="14">
        <f t="shared" si="14"/>
        <v>0</v>
      </c>
      <c r="FM16" s="14">
        <f t="shared" si="15"/>
        <v>0</v>
      </c>
      <c r="FN16" s="14">
        <f t="shared" si="16"/>
        <v>0</v>
      </c>
      <c r="FO16" s="14">
        <f t="shared" si="17"/>
        <v>0</v>
      </c>
      <c r="FP16" s="14">
        <f t="shared" si="18"/>
        <v>0</v>
      </c>
      <c r="FQ16" s="14">
        <f t="shared" si="59"/>
        <v>0</v>
      </c>
      <c r="FR16" s="14">
        <f t="shared" si="19"/>
        <v>0</v>
      </c>
      <c r="FS16" s="14">
        <f t="shared" si="20"/>
        <v>0</v>
      </c>
      <c r="FT16" s="14">
        <f t="shared" si="21"/>
        <v>0</v>
      </c>
      <c r="FU16" s="14">
        <f t="shared" si="22"/>
        <v>0</v>
      </c>
      <c r="FV16" s="14">
        <f t="shared" si="23"/>
        <v>0</v>
      </c>
      <c r="FW16" s="14">
        <f t="shared" si="24"/>
        <v>0</v>
      </c>
      <c r="FX16" s="14">
        <f t="shared" si="60"/>
        <v>0</v>
      </c>
      <c r="FY16" s="14">
        <f t="shared" si="25"/>
        <v>0</v>
      </c>
      <c r="FZ16" s="14">
        <f t="shared" si="26"/>
        <v>0</v>
      </c>
      <c r="GA16" s="14">
        <f t="shared" si="27"/>
        <v>0</v>
      </c>
      <c r="GB16" s="14">
        <f t="shared" si="28"/>
        <v>0</v>
      </c>
      <c r="GC16" s="14">
        <f t="shared" si="29"/>
        <v>0</v>
      </c>
      <c r="GD16" s="14">
        <f t="shared" si="30"/>
        <v>0</v>
      </c>
      <c r="GE16" s="14">
        <f t="shared" si="61"/>
        <v>0</v>
      </c>
      <c r="GF16" s="14">
        <f t="shared" si="31"/>
        <v>0</v>
      </c>
      <c r="GG16" s="14">
        <f t="shared" si="32"/>
        <v>0</v>
      </c>
      <c r="GH16" s="14">
        <f t="shared" si="33"/>
        <v>0</v>
      </c>
      <c r="GI16" s="14">
        <f t="shared" si="34"/>
        <v>0</v>
      </c>
      <c r="GJ16" s="14">
        <f t="shared" si="35"/>
        <v>0</v>
      </c>
      <c r="GK16" s="14">
        <f t="shared" si="36"/>
        <v>0</v>
      </c>
      <c r="GL16" s="14">
        <f t="shared" si="37"/>
        <v>0</v>
      </c>
      <c r="GM16" s="14">
        <f t="shared" si="38"/>
        <v>0</v>
      </c>
      <c r="GN16" s="14">
        <f t="shared" si="62"/>
        <v>0</v>
      </c>
      <c r="GO16" s="14">
        <f t="shared" si="39"/>
        <v>0</v>
      </c>
      <c r="GP16" s="14">
        <f t="shared" si="40"/>
        <v>0</v>
      </c>
      <c r="GQ16" s="14">
        <f t="shared" si="41"/>
        <v>0</v>
      </c>
      <c r="GR16" s="14">
        <f t="shared" si="42"/>
        <v>0</v>
      </c>
      <c r="GS16" s="14">
        <f t="shared" si="43"/>
        <v>0</v>
      </c>
      <c r="GT16" s="14">
        <f t="shared" si="44"/>
        <v>0</v>
      </c>
      <c r="GU16" s="14">
        <f t="shared" si="45"/>
        <v>0</v>
      </c>
      <c r="GV16" s="14">
        <f t="shared" si="46"/>
        <v>0</v>
      </c>
      <c r="GY16" s="91">
        <v>10</v>
      </c>
      <c r="GZ16" s="14">
        <f t="shared" si="63"/>
        <v>1</v>
      </c>
      <c r="HA16" s="14">
        <f t="shared" si="64"/>
        <v>1</v>
      </c>
      <c r="HB16" s="14">
        <f t="shared" si="65"/>
        <v>1</v>
      </c>
      <c r="HC16" s="14">
        <f t="shared" si="66"/>
        <v>0.3</v>
      </c>
      <c r="HD16" s="14">
        <f t="shared" si="67"/>
        <v>1606003</v>
      </c>
      <c r="HE16" s="14" t="str">
        <f t="shared" si="68"/>
        <v>神器1-1 : 10级</v>
      </c>
      <c r="HF16" s="14" t="s">
        <v>800</v>
      </c>
      <c r="HG16" s="14">
        <f t="shared" si="69"/>
        <v>10</v>
      </c>
      <c r="HH16" s="14" t="str">
        <f t="shared" si="70"/>
        <v>神器1-1</v>
      </c>
      <c r="HI16" s="14">
        <f t="shared" si="71"/>
        <v>5</v>
      </c>
      <c r="HJ16" s="14" t="s">
        <v>1595</v>
      </c>
      <c r="HK16" s="14">
        <f t="shared" si="72"/>
        <v>3600</v>
      </c>
    </row>
    <row r="17" spans="10:219" ht="16.5" x14ac:dyDescent="0.2">
      <c r="J17" s="87">
        <v>10</v>
      </c>
      <c r="K17" s="87">
        <v>5</v>
      </c>
      <c r="L17" s="87">
        <f>SUM(K$8:K17)</f>
        <v>23</v>
      </c>
      <c r="N17" s="90">
        <v>3</v>
      </c>
      <c r="O17" s="90">
        <v>2</v>
      </c>
      <c r="P17" s="90">
        <v>1</v>
      </c>
      <c r="Q17" s="90">
        <v>18</v>
      </c>
      <c r="R17" s="14">
        <f>SUM(Q$7:Q17)</f>
        <v>156</v>
      </c>
      <c r="S17" s="91">
        <v>1606012</v>
      </c>
      <c r="T17" s="14" t="str">
        <f t="shared" si="73"/>
        <v>神器3-2</v>
      </c>
      <c r="AF17" s="87">
        <v>11</v>
      </c>
      <c r="AG17" s="87">
        <v>3</v>
      </c>
      <c r="AH17" s="87">
        <v>3</v>
      </c>
      <c r="AI17" s="200">
        <v>1606013</v>
      </c>
      <c r="AJ17" s="87" t="str">
        <f t="shared" si="47"/>
        <v>神器3-3</v>
      </c>
      <c r="AK17" s="87">
        <v>2</v>
      </c>
      <c r="AL17" s="87">
        <f t="shared" si="48"/>
        <v>60</v>
      </c>
      <c r="AO17" s="87">
        <v>2</v>
      </c>
      <c r="AP17" s="87">
        <v>2</v>
      </c>
      <c r="AQ17" s="87">
        <v>6</v>
      </c>
      <c r="AR17" s="144">
        <f t="shared" si="49"/>
        <v>4406</v>
      </c>
      <c r="AS17" s="144" t="s">
        <v>1210</v>
      </c>
      <c r="AT17" s="144" t="str">
        <f t="shared" si="50"/>
        <v>神器本-2-困难-1  神器1-1</v>
      </c>
      <c r="AU17" s="87">
        <v>1</v>
      </c>
      <c r="AV17" s="87" t="s">
        <v>732</v>
      </c>
      <c r="AW17" s="32">
        <v>3800</v>
      </c>
      <c r="AX17" s="87">
        <v>1</v>
      </c>
      <c r="AY17" s="87">
        <v>1</v>
      </c>
      <c r="AZ17" s="87">
        <f t="shared" si="51"/>
        <v>1</v>
      </c>
      <c r="BA17" s="14">
        <f t="shared" si="52"/>
        <v>0.38</v>
      </c>
      <c r="BB17" s="14">
        <f t="shared" si="53"/>
        <v>3.8</v>
      </c>
      <c r="BE17" s="87">
        <v>5</v>
      </c>
      <c r="BF17" s="87">
        <v>2</v>
      </c>
      <c r="BG17" s="87">
        <f t="shared" si="0"/>
        <v>226.5</v>
      </c>
      <c r="BI17" s="203">
        <v>11</v>
      </c>
      <c r="BJ17" s="21">
        <f t="shared" si="54"/>
        <v>9.4E-2</v>
      </c>
      <c r="BL17" s="87">
        <v>11</v>
      </c>
      <c r="BM17" s="14">
        <f>INDEX(节奏总表!$CK$4:$CK$63,新神器!BL17)</f>
        <v>81</v>
      </c>
      <c r="BN17" s="14">
        <f t="shared" si="55"/>
        <v>2</v>
      </c>
      <c r="BO17" s="87">
        <v>3</v>
      </c>
      <c r="BP17" s="87">
        <v>5</v>
      </c>
      <c r="BQ17" s="14">
        <f t="shared" ref="BQ17:BZ26" si="75">SUMIFS($BA$7:$BA$301,$AO$7:$AO$301,"="&amp;$BN17,$AP$7:$AP$301,"="&amp;$BO17,$AU$7:$AU$301,"="&amp;BQ$2)*$BP17</f>
        <v>0</v>
      </c>
      <c r="BR17" s="14">
        <f t="shared" si="75"/>
        <v>0</v>
      </c>
      <c r="BS17" s="14">
        <f t="shared" si="75"/>
        <v>0</v>
      </c>
      <c r="BT17" s="14">
        <f t="shared" si="75"/>
        <v>0</v>
      </c>
      <c r="BU17" s="14">
        <f t="shared" si="75"/>
        <v>0</v>
      </c>
      <c r="BV17" s="14">
        <f t="shared" si="75"/>
        <v>0</v>
      </c>
      <c r="BW17" s="14">
        <f t="shared" si="75"/>
        <v>0</v>
      </c>
      <c r="BX17" s="14">
        <f t="shared" si="75"/>
        <v>0</v>
      </c>
      <c r="BY17" s="14">
        <f t="shared" si="75"/>
        <v>0</v>
      </c>
      <c r="BZ17" s="14">
        <f t="shared" si="75"/>
        <v>0</v>
      </c>
      <c r="CA17" s="14">
        <f t="shared" ref="CA17:CJ26" si="76">SUMIFS($BA$7:$BA$301,$AO$7:$AO$301,"="&amp;$BN17,$AP$7:$AP$301,"="&amp;$BO17,$AU$7:$AU$301,"="&amp;CA$2)*$BP17</f>
        <v>0</v>
      </c>
      <c r="CB17" s="14">
        <f t="shared" si="76"/>
        <v>0</v>
      </c>
      <c r="CC17" s="14">
        <f t="shared" si="76"/>
        <v>0</v>
      </c>
      <c r="CD17" s="14">
        <f t="shared" si="76"/>
        <v>0</v>
      </c>
      <c r="CE17" s="14">
        <f t="shared" si="76"/>
        <v>0</v>
      </c>
      <c r="CF17" s="14">
        <f t="shared" si="76"/>
        <v>0</v>
      </c>
      <c r="CG17" s="14">
        <f t="shared" si="76"/>
        <v>0</v>
      </c>
      <c r="CH17" s="14">
        <f t="shared" si="76"/>
        <v>0</v>
      </c>
      <c r="CI17" s="14">
        <f t="shared" si="76"/>
        <v>0</v>
      </c>
      <c r="CJ17" s="14">
        <f t="shared" si="76"/>
        <v>0</v>
      </c>
      <c r="CK17" s="14">
        <f t="shared" ref="CK17:CT26" si="77">SUMIFS($BA$7:$BA$301,$AO$7:$AO$301,"="&amp;$BN17,$AP$7:$AP$301,"="&amp;$BO17,$AU$7:$AU$301,"="&amp;CK$2)*$BP17</f>
        <v>0</v>
      </c>
      <c r="CL17" s="14">
        <f t="shared" si="77"/>
        <v>0</v>
      </c>
      <c r="CM17" s="14">
        <f t="shared" si="77"/>
        <v>0</v>
      </c>
      <c r="CN17" s="14">
        <f t="shared" si="77"/>
        <v>0</v>
      </c>
      <c r="CO17" s="14">
        <f t="shared" si="77"/>
        <v>0</v>
      </c>
      <c r="CP17" s="14">
        <f t="shared" si="77"/>
        <v>0</v>
      </c>
      <c r="CQ17" s="14">
        <f t="shared" si="77"/>
        <v>0</v>
      </c>
      <c r="CR17" s="14">
        <f t="shared" si="77"/>
        <v>0</v>
      </c>
      <c r="CS17" s="14">
        <f t="shared" si="77"/>
        <v>0</v>
      </c>
      <c r="CT17" s="14">
        <f t="shared" si="77"/>
        <v>0</v>
      </c>
      <c r="CU17" s="14">
        <f t="shared" ref="CU17:DF26" si="78">SUMIFS($BA$7:$BA$301,$AO$7:$AO$301,"="&amp;$BN17,$AP$7:$AP$301,"="&amp;$BO17,$AU$7:$AU$301,"="&amp;CU$2)*$BP17</f>
        <v>0</v>
      </c>
      <c r="CV17" s="14">
        <f t="shared" si="78"/>
        <v>0</v>
      </c>
      <c r="CW17" s="14">
        <f t="shared" si="78"/>
        <v>0</v>
      </c>
      <c r="CX17" s="14">
        <f t="shared" si="78"/>
        <v>0</v>
      </c>
      <c r="CY17" s="14">
        <f t="shared" si="78"/>
        <v>0</v>
      </c>
      <c r="CZ17" s="14">
        <f t="shared" si="78"/>
        <v>0</v>
      </c>
      <c r="DA17" s="14">
        <f t="shared" si="78"/>
        <v>0</v>
      </c>
      <c r="DB17" s="14">
        <f t="shared" si="78"/>
        <v>0</v>
      </c>
      <c r="DC17" s="14">
        <f t="shared" si="78"/>
        <v>0</v>
      </c>
      <c r="DD17" s="14">
        <f t="shared" si="78"/>
        <v>0</v>
      </c>
      <c r="DE17" s="14">
        <f t="shared" si="78"/>
        <v>0</v>
      </c>
      <c r="DF17" s="14">
        <f t="shared" si="78"/>
        <v>0</v>
      </c>
      <c r="DH17" s="14">
        <f>SUM(BQ$7:BQ17)</f>
        <v>24.499999999999993</v>
      </c>
      <c r="DI17" s="14">
        <f>SUM(BR$7:BR17)</f>
        <v>24.499999999999993</v>
      </c>
      <c r="DJ17" s="14">
        <f>SUM(BS$7:BS17)</f>
        <v>12.749999999999998</v>
      </c>
      <c r="DK17" s="14">
        <f>SUM(BT$7:BT17)</f>
        <v>25</v>
      </c>
      <c r="DL17" s="14">
        <f>SUM(BU$7:BU17)</f>
        <v>25</v>
      </c>
      <c r="DM17" s="14">
        <f>SUM(BV$7:BV17)</f>
        <v>13.125</v>
      </c>
      <c r="DN17" s="14">
        <f>SUM(BW$7:BW17)</f>
        <v>13.125</v>
      </c>
      <c r="DO17" s="14">
        <f>SUM(BX$7:BX17)</f>
        <v>6.25</v>
      </c>
      <c r="DP17" s="14">
        <f>SUM(BY$7:BY17)</f>
        <v>0</v>
      </c>
      <c r="DQ17" s="14">
        <f>SUM(BZ$7:BZ17)</f>
        <v>0</v>
      </c>
      <c r="DR17" s="14">
        <f>SUM(CA$7:CA17)</f>
        <v>0</v>
      </c>
      <c r="DS17" s="14">
        <f>SUM(CB$7:CB17)</f>
        <v>0</v>
      </c>
      <c r="DT17" s="14">
        <f>SUM(CC$7:CC17)</f>
        <v>0</v>
      </c>
      <c r="DU17" s="14">
        <f>SUM(CD$7:CD17)</f>
        <v>0</v>
      </c>
      <c r="DV17" s="14">
        <f>SUM(CE$7:CE17)</f>
        <v>0</v>
      </c>
      <c r="DW17" s="14">
        <f>SUM(CF$7:CF17)</f>
        <v>0</v>
      </c>
      <c r="DX17" s="14">
        <f>SUM(CG$7:CG17)</f>
        <v>0</v>
      </c>
      <c r="DY17" s="14">
        <f>SUM(CH$7:CH17)</f>
        <v>0</v>
      </c>
      <c r="DZ17" s="14">
        <f>SUM(CI$7:CI17)</f>
        <v>0</v>
      </c>
      <c r="EA17" s="14">
        <f>SUM(CJ$7:CJ17)</f>
        <v>0</v>
      </c>
      <c r="EB17" s="14">
        <f>SUM(CK$7:CK17)</f>
        <v>0</v>
      </c>
      <c r="EC17" s="14">
        <f>SUM(CL$7:CL17)</f>
        <v>0</v>
      </c>
      <c r="ED17" s="14">
        <f>SUM(CM$7:CM17)</f>
        <v>0</v>
      </c>
      <c r="EE17" s="14">
        <f>SUM(CN$7:CN17)</f>
        <v>0</v>
      </c>
      <c r="EF17" s="14">
        <f>SUM(CO$7:CO17)</f>
        <v>0</v>
      </c>
      <c r="EG17" s="14">
        <f>SUM(CP$7:CP17)</f>
        <v>0</v>
      </c>
      <c r="EH17" s="14">
        <f>SUM(CQ$7:CQ17)</f>
        <v>0</v>
      </c>
      <c r="EI17" s="14">
        <f>SUM(CR$7:CR17)</f>
        <v>0</v>
      </c>
      <c r="EJ17" s="14">
        <f>SUM(CS$7:CS17)</f>
        <v>0</v>
      </c>
      <c r="EK17" s="14">
        <f>SUM(CT$7:CT17)</f>
        <v>0</v>
      </c>
      <c r="EL17" s="14">
        <f>SUM(CU$7:CU17)</f>
        <v>0</v>
      </c>
      <c r="EM17" s="14">
        <f>SUM(CV$7:CV17)</f>
        <v>0</v>
      </c>
      <c r="EN17" s="14">
        <f>SUM(CW$7:CW17)</f>
        <v>0</v>
      </c>
      <c r="EO17" s="14">
        <f>SUM(CX$7:CX17)</f>
        <v>0</v>
      </c>
      <c r="EP17" s="14">
        <f>SUM(CY$7:CY17)</f>
        <v>0</v>
      </c>
      <c r="EQ17" s="14">
        <f>SUM(CZ$7:CZ17)</f>
        <v>0</v>
      </c>
      <c r="ER17" s="14">
        <f>SUM(DA$7:DA17)</f>
        <v>0</v>
      </c>
      <c r="ES17" s="14">
        <f>SUM(DB$7:DB17)</f>
        <v>0</v>
      </c>
      <c r="ET17" s="14">
        <f>SUM(DC$7:DC17)</f>
        <v>0</v>
      </c>
      <c r="EU17" s="14">
        <f>SUM(DD$7:DD17)</f>
        <v>0</v>
      </c>
      <c r="EV17" s="14">
        <f>SUM(DE$7:DE17)</f>
        <v>0</v>
      </c>
      <c r="EW17" s="14">
        <f>SUM(DF$7:DF17)</f>
        <v>0</v>
      </c>
      <c r="EZ17" s="14">
        <f t="shared" si="56"/>
        <v>7</v>
      </c>
      <c r="FA17" s="14">
        <f t="shared" si="5"/>
        <v>10</v>
      </c>
      <c r="FB17" s="14">
        <f t="shared" si="6"/>
        <v>10</v>
      </c>
      <c r="FC17" s="14">
        <f t="shared" si="7"/>
        <v>7</v>
      </c>
      <c r="FD17" s="14">
        <f t="shared" si="57"/>
        <v>4</v>
      </c>
      <c r="FE17" s="14">
        <f t="shared" si="8"/>
        <v>10</v>
      </c>
      <c r="FF17" s="14">
        <f t="shared" si="9"/>
        <v>10</v>
      </c>
      <c r="FG17" s="14">
        <f t="shared" si="10"/>
        <v>7</v>
      </c>
      <c r="FH17" s="14">
        <f t="shared" si="11"/>
        <v>7</v>
      </c>
      <c r="FI17" s="14">
        <f t="shared" si="12"/>
        <v>4</v>
      </c>
      <c r="FJ17" s="14">
        <f t="shared" si="58"/>
        <v>0</v>
      </c>
      <c r="FK17" s="14">
        <f t="shared" si="13"/>
        <v>0</v>
      </c>
      <c r="FL17" s="14">
        <f t="shared" si="14"/>
        <v>0</v>
      </c>
      <c r="FM17" s="14">
        <f t="shared" si="15"/>
        <v>0</v>
      </c>
      <c r="FN17" s="14">
        <f t="shared" si="16"/>
        <v>0</v>
      </c>
      <c r="FO17" s="14">
        <f t="shared" si="17"/>
        <v>0</v>
      </c>
      <c r="FP17" s="14">
        <f t="shared" si="18"/>
        <v>0</v>
      </c>
      <c r="FQ17" s="14">
        <f t="shared" si="59"/>
        <v>0</v>
      </c>
      <c r="FR17" s="14">
        <f t="shared" si="19"/>
        <v>0</v>
      </c>
      <c r="FS17" s="14">
        <f t="shared" si="20"/>
        <v>0</v>
      </c>
      <c r="FT17" s="14">
        <f t="shared" si="21"/>
        <v>0</v>
      </c>
      <c r="FU17" s="14">
        <f t="shared" si="22"/>
        <v>0</v>
      </c>
      <c r="FV17" s="14">
        <f t="shared" si="23"/>
        <v>0</v>
      </c>
      <c r="FW17" s="14">
        <f t="shared" si="24"/>
        <v>0</v>
      </c>
      <c r="FX17" s="14">
        <f t="shared" si="60"/>
        <v>0</v>
      </c>
      <c r="FY17" s="14">
        <f t="shared" si="25"/>
        <v>0</v>
      </c>
      <c r="FZ17" s="14">
        <f t="shared" si="26"/>
        <v>0</v>
      </c>
      <c r="GA17" s="14">
        <f t="shared" si="27"/>
        <v>0</v>
      </c>
      <c r="GB17" s="14">
        <f t="shared" si="28"/>
        <v>0</v>
      </c>
      <c r="GC17" s="14">
        <f t="shared" si="29"/>
        <v>0</v>
      </c>
      <c r="GD17" s="14">
        <f t="shared" si="30"/>
        <v>0</v>
      </c>
      <c r="GE17" s="14">
        <f t="shared" si="61"/>
        <v>0</v>
      </c>
      <c r="GF17" s="14">
        <f t="shared" si="31"/>
        <v>0</v>
      </c>
      <c r="GG17" s="14">
        <f t="shared" si="32"/>
        <v>0</v>
      </c>
      <c r="GH17" s="14">
        <f t="shared" si="33"/>
        <v>0</v>
      </c>
      <c r="GI17" s="14">
        <f t="shared" si="34"/>
        <v>0</v>
      </c>
      <c r="GJ17" s="14">
        <f t="shared" si="35"/>
        <v>0</v>
      </c>
      <c r="GK17" s="14">
        <f t="shared" si="36"/>
        <v>0</v>
      </c>
      <c r="GL17" s="14">
        <f t="shared" si="37"/>
        <v>0</v>
      </c>
      <c r="GM17" s="14">
        <f t="shared" si="38"/>
        <v>0</v>
      </c>
      <c r="GN17" s="14">
        <f t="shared" si="62"/>
        <v>0</v>
      </c>
      <c r="GO17" s="14">
        <f t="shared" si="39"/>
        <v>0</v>
      </c>
      <c r="GP17" s="14">
        <f t="shared" si="40"/>
        <v>0</v>
      </c>
      <c r="GQ17" s="14">
        <f t="shared" si="41"/>
        <v>0</v>
      </c>
      <c r="GR17" s="14">
        <f t="shared" si="42"/>
        <v>0</v>
      </c>
      <c r="GS17" s="14">
        <f t="shared" si="43"/>
        <v>0</v>
      </c>
      <c r="GT17" s="14">
        <f t="shared" si="44"/>
        <v>0</v>
      </c>
      <c r="GU17" s="14">
        <f t="shared" si="45"/>
        <v>0</v>
      </c>
      <c r="GV17" s="14">
        <f t="shared" si="46"/>
        <v>0</v>
      </c>
      <c r="GY17" s="91">
        <v>11</v>
      </c>
      <c r="GZ17" s="14">
        <f t="shared" si="63"/>
        <v>1</v>
      </c>
      <c r="HA17" s="14">
        <f t="shared" si="64"/>
        <v>1</v>
      </c>
      <c r="HB17" s="14">
        <f t="shared" si="65"/>
        <v>1</v>
      </c>
      <c r="HC17" s="14">
        <f t="shared" si="66"/>
        <v>0.307</v>
      </c>
      <c r="HD17" s="14">
        <f t="shared" si="67"/>
        <v>1606003</v>
      </c>
      <c r="HE17" s="14" t="str">
        <f t="shared" si="68"/>
        <v>神器1-1 : 11级</v>
      </c>
      <c r="HF17" s="14" t="s">
        <v>800</v>
      </c>
      <c r="HG17" s="14">
        <f t="shared" si="69"/>
        <v>11</v>
      </c>
      <c r="HH17" s="14" t="str">
        <f t="shared" si="70"/>
        <v>神器1-1</v>
      </c>
      <c r="HI17" s="14">
        <f t="shared" si="71"/>
        <v>5</v>
      </c>
      <c r="HJ17" s="14" t="s">
        <v>1595</v>
      </c>
      <c r="HK17" s="14">
        <f t="shared" si="72"/>
        <v>3700</v>
      </c>
    </row>
    <row r="18" spans="10:219" ht="16.5" x14ac:dyDescent="0.2">
      <c r="J18" s="87">
        <v>11</v>
      </c>
      <c r="K18" s="87">
        <v>5</v>
      </c>
      <c r="L18" s="87">
        <f>SUM(K$8:K18)</f>
        <v>28</v>
      </c>
      <c r="N18" s="90">
        <v>3</v>
      </c>
      <c r="O18" s="90">
        <v>3</v>
      </c>
      <c r="P18" s="90">
        <v>2</v>
      </c>
      <c r="Q18" s="90">
        <v>18</v>
      </c>
      <c r="R18" s="14">
        <f>SUM(Q$7:Q18)</f>
        <v>174</v>
      </c>
      <c r="S18" s="91">
        <v>1606013</v>
      </c>
      <c r="T18" s="14" t="str">
        <f t="shared" si="73"/>
        <v>神器3-3</v>
      </c>
      <c r="AF18" s="87">
        <v>12</v>
      </c>
      <c r="AG18" s="87">
        <v>3</v>
      </c>
      <c r="AH18" s="87">
        <v>4</v>
      </c>
      <c r="AI18" s="200">
        <v>1606014</v>
      </c>
      <c r="AJ18" s="87" t="str">
        <f t="shared" si="47"/>
        <v>神器3-4</v>
      </c>
      <c r="AK18" s="87">
        <v>2</v>
      </c>
      <c r="AL18" s="87">
        <f t="shared" si="48"/>
        <v>60</v>
      </c>
      <c r="AO18" s="87">
        <v>2</v>
      </c>
      <c r="AP18" s="87">
        <v>2</v>
      </c>
      <c r="AQ18" s="87">
        <v>6</v>
      </c>
      <c r="AR18" s="144">
        <f t="shared" si="49"/>
        <v>4406</v>
      </c>
      <c r="AS18" s="144" t="s">
        <v>1210</v>
      </c>
      <c r="AT18" s="144" t="str">
        <f t="shared" si="50"/>
        <v>神器本-2-困难-1  神器1-2</v>
      </c>
      <c r="AU18" s="87">
        <v>2</v>
      </c>
      <c r="AV18" s="87" t="s">
        <v>733</v>
      </c>
      <c r="AW18" s="32">
        <v>3800</v>
      </c>
      <c r="AX18" s="87">
        <v>1</v>
      </c>
      <c r="AY18" s="87">
        <v>1</v>
      </c>
      <c r="AZ18" s="87">
        <f t="shared" si="51"/>
        <v>1</v>
      </c>
      <c r="BA18" s="14">
        <f t="shared" si="52"/>
        <v>0.38</v>
      </c>
      <c r="BB18" s="14">
        <f t="shared" si="53"/>
        <v>3.8</v>
      </c>
      <c r="BE18" s="87">
        <v>5</v>
      </c>
      <c r="BF18" s="87">
        <v>3</v>
      </c>
      <c r="BG18" s="87">
        <f t="shared" si="0"/>
        <v>271.5</v>
      </c>
      <c r="BI18" s="203">
        <v>12</v>
      </c>
      <c r="BJ18" s="21">
        <f t="shared" si="54"/>
        <v>9.8000000000000004E-2</v>
      </c>
      <c r="BL18" s="87">
        <v>12</v>
      </c>
      <c r="BM18" s="14">
        <f>INDEX(节奏总表!$CK$4:$CK$63,新神器!BL18)</f>
        <v>84</v>
      </c>
      <c r="BN18" s="14">
        <f t="shared" si="55"/>
        <v>3</v>
      </c>
      <c r="BO18" s="87">
        <v>3</v>
      </c>
      <c r="BP18" s="87">
        <v>5</v>
      </c>
      <c r="BQ18" s="14">
        <f t="shared" si="75"/>
        <v>0.75</v>
      </c>
      <c r="BR18" s="14">
        <f t="shared" si="75"/>
        <v>0.75</v>
      </c>
      <c r="BS18" s="14">
        <f t="shared" si="75"/>
        <v>0.5</v>
      </c>
      <c r="BT18" s="14">
        <f t="shared" si="75"/>
        <v>0.75</v>
      </c>
      <c r="BU18" s="14">
        <f t="shared" si="75"/>
        <v>0.75</v>
      </c>
      <c r="BV18" s="14">
        <f t="shared" si="75"/>
        <v>0.5</v>
      </c>
      <c r="BW18" s="14">
        <f t="shared" si="75"/>
        <v>0.5</v>
      </c>
      <c r="BX18" s="14">
        <f t="shared" si="75"/>
        <v>0.5</v>
      </c>
      <c r="BY18" s="14">
        <f t="shared" si="75"/>
        <v>5</v>
      </c>
      <c r="BZ18" s="14">
        <f t="shared" si="75"/>
        <v>5</v>
      </c>
      <c r="CA18" s="14">
        <f t="shared" si="76"/>
        <v>2.625</v>
      </c>
      <c r="CB18" s="14">
        <f t="shared" si="76"/>
        <v>2.625</v>
      </c>
      <c r="CC18" s="14">
        <f t="shared" si="76"/>
        <v>1</v>
      </c>
      <c r="CD18" s="14">
        <f t="shared" si="76"/>
        <v>0.5</v>
      </c>
      <c r="CE18" s="14">
        <f t="shared" si="76"/>
        <v>0</v>
      </c>
      <c r="CF18" s="14">
        <f t="shared" si="76"/>
        <v>0</v>
      </c>
      <c r="CG18" s="14">
        <f t="shared" si="76"/>
        <v>0</v>
      </c>
      <c r="CH18" s="14">
        <f t="shared" si="76"/>
        <v>0</v>
      </c>
      <c r="CI18" s="14">
        <f t="shared" si="76"/>
        <v>0</v>
      </c>
      <c r="CJ18" s="14">
        <f t="shared" si="76"/>
        <v>0</v>
      </c>
      <c r="CK18" s="14">
        <f t="shared" si="77"/>
        <v>0</v>
      </c>
      <c r="CL18" s="14">
        <f t="shared" si="77"/>
        <v>0</v>
      </c>
      <c r="CM18" s="14">
        <f t="shared" si="77"/>
        <v>0</v>
      </c>
      <c r="CN18" s="14">
        <f t="shared" si="77"/>
        <v>0</v>
      </c>
      <c r="CO18" s="14">
        <f t="shared" si="77"/>
        <v>0</v>
      </c>
      <c r="CP18" s="14">
        <f t="shared" si="77"/>
        <v>0</v>
      </c>
      <c r="CQ18" s="14">
        <f t="shared" si="77"/>
        <v>0</v>
      </c>
      <c r="CR18" s="14">
        <f t="shared" si="77"/>
        <v>0</v>
      </c>
      <c r="CS18" s="14">
        <f t="shared" si="77"/>
        <v>0</v>
      </c>
      <c r="CT18" s="14">
        <f t="shared" si="77"/>
        <v>0</v>
      </c>
      <c r="CU18" s="14">
        <f t="shared" si="78"/>
        <v>0</v>
      </c>
      <c r="CV18" s="14">
        <f t="shared" si="78"/>
        <v>0</v>
      </c>
      <c r="CW18" s="14">
        <f t="shared" si="78"/>
        <v>0</v>
      </c>
      <c r="CX18" s="14">
        <f t="shared" si="78"/>
        <v>0</v>
      </c>
      <c r="CY18" s="14">
        <f t="shared" si="78"/>
        <v>0</v>
      </c>
      <c r="CZ18" s="14">
        <f t="shared" si="78"/>
        <v>0</v>
      </c>
      <c r="DA18" s="14">
        <f t="shared" si="78"/>
        <v>0</v>
      </c>
      <c r="DB18" s="14">
        <f t="shared" si="78"/>
        <v>0</v>
      </c>
      <c r="DC18" s="14">
        <f t="shared" si="78"/>
        <v>0</v>
      </c>
      <c r="DD18" s="14">
        <f t="shared" si="78"/>
        <v>0</v>
      </c>
      <c r="DE18" s="14">
        <f t="shared" si="78"/>
        <v>0</v>
      </c>
      <c r="DF18" s="14">
        <f t="shared" si="78"/>
        <v>0</v>
      </c>
      <c r="DH18" s="14">
        <f>SUM(BQ$7:BQ18)</f>
        <v>25.249999999999993</v>
      </c>
      <c r="DI18" s="14">
        <f>SUM(BR$7:BR18)</f>
        <v>25.249999999999993</v>
      </c>
      <c r="DJ18" s="14">
        <f>SUM(BS$7:BS18)</f>
        <v>13.249999999999998</v>
      </c>
      <c r="DK18" s="14">
        <f>SUM(BT$7:BT18)</f>
        <v>25.75</v>
      </c>
      <c r="DL18" s="14">
        <f>SUM(BU$7:BU18)</f>
        <v>25.75</v>
      </c>
      <c r="DM18" s="14">
        <f>SUM(BV$7:BV18)</f>
        <v>13.625</v>
      </c>
      <c r="DN18" s="14">
        <f>SUM(BW$7:BW18)</f>
        <v>13.625</v>
      </c>
      <c r="DO18" s="14">
        <f>SUM(BX$7:BX18)</f>
        <v>6.75</v>
      </c>
      <c r="DP18" s="14">
        <f>SUM(BY$7:BY18)</f>
        <v>5</v>
      </c>
      <c r="DQ18" s="14">
        <f>SUM(BZ$7:BZ18)</f>
        <v>5</v>
      </c>
      <c r="DR18" s="14">
        <f>SUM(CA$7:CA18)</f>
        <v>2.625</v>
      </c>
      <c r="DS18" s="14">
        <f>SUM(CB$7:CB18)</f>
        <v>2.625</v>
      </c>
      <c r="DT18" s="14">
        <f>SUM(CC$7:CC18)</f>
        <v>1</v>
      </c>
      <c r="DU18" s="14">
        <f>SUM(CD$7:CD18)</f>
        <v>0.5</v>
      </c>
      <c r="DV18" s="14">
        <f>SUM(CE$7:CE18)</f>
        <v>0</v>
      </c>
      <c r="DW18" s="14">
        <f>SUM(CF$7:CF18)</f>
        <v>0</v>
      </c>
      <c r="DX18" s="14">
        <f>SUM(CG$7:CG18)</f>
        <v>0</v>
      </c>
      <c r="DY18" s="14">
        <f>SUM(CH$7:CH18)</f>
        <v>0</v>
      </c>
      <c r="DZ18" s="14">
        <f>SUM(CI$7:CI18)</f>
        <v>0</v>
      </c>
      <c r="EA18" s="14">
        <f>SUM(CJ$7:CJ18)</f>
        <v>0</v>
      </c>
      <c r="EB18" s="14">
        <f>SUM(CK$7:CK18)</f>
        <v>0</v>
      </c>
      <c r="EC18" s="14">
        <f>SUM(CL$7:CL18)</f>
        <v>0</v>
      </c>
      <c r="ED18" s="14">
        <f>SUM(CM$7:CM18)</f>
        <v>0</v>
      </c>
      <c r="EE18" s="14">
        <f>SUM(CN$7:CN18)</f>
        <v>0</v>
      </c>
      <c r="EF18" s="14">
        <f>SUM(CO$7:CO18)</f>
        <v>0</v>
      </c>
      <c r="EG18" s="14">
        <f>SUM(CP$7:CP18)</f>
        <v>0</v>
      </c>
      <c r="EH18" s="14">
        <f>SUM(CQ$7:CQ18)</f>
        <v>0</v>
      </c>
      <c r="EI18" s="14">
        <f>SUM(CR$7:CR18)</f>
        <v>0</v>
      </c>
      <c r="EJ18" s="14">
        <f>SUM(CS$7:CS18)</f>
        <v>0</v>
      </c>
      <c r="EK18" s="14">
        <f>SUM(CT$7:CT18)</f>
        <v>0</v>
      </c>
      <c r="EL18" s="14">
        <f>SUM(CU$7:CU18)</f>
        <v>0</v>
      </c>
      <c r="EM18" s="14">
        <f>SUM(CV$7:CV18)</f>
        <v>0</v>
      </c>
      <c r="EN18" s="14">
        <f>SUM(CW$7:CW18)</f>
        <v>0</v>
      </c>
      <c r="EO18" s="14">
        <f>SUM(CX$7:CX18)</f>
        <v>0</v>
      </c>
      <c r="EP18" s="14">
        <f>SUM(CY$7:CY18)</f>
        <v>0</v>
      </c>
      <c r="EQ18" s="14">
        <f>SUM(CZ$7:CZ18)</f>
        <v>0</v>
      </c>
      <c r="ER18" s="14">
        <f>SUM(DA$7:DA18)</f>
        <v>0</v>
      </c>
      <c r="ES18" s="14">
        <f>SUM(DB$7:DB18)</f>
        <v>0</v>
      </c>
      <c r="ET18" s="14">
        <f>SUM(DC$7:DC18)</f>
        <v>0</v>
      </c>
      <c r="EU18" s="14">
        <f>SUM(DD$7:DD18)</f>
        <v>0</v>
      </c>
      <c r="EV18" s="14">
        <f>SUM(DE$7:DE18)</f>
        <v>0</v>
      </c>
      <c r="EW18" s="14">
        <f>SUM(DF$7:DF18)</f>
        <v>0</v>
      </c>
      <c r="EZ18" s="14">
        <f t="shared" si="56"/>
        <v>7</v>
      </c>
      <c r="FA18" s="14">
        <f t="shared" si="5"/>
        <v>10</v>
      </c>
      <c r="FB18" s="14">
        <f t="shared" si="6"/>
        <v>10</v>
      </c>
      <c r="FC18" s="14">
        <f t="shared" si="7"/>
        <v>7</v>
      </c>
      <c r="FD18" s="14">
        <f t="shared" si="57"/>
        <v>4</v>
      </c>
      <c r="FE18" s="14">
        <f t="shared" si="8"/>
        <v>10</v>
      </c>
      <c r="FF18" s="14">
        <f t="shared" si="9"/>
        <v>10</v>
      </c>
      <c r="FG18" s="14">
        <f t="shared" si="10"/>
        <v>7</v>
      </c>
      <c r="FH18" s="14">
        <f t="shared" si="11"/>
        <v>7</v>
      </c>
      <c r="FI18" s="14">
        <f t="shared" si="12"/>
        <v>4</v>
      </c>
      <c r="FJ18" s="14">
        <f t="shared" si="58"/>
        <v>0</v>
      </c>
      <c r="FK18" s="14">
        <f t="shared" si="13"/>
        <v>4</v>
      </c>
      <c r="FL18" s="14">
        <f t="shared" si="14"/>
        <v>4</v>
      </c>
      <c r="FM18" s="14">
        <f t="shared" si="15"/>
        <v>2</v>
      </c>
      <c r="FN18" s="14">
        <f t="shared" si="16"/>
        <v>2</v>
      </c>
      <c r="FO18" s="14">
        <f t="shared" si="17"/>
        <v>1</v>
      </c>
      <c r="FP18" s="14">
        <f t="shared" si="18"/>
        <v>0</v>
      </c>
      <c r="FQ18" s="14">
        <f t="shared" si="59"/>
        <v>0</v>
      </c>
      <c r="FR18" s="14">
        <f t="shared" si="19"/>
        <v>0</v>
      </c>
      <c r="FS18" s="14">
        <f t="shared" si="20"/>
        <v>0</v>
      </c>
      <c r="FT18" s="14">
        <f t="shared" si="21"/>
        <v>0</v>
      </c>
      <c r="FU18" s="14">
        <f t="shared" si="22"/>
        <v>0</v>
      </c>
      <c r="FV18" s="14">
        <f t="shared" si="23"/>
        <v>0</v>
      </c>
      <c r="FW18" s="14">
        <f t="shared" si="24"/>
        <v>0</v>
      </c>
      <c r="FX18" s="14">
        <f t="shared" si="60"/>
        <v>0</v>
      </c>
      <c r="FY18" s="14">
        <f t="shared" si="25"/>
        <v>0</v>
      </c>
      <c r="FZ18" s="14">
        <f t="shared" si="26"/>
        <v>0</v>
      </c>
      <c r="GA18" s="14">
        <f t="shared" si="27"/>
        <v>0</v>
      </c>
      <c r="GB18" s="14">
        <f t="shared" si="28"/>
        <v>0</v>
      </c>
      <c r="GC18" s="14">
        <f t="shared" si="29"/>
        <v>0</v>
      </c>
      <c r="GD18" s="14">
        <f t="shared" si="30"/>
        <v>0</v>
      </c>
      <c r="GE18" s="14">
        <f t="shared" si="61"/>
        <v>0</v>
      </c>
      <c r="GF18" s="14">
        <f t="shared" si="31"/>
        <v>0</v>
      </c>
      <c r="GG18" s="14">
        <f t="shared" si="32"/>
        <v>0</v>
      </c>
      <c r="GH18" s="14">
        <f t="shared" si="33"/>
        <v>0</v>
      </c>
      <c r="GI18" s="14">
        <f t="shared" si="34"/>
        <v>0</v>
      </c>
      <c r="GJ18" s="14">
        <f t="shared" si="35"/>
        <v>0</v>
      </c>
      <c r="GK18" s="14">
        <f t="shared" si="36"/>
        <v>0</v>
      </c>
      <c r="GL18" s="14">
        <f t="shared" si="37"/>
        <v>0</v>
      </c>
      <c r="GM18" s="14">
        <f t="shared" si="38"/>
        <v>0</v>
      </c>
      <c r="GN18" s="14">
        <f t="shared" si="62"/>
        <v>0</v>
      </c>
      <c r="GO18" s="14">
        <f t="shared" si="39"/>
        <v>0</v>
      </c>
      <c r="GP18" s="14">
        <f t="shared" si="40"/>
        <v>0</v>
      </c>
      <c r="GQ18" s="14">
        <f t="shared" si="41"/>
        <v>0</v>
      </c>
      <c r="GR18" s="14">
        <f t="shared" si="42"/>
        <v>0</v>
      </c>
      <c r="GS18" s="14">
        <f t="shared" si="43"/>
        <v>0</v>
      </c>
      <c r="GT18" s="14">
        <f t="shared" si="44"/>
        <v>0</v>
      </c>
      <c r="GU18" s="14">
        <f t="shared" si="45"/>
        <v>0</v>
      </c>
      <c r="GV18" s="14">
        <f t="shared" si="46"/>
        <v>0</v>
      </c>
      <c r="GY18" s="91">
        <v>12</v>
      </c>
      <c r="GZ18" s="14">
        <f t="shared" si="63"/>
        <v>1</v>
      </c>
      <c r="HA18" s="14">
        <f t="shared" si="64"/>
        <v>1</v>
      </c>
      <c r="HB18" s="14">
        <f t="shared" si="65"/>
        <v>1</v>
      </c>
      <c r="HC18" s="14">
        <f t="shared" si="66"/>
        <v>0.313</v>
      </c>
      <c r="HD18" s="14">
        <f t="shared" si="67"/>
        <v>1606003</v>
      </c>
      <c r="HE18" s="14" t="str">
        <f t="shared" si="68"/>
        <v>神器1-1 : 12级</v>
      </c>
      <c r="HF18" s="14" t="s">
        <v>800</v>
      </c>
      <c r="HG18" s="14">
        <f t="shared" si="69"/>
        <v>12</v>
      </c>
      <c r="HH18" s="14" t="str">
        <f t="shared" si="70"/>
        <v>神器1-1</v>
      </c>
      <c r="HI18" s="14">
        <f t="shared" si="71"/>
        <v>6</v>
      </c>
      <c r="HJ18" s="14" t="s">
        <v>1595</v>
      </c>
      <c r="HK18" s="14">
        <f t="shared" si="72"/>
        <v>3750</v>
      </c>
    </row>
    <row r="19" spans="10:219" ht="16.5" x14ac:dyDescent="0.2">
      <c r="J19" s="87">
        <v>12</v>
      </c>
      <c r="K19" s="87">
        <v>6</v>
      </c>
      <c r="L19" s="87">
        <f>SUM(K$8:K19)</f>
        <v>34</v>
      </c>
      <c r="N19" s="90">
        <v>3</v>
      </c>
      <c r="O19" s="90">
        <v>4</v>
      </c>
      <c r="P19" s="90">
        <v>2</v>
      </c>
      <c r="Q19" s="90">
        <v>18</v>
      </c>
      <c r="R19" s="14">
        <f>SUM(Q$7:Q19)</f>
        <v>192</v>
      </c>
      <c r="S19" s="91">
        <v>1606014</v>
      </c>
      <c r="T19" s="14" t="str">
        <f t="shared" si="73"/>
        <v>神器3-4</v>
      </c>
      <c r="AF19" s="87">
        <v>13</v>
      </c>
      <c r="AG19" s="87">
        <v>3</v>
      </c>
      <c r="AH19" s="87">
        <v>5</v>
      </c>
      <c r="AI19" s="200">
        <v>1606015</v>
      </c>
      <c r="AJ19" s="87" t="str">
        <f t="shared" si="47"/>
        <v>神器3-5</v>
      </c>
      <c r="AK19" s="87">
        <v>3</v>
      </c>
      <c r="AL19" s="87">
        <f t="shared" si="48"/>
        <v>140</v>
      </c>
      <c r="AO19" s="87">
        <v>2</v>
      </c>
      <c r="AP19" s="87">
        <v>2</v>
      </c>
      <c r="AQ19" s="87">
        <v>6</v>
      </c>
      <c r="AR19" s="144">
        <f t="shared" si="49"/>
        <v>4406</v>
      </c>
      <c r="AS19" s="144" t="s">
        <v>1210</v>
      </c>
      <c r="AT19" s="144" t="str">
        <f t="shared" si="50"/>
        <v>神器本-2-困难-1  神器1-3</v>
      </c>
      <c r="AU19" s="87">
        <v>3</v>
      </c>
      <c r="AV19" s="87" t="s">
        <v>734</v>
      </c>
      <c r="AW19" s="32">
        <v>2400</v>
      </c>
      <c r="AX19" s="87">
        <v>1</v>
      </c>
      <c r="AY19" s="87">
        <v>1</v>
      </c>
      <c r="AZ19" s="87">
        <f t="shared" si="51"/>
        <v>2</v>
      </c>
      <c r="BA19" s="14">
        <f t="shared" si="52"/>
        <v>0.24</v>
      </c>
      <c r="BB19" s="14">
        <f t="shared" si="53"/>
        <v>7.1999999999999993</v>
      </c>
      <c r="BE19" s="87">
        <v>6</v>
      </c>
      <c r="BF19" s="87">
        <v>1</v>
      </c>
      <c r="BG19" s="87">
        <f t="shared" si="0"/>
        <v>188.04000000000002</v>
      </c>
      <c r="BI19" s="203">
        <v>13</v>
      </c>
      <c r="BJ19" s="21">
        <f t="shared" si="54"/>
        <v>0.10200000000000001</v>
      </c>
      <c r="BL19" s="87">
        <v>13</v>
      </c>
      <c r="BM19" s="14">
        <f>INDEX(节奏总表!$CK$4:$CK$63,新神器!BL19)</f>
        <v>86</v>
      </c>
      <c r="BN19" s="14">
        <f t="shared" si="55"/>
        <v>3</v>
      </c>
      <c r="BO19" s="87">
        <v>3</v>
      </c>
      <c r="BP19" s="87">
        <v>5</v>
      </c>
      <c r="BQ19" s="14">
        <f t="shared" si="75"/>
        <v>0.75</v>
      </c>
      <c r="BR19" s="14">
        <f t="shared" si="75"/>
        <v>0.75</v>
      </c>
      <c r="BS19" s="14">
        <f t="shared" si="75"/>
        <v>0.5</v>
      </c>
      <c r="BT19" s="14">
        <f t="shared" si="75"/>
        <v>0.75</v>
      </c>
      <c r="BU19" s="14">
        <f t="shared" si="75"/>
        <v>0.75</v>
      </c>
      <c r="BV19" s="14">
        <f t="shared" si="75"/>
        <v>0.5</v>
      </c>
      <c r="BW19" s="14">
        <f t="shared" si="75"/>
        <v>0.5</v>
      </c>
      <c r="BX19" s="14">
        <f t="shared" si="75"/>
        <v>0.5</v>
      </c>
      <c r="BY19" s="14">
        <f t="shared" si="75"/>
        <v>5</v>
      </c>
      <c r="BZ19" s="14">
        <f t="shared" si="75"/>
        <v>5</v>
      </c>
      <c r="CA19" s="14">
        <f t="shared" si="76"/>
        <v>2.625</v>
      </c>
      <c r="CB19" s="14">
        <f t="shared" si="76"/>
        <v>2.625</v>
      </c>
      <c r="CC19" s="14">
        <f t="shared" si="76"/>
        <v>1</v>
      </c>
      <c r="CD19" s="14">
        <f t="shared" si="76"/>
        <v>0.5</v>
      </c>
      <c r="CE19" s="14">
        <f t="shared" si="76"/>
        <v>0</v>
      </c>
      <c r="CF19" s="14">
        <f t="shared" si="76"/>
        <v>0</v>
      </c>
      <c r="CG19" s="14">
        <f t="shared" si="76"/>
        <v>0</v>
      </c>
      <c r="CH19" s="14">
        <f t="shared" si="76"/>
        <v>0</v>
      </c>
      <c r="CI19" s="14">
        <f t="shared" si="76"/>
        <v>0</v>
      </c>
      <c r="CJ19" s="14">
        <f t="shared" si="76"/>
        <v>0</v>
      </c>
      <c r="CK19" s="14">
        <f t="shared" si="77"/>
        <v>0</v>
      </c>
      <c r="CL19" s="14">
        <f t="shared" si="77"/>
        <v>0</v>
      </c>
      <c r="CM19" s="14">
        <f t="shared" si="77"/>
        <v>0</v>
      </c>
      <c r="CN19" s="14">
        <f t="shared" si="77"/>
        <v>0</v>
      </c>
      <c r="CO19" s="14">
        <f t="shared" si="77"/>
        <v>0</v>
      </c>
      <c r="CP19" s="14">
        <f t="shared" si="77"/>
        <v>0</v>
      </c>
      <c r="CQ19" s="14">
        <f t="shared" si="77"/>
        <v>0</v>
      </c>
      <c r="CR19" s="14">
        <f t="shared" si="77"/>
        <v>0</v>
      </c>
      <c r="CS19" s="14">
        <f t="shared" si="77"/>
        <v>0</v>
      </c>
      <c r="CT19" s="14">
        <f t="shared" si="77"/>
        <v>0</v>
      </c>
      <c r="CU19" s="14">
        <f t="shared" si="78"/>
        <v>0</v>
      </c>
      <c r="CV19" s="14">
        <f t="shared" si="78"/>
        <v>0</v>
      </c>
      <c r="CW19" s="14">
        <f t="shared" si="78"/>
        <v>0</v>
      </c>
      <c r="CX19" s="14">
        <f t="shared" si="78"/>
        <v>0</v>
      </c>
      <c r="CY19" s="14">
        <f t="shared" si="78"/>
        <v>0</v>
      </c>
      <c r="CZ19" s="14">
        <f t="shared" si="78"/>
        <v>0</v>
      </c>
      <c r="DA19" s="14">
        <f t="shared" si="78"/>
        <v>0</v>
      </c>
      <c r="DB19" s="14">
        <f t="shared" si="78"/>
        <v>0</v>
      </c>
      <c r="DC19" s="14">
        <f t="shared" si="78"/>
        <v>0</v>
      </c>
      <c r="DD19" s="14">
        <f t="shared" si="78"/>
        <v>0</v>
      </c>
      <c r="DE19" s="14">
        <f t="shared" si="78"/>
        <v>0</v>
      </c>
      <c r="DF19" s="14">
        <f t="shared" si="78"/>
        <v>0</v>
      </c>
      <c r="DH19" s="14">
        <f>SUM(BQ$7:BQ19)</f>
        <v>25.999999999999993</v>
      </c>
      <c r="DI19" s="14">
        <f>SUM(BR$7:BR19)</f>
        <v>25.999999999999993</v>
      </c>
      <c r="DJ19" s="14">
        <f>SUM(BS$7:BS19)</f>
        <v>13.749999999999998</v>
      </c>
      <c r="DK19" s="14">
        <f>SUM(BT$7:BT19)</f>
        <v>26.5</v>
      </c>
      <c r="DL19" s="14">
        <f>SUM(BU$7:BU19)</f>
        <v>26.5</v>
      </c>
      <c r="DM19" s="14">
        <f>SUM(BV$7:BV19)</f>
        <v>14.125</v>
      </c>
      <c r="DN19" s="14">
        <f>SUM(BW$7:BW19)</f>
        <v>14.125</v>
      </c>
      <c r="DO19" s="14">
        <f>SUM(BX$7:BX19)</f>
        <v>7.25</v>
      </c>
      <c r="DP19" s="14">
        <f>SUM(BY$7:BY19)</f>
        <v>10</v>
      </c>
      <c r="DQ19" s="14">
        <f>SUM(BZ$7:BZ19)</f>
        <v>10</v>
      </c>
      <c r="DR19" s="14">
        <f>SUM(CA$7:CA19)</f>
        <v>5.25</v>
      </c>
      <c r="DS19" s="14">
        <f>SUM(CB$7:CB19)</f>
        <v>5.25</v>
      </c>
      <c r="DT19" s="14">
        <f>SUM(CC$7:CC19)</f>
        <v>2</v>
      </c>
      <c r="DU19" s="14">
        <f>SUM(CD$7:CD19)</f>
        <v>1</v>
      </c>
      <c r="DV19" s="14">
        <f>SUM(CE$7:CE19)</f>
        <v>0</v>
      </c>
      <c r="DW19" s="14">
        <f>SUM(CF$7:CF19)</f>
        <v>0</v>
      </c>
      <c r="DX19" s="14">
        <f>SUM(CG$7:CG19)</f>
        <v>0</v>
      </c>
      <c r="DY19" s="14">
        <f>SUM(CH$7:CH19)</f>
        <v>0</v>
      </c>
      <c r="DZ19" s="14">
        <f>SUM(CI$7:CI19)</f>
        <v>0</v>
      </c>
      <c r="EA19" s="14">
        <f>SUM(CJ$7:CJ19)</f>
        <v>0</v>
      </c>
      <c r="EB19" s="14">
        <f>SUM(CK$7:CK19)</f>
        <v>0</v>
      </c>
      <c r="EC19" s="14">
        <f>SUM(CL$7:CL19)</f>
        <v>0</v>
      </c>
      <c r="ED19" s="14">
        <f>SUM(CM$7:CM19)</f>
        <v>0</v>
      </c>
      <c r="EE19" s="14">
        <f>SUM(CN$7:CN19)</f>
        <v>0</v>
      </c>
      <c r="EF19" s="14">
        <f>SUM(CO$7:CO19)</f>
        <v>0</v>
      </c>
      <c r="EG19" s="14">
        <f>SUM(CP$7:CP19)</f>
        <v>0</v>
      </c>
      <c r="EH19" s="14">
        <f>SUM(CQ$7:CQ19)</f>
        <v>0</v>
      </c>
      <c r="EI19" s="14">
        <f>SUM(CR$7:CR19)</f>
        <v>0</v>
      </c>
      <c r="EJ19" s="14">
        <f>SUM(CS$7:CS19)</f>
        <v>0</v>
      </c>
      <c r="EK19" s="14">
        <f>SUM(CT$7:CT19)</f>
        <v>0</v>
      </c>
      <c r="EL19" s="14">
        <f>SUM(CU$7:CU19)</f>
        <v>0</v>
      </c>
      <c r="EM19" s="14">
        <f>SUM(CV$7:CV19)</f>
        <v>0</v>
      </c>
      <c r="EN19" s="14">
        <f>SUM(CW$7:CW19)</f>
        <v>0</v>
      </c>
      <c r="EO19" s="14">
        <f>SUM(CX$7:CX19)</f>
        <v>0</v>
      </c>
      <c r="EP19" s="14">
        <f>SUM(CY$7:CY19)</f>
        <v>0</v>
      </c>
      <c r="EQ19" s="14">
        <f>SUM(CZ$7:CZ19)</f>
        <v>0</v>
      </c>
      <c r="ER19" s="14">
        <f>SUM(DA$7:DA19)</f>
        <v>0</v>
      </c>
      <c r="ES19" s="14">
        <f>SUM(DB$7:DB19)</f>
        <v>0</v>
      </c>
      <c r="ET19" s="14">
        <f>SUM(DC$7:DC19)</f>
        <v>0</v>
      </c>
      <c r="EU19" s="14">
        <f>SUM(DD$7:DD19)</f>
        <v>0</v>
      </c>
      <c r="EV19" s="14">
        <f>SUM(DE$7:DE19)</f>
        <v>0</v>
      </c>
      <c r="EW19" s="14">
        <f>SUM(DF$7:DF19)</f>
        <v>0</v>
      </c>
      <c r="EZ19" s="14">
        <f t="shared" si="56"/>
        <v>7</v>
      </c>
      <c r="FA19" s="14">
        <f t="shared" si="5"/>
        <v>10</v>
      </c>
      <c r="FB19" s="14">
        <f t="shared" si="6"/>
        <v>10</v>
      </c>
      <c r="FC19" s="14">
        <f t="shared" si="7"/>
        <v>7</v>
      </c>
      <c r="FD19" s="14">
        <f t="shared" si="57"/>
        <v>5</v>
      </c>
      <c r="FE19" s="14">
        <f t="shared" si="8"/>
        <v>10</v>
      </c>
      <c r="FF19" s="14">
        <f t="shared" si="9"/>
        <v>10</v>
      </c>
      <c r="FG19" s="14">
        <f t="shared" si="10"/>
        <v>7</v>
      </c>
      <c r="FH19" s="14">
        <f t="shared" si="11"/>
        <v>7</v>
      </c>
      <c r="FI19" s="14">
        <f t="shared" si="12"/>
        <v>5</v>
      </c>
      <c r="FJ19" s="14">
        <f t="shared" si="58"/>
        <v>1</v>
      </c>
      <c r="FK19" s="14">
        <f t="shared" si="13"/>
        <v>6</v>
      </c>
      <c r="FL19" s="14">
        <f t="shared" si="14"/>
        <v>6</v>
      </c>
      <c r="FM19" s="14">
        <f t="shared" si="15"/>
        <v>4</v>
      </c>
      <c r="FN19" s="14">
        <f t="shared" si="16"/>
        <v>4</v>
      </c>
      <c r="FO19" s="14">
        <f t="shared" si="17"/>
        <v>2</v>
      </c>
      <c r="FP19" s="14">
        <f t="shared" si="18"/>
        <v>1</v>
      </c>
      <c r="FQ19" s="14">
        <f t="shared" si="59"/>
        <v>0</v>
      </c>
      <c r="FR19" s="14">
        <f t="shared" si="19"/>
        <v>0</v>
      </c>
      <c r="FS19" s="14">
        <f t="shared" si="20"/>
        <v>0</v>
      </c>
      <c r="FT19" s="14">
        <f t="shared" si="21"/>
        <v>0</v>
      </c>
      <c r="FU19" s="14">
        <f t="shared" si="22"/>
        <v>0</v>
      </c>
      <c r="FV19" s="14">
        <f t="shared" si="23"/>
        <v>0</v>
      </c>
      <c r="FW19" s="14">
        <f t="shared" si="24"/>
        <v>0</v>
      </c>
      <c r="FX19" s="14">
        <f t="shared" si="60"/>
        <v>0</v>
      </c>
      <c r="FY19" s="14">
        <f t="shared" si="25"/>
        <v>0</v>
      </c>
      <c r="FZ19" s="14">
        <f t="shared" si="26"/>
        <v>0</v>
      </c>
      <c r="GA19" s="14">
        <f t="shared" si="27"/>
        <v>0</v>
      </c>
      <c r="GB19" s="14">
        <f t="shared" si="28"/>
        <v>0</v>
      </c>
      <c r="GC19" s="14">
        <f t="shared" si="29"/>
        <v>0</v>
      </c>
      <c r="GD19" s="14">
        <f t="shared" si="30"/>
        <v>0</v>
      </c>
      <c r="GE19" s="14">
        <f t="shared" si="61"/>
        <v>0</v>
      </c>
      <c r="GF19" s="14">
        <f t="shared" si="31"/>
        <v>0</v>
      </c>
      <c r="GG19" s="14">
        <f t="shared" si="32"/>
        <v>0</v>
      </c>
      <c r="GH19" s="14">
        <f t="shared" si="33"/>
        <v>0</v>
      </c>
      <c r="GI19" s="14">
        <f t="shared" si="34"/>
        <v>0</v>
      </c>
      <c r="GJ19" s="14">
        <f t="shared" si="35"/>
        <v>0</v>
      </c>
      <c r="GK19" s="14">
        <f t="shared" si="36"/>
        <v>0</v>
      </c>
      <c r="GL19" s="14">
        <f t="shared" si="37"/>
        <v>0</v>
      </c>
      <c r="GM19" s="14">
        <f t="shared" si="38"/>
        <v>0</v>
      </c>
      <c r="GN19" s="14">
        <f t="shared" si="62"/>
        <v>0</v>
      </c>
      <c r="GO19" s="14">
        <f t="shared" si="39"/>
        <v>0</v>
      </c>
      <c r="GP19" s="14">
        <f t="shared" si="40"/>
        <v>0</v>
      </c>
      <c r="GQ19" s="14">
        <f t="shared" si="41"/>
        <v>0</v>
      </c>
      <c r="GR19" s="14">
        <f t="shared" si="42"/>
        <v>0</v>
      </c>
      <c r="GS19" s="14">
        <f t="shared" si="43"/>
        <v>0</v>
      </c>
      <c r="GT19" s="14">
        <f t="shared" si="44"/>
        <v>0</v>
      </c>
      <c r="GU19" s="14">
        <f t="shared" si="45"/>
        <v>0</v>
      </c>
      <c r="GV19" s="14">
        <f t="shared" si="46"/>
        <v>0</v>
      </c>
      <c r="GY19" s="91">
        <v>13</v>
      </c>
      <c r="GZ19" s="14">
        <f t="shared" si="63"/>
        <v>1</v>
      </c>
      <c r="HA19" s="14">
        <f t="shared" si="64"/>
        <v>1</v>
      </c>
      <c r="HB19" s="14">
        <f t="shared" si="65"/>
        <v>1</v>
      </c>
      <c r="HC19" s="14">
        <f t="shared" si="66"/>
        <v>0.31900000000000001</v>
      </c>
      <c r="HD19" s="14">
        <f t="shared" si="67"/>
        <v>1606003</v>
      </c>
      <c r="HE19" s="14" t="str">
        <f t="shared" si="68"/>
        <v>神器1-1 : 13级</v>
      </c>
      <c r="HF19" s="14" t="s">
        <v>800</v>
      </c>
      <c r="HG19" s="14">
        <f t="shared" si="69"/>
        <v>13</v>
      </c>
      <c r="HH19" s="14" t="str">
        <f t="shared" si="70"/>
        <v>神器1-1</v>
      </c>
      <c r="HI19" s="14">
        <f t="shared" si="71"/>
        <v>7</v>
      </c>
      <c r="HJ19" s="14" t="s">
        <v>1595</v>
      </c>
      <c r="HK19" s="14">
        <f t="shared" si="72"/>
        <v>3800</v>
      </c>
    </row>
    <row r="20" spans="10:219" ht="16.5" x14ac:dyDescent="0.2">
      <c r="J20" s="87">
        <v>13</v>
      </c>
      <c r="K20" s="87">
        <v>7</v>
      </c>
      <c r="L20" s="87">
        <f>SUM(K$8:K20)</f>
        <v>41</v>
      </c>
      <c r="N20" s="90">
        <v>3</v>
      </c>
      <c r="O20" s="90">
        <v>5</v>
      </c>
      <c r="P20" s="90">
        <v>3</v>
      </c>
      <c r="Q20" s="90">
        <v>18</v>
      </c>
      <c r="R20" s="14">
        <f>SUM(Q$7:Q20)</f>
        <v>210</v>
      </c>
      <c r="S20" s="91">
        <v>1606015</v>
      </c>
      <c r="T20" s="14" t="str">
        <f t="shared" si="73"/>
        <v>神器3-5</v>
      </c>
      <c r="AF20" s="87">
        <v>14</v>
      </c>
      <c r="AG20" s="87">
        <v>3</v>
      </c>
      <c r="AH20" s="87">
        <v>6</v>
      </c>
      <c r="AI20" s="200">
        <v>1606016</v>
      </c>
      <c r="AJ20" s="87" t="str">
        <f t="shared" si="47"/>
        <v>神器3-6</v>
      </c>
      <c r="AK20" s="87">
        <v>4</v>
      </c>
      <c r="AL20" s="87">
        <f t="shared" si="48"/>
        <v>300</v>
      </c>
      <c r="AO20" s="87">
        <v>2</v>
      </c>
      <c r="AP20" s="87">
        <v>2</v>
      </c>
      <c r="AQ20" s="87">
        <v>7</v>
      </c>
      <c r="AR20" s="144">
        <f t="shared" si="49"/>
        <v>4407</v>
      </c>
      <c r="AS20" s="144" t="s">
        <v>1211</v>
      </c>
      <c r="AT20" s="144" t="str">
        <f t="shared" si="50"/>
        <v>神器本-2-困难-2  神器2-1</v>
      </c>
      <c r="AU20" s="87">
        <v>4</v>
      </c>
      <c r="AV20" s="87" t="s">
        <v>747</v>
      </c>
      <c r="AW20" s="32">
        <v>5000</v>
      </c>
      <c r="AX20" s="87">
        <v>1</v>
      </c>
      <c r="AY20" s="87">
        <v>3</v>
      </c>
      <c r="AZ20" s="87">
        <f t="shared" si="51"/>
        <v>1</v>
      </c>
      <c r="BA20" s="14">
        <f t="shared" si="52"/>
        <v>1</v>
      </c>
      <c r="BB20" s="14">
        <f t="shared" si="53"/>
        <v>15</v>
      </c>
      <c r="BE20" s="87">
        <v>6</v>
      </c>
      <c r="BF20" s="87">
        <v>2</v>
      </c>
      <c r="BG20" s="87">
        <f t="shared" si="0"/>
        <v>272.04000000000002</v>
      </c>
      <c r="BI20" s="203">
        <v>14</v>
      </c>
      <c r="BJ20" s="21">
        <f t="shared" si="54"/>
        <v>0.10600000000000001</v>
      </c>
      <c r="BL20" s="87">
        <v>14</v>
      </c>
      <c r="BM20" s="14">
        <f>INDEX(节奏总表!$CK$4:$CK$63,新神器!BL20)</f>
        <v>89</v>
      </c>
      <c r="BN20" s="14">
        <f t="shared" si="55"/>
        <v>3</v>
      </c>
      <c r="BO20" s="87">
        <v>3</v>
      </c>
      <c r="BP20" s="87">
        <v>5</v>
      </c>
      <c r="BQ20" s="14">
        <f t="shared" si="75"/>
        <v>0.75</v>
      </c>
      <c r="BR20" s="14">
        <f t="shared" si="75"/>
        <v>0.75</v>
      </c>
      <c r="BS20" s="14">
        <f t="shared" si="75"/>
        <v>0.5</v>
      </c>
      <c r="BT20" s="14">
        <f t="shared" si="75"/>
        <v>0.75</v>
      </c>
      <c r="BU20" s="14">
        <f t="shared" si="75"/>
        <v>0.75</v>
      </c>
      <c r="BV20" s="14">
        <f t="shared" si="75"/>
        <v>0.5</v>
      </c>
      <c r="BW20" s="14">
        <f t="shared" si="75"/>
        <v>0.5</v>
      </c>
      <c r="BX20" s="14">
        <f t="shared" si="75"/>
        <v>0.5</v>
      </c>
      <c r="BY20" s="14">
        <f t="shared" si="75"/>
        <v>5</v>
      </c>
      <c r="BZ20" s="14">
        <f t="shared" si="75"/>
        <v>5</v>
      </c>
      <c r="CA20" s="14">
        <f t="shared" si="76"/>
        <v>2.625</v>
      </c>
      <c r="CB20" s="14">
        <f t="shared" si="76"/>
        <v>2.625</v>
      </c>
      <c r="CC20" s="14">
        <f t="shared" si="76"/>
        <v>1</v>
      </c>
      <c r="CD20" s="14">
        <f t="shared" si="76"/>
        <v>0.5</v>
      </c>
      <c r="CE20" s="14">
        <f t="shared" si="76"/>
        <v>0</v>
      </c>
      <c r="CF20" s="14">
        <f t="shared" si="76"/>
        <v>0</v>
      </c>
      <c r="CG20" s="14">
        <f t="shared" si="76"/>
        <v>0</v>
      </c>
      <c r="CH20" s="14">
        <f t="shared" si="76"/>
        <v>0</v>
      </c>
      <c r="CI20" s="14">
        <f t="shared" si="76"/>
        <v>0</v>
      </c>
      <c r="CJ20" s="14">
        <f t="shared" si="76"/>
        <v>0</v>
      </c>
      <c r="CK20" s="14">
        <f t="shared" si="77"/>
        <v>0</v>
      </c>
      <c r="CL20" s="14">
        <f t="shared" si="77"/>
        <v>0</v>
      </c>
      <c r="CM20" s="14">
        <f t="shared" si="77"/>
        <v>0</v>
      </c>
      <c r="CN20" s="14">
        <f t="shared" si="77"/>
        <v>0</v>
      </c>
      <c r="CO20" s="14">
        <f t="shared" si="77"/>
        <v>0</v>
      </c>
      <c r="CP20" s="14">
        <f t="shared" si="77"/>
        <v>0</v>
      </c>
      <c r="CQ20" s="14">
        <f t="shared" si="77"/>
        <v>0</v>
      </c>
      <c r="CR20" s="14">
        <f t="shared" si="77"/>
        <v>0</v>
      </c>
      <c r="CS20" s="14">
        <f t="shared" si="77"/>
        <v>0</v>
      </c>
      <c r="CT20" s="14">
        <f t="shared" si="77"/>
        <v>0</v>
      </c>
      <c r="CU20" s="14">
        <f t="shared" si="78"/>
        <v>0</v>
      </c>
      <c r="CV20" s="14">
        <f t="shared" si="78"/>
        <v>0</v>
      </c>
      <c r="CW20" s="14">
        <f t="shared" si="78"/>
        <v>0</v>
      </c>
      <c r="CX20" s="14">
        <f t="shared" si="78"/>
        <v>0</v>
      </c>
      <c r="CY20" s="14">
        <f t="shared" si="78"/>
        <v>0</v>
      </c>
      <c r="CZ20" s="14">
        <f t="shared" si="78"/>
        <v>0</v>
      </c>
      <c r="DA20" s="14">
        <f t="shared" si="78"/>
        <v>0</v>
      </c>
      <c r="DB20" s="14">
        <f t="shared" si="78"/>
        <v>0</v>
      </c>
      <c r="DC20" s="14">
        <f t="shared" si="78"/>
        <v>0</v>
      </c>
      <c r="DD20" s="14">
        <f t="shared" si="78"/>
        <v>0</v>
      </c>
      <c r="DE20" s="14">
        <f t="shared" si="78"/>
        <v>0</v>
      </c>
      <c r="DF20" s="14">
        <f t="shared" si="78"/>
        <v>0</v>
      </c>
      <c r="DH20" s="14">
        <f>SUM(BQ$7:BQ20)</f>
        <v>26.749999999999993</v>
      </c>
      <c r="DI20" s="14">
        <f>SUM(BR$7:BR20)</f>
        <v>26.749999999999993</v>
      </c>
      <c r="DJ20" s="14">
        <f>SUM(BS$7:BS20)</f>
        <v>14.249999999999998</v>
      </c>
      <c r="DK20" s="14">
        <f>SUM(BT$7:BT20)</f>
        <v>27.25</v>
      </c>
      <c r="DL20" s="14">
        <f>SUM(BU$7:BU20)</f>
        <v>27.25</v>
      </c>
      <c r="DM20" s="14">
        <f>SUM(BV$7:BV20)</f>
        <v>14.625</v>
      </c>
      <c r="DN20" s="14">
        <f>SUM(BW$7:BW20)</f>
        <v>14.625</v>
      </c>
      <c r="DO20" s="14">
        <f>SUM(BX$7:BX20)</f>
        <v>7.75</v>
      </c>
      <c r="DP20" s="14">
        <f>SUM(BY$7:BY20)</f>
        <v>15</v>
      </c>
      <c r="DQ20" s="14">
        <f>SUM(BZ$7:BZ20)</f>
        <v>15</v>
      </c>
      <c r="DR20" s="14">
        <f>SUM(CA$7:CA20)</f>
        <v>7.875</v>
      </c>
      <c r="DS20" s="14">
        <f>SUM(CB$7:CB20)</f>
        <v>7.875</v>
      </c>
      <c r="DT20" s="14">
        <f>SUM(CC$7:CC20)</f>
        <v>3</v>
      </c>
      <c r="DU20" s="14">
        <f>SUM(CD$7:CD20)</f>
        <v>1.5</v>
      </c>
      <c r="DV20" s="14">
        <f>SUM(CE$7:CE20)</f>
        <v>0</v>
      </c>
      <c r="DW20" s="14">
        <f>SUM(CF$7:CF20)</f>
        <v>0</v>
      </c>
      <c r="DX20" s="14">
        <f>SUM(CG$7:CG20)</f>
        <v>0</v>
      </c>
      <c r="DY20" s="14">
        <f>SUM(CH$7:CH20)</f>
        <v>0</v>
      </c>
      <c r="DZ20" s="14">
        <f>SUM(CI$7:CI20)</f>
        <v>0</v>
      </c>
      <c r="EA20" s="14">
        <f>SUM(CJ$7:CJ20)</f>
        <v>0</v>
      </c>
      <c r="EB20" s="14">
        <f>SUM(CK$7:CK20)</f>
        <v>0</v>
      </c>
      <c r="EC20" s="14">
        <f>SUM(CL$7:CL20)</f>
        <v>0</v>
      </c>
      <c r="ED20" s="14">
        <f>SUM(CM$7:CM20)</f>
        <v>0</v>
      </c>
      <c r="EE20" s="14">
        <f>SUM(CN$7:CN20)</f>
        <v>0</v>
      </c>
      <c r="EF20" s="14">
        <f>SUM(CO$7:CO20)</f>
        <v>0</v>
      </c>
      <c r="EG20" s="14">
        <f>SUM(CP$7:CP20)</f>
        <v>0</v>
      </c>
      <c r="EH20" s="14">
        <f>SUM(CQ$7:CQ20)</f>
        <v>0</v>
      </c>
      <c r="EI20" s="14">
        <f>SUM(CR$7:CR20)</f>
        <v>0</v>
      </c>
      <c r="EJ20" s="14">
        <f>SUM(CS$7:CS20)</f>
        <v>0</v>
      </c>
      <c r="EK20" s="14">
        <f>SUM(CT$7:CT20)</f>
        <v>0</v>
      </c>
      <c r="EL20" s="14">
        <f>SUM(CU$7:CU20)</f>
        <v>0</v>
      </c>
      <c r="EM20" s="14">
        <f>SUM(CV$7:CV20)</f>
        <v>0</v>
      </c>
      <c r="EN20" s="14">
        <f>SUM(CW$7:CW20)</f>
        <v>0</v>
      </c>
      <c r="EO20" s="14">
        <f>SUM(CX$7:CX20)</f>
        <v>0</v>
      </c>
      <c r="EP20" s="14">
        <f>SUM(CY$7:CY20)</f>
        <v>0</v>
      </c>
      <c r="EQ20" s="14">
        <f>SUM(CZ$7:CZ20)</f>
        <v>0</v>
      </c>
      <c r="ER20" s="14">
        <f>SUM(DA$7:DA20)</f>
        <v>0</v>
      </c>
      <c r="ES20" s="14">
        <f>SUM(DB$7:DB20)</f>
        <v>0</v>
      </c>
      <c r="ET20" s="14">
        <f>SUM(DC$7:DC20)</f>
        <v>0</v>
      </c>
      <c r="EU20" s="14">
        <f>SUM(DD$7:DD20)</f>
        <v>0</v>
      </c>
      <c r="EV20" s="14">
        <f>SUM(DE$7:DE20)</f>
        <v>0</v>
      </c>
      <c r="EW20" s="14">
        <f>SUM(DF$7:DF20)</f>
        <v>0</v>
      </c>
      <c r="EZ20" s="14">
        <f t="shared" si="56"/>
        <v>7</v>
      </c>
      <c r="FA20" s="14">
        <f t="shared" si="5"/>
        <v>10</v>
      </c>
      <c r="FB20" s="14">
        <f t="shared" si="6"/>
        <v>10</v>
      </c>
      <c r="FC20" s="14">
        <f t="shared" si="7"/>
        <v>7</v>
      </c>
      <c r="FD20" s="14">
        <f t="shared" si="57"/>
        <v>5</v>
      </c>
      <c r="FE20" s="14">
        <f t="shared" si="8"/>
        <v>10</v>
      </c>
      <c r="FF20" s="14">
        <f t="shared" si="9"/>
        <v>10</v>
      </c>
      <c r="FG20" s="14">
        <f t="shared" si="10"/>
        <v>7</v>
      </c>
      <c r="FH20" s="14">
        <f t="shared" si="11"/>
        <v>7</v>
      </c>
      <c r="FI20" s="14">
        <f t="shared" si="12"/>
        <v>5</v>
      </c>
      <c r="FJ20" s="14">
        <f t="shared" si="58"/>
        <v>1</v>
      </c>
      <c r="FK20" s="14">
        <f t="shared" si="13"/>
        <v>8</v>
      </c>
      <c r="FL20" s="14">
        <f t="shared" si="14"/>
        <v>8</v>
      </c>
      <c r="FM20" s="14">
        <f t="shared" si="15"/>
        <v>5</v>
      </c>
      <c r="FN20" s="14">
        <f t="shared" si="16"/>
        <v>5</v>
      </c>
      <c r="FO20" s="14">
        <f t="shared" si="17"/>
        <v>3</v>
      </c>
      <c r="FP20" s="14">
        <f t="shared" si="18"/>
        <v>1</v>
      </c>
      <c r="FQ20" s="14">
        <f t="shared" si="59"/>
        <v>0</v>
      </c>
      <c r="FR20" s="14">
        <f t="shared" si="19"/>
        <v>0</v>
      </c>
      <c r="FS20" s="14">
        <f t="shared" si="20"/>
        <v>0</v>
      </c>
      <c r="FT20" s="14">
        <f t="shared" si="21"/>
        <v>0</v>
      </c>
      <c r="FU20" s="14">
        <f t="shared" si="22"/>
        <v>0</v>
      </c>
      <c r="FV20" s="14">
        <f t="shared" si="23"/>
        <v>0</v>
      </c>
      <c r="FW20" s="14">
        <f t="shared" si="24"/>
        <v>0</v>
      </c>
      <c r="FX20" s="14">
        <f t="shared" si="60"/>
        <v>0</v>
      </c>
      <c r="FY20" s="14">
        <f t="shared" si="25"/>
        <v>0</v>
      </c>
      <c r="FZ20" s="14">
        <f t="shared" si="26"/>
        <v>0</v>
      </c>
      <c r="GA20" s="14">
        <f t="shared" si="27"/>
        <v>0</v>
      </c>
      <c r="GB20" s="14">
        <f t="shared" si="28"/>
        <v>0</v>
      </c>
      <c r="GC20" s="14">
        <f t="shared" si="29"/>
        <v>0</v>
      </c>
      <c r="GD20" s="14">
        <f t="shared" si="30"/>
        <v>0</v>
      </c>
      <c r="GE20" s="14">
        <f t="shared" si="61"/>
        <v>0</v>
      </c>
      <c r="GF20" s="14">
        <f t="shared" si="31"/>
        <v>0</v>
      </c>
      <c r="GG20" s="14">
        <f t="shared" si="32"/>
        <v>0</v>
      </c>
      <c r="GH20" s="14">
        <f t="shared" si="33"/>
        <v>0</v>
      </c>
      <c r="GI20" s="14">
        <f t="shared" si="34"/>
        <v>0</v>
      </c>
      <c r="GJ20" s="14">
        <f t="shared" si="35"/>
        <v>0</v>
      </c>
      <c r="GK20" s="14">
        <f t="shared" si="36"/>
        <v>0</v>
      </c>
      <c r="GL20" s="14">
        <f t="shared" si="37"/>
        <v>0</v>
      </c>
      <c r="GM20" s="14">
        <f t="shared" si="38"/>
        <v>0</v>
      </c>
      <c r="GN20" s="14">
        <f t="shared" si="62"/>
        <v>0</v>
      </c>
      <c r="GO20" s="14">
        <f t="shared" si="39"/>
        <v>0</v>
      </c>
      <c r="GP20" s="14">
        <f t="shared" si="40"/>
        <v>0</v>
      </c>
      <c r="GQ20" s="14">
        <f t="shared" si="41"/>
        <v>0</v>
      </c>
      <c r="GR20" s="14">
        <f t="shared" si="42"/>
        <v>0</v>
      </c>
      <c r="GS20" s="14">
        <f t="shared" si="43"/>
        <v>0</v>
      </c>
      <c r="GT20" s="14">
        <f t="shared" si="44"/>
        <v>0</v>
      </c>
      <c r="GU20" s="14">
        <f t="shared" si="45"/>
        <v>0</v>
      </c>
      <c r="GV20" s="14">
        <f t="shared" si="46"/>
        <v>0</v>
      </c>
      <c r="GY20" s="91">
        <v>14</v>
      </c>
      <c r="GZ20" s="14">
        <f t="shared" si="63"/>
        <v>1</v>
      </c>
      <c r="HA20" s="14">
        <f t="shared" si="64"/>
        <v>1</v>
      </c>
      <c r="HB20" s="14">
        <f t="shared" si="65"/>
        <v>1</v>
      </c>
      <c r="HC20" s="14">
        <f t="shared" si="66"/>
        <v>0.32600000000000001</v>
      </c>
      <c r="HD20" s="14">
        <f t="shared" si="67"/>
        <v>1606003</v>
      </c>
      <c r="HE20" s="14" t="str">
        <f t="shared" si="68"/>
        <v>神器1-1 : 14级</v>
      </c>
      <c r="HF20" s="14" t="s">
        <v>800</v>
      </c>
      <c r="HG20" s="14">
        <f t="shared" si="69"/>
        <v>14</v>
      </c>
      <c r="HH20" s="14" t="str">
        <f t="shared" si="70"/>
        <v>神器1-1</v>
      </c>
      <c r="HI20" s="14">
        <f t="shared" si="71"/>
        <v>7</v>
      </c>
      <c r="HJ20" s="14" t="s">
        <v>1595</v>
      </c>
      <c r="HK20" s="14">
        <f t="shared" si="72"/>
        <v>3900</v>
      </c>
    </row>
    <row r="21" spans="10:219" ht="16.5" x14ac:dyDescent="0.2">
      <c r="J21" s="87">
        <v>14</v>
      </c>
      <c r="K21" s="87">
        <v>7</v>
      </c>
      <c r="L21" s="87">
        <f>SUM(K$8:K21)</f>
        <v>48</v>
      </c>
      <c r="N21" s="90">
        <v>3</v>
      </c>
      <c r="O21" s="90">
        <v>6</v>
      </c>
      <c r="P21" s="90">
        <v>4</v>
      </c>
      <c r="Q21" s="90">
        <v>18</v>
      </c>
      <c r="R21" s="14">
        <f>SUM(Q$7:Q21)</f>
        <v>228</v>
      </c>
      <c r="S21" s="91">
        <v>1606016</v>
      </c>
      <c r="T21" s="14" t="str">
        <f t="shared" si="73"/>
        <v>神器3-6</v>
      </c>
      <c r="AF21" s="87">
        <v>15</v>
      </c>
      <c r="AG21" s="87">
        <v>4</v>
      </c>
      <c r="AH21" s="87">
        <v>1</v>
      </c>
      <c r="AI21" s="200">
        <v>1606017</v>
      </c>
      <c r="AJ21" s="87" t="str">
        <f t="shared" si="47"/>
        <v>神器4-1</v>
      </c>
      <c r="AK21" s="87">
        <v>1</v>
      </c>
      <c r="AL21" s="87">
        <f t="shared" si="48"/>
        <v>25</v>
      </c>
      <c r="AO21" s="87">
        <v>2</v>
      </c>
      <c r="AP21" s="87">
        <v>2</v>
      </c>
      <c r="AQ21" s="87">
        <v>7</v>
      </c>
      <c r="AR21" s="144">
        <f t="shared" si="49"/>
        <v>4407</v>
      </c>
      <c r="AS21" s="144" t="s">
        <v>1211</v>
      </c>
      <c r="AT21" s="144" t="str">
        <f t="shared" si="50"/>
        <v>神器本-2-困难-2  神器2-2</v>
      </c>
      <c r="AU21" s="87">
        <v>5</v>
      </c>
      <c r="AV21" s="87" t="s">
        <v>748</v>
      </c>
      <c r="AW21" s="32">
        <v>5000</v>
      </c>
      <c r="AX21" s="87">
        <v>1</v>
      </c>
      <c r="AY21" s="87">
        <v>3</v>
      </c>
      <c r="AZ21" s="87">
        <f t="shared" si="51"/>
        <v>1</v>
      </c>
      <c r="BA21" s="14">
        <f t="shared" si="52"/>
        <v>1</v>
      </c>
      <c r="BB21" s="14">
        <f t="shared" si="53"/>
        <v>15</v>
      </c>
      <c r="BE21" s="87">
        <v>6</v>
      </c>
      <c r="BF21" s="87">
        <v>3</v>
      </c>
      <c r="BG21" s="87">
        <f t="shared" si="0"/>
        <v>362.04</v>
      </c>
      <c r="BI21" s="203">
        <v>15</v>
      </c>
      <c r="BJ21" s="21">
        <f t="shared" si="54"/>
        <v>0.11</v>
      </c>
      <c r="BL21" s="87">
        <v>15</v>
      </c>
      <c r="BM21" s="14">
        <f>INDEX(节奏总表!$CK$4:$CK$63,新神器!BL21)</f>
        <v>91</v>
      </c>
      <c r="BN21" s="14">
        <f t="shared" si="55"/>
        <v>3</v>
      </c>
      <c r="BO21" s="87">
        <v>3</v>
      </c>
      <c r="BP21" s="87">
        <v>5</v>
      </c>
      <c r="BQ21" s="14">
        <f t="shared" si="75"/>
        <v>0.75</v>
      </c>
      <c r="BR21" s="14">
        <f t="shared" si="75"/>
        <v>0.75</v>
      </c>
      <c r="BS21" s="14">
        <f t="shared" si="75"/>
        <v>0.5</v>
      </c>
      <c r="BT21" s="14">
        <f t="shared" si="75"/>
        <v>0.75</v>
      </c>
      <c r="BU21" s="14">
        <f t="shared" si="75"/>
        <v>0.75</v>
      </c>
      <c r="BV21" s="14">
        <f t="shared" si="75"/>
        <v>0.5</v>
      </c>
      <c r="BW21" s="14">
        <f t="shared" si="75"/>
        <v>0.5</v>
      </c>
      <c r="BX21" s="14">
        <f t="shared" si="75"/>
        <v>0.5</v>
      </c>
      <c r="BY21" s="14">
        <f t="shared" si="75"/>
        <v>5</v>
      </c>
      <c r="BZ21" s="14">
        <f t="shared" si="75"/>
        <v>5</v>
      </c>
      <c r="CA21" s="14">
        <f t="shared" si="76"/>
        <v>2.625</v>
      </c>
      <c r="CB21" s="14">
        <f t="shared" si="76"/>
        <v>2.625</v>
      </c>
      <c r="CC21" s="14">
        <f t="shared" si="76"/>
        <v>1</v>
      </c>
      <c r="CD21" s="14">
        <f t="shared" si="76"/>
        <v>0.5</v>
      </c>
      <c r="CE21" s="14">
        <f t="shared" si="76"/>
        <v>0</v>
      </c>
      <c r="CF21" s="14">
        <f t="shared" si="76"/>
        <v>0</v>
      </c>
      <c r="CG21" s="14">
        <f t="shared" si="76"/>
        <v>0</v>
      </c>
      <c r="CH21" s="14">
        <f t="shared" si="76"/>
        <v>0</v>
      </c>
      <c r="CI21" s="14">
        <f t="shared" si="76"/>
        <v>0</v>
      </c>
      <c r="CJ21" s="14">
        <f t="shared" si="76"/>
        <v>0</v>
      </c>
      <c r="CK21" s="14">
        <f t="shared" si="77"/>
        <v>0</v>
      </c>
      <c r="CL21" s="14">
        <f t="shared" si="77"/>
        <v>0</v>
      </c>
      <c r="CM21" s="14">
        <f t="shared" si="77"/>
        <v>0</v>
      </c>
      <c r="CN21" s="14">
        <f t="shared" si="77"/>
        <v>0</v>
      </c>
      <c r="CO21" s="14">
        <f t="shared" si="77"/>
        <v>0</v>
      </c>
      <c r="CP21" s="14">
        <f t="shared" si="77"/>
        <v>0</v>
      </c>
      <c r="CQ21" s="14">
        <f t="shared" si="77"/>
        <v>0</v>
      </c>
      <c r="CR21" s="14">
        <f t="shared" si="77"/>
        <v>0</v>
      </c>
      <c r="CS21" s="14">
        <f t="shared" si="77"/>
        <v>0</v>
      </c>
      <c r="CT21" s="14">
        <f t="shared" si="77"/>
        <v>0</v>
      </c>
      <c r="CU21" s="14">
        <f t="shared" si="78"/>
        <v>0</v>
      </c>
      <c r="CV21" s="14">
        <f t="shared" si="78"/>
        <v>0</v>
      </c>
      <c r="CW21" s="14">
        <f t="shared" si="78"/>
        <v>0</v>
      </c>
      <c r="CX21" s="14">
        <f t="shared" si="78"/>
        <v>0</v>
      </c>
      <c r="CY21" s="14">
        <f t="shared" si="78"/>
        <v>0</v>
      </c>
      <c r="CZ21" s="14">
        <f t="shared" si="78"/>
        <v>0</v>
      </c>
      <c r="DA21" s="14">
        <f t="shared" si="78"/>
        <v>0</v>
      </c>
      <c r="DB21" s="14">
        <f t="shared" si="78"/>
        <v>0</v>
      </c>
      <c r="DC21" s="14">
        <f t="shared" si="78"/>
        <v>0</v>
      </c>
      <c r="DD21" s="14">
        <f t="shared" si="78"/>
        <v>0</v>
      </c>
      <c r="DE21" s="14">
        <f t="shared" si="78"/>
        <v>0</v>
      </c>
      <c r="DF21" s="14">
        <f t="shared" si="78"/>
        <v>0</v>
      </c>
      <c r="DH21" s="14">
        <f>SUM(BQ$7:BQ21)</f>
        <v>27.499999999999993</v>
      </c>
      <c r="DI21" s="14">
        <f>SUM(BR$7:BR21)</f>
        <v>27.499999999999993</v>
      </c>
      <c r="DJ21" s="14">
        <f>SUM(BS$7:BS21)</f>
        <v>14.749999999999998</v>
      </c>
      <c r="DK21" s="14">
        <f>SUM(BT$7:BT21)</f>
        <v>28</v>
      </c>
      <c r="DL21" s="14">
        <f>SUM(BU$7:BU21)</f>
        <v>28</v>
      </c>
      <c r="DM21" s="14">
        <f>SUM(BV$7:BV21)</f>
        <v>15.125</v>
      </c>
      <c r="DN21" s="14">
        <f>SUM(BW$7:BW21)</f>
        <v>15.125</v>
      </c>
      <c r="DO21" s="14">
        <f>SUM(BX$7:BX21)</f>
        <v>8.25</v>
      </c>
      <c r="DP21" s="14">
        <f>SUM(BY$7:BY21)</f>
        <v>20</v>
      </c>
      <c r="DQ21" s="14">
        <f>SUM(BZ$7:BZ21)</f>
        <v>20</v>
      </c>
      <c r="DR21" s="14">
        <f>SUM(CA$7:CA21)</f>
        <v>10.5</v>
      </c>
      <c r="DS21" s="14">
        <f>SUM(CB$7:CB21)</f>
        <v>10.5</v>
      </c>
      <c r="DT21" s="14">
        <f>SUM(CC$7:CC21)</f>
        <v>4</v>
      </c>
      <c r="DU21" s="14">
        <f>SUM(CD$7:CD21)</f>
        <v>2</v>
      </c>
      <c r="DV21" s="14">
        <f>SUM(CE$7:CE21)</f>
        <v>0</v>
      </c>
      <c r="DW21" s="14">
        <f>SUM(CF$7:CF21)</f>
        <v>0</v>
      </c>
      <c r="DX21" s="14">
        <f>SUM(CG$7:CG21)</f>
        <v>0</v>
      </c>
      <c r="DY21" s="14">
        <f>SUM(CH$7:CH21)</f>
        <v>0</v>
      </c>
      <c r="DZ21" s="14">
        <f>SUM(CI$7:CI21)</f>
        <v>0</v>
      </c>
      <c r="EA21" s="14">
        <f>SUM(CJ$7:CJ21)</f>
        <v>0</v>
      </c>
      <c r="EB21" s="14">
        <f>SUM(CK$7:CK21)</f>
        <v>0</v>
      </c>
      <c r="EC21" s="14">
        <f>SUM(CL$7:CL21)</f>
        <v>0</v>
      </c>
      <c r="ED21" s="14">
        <f>SUM(CM$7:CM21)</f>
        <v>0</v>
      </c>
      <c r="EE21" s="14">
        <f>SUM(CN$7:CN21)</f>
        <v>0</v>
      </c>
      <c r="EF21" s="14">
        <f>SUM(CO$7:CO21)</f>
        <v>0</v>
      </c>
      <c r="EG21" s="14">
        <f>SUM(CP$7:CP21)</f>
        <v>0</v>
      </c>
      <c r="EH21" s="14">
        <f>SUM(CQ$7:CQ21)</f>
        <v>0</v>
      </c>
      <c r="EI21" s="14">
        <f>SUM(CR$7:CR21)</f>
        <v>0</v>
      </c>
      <c r="EJ21" s="14">
        <f>SUM(CS$7:CS21)</f>
        <v>0</v>
      </c>
      <c r="EK21" s="14">
        <f>SUM(CT$7:CT21)</f>
        <v>0</v>
      </c>
      <c r="EL21" s="14">
        <f>SUM(CU$7:CU21)</f>
        <v>0</v>
      </c>
      <c r="EM21" s="14">
        <f>SUM(CV$7:CV21)</f>
        <v>0</v>
      </c>
      <c r="EN21" s="14">
        <f>SUM(CW$7:CW21)</f>
        <v>0</v>
      </c>
      <c r="EO21" s="14">
        <f>SUM(CX$7:CX21)</f>
        <v>0</v>
      </c>
      <c r="EP21" s="14">
        <f>SUM(CY$7:CY21)</f>
        <v>0</v>
      </c>
      <c r="EQ21" s="14">
        <f>SUM(CZ$7:CZ21)</f>
        <v>0</v>
      </c>
      <c r="ER21" s="14">
        <f>SUM(DA$7:DA21)</f>
        <v>0</v>
      </c>
      <c r="ES21" s="14">
        <f>SUM(DB$7:DB21)</f>
        <v>0</v>
      </c>
      <c r="ET21" s="14">
        <f>SUM(DC$7:DC21)</f>
        <v>0</v>
      </c>
      <c r="EU21" s="14">
        <f>SUM(DD$7:DD21)</f>
        <v>0</v>
      </c>
      <c r="EV21" s="14">
        <f>SUM(DE$7:DE21)</f>
        <v>0</v>
      </c>
      <c r="EW21" s="14">
        <f>SUM(DF$7:DF21)</f>
        <v>0</v>
      </c>
      <c r="EZ21" s="14">
        <f t="shared" si="56"/>
        <v>7</v>
      </c>
      <c r="FA21" s="14">
        <f t="shared" si="5"/>
        <v>10</v>
      </c>
      <c r="FB21" s="14">
        <f t="shared" si="6"/>
        <v>10</v>
      </c>
      <c r="FC21" s="14">
        <f t="shared" si="7"/>
        <v>7</v>
      </c>
      <c r="FD21" s="14">
        <f t="shared" si="57"/>
        <v>5</v>
      </c>
      <c r="FE21" s="14">
        <f t="shared" si="8"/>
        <v>11</v>
      </c>
      <c r="FF21" s="14">
        <f t="shared" si="9"/>
        <v>11</v>
      </c>
      <c r="FG21" s="14">
        <f t="shared" si="10"/>
        <v>8</v>
      </c>
      <c r="FH21" s="14">
        <f t="shared" si="11"/>
        <v>8</v>
      </c>
      <c r="FI21" s="14">
        <f t="shared" si="12"/>
        <v>5</v>
      </c>
      <c r="FJ21" s="14">
        <f t="shared" si="58"/>
        <v>2</v>
      </c>
      <c r="FK21" s="14">
        <f t="shared" si="13"/>
        <v>9</v>
      </c>
      <c r="FL21" s="14">
        <f t="shared" si="14"/>
        <v>9</v>
      </c>
      <c r="FM21" s="14">
        <f t="shared" si="15"/>
        <v>6</v>
      </c>
      <c r="FN21" s="14">
        <f t="shared" si="16"/>
        <v>6</v>
      </c>
      <c r="FO21" s="14">
        <f t="shared" si="17"/>
        <v>3</v>
      </c>
      <c r="FP21" s="14">
        <f t="shared" si="18"/>
        <v>2</v>
      </c>
      <c r="FQ21" s="14">
        <f t="shared" si="59"/>
        <v>0</v>
      </c>
      <c r="FR21" s="14">
        <f t="shared" si="19"/>
        <v>0</v>
      </c>
      <c r="FS21" s="14">
        <f t="shared" si="20"/>
        <v>0</v>
      </c>
      <c r="FT21" s="14">
        <f t="shared" si="21"/>
        <v>0</v>
      </c>
      <c r="FU21" s="14">
        <f t="shared" si="22"/>
        <v>0</v>
      </c>
      <c r="FV21" s="14">
        <f t="shared" si="23"/>
        <v>0</v>
      </c>
      <c r="FW21" s="14">
        <f t="shared" si="24"/>
        <v>0</v>
      </c>
      <c r="FX21" s="14">
        <f t="shared" si="60"/>
        <v>0</v>
      </c>
      <c r="FY21" s="14">
        <f t="shared" si="25"/>
        <v>0</v>
      </c>
      <c r="FZ21" s="14">
        <f t="shared" si="26"/>
        <v>0</v>
      </c>
      <c r="GA21" s="14">
        <f t="shared" si="27"/>
        <v>0</v>
      </c>
      <c r="GB21" s="14">
        <f t="shared" si="28"/>
        <v>0</v>
      </c>
      <c r="GC21" s="14">
        <f t="shared" si="29"/>
        <v>0</v>
      </c>
      <c r="GD21" s="14">
        <f t="shared" si="30"/>
        <v>0</v>
      </c>
      <c r="GE21" s="14">
        <f t="shared" si="61"/>
        <v>0</v>
      </c>
      <c r="GF21" s="14">
        <f t="shared" si="31"/>
        <v>0</v>
      </c>
      <c r="GG21" s="14">
        <f t="shared" si="32"/>
        <v>0</v>
      </c>
      <c r="GH21" s="14">
        <f t="shared" si="33"/>
        <v>0</v>
      </c>
      <c r="GI21" s="14">
        <f t="shared" si="34"/>
        <v>0</v>
      </c>
      <c r="GJ21" s="14">
        <f t="shared" si="35"/>
        <v>0</v>
      </c>
      <c r="GK21" s="14">
        <f t="shared" si="36"/>
        <v>0</v>
      </c>
      <c r="GL21" s="14">
        <f t="shared" si="37"/>
        <v>0</v>
      </c>
      <c r="GM21" s="14">
        <f t="shared" si="38"/>
        <v>0</v>
      </c>
      <c r="GN21" s="14">
        <f t="shared" si="62"/>
        <v>0</v>
      </c>
      <c r="GO21" s="14">
        <f t="shared" si="39"/>
        <v>0</v>
      </c>
      <c r="GP21" s="14">
        <f t="shared" si="40"/>
        <v>0</v>
      </c>
      <c r="GQ21" s="14">
        <f t="shared" si="41"/>
        <v>0</v>
      </c>
      <c r="GR21" s="14">
        <f t="shared" si="42"/>
        <v>0</v>
      </c>
      <c r="GS21" s="14">
        <f t="shared" si="43"/>
        <v>0</v>
      </c>
      <c r="GT21" s="14">
        <f t="shared" si="44"/>
        <v>0</v>
      </c>
      <c r="GU21" s="14">
        <f t="shared" si="45"/>
        <v>0</v>
      </c>
      <c r="GV21" s="14">
        <f t="shared" si="46"/>
        <v>0</v>
      </c>
      <c r="GY21" s="91">
        <v>15</v>
      </c>
      <c r="GZ21" s="14">
        <f t="shared" si="63"/>
        <v>1</v>
      </c>
      <c r="HA21" s="14">
        <f t="shared" si="64"/>
        <v>1</v>
      </c>
      <c r="HB21" s="14">
        <f t="shared" si="65"/>
        <v>1</v>
      </c>
      <c r="HC21" s="14">
        <f t="shared" si="66"/>
        <v>0.33200000000000002</v>
      </c>
      <c r="HD21" s="14">
        <f t="shared" si="67"/>
        <v>1606003</v>
      </c>
      <c r="HE21" s="14" t="str">
        <f t="shared" si="68"/>
        <v>神器1-1 : 15级</v>
      </c>
      <c r="HF21" s="14" t="s">
        <v>800</v>
      </c>
      <c r="HG21" s="14">
        <f t="shared" si="69"/>
        <v>15</v>
      </c>
      <c r="HH21" s="14" t="str">
        <f t="shared" si="70"/>
        <v>神器1-1</v>
      </c>
      <c r="HI21" s="14">
        <f t="shared" si="71"/>
        <v>7</v>
      </c>
      <c r="HJ21" s="14" t="s">
        <v>1595</v>
      </c>
      <c r="HK21" s="14">
        <f t="shared" si="72"/>
        <v>4000</v>
      </c>
    </row>
    <row r="22" spans="10:219" ht="16.5" x14ac:dyDescent="0.2">
      <c r="J22" s="87">
        <v>15</v>
      </c>
      <c r="K22" s="87">
        <v>7</v>
      </c>
      <c r="L22" s="87">
        <f>SUM(K$8:K22)</f>
        <v>55</v>
      </c>
      <c r="N22" s="90">
        <v>4</v>
      </c>
      <c r="O22" s="90">
        <v>1</v>
      </c>
      <c r="P22" s="90">
        <v>1</v>
      </c>
      <c r="Q22" s="90">
        <v>18</v>
      </c>
      <c r="R22" s="14">
        <f>SUM(Q$7:Q22)</f>
        <v>246</v>
      </c>
      <c r="S22" s="91">
        <v>1606017</v>
      </c>
      <c r="T22" s="14" t="str">
        <f t="shared" si="73"/>
        <v>神器4-1</v>
      </c>
      <c r="AF22" s="87">
        <v>16</v>
      </c>
      <c r="AG22" s="87">
        <v>4</v>
      </c>
      <c r="AH22" s="87">
        <v>2</v>
      </c>
      <c r="AI22" s="200">
        <v>1606018</v>
      </c>
      <c r="AJ22" s="87" t="str">
        <f t="shared" si="47"/>
        <v>神器4-2</v>
      </c>
      <c r="AK22" s="87">
        <v>1</v>
      </c>
      <c r="AL22" s="87">
        <f t="shared" si="48"/>
        <v>25</v>
      </c>
      <c r="AO22" s="87">
        <v>2</v>
      </c>
      <c r="AP22" s="87">
        <v>2</v>
      </c>
      <c r="AQ22" s="87">
        <v>8</v>
      </c>
      <c r="AR22" s="144">
        <f t="shared" si="49"/>
        <v>4408</v>
      </c>
      <c r="AS22" s="144" t="s">
        <v>1212</v>
      </c>
      <c r="AT22" s="144" t="str">
        <f t="shared" si="50"/>
        <v>神器本-2-困难-3  神器2-3</v>
      </c>
      <c r="AU22" s="87">
        <v>6</v>
      </c>
      <c r="AV22" s="87" t="s">
        <v>312</v>
      </c>
      <c r="AW22" s="32">
        <v>3500</v>
      </c>
      <c r="AX22" s="87">
        <v>1</v>
      </c>
      <c r="AY22" s="87">
        <v>2</v>
      </c>
      <c r="AZ22" s="87">
        <f t="shared" si="51"/>
        <v>2</v>
      </c>
      <c r="BA22" s="14">
        <f t="shared" si="52"/>
        <v>0.52500000000000002</v>
      </c>
      <c r="BB22" s="14">
        <f t="shared" si="53"/>
        <v>23.625</v>
      </c>
      <c r="BE22" s="87">
        <v>7</v>
      </c>
      <c r="BF22" s="87">
        <v>1</v>
      </c>
      <c r="BG22" s="87">
        <f t="shared" si="0"/>
        <v>232.29750000000001</v>
      </c>
      <c r="BI22" s="203">
        <v>16</v>
      </c>
      <c r="BJ22" s="21">
        <f t="shared" si="54"/>
        <v>0.114</v>
      </c>
      <c r="BL22" s="87">
        <v>16</v>
      </c>
      <c r="BM22" s="14">
        <f>INDEX(节奏总表!$CK$4:$CK$63,新神器!BL22)</f>
        <v>93</v>
      </c>
      <c r="BN22" s="14">
        <f t="shared" si="55"/>
        <v>4</v>
      </c>
      <c r="BO22" s="87">
        <v>3</v>
      </c>
      <c r="BP22" s="87">
        <v>5</v>
      </c>
      <c r="BQ22" s="14">
        <f t="shared" si="75"/>
        <v>0.75</v>
      </c>
      <c r="BR22" s="14">
        <f t="shared" si="75"/>
        <v>0.75</v>
      </c>
      <c r="BS22" s="14">
        <f t="shared" si="75"/>
        <v>0.5</v>
      </c>
      <c r="BT22" s="14">
        <f t="shared" si="75"/>
        <v>0.75</v>
      </c>
      <c r="BU22" s="14">
        <f t="shared" si="75"/>
        <v>0.75</v>
      </c>
      <c r="BV22" s="14">
        <f t="shared" si="75"/>
        <v>0.5</v>
      </c>
      <c r="BW22" s="14">
        <f t="shared" si="75"/>
        <v>0.5</v>
      </c>
      <c r="BX22" s="14">
        <f t="shared" si="75"/>
        <v>0.5</v>
      </c>
      <c r="BY22" s="14">
        <f t="shared" si="75"/>
        <v>0</v>
      </c>
      <c r="BZ22" s="14">
        <f t="shared" si="75"/>
        <v>0</v>
      </c>
      <c r="CA22" s="14">
        <f t="shared" si="76"/>
        <v>0</v>
      </c>
      <c r="CB22" s="14">
        <f t="shared" si="76"/>
        <v>0</v>
      </c>
      <c r="CC22" s="14">
        <f t="shared" si="76"/>
        <v>0</v>
      </c>
      <c r="CD22" s="14">
        <f t="shared" si="76"/>
        <v>0</v>
      </c>
      <c r="CE22" s="14">
        <f t="shared" si="76"/>
        <v>5</v>
      </c>
      <c r="CF22" s="14">
        <f t="shared" si="76"/>
        <v>5</v>
      </c>
      <c r="CG22" s="14">
        <f t="shared" si="76"/>
        <v>2.625</v>
      </c>
      <c r="CH22" s="14">
        <f t="shared" si="76"/>
        <v>2.625</v>
      </c>
      <c r="CI22" s="14">
        <f t="shared" si="76"/>
        <v>1</v>
      </c>
      <c r="CJ22" s="14">
        <f t="shared" si="76"/>
        <v>0.5</v>
      </c>
      <c r="CK22" s="14">
        <f t="shared" si="77"/>
        <v>0</v>
      </c>
      <c r="CL22" s="14">
        <f t="shared" si="77"/>
        <v>0</v>
      </c>
      <c r="CM22" s="14">
        <f t="shared" si="77"/>
        <v>0</v>
      </c>
      <c r="CN22" s="14">
        <f t="shared" si="77"/>
        <v>0</v>
      </c>
      <c r="CO22" s="14">
        <f t="shared" si="77"/>
        <v>0</v>
      </c>
      <c r="CP22" s="14">
        <f t="shared" si="77"/>
        <v>0</v>
      </c>
      <c r="CQ22" s="14">
        <f t="shared" si="77"/>
        <v>0</v>
      </c>
      <c r="CR22" s="14">
        <f t="shared" si="77"/>
        <v>0</v>
      </c>
      <c r="CS22" s="14">
        <f t="shared" si="77"/>
        <v>0</v>
      </c>
      <c r="CT22" s="14">
        <f t="shared" si="77"/>
        <v>0</v>
      </c>
      <c r="CU22" s="14">
        <f t="shared" si="78"/>
        <v>0</v>
      </c>
      <c r="CV22" s="14">
        <f t="shared" si="78"/>
        <v>0</v>
      </c>
      <c r="CW22" s="14">
        <f t="shared" si="78"/>
        <v>0</v>
      </c>
      <c r="CX22" s="14">
        <f t="shared" si="78"/>
        <v>0</v>
      </c>
      <c r="CY22" s="14">
        <f t="shared" si="78"/>
        <v>0</v>
      </c>
      <c r="CZ22" s="14">
        <f t="shared" si="78"/>
        <v>0</v>
      </c>
      <c r="DA22" s="14">
        <f t="shared" si="78"/>
        <v>0</v>
      </c>
      <c r="DB22" s="14">
        <f t="shared" si="78"/>
        <v>0</v>
      </c>
      <c r="DC22" s="14">
        <f t="shared" si="78"/>
        <v>0</v>
      </c>
      <c r="DD22" s="14">
        <f t="shared" si="78"/>
        <v>0</v>
      </c>
      <c r="DE22" s="14">
        <f t="shared" si="78"/>
        <v>0</v>
      </c>
      <c r="DF22" s="14">
        <f t="shared" si="78"/>
        <v>0</v>
      </c>
      <c r="DH22" s="14">
        <f>SUM(BQ$7:BQ22)</f>
        <v>28.249999999999993</v>
      </c>
      <c r="DI22" s="14">
        <f>SUM(BR$7:BR22)</f>
        <v>28.249999999999993</v>
      </c>
      <c r="DJ22" s="14">
        <f>SUM(BS$7:BS22)</f>
        <v>15.249999999999998</v>
      </c>
      <c r="DK22" s="14">
        <f>SUM(BT$7:BT22)</f>
        <v>28.75</v>
      </c>
      <c r="DL22" s="14">
        <f>SUM(BU$7:BU22)</f>
        <v>28.75</v>
      </c>
      <c r="DM22" s="14">
        <f>SUM(BV$7:BV22)</f>
        <v>15.625</v>
      </c>
      <c r="DN22" s="14">
        <f>SUM(BW$7:BW22)</f>
        <v>15.625</v>
      </c>
      <c r="DO22" s="14">
        <f>SUM(BX$7:BX22)</f>
        <v>8.75</v>
      </c>
      <c r="DP22" s="14">
        <f>SUM(BY$7:BY22)</f>
        <v>20</v>
      </c>
      <c r="DQ22" s="14">
        <f>SUM(BZ$7:BZ22)</f>
        <v>20</v>
      </c>
      <c r="DR22" s="14">
        <f>SUM(CA$7:CA22)</f>
        <v>10.5</v>
      </c>
      <c r="DS22" s="14">
        <f>SUM(CB$7:CB22)</f>
        <v>10.5</v>
      </c>
      <c r="DT22" s="14">
        <f>SUM(CC$7:CC22)</f>
        <v>4</v>
      </c>
      <c r="DU22" s="14">
        <f>SUM(CD$7:CD22)</f>
        <v>2</v>
      </c>
      <c r="DV22" s="14">
        <f>SUM(CE$7:CE22)</f>
        <v>5</v>
      </c>
      <c r="DW22" s="14">
        <f>SUM(CF$7:CF22)</f>
        <v>5</v>
      </c>
      <c r="DX22" s="14">
        <f>SUM(CG$7:CG22)</f>
        <v>2.625</v>
      </c>
      <c r="DY22" s="14">
        <f>SUM(CH$7:CH22)</f>
        <v>2.625</v>
      </c>
      <c r="DZ22" s="14">
        <f>SUM(CI$7:CI22)</f>
        <v>1</v>
      </c>
      <c r="EA22" s="14">
        <f>SUM(CJ$7:CJ22)</f>
        <v>0.5</v>
      </c>
      <c r="EB22" s="14">
        <f>SUM(CK$7:CK22)</f>
        <v>0</v>
      </c>
      <c r="EC22" s="14">
        <f>SUM(CL$7:CL22)</f>
        <v>0</v>
      </c>
      <c r="ED22" s="14">
        <f>SUM(CM$7:CM22)</f>
        <v>0</v>
      </c>
      <c r="EE22" s="14">
        <f>SUM(CN$7:CN22)</f>
        <v>0</v>
      </c>
      <c r="EF22" s="14">
        <f>SUM(CO$7:CO22)</f>
        <v>0</v>
      </c>
      <c r="EG22" s="14">
        <f>SUM(CP$7:CP22)</f>
        <v>0</v>
      </c>
      <c r="EH22" s="14">
        <f>SUM(CQ$7:CQ22)</f>
        <v>0</v>
      </c>
      <c r="EI22" s="14">
        <f>SUM(CR$7:CR22)</f>
        <v>0</v>
      </c>
      <c r="EJ22" s="14">
        <f>SUM(CS$7:CS22)</f>
        <v>0</v>
      </c>
      <c r="EK22" s="14">
        <f>SUM(CT$7:CT22)</f>
        <v>0</v>
      </c>
      <c r="EL22" s="14">
        <f>SUM(CU$7:CU22)</f>
        <v>0</v>
      </c>
      <c r="EM22" s="14">
        <f>SUM(CV$7:CV22)</f>
        <v>0</v>
      </c>
      <c r="EN22" s="14">
        <f>SUM(CW$7:CW22)</f>
        <v>0</v>
      </c>
      <c r="EO22" s="14">
        <f>SUM(CX$7:CX22)</f>
        <v>0</v>
      </c>
      <c r="EP22" s="14">
        <f>SUM(CY$7:CY22)</f>
        <v>0</v>
      </c>
      <c r="EQ22" s="14">
        <f>SUM(CZ$7:CZ22)</f>
        <v>0</v>
      </c>
      <c r="ER22" s="14">
        <f>SUM(DA$7:DA22)</f>
        <v>0</v>
      </c>
      <c r="ES22" s="14">
        <f>SUM(DB$7:DB22)</f>
        <v>0</v>
      </c>
      <c r="ET22" s="14">
        <f>SUM(DC$7:DC22)</f>
        <v>0</v>
      </c>
      <c r="EU22" s="14">
        <f>SUM(DD$7:DD22)</f>
        <v>0</v>
      </c>
      <c r="EV22" s="14">
        <f>SUM(DE$7:DE22)</f>
        <v>0</v>
      </c>
      <c r="EW22" s="14">
        <f>SUM(DF$7:DF22)</f>
        <v>0</v>
      </c>
      <c r="EZ22" s="14">
        <f t="shared" si="56"/>
        <v>8</v>
      </c>
      <c r="FA22" s="14">
        <f t="shared" si="5"/>
        <v>11</v>
      </c>
      <c r="FB22" s="14">
        <f t="shared" si="6"/>
        <v>11</v>
      </c>
      <c r="FC22" s="14">
        <f t="shared" si="7"/>
        <v>8</v>
      </c>
      <c r="FD22" s="14">
        <f t="shared" si="57"/>
        <v>5</v>
      </c>
      <c r="FE22" s="14">
        <f t="shared" si="8"/>
        <v>11</v>
      </c>
      <c r="FF22" s="14">
        <f t="shared" si="9"/>
        <v>11</v>
      </c>
      <c r="FG22" s="14">
        <f t="shared" si="10"/>
        <v>8</v>
      </c>
      <c r="FH22" s="14">
        <f t="shared" si="11"/>
        <v>8</v>
      </c>
      <c r="FI22" s="14">
        <f t="shared" si="12"/>
        <v>5</v>
      </c>
      <c r="FJ22" s="14">
        <f t="shared" si="58"/>
        <v>2</v>
      </c>
      <c r="FK22" s="14">
        <f t="shared" si="13"/>
        <v>9</v>
      </c>
      <c r="FL22" s="14">
        <f t="shared" si="14"/>
        <v>9</v>
      </c>
      <c r="FM22" s="14">
        <f t="shared" si="15"/>
        <v>6</v>
      </c>
      <c r="FN22" s="14">
        <f t="shared" si="16"/>
        <v>6</v>
      </c>
      <c r="FO22" s="14">
        <f t="shared" si="17"/>
        <v>3</v>
      </c>
      <c r="FP22" s="14">
        <f t="shared" si="18"/>
        <v>2</v>
      </c>
      <c r="FQ22" s="14">
        <f t="shared" si="59"/>
        <v>0</v>
      </c>
      <c r="FR22" s="14">
        <f t="shared" si="19"/>
        <v>4</v>
      </c>
      <c r="FS22" s="14">
        <f t="shared" si="20"/>
        <v>4</v>
      </c>
      <c r="FT22" s="14">
        <f t="shared" si="21"/>
        <v>2</v>
      </c>
      <c r="FU22" s="14">
        <f t="shared" si="22"/>
        <v>2</v>
      </c>
      <c r="FV22" s="14">
        <f t="shared" si="23"/>
        <v>1</v>
      </c>
      <c r="FW22" s="14">
        <f t="shared" si="24"/>
        <v>0</v>
      </c>
      <c r="FX22" s="14">
        <f t="shared" si="60"/>
        <v>0</v>
      </c>
      <c r="FY22" s="14">
        <f t="shared" si="25"/>
        <v>0</v>
      </c>
      <c r="FZ22" s="14">
        <f t="shared" si="26"/>
        <v>0</v>
      </c>
      <c r="GA22" s="14">
        <f t="shared" si="27"/>
        <v>0</v>
      </c>
      <c r="GB22" s="14">
        <f t="shared" si="28"/>
        <v>0</v>
      </c>
      <c r="GC22" s="14">
        <f t="shared" si="29"/>
        <v>0</v>
      </c>
      <c r="GD22" s="14">
        <f t="shared" si="30"/>
        <v>0</v>
      </c>
      <c r="GE22" s="14">
        <f t="shared" si="61"/>
        <v>0</v>
      </c>
      <c r="GF22" s="14">
        <f t="shared" si="31"/>
        <v>0</v>
      </c>
      <c r="GG22" s="14">
        <f t="shared" si="32"/>
        <v>0</v>
      </c>
      <c r="GH22" s="14">
        <f t="shared" si="33"/>
        <v>0</v>
      </c>
      <c r="GI22" s="14">
        <f t="shared" si="34"/>
        <v>0</v>
      </c>
      <c r="GJ22" s="14">
        <f t="shared" si="35"/>
        <v>0</v>
      </c>
      <c r="GK22" s="14">
        <f t="shared" si="36"/>
        <v>0</v>
      </c>
      <c r="GL22" s="14">
        <f t="shared" si="37"/>
        <v>0</v>
      </c>
      <c r="GM22" s="14">
        <f t="shared" si="38"/>
        <v>0</v>
      </c>
      <c r="GN22" s="14">
        <f t="shared" si="62"/>
        <v>0</v>
      </c>
      <c r="GO22" s="14">
        <f t="shared" si="39"/>
        <v>0</v>
      </c>
      <c r="GP22" s="14">
        <f t="shared" si="40"/>
        <v>0</v>
      </c>
      <c r="GQ22" s="14">
        <f t="shared" si="41"/>
        <v>0</v>
      </c>
      <c r="GR22" s="14">
        <f t="shared" si="42"/>
        <v>0</v>
      </c>
      <c r="GS22" s="14">
        <f t="shared" si="43"/>
        <v>0</v>
      </c>
      <c r="GT22" s="14">
        <f t="shared" si="44"/>
        <v>0</v>
      </c>
      <c r="GU22" s="14">
        <f t="shared" si="45"/>
        <v>0</v>
      </c>
      <c r="GV22" s="14">
        <f t="shared" si="46"/>
        <v>0</v>
      </c>
      <c r="GY22" s="91">
        <v>16</v>
      </c>
      <c r="GZ22" s="14">
        <f t="shared" si="63"/>
        <v>2</v>
      </c>
      <c r="HA22" s="14">
        <f t="shared" si="64"/>
        <v>1</v>
      </c>
      <c r="HB22" s="14">
        <f t="shared" si="65"/>
        <v>1</v>
      </c>
      <c r="HC22" s="14">
        <f t="shared" si="66"/>
        <v>0.23200000000000001</v>
      </c>
      <c r="HD22" s="14">
        <f t="shared" si="67"/>
        <v>1606004</v>
      </c>
      <c r="HE22" s="14" t="str">
        <f t="shared" si="68"/>
        <v>神器1-2 : 1级</v>
      </c>
      <c r="HF22" s="14" t="s">
        <v>800</v>
      </c>
      <c r="HG22" s="14">
        <f t="shared" si="69"/>
        <v>1</v>
      </c>
      <c r="HH22" s="14" t="str">
        <f t="shared" si="70"/>
        <v>神器1-2</v>
      </c>
      <c r="HI22" s="14">
        <f t="shared" si="71"/>
        <v>1</v>
      </c>
      <c r="HJ22" s="14" t="s">
        <v>1595</v>
      </c>
      <c r="HK22" s="14">
        <f t="shared" si="72"/>
        <v>2800</v>
      </c>
    </row>
    <row r="23" spans="10:219" ht="16.5" x14ac:dyDescent="0.2">
      <c r="J23" s="87">
        <v>16</v>
      </c>
      <c r="K23" s="87">
        <v>10</v>
      </c>
      <c r="L23" s="87">
        <f>SUM(K$8:K23)</f>
        <v>65</v>
      </c>
      <c r="N23" s="90">
        <v>4</v>
      </c>
      <c r="O23" s="90">
        <v>2</v>
      </c>
      <c r="P23" s="90">
        <v>1</v>
      </c>
      <c r="Q23" s="90">
        <v>18</v>
      </c>
      <c r="R23" s="14">
        <f>SUM(Q$7:Q23)</f>
        <v>264</v>
      </c>
      <c r="S23" s="91">
        <v>1606018</v>
      </c>
      <c r="T23" s="14" t="str">
        <f t="shared" si="73"/>
        <v>神器4-2</v>
      </c>
      <c r="AF23" s="87">
        <v>17</v>
      </c>
      <c r="AG23" s="87">
        <v>4</v>
      </c>
      <c r="AH23" s="87">
        <v>3</v>
      </c>
      <c r="AI23" s="200">
        <v>1606019</v>
      </c>
      <c r="AJ23" s="87" t="str">
        <f t="shared" si="47"/>
        <v>神器4-3</v>
      </c>
      <c r="AK23" s="87">
        <v>2</v>
      </c>
      <c r="AL23" s="87">
        <f t="shared" si="48"/>
        <v>75</v>
      </c>
      <c r="AO23" s="87">
        <v>2</v>
      </c>
      <c r="AP23" s="87">
        <v>2</v>
      </c>
      <c r="AQ23" s="87">
        <v>8</v>
      </c>
      <c r="AR23" s="144">
        <f t="shared" si="49"/>
        <v>4408</v>
      </c>
      <c r="AS23" s="144" t="s">
        <v>1212</v>
      </c>
      <c r="AT23" s="144" t="str">
        <f t="shared" si="50"/>
        <v>神器本-2-困难-3  神器2-4</v>
      </c>
      <c r="AU23" s="87">
        <v>7</v>
      </c>
      <c r="AV23" s="87" t="s">
        <v>313</v>
      </c>
      <c r="AW23" s="87">
        <v>3500</v>
      </c>
      <c r="AX23" s="87">
        <v>1</v>
      </c>
      <c r="AY23" s="87">
        <v>2</v>
      </c>
      <c r="AZ23" s="87">
        <f t="shared" si="51"/>
        <v>2</v>
      </c>
      <c r="BA23" s="14">
        <f t="shared" si="52"/>
        <v>0.52500000000000002</v>
      </c>
      <c r="BB23" s="14">
        <f t="shared" si="53"/>
        <v>23.625</v>
      </c>
      <c r="BE23" s="87">
        <v>7</v>
      </c>
      <c r="BF23" s="87">
        <v>2</v>
      </c>
      <c r="BG23" s="87">
        <f t="shared" si="0"/>
        <v>337.29750000000001</v>
      </c>
      <c r="BI23" s="203">
        <v>17</v>
      </c>
      <c r="BJ23" s="21">
        <f t="shared" si="54"/>
        <v>0.11800000000000001</v>
      </c>
      <c r="BL23" s="87">
        <v>17</v>
      </c>
      <c r="BM23" s="14">
        <f>INDEX(节奏总表!$CK$4:$CK$63,新神器!BL23)</f>
        <v>95</v>
      </c>
      <c r="BN23" s="14">
        <f t="shared" si="55"/>
        <v>4</v>
      </c>
      <c r="BO23" s="87">
        <v>3</v>
      </c>
      <c r="BP23" s="87">
        <v>5</v>
      </c>
      <c r="BQ23" s="14">
        <f t="shared" si="75"/>
        <v>0.75</v>
      </c>
      <c r="BR23" s="14">
        <f t="shared" si="75"/>
        <v>0.75</v>
      </c>
      <c r="BS23" s="14">
        <f t="shared" si="75"/>
        <v>0.5</v>
      </c>
      <c r="BT23" s="14">
        <f t="shared" si="75"/>
        <v>0.75</v>
      </c>
      <c r="BU23" s="14">
        <f t="shared" si="75"/>
        <v>0.75</v>
      </c>
      <c r="BV23" s="14">
        <f t="shared" si="75"/>
        <v>0.5</v>
      </c>
      <c r="BW23" s="14">
        <f t="shared" si="75"/>
        <v>0.5</v>
      </c>
      <c r="BX23" s="14">
        <f t="shared" si="75"/>
        <v>0.5</v>
      </c>
      <c r="BY23" s="14">
        <f t="shared" si="75"/>
        <v>0</v>
      </c>
      <c r="BZ23" s="14">
        <f t="shared" si="75"/>
        <v>0</v>
      </c>
      <c r="CA23" s="14">
        <f t="shared" si="76"/>
        <v>0</v>
      </c>
      <c r="CB23" s="14">
        <f t="shared" si="76"/>
        <v>0</v>
      </c>
      <c r="CC23" s="14">
        <f t="shared" si="76"/>
        <v>0</v>
      </c>
      <c r="CD23" s="14">
        <f t="shared" si="76"/>
        <v>0</v>
      </c>
      <c r="CE23" s="14">
        <f t="shared" si="76"/>
        <v>5</v>
      </c>
      <c r="CF23" s="14">
        <f t="shared" si="76"/>
        <v>5</v>
      </c>
      <c r="CG23" s="14">
        <f t="shared" si="76"/>
        <v>2.625</v>
      </c>
      <c r="CH23" s="14">
        <f t="shared" si="76"/>
        <v>2.625</v>
      </c>
      <c r="CI23" s="14">
        <f t="shared" si="76"/>
        <v>1</v>
      </c>
      <c r="CJ23" s="14">
        <f t="shared" si="76"/>
        <v>0.5</v>
      </c>
      <c r="CK23" s="14">
        <f t="shared" si="77"/>
        <v>0</v>
      </c>
      <c r="CL23" s="14">
        <f t="shared" si="77"/>
        <v>0</v>
      </c>
      <c r="CM23" s="14">
        <f t="shared" si="77"/>
        <v>0</v>
      </c>
      <c r="CN23" s="14">
        <f t="shared" si="77"/>
        <v>0</v>
      </c>
      <c r="CO23" s="14">
        <f t="shared" si="77"/>
        <v>0</v>
      </c>
      <c r="CP23" s="14">
        <f t="shared" si="77"/>
        <v>0</v>
      </c>
      <c r="CQ23" s="14">
        <f t="shared" si="77"/>
        <v>0</v>
      </c>
      <c r="CR23" s="14">
        <f t="shared" si="77"/>
        <v>0</v>
      </c>
      <c r="CS23" s="14">
        <f t="shared" si="77"/>
        <v>0</v>
      </c>
      <c r="CT23" s="14">
        <f t="shared" si="77"/>
        <v>0</v>
      </c>
      <c r="CU23" s="14">
        <f t="shared" si="78"/>
        <v>0</v>
      </c>
      <c r="CV23" s="14">
        <f t="shared" si="78"/>
        <v>0</v>
      </c>
      <c r="CW23" s="14">
        <f t="shared" si="78"/>
        <v>0</v>
      </c>
      <c r="CX23" s="14">
        <f t="shared" si="78"/>
        <v>0</v>
      </c>
      <c r="CY23" s="14">
        <f t="shared" si="78"/>
        <v>0</v>
      </c>
      <c r="CZ23" s="14">
        <f t="shared" si="78"/>
        <v>0</v>
      </c>
      <c r="DA23" s="14">
        <f t="shared" si="78"/>
        <v>0</v>
      </c>
      <c r="DB23" s="14">
        <f t="shared" si="78"/>
        <v>0</v>
      </c>
      <c r="DC23" s="14">
        <f t="shared" si="78"/>
        <v>0</v>
      </c>
      <c r="DD23" s="14">
        <f t="shared" si="78"/>
        <v>0</v>
      </c>
      <c r="DE23" s="14">
        <f t="shared" si="78"/>
        <v>0</v>
      </c>
      <c r="DF23" s="14">
        <f t="shared" si="78"/>
        <v>0</v>
      </c>
      <c r="DH23" s="14">
        <f>SUM(BQ$7:BQ23)</f>
        <v>28.999999999999993</v>
      </c>
      <c r="DI23" s="14">
        <f>SUM(BR$7:BR23)</f>
        <v>28.999999999999993</v>
      </c>
      <c r="DJ23" s="14">
        <f>SUM(BS$7:BS23)</f>
        <v>15.749999999999998</v>
      </c>
      <c r="DK23" s="14">
        <f>SUM(BT$7:BT23)</f>
        <v>29.5</v>
      </c>
      <c r="DL23" s="14">
        <f>SUM(BU$7:BU23)</f>
        <v>29.5</v>
      </c>
      <c r="DM23" s="14">
        <f>SUM(BV$7:BV23)</f>
        <v>16.125</v>
      </c>
      <c r="DN23" s="14">
        <f>SUM(BW$7:BW23)</f>
        <v>16.125</v>
      </c>
      <c r="DO23" s="14">
        <f>SUM(BX$7:BX23)</f>
        <v>9.25</v>
      </c>
      <c r="DP23" s="14">
        <f>SUM(BY$7:BY23)</f>
        <v>20</v>
      </c>
      <c r="DQ23" s="14">
        <f>SUM(BZ$7:BZ23)</f>
        <v>20</v>
      </c>
      <c r="DR23" s="14">
        <f>SUM(CA$7:CA23)</f>
        <v>10.5</v>
      </c>
      <c r="DS23" s="14">
        <f>SUM(CB$7:CB23)</f>
        <v>10.5</v>
      </c>
      <c r="DT23" s="14">
        <f>SUM(CC$7:CC23)</f>
        <v>4</v>
      </c>
      <c r="DU23" s="14">
        <f>SUM(CD$7:CD23)</f>
        <v>2</v>
      </c>
      <c r="DV23" s="14">
        <f>SUM(CE$7:CE23)</f>
        <v>10</v>
      </c>
      <c r="DW23" s="14">
        <f>SUM(CF$7:CF23)</f>
        <v>10</v>
      </c>
      <c r="DX23" s="14">
        <f>SUM(CG$7:CG23)</f>
        <v>5.25</v>
      </c>
      <c r="DY23" s="14">
        <f>SUM(CH$7:CH23)</f>
        <v>5.25</v>
      </c>
      <c r="DZ23" s="14">
        <f>SUM(CI$7:CI23)</f>
        <v>2</v>
      </c>
      <c r="EA23" s="14">
        <f>SUM(CJ$7:CJ23)</f>
        <v>1</v>
      </c>
      <c r="EB23" s="14">
        <f>SUM(CK$7:CK23)</f>
        <v>0</v>
      </c>
      <c r="EC23" s="14">
        <f>SUM(CL$7:CL23)</f>
        <v>0</v>
      </c>
      <c r="ED23" s="14">
        <f>SUM(CM$7:CM23)</f>
        <v>0</v>
      </c>
      <c r="EE23" s="14">
        <f>SUM(CN$7:CN23)</f>
        <v>0</v>
      </c>
      <c r="EF23" s="14">
        <f>SUM(CO$7:CO23)</f>
        <v>0</v>
      </c>
      <c r="EG23" s="14">
        <f>SUM(CP$7:CP23)</f>
        <v>0</v>
      </c>
      <c r="EH23" s="14">
        <f>SUM(CQ$7:CQ23)</f>
        <v>0</v>
      </c>
      <c r="EI23" s="14">
        <f>SUM(CR$7:CR23)</f>
        <v>0</v>
      </c>
      <c r="EJ23" s="14">
        <f>SUM(CS$7:CS23)</f>
        <v>0</v>
      </c>
      <c r="EK23" s="14">
        <f>SUM(CT$7:CT23)</f>
        <v>0</v>
      </c>
      <c r="EL23" s="14">
        <f>SUM(CU$7:CU23)</f>
        <v>0</v>
      </c>
      <c r="EM23" s="14">
        <f>SUM(CV$7:CV23)</f>
        <v>0</v>
      </c>
      <c r="EN23" s="14">
        <f>SUM(CW$7:CW23)</f>
        <v>0</v>
      </c>
      <c r="EO23" s="14">
        <f>SUM(CX$7:CX23)</f>
        <v>0</v>
      </c>
      <c r="EP23" s="14">
        <f>SUM(CY$7:CY23)</f>
        <v>0</v>
      </c>
      <c r="EQ23" s="14">
        <f>SUM(CZ$7:CZ23)</f>
        <v>0</v>
      </c>
      <c r="ER23" s="14">
        <f>SUM(DA$7:DA23)</f>
        <v>0</v>
      </c>
      <c r="ES23" s="14">
        <f>SUM(DB$7:DB23)</f>
        <v>0</v>
      </c>
      <c r="ET23" s="14">
        <f>SUM(DC$7:DC23)</f>
        <v>0</v>
      </c>
      <c r="EU23" s="14">
        <f>SUM(DD$7:DD23)</f>
        <v>0</v>
      </c>
      <c r="EV23" s="14">
        <f>SUM(DE$7:DE23)</f>
        <v>0</v>
      </c>
      <c r="EW23" s="14">
        <f>SUM(DF$7:DF23)</f>
        <v>0</v>
      </c>
      <c r="EZ23" s="14">
        <f t="shared" si="56"/>
        <v>8</v>
      </c>
      <c r="FA23" s="14">
        <f t="shared" si="5"/>
        <v>11</v>
      </c>
      <c r="FB23" s="14">
        <f t="shared" si="6"/>
        <v>11</v>
      </c>
      <c r="FC23" s="14">
        <f t="shared" si="7"/>
        <v>8</v>
      </c>
      <c r="FD23" s="14">
        <f t="shared" si="57"/>
        <v>6</v>
      </c>
      <c r="FE23" s="14">
        <f t="shared" si="8"/>
        <v>11</v>
      </c>
      <c r="FF23" s="14">
        <f t="shared" si="9"/>
        <v>11</v>
      </c>
      <c r="FG23" s="14">
        <f t="shared" si="10"/>
        <v>8</v>
      </c>
      <c r="FH23" s="14">
        <f t="shared" si="11"/>
        <v>8</v>
      </c>
      <c r="FI23" s="14">
        <f t="shared" si="12"/>
        <v>6</v>
      </c>
      <c r="FJ23" s="14">
        <f t="shared" si="58"/>
        <v>2</v>
      </c>
      <c r="FK23" s="14">
        <f t="shared" si="13"/>
        <v>9</v>
      </c>
      <c r="FL23" s="14">
        <f t="shared" si="14"/>
        <v>9</v>
      </c>
      <c r="FM23" s="14">
        <f t="shared" si="15"/>
        <v>6</v>
      </c>
      <c r="FN23" s="14">
        <f t="shared" si="16"/>
        <v>6</v>
      </c>
      <c r="FO23" s="14">
        <f t="shared" si="17"/>
        <v>3</v>
      </c>
      <c r="FP23" s="14">
        <f t="shared" si="18"/>
        <v>2</v>
      </c>
      <c r="FQ23" s="14">
        <f t="shared" si="59"/>
        <v>1</v>
      </c>
      <c r="FR23" s="14">
        <f t="shared" si="19"/>
        <v>6</v>
      </c>
      <c r="FS23" s="14">
        <f t="shared" si="20"/>
        <v>6</v>
      </c>
      <c r="FT23" s="14">
        <f t="shared" si="21"/>
        <v>4</v>
      </c>
      <c r="FU23" s="14">
        <f t="shared" si="22"/>
        <v>4</v>
      </c>
      <c r="FV23" s="14">
        <f t="shared" si="23"/>
        <v>2</v>
      </c>
      <c r="FW23" s="14">
        <f t="shared" si="24"/>
        <v>1</v>
      </c>
      <c r="FX23" s="14">
        <f t="shared" si="60"/>
        <v>0</v>
      </c>
      <c r="FY23" s="14">
        <f t="shared" si="25"/>
        <v>0</v>
      </c>
      <c r="FZ23" s="14">
        <f t="shared" si="26"/>
        <v>0</v>
      </c>
      <c r="GA23" s="14">
        <f t="shared" si="27"/>
        <v>0</v>
      </c>
      <c r="GB23" s="14">
        <f t="shared" si="28"/>
        <v>0</v>
      </c>
      <c r="GC23" s="14">
        <f t="shared" si="29"/>
        <v>0</v>
      </c>
      <c r="GD23" s="14">
        <f t="shared" si="30"/>
        <v>0</v>
      </c>
      <c r="GE23" s="14">
        <f t="shared" si="61"/>
        <v>0</v>
      </c>
      <c r="GF23" s="14">
        <f t="shared" si="31"/>
        <v>0</v>
      </c>
      <c r="GG23" s="14">
        <f t="shared" si="32"/>
        <v>0</v>
      </c>
      <c r="GH23" s="14">
        <f t="shared" si="33"/>
        <v>0</v>
      </c>
      <c r="GI23" s="14">
        <f t="shared" si="34"/>
        <v>0</v>
      </c>
      <c r="GJ23" s="14">
        <f t="shared" si="35"/>
        <v>0</v>
      </c>
      <c r="GK23" s="14">
        <f t="shared" si="36"/>
        <v>0</v>
      </c>
      <c r="GL23" s="14">
        <f t="shared" si="37"/>
        <v>0</v>
      </c>
      <c r="GM23" s="14">
        <f t="shared" si="38"/>
        <v>0</v>
      </c>
      <c r="GN23" s="14">
        <f t="shared" si="62"/>
        <v>0</v>
      </c>
      <c r="GO23" s="14">
        <f t="shared" si="39"/>
        <v>0</v>
      </c>
      <c r="GP23" s="14">
        <f t="shared" si="40"/>
        <v>0</v>
      </c>
      <c r="GQ23" s="14">
        <f t="shared" si="41"/>
        <v>0</v>
      </c>
      <c r="GR23" s="14">
        <f t="shared" si="42"/>
        <v>0</v>
      </c>
      <c r="GS23" s="14">
        <f t="shared" si="43"/>
        <v>0</v>
      </c>
      <c r="GT23" s="14">
        <f t="shared" si="44"/>
        <v>0</v>
      </c>
      <c r="GU23" s="14">
        <f t="shared" si="45"/>
        <v>0</v>
      </c>
      <c r="GV23" s="14">
        <f t="shared" si="46"/>
        <v>0</v>
      </c>
      <c r="GY23" s="91">
        <v>17</v>
      </c>
      <c r="GZ23" s="14">
        <f t="shared" si="63"/>
        <v>2</v>
      </c>
      <c r="HA23" s="14">
        <f t="shared" si="64"/>
        <v>1</v>
      </c>
      <c r="HB23" s="14">
        <f t="shared" si="65"/>
        <v>1</v>
      </c>
      <c r="HC23" s="14">
        <f t="shared" si="66"/>
        <v>0.24099999999999999</v>
      </c>
      <c r="HD23" s="14">
        <f t="shared" si="67"/>
        <v>1606004</v>
      </c>
      <c r="HE23" s="14" t="str">
        <f t="shared" si="68"/>
        <v>神器1-2 : 2级</v>
      </c>
      <c r="HF23" s="14" t="s">
        <v>800</v>
      </c>
      <c r="HG23" s="14">
        <f t="shared" si="69"/>
        <v>2</v>
      </c>
      <c r="HH23" s="14" t="str">
        <f t="shared" si="70"/>
        <v>神器1-2</v>
      </c>
      <c r="HI23" s="14">
        <f t="shared" si="71"/>
        <v>1</v>
      </c>
      <c r="HJ23" s="14" t="s">
        <v>1595</v>
      </c>
      <c r="HK23" s="14">
        <f t="shared" si="72"/>
        <v>2900</v>
      </c>
    </row>
    <row r="24" spans="10:219" ht="16.5" x14ac:dyDescent="0.2">
      <c r="J24" s="87">
        <v>17</v>
      </c>
      <c r="K24" s="87">
        <v>10</v>
      </c>
      <c r="L24" s="87">
        <f>SUM(K$8:K24)</f>
        <v>75</v>
      </c>
      <c r="N24" s="90">
        <v>4</v>
      </c>
      <c r="O24" s="90">
        <v>3</v>
      </c>
      <c r="P24" s="90">
        <v>2</v>
      </c>
      <c r="Q24" s="90">
        <v>18</v>
      </c>
      <c r="R24" s="14">
        <f>SUM(Q$7:Q24)</f>
        <v>282</v>
      </c>
      <c r="S24" s="91">
        <v>1606019</v>
      </c>
      <c r="T24" s="14" t="str">
        <f t="shared" si="73"/>
        <v>神器4-3</v>
      </c>
      <c r="AF24" s="87">
        <v>18</v>
      </c>
      <c r="AG24" s="87">
        <v>4</v>
      </c>
      <c r="AH24" s="87">
        <v>4</v>
      </c>
      <c r="AI24" s="200">
        <v>1606020</v>
      </c>
      <c r="AJ24" s="87" t="str">
        <f t="shared" si="47"/>
        <v>神器4-4</v>
      </c>
      <c r="AK24" s="87">
        <v>2</v>
      </c>
      <c r="AL24" s="87">
        <f t="shared" si="48"/>
        <v>75</v>
      </c>
      <c r="AO24" s="87">
        <v>2</v>
      </c>
      <c r="AP24" s="87">
        <v>2</v>
      </c>
      <c r="AQ24" s="87">
        <v>9</v>
      </c>
      <c r="AR24" s="144">
        <f t="shared" si="49"/>
        <v>4409</v>
      </c>
      <c r="AS24" s="144" t="s">
        <v>1213</v>
      </c>
      <c r="AT24" s="144" t="str">
        <f t="shared" si="50"/>
        <v>神器本-2-困难-4  神器2-5</v>
      </c>
      <c r="AU24" s="87">
        <v>8</v>
      </c>
      <c r="AV24" s="87" t="s">
        <v>314</v>
      </c>
      <c r="AW24" s="87">
        <v>2500</v>
      </c>
      <c r="AX24" s="87">
        <v>1</v>
      </c>
      <c r="AY24" s="87">
        <v>1</v>
      </c>
      <c r="AZ24" s="87">
        <f t="shared" si="51"/>
        <v>3</v>
      </c>
      <c r="BA24" s="14">
        <f t="shared" si="52"/>
        <v>0.25</v>
      </c>
      <c r="BB24" s="14">
        <f t="shared" si="53"/>
        <v>26.25</v>
      </c>
      <c r="BE24" s="87">
        <v>7</v>
      </c>
      <c r="BF24" s="87">
        <v>3</v>
      </c>
      <c r="BG24" s="87">
        <f t="shared" si="0"/>
        <v>449.79750000000001</v>
      </c>
      <c r="BI24" s="203">
        <v>18</v>
      </c>
      <c r="BJ24" s="21">
        <f t="shared" si="54"/>
        <v>0.12200000000000001</v>
      </c>
      <c r="BL24" s="87">
        <v>18</v>
      </c>
      <c r="BM24" s="14">
        <f>INDEX(节奏总表!$CK$4:$CK$63,新神器!BL24)</f>
        <v>97</v>
      </c>
      <c r="BN24" s="14">
        <f t="shared" si="55"/>
        <v>4</v>
      </c>
      <c r="BO24" s="87">
        <v>3</v>
      </c>
      <c r="BP24" s="87">
        <v>5</v>
      </c>
      <c r="BQ24" s="14">
        <f t="shared" si="75"/>
        <v>0.75</v>
      </c>
      <c r="BR24" s="14">
        <f t="shared" si="75"/>
        <v>0.75</v>
      </c>
      <c r="BS24" s="14">
        <f t="shared" si="75"/>
        <v>0.5</v>
      </c>
      <c r="BT24" s="14">
        <f t="shared" si="75"/>
        <v>0.75</v>
      </c>
      <c r="BU24" s="14">
        <f t="shared" si="75"/>
        <v>0.75</v>
      </c>
      <c r="BV24" s="14">
        <f t="shared" si="75"/>
        <v>0.5</v>
      </c>
      <c r="BW24" s="14">
        <f t="shared" si="75"/>
        <v>0.5</v>
      </c>
      <c r="BX24" s="14">
        <f t="shared" si="75"/>
        <v>0.5</v>
      </c>
      <c r="BY24" s="14">
        <f t="shared" si="75"/>
        <v>0</v>
      </c>
      <c r="BZ24" s="14">
        <f t="shared" si="75"/>
        <v>0</v>
      </c>
      <c r="CA24" s="14">
        <f t="shared" si="76"/>
        <v>0</v>
      </c>
      <c r="CB24" s="14">
        <f t="shared" si="76"/>
        <v>0</v>
      </c>
      <c r="CC24" s="14">
        <f t="shared" si="76"/>
        <v>0</v>
      </c>
      <c r="CD24" s="14">
        <f t="shared" si="76"/>
        <v>0</v>
      </c>
      <c r="CE24" s="14">
        <f t="shared" si="76"/>
        <v>5</v>
      </c>
      <c r="CF24" s="14">
        <f t="shared" si="76"/>
        <v>5</v>
      </c>
      <c r="CG24" s="14">
        <f t="shared" si="76"/>
        <v>2.625</v>
      </c>
      <c r="CH24" s="14">
        <f t="shared" si="76"/>
        <v>2.625</v>
      </c>
      <c r="CI24" s="14">
        <f t="shared" si="76"/>
        <v>1</v>
      </c>
      <c r="CJ24" s="14">
        <f t="shared" si="76"/>
        <v>0.5</v>
      </c>
      <c r="CK24" s="14">
        <f t="shared" si="77"/>
        <v>0</v>
      </c>
      <c r="CL24" s="14">
        <f t="shared" si="77"/>
        <v>0</v>
      </c>
      <c r="CM24" s="14">
        <f t="shared" si="77"/>
        <v>0</v>
      </c>
      <c r="CN24" s="14">
        <f t="shared" si="77"/>
        <v>0</v>
      </c>
      <c r="CO24" s="14">
        <f t="shared" si="77"/>
        <v>0</v>
      </c>
      <c r="CP24" s="14">
        <f t="shared" si="77"/>
        <v>0</v>
      </c>
      <c r="CQ24" s="14">
        <f t="shared" si="77"/>
        <v>0</v>
      </c>
      <c r="CR24" s="14">
        <f t="shared" si="77"/>
        <v>0</v>
      </c>
      <c r="CS24" s="14">
        <f t="shared" si="77"/>
        <v>0</v>
      </c>
      <c r="CT24" s="14">
        <f t="shared" si="77"/>
        <v>0</v>
      </c>
      <c r="CU24" s="14">
        <f t="shared" si="78"/>
        <v>0</v>
      </c>
      <c r="CV24" s="14">
        <f t="shared" si="78"/>
        <v>0</v>
      </c>
      <c r="CW24" s="14">
        <f t="shared" si="78"/>
        <v>0</v>
      </c>
      <c r="CX24" s="14">
        <f t="shared" si="78"/>
        <v>0</v>
      </c>
      <c r="CY24" s="14">
        <f t="shared" si="78"/>
        <v>0</v>
      </c>
      <c r="CZ24" s="14">
        <f t="shared" si="78"/>
        <v>0</v>
      </c>
      <c r="DA24" s="14">
        <f t="shared" si="78"/>
        <v>0</v>
      </c>
      <c r="DB24" s="14">
        <f t="shared" si="78"/>
        <v>0</v>
      </c>
      <c r="DC24" s="14">
        <f t="shared" si="78"/>
        <v>0</v>
      </c>
      <c r="DD24" s="14">
        <f t="shared" si="78"/>
        <v>0</v>
      </c>
      <c r="DE24" s="14">
        <f t="shared" si="78"/>
        <v>0</v>
      </c>
      <c r="DF24" s="14">
        <f t="shared" si="78"/>
        <v>0</v>
      </c>
      <c r="DH24" s="14">
        <f>SUM(BQ$7:BQ24)</f>
        <v>29.749999999999993</v>
      </c>
      <c r="DI24" s="14">
        <f>SUM(BR$7:BR24)</f>
        <v>29.749999999999993</v>
      </c>
      <c r="DJ24" s="14">
        <f>SUM(BS$7:BS24)</f>
        <v>16.25</v>
      </c>
      <c r="DK24" s="14">
        <f>SUM(BT$7:BT24)</f>
        <v>30.25</v>
      </c>
      <c r="DL24" s="14">
        <f>SUM(BU$7:BU24)</f>
        <v>30.25</v>
      </c>
      <c r="DM24" s="14">
        <f>SUM(BV$7:BV24)</f>
        <v>16.625</v>
      </c>
      <c r="DN24" s="14">
        <f>SUM(BW$7:BW24)</f>
        <v>16.625</v>
      </c>
      <c r="DO24" s="14">
        <f>SUM(BX$7:BX24)</f>
        <v>9.75</v>
      </c>
      <c r="DP24" s="14">
        <f>SUM(BY$7:BY24)</f>
        <v>20</v>
      </c>
      <c r="DQ24" s="14">
        <f>SUM(BZ$7:BZ24)</f>
        <v>20</v>
      </c>
      <c r="DR24" s="14">
        <f>SUM(CA$7:CA24)</f>
        <v>10.5</v>
      </c>
      <c r="DS24" s="14">
        <f>SUM(CB$7:CB24)</f>
        <v>10.5</v>
      </c>
      <c r="DT24" s="14">
        <f>SUM(CC$7:CC24)</f>
        <v>4</v>
      </c>
      <c r="DU24" s="14">
        <f>SUM(CD$7:CD24)</f>
        <v>2</v>
      </c>
      <c r="DV24" s="14">
        <f>SUM(CE$7:CE24)</f>
        <v>15</v>
      </c>
      <c r="DW24" s="14">
        <f>SUM(CF$7:CF24)</f>
        <v>15</v>
      </c>
      <c r="DX24" s="14">
        <f>SUM(CG$7:CG24)</f>
        <v>7.875</v>
      </c>
      <c r="DY24" s="14">
        <f>SUM(CH$7:CH24)</f>
        <v>7.875</v>
      </c>
      <c r="DZ24" s="14">
        <f>SUM(CI$7:CI24)</f>
        <v>3</v>
      </c>
      <c r="EA24" s="14">
        <f>SUM(CJ$7:CJ24)</f>
        <v>1.5</v>
      </c>
      <c r="EB24" s="14">
        <f>SUM(CK$7:CK24)</f>
        <v>0</v>
      </c>
      <c r="EC24" s="14">
        <f>SUM(CL$7:CL24)</f>
        <v>0</v>
      </c>
      <c r="ED24" s="14">
        <f>SUM(CM$7:CM24)</f>
        <v>0</v>
      </c>
      <c r="EE24" s="14">
        <f>SUM(CN$7:CN24)</f>
        <v>0</v>
      </c>
      <c r="EF24" s="14">
        <f>SUM(CO$7:CO24)</f>
        <v>0</v>
      </c>
      <c r="EG24" s="14">
        <f>SUM(CP$7:CP24)</f>
        <v>0</v>
      </c>
      <c r="EH24" s="14">
        <f>SUM(CQ$7:CQ24)</f>
        <v>0</v>
      </c>
      <c r="EI24" s="14">
        <f>SUM(CR$7:CR24)</f>
        <v>0</v>
      </c>
      <c r="EJ24" s="14">
        <f>SUM(CS$7:CS24)</f>
        <v>0</v>
      </c>
      <c r="EK24" s="14">
        <f>SUM(CT$7:CT24)</f>
        <v>0</v>
      </c>
      <c r="EL24" s="14">
        <f>SUM(CU$7:CU24)</f>
        <v>0</v>
      </c>
      <c r="EM24" s="14">
        <f>SUM(CV$7:CV24)</f>
        <v>0</v>
      </c>
      <c r="EN24" s="14">
        <f>SUM(CW$7:CW24)</f>
        <v>0</v>
      </c>
      <c r="EO24" s="14">
        <f>SUM(CX$7:CX24)</f>
        <v>0</v>
      </c>
      <c r="EP24" s="14">
        <f>SUM(CY$7:CY24)</f>
        <v>0</v>
      </c>
      <c r="EQ24" s="14">
        <f>SUM(CZ$7:CZ24)</f>
        <v>0</v>
      </c>
      <c r="ER24" s="14">
        <f>SUM(DA$7:DA24)</f>
        <v>0</v>
      </c>
      <c r="ES24" s="14">
        <f>SUM(DB$7:DB24)</f>
        <v>0</v>
      </c>
      <c r="ET24" s="14">
        <f>SUM(DC$7:DC24)</f>
        <v>0</v>
      </c>
      <c r="EU24" s="14">
        <f>SUM(DD$7:DD24)</f>
        <v>0</v>
      </c>
      <c r="EV24" s="14">
        <f>SUM(DE$7:DE24)</f>
        <v>0</v>
      </c>
      <c r="EW24" s="14">
        <f>SUM(DF$7:DF24)</f>
        <v>0</v>
      </c>
      <c r="EZ24" s="14">
        <f t="shared" si="56"/>
        <v>8</v>
      </c>
      <c r="FA24" s="14">
        <f t="shared" si="5"/>
        <v>11</v>
      </c>
      <c r="FB24" s="14">
        <f t="shared" si="6"/>
        <v>11</v>
      </c>
      <c r="FC24" s="14">
        <f t="shared" si="7"/>
        <v>8</v>
      </c>
      <c r="FD24" s="14">
        <f t="shared" si="57"/>
        <v>6</v>
      </c>
      <c r="FE24" s="14">
        <f t="shared" si="8"/>
        <v>11</v>
      </c>
      <c r="FF24" s="14">
        <f t="shared" si="9"/>
        <v>11</v>
      </c>
      <c r="FG24" s="14">
        <f t="shared" si="10"/>
        <v>8</v>
      </c>
      <c r="FH24" s="14">
        <f t="shared" si="11"/>
        <v>8</v>
      </c>
      <c r="FI24" s="14">
        <f t="shared" si="12"/>
        <v>6</v>
      </c>
      <c r="FJ24" s="14">
        <f t="shared" si="58"/>
        <v>2</v>
      </c>
      <c r="FK24" s="14">
        <f t="shared" si="13"/>
        <v>9</v>
      </c>
      <c r="FL24" s="14">
        <f t="shared" si="14"/>
        <v>9</v>
      </c>
      <c r="FM24" s="14">
        <f t="shared" si="15"/>
        <v>6</v>
      </c>
      <c r="FN24" s="14">
        <f t="shared" si="16"/>
        <v>6</v>
      </c>
      <c r="FO24" s="14">
        <f t="shared" si="17"/>
        <v>3</v>
      </c>
      <c r="FP24" s="14">
        <f t="shared" si="18"/>
        <v>2</v>
      </c>
      <c r="FQ24" s="14">
        <f t="shared" si="59"/>
        <v>1</v>
      </c>
      <c r="FR24" s="14">
        <f t="shared" si="19"/>
        <v>8</v>
      </c>
      <c r="FS24" s="14">
        <f t="shared" si="20"/>
        <v>8</v>
      </c>
      <c r="FT24" s="14">
        <f t="shared" si="21"/>
        <v>5</v>
      </c>
      <c r="FU24" s="14">
        <f t="shared" si="22"/>
        <v>5</v>
      </c>
      <c r="FV24" s="14">
        <f t="shared" si="23"/>
        <v>3</v>
      </c>
      <c r="FW24" s="14">
        <f t="shared" si="24"/>
        <v>1</v>
      </c>
      <c r="FX24" s="14">
        <f t="shared" si="60"/>
        <v>0</v>
      </c>
      <c r="FY24" s="14">
        <f t="shared" si="25"/>
        <v>0</v>
      </c>
      <c r="FZ24" s="14">
        <f t="shared" si="26"/>
        <v>0</v>
      </c>
      <c r="GA24" s="14">
        <f t="shared" si="27"/>
        <v>0</v>
      </c>
      <c r="GB24" s="14">
        <f t="shared" si="28"/>
        <v>0</v>
      </c>
      <c r="GC24" s="14">
        <f t="shared" si="29"/>
        <v>0</v>
      </c>
      <c r="GD24" s="14">
        <f t="shared" si="30"/>
        <v>0</v>
      </c>
      <c r="GE24" s="14">
        <f t="shared" si="61"/>
        <v>0</v>
      </c>
      <c r="GF24" s="14">
        <f t="shared" si="31"/>
        <v>0</v>
      </c>
      <c r="GG24" s="14">
        <f t="shared" si="32"/>
        <v>0</v>
      </c>
      <c r="GH24" s="14">
        <f t="shared" si="33"/>
        <v>0</v>
      </c>
      <c r="GI24" s="14">
        <f t="shared" si="34"/>
        <v>0</v>
      </c>
      <c r="GJ24" s="14">
        <f t="shared" si="35"/>
        <v>0</v>
      </c>
      <c r="GK24" s="14">
        <f t="shared" si="36"/>
        <v>0</v>
      </c>
      <c r="GL24" s="14">
        <f t="shared" si="37"/>
        <v>0</v>
      </c>
      <c r="GM24" s="14">
        <f t="shared" si="38"/>
        <v>0</v>
      </c>
      <c r="GN24" s="14">
        <f t="shared" si="62"/>
        <v>0</v>
      </c>
      <c r="GO24" s="14">
        <f t="shared" si="39"/>
        <v>0</v>
      </c>
      <c r="GP24" s="14">
        <f t="shared" si="40"/>
        <v>0</v>
      </c>
      <c r="GQ24" s="14">
        <f t="shared" si="41"/>
        <v>0</v>
      </c>
      <c r="GR24" s="14">
        <f t="shared" si="42"/>
        <v>0</v>
      </c>
      <c r="GS24" s="14">
        <f t="shared" si="43"/>
        <v>0</v>
      </c>
      <c r="GT24" s="14">
        <f t="shared" si="44"/>
        <v>0</v>
      </c>
      <c r="GU24" s="14">
        <f t="shared" si="45"/>
        <v>0</v>
      </c>
      <c r="GV24" s="14">
        <f t="shared" si="46"/>
        <v>0</v>
      </c>
      <c r="GY24" s="91">
        <v>18</v>
      </c>
      <c r="GZ24" s="14">
        <f t="shared" si="63"/>
        <v>2</v>
      </c>
      <c r="HA24" s="14">
        <f t="shared" si="64"/>
        <v>1</v>
      </c>
      <c r="HB24" s="14">
        <f t="shared" si="65"/>
        <v>1</v>
      </c>
      <c r="HC24" s="14">
        <f t="shared" si="66"/>
        <v>0.249</v>
      </c>
      <c r="HD24" s="14">
        <f t="shared" si="67"/>
        <v>1606004</v>
      </c>
      <c r="HE24" s="14" t="str">
        <f t="shared" si="68"/>
        <v>神器1-2 : 3级</v>
      </c>
      <c r="HF24" s="14" t="s">
        <v>800</v>
      </c>
      <c r="HG24" s="14">
        <f t="shared" si="69"/>
        <v>3</v>
      </c>
      <c r="HH24" s="14" t="str">
        <f t="shared" si="70"/>
        <v>神器1-2</v>
      </c>
      <c r="HI24" s="14">
        <f t="shared" si="71"/>
        <v>1</v>
      </c>
      <c r="HJ24" s="14" t="s">
        <v>1595</v>
      </c>
      <c r="HK24" s="14">
        <f t="shared" si="72"/>
        <v>3000</v>
      </c>
    </row>
    <row r="25" spans="10:219" ht="16.5" x14ac:dyDescent="0.2">
      <c r="J25" s="87">
        <v>18</v>
      </c>
      <c r="K25" s="87">
        <v>10</v>
      </c>
      <c r="L25" s="87">
        <f>SUM(K$8:K25)</f>
        <v>85</v>
      </c>
      <c r="N25" s="90">
        <v>4</v>
      </c>
      <c r="O25" s="90">
        <v>4</v>
      </c>
      <c r="P25" s="90">
        <v>2</v>
      </c>
      <c r="Q25" s="90">
        <v>18</v>
      </c>
      <c r="R25" s="14">
        <f>SUM(Q$7:Q25)</f>
        <v>300</v>
      </c>
      <c r="S25" s="91">
        <v>1606020</v>
      </c>
      <c r="T25" s="14" t="str">
        <f t="shared" si="73"/>
        <v>神器4-4</v>
      </c>
      <c r="AF25" s="87">
        <v>19</v>
      </c>
      <c r="AG25" s="87">
        <v>4</v>
      </c>
      <c r="AH25" s="87">
        <v>5</v>
      </c>
      <c r="AI25" s="200">
        <v>1606021</v>
      </c>
      <c r="AJ25" s="87" t="str">
        <f t="shared" si="47"/>
        <v>神器4-5</v>
      </c>
      <c r="AK25" s="87">
        <v>3</v>
      </c>
      <c r="AL25" s="87">
        <f t="shared" si="48"/>
        <v>175</v>
      </c>
      <c r="AO25" s="87">
        <v>3</v>
      </c>
      <c r="AP25" s="87">
        <v>1</v>
      </c>
      <c r="AQ25" s="87">
        <v>10</v>
      </c>
      <c r="AR25" s="144">
        <f t="shared" si="49"/>
        <v>4410</v>
      </c>
      <c r="AS25" s="144" t="s">
        <v>1206</v>
      </c>
      <c r="AT25" s="144" t="str">
        <f t="shared" si="50"/>
        <v>神器本-3-普通-1  神器1-1</v>
      </c>
      <c r="AU25" s="87">
        <v>1</v>
      </c>
      <c r="AV25" s="87" t="s">
        <v>307</v>
      </c>
      <c r="AW25" s="87">
        <v>1500</v>
      </c>
      <c r="AX25" s="87">
        <v>1</v>
      </c>
      <c r="AY25" s="87">
        <v>1</v>
      </c>
      <c r="AZ25" s="87">
        <f t="shared" si="51"/>
        <v>1</v>
      </c>
      <c r="BA25" s="14">
        <f t="shared" si="52"/>
        <v>0.15</v>
      </c>
      <c r="BB25" s="14">
        <f t="shared" si="53"/>
        <v>1.5</v>
      </c>
      <c r="BI25" s="203">
        <v>19</v>
      </c>
      <c r="BJ25" s="21">
        <f t="shared" si="54"/>
        <v>0.126</v>
      </c>
      <c r="BL25" s="87">
        <v>19</v>
      </c>
      <c r="BM25" s="14">
        <f>INDEX(节奏总表!$CK$4:$CK$63,新神器!BL25)</f>
        <v>99</v>
      </c>
      <c r="BN25" s="14">
        <f t="shared" si="55"/>
        <v>4</v>
      </c>
      <c r="BO25" s="87">
        <v>3</v>
      </c>
      <c r="BP25" s="87">
        <v>5</v>
      </c>
      <c r="BQ25" s="14">
        <f t="shared" si="75"/>
        <v>0.75</v>
      </c>
      <c r="BR25" s="14">
        <f t="shared" si="75"/>
        <v>0.75</v>
      </c>
      <c r="BS25" s="14">
        <f t="shared" si="75"/>
        <v>0.5</v>
      </c>
      <c r="BT25" s="14">
        <f t="shared" si="75"/>
        <v>0.75</v>
      </c>
      <c r="BU25" s="14">
        <f t="shared" si="75"/>
        <v>0.75</v>
      </c>
      <c r="BV25" s="14">
        <f t="shared" si="75"/>
        <v>0.5</v>
      </c>
      <c r="BW25" s="14">
        <f t="shared" si="75"/>
        <v>0.5</v>
      </c>
      <c r="BX25" s="14">
        <f t="shared" si="75"/>
        <v>0.5</v>
      </c>
      <c r="BY25" s="14">
        <f t="shared" si="75"/>
        <v>0</v>
      </c>
      <c r="BZ25" s="14">
        <f t="shared" si="75"/>
        <v>0</v>
      </c>
      <c r="CA25" s="14">
        <f t="shared" si="76"/>
        <v>0</v>
      </c>
      <c r="CB25" s="14">
        <f t="shared" si="76"/>
        <v>0</v>
      </c>
      <c r="CC25" s="14">
        <f t="shared" si="76"/>
        <v>0</v>
      </c>
      <c r="CD25" s="14">
        <f t="shared" si="76"/>
        <v>0</v>
      </c>
      <c r="CE25" s="14">
        <f t="shared" si="76"/>
        <v>5</v>
      </c>
      <c r="CF25" s="14">
        <f t="shared" si="76"/>
        <v>5</v>
      </c>
      <c r="CG25" s="14">
        <f t="shared" si="76"/>
        <v>2.625</v>
      </c>
      <c r="CH25" s="14">
        <f t="shared" si="76"/>
        <v>2.625</v>
      </c>
      <c r="CI25" s="14">
        <f t="shared" si="76"/>
        <v>1</v>
      </c>
      <c r="CJ25" s="14">
        <f t="shared" si="76"/>
        <v>0.5</v>
      </c>
      <c r="CK25" s="14">
        <f t="shared" si="77"/>
        <v>0</v>
      </c>
      <c r="CL25" s="14">
        <f t="shared" si="77"/>
        <v>0</v>
      </c>
      <c r="CM25" s="14">
        <f t="shared" si="77"/>
        <v>0</v>
      </c>
      <c r="CN25" s="14">
        <f t="shared" si="77"/>
        <v>0</v>
      </c>
      <c r="CO25" s="14">
        <f t="shared" si="77"/>
        <v>0</v>
      </c>
      <c r="CP25" s="14">
        <f t="shared" si="77"/>
        <v>0</v>
      </c>
      <c r="CQ25" s="14">
        <f t="shared" si="77"/>
        <v>0</v>
      </c>
      <c r="CR25" s="14">
        <f t="shared" si="77"/>
        <v>0</v>
      </c>
      <c r="CS25" s="14">
        <f t="shared" si="77"/>
        <v>0</v>
      </c>
      <c r="CT25" s="14">
        <f t="shared" si="77"/>
        <v>0</v>
      </c>
      <c r="CU25" s="14">
        <f t="shared" si="78"/>
        <v>0</v>
      </c>
      <c r="CV25" s="14">
        <f t="shared" si="78"/>
        <v>0</v>
      </c>
      <c r="CW25" s="14">
        <f t="shared" si="78"/>
        <v>0</v>
      </c>
      <c r="CX25" s="14">
        <f t="shared" si="78"/>
        <v>0</v>
      </c>
      <c r="CY25" s="14">
        <f t="shared" si="78"/>
        <v>0</v>
      </c>
      <c r="CZ25" s="14">
        <f t="shared" si="78"/>
        <v>0</v>
      </c>
      <c r="DA25" s="14">
        <f t="shared" si="78"/>
        <v>0</v>
      </c>
      <c r="DB25" s="14">
        <f t="shared" si="78"/>
        <v>0</v>
      </c>
      <c r="DC25" s="14">
        <f t="shared" si="78"/>
        <v>0</v>
      </c>
      <c r="DD25" s="14">
        <f t="shared" si="78"/>
        <v>0</v>
      </c>
      <c r="DE25" s="14">
        <f t="shared" si="78"/>
        <v>0</v>
      </c>
      <c r="DF25" s="14">
        <f t="shared" si="78"/>
        <v>0</v>
      </c>
      <c r="DH25" s="14">
        <f>SUM(BQ$7:BQ25)</f>
        <v>30.499999999999993</v>
      </c>
      <c r="DI25" s="14">
        <f>SUM(BR$7:BR25)</f>
        <v>30.499999999999993</v>
      </c>
      <c r="DJ25" s="14">
        <f>SUM(BS$7:BS25)</f>
        <v>16.75</v>
      </c>
      <c r="DK25" s="14">
        <f>SUM(BT$7:BT25)</f>
        <v>31</v>
      </c>
      <c r="DL25" s="14">
        <f>SUM(BU$7:BU25)</f>
        <v>31</v>
      </c>
      <c r="DM25" s="14">
        <f>SUM(BV$7:BV25)</f>
        <v>17.125</v>
      </c>
      <c r="DN25" s="14">
        <f>SUM(BW$7:BW25)</f>
        <v>17.125</v>
      </c>
      <c r="DO25" s="14">
        <f>SUM(BX$7:BX25)</f>
        <v>10.25</v>
      </c>
      <c r="DP25" s="14">
        <f>SUM(BY$7:BY25)</f>
        <v>20</v>
      </c>
      <c r="DQ25" s="14">
        <f>SUM(BZ$7:BZ25)</f>
        <v>20</v>
      </c>
      <c r="DR25" s="14">
        <f>SUM(CA$7:CA25)</f>
        <v>10.5</v>
      </c>
      <c r="DS25" s="14">
        <f>SUM(CB$7:CB25)</f>
        <v>10.5</v>
      </c>
      <c r="DT25" s="14">
        <f>SUM(CC$7:CC25)</f>
        <v>4</v>
      </c>
      <c r="DU25" s="14">
        <f>SUM(CD$7:CD25)</f>
        <v>2</v>
      </c>
      <c r="DV25" s="14">
        <f>SUM(CE$7:CE25)</f>
        <v>20</v>
      </c>
      <c r="DW25" s="14">
        <f>SUM(CF$7:CF25)</f>
        <v>20</v>
      </c>
      <c r="DX25" s="14">
        <f>SUM(CG$7:CG25)</f>
        <v>10.5</v>
      </c>
      <c r="DY25" s="14">
        <f>SUM(CH$7:CH25)</f>
        <v>10.5</v>
      </c>
      <c r="DZ25" s="14">
        <f>SUM(CI$7:CI25)</f>
        <v>4</v>
      </c>
      <c r="EA25" s="14">
        <f>SUM(CJ$7:CJ25)</f>
        <v>2</v>
      </c>
      <c r="EB25" s="14">
        <f>SUM(CK$7:CK25)</f>
        <v>0</v>
      </c>
      <c r="EC25" s="14">
        <f>SUM(CL$7:CL25)</f>
        <v>0</v>
      </c>
      <c r="ED25" s="14">
        <f>SUM(CM$7:CM25)</f>
        <v>0</v>
      </c>
      <c r="EE25" s="14">
        <f>SUM(CN$7:CN25)</f>
        <v>0</v>
      </c>
      <c r="EF25" s="14">
        <f>SUM(CO$7:CO25)</f>
        <v>0</v>
      </c>
      <c r="EG25" s="14">
        <f>SUM(CP$7:CP25)</f>
        <v>0</v>
      </c>
      <c r="EH25" s="14">
        <f>SUM(CQ$7:CQ25)</f>
        <v>0</v>
      </c>
      <c r="EI25" s="14">
        <f>SUM(CR$7:CR25)</f>
        <v>0</v>
      </c>
      <c r="EJ25" s="14">
        <f>SUM(CS$7:CS25)</f>
        <v>0</v>
      </c>
      <c r="EK25" s="14">
        <f>SUM(CT$7:CT25)</f>
        <v>0</v>
      </c>
      <c r="EL25" s="14">
        <f>SUM(CU$7:CU25)</f>
        <v>0</v>
      </c>
      <c r="EM25" s="14">
        <f>SUM(CV$7:CV25)</f>
        <v>0</v>
      </c>
      <c r="EN25" s="14">
        <f>SUM(CW$7:CW25)</f>
        <v>0</v>
      </c>
      <c r="EO25" s="14">
        <f>SUM(CX$7:CX25)</f>
        <v>0</v>
      </c>
      <c r="EP25" s="14">
        <f>SUM(CY$7:CY25)</f>
        <v>0</v>
      </c>
      <c r="EQ25" s="14">
        <f>SUM(CZ$7:CZ25)</f>
        <v>0</v>
      </c>
      <c r="ER25" s="14">
        <f>SUM(DA$7:DA25)</f>
        <v>0</v>
      </c>
      <c r="ES25" s="14">
        <f>SUM(DB$7:DB25)</f>
        <v>0</v>
      </c>
      <c r="ET25" s="14">
        <f>SUM(DC$7:DC25)</f>
        <v>0</v>
      </c>
      <c r="EU25" s="14">
        <f>SUM(DD$7:DD25)</f>
        <v>0</v>
      </c>
      <c r="EV25" s="14">
        <f>SUM(DE$7:DE25)</f>
        <v>0</v>
      </c>
      <c r="EW25" s="14">
        <f>SUM(DF$7:DF25)</f>
        <v>0</v>
      </c>
      <c r="EZ25" s="14">
        <f t="shared" si="56"/>
        <v>8</v>
      </c>
      <c r="FA25" s="14">
        <f t="shared" si="5"/>
        <v>11</v>
      </c>
      <c r="FB25" s="14">
        <f t="shared" si="6"/>
        <v>11</v>
      </c>
      <c r="FC25" s="14">
        <f t="shared" si="7"/>
        <v>8</v>
      </c>
      <c r="FD25" s="14">
        <f t="shared" si="57"/>
        <v>6</v>
      </c>
      <c r="FE25" s="14">
        <f t="shared" si="8"/>
        <v>11</v>
      </c>
      <c r="FF25" s="14">
        <f t="shared" si="9"/>
        <v>11</v>
      </c>
      <c r="FG25" s="14">
        <f t="shared" si="10"/>
        <v>8</v>
      </c>
      <c r="FH25" s="14">
        <f t="shared" si="11"/>
        <v>8</v>
      </c>
      <c r="FI25" s="14">
        <f t="shared" si="12"/>
        <v>6</v>
      </c>
      <c r="FJ25" s="14">
        <f t="shared" si="58"/>
        <v>2</v>
      </c>
      <c r="FK25" s="14">
        <f t="shared" si="13"/>
        <v>9</v>
      </c>
      <c r="FL25" s="14">
        <f t="shared" si="14"/>
        <v>9</v>
      </c>
      <c r="FM25" s="14">
        <f t="shared" si="15"/>
        <v>6</v>
      </c>
      <c r="FN25" s="14">
        <f t="shared" si="16"/>
        <v>6</v>
      </c>
      <c r="FO25" s="14">
        <f t="shared" si="17"/>
        <v>3</v>
      </c>
      <c r="FP25" s="14">
        <f t="shared" si="18"/>
        <v>2</v>
      </c>
      <c r="FQ25" s="14">
        <f t="shared" si="59"/>
        <v>2</v>
      </c>
      <c r="FR25" s="14">
        <f t="shared" si="19"/>
        <v>9</v>
      </c>
      <c r="FS25" s="14">
        <f t="shared" si="20"/>
        <v>9</v>
      </c>
      <c r="FT25" s="14">
        <f t="shared" si="21"/>
        <v>6</v>
      </c>
      <c r="FU25" s="14">
        <f t="shared" si="22"/>
        <v>6</v>
      </c>
      <c r="FV25" s="14">
        <f t="shared" si="23"/>
        <v>3</v>
      </c>
      <c r="FW25" s="14">
        <f t="shared" si="24"/>
        <v>2</v>
      </c>
      <c r="FX25" s="14">
        <f t="shared" si="60"/>
        <v>0</v>
      </c>
      <c r="FY25" s="14">
        <f t="shared" si="25"/>
        <v>0</v>
      </c>
      <c r="FZ25" s="14">
        <f t="shared" si="26"/>
        <v>0</v>
      </c>
      <c r="GA25" s="14">
        <f t="shared" si="27"/>
        <v>0</v>
      </c>
      <c r="GB25" s="14">
        <f t="shared" si="28"/>
        <v>0</v>
      </c>
      <c r="GC25" s="14">
        <f t="shared" si="29"/>
        <v>0</v>
      </c>
      <c r="GD25" s="14">
        <f t="shared" si="30"/>
        <v>0</v>
      </c>
      <c r="GE25" s="14">
        <f t="shared" si="61"/>
        <v>0</v>
      </c>
      <c r="GF25" s="14">
        <f t="shared" si="31"/>
        <v>0</v>
      </c>
      <c r="GG25" s="14">
        <f t="shared" si="32"/>
        <v>0</v>
      </c>
      <c r="GH25" s="14">
        <f t="shared" si="33"/>
        <v>0</v>
      </c>
      <c r="GI25" s="14">
        <f t="shared" si="34"/>
        <v>0</v>
      </c>
      <c r="GJ25" s="14">
        <f t="shared" si="35"/>
        <v>0</v>
      </c>
      <c r="GK25" s="14">
        <f t="shared" si="36"/>
        <v>0</v>
      </c>
      <c r="GL25" s="14">
        <f t="shared" si="37"/>
        <v>0</v>
      </c>
      <c r="GM25" s="14">
        <f t="shared" si="38"/>
        <v>0</v>
      </c>
      <c r="GN25" s="14">
        <f t="shared" si="62"/>
        <v>0</v>
      </c>
      <c r="GO25" s="14">
        <f t="shared" si="39"/>
        <v>0</v>
      </c>
      <c r="GP25" s="14">
        <f t="shared" si="40"/>
        <v>0</v>
      </c>
      <c r="GQ25" s="14">
        <f t="shared" si="41"/>
        <v>0</v>
      </c>
      <c r="GR25" s="14">
        <f t="shared" si="42"/>
        <v>0</v>
      </c>
      <c r="GS25" s="14">
        <f t="shared" si="43"/>
        <v>0</v>
      </c>
      <c r="GT25" s="14">
        <f t="shared" si="44"/>
        <v>0</v>
      </c>
      <c r="GU25" s="14">
        <f t="shared" si="45"/>
        <v>0</v>
      </c>
      <c r="GV25" s="14">
        <f t="shared" si="46"/>
        <v>0</v>
      </c>
      <c r="GY25" s="91">
        <v>19</v>
      </c>
      <c r="GZ25" s="14">
        <f t="shared" si="63"/>
        <v>2</v>
      </c>
      <c r="HA25" s="14">
        <f t="shared" si="64"/>
        <v>1</v>
      </c>
      <c r="HB25" s="14">
        <f t="shared" si="65"/>
        <v>1</v>
      </c>
      <c r="HC25" s="14">
        <f t="shared" si="66"/>
        <v>0.25700000000000001</v>
      </c>
      <c r="HD25" s="14">
        <f t="shared" si="67"/>
        <v>1606004</v>
      </c>
      <c r="HE25" s="14" t="str">
        <f t="shared" si="68"/>
        <v>神器1-2 : 4级</v>
      </c>
      <c r="HF25" s="14" t="s">
        <v>800</v>
      </c>
      <c r="HG25" s="14">
        <f t="shared" si="69"/>
        <v>4</v>
      </c>
      <c r="HH25" s="14" t="str">
        <f t="shared" si="70"/>
        <v>神器1-2</v>
      </c>
      <c r="HI25" s="14">
        <f t="shared" si="71"/>
        <v>2</v>
      </c>
      <c r="HJ25" s="14" t="s">
        <v>1595</v>
      </c>
      <c r="HK25" s="14">
        <f t="shared" si="72"/>
        <v>3100</v>
      </c>
    </row>
    <row r="26" spans="10:219" ht="16.5" x14ac:dyDescent="0.2">
      <c r="J26" s="87">
        <v>19</v>
      </c>
      <c r="K26" s="87">
        <v>15</v>
      </c>
      <c r="L26" s="87">
        <f>SUM(K$8:K26)</f>
        <v>100</v>
      </c>
      <c r="N26" s="90">
        <v>4</v>
      </c>
      <c r="O26" s="90">
        <v>5</v>
      </c>
      <c r="P26" s="90">
        <v>3</v>
      </c>
      <c r="Q26" s="90">
        <v>18</v>
      </c>
      <c r="R26" s="14">
        <f>SUM(Q$7:Q26)</f>
        <v>318</v>
      </c>
      <c r="S26" s="91">
        <v>1606021</v>
      </c>
      <c r="T26" s="14" t="str">
        <f t="shared" si="73"/>
        <v>神器4-5</v>
      </c>
      <c r="AF26" s="87">
        <v>20</v>
      </c>
      <c r="AG26" s="87">
        <v>4</v>
      </c>
      <c r="AH26" s="87">
        <v>6</v>
      </c>
      <c r="AI26" s="200">
        <v>1606022</v>
      </c>
      <c r="AJ26" s="87" t="str">
        <f t="shared" si="47"/>
        <v>神器4-6</v>
      </c>
      <c r="AK26" s="87">
        <v>4</v>
      </c>
      <c r="AL26" s="87">
        <f t="shared" si="48"/>
        <v>375</v>
      </c>
      <c r="AO26" s="87">
        <v>3</v>
      </c>
      <c r="AP26" s="87">
        <v>1</v>
      </c>
      <c r="AQ26" s="87">
        <v>10</v>
      </c>
      <c r="AR26" s="144">
        <f t="shared" si="49"/>
        <v>4410</v>
      </c>
      <c r="AS26" s="144" t="s">
        <v>1206</v>
      </c>
      <c r="AT26" s="144" t="str">
        <f t="shared" si="50"/>
        <v>神器本-3-普通-1  神器1-2</v>
      </c>
      <c r="AU26" s="87">
        <v>2</v>
      </c>
      <c r="AV26" s="87" t="s">
        <v>308</v>
      </c>
      <c r="AW26" s="87">
        <v>1500</v>
      </c>
      <c r="AX26" s="87">
        <v>1</v>
      </c>
      <c r="AY26" s="87">
        <v>1</v>
      </c>
      <c r="AZ26" s="87">
        <f t="shared" si="51"/>
        <v>1</v>
      </c>
      <c r="BA26" s="14">
        <f t="shared" si="52"/>
        <v>0.15</v>
      </c>
      <c r="BB26" s="14">
        <f t="shared" si="53"/>
        <v>1.5</v>
      </c>
      <c r="BI26" s="203">
        <v>20</v>
      </c>
      <c r="BJ26" s="21">
        <f t="shared" si="54"/>
        <v>0.13</v>
      </c>
      <c r="BL26" s="87">
        <v>20</v>
      </c>
      <c r="BM26" s="14">
        <f>INDEX(节奏总表!$CK$4:$CK$63,新神器!BL26)</f>
        <v>101</v>
      </c>
      <c r="BN26" s="14">
        <f t="shared" si="55"/>
        <v>4</v>
      </c>
      <c r="BO26" s="87">
        <v>3</v>
      </c>
      <c r="BP26" s="87">
        <v>5</v>
      </c>
      <c r="BQ26" s="14">
        <f t="shared" si="75"/>
        <v>0.75</v>
      </c>
      <c r="BR26" s="14">
        <f t="shared" si="75"/>
        <v>0.75</v>
      </c>
      <c r="BS26" s="14">
        <f t="shared" si="75"/>
        <v>0.5</v>
      </c>
      <c r="BT26" s="14">
        <f t="shared" si="75"/>
        <v>0.75</v>
      </c>
      <c r="BU26" s="14">
        <f t="shared" si="75"/>
        <v>0.75</v>
      </c>
      <c r="BV26" s="14">
        <f t="shared" si="75"/>
        <v>0.5</v>
      </c>
      <c r="BW26" s="14">
        <f t="shared" si="75"/>
        <v>0.5</v>
      </c>
      <c r="BX26" s="14">
        <f t="shared" si="75"/>
        <v>0.5</v>
      </c>
      <c r="BY26" s="14">
        <f t="shared" si="75"/>
        <v>0</v>
      </c>
      <c r="BZ26" s="14">
        <f t="shared" si="75"/>
        <v>0</v>
      </c>
      <c r="CA26" s="14">
        <f t="shared" si="76"/>
        <v>0</v>
      </c>
      <c r="CB26" s="14">
        <f t="shared" si="76"/>
        <v>0</v>
      </c>
      <c r="CC26" s="14">
        <f t="shared" si="76"/>
        <v>0</v>
      </c>
      <c r="CD26" s="14">
        <f t="shared" si="76"/>
        <v>0</v>
      </c>
      <c r="CE26" s="14">
        <f t="shared" si="76"/>
        <v>5</v>
      </c>
      <c r="CF26" s="14">
        <f t="shared" si="76"/>
        <v>5</v>
      </c>
      <c r="CG26" s="14">
        <f t="shared" si="76"/>
        <v>2.625</v>
      </c>
      <c r="CH26" s="14">
        <f t="shared" si="76"/>
        <v>2.625</v>
      </c>
      <c r="CI26" s="14">
        <f t="shared" si="76"/>
        <v>1</v>
      </c>
      <c r="CJ26" s="14">
        <f t="shared" si="76"/>
        <v>0.5</v>
      </c>
      <c r="CK26" s="14">
        <f t="shared" si="77"/>
        <v>0</v>
      </c>
      <c r="CL26" s="14">
        <f t="shared" si="77"/>
        <v>0</v>
      </c>
      <c r="CM26" s="14">
        <f t="shared" si="77"/>
        <v>0</v>
      </c>
      <c r="CN26" s="14">
        <f t="shared" si="77"/>
        <v>0</v>
      </c>
      <c r="CO26" s="14">
        <f t="shared" si="77"/>
        <v>0</v>
      </c>
      <c r="CP26" s="14">
        <f t="shared" si="77"/>
        <v>0</v>
      </c>
      <c r="CQ26" s="14">
        <f t="shared" si="77"/>
        <v>0</v>
      </c>
      <c r="CR26" s="14">
        <f t="shared" si="77"/>
        <v>0</v>
      </c>
      <c r="CS26" s="14">
        <f t="shared" si="77"/>
        <v>0</v>
      </c>
      <c r="CT26" s="14">
        <f t="shared" si="77"/>
        <v>0</v>
      </c>
      <c r="CU26" s="14">
        <f t="shared" si="78"/>
        <v>0</v>
      </c>
      <c r="CV26" s="14">
        <f t="shared" si="78"/>
        <v>0</v>
      </c>
      <c r="CW26" s="14">
        <f t="shared" si="78"/>
        <v>0</v>
      </c>
      <c r="CX26" s="14">
        <f t="shared" si="78"/>
        <v>0</v>
      </c>
      <c r="CY26" s="14">
        <f t="shared" si="78"/>
        <v>0</v>
      </c>
      <c r="CZ26" s="14">
        <f t="shared" si="78"/>
        <v>0</v>
      </c>
      <c r="DA26" s="14">
        <f t="shared" si="78"/>
        <v>0</v>
      </c>
      <c r="DB26" s="14">
        <f t="shared" si="78"/>
        <v>0</v>
      </c>
      <c r="DC26" s="14">
        <f t="shared" si="78"/>
        <v>0</v>
      </c>
      <c r="DD26" s="14">
        <f t="shared" si="78"/>
        <v>0</v>
      </c>
      <c r="DE26" s="14">
        <f t="shared" si="78"/>
        <v>0</v>
      </c>
      <c r="DF26" s="14">
        <f t="shared" si="78"/>
        <v>0</v>
      </c>
      <c r="DH26" s="14">
        <f>SUM(BQ$7:BQ26)</f>
        <v>31.249999999999993</v>
      </c>
      <c r="DI26" s="14">
        <f>SUM(BR$7:BR26)</f>
        <v>31.249999999999993</v>
      </c>
      <c r="DJ26" s="14">
        <f>SUM(BS$7:BS26)</f>
        <v>17.25</v>
      </c>
      <c r="DK26" s="14">
        <f>SUM(BT$7:BT26)</f>
        <v>31.75</v>
      </c>
      <c r="DL26" s="14">
        <f>SUM(BU$7:BU26)</f>
        <v>31.75</v>
      </c>
      <c r="DM26" s="14">
        <f>SUM(BV$7:BV26)</f>
        <v>17.625</v>
      </c>
      <c r="DN26" s="14">
        <f>SUM(BW$7:BW26)</f>
        <v>17.625</v>
      </c>
      <c r="DO26" s="14">
        <f>SUM(BX$7:BX26)</f>
        <v>10.75</v>
      </c>
      <c r="DP26" s="14">
        <f>SUM(BY$7:BY26)</f>
        <v>20</v>
      </c>
      <c r="DQ26" s="14">
        <f>SUM(BZ$7:BZ26)</f>
        <v>20</v>
      </c>
      <c r="DR26" s="14">
        <f>SUM(CA$7:CA26)</f>
        <v>10.5</v>
      </c>
      <c r="DS26" s="14">
        <f>SUM(CB$7:CB26)</f>
        <v>10.5</v>
      </c>
      <c r="DT26" s="14">
        <f>SUM(CC$7:CC26)</f>
        <v>4</v>
      </c>
      <c r="DU26" s="14">
        <f>SUM(CD$7:CD26)</f>
        <v>2</v>
      </c>
      <c r="DV26" s="14">
        <f>SUM(CE$7:CE26)</f>
        <v>25</v>
      </c>
      <c r="DW26" s="14">
        <f>SUM(CF$7:CF26)</f>
        <v>25</v>
      </c>
      <c r="DX26" s="14">
        <f>SUM(CG$7:CG26)</f>
        <v>13.125</v>
      </c>
      <c r="DY26" s="14">
        <f>SUM(CH$7:CH26)</f>
        <v>13.125</v>
      </c>
      <c r="DZ26" s="14">
        <f>SUM(CI$7:CI26)</f>
        <v>5</v>
      </c>
      <c r="EA26" s="14">
        <f>SUM(CJ$7:CJ26)</f>
        <v>2.5</v>
      </c>
      <c r="EB26" s="14">
        <f>SUM(CK$7:CK26)</f>
        <v>0</v>
      </c>
      <c r="EC26" s="14">
        <f>SUM(CL$7:CL26)</f>
        <v>0</v>
      </c>
      <c r="ED26" s="14">
        <f>SUM(CM$7:CM26)</f>
        <v>0</v>
      </c>
      <c r="EE26" s="14">
        <f>SUM(CN$7:CN26)</f>
        <v>0</v>
      </c>
      <c r="EF26" s="14">
        <f>SUM(CO$7:CO26)</f>
        <v>0</v>
      </c>
      <c r="EG26" s="14">
        <f>SUM(CP$7:CP26)</f>
        <v>0</v>
      </c>
      <c r="EH26" s="14">
        <f>SUM(CQ$7:CQ26)</f>
        <v>0</v>
      </c>
      <c r="EI26" s="14">
        <f>SUM(CR$7:CR26)</f>
        <v>0</v>
      </c>
      <c r="EJ26" s="14">
        <f>SUM(CS$7:CS26)</f>
        <v>0</v>
      </c>
      <c r="EK26" s="14">
        <f>SUM(CT$7:CT26)</f>
        <v>0</v>
      </c>
      <c r="EL26" s="14">
        <f>SUM(CU$7:CU26)</f>
        <v>0</v>
      </c>
      <c r="EM26" s="14">
        <f>SUM(CV$7:CV26)</f>
        <v>0</v>
      </c>
      <c r="EN26" s="14">
        <f>SUM(CW$7:CW26)</f>
        <v>0</v>
      </c>
      <c r="EO26" s="14">
        <f>SUM(CX$7:CX26)</f>
        <v>0</v>
      </c>
      <c r="EP26" s="14">
        <f>SUM(CY$7:CY26)</f>
        <v>0</v>
      </c>
      <c r="EQ26" s="14">
        <f>SUM(CZ$7:CZ26)</f>
        <v>0</v>
      </c>
      <c r="ER26" s="14">
        <f>SUM(DA$7:DA26)</f>
        <v>0</v>
      </c>
      <c r="ES26" s="14">
        <f>SUM(DB$7:DB26)</f>
        <v>0</v>
      </c>
      <c r="ET26" s="14">
        <f>SUM(DC$7:DC26)</f>
        <v>0</v>
      </c>
      <c r="EU26" s="14">
        <f>SUM(DD$7:DD26)</f>
        <v>0</v>
      </c>
      <c r="EV26" s="14">
        <f>SUM(DE$7:DE26)</f>
        <v>0</v>
      </c>
      <c r="EW26" s="14">
        <f>SUM(DF$7:DF26)</f>
        <v>0</v>
      </c>
      <c r="EZ26" s="14">
        <f t="shared" si="56"/>
        <v>8</v>
      </c>
      <c r="FA26" s="14">
        <f t="shared" si="5"/>
        <v>11</v>
      </c>
      <c r="FB26" s="14">
        <f t="shared" si="6"/>
        <v>11</v>
      </c>
      <c r="FC26" s="14">
        <f t="shared" si="7"/>
        <v>8</v>
      </c>
      <c r="FD26" s="14">
        <f t="shared" si="57"/>
        <v>6</v>
      </c>
      <c r="FE26" s="14">
        <f t="shared" si="8"/>
        <v>11</v>
      </c>
      <c r="FF26" s="14">
        <f t="shared" si="9"/>
        <v>11</v>
      </c>
      <c r="FG26" s="14">
        <f t="shared" si="10"/>
        <v>8</v>
      </c>
      <c r="FH26" s="14">
        <f t="shared" si="11"/>
        <v>8</v>
      </c>
      <c r="FI26" s="14">
        <f t="shared" si="12"/>
        <v>6</v>
      </c>
      <c r="FJ26" s="14">
        <f t="shared" si="58"/>
        <v>2</v>
      </c>
      <c r="FK26" s="14">
        <f t="shared" si="13"/>
        <v>9</v>
      </c>
      <c r="FL26" s="14">
        <f t="shared" si="14"/>
        <v>9</v>
      </c>
      <c r="FM26" s="14">
        <f t="shared" si="15"/>
        <v>6</v>
      </c>
      <c r="FN26" s="14">
        <f t="shared" si="16"/>
        <v>6</v>
      </c>
      <c r="FO26" s="14">
        <f t="shared" si="17"/>
        <v>3</v>
      </c>
      <c r="FP26" s="14">
        <f t="shared" si="18"/>
        <v>2</v>
      </c>
      <c r="FQ26" s="14">
        <f t="shared" si="59"/>
        <v>2</v>
      </c>
      <c r="FR26" s="14">
        <f t="shared" si="19"/>
        <v>10</v>
      </c>
      <c r="FS26" s="14">
        <f t="shared" si="20"/>
        <v>10</v>
      </c>
      <c r="FT26" s="14">
        <f t="shared" si="21"/>
        <v>7</v>
      </c>
      <c r="FU26" s="14">
        <f t="shared" si="22"/>
        <v>7</v>
      </c>
      <c r="FV26" s="14">
        <f t="shared" si="23"/>
        <v>4</v>
      </c>
      <c r="FW26" s="14">
        <f t="shared" si="24"/>
        <v>2</v>
      </c>
      <c r="FX26" s="14">
        <f t="shared" si="60"/>
        <v>0</v>
      </c>
      <c r="FY26" s="14">
        <f t="shared" si="25"/>
        <v>0</v>
      </c>
      <c r="FZ26" s="14">
        <f t="shared" si="26"/>
        <v>0</v>
      </c>
      <c r="GA26" s="14">
        <f t="shared" si="27"/>
        <v>0</v>
      </c>
      <c r="GB26" s="14">
        <f t="shared" si="28"/>
        <v>0</v>
      </c>
      <c r="GC26" s="14">
        <f t="shared" si="29"/>
        <v>0</v>
      </c>
      <c r="GD26" s="14">
        <f t="shared" si="30"/>
        <v>0</v>
      </c>
      <c r="GE26" s="14">
        <f t="shared" si="61"/>
        <v>0</v>
      </c>
      <c r="GF26" s="14">
        <f t="shared" si="31"/>
        <v>0</v>
      </c>
      <c r="GG26" s="14">
        <f t="shared" si="32"/>
        <v>0</v>
      </c>
      <c r="GH26" s="14">
        <f t="shared" si="33"/>
        <v>0</v>
      </c>
      <c r="GI26" s="14">
        <f t="shared" si="34"/>
        <v>0</v>
      </c>
      <c r="GJ26" s="14">
        <f t="shared" si="35"/>
        <v>0</v>
      </c>
      <c r="GK26" s="14">
        <f t="shared" si="36"/>
        <v>0</v>
      </c>
      <c r="GL26" s="14">
        <f t="shared" si="37"/>
        <v>0</v>
      </c>
      <c r="GM26" s="14">
        <f t="shared" si="38"/>
        <v>0</v>
      </c>
      <c r="GN26" s="14">
        <f t="shared" si="62"/>
        <v>0</v>
      </c>
      <c r="GO26" s="14">
        <f t="shared" si="39"/>
        <v>0</v>
      </c>
      <c r="GP26" s="14">
        <f t="shared" si="40"/>
        <v>0</v>
      </c>
      <c r="GQ26" s="14">
        <f t="shared" si="41"/>
        <v>0</v>
      </c>
      <c r="GR26" s="14">
        <f t="shared" si="42"/>
        <v>0</v>
      </c>
      <c r="GS26" s="14">
        <f t="shared" si="43"/>
        <v>0</v>
      </c>
      <c r="GT26" s="14">
        <f t="shared" si="44"/>
        <v>0</v>
      </c>
      <c r="GU26" s="14">
        <f t="shared" si="45"/>
        <v>0</v>
      </c>
      <c r="GV26" s="14">
        <f t="shared" si="46"/>
        <v>0</v>
      </c>
      <c r="GY26" s="91">
        <v>20</v>
      </c>
      <c r="GZ26" s="14">
        <f t="shared" si="63"/>
        <v>2</v>
      </c>
      <c r="HA26" s="14">
        <f t="shared" si="64"/>
        <v>1</v>
      </c>
      <c r="HB26" s="14">
        <f t="shared" si="65"/>
        <v>1</v>
      </c>
      <c r="HC26" s="14">
        <f t="shared" si="66"/>
        <v>0.26500000000000001</v>
      </c>
      <c r="HD26" s="14">
        <f t="shared" si="67"/>
        <v>1606004</v>
      </c>
      <c r="HE26" s="14" t="str">
        <f t="shared" si="68"/>
        <v>神器1-2 : 5级</v>
      </c>
      <c r="HF26" s="14" t="s">
        <v>800</v>
      </c>
      <c r="HG26" s="14">
        <f t="shared" si="69"/>
        <v>5</v>
      </c>
      <c r="HH26" s="14" t="str">
        <f t="shared" si="70"/>
        <v>神器1-2</v>
      </c>
      <c r="HI26" s="14">
        <f t="shared" si="71"/>
        <v>2</v>
      </c>
      <c r="HJ26" s="14" t="s">
        <v>1595</v>
      </c>
      <c r="HK26" s="14">
        <f t="shared" si="72"/>
        <v>3200</v>
      </c>
    </row>
    <row r="27" spans="10:219" ht="16.5" x14ac:dyDescent="0.2">
      <c r="J27" s="87">
        <v>20</v>
      </c>
      <c r="K27" s="87">
        <v>15</v>
      </c>
      <c r="L27" s="87">
        <f>SUM(K$8:K27)</f>
        <v>115</v>
      </c>
      <c r="N27" s="90">
        <v>4</v>
      </c>
      <c r="O27" s="90">
        <v>6</v>
      </c>
      <c r="P27" s="90">
        <v>4</v>
      </c>
      <c r="Q27" s="90">
        <v>18</v>
      </c>
      <c r="R27" s="14">
        <f>SUM(Q$7:Q27)</f>
        <v>336</v>
      </c>
      <c r="S27" s="91">
        <v>1606022</v>
      </c>
      <c r="T27" s="14" t="str">
        <f t="shared" si="73"/>
        <v>神器4-6</v>
      </c>
      <c r="AF27" s="87">
        <v>21</v>
      </c>
      <c r="AG27" s="87">
        <v>5</v>
      </c>
      <c r="AH27" s="87">
        <v>1</v>
      </c>
      <c r="AI27" s="200">
        <v>1606023</v>
      </c>
      <c r="AJ27" s="87" t="str">
        <f t="shared" si="47"/>
        <v>神器5-1</v>
      </c>
      <c r="AK27" s="87">
        <v>1</v>
      </c>
      <c r="AL27" s="87">
        <f t="shared" si="48"/>
        <v>30</v>
      </c>
      <c r="AO27" s="87">
        <v>3</v>
      </c>
      <c r="AP27" s="87">
        <v>1</v>
      </c>
      <c r="AQ27" s="87">
        <v>10</v>
      </c>
      <c r="AR27" s="144">
        <f t="shared" si="49"/>
        <v>4410</v>
      </c>
      <c r="AS27" s="144" t="s">
        <v>1206</v>
      </c>
      <c r="AT27" s="144" t="str">
        <f t="shared" si="50"/>
        <v>神器本-3-普通-1  神器1-3</v>
      </c>
      <c r="AU27" s="87">
        <v>3</v>
      </c>
      <c r="AV27" s="87" t="s">
        <v>309</v>
      </c>
      <c r="AW27" s="87">
        <v>1000</v>
      </c>
      <c r="AX27" s="87">
        <v>1</v>
      </c>
      <c r="AY27" s="87">
        <v>1</v>
      </c>
      <c r="AZ27" s="87">
        <f t="shared" si="51"/>
        <v>2</v>
      </c>
      <c r="BA27" s="14">
        <f t="shared" si="52"/>
        <v>0.1</v>
      </c>
      <c r="BB27" s="14">
        <f t="shared" si="53"/>
        <v>3</v>
      </c>
      <c r="BI27" s="203">
        <v>21</v>
      </c>
      <c r="BJ27" s="21">
        <f t="shared" si="54"/>
        <v>0.13400000000000001</v>
      </c>
      <c r="BL27" s="87">
        <v>21</v>
      </c>
      <c r="BM27" s="14">
        <f>INDEX(节奏总表!$CK$4:$CK$63,新神器!BL27)</f>
        <v>103</v>
      </c>
      <c r="BN27" s="14">
        <f t="shared" si="55"/>
        <v>5</v>
      </c>
      <c r="BO27" s="87">
        <v>3</v>
      </c>
      <c r="BP27" s="87">
        <v>5</v>
      </c>
      <c r="BQ27" s="14">
        <f t="shared" ref="BQ27:BZ36" si="79">SUMIFS($BA$7:$BA$301,$AO$7:$AO$301,"="&amp;$BN27,$AP$7:$AP$301,"="&amp;$BO27,$AU$7:$AU$301,"="&amp;BQ$2)*$BP27</f>
        <v>0.75</v>
      </c>
      <c r="BR27" s="14">
        <f t="shared" si="79"/>
        <v>0.75</v>
      </c>
      <c r="BS27" s="14">
        <f t="shared" si="79"/>
        <v>0.5</v>
      </c>
      <c r="BT27" s="14">
        <f t="shared" si="79"/>
        <v>0.75</v>
      </c>
      <c r="BU27" s="14">
        <f t="shared" si="79"/>
        <v>0.75</v>
      </c>
      <c r="BV27" s="14">
        <f t="shared" si="79"/>
        <v>0.5</v>
      </c>
      <c r="BW27" s="14">
        <f t="shared" si="79"/>
        <v>0.5</v>
      </c>
      <c r="BX27" s="14">
        <f t="shared" si="79"/>
        <v>0.5</v>
      </c>
      <c r="BY27" s="14">
        <f t="shared" si="79"/>
        <v>0</v>
      </c>
      <c r="BZ27" s="14">
        <f t="shared" si="79"/>
        <v>0</v>
      </c>
      <c r="CA27" s="14">
        <f t="shared" ref="CA27:CJ36" si="80">SUMIFS($BA$7:$BA$301,$AO$7:$AO$301,"="&amp;$BN27,$AP$7:$AP$301,"="&amp;$BO27,$AU$7:$AU$301,"="&amp;CA$2)*$BP27</f>
        <v>0</v>
      </c>
      <c r="CB27" s="14">
        <f t="shared" si="80"/>
        <v>0</v>
      </c>
      <c r="CC27" s="14">
        <f t="shared" si="80"/>
        <v>0</v>
      </c>
      <c r="CD27" s="14">
        <f t="shared" si="80"/>
        <v>0</v>
      </c>
      <c r="CE27" s="14">
        <f t="shared" si="80"/>
        <v>0</v>
      </c>
      <c r="CF27" s="14">
        <f t="shared" si="80"/>
        <v>0</v>
      </c>
      <c r="CG27" s="14">
        <f t="shared" si="80"/>
        <v>0</v>
      </c>
      <c r="CH27" s="14">
        <f t="shared" si="80"/>
        <v>0</v>
      </c>
      <c r="CI27" s="14">
        <f t="shared" si="80"/>
        <v>0</v>
      </c>
      <c r="CJ27" s="14">
        <f t="shared" si="80"/>
        <v>0</v>
      </c>
      <c r="CK27" s="14">
        <f t="shared" ref="CK27:CT36" si="81">SUMIFS($BA$7:$BA$301,$AO$7:$AO$301,"="&amp;$BN27,$AP$7:$AP$301,"="&amp;$BO27,$AU$7:$AU$301,"="&amp;CK$2)*$BP27</f>
        <v>5</v>
      </c>
      <c r="CL27" s="14">
        <f t="shared" si="81"/>
        <v>5</v>
      </c>
      <c r="CM27" s="14">
        <f t="shared" si="81"/>
        <v>2.625</v>
      </c>
      <c r="CN27" s="14">
        <f t="shared" si="81"/>
        <v>2.625</v>
      </c>
      <c r="CO27" s="14">
        <f t="shared" si="81"/>
        <v>1</v>
      </c>
      <c r="CP27" s="14">
        <f t="shared" si="81"/>
        <v>0.5</v>
      </c>
      <c r="CQ27" s="14">
        <f t="shared" si="81"/>
        <v>0</v>
      </c>
      <c r="CR27" s="14">
        <f t="shared" si="81"/>
        <v>0</v>
      </c>
      <c r="CS27" s="14">
        <f t="shared" si="81"/>
        <v>0</v>
      </c>
      <c r="CT27" s="14">
        <f t="shared" si="81"/>
        <v>0</v>
      </c>
      <c r="CU27" s="14">
        <f t="shared" ref="CU27:DF36" si="82">SUMIFS($BA$7:$BA$301,$AO$7:$AO$301,"="&amp;$BN27,$AP$7:$AP$301,"="&amp;$BO27,$AU$7:$AU$301,"="&amp;CU$2)*$BP27</f>
        <v>0</v>
      </c>
      <c r="CV27" s="14">
        <f t="shared" si="82"/>
        <v>0</v>
      </c>
      <c r="CW27" s="14">
        <f t="shared" si="82"/>
        <v>0</v>
      </c>
      <c r="CX27" s="14">
        <f t="shared" si="82"/>
        <v>0</v>
      </c>
      <c r="CY27" s="14">
        <f t="shared" si="82"/>
        <v>0</v>
      </c>
      <c r="CZ27" s="14">
        <f t="shared" si="82"/>
        <v>0</v>
      </c>
      <c r="DA27" s="14">
        <f t="shared" si="82"/>
        <v>0</v>
      </c>
      <c r="DB27" s="14">
        <f t="shared" si="82"/>
        <v>0</v>
      </c>
      <c r="DC27" s="14">
        <f t="shared" si="82"/>
        <v>0</v>
      </c>
      <c r="DD27" s="14">
        <f t="shared" si="82"/>
        <v>0</v>
      </c>
      <c r="DE27" s="14">
        <f t="shared" si="82"/>
        <v>0</v>
      </c>
      <c r="DF27" s="14">
        <f t="shared" si="82"/>
        <v>0</v>
      </c>
      <c r="DH27" s="14">
        <f>SUM(BQ$7:BQ27)</f>
        <v>31.999999999999993</v>
      </c>
      <c r="DI27" s="14">
        <f>SUM(BR$7:BR27)</f>
        <v>31.999999999999993</v>
      </c>
      <c r="DJ27" s="14">
        <f>SUM(BS$7:BS27)</f>
        <v>17.75</v>
      </c>
      <c r="DK27" s="14">
        <f>SUM(BT$7:BT27)</f>
        <v>32.5</v>
      </c>
      <c r="DL27" s="14">
        <f>SUM(BU$7:BU27)</f>
        <v>32.5</v>
      </c>
      <c r="DM27" s="14">
        <f>SUM(BV$7:BV27)</f>
        <v>18.125</v>
      </c>
      <c r="DN27" s="14">
        <f>SUM(BW$7:BW27)</f>
        <v>18.125</v>
      </c>
      <c r="DO27" s="14">
        <f>SUM(BX$7:BX27)</f>
        <v>11.25</v>
      </c>
      <c r="DP27" s="14">
        <f>SUM(BY$7:BY27)</f>
        <v>20</v>
      </c>
      <c r="DQ27" s="14">
        <f>SUM(BZ$7:BZ27)</f>
        <v>20</v>
      </c>
      <c r="DR27" s="14">
        <f>SUM(CA$7:CA27)</f>
        <v>10.5</v>
      </c>
      <c r="DS27" s="14">
        <f>SUM(CB$7:CB27)</f>
        <v>10.5</v>
      </c>
      <c r="DT27" s="14">
        <f>SUM(CC$7:CC27)</f>
        <v>4</v>
      </c>
      <c r="DU27" s="14">
        <f>SUM(CD$7:CD27)</f>
        <v>2</v>
      </c>
      <c r="DV27" s="14">
        <f>SUM(CE$7:CE27)</f>
        <v>25</v>
      </c>
      <c r="DW27" s="14">
        <f>SUM(CF$7:CF27)</f>
        <v>25</v>
      </c>
      <c r="DX27" s="14">
        <f>SUM(CG$7:CG27)</f>
        <v>13.125</v>
      </c>
      <c r="DY27" s="14">
        <f>SUM(CH$7:CH27)</f>
        <v>13.125</v>
      </c>
      <c r="DZ27" s="14">
        <f>SUM(CI$7:CI27)</f>
        <v>5</v>
      </c>
      <c r="EA27" s="14">
        <f>SUM(CJ$7:CJ27)</f>
        <v>2.5</v>
      </c>
      <c r="EB27" s="14">
        <f>SUM(CK$7:CK27)</f>
        <v>5</v>
      </c>
      <c r="EC27" s="14">
        <f>SUM(CL$7:CL27)</f>
        <v>5</v>
      </c>
      <c r="ED27" s="14">
        <f>SUM(CM$7:CM27)</f>
        <v>2.625</v>
      </c>
      <c r="EE27" s="14">
        <f>SUM(CN$7:CN27)</f>
        <v>2.625</v>
      </c>
      <c r="EF27" s="14">
        <f>SUM(CO$7:CO27)</f>
        <v>1</v>
      </c>
      <c r="EG27" s="14">
        <f>SUM(CP$7:CP27)</f>
        <v>0.5</v>
      </c>
      <c r="EH27" s="14">
        <f>SUM(CQ$7:CQ27)</f>
        <v>0</v>
      </c>
      <c r="EI27" s="14">
        <f>SUM(CR$7:CR27)</f>
        <v>0</v>
      </c>
      <c r="EJ27" s="14">
        <f>SUM(CS$7:CS27)</f>
        <v>0</v>
      </c>
      <c r="EK27" s="14">
        <f>SUM(CT$7:CT27)</f>
        <v>0</v>
      </c>
      <c r="EL27" s="14">
        <f>SUM(CU$7:CU27)</f>
        <v>0</v>
      </c>
      <c r="EM27" s="14">
        <f>SUM(CV$7:CV27)</f>
        <v>0</v>
      </c>
      <c r="EN27" s="14">
        <f>SUM(CW$7:CW27)</f>
        <v>0</v>
      </c>
      <c r="EO27" s="14">
        <f>SUM(CX$7:CX27)</f>
        <v>0</v>
      </c>
      <c r="EP27" s="14">
        <f>SUM(CY$7:CY27)</f>
        <v>0</v>
      </c>
      <c r="EQ27" s="14">
        <f>SUM(CZ$7:CZ27)</f>
        <v>0</v>
      </c>
      <c r="ER27" s="14">
        <f>SUM(DA$7:DA27)</f>
        <v>0</v>
      </c>
      <c r="ES27" s="14">
        <f>SUM(DB$7:DB27)</f>
        <v>0</v>
      </c>
      <c r="ET27" s="14">
        <f>SUM(DC$7:DC27)</f>
        <v>0</v>
      </c>
      <c r="EU27" s="14">
        <f>SUM(DD$7:DD27)</f>
        <v>0</v>
      </c>
      <c r="EV27" s="14">
        <f>SUM(DE$7:DE27)</f>
        <v>0</v>
      </c>
      <c r="EW27" s="14">
        <f>SUM(DF$7:DF27)</f>
        <v>0</v>
      </c>
      <c r="EZ27" s="14">
        <f t="shared" si="56"/>
        <v>8</v>
      </c>
      <c r="FA27" s="14">
        <f t="shared" si="5"/>
        <v>11</v>
      </c>
      <c r="FB27" s="14">
        <f t="shared" si="6"/>
        <v>11</v>
      </c>
      <c r="FC27" s="14">
        <f t="shared" si="7"/>
        <v>8</v>
      </c>
      <c r="FD27" s="14">
        <f t="shared" si="57"/>
        <v>6</v>
      </c>
      <c r="FE27" s="14">
        <f t="shared" si="8"/>
        <v>11</v>
      </c>
      <c r="FF27" s="14">
        <f t="shared" si="9"/>
        <v>11</v>
      </c>
      <c r="FG27" s="14">
        <f t="shared" si="10"/>
        <v>9</v>
      </c>
      <c r="FH27" s="14">
        <f t="shared" si="11"/>
        <v>9</v>
      </c>
      <c r="FI27" s="14">
        <f t="shared" si="12"/>
        <v>6</v>
      </c>
      <c r="FJ27" s="14">
        <f t="shared" si="58"/>
        <v>2</v>
      </c>
      <c r="FK27" s="14">
        <f t="shared" si="13"/>
        <v>9</v>
      </c>
      <c r="FL27" s="14">
        <f t="shared" si="14"/>
        <v>9</v>
      </c>
      <c r="FM27" s="14">
        <f t="shared" si="15"/>
        <v>6</v>
      </c>
      <c r="FN27" s="14">
        <f t="shared" si="16"/>
        <v>6</v>
      </c>
      <c r="FO27" s="14">
        <f t="shared" si="17"/>
        <v>3</v>
      </c>
      <c r="FP27" s="14">
        <f t="shared" si="18"/>
        <v>2</v>
      </c>
      <c r="FQ27" s="14">
        <f t="shared" si="59"/>
        <v>2</v>
      </c>
      <c r="FR27" s="14">
        <f t="shared" si="19"/>
        <v>10</v>
      </c>
      <c r="FS27" s="14">
        <f t="shared" si="20"/>
        <v>10</v>
      </c>
      <c r="FT27" s="14">
        <f t="shared" si="21"/>
        <v>7</v>
      </c>
      <c r="FU27" s="14">
        <f t="shared" si="22"/>
        <v>7</v>
      </c>
      <c r="FV27" s="14">
        <f t="shared" si="23"/>
        <v>4</v>
      </c>
      <c r="FW27" s="14">
        <f t="shared" si="24"/>
        <v>2</v>
      </c>
      <c r="FX27" s="14">
        <f t="shared" si="60"/>
        <v>0</v>
      </c>
      <c r="FY27" s="14">
        <f t="shared" si="25"/>
        <v>4</v>
      </c>
      <c r="FZ27" s="14">
        <f t="shared" si="26"/>
        <v>4</v>
      </c>
      <c r="GA27" s="14">
        <f t="shared" si="27"/>
        <v>2</v>
      </c>
      <c r="GB27" s="14">
        <f t="shared" si="28"/>
        <v>2</v>
      </c>
      <c r="GC27" s="14">
        <f t="shared" si="29"/>
        <v>1</v>
      </c>
      <c r="GD27" s="14">
        <f t="shared" si="30"/>
        <v>0</v>
      </c>
      <c r="GE27" s="14">
        <f t="shared" si="61"/>
        <v>0</v>
      </c>
      <c r="GF27" s="14">
        <f t="shared" si="31"/>
        <v>0</v>
      </c>
      <c r="GG27" s="14">
        <f t="shared" si="32"/>
        <v>0</v>
      </c>
      <c r="GH27" s="14">
        <f t="shared" si="33"/>
        <v>0</v>
      </c>
      <c r="GI27" s="14">
        <f t="shared" si="34"/>
        <v>0</v>
      </c>
      <c r="GJ27" s="14">
        <f t="shared" si="35"/>
        <v>0</v>
      </c>
      <c r="GK27" s="14">
        <f t="shared" si="36"/>
        <v>0</v>
      </c>
      <c r="GL27" s="14">
        <f t="shared" si="37"/>
        <v>0</v>
      </c>
      <c r="GM27" s="14">
        <f t="shared" si="38"/>
        <v>0</v>
      </c>
      <c r="GN27" s="14">
        <f t="shared" si="62"/>
        <v>0</v>
      </c>
      <c r="GO27" s="14">
        <f t="shared" si="39"/>
        <v>0</v>
      </c>
      <c r="GP27" s="14">
        <f t="shared" si="40"/>
        <v>0</v>
      </c>
      <c r="GQ27" s="14">
        <f t="shared" si="41"/>
        <v>0</v>
      </c>
      <c r="GR27" s="14">
        <f t="shared" si="42"/>
        <v>0</v>
      </c>
      <c r="GS27" s="14">
        <f t="shared" si="43"/>
        <v>0</v>
      </c>
      <c r="GT27" s="14">
        <f t="shared" si="44"/>
        <v>0</v>
      </c>
      <c r="GU27" s="14">
        <f t="shared" si="45"/>
        <v>0</v>
      </c>
      <c r="GV27" s="14">
        <f t="shared" si="46"/>
        <v>0</v>
      </c>
      <c r="GY27" s="91">
        <v>21</v>
      </c>
      <c r="GZ27" s="14">
        <f t="shared" si="63"/>
        <v>2</v>
      </c>
      <c r="HA27" s="14">
        <f t="shared" si="64"/>
        <v>1</v>
      </c>
      <c r="HB27" s="14">
        <f t="shared" si="65"/>
        <v>1</v>
      </c>
      <c r="HC27" s="14">
        <f t="shared" si="66"/>
        <v>0.27200000000000002</v>
      </c>
      <c r="HD27" s="14">
        <f t="shared" si="67"/>
        <v>1606004</v>
      </c>
      <c r="HE27" s="14" t="str">
        <f t="shared" si="68"/>
        <v>神器1-2 : 6级</v>
      </c>
      <c r="HF27" s="14" t="s">
        <v>800</v>
      </c>
      <c r="HG27" s="14">
        <f t="shared" si="69"/>
        <v>6</v>
      </c>
      <c r="HH27" s="14" t="str">
        <f t="shared" si="70"/>
        <v>神器1-2</v>
      </c>
      <c r="HI27" s="14">
        <f t="shared" si="71"/>
        <v>2</v>
      </c>
      <c r="HJ27" s="14" t="s">
        <v>1595</v>
      </c>
      <c r="HK27" s="14">
        <f t="shared" si="72"/>
        <v>3250</v>
      </c>
    </row>
    <row r="28" spans="10:219" ht="16.5" x14ac:dyDescent="0.2">
      <c r="J28" s="87">
        <v>21</v>
      </c>
      <c r="K28" s="87">
        <v>15</v>
      </c>
      <c r="L28" s="87">
        <f>SUM(K$8:K28)</f>
        <v>130</v>
      </c>
      <c r="N28" s="90">
        <v>5</v>
      </c>
      <c r="O28" s="90">
        <v>1</v>
      </c>
      <c r="P28" s="90">
        <v>1</v>
      </c>
      <c r="Q28" s="90">
        <v>18</v>
      </c>
      <c r="R28" s="14">
        <f>SUM(Q$7:Q28)</f>
        <v>354</v>
      </c>
      <c r="S28" s="91">
        <v>1606023</v>
      </c>
      <c r="T28" s="14" t="str">
        <f t="shared" si="73"/>
        <v>神器5-1</v>
      </c>
      <c r="AF28" s="87">
        <v>22</v>
      </c>
      <c r="AG28" s="87">
        <v>5</v>
      </c>
      <c r="AH28" s="87">
        <v>2</v>
      </c>
      <c r="AI28" s="200">
        <v>1606024</v>
      </c>
      <c r="AJ28" s="87" t="str">
        <f t="shared" si="47"/>
        <v>神器5-2</v>
      </c>
      <c r="AK28" s="87">
        <v>1</v>
      </c>
      <c r="AL28" s="87">
        <f t="shared" si="48"/>
        <v>30</v>
      </c>
      <c r="AO28" s="87">
        <v>3</v>
      </c>
      <c r="AP28" s="87">
        <v>1</v>
      </c>
      <c r="AQ28" s="87">
        <v>10</v>
      </c>
      <c r="AR28" s="144">
        <f t="shared" si="49"/>
        <v>4410</v>
      </c>
      <c r="AS28" s="144" t="s">
        <v>1206</v>
      </c>
      <c r="AT28" s="144" t="str">
        <f t="shared" si="50"/>
        <v>神器本-3-普通-1  神器2-1</v>
      </c>
      <c r="AU28" s="87">
        <v>4</v>
      </c>
      <c r="AV28" s="87" t="s">
        <v>310</v>
      </c>
      <c r="AW28" s="87">
        <v>1500</v>
      </c>
      <c r="AX28" s="87">
        <v>1</v>
      </c>
      <c r="AY28" s="87">
        <v>1</v>
      </c>
      <c r="AZ28" s="87">
        <f t="shared" si="51"/>
        <v>1</v>
      </c>
      <c r="BA28" s="14">
        <f t="shared" si="52"/>
        <v>0.15</v>
      </c>
      <c r="BB28" s="14">
        <f t="shared" si="53"/>
        <v>2.25</v>
      </c>
      <c r="BL28" s="87">
        <v>22</v>
      </c>
      <c r="BM28" s="14">
        <f>INDEX(节奏总表!$CK$4:$CK$63,新神器!BL28)</f>
        <v>105</v>
      </c>
      <c r="BN28" s="14">
        <f t="shared" si="55"/>
        <v>5</v>
      </c>
      <c r="BO28" s="87">
        <v>3</v>
      </c>
      <c r="BP28" s="87">
        <v>5</v>
      </c>
      <c r="BQ28" s="14">
        <f t="shared" si="79"/>
        <v>0.75</v>
      </c>
      <c r="BR28" s="14">
        <f t="shared" si="79"/>
        <v>0.75</v>
      </c>
      <c r="BS28" s="14">
        <f t="shared" si="79"/>
        <v>0.5</v>
      </c>
      <c r="BT28" s="14">
        <f t="shared" si="79"/>
        <v>0.75</v>
      </c>
      <c r="BU28" s="14">
        <f t="shared" si="79"/>
        <v>0.75</v>
      </c>
      <c r="BV28" s="14">
        <f t="shared" si="79"/>
        <v>0.5</v>
      </c>
      <c r="BW28" s="14">
        <f t="shared" si="79"/>
        <v>0.5</v>
      </c>
      <c r="BX28" s="14">
        <f t="shared" si="79"/>
        <v>0.5</v>
      </c>
      <c r="BY28" s="14">
        <f t="shared" si="79"/>
        <v>0</v>
      </c>
      <c r="BZ28" s="14">
        <f t="shared" si="79"/>
        <v>0</v>
      </c>
      <c r="CA28" s="14">
        <f t="shared" si="80"/>
        <v>0</v>
      </c>
      <c r="CB28" s="14">
        <f t="shared" si="80"/>
        <v>0</v>
      </c>
      <c r="CC28" s="14">
        <f t="shared" si="80"/>
        <v>0</v>
      </c>
      <c r="CD28" s="14">
        <f t="shared" si="80"/>
        <v>0</v>
      </c>
      <c r="CE28" s="14">
        <f t="shared" si="80"/>
        <v>0</v>
      </c>
      <c r="CF28" s="14">
        <f t="shared" si="80"/>
        <v>0</v>
      </c>
      <c r="CG28" s="14">
        <f t="shared" si="80"/>
        <v>0</v>
      </c>
      <c r="CH28" s="14">
        <f t="shared" si="80"/>
        <v>0</v>
      </c>
      <c r="CI28" s="14">
        <f t="shared" si="80"/>
        <v>0</v>
      </c>
      <c r="CJ28" s="14">
        <f t="shared" si="80"/>
        <v>0</v>
      </c>
      <c r="CK28" s="14">
        <f t="shared" si="81"/>
        <v>5</v>
      </c>
      <c r="CL28" s="14">
        <f t="shared" si="81"/>
        <v>5</v>
      </c>
      <c r="CM28" s="14">
        <f t="shared" si="81"/>
        <v>2.625</v>
      </c>
      <c r="CN28" s="14">
        <f t="shared" si="81"/>
        <v>2.625</v>
      </c>
      <c r="CO28" s="14">
        <f t="shared" si="81"/>
        <v>1</v>
      </c>
      <c r="CP28" s="14">
        <f t="shared" si="81"/>
        <v>0.5</v>
      </c>
      <c r="CQ28" s="14">
        <f t="shared" si="81"/>
        <v>0</v>
      </c>
      <c r="CR28" s="14">
        <f t="shared" si="81"/>
        <v>0</v>
      </c>
      <c r="CS28" s="14">
        <f t="shared" si="81"/>
        <v>0</v>
      </c>
      <c r="CT28" s="14">
        <f t="shared" si="81"/>
        <v>0</v>
      </c>
      <c r="CU28" s="14">
        <f t="shared" si="82"/>
        <v>0</v>
      </c>
      <c r="CV28" s="14">
        <f t="shared" si="82"/>
        <v>0</v>
      </c>
      <c r="CW28" s="14">
        <f t="shared" si="82"/>
        <v>0</v>
      </c>
      <c r="CX28" s="14">
        <f t="shared" si="82"/>
        <v>0</v>
      </c>
      <c r="CY28" s="14">
        <f t="shared" si="82"/>
        <v>0</v>
      </c>
      <c r="CZ28" s="14">
        <f t="shared" si="82"/>
        <v>0</v>
      </c>
      <c r="DA28" s="14">
        <f t="shared" si="82"/>
        <v>0</v>
      </c>
      <c r="DB28" s="14">
        <f t="shared" si="82"/>
        <v>0</v>
      </c>
      <c r="DC28" s="14">
        <f t="shared" si="82"/>
        <v>0</v>
      </c>
      <c r="DD28" s="14">
        <f t="shared" si="82"/>
        <v>0</v>
      </c>
      <c r="DE28" s="14">
        <f t="shared" si="82"/>
        <v>0</v>
      </c>
      <c r="DF28" s="14">
        <f t="shared" si="82"/>
        <v>0</v>
      </c>
      <c r="DH28" s="14">
        <f>SUM(BQ$7:BQ28)</f>
        <v>32.749999999999993</v>
      </c>
      <c r="DI28" s="14">
        <f>SUM(BR$7:BR28)</f>
        <v>32.749999999999993</v>
      </c>
      <c r="DJ28" s="14">
        <f>SUM(BS$7:BS28)</f>
        <v>18.25</v>
      </c>
      <c r="DK28" s="14">
        <f>SUM(BT$7:BT28)</f>
        <v>33.25</v>
      </c>
      <c r="DL28" s="14">
        <f>SUM(BU$7:BU28)</f>
        <v>33.25</v>
      </c>
      <c r="DM28" s="14">
        <f>SUM(BV$7:BV28)</f>
        <v>18.625</v>
      </c>
      <c r="DN28" s="14">
        <f>SUM(BW$7:BW28)</f>
        <v>18.625</v>
      </c>
      <c r="DO28" s="14">
        <f>SUM(BX$7:BX28)</f>
        <v>11.75</v>
      </c>
      <c r="DP28" s="14">
        <f>SUM(BY$7:BY28)</f>
        <v>20</v>
      </c>
      <c r="DQ28" s="14">
        <f>SUM(BZ$7:BZ28)</f>
        <v>20</v>
      </c>
      <c r="DR28" s="14">
        <f>SUM(CA$7:CA28)</f>
        <v>10.5</v>
      </c>
      <c r="DS28" s="14">
        <f>SUM(CB$7:CB28)</f>
        <v>10.5</v>
      </c>
      <c r="DT28" s="14">
        <f>SUM(CC$7:CC28)</f>
        <v>4</v>
      </c>
      <c r="DU28" s="14">
        <f>SUM(CD$7:CD28)</f>
        <v>2</v>
      </c>
      <c r="DV28" s="14">
        <f>SUM(CE$7:CE28)</f>
        <v>25</v>
      </c>
      <c r="DW28" s="14">
        <f>SUM(CF$7:CF28)</f>
        <v>25</v>
      </c>
      <c r="DX28" s="14">
        <f>SUM(CG$7:CG28)</f>
        <v>13.125</v>
      </c>
      <c r="DY28" s="14">
        <f>SUM(CH$7:CH28)</f>
        <v>13.125</v>
      </c>
      <c r="DZ28" s="14">
        <f>SUM(CI$7:CI28)</f>
        <v>5</v>
      </c>
      <c r="EA28" s="14">
        <f>SUM(CJ$7:CJ28)</f>
        <v>2.5</v>
      </c>
      <c r="EB28" s="14">
        <f>SUM(CK$7:CK28)</f>
        <v>10</v>
      </c>
      <c r="EC28" s="14">
        <f>SUM(CL$7:CL28)</f>
        <v>10</v>
      </c>
      <c r="ED28" s="14">
        <f>SUM(CM$7:CM28)</f>
        <v>5.25</v>
      </c>
      <c r="EE28" s="14">
        <f>SUM(CN$7:CN28)</f>
        <v>5.25</v>
      </c>
      <c r="EF28" s="14">
        <f>SUM(CO$7:CO28)</f>
        <v>2</v>
      </c>
      <c r="EG28" s="14">
        <f>SUM(CP$7:CP28)</f>
        <v>1</v>
      </c>
      <c r="EH28" s="14">
        <f>SUM(CQ$7:CQ28)</f>
        <v>0</v>
      </c>
      <c r="EI28" s="14">
        <f>SUM(CR$7:CR28)</f>
        <v>0</v>
      </c>
      <c r="EJ28" s="14">
        <f>SUM(CS$7:CS28)</f>
        <v>0</v>
      </c>
      <c r="EK28" s="14">
        <f>SUM(CT$7:CT28)</f>
        <v>0</v>
      </c>
      <c r="EL28" s="14">
        <f>SUM(CU$7:CU28)</f>
        <v>0</v>
      </c>
      <c r="EM28" s="14">
        <f>SUM(CV$7:CV28)</f>
        <v>0</v>
      </c>
      <c r="EN28" s="14">
        <f>SUM(CW$7:CW28)</f>
        <v>0</v>
      </c>
      <c r="EO28" s="14">
        <f>SUM(CX$7:CX28)</f>
        <v>0</v>
      </c>
      <c r="EP28" s="14">
        <f>SUM(CY$7:CY28)</f>
        <v>0</v>
      </c>
      <c r="EQ28" s="14">
        <f>SUM(CZ$7:CZ28)</f>
        <v>0</v>
      </c>
      <c r="ER28" s="14">
        <f>SUM(DA$7:DA28)</f>
        <v>0</v>
      </c>
      <c r="ES28" s="14">
        <f>SUM(DB$7:DB28)</f>
        <v>0</v>
      </c>
      <c r="ET28" s="14">
        <f>SUM(DC$7:DC28)</f>
        <v>0</v>
      </c>
      <c r="EU28" s="14">
        <f>SUM(DD$7:DD28)</f>
        <v>0</v>
      </c>
      <c r="EV28" s="14">
        <f>SUM(DE$7:DE28)</f>
        <v>0</v>
      </c>
      <c r="EW28" s="14">
        <f>SUM(DF$7:DF28)</f>
        <v>0</v>
      </c>
      <c r="EZ28" s="14">
        <f t="shared" si="56"/>
        <v>9</v>
      </c>
      <c r="FA28" s="14">
        <f t="shared" si="5"/>
        <v>11</v>
      </c>
      <c r="FB28" s="14">
        <f t="shared" si="6"/>
        <v>11</v>
      </c>
      <c r="FC28" s="14">
        <f t="shared" si="7"/>
        <v>9</v>
      </c>
      <c r="FD28" s="14">
        <f t="shared" si="57"/>
        <v>6</v>
      </c>
      <c r="FE28" s="14">
        <f t="shared" si="8"/>
        <v>11</v>
      </c>
      <c r="FF28" s="14">
        <f t="shared" si="9"/>
        <v>11</v>
      </c>
      <c r="FG28" s="14">
        <f t="shared" si="10"/>
        <v>9</v>
      </c>
      <c r="FH28" s="14">
        <f t="shared" si="11"/>
        <v>9</v>
      </c>
      <c r="FI28" s="14">
        <f t="shared" si="12"/>
        <v>6</v>
      </c>
      <c r="FJ28" s="14">
        <f t="shared" si="58"/>
        <v>2</v>
      </c>
      <c r="FK28" s="14">
        <f t="shared" si="13"/>
        <v>9</v>
      </c>
      <c r="FL28" s="14">
        <f t="shared" si="14"/>
        <v>9</v>
      </c>
      <c r="FM28" s="14">
        <f t="shared" si="15"/>
        <v>6</v>
      </c>
      <c r="FN28" s="14">
        <f t="shared" si="16"/>
        <v>6</v>
      </c>
      <c r="FO28" s="14">
        <f t="shared" si="17"/>
        <v>3</v>
      </c>
      <c r="FP28" s="14">
        <f t="shared" si="18"/>
        <v>2</v>
      </c>
      <c r="FQ28" s="14">
        <f t="shared" si="59"/>
        <v>2</v>
      </c>
      <c r="FR28" s="14">
        <f t="shared" si="19"/>
        <v>10</v>
      </c>
      <c r="FS28" s="14">
        <f t="shared" si="20"/>
        <v>10</v>
      </c>
      <c r="FT28" s="14">
        <f t="shared" si="21"/>
        <v>7</v>
      </c>
      <c r="FU28" s="14">
        <f t="shared" si="22"/>
        <v>7</v>
      </c>
      <c r="FV28" s="14">
        <f t="shared" si="23"/>
        <v>4</v>
      </c>
      <c r="FW28" s="14">
        <f t="shared" si="24"/>
        <v>2</v>
      </c>
      <c r="FX28" s="14">
        <f t="shared" si="60"/>
        <v>1</v>
      </c>
      <c r="FY28" s="14">
        <f t="shared" si="25"/>
        <v>6</v>
      </c>
      <c r="FZ28" s="14">
        <f t="shared" si="26"/>
        <v>6</v>
      </c>
      <c r="GA28" s="14">
        <f t="shared" si="27"/>
        <v>4</v>
      </c>
      <c r="GB28" s="14">
        <f t="shared" si="28"/>
        <v>4</v>
      </c>
      <c r="GC28" s="14">
        <f t="shared" si="29"/>
        <v>2</v>
      </c>
      <c r="GD28" s="14">
        <f t="shared" si="30"/>
        <v>1</v>
      </c>
      <c r="GE28" s="14">
        <f t="shared" si="61"/>
        <v>0</v>
      </c>
      <c r="GF28" s="14">
        <f t="shared" si="31"/>
        <v>0</v>
      </c>
      <c r="GG28" s="14">
        <f t="shared" si="32"/>
        <v>0</v>
      </c>
      <c r="GH28" s="14">
        <f t="shared" si="33"/>
        <v>0</v>
      </c>
      <c r="GI28" s="14">
        <f t="shared" si="34"/>
        <v>0</v>
      </c>
      <c r="GJ28" s="14">
        <f t="shared" si="35"/>
        <v>0</v>
      </c>
      <c r="GK28" s="14">
        <f t="shared" si="36"/>
        <v>0</v>
      </c>
      <c r="GL28" s="14">
        <f t="shared" si="37"/>
        <v>0</v>
      </c>
      <c r="GM28" s="14">
        <f t="shared" si="38"/>
        <v>0</v>
      </c>
      <c r="GN28" s="14">
        <f t="shared" si="62"/>
        <v>0</v>
      </c>
      <c r="GO28" s="14">
        <f t="shared" si="39"/>
        <v>0</v>
      </c>
      <c r="GP28" s="14">
        <f t="shared" si="40"/>
        <v>0</v>
      </c>
      <c r="GQ28" s="14">
        <f t="shared" si="41"/>
        <v>0</v>
      </c>
      <c r="GR28" s="14">
        <f t="shared" si="42"/>
        <v>0</v>
      </c>
      <c r="GS28" s="14">
        <f t="shared" si="43"/>
        <v>0</v>
      </c>
      <c r="GT28" s="14">
        <f t="shared" si="44"/>
        <v>0</v>
      </c>
      <c r="GU28" s="14">
        <f t="shared" si="45"/>
        <v>0</v>
      </c>
      <c r="GV28" s="14">
        <f t="shared" si="46"/>
        <v>0</v>
      </c>
      <c r="GY28" s="91">
        <v>22</v>
      </c>
      <c r="GZ28" s="14">
        <f t="shared" si="63"/>
        <v>2</v>
      </c>
      <c r="HA28" s="14">
        <f t="shared" si="64"/>
        <v>1</v>
      </c>
      <c r="HB28" s="14">
        <f t="shared" si="65"/>
        <v>1</v>
      </c>
      <c r="HC28" s="14">
        <f t="shared" si="66"/>
        <v>0.27900000000000003</v>
      </c>
      <c r="HD28" s="14">
        <f t="shared" si="67"/>
        <v>1606004</v>
      </c>
      <c r="HE28" s="14" t="str">
        <f t="shared" si="68"/>
        <v>神器1-2 : 7级</v>
      </c>
      <c r="HF28" s="14" t="s">
        <v>800</v>
      </c>
      <c r="HG28" s="14">
        <f t="shared" si="69"/>
        <v>7</v>
      </c>
      <c r="HH28" s="14" t="str">
        <f t="shared" si="70"/>
        <v>神器1-2</v>
      </c>
      <c r="HI28" s="14">
        <f t="shared" si="71"/>
        <v>3</v>
      </c>
      <c r="HJ28" s="14" t="s">
        <v>1595</v>
      </c>
      <c r="HK28" s="14">
        <f t="shared" si="72"/>
        <v>3350</v>
      </c>
    </row>
    <row r="29" spans="10:219" ht="16.5" x14ac:dyDescent="0.2">
      <c r="N29" s="90">
        <v>5</v>
      </c>
      <c r="O29" s="90">
        <v>2</v>
      </c>
      <c r="P29" s="90">
        <v>1</v>
      </c>
      <c r="Q29" s="90">
        <v>18</v>
      </c>
      <c r="R29" s="14">
        <f>SUM(Q$7:Q29)</f>
        <v>372</v>
      </c>
      <c r="S29" s="91">
        <v>1606024</v>
      </c>
      <c r="T29" s="14" t="str">
        <f t="shared" si="73"/>
        <v>神器5-2</v>
      </c>
      <c r="AF29" s="87">
        <v>23</v>
      </c>
      <c r="AG29" s="87">
        <v>5</v>
      </c>
      <c r="AH29" s="87">
        <v>3</v>
      </c>
      <c r="AI29" s="200">
        <v>1606025</v>
      </c>
      <c r="AJ29" s="87" t="str">
        <f t="shared" si="47"/>
        <v>神器5-3</v>
      </c>
      <c r="AK29" s="87">
        <v>2</v>
      </c>
      <c r="AL29" s="87">
        <f t="shared" si="48"/>
        <v>90</v>
      </c>
      <c r="AO29" s="87">
        <v>3</v>
      </c>
      <c r="AP29" s="87">
        <v>1</v>
      </c>
      <c r="AQ29" s="87">
        <v>10</v>
      </c>
      <c r="AR29" s="144">
        <f t="shared" si="49"/>
        <v>4410</v>
      </c>
      <c r="AS29" s="144" t="s">
        <v>1206</v>
      </c>
      <c r="AT29" s="144" t="str">
        <f t="shared" si="50"/>
        <v>神器本-3-普通-1  神器2-2</v>
      </c>
      <c r="AU29" s="87">
        <v>5</v>
      </c>
      <c r="AV29" s="87" t="s">
        <v>311</v>
      </c>
      <c r="AW29" s="87">
        <v>1500</v>
      </c>
      <c r="AX29" s="87">
        <v>1</v>
      </c>
      <c r="AY29" s="87">
        <v>1</v>
      </c>
      <c r="AZ29" s="87">
        <f t="shared" si="51"/>
        <v>1</v>
      </c>
      <c r="BA29" s="14">
        <f t="shared" si="52"/>
        <v>0.15</v>
      </c>
      <c r="BB29" s="14">
        <f t="shared" si="53"/>
        <v>2.25</v>
      </c>
      <c r="BL29" s="87">
        <v>23</v>
      </c>
      <c r="BM29" s="14">
        <f>INDEX(节奏总表!$CK$4:$CK$63,新神器!BL29)</f>
        <v>107</v>
      </c>
      <c r="BN29" s="14">
        <f t="shared" si="55"/>
        <v>5</v>
      </c>
      <c r="BO29" s="87">
        <v>3</v>
      </c>
      <c r="BP29" s="87">
        <v>5</v>
      </c>
      <c r="BQ29" s="14">
        <f t="shared" si="79"/>
        <v>0.75</v>
      </c>
      <c r="BR29" s="14">
        <f t="shared" si="79"/>
        <v>0.75</v>
      </c>
      <c r="BS29" s="14">
        <f t="shared" si="79"/>
        <v>0.5</v>
      </c>
      <c r="BT29" s="14">
        <f t="shared" si="79"/>
        <v>0.75</v>
      </c>
      <c r="BU29" s="14">
        <f t="shared" si="79"/>
        <v>0.75</v>
      </c>
      <c r="BV29" s="14">
        <f t="shared" si="79"/>
        <v>0.5</v>
      </c>
      <c r="BW29" s="14">
        <f t="shared" si="79"/>
        <v>0.5</v>
      </c>
      <c r="BX29" s="14">
        <f t="shared" si="79"/>
        <v>0.5</v>
      </c>
      <c r="BY29" s="14">
        <f t="shared" si="79"/>
        <v>0</v>
      </c>
      <c r="BZ29" s="14">
        <f t="shared" si="79"/>
        <v>0</v>
      </c>
      <c r="CA29" s="14">
        <f t="shared" si="80"/>
        <v>0</v>
      </c>
      <c r="CB29" s="14">
        <f t="shared" si="80"/>
        <v>0</v>
      </c>
      <c r="CC29" s="14">
        <f t="shared" si="80"/>
        <v>0</v>
      </c>
      <c r="CD29" s="14">
        <f t="shared" si="80"/>
        <v>0</v>
      </c>
      <c r="CE29" s="14">
        <f t="shared" si="80"/>
        <v>0</v>
      </c>
      <c r="CF29" s="14">
        <f t="shared" si="80"/>
        <v>0</v>
      </c>
      <c r="CG29" s="14">
        <f t="shared" si="80"/>
        <v>0</v>
      </c>
      <c r="CH29" s="14">
        <f t="shared" si="80"/>
        <v>0</v>
      </c>
      <c r="CI29" s="14">
        <f t="shared" si="80"/>
        <v>0</v>
      </c>
      <c r="CJ29" s="14">
        <f t="shared" si="80"/>
        <v>0</v>
      </c>
      <c r="CK29" s="14">
        <f t="shared" si="81"/>
        <v>5</v>
      </c>
      <c r="CL29" s="14">
        <f t="shared" si="81"/>
        <v>5</v>
      </c>
      <c r="CM29" s="14">
        <f t="shared" si="81"/>
        <v>2.625</v>
      </c>
      <c r="CN29" s="14">
        <f t="shared" si="81"/>
        <v>2.625</v>
      </c>
      <c r="CO29" s="14">
        <f t="shared" si="81"/>
        <v>1</v>
      </c>
      <c r="CP29" s="14">
        <f t="shared" si="81"/>
        <v>0.5</v>
      </c>
      <c r="CQ29" s="14">
        <f t="shared" si="81"/>
        <v>0</v>
      </c>
      <c r="CR29" s="14">
        <f t="shared" si="81"/>
        <v>0</v>
      </c>
      <c r="CS29" s="14">
        <f t="shared" si="81"/>
        <v>0</v>
      </c>
      <c r="CT29" s="14">
        <f t="shared" si="81"/>
        <v>0</v>
      </c>
      <c r="CU29" s="14">
        <f t="shared" si="82"/>
        <v>0</v>
      </c>
      <c r="CV29" s="14">
        <f t="shared" si="82"/>
        <v>0</v>
      </c>
      <c r="CW29" s="14">
        <f t="shared" si="82"/>
        <v>0</v>
      </c>
      <c r="CX29" s="14">
        <f t="shared" si="82"/>
        <v>0</v>
      </c>
      <c r="CY29" s="14">
        <f t="shared" si="82"/>
        <v>0</v>
      </c>
      <c r="CZ29" s="14">
        <f t="shared" si="82"/>
        <v>0</v>
      </c>
      <c r="DA29" s="14">
        <f t="shared" si="82"/>
        <v>0</v>
      </c>
      <c r="DB29" s="14">
        <f t="shared" si="82"/>
        <v>0</v>
      </c>
      <c r="DC29" s="14">
        <f t="shared" si="82"/>
        <v>0</v>
      </c>
      <c r="DD29" s="14">
        <f t="shared" si="82"/>
        <v>0</v>
      </c>
      <c r="DE29" s="14">
        <f t="shared" si="82"/>
        <v>0</v>
      </c>
      <c r="DF29" s="14">
        <f t="shared" si="82"/>
        <v>0</v>
      </c>
      <c r="DH29" s="14">
        <f>SUM(BQ$7:BQ29)</f>
        <v>33.499999999999993</v>
      </c>
      <c r="DI29" s="14">
        <f>SUM(BR$7:BR29)</f>
        <v>33.499999999999993</v>
      </c>
      <c r="DJ29" s="14">
        <f>SUM(BS$7:BS29)</f>
        <v>18.75</v>
      </c>
      <c r="DK29" s="14">
        <f>SUM(BT$7:BT29)</f>
        <v>34</v>
      </c>
      <c r="DL29" s="14">
        <f>SUM(BU$7:BU29)</f>
        <v>34</v>
      </c>
      <c r="DM29" s="14">
        <f>SUM(BV$7:BV29)</f>
        <v>19.125</v>
      </c>
      <c r="DN29" s="14">
        <f>SUM(BW$7:BW29)</f>
        <v>19.125</v>
      </c>
      <c r="DO29" s="14">
        <f>SUM(BX$7:BX29)</f>
        <v>12.25</v>
      </c>
      <c r="DP29" s="14">
        <f>SUM(BY$7:BY29)</f>
        <v>20</v>
      </c>
      <c r="DQ29" s="14">
        <f>SUM(BZ$7:BZ29)</f>
        <v>20</v>
      </c>
      <c r="DR29" s="14">
        <f>SUM(CA$7:CA29)</f>
        <v>10.5</v>
      </c>
      <c r="DS29" s="14">
        <f>SUM(CB$7:CB29)</f>
        <v>10.5</v>
      </c>
      <c r="DT29" s="14">
        <f>SUM(CC$7:CC29)</f>
        <v>4</v>
      </c>
      <c r="DU29" s="14">
        <f>SUM(CD$7:CD29)</f>
        <v>2</v>
      </c>
      <c r="DV29" s="14">
        <f>SUM(CE$7:CE29)</f>
        <v>25</v>
      </c>
      <c r="DW29" s="14">
        <f>SUM(CF$7:CF29)</f>
        <v>25</v>
      </c>
      <c r="DX29" s="14">
        <f>SUM(CG$7:CG29)</f>
        <v>13.125</v>
      </c>
      <c r="DY29" s="14">
        <f>SUM(CH$7:CH29)</f>
        <v>13.125</v>
      </c>
      <c r="DZ29" s="14">
        <f>SUM(CI$7:CI29)</f>
        <v>5</v>
      </c>
      <c r="EA29" s="14">
        <f>SUM(CJ$7:CJ29)</f>
        <v>2.5</v>
      </c>
      <c r="EB29" s="14">
        <f>SUM(CK$7:CK29)</f>
        <v>15</v>
      </c>
      <c r="EC29" s="14">
        <f>SUM(CL$7:CL29)</f>
        <v>15</v>
      </c>
      <c r="ED29" s="14">
        <f>SUM(CM$7:CM29)</f>
        <v>7.875</v>
      </c>
      <c r="EE29" s="14">
        <f>SUM(CN$7:CN29)</f>
        <v>7.875</v>
      </c>
      <c r="EF29" s="14">
        <f>SUM(CO$7:CO29)</f>
        <v>3</v>
      </c>
      <c r="EG29" s="14">
        <f>SUM(CP$7:CP29)</f>
        <v>1.5</v>
      </c>
      <c r="EH29" s="14">
        <f>SUM(CQ$7:CQ29)</f>
        <v>0</v>
      </c>
      <c r="EI29" s="14">
        <f>SUM(CR$7:CR29)</f>
        <v>0</v>
      </c>
      <c r="EJ29" s="14">
        <f>SUM(CS$7:CS29)</f>
        <v>0</v>
      </c>
      <c r="EK29" s="14">
        <f>SUM(CT$7:CT29)</f>
        <v>0</v>
      </c>
      <c r="EL29" s="14">
        <f>SUM(CU$7:CU29)</f>
        <v>0</v>
      </c>
      <c r="EM29" s="14">
        <f>SUM(CV$7:CV29)</f>
        <v>0</v>
      </c>
      <c r="EN29" s="14">
        <f>SUM(CW$7:CW29)</f>
        <v>0</v>
      </c>
      <c r="EO29" s="14">
        <f>SUM(CX$7:CX29)</f>
        <v>0</v>
      </c>
      <c r="EP29" s="14">
        <f>SUM(CY$7:CY29)</f>
        <v>0</v>
      </c>
      <c r="EQ29" s="14">
        <f>SUM(CZ$7:CZ29)</f>
        <v>0</v>
      </c>
      <c r="ER29" s="14">
        <f>SUM(DA$7:DA29)</f>
        <v>0</v>
      </c>
      <c r="ES29" s="14">
        <f>SUM(DB$7:DB29)</f>
        <v>0</v>
      </c>
      <c r="ET29" s="14">
        <f>SUM(DC$7:DC29)</f>
        <v>0</v>
      </c>
      <c r="EU29" s="14">
        <f>SUM(DD$7:DD29)</f>
        <v>0</v>
      </c>
      <c r="EV29" s="14">
        <f>SUM(DE$7:DE29)</f>
        <v>0</v>
      </c>
      <c r="EW29" s="14">
        <f>SUM(DF$7:DF29)</f>
        <v>0</v>
      </c>
      <c r="EZ29" s="14">
        <f t="shared" si="56"/>
        <v>9</v>
      </c>
      <c r="FA29" s="14">
        <f t="shared" si="5"/>
        <v>11</v>
      </c>
      <c r="FB29" s="14">
        <f t="shared" si="6"/>
        <v>11</v>
      </c>
      <c r="FC29" s="14">
        <f t="shared" si="7"/>
        <v>9</v>
      </c>
      <c r="FD29" s="14">
        <f t="shared" si="57"/>
        <v>7</v>
      </c>
      <c r="FE29" s="14">
        <f t="shared" si="8"/>
        <v>12</v>
      </c>
      <c r="FF29" s="14">
        <f t="shared" si="9"/>
        <v>12</v>
      </c>
      <c r="FG29" s="14">
        <f t="shared" si="10"/>
        <v>9</v>
      </c>
      <c r="FH29" s="14">
        <f t="shared" si="11"/>
        <v>9</v>
      </c>
      <c r="FI29" s="14">
        <f t="shared" si="12"/>
        <v>7</v>
      </c>
      <c r="FJ29" s="14">
        <f t="shared" si="58"/>
        <v>2</v>
      </c>
      <c r="FK29" s="14">
        <f t="shared" si="13"/>
        <v>9</v>
      </c>
      <c r="FL29" s="14">
        <f t="shared" si="14"/>
        <v>9</v>
      </c>
      <c r="FM29" s="14">
        <f t="shared" si="15"/>
        <v>6</v>
      </c>
      <c r="FN29" s="14">
        <f t="shared" si="16"/>
        <v>6</v>
      </c>
      <c r="FO29" s="14">
        <f t="shared" si="17"/>
        <v>3</v>
      </c>
      <c r="FP29" s="14">
        <f t="shared" si="18"/>
        <v>2</v>
      </c>
      <c r="FQ29" s="14">
        <f t="shared" si="59"/>
        <v>2</v>
      </c>
      <c r="FR29" s="14">
        <f t="shared" si="19"/>
        <v>10</v>
      </c>
      <c r="FS29" s="14">
        <f t="shared" si="20"/>
        <v>10</v>
      </c>
      <c r="FT29" s="14">
        <f t="shared" si="21"/>
        <v>7</v>
      </c>
      <c r="FU29" s="14">
        <f t="shared" si="22"/>
        <v>7</v>
      </c>
      <c r="FV29" s="14">
        <f t="shared" si="23"/>
        <v>4</v>
      </c>
      <c r="FW29" s="14">
        <f t="shared" si="24"/>
        <v>2</v>
      </c>
      <c r="FX29" s="14">
        <f t="shared" si="60"/>
        <v>1</v>
      </c>
      <c r="FY29" s="14">
        <f t="shared" si="25"/>
        <v>8</v>
      </c>
      <c r="FZ29" s="14">
        <f t="shared" si="26"/>
        <v>8</v>
      </c>
      <c r="GA29" s="14">
        <f t="shared" si="27"/>
        <v>5</v>
      </c>
      <c r="GB29" s="14">
        <f t="shared" si="28"/>
        <v>5</v>
      </c>
      <c r="GC29" s="14">
        <f t="shared" si="29"/>
        <v>3</v>
      </c>
      <c r="GD29" s="14">
        <f t="shared" si="30"/>
        <v>1</v>
      </c>
      <c r="GE29" s="14">
        <f t="shared" si="61"/>
        <v>0</v>
      </c>
      <c r="GF29" s="14">
        <f t="shared" si="31"/>
        <v>0</v>
      </c>
      <c r="GG29" s="14">
        <f t="shared" si="32"/>
        <v>0</v>
      </c>
      <c r="GH29" s="14">
        <f t="shared" si="33"/>
        <v>0</v>
      </c>
      <c r="GI29" s="14">
        <f t="shared" si="34"/>
        <v>0</v>
      </c>
      <c r="GJ29" s="14">
        <f t="shared" si="35"/>
        <v>0</v>
      </c>
      <c r="GK29" s="14">
        <f t="shared" si="36"/>
        <v>0</v>
      </c>
      <c r="GL29" s="14">
        <f t="shared" si="37"/>
        <v>0</v>
      </c>
      <c r="GM29" s="14">
        <f t="shared" si="38"/>
        <v>0</v>
      </c>
      <c r="GN29" s="14">
        <f t="shared" si="62"/>
        <v>0</v>
      </c>
      <c r="GO29" s="14">
        <f t="shared" si="39"/>
        <v>0</v>
      </c>
      <c r="GP29" s="14">
        <f t="shared" si="40"/>
        <v>0</v>
      </c>
      <c r="GQ29" s="14">
        <f t="shared" si="41"/>
        <v>0</v>
      </c>
      <c r="GR29" s="14">
        <f t="shared" si="42"/>
        <v>0</v>
      </c>
      <c r="GS29" s="14">
        <f t="shared" si="43"/>
        <v>0</v>
      </c>
      <c r="GT29" s="14">
        <f t="shared" si="44"/>
        <v>0</v>
      </c>
      <c r="GU29" s="14">
        <f t="shared" si="45"/>
        <v>0</v>
      </c>
      <c r="GV29" s="14">
        <f t="shared" si="46"/>
        <v>0</v>
      </c>
      <c r="GY29" s="91">
        <v>23</v>
      </c>
      <c r="GZ29" s="14">
        <f t="shared" si="63"/>
        <v>2</v>
      </c>
      <c r="HA29" s="14">
        <f t="shared" si="64"/>
        <v>1</v>
      </c>
      <c r="HB29" s="14">
        <f t="shared" si="65"/>
        <v>1</v>
      </c>
      <c r="HC29" s="14">
        <f t="shared" si="66"/>
        <v>0.28599999999999998</v>
      </c>
      <c r="HD29" s="14">
        <f t="shared" si="67"/>
        <v>1606004</v>
      </c>
      <c r="HE29" s="14" t="str">
        <f t="shared" si="68"/>
        <v>神器1-2 : 8级</v>
      </c>
      <c r="HF29" s="14" t="s">
        <v>800</v>
      </c>
      <c r="HG29" s="14">
        <f t="shared" si="69"/>
        <v>8</v>
      </c>
      <c r="HH29" s="14" t="str">
        <f t="shared" si="70"/>
        <v>神器1-2</v>
      </c>
      <c r="HI29" s="14">
        <f t="shared" si="71"/>
        <v>3</v>
      </c>
      <c r="HJ29" s="14" t="s">
        <v>1595</v>
      </c>
      <c r="HK29" s="14">
        <f t="shared" si="72"/>
        <v>3450</v>
      </c>
    </row>
    <row r="30" spans="10:219" ht="16.5" x14ac:dyDescent="0.2">
      <c r="N30" s="90">
        <v>5</v>
      </c>
      <c r="O30" s="90">
        <v>3</v>
      </c>
      <c r="P30" s="90">
        <v>2</v>
      </c>
      <c r="Q30" s="90">
        <v>18</v>
      </c>
      <c r="R30" s="14">
        <f>SUM(Q$7:Q30)</f>
        <v>390</v>
      </c>
      <c r="S30" s="91">
        <v>1606025</v>
      </c>
      <c r="T30" s="14" t="str">
        <f t="shared" si="73"/>
        <v>神器5-3</v>
      </c>
      <c r="AF30" s="87">
        <v>24</v>
      </c>
      <c r="AG30" s="87">
        <v>5</v>
      </c>
      <c r="AH30" s="87">
        <v>4</v>
      </c>
      <c r="AI30" s="200">
        <v>1606026</v>
      </c>
      <c r="AJ30" s="87" t="str">
        <f t="shared" si="47"/>
        <v>神器5-4</v>
      </c>
      <c r="AK30" s="87">
        <v>2</v>
      </c>
      <c r="AL30" s="87">
        <f t="shared" si="48"/>
        <v>90</v>
      </c>
      <c r="AO30" s="87">
        <v>3</v>
      </c>
      <c r="AP30" s="87">
        <v>1</v>
      </c>
      <c r="AQ30" s="87">
        <v>10</v>
      </c>
      <c r="AR30" s="144">
        <f t="shared" si="49"/>
        <v>4410</v>
      </c>
      <c r="AS30" s="144" t="s">
        <v>1206</v>
      </c>
      <c r="AT30" s="144" t="str">
        <f t="shared" si="50"/>
        <v>神器本-3-普通-1  神器2-3</v>
      </c>
      <c r="AU30" s="87">
        <v>6</v>
      </c>
      <c r="AV30" s="87" t="s">
        <v>312</v>
      </c>
      <c r="AW30" s="87">
        <v>1000</v>
      </c>
      <c r="AX30" s="87">
        <v>1</v>
      </c>
      <c r="AY30" s="87">
        <v>1</v>
      </c>
      <c r="AZ30" s="87">
        <f t="shared" si="51"/>
        <v>2</v>
      </c>
      <c r="BA30" s="14">
        <f t="shared" si="52"/>
        <v>0.1</v>
      </c>
      <c r="BB30" s="14">
        <f t="shared" si="53"/>
        <v>4.5</v>
      </c>
      <c r="BL30" s="87">
        <v>24</v>
      </c>
      <c r="BM30" s="14">
        <f>INDEX(节奏总表!$CK$4:$CK$63,新神器!BL30)</f>
        <v>108</v>
      </c>
      <c r="BN30" s="14">
        <f t="shared" si="55"/>
        <v>5</v>
      </c>
      <c r="BO30" s="87">
        <v>3</v>
      </c>
      <c r="BP30" s="87">
        <v>5</v>
      </c>
      <c r="BQ30" s="14">
        <f t="shared" si="79"/>
        <v>0.75</v>
      </c>
      <c r="BR30" s="14">
        <f t="shared" si="79"/>
        <v>0.75</v>
      </c>
      <c r="BS30" s="14">
        <f t="shared" si="79"/>
        <v>0.5</v>
      </c>
      <c r="BT30" s="14">
        <f t="shared" si="79"/>
        <v>0.75</v>
      </c>
      <c r="BU30" s="14">
        <f t="shared" si="79"/>
        <v>0.75</v>
      </c>
      <c r="BV30" s="14">
        <f t="shared" si="79"/>
        <v>0.5</v>
      </c>
      <c r="BW30" s="14">
        <f t="shared" si="79"/>
        <v>0.5</v>
      </c>
      <c r="BX30" s="14">
        <f t="shared" si="79"/>
        <v>0.5</v>
      </c>
      <c r="BY30" s="14">
        <f t="shared" si="79"/>
        <v>0</v>
      </c>
      <c r="BZ30" s="14">
        <f t="shared" si="79"/>
        <v>0</v>
      </c>
      <c r="CA30" s="14">
        <f t="shared" si="80"/>
        <v>0</v>
      </c>
      <c r="CB30" s="14">
        <f t="shared" si="80"/>
        <v>0</v>
      </c>
      <c r="CC30" s="14">
        <f t="shared" si="80"/>
        <v>0</v>
      </c>
      <c r="CD30" s="14">
        <f t="shared" si="80"/>
        <v>0</v>
      </c>
      <c r="CE30" s="14">
        <f t="shared" si="80"/>
        <v>0</v>
      </c>
      <c r="CF30" s="14">
        <f t="shared" si="80"/>
        <v>0</v>
      </c>
      <c r="CG30" s="14">
        <f t="shared" si="80"/>
        <v>0</v>
      </c>
      <c r="CH30" s="14">
        <f t="shared" si="80"/>
        <v>0</v>
      </c>
      <c r="CI30" s="14">
        <f t="shared" si="80"/>
        <v>0</v>
      </c>
      <c r="CJ30" s="14">
        <f t="shared" si="80"/>
        <v>0</v>
      </c>
      <c r="CK30" s="14">
        <f t="shared" si="81"/>
        <v>5</v>
      </c>
      <c r="CL30" s="14">
        <f t="shared" si="81"/>
        <v>5</v>
      </c>
      <c r="CM30" s="14">
        <f t="shared" si="81"/>
        <v>2.625</v>
      </c>
      <c r="CN30" s="14">
        <f t="shared" si="81"/>
        <v>2.625</v>
      </c>
      <c r="CO30" s="14">
        <f t="shared" si="81"/>
        <v>1</v>
      </c>
      <c r="CP30" s="14">
        <f t="shared" si="81"/>
        <v>0.5</v>
      </c>
      <c r="CQ30" s="14">
        <f t="shared" si="81"/>
        <v>0</v>
      </c>
      <c r="CR30" s="14">
        <f t="shared" si="81"/>
        <v>0</v>
      </c>
      <c r="CS30" s="14">
        <f t="shared" si="81"/>
        <v>0</v>
      </c>
      <c r="CT30" s="14">
        <f t="shared" si="81"/>
        <v>0</v>
      </c>
      <c r="CU30" s="14">
        <f t="shared" si="82"/>
        <v>0</v>
      </c>
      <c r="CV30" s="14">
        <f t="shared" si="82"/>
        <v>0</v>
      </c>
      <c r="CW30" s="14">
        <f t="shared" si="82"/>
        <v>0</v>
      </c>
      <c r="CX30" s="14">
        <f t="shared" si="82"/>
        <v>0</v>
      </c>
      <c r="CY30" s="14">
        <f t="shared" si="82"/>
        <v>0</v>
      </c>
      <c r="CZ30" s="14">
        <f t="shared" si="82"/>
        <v>0</v>
      </c>
      <c r="DA30" s="14">
        <f t="shared" si="82"/>
        <v>0</v>
      </c>
      <c r="DB30" s="14">
        <f t="shared" si="82"/>
        <v>0</v>
      </c>
      <c r="DC30" s="14">
        <f t="shared" si="82"/>
        <v>0</v>
      </c>
      <c r="DD30" s="14">
        <f t="shared" si="82"/>
        <v>0</v>
      </c>
      <c r="DE30" s="14">
        <f t="shared" si="82"/>
        <v>0</v>
      </c>
      <c r="DF30" s="14">
        <f t="shared" si="82"/>
        <v>0</v>
      </c>
      <c r="DH30" s="14">
        <f>SUM(BQ$7:BQ30)</f>
        <v>34.249999999999993</v>
      </c>
      <c r="DI30" s="14">
        <f>SUM(BR$7:BR30)</f>
        <v>34.249999999999993</v>
      </c>
      <c r="DJ30" s="14">
        <f>SUM(BS$7:BS30)</f>
        <v>19.25</v>
      </c>
      <c r="DK30" s="14">
        <f>SUM(BT$7:BT30)</f>
        <v>34.75</v>
      </c>
      <c r="DL30" s="14">
        <f>SUM(BU$7:BU30)</f>
        <v>34.75</v>
      </c>
      <c r="DM30" s="14">
        <f>SUM(BV$7:BV30)</f>
        <v>19.625</v>
      </c>
      <c r="DN30" s="14">
        <f>SUM(BW$7:BW30)</f>
        <v>19.625</v>
      </c>
      <c r="DO30" s="14">
        <f>SUM(BX$7:BX30)</f>
        <v>12.75</v>
      </c>
      <c r="DP30" s="14">
        <f>SUM(BY$7:BY30)</f>
        <v>20</v>
      </c>
      <c r="DQ30" s="14">
        <f>SUM(BZ$7:BZ30)</f>
        <v>20</v>
      </c>
      <c r="DR30" s="14">
        <f>SUM(CA$7:CA30)</f>
        <v>10.5</v>
      </c>
      <c r="DS30" s="14">
        <f>SUM(CB$7:CB30)</f>
        <v>10.5</v>
      </c>
      <c r="DT30" s="14">
        <f>SUM(CC$7:CC30)</f>
        <v>4</v>
      </c>
      <c r="DU30" s="14">
        <f>SUM(CD$7:CD30)</f>
        <v>2</v>
      </c>
      <c r="DV30" s="14">
        <f>SUM(CE$7:CE30)</f>
        <v>25</v>
      </c>
      <c r="DW30" s="14">
        <f>SUM(CF$7:CF30)</f>
        <v>25</v>
      </c>
      <c r="DX30" s="14">
        <f>SUM(CG$7:CG30)</f>
        <v>13.125</v>
      </c>
      <c r="DY30" s="14">
        <f>SUM(CH$7:CH30)</f>
        <v>13.125</v>
      </c>
      <c r="DZ30" s="14">
        <f>SUM(CI$7:CI30)</f>
        <v>5</v>
      </c>
      <c r="EA30" s="14">
        <f>SUM(CJ$7:CJ30)</f>
        <v>2.5</v>
      </c>
      <c r="EB30" s="14">
        <f>SUM(CK$7:CK30)</f>
        <v>20</v>
      </c>
      <c r="EC30" s="14">
        <f>SUM(CL$7:CL30)</f>
        <v>20</v>
      </c>
      <c r="ED30" s="14">
        <f>SUM(CM$7:CM30)</f>
        <v>10.5</v>
      </c>
      <c r="EE30" s="14">
        <f>SUM(CN$7:CN30)</f>
        <v>10.5</v>
      </c>
      <c r="EF30" s="14">
        <f>SUM(CO$7:CO30)</f>
        <v>4</v>
      </c>
      <c r="EG30" s="14">
        <f>SUM(CP$7:CP30)</f>
        <v>2</v>
      </c>
      <c r="EH30" s="14">
        <f>SUM(CQ$7:CQ30)</f>
        <v>0</v>
      </c>
      <c r="EI30" s="14">
        <f>SUM(CR$7:CR30)</f>
        <v>0</v>
      </c>
      <c r="EJ30" s="14">
        <f>SUM(CS$7:CS30)</f>
        <v>0</v>
      </c>
      <c r="EK30" s="14">
        <f>SUM(CT$7:CT30)</f>
        <v>0</v>
      </c>
      <c r="EL30" s="14">
        <f>SUM(CU$7:CU30)</f>
        <v>0</v>
      </c>
      <c r="EM30" s="14">
        <f>SUM(CV$7:CV30)</f>
        <v>0</v>
      </c>
      <c r="EN30" s="14">
        <f>SUM(CW$7:CW30)</f>
        <v>0</v>
      </c>
      <c r="EO30" s="14">
        <f>SUM(CX$7:CX30)</f>
        <v>0</v>
      </c>
      <c r="EP30" s="14">
        <f>SUM(CY$7:CY30)</f>
        <v>0</v>
      </c>
      <c r="EQ30" s="14">
        <f>SUM(CZ$7:CZ30)</f>
        <v>0</v>
      </c>
      <c r="ER30" s="14">
        <f>SUM(DA$7:DA30)</f>
        <v>0</v>
      </c>
      <c r="ES30" s="14">
        <f>SUM(DB$7:DB30)</f>
        <v>0</v>
      </c>
      <c r="ET30" s="14">
        <f>SUM(DC$7:DC30)</f>
        <v>0</v>
      </c>
      <c r="EU30" s="14">
        <f>SUM(DD$7:DD30)</f>
        <v>0</v>
      </c>
      <c r="EV30" s="14">
        <f>SUM(DE$7:DE30)</f>
        <v>0</v>
      </c>
      <c r="EW30" s="14">
        <f>SUM(DF$7:DF30)</f>
        <v>0</v>
      </c>
      <c r="EZ30" s="14">
        <f t="shared" si="56"/>
        <v>9</v>
      </c>
      <c r="FA30" s="14">
        <f t="shared" si="5"/>
        <v>12</v>
      </c>
      <c r="FB30" s="14">
        <f t="shared" si="6"/>
        <v>12</v>
      </c>
      <c r="FC30" s="14">
        <f t="shared" si="7"/>
        <v>9</v>
      </c>
      <c r="FD30" s="14">
        <f t="shared" si="57"/>
        <v>7</v>
      </c>
      <c r="FE30" s="14">
        <f t="shared" si="8"/>
        <v>12</v>
      </c>
      <c r="FF30" s="14">
        <f t="shared" si="9"/>
        <v>12</v>
      </c>
      <c r="FG30" s="14">
        <f t="shared" si="10"/>
        <v>9</v>
      </c>
      <c r="FH30" s="14">
        <f t="shared" si="11"/>
        <v>9</v>
      </c>
      <c r="FI30" s="14">
        <f t="shared" si="12"/>
        <v>7</v>
      </c>
      <c r="FJ30" s="14">
        <f t="shared" si="58"/>
        <v>2</v>
      </c>
      <c r="FK30" s="14">
        <f t="shared" si="13"/>
        <v>9</v>
      </c>
      <c r="FL30" s="14">
        <f t="shared" si="14"/>
        <v>9</v>
      </c>
      <c r="FM30" s="14">
        <f t="shared" si="15"/>
        <v>6</v>
      </c>
      <c r="FN30" s="14">
        <f t="shared" si="16"/>
        <v>6</v>
      </c>
      <c r="FO30" s="14">
        <f t="shared" si="17"/>
        <v>3</v>
      </c>
      <c r="FP30" s="14">
        <f t="shared" si="18"/>
        <v>2</v>
      </c>
      <c r="FQ30" s="14">
        <f t="shared" si="59"/>
        <v>2</v>
      </c>
      <c r="FR30" s="14">
        <f t="shared" si="19"/>
        <v>10</v>
      </c>
      <c r="FS30" s="14">
        <f t="shared" si="20"/>
        <v>10</v>
      </c>
      <c r="FT30" s="14">
        <f t="shared" si="21"/>
        <v>7</v>
      </c>
      <c r="FU30" s="14">
        <f t="shared" si="22"/>
        <v>7</v>
      </c>
      <c r="FV30" s="14">
        <f t="shared" si="23"/>
        <v>4</v>
      </c>
      <c r="FW30" s="14">
        <f t="shared" si="24"/>
        <v>2</v>
      </c>
      <c r="FX30" s="14">
        <f t="shared" si="60"/>
        <v>2</v>
      </c>
      <c r="FY30" s="14">
        <f t="shared" si="25"/>
        <v>9</v>
      </c>
      <c r="FZ30" s="14">
        <f t="shared" si="26"/>
        <v>9</v>
      </c>
      <c r="GA30" s="14">
        <f t="shared" si="27"/>
        <v>6</v>
      </c>
      <c r="GB30" s="14">
        <f t="shared" si="28"/>
        <v>6</v>
      </c>
      <c r="GC30" s="14">
        <f t="shared" si="29"/>
        <v>3</v>
      </c>
      <c r="GD30" s="14">
        <f t="shared" si="30"/>
        <v>2</v>
      </c>
      <c r="GE30" s="14">
        <f t="shared" si="61"/>
        <v>0</v>
      </c>
      <c r="GF30" s="14">
        <f t="shared" si="31"/>
        <v>0</v>
      </c>
      <c r="GG30" s="14">
        <f t="shared" si="32"/>
        <v>0</v>
      </c>
      <c r="GH30" s="14">
        <f t="shared" si="33"/>
        <v>0</v>
      </c>
      <c r="GI30" s="14">
        <f t="shared" si="34"/>
        <v>0</v>
      </c>
      <c r="GJ30" s="14">
        <f t="shared" si="35"/>
        <v>0</v>
      </c>
      <c r="GK30" s="14">
        <f t="shared" si="36"/>
        <v>0</v>
      </c>
      <c r="GL30" s="14">
        <f t="shared" si="37"/>
        <v>0</v>
      </c>
      <c r="GM30" s="14">
        <f t="shared" si="38"/>
        <v>0</v>
      </c>
      <c r="GN30" s="14">
        <f t="shared" si="62"/>
        <v>0</v>
      </c>
      <c r="GO30" s="14">
        <f t="shared" si="39"/>
        <v>0</v>
      </c>
      <c r="GP30" s="14">
        <f t="shared" si="40"/>
        <v>0</v>
      </c>
      <c r="GQ30" s="14">
        <f t="shared" si="41"/>
        <v>0</v>
      </c>
      <c r="GR30" s="14">
        <f t="shared" si="42"/>
        <v>0</v>
      </c>
      <c r="GS30" s="14">
        <f t="shared" si="43"/>
        <v>0</v>
      </c>
      <c r="GT30" s="14">
        <f t="shared" si="44"/>
        <v>0</v>
      </c>
      <c r="GU30" s="14">
        <f t="shared" si="45"/>
        <v>0</v>
      </c>
      <c r="GV30" s="14">
        <f t="shared" si="46"/>
        <v>0</v>
      </c>
      <c r="GY30" s="91">
        <v>24</v>
      </c>
      <c r="GZ30" s="14">
        <f t="shared" si="63"/>
        <v>2</v>
      </c>
      <c r="HA30" s="14">
        <f t="shared" si="64"/>
        <v>1</v>
      </c>
      <c r="HB30" s="14">
        <f t="shared" si="65"/>
        <v>1</v>
      </c>
      <c r="HC30" s="14">
        <f t="shared" si="66"/>
        <v>0.29299999999999998</v>
      </c>
      <c r="HD30" s="14">
        <f t="shared" si="67"/>
        <v>1606004</v>
      </c>
      <c r="HE30" s="14" t="str">
        <f t="shared" si="68"/>
        <v>神器1-2 : 9级</v>
      </c>
      <c r="HF30" s="14" t="s">
        <v>800</v>
      </c>
      <c r="HG30" s="14">
        <f t="shared" si="69"/>
        <v>9</v>
      </c>
      <c r="HH30" s="14" t="str">
        <f t="shared" si="70"/>
        <v>神器1-2</v>
      </c>
      <c r="HI30" s="14">
        <f t="shared" si="71"/>
        <v>3</v>
      </c>
      <c r="HJ30" s="14" t="s">
        <v>1595</v>
      </c>
      <c r="HK30" s="14">
        <f t="shared" si="72"/>
        <v>3500</v>
      </c>
    </row>
    <row r="31" spans="10:219" ht="16.5" x14ac:dyDescent="0.2">
      <c r="N31" s="90">
        <v>5</v>
      </c>
      <c r="O31" s="90">
        <v>4</v>
      </c>
      <c r="P31" s="90">
        <v>2</v>
      </c>
      <c r="Q31" s="90">
        <v>18</v>
      </c>
      <c r="R31" s="14">
        <f>SUM(Q$7:Q31)</f>
        <v>408</v>
      </c>
      <c r="S31" s="91">
        <v>1606026</v>
      </c>
      <c r="T31" s="14" t="str">
        <f t="shared" si="73"/>
        <v>神器5-4</v>
      </c>
      <c r="AF31" s="87">
        <v>25</v>
      </c>
      <c r="AG31" s="87">
        <v>5</v>
      </c>
      <c r="AH31" s="87">
        <v>5</v>
      </c>
      <c r="AI31" s="200">
        <v>1606027</v>
      </c>
      <c r="AJ31" s="87" t="str">
        <f t="shared" si="47"/>
        <v>神器5-5</v>
      </c>
      <c r="AK31" s="87">
        <v>3</v>
      </c>
      <c r="AL31" s="87">
        <f t="shared" si="48"/>
        <v>210</v>
      </c>
      <c r="AO31" s="87">
        <v>3</v>
      </c>
      <c r="AP31" s="87">
        <v>1</v>
      </c>
      <c r="AQ31" s="87">
        <v>10</v>
      </c>
      <c r="AR31" s="144">
        <f t="shared" si="49"/>
        <v>4410</v>
      </c>
      <c r="AS31" s="144" t="s">
        <v>1206</v>
      </c>
      <c r="AT31" s="144" t="str">
        <f t="shared" si="50"/>
        <v>神器本-3-普通-1  神器2-4</v>
      </c>
      <c r="AU31" s="87">
        <v>7</v>
      </c>
      <c r="AV31" s="87" t="s">
        <v>313</v>
      </c>
      <c r="AW31" s="87">
        <v>1000</v>
      </c>
      <c r="AX31" s="87">
        <v>1</v>
      </c>
      <c r="AY31" s="87">
        <v>1</v>
      </c>
      <c r="AZ31" s="87">
        <f t="shared" si="51"/>
        <v>2</v>
      </c>
      <c r="BA31" s="14">
        <f t="shared" si="52"/>
        <v>0.1</v>
      </c>
      <c r="BB31" s="14">
        <f t="shared" si="53"/>
        <v>4.5</v>
      </c>
      <c r="BL31" s="87">
        <v>25</v>
      </c>
      <c r="BM31" s="14">
        <f>INDEX(节奏总表!$CK$4:$CK$63,新神器!BL31)</f>
        <v>110</v>
      </c>
      <c r="BN31" s="14">
        <f t="shared" si="55"/>
        <v>5</v>
      </c>
      <c r="BO31" s="87">
        <v>3</v>
      </c>
      <c r="BP31" s="87">
        <v>5</v>
      </c>
      <c r="BQ31" s="14">
        <f t="shared" si="79"/>
        <v>0.75</v>
      </c>
      <c r="BR31" s="14">
        <f t="shared" si="79"/>
        <v>0.75</v>
      </c>
      <c r="BS31" s="14">
        <f t="shared" si="79"/>
        <v>0.5</v>
      </c>
      <c r="BT31" s="14">
        <f t="shared" si="79"/>
        <v>0.75</v>
      </c>
      <c r="BU31" s="14">
        <f t="shared" si="79"/>
        <v>0.75</v>
      </c>
      <c r="BV31" s="14">
        <f t="shared" si="79"/>
        <v>0.5</v>
      </c>
      <c r="BW31" s="14">
        <f t="shared" si="79"/>
        <v>0.5</v>
      </c>
      <c r="BX31" s="14">
        <f t="shared" si="79"/>
        <v>0.5</v>
      </c>
      <c r="BY31" s="14">
        <f t="shared" si="79"/>
        <v>0</v>
      </c>
      <c r="BZ31" s="14">
        <f t="shared" si="79"/>
        <v>0</v>
      </c>
      <c r="CA31" s="14">
        <f t="shared" si="80"/>
        <v>0</v>
      </c>
      <c r="CB31" s="14">
        <f t="shared" si="80"/>
        <v>0</v>
      </c>
      <c r="CC31" s="14">
        <f t="shared" si="80"/>
        <v>0</v>
      </c>
      <c r="CD31" s="14">
        <f t="shared" si="80"/>
        <v>0</v>
      </c>
      <c r="CE31" s="14">
        <f t="shared" si="80"/>
        <v>0</v>
      </c>
      <c r="CF31" s="14">
        <f t="shared" si="80"/>
        <v>0</v>
      </c>
      <c r="CG31" s="14">
        <f t="shared" si="80"/>
        <v>0</v>
      </c>
      <c r="CH31" s="14">
        <f t="shared" si="80"/>
        <v>0</v>
      </c>
      <c r="CI31" s="14">
        <f t="shared" si="80"/>
        <v>0</v>
      </c>
      <c r="CJ31" s="14">
        <f t="shared" si="80"/>
        <v>0</v>
      </c>
      <c r="CK31" s="14">
        <f t="shared" si="81"/>
        <v>5</v>
      </c>
      <c r="CL31" s="14">
        <f t="shared" si="81"/>
        <v>5</v>
      </c>
      <c r="CM31" s="14">
        <f t="shared" si="81"/>
        <v>2.625</v>
      </c>
      <c r="CN31" s="14">
        <f t="shared" si="81"/>
        <v>2.625</v>
      </c>
      <c r="CO31" s="14">
        <f t="shared" si="81"/>
        <v>1</v>
      </c>
      <c r="CP31" s="14">
        <f t="shared" si="81"/>
        <v>0.5</v>
      </c>
      <c r="CQ31" s="14">
        <f t="shared" si="81"/>
        <v>0</v>
      </c>
      <c r="CR31" s="14">
        <f t="shared" si="81"/>
        <v>0</v>
      </c>
      <c r="CS31" s="14">
        <f t="shared" si="81"/>
        <v>0</v>
      </c>
      <c r="CT31" s="14">
        <f t="shared" si="81"/>
        <v>0</v>
      </c>
      <c r="CU31" s="14">
        <f t="shared" si="82"/>
        <v>0</v>
      </c>
      <c r="CV31" s="14">
        <f t="shared" si="82"/>
        <v>0</v>
      </c>
      <c r="CW31" s="14">
        <f t="shared" si="82"/>
        <v>0</v>
      </c>
      <c r="CX31" s="14">
        <f t="shared" si="82"/>
        <v>0</v>
      </c>
      <c r="CY31" s="14">
        <f t="shared" si="82"/>
        <v>0</v>
      </c>
      <c r="CZ31" s="14">
        <f t="shared" si="82"/>
        <v>0</v>
      </c>
      <c r="DA31" s="14">
        <f t="shared" si="82"/>
        <v>0</v>
      </c>
      <c r="DB31" s="14">
        <f t="shared" si="82"/>
        <v>0</v>
      </c>
      <c r="DC31" s="14">
        <f t="shared" si="82"/>
        <v>0</v>
      </c>
      <c r="DD31" s="14">
        <f t="shared" si="82"/>
        <v>0</v>
      </c>
      <c r="DE31" s="14">
        <f t="shared" si="82"/>
        <v>0</v>
      </c>
      <c r="DF31" s="14">
        <f t="shared" si="82"/>
        <v>0</v>
      </c>
      <c r="DH31" s="14">
        <f>SUM(BQ$7:BQ31)</f>
        <v>34.999999999999993</v>
      </c>
      <c r="DI31" s="14">
        <f>SUM(BR$7:BR31)</f>
        <v>34.999999999999993</v>
      </c>
      <c r="DJ31" s="14">
        <f>SUM(BS$7:BS31)</f>
        <v>19.75</v>
      </c>
      <c r="DK31" s="14">
        <f>SUM(BT$7:BT31)</f>
        <v>35.5</v>
      </c>
      <c r="DL31" s="14">
        <f>SUM(BU$7:BU31)</f>
        <v>35.5</v>
      </c>
      <c r="DM31" s="14">
        <f>SUM(BV$7:BV31)</f>
        <v>20.125</v>
      </c>
      <c r="DN31" s="14">
        <f>SUM(BW$7:BW31)</f>
        <v>20.125</v>
      </c>
      <c r="DO31" s="14">
        <f>SUM(BX$7:BX31)</f>
        <v>13.25</v>
      </c>
      <c r="DP31" s="14">
        <f>SUM(BY$7:BY31)</f>
        <v>20</v>
      </c>
      <c r="DQ31" s="14">
        <f>SUM(BZ$7:BZ31)</f>
        <v>20</v>
      </c>
      <c r="DR31" s="14">
        <f>SUM(CA$7:CA31)</f>
        <v>10.5</v>
      </c>
      <c r="DS31" s="14">
        <f>SUM(CB$7:CB31)</f>
        <v>10.5</v>
      </c>
      <c r="DT31" s="14">
        <f>SUM(CC$7:CC31)</f>
        <v>4</v>
      </c>
      <c r="DU31" s="14">
        <f>SUM(CD$7:CD31)</f>
        <v>2</v>
      </c>
      <c r="DV31" s="14">
        <f>SUM(CE$7:CE31)</f>
        <v>25</v>
      </c>
      <c r="DW31" s="14">
        <f>SUM(CF$7:CF31)</f>
        <v>25</v>
      </c>
      <c r="DX31" s="14">
        <f>SUM(CG$7:CG31)</f>
        <v>13.125</v>
      </c>
      <c r="DY31" s="14">
        <f>SUM(CH$7:CH31)</f>
        <v>13.125</v>
      </c>
      <c r="DZ31" s="14">
        <f>SUM(CI$7:CI31)</f>
        <v>5</v>
      </c>
      <c r="EA31" s="14">
        <f>SUM(CJ$7:CJ31)</f>
        <v>2.5</v>
      </c>
      <c r="EB31" s="14">
        <f>SUM(CK$7:CK31)</f>
        <v>25</v>
      </c>
      <c r="EC31" s="14">
        <f>SUM(CL$7:CL31)</f>
        <v>25</v>
      </c>
      <c r="ED31" s="14">
        <f>SUM(CM$7:CM31)</f>
        <v>13.125</v>
      </c>
      <c r="EE31" s="14">
        <f>SUM(CN$7:CN31)</f>
        <v>13.125</v>
      </c>
      <c r="EF31" s="14">
        <f>SUM(CO$7:CO31)</f>
        <v>5</v>
      </c>
      <c r="EG31" s="14">
        <f>SUM(CP$7:CP31)</f>
        <v>2.5</v>
      </c>
      <c r="EH31" s="14">
        <f>SUM(CQ$7:CQ31)</f>
        <v>0</v>
      </c>
      <c r="EI31" s="14">
        <f>SUM(CR$7:CR31)</f>
        <v>0</v>
      </c>
      <c r="EJ31" s="14">
        <f>SUM(CS$7:CS31)</f>
        <v>0</v>
      </c>
      <c r="EK31" s="14">
        <f>SUM(CT$7:CT31)</f>
        <v>0</v>
      </c>
      <c r="EL31" s="14">
        <f>SUM(CU$7:CU31)</f>
        <v>0</v>
      </c>
      <c r="EM31" s="14">
        <f>SUM(CV$7:CV31)</f>
        <v>0</v>
      </c>
      <c r="EN31" s="14">
        <f>SUM(CW$7:CW31)</f>
        <v>0</v>
      </c>
      <c r="EO31" s="14">
        <f>SUM(CX$7:CX31)</f>
        <v>0</v>
      </c>
      <c r="EP31" s="14">
        <f>SUM(CY$7:CY31)</f>
        <v>0</v>
      </c>
      <c r="EQ31" s="14">
        <f>SUM(CZ$7:CZ31)</f>
        <v>0</v>
      </c>
      <c r="ER31" s="14">
        <f>SUM(DA$7:DA31)</f>
        <v>0</v>
      </c>
      <c r="ES31" s="14">
        <f>SUM(DB$7:DB31)</f>
        <v>0</v>
      </c>
      <c r="ET31" s="14">
        <f>SUM(DC$7:DC31)</f>
        <v>0</v>
      </c>
      <c r="EU31" s="14">
        <f>SUM(DD$7:DD31)</f>
        <v>0</v>
      </c>
      <c r="EV31" s="14">
        <f>SUM(DE$7:DE31)</f>
        <v>0</v>
      </c>
      <c r="EW31" s="14">
        <f>SUM(DF$7:DF31)</f>
        <v>0</v>
      </c>
      <c r="EZ31" s="14">
        <f t="shared" si="56"/>
        <v>9</v>
      </c>
      <c r="FA31" s="14">
        <f t="shared" si="5"/>
        <v>12</v>
      </c>
      <c r="FB31" s="14">
        <f t="shared" si="6"/>
        <v>12</v>
      </c>
      <c r="FC31" s="14">
        <f t="shared" si="7"/>
        <v>9</v>
      </c>
      <c r="FD31" s="14">
        <f t="shared" si="57"/>
        <v>7</v>
      </c>
      <c r="FE31" s="14">
        <f t="shared" si="8"/>
        <v>12</v>
      </c>
      <c r="FF31" s="14">
        <f t="shared" si="9"/>
        <v>12</v>
      </c>
      <c r="FG31" s="14">
        <f t="shared" si="10"/>
        <v>9</v>
      </c>
      <c r="FH31" s="14">
        <f t="shared" si="11"/>
        <v>9</v>
      </c>
      <c r="FI31" s="14">
        <f t="shared" si="12"/>
        <v>7</v>
      </c>
      <c r="FJ31" s="14">
        <f t="shared" si="58"/>
        <v>2</v>
      </c>
      <c r="FK31" s="14">
        <f t="shared" si="13"/>
        <v>9</v>
      </c>
      <c r="FL31" s="14">
        <f t="shared" si="14"/>
        <v>9</v>
      </c>
      <c r="FM31" s="14">
        <f t="shared" si="15"/>
        <v>6</v>
      </c>
      <c r="FN31" s="14">
        <f t="shared" si="16"/>
        <v>6</v>
      </c>
      <c r="FO31" s="14">
        <f t="shared" si="17"/>
        <v>3</v>
      </c>
      <c r="FP31" s="14">
        <f t="shared" si="18"/>
        <v>2</v>
      </c>
      <c r="FQ31" s="14">
        <f t="shared" si="59"/>
        <v>2</v>
      </c>
      <c r="FR31" s="14">
        <f t="shared" si="19"/>
        <v>10</v>
      </c>
      <c r="FS31" s="14">
        <f t="shared" si="20"/>
        <v>10</v>
      </c>
      <c r="FT31" s="14">
        <f t="shared" si="21"/>
        <v>7</v>
      </c>
      <c r="FU31" s="14">
        <f t="shared" si="22"/>
        <v>7</v>
      </c>
      <c r="FV31" s="14">
        <f t="shared" si="23"/>
        <v>4</v>
      </c>
      <c r="FW31" s="14">
        <f t="shared" si="24"/>
        <v>2</v>
      </c>
      <c r="FX31" s="14">
        <f t="shared" si="60"/>
        <v>2</v>
      </c>
      <c r="FY31" s="14">
        <f t="shared" si="25"/>
        <v>10</v>
      </c>
      <c r="FZ31" s="14">
        <f t="shared" si="26"/>
        <v>10</v>
      </c>
      <c r="GA31" s="14">
        <f t="shared" si="27"/>
        <v>7</v>
      </c>
      <c r="GB31" s="14">
        <f t="shared" si="28"/>
        <v>7</v>
      </c>
      <c r="GC31" s="14">
        <f t="shared" si="29"/>
        <v>4</v>
      </c>
      <c r="GD31" s="14">
        <f t="shared" si="30"/>
        <v>2</v>
      </c>
      <c r="GE31" s="14">
        <f t="shared" si="61"/>
        <v>0</v>
      </c>
      <c r="GF31" s="14">
        <f t="shared" si="31"/>
        <v>0</v>
      </c>
      <c r="GG31" s="14">
        <f t="shared" si="32"/>
        <v>0</v>
      </c>
      <c r="GH31" s="14">
        <f t="shared" si="33"/>
        <v>0</v>
      </c>
      <c r="GI31" s="14">
        <f t="shared" si="34"/>
        <v>0</v>
      </c>
      <c r="GJ31" s="14">
        <f t="shared" si="35"/>
        <v>0</v>
      </c>
      <c r="GK31" s="14">
        <f t="shared" si="36"/>
        <v>0</v>
      </c>
      <c r="GL31" s="14">
        <f t="shared" si="37"/>
        <v>0</v>
      </c>
      <c r="GM31" s="14">
        <f t="shared" si="38"/>
        <v>0</v>
      </c>
      <c r="GN31" s="14">
        <f t="shared" si="62"/>
        <v>0</v>
      </c>
      <c r="GO31" s="14">
        <f t="shared" si="39"/>
        <v>0</v>
      </c>
      <c r="GP31" s="14">
        <f t="shared" si="40"/>
        <v>0</v>
      </c>
      <c r="GQ31" s="14">
        <f t="shared" si="41"/>
        <v>0</v>
      </c>
      <c r="GR31" s="14">
        <f t="shared" si="42"/>
        <v>0</v>
      </c>
      <c r="GS31" s="14">
        <f t="shared" si="43"/>
        <v>0</v>
      </c>
      <c r="GT31" s="14">
        <f t="shared" si="44"/>
        <v>0</v>
      </c>
      <c r="GU31" s="14">
        <f t="shared" si="45"/>
        <v>0</v>
      </c>
      <c r="GV31" s="14">
        <f t="shared" si="46"/>
        <v>0</v>
      </c>
      <c r="GY31" s="91">
        <v>25</v>
      </c>
      <c r="GZ31" s="14">
        <f t="shared" si="63"/>
        <v>2</v>
      </c>
      <c r="HA31" s="14">
        <f t="shared" si="64"/>
        <v>1</v>
      </c>
      <c r="HB31" s="14">
        <f t="shared" si="65"/>
        <v>1</v>
      </c>
      <c r="HC31" s="14">
        <f t="shared" si="66"/>
        <v>0.3</v>
      </c>
      <c r="HD31" s="14">
        <f t="shared" si="67"/>
        <v>1606004</v>
      </c>
      <c r="HE31" s="14" t="str">
        <f t="shared" si="68"/>
        <v>神器1-2 : 10级</v>
      </c>
      <c r="HF31" s="14" t="s">
        <v>800</v>
      </c>
      <c r="HG31" s="14">
        <f t="shared" si="69"/>
        <v>10</v>
      </c>
      <c r="HH31" s="14" t="str">
        <f t="shared" si="70"/>
        <v>神器1-2</v>
      </c>
      <c r="HI31" s="14">
        <f t="shared" si="71"/>
        <v>5</v>
      </c>
      <c r="HJ31" s="14" t="s">
        <v>1595</v>
      </c>
      <c r="HK31" s="14">
        <f t="shared" si="72"/>
        <v>3600</v>
      </c>
    </row>
    <row r="32" spans="10:219" ht="16.5" x14ac:dyDescent="0.2">
      <c r="N32" s="90">
        <v>5</v>
      </c>
      <c r="O32" s="90">
        <v>5</v>
      </c>
      <c r="P32" s="90">
        <v>3</v>
      </c>
      <c r="Q32" s="90">
        <v>18</v>
      </c>
      <c r="R32" s="14">
        <f>SUM(Q$7:Q32)</f>
        <v>426</v>
      </c>
      <c r="S32" s="91">
        <v>1606027</v>
      </c>
      <c r="T32" s="14" t="str">
        <f t="shared" si="73"/>
        <v>神器5-5</v>
      </c>
      <c r="AF32" s="87">
        <v>26</v>
      </c>
      <c r="AG32" s="87">
        <v>5</v>
      </c>
      <c r="AH32" s="87">
        <v>6</v>
      </c>
      <c r="AI32" s="200">
        <v>1606028</v>
      </c>
      <c r="AJ32" s="87" t="str">
        <f t="shared" si="47"/>
        <v>神器5-6</v>
      </c>
      <c r="AK32" s="87">
        <v>4</v>
      </c>
      <c r="AL32" s="87">
        <f t="shared" si="48"/>
        <v>450</v>
      </c>
      <c r="AO32" s="87">
        <v>3</v>
      </c>
      <c r="AP32" s="87">
        <v>1</v>
      </c>
      <c r="AQ32" s="87">
        <v>10</v>
      </c>
      <c r="AR32" s="144">
        <f t="shared" si="49"/>
        <v>4410</v>
      </c>
      <c r="AS32" s="144" t="s">
        <v>1206</v>
      </c>
      <c r="AT32" s="144" t="str">
        <f t="shared" si="50"/>
        <v>神器本-3-普通-1  神器2-5</v>
      </c>
      <c r="AU32" s="87">
        <v>8</v>
      </c>
      <c r="AV32" s="87" t="s">
        <v>314</v>
      </c>
      <c r="AW32" s="87">
        <v>1000</v>
      </c>
      <c r="AX32" s="87">
        <v>1</v>
      </c>
      <c r="AY32" s="87">
        <v>1</v>
      </c>
      <c r="AZ32" s="87">
        <f t="shared" si="51"/>
        <v>3</v>
      </c>
      <c r="BA32" s="14">
        <f t="shared" si="52"/>
        <v>0.1</v>
      </c>
      <c r="BB32" s="14">
        <f t="shared" si="53"/>
        <v>10.5</v>
      </c>
      <c r="BL32" s="87">
        <v>26</v>
      </c>
      <c r="BM32" s="14">
        <f>INDEX(节奏总表!$CK$4:$CK$63,新神器!BL32)</f>
        <v>112</v>
      </c>
      <c r="BN32" s="14">
        <f t="shared" si="55"/>
        <v>5</v>
      </c>
      <c r="BO32" s="87">
        <v>3</v>
      </c>
      <c r="BP32" s="87">
        <v>5</v>
      </c>
      <c r="BQ32" s="14">
        <f t="shared" si="79"/>
        <v>0.75</v>
      </c>
      <c r="BR32" s="14">
        <f t="shared" si="79"/>
        <v>0.75</v>
      </c>
      <c r="BS32" s="14">
        <f t="shared" si="79"/>
        <v>0.5</v>
      </c>
      <c r="BT32" s="14">
        <f t="shared" si="79"/>
        <v>0.75</v>
      </c>
      <c r="BU32" s="14">
        <f t="shared" si="79"/>
        <v>0.75</v>
      </c>
      <c r="BV32" s="14">
        <f t="shared" si="79"/>
        <v>0.5</v>
      </c>
      <c r="BW32" s="14">
        <f t="shared" si="79"/>
        <v>0.5</v>
      </c>
      <c r="BX32" s="14">
        <f t="shared" si="79"/>
        <v>0.5</v>
      </c>
      <c r="BY32" s="14">
        <f t="shared" si="79"/>
        <v>0</v>
      </c>
      <c r="BZ32" s="14">
        <f t="shared" si="79"/>
        <v>0</v>
      </c>
      <c r="CA32" s="14">
        <f t="shared" si="80"/>
        <v>0</v>
      </c>
      <c r="CB32" s="14">
        <f t="shared" si="80"/>
        <v>0</v>
      </c>
      <c r="CC32" s="14">
        <f t="shared" si="80"/>
        <v>0</v>
      </c>
      <c r="CD32" s="14">
        <f t="shared" si="80"/>
        <v>0</v>
      </c>
      <c r="CE32" s="14">
        <f t="shared" si="80"/>
        <v>0</v>
      </c>
      <c r="CF32" s="14">
        <f t="shared" si="80"/>
        <v>0</v>
      </c>
      <c r="CG32" s="14">
        <f t="shared" si="80"/>
        <v>0</v>
      </c>
      <c r="CH32" s="14">
        <f t="shared" si="80"/>
        <v>0</v>
      </c>
      <c r="CI32" s="14">
        <f t="shared" si="80"/>
        <v>0</v>
      </c>
      <c r="CJ32" s="14">
        <f t="shared" si="80"/>
        <v>0</v>
      </c>
      <c r="CK32" s="14">
        <f t="shared" si="81"/>
        <v>5</v>
      </c>
      <c r="CL32" s="14">
        <f t="shared" si="81"/>
        <v>5</v>
      </c>
      <c r="CM32" s="14">
        <f t="shared" si="81"/>
        <v>2.625</v>
      </c>
      <c r="CN32" s="14">
        <f t="shared" si="81"/>
        <v>2.625</v>
      </c>
      <c r="CO32" s="14">
        <f t="shared" si="81"/>
        <v>1</v>
      </c>
      <c r="CP32" s="14">
        <f t="shared" si="81"/>
        <v>0.5</v>
      </c>
      <c r="CQ32" s="14">
        <f t="shared" si="81"/>
        <v>0</v>
      </c>
      <c r="CR32" s="14">
        <f t="shared" si="81"/>
        <v>0</v>
      </c>
      <c r="CS32" s="14">
        <f t="shared" si="81"/>
        <v>0</v>
      </c>
      <c r="CT32" s="14">
        <f t="shared" si="81"/>
        <v>0</v>
      </c>
      <c r="CU32" s="14">
        <f t="shared" si="82"/>
        <v>0</v>
      </c>
      <c r="CV32" s="14">
        <f t="shared" si="82"/>
        <v>0</v>
      </c>
      <c r="CW32" s="14">
        <f t="shared" si="82"/>
        <v>0</v>
      </c>
      <c r="CX32" s="14">
        <f t="shared" si="82"/>
        <v>0</v>
      </c>
      <c r="CY32" s="14">
        <f t="shared" si="82"/>
        <v>0</v>
      </c>
      <c r="CZ32" s="14">
        <f t="shared" si="82"/>
        <v>0</v>
      </c>
      <c r="DA32" s="14">
        <f t="shared" si="82"/>
        <v>0</v>
      </c>
      <c r="DB32" s="14">
        <f t="shared" si="82"/>
        <v>0</v>
      </c>
      <c r="DC32" s="14">
        <f t="shared" si="82"/>
        <v>0</v>
      </c>
      <c r="DD32" s="14">
        <f t="shared" si="82"/>
        <v>0</v>
      </c>
      <c r="DE32" s="14">
        <f t="shared" si="82"/>
        <v>0</v>
      </c>
      <c r="DF32" s="14">
        <f t="shared" si="82"/>
        <v>0</v>
      </c>
      <c r="DH32" s="14">
        <f>SUM(BQ$7:BQ32)</f>
        <v>35.749999999999993</v>
      </c>
      <c r="DI32" s="14">
        <f>SUM(BR$7:BR32)</f>
        <v>35.749999999999993</v>
      </c>
      <c r="DJ32" s="14">
        <f>SUM(BS$7:BS32)</f>
        <v>20.25</v>
      </c>
      <c r="DK32" s="14">
        <f>SUM(BT$7:BT32)</f>
        <v>36.25</v>
      </c>
      <c r="DL32" s="14">
        <f>SUM(BU$7:BU32)</f>
        <v>36.25</v>
      </c>
      <c r="DM32" s="14">
        <f>SUM(BV$7:BV32)</f>
        <v>20.625</v>
      </c>
      <c r="DN32" s="14">
        <f>SUM(BW$7:BW32)</f>
        <v>20.625</v>
      </c>
      <c r="DO32" s="14">
        <f>SUM(BX$7:BX32)</f>
        <v>13.75</v>
      </c>
      <c r="DP32" s="14">
        <f>SUM(BY$7:BY32)</f>
        <v>20</v>
      </c>
      <c r="DQ32" s="14">
        <f>SUM(BZ$7:BZ32)</f>
        <v>20</v>
      </c>
      <c r="DR32" s="14">
        <f>SUM(CA$7:CA32)</f>
        <v>10.5</v>
      </c>
      <c r="DS32" s="14">
        <f>SUM(CB$7:CB32)</f>
        <v>10.5</v>
      </c>
      <c r="DT32" s="14">
        <f>SUM(CC$7:CC32)</f>
        <v>4</v>
      </c>
      <c r="DU32" s="14">
        <f>SUM(CD$7:CD32)</f>
        <v>2</v>
      </c>
      <c r="DV32" s="14">
        <f>SUM(CE$7:CE32)</f>
        <v>25</v>
      </c>
      <c r="DW32" s="14">
        <f>SUM(CF$7:CF32)</f>
        <v>25</v>
      </c>
      <c r="DX32" s="14">
        <f>SUM(CG$7:CG32)</f>
        <v>13.125</v>
      </c>
      <c r="DY32" s="14">
        <f>SUM(CH$7:CH32)</f>
        <v>13.125</v>
      </c>
      <c r="DZ32" s="14">
        <f>SUM(CI$7:CI32)</f>
        <v>5</v>
      </c>
      <c r="EA32" s="14">
        <f>SUM(CJ$7:CJ32)</f>
        <v>2.5</v>
      </c>
      <c r="EB32" s="14">
        <f>SUM(CK$7:CK32)</f>
        <v>30</v>
      </c>
      <c r="EC32" s="14">
        <f>SUM(CL$7:CL32)</f>
        <v>30</v>
      </c>
      <c r="ED32" s="14">
        <f>SUM(CM$7:CM32)</f>
        <v>15.75</v>
      </c>
      <c r="EE32" s="14">
        <f>SUM(CN$7:CN32)</f>
        <v>15.75</v>
      </c>
      <c r="EF32" s="14">
        <f>SUM(CO$7:CO32)</f>
        <v>6</v>
      </c>
      <c r="EG32" s="14">
        <f>SUM(CP$7:CP32)</f>
        <v>3</v>
      </c>
      <c r="EH32" s="14">
        <f>SUM(CQ$7:CQ32)</f>
        <v>0</v>
      </c>
      <c r="EI32" s="14">
        <f>SUM(CR$7:CR32)</f>
        <v>0</v>
      </c>
      <c r="EJ32" s="14">
        <f>SUM(CS$7:CS32)</f>
        <v>0</v>
      </c>
      <c r="EK32" s="14">
        <f>SUM(CT$7:CT32)</f>
        <v>0</v>
      </c>
      <c r="EL32" s="14">
        <f>SUM(CU$7:CU32)</f>
        <v>0</v>
      </c>
      <c r="EM32" s="14">
        <f>SUM(CV$7:CV32)</f>
        <v>0</v>
      </c>
      <c r="EN32" s="14">
        <f>SUM(CW$7:CW32)</f>
        <v>0</v>
      </c>
      <c r="EO32" s="14">
        <f>SUM(CX$7:CX32)</f>
        <v>0</v>
      </c>
      <c r="EP32" s="14">
        <f>SUM(CY$7:CY32)</f>
        <v>0</v>
      </c>
      <c r="EQ32" s="14">
        <f>SUM(CZ$7:CZ32)</f>
        <v>0</v>
      </c>
      <c r="ER32" s="14">
        <f>SUM(DA$7:DA32)</f>
        <v>0</v>
      </c>
      <c r="ES32" s="14">
        <f>SUM(DB$7:DB32)</f>
        <v>0</v>
      </c>
      <c r="ET32" s="14">
        <f>SUM(DC$7:DC32)</f>
        <v>0</v>
      </c>
      <c r="EU32" s="14">
        <f>SUM(DD$7:DD32)</f>
        <v>0</v>
      </c>
      <c r="EV32" s="14">
        <f>SUM(DE$7:DE32)</f>
        <v>0</v>
      </c>
      <c r="EW32" s="14">
        <f>SUM(DF$7:DF32)</f>
        <v>0</v>
      </c>
      <c r="EZ32" s="14">
        <f t="shared" si="56"/>
        <v>9</v>
      </c>
      <c r="FA32" s="14">
        <f t="shared" si="5"/>
        <v>12</v>
      </c>
      <c r="FB32" s="14">
        <f t="shared" si="6"/>
        <v>12</v>
      </c>
      <c r="FC32" s="14">
        <f t="shared" si="7"/>
        <v>9</v>
      </c>
      <c r="FD32" s="14">
        <f t="shared" si="57"/>
        <v>7</v>
      </c>
      <c r="FE32" s="14">
        <f t="shared" si="8"/>
        <v>12</v>
      </c>
      <c r="FF32" s="14">
        <f t="shared" si="9"/>
        <v>12</v>
      </c>
      <c r="FG32" s="14">
        <f t="shared" si="10"/>
        <v>9</v>
      </c>
      <c r="FH32" s="14">
        <f t="shared" si="11"/>
        <v>9</v>
      </c>
      <c r="FI32" s="14">
        <f t="shared" si="12"/>
        <v>7</v>
      </c>
      <c r="FJ32" s="14">
        <f t="shared" si="58"/>
        <v>2</v>
      </c>
      <c r="FK32" s="14">
        <f t="shared" si="13"/>
        <v>9</v>
      </c>
      <c r="FL32" s="14">
        <f t="shared" si="14"/>
        <v>9</v>
      </c>
      <c r="FM32" s="14">
        <f t="shared" si="15"/>
        <v>6</v>
      </c>
      <c r="FN32" s="14">
        <f t="shared" si="16"/>
        <v>6</v>
      </c>
      <c r="FO32" s="14">
        <f t="shared" si="17"/>
        <v>3</v>
      </c>
      <c r="FP32" s="14">
        <f t="shared" si="18"/>
        <v>2</v>
      </c>
      <c r="FQ32" s="14">
        <f t="shared" si="59"/>
        <v>2</v>
      </c>
      <c r="FR32" s="14">
        <f t="shared" si="19"/>
        <v>10</v>
      </c>
      <c r="FS32" s="14">
        <f t="shared" si="20"/>
        <v>10</v>
      </c>
      <c r="FT32" s="14">
        <f t="shared" si="21"/>
        <v>7</v>
      </c>
      <c r="FU32" s="14">
        <f t="shared" si="22"/>
        <v>7</v>
      </c>
      <c r="FV32" s="14">
        <f t="shared" si="23"/>
        <v>4</v>
      </c>
      <c r="FW32" s="14">
        <f t="shared" si="24"/>
        <v>2</v>
      </c>
      <c r="FX32" s="14">
        <f t="shared" si="60"/>
        <v>3</v>
      </c>
      <c r="FY32" s="14">
        <f t="shared" si="25"/>
        <v>11</v>
      </c>
      <c r="FZ32" s="14">
        <f t="shared" si="26"/>
        <v>11</v>
      </c>
      <c r="GA32" s="14">
        <f t="shared" si="27"/>
        <v>8</v>
      </c>
      <c r="GB32" s="14">
        <f t="shared" si="28"/>
        <v>8</v>
      </c>
      <c r="GC32" s="14">
        <f t="shared" si="29"/>
        <v>4</v>
      </c>
      <c r="GD32" s="14">
        <f t="shared" si="30"/>
        <v>3</v>
      </c>
      <c r="GE32" s="14">
        <f t="shared" si="61"/>
        <v>0</v>
      </c>
      <c r="GF32" s="14">
        <f t="shared" si="31"/>
        <v>0</v>
      </c>
      <c r="GG32" s="14">
        <f t="shared" si="32"/>
        <v>0</v>
      </c>
      <c r="GH32" s="14">
        <f t="shared" si="33"/>
        <v>0</v>
      </c>
      <c r="GI32" s="14">
        <f t="shared" si="34"/>
        <v>0</v>
      </c>
      <c r="GJ32" s="14">
        <f t="shared" si="35"/>
        <v>0</v>
      </c>
      <c r="GK32" s="14">
        <f t="shared" si="36"/>
        <v>0</v>
      </c>
      <c r="GL32" s="14">
        <f t="shared" si="37"/>
        <v>0</v>
      </c>
      <c r="GM32" s="14">
        <f t="shared" si="38"/>
        <v>0</v>
      </c>
      <c r="GN32" s="14">
        <f t="shared" si="62"/>
        <v>0</v>
      </c>
      <c r="GO32" s="14">
        <f t="shared" si="39"/>
        <v>0</v>
      </c>
      <c r="GP32" s="14">
        <f t="shared" si="40"/>
        <v>0</v>
      </c>
      <c r="GQ32" s="14">
        <f t="shared" si="41"/>
        <v>0</v>
      </c>
      <c r="GR32" s="14">
        <f t="shared" si="42"/>
        <v>0</v>
      </c>
      <c r="GS32" s="14">
        <f t="shared" si="43"/>
        <v>0</v>
      </c>
      <c r="GT32" s="14">
        <f t="shared" si="44"/>
        <v>0</v>
      </c>
      <c r="GU32" s="14">
        <f t="shared" si="45"/>
        <v>0</v>
      </c>
      <c r="GV32" s="14">
        <f t="shared" si="46"/>
        <v>0</v>
      </c>
      <c r="GY32" s="91">
        <v>26</v>
      </c>
      <c r="GZ32" s="14">
        <f t="shared" si="63"/>
        <v>2</v>
      </c>
      <c r="HA32" s="14">
        <f t="shared" si="64"/>
        <v>1</v>
      </c>
      <c r="HB32" s="14">
        <f t="shared" si="65"/>
        <v>1</v>
      </c>
      <c r="HC32" s="14">
        <f t="shared" si="66"/>
        <v>0.307</v>
      </c>
      <c r="HD32" s="14">
        <f t="shared" si="67"/>
        <v>1606004</v>
      </c>
      <c r="HE32" s="14" t="str">
        <f t="shared" si="68"/>
        <v>神器1-2 : 11级</v>
      </c>
      <c r="HF32" s="14" t="s">
        <v>800</v>
      </c>
      <c r="HG32" s="14">
        <f t="shared" si="69"/>
        <v>11</v>
      </c>
      <c r="HH32" s="14" t="str">
        <f t="shared" si="70"/>
        <v>神器1-2</v>
      </c>
      <c r="HI32" s="14">
        <f t="shared" si="71"/>
        <v>5</v>
      </c>
      <c r="HJ32" s="14" t="s">
        <v>1595</v>
      </c>
      <c r="HK32" s="14">
        <f t="shared" si="72"/>
        <v>3700</v>
      </c>
    </row>
    <row r="33" spans="14:219" ht="16.5" x14ac:dyDescent="0.2">
      <c r="N33" s="90">
        <v>5</v>
      </c>
      <c r="O33" s="90">
        <v>6</v>
      </c>
      <c r="P33" s="90">
        <v>4</v>
      </c>
      <c r="Q33" s="90">
        <v>18</v>
      </c>
      <c r="R33" s="14">
        <f>SUM(Q$7:Q33)</f>
        <v>444</v>
      </c>
      <c r="S33" s="91">
        <v>1606028</v>
      </c>
      <c r="T33" s="14" t="str">
        <f t="shared" si="73"/>
        <v>神器5-6</v>
      </c>
      <c r="AF33" s="87">
        <v>27</v>
      </c>
      <c r="AG33" s="87">
        <v>6</v>
      </c>
      <c r="AH33" s="87">
        <v>1</v>
      </c>
      <c r="AI33" s="200">
        <v>1606029</v>
      </c>
      <c r="AJ33" s="87" t="str">
        <f t="shared" si="47"/>
        <v>神器6-1</v>
      </c>
      <c r="AK33" s="87">
        <v>2</v>
      </c>
      <c r="AL33" s="87">
        <f t="shared" si="48"/>
        <v>120</v>
      </c>
      <c r="AO33" s="87">
        <v>3</v>
      </c>
      <c r="AP33" s="87">
        <v>1</v>
      </c>
      <c r="AQ33" s="87">
        <v>11</v>
      </c>
      <c r="AR33" s="144">
        <f t="shared" si="49"/>
        <v>4411</v>
      </c>
      <c r="AS33" s="144" t="s">
        <v>1217</v>
      </c>
      <c r="AT33" s="144" t="str">
        <f t="shared" si="50"/>
        <v>神器本-3-普通-2  神器3-1</v>
      </c>
      <c r="AU33" s="87">
        <v>9</v>
      </c>
      <c r="AV33" s="87" t="s">
        <v>761</v>
      </c>
      <c r="AW33" s="87">
        <v>5000</v>
      </c>
      <c r="AX33" s="87">
        <v>1</v>
      </c>
      <c r="AY33" s="87">
        <v>3</v>
      </c>
      <c r="AZ33" s="87">
        <f t="shared" si="51"/>
        <v>1</v>
      </c>
      <c r="BA33" s="14">
        <f t="shared" si="52"/>
        <v>1</v>
      </c>
      <c r="BB33" s="14">
        <f t="shared" si="53"/>
        <v>20</v>
      </c>
      <c r="BL33" s="87">
        <v>27</v>
      </c>
      <c r="BM33" s="14">
        <f>INDEX(节奏总表!$CK$4:$CK$63,新神器!BL33)</f>
        <v>113</v>
      </c>
      <c r="BN33" s="14">
        <f t="shared" si="55"/>
        <v>6</v>
      </c>
      <c r="BO33" s="87">
        <v>3</v>
      </c>
      <c r="BP33" s="87">
        <v>5</v>
      </c>
      <c r="BQ33" s="14">
        <f t="shared" si="79"/>
        <v>0</v>
      </c>
      <c r="BR33" s="14">
        <f t="shared" si="79"/>
        <v>0</v>
      </c>
      <c r="BS33" s="14">
        <f t="shared" si="79"/>
        <v>0</v>
      </c>
      <c r="BT33" s="14">
        <f t="shared" si="79"/>
        <v>0</v>
      </c>
      <c r="BU33" s="14">
        <f t="shared" si="79"/>
        <v>0</v>
      </c>
      <c r="BV33" s="14">
        <f t="shared" si="79"/>
        <v>0</v>
      </c>
      <c r="BW33" s="14">
        <f t="shared" si="79"/>
        <v>0</v>
      </c>
      <c r="BX33" s="14">
        <f t="shared" si="79"/>
        <v>0</v>
      </c>
      <c r="BY33" s="14">
        <f t="shared" si="79"/>
        <v>0.41649999999999998</v>
      </c>
      <c r="BZ33" s="14">
        <f t="shared" si="79"/>
        <v>0.41649999999999998</v>
      </c>
      <c r="CA33" s="14">
        <f t="shared" si="80"/>
        <v>0.25</v>
      </c>
      <c r="CB33" s="14">
        <f t="shared" si="80"/>
        <v>0.25</v>
      </c>
      <c r="CC33" s="14">
        <f t="shared" si="80"/>
        <v>0.25</v>
      </c>
      <c r="CD33" s="14">
        <f t="shared" si="80"/>
        <v>8.5000000000000006E-2</v>
      </c>
      <c r="CE33" s="14">
        <f t="shared" si="80"/>
        <v>0.41649999999999998</v>
      </c>
      <c r="CF33" s="14">
        <f t="shared" si="80"/>
        <v>0.41649999999999998</v>
      </c>
      <c r="CG33" s="14">
        <f t="shared" si="80"/>
        <v>0.25</v>
      </c>
      <c r="CH33" s="14">
        <f t="shared" si="80"/>
        <v>0.25</v>
      </c>
      <c r="CI33" s="14">
        <f t="shared" si="80"/>
        <v>0.25</v>
      </c>
      <c r="CJ33" s="14">
        <f t="shared" si="80"/>
        <v>8.3000000000000004E-2</v>
      </c>
      <c r="CK33" s="14">
        <f t="shared" si="81"/>
        <v>0.41649999999999998</v>
      </c>
      <c r="CL33" s="14">
        <f t="shared" si="81"/>
        <v>0.41649999999999998</v>
      </c>
      <c r="CM33" s="14">
        <f t="shared" si="81"/>
        <v>0.25</v>
      </c>
      <c r="CN33" s="14">
        <f t="shared" si="81"/>
        <v>0.25</v>
      </c>
      <c r="CO33" s="14">
        <f t="shared" si="81"/>
        <v>0.25</v>
      </c>
      <c r="CP33" s="14">
        <f t="shared" si="81"/>
        <v>8.3000000000000004E-2</v>
      </c>
      <c r="CQ33" s="14">
        <f t="shared" si="81"/>
        <v>1.5</v>
      </c>
      <c r="CR33" s="14">
        <f t="shared" si="81"/>
        <v>1.5</v>
      </c>
      <c r="CS33" s="14">
        <f t="shared" si="81"/>
        <v>1.5</v>
      </c>
      <c r="CT33" s="14">
        <f t="shared" si="81"/>
        <v>0.5</v>
      </c>
      <c r="CU33" s="14">
        <f t="shared" si="82"/>
        <v>0.5</v>
      </c>
      <c r="CV33" s="14">
        <f t="shared" si="82"/>
        <v>0.5</v>
      </c>
      <c r="CW33" s="14">
        <f t="shared" si="82"/>
        <v>0.375</v>
      </c>
      <c r="CX33" s="14">
        <f t="shared" si="82"/>
        <v>0.375</v>
      </c>
      <c r="CY33" s="14">
        <f t="shared" si="82"/>
        <v>0</v>
      </c>
      <c r="CZ33" s="14">
        <f t="shared" si="82"/>
        <v>0</v>
      </c>
      <c r="DA33" s="14">
        <f t="shared" si="82"/>
        <v>0</v>
      </c>
      <c r="DB33" s="14">
        <f t="shared" si="82"/>
        <v>0</v>
      </c>
      <c r="DC33" s="14">
        <f t="shared" si="82"/>
        <v>0</v>
      </c>
      <c r="DD33" s="14">
        <f t="shared" si="82"/>
        <v>0</v>
      </c>
      <c r="DE33" s="14">
        <f t="shared" si="82"/>
        <v>0</v>
      </c>
      <c r="DF33" s="14">
        <f t="shared" si="82"/>
        <v>0</v>
      </c>
      <c r="DH33" s="14">
        <f>SUM(BQ$7:BQ33)</f>
        <v>35.749999999999993</v>
      </c>
      <c r="DI33" s="14">
        <f>SUM(BR$7:BR33)</f>
        <v>35.749999999999993</v>
      </c>
      <c r="DJ33" s="14">
        <f>SUM(BS$7:BS33)</f>
        <v>20.25</v>
      </c>
      <c r="DK33" s="14">
        <f>SUM(BT$7:BT33)</f>
        <v>36.25</v>
      </c>
      <c r="DL33" s="14">
        <f>SUM(BU$7:BU33)</f>
        <v>36.25</v>
      </c>
      <c r="DM33" s="14">
        <f>SUM(BV$7:BV33)</f>
        <v>20.625</v>
      </c>
      <c r="DN33" s="14">
        <f>SUM(BW$7:BW33)</f>
        <v>20.625</v>
      </c>
      <c r="DO33" s="14">
        <f>SUM(BX$7:BX33)</f>
        <v>13.75</v>
      </c>
      <c r="DP33" s="14">
        <f>SUM(BY$7:BY33)</f>
        <v>20.416499999999999</v>
      </c>
      <c r="DQ33" s="14">
        <f>SUM(BZ$7:BZ33)</f>
        <v>20.416499999999999</v>
      </c>
      <c r="DR33" s="14">
        <f>SUM(CA$7:CA33)</f>
        <v>10.75</v>
      </c>
      <c r="DS33" s="14">
        <f>SUM(CB$7:CB33)</f>
        <v>10.75</v>
      </c>
      <c r="DT33" s="14">
        <f>SUM(CC$7:CC33)</f>
        <v>4.25</v>
      </c>
      <c r="DU33" s="14">
        <f>SUM(CD$7:CD33)</f>
        <v>2.085</v>
      </c>
      <c r="DV33" s="14">
        <f>SUM(CE$7:CE33)</f>
        <v>25.416499999999999</v>
      </c>
      <c r="DW33" s="14">
        <f>SUM(CF$7:CF33)</f>
        <v>25.416499999999999</v>
      </c>
      <c r="DX33" s="14">
        <f>SUM(CG$7:CG33)</f>
        <v>13.375</v>
      </c>
      <c r="DY33" s="14">
        <f>SUM(CH$7:CH33)</f>
        <v>13.375</v>
      </c>
      <c r="DZ33" s="14">
        <f>SUM(CI$7:CI33)</f>
        <v>5.25</v>
      </c>
      <c r="EA33" s="14">
        <f>SUM(CJ$7:CJ33)</f>
        <v>2.5830000000000002</v>
      </c>
      <c r="EB33" s="14">
        <f>SUM(CK$7:CK33)</f>
        <v>30.416499999999999</v>
      </c>
      <c r="EC33" s="14">
        <f>SUM(CL$7:CL33)</f>
        <v>30.416499999999999</v>
      </c>
      <c r="ED33" s="14">
        <f>SUM(CM$7:CM33)</f>
        <v>16</v>
      </c>
      <c r="EE33" s="14">
        <f>SUM(CN$7:CN33)</f>
        <v>16</v>
      </c>
      <c r="EF33" s="14">
        <f>SUM(CO$7:CO33)</f>
        <v>6.25</v>
      </c>
      <c r="EG33" s="14">
        <f>SUM(CP$7:CP33)</f>
        <v>3.0830000000000002</v>
      </c>
      <c r="EH33" s="14">
        <f>SUM(CQ$7:CQ33)</f>
        <v>1.5</v>
      </c>
      <c r="EI33" s="14">
        <f>SUM(CR$7:CR33)</f>
        <v>1.5</v>
      </c>
      <c r="EJ33" s="14">
        <f>SUM(CS$7:CS33)</f>
        <v>1.5</v>
      </c>
      <c r="EK33" s="14">
        <f>SUM(CT$7:CT33)</f>
        <v>0.5</v>
      </c>
      <c r="EL33" s="14">
        <f>SUM(CU$7:CU33)</f>
        <v>0.5</v>
      </c>
      <c r="EM33" s="14">
        <f>SUM(CV$7:CV33)</f>
        <v>0.5</v>
      </c>
      <c r="EN33" s="14">
        <f>SUM(CW$7:CW33)</f>
        <v>0.375</v>
      </c>
      <c r="EO33" s="14">
        <f>SUM(CX$7:CX33)</f>
        <v>0.375</v>
      </c>
      <c r="EP33" s="14">
        <f>SUM(CY$7:CY33)</f>
        <v>0</v>
      </c>
      <c r="EQ33" s="14">
        <f>SUM(CZ$7:CZ33)</f>
        <v>0</v>
      </c>
      <c r="ER33" s="14">
        <f>SUM(DA$7:DA33)</f>
        <v>0</v>
      </c>
      <c r="ES33" s="14">
        <f>SUM(DB$7:DB33)</f>
        <v>0</v>
      </c>
      <c r="ET33" s="14">
        <f>SUM(DC$7:DC33)</f>
        <v>0</v>
      </c>
      <c r="EU33" s="14">
        <f>SUM(DD$7:DD33)</f>
        <v>0</v>
      </c>
      <c r="EV33" s="14">
        <f>SUM(DE$7:DE33)</f>
        <v>0</v>
      </c>
      <c r="EW33" s="14">
        <f>SUM(DF$7:DF33)</f>
        <v>0</v>
      </c>
      <c r="EZ33" s="14">
        <f t="shared" si="56"/>
        <v>9</v>
      </c>
      <c r="FA33" s="14">
        <f t="shared" si="5"/>
        <v>12</v>
      </c>
      <c r="FB33" s="14">
        <f t="shared" si="6"/>
        <v>12</v>
      </c>
      <c r="FC33" s="14">
        <f t="shared" si="7"/>
        <v>9</v>
      </c>
      <c r="FD33" s="14">
        <f t="shared" si="57"/>
        <v>7</v>
      </c>
      <c r="FE33" s="14">
        <f t="shared" si="8"/>
        <v>12</v>
      </c>
      <c r="FF33" s="14">
        <f t="shared" si="9"/>
        <v>12</v>
      </c>
      <c r="FG33" s="14">
        <f t="shared" si="10"/>
        <v>9</v>
      </c>
      <c r="FH33" s="14">
        <f t="shared" si="11"/>
        <v>9</v>
      </c>
      <c r="FI33" s="14">
        <f t="shared" si="12"/>
        <v>7</v>
      </c>
      <c r="FJ33" s="14">
        <f t="shared" si="58"/>
        <v>2</v>
      </c>
      <c r="FK33" s="14">
        <f t="shared" si="13"/>
        <v>9</v>
      </c>
      <c r="FL33" s="14">
        <f t="shared" si="14"/>
        <v>9</v>
      </c>
      <c r="FM33" s="14">
        <f t="shared" si="15"/>
        <v>6</v>
      </c>
      <c r="FN33" s="14">
        <f t="shared" si="16"/>
        <v>6</v>
      </c>
      <c r="FO33" s="14">
        <f t="shared" si="17"/>
        <v>3</v>
      </c>
      <c r="FP33" s="14">
        <f t="shared" si="18"/>
        <v>2</v>
      </c>
      <c r="FQ33" s="14">
        <f t="shared" si="59"/>
        <v>2</v>
      </c>
      <c r="FR33" s="14">
        <f t="shared" si="19"/>
        <v>10</v>
      </c>
      <c r="FS33" s="14">
        <f t="shared" si="20"/>
        <v>10</v>
      </c>
      <c r="FT33" s="14">
        <f t="shared" si="21"/>
        <v>7</v>
      </c>
      <c r="FU33" s="14">
        <f t="shared" si="22"/>
        <v>7</v>
      </c>
      <c r="FV33" s="14">
        <f t="shared" si="23"/>
        <v>4</v>
      </c>
      <c r="FW33" s="14">
        <f t="shared" si="24"/>
        <v>2</v>
      </c>
      <c r="FX33" s="14">
        <f t="shared" si="60"/>
        <v>3</v>
      </c>
      <c r="FY33" s="14">
        <f t="shared" si="25"/>
        <v>11</v>
      </c>
      <c r="FZ33" s="14">
        <f t="shared" si="26"/>
        <v>11</v>
      </c>
      <c r="GA33" s="14">
        <f t="shared" si="27"/>
        <v>8</v>
      </c>
      <c r="GB33" s="14">
        <f t="shared" si="28"/>
        <v>8</v>
      </c>
      <c r="GC33" s="14">
        <f t="shared" si="29"/>
        <v>4</v>
      </c>
      <c r="GD33" s="14">
        <f t="shared" si="30"/>
        <v>3</v>
      </c>
      <c r="GE33" s="14">
        <f t="shared" si="61"/>
        <v>0</v>
      </c>
      <c r="GF33" s="14">
        <f t="shared" si="31"/>
        <v>1</v>
      </c>
      <c r="GG33" s="14">
        <f t="shared" si="32"/>
        <v>1</v>
      </c>
      <c r="GH33" s="14">
        <f t="shared" si="33"/>
        <v>1</v>
      </c>
      <c r="GI33" s="14">
        <f t="shared" si="34"/>
        <v>0</v>
      </c>
      <c r="GJ33" s="14">
        <f t="shared" si="35"/>
        <v>0</v>
      </c>
      <c r="GK33" s="14">
        <f t="shared" si="36"/>
        <v>0</v>
      </c>
      <c r="GL33" s="14">
        <f t="shared" si="37"/>
        <v>0</v>
      </c>
      <c r="GM33" s="14">
        <f t="shared" si="38"/>
        <v>0</v>
      </c>
      <c r="GN33" s="14">
        <f t="shared" si="62"/>
        <v>0</v>
      </c>
      <c r="GO33" s="14">
        <f t="shared" si="39"/>
        <v>0</v>
      </c>
      <c r="GP33" s="14">
        <f t="shared" si="40"/>
        <v>0</v>
      </c>
      <c r="GQ33" s="14">
        <f t="shared" si="41"/>
        <v>0</v>
      </c>
      <c r="GR33" s="14">
        <f t="shared" si="42"/>
        <v>0</v>
      </c>
      <c r="GS33" s="14">
        <f t="shared" si="43"/>
        <v>0</v>
      </c>
      <c r="GT33" s="14">
        <f t="shared" si="44"/>
        <v>0</v>
      </c>
      <c r="GU33" s="14">
        <f t="shared" si="45"/>
        <v>0</v>
      </c>
      <c r="GV33" s="14">
        <f t="shared" si="46"/>
        <v>0</v>
      </c>
      <c r="GY33" s="91">
        <v>27</v>
      </c>
      <c r="GZ33" s="14">
        <f t="shared" si="63"/>
        <v>2</v>
      </c>
      <c r="HA33" s="14">
        <f t="shared" si="64"/>
        <v>1</v>
      </c>
      <c r="HB33" s="14">
        <f t="shared" si="65"/>
        <v>1</v>
      </c>
      <c r="HC33" s="14">
        <f t="shared" si="66"/>
        <v>0.313</v>
      </c>
      <c r="HD33" s="14">
        <f t="shared" si="67"/>
        <v>1606004</v>
      </c>
      <c r="HE33" s="14" t="str">
        <f t="shared" si="68"/>
        <v>神器1-2 : 12级</v>
      </c>
      <c r="HF33" s="14" t="s">
        <v>800</v>
      </c>
      <c r="HG33" s="14">
        <f t="shared" si="69"/>
        <v>12</v>
      </c>
      <c r="HH33" s="14" t="str">
        <f t="shared" si="70"/>
        <v>神器1-2</v>
      </c>
      <c r="HI33" s="14">
        <f t="shared" si="71"/>
        <v>6</v>
      </c>
      <c r="HJ33" s="14" t="s">
        <v>1595</v>
      </c>
      <c r="HK33" s="14">
        <f t="shared" si="72"/>
        <v>3750</v>
      </c>
    </row>
    <row r="34" spans="14:219" ht="16.5" x14ac:dyDescent="0.2">
      <c r="N34" s="90">
        <v>6</v>
      </c>
      <c r="O34" s="90">
        <v>1</v>
      </c>
      <c r="P34" s="90">
        <v>2</v>
      </c>
      <c r="Q34" s="90">
        <v>21</v>
      </c>
      <c r="R34" s="14">
        <f>SUM(Q$7:Q34)</f>
        <v>465</v>
      </c>
      <c r="S34" s="91">
        <v>1606029</v>
      </c>
      <c r="T34" s="14" t="str">
        <f t="shared" si="73"/>
        <v>神器6-1</v>
      </c>
      <c r="AF34" s="87">
        <v>28</v>
      </c>
      <c r="AG34" s="87">
        <v>6</v>
      </c>
      <c r="AH34" s="87">
        <v>2</v>
      </c>
      <c r="AI34" s="200">
        <v>1606030</v>
      </c>
      <c r="AJ34" s="87" t="str">
        <f t="shared" si="47"/>
        <v>神器6-2</v>
      </c>
      <c r="AK34" s="87">
        <v>2</v>
      </c>
      <c r="AL34" s="87">
        <f t="shared" si="48"/>
        <v>120</v>
      </c>
      <c r="AO34" s="87">
        <v>3</v>
      </c>
      <c r="AP34" s="87">
        <v>1</v>
      </c>
      <c r="AQ34" s="87">
        <v>11</v>
      </c>
      <c r="AR34" s="144">
        <f t="shared" si="49"/>
        <v>4411</v>
      </c>
      <c r="AS34" s="144" t="s">
        <v>1217</v>
      </c>
      <c r="AT34" s="144" t="str">
        <f t="shared" si="50"/>
        <v>神器本-3-普通-2  神器3-2</v>
      </c>
      <c r="AU34" s="87">
        <v>10</v>
      </c>
      <c r="AV34" s="87" t="s">
        <v>316</v>
      </c>
      <c r="AW34" s="87">
        <v>5000</v>
      </c>
      <c r="AX34" s="87">
        <v>1</v>
      </c>
      <c r="AY34" s="87">
        <v>3</v>
      </c>
      <c r="AZ34" s="87">
        <f t="shared" si="51"/>
        <v>1</v>
      </c>
      <c r="BA34" s="14">
        <f t="shared" si="52"/>
        <v>1</v>
      </c>
      <c r="BB34" s="14">
        <f t="shared" si="53"/>
        <v>20</v>
      </c>
      <c r="BL34" s="87">
        <v>28</v>
      </c>
      <c r="BM34" s="14">
        <f>INDEX(节奏总表!$CK$4:$CK$63,新神器!BL34)</f>
        <v>115</v>
      </c>
      <c r="BN34" s="14">
        <f t="shared" si="55"/>
        <v>6</v>
      </c>
      <c r="BO34" s="87">
        <v>3</v>
      </c>
      <c r="BP34" s="87">
        <v>5</v>
      </c>
      <c r="BQ34" s="14">
        <f t="shared" si="79"/>
        <v>0</v>
      </c>
      <c r="BR34" s="14">
        <f t="shared" si="79"/>
        <v>0</v>
      </c>
      <c r="BS34" s="14">
        <f t="shared" si="79"/>
        <v>0</v>
      </c>
      <c r="BT34" s="14">
        <f t="shared" si="79"/>
        <v>0</v>
      </c>
      <c r="BU34" s="14">
        <f t="shared" si="79"/>
        <v>0</v>
      </c>
      <c r="BV34" s="14">
        <f t="shared" si="79"/>
        <v>0</v>
      </c>
      <c r="BW34" s="14">
        <f t="shared" si="79"/>
        <v>0</v>
      </c>
      <c r="BX34" s="14">
        <f t="shared" si="79"/>
        <v>0</v>
      </c>
      <c r="BY34" s="14">
        <f t="shared" si="79"/>
        <v>0.41649999999999998</v>
      </c>
      <c r="BZ34" s="14">
        <f t="shared" si="79"/>
        <v>0.41649999999999998</v>
      </c>
      <c r="CA34" s="14">
        <f t="shared" si="80"/>
        <v>0.25</v>
      </c>
      <c r="CB34" s="14">
        <f t="shared" si="80"/>
        <v>0.25</v>
      </c>
      <c r="CC34" s="14">
        <f t="shared" si="80"/>
        <v>0.25</v>
      </c>
      <c r="CD34" s="14">
        <f t="shared" si="80"/>
        <v>8.5000000000000006E-2</v>
      </c>
      <c r="CE34" s="14">
        <f t="shared" si="80"/>
        <v>0.41649999999999998</v>
      </c>
      <c r="CF34" s="14">
        <f t="shared" si="80"/>
        <v>0.41649999999999998</v>
      </c>
      <c r="CG34" s="14">
        <f t="shared" si="80"/>
        <v>0.25</v>
      </c>
      <c r="CH34" s="14">
        <f t="shared" si="80"/>
        <v>0.25</v>
      </c>
      <c r="CI34" s="14">
        <f t="shared" si="80"/>
        <v>0.25</v>
      </c>
      <c r="CJ34" s="14">
        <f t="shared" si="80"/>
        <v>8.3000000000000004E-2</v>
      </c>
      <c r="CK34" s="14">
        <f t="shared" si="81"/>
        <v>0.41649999999999998</v>
      </c>
      <c r="CL34" s="14">
        <f t="shared" si="81"/>
        <v>0.41649999999999998</v>
      </c>
      <c r="CM34" s="14">
        <f t="shared" si="81"/>
        <v>0.25</v>
      </c>
      <c r="CN34" s="14">
        <f t="shared" si="81"/>
        <v>0.25</v>
      </c>
      <c r="CO34" s="14">
        <f t="shared" si="81"/>
        <v>0.25</v>
      </c>
      <c r="CP34" s="14">
        <f t="shared" si="81"/>
        <v>8.3000000000000004E-2</v>
      </c>
      <c r="CQ34" s="14">
        <f t="shared" si="81"/>
        <v>1.5</v>
      </c>
      <c r="CR34" s="14">
        <f t="shared" si="81"/>
        <v>1.5</v>
      </c>
      <c r="CS34" s="14">
        <f t="shared" si="81"/>
        <v>1.5</v>
      </c>
      <c r="CT34" s="14">
        <f t="shared" si="81"/>
        <v>0.5</v>
      </c>
      <c r="CU34" s="14">
        <f t="shared" si="82"/>
        <v>0.5</v>
      </c>
      <c r="CV34" s="14">
        <f t="shared" si="82"/>
        <v>0.5</v>
      </c>
      <c r="CW34" s="14">
        <f t="shared" si="82"/>
        <v>0.375</v>
      </c>
      <c r="CX34" s="14">
        <f t="shared" si="82"/>
        <v>0.375</v>
      </c>
      <c r="CY34" s="14">
        <f t="shared" si="82"/>
        <v>0</v>
      </c>
      <c r="CZ34" s="14">
        <f t="shared" si="82"/>
        <v>0</v>
      </c>
      <c r="DA34" s="14">
        <f t="shared" si="82"/>
        <v>0</v>
      </c>
      <c r="DB34" s="14">
        <f t="shared" si="82"/>
        <v>0</v>
      </c>
      <c r="DC34" s="14">
        <f t="shared" si="82"/>
        <v>0</v>
      </c>
      <c r="DD34" s="14">
        <f t="shared" si="82"/>
        <v>0</v>
      </c>
      <c r="DE34" s="14">
        <f t="shared" si="82"/>
        <v>0</v>
      </c>
      <c r="DF34" s="14">
        <f t="shared" si="82"/>
        <v>0</v>
      </c>
      <c r="DH34" s="14">
        <f>SUM(BQ$7:BQ34)</f>
        <v>35.749999999999993</v>
      </c>
      <c r="DI34" s="14">
        <f>SUM(BR$7:BR34)</f>
        <v>35.749999999999993</v>
      </c>
      <c r="DJ34" s="14">
        <f>SUM(BS$7:BS34)</f>
        <v>20.25</v>
      </c>
      <c r="DK34" s="14">
        <f>SUM(BT$7:BT34)</f>
        <v>36.25</v>
      </c>
      <c r="DL34" s="14">
        <f>SUM(BU$7:BU34)</f>
        <v>36.25</v>
      </c>
      <c r="DM34" s="14">
        <f>SUM(BV$7:BV34)</f>
        <v>20.625</v>
      </c>
      <c r="DN34" s="14">
        <f>SUM(BW$7:BW34)</f>
        <v>20.625</v>
      </c>
      <c r="DO34" s="14">
        <f>SUM(BX$7:BX34)</f>
        <v>13.75</v>
      </c>
      <c r="DP34" s="14">
        <f>SUM(BY$7:BY34)</f>
        <v>20.832999999999998</v>
      </c>
      <c r="DQ34" s="14">
        <f>SUM(BZ$7:BZ34)</f>
        <v>20.832999999999998</v>
      </c>
      <c r="DR34" s="14">
        <f>SUM(CA$7:CA34)</f>
        <v>11</v>
      </c>
      <c r="DS34" s="14">
        <f>SUM(CB$7:CB34)</f>
        <v>11</v>
      </c>
      <c r="DT34" s="14">
        <f>SUM(CC$7:CC34)</f>
        <v>4.5</v>
      </c>
      <c r="DU34" s="14">
        <f>SUM(CD$7:CD34)</f>
        <v>2.17</v>
      </c>
      <c r="DV34" s="14">
        <f>SUM(CE$7:CE34)</f>
        <v>25.832999999999998</v>
      </c>
      <c r="DW34" s="14">
        <f>SUM(CF$7:CF34)</f>
        <v>25.832999999999998</v>
      </c>
      <c r="DX34" s="14">
        <f>SUM(CG$7:CG34)</f>
        <v>13.625</v>
      </c>
      <c r="DY34" s="14">
        <f>SUM(CH$7:CH34)</f>
        <v>13.625</v>
      </c>
      <c r="DZ34" s="14">
        <f>SUM(CI$7:CI34)</f>
        <v>5.5</v>
      </c>
      <c r="EA34" s="14">
        <f>SUM(CJ$7:CJ34)</f>
        <v>2.6660000000000004</v>
      </c>
      <c r="EB34" s="14">
        <f>SUM(CK$7:CK34)</f>
        <v>30.832999999999998</v>
      </c>
      <c r="EC34" s="14">
        <f>SUM(CL$7:CL34)</f>
        <v>30.832999999999998</v>
      </c>
      <c r="ED34" s="14">
        <f>SUM(CM$7:CM34)</f>
        <v>16.25</v>
      </c>
      <c r="EE34" s="14">
        <f>SUM(CN$7:CN34)</f>
        <v>16.25</v>
      </c>
      <c r="EF34" s="14">
        <f>SUM(CO$7:CO34)</f>
        <v>6.5</v>
      </c>
      <c r="EG34" s="14">
        <f>SUM(CP$7:CP34)</f>
        <v>3.1660000000000004</v>
      </c>
      <c r="EH34" s="14">
        <f>SUM(CQ$7:CQ34)</f>
        <v>3</v>
      </c>
      <c r="EI34" s="14">
        <f>SUM(CR$7:CR34)</f>
        <v>3</v>
      </c>
      <c r="EJ34" s="14">
        <f>SUM(CS$7:CS34)</f>
        <v>3</v>
      </c>
      <c r="EK34" s="14">
        <f>SUM(CT$7:CT34)</f>
        <v>1</v>
      </c>
      <c r="EL34" s="14">
        <f>SUM(CU$7:CU34)</f>
        <v>1</v>
      </c>
      <c r="EM34" s="14">
        <f>SUM(CV$7:CV34)</f>
        <v>1</v>
      </c>
      <c r="EN34" s="14">
        <f>SUM(CW$7:CW34)</f>
        <v>0.75</v>
      </c>
      <c r="EO34" s="14">
        <f>SUM(CX$7:CX34)</f>
        <v>0.75</v>
      </c>
      <c r="EP34" s="14">
        <f>SUM(CY$7:CY34)</f>
        <v>0</v>
      </c>
      <c r="EQ34" s="14">
        <f>SUM(CZ$7:CZ34)</f>
        <v>0</v>
      </c>
      <c r="ER34" s="14">
        <f>SUM(DA$7:DA34)</f>
        <v>0</v>
      </c>
      <c r="ES34" s="14">
        <f>SUM(DB$7:DB34)</f>
        <v>0</v>
      </c>
      <c r="ET34" s="14">
        <f>SUM(DC$7:DC34)</f>
        <v>0</v>
      </c>
      <c r="EU34" s="14">
        <f>SUM(DD$7:DD34)</f>
        <v>0</v>
      </c>
      <c r="EV34" s="14">
        <f>SUM(DE$7:DE34)</f>
        <v>0</v>
      </c>
      <c r="EW34" s="14">
        <f>SUM(DF$7:DF34)</f>
        <v>0</v>
      </c>
      <c r="EZ34" s="14">
        <f t="shared" si="56"/>
        <v>9</v>
      </c>
      <c r="FA34" s="14">
        <f t="shared" si="5"/>
        <v>12</v>
      </c>
      <c r="FB34" s="14">
        <f t="shared" si="6"/>
        <v>12</v>
      </c>
      <c r="FC34" s="14">
        <f t="shared" si="7"/>
        <v>9</v>
      </c>
      <c r="FD34" s="14">
        <f t="shared" si="57"/>
        <v>7</v>
      </c>
      <c r="FE34" s="14">
        <f t="shared" si="8"/>
        <v>12</v>
      </c>
      <c r="FF34" s="14">
        <f t="shared" si="9"/>
        <v>12</v>
      </c>
      <c r="FG34" s="14">
        <f t="shared" si="10"/>
        <v>9</v>
      </c>
      <c r="FH34" s="14">
        <f t="shared" si="11"/>
        <v>9</v>
      </c>
      <c r="FI34" s="14">
        <f t="shared" si="12"/>
        <v>7</v>
      </c>
      <c r="FJ34" s="14">
        <f t="shared" si="58"/>
        <v>2</v>
      </c>
      <c r="FK34" s="14">
        <f t="shared" si="13"/>
        <v>9</v>
      </c>
      <c r="FL34" s="14">
        <f t="shared" si="14"/>
        <v>9</v>
      </c>
      <c r="FM34" s="14">
        <f t="shared" si="15"/>
        <v>6</v>
      </c>
      <c r="FN34" s="14">
        <f t="shared" si="16"/>
        <v>6</v>
      </c>
      <c r="FO34" s="14">
        <f t="shared" si="17"/>
        <v>3</v>
      </c>
      <c r="FP34" s="14">
        <f t="shared" si="18"/>
        <v>2</v>
      </c>
      <c r="FQ34" s="14">
        <f t="shared" si="59"/>
        <v>2</v>
      </c>
      <c r="FR34" s="14">
        <f t="shared" si="19"/>
        <v>10</v>
      </c>
      <c r="FS34" s="14">
        <f t="shared" si="20"/>
        <v>10</v>
      </c>
      <c r="FT34" s="14">
        <f t="shared" si="21"/>
        <v>7</v>
      </c>
      <c r="FU34" s="14">
        <f t="shared" si="22"/>
        <v>7</v>
      </c>
      <c r="FV34" s="14">
        <f t="shared" si="23"/>
        <v>4</v>
      </c>
      <c r="FW34" s="14">
        <f t="shared" si="24"/>
        <v>2</v>
      </c>
      <c r="FX34" s="14">
        <f t="shared" si="60"/>
        <v>3</v>
      </c>
      <c r="FY34" s="14">
        <f t="shared" si="25"/>
        <v>11</v>
      </c>
      <c r="FZ34" s="14">
        <f t="shared" si="26"/>
        <v>11</v>
      </c>
      <c r="GA34" s="14">
        <f t="shared" si="27"/>
        <v>8</v>
      </c>
      <c r="GB34" s="14">
        <f t="shared" si="28"/>
        <v>8</v>
      </c>
      <c r="GC34" s="14">
        <f t="shared" si="29"/>
        <v>4</v>
      </c>
      <c r="GD34" s="14">
        <f t="shared" si="30"/>
        <v>3</v>
      </c>
      <c r="GE34" s="14">
        <f t="shared" si="61"/>
        <v>0</v>
      </c>
      <c r="GF34" s="14">
        <f t="shared" si="31"/>
        <v>3</v>
      </c>
      <c r="GG34" s="14">
        <f t="shared" si="32"/>
        <v>3</v>
      </c>
      <c r="GH34" s="14">
        <f t="shared" si="33"/>
        <v>3</v>
      </c>
      <c r="GI34" s="14">
        <f t="shared" si="34"/>
        <v>1</v>
      </c>
      <c r="GJ34" s="14">
        <f t="shared" si="35"/>
        <v>1</v>
      </c>
      <c r="GK34" s="14">
        <f t="shared" si="36"/>
        <v>1</v>
      </c>
      <c r="GL34" s="14">
        <f t="shared" si="37"/>
        <v>0</v>
      </c>
      <c r="GM34" s="14">
        <f t="shared" si="38"/>
        <v>0</v>
      </c>
      <c r="GN34" s="14">
        <f t="shared" si="62"/>
        <v>0</v>
      </c>
      <c r="GO34" s="14">
        <f t="shared" si="39"/>
        <v>0</v>
      </c>
      <c r="GP34" s="14">
        <f t="shared" si="40"/>
        <v>0</v>
      </c>
      <c r="GQ34" s="14">
        <f t="shared" si="41"/>
        <v>0</v>
      </c>
      <c r="GR34" s="14">
        <f t="shared" si="42"/>
        <v>0</v>
      </c>
      <c r="GS34" s="14">
        <f t="shared" si="43"/>
        <v>0</v>
      </c>
      <c r="GT34" s="14">
        <f t="shared" si="44"/>
        <v>0</v>
      </c>
      <c r="GU34" s="14">
        <f t="shared" si="45"/>
        <v>0</v>
      </c>
      <c r="GV34" s="14">
        <f t="shared" si="46"/>
        <v>0</v>
      </c>
      <c r="GY34" s="91">
        <v>28</v>
      </c>
      <c r="GZ34" s="14">
        <f t="shared" si="63"/>
        <v>2</v>
      </c>
      <c r="HA34" s="14">
        <f t="shared" si="64"/>
        <v>1</v>
      </c>
      <c r="HB34" s="14">
        <f t="shared" si="65"/>
        <v>1</v>
      </c>
      <c r="HC34" s="14">
        <f t="shared" si="66"/>
        <v>0.31900000000000001</v>
      </c>
      <c r="HD34" s="14">
        <f t="shared" si="67"/>
        <v>1606004</v>
      </c>
      <c r="HE34" s="14" t="str">
        <f t="shared" si="68"/>
        <v>神器1-2 : 13级</v>
      </c>
      <c r="HF34" s="14" t="s">
        <v>800</v>
      </c>
      <c r="HG34" s="14">
        <f t="shared" si="69"/>
        <v>13</v>
      </c>
      <c r="HH34" s="14" t="str">
        <f t="shared" si="70"/>
        <v>神器1-2</v>
      </c>
      <c r="HI34" s="14">
        <f t="shared" si="71"/>
        <v>7</v>
      </c>
      <c r="HJ34" s="14" t="s">
        <v>1595</v>
      </c>
      <c r="HK34" s="14">
        <f t="shared" si="72"/>
        <v>3800</v>
      </c>
    </row>
    <row r="35" spans="14:219" ht="16.5" x14ac:dyDescent="0.2">
      <c r="N35" s="90">
        <v>6</v>
      </c>
      <c r="O35" s="90">
        <v>2</v>
      </c>
      <c r="P35" s="90">
        <v>2</v>
      </c>
      <c r="Q35" s="90">
        <v>21</v>
      </c>
      <c r="R35" s="14">
        <f>SUM(Q$7:Q35)</f>
        <v>486</v>
      </c>
      <c r="S35" s="91">
        <v>1606030</v>
      </c>
      <c r="T35" s="14" t="str">
        <f t="shared" si="73"/>
        <v>神器6-2</v>
      </c>
      <c r="AF35" s="87">
        <v>29</v>
      </c>
      <c r="AG35" s="87">
        <v>6</v>
      </c>
      <c r="AH35" s="87">
        <v>3</v>
      </c>
      <c r="AI35" s="200">
        <v>1606031</v>
      </c>
      <c r="AJ35" s="87" t="str">
        <f t="shared" si="47"/>
        <v>神器6-3</v>
      </c>
      <c r="AK35" s="87">
        <v>2</v>
      </c>
      <c r="AL35" s="87">
        <f t="shared" si="48"/>
        <v>120</v>
      </c>
      <c r="AO35" s="87">
        <v>3</v>
      </c>
      <c r="AP35" s="87">
        <v>1</v>
      </c>
      <c r="AQ35" s="87">
        <v>12</v>
      </c>
      <c r="AR35" s="144">
        <f t="shared" si="49"/>
        <v>4412</v>
      </c>
      <c r="AS35" s="144" t="s">
        <v>1218</v>
      </c>
      <c r="AT35" s="144" t="str">
        <f t="shared" si="50"/>
        <v>神器本-3-普通-3  神器3-3</v>
      </c>
      <c r="AU35" s="87">
        <v>11</v>
      </c>
      <c r="AV35" s="87" t="s">
        <v>317</v>
      </c>
      <c r="AW35" s="87">
        <v>3500</v>
      </c>
      <c r="AX35" s="87">
        <v>1</v>
      </c>
      <c r="AY35" s="87">
        <v>2</v>
      </c>
      <c r="AZ35" s="87">
        <f t="shared" si="51"/>
        <v>2</v>
      </c>
      <c r="BA35" s="14">
        <f t="shared" si="52"/>
        <v>0.52500000000000002</v>
      </c>
      <c r="BB35" s="14">
        <f t="shared" si="53"/>
        <v>31.5</v>
      </c>
      <c r="BL35" s="87">
        <v>29</v>
      </c>
      <c r="BM35" s="14">
        <f>INDEX(节奏总表!$CK$4:$CK$63,新神器!BL35)</f>
        <v>117</v>
      </c>
      <c r="BN35" s="14">
        <f t="shared" si="55"/>
        <v>6</v>
      </c>
      <c r="BO35" s="87">
        <v>3</v>
      </c>
      <c r="BP35" s="87">
        <v>5</v>
      </c>
      <c r="BQ35" s="14">
        <f t="shared" si="79"/>
        <v>0</v>
      </c>
      <c r="BR35" s="14">
        <f t="shared" si="79"/>
        <v>0</v>
      </c>
      <c r="BS35" s="14">
        <f t="shared" si="79"/>
        <v>0</v>
      </c>
      <c r="BT35" s="14">
        <f t="shared" si="79"/>
        <v>0</v>
      </c>
      <c r="BU35" s="14">
        <f t="shared" si="79"/>
        <v>0</v>
      </c>
      <c r="BV35" s="14">
        <f t="shared" si="79"/>
        <v>0</v>
      </c>
      <c r="BW35" s="14">
        <f t="shared" si="79"/>
        <v>0</v>
      </c>
      <c r="BX35" s="14">
        <f t="shared" si="79"/>
        <v>0</v>
      </c>
      <c r="BY35" s="14">
        <f t="shared" si="79"/>
        <v>0.41649999999999998</v>
      </c>
      <c r="BZ35" s="14">
        <f t="shared" si="79"/>
        <v>0.41649999999999998</v>
      </c>
      <c r="CA35" s="14">
        <f t="shared" si="80"/>
        <v>0.25</v>
      </c>
      <c r="CB35" s="14">
        <f t="shared" si="80"/>
        <v>0.25</v>
      </c>
      <c r="CC35" s="14">
        <f t="shared" si="80"/>
        <v>0.25</v>
      </c>
      <c r="CD35" s="14">
        <f t="shared" si="80"/>
        <v>8.5000000000000006E-2</v>
      </c>
      <c r="CE35" s="14">
        <f t="shared" si="80"/>
        <v>0.41649999999999998</v>
      </c>
      <c r="CF35" s="14">
        <f t="shared" si="80"/>
        <v>0.41649999999999998</v>
      </c>
      <c r="CG35" s="14">
        <f t="shared" si="80"/>
        <v>0.25</v>
      </c>
      <c r="CH35" s="14">
        <f t="shared" si="80"/>
        <v>0.25</v>
      </c>
      <c r="CI35" s="14">
        <f t="shared" si="80"/>
        <v>0.25</v>
      </c>
      <c r="CJ35" s="14">
        <f t="shared" si="80"/>
        <v>8.3000000000000004E-2</v>
      </c>
      <c r="CK35" s="14">
        <f t="shared" si="81"/>
        <v>0.41649999999999998</v>
      </c>
      <c r="CL35" s="14">
        <f t="shared" si="81"/>
        <v>0.41649999999999998</v>
      </c>
      <c r="CM35" s="14">
        <f t="shared" si="81"/>
        <v>0.25</v>
      </c>
      <c r="CN35" s="14">
        <f t="shared" si="81"/>
        <v>0.25</v>
      </c>
      <c r="CO35" s="14">
        <f t="shared" si="81"/>
        <v>0.25</v>
      </c>
      <c r="CP35" s="14">
        <f t="shared" si="81"/>
        <v>8.3000000000000004E-2</v>
      </c>
      <c r="CQ35" s="14">
        <f t="shared" si="81"/>
        <v>1.5</v>
      </c>
      <c r="CR35" s="14">
        <f t="shared" si="81"/>
        <v>1.5</v>
      </c>
      <c r="CS35" s="14">
        <f t="shared" si="81"/>
        <v>1.5</v>
      </c>
      <c r="CT35" s="14">
        <f t="shared" si="81"/>
        <v>0.5</v>
      </c>
      <c r="CU35" s="14">
        <f t="shared" si="82"/>
        <v>0.5</v>
      </c>
      <c r="CV35" s="14">
        <f t="shared" si="82"/>
        <v>0.5</v>
      </c>
      <c r="CW35" s="14">
        <f t="shared" si="82"/>
        <v>0.375</v>
      </c>
      <c r="CX35" s="14">
        <f t="shared" si="82"/>
        <v>0.375</v>
      </c>
      <c r="CY35" s="14">
        <f t="shared" si="82"/>
        <v>0</v>
      </c>
      <c r="CZ35" s="14">
        <f t="shared" si="82"/>
        <v>0</v>
      </c>
      <c r="DA35" s="14">
        <f t="shared" si="82"/>
        <v>0</v>
      </c>
      <c r="DB35" s="14">
        <f t="shared" si="82"/>
        <v>0</v>
      </c>
      <c r="DC35" s="14">
        <f t="shared" si="82"/>
        <v>0</v>
      </c>
      <c r="DD35" s="14">
        <f t="shared" si="82"/>
        <v>0</v>
      </c>
      <c r="DE35" s="14">
        <f t="shared" si="82"/>
        <v>0</v>
      </c>
      <c r="DF35" s="14">
        <f t="shared" si="82"/>
        <v>0</v>
      </c>
      <c r="DH35" s="14">
        <f>SUM(BQ$7:BQ35)</f>
        <v>35.749999999999993</v>
      </c>
      <c r="DI35" s="14">
        <f>SUM(BR$7:BR35)</f>
        <v>35.749999999999993</v>
      </c>
      <c r="DJ35" s="14">
        <f>SUM(BS$7:BS35)</f>
        <v>20.25</v>
      </c>
      <c r="DK35" s="14">
        <f>SUM(BT$7:BT35)</f>
        <v>36.25</v>
      </c>
      <c r="DL35" s="14">
        <f>SUM(BU$7:BU35)</f>
        <v>36.25</v>
      </c>
      <c r="DM35" s="14">
        <f>SUM(BV$7:BV35)</f>
        <v>20.625</v>
      </c>
      <c r="DN35" s="14">
        <f>SUM(BW$7:BW35)</f>
        <v>20.625</v>
      </c>
      <c r="DO35" s="14">
        <f>SUM(BX$7:BX35)</f>
        <v>13.75</v>
      </c>
      <c r="DP35" s="14">
        <f>SUM(BY$7:BY35)</f>
        <v>21.249499999999998</v>
      </c>
      <c r="DQ35" s="14">
        <f>SUM(BZ$7:BZ35)</f>
        <v>21.249499999999998</v>
      </c>
      <c r="DR35" s="14">
        <f>SUM(CA$7:CA35)</f>
        <v>11.25</v>
      </c>
      <c r="DS35" s="14">
        <f>SUM(CB$7:CB35)</f>
        <v>11.25</v>
      </c>
      <c r="DT35" s="14">
        <f>SUM(CC$7:CC35)</f>
        <v>4.75</v>
      </c>
      <c r="DU35" s="14">
        <f>SUM(CD$7:CD35)</f>
        <v>2.2549999999999999</v>
      </c>
      <c r="DV35" s="14">
        <f>SUM(CE$7:CE35)</f>
        <v>26.249499999999998</v>
      </c>
      <c r="DW35" s="14">
        <f>SUM(CF$7:CF35)</f>
        <v>26.249499999999998</v>
      </c>
      <c r="DX35" s="14">
        <f>SUM(CG$7:CG35)</f>
        <v>13.875</v>
      </c>
      <c r="DY35" s="14">
        <f>SUM(CH$7:CH35)</f>
        <v>13.875</v>
      </c>
      <c r="DZ35" s="14">
        <f>SUM(CI$7:CI35)</f>
        <v>5.75</v>
      </c>
      <c r="EA35" s="14">
        <f>SUM(CJ$7:CJ35)</f>
        <v>2.7490000000000006</v>
      </c>
      <c r="EB35" s="14">
        <f>SUM(CK$7:CK35)</f>
        <v>31.249499999999998</v>
      </c>
      <c r="EC35" s="14">
        <f>SUM(CL$7:CL35)</f>
        <v>31.249499999999998</v>
      </c>
      <c r="ED35" s="14">
        <f>SUM(CM$7:CM35)</f>
        <v>16.5</v>
      </c>
      <c r="EE35" s="14">
        <f>SUM(CN$7:CN35)</f>
        <v>16.5</v>
      </c>
      <c r="EF35" s="14">
        <f>SUM(CO$7:CO35)</f>
        <v>6.75</v>
      </c>
      <c r="EG35" s="14">
        <f>SUM(CP$7:CP35)</f>
        <v>3.2490000000000006</v>
      </c>
      <c r="EH35" s="14">
        <f>SUM(CQ$7:CQ35)</f>
        <v>4.5</v>
      </c>
      <c r="EI35" s="14">
        <f>SUM(CR$7:CR35)</f>
        <v>4.5</v>
      </c>
      <c r="EJ35" s="14">
        <f>SUM(CS$7:CS35)</f>
        <v>4.5</v>
      </c>
      <c r="EK35" s="14">
        <f>SUM(CT$7:CT35)</f>
        <v>1.5</v>
      </c>
      <c r="EL35" s="14">
        <f>SUM(CU$7:CU35)</f>
        <v>1.5</v>
      </c>
      <c r="EM35" s="14">
        <f>SUM(CV$7:CV35)</f>
        <v>1.5</v>
      </c>
      <c r="EN35" s="14">
        <f>SUM(CW$7:CW35)</f>
        <v>1.125</v>
      </c>
      <c r="EO35" s="14">
        <f>SUM(CX$7:CX35)</f>
        <v>1.125</v>
      </c>
      <c r="EP35" s="14">
        <f>SUM(CY$7:CY35)</f>
        <v>0</v>
      </c>
      <c r="EQ35" s="14">
        <f>SUM(CZ$7:CZ35)</f>
        <v>0</v>
      </c>
      <c r="ER35" s="14">
        <f>SUM(DA$7:DA35)</f>
        <v>0</v>
      </c>
      <c r="ES35" s="14">
        <f>SUM(DB$7:DB35)</f>
        <v>0</v>
      </c>
      <c r="ET35" s="14">
        <f>SUM(DC$7:DC35)</f>
        <v>0</v>
      </c>
      <c r="EU35" s="14">
        <f>SUM(DD$7:DD35)</f>
        <v>0</v>
      </c>
      <c r="EV35" s="14">
        <f>SUM(DE$7:DE35)</f>
        <v>0</v>
      </c>
      <c r="EW35" s="14">
        <f>SUM(DF$7:DF35)</f>
        <v>0</v>
      </c>
      <c r="EZ35" s="14">
        <f t="shared" si="56"/>
        <v>9</v>
      </c>
      <c r="FA35" s="14">
        <f t="shared" si="5"/>
        <v>12</v>
      </c>
      <c r="FB35" s="14">
        <f t="shared" si="6"/>
        <v>12</v>
      </c>
      <c r="FC35" s="14">
        <f t="shared" si="7"/>
        <v>9</v>
      </c>
      <c r="FD35" s="14">
        <f t="shared" si="57"/>
        <v>7</v>
      </c>
      <c r="FE35" s="14">
        <f t="shared" si="8"/>
        <v>12</v>
      </c>
      <c r="FF35" s="14">
        <f t="shared" si="9"/>
        <v>12</v>
      </c>
      <c r="FG35" s="14">
        <f t="shared" si="10"/>
        <v>9</v>
      </c>
      <c r="FH35" s="14">
        <f t="shared" si="11"/>
        <v>9</v>
      </c>
      <c r="FI35" s="14">
        <f t="shared" si="12"/>
        <v>7</v>
      </c>
      <c r="FJ35" s="14">
        <f t="shared" si="58"/>
        <v>2</v>
      </c>
      <c r="FK35" s="14">
        <f t="shared" si="13"/>
        <v>9</v>
      </c>
      <c r="FL35" s="14">
        <f t="shared" si="14"/>
        <v>9</v>
      </c>
      <c r="FM35" s="14">
        <f t="shared" si="15"/>
        <v>6</v>
      </c>
      <c r="FN35" s="14">
        <f t="shared" si="16"/>
        <v>6</v>
      </c>
      <c r="FO35" s="14">
        <f t="shared" si="17"/>
        <v>3</v>
      </c>
      <c r="FP35" s="14">
        <f t="shared" si="18"/>
        <v>2</v>
      </c>
      <c r="FQ35" s="14">
        <f t="shared" si="59"/>
        <v>2</v>
      </c>
      <c r="FR35" s="14">
        <f t="shared" si="19"/>
        <v>10</v>
      </c>
      <c r="FS35" s="14">
        <f t="shared" si="20"/>
        <v>10</v>
      </c>
      <c r="FT35" s="14">
        <f t="shared" si="21"/>
        <v>7</v>
      </c>
      <c r="FU35" s="14">
        <f t="shared" si="22"/>
        <v>7</v>
      </c>
      <c r="FV35" s="14">
        <f t="shared" si="23"/>
        <v>4</v>
      </c>
      <c r="FW35" s="14">
        <f t="shared" si="24"/>
        <v>2</v>
      </c>
      <c r="FX35" s="14">
        <f t="shared" si="60"/>
        <v>3</v>
      </c>
      <c r="FY35" s="14">
        <f t="shared" si="25"/>
        <v>11</v>
      </c>
      <c r="FZ35" s="14">
        <f t="shared" si="26"/>
        <v>11</v>
      </c>
      <c r="GA35" s="14">
        <f t="shared" si="27"/>
        <v>8</v>
      </c>
      <c r="GB35" s="14">
        <f t="shared" si="28"/>
        <v>8</v>
      </c>
      <c r="GC35" s="14">
        <f t="shared" si="29"/>
        <v>4</v>
      </c>
      <c r="GD35" s="14">
        <f t="shared" si="30"/>
        <v>3</v>
      </c>
      <c r="GE35" s="14">
        <f t="shared" si="61"/>
        <v>1</v>
      </c>
      <c r="GF35" s="14">
        <f t="shared" si="31"/>
        <v>3</v>
      </c>
      <c r="GG35" s="14">
        <f t="shared" si="32"/>
        <v>3</v>
      </c>
      <c r="GH35" s="14">
        <f t="shared" si="33"/>
        <v>3</v>
      </c>
      <c r="GI35" s="14">
        <f t="shared" si="34"/>
        <v>1</v>
      </c>
      <c r="GJ35" s="14">
        <f t="shared" si="35"/>
        <v>1</v>
      </c>
      <c r="GK35" s="14">
        <f t="shared" si="36"/>
        <v>1</v>
      </c>
      <c r="GL35" s="14">
        <f t="shared" si="37"/>
        <v>1</v>
      </c>
      <c r="GM35" s="14">
        <f t="shared" si="38"/>
        <v>1</v>
      </c>
      <c r="GN35" s="14">
        <f t="shared" si="62"/>
        <v>0</v>
      </c>
      <c r="GO35" s="14">
        <f t="shared" si="39"/>
        <v>0</v>
      </c>
      <c r="GP35" s="14">
        <f t="shared" si="40"/>
        <v>0</v>
      </c>
      <c r="GQ35" s="14">
        <f t="shared" si="41"/>
        <v>0</v>
      </c>
      <c r="GR35" s="14">
        <f t="shared" si="42"/>
        <v>0</v>
      </c>
      <c r="GS35" s="14">
        <f t="shared" si="43"/>
        <v>0</v>
      </c>
      <c r="GT35" s="14">
        <f t="shared" si="44"/>
        <v>0</v>
      </c>
      <c r="GU35" s="14">
        <f t="shared" si="45"/>
        <v>0</v>
      </c>
      <c r="GV35" s="14">
        <f t="shared" si="46"/>
        <v>0</v>
      </c>
      <c r="GY35" s="91">
        <v>29</v>
      </c>
      <c r="GZ35" s="14">
        <f t="shared" si="63"/>
        <v>2</v>
      </c>
      <c r="HA35" s="14">
        <f t="shared" si="64"/>
        <v>1</v>
      </c>
      <c r="HB35" s="14">
        <f t="shared" si="65"/>
        <v>1</v>
      </c>
      <c r="HC35" s="14">
        <f t="shared" si="66"/>
        <v>0.32600000000000001</v>
      </c>
      <c r="HD35" s="14">
        <f t="shared" si="67"/>
        <v>1606004</v>
      </c>
      <c r="HE35" s="14" t="str">
        <f t="shared" si="68"/>
        <v>神器1-2 : 14级</v>
      </c>
      <c r="HF35" s="14" t="s">
        <v>800</v>
      </c>
      <c r="HG35" s="14">
        <f t="shared" si="69"/>
        <v>14</v>
      </c>
      <c r="HH35" s="14" t="str">
        <f t="shared" si="70"/>
        <v>神器1-2</v>
      </c>
      <c r="HI35" s="14">
        <f t="shared" si="71"/>
        <v>7</v>
      </c>
      <c r="HJ35" s="14" t="s">
        <v>1595</v>
      </c>
      <c r="HK35" s="14">
        <f t="shared" si="72"/>
        <v>3900</v>
      </c>
    </row>
    <row r="36" spans="14:219" ht="16.5" x14ac:dyDescent="0.2">
      <c r="N36" s="90">
        <v>6</v>
      </c>
      <c r="O36" s="90">
        <v>3</v>
      </c>
      <c r="P36" s="90">
        <v>2</v>
      </c>
      <c r="Q36" s="90">
        <v>21</v>
      </c>
      <c r="R36" s="14">
        <f>SUM(Q$7:Q36)</f>
        <v>507</v>
      </c>
      <c r="S36" s="91">
        <v>1606031</v>
      </c>
      <c r="T36" s="14" t="str">
        <f t="shared" si="73"/>
        <v>神器6-3</v>
      </c>
      <c r="AF36" s="87">
        <v>30</v>
      </c>
      <c r="AG36" s="87">
        <v>6</v>
      </c>
      <c r="AH36" s="87">
        <v>4</v>
      </c>
      <c r="AI36" s="200">
        <v>1606032</v>
      </c>
      <c r="AJ36" s="87" t="str">
        <f t="shared" si="47"/>
        <v>神器6-4</v>
      </c>
      <c r="AK36" s="87">
        <v>3</v>
      </c>
      <c r="AL36" s="87">
        <f t="shared" si="48"/>
        <v>280</v>
      </c>
      <c r="AO36" s="87">
        <v>3</v>
      </c>
      <c r="AP36" s="87">
        <v>1</v>
      </c>
      <c r="AQ36" s="87">
        <v>12</v>
      </c>
      <c r="AR36" s="144">
        <f t="shared" si="49"/>
        <v>4412</v>
      </c>
      <c r="AS36" s="144" t="s">
        <v>1218</v>
      </c>
      <c r="AT36" s="144" t="str">
        <f t="shared" si="50"/>
        <v>神器本-3-普通-3  神器3-4</v>
      </c>
      <c r="AU36" s="87">
        <v>12</v>
      </c>
      <c r="AV36" s="87" t="s">
        <v>318</v>
      </c>
      <c r="AW36" s="87">
        <v>3500</v>
      </c>
      <c r="AX36" s="87">
        <v>1</v>
      </c>
      <c r="AY36" s="87">
        <v>2</v>
      </c>
      <c r="AZ36" s="87">
        <f t="shared" si="51"/>
        <v>2</v>
      </c>
      <c r="BA36" s="14">
        <f t="shared" si="52"/>
        <v>0.52500000000000002</v>
      </c>
      <c r="BB36" s="14">
        <f t="shared" si="53"/>
        <v>31.5</v>
      </c>
      <c r="BL36" s="87">
        <v>30</v>
      </c>
      <c r="BM36" s="14">
        <f>INDEX(节奏总表!$CK$4:$CK$63,新神器!BL36)</f>
        <v>118</v>
      </c>
      <c r="BN36" s="14">
        <f t="shared" si="55"/>
        <v>6</v>
      </c>
      <c r="BO36" s="87">
        <v>3</v>
      </c>
      <c r="BP36" s="87">
        <v>5</v>
      </c>
      <c r="BQ36" s="14">
        <f t="shared" si="79"/>
        <v>0</v>
      </c>
      <c r="BR36" s="14">
        <f t="shared" si="79"/>
        <v>0</v>
      </c>
      <c r="BS36" s="14">
        <f t="shared" si="79"/>
        <v>0</v>
      </c>
      <c r="BT36" s="14">
        <f t="shared" si="79"/>
        <v>0</v>
      </c>
      <c r="BU36" s="14">
        <f t="shared" si="79"/>
        <v>0</v>
      </c>
      <c r="BV36" s="14">
        <f t="shared" si="79"/>
        <v>0</v>
      </c>
      <c r="BW36" s="14">
        <f t="shared" si="79"/>
        <v>0</v>
      </c>
      <c r="BX36" s="14">
        <f t="shared" si="79"/>
        <v>0</v>
      </c>
      <c r="BY36" s="14">
        <f t="shared" si="79"/>
        <v>0.41649999999999998</v>
      </c>
      <c r="BZ36" s="14">
        <f t="shared" si="79"/>
        <v>0.41649999999999998</v>
      </c>
      <c r="CA36" s="14">
        <f t="shared" si="80"/>
        <v>0.25</v>
      </c>
      <c r="CB36" s="14">
        <f t="shared" si="80"/>
        <v>0.25</v>
      </c>
      <c r="CC36" s="14">
        <f t="shared" si="80"/>
        <v>0.25</v>
      </c>
      <c r="CD36" s="14">
        <f t="shared" si="80"/>
        <v>8.5000000000000006E-2</v>
      </c>
      <c r="CE36" s="14">
        <f t="shared" si="80"/>
        <v>0.41649999999999998</v>
      </c>
      <c r="CF36" s="14">
        <f t="shared" si="80"/>
        <v>0.41649999999999998</v>
      </c>
      <c r="CG36" s="14">
        <f t="shared" si="80"/>
        <v>0.25</v>
      </c>
      <c r="CH36" s="14">
        <f t="shared" si="80"/>
        <v>0.25</v>
      </c>
      <c r="CI36" s="14">
        <f t="shared" si="80"/>
        <v>0.25</v>
      </c>
      <c r="CJ36" s="14">
        <f t="shared" si="80"/>
        <v>8.3000000000000004E-2</v>
      </c>
      <c r="CK36" s="14">
        <f t="shared" si="81"/>
        <v>0.41649999999999998</v>
      </c>
      <c r="CL36" s="14">
        <f t="shared" si="81"/>
        <v>0.41649999999999998</v>
      </c>
      <c r="CM36" s="14">
        <f t="shared" si="81"/>
        <v>0.25</v>
      </c>
      <c r="CN36" s="14">
        <f t="shared" si="81"/>
        <v>0.25</v>
      </c>
      <c r="CO36" s="14">
        <f t="shared" si="81"/>
        <v>0.25</v>
      </c>
      <c r="CP36" s="14">
        <f t="shared" si="81"/>
        <v>8.3000000000000004E-2</v>
      </c>
      <c r="CQ36" s="14">
        <f t="shared" si="81"/>
        <v>1.5</v>
      </c>
      <c r="CR36" s="14">
        <f t="shared" si="81"/>
        <v>1.5</v>
      </c>
      <c r="CS36" s="14">
        <f t="shared" si="81"/>
        <v>1.5</v>
      </c>
      <c r="CT36" s="14">
        <f t="shared" si="81"/>
        <v>0.5</v>
      </c>
      <c r="CU36" s="14">
        <f t="shared" si="82"/>
        <v>0.5</v>
      </c>
      <c r="CV36" s="14">
        <f t="shared" si="82"/>
        <v>0.5</v>
      </c>
      <c r="CW36" s="14">
        <f t="shared" si="82"/>
        <v>0.375</v>
      </c>
      <c r="CX36" s="14">
        <f t="shared" si="82"/>
        <v>0.375</v>
      </c>
      <c r="CY36" s="14">
        <f t="shared" si="82"/>
        <v>0</v>
      </c>
      <c r="CZ36" s="14">
        <f t="shared" si="82"/>
        <v>0</v>
      </c>
      <c r="DA36" s="14">
        <f t="shared" si="82"/>
        <v>0</v>
      </c>
      <c r="DB36" s="14">
        <f t="shared" si="82"/>
        <v>0</v>
      </c>
      <c r="DC36" s="14">
        <f t="shared" si="82"/>
        <v>0</v>
      </c>
      <c r="DD36" s="14">
        <f t="shared" si="82"/>
        <v>0</v>
      </c>
      <c r="DE36" s="14">
        <f t="shared" si="82"/>
        <v>0</v>
      </c>
      <c r="DF36" s="14">
        <f t="shared" si="82"/>
        <v>0</v>
      </c>
      <c r="DH36" s="14">
        <f>SUM(BQ$7:BQ36)</f>
        <v>35.749999999999993</v>
      </c>
      <c r="DI36" s="14">
        <f>SUM(BR$7:BR36)</f>
        <v>35.749999999999993</v>
      </c>
      <c r="DJ36" s="14">
        <f>SUM(BS$7:BS36)</f>
        <v>20.25</v>
      </c>
      <c r="DK36" s="14">
        <f>SUM(BT$7:BT36)</f>
        <v>36.25</v>
      </c>
      <c r="DL36" s="14">
        <f>SUM(BU$7:BU36)</f>
        <v>36.25</v>
      </c>
      <c r="DM36" s="14">
        <f>SUM(BV$7:BV36)</f>
        <v>20.625</v>
      </c>
      <c r="DN36" s="14">
        <f>SUM(BW$7:BW36)</f>
        <v>20.625</v>
      </c>
      <c r="DO36" s="14">
        <f>SUM(BX$7:BX36)</f>
        <v>13.75</v>
      </c>
      <c r="DP36" s="14">
        <f>SUM(BY$7:BY36)</f>
        <v>21.665999999999997</v>
      </c>
      <c r="DQ36" s="14">
        <f>SUM(BZ$7:BZ36)</f>
        <v>21.665999999999997</v>
      </c>
      <c r="DR36" s="14">
        <f>SUM(CA$7:CA36)</f>
        <v>11.5</v>
      </c>
      <c r="DS36" s="14">
        <f>SUM(CB$7:CB36)</f>
        <v>11.5</v>
      </c>
      <c r="DT36" s="14">
        <f>SUM(CC$7:CC36)</f>
        <v>5</v>
      </c>
      <c r="DU36" s="14">
        <f>SUM(CD$7:CD36)</f>
        <v>2.34</v>
      </c>
      <c r="DV36" s="14">
        <f>SUM(CE$7:CE36)</f>
        <v>26.665999999999997</v>
      </c>
      <c r="DW36" s="14">
        <f>SUM(CF$7:CF36)</f>
        <v>26.665999999999997</v>
      </c>
      <c r="DX36" s="14">
        <f>SUM(CG$7:CG36)</f>
        <v>14.125</v>
      </c>
      <c r="DY36" s="14">
        <f>SUM(CH$7:CH36)</f>
        <v>14.125</v>
      </c>
      <c r="DZ36" s="14">
        <f>SUM(CI$7:CI36)</f>
        <v>6</v>
      </c>
      <c r="EA36" s="14">
        <f>SUM(CJ$7:CJ36)</f>
        <v>2.8320000000000007</v>
      </c>
      <c r="EB36" s="14">
        <f>SUM(CK$7:CK36)</f>
        <v>31.665999999999997</v>
      </c>
      <c r="EC36" s="14">
        <f>SUM(CL$7:CL36)</f>
        <v>31.665999999999997</v>
      </c>
      <c r="ED36" s="14">
        <f>SUM(CM$7:CM36)</f>
        <v>16.75</v>
      </c>
      <c r="EE36" s="14">
        <f>SUM(CN$7:CN36)</f>
        <v>16.75</v>
      </c>
      <c r="EF36" s="14">
        <f>SUM(CO$7:CO36)</f>
        <v>7</v>
      </c>
      <c r="EG36" s="14">
        <f>SUM(CP$7:CP36)</f>
        <v>3.3320000000000007</v>
      </c>
      <c r="EH36" s="14">
        <f>SUM(CQ$7:CQ36)</f>
        <v>6</v>
      </c>
      <c r="EI36" s="14">
        <f>SUM(CR$7:CR36)</f>
        <v>6</v>
      </c>
      <c r="EJ36" s="14">
        <f>SUM(CS$7:CS36)</f>
        <v>6</v>
      </c>
      <c r="EK36" s="14">
        <f>SUM(CT$7:CT36)</f>
        <v>2</v>
      </c>
      <c r="EL36" s="14">
        <f>SUM(CU$7:CU36)</f>
        <v>2</v>
      </c>
      <c r="EM36" s="14">
        <f>SUM(CV$7:CV36)</f>
        <v>2</v>
      </c>
      <c r="EN36" s="14">
        <f>SUM(CW$7:CW36)</f>
        <v>1.5</v>
      </c>
      <c r="EO36" s="14">
        <f>SUM(CX$7:CX36)</f>
        <v>1.5</v>
      </c>
      <c r="EP36" s="14">
        <f>SUM(CY$7:CY36)</f>
        <v>0</v>
      </c>
      <c r="EQ36" s="14">
        <f>SUM(CZ$7:CZ36)</f>
        <v>0</v>
      </c>
      <c r="ER36" s="14">
        <f>SUM(DA$7:DA36)</f>
        <v>0</v>
      </c>
      <c r="ES36" s="14">
        <f>SUM(DB$7:DB36)</f>
        <v>0</v>
      </c>
      <c r="ET36" s="14">
        <f>SUM(DC$7:DC36)</f>
        <v>0</v>
      </c>
      <c r="EU36" s="14">
        <f>SUM(DD$7:DD36)</f>
        <v>0</v>
      </c>
      <c r="EV36" s="14">
        <f>SUM(DE$7:DE36)</f>
        <v>0</v>
      </c>
      <c r="EW36" s="14">
        <f>SUM(DF$7:DF36)</f>
        <v>0</v>
      </c>
      <c r="EZ36" s="14">
        <f t="shared" si="56"/>
        <v>9</v>
      </c>
      <c r="FA36" s="14">
        <f t="shared" si="5"/>
        <v>12</v>
      </c>
      <c r="FB36" s="14">
        <f t="shared" si="6"/>
        <v>12</v>
      </c>
      <c r="FC36" s="14">
        <f t="shared" si="7"/>
        <v>9</v>
      </c>
      <c r="FD36" s="14">
        <f t="shared" si="57"/>
        <v>7</v>
      </c>
      <c r="FE36" s="14">
        <f t="shared" si="8"/>
        <v>12</v>
      </c>
      <c r="FF36" s="14">
        <f t="shared" si="9"/>
        <v>12</v>
      </c>
      <c r="FG36" s="14">
        <f t="shared" si="10"/>
        <v>9</v>
      </c>
      <c r="FH36" s="14">
        <f t="shared" si="11"/>
        <v>9</v>
      </c>
      <c r="FI36" s="14">
        <f t="shared" si="12"/>
        <v>7</v>
      </c>
      <c r="FJ36" s="14">
        <f t="shared" si="58"/>
        <v>2</v>
      </c>
      <c r="FK36" s="14">
        <f t="shared" si="13"/>
        <v>9</v>
      </c>
      <c r="FL36" s="14">
        <f t="shared" si="14"/>
        <v>9</v>
      </c>
      <c r="FM36" s="14">
        <f t="shared" si="15"/>
        <v>6</v>
      </c>
      <c r="FN36" s="14">
        <f t="shared" si="16"/>
        <v>6</v>
      </c>
      <c r="FO36" s="14">
        <f t="shared" si="17"/>
        <v>4</v>
      </c>
      <c r="FP36" s="14">
        <f t="shared" si="18"/>
        <v>2</v>
      </c>
      <c r="FQ36" s="14">
        <f t="shared" si="59"/>
        <v>2</v>
      </c>
      <c r="FR36" s="14">
        <f t="shared" si="19"/>
        <v>10</v>
      </c>
      <c r="FS36" s="14">
        <f t="shared" si="20"/>
        <v>10</v>
      </c>
      <c r="FT36" s="14">
        <f t="shared" si="21"/>
        <v>7</v>
      </c>
      <c r="FU36" s="14">
        <f t="shared" si="22"/>
        <v>7</v>
      </c>
      <c r="FV36" s="14">
        <f t="shared" si="23"/>
        <v>4</v>
      </c>
      <c r="FW36" s="14">
        <f t="shared" si="24"/>
        <v>2</v>
      </c>
      <c r="FX36" s="14">
        <f t="shared" si="60"/>
        <v>3</v>
      </c>
      <c r="FY36" s="14">
        <f t="shared" si="25"/>
        <v>11</v>
      </c>
      <c r="FZ36" s="14">
        <f t="shared" si="26"/>
        <v>11</v>
      </c>
      <c r="GA36" s="14">
        <f t="shared" si="27"/>
        <v>8</v>
      </c>
      <c r="GB36" s="14">
        <f t="shared" si="28"/>
        <v>8</v>
      </c>
      <c r="GC36" s="14">
        <f t="shared" si="29"/>
        <v>5</v>
      </c>
      <c r="GD36" s="14">
        <f t="shared" si="30"/>
        <v>3</v>
      </c>
      <c r="GE36" s="14">
        <f t="shared" si="61"/>
        <v>1</v>
      </c>
      <c r="GF36" s="14">
        <f t="shared" si="31"/>
        <v>4</v>
      </c>
      <c r="GG36" s="14">
        <f t="shared" si="32"/>
        <v>4</v>
      </c>
      <c r="GH36" s="14">
        <f t="shared" si="33"/>
        <v>4</v>
      </c>
      <c r="GI36" s="14">
        <f t="shared" si="34"/>
        <v>2</v>
      </c>
      <c r="GJ36" s="14">
        <f t="shared" si="35"/>
        <v>2</v>
      </c>
      <c r="GK36" s="14">
        <f t="shared" si="36"/>
        <v>2</v>
      </c>
      <c r="GL36" s="14">
        <f t="shared" si="37"/>
        <v>1</v>
      </c>
      <c r="GM36" s="14">
        <f t="shared" si="38"/>
        <v>1</v>
      </c>
      <c r="GN36" s="14">
        <f t="shared" si="62"/>
        <v>0</v>
      </c>
      <c r="GO36" s="14">
        <f t="shared" si="39"/>
        <v>0</v>
      </c>
      <c r="GP36" s="14">
        <f t="shared" si="40"/>
        <v>0</v>
      </c>
      <c r="GQ36" s="14">
        <f t="shared" si="41"/>
        <v>0</v>
      </c>
      <c r="GR36" s="14">
        <f t="shared" si="42"/>
        <v>0</v>
      </c>
      <c r="GS36" s="14">
        <f t="shared" si="43"/>
        <v>0</v>
      </c>
      <c r="GT36" s="14">
        <f t="shared" si="44"/>
        <v>0</v>
      </c>
      <c r="GU36" s="14">
        <f t="shared" si="45"/>
        <v>0</v>
      </c>
      <c r="GV36" s="14">
        <f t="shared" si="46"/>
        <v>0</v>
      </c>
      <c r="GY36" s="91">
        <v>30</v>
      </c>
      <c r="GZ36" s="14">
        <f t="shared" si="63"/>
        <v>2</v>
      </c>
      <c r="HA36" s="14">
        <f t="shared" si="64"/>
        <v>1</v>
      </c>
      <c r="HB36" s="14">
        <f t="shared" si="65"/>
        <v>1</v>
      </c>
      <c r="HC36" s="14">
        <f t="shared" si="66"/>
        <v>0.33200000000000002</v>
      </c>
      <c r="HD36" s="14">
        <f t="shared" si="67"/>
        <v>1606004</v>
      </c>
      <c r="HE36" s="14" t="str">
        <f t="shared" si="68"/>
        <v>神器1-2 : 15级</v>
      </c>
      <c r="HF36" s="14" t="s">
        <v>800</v>
      </c>
      <c r="HG36" s="14">
        <f t="shared" si="69"/>
        <v>15</v>
      </c>
      <c r="HH36" s="14" t="str">
        <f t="shared" si="70"/>
        <v>神器1-2</v>
      </c>
      <c r="HI36" s="14">
        <f t="shared" si="71"/>
        <v>7</v>
      </c>
      <c r="HJ36" s="14" t="s">
        <v>1595</v>
      </c>
      <c r="HK36" s="14">
        <f t="shared" si="72"/>
        <v>4000</v>
      </c>
    </row>
    <row r="37" spans="14:219" ht="16.5" x14ac:dyDescent="0.2">
      <c r="N37" s="90">
        <v>6</v>
      </c>
      <c r="O37" s="90">
        <v>4</v>
      </c>
      <c r="P37" s="90">
        <v>3</v>
      </c>
      <c r="Q37" s="90">
        <v>21</v>
      </c>
      <c r="R37" s="14">
        <f>SUM(Q$7:Q37)</f>
        <v>528</v>
      </c>
      <c r="S37" s="91">
        <v>1606032</v>
      </c>
      <c r="T37" s="14" t="str">
        <f t="shared" si="73"/>
        <v>神器6-4</v>
      </c>
      <c r="AF37" s="87">
        <v>31</v>
      </c>
      <c r="AG37" s="87">
        <v>6</v>
      </c>
      <c r="AH37" s="87">
        <v>5</v>
      </c>
      <c r="AI37" s="200">
        <v>1606033</v>
      </c>
      <c r="AJ37" s="87" t="str">
        <f t="shared" si="47"/>
        <v>神器6-5</v>
      </c>
      <c r="AK37" s="87">
        <v>3</v>
      </c>
      <c r="AL37" s="87">
        <f t="shared" si="48"/>
        <v>280</v>
      </c>
      <c r="AO37" s="87">
        <v>3</v>
      </c>
      <c r="AP37" s="87">
        <v>2</v>
      </c>
      <c r="AQ37" s="87">
        <v>13</v>
      </c>
      <c r="AR37" s="144">
        <f t="shared" si="49"/>
        <v>4413</v>
      </c>
      <c r="AS37" s="144" t="s">
        <v>1214</v>
      </c>
      <c r="AT37" s="144" t="str">
        <f t="shared" si="50"/>
        <v>神器本-3-困难-1  神器1-1</v>
      </c>
      <c r="AU37" s="87">
        <v>1</v>
      </c>
      <c r="AV37" s="87" t="s">
        <v>307</v>
      </c>
      <c r="AW37" s="87">
        <v>1500</v>
      </c>
      <c r="AX37" s="87">
        <v>1</v>
      </c>
      <c r="AY37" s="87">
        <v>1</v>
      </c>
      <c r="AZ37" s="87">
        <f t="shared" si="51"/>
        <v>1</v>
      </c>
      <c r="BA37" s="14">
        <f t="shared" si="52"/>
        <v>0.15</v>
      </c>
      <c r="BB37" s="14">
        <f t="shared" si="53"/>
        <v>1.5</v>
      </c>
      <c r="BL37" s="87">
        <v>31</v>
      </c>
      <c r="BM37" s="14">
        <f>INDEX(节奏总表!$CK$4:$CK$63,新神器!BL37)</f>
        <v>120</v>
      </c>
      <c r="BN37" s="14">
        <f t="shared" si="55"/>
        <v>6</v>
      </c>
      <c r="BO37" s="87">
        <v>3</v>
      </c>
      <c r="BP37" s="87">
        <v>5</v>
      </c>
      <c r="BQ37" s="14">
        <f t="shared" ref="BQ37:BZ46" si="83">SUMIFS($BA$7:$BA$301,$AO$7:$AO$301,"="&amp;$BN37,$AP$7:$AP$301,"="&amp;$BO37,$AU$7:$AU$301,"="&amp;BQ$2)*$BP37</f>
        <v>0</v>
      </c>
      <c r="BR37" s="14">
        <f t="shared" si="83"/>
        <v>0</v>
      </c>
      <c r="BS37" s="14">
        <f t="shared" si="83"/>
        <v>0</v>
      </c>
      <c r="BT37" s="14">
        <f t="shared" si="83"/>
        <v>0</v>
      </c>
      <c r="BU37" s="14">
        <f t="shared" si="83"/>
        <v>0</v>
      </c>
      <c r="BV37" s="14">
        <f t="shared" si="83"/>
        <v>0</v>
      </c>
      <c r="BW37" s="14">
        <f t="shared" si="83"/>
        <v>0</v>
      </c>
      <c r="BX37" s="14">
        <f t="shared" si="83"/>
        <v>0</v>
      </c>
      <c r="BY37" s="14">
        <f t="shared" si="83"/>
        <v>0.41649999999999998</v>
      </c>
      <c r="BZ37" s="14">
        <f t="shared" si="83"/>
        <v>0.41649999999999998</v>
      </c>
      <c r="CA37" s="14">
        <f t="shared" ref="CA37:CJ46" si="84">SUMIFS($BA$7:$BA$301,$AO$7:$AO$301,"="&amp;$BN37,$AP$7:$AP$301,"="&amp;$BO37,$AU$7:$AU$301,"="&amp;CA$2)*$BP37</f>
        <v>0.25</v>
      </c>
      <c r="CB37" s="14">
        <f t="shared" si="84"/>
        <v>0.25</v>
      </c>
      <c r="CC37" s="14">
        <f t="shared" si="84"/>
        <v>0.25</v>
      </c>
      <c r="CD37" s="14">
        <f t="shared" si="84"/>
        <v>8.5000000000000006E-2</v>
      </c>
      <c r="CE37" s="14">
        <f t="shared" si="84"/>
        <v>0.41649999999999998</v>
      </c>
      <c r="CF37" s="14">
        <f t="shared" si="84"/>
        <v>0.41649999999999998</v>
      </c>
      <c r="CG37" s="14">
        <f t="shared" si="84"/>
        <v>0.25</v>
      </c>
      <c r="CH37" s="14">
        <f t="shared" si="84"/>
        <v>0.25</v>
      </c>
      <c r="CI37" s="14">
        <f t="shared" si="84"/>
        <v>0.25</v>
      </c>
      <c r="CJ37" s="14">
        <f t="shared" si="84"/>
        <v>8.3000000000000004E-2</v>
      </c>
      <c r="CK37" s="14">
        <f t="shared" ref="CK37:CT46" si="85">SUMIFS($BA$7:$BA$301,$AO$7:$AO$301,"="&amp;$BN37,$AP$7:$AP$301,"="&amp;$BO37,$AU$7:$AU$301,"="&amp;CK$2)*$BP37</f>
        <v>0.41649999999999998</v>
      </c>
      <c r="CL37" s="14">
        <f t="shared" si="85"/>
        <v>0.41649999999999998</v>
      </c>
      <c r="CM37" s="14">
        <f t="shared" si="85"/>
        <v>0.25</v>
      </c>
      <c r="CN37" s="14">
        <f t="shared" si="85"/>
        <v>0.25</v>
      </c>
      <c r="CO37" s="14">
        <f t="shared" si="85"/>
        <v>0.25</v>
      </c>
      <c r="CP37" s="14">
        <f t="shared" si="85"/>
        <v>8.3000000000000004E-2</v>
      </c>
      <c r="CQ37" s="14">
        <f t="shared" si="85"/>
        <v>1.5</v>
      </c>
      <c r="CR37" s="14">
        <f t="shared" si="85"/>
        <v>1.5</v>
      </c>
      <c r="CS37" s="14">
        <f t="shared" si="85"/>
        <v>1.5</v>
      </c>
      <c r="CT37" s="14">
        <f t="shared" si="85"/>
        <v>0.5</v>
      </c>
      <c r="CU37" s="14">
        <f t="shared" ref="CU37:DF46" si="86">SUMIFS($BA$7:$BA$301,$AO$7:$AO$301,"="&amp;$BN37,$AP$7:$AP$301,"="&amp;$BO37,$AU$7:$AU$301,"="&amp;CU$2)*$BP37</f>
        <v>0.5</v>
      </c>
      <c r="CV37" s="14">
        <f t="shared" si="86"/>
        <v>0.5</v>
      </c>
      <c r="CW37" s="14">
        <f t="shared" si="86"/>
        <v>0.375</v>
      </c>
      <c r="CX37" s="14">
        <f t="shared" si="86"/>
        <v>0.375</v>
      </c>
      <c r="CY37" s="14">
        <f t="shared" si="86"/>
        <v>0</v>
      </c>
      <c r="CZ37" s="14">
        <f t="shared" si="86"/>
        <v>0</v>
      </c>
      <c r="DA37" s="14">
        <f t="shared" si="86"/>
        <v>0</v>
      </c>
      <c r="DB37" s="14">
        <f t="shared" si="86"/>
        <v>0</v>
      </c>
      <c r="DC37" s="14">
        <f t="shared" si="86"/>
        <v>0</v>
      </c>
      <c r="DD37" s="14">
        <f t="shared" si="86"/>
        <v>0</v>
      </c>
      <c r="DE37" s="14">
        <f t="shared" si="86"/>
        <v>0</v>
      </c>
      <c r="DF37" s="14">
        <f t="shared" si="86"/>
        <v>0</v>
      </c>
      <c r="DH37" s="14">
        <f>SUM(BQ$7:BQ37)</f>
        <v>35.749999999999993</v>
      </c>
      <c r="DI37" s="14">
        <f>SUM(BR$7:BR37)</f>
        <v>35.749999999999993</v>
      </c>
      <c r="DJ37" s="14">
        <f>SUM(BS$7:BS37)</f>
        <v>20.25</v>
      </c>
      <c r="DK37" s="14">
        <f>SUM(BT$7:BT37)</f>
        <v>36.25</v>
      </c>
      <c r="DL37" s="14">
        <f>SUM(BU$7:BU37)</f>
        <v>36.25</v>
      </c>
      <c r="DM37" s="14">
        <f>SUM(BV$7:BV37)</f>
        <v>20.625</v>
      </c>
      <c r="DN37" s="14">
        <f>SUM(BW$7:BW37)</f>
        <v>20.625</v>
      </c>
      <c r="DO37" s="14">
        <f>SUM(BX$7:BX37)</f>
        <v>13.75</v>
      </c>
      <c r="DP37" s="14">
        <f>SUM(BY$7:BY37)</f>
        <v>22.082499999999996</v>
      </c>
      <c r="DQ37" s="14">
        <f>SUM(BZ$7:BZ37)</f>
        <v>22.082499999999996</v>
      </c>
      <c r="DR37" s="14">
        <f>SUM(CA$7:CA37)</f>
        <v>11.75</v>
      </c>
      <c r="DS37" s="14">
        <f>SUM(CB$7:CB37)</f>
        <v>11.75</v>
      </c>
      <c r="DT37" s="14">
        <f>SUM(CC$7:CC37)</f>
        <v>5.25</v>
      </c>
      <c r="DU37" s="14">
        <f>SUM(CD$7:CD37)</f>
        <v>2.4249999999999998</v>
      </c>
      <c r="DV37" s="14">
        <f>SUM(CE$7:CE37)</f>
        <v>27.082499999999996</v>
      </c>
      <c r="DW37" s="14">
        <f>SUM(CF$7:CF37)</f>
        <v>27.082499999999996</v>
      </c>
      <c r="DX37" s="14">
        <f>SUM(CG$7:CG37)</f>
        <v>14.375</v>
      </c>
      <c r="DY37" s="14">
        <f>SUM(CH$7:CH37)</f>
        <v>14.375</v>
      </c>
      <c r="DZ37" s="14">
        <f>SUM(CI$7:CI37)</f>
        <v>6.25</v>
      </c>
      <c r="EA37" s="14">
        <f>SUM(CJ$7:CJ37)</f>
        <v>2.9150000000000009</v>
      </c>
      <c r="EB37" s="14">
        <f>SUM(CK$7:CK37)</f>
        <v>32.082499999999996</v>
      </c>
      <c r="EC37" s="14">
        <f>SUM(CL$7:CL37)</f>
        <v>32.082499999999996</v>
      </c>
      <c r="ED37" s="14">
        <f>SUM(CM$7:CM37)</f>
        <v>17</v>
      </c>
      <c r="EE37" s="14">
        <f>SUM(CN$7:CN37)</f>
        <v>17</v>
      </c>
      <c r="EF37" s="14">
        <f>SUM(CO$7:CO37)</f>
        <v>7.25</v>
      </c>
      <c r="EG37" s="14">
        <f>SUM(CP$7:CP37)</f>
        <v>3.4150000000000009</v>
      </c>
      <c r="EH37" s="14">
        <f>SUM(CQ$7:CQ37)</f>
        <v>7.5</v>
      </c>
      <c r="EI37" s="14">
        <f>SUM(CR$7:CR37)</f>
        <v>7.5</v>
      </c>
      <c r="EJ37" s="14">
        <f>SUM(CS$7:CS37)</f>
        <v>7.5</v>
      </c>
      <c r="EK37" s="14">
        <f>SUM(CT$7:CT37)</f>
        <v>2.5</v>
      </c>
      <c r="EL37" s="14">
        <f>SUM(CU$7:CU37)</f>
        <v>2.5</v>
      </c>
      <c r="EM37" s="14">
        <f>SUM(CV$7:CV37)</f>
        <v>2.5</v>
      </c>
      <c r="EN37" s="14">
        <f>SUM(CW$7:CW37)</f>
        <v>1.875</v>
      </c>
      <c r="EO37" s="14">
        <f>SUM(CX$7:CX37)</f>
        <v>1.875</v>
      </c>
      <c r="EP37" s="14">
        <f>SUM(CY$7:CY37)</f>
        <v>0</v>
      </c>
      <c r="EQ37" s="14">
        <f>SUM(CZ$7:CZ37)</f>
        <v>0</v>
      </c>
      <c r="ER37" s="14">
        <f>SUM(DA$7:DA37)</f>
        <v>0</v>
      </c>
      <c r="ES37" s="14">
        <f>SUM(DB$7:DB37)</f>
        <v>0</v>
      </c>
      <c r="ET37" s="14">
        <f>SUM(DC$7:DC37)</f>
        <v>0</v>
      </c>
      <c r="EU37" s="14">
        <f>SUM(DD$7:DD37)</f>
        <v>0</v>
      </c>
      <c r="EV37" s="14">
        <f>SUM(DE$7:DE37)</f>
        <v>0</v>
      </c>
      <c r="EW37" s="14">
        <f>SUM(DF$7:DF37)</f>
        <v>0</v>
      </c>
      <c r="EZ37" s="14">
        <f t="shared" si="56"/>
        <v>9</v>
      </c>
      <c r="FA37" s="14">
        <f t="shared" si="5"/>
        <v>12</v>
      </c>
      <c r="FB37" s="14">
        <f t="shared" si="6"/>
        <v>12</v>
      </c>
      <c r="FC37" s="14">
        <f t="shared" si="7"/>
        <v>9</v>
      </c>
      <c r="FD37" s="14">
        <f t="shared" si="57"/>
        <v>7</v>
      </c>
      <c r="FE37" s="14">
        <f t="shared" si="8"/>
        <v>12</v>
      </c>
      <c r="FF37" s="14">
        <f t="shared" si="9"/>
        <v>12</v>
      </c>
      <c r="FG37" s="14">
        <f t="shared" si="10"/>
        <v>9</v>
      </c>
      <c r="FH37" s="14">
        <f t="shared" si="11"/>
        <v>9</v>
      </c>
      <c r="FI37" s="14">
        <f t="shared" si="12"/>
        <v>7</v>
      </c>
      <c r="FJ37" s="14">
        <f t="shared" si="58"/>
        <v>2</v>
      </c>
      <c r="FK37" s="14">
        <f t="shared" si="13"/>
        <v>9</v>
      </c>
      <c r="FL37" s="14">
        <f t="shared" si="14"/>
        <v>9</v>
      </c>
      <c r="FM37" s="14">
        <f t="shared" si="15"/>
        <v>6</v>
      </c>
      <c r="FN37" s="14">
        <f t="shared" si="16"/>
        <v>6</v>
      </c>
      <c r="FO37" s="14">
        <f t="shared" si="17"/>
        <v>4</v>
      </c>
      <c r="FP37" s="14">
        <f t="shared" si="18"/>
        <v>2</v>
      </c>
      <c r="FQ37" s="14">
        <f t="shared" si="59"/>
        <v>2</v>
      </c>
      <c r="FR37" s="14">
        <f t="shared" si="19"/>
        <v>10</v>
      </c>
      <c r="FS37" s="14">
        <f t="shared" si="20"/>
        <v>10</v>
      </c>
      <c r="FT37" s="14">
        <f t="shared" si="21"/>
        <v>7</v>
      </c>
      <c r="FU37" s="14">
        <f t="shared" si="22"/>
        <v>7</v>
      </c>
      <c r="FV37" s="14">
        <f t="shared" si="23"/>
        <v>4</v>
      </c>
      <c r="FW37" s="14">
        <f t="shared" si="24"/>
        <v>2</v>
      </c>
      <c r="FX37" s="14">
        <f t="shared" si="60"/>
        <v>3</v>
      </c>
      <c r="FY37" s="14">
        <f t="shared" si="25"/>
        <v>11</v>
      </c>
      <c r="FZ37" s="14">
        <f t="shared" si="26"/>
        <v>11</v>
      </c>
      <c r="GA37" s="14">
        <f t="shared" si="27"/>
        <v>8</v>
      </c>
      <c r="GB37" s="14">
        <f t="shared" si="28"/>
        <v>8</v>
      </c>
      <c r="GC37" s="14">
        <f t="shared" si="29"/>
        <v>5</v>
      </c>
      <c r="GD37" s="14">
        <f t="shared" si="30"/>
        <v>3</v>
      </c>
      <c r="GE37" s="14">
        <f t="shared" si="61"/>
        <v>1</v>
      </c>
      <c r="GF37" s="14">
        <f t="shared" si="31"/>
        <v>5</v>
      </c>
      <c r="GG37" s="14">
        <f t="shared" si="32"/>
        <v>5</v>
      </c>
      <c r="GH37" s="14">
        <f t="shared" si="33"/>
        <v>5</v>
      </c>
      <c r="GI37" s="14">
        <f t="shared" si="34"/>
        <v>2</v>
      </c>
      <c r="GJ37" s="14">
        <f t="shared" si="35"/>
        <v>2</v>
      </c>
      <c r="GK37" s="14">
        <f t="shared" si="36"/>
        <v>2</v>
      </c>
      <c r="GL37" s="14">
        <f t="shared" si="37"/>
        <v>1</v>
      </c>
      <c r="GM37" s="14">
        <f t="shared" si="38"/>
        <v>1</v>
      </c>
      <c r="GN37" s="14">
        <f t="shared" si="62"/>
        <v>0</v>
      </c>
      <c r="GO37" s="14">
        <f t="shared" si="39"/>
        <v>0</v>
      </c>
      <c r="GP37" s="14">
        <f t="shared" si="40"/>
        <v>0</v>
      </c>
      <c r="GQ37" s="14">
        <f t="shared" si="41"/>
        <v>0</v>
      </c>
      <c r="GR37" s="14">
        <f t="shared" si="42"/>
        <v>0</v>
      </c>
      <c r="GS37" s="14">
        <f t="shared" si="43"/>
        <v>0</v>
      </c>
      <c r="GT37" s="14">
        <f t="shared" si="44"/>
        <v>0</v>
      </c>
      <c r="GU37" s="14">
        <f t="shared" si="45"/>
        <v>0</v>
      </c>
      <c r="GV37" s="14">
        <f t="shared" si="46"/>
        <v>0</v>
      </c>
      <c r="GY37" s="91">
        <v>31</v>
      </c>
      <c r="GZ37" s="14">
        <f t="shared" si="63"/>
        <v>3</v>
      </c>
      <c r="HA37" s="14">
        <f t="shared" si="64"/>
        <v>1</v>
      </c>
      <c r="HB37" s="14">
        <f t="shared" si="65"/>
        <v>2</v>
      </c>
      <c r="HC37" s="14">
        <f t="shared" si="66"/>
        <v>0.40200000000000002</v>
      </c>
      <c r="HD37" s="14">
        <f t="shared" si="67"/>
        <v>1606005</v>
      </c>
      <c r="HE37" s="14" t="str">
        <f t="shared" si="68"/>
        <v>神器1-3 : 1级</v>
      </c>
      <c r="HF37" s="14" t="s">
        <v>800</v>
      </c>
      <c r="HG37" s="14">
        <f t="shared" si="69"/>
        <v>1</v>
      </c>
      <c r="HH37" s="14" t="str">
        <f t="shared" si="70"/>
        <v>神器1-3</v>
      </c>
      <c r="HI37" s="14">
        <f t="shared" si="71"/>
        <v>1</v>
      </c>
      <c r="HJ37" s="14" t="s">
        <v>1595</v>
      </c>
      <c r="HK37" s="14">
        <f t="shared" si="72"/>
        <v>4800</v>
      </c>
    </row>
    <row r="38" spans="14:219" ht="16.5" x14ac:dyDescent="0.2">
      <c r="N38" s="90">
        <v>6</v>
      </c>
      <c r="O38" s="90">
        <v>5</v>
      </c>
      <c r="P38" s="90">
        <v>3</v>
      </c>
      <c r="Q38" s="90">
        <v>21</v>
      </c>
      <c r="R38" s="14">
        <f>SUM(Q$7:Q38)</f>
        <v>549</v>
      </c>
      <c r="S38" s="91">
        <v>1606033</v>
      </c>
      <c r="T38" s="14" t="str">
        <f t="shared" si="73"/>
        <v>神器6-5</v>
      </c>
      <c r="AF38" s="87">
        <v>32</v>
      </c>
      <c r="AG38" s="87">
        <v>6</v>
      </c>
      <c r="AH38" s="87">
        <v>6</v>
      </c>
      <c r="AI38" s="200">
        <v>1606034</v>
      </c>
      <c r="AJ38" s="87" t="str">
        <f t="shared" si="47"/>
        <v>神器6-6</v>
      </c>
      <c r="AK38" s="87">
        <v>3</v>
      </c>
      <c r="AL38" s="87">
        <f t="shared" si="48"/>
        <v>280</v>
      </c>
      <c r="AO38" s="87">
        <v>3</v>
      </c>
      <c r="AP38" s="87">
        <v>2</v>
      </c>
      <c r="AQ38" s="87">
        <v>13</v>
      </c>
      <c r="AR38" s="144">
        <f t="shared" si="49"/>
        <v>4413</v>
      </c>
      <c r="AS38" s="144" t="s">
        <v>1214</v>
      </c>
      <c r="AT38" s="144" t="str">
        <f t="shared" si="50"/>
        <v>神器本-3-困难-1  神器1-2</v>
      </c>
      <c r="AU38" s="87">
        <v>2</v>
      </c>
      <c r="AV38" s="87" t="s">
        <v>308</v>
      </c>
      <c r="AW38" s="87">
        <v>1500</v>
      </c>
      <c r="AX38" s="87">
        <v>1</v>
      </c>
      <c r="AY38" s="87">
        <v>1</v>
      </c>
      <c r="AZ38" s="87">
        <f t="shared" si="51"/>
        <v>1</v>
      </c>
      <c r="BA38" s="14">
        <f t="shared" si="52"/>
        <v>0.15</v>
      </c>
      <c r="BB38" s="14">
        <f t="shared" si="53"/>
        <v>1.5</v>
      </c>
      <c r="BL38" s="87">
        <v>32</v>
      </c>
      <c r="BM38" s="14">
        <f>INDEX(节奏总表!$CK$4:$CK$63,新神器!BL38)</f>
        <v>122</v>
      </c>
      <c r="BN38" s="14">
        <f t="shared" si="55"/>
        <v>6</v>
      </c>
      <c r="BO38" s="87">
        <v>3</v>
      </c>
      <c r="BP38" s="87">
        <v>5</v>
      </c>
      <c r="BQ38" s="14">
        <f t="shared" si="83"/>
        <v>0</v>
      </c>
      <c r="BR38" s="14">
        <f t="shared" si="83"/>
        <v>0</v>
      </c>
      <c r="BS38" s="14">
        <f t="shared" si="83"/>
        <v>0</v>
      </c>
      <c r="BT38" s="14">
        <f t="shared" si="83"/>
        <v>0</v>
      </c>
      <c r="BU38" s="14">
        <f t="shared" si="83"/>
        <v>0</v>
      </c>
      <c r="BV38" s="14">
        <f t="shared" si="83"/>
        <v>0</v>
      </c>
      <c r="BW38" s="14">
        <f t="shared" si="83"/>
        <v>0</v>
      </c>
      <c r="BX38" s="14">
        <f t="shared" si="83"/>
        <v>0</v>
      </c>
      <c r="BY38" s="14">
        <f t="shared" si="83"/>
        <v>0.41649999999999998</v>
      </c>
      <c r="BZ38" s="14">
        <f t="shared" si="83"/>
        <v>0.41649999999999998</v>
      </c>
      <c r="CA38" s="14">
        <f t="shared" si="84"/>
        <v>0.25</v>
      </c>
      <c r="CB38" s="14">
        <f t="shared" si="84"/>
        <v>0.25</v>
      </c>
      <c r="CC38" s="14">
        <f t="shared" si="84"/>
        <v>0.25</v>
      </c>
      <c r="CD38" s="14">
        <f t="shared" si="84"/>
        <v>8.5000000000000006E-2</v>
      </c>
      <c r="CE38" s="14">
        <f t="shared" si="84"/>
        <v>0.41649999999999998</v>
      </c>
      <c r="CF38" s="14">
        <f t="shared" si="84"/>
        <v>0.41649999999999998</v>
      </c>
      <c r="CG38" s="14">
        <f t="shared" si="84"/>
        <v>0.25</v>
      </c>
      <c r="CH38" s="14">
        <f t="shared" si="84"/>
        <v>0.25</v>
      </c>
      <c r="CI38" s="14">
        <f t="shared" si="84"/>
        <v>0.25</v>
      </c>
      <c r="CJ38" s="14">
        <f t="shared" si="84"/>
        <v>8.3000000000000004E-2</v>
      </c>
      <c r="CK38" s="14">
        <f t="shared" si="85"/>
        <v>0.41649999999999998</v>
      </c>
      <c r="CL38" s="14">
        <f t="shared" si="85"/>
        <v>0.41649999999999998</v>
      </c>
      <c r="CM38" s="14">
        <f t="shared" si="85"/>
        <v>0.25</v>
      </c>
      <c r="CN38" s="14">
        <f t="shared" si="85"/>
        <v>0.25</v>
      </c>
      <c r="CO38" s="14">
        <f t="shared" si="85"/>
        <v>0.25</v>
      </c>
      <c r="CP38" s="14">
        <f t="shared" si="85"/>
        <v>8.3000000000000004E-2</v>
      </c>
      <c r="CQ38" s="14">
        <f t="shared" si="85"/>
        <v>1.5</v>
      </c>
      <c r="CR38" s="14">
        <f t="shared" si="85"/>
        <v>1.5</v>
      </c>
      <c r="CS38" s="14">
        <f t="shared" si="85"/>
        <v>1.5</v>
      </c>
      <c r="CT38" s="14">
        <f t="shared" si="85"/>
        <v>0.5</v>
      </c>
      <c r="CU38" s="14">
        <f t="shared" si="86"/>
        <v>0.5</v>
      </c>
      <c r="CV38" s="14">
        <f t="shared" si="86"/>
        <v>0.5</v>
      </c>
      <c r="CW38" s="14">
        <f t="shared" si="86"/>
        <v>0.375</v>
      </c>
      <c r="CX38" s="14">
        <f t="shared" si="86"/>
        <v>0.375</v>
      </c>
      <c r="CY38" s="14">
        <f t="shared" si="86"/>
        <v>0</v>
      </c>
      <c r="CZ38" s="14">
        <f t="shared" si="86"/>
        <v>0</v>
      </c>
      <c r="DA38" s="14">
        <f t="shared" si="86"/>
        <v>0</v>
      </c>
      <c r="DB38" s="14">
        <f t="shared" si="86"/>
        <v>0</v>
      </c>
      <c r="DC38" s="14">
        <f t="shared" si="86"/>
        <v>0</v>
      </c>
      <c r="DD38" s="14">
        <f t="shared" si="86"/>
        <v>0</v>
      </c>
      <c r="DE38" s="14">
        <f t="shared" si="86"/>
        <v>0</v>
      </c>
      <c r="DF38" s="14">
        <f t="shared" si="86"/>
        <v>0</v>
      </c>
      <c r="DH38" s="14">
        <f>SUM(BQ$7:BQ38)</f>
        <v>35.749999999999993</v>
      </c>
      <c r="DI38" s="14">
        <f>SUM(BR$7:BR38)</f>
        <v>35.749999999999993</v>
      </c>
      <c r="DJ38" s="14">
        <f>SUM(BS$7:BS38)</f>
        <v>20.25</v>
      </c>
      <c r="DK38" s="14">
        <f>SUM(BT$7:BT38)</f>
        <v>36.25</v>
      </c>
      <c r="DL38" s="14">
        <f>SUM(BU$7:BU38)</f>
        <v>36.25</v>
      </c>
      <c r="DM38" s="14">
        <f>SUM(BV$7:BV38)</f>
        <v>20.625</v>
      </c>
      <c r="DN38" s="14">
        <f>SUM(BW$7:BW38)</f>
        <v>20.625</v>
      </c>
      <c r="DO38" s="14">
        <f>SUM(BX$7:BX38)</f>
        <v>13.75</v>
      </c>
      <c r="DP38" s="14">
        <f>SUM(BY$7:BY38)</f>
        <v>22.498999999999995</v>
      </c>
      <c r="DQ38" s="14">
        <f>SUM(BZ$7:BZ38)</f>
        <v>22.498999999999995</v>
      </c>
      <c r="DR38" s="14">
        <f>SUM(CA$7:CA38)</f>
        <v>12</v>
      </c>
      <c r="DS38" s="14">
        <f>SUM(CB$7:CB38)</f>
        <v>12</v>
      </c>
      <c r="DT38" s="14">
        <f>SUM(CC$7:CC38)</f>
        <v>5.5</v>
      </c>
      <c r="DU38" s="14">
        <f>SUM(CD$7:CD38)</f>
        <v>2.5099999999999998</v>
      </c>
      <c r="DV38" s="14">
        <f>SUM(CE$7:CE38)</f>
        <v>27.498999999999995</v>
      </c>
      <c r="DW38" s="14">
        <f>SUM(CF$7:CF38)</f>
        <v>27.498999999999995</v>
      </c>
      <c r="DX38" s="14">
        <f>SUM(CG$7:CG38)</f>
        <v>14.625</v>
      </c>
      <c r="DY38" s="14">
        <f>SUM(CH$7:CH38)</f>
        <v>14.625</v>
      </c>
      <c r="DZ38" s="14">
        <f>SUM(CI$7:CI38)</f>
        <v>6.5</v>
      </c>
      <c r="EA38" s="14">
        <f>SUM(CJ$7:CJ38)</f>
        <v>2.9980000000000011</v>
      </c>
      <c r="EB38" s="14">
        <f>SUM(CK$7:CK38)</f>
        <v>32.498999999999995</v>
      </c>
      <c r="EC38" s="14">
        <f>SUM(CL$7:CL38)</f>
        <v>32.498999999999995</v>
      </c>
      <c r="ED38" s="14">
        <f>SUM(CM$7:CM38)</f>
        <v>17.25</v>
      </c>
      <c r="EE38" s="14">
        <f>SUM(CN$7:CN38)</f>
        <v>17.25</v>
      </c>
      <c r="EF38" s="14">
        <f>SUM(CO$7:CO38)</f>
        <v>7.5</v>
      </c>
      <c r="EG38" s="14">
        <f>SUM(CP$7:CP38)</f>
        <v>3.4980000000000011</v>
      </c>
      <c r="EH38" s="14">
        <f>SUM(CQ$7:CQ38)</f>
        <v>9</v>
      </c>
      <c r="EI38" s="14">
        <f>SUM(CR$7:CR38)</f>
        <v>9</v>
      </c>
      <c r="EJ38" s="14">
        <f>SUM(CS$7:CS38)</f>
        <v>9</v>
      </c>
      <c r="EK38" s="14">
        <f>SUM(CT$7:CT38)</f>
        <v>3</v>
      </c>
      <c r="EL38" s="14">
        <f>SUM(CU$7:CU38)</f>
        <v>3</v>
      </c>
      <c r="EM38" s="14">
        <f>SUM(CV$7:CV38)</f>
        <v>3</v>
      </c>
      <c r="EN38" s="14">
        <f>SUM(CW$7:CW38)</f>
        <v>2.25</v>
      </c>
      <c r="EO38" s="14">
        <f>SUM(CX$7:CX38)</f>
        <v>2.25</v>
      </c>
      <c r="EP38" s="14">
        <f>SUM(CY$7:CY38)</f>
        <v>0</v>
      </c>
      <c r="EQ38" s="14">
        <f>SUM(CZ$7:CZ38)</f>
        <v>0</v>
      </c>
      <c r="ER38" s="14">
        <f>SUM(DA$7:DA38)</f>
        <v>0</v>
      </c>
      <c r="ES38" s="14">
        <f>SUM(DB$7:DB38)</f>
        <v>0</v>
      </c>
      <c r="ET38" s="14">
        <f>SUM(DC$7:DC38)</f>
        <v>0</v>
      </c>
      <c r="EU38" s="14">
        <f>SUM(DD$7:DD38)</f>
        <v>0</v>
      </c>
      <c r="EV38" s="14">
        <f>SUM(DE$7:DE38)</f>
        <v>0</v>
      </c>
      <c r="EW38" s="14">
        <f>SUM(DF$7:DF38)</f>
        <v>0</v>
      </c>
      <c r="EZ38" s="14">
        <f t="shared" si="56"/>
        <v>9</v>
      </c>
      <c r="FA38" s="14">
        <f t="shared" si="5"/>
        <v>12</v>
      </c>
      <c r="FB38" s="14">
        <f t="shared" si="6"/>
        <v>12</v>
      </c>
      <c r="FC38" s="14">
        <f t="shared" si="7"/>
        <v>9</v>
      </c>
      <c r="FD38" s="14">
        <f t="shared" si="57"/>
        <v>7</v>
      </c>
      <c r="FE38" s="14">
        <f t="shared" si="8"/>
        <v>12</v>
      </c>
      <c r="FF38" s="14">
        <f t="shared" si="9"/>
        <v>12</v>
      </c>
      <c r="FG38" s="14">
        <f t="shared" si="10"/>
        <v>9</v>
      </c>
      <c r="FH38" s="14">
        <f t="shared" si="11"/>
        <v>9</v>
      </c>
      <c r="FI38" s="14">
        <f t="shared" si="12"/>
        <v>7</v>
      </c>
      <c r="FJ38" s="14">
        <f t="shared" si="58"/>
        <v>2</v>
      </c>
      <c r="FK38" s="14">
        <f t="shared" si="13"/>
        <v>9</v>
      </c>
      <c r="FL38" s="14">
        <f t="shared" si="14"/>
        <v>9</v>
      </c>
      <c r="FM38" s="14">
        <f t="shared" si="15"/>
        <v>7</v>
      </c>
      <c r="FN38" s="14">
        <f t="shared" si="16"/>
        <v>7</v>
      </c>
      <c r="FO38" s="14">
        <f t="shared" si="17"/>
        <v>4</v>
      </c>
      <c r="FP38" s="14">
        <f t="shared" si="18"/>
        <v>2</v>
      </c>
      <c r="FQ38" s="14">
        <f t="shared" si="59"/>
        <v>2</v>
      </c>
      <c r="FR38" s="14">
        <f t="shared" si="19"/>
        <v>10</v>
      </c>
      <c r="FS38" s="14">
        <f t="shared" si="20"/>
        <v>10</v>
      </c>
      <c r="FT38" s="14">
        <f t="shared" si="21"/>
        <v>7</v>
      </c>
      <c r="FU38" s="14">
        <f t="shared" si="22"/>
        <v>7</v>
      </c>
      <c r="FV38" s="14">
        <f t="shared" si="23"/>
        <v>4</v>
      </c>
      <c r="FW38" s="14">
        <f t="shared" si="24"/>
        <v>2</v>
      </c>
      <c r="FX38" s="14">
        <f t="shared" si="60"/>
        <v>3</v>
      </c>
      <c r="FY38" s="14">
        <f t="shared" si="25"/>
        <v>11</v>
      </c>
      <c r="FZ38" s="14">
        <f t="shared" si="26"/>
        <v>11</v>
      </c>
      <c r="GA38" s="14">
        <f t="shared" si="27"/>
        <v>8</v>
      </c>
      <c r="GB38" s="14">
        <f t="shared" si="28"/>
        <v>8</v>
      </c>
      <c r="GC38" s="14">
        <f t="shared" si="29"/>
        <v>5</v>
      </c>
      <c r="GD38" s="14">
        <f t="shared" si="30"/>
        <v>3</v>
      </c>
      <c r="GE38" s="14">
        <f t="shared" si="61"/>
        <v>2</v>
      </c>
      <c r="GF38" s="14">
        <f t="shared" si="31"/>
        <v>6</v>
      </c>
      <c r="GG38" s="14">
        <f t="shared" si="32"/>
        <v>6</v>
      </c>
      <c r="GH38" s="14">
        <f t="shared" si="33"/>
        <v>6</v>
      </c>
      <c r="GI38" s="14">
        <f t="shared" si="34"/>
        <v>3</v>
      </c>
      <c r="GJ38" s="14">
        <f t="shared" si="35"/>
        <v>3</v>
      </c>
      <c r="GK38" s="14">
        <f t="shared" si="36"/>
        <v>3</v>
      </c>
      <c r="GL38" s="14">
        <f t="shared" si="37"/>
        <v>2</v>
      </c>
      <c r="GM38" s="14">
        <f t="shared" si="38"/>
        <v>2</v>
      </c>
      <c r="GN38" s="14">
        <f t="shared" si="62"/>
        <v>0</v>
      </c>
      <c r="GO38" s="14">
        <f t="shared" si="39"/>
        <v>0</v>
      </c>
      <c r="GP38" s="14">
        <f t="shared" si="40"/>
        <v>0</v>
      </c>
      <c r="GQ38" s="14">
        <f t="shared" si="41"/>
        <v>0</v>
      </c>
      <c r="GR38" s="14">
        <f t="shared" si="42"/>
        <v>0</v>
      </c>
      <c r="GS38" s="14">
        <f t="shared" si="43"/>
        <v>0</v>
      </c>
      <c r="GT38" s="14">
        <f t="shared" si="44"/>
        <v>0</v>
      </c>
      <c r="GU38" s="14">
        <f t="shared" si="45"/>
        <v>0</v>
      </c>
      <c r="GV38" s="14">
        <f t="shared" si="46"/>
        <v>0</v>
      </c>
      <c r="GY38" s="91">
        <v>32</v>
      </c>
      <c r="GZ38" s="14">
        <f t="shared" si="63"/>
        <v>3</v>
      </c>
      <c r="HA38" s="14">
        <f t="shared" si="64"/>
        <v>1</v>
      </c>
      <c r="HB38" s="14">
        <f t="shared" si="65"/>
        <v>2</v>
      </c>
      <c r="HC38" s="14">
        <f t="shared" si="66"/>
        <v>0.41699999999999998</v>
      </c>
      <c r="HD38" s="14">
        <f t="shared" si="67"/>
        <v>1606005</v>
      </c>
      <c r="HE38" s="14" t="str">
        <f t="shared" si="68"/>
        <v>神器1-3 : 2级</v>
      </c>
      <c r="HF38" s="14" t="s">
        <v>800</v>
      </c>
      <c r="HG38" s="14">
        <f t="shared" si="69"/>
        <v>2</v>
      </c>
      <c r="HH38" s="14" t="str">
        <f t="shared" si="70"/>
        <v>神器1-3</v>
      </c>
      <c r="HI38" s="14">
        <f t="shared" si="71"/>
        <v>1</v>
      </c>
      <c r="HJ38" s="14" t="s">
        <v>1595</v>
      </c>
      <c r="HK38" s="14">
        <f t="shared" si="72"/>
        <v>5000</v>
      </c>
    </row>
    <row r="39" spans="14:219" ht="16.5" x14ac:dyDescent="0.2">
      <c r="N39" s="90">
        <v>6</v>
      </c>
      <c r="O39" s="90">
        <v>6</v>
      </c>
      <c r="P39" s="90">
        <v>3</v>
      </c>
      <c r="Q39" s="90">
        <v>21</v>
      </c>
      <c r="R39" s="14">
        <f>SUM(Q$7:Q39)</f>
        <v>570</v>
      </c>
      <c r="S39" s="91">
        <v>1606034</v>
      </c>
      <c r="T39" s="14" t="str">
        <f t="shared" si="73"/>
        <v>神器6-6</v>
      </c>
      <c r="AF39" s="87">
        <v>33</v>
      </c>
      <c r="AG39" s="87">
        <v>6</v>
      </c>
      <c r="AH39" s="87">
        <v>7</v>
      </c>
      <c r="AI39" s="200">
        <v>1606035</v>
      </c>
      <c r="AJ39" s="87" t="str">
        <f t="shared" si="47"/>
        <v>神器6-7</v>
      </c>
      <c r="AK39" s="87">
        <v>4</v>
      </c>
      <c r="AL39" s="87">
        <f t="shared" si="48"/>
        <v>600</v>
      </c>
      <c r="AO39" s="87">
        <v>3</v>
      </c>
      <c r="AP39" s="87">
        <v>2</v>
      </c>
      <c r="AQ39" s="87">
        <v>13</v>
      </c>
      <c r="AR39" s="144">
        <f t="shared" si="49"/>
        <v>4413</v>
      </c>
      <c r="AS39" s="144" t="s">
        <v>1214</v>
      </c>
      <c r="AT39" s="144" t="str">
        <f t="shared" si="50"/>
        <v>神器本-3-困难-1  神器1-3</v>
      </c>
      <c r="AU39" s="87">
        <v>3</v>
      </c>
      <c r="AV39" s="87" t="s">
        <v>309</v>
      </c>
      <c r="AW39" s="87">
        <v>1000</v>
      </c>
      <c r="AX39" s="87">
        <v>1</v>
      </c>
      <c r="AY39" s="87">
        <v>1</v>
      </c>
      <c r="AZ39" s="87">
        <f t="shared" si="51"/>
        <v>2</v>
      </c>
      <c r="BA39" s="14">
        <f t="shared" si="52"/>
        <v>0.1</v>
      </c>
      <c r="BB39" s="14">
        <f t="shared" si="53"/>
        <v>3</v>
      </c>
      <c r="BL39" s="87">
        <v>33</v>
      </c>
      <c r="BM39" s="14">
        <f>INDEX(节奏总表!$CK$4:$CK$63,新神器!BL39)</f>
        <v>123</v>
      </c>
      <c r="BN39" s="14">
        <f t="shared" si="55"/>
        <v>7</v>
      </c>
      <c r="BO39" s="87">
        <v>3</v>
      </c>
      <c r="BP39" s="87">
        <v>5</v>
      </c>
      <c r="BQ39" s="14">
        <f t="shared" si="83"/>
        <v>0</v>
      </c>
      <c r="BR39" s="14">
        <f t="shared" si="83"/>
        <v>0</v>
      </c>
      <c r="BS39" s="14">
        <f t="shared" si="83"/>
        <v>0</v>
      </c>
      <c r="BT39" s="14">
        <f t="shared" si="83"/>
        <v>0</v>
      </c>
      <c r="BU39" s="14">
        <f t="shared" si="83"/>
        <v>0</v>
      </c>
      <c r="BV39" s="14">
        <f t="shared" si="83"/>
        <v>0</v>
      </c>
      <c r="BW39" s="14">
        <f t="shared" si="83"/>
        <v>0</v>
      </c>
      <c r="BX39" s="14">
        <f t="shared" si="83"/>
        <v>0</v>
      </c>
      <c r="BY39" s="14">
        <f t="shared" si="83"/>
        <v>0.35000000000000003</v>
      </c>
      <c r="BZ39" s="14">
        <f t="shared" si="83"/>
        <v>0.35000000000000003</v>
      </c>
      <c r="CA39" s="14">
        <f t="shared" si="84"/>
        <v>0.20699999999999999</v>
      </c>
      <c r="CB39" s="14">
        <f t="shared" si="84"/>
        <v>0.20699999999999999</v>
      </c>
      <c r="CC39" s="14">
        <f t="shared" si="84"/>
        <v>0.13750000000000001</v>
      </c>
      <c r="CD39" s="14">
        <f t="shared" si="84"/>
        <v>6.9000000000000006E-2</v>
      </c>
      <c r="CE39" s="14">
        <f t="shared" si="84"/>
        <v>0.35000000000000003</v>
      </c>
      <c r="CF39" s="14">
        <f t="shared" si="84"/>
        <v>0.35000000000000003</v>
      </c>
      <c r="CG39" s="14">
        <f t="shared" si="84"/>
        <v>0.20699999999999999</v>
      </c>
      <c r="CH39" s="14">
        <f t="shared" si="84"/>
        <v>0.20699999999999999</v>
      </c>
      <c r="CI39" s="14">
        <f t="shared" si="84"/>
        <v>0.13750000000000001</v>
      </c>
      <c r="CJ39" s="14">
        <f t="shared" si="84"/>
        <v>6.9000000000000006E-2</v>
      </c>
      <c r="CK39" s="14">
        <f t="shared" si="85"/>
        <v>0.35000000000000003</v>
      </c>
      <c r="CL39" s="14">
        <f t="shared" si="85"/>
        <v>0.35000000000000003</v>
      </c>
      <c r="CM39" s="14">
        <f t="shared" si="85"/>
        <v>0.20699999999999999</v>
      </c>
      <c r="CN39" s="14">
        <f t="shared" si="85"/>
        <v>0.20699999999999999</v>
      </c>
      <c r="CO39" s="14">
        <f t="shared" si="85"/>
        <v>0.13750000000000001</v>
      </c>
      <c r="CP39" s="14">
        <f t="shared" si="85"/>
        <v>6.9499999999999992E-2</v>
      </c>
      <c r="CQ39" s="14">
        <f t="shared" si="85"/>
        <v>0.20799999999999999</v>
      </c>
      <c r="CR39" s="14">
        <f t="shared" si="85"/>
        <v>0.20799999999999999</v>
      </c>
      <c r="CS39" s="14">
        <f t="shared" si="85"/>
        <v>0.20799999999999999</v>
      </c>
      <c r="CT39" s="14">
        <f t="shared" si="85"/>
        <v>0.13800000000000001</v>
      </c>
      <c r="CU39" s="14">
        <f t="shared" si="86"/>
        <v>0.13800000000000001</v>
      </c>
      <c r="CV39" s="14">
        <f t="shared" si="86"/>
        <v>0.13800000000000001</v>
      </c>
      <c r="CW39" s="14">
        <f t="shared" si="86"/>
        <v>0</v>
      </c>
      <c r="CX39" s="14">
        <f t="shared" si="86"/>
        <v>0</v>
      </c>
      <c r="CY39" s="14">
        <f t="shared" si="86"/>
        <v>1.5</v>
      </c>
      <c r="CZ39" s="14">
        <f t="shared" si="86"/>
        <v>1.5</v>
      </c>
      <c r="DA39" s="14">
        <f t="shared" si="86"/>
        <v>1.5</v>
      </c>
      <c r="DB39" s="14">
        <f t="shared" si="86"/>
        <v>0.5</v>
      </c>
      <c r="DC39" s="14">
        <f t="shared" si="86"/>
        <v>0.5</v>
      </c>
      <c r="DD39" s="14">
        <f t="shared" si="86"/>
        <v>0.5</v>
      </c>
      <c r="DE39" s="14">
        <f t="shared" si="86"/>
        <v>0.375</v>
      </c>
      <c r="DF39" s="14">
        <f t="shared" si="86"/>
        <v>0.375</v>
      </c>
      <c r="DH39" s="14">
        <f>SUM(BQ$7:BQ39)</f>
        <v>35.749999999999993</v>
      </c>
      <c r="DI39" s="14">
        <f>SUM(BR$7:BR39)</f>
        <v>35.749999999999993</v>
      </c>
      <c r="DJ39" s="14">
        <f>SUM(BS$7:BS39)</f>
        <v>20.25</v>
      </c>
      <c r="DK39" s="14">
        <f>SUM(BT$7:BT39)</f>
        <v>36.25</v>
      </c>
      <c r="DL39" s="14">
        <f>SUM(BU$7:BU39)</f>
        <v>36.25</v>
      </c>
      <c r="DM39" s="14">
        <f>SUM(BV$7:BV39)</f>
        <v>20.625</v>
      </c>
      <c r="DN39" s="14">
        <f>SUM(BW$7:BW39)</f>
        <v>20.625</v>
      </c>
      <c r="DO39" s="14">
        <f>SUM(BX$7:BX39)</f>
        <v>13.75</v>
      </c>
      <c r="DP39" s="14">
        <f>SUM(BY$7:BY39)</f>
        <v>22.848999999999997</v>
      </c>
      <c r="DQ39" s="14">
        <f>SUM(BZ$7:BZ39)</f>
        <v>22.848999999999997</v>
      </c>
      <c r="DR39" s="14">
        <f>SUM(CA$7:CA39)</f>
        <v>12.207000000000001</v>
      </c>
      <c r="DS39" s="14">
        <f>SUM(CB$7:CB39)</f>
        <v>12.207000000000001</v>
      </c>
      <c r="DT39" s="14">
        <f>SUM(CC$7:CC39)</f>
        <v>5.6375000000000002</v>
      </c>
      <c r="DU39" s="14">
        <f>SUM(CD$7:CD39)</f>
        <v>2.5789999999999997</v>
      </c>
      <c r="DV39" s="14">
        <f>SUM(CE$7:CE39)</f>
        <v>27.848999999999997</v>
      </c>
      <c r="DW39" s="14">
        <f>SUM(CF$7:CF39)</f>
        <v>27.848999999999997</v>
      </c>
      <c r="DX39" s="14">
        <f>SUM(CG$7:CG39)</f>
        <v>14.832000000000001</v>
      </c>
      <c r="DY39" s="14">
        <f>SUM(CH$7:CH39)</f>
        <v>14.832000000000001</v>
      </c>
      <c r="DZ39" s="14">
        <f>SUM(CI$7:CI39)</f>
        <v>6.6375000000000002</v>
      </c>
      <c r="EA39" s="14">
        <f>SUM(CJ$7:CJ39)</f>
        <v>3.0670000000000011</v>
      </c>
      <c r="EB39" s="14">
        <f>SUM(CK$7:CK39)</f>
        <v>32.848999999999997</v>
      </c>
      <c r="EC39" s="14">
        <f>SUM(CL$7:CL39)</f>
        <v>32.848999999999997</v>
      </c>
      <c r="ED39" s="14">
        <f>SUM(CM$7:CM39)</f>
        <v>17.457000000000001</v>
      </c>
      <c r="EE39" s="14">
        <f>SUM(CN$7:CN39)</f>
        <v>17.457000000000001</v>
      </c>
      <c r="EF39" s="14">
        <f>SUM(CO$7:CO39)</f>
        <v>7.6375000000000002</v>
      </c>
      <c r="EG39" s="14">
        <f>SUM(CP$7:CP39)</f>
        <v>3.5675000000000012</v>
      </c>
      <c r="EH39" s="14">
        <f>SUM(CQ$7:CQ39)</f>
        <v>9.2080000000000002</v>
      </c>
      <c r="EI39" s="14">
        <f>SUM(CR$7:CR39)</f>
        <v>9.2080000000000002</v>
      </c>
      <c r="EJ39" s="14">
        <f>SUM(CS$7:CS39)</f>
        <v>9.2080000000000002</v>
      </c>
      <c r="EK39" s="14">
        <f>SUM(CT$7:CT39)</f>
        <v>3.1379999999999999</v>
      </c>
      <c r="EL39" s="14">
        <f>SUM(CU$7:CU39)</f>
        <v>3.1379999999999999</v>
      </c>
      <c r="EM39" s="14">
        <f>SUM(CV$7:CV39)</f>
        <v>3.1379999999999999</v>
      </c>
      <c r="EN39" s="14">
        <f>SUM(CW$7:CW39)</f>
        <v>2.25</v>
      </c>
      <c r="EO39" s="14">
        <f>SUM(CX$7:CX39)</f>
        <v>2.25</v>
      </c>
      <c r="EP39" s="14">
        <f>SUM(CY$7:CY39)</f>
        <v>1.5</v>
      </c>
      <c r="EQ39" s="14">
        <f>SUM(CZ$7:CZ39)</f>
        <v>1.5</v>
      </c>
      <c r="ER39" s="14">
        <f>SUM(DA$7:DA39)</f>
        <v>1.5</v>
      </c>
      <c r="ES39" s="14">
        <f>SUM(DB$7:DB39)</f>
        <v>0.5</v>
      </c>
      <c r="ET39" s="14">
        <f>SUM(DC$7:DC39)</f>
        <v>0.5</v>
      </c>
      <c r="EU39" s="14">
        <f>SUM(DD$7:DD39)</f>
        <v>0.5</v>
      </c>
      <c r="EV39" s="14">
        <f>SUM(DE$7:DE39)</f>
        <v>0.375</v>
      </c>
      <c r="EW39" s="14">
        <f>SUM(DF$7:DF39)</f>
        <v>0.375</v>
      </c>
      <c r="EZ39" s="14">
        <f t="shared" si="56"/>
        <v>9</v>
      </c>
      <c r="FA39" s="14">
        <f t="shared" ref="FA39:FA66" si="87">MATCH(DH39,$L$7:$L$28,1)-1</f>
        <v>12</v>
      </c>
      <c r="FB39" s="14">
        <f t="shared" ref="FB39:FB66" si="88">MATCH(DI39,$L$7:$L$28,1)-1</f>
        <v>12</v>
      </c>
      <c r="FC39" s="14">
        <f t="shared" ref="FC39:FC66" si="89">MATCH(DJ39,$L$7:$L$28,1)-1</f>
        <v>9</v>
      </c>
      <c r="FD39" s="14">
        <f t="shared" si="57"/>
        <v>7</v>
      </c>
      <c r="FE39" s="14">
        <f t="shared" ref="FE39:FE66" si="90">MATCH(DK39,$L$7:$L$28,1)-1</f>
        <v>12</v>
      </c>
      <c r="FF39" s="14">
        <f t="shared" ref="FF39:FF66" si="91">MATCH(DL39,$L$7:$L$28,1)-1</f>
        <v>12</v>
      </c>
      <c r="FG39" s="14">
        <f t="shared" ref="FG39:FG66" si="92">MATCH(DM39,$L$7:$L$28,1)-1</f>
        <v>9</v>
      </c>
      <c r="FH39" s="14">
        <f t="shared" ref="FH39:FH66" si="93">MATCH(DN39,$L$7:$L$28,1)-1</f>
        <v>9</v>
      </c>
      <c r="FI39" s="14">
        <f t="shared" ref="FI39:FI66" si="94">MATCH(DO39,$L$7:$L$28,1)-1</f>
        <v>7</v>
      </c>
      <c r="FJ39" s="14">
        <f t="shared" si="58"/>
        <v>2</v>
      </c>
      <c r="FK39" s="14">
        <f t="shared" ref="FK39:FK66" si="95">MATCH(DP39,$L$7:$L$28,1)-1</f>
        <v>9</v>
      </c>
      <c r="FL39" s="14">
        <f t="shared" ref="FL39:FL66" si="96">MATCH(DQ39,$L$7:$L$28,1)-1</f>
        <v>9</v>
      </c>
      <c r="FM39" s="14">
        <f t="shared" ref="FM39:FM66" si="97">MATCH(DR39,$L$7:$L$28,1)-1</f>
        <v>7</v>
      </c>
      <c r="FN39" s="14">
        <f t="shared" ref="FN39:FN66" si="98">MATCH(DS39,$L$7:$L$28,1)-1</f>
        <v>7</v>
      </c>
      <c r="FO39" s="14">
        <f t="shared" ref="FO39:FO66" si="99">MATCH(DT39,$L$7:$L$28,1)-1</f>
        <v>4</v>
      </c>
      <c r="FP39" s="14">
        <f t="shared" ref="FP39:FP66" si="100">MATCH(DU39,$L$7:$L$28,1)-1</f>
        <v>2</v>
      </c>
      <c r="FQ39" s="14">
        <f t="shared" si="59"/>
        <v>3</v>
      </c>
      <c r="FR39" s="14">
        <f t="shared" ref="FR39:FR66" si="101">MATCH(DV39,$L$7:$L$28,1)-1</f>
        <v>10</v>
      </c>
      <c r="FS39" s="14">
        <f t="shared" ref="FS39:FS66" si="102">MATCH(DW39,$L$7:$L$28,1)-1</f>
        <v>10</v>
      </c>
      <c r="FT39" s="14">
        <f t="shared" ref="FT39:FT66" si="103">MATCH(DX39,$L$7:$L$28,1)-1</f>
        <v>7</v>
      </c>
      <c r="FU39" s="14">
        <f t="shared" ref="FU39:FU66" si="104">MATCH(DY39,$L$7:$L$28,1)-1</f>
        <v>7</v>
      </c>
      <c r="FV39" s="14">
        <f t="shared" ref="FV39:FV66" si="105">MATCH(DZ39,$L$7:$L$28,1)-1</f>
        <v>4</v>
      </c>
      <c r="FW39" s="14">
        <f t="shared" ref="FW39:FW66" si="106">MATCH(EA39,$L$7:$L$28,1)-1</f>
        <v>3</v>
      </c>
      <c r="FX39" s="14">
        <f t="shared" si="60"/>
        <v>3</v>
      </c>
      <c r="FY39" s="14">
        <f t="shared" ref="FY39:FY66" si="107">MATCH(EB39,$L$7:$L$28,1)-1</f>
        <v>11</v>
      </c>
      <c r="FZ39" s="14">
        <f t="shared" ref="FZ39:FZ66" si="108">MATCH(EC39,$L$7:$L$28,1)-1</f>
        <v>11</v>
      </c>
      <c r="GA39" s="14">
        <f t="shared" ref="GA39:GA66" si="109">MATCH(ED39,$L$7:$L$28,1)-1</f>
        <v>8</v>
      </c>
      <c r="GB39" s="14">
        <f t="shared" ref="GB39:GB66" si="110">MATCH(EE39,$L$7:$L$28,1)-1</f>
        <v>8</v>
      </c>
      <c r="GC39" s="14">
        <f t="shared" ref="GC39:GC66" si="111">MATCH(EF39,$L$7:$L$28,1)-1</f>
        <v>5</v>
      </c>
      <c r="GD39" s="14">
        <f t="shared" ref="GD39:GD66" si="112">MATCH(EG39,$L$7:$L$28,1)-1</f>
        <v>3</v>
      </c>
      <c r="GE39" s="14">
        <f t="shared" si="61"/>
        <v>2</v>
      </c>
      <c r="GF39" s="14">
        <f t="shared" ref="GF39:GF66" si="113">MATCH(EH39,$L$7:$L$28,1)-1</f>
        <v>6</v>
      </c>
      <c r="GG39" s="14">
        <f t="shared" ref="GG39:GG66" si="114">MATCH(EI39,$L$7:$L$28,1)-1</f>
        <v>6</v>
      </c>
      <c r="GH39" s="14">
        <f t="shared" ref="GH39:GH66" si="115">MATCH(EJ39,$L$7:$L$28,1)-1</f>
        <v>6</v>
      </c>
      <c r="GI39" s="14">
        <f t="shared" ref="GI39:GI66" si="116">MATCH(EK39,$L$7:$L$28,1)-1</f>
        <v>3</v>
      </c>
      <c r="GJ39" s="14">
        <f t="shared" ref="GJ39:GJ66" si="117">MATCH(EL39,$L$7:$L$28,1)-1</f>
        <v>3</v>
      </c>
      <c r="GK39" s="14">
        <f t="shared" ref="GK39:GK66" si="118">MATCH(EM39,$L$7:$L$28,1)-1</f>
        <v>3</v>
      </c>
      <c r="GL39" s="14">
        <f t="shared" ref="GL39:GL66" si="119">MATCH(EN39,$L$7:$L$28,1)-1</f>
        <v>2</v>
      </c>
      <c r="GM39" s="14">
        <f t="shared" ref="GM39:GM66" si="120">MATCH(EO39,$L$7:$L$28,1)-1</f>
        <v>2</v>
      </c>
      <c r="GN39" s="14">
        <f t="shared" si="62"/>
        <v>0</v>
      </c>
      <c r="GO39" s="14">
        <f t="shared" ref="GO39:GO66" si="121">MATCH(EP39,$L$7:$L$28,1)-1</f>
        <v>1</v>
      </c>
      <c r="GP39" s="14">
        <f t="shared" ref="GP39:GP66" si="122">MATCH(EQ39,$L$7:$L$28,1)-1</f>
        <v>1</v>
      </c>
      <c r="GQ39" s="14">
        <f t="shared" ref="GQ39:GQ66" si="123">MATCH(ER39,$L$7:$L$28,1)-1</f>
        <v>1</v>
      </c>
      <c r="GR39" s="14">
        <f t="shared" ref="GR39:GR66" si="124">MATCH(ES39,$L$7:$L$28,1)-1</f>
        <v>0</v>
      </c>
      <c r="GS39" s="14">
        <f t="shared" ref="GS39:GS66" si="125">MATCH(ET39,$L$7:$L$28,1)-1</f>
        <v>0</v>
      </c>
      <c r="GT39" s="14">
        <f t="shared" ref="GT39:GT66" si="126">MATCH(EU39,$L$7:$L$28,1)-1</f>
        <v>0</v>
      </c>
      <c r="GU39" s="14">
        <f t="shared" ref="GU39:GU66" si="127">MATCH(EV39,$L$7:$L$28,1)-1</f>
        <v>0</v>
      </c>
      <c r="GV39" s="14">
        <f t="shared" ref="GV39:GV66" si="128">MATCH(EW39,$L$7:$L$28,1)-1</f>
        <v>0</v>
      </c>
      <c r="GY39" s="91">
        <v>33</v>
      </c>
      <c r="GZ39" s="14">
        <f t="shared" si="63"/>
        <v>3</v>
      </c>
      <c r="HA39" s="14">
        <f t="shared" si="64"/>
        <v>1</v>
      </c>
      <c r="HB39" s="14">
        <f t="shared" si="65"/>
        <v>2</v>
      </c>
      <c r="HC39" s="14">
        <f t="shared" si="66"/>
        <v>0.43099999999999999</v>
      </c>
      <c r="HD39" s="14">
        <f t="shared" si="67"/>
        <v>1606005</v>
      </c>
      <c r="HE39" s="14" t="str">
        <f t="shared" si="68"/>
        <v>神器1-3 : 3级</v>
      </c>
      <c r="HF39" s="14" t="s">
        <v>800</v>
      </c>
      <c r="HG39" s="14">
        <f t="shared" si="69"/>
        <v>3</v>
      </c>
      <c r="HH39" s="14" t="str">
        <f t="shared" si="70"/>
        <v>神器1-3</v>
      </c>
      <c r="HI39" s="14">
        <f t="shared" si="71"/>
        <v>1</v>
      </c>
      <c r="HJ39" s="14" t="s">
        <v>1595</v>
      </c>
      <c r="HK39" s="14">
        <f t="shared" si="72"/>
        <v>5150</v>
      </c>
    </row>
    <row r="40" spans="14:219" ht="16.5" x14ac:dyDescent="0.2">
      <c r="N40" s="90">
        <v>6</v>
      </c>
      <c r="O40" s="90">
        <v>7</v>
      </c>
      <c r="P40" s="90">
        <v>4</v>
      </c>
      <c r="Q40" s="90">
        <v>21</v>
      </c>
      <c r="R40" s="14">
        <f>SUM(Q$7:Q40)</f>
        <v>591</v>
      </c>
      <c r="S40" s="91">
        <v>1606035</v>
      </c>
      <c r="T40" s="14" t="str">
        <f t="shared" si="73"/>
        <v>神器6-7</v>
      </c>
      <c r="AF40" s="87">
        <v>34</v>
      </c>
      <c r="AG40" s="87">
        <v>6</v>
      </c>
      <c r="AH40" s="87">
        <v>8</v>
      </c>
      <c r="AI40" s="200">
        <v>1606036</v>
      </c>
      <c r="AJ40" s="87" t="str">
        <f t="shared" si="47"/>
        <v>神器6-8</v>
      </c>
      <c r="AK40" s="87">
        <v>4</v>
      </c>
      <c r="AL40" s="87">
        <f t="shared" si="48"/>
        <v>600</v>
      </c>
      <c r="AO40" s="87">
        <v>3</v>
      </c>
      <c r="AP40" s="87">
        <v>2</v>
      </c>
      <c r="AQ40" s="87">
        <v>13</v>
      </c>
      <c r="AR40" s="144">
        <f t="shared" si="49"/>
        <v>4413</v>
      </c>
      <c r="AS40" s="144" t="s">
        <v>1214</v>
      </c>
      <c r="AT40" s="144" t="str">
        <f t="shared" si="50"/>
        <v>神器本-3-困难-1  神器2-1</v>
      </c>
      <c r="AU40" s="87">
        <v>4</v>
      </c>
      <c r="AV40" s="87" t="s">
        <v>310</v>
      </c>
      <c r="AW40" s="87">
        <v>1500</v>
      </c>
      <c r="AX40" s="87">
        <v>1</v>
      </c>
      <c r="AY40" s="87">
        <v>1</v>
      </c>
      <c r="AZ40" s="87">
        <f t="shared" si="51"/>
        <v>1</v>
      </c>
      <c r="BA40" s="14">
        <f t="shared" si="52"/>
        <v>0.15</v>
      </c>
      <c r="BB40" s="14">
        <f t="shared" si="53"/>
        <v>2.25</v>
      </c>
      <c r="BL40" s="87">
        <v>34</v>
      </c>
      <c r="BM40" s="14">
        <f>INDEX(节奏总表!$CK$4:$CK$63,新神器!BL40)</f>
        <v>124</v>
      </c>
      <c r="BN40" s="14">
        <f t="shared" si="55"/>
        <v>7</v>
      </c>
      <c r="BO40" s="87">
        <v>3</v>
      </c>
      <c r="BP40" s="87">
        <v>5</v>
      </c>
      <c r="BQ40" s="14">
        <f t="shared" si="83"/>
        <v>0</v>
      </c>
      <c r="BR40" s="14">
        <f t="shared" si="83"/>
        <v>0</v>
      </c>
      <c r="BS40" s="14">
        <f t="shared" si="83"/>
        <v>0</v>
      </c>
      <c r="BT40" s="14">
        <f t="shared" si="83"/>
        <v>0</v>
      </c>
      <c r="BU40" s="14">
        <f t="shared" si="83"/>
        <v>0</v>
      </c>
      <c r="BV40" s="14">
        <f t="shared" si="83"/>
        <v>0</v>
      </c>
      <c r="BW40" s="14">
        <f t="shared" si="83"/>
        <v>0</v>
      </c>
      <c r="BX40" s="14">
        <f t="shared" si="83"/>
        <v>0</v>
      </c>
      <c r="BY40" s="14">
        <f t="shared" si="83"/>
        <v>0.35000000000000003</v>
      </c>
      <c r="BZ40" s="14">
        <f t="shared" si="83"/>
        <v>0.35000000000000003</v>
      </c>
      <c r="CA40" s="14">
        <f t="shared" si="84"/>
        <v>0.20699999999999999</v>
      </c>
      <c r="CB40" s="14">
        <f t="shared" si="84"/>
        <v>0.20699999999999999</v>
      </c>
      <c r="CC40" s="14">
        <f t="shared" si="84"/>
        <v>0.13750000000000001</v>
      </c>
      <c r="CD40" s="14">
        <f t="shared" si="84"/>
        <v>6.9000000000000006E-2</v>
      </c>
      <c r="CE40" s="14">
        <f t="shared" si="84"/>
        <v>0.35000000000000003</v>
      </c>
      <c r="CF40" s="14">
        <f t="shared" si="84"/>
        <v>0.35000000000000003</v>
      </c>
      <c r="CG40" s="14">
        <f t="shared" si="84"/>
        <v>0.20699999999999999</v>
      </c>
      <c r="CH40" s="14">
        <f t="shared" si="84"/>
        <v>0.20699999999999999</v>
      </c>
      <c r="CI40" s="14">
        <f t="shared" si="84"/>
        <v>0.13750000000000001</v>
      </c>
      <c r="CJ40" s="14">
        <f t="shared" si="84"/>
        <v>6.9000000000000006E-2</v>
      </c>
      <c r="CK40" s="14">
        <f t="shared" si="85"/>
        <v>0.35000000000000003</v>
      </c>
      <c r="CL40" s="14">
        <f t="shared" si="85"/>
        <v>0.35000000000000003</v>
      </c>
      <c r="CM40" s="14">
        <f t="shared" si="85"/>
        <v>0.20699999999999999</v>
      </c>
      <c r="CN40" s="14">
        <f t="shared" si="85"/>
        <v>0.20699999999999999</v>
      </c>
      <c r="CO40" s="14">
        <f t="shared" si="85"/>
        <v>0.13750000000000001</v>
      </c>
      <c r="CP40" s="14">
        <f t="shared" si="85"/>
        <v>6.9499999999999992E-2</v>
      </c>
      <c r="CQ40" s="14">
        <f t="shared" si="85"/>
        <v>0.20799999999999999</v>
      </c>
      <c r="CR40" s="14">
        <f t="shared" si="85"/>
        <v>0.20799999999999999</v>
      </c>
      <c r="CS40" s="14">
        <f t="shared" si="85"/>
        <v>0.20799999999999999</v>
      </c>
      <c r="CT40" s="14">
        <f t="shared" si="85"/>
        <v>0.13800000000000001</v>
      </c>
      <c r="CU40" s="14">
        <f t="shared" si="86"/>
        <v>0.13800000000000001</v>
      </c>
      <c r="CV40" s="14">
        <f t="shared" si="86"/>
        <v>0.13800000000000001</v>
      </c>
      <c r="CW40" s="14">
        <f t="shared" si="86"/>
        <v>0</v>
      </c>
      <c r="CX40" s="14">
        <f t="shared" si="86"/>
        <v>0</v>
      </c>
      <c r="CY40" s="14">
        <f t="shared" si="86"/>
        <v>1.5</v>
      </c>
      <c r="CZ40" s="14">
        <f t="shared" si="86"/>
        <v>1.5</v>
      </c>
      <c r="DA40" s="14">
        <f t="shared" si="86"/>
        <v>1.5</v>
      </c>
      <c r="DB40" s="14">
        <f t="shared" si="86"/>
        <v>0.5</v>
      </c>
      <c r="DC40" s="14">
        <f t="shared" si="86"/>
        <v>0.5</v>
      </c>
      <c r="DD40" s="14">
        <f t="shared" si="86"/>
        <v>0.5</v>
      </c>
      <c r="DE40" s="14">
        <f t="shared" si="86"/>
        <v>0.375</v>
      </c>
      <c r="DF40" s="14">
        <f t="shared" si="86"/>
        <v>0.375</v>
      </c>
      <c r="DH40" s="14">
        <f>SUM(BQ$7:BQ40)</f>
        <v>35.749999999999993</v>
      </c>
      <c r="DI40" s="14">
        <f>SUM(BR$7:BR40)</f>
        <v>35.749999999999993</v>
      </c>
      <c r="DJ40" s="14">
        <f>SUM(BS$7:BS40)</f>
        <v>20.25</v>
      </c>
      <c r="DK40" s="14">
        <f>SUM(BT$7:BT40)</f>
        <v>36.25</v>
      </c>
      <c r="DL40" s="14">
        <f>SUM(BU$7:BU40)</f>
        <v>36.25</v>
      </c>
      <c r="DM40" s="14">
        <f>SUM(BV$7:BV40)</f>
        <v>20.625</v>
      </c>
      <c r="DN40" s="14">
        <f>SUM(BW$7:BW40)</f>
        <v>20.625</v>
      </c>
      <c r="DO40" s="14">
        <f>SUM(BX$7:BX40)</f>
        <v>13.75</v>
      </c>
      <c r="DP40" s="14">
        <f>SUM(BY$7:BY40)</f>
        <v>23.198999999999998</v>
      </c>
      <c r="DQ40" s="14">
        <f>SUM(BZ$7:BZ40)</f>
        <v>23.198999999999998</v>
      </c>
      <c r="DR40" s="14">
        <f>SUM(CA$7:CA40)</f>
        <v>12.414000000000001</v>
      </c>
      <c r="DS40" s="14">
        <f>SUM(CB$7:CB40)</f>
        <v>12.414000000000001</v>
      </c>
      <c r="DT40" s="14">
        <f>SUM(CC$7:CC40)</f>
        <v>5.7750000000000004</v>
      </c>
      <c r="DU40" s="14">
        <f>SUM(CD$7:CD40)</f>
        <v>2.6479999999999997</v>
      </c>
      <c r="DV40" s="14">
        <f>SUM(CE$7:CE40)</f>
        <v>28.198999999999998</v>
      </c>
      <c r="DW40" s="14">
        <f>SUM(CF$7:CF40)</f>
        <v>28.198999999999998</v>
      </c>
      <c r="DX40" s="14">
        <f>SUM(CG$7:CG40)</f>
        <v>15.039000000000001</v>
      </c>
      <c r="DY40" s="14">
        <f>SUM(CH$7:CH40)</f>
        <v>15.039000000000001</v>
      </c>
      <c r="DZ40" s="14">
        <f>SUM(CI$7:CI40)</f>
        <v>6.7750000000000004</v>
      </c>
      <c r="EA40" s="14">
        <f>SUM(CJ$7:CJ40)</f>
        <v>3.136000000000001</v>
      </c>
      <c r="EB40" s="14">
        <f>SUM(CK$7:CK40)</f>
        <v>33.198999999999998</v>
      </c>
      <c r="EC40" s="14">
        <f>SUM(CL$7:CL40)</f>
        <v>33.198999999999998</v>
      </c>
      <c r="ED40" s="14">
        <f>SUM(CM$7:CM40)</f>
        <v>17.664000000000001</v>
      </c>
      <c r="EE40" s="14">
        <f>SUM(CN$7:CN40)</f>
        <v>17.664000000000001</v>
      </c>
      <c r="EF40" s="14">
        <f>SUM(CO$7:CO40)</f>
        <v>7.7750000000000004</v>
      </c>
      <c r="EG40" s="14">
        <f>SUM(CP$7:CP40)</f>
        <v>3.6370000000000013</v>
      </c>
      <c r="EH40" s="14">
        <f>SUM(CQ$7:CQ40)</f>
        <v>9.4160000000000004</v>
      </c>
      <c r="EI40" s="14">
        <f>SUM(CR$7:CR40)</f>
        <v>9.4160000000000004</v>
      </c>
      <c r="EJ40" s="14">
        <f>SUM(CS$7:CS40)</f>
        <v>9.4160000000000004</v>
      </c>
      <c r="EK40" s="14">
        <f>SUM(CT$7:CT40)</f>
        <v>3.2759999999999998</v>
      </c>
      <c r="EL40" s="14">
        <f>SUM(CU$7:CU40)</f>
        <v>3.2759999999999998</v>
      </c>
      <c r="EM40" s="14">
        <f>SUM(CV$7:CV40)</f>
        <v>3.2759999999999998</v>
      </c>
      <c r="EN40" s="14">
        <f>SUM(CW$7:CW40)</f>
        <v>2.25</v>
      </c>
      <c r="EO40" s="14">
        <f>SUM(CX$7:CX40)</f>
        <v>2.25</v>
      </c>
      <c r="EP40" s="14">
        <f>SUM(CY$7:CY40)</f>
        <v>3</v>
      </c>
      <c r="EQ40" s="14">
        <f>SUM(CZ$7:CZ40)</f>
        <v>3</v>
      </c>
      <c r="ER40" s="14">
        <f>SUM(DA$7:DA40)</f>
        <v>3</v>
      </c>
      <c r="ES40" s="14">
        <f>SUM(DB$7:DB40)</f>
        <v>1</v>
      </c>
      <c r="ET40" s="14">
        <f>SUM(DC$7:DC40)</f>
        <v>1</v>
      </c>
      <c r="EU40" s="14">
        <f>SUM(DD$7:DD40)</f>
        <v>1</v>
      </c>
      <c r="EV40" s="14">
        <f>SUM(DE$7:DE40)</f>
        <v>0.75</v>
      </c>
      <c r="EW40" s="14">
        <f>SUM(DF$7:DF40)</f>
        <v>0.75</v>
      </c>
      <c r="EZ40" s="14">
        <f t="shared" si="56"/>
        <v>9</v>
      </c>
      <c r="FA40" s="14">
        <f t="shared" si="87"/>
        <v>12</v>
      </c>
      <c r="FB40" s="14">
        <f t="shared" si="88"/>
        <v>12</v>
      </c>
      <c r="FC40" s="14">
        <f t="shared" si="89"/>
        <v>9</v>
      </c>
      <c r="FD40" s="14">
        <f t="shared" si="57"/>
        <v>7</v>
      </c>
      <c r="FE40" s="14">
        <f t="shared" si="90"/>
        <v>12</v>
      </c>
      <c r="FF40" s="14">
        <f t="shared" si="91"/>
        <v>12</v>
      </c>
      <c r="FG40" s="14">
        <f t="shared" si="92"/>
        <v>9</v>
      </c>
      <c r="FH40" s="14">
        <f t="shared" si="93"/>
        <v>9</v>
      </c>
      <c r="FI40" s="14">
        <f t="shared" si="94"/>
        <v>7</v>
      </c>
      <c r="FJ40" s="14">
        <f t="shared" si="58"/>
        <v>2</v>
      </c>
      <c r="FK40" s="14">
        <f t="shared" si="95"/>
        <v>10</v>
      </c>
      <c r="FL40" s="14">
        <f t="shared" si="96"/>
        <v>10</v>
      </c>
      <c r="FM40" s="14">
        <f t="shared" si="97"/>
        <v>7</v>
      </c>
      <c r="FN40" s="14">
        <f t="shared" si="98"/>
        <v>7</v>
      </c>
      <c r="FO40" s="14">
        <f t="shared" si="99"/>
        <v>4</v>
      </c>
      <c r="FP40" s="14">
        <f t="shared" si="100"/>
        <v>2</v>
      </c>
      <c r="FQ40" s="14">
        <f t="shared" si="59"/>
        <v>3</v>
      </c>
      <c r="FR40" s="14">
        <f t="shared" si="101"/>
        <v>11</v>
      </c>
      <c r="FS40" s="14">
        <f t="shared" si="102"/>
        <v>11</v>
      </c>
      <c r="FT40" s="14">
        <f t="shared" si="103"/>
        <v>8</v>
      </c>
      <c r="FU40" s="14">
        <f t="shared" si="104"/>
        <v>8</v>
      </c>
      <c r="FV40" s="14">
        <f t="shared" si="105"/>
        <v>4</v>
      </c>
      <c r="FW40" s="14">
        <f t="shared" si="106"/>
        <v>3</v>
      </c>
      <c r="FX40" s="14">
        <f t="shared" si="60"/>
        <v>3</v>
      </c>
      <c r="FY40" s="14">
        <f t="shared" si="107"/>
        <v>11</v>
      </c>
      <c r="FZ40" s="14">
        <f t="shared" si="108"/>
        <v>11</v>
      </c>
      <c r="GA40" s="14">
        <f t="shared" si="109"/>
        <v>8</v>
      </c>
      <c r="GB40" s="14">
        <f t="shared" si="110"/>
        <v>8</v>
      </c>
      <c r="GC40" s="14">
        <f t="shared" si="111"/>
        <v>5</v>
      </c>
      <c r="GD40" s="14">
        <f t="shared" si="112"/>
        <v>3</v>
      </c>
      <c r="GE40" s="14">
        <f t="shared" si="61"/>
        <v>2</v>
      </c>
      <c r="GF40" s="14">
        <f t="shared" si="113"/>
        <v>6</v>
      </c>
      <c r="GG40" s="14">
        <f t="shared" si="114"/>
        <v>6</v>
      </c>
      <c r="GH40" s="14">
        <f t="shared" si="115"/>
        <v>6</v>
      </c>
      <c r="GI40" s="14">
        <f t="shared" si="116"/>
        <v>3</v>
      </c>
      <c r="GJ40" s="14">
        <f t="shared" si="117"/>
        <v>3</v>
      </c>
      <c r="GK40" s="14">
        <f t="shared" si="118"/>
        <v>3</v>
      </c>
      <c r="GL40" s="14">
        <f t="shared" si="119"/>
        <v>2</v>
      </c>
      <c r="GM40" s="14">
        <f t="shared" si="120"/>
        <v>2</v>
      </c>
      <c r="GN40" s="14">
        <f t="shared" si="62"/>
        <v>0</v>
      </c>
      <c r="GO40" s="14">
        <f t="shared" si="121"/>
        <v>3</v>
      </c>
      <c r="GP40" s="14">
        <f t="shared" si="122"/>
        <v>3</v>
      </c>
      <c r="GQ40" s="14">
        <f t="shared" si="123"/>
        <v>3</v>
      </c>
      <c r="GR40" s="14">
        <f t="shared" si="124"/>
        <v>1</v>
      </c>
      <c r="GS40" s="14">
        <f t="shared" si="125"/>
        <v>1</v>
      </c>
      <c r="GT40" s="14">
        <f t="shared" si="126"/>
        <v>1</v>
      </c>
      <c r="GU40" s="14">
        <f t="shared" si="127"/>
        <v>0</v>
      </c>
      <c r="GV40" s="14">
        <f t="shared" si="128"/>
        <v>0</v>
      </c>
      <c r="GY40" s="91">
        <v>34</v>
      </c>
      <c r="GZ40" s="14">
        <f t="shared" si="63"/>
        <v>3</v>
      </c>
      <c r="HA40" s="14">
        <f t="shared" si="64"/>
        <v>1</v>
      </c>
      <c r="HB40" s="14">
        <f t="shared" si="65"/>
        <v>2</v>
      </c>
      <c r="HC40" s="14">
        <f t="shared" si="66"/>
        <v>0.44500000000000001</v>
      </c>
      <c r="HD40" s="14">
        <f t="shared" si="67"/>
        <v>1606005</v>
      </c>
      <c r="HE40" s="14" t="str">
        <f t="shared" si="68"/>
        <v>神器1-3 : 4级</v>
      </c>
      <c r="HF40" s="14" t="s">
        <v>800</v>
      </c>
      <c r="HG40" s="14">
        <f t="shared" si="69"/>
        <v>4</v>
      </c>
      <c r="HH40" s="14" t="str">
        <f t="shared" si="70"/>
        <v>神器1-3</v>
      </c>
      <c r="HI40" s="14">
        <f t="shared" si="71"/>
        <v>2</v>
      </c>
      <c r="HJ40" s="14" t="s">
        <v>1595</v>
      </c>
      <c r="HK40" s="14">
        <f t="shared" si="72"/>
        <v>5350</v>
      </c>
    </row>
    <row r="41" spans="14:219" ht="16.5" x14ac:dyDescent="0.2">
      <c r="N41" s="90">
        <v>6</v>
      </c>
      <c r="O41" s="90">
        <v>8</v>
      </c>
      <c r="P41" s="90">
        <v>4</v>
      </c>
      <c r="Q41" s="90">
        <v>21</v>
      </c>
      <c r="R41" s="14">
        <f>SUM(Q$7:Q41)</f>
        <v>612</v>
      </c>
      <c r="S41" s="91">
        <v>1606036</v>
      </c>
      <c r="T41" s="14" t="str">
        <f t="shared" si="73"/>
        <v>神器6-8</v>
      </c>
      <c r="AF41" s="87">
        <v>35</v>
      </c>
      <c r="AG41" s="87">
        <v>7</v>
      </c>
      <c r="AH41" s="87">
        <v>1</v>
      </c>
      <c r="AI41" s="200">
        <v>1606037</v>
      </c>
      <c r="AJ41" s="87" t="str">
        <f t="shared" si="47"/>
        <v>神器7-1</v>
      </c>
      <c r="AK41" s="87">
        <v>2</v>
      </c>
      <c r="AL41" s="87">
        <f t="shared" si="48"/>
        <v>150</v>
      </c>
      <c r="AO41" s="87">
        <v>3</v>
      </c>
      <c r="AP41" s="87">
        <v>2</v>
      </c>
      <c r="AQ41" s="87">
        <v>13</v>
      </c>
      <c r="AR41" s="144">
        <f t="shared" si="49"/>
        <v>4413</v>
      </c>
      <c r="AS41" s="144" t="s">
        <v>1214</v>
      </c>
      <c r="AT41" s="144" t="str">
        <f t="shared" si="50"/>
        <v>神器本-3-困难-1  神器2-2</v>
      </c>
      <c r="AU41" s="87">
        <v>5</v>
      </c>
      <c r="AV41" s="87" t="s">
        <v>311</v>
      </c>
      <c r="AW41" s="87">
        <v>1500</v>
      </c>
      <c r="AX41" s="87">
        <v>1</v>
      </c>
      <c r="AY41" s="87">
        <v>1</v>
      </c>
      <c r="AZ41" s="87">
        <f t="shared" si="51"/>
        <v>1</v>
      </c>
      <c r="BA41" s="14">
        <f t="shared" si="52"/>
        <v>0.15</v>
      </c>
      <c r="BB41" s="14">
        <f t="shared" si="53"/>
        <v>2.25</v>
      </c>
      <c r="BL41" s="87">
        <v>35</v>
      </c>
      <c r="BM41" s="14">
        <f>INDEX(节奏总表!$CK$4:$CK$63,新神器!BL41)</f>
        <v>126</v>
      </c>
      <c r="BN41" s="14">
        <f t="shared" si="55"/>
        <v>7</v>
      </c>
      <c r="BO41" s="87">
        <v>3</v>
      </c>
      <c r="BP41" s="87">
        <v>5</v>
      </c>
      <c r="BQ41" s="14">
        <f t="shared" si="83"/>
        <v>0</v>
      </c>
      <c r="BR41" s="14">
        <f t="shared" si="83"/>
        <v>0</v>
      </c>
      <c r="BS41" s="14">
        <f t="shared" si="83"/>
        <v>0</v>
      </c>
      <c r="BT41" s="14">
        <f t="shared" si="83"/>
        <v>0</v>
      </c>
      <c r="BU41" s="14">
        <f t="shared" si="83"/>
        <v>0</v>
      </c>
      <c r="BV41" s="14">
        <f t="shared" si="83"/>
        <v>0</v>
      </c>
      <c r="BW41" s="14">
        <f t="shared" si="83"/>
        <v>0</v>
      </c>
      <c r="BX41" s="14">
        <f t="shared" si="83"/>
        <v>0</v>
      </c>
      <c r="BY41" s="14">
        <f t="shared" si="83"/>
        <v>0.35000000000000003</v>
      </c>
      <c r="BZ41" s="14">
        <f t="shared" si="83"/>
        <v>0.35000000000000003</v>
      </c>
      <c r="CA41" s="14">
        <f t="shared" si="84"/>
        <v>0.20699999999999999</v>
      </c>
      <c r="CB41" s="14">
        <f t="shared" si="84"/>
        <v>0.20699999999999999</v>
      </c>
      <c r="CC41" s="14">
        <f t="shared" si="84"/>
        <v>0.13750000000000001</v>
      </c>
      <c r="CD41" s="14">
        <f t="shared" si="84"/>
        <v>6.9000000000000006E-2</v>
      </c>
      <c r="CE41" s="14">
        <f t="shared" si="84"/>
        <v>0.35000000000000003</v>
      </c>
      <c r="CF41" s="14">
        <f t="shared" si="84"/>
        <v>0.35000000000000003</v>
      </c>
      <c r="CG41" s="14">
        <f t="shared" si="84"/>
        <v>0.20699999999999999</v>
      </c>
      <c r="CH41" s="14">
        <f t="shared" si="84"/>
        <v>0.20699999999999999</v>
      </c>
      <c r="CI41" s="14">
        <f t="shared" si="84"/>
        <v>0.13750000000000001</v>
      </c>
      <c r="CJ41" s="14">
        <f t="shared" si="84"/>
        <v>6.9000000000000006E-2</v>
      </c>
      <c r="CK41" s="14">
        <f t="shared" si="85"/>
        <v>0.35000000000000003</v>
      </c>
      <c r="CL41" s="14">
        <f t="shared" si="85"/>
        <v>0.35000000000000003</v>
      </c>
      <c r="CM41" s="14">
        <f t="shared" si="85"/>
        <v>0.20699999999999999</v>
      </c>
      <c r="CN41" s="14">
        <f t="shared" si="85"/>
        <v>0.20699999999999999</v>
      </c>
      <c r="CO41" s="14">
        <f t="shared" si="85"/>
        <v>0.13750000000000001</v>
      </c>
      <c r="CP41" s="14">
        <f t="shared" si="85"/>
        <v>6.9499999999999992E-2</v>
      </c>
      <c r="CQ41" s="14">
        <f t="shared" si="85"/>
        <v>0.20799999999999999</v>
      </c>
      <c r="CR41" s="14">
        <f t="shared" si="85"/>
        <v>0.20799999999999999</v>
      </c>
      <c r="CS41" s="14">
        <f t="shared" si="85"/>
        <v>0.20799999999999999</v>
      </c>
      <c r="CT41" s="14">
        <f t="shared" si="85"/>
        <v>0.13800000000000001</v>
      </c>
      <c r="CU41" s="14">
        <f t="shared" si="86"/>
        <v>0.13800000000000001</v>
      </c>
      <c r="CV41" s="14">
        <f t="shared" si="86"/>
        <v>0.13800000000000001</v>
      </c>
      <c r="CW41" s="14">
        <f t="shared" si="86"/>
        <v>0</v>
      </c>
      <c r="CX41" s="14">
        <f t="shared" si="86"/>
        <v>0</v>
      </c>
      <c r="CY41" s="14">
        <f t="shared" si="86"/>
        <v>1.5</v>
      </c>
      <c r="CZ41" s="14">
        <f t="shared" si="86"/>
        <v>1.5</v>
      </c>
      <c r="DA41" s="14">
        <f t="shared" si="86"/>
        <v>1.5</v>
      </c>
      <c r="DB41" s="14">
        <f t="shared" si="86"/>
        <v>0.5</v>
      </c>
      <c r="DC41" s="14">
        <f t="shared" si="86"/>
        <v>0.5</v>
      </c>
      <c r="DD41" s="14">
        <f t="shared" si="86"/>
        <v>0.5</v>
      </c>
      <c r="DE41" s="14">
        <f t="shared" si="86"/>
        <v>0.375</v>
      </c>
      <c r="DF41" s="14">
        <f t="shared" si="86"/>
        <v>0.375</v>
      </c>
      <c r="DH41" s="14">
        <f>SUM(BQ$7:BQ41)</f>
        <v>35.749999999999993</v>
      </c>
      <c r="DI41" s="14">
        <f>SUM(BR$7:BR41)</f>
        <v>35.749999999999993</v>
      </c>
      <c r="DJ41" s="14">
        <f>SUM(BS$7:BS41)</f>
        <v>20.25</v>
      </c>
      <c r="DK41" s="14">
        <f>SUM(BT$7:BT41)</f>
        <v>36.25</v>
      </c>
      <c r="DL41" s="14">
        <f>SUM(BU$7:BU41)</f>
        <v>36.25</v>
      </c>
      <c r="DM41" s="14">
        <f>SUM(BV$7:BV41)</f>
        <v>20.625</v>
      </c>
      <c r="DN41" s="14">
        <f>SUM(BW$7:BW41)</f>
        <v>20.625</v>
      </c>
      <c r="DO41" s="14">
        <f>SUM(BX$7:BX41)</f>
        <v>13.75</v>
      </c>
      <c r="DP41" s="14">
        <f>SUM(BY$7:BY41)</f>
        <v>23.548999999999999</v>
      </c>
      <c r="DQ41" s="14">
        <f>SUM(BZ$7:BZ41)</f>
        <v>23.548999999999999</v>
      </c>
      <c r="DR41" s="14">
        <f>SUM(CA$7:CA41)</f>
        <v>12.621000000000002</v>
      </c>
      <c r="DS41" s="14">
        <f>SUM(CB$7:CB41)</f>
        <v>12.621000000000002</v>
      </c>
      <c r="DT41" s="14">
        <f>SUM(CC$7:CC41)</f>
        <v>5.9125000000000005</v>
      </c>
      <c r="DU41" s="14">
        <f>SUM(CD$7:CD41)</f>
        <v>2.7169999999999996</v>
      </c>
      <c r="DV41" s="14">
        <f>SUM(CE$7:CE41)</f>
        <v>28.548999999999999</v>
      </c>
      <c r="DW41" s="14">
        <f>SUM(CF$7:CF41)</f>
        <v>28.548999999999999</v>
      </c>
      <c r="DX41" s="14">
        <f>SUM(CG$7:CG41)</f>
        <v>15.246000000000002</v>
      </c>
      <c r="DY41" s="14">
        <f>SUM(CH$7:CH41)</f>
        <v>15.246000000000002</v>
      </c>
      <c r="DZ41" s="14">
        <f>SUM(CI$7:CI41)</f>
        <v>6.9125000000000005</v>
      </c>
      <c r="EA41" s="14">
        <f>SUM(CJ$7:CJ41)</f>
        <v>3.205000000000001</v>
      </c>
      <c r="EB41" s="14">
        <f>SUM(CK$7:CK41)</f>
        <v>33.548999999999999</v>
      </c>
      <c r="EC41" s="14">
        <f>SUM(CL$7:CL41)</f>
        <v>33.548999999999999</v>
      </c>
      <c r="ED41" s="14">
        <f>SUM(CM$7:CM41)</f>
        <v>17.871000000000002</v>
      </c>
      <c r="EE41" s="14">
        <f>SUM(CN$7:CN41)</f>
        <v>17.871000000000002</v>
      </c>
      <c r="EF41" s="14">
        <f>SUM(CO$7:CO41)</f>
        <v>7.9125000000000005</v>
      </c>
      <c r="EG41" s="14">
        <f>SUM(CP$7:CP41)</f>
        <v>3.7065000000000015</v>
      </c>
      <c r="EH41" s="14">
        <f>SUM(CQ$7:CQ41)</f>
        <v>9.6240000000000006</v>
      </c>
      <c r="EI41" s="14">
        <f>SUM(CR$7:CR41)</f>
        <v>9.6240000000000006</v>
      </c>
      <c r="EJ41" s="14">
        <f>SUM(CS$7:CS41)</f>
        <v>9.6240000000000006</v>
      </c>
      <c r="EK41" s="14">
        <f>SUM(CT$7:CT41)</f>
        <v>3.4139999999999997</v>
      </c>
      <c r="EL41" s="14">
        <f>SUM(CU$7:CU41)</f>
        <v>3.4139999999999997</v>
      </c>
      <c r="EM41" s="14">
        <f>SUM(CV$7:CV41)</f>
        <v>3.4139999999999997</v>
      </c>
      <c r="EN41" s="14">
        <f>SUM(CW$7:CW41)</f>
        <v>2.25</v>
      </c>
      <c r="EO41" s="14">
        <f>SUM(CX$7:CX41)</f>
        <v>2.25</v>
      </c>
      <c r="EP41" s="14">
        <f>SUM(CY$7:CY41)</f>
        <v>4.5</v>
      </c>
      <c r="EQ41" s="14">
        <f>SUM(CZ$7:CZ41)</f>
        <v>4.5</v>
      </c>
      <c r="ER41" s="14">
        <f>SUM(DA$7:DA41)</f>
        <v>4.5</v>
      </c>
      <c r="ES41" s="14">
        <f>SUM(DB$7:DB41)</f>
        <v>1.5</v>
      </c>
      <c r="ET41" s="14">
        <f>SUM(DC$7:DC41)</f>
        <v>1.5</v>
      </c>
      <c r="EU41" s="14">
        <f>SUM(DD$7:DD41)</f>
        <v>1.5</v>
      </c>
      <c r="EV41" s="14">
        <f>SUM(DE$7:DE41)</f>
        <v>1.125</v>
      </c>
      <c r="EW41" s="14">
        <f>SUM(DF$7:DF41)</f>
        <v>1.125</v>
      </c>
      <c r="EZ41" s="14">
        <f t="shared" si="56"/>
        <v>9</v>
      </c>
      <c r="FA41" s="14">
        <f t="shared" si="87"/>
        <v>12</v>
      </c>
      <c r="FB41" s="14">
        <f t="shared" si="88"/>
        <v>12</v>
      </c>
      <c r="FC41" s="14">
        <f t="shared" si="89"/>
        <v>9</v>
      </c>
      <c r="FD41" s="14">
        <f t="shared" si="57"/>
        <v>7</v>
      </c>
      <c r="FE41" s="14">
        <f t="shared" si="90"/>
        <v>12</v>
      </c>
      <c r="FF41" s="14">
        <f t="shared" si="91"/>
        <v>12</v>
      </c>
      <c r="FG41" s="14">
        <f t="shared" si="92"/>
        <v>9</v>
      </c>
      <c r="FH41" s="14">
        <f t="shared" si="93"/>
        <v>9</v>
      </c>
      <c r="FI41" s="14">
        <f t="shared" si="94"/>
        <v>7</v>
      </c>
      <c r="FJ41" s="14">
        <f t="shared" si="58"/>
        <v>2</v>
      </c>
      <c r="FK41" s="14">
        <f t="shared" si="95"/>
        <v>10</v>
      </c>
      <c r="FL41" s="14">
        <f t="shared" si="96"/>
        <v>10</v>
      </c>
      <c r="FM41" s="14">
        <f t="shared" si="97"/>
        <v>7</v>
      </c>
      <c r="FN41" s="14">
        <f t="shared" si="98"/>
        <v>7</v>
      </c>
      <c r="FO41" s="14">
        <f t="shared" si="99"/>
        <v>4</v>
      </c>
      <c r="FP41" s="14">
        <f t="shared" si="100"/>
        <v>2</v>
      </c>
      <c r="FQ41" s="14">
        <f t="shared" si="59"/>
        <v>3</v>
      </c>
      <c r="FR41" s="14">
        <f t="shared" si="101"/>
        <v>11</v>
      </c>
      <c r="FS41" s="14">
        <f t="shared" si="102"/>
        <v>11</v>
      </c>
      <c r="FT41" s="14">
        <f t="shared" si="103"/>
        <v>8</v>
      </c>
      <c r="FU41" s="14">
        <f t="shared" si="104"/>
        <v>8</v>
      </c>
      <c r="FV41" s="14">
        <f t="shared" si="105"/>
        <v>4</v>
      </c>
      <c r="FW41" s="14">
        <f t="shared" si="106"/>
        <v>3</v>
      </c>
      <c r="FX41" s="14">
        <f t="shared" si="60"/>
        <v>3</v>
      </c>
      <c r="FY41" s="14">
        <f t="shared" si="107"/>
        <v>11</v>
      </c>
      <c r="FZ41" s="14">
        <f t="shared" si="108"/>
        <v>11</v>
      </c>
      <c r="GA41" s="14">
        <f t="shared" si="109"/>
        <v>8</v>
      </c>
      <c r="GB41" s="14">
        <f t="shared" si="110"/>
        <v>8</v>
      </c>
      <c r="GC41" s="14">
        <f t="shared" si="111"/>
        <v>5</v>
      </c>
      <c r="GD41" s="14">
        <f t="shared" si="112"/>
        <v>3</v>
      </c>
      <c r="GE41" s="14">
        <f t="shared" si="61"/>
        <v>2</v>
      </c>
      <c r="GF41" s="14">
        <f t="shared" si="113"/>
        <v>6</v>
      </c>
      <c r="GG41" s="14">
        <f t="shared" si="114"/>
        <v>6</v>
      </c>
      <c r="GH41" s="14">
        <f t="shared" si="115"/>
        <v>6</v>
      </c>
      <c r="GI41" s="14">
        <f t="shared" si="116"/>
        <v>3</v>
      </c>
      <c r="GJ41" s="14">
        <f t="shared" si="117"/>
        <v>3</v>
      </c>
      <c r="GK41" s="14">
        <f t="shared" si="118"/>
        <v>3</v>
      </c>
      <c r="GL41" s="14">
        <f t="shared" si="119"/>
        <v>2</v>
      </c>
      <c r="GM41" s="14">
        <f t="shared" si="120"/>
        <v>2</v>
      </c>
      <c r="GN41" s="14">
        <f t="shared" si="62"/>
        <v>1</v>
      </c>
      <c r="GO41" s="14">
        <f t="shared" si="121"/>
        <v>3</v>
      </c>
      <c r="GP41" s="14">
        <f t="shared" si="122"/>
        <v>3</v>
      </c>
      <c r="GQ41" s="14">
        <f t="shared" si="123"/>
        <v>3</v>
      </c>
      <c r="GR41" s="14">
        <f t="shared" si="124"/>
        <v>1</v>
      </c>
      <c r="GS41" s="14">
        <f t="shared" si="125"/>
        <v>1</v>
      </c>
      <c r="GT41" s="14">
        <f t="shared" si="126"/>
        <v>1</v>
      </c>
      <c r="GU41" s="14">
        <f t="shared" si="127"/>
        <v>1</v>
      </c>
      <c r="GV41" s="14">
        <f t="shared" si="128"/>
        <v>1</v>
      </c>
      <c r="GY41" s="91">
        <v>35</v>
      </c>
      <c r="GZ41" s="14">
        <f t="shared" si="63"/>
        <v>3</v>
      </c>
      <c r="HA41" s="14">
        <f t="shared" si="64"/>
        <v>1</v>
      </c>
      <c r="HB41" s="14">
        <f t="shared" si="65"/>
        <v>2</v>
      </c>
      <c r="HC41" s="14">
        <f t="shared" si="66"/>
        <v>0.45800000000000002</v>
      </c>
      <c r="HD41" s="14">
        <f t="shared" si="67"/>
        <v>1606005</v>
      </c>
      <c r="HE41" s="14" t="str">
        <f t="shared" si="68"/>
        <v>神器1-3 : 5级</v>
      </c>
      <c r="HF41" s="14" t="s">
        <v>800</v>
      </c>
      <c r="HG41" s="14">
        <f t="shared" si="69"/>
        <v>5</v>
      </c>
      <c r="HH41" s="14" t="str">
        <f t="shared" si="70"/>
        <v>神器1-3</v>
      </c>
      <c r="HI41" s="14">
        <f t="shared" si="71"/>
        <v>2</v>
      </c>
      <c r="HJ41" s="14" t="s">
        <v>1595</v>
      </c>
      <c r="HK41" s="14">
        <f t="shared" si="72"/>
        <v>5500</v>
      </c>
    </row>
    <row r="42" spans="14:219" ht="16.5" x14ac:dyDescent="0.2">
      <c r="N42" s="90">
        <v>7</v>
      </c>
      <c r="O42" s="90">
        <v>1</v>
      </c>
      <c r="P42" s="90">
        <v>2</v>
      </c>
      <c r="Q42" s="90">
        <v>21</v>
      </c>
      <c r="R42" s="14">
        <f>SUM(Q$7:Q42)</f>
        <v>633</v>
      </c>
      <c r="S42" s="91">
        <v>1606037</v>
      </c>
      <c r="T42" s="14" t="str">
        <f t="shared" si="73"/>
        <v>神器7-1</v>
      </c>
      <c r="AF42" s="87">
        <v>36</v>
      </c>
      <c r="AG42" s="87">
        <v>7</v>
      </c>
      <c r="AH42" s="87">
        <v>2</v>
      </c>
      <c r="AI42" s="200">
        <v>1606038</v>
      </c>
      <c r="AJ42" s="87" t="str">
        <f t="shared" si="47"/>
        <v>神器7-2</v>
      </c>
      <c r="AK42" s="87">
        <v>2</v>
      </c>
      <c r="AL42" s="87">
        <f t="shared" si="48"/>
        <v>150</v>
      </c>
      <c r="AO42" s="87">
        <v>3</v>
      </c>
      <c r="AP42" s="87">
        <v>2</v>
      </c>
      <c r="AQ42" s="87">
        <v>13</v>
      </c>
      <c r="AR42" s="144">
        <f t="shared" si="49"/>
        <v>4413</v>
      </c>
      <c r="AS42" s="144" t="s">
        <v>1214</v>
      </c>
      <c r="AT42" s="144" t="str">
        <f t="shared" si="50"/>
        <v>神器本-3-困难-1  神器2-3</v>
      </c>
      <c r="AU42" s="87">
        <v>6</v>
      </c>
      <c r="AV42" s="87" t="s">
        <v>312</v>
      </c>
      <c r="AW42" s="87">
        <v>1000</v>
      </c>
      <c r="AX42" s="87">
        <v>1</v>
      </c>
      <c r="AY42" s="87">
        <v>1</v>
      </c>
      <c r="AZ42" s="87">
        <f t="shared" si="51"/>
        <v>2</v>
      </c>
      <c r="BA42" s="14">
        <f t="shared" si="52"/>
        <v>0.1</v>
      </c>
      <c r="BB42" s="14">
        <f t="shared" si="53"/>
        <v>4.5</v>
      </c>
      <c r="BL42" s="87">
        <v>36</v>
      </c>
      <c r="BM42" s="14">
        <f>INDEX(节奏总表!$CK$4:$CK$63,新神器!BL42)</f>
        <v>127</v>
      </c>
      <c r="BN42" s="14">
        <f t="shared" si="55"/>
        <v>7</v>
      </c>
      <c r="BO42" s="87">
        <v>3</v>
      </c>
      <c r="BP42" s="87">
        <v>5</v>
      </c>
      <c r="BQ42" s="14">
        <f t="shared" si="83"/>
        <v>0</v>
      </c>
      <c r="BR42" s="14">
        <f t="shared" si="83"/>
        <v>0</v>
      </c>
      <c r="BS42" s="14">
        <f t="shared" si="83"/>
        <v>0</v>
      </c>
      <c r="BT42" s="14">
        <f t="shared" si="83"/>
        <v>0</v>
      </c>
      <c r="BU42" s="14">
        <f t="shared" si="83"/>
        <v>0</v>
      </c>
      <c r="BV42" s="14">
        <f t="shared" si="83"/>
        <v>0</v>
      </c>
      <c r="BW42" s="14">
        <f t="shared" si="83"/>
        <v>0</v>
      </c>
      <c r="BX42" s="14">
        <f t="shared" si="83"/>
        <v>0</v>
      </c>
      <c r="BY42" s="14">
        <f t="shared" si="83"/>
        <v>0.35000000000000003</v>
      </c>
      <c r="BZ42" s="14">
        <f t="shared" si="83"/>
        <v>0.35000000000000003</v>
      </c>
      <c r="CA42" s="14">
        <f t="shared" si="84"/>
        <v>0.20699999999999999</v>
      </c>
      <c r="CB42" s="14">
        <f t="shared" si="84"/>
        <v>0.20699999999999999</v>
      </c>
      <c r="CC42" s="14">
        <f t="shared" si="84"/>
        <v>0.13750000000000001</v>
      </c>
      <c r="CD42" s="14">
        <f t="shared" si="84"/>
        <v>6.9000000000000006E-2</v>
      </c>
      <c r="CE42" s="14">
        <f t="shared" si="84"/>
        <v>0.35000000000000003</v>
      </c>
      <c r="CF42" s="14">
        <f t="shared" si="84"/>
        <v>0.35000000000000003</v>
      </c>
      <c r="CG42" s="14">
        <f t="shared" si="84"/>
        <v>0.20699999999999999</v>
      </c>
      <c r="CH42" s="14">
        <f t="shared" si="84"/>
        <v>0.20699999999999999</v>
      </c>
      <c r="CI42" s="14">
        <f t="shared" si="84"/>
        <v>0.13750000000000001</v>
      </c>
      <c r="CJ42" s="14">
        <f t="shared" si="84"/>
        <v>6.9000000000000006E-2</v>
      </c>
      <c r="CK42" s="14">
        <f t="shared" si="85"/>
        <v>0.35000000000000003</v>
      </c>
      <c r="CL42" s="14">
        <f t="shared" si="85"/>
        <v>0.35000000000000003</v>
      </c>
      <c r="CM42" s="14">
        <f t="shared" si="85"/>
        <v>0.20699999999999999</v>
      </c>
      <c r="CN42" s="14">
        <f t="shared" si="85"/>
        <v>0.20699999999999999</v>
      </c>
      <c r="CO42" s="14">
        <f t="shared" si="85"/>
        <v>0.13750000000000001</v>
      </c>
      <c r="CP42" s="14">
        <f t="shared" si="85"/>
        <v>6.9499999999999992E-2</v>
      </c>
      <c r="CQ42" s="14">
        <f t="shared" si="85"/>
        <v>0.20799999999999999</v>
      </c>
      <c r="CR42" s="14">
        <f t="shared" si="85"/>
        <v>0.20799999999999999</v>
      </c>
      <c r="CS42" s="14">
        <f t="shared" si="85"/>
        <v>0.20799999999999999</v>
      </c>
      <c r="CT42" s="14">
        <f t="shared" si="85"/>
        <v>0.13800000000000001</v>
      </c>
      <c r="CU42" s="14">
        <f t="shared" si="86"/>
        <v>0.13800000000000001</v>
      </c>
      <c r="CV42" s="14">
        <f t="shared" si="86"/>
        <v>0.13800000000000001</v>
      </c>
      <c r="CW42" s="14">
        <f t="shared" si="86"/>
        <v>0</v>
      </c>
      <c r="CX42" s="14">
        <f t="shared" si="86"/>
        <v>0</v>
      </c>
      <c r="CY42" s="14">
        <f t="shared" si="86"/>
        <v>1.5</v>
      </c>
      <c r="CZ42" s="14">
        <f t="shared" si="86"/>
        <v>1.5</v>
      </c>
      <c r="DA42" s="14">
        <f t="shared" si="86"/>
        <v>1.5</v>
      </c>
      <c r="DB42" s="14">
        <f t="shared" si="86"/>
        <v>0.5</v>
      </c>
      <c r="DC42" s="14">
        <f t="shared" si="86"/>
        <v>0.5</v>
      </c>
      <c r="DD42" s="14">
        <f t="shared" si="86"/>
        <v>0.5</v>
      </c>
      <c r="DE42" s="14">
        <f t="shared" si="86"/>
        <v>0.375</v>
      </c>
      <c r="DF42" s="14">
        <f t="shared" si="86"/>
        <v>0.375</v>
      </c>
      <c r="DH42" s="14">
        <f>SUM(BQ$7:BQ42)</f>
        <v>35.749999999999993</v>
      </c>
      <c r="DI42" s="14">
        <f>SUM(BR$7:BR42)</f>
        <v>35.749999999999993</v>
      </c>
      <c r="DJ42" s="14">
        <f>SUM(BS$7:BS42)</f>
        <v>20.25</v>
      </c>
      <c r="DK42" s="14">
        <f>SUM(BT$7:BT42)</f>
        <v>36.25</v>
      </c>
      <c r="DL42" s="14">
        <f>SUM(BU$7:BU42)</f>
        <v>36.25</v>
      </c>
      <c r="DM42" s="14">
        <f>SUM(BV$7:BV42)</f>
        <v>20.625</v>
      </c>
      <c r="DN42" s="14">
        <f>SUM(BW$7:BW42)</f>
        <v>20.625</v>
      </c>
      <c r="DO42" s="14">
        <f>SUM(BX$7:BX42)</f>
        <v>13.75</v>
      </c>
      <c r="DP42" s="14">
        <f>SUM(BY$7:BY42)</f>
        <v>23.899000000000001</v>
      </c>
      <c r="DQ42" s="14">
        <f>SUM(BZ$7:BZ42)</f>
        <v>23.899000000000001</v>
      </c>
      <c r="DR42" s="14">
        <f>SUM(CA$7:CA42)</f>
        <v>12.828000000000003</v>
      </c>
      <c r="DS42" s="14">
        <f>SUM(CB$7:CB42)</f>
        <v>12.828000000000003</v>
      </c>
      <c r="DT42" s="14">
        <f>SUM(CC$7:CC42)</f>
        <v>6.0500000000000007</v>
      </c>
      <c r="DU42" s="14">
        <f>SUM(CD$7:CD42)</f>
        <v>2.7859999999999996</v>
      </c>
      <c r="DV42" s="14">
        <f>SUM(CE$7:CE42)</f>
        <v>28.899000000000001</v>
      </c>
      <c r="DW42" s="14">
        <f>SUM(CF$7:CF42)</f>
        <v>28.899000000000001</v>
      </c>
      <c r="DX42" s="14">
        <f>SUM(CG$7:CG42)</f>
        <v>15.453000000000003</v>
      </c>
      <c r="DY42" s="14">
        <f>SUM(CH$7:CH42)</f>
        <v>15.453000000000003</v>
      </c>
      <c r="DZ42" s="14">
        <f>SUM(CI$7:CI42)</f>
        <v>7.0500000000000007</v>
      </c>
      <c r="EA42" s="14">
        <f>SUM(CJ$7:CJ42)</f>
        <v>3.2740000000000009</v>
      </c>
      <c r="EB42" s="14">
        <f>SUM(CK$7:CK42)</f>
        <v>33.899000000000001</v>
      </c>
      <c r="EC42" s="14">
        <f>SUM(CL$7:CL42)</f>
        <v>33.899000000000001</v>
      </c>
      <c r="ED42" s="14">
        <f>SUM(CM$7:CM42)</f>
        <v>18.078000000000003</v>
      </c>
      <c r="EE42" s="14">
        <f>SUM(CN$7:CN42)</f>
        <v>18.078000000000003</v>
      </c>
      <c r="EF42" s="14">
        <f>SUM(CO$7:CO42)</f>
        <v>8.0500000000000007</v>
      </c>
      <c r="EG42" s="14">
        <f>SUM(CP$7:CP42)</f>
        <v>3.7760000000000016</v>
      </c>
      <c r="EH42" s="14">
        <f>SUM(CQ$7:CQ42)</f>
        <v>9.8320000000000007</v>
      </c>
      <c r="EI42" s="14">
        <f>SUM(CR$7:CR42)</f>
        <v>9.8320000000000007</v>
      </c>
      <c r="EJ42" s="14">
        <f>SUM(CS$7:CS42)</f>
        <v>9.8320000000000007</v>
      </c>
      <c r="EK42" s="14">
        <f>SUM(CT$7:CT42)</f>
        <v>3.5519999999999996</v>
      </c>
      <c r="EL42" s="14">
        <f>SUM(CU$7:CU42)</f>
        <v>3.5519999999999996</v>
      </c>
      <c r="EM42" s="14">
        <f>SUM(CV$7:CV42)</f>
        <v>3.5519999999999996</v>
      </c>
      <c r="EN42" s="14">
        <f>SUM(CW$7:CW42)</f>
        <v>2.25</v>
      </c>
      <c r="EO42" s="14">
        <f>SUM(CX$7:CX42)</f>
        <v>2.25</v>
      </c>
      <c r="EP42" s="14">
        <f>SUM(CY$7:CY42)</f>
        <v>6</v>
      </c>
      <c r="EQ42" s="14">
        <f>SUM(CZ$7:CZ42)</f>
        <v>6</v>
      </c>
      <c r="ER42" s="14">
        <f>SUM(DA$7:DA42)</f>
        <v>6</v>
      </c>
      <c r="ES42" s="14">
        <f>SUM(DB$7:DB42)</f>
        <v>2</v>
      </c>
      <c r="ET42" s="14">
        <f>SUM(DC$7:DC42)</f>
        <v>2</v>
      </c>
      <c r="EU42" s="14">
        <f>SUM(DD$7:DD42)</f>
        <v>2</v>
      </c>
      <c r="EV42" s="14">
        <f>SUM(DE$7:DE42)</f>
        <v>1.5</v>
      </c>
      <c r="EW42" s="14">
        <f>SUM(DF$7:DF42)</f>
        <v>1.5</v>
      </c>
      <c r="EZ42" s="14">
        <f t="shared" si="56"/>
        <v>9</v>
      </c>
      <c r="FA42" s="14">
        <f t="shared" si="87"/>
        <v>12</v>
      </c>
      <c r="FB42" s="14">
        <f t="shared" si="88"/>
        <v>12</v>
      </c>
      <c r="FC42" s="14">
        <f t="shared" si="89"/>
        <v>9</v>
      </c>
      <c r="FD42" s="14">
        <f t="shared" si="57"/>
        <v>7</v>
      </c>
      <c r="FE42" s="14">
        <f t="shared" si="90"/>
        <v>12</v>
      </c>
      <c r="FF42" s="14">
        <f t="shared" si="91"/>
        <v>12</v>
      </c>
      <c r="FG42" s="14">
        <f t="shared" si="92"/>
        <v>9</v>
      </c>
      <c r="FH42" s="14">
        <f t="shared" si="93"/>
        <v>9</v>
      </c>
      <c r="FI42" s="14">
        <f t="shared" si="94"/>
        <v>7</v>
      </c>
      <c r="FJ42" s="14">
        <f t="shared" si="58"/>
        <v>2</v>
      </c>
      <c r="FK42" s="14">
        <f t="shared" si="95"/>
        <v>10</v>
      </c>
      <c r="FL42" s="14">
        <f t="shared" si="96"/>
        <v>10</v>
      </c>
      <c r="FM42" s="14">
        <f t="shared" si="97"/>
        <v>7</v>
      </c>
      <c r="FN42" s="14">
        <f t="shared" si="98"/>
        <v>7</v>
      </c>
      <c r="FO42" s="14">
        <f t="shared" si="99"/>
        <v>4</v>
      </c>
      <c r="FP42" s="14">
        <f t="shared" si="100"/>
        <v>2</v>
      </c>
      <c r="FQ42" s="14">
        <f t="shared" si="59"/>
        <v>3</v>
      </c>
      <c r="FR42" s="14">
        <f t="shared" si="101"/>
        <v>11</v>
      </c>
      <c r="FS42" s="14">
        <f t="shared" si="102"/>
        <v>11</v>
      </c>
      <c r="FT42" s="14">
        <f t="shared" si="103"/>
        <v>8</v>
      </c>
      <c r="FU42" s="14">
        <f t="shared" si="104"/>
        <v>8</v>
      </c>
      <c r="FV42" s="14">
        <f t="shared" si="105"/>
        <v>5</v>
      </c>
      <c r="FW42" s="14">
        <f t="shared" si="106"/>
        <v>3</v>
      </c>
      <c r="FX42" s="14">
        <f t="shared" si="60"/>
        <v>3</v>
      </c>
      <c r="FY42" s="14">
        <f t="shared" si="107"/>
        <v>11</v>
      </c>
      <c r="FZ42" s="14">
        <f t="shared" si="108"/>
        <v>11</v>
      </c>
      <c r="GA42" s="14">
        <f t="shared" si="109"/>
        <v>9</v>
      </c>
      <c r="GB42" s="14">
        <f t="shared" si="110"/>
        <v>9</v>
      </c>
      <c r="GC42" s="14">
        <f t="shared" si="111"/>
        <v>5</v>
      </c>
      <c r="GD42" s="14">
        <f t="shared" si="112"/>
        <v>3</v>
      </c>
      <c r="GE42" s="14">
        <f t="shared" si="61"/>
        <v>2</v>
      </c>
      <c r="GF42" s="14">
        <f t="shared" si="113"/>
        <v>6</v>
      </c>
      <c r="GG42" s="14">
        <f t="shared" si="114"/>
        <v>6</v>
      </c>
      <c r="GH42" s="14">
        <f t="shared" si="115"/>
        <v>6</v>
      </c>
      <c r="GI42" s="14">
        <f t="shared" si="116"/>
        <v>3</v>
      </c>
      <c r="GJ42" s="14">
        <f t="shared" si="117"/>
        <v>3</v>
      </c>
      <c r="GK42" s="14">
        <f t="shared" si="118"/>
        <v>3</v>
      </c>
      <c r="GL42" s="14">
        <f t="shared" si="119"/>
        <v>2</v>
      </c>
      <c r="GM42" s="14">
        <f t="shared" si="120"/>
        <v>2</v>
      </c>
      <c r="GN42" s="14">
        <f t="shared" si="62"/>
        <v>1</v>
      </c>
      <c r="GO42" s="14">
        <f t="shared" si="121"/>
        <v>4</v>
      </c>
      <c r="GP42" s="14">
        <f t="shared" si="122"/>
        <v>4</v>
      </c>
      <c r="GQ42" s="14">
        <f t="shared" si="123"/>
        <v>4</v>
      </c>
      <c r="GR42" s="14">
        <f t="shared" si="124"/>
        <v>2</v>
      </c>
      <c r="GS42" s="14">
        <f t="shared" si="125"/>
        <v>2</v>
      </c>
      <c r="GT42" s="14">
        <f t="shared" si="126"/>
        <v>2</v>
      </c>
      <c r="GU42" s="14">
        <f t="shared" si="127"/>
        <v>1</v>
      </c>
      <c r="GV42" s="14">
        <f t="shared" si="128"/>
        <v>1</v>
      </c>
      <c r="GY42" s="91">
        <v>36</v>
      </c>
      <c r="GZ42" s="14">
        <f t="shared" si="63"/>
        <v>3</v>
      </c>
      <c r="HA42" s="14">
        <f t="shared" si="64"/>
        <v>1</v>
      </c>
      <c r="HB42" s="14">
        <f t="shared" si="65"/>
        <v>2</v>
      </c>
      <c r="HC42" s="14">
        <f t="shared" si="66"/>
        <v>0.47099999999999997</v>
      </c>
      <c r="HD42" s="14">
        <f t="shared" si="67"/>
        <v>1606005</v>
      </c>
      <c r="HE42" s="14" t="str">
        <f t="shared" si="68"/>
        <v>神器1-3 : 6级</v>
      </c>
      <c r="HF42" s="14" t="s">
        <v>800</v>
      </c>
      <c r="HG42" s="14">
        <f t="shared" si="69"/>
        <v>6</v>
      </c>
      <c r="HH42" s="14" t="str">
        <f t="shared" si="70"/>
        <v>神器1-3</v>
      </c>
      <c r="HI42" s="14">
        <f t="shared" si="71"/>
        <v>2</v>
      </c>
      <c r="HJ42" s="14" t="s">
        <v>1595</v>
      </c>
      <c r="HK42" s="14">
        <f t="shared" si="72"/>
        <v>5650</v>
      </c>
    </row>
    <row r="43" spans="14:219" ht="16.5" x14ac:dyDescent="0.2">
      <c r="N43" s="90">
        <v>7</v>
      </c>
      <c r="O43" s="90">
        <v>2</v>
      </c>
      <c r="P43" s="90">
        <v>2</v>
      </c>
      <c r="Q43" s="90">
        <v>21</v>
      </c>
      <c r="R43" s="14">
        <f>SUM(Q$7:Q43)</f>
        <v>654</v>
      </c>
      <c r="S43" s="91">
        <v>1606038</v>
      </c>
      <c r="T43" s="14" t="str">
        <f t="shared" si="73"/>
        <v>神器7-2</v>
      </c>
      <c r="AF43" s="87">
        <v>37</v>
      </c>
      <c r="AG43" s="87">
        <v>7</v>
      </c>
      <c r="AH43" s="87">
        <v>3</v>
      </c>
      <c r="AI43" s="200">
        <v>1606039</v>
      </c>
      <c r="AJ43" s="87" t="str">
        <f t="shared" si="47"/>
        <v>神器7-3</v>
      </c>
      <c r="AK43" s="87">
        <v>2</v>
      </c>
      <c r="AL43" s="87">
        <f t="shared" si="48"/>
        <v>150</v>
      </c>
      <c r="AO43" s="87">
        <v>3</v>
      </c>
      <c r="AP43" s="87">
        <v>2</v>
      </c>
      <c r="AQ43" s="87">
        <v>13</v>
      </c>
      <c r="AR43" s="144">
        <f t="shared" si="49"/>
        <v>4413</v>
      </c>
      <c r="AS43" s="144" t="s">
        <v>1214</v>
      </c>
      <c r="AT43" s="144" t="str">
        <f t="shared" si="50"/>
        <v>神器本-3-困难-1  神器2-4</v>
      </c>
      <c r="AU43" s="87">
        <v>7</v>
      </c>
      <c r="AV43" s="87" t="s">
        <v>313</v>
      </c>
      <c r="AW43" s="87">
        <v>1000</v>
      </c>
      <c r="AX43" s="87">
        <v>1</v>
      </c>
      <c r="AY43" s="87">
        <v>1</v>
      </c>
      <c r="AZ43" s="87">
        <f t="shared" si="51"/>
        <v>2</v>
      </c>
      <c r="BA43" s="14">
        <f t="shared" si="52"/>
        <v>0.1</v>
      </c>
      <c r="BB43" s="14">
        <f t="shared" si="53"/>
        <v>4.5</v>
      </c>
      <c r="BL43" s="87">
        <v>37</v>
      </c>
      <c r="BM43" s="14">
        <f>INDEX(节奏总表!$CK$4:$CK$63,新神器!BL43)</f>
        <v>128</v>
      </c>
      <c r="BN43" s="14">
        <f t="shared" si="55"/>
        <v>7</v>
      </c>
      <c r="BO43" s="87">
        <v>3</v>
      </c>
      <c r="BP43" s="87">
        <v>5</v>
      </c>
      <c r="BQ43" s="14">
        <f t="shared" si="83"/>
        <v>0</v>
      </c>
      <c r="BR43" s="14">
        <f t="shared" si="83"/>
        <v>0</v>
      </c>
      <c r="BS43" s="14">
        <f t="shared" si="83"/>
        <v>0</v>
      </c>
      <c r="BT43" s="14">
        <f t="shared" si="83"/>
        <v>0</v>
      </c>
      <c r="BU43" s="14">
        <f t="shared" si="83"/>
        <v>0</v>
      </c>
      <c r="BV43" s="14">
        <f t="shared" si="83"/>
        <v>0</v>
      </c>
      <c r="BW43" s="14">
        <f t="shared" si="83"/>
        <v>0</v>
      </c>
      <c r="BX43" s="14">
        <f t="shared" si="83"/>
        <v>0</v>
      </c>
      <c r="BY43" s="14">
        <f t="shared" si="83"/>
        <v>0.35000000000000003</v>
      </c>
      <c r="BZ43" s="14">
        <f t="shared" si="83"/>
        <v>0.35000000000000003</v>
      </c>
      <c r="CA43" s="14">
        <f t="shared" si="84"/>
        <v>0.20699999999999999</v>
      </c>
      <c r="CB43" s="14">
        <f t="shared" si="84"/>
        <v>0.20699999999999999</v>
      </c>
      <c r="CC43" s="14">
        <f t="shared" si="84"/>
        <v>0.13750000000000001</v>
      </c>
      <c r="CD43" s="14">
        <f t="shared" si="84"/>
        <v>6.9000000000000006E-2</v>
      </c>
      <c r="CE43" s="14">
        <f t="shared" si="84"/>
        <v>0.35000000000000003</v>
      </c>
      <c r="CF43" s="14">
        <f t="shared" si="84"/>
        <v>0.35000000000000003</v>
      </c>
      <c r="CG43" s="14">
        <f t="shared" si="84"/>
        <v>0.20699999999999999</v>
      </c>
      <c r="CH43" s="14">
        <f t="shared" si="84"/>
        <v>0.20699999999999999</v>
      </c>
      <c r="CI43" s="14">
        <f t="shared" si="84"/>
        <v>0.13750000000000001</v>
      </c>
      <c r="CJ43" s="14">
        <f t="shared" si="84"/>
        <v>6.9000000000000006E-2</v>
      </c>
      <c r="CK43" s="14">
        <f t="shared" si="85"/>
        <v>0.35000000000000003</v>
      </c>
      <c r="CL43" s="14">
        <f t="shared" si="85"/>
        <v>0.35000000000000003</v>
      </c>
      <c r="CM43" s="14">
        <f t="shared" si="85"/>
        <v>0.20699999999999999</v>
      </c>
      <c r="CN43" s="14">
        <f t="shared" si="85"/>
        <v>0.20699999999999999</v>
      </c>
      <c r="CO43" s="14">
        <f t="shared" si="85"/>
        <v>0.13750000000000001</v>
      </c>
      <c r="CP43" s="14">
        <f t="shared" si="85"/>
        <v>6.9499999999999992E-2</v>
      </c>
      <c r="CQ43" s="14">
        <f t="shared" si="85"/>
        <v>0.20799999999999999</v>
      </c>
      <c r="CR43" s="14">
        <f t="shared" si="85"/>
        <v>0.20799999999999999</v>
      </c>
      <c r="CS43" s="14">
        <f t="shared" si="85"/>
        <v>0.20799999999999999</v>
      </c>
      <c r="CT43" s="14">
        <f t="shared" si="85"/>
        <v>0.13800000000000001</v>
      </c>
      <c r="CU43" s="14">
        <f t="shared" si="86"/>
        <v>0.13800000000000001</v>
      </c>
      <c r="CV43" s="14">
        <f t="shared" si="86"/>
        <v>0.13800000000000001</v>
      </c>
      <c r="CW43" s="14">
        <f t="shared" si="86"/>
        <v>0</v>
      </c>
      <c r="CX43" s="14">
        <f t="shared" si="86"/>
        <v>0</v>
      </c>
      <c r="CY43" s="14">
        <f t="shared" si="86"/>
        <v>1.5</v>
      </c>
      <c r="CZ43" s="14">
        <f t="shared" si="86"/>
        <v>1.5</v>
      </c>
      <c r="DA43" s="14">
        <f t="shared" si="86"/>
        <v>1.5</v>
      </c>
      <c r="DB43" s="14">
        <f t="shared" si="86"/>
        <v>0.5</v>
      </c>
      <c r="DC43" s="14">
        <f t="shared" si="86"/>
        <v>0.5</v>
      </c>
      <c r="DD43" s="14">
        <f t="shared" si="86"/>
        <v>0.5</v>
      </c>
      <c r="DE43" s="14">
        <f t="shared" si="86"/>
        <v>0.375</v>
      </c>
      <c r="DF43" s="14">
        <f t="shared" si="86"/>
        <v>0.375</v>
      </c>
      <c r="DH43" s="14">
        <f>SUM(BQ$7:BQ43)</f>
        <v>35.749999999999993</v>
      </c>
      <c r="DI43" s="14">
        <f>SUM(BR$7:BR43)</f>
        <v>35.749999999999993</v>
      </c>
      <c r="DJ43" s="14">
        <f>SUM(BS$7:BS43)</f>
        <v>20.25</v>
      </c>
      <c r="DK43" s="14">
        <f>SUM(BT$7:BT43)</f>
        <v>36.25</v>
      </c>
      <c r="DL43" s="14">
        <f>SUM(BU$7:BU43)</f>
        <v>36.25</v>
      </c>
      <c r="DM43" s="14">
        <f>SUM(BV$7:BV43)</f>
        <v>20.625</v>
      </c>
      <c r="DN43" s="14">
        <f>SUM(BW$7:BW43)</f>
        <v>20.625</v>
      </c>
      <c r="DO43" s="14">
        <f>SUM(BX$7:BX43)</f>
        <v>13.75</v>
      </c>
      <c r="DP43" s="14">
        <f>SUM(BY$7:BY43)</f>
        <v>24.249000000000002</v>
      </c>
      <c r="DQ43" s="14">
        <f>SUM(BZ$7:BZ43)</f>
        <v>24.249000000000002</v>
      </c>
      <c r="DR43" s="14">
        <f>SUM(CA$7:CA43)</f>
        <v>13.035000000000004</v>
      </c>
      <c r="DS43" s="14">
        <f>SUM(CB$7:CB43)</f>
        <v>13.035000000000004</v>
      </c>
      <c r="DT43" s="14">
        <f>SUM(CC$7:CC43)</f>
        <v>6.1875000000000009</v>
      </c>
      <c r="DU43" s="14">
        <f>SUM(CD$7:CD43)</f>
        <v>2.8549999999999995</v>
      </c>
      <c r="DV43" s="14">
        <f>SUM(CE$7:CE43)</f>
        <v>29.249000000000002</v>
      </c>
      <c r="DW43" s="14">
        <f>SUM(CF$7:CF43)</f>
        <v>29.249000000000002</v>
      </c>
      <c r="DX43" s="14">
        <f>SUM(CG$7:CG43)</f>
        <v>15.660000000000004</v>
      </c>
      <c r="DY43" s="14">
        <f>SUM(CH$7:CH43)</f>
        <v>15.660000000000004</v>
      </c>
      <c r="DZ43" s="14">
        <f>SUM(CI$7:CI43)</f>
        <v>7.1875000000000009</v>
      </c>
      <c r="EA43" s="14">
        <f>SUM(CJ$7:CJ43)</f>
        <v>3.3430000000000009</v>
      </c>
      <c r="EB43" s="14">
        <f>SUM(CK$7:CK43)</f>
        <v>34.249000000000002</v>
      </c>
      <c r="EC43" s="14">
        <f>SUM(CL$7:CL43)</f>
        <v>34.249000000000002</v>
      </c>
      <c r="ED43" s="14">
        <f>SUM(CM$7:CM43)</f>
        <v>18.285000000000004</v>
      </c>
      <c r="EE43" s="14">
        <f>SUM(CN$7:CN43)</f>
        <v>18.285000000000004</v>
      </c>
      <c r="EF43" s="14">
        <f>SUM(CO$7:CO43)</f>
        <v>8.1875</v>
      </c>
      <c r="EG43" s="14">
        <f>SUM(CP$7:CP43)</f>
        <v>3.8455000000000017</v>
      </c>
      <c r="EH43" s="14">
        <f>SUM(CQ$7:CQ43)</f>
        <v>10.040000000000001</v>
      </c>
      <c r="EI43" s="14">
        <f>SUM(CR$7:CR43)</f>
        <v>10.040000000000001</v>
      </c>
      <c r="EJ43" s="14">
        <f>SUM(CS$7:CS43)</f>
        <v>10.040000000000001</v>
      </c>
      <c r="EK43" s="14">
        <f>SUM(CT$7:CT43)</f>
        <v>3.6899999999999995</v>
      </c>
      <c r="EL43" s="14">
        <f>SUM(CU$7:CU43)</f>
        <v>3.6899999999999995</v>
      </c>
      <c r="EM43" s="14">
        <f>SUM(CV$7:CV43)</f>
        <v>3.6899999999999995</v>
      </c>
      <c r="EN43" s="14">
        <f>SUM(CW$7:CW43)</f>
        <v>2.25</v>
      </c>
      <c r="EO43" s="14">
        <f>SUM(CX$7:CX43)</f>
        <v>2.25</v>
      </c>
      <c r="EP43" s="14">
        <f>SUM(CY$7:CY43)</f>
        <v>7.5</v>
      </c>
      <c r="EQ43" s="14">
        <f>SUM(CZ$7:CZ43)</f>
        <v>7.5</v>
      </c>
      <c r="ER43" s="14">
        <f>SUM(DA$7:DA43)</f>
        <v>7.5</v>
      </c>
      <c r="ES43" s="14">
        <f>SUM(DB$7:DB43)</f>
        <v>2.5</v>
      </c>
      <c r="ET43" s="14">
        <f>SUM(DC$7:DC43)</f>
        <v>2.5</v>
      </c>
      <c r="EU43" s="14">
        <f>SUM(DD$7:DD43)</f>
        <v>2.5</v>
      </c>
      <c r="EV43" s="14">
        <f>SUM(DE$7:DE43)</f>
        <v>1.875</v>
      </c>
      <c r="EW43" s="14">
        <f>SUM(DF$7:DF43)</f>
        <v>1.875</v>
      </c>
      <c r="EZ43" s="14">
        <f t="shared" si="56"/>
        <v>9</v>
      </c>
      <c r="FA43" s="14">
        <f t="shared" si="87"/>
        <v>12</v>
      </c>
      <c r="FB43" s="14">
        <f t="shared" si="88"/>
        <v>12</v>
      </c>
      <c r="FC43" s="14">
        <f t="shared" si="89"/>
        <v>9</v>
      </c>
      <c r="FD43" s="14">
        <f t="shared" si="57"/>
        <v>7</v>
      </c>
      <c r="FE43" s="14">
        <f t="shared" si="90"/>
        <v>12</v>
      </c>
      <c r="FF43" s="14">
        <f t="shared" si="91"/>
        <v>12</v>
      </c>
      <c r="FG43" s="14">
        <f t="shared" si="92"/>
        <v>9</v>
      </c>
      <c r="FH43" s="14">
        <f t="shared" si="93"/>
        <v>9</v>
      </c>
      <c r="FI43" s="14">
        <f t="shared" si="94"/>
        <v>7</v>
      </c>
      <c r="FJ43" s="14">
        <f t="shared" si="58"/>
        <v>2</v>
      </c>
      <c r="FK43" s="14">
        <f t="shared" si="95"/>
        <v>10</v>
      </c>
      <c r="FL43" s="14">
        <f t="shared" si="96"/>
        <v>10</v>
      </c>
      <c r="FM43" s="14">
        <f t="shared" si="97"/>
        <v>7</v>
      </c>
      <c r="FN43" s="14">
        <f t="shared" si="98"/>
        <v>7</v>
      </c>
      <c r="FO43" s="14">
        <f t="shared" si="99"/>
        <v>4</v>
      </c>
      <c r="FP43" s="14">
        <f t="shared" si="100"/>
        <v>2</v>
      </c>
      <c r="FQ43" s="14">
        <f t="shared" si="59"/>
        <v>3</v>
      </c>
      <c r="FR43" s="14">
        <f t="shared" si="101"/>
        <v>11</v>
      </c>
      <c r="FS43" s="14">
        <f t="shared" si="102"/>
        <v>11</v>
      </c>
      <c r="FT43" s="14">
        <f t="shared" si="103"/>
        <v>8</v>
      </c>
      <c r="FU43" s="14">
        <f t="shared" si="104"/>
        <v>8</v>
      </c>
      <c r="FV43" s="14">
        <f t="shared" si="105"/>
        <v>5</v>
      </c>
      <c r="FW43" s="14">
        <f t="shared" si="106"/>
        <v>3</v>
      </c>
      <c r="FX43" s="14">
        <f t="shared" si="60"/>
        <v>3</v>
      </c>
      <c r="FY43" s="14">
        <f t="shared" si="107"/>
        <v>12</v>
      </c>
      <c r="FZ43" s="14">
        <f t="shared" si="108"/>
        <v>12</v>
      </c>
      <c r="GA43" s="14">
        <f t="shared" si="109"/>
        <v>9</v>
      </c>
      <c r="GB43" s="14">
        <f t="shared" si="110"/>
        <v>9</v>
      </c>
      <c r="GC43" s="14">
        <f t="shared" si="111"/>
        <v>5</v>
      </c>
      <c r="GD43" s="14">
        <f t="shared" si="112"/>
        <v>3</v>
      </c>
      <c r="GE43" s="14">
        <f t="shared" si="61"/>
        <v>2</v>
      </c>
      <c r="GF43" s="14">
        <f t="shared" si="113"/>
        <v>6</v>
      </c>
      <c r="GG43" s="14">
        <f t="shared" si="114"/>
        <v>6</v>
      </c>
      <c r="GH43" s="14">
        <f t="shared" si="115"/>
        <v>6</v>
      </c>
      <c r="GI43" s="14">
        <f t="shared" si="116"/>
        <v>3</v>
      </c>
      <c r="GJ43" s="14">
        <f t="shared" si="117"/>
        <v>3</v>
      </c>
      <c r="GK43" s="14">
        <f t="shared" si="118"/>
        <v>3</v>
      </c>
      <c r="GL43" s="14">
        <f t="shared" si="119"/>
        <v>2</v>
      </c>
      <c r="GM43" s="14">
        <f t="shared" si="120"/>
        <v>2</v>
      </c>
      <c r="GN43" s="14">
        <f t="shared" si="62"/>
        <v>1</v>
      </c>
      <c r="GO43" s="14">
        <f t="shared" si="121"/>
        <v>5</v>
      </c>
      <c r="GP43" s="14">
        <f t="shared" si="122"/>
        <v>5</v>
      </c>
      <c r="GQ43" s="14">
        <f t="shared" si="123"/>
        <v>5</v>
      </c>
      <c r="GR43" s="14">
        <f t="shared" si="124"/>
        <v>2</v>
      </c>
      <c r="GS43" s="14">
        <f t="shared" si="125"/>
        <v>2</v>
      </c>
      <c r="GT43" s="14">
        <f t="shared" si="126"/>
        <v>2</v>
      </c>
      <c r="GU43" s="14">
        <f t="shared" si="127"/>
        <v>1</v>
      </c>
      <c r="GV43" s="14">
        <f t="shared" si="128"/>
        <v>1</v>
      </c>
      <c r="GY43" s="91">
        <v>37</v>
      </c>
      <c r="GZ43" s="14">
        <f t="shared" si="63"/>
        <v>3</v>
      </c>
      <c r="HA43" s="14">
        <f t="shared" si="64"/>
        <v>1</v>
      </c>
      <c r="HB43" s="14">
        <f t="shared" si="65"/>
        <v>2</v>
      </c>
      <c r="HC43" s="14">
        <f t="shared" si="66"/>
        <v>0.48399999999999999</v>
      </c>
      <c r="HD43" s="14">
        <f t="shared" si="67"/>
        <v>1606005</v>
      </c>
      <c r="HE43" s="14" t="str">
        <f t="shared" si="68"/>
        <v>神器1-3 : 7级</v>
      </c>
      <c r="HF43" s="14" t="s">
        <v>800</v>
      </c>
      <c r="HG43" s="14">
        <f t="shared" si="69"/>
        <v>7</v>
      </c>
      <c r="HH43" s="14" t="str">
        <f t="shared" si="70"/>
        <v>神器1-3</v>
      </c>
      <c r="HI43" s="14">
        <f t="shared" si="71"/>
        <v>3</v>
      </c>
      <c r="HJ43" s="14" t="s">
        <v>1595</v>
      </c>
      <c r="HK43" s="14">
        <f t="shared" si="72"/>
        <v>5800</v>
      </c>
    </row>
    <row r="44" spans="14:219" ht="16.5" x14ac:dyDescent="0.2">
      <c r="N44" s="90">
        <v>7</v>
      </c>
      <c r="O44" s="90">
        <v>3</v>
      </c>
      <c r="P44" s="90">
        <v>2</v>
      </c>
      <c r="Q44" s="90">
        <v>21</v>
      </c>
      <c r="R44" s="14">
        <f>SUM(Q$7:Q44)</f>
        <v>675</v>
      </c>
      <c r="S44" s="91">
        <v>1606039</v>
      </c>
      <c r="T44" s="14" t="str">
        <f t="shared" si="73"/>
        <v>神器7-3</v>
      </c>
      <c r="AF44" s="87">
        <v>38</v>
      </c>
      <c r="AG44" s="87">
        <v>7</v>
      </c>
      <c r="AH44" s="87">
        <v>4</v>
      </c>
      <c r="AI44" s="200">
        <v>1606040</v>
      </c>
      <c r="AJ44" s="87" t="str">
        <f t="shared" si="47"/>
        <v>神器7-4</v>
      </c>
      <c r="AK44" s="87">
        <v>3</v>
      </c>
      <c r="AL44" s="87">
        <f t="shared" si="48"/>
        <v>350</v>
      </c>
      <c r="AO44" s="87">
        <v>3</v>
      </c>
      <c r="AP44" s="87">
        <v>2</v>
      </c>
      <c r="AQ44" s="87">
        <v>13</v>
      </c>
      <c r="AR44" s="144">
        <f t="shared" si="49"/>
        <v>4413</v>
      </c>
      <c r="AS44" s="144" t="s">
        <v>1214</v>
      </c>
      <c r="AT44" s="144" t="str">
        <f t="shared" si="50"/>
        <v>神器本-3-困难-1  神器2-5</v>
      </c>
      <c r="AU44" s="87">
        <v>8</v>
      </c>
      <c r="AV44" s="87" t="s">
        <v>314</v>
      </c>
      <c r="AW44" s="87">
        <v>1000</v>
      </c>
      <c r="AX44" s="87">
        <v>1</v>
      </c>
      <c r="AY44" s="87">
        <v>1</v>
      </c>
      <c r="AZ44" s="87">
        <f t="shared" si="51"/>
        <v>3</v>
      </c>
      <c r="BA44" s="14">
        <f t="shared" si="52"/>
        <v>0.1</v>
      </c>
      <c r="BB44" s="14">
        <f t="shared" si="53"/>
        <v>10.5</v>
      </c>
      <c r="BL44" s="87">
        <v>38</v>
      </c>
      <c r="BM44" s="14">
        <f>INDEX(节奏总表!$CK$4:$CK$63,新神器!BL44)</f>
        <v>130</v>
      </c>
      <c r="BN44" s="14">
        <f t="shared" si="55"/>
        <v>7</v>
      </c>
      <c r="BO44" s="87">
        <v>3</v>
      </c>
      <c r="BP44" s="87">
        <v>5</v>
      </c>
      <c r="BQ44" s="14">
        <f t="shared" si="83"/>
        <v>0</v>
      </c>
      <c r="BR44" s="14">
        <f t="shared" si="83"/>
        <v>0</v>
      </c>
      <c r="BS44" s="14">
        <f t="shared" si="83"/>
        <v>0</v>
      </c>
      <c r="BT44" s="14">
        <f t="shared" si="83"/>
        <v>0</v>
      </c>
      <c r="BU44" s="14">
        <f t="shared" si="83"/>
        <v>0</v>
      </c>
      <c r="BV44" s="14">
        <f t="shared" si="83"/>
        <v>0</v>
      </c>
      <c r="BW44" s="14">
        <f t="shared" si="83"/>
        <v>0</v>
      </c>
      <c r="BX44" s="14">
        <f t="shared" si="83"/>
        <v>0</v>
      </c>
      <c r="BY44" s="14">
        <f t="shared" si="83"/>
        <v>0.35000000000000003</v>
      </c>
      <c r="BZ44" s="14">
        <f t="shared" si="83"/>
        <v>0.35000000000000003</v>
      </c>
      <c r="CA44" s="14">
        <f t="shared" si="84"/>
        <v>0.20699999999999999</v>
      </c>
      <c r="CB44" s="14">
        <f t="shared" si="84"/>
        <v>0.20699999999999999</v>
      </c>
      <c r="CC44" s="14">
        <f t="shared" si="84"/>
        <v>0.13750000000000001</v>
      </c>
      <c r="CD44" s="14">
        <f t="shared" si="84"/>
        <v>6.9000000000000006E-2</v>
      </c>
      <c r="CE44" s="14">
        <f t="shared" si="84"/>
        <v>0.35000000000000003</v>
      </c>
      <c r="CF44" s="14">
        <f t="shared" si="84"/>
        <v>0.35000000000000003</v>
      </c>
      <c r="CG44" s="14">
        <f t="shared" si="84"/>
        <v>0.20699999999999999</v>
      </c>
      <c r="CH44" s="14">
        <f t="shared" si="84"/>
        <v>0.20699999999999999</v>
      </c>
      <c r="CI44" s="14">
        <f t="shared" si="84"/>
        <v>0.13750000000000001</v>
      </c>
      <c r="CJ44" s="14">
        <f t="shared" si="84"/>
        <v>6.9000000000000006E-2</v>
      </c>
      <c r="CK44" s="14">
        <f t="shared" si="85"/>
        <v>0.35000000000000003</v>
      </c>
      <c r="CL44" s="14">
        <f t="shared" si="85"/>
        <v>0.35000000000000003</v>
      </c>
      <c r="CM44" s="14">
        <f t="shared" si="85"/>
        <v>0.20699999999999999</v>
      </c>
      <c r="CN44" s="14">
        <f t="shared" si="85"/>
        <v>0.20699999999999999</v>
      </c>
      <c r="CO44" s="14">
        <f t="shared" si="85"/>
        <v>0.13750000000000001</v>
      </c>
      <c r="CP44" s="14">
        <f t="shared" si="85"/>
        <v>6.9499999999999992E-2</v>
      </c>
      <c r="CQ44" s="14">
        <f t="shared" si="85"/>
        <v>0.20799999999999999</v>
      </c>
      <c r="CR44" s="14">
        <f t="shared" si="85"/>
        <v>0.20799999999999999</v>
      </c>
      <c r="CS44" s="14">
        <f t="shared" si="85"/>
        <v>0.20799999999999999</v>
      </c>
      <c r="CT44" s="14">
        <f t="shared" si="85"/>
        <v>0.13800000000000001</v>
      </c>
      <c r="CU44" s="14">
        <f t="shared" si="86"/>
        <v>0.13800000000000001</v>
      </c>
      <c r="CV44" s="14">
        <f t="shared" si="86"/>
        <v>0.13800000000000001</v>
      </c>
      <c r="CW44" s="14">
        <f t="shared" si="86"/>
        <v>0</v>
      </c>
      <c r="CX44" s="14">
        <f t="shared" si="86"/>
        <v>0</v>
      </c>
      <c r="CY44" s="14">
        <f t="shared" si="86"/>
        <v>1.5</v>
      </c>
      <c r="CZ44" s="14">
        <f t="shared" si="86"/>
        <v>1.5</v>
      </c>
      <c r="DA44" s="14">
        <f t="shared" si="86"/>
        <v>1.5</v>
      </c>
      <c r="DB44" s="14">
        <f t="shared" si="86"/>
        <v>0.5</v>
      </c>
      <c r="DC44" s="14">
        <f t="shared" si="86"/>
        <v>0.5</v>
      </c>
      <c r="DD44" s="14">
        <f t="shared" si="86"/>
        <v>0.5</v>
      </c>
      <c r="DE44" s="14">
        <f t="shared" si="86"/>
        <v>0.375</v>
      </c>
      <c r="DF44" s="14">
        <f t="shared" si="86"/>
        <v>0.375</v>
      </c>
      <c r="DH44" s="14">
        <f>SUM(BQ$7:BQ44)</f>
        <v>35.749999999999993</v>
      </c>
      <c r="DI44" s="14">
        <f>SUM(BR$7:BR44)</f>
        <v>35.749999999999993</v>
      </c>
      <c r="DJ44" s="14">
        <f>SUM(BS$7:BS44)</f>
        <v>20.25</v>
      </c>
      <c r="DK44" s="14">
        <f>SUM(BT$7:BT44)</f>
        <v>36.25</v>
      </c>
      <c r="DL44" s="14">
        <f>SUM(BU$7:BU44)</f>
        <v>36.25</v>
      </c>
      <c r="DM44" s="14">
        <f>SUM(BV$7:BV44)</f>
        <v>20.625</v>
      </c>
      <c r="DN44" s="14">
        <f>SUM(BW$7:BW44)</f>
        <v>20.625</v>
      </c>
      <c r="DO44" s="14">
        <f>SUM(BX$7:BX44)</f>
        <v>13.75</v>
      </c>
      <c r="DP44" s="14">
        <f>SUM(BY$7:BY44)</f>
        <v>24.599000000000004</v>
      </c>
      <c r="DQ44" s="14">
        <f>SUM(BZ$7:BZ44)</f>
        <v>24.599000000000004</v>
      </c>
      <c r="DR44" s="14">
        <f>SUM(CA$7:CA44)</f>
        <v>13.242000000000004</v>
      </c>
      <c r="DS44" s="14">
        <f>SUM(CB$7:CB44)</f>
        <v>13.242000000000004</v>
      </c>
      <c r="DT44" s="14">
        <f>SUM(CC$7:CC44)</f>
        <v>6.3250000000000011</v>
      </c>
      <c r="DU44" s="14">
        <f>SUM(CD$7:CD44)</f>
        <v>2.9239999999999995</v>
      </c>
      <c r="DV44" s="14">
        <f>SUM(CE$7:CE44)</f>
        <v>29.599000000000004</v>
      </c>
      <c r="DW44" s="14">
        <f>SUM(CF$7:CF44)</f>
        <v>29.599000000000004</v>
      </c>
      <c r="DX44" s="14">
        <f>SUM(CG$7:CG44)</f>
        <v>15.867000000000004</v>
      </c>
      <c r="DY44" s="14">
        <f>SUM(CH$7:CH44)</f>
        <v>15.867000000000004</v>
      </c>
      <c r="DZ44" s="14">
        <f>SUM(CI$7:CI44)</f>
        <v>7.3250000000000011</v>
      </c>
      <c r="EA44" s="14">
        <f>SUM(CJ$7:CJ44)</f>
        <v>3.4120000000000008</v>
      </c>
      <c r="EB44" s="14">
        <f>SUM(CK$7:CK44)</f>
        <v>34.599000000000004</v>
      </c>
      <c r="EC44" s="14">
        <f>SUM(CL$7:CL44)</f>
        <v>34.599000000000004</v>
      </c>
      <c r="ED44" s="14">
        <f>SUM(CM$7:CM44)</f>
        <v>18.492000000000004</v>
      </c>
      <c r="EE44" s="14">
        <f>SUM(CN$7:CN44)</f>
        <v>18.492000000000004</v>
      </c>
      <c r="EF44" s="14">
        <f>SUM(CO$7:CO44)</f>
        <v>8.3249999999999993</v>
      </c>
      <c r="EG44" s="14">
        <f>SUM(CP$7:CP44)</f>
        <v>3.9150000000000018</v>
      </c>
      <c r="EH44" s="14">
        <f>SUM(CQ$7:CQ44)</f>
        <v>10.248000000000001</v>
      </c>
      <c r="EI44" s="14">
        <f>SUM(CR$7:CR44)</f>
        <v>10.248000000000001</v>
      </c>
      <c r="EJ44" s="14">
        <f>SUM(CS$7:CS44)</f>
        <v>10.248000000000001</v>
      </c>
      <c r="EK44" s="14">
        <f>SUM(CT$7:CT44)</f>
        <v>3.8279999999999994</v>
      </c>
      <c r="EL44" s="14">
        <f>SUM(CU$7:CU44)</f>
        <v>3.8279999999999994</v>
      </c>
      <c r="EM44" s="14">
        <f>SUM(CV$7:CV44)</f>
        <v>3.8279999999999994</v>
      </c>
      <c r="EN44" s="14">
        <f>SUM(CW$7:CW44)</f>
        <v>2.25</v>
      </c>
      <c r="EO44" s="14">
        <f>SUM(CX$7:CX44)</f>
        <v>2.25</v>
      </c>
      <c r="EP44" s="14">
        <f>SUM(CY$7:CY44)</f>
        <v>9</v>
      </c>
      <c r="EQ44" s="14">
        <f>SUM(CZ$7:CZ44)</f>
        <v>9</v>
      </c>
      <c r="ER44" s="14">
        <f>SUM(DA$7:DA44)</f>
        <v>9</v>
      </c>
      <c r="ES44" s="14">
        <f>SUM(DB$7:DB44)</f>
        <v>3</v>
      </c>
      <c r="ET44" s="14">
        <f>SUM(DC$7:DC44)</f>
        <v>3</v>
      </c>
      <c r="EU44" s="14">
        <f>SUM(DD$7:DD44)</f>
        <v>3</v>
      </c>
      <c r="EV44" s="14">
        <f>SUM(DE$7:DE44)</f>
        <v>2.25</v>
      </c>
      <c r="EW44" s="14">
        <f>SUM(DF$7:DF44)</f>
        <v>2.25</v>
      </c>
      <c r="EZ44" s="14">
        <f t="shared" si="56"/>
        <v>9</v>
      </c>
      <c r="FA44" s="14">
        <f t="shared" si="87"/>
        <v>12</v>
      </c>
      <c r="FB44" s="14">
        <f t="shared" si="88"/>
        <v>12</v>
      </c>
      <c r="FC44" s="14">
        <f t="shared" si="89"/>
        <v>9</v>
      </c>
      <c r="FD44" s="14">
        <f t="shared" si="57"/>
        <v>7</v>
      </c>
      <c r="FE44" s="14">
        <f t="shared" si="90"/>
        <v>12</v>
      </c>
      <c r="FF44" s="14">
        <f t="shared" si="91"/>
        <v>12</v>
      </c>
      <c r="FG44" s="14">
        <f t="shared" si="92"/>
        <v>9</v>
      </c>
      <c r="FH44" s="14">
        <f t="shared" si="93"/>
        <v>9</v>
      </c>
      <c r="FI44" s="14">
        <f t="shared" si="94"/>
        <v>7</v>
      </c>
      <c r="FJ44" s="14">
        <f t="shared" si="58"/>
        <v>2</v>
      </c>
      <c r="FK44" s="14">
        <f t="shared" si="95"/>
        <v>10</v>
      </c>
      <c r="FL44" s="14">
        <f t="shared" si="96"/>
        <v>10</v>
      </c>
      <c r="FM44" s="14">
        <f t="shared" si="97"/>
        <v>7</v>
      </c>
      <c r="FN44" s="14">
        <f t="shared" si="98"/>
        <v>7</v>
      </c>
      <c r="FO44" s="14">
        <f t="shared" si="99"/>
        <v>4</v>
      </c>
      <c r="FP44" s="14">
        <f t="shared" si="100"/>
        <v>2</v>
      </c>
      <c r="FQ44" s="14">
        <f t="shared" si="59"/>
        <v>3</v>
      </c>
      <c r="FR44" s="14">
        <f t="shared" si="101"/>
        <v>11</v>
      </c>
      <c r="FS44" s="14">
        <f t="shared" si="102"/>
        <v>11</v>
      </c>
      <c r="FT44" s="14">
        <f t="shared" si="103"/>
        <v>8</v>
      </c>
      <c r="FU44" s="14">
        <f t="shared" si="104"/>
        <v>8</v>
      </c>
      <c r="FV44" s="14">
        <f t="shared" si="105"/>
        <v>5</v>
      </c>
      <c r="FW44" s="14">
        <f t="shared" si="106"/>
        <v>3</v>
      </c>
      <c r="FX44" s="14">
        <f t="shared" si="60"/>
        <v>3</v>
      </c>
      <c r="FY44" s="14">
        <f t="shared" si="107"/>
        <v>12</v>
      </c>
      <c r="FZ44" s="14">
        <f t="shared" si="108"/>
        <v>12</v>
      </c>
      <c r="GA44" s="14">
        <f t="shared" si="109"/>
        <v>9</v>
      </c>
      <c r="GB44" s="14">
        <f t="shared" si="110"/>
        <v>9</v>
      </c>
      <c r="GC44" s="14">
        <f t="shared" si="111"/>
        <v>5</v>
      </c>
      <c r="GD44" s="14">
        <f t="shared" si="112"/>
        <v>3</v>
      </c>
      <c r="GE44" s="14">
        <f t="shared" si="61"/>
        <v>2</v>
      </c>
      <c r="GF44" s="14">
        <f t="shared" si="113"/>
        <v>6</v>
      </c>
      <c r="GG44" s="14">
        <f t="shared" si="114"/>
        <v>6</v>
      </c>
      <c r="GH44" s="14">
        <f t="shared" si="115"/>
        <v>6</v>
      </c>
      <c r="GI44" s="14">
        <f t="shared" si="116"/>
        <v>3</v>
      </c>
      <c r="GJ44" s="14">
        <f t="shared" si="117"/>
        <v>3</v>
      </c>
      <c r="GK44" s="14">
        <f t="shared" si="118"/>
        <v>3</v>
      </c>
      <c r="GL44" s="14">
        <f t="shared" si="119"/>
        <v>2</v>
      </c>
      <c r="GM44" s="14">
        <f t="shared" si="120"/>
        <v>2</v>
      </c>
      <c r="GN44" s="14">
        <f t="shared" si="62"/>
        <v>2</v>
      </c>
      <c r="GO44" s="14">
        <f t="shared" si="121"/>
        <v>6</v>
      </c>
      <c r="GP44" s="14">
        <f t="shared" si="122"/>
        <v>6</v>
      </c>
      <c r="GQ44" s="14">
        <f t="shared" si="123"/>
        <v>6</v>
      </c>
      <c r="GR44" s="14">
        <f t="shared" si="124"/>
        <v>3</v>
      </c>
      <c r="GS44" s="14">
        <f t="shared" si="125"/>
        <v>3</v>
      </c>
      <c r="GT44" s="14">
        <f t="shared" si="126"/>
        <v>3</v>
      </c>
      <c r="GU44" s="14">
        <f t="shared" si="127"/>
        <v>2</v>
      </c>
      <c r="GV44" s="14">
        <f t="shared" si="128"/>
        <v>2</v>
      </c>
      <c r="GY44" s="91">
        <v>38</v>
      </c>
      <c r="GZ44" s="14">
        <f t="shared" si="63"/>
        <v>3</v>
      </c>
      <c r="HA44" s="14">
        <f t="shared" si="64"/>
        <v>1</v>
      </c>
      <c r="HB44" s="14">
        <f t="shared" si="65"/>
        <v>2</v>
      </c>
      <c r="HC44" s="14">
        <f t="shared" si="66"/>
        <v>0.496</v>
      </c>
      <c r="HD44" s="14">
        <f t="shared" si="67"/>
        <v>1606005</v>
      </c>
      <c r="HE44" s="14" t="str">
        <f t="shared" si="68"/>
        <v>神器1-3 : 8级</v>
      </c>
      <c r="HF44" s="14" t="s">
        <v>800</v>
      </c>
      <c r="HG44" s="14">
        <f t="shared" si="69"/>
        <v>8</v>
      </c>
      <c r="HH44" s="14" t="str">
        <f t="shared" si="70"/>
        <v>神器1-3</v>
      </c>
      <c r="HI44" s="14">
        <f t="shared" si="71"/>
        <v>3</v>
      </c>
      <c r="HJ44" s="14" t="s">
        <v>1595</v>
      </c>
      <c r="HK44" s="14">
        <f t="shared" si="72"/>
        <v>5950</v>
      </c>
    </row>
    <row r="45" spans="14:219" ht="16.5" x14ac:dyDescent="0.2">
      <c r="N45" s="90">
        <v>7</v>
      </c>
      <c r="O45" s="90">
        <v>4</v>
      </c>
      <c r="P45" s="90">
        <v>3</v>
      </c>
      <c r="Q45" s="90">
        <v>21</v>
      </c>
      <c r="R45" s="14">
        <f>SUM(Q$7:Q45)</f>
        <v>696</v>
      </c>
      <c r="S45" s="91">
        <v>1606040</v>
      </c>
      <c r="T45" s="14" t="str">
        <f t="shared" si="73"/>
        <v>神器7-4</v>
      </c>
      <c r="AF45" s="87">
        <v>39</v>
      </c>
      <c r="AG45" s="87">
        <v>7</v>
      </c>
      <c r="AH45" s="87">
        <v>5</v>
      </c>
      <c r="AI45" s="200">
        <v>1606041</v>
      </c>
      <c r="AJ45" s="87" t="str">
        <f t="shared" si="47"/>
        <v>神器7-5</v>
      </c>
      <c r="AK45" s="87">
        <v>3</v>
      </c>
      <c r="AL45" s="87">
        <f t="shared" si="48"/>
        <v>350</v>
      </c>
      <c r="AO45" s="87">
        <v>3</v>
      </c>
      <c r="AP45" s="87">
        <v>2</v>
      </c>
      <c r="AQ45" s="87">
        <v>14</v>
      </c>
      <c r="AR45" s="144">
        <f t="shared" si="49"/>
        <v>4414</v>
      </c>
      <c r="AS45" s="144" t="s">
        <v>1215</v>
      </c>
      <c r="AT45" s="144" t="str">
        <f t="shared" si="50"/>
        <v>神器本-3-困难-2  神器3-1</v>
      </c>
      <c r="AU45" s="87">
        <v>9</v>
      </c>
      <c r="AV45" s="87" t="s">
        <v>761</v>
      </c>
      <c r="AW45" s="87">
        <v>5000</v>
      </c>
      <c r="AX45" s="87">
        <v>1</v>
      </c>
      <c r="AY45" s="87">
        <v>3</v>
      </c>
      <c r="AZ45" s="87">
        <f t="shared" si="51"/>
        <v>1</v>
      </c>
      <c r="BA45" s="14">
        <f t="shared" si="52"/>
        <v>1</v>
      </c>
      <c r="BB45" s="14">
        <f t="shared" si="53"/>
        <v>20</v>
      </c>
      <c r="BL45" s="87">
        <v>39</v>
      </c>
      <c r="BM45" s="14">
        <f>INDEX(节奏总表!$CK$4:$CK$63,新神器!BL45)</f>
        <v>131</v>
      </c>
      <c r="BN45" s="14">
        <f t="shared" si="55"/>
        <v>7</v>
      </c>
      <c r="BO45" s="87">
        <v>3</v>
      </c>
      <c r="BP45" s="87">
        <v>5</v>
      </c>
      <c r="BQ45" s="14">
        <f t="shared" si="83"/>
        <v>0</v>
      </c>
      <c r="BR45" s="14">
        <f t="shared" si="83"/>
        <v>0</v>
      </c>
      <c r="BS45" s="14">
        <f t="shared" si="83"/>
        <v>0</v>
      </c>
      <c r="BT45" s="14">
        <f t="shared" si="83"/>
        <v>0</v>
      </c>
      <c r="BU45" s="14">
        <f t="shared" si="83"/>
        <v>0</v>
      </c>
      <c r="BV45" s="14">
        <f t="shared" si="83"/>
        <v>0</v>
      </c>
      <c r="BW45" s="14">
        <f t="shared" si="83"/>
        <v>0</v>
      </c>
      <c r="BX45" s="14">
        <f t="shared" si="83"/>
        <v>0</v>
      </c>
      <c r="BY45" s="14">
        <f t="shared" si="83"/>
        <v>0.35000000000000003</v>
      </c>
      <c r="BZ45" s="14">
        <f t="shared" si="83"/>
        <v>0.35000000000000003</v>
      </c>
      <c r="CA45" s="14">
        <f t="shared" si="84"/>
        <v>0.20699999999999999</v>
      </c>
      <c r="CB45" s="14">
        <f t="shared" si="84"/>
        <v>0.20699999999999999</v>
      </c>
      <c r="CC45" s="14">
        <f t="shared" si="84"/>
        <v>0.13750000000000001</v>
      </c>
      <c r="CD45" s="14">
        <f t="shared" si="84"/>
        <v>6.9000000000000006E-2</v>
      </c>
      <c r="CE45" s="14">
        <f t="shared" si="84"/>
        <v>0.35000000000000003</v>
      </c>
      <c r="CF45" s="14">
        <f t="shared" si="84"/>
        <v>0.35000000000000003</v>
      </c>
      <c r="CG45" s="14">
        <f t="shared" si="84"/>
        <v>0.20699999999999999</v>
      </c>
      <c r="CH45" s="14">
        <f t="shared" si="84"/>
        <v>0.20699999999999999</v>
      </c>
      <c r="CI45" s="14">
        <f t="shared" si="84"/>
        <v>0.13750000000000001</v>
      </c>
      <c r="CJ45" s="14">
        <f t="shared" si="84"/>
        <v>6.9000000000000006E-2</v>
      </c>
      <c r="CK45" s="14">
        <f t="shared" si="85"/>
        <v>0.35000000000000003</v>
      </c>
      <c r="CL45" s="14">
        <f t="shared" si="85"/>
        <v>0.35000000000000003</v>
      </c>
      <c r="CM45" s="14">
        <f t="shared" si="85"/>
        <v>0.20699999999999999</v>
      </c>
      <c r="CN45" s="14">
        <f t="shared" si="85"/>
        <v>0.20699999999999999</v>
      </c>
      <c r="CO45" s="14">
        <f t="shared" si="85"/>
        <v>0.13750000000000001</v>
      </c>
      <c r="CP45" s="14">
        <f t="shared" si="85"/>
        <v>6.9499999999999992E-2</v>
      </c>
      <c r="CQ45" s="14">
        <f t="shared" si="85"/>
        <v>0.20799999999999999</v>
      </c>
      <c r="CR45" s="14">
        <f t="shared" si="85"/>
        <v>0.20799999999999999</v>
      </c>
      <c r="CS45" s="14">
        <f t="shared" si="85"/>
        <v>0.20799999999999999</v>
      </c>
      <c r="CT45" s="14">
        <f t="shared" si="85"/>
        <v>0.13800000000000001</v>
      </c>
      <c r="CU45" s="14">
        <f t="shared" si="86"/>
        <v>0.13800000000000001</v>
      </c>
      <c r="CV45" s="14">
        <f t="shared" si="86"/>
        <v>0.13800000000000001</v>
      </c>
      <c r="CW45" s="14">
        <f t="shared" si="86"/>
        <v>0</v>
      </c>
      <c r="CX45" s="14">
        <f t="shared" si="86"/>
        <v>0</v>
      </c>
      <c r="CY45" s="14">
        <f t="shared" si="86"/>
        <v>1.5</v>
      </c>
      <c r="CZ45" s="14">
        <f t="shared" si="86"/>
        <v>1.5</v>
      </c>
      <c r="DA45" s="14">
        <f t="shared" si="86"/>
        <v>1.5</v>
      </c>
      <c r="DB45" s="14">
        <f t="shared" si="86"/>
        <v>0.5</v>
      </c>
      <c r="DC45" s="14">
        <f t="shared" si="86"/>
        <v>0.5</v>
      </c>
      <c r="DD45" s="14">
        <f t="shared" si="86"/>
        <v>0.5</v>
      </c>
      <c r="DE45" s="14">
        <f t="shared" si="86"/>
        <v>0.375</v>
      </c>
      <c r="DF45" s="14">
        <f t="shared" si="86"/>
        <v>0.375</v>
      </c>
      <c r="DH45" s="14">
        <f>SUM(BQ$7:BQ45)</f>
        <v>35.749999999999993</v>
      </c>
      <c r="DI45" s="14">
        <f>SUM(BR$7:BR45)</f>
        <v>35.749999999999993</v>
      </c>
      <c r="DJ45" s="14">
        <f>SUM(BS$7:BS45)</f>
        <v>20.25</v>
      </c>
      <c r="DK45" s="14">
        <f>SUM(BT$7:BT45)</f>
        <v>36.25</v>
      </c>
      <c r="DL45" s="14">
        <f>SUM(BU$7:BU45)</f>
        <v>36.25</v>
      </c>
      <c r="DM45" s="14">
        <f>SUM(BV$7:BV45)</f>
        <v>20.625</v>
      </c>
      <c r="DN45" s="14">
        <f>SUM(BW$7:BW45)</f>
        <v>20.625</v>
      </c>
      <c r="DO45" s="14">
        <f>SUM(BX$7:BX45)</f>
        <v>13.75</v>
      </c>
      <c r="DP45" s="14">
        <f>SUM(BY$7:BY45)</f>
        <v>24.949000000000005</v>
      </c>
      <c r="DQ45" s="14">
        <f>SUM(BZ$7:BZ45)</f>
        <v>24.949000000000005</v>
      </c>
      <c r="DR45" s="14">
        <f>SUM(CA$7:CA45)</f>
        <v>13.449000000000005</v>
      </c>
      <c r="DS45" s="14">
        <f>SUM(CB$7:CB45)</f>
        <v>13.449000000000005</v>
      </c>
      <c r="DT45" s="14">
        <f>SUM(CC$7:CC45)</f>
        <v>6.4625000000000012</v>
      </c>
      <c r="DU45" s="14">
        <f>SUM(CD$7:CD45)</f>
        <v>2.9929999999999994</v>
      </c>
      <c r="DV45" s="14">
        <f>SUM(CE$7:CE45)</f>
        <v>29.949000000000005</v>
      </c>
      <c r="DW45" s="14">
        <f>SUM(CF$7:CF45)</f>
        <v>29.949000000000005</v>
      </c>
      <c r="DX45" s="14">
        <f>SUM(CG$7:CG45)</f>
        <v>16.074000000000005</v>
      </c>
      <c r="DY45" s="14">
        <f>SUM(CH$7:CH45)</f>
        <v>16.074000000000005</v>
      </c>
      <c r="DZ45" s="14">
        <f>SUM(CI$7:CI45)</f>
        <v>7.4625000000000012</v>
      </c>
      <c r="EA45" s="14">
        <f>SUM(CJ$7:CJ45)</f>
        <v>3.4810000000000008</v>
      </c>
      <c r="EB45" s="14">
        <f>SUM(CK$7:CK45)</f>
        <v>34.949000000000005</v>
      </c>
      <c r="EC45" s="14">
        <f>SUM(CL$7:CL45)</f>
        <v>34.949000000000005</v>
      </c>
      <c r="ED45" s="14">
        <f>SUM(CM$7:CM45)</f>
        <v>18.699000000000005</v>
      </c>
      <c r="EE45" s="14">
        <f>SUM(CN$7:CN45)</f>
        <v>18.699000000000005</v>
      </c>
      <c r="EF45" s="14">
        <f>SUM(CO$7:CO45)</f>
        <v>8.4624999999999986</v>
      </c>
      <c r="EG45" s="14">
        <f>SUM(CP$7:CP45)</f>
        <v>3.9845000000000019</v>
      </c>
      <c r="EH45" s="14">
        <f>SUM(CQ$7:CQ45)</f>
        <v>10.456000000000001</v>
      </c>
      <c r="EI45" s="14">
        <f>SUM(CR$7:CR45)</f>
        <v>10.456000000000001</v>
      </c>
      <c r="EJ45" s="14">
        <f>SUM(CS$7:CS45)</f>
        <v>10.456000000000001</v>
      </c>
      <c r="EK45" s="14">
        <f>SUM(CT$7:CT45)</f>
        <v>3.9659999999999993</v>
      </c>
      <c r="EL45" s="14">
        <f>SUM(CU$7:CU45)</f>
        <v>3.9659999999999993</v>
      </c>
      <c r="EM45" s="14">
        <f>SUM(CV$7:CV45)</f>
        <v>3.9659999999999993</v>
      </c>
      <c r="EN45" s="14">
        <f>SUM(CW$7:CW45)</f>
        <v>2.25</v>
      </c>
      <c r="EO45" s="14">
        <f>SUM(CX$7:CX45)</f>
        <v>2.25</v>
      </c>
      <c r="EP45" s="14">
        <f>SUM(CY$7:CY45)</f>
        <v>10.5</v>
      </c>
      <c r="EQ45" s="14">
        <f>SUM(CZ$7:CZ45)</f>
        <v>10.5</v>
      </c>
      <c r="ER45" s="14">
        <f>SUM(DA$7:DA45)</f>
        <v>10.5</v>
      </c>
      <c r="ES45" s="14">
        <f>SUM(DB$7:DB45)</f>
        <v>3.5</v>
      </c>
      <c r="ET45" s="14">
        <f>SUM(DC$7:DC45)</f>
        <v>3.5</v>
      </c>
      <c r="EU45" s="14">
        <f>SUM(DD$7:DD45)</f>
        <v>3.5</v>
      </c>
      <c r="EV45" s="14">
        <f>SUM(DE$7:DE45)</f>
        <v>2.625</v>
      </c>
      <c r="EW45" s="14">
        <f>SUM(DF$7:DF45)</f>
        <v>2.625</v>
      </c>
      <c r="EZ45" s="14">
        <f t="shared" si="56"/>
        <v>9</v>
      </c>
      <c r="FA45" s="14">
        <f t="shared" si="87"/>
        <v>12</v>
      </c>
      <c r="FB45" s="14">
        <f t="shared" si="88"/>
        <v>12</v>
      </c>
      <c r="FC45" s="14">
        <f t="shared" si="89"/>
        <v>9</v>
      </c>
      <c r="FD45" s="14">
        <f t="shared" si="57"/>
        <v>7</v>
      </c>
      <c r="FE45" s="14">
        <f t="shared" si="90"/>
        <v>12</v>
      </c>
      <c r="FF45" s="14">
        <f t="shared" si="91"/>
        <v>12</v>
      </c>
      <c r="FG45" s="14">
        <f t="shared" si="92"/>
        <v>9</v>
      </c>
      <c r="FH45" s="14">
        <f t="shared" si="93"/>
        <v>9</v>
      </c>
      <c r="FI45" s="14">
        <f t="shared" si="94"/>
        <v>7</v>
      </c>
      <c r="FJ45" s="14">
        <f t="shared" si="58"/>
        <v>2</v>
      </c>
      <c r="FK45" s="14">
        <f t="shared" si="95"/>
        <v>10</v>
      </c>
      <c r="FL45" s="14">
        <f t="shared" si="96"/>
        <v>10</v>
      </c>
      <c r="FM45" s="14">
        <f t="shared" si="97"/>
        <v>7</v>
      </c>
      <c r="FN45" s="14">
        <f t="shared" si="98"/>
        <v>7</v>
      </c>
      <c r="FO45" s="14">
        <f t="shared" si="99"/>
        <v>4</v>
      </c>
      <c r="FP45" s="14">
        <f t="shared" si="100"/>
        <v>2</v>
      </c>
      <c r="FQ45" s="14">
        <f t="shared" si="59"/>
        <v>3</v>
      </c>
      <c r="FR45" s="14">
        <f t="shared" si="101"/>
        <v>11</v>
      </c>
      <c r="FS45" s="14">
        <f t="shared" si="102"/>
        <v>11</v>
      </c>
      <c r="FT45" s="14">
        <f t="shared" si="103"/>
        <v>8</v>
      </c>
      <c r="FU45" s="14">
        <f t="shared" si="104"/>
        <v>8</v>
      </c>
      <c r="FV45" s="14">
        <f t="shared" si="105"/>
        <v>5</v>
      </c>
      <c r="FW45" s="14">
        <f t="shared" si="106"/>
        <v>3</v>
      </c>
      <c r="FX45" s="14">
        <f t="shared" si="60"/>
        <v>3</v>
      </c>
      <c r="FY45" s="14">
        <f t="shared" si="107"/>
        <v>12</v>
      </c>
      <c r="FZ45" s="14">
        <f t="shared" si="108"/>
        <v>12</v>
      </c>
      <c r="GA45" s="14">
        <f t="shared" si="109"/>
        <v>9</v>
      </c>
      <c r="GB45" s="14">
        <f t="shared" si="110"/>
        <v>9</v>
      </c>
      <c r="GC45" s="14">
        <f t="shared" si="111"/>
        <v>5</v>
      </c>
      <c r="GD45" s="14">
        <f t="shared" si="112"/>
        <v>3</v>
      </c>
      <c r="GE45" s="14">
        <f t="shared" si="61"/>
        <v>2</v>
      </c>
      <c r="GF45" s="14">
        <f t="shared" si="113"/>
        <v>6</v>
      </c>
      <c r="GG45" s="14">
        <f t="shared" si="114"/>
        <v>6</v>
      </c>
      <c r="GH45" s="14">
        <f t="shared" si="115"/>
        <v>6</v>
      </c>
      <c r="GI45" s="14">
        <f t="shared" si="116"/>
        <v>3</v>
      </c>
      <c r="GJ45" s="14">
        <f t="shared" si="117"/>
        <v>3</v>
      </c>
      <c r="GK45" s="14">
        <f t="shared" si="118"/>
        <v>3</v>
      </c>
      <c r="GL45" s="14">
        <f t="shared" si="119"/>
        <v>2</v>
      </c>
      <c r="GM45" s="14">
        <f t="shared" si="120"/>
        <v>2</v>
      </c>
      <c r="GN45" s="14">
        <f t="shared" si="62"/>
        <v>2</v>
      </c>
      <c r="GO45" s="14">
        <f t="shared" si="121"/>
        <v>6</v>
      </c>
      <c r="GP45" s="14">
        <f t="shared" si="122"/>
        <v>6</v>
      </c>
      <c r="GQ45" s="14">
        <f t="shared" si="123"/>
        <v>6</v>
      </c>
      <c r="GR45" s="14">
        <f t="shared" si="124"/>
        <v>3</v>
      </c>
      <c r="GS45" s="14">
        <f t="shared" si="125"/>
        <v>3</v>
      </c>
      <c r="GT45" s="14">
        <f t="shared" si="126"/>
        <v>3</v>
      </c>
      <c r="GU45" s="14">
        <f t="shared" si="127"/>
        <v>2</v>
      </c>
      <c r="GV45" s="14">
        <f t="shared" si="128"/>
        <v>2</v>
      </c>
      <c r="GY45" s="91">
        <v>39</v>
      </c>
      <c r="GZ45" s="14">
        <f t="shared" si="63"/>
        <v>3</v>
      </c>
      <c r="HA45" s="14">
        <f t="shared" si="64"/>
        <v>1</v>
      </c>
      <c r="HB45" s="14">
        <f t="shared" si="65"/>
        <v>2</v>
      </c>
      <c r="HC45" s="14">
        <f t="shared" si="66"/>
        <v>0.50800000000000001</v>
      </c>
      <c r="HD45" s="14">
        <f t="shared" si="67"/>
        <v>1606005</v>
      </c>
      <c r="HE45" s="14" t="str">
        <f t="shared" si="68"/>
        <v>神器1-3 : 9级</v>
      </c>
      <c r="HF45" s="14" t="s">
        <v>800</v>
      </c>
      <c r="HG45" s="14">
        <f t="shared" si="69"/>
        <v>9</v>
      </c>
      <c r="HH45" s="14" t="str">
        <f t="shared" si="70"/>
        <v>神器1-3</v>
      </c>
      <c r="HI45" s="14">
        <f t="shared" si="71"/>
        <v>3</v>
      </c>
      <c r="HJ45" s="14" t="s">
        <v>1595</v>
      </c>
      <c r="HK45" s="14">
        <f t="shared" si="72"/>
        <v>6100</v>
      </c>
    </row>
    <row r="46" spans="14:219" ht="16.5" x14ac:dyDescent="0.2">
      <c r="N46" s="90">
        <v>7</v>
      </c>
      <c r="O46" s="90">
        <v>5</v>
      </c>
      <c r="P46" s="90">
        <v>3</v>
      </c>
      <c r="Q46" s="90">
        <v>21</v>
      </c>
      <c r="R46" s="14">
        <f>SUM(Q$7:Q46)</f>
        <v>717</v>
      </c>
      <c r="S46" s="91">
        <v>1606041</v>
      </c>
      <c r="T46" s="14" t="str">
        <f t="shared" si="73"/>
        <v>神器7-5</v>
      </c>
      <c r="AF46" s="87">
        <v>40</v>
      </c>
      <c r="AG46" s="87">
        <v>7</v>
      </c>
      <c r="AH46" s="87">
        <v>6</v>
      </c>
      <c r="AI46" s="200">
        <v>1606042</v>
      </c>
      <c r="AJ46" s="87" t="str">
        <f t="shared" si="47"/>
        <v>神器7-6</v>
      </c>
      <c r="AK46" s="87">
        <v>3</v>
      </c>
      <c r="AL46" s="87">
        <f t="shared" si="48"/>
        <v>350</v>
      </c>
      <c r="AO46" s="87">
        <v>3</v>
      </c>
      <c r="AP46" s="87">
        <v>2</v>
      </c>
      <c r="AQ46" s="87">
        <v>14</v>
      </c>
      <c r="AR46" s="144">
        <f t="shared" si="49"/>
        <v>4414</v>
      </c>
      <c r="AS46" s="144" t="s">
        <v>1215</v>
      </c>
      <c r="AT46" s="144" t="str">
        <f t="shared" si="50"/>
        <v>神器本-3-困难-2  神器3-2</v>
      </c>
      <c r="AU46" s="87">
        <v>10</v>
      </c>
      <c r="AV46" s="87" t="s">
        <v>316</v>
      </c>
      <c r="AW46" s="87">
        <v>5000</v>
      </c>
      <c r="AX46" s="87">
        <v>1</v>
      </c>
      <c r="AY46" s="87">
        <v>3</v>
      </c>
      <c r="AZ46" s="87">
        <f t="shared" si="51"/>
        <v>1</v>
      </c>
      <c r="BA46" s="14">
        <f t="shared" si="52"/>
        <v>1</v>
      </c>
      <c r="BB46" s="14">
        <f t="shared" si="53"/>
        <v>20</v>
      </c>
      <c r="BL46" s="87">
        <v>40</v>
      </c>
      <c r="BM46" s="14">
        <f>INDEX(节奏总表!$CK$4:$CK$63,新神器!BL46)</f>
        <v>132</v>
      </c>
      <c r="BN46" s="14">
        <f t="shared" si="55"/>
        <v>7</v>
      </c>
      <c r="BO46" s="87">
        <v>3</v>
      </c>
      <c r="BP46" s="87">
        <v>5</v>
      </c>
      <c r="BQ46" s="14">
        <f t="shared" si="83"/>
        <v>0</v>
      </c>
      <c r="BR46" s="14">
        <f t="shared" si="83"/>
        <v>0</v>
      </c>
      <c r="BS46" s="14">
        <f t="shared" si="83"/>
        <v>0</v>
      </c>
      <c r="BT46" s="14">
        <f t="shared" si="83"/>
        <v>0</v>
      </c>
      <c r="BU46" s="14">
        <f t="shared" si="83"/>
        <v>0</v>
      </c>
      <c r="BV46" s="14">
        <f t="shared" si="83"/>
        <v>0</v>
      </c>
      <c r="BW46" s="14">
        <f t="shared" si="83"/>
        <v>0</v>
      </c>
      <c r="BX46" s="14">
        <f t="shared" si="83"/>
        <v>0</v>
      </c>
      <c r="BY46" s="14">
        <f t="shared" si="83"/>
        <v>0.35000000000000003</v>
      </c>
      <c r="BZ46" s="14">
        <f t="shared" si="83"/>
        <v>0.35000000000000003</v>
      </c>
      <c r="CA46" s="14">
        <f t="shared" si="84"/>
        <v>0.20699999999999999</v>
      </c>
      <c r="CB46" s="14">
        <f t="shared" si="84"/>
        <v>0.20699999999999999</v>
      </c>
      <c r="CC46" s="14">
        <f t="shared" si="84"/>
        <v>0.13750000000000001</v>
      </c>
      <c r="CD46" s="14">
        <f t="shared" si="84"/>
        <v>6.9000000000000006E-2</v>
      </c>
      <c r="CE46" s="14">
        <f t="shared" si="84"/>
        <v>0.35000000000000003</v>
      </c>
      <c r="CF46" s="14">
        <f t="shared" si="84"/>
        <v>0.35000000000000003</v>
      </c>
      <c r="CG46" s="14">
        <f t="shared" si="84"/>
        <v>0.20699999999999999</v>
      </c>
      <c r="CH46" s="14">
        <f t="shared" si="84"/>
        <v>0.20699999999999999</v>
      </c>
      <c r="CI46" s="14">
        <f t="shared" si="84"/>
        <v>0.13750000000000001</v>
      </c>
      <c r="CJ46" s="14">
        <f t="shared" si="84"/>
        <v>6.9000000000000006E-2</v>
      </c>
      <c r="CK46" s="14">
        <f t="shared" si="85"/>
        <v>0.35000000000000003</v>
      </c>
      <c r="CL46" s="14">
        <f t="shared" si="85"/>
        <v>0.35000000000000003</v>
      </c>
      <c r="CM46" s="14">
        <f t="shared" si="85"/>
        <v>0.20699999999999999</v>
      </c>
      <c r="CN46" s="14">
        <f t="shared" si="85"/>
        <v>0.20699999999999999</v>
      </c>
      <c r="CO46" s="14">
        <f t="shared" si="85"/>
        <v>0.13750000000000001</v>
      </c>
      <c r="CP46" s="14">
        <f t="shared" si="85"/>
        <v>6.9499999999999992E-2</v>
      </c>
      <c r="CQ46" s="14">
        <f t="shared" si="85"/>
        <v>0.20799999999999999</v>
      </c>
      <c r="CR46" s="14">
        <f t="shared" si="85"/>
        <v>0.20799999999999999</v>
      </c>
      <c r="CS46" s="14">
        <f t="shared" si="85"/>
        <v>0.20799999999999999</v>
      </c>
      <c r="CT46" s="14">
        <f t="shared" si="85"/>
        <v>0.13800000000000001</v>
      </c>
      <c r="CU46" s="14">
        <f t="shared" si="86"/>
        <v>0.13800000000000001</v>
      </c>
      <c r="CV46" s="14">
        <f t="shared" si="86"/>
        <v>0.13800000000000001</v>
      </c>
      <c r="CW46" s="14">
        <f t="shared" si="86"/>
        <v>0</v>
      </c>
      <c r="CX46" s="14">
        <f t="shared" si="86"/>
        <v>0</v>
      </c>
      <c r="CY46" s="14">
        <f t="shared" si="86"/>
        <v>1.5</v>
      </c>
      <c r="CZ46" s="14">
        <f t="shared" si="86"/>
        <v>1.5</v>
      </c>
      <c r="DA46" s="14">
        <f t="shared" si="86"/>
        <v>1.5</v>
      </c>
      <c r="DB46" s="14">
        <f t="shared" si="86"/>
        <v>0.5</v>
      </c>
      <c r="DC46" s="14">
        <f t="shared" si="86"/>
        <v>0.5</v>
      </c>
      <c r="DD46" s="14">
        <f t="shared" si="86"/>
        <v>0.5</v>
      </c>
      <c r="DE46" s="14">
        <f t="shared" si="86"/>
        <v>0.375</v>
      </c>
      <c r="DF46" s="14">
        <f t="shared" si="86"/>
        <v>0.375</v>
      </c>
      <c r="DH46" s="14">
        <f>SUM(BQ$7:BQ46)</f>
        <v>35.749999999999993</v>
      </c>
      <c r="DI46" s="14">
        <f>SUM(BR$7:BR46)</f>
        <v>35.749999999999993</v>
      </c>
      <c r="DJ46" s="14">
        <f>SUM(BS$7:BS46)</f>
        <v>20.25</v>
      </c>
      <c r="DK46" s="14">
        <f>SUM(BT$7:BT46)</f>
        <v>36.25</v>
      </c>
      <c r="DL46" s="14">
        <f>SUM(BU$7:BU46)</f>
        <v>36.25</v>
      </c>
      <c r="DM46" s="14">
        <f>SUM(BV$7:BV46)</f>
        <v>20.625</v>
      </c>
      <c r="DN46" s="14">
        <f>SUM(BW$7:BW46)</f>
        <v>20.625</v>
      </c>
      <c r="DO46" s="14">
        <f>SUM(BX$7:BX46)</f>
        <v>13.75</v>
      </c>
      <c r="DP46" s="14">
        <f>SUM(BY$7:BY46)</f>
        <v>25.299000000000007</v>
      </c>
      <c r="DQ46" s="14">
        <f>SUM(BZ$7:BZ46)</f>
        <v>25.299000000000007</v>
      </c>
      <c r="DR46" s="14">
        <f>SUM(CA$7:CA46)</f>
        <v>13.656000000000006</v>
      </c>
      <c r="DS46" s="14">
        <f>SUM(CB$7:CB46)</f>
        <v>13.656000000000006</v>
      </c>
      <c r="DT46" s="14">
        <f>SUM(CC$7:CC46)</f>
        <v>6.6000000000000014</v>
      </c>
      <c r="DU46" s="14">
        <f>SUM(CD$7:CD46)</f>
        <v>3.0619999999999994</v>
      </c>
      <c r="DV46" s="14">
        <f>SUM(CE$7:CE46)</f>
        <v>30.299000000000007</v>
      </c>
      <c r="DW46" s="14">
        <f>SUM(CF$7:CF46)</f>
        <v>30.299000000000007</v>
      </c>
      <c r="DX46" s="14">
        <f>SUM(CG$7:CG46)</f>
        <v>16.281000000000006</v>
      </c>
      <c r="DY46" s="14">
        <f>SUM(CH$7:CH46)</f>
        <v>16.281000000000006</v>
      </c>
      <c r="DZ46" s="14">
        <f>SUM(CI$7:CI46)</f>
        <v>7.6000000000000014</v>
      </c>
      <c r="EA46" s="14">
        <f>SUM(CJ$7:CJ46)</f>
        <v>3.5500000000000007</v>
      </c>
      <c r="EB46" s="14">
        <f>SUM(CK$7:CK46)</f>
        <v>35.299000000000007</v>
      </c>
      <c r="EC46" s="14">
        <f>SUM(CL$7:CL46)</f>
        <v>35.299000000000007</v>
      </c>
      <c r="ED46" s="14">
        <f>SUM(CM$7:CM46)</f>
        <v>18.906000000000006</v>
      </c>
      <c r="EE46" s="14">
        <f>SUM(CN$7:CN46)</f>
        <v>18.906000000000006</v>
      </c>
      <c r="EF46" s="14">
        <f>SUM(CO$7:CO46)</f>
        <v>8.5999999999999979</v>
      </c>
      <c r="EG46" s="14">
        <f>SUM(CP$7:CP46)</f>
        <v>4.054000000000002</v>
      </c>
      <c r="EH46" s="14">
        <f>SUM(CQ$7:CQ46)</f>
        <v>10.664000000000001</v>
      </c>
      <c r="EI46" s="14">
        <f>SUM(CR$7:CR46)</f>
        <v>10.664000000000001</v>
      </c>
      <c r="EJ46" s="14">
        <f>SUM(CS$7:CS46)</f>
        <v>10.664000000000001</v>
      </c>
      <c r="EK46" s="14">
        <f>SUM(CT$7:CT46)</f>
        <v>4.1039999999999992</v>
      </c>
      <c r="EL46" s="14">
        <f>SUM(CU$7:CU46)</f>
        <v>4.1039999999999992</v>
      </c>
      <c r="EM46" s="14">
        <f>SUM(CV$7:CV46)</f>
        <v>4.1039999999999992</v>
      </c>
      <c r="EN46" s="14">
        <f>SUM(CW$7:CW46)</f>
        <v>2.25</v>
      </c>
      <c r="EO46" s="14">
        <f>SUM(CX$7:CX46)</f>
        <v>2.25</v>
      </c>
      <c r="EP46" s="14">
        <f>SUM(CY$7:CY46)</f>
        <v>12</v>
      </c>
      <c r="EQ46" s="14">
        <f>SUM(CZ$7:CZ46)</f>
        <v>12</v>
      </c>
      <c r="ER46" s="14">
        <f>SUM(DA$7:DA46)</f>
        <v>12</v>
      </c>
      <c r="ES46" s="14">
        <f>SUM(DB$7:DB46)</f>
        <v>4</v>
      </c>
      <c r="ET46" s="14">
        <f>SUM(DC$7:DC46)</f>
        <v>4</v>
      </c>
      <c r="EU46" s="14">
        <f>SUM(DD$7:DD46)</f>
        <v>4</v>
      </c>
      <c r="EV46" s="14">
        <f>SUM(DE$7:DE46)</f>
        <v>3</v>
      </c>
      <c r="EW46" s="14">
        <f>SUM(DF$7:DF46)</f>
        <v>3</v>
      </c>
      <c r="EZ46" s="14">
        <f t="shared" si="56"/>
        <v>9</v>
      </c>
      <c r="FA46" s="14">
        <f t="shared" si="87"/>
        <v>12</v>
      </c>
      <c r="FB46" s="14">
        <f t="shared" si="88"/>
        <v>12</v>
      </c>
      <c r="FC46" s="14">
        <f t="shared" si="89"/>
        <v>9</v>
      </c>
      <c r="FD46" s="14">
        <f t="shared" si="57"/>
        <v>7</v>
      </c>
      <c r="FE46" s="14">
        <f t="shared" si="90"/>
        <v>12</v>
      </c>
      <c r="FF46" s="14">
        <f t="shared" si="91"/>
        <v>12</v>
      </c>
      <c r="FG46" s="14">
        <f t="shared" si="92"/>
        <v>9</v>
      </c>
      <c r="FH46" s="14">
        <f t="shared" si="93"/>
        <v>9</v>
      </c>
      <c r="FI46" s="14">
        <f t="shared" si="94"/>
        <v>7</v>
      </c>
      <c r="FJ46" s="14">
        <f t="shared" si="58"/>
        <v>3</v>
      </c>
      <c r="FK46" s="14">
        <f t="shared" si="95"/>
        <v>10</v>
      </c>
      <c r="FL46" s="14">
        <f t="shared" si="96"/>
        <v>10</v>
      </c>
      <c r="FM46" s="14">
        <f t="shared" si="97"/>
        <v>7</v>
      </c>
      <c r="FN46" s="14">
        <f t="shared" si="98"/>
        <v>7</v>
      </c>
      <c r="FO46" s="14">
        <f t="shared" si="99"/>
        <v>4</v>
      </c>
      <c r="FP46" s="14">
        <f t="shared" si="100"/>
        <v>3</v>
      </c>
      <c r="FQ46" s="14">
        <f t="shared" si="59"/>
        <v>3</v>
      </c>
      <c r="FR46" s="14">
        <f t="shared" si="101"/>
        <v>11</v>
      </c>
      <c r="FS46" s="14">
        <f t="shared" si="102"/>
        <v>11</v>
      </c>
      <c r="FT46" s="14">
        <f t="shared" si="103"/>
        <v>8</v>
      </c>
      <c r="FU46" s="14">
        <f t="shared" si="104"/>
        <v>8</v>
      </c>
      <c r="FV46" s="14">
        <f t="shared" si="105"/>
        <v>5</v>
      </c>
      <c r="FW46" s="14">
        <f t="shared" si="106"/>
        <v>3</v>
      </c>
      <c r="FX46" s="14">
        <f t="shared" si="60"/>
        <v>3</v>
      </c>
      <c r="FY46" s="14">
        <f t="shared" si="107"/>
        <v>12</v>
      </c>
      <c r="FZ46" s="14">
        <f t="shared" si="108"/>
        <v>12</v>
      </c>
      <c r="GA46" s="14">
        <f t="shared" si="109"/>
        <v>9</v>
      </c>
      <c r="GB46" s="14">
        <f t="shared" si="110"/>
        <v>9</v>
      </c>
      <c r="GC46" s="14">
        <f t="shared" si="111"/>
        <v>5</v>
      </c>
      <c r="GD46" s="14">
        <f t="shared" si="112"/>
        <v>3</v>
      </c>
      <c r="GE46" s="14">
        <f t="shared" si="61"/>
        <v>2</v>
      </c>
      <c r="GF46" s="14">
        <f t="shared" si="113"/>
        <v>6</v>
      </c>
      <c r="GG46" s="14">
        <f t="shared" si="114"/>
        <v>6</v>
      </c>
      <c r="GH46" s="14">
        <f t="shared" si="115"/>
        <v>6</v>
      </c>
      <c r="GI46" s="14">
        <f t="shared" si="116"/>
        <v>3</v>
      </c>
      <c r="GJ46" s="14">
        <f t="shared" si="117"/>
        <v>3</v>
      </c>
      <c r="GK46" s="14">
        <f t="shared" si="118"/>
        <v>3</v>
      </c>
      <c r="GL46" s="14">
        <f t="shared" si="119"/>
        <v>2</v>
      </c>
      <c r="GM46" s="14">
        <f t="shared" si="120"/>
        <v>2</v>
      </c>
      <c r="GN46" s="14">
        <f t="shared" si="62"/>
        <v>3</v>
      </c>
      <c r="GO46" s="14">
        <f t="shared" si="121"/>
        <v>7</v>
      </c>
      <c r="GP46" s="14">
        <f t="shared" si="122"/>
        <v>7</v>
      </c>
      <c r="GQ46" s="14">
        <f t="shared" si="123"/>
        <v>7</v>
      </c>
      <c r="GR46" s="14">
        <f t="shared" si="124"/>
        <v>3</v>
      </c>
      <c r="GS46" s="14">
        <f t="shared" si="125"/>
        <v>3</v>
      </c>
      <c r="GT46" s="14">
        <f t="shared" si="126"/>
        <v>3</v>
      </c>
      <c r="GU46" s="14">
        <f t="shared" si="127"/>
        <v>3</v>
      </c>
      <c r="GV46" s="14">
        <f t="shared" si="128"/>
        <v>3</v>
      </c>
      <c r="GY46" s="91">
        <v>40</v>
      </c>
      <c r="GZ46" s="14">
        <f t="shared" si="63"/>
        <v>3</v>
      </c>
      <c r="HA46" s="14">
        <f t="shared" si="64"/>
        <v>1</v>
      </c>
      <c r="HB46" s="14">
        <f t="shared" si="65"/>
        <v>2</v>
      </c>
      <c r="HC46" s="14">
        <f t="shared" si="66"/>
        <v>0.52</v>
      </c>
      <c r="HD46" s="14">
        <f t="shared" si="67"/>
        <v>1606005</v>
      </c>
      <c r="HE46" s="14" t="str">
        <f t="shared" si="68"/>
        <v>神器1-3 : 10级</v>
      </c>
      <c r="HF46" s="14" t="s">
        <v>800</v>
      </c>
      <c r="HG46" s="14">
        <f t="shared" si="69"/>
        <v>10</v>
      </c>
      <c r="HH46" s="14" t="str">
        <f t="shared" si="70"/>
        <v>神器1-3</v>
      </c>
      <c r="HI46" s="14">
        <f t="shared" si="71"/>
        <v>5</v>
      </c>
      <c r="HJ46" s="14" t="s">
        <v>1595</v>
      </c>
      <c r="HK46" s="14">
        <f t="shared" si="72"/>
        <v>6250</v>
      </c>
    </row>
    <row r="47" spans="14:219" ht="16.5" x14ac:dyDescent="0.2">
      <c r="N47" s="90">
        <v>7</v>
      </c>
      <c r="O47" s="90">
        <v>6</v>
      </c>
      <c r="P47" s="90">
        <v>3</v>
      </c>
      <c r="Q47" s="90">
        <v>21</v>
      </c>
      <c r="R47" s="14">
        <f>SUM(Q$7:Q47)</f>
        <v>738</v>
      </c>
      <c r="S47" s="91">
        <v>1606042</v>
      </c>
      <c r="T47" s="14" t="str">
        <f t="shared" si="73"/>
        <v>神器7-6</v>
      </c>
      <c r="AF47" s="87">
        <v>41</v>
      </c>
      <c r="AG47" s="87">
        <v>7</v>
      </c>
      <c r="AH47" s="87">
        <v>7</v>
      </c>
      <c r="AI47" s="200">
        <v>1606043</v>
      </c>
      <c r="AJ47" s="87" t="str">
        <f t="shared" si="47"/>
        <v>神器7-7</v>
      </c>
      <c r="AK47" s="87">
        <v>4</v>
      </c>
      <c r="AL47" s="87">
        <f t="shared" si="48"/>
        <v>750</v>
      </c>
      <c r="AO47" s="87">
        <v>3</v>
      </c>
      <c r="AP47" s="87">
        <v>2</v>
      </c>
      <c r="AQ47" s="87">
        <v>15</v>
      </c>
      <c r="AR47" s="144">
        <f t="shared" si="49"/>
        <v>4415</v>
      </c>
      <c r="AS47" s="144" t="s">
        <v>1216</v>
      </c>
      <c r="AT47" s="144" t="str">
        <f t="shared" si="50"/>
        <v>神器本-3-困难-3  神器3-3</v>
      </c>
      <c r="AU47" s="87">
        <v>11</v>
      </c>
      <c r="AV47" s="87" t="s">
        <v>317</v>
      </c>
      <c r="AW47" s="87">
        <v>3500</v>
      </c>
      <c r="AX47" s="87">
        <v>1</v>
      </c>
      <c r="AY47" s="87">
        <v>2</v>
      </c>
      <c r="AZ47" s="87">
        <f t="shared" si="51"/>
        <v>2</v>
      </c>
      <c r="BA47" s="14">
        <f t="shared" si="52"/>
        <v>0.52500000000000002</v>
      </c>
      <c r="BB47" s="14">
        <f t="shared" si="53"/>
        <v>31.5</v>
      </c>
      <c r="BL47" s="87">
        <v>41</v>
      </c>
      <c r="BM47" s="14">
        <f>INDEX(节奏总表!$CK$4:$CK$63,新神器!BL47)</f>
        <v>133</v>
      </c>
      <c r="BN47" s="14">
        <f t="shared" si="55"/>
        <v>7</v>
      </c>
      <c r="BO47" s="87">
        <v>3</v>
      </c>
      <c r="BP47" s="87">
        <v>5</v>
      </c>
      <c r="BQ47" s="14">
        <f t="shared" ref="BQ47:BZ56" si="129">SUMIFS($BA$7:$BA$301,$AO$7:$AO$301,"="&amp;$BN47,$AP$7:$AP$301,"="&amp;$BO47,$AU$7:$AU$301,"="&amp;BQ$2)*$BP47</f>
        <v>0</v>
      </c>
      <c r="BR47" s="14">
        <f t="shared" si="129"/>
        <v>0</v>
      </c>
      <c r="BS47" s="14">
        <f t="shared" si="129"/>
        <v>0</v>
      </c>
      <c r="BT47" s="14">
        <f t="shared" si="129"/>
        <v>0</v>
      </c>
      <c r="BU47" s="14">
        <f t="shared" si="129"/>
        <v>0</v>
      </c>
      <c r="BV47" s="14">
        <f t="shared" si="129"/>
        <v>0</v>
      </c>
      <c r="BW47" s="14">
        <f t="shared" si="129"/>
        <v>0</v>
      </c>
      <c r="BX47" s="14">
        <f t="shared" si="129"/>
        <v>0</v>
      </c>
      <c r="BY47" s="14">
        <f t="shared" si="129"/>
        <v>0.35000000000000003</v>
      </c>
      <c r="BZ47" s="14">
        <f t="shared" si="129"/>
        <v>0.35000000000000003</v>
      </c>
      <c r="CA47" s="14">
        <f t="shared" ref="CA47:CJ56" si="130">SUMIFS($BA$7:$BA$301,$AO$7:$AO$301,"="&amp;$BN47,$AP$7:$AP$301,"="&amp;$BO47,$AU$7:$AU$301,"="&amp;CA$2)*$BP47</f>
        <v>0.20699999999999999</v>
      </c>
      <c r="CB47" s="14">
        <f t="shared" si="130"/>
        <v>0.20699999999999999</v>
      </c>
      <c r="CC47" s="14">
        <f t="shared" si="130"/>
        <v>0.13750000000000001</v>
      </c>
      <c r="CD47" s="14">
        <f t="shared" si="130"/>
        <v>6.9000000000000006E-2</v>
      </c>
      <c r="CE47" s="14">
        <f t="shared" si="130"/>
        <v>0.35000000000000003</v>
      </c>
      <c r="CF47" s="14">
        <f t="shared" si="130"/>
        <v>0.35000000000000003</v>
      </c>
      <c r="CG47" s="14">
        <f t="shared" si="130"/>
        <v>0.20699999999999999</v>
      </c>
      <c r="CH47" s="14">
        <f t="shared" si="130"/>
        <v>0.20699999999999999</v>
      </c>
      <c r="CI47" s="14">
        <f t="shared" si="130"/>
        <v>0.13750000000000001</v>
      </c>
      <c r="CJ47" s="14">
        <f t="shared" si="130"/>
        <v>6.9000000000000006E-2</v>
      </c>
      <c r="CK47" s="14">
        <f t="shared" ref="CK47:CT56" si="131">SUMIFS($BA$7:$BA$301,$AO$7:$AO$301,"="&amp;$BN47,$AP$7:$AP$301,"="&amp;$BO47,$AU$7:$AU$301,"="&amp;CK$2)*$BP47</f>
        <v>0.35000000000000003</v>
      </c>
      <c r="CL47" s="14">
        <f t="shared" si="131"/>
        <v>0.35000000000000003</v>
      </c>
      <c r="CM47" s="14">
        <f t="shared" si="131"/>
        <v>0.20699999999999999</v>
      </c>
      <c r="CN47" s="14">
        <f t="shared" si="131"/>
        <v>0.20699999999999999</v>
      </c>
      <c r="CO47" s="14">
        <f t="shared" si="131"/>
        <v>0.13750000000000001</v>
      </c>
      <c r="CP47" s="14">
        <f t="shared" si="131"/>
        <v>6.9499999999999992E-2</v>
      </c>
      <c r="CQ47" s="14">
        <f t="shared" si="131"/>
        <v>0.20799999999999999</v>
      </c>
      <c r="CR47" s="14">
        <f t="shared" si="131"/>
        <v>0.20799999999999999</v>
      </c>
      <c r="CS47" s="14">
        <f t="shared" si="131"/>
        <v>0.20799999999999999</v>
      </c>
      <c r="CT47" s="14">
        <f t="shared" si="131"/>
        <v>0.13800000000000001</v>
      </c>
      <c r="CU47" s="14">
        <f t="shared" ref="CU47:DF56" si="132">SUMIFS($BA$7:$BA$301,$AO$7:$AO$301,"="&amp;$BN47,$AP$7:$AP$301,"="&amp;$BO47,$AU$7:$AU$301,"="&amp;CU$2)*$BP47</f>
        <v>0.13800000000000001</v>
      </c>
      <c r="CV47" s="14">
        <f t="shared" si="132"/>
        <v>0.13800000000000001</v>
      </c>
      <c r="CW47" s="14">
        <f t="shared" si="132"/>
        <v>0</v>
      </c>
      <c r="CX47" s="14">
        <f t="shared" si="132"/>
        <v>0</v>
      </c>
      <c r="CY47" s="14">
        <f t="shared" si="132"/>
        <v>1.5</v>
      </c>
      <c r="CZ47" s="14">
        <f t="shared" si="132"/>
        <v>1.5</v>
      </c>
      <c r="DA47" s="14">
        <f t="shared" si="132"/>
        <v>1.5</v>
      </c>
      <c r="DB47" s="14">
        <f t="shared" si="132"/>
        <v>0.5</v>
      </c>
      <c r="DC47" s="14">
        <f t="shared" si="132"/>
        <v>0.5</v>
      </c>
      <c r="DD47" s="14">
        <f t="shared" si="132"/>
        <v>0.5</v>
      </c>
      <c r="DE47" s="14">
        <f t="shared" si="132"/>
        <v>0.375</v>
      </c>
      <c r="DF47" s="14">
        <f t="shared" si="132"/>
        <v>0.375</v>
      </c>
      <c r="DH47" s="14">
        <f>SUM(BQ$7:BQ47)</f>
        <v>35.749999999999993</v>
      </c>
      <c r="DI47" s="14">
        <f>SUM(BR$7:BR47)</f>
        <v>35.749999999999993</v>
      </c>
      <c r="DJ47" s="14">
        <f>SUM(BS$7:BS47)</f>
        <v>20.25</v>
      </c>
      <c r="DK47" s="14">
        <f>SUM(BT$7:BT47)</f>
        <v>36.25</v>
      </c>
      <c r="DL47" s="14">
        <f>SUM(BU$7:BU47)</f>
        <v>36.25</v>
      </c>
      <c r="DM47" s="14">
        <f>SUM(BV$7:BV47)</f>
        <v>20.625</v>
      </c>
      <c r="DN47" s="14">
        <f>SUM(BW$7:BW47)</f>
        <v>20.625</v>
      </c>
      <c r="DO47" s="14">
        <f>SUM(BX$7:BX47)</f>
        <v>13.75</v>
      </c>
      <c r="DP47" s="14">
        <f>SUM(BY$7:BY47)</f>
        <v>25.649000000000008</v>
      </c>
      <c r="DQ47" s="14">
        <f>SUM(BZ$7:BZ47)</f>
        <v>25.649000000000008</v>
      </c>
      <c r="DR47" s="14">
        <f>SUM(CA$7:CA47)</f>
        <v>13.863000000000007</v>
      </c>
      <c r="DS47" s="14">
        <f>SUM(CB$7:CB47)</f>
        <v>13.863000000000007</v>
      </c>
      <c r="DT47" s="14">
        <f>SUM(CC$7:CC47)</f>
        <v>6.7375000000000016</v>
      </c>
      <c r="DU47" s="14">
        <f>SUM(CD$7:CD47)</f>
        <v>3.1309999999999993</v>
      </c>
      <c r="DV47" s="14">
        <f>SUM(CE$7:CE47)</f>
        <v>30.649000000000008</v>
      </c>
      <c r="DW47" s="14">
        <f>SUM(CF$7:CF47)</f>
        <v>30.649000000000008</v>
      </c>
      <c r="DX47" s="14">
        <f>SUM(CG$7:CG47)</f>
        <v>16.488000000000007</v>
      </c>
      <c r="DY47" s="14">
        <f>SUM(CH$7:CH47)</f>
        <v>16.488000000000007</v>
      </c>
      <c r="DZ47" s="14">
        <f>SUM(CI$7:CI47)</f>
        <v>7.7375000000000016</v>
      </c>
      <c r="EA47" s="14">
        <f>SUM(CJ$7:CJ47)</f>
        <v>3.6190000000000007</v>
      </c>
      <c r="EB47" s="14">
        <f>SUM(CK$7:CK47)</f>
        <v>35.649000000000008</v>
      </c>
      <c r="EC47" s="14">
        <f>SUM(CL$7:CL47)</f>
        <v>35.649000000000008</v>
      </c>
      <c r="ED47" s="14">
        <f>SUM(CM$7:CM47)</f>
        <v>19.113000000000007</v>
      </c>
      <c r="EE47" s="14">
        <f>SUM(CN$7:CN47)</f>
        <v>19.113000000000007</v>
      </c>
      <c r="EF47" s="14">
        <f>SUM(CO$7:CO47)</f>
        <v>8.7374999999999972</v>
      </c>
      <c r="EG47" s="14">
        <f>SUM(CP$7:CP47)</f>
        <v>4.1235000000000017</v>
      </c>
      <c r="EH47" s="14">
        <f>SUM(CQ$7:CQ47)</f>
        <v>10.872000000000002</v>
      </c>
      <c r="EI47" s="14">
        <f>SUM(CR$7:CR47)</f>
        <v>10.872000000000002</v>
      </c>
      <c r="EJ47" s="14">
        <f>SUM(CS$7:CS47)</f>
        <v>10.872000000000002</v>
      </c>
      <c r="EK47" s="14">
        <f>SUM(CT$7:CT47)</f>
        <v>4.2419999999999991</v>
      </c>
      <c r="EL47" s="14">
        <f>SUM(CU$7:CU47)</f>
        <v>4.2419999999999991</v>
      </c>
      <c r="EM47" s="14">
        <f>SUM(CV$7:CV47)</f>
        <v>4.2419999999999991</v>
      </c>
      <c r="EN47" s="14">
        <f>SUM(CW$7:CW47)</f>
        <v>2.25</v>
      </c>
      <c r="EO47" s="14">
        <f>SUM(CX$7:CX47)</f>
        <v>2.25</v>
      </c>
      <c r="EP47" s="14">
        <f>SUM(CY$7:CY47)</f>
        <v>13.5</v>
      </c>
      <c r="EQ47" s="14">
        <f>SUM(CZ$7:CZ47)</f>
        <v>13.5</v>
      </c>
      <c r="ER47" s="14">
        <f>SUM(DA$7:DA47)</f>
        <v>13.5</v>
      </c>
      <c r="ES47" s="14">
        <f>SUM(DB$7:DB47)</f>
        <v>4.5</v>
      </c>
      <c r="ET47" s="14">
        <f>SUM(DC$7:DC47)</f>
        <v>4.5</v>
      </c>
      <c r="EU47" s="14">
        <f>SUM(DD$7:DD47)</f>
        <v>4.5</v>
      </c>
      <c r="EV47" s="14">
        <f>SUM(DE$7:DE47)</f>
        <v>3.375</v>
      </c>
      <c r="EW47" s="14">
        <f>SUM(DF$7:DF47)</f>
        <v>3.375</v>
      </c>
      <c r="EZ47" s="14">
        <f t="shared" si="56"/>
        <v>9</v>
      </c>
      <c r="FA47" s="14">
        <f t="shared" si="87"/>
        <v>12</v>
      </c>
      <c r="FB47" s="14">
        <f t="shared" si="88"/>
        <v>12</v>
      </c>
      <c r="FC47" s="14">
        <f t="shared" si="89"/>
        <v>9</v>
      </c>
      <c r="FD47" s="14">
        <f t="shared" si="57"/>
        <v>7</v>
      </c>
      <c r="FE47" s="14">
        <f t="shared" si="90"/>
        <v>12</v>
      </c>
      <c r="FF47" s="14">
        <f t="shared" si="91"/>
        <v>12</v>
      </c>
      <c r="FG47" s="14">
        <f t="shared" si="92"/>
        <v>9</v>
      </c>
      <c r="FH47" s="14">
        <f t="shared" si="93"/>
        <v>9</v>
      </c>
      <c r="FI47" s="14">
        <f t="shared" si="94"/>
        <v>7</v>
      </c>
      <c r="FJ47" s="14">
        <f t="shared" si="58"/>
        <v>3</v>
      </c>
      <c r="FK47" s="14">
        <f t="shared" si="95"/>
        <v>10</v>
      </c>
      <c r="FL47" s="14">
        <f t="shared" si="96"/>
        <v>10</v>
      </c>
      <c r="FM47" s="14">
        <f t="shared" si="97"/>
        <v>7</v>
      </c>
      <c r="FN47" s="14">
        <f t="shared" si="98"/>
        <v>7</v>
      </c>
      <c r="FO47" s="14">
        <f t="shared" si="99"/>
        <v>4</v>
      </c>
      <c r="FP47" s="14">
        <f t="shared" si="100"/>
        <v>3</v>
      </c>
      <c r="FQ47" s="14">
        <f t="shared" si="59"/>
        <v>3</v>
      </c>
      <c r="FR47" s="14">
        <f t="shared" si="101"/>
        <v>11</v>
      </c>
      <c r="FS47" s="14">
        <f t="shared" si="102"/>
        <v>11</v>
      </c>
      <c r="FT47" s="14">
        <f t="shared" si="103"/>
        <v>8</v>
      </c>
      <c r="FU47" s="14">
        <f t="shared" si="104"/>
        <v>8</v>
      </c>
      <c r="FV47" s="14">
        <f t="shared" si="105"/>
        <v>5</v>
      </c>
      <c r="FW47" s="14">
        <f t="shared" si="106"/>
        <v>3</v>
      </c>
      <c r="FX47" s="14">
        <f t="shared" si="60"/>
        <v>3</v>
      </c>
      <c r="FY47" s="14">
        <f t="shared" si="107"/>
        <v>12</v>
      </c>
      <c r="FZ47" s="14">
        <f t="shared" si="108"/>
        <v>12</v>
      </c>
      <c r="GA47" s="14">
        <f t="shared" si="109"/>
        <v>9</v>
      </c>
      <c r="GB47" s="14">
        <f t="shared" si="110"/>
        <v>9</v>
      </c>
      <c r="GC47" s="14">
        <f t="shared" si="111"/>
        <v>5</v>
      </c>
      <c r="GD47" s="14">
        <f t="shared" si="112"/>
        <v>3</v>
      </c>
      <c r="GE47" s="14">
        <f t="shared" si="61"/>
        <v>2</v>
      </c>
      <c r="GF47" s="14">
        <f t="shared" si="113"/>
        <v>6</v>
      </c>
      <c r="GG47" s="14">
        <f t="shared" si="114"/>
        <v>6</v>
      </c>
      <c r="GH47" s="14">
        <f t="shared" si="115"/>
        <v>6</v>
      </c>
      <c r="GI47" s="14">
        <f t="shared" si="116"/>
        <v>3</v>
      </c>
      <c r="GJ47" s="14">
        <f t="shared" si="117"/>
        <v>3</v>
      </c>
      <c r="GK47" s="14">
        <f t="shared" si="118"/>
        <v>3</v>
      </c>
      <c r="GL47" s="14">
        <f t="shared" si="119"/>
        <v>2</v>
      </c>
      <c r="GM47" s="14">
        <f t="shared" si="120"/>
        <v>2</v>
      </c>
      <c r="GN47" s="14">
        <f t="shared" si="62"/>
        <v>3</v>
      </c>
      <c r="GO47" s="14">
        <f t="shared" si="121"/>
        <v>7</v>
      </c>
      <c r="GP47" s="14">
        <f t="shared" si="122"/>
        <v>7</v>
      </c>
      <c r="GQ47" s="14">
        <f t="shared" si="123"/>
        <v>7</v>
      </c>
      <c r="GR47" s="14">
        <f t="shared" si="124"/>
        <v>3</v>
      </c>
      <c r="GS47" s="14">
        <f t="shared" si="125"/>
        <v>3</v>
      </c>
      <c r="GT47" s="14">
        <f t="shared" si="126"/>
        <v>3</v>
      </c>
      <c r="GU47" s="14">
        <f t="shared" si="127"/>
        <v>3</v>
      </c>
      <c r="GV47" s="14">
        <f t="shared" si="128"/>
        <v>3</v>
      </c>
      <c r="GY47" s="91">
        <v>41</v>
      </c>
      <c r="GZ47" s="14">
        <f t="shared" si="63"/>
        <v>3</v>
      </c>
      <c r="HA47" s="14">
        <f t="shared" si="64"/>
        <v>1</v>
      </c>
      <c r="HB47" s="14">
        <f t="shared" si="65"/>
        <v>2</v>
      </c>
      <c r="HC47" s="14">
        <f t="shared" si="66"/>
        <v>0.53100000000000003</v>
      </c>
      <c r="HD47" s="14">
        <f t="shared" si="67"/>
        <v>1606005</v>
      </c>
      <c r="HE47" s="14" t="str">
        <f t="shared" si="68"/>
        <v>神器1-3 : 11级</v>
      </c>
      <c r="HF47" s="14" t="s">
        <v>800</v>
      </c>
      <c r="HG47" s="14">
        <f t="shared" si="69"/>
        <v>11</v>
      </c>
      <c r="HH47" s="14" t="str">
        <f t="shared" si="70"/>
        <v>神器1-3</v>
      </c>
      <c r="HI47" s="14">
        <f t="shared" si="71"/>
        <v>5</v>
      </c>
      <c r="HJ47" s="14" t="s">
        <v>1595</v>
      </c>
      <c r="HK47" s="14">
        <f t="shared" si="72"/>
        <v>6350</v>
      </c>
    </row>
    <row r="48" spans="14:219" ht="16.5" x14ac:dyDescent="0.2">
      <c r="N48" s="90">
        <v>7</v>
      </c>
      <c r="O48" s="90">
        <v>7</v>
      </c>
      <c r="P48" s="90">
        <v>4</v>
      </c>
      <c r="Q48" s="90">
        <v>21</v>
      </c>
      <c r="R48" s="14">
        <f>SUM(Q$7:Q48)</f>
        <v>759</v>
      </c>
      <c r="S48" s="91">
        <v>1606043</v>
      </c>
      <c r="T48" s="14" t="str">
        <f t="shared" si="73"/>
        <v>神器7-7</v>
      </c>
      <c r="AF48" s="87">
        <v>42</v>
      </c>
      <c r="AG48" s="87">
        <v>7</v>
      </c>
      <c r="AH48" s="87">
        <v>8</v>
      </c>
      <c r="AI48" s="200">
        <v>1606044</v>
      </c>
      <c r="AJ48" s="87" t="str">
        <f t="shared" si="47"/>
        <v>神器7-8</v>
      </c>
      <c r="AK48" s="87">
        <v>4</v>
      </c>
      <c r="AL48" s="87">
        <f t="shared" si="48"/>
        <v>750</v>
      </c>
      <c r="AO48" s="87">
        <v>3</v>
      </c>
      <c r="AP48" s="87">
        <v>2</v>
      </c>
      <c r="AQ48" s="87">
        <v>15</v>
      </c>
      <c r="AR48" s="144">
        <f t="shared" si="49"/>
        <v>4415</v>
      </c>
      <c r="AS48" s="144" t="s">
        <v>1216</v>
      </c>
      <c r="AT48" s="144" t="str">
        <f t="shared" si="50"/>
        <v>神器本-3-困难-3  神器3-4</v>
      </c>
      <c r="AU48" s="87">
        <v>12</v>
      </c>
      <c r="AV48" s="87" t="s">
        <v>318</v>
      </c>
      <c r="AW48" s="87">
        <v>3500</v>
      </c>
      <c r="AX48" s="87">
        <v>1</v>
      </c>
      <c r="AY48" s="87">
        <v>2</v>
      </c>
      <c r="AZ48" s="87">
        <f t="shared" si="51"/>
        <v>2</v>
      </c>
      <c r="BA48" s="14">
        <f t="shared" si="52"/>
        <v>0.52500000000000002</v>
      </c>
      <c r="BB48" s="14">
        <f t="shared" si="53"/>
        <v>31.5</v>
      </c>
      <c r="BL48" s="87">
        <v>42</v>
      </c>
      <c r="BM48" s="14">
        <f>INDEX(节奏总表!$CK$4:$CK$63,新神器!BL48)</f>
        <v>134</v>
      </c>
      <c r="BN48" s="14">
        <f t="shared" si="55"/>
        <v>7</v>
      </c>
      <c r="BO48" s="87">
        <v>3</v>
      </c>
      <c r="BP48" s="87">
        <v>5</v>
      </c>
      <c r="BQ48" s="14">
        <f t="shared" si="129"/>
        <v>0</v>
      </c>
      <c r="BR48" s="14">
        <f t="shared" si="129"/>
        <v>0</v>
      </c>
      <c r="BS48" s="14">
        <f t="shared" si="129"/>
        <v>0</v>
      </c>
      <c r="BT48" s="14">
        <f t="shared" si="129"/>
        <v>0</v>
      </c>
      <c r="BU48" s="14">
        <f t="shared" si="129"/>
        <v>0</v>
      </c>
      <c r="BV48" s="14">
        <f t="shared" si="129"/>
        <v>0</v>
      </c>
      <c r="BW48" s="14">
        <f t="shared" si="129"/>
        <v>0</v>
      </c>
      <c r="BX48" s="14">
        <f t="shared" si="129"/>
        <v>0</v>
      </c>
      <c r="BY48" s="14">
        <f t="shared" si="129"/>
        <v>0.35000000000000003</v>
      </c>
      <c r="BZ48" s="14">
        <f t="shared" si="129"/>
        <v>0.35000000000000003</v>
      </c>
      <c r="CA48" s="14">
        <f t="shared" si="130"/>
        <v>0.20699999999999999</v>
      </c>
      <c r="CB48" s="14">
        <f t="shared" si="130"/>
        <v>0.20699999999999999</v>
      </c>
      <c r="CC48" s="14">
        <f t="shared" si="130"/>
        <v>0.13750000000000001</v>
      </c>
      <c r="CD48" s="14">
        <f t="shared" si="130"/>
        <v>6.9000000000000006E-2</v>
      </c>
      <c r="CE48" s="14">
        <f t="shared" si="130"/>
        <v>0.35000000000000003</v>
      </c>
      <c r="CF48" s="14">
        <f t="shared" si="130"/>
        <v>0.35000000000000003</v>
      </c>
      <c r="CG48" s="14">
        <f t="shared" si="130"/>
        <v>0.20699999999999999</v>
      </c>
      <c r="CH48" s="14">
        <f t="shared" si="130"/>
        <v>0.20699999999999999</v>
      </c>
      <c r="CI48" s="14">
        <f t="shared" si="130"/>
        <v>0.13750000000000001</v>
      </c>
      <c r="CJ48" s="14">
        <f t="shared" si="130"/>
        <v>6.9000000000000006E-2</v>
      </c>
      <c r="CK48" s="14">
        <f t="shared" si="131"/>
        <v>0.35000000000000003</v>
      </c>
      <c r="CL48" s="14">
        <f t="shared" si="131"/>
        <v>0.35000000000000003</v>
      </c>
      <c r="CM48" s="14">
        <f t="shared" si="131"/>
        <v>0.20699999999999999</v>
      </c>
      <c r="CN48" s="14">
        <f t="shared" si="131"/>
        <v>0.20699999999999999</v>
      </c>
      <c r="CO48" s="14">
        <f t="shared" si="131"/>
        <v>0.13750000000000001</v>
      </c>
      <c r="CP48" s="14">
        <f t="shared" si="131"/>
        <v>6.9499999999999992E-2</v>
      </c>
      <c r="CQ48" s="14">
        <f t="shared" si="131"/>
        <v>0.20799999999999999</v>
      </c>
      <c r="CR48" s="14">
        <f t="shared" si="131"/>
        <v>0.20799999999999999</v>
      </c>
      <c r="CS48" s="14">
        <f t="shared" si="131"/>
        <v>0.20799999999999999</v>
      </c>
      <c r="CT48" s="14">
        <f t="shared" si="131"/>
        <v>0.13800000000000001</v>
      </c>
      <c r="CU48" s="14">
        <f t="shared" si="132"/>
        <v>0.13800000000000001</v>
      </c>
      <c r="CV48" s="14">
        <f t="shared" si="132"/>
        <v>0.13800000000000001</v>
      </c>
      <c r="CW48" s="14">
        <f t="shared" si="132"/>
        <v>0</v>
      </c>
      <c r="CX48" s="14">
        <f t="shared" si="132"/>
        <v>0</v>
      </c>
      <c r="CY48" s="14">
        <f t="shared" si="132"/>
        <v>1.5</v>
      </c>
      <c r="CZ48" s="14">
        <f t="shared" si="132"/>
        <v>1.5</v>
      </c>
      <c r="DA48" s="14">
        <f t="shared" si="132"/>
        <v>1.5</v>
      </c>
      <c r="DB48" s="14">
        <f t="shared" si="132"/>
        <v>0.5</v>
      </c>
      <c r="DC48" s="14">
        <f t="shared" si="132"/>
        <v>0.5</v>
      </c>
      <c r="DD48" s="14">
        <f t="shared" si="132"/>
        <v>0.5</v>
      </c>
      <c r="DE48" s="14">
        <f t="shared" si="132"/>
        <v>0.375</v>
      </c>
      <c r="DF48" s="14">
        <f t="shared" si="132"/>
        <v>0.375</v>
      </c>
      <c r="DH48" s="14">
        <f>SUM(BQ$7:BQ48)</f>
        <v>35.749999999999993</v>
      </c>
      <c r="DI48" s="14">
        <f>SUM(BR$7:BR48)</f>
        <v>35.749999999999993</v>
      </c>
      <c r="DJ48" s="14">
        <f>SUM(BS$7:BS48)</f>
        <v>20.25</v>
      </c>
      <c r="DK48" s="14">
        <f>SUM(BT$7:BT48)</f>
        <v>36.25</v>
      </c>
      <c r="DL48" s="14">
        <f>SUM(BU$7:BU48)</f>
        <v>36.25</v>
      </c>
      <c r="DM48" s="14">
        <f>SUM(BV$7:BV48)</f>
        <v>20.625</v>
      </c>
      <c r="DN48" s="14">
        <f>SUM(BW$7:BW48)</f>
        <v>20.625</v>
      </c>
      <c r="DO48" s="14">
        <f>SUM(BX$7:BX48)</f>
        <v>13.75</v>
      </c>
      <c r="DP48" s="14">
        <f>SUM(BY$7:BY48)</f>
        <v>25.999000000000009</v>
      </c>
      <c r="DQ48" s="14">
        <f>SUM(BZ$7:BZ48)</f>
        <v>25.999000000000009</v>
      </c>
      <c r="DR48" s="14">
        <f>SUM(CA$7:CA48)</f>
        <v>14.070000000000007</v>
      </c>
      <c r="DS48" s="14">
        <f>SUM(CB$7:CB48)</f>
        <v>14.070000000000007</v>
      </c>
      <c r="DT48" s="14">
        <f>SUM(CC$7:CC48)</f>
        <v>6.8750000000000018</v>
      </c>
      <c r="DU48" s="14">
        <f>SUM(CD$7:CD48)</f>
        <v>3.1999999999999993</v>
      </c>
      <c r="DV48" s="14">
        <f>SUM(CE$7:CE48)</f>
        <v>30.999000000000009</v>
      </c>
      <c r="DW48" s="14">
        <f>SUM(CF$7:CF48)</f>
        <v>30.999000000000009</v>
      </c>
      <c r="DX48" s="14">
        <f>SUM(CG$7:CG48)</f>
        <v>16.695000000000007</v>
      </c>
      <c r="DY48" s="14">
        <f>SUM(CH$7:CH48)</f>
        <v>16.695000000000007</v>
      </c>
      <c r="DZ48" s="14">
        <f>SUM(CI$7:CI48)</f>
        <v>7.8750000000000018</v>
      </c>
      <c r="EA48" s="14">
        <f>SUM(CJ$7:CJ48)</f>
        <v>3.6880000000000006</v>
      </c>
      <c r="EB48" s="14">
        <f>SUM(CK$7:CK48)</f>
        <v>35.999000000000009</v>
      </c>
      <c r="EC48" s="14">
        <f>SUM(CL$7:CL48)</f>
        <v>35.999000000000009</v>
      </c>
      <c r="ED48" s="14">
        <f>SUM(CM$7:CM48)</f>
        <v>19.320000000000007</v>
      </c>
      <c r="EE48" s="14">
        <f>SUM(CN$7:CN48)</f>
        <v>19.320000000000007</v>
      </c>
      <c r="EF48" s="14">
        <f>SUM(CO$7:CO48)</f>
        <v>8.8749999999999964</v>
      </c>
      <c r="EG48" s="14">
        <f>SUM(CP$7:CP48)</f>
        <v>4.1930000000000014</v>
      </c>
      <c r="EH48" s="14">
        <f>SUM(CQ$7:CQ48)</f>
        <v>11.080000000000002</v>
      </c>
      <c r="EI48" s="14">
        <f>SUM(CR$7:CR48)</f>
        <v>11.080000000000002</v>
      </c>
      <c r="EJ48" s="14">
        <f>SUM(CS$7:CS48)</f>
        <v>11.080000000000002</v>
      </c>
      <c r="EK48" s="14">
        <f>SUM(CT$7:CT48)</f>
        <v>4.379999999999999</v>
      </c>
      <c r="EL48" s="14">
        <f>SUM(CU$7:CU48)</f>
        <v>4.379999999999999</v>
      </c>
      <c r="EM48" s="14">
        <f>SUM(CV$7:CV48)</f>
        <v>4.379999999999999</v>
      </c>
      <c r="EN48" s="14">
        <f>SUM(CW$7:CW48)</f>
        <v>2.25</v>
      </c>
      <c r="EO48" s="14">
        <f>SUM(CX$7:CX48)</f>
        <v>2.25</v>
      </c>
      <c r="EP48" s="14">
        <f>SUM(CY$7:CY48)</f>
        <v>15</v>
      </c>
      <c r="EQ48" s="14">
        <f>SUM(CZ$7:CZ48)</f>
        <v>15</v>
      </c>
      <c r="ER48" s="14">
        <f>SUM(DA$7:DA48)</f>
        <v>15</v>
      </c>
      <c r="ES48" s="14">
        <f>SUM(DB$7:DB48)</f>
        <v>5</v>
      </c>
      <c r="ET48" s="14">
        <f>SUM(DC$7:DC48)</f>
        <v>5</v>
      </c>
      <c r="EU48" s="14">
        <f>SUM(DD$7:DD48)</f>
        <v>5</v>
      </c>
      <c r="EV48" s="14">
        <f>SUM(DE$7:DE48)</f>
        <v>3.75</v>
      </c>
      <c r="EW48" s="14">
        <f>SUM(DF$7:DF48)</f>
        <v>3.75</v>
      </c>
      <c r="EZ48" s="14">
        <f t="shared" si="56"/>
        <v>9</v>
      </c>
      <c r="FA48" s="14">
        <f t="shared" si="87"/>
        <v>12</v>
      </c>
      <c r="FB48" s="14">
        <f t="shared" si="88"/>
        <v>12</v>
      </c>
      <c r="FC48" s="14">
        <f t="shared" si="89"/>
        <v>9</v>
      </c>
      <c r="FD48" s="14">
        <f t="shared" si="57"/>
        <v>7</v>
      </c>
      <c r="FE48" s="14">
        <f t="shared" si="90"/>
        <v>12</v>
      </c>
      <c r="FF48" s="14">
        <f t="shared" si="91"/>
        <v>12</v>
      </c>
      <c r="FG48" s="14">
        <f t="shared" si="92"/>
        <v>9</v>
      </c>
      <c r="FH48" s="14">
        <f t="shared" si="93"/>
        <v>9</v>
      </c>
      <c r="FI48" s="14">
        <f t="shared" si="94"/>
        <v>7</v>
      </c>
      <c r="FJ48" s="14">
        <f t="shared" si="58"/>
        <v>3</v>
      </c>
      <c r="FK48" s="14">
        <f t="shared" si="95"/>
        <v>10</v>
      </c>
      <c r="FL48" s="14">
        <f t="shared" si="96"/>
        <v>10</v>
      </c>
      <c r="FM48" s="14">
        <f t="shared" si="97"/>
        <v>7</v>
      </c>
      <c r="FN48" s="14">
        <f t="shared" si="98"/>
        <v>7</v>
      </c>
      <c r="FO48" s="14">
        <f t="shared" si="99"/>
        <v>4</v>
      </c>
      <c r="FP48" s="14">
        <f t="shared" si="100"/>
        <v>3</v>
      </c>
      <c r="FQ48" s="14">
        <f t="shared" si="59"/>
        <v>3</v>
      </c>
      <c r="FR48" s="14">
        <f t="shared" si="101"/>
        <v>11</v>
      </c>
      <c r="FS48" s="14">
        <f t="shared" si="102"/>
        <v>11</v>
      </c>
      <c r="FT48" s="14">
        <f t="shared" si="103"/>
        <v>8</v>
      </c>
      <c r="FU48" s="14">
        <f t="shared" si="104"/>
        <v>8</v>
      </c>
      <c r="FV48" s="14">
        <f t="shared" si="105"/>
        <v>5</v>
      </c>
      <c r="FW48" s="14">
        <f t="shared" si="106"/>
        <v>3</v>
      </c>
      <c r="FX48" s="14">
        <f t="shared" si="60"/>
        <v>3</v>
      </c>
      <c r="FY48" s="14">
        <f t="shared" si="107"/>
        <v>12</v>
      </c>
      <c r="FZ48" s="14">
        <f t="shared" si="108"/>
        <v>12</v>
      </c>
      <c r="GA48" s="14">
        <f t="shared" si="109"/>
        <v>9</v>
      </c>
      <c r="GB48" s="14">
        <f t="shared" si="110"/>
        <v>9</v>
      </c>
      <c r="GC48" s="14">
        <f t="shared" si="111"/>
        <v>5</v>
      </c>
      <c r="GD48" s="14">
        <f t="shared" si="112"/>
        <v>3</v>
      </c>
      <c r="GE48" s="14">
        <f t="shared" si="61"/>
        <v>2</v>
      </c>
      <c r="GF48" s="14">
        <f t="shared" si="113"/>
        <v>6</v>
      </c>
      <c r="GG48" s="14">
        <f t="shared" si="114"/>
        <v>6</v>
      </c>
      <c r="GH48" s="14">
        <f t="shared" si="115"/>
        <v>6</v>
      </c>
      <c r="GI48" s="14">
        <f t="shared" si="116"/>
        <v>3</v>
      </c>
      <c r="GJ48" s="14">
        <f t="shared" si="117"/>
        <v>3</v>
      </c>
      <c r="GK48" s="14">
        <f t="shared" si="118"/>
        <v>3</v>
      </c>
      <c r="GL48" s="14">
        <f t="shared" si="119"/>
        <v>2</v>
      </c>
      <c r="GM48" s="14">
        <f t="shared" si="120"/>
        <v>2</v>
      </c>
      <c r="GN48" s="14">
        <f t="shared" si="62"/>
        <v>3</v>
      </c>
      <c r="GO48" s="14">
        <f t="shared" si="121"/>
        <v>8</v>
      </c>
      <c r="GP48" s="14">
        <f t="shared" si="122"/>
        <v>8</v>
      </c>
      <c r="GQ48" s="14">
        <f t="shared" si="123"/>
        <v>8</v>
      </c>
      <c r="GR48" s="14">
        <f t="shared" si="124"/>
        <v>4</v>
      </c>
      <c r="GS48" s="14">
        <f t="shared" si="125"/>
        <v>4</v>
      </c>
      <c r="GT48" s="14">
        <f t="shared" si="126"/>
        <v>4</v>
      </c>
      <c r="GU48" s="14">
        <f t="shared" si="127"/>
        <v>3</v>
      </c>
      <c r="GV48" s="14">
        <f t="shared" si="128"/>
        <v>3</v>
      </c>
      <c r="GY48" s="91">
        <v>42</v>
      </c>
      <c r="GZ48" s="14">
        <f t="shared" si="63"/>
        <v>3</v>
      </c>
      <c r="HA48" s="14">
        <f t="shared" si="64"/>
        <v>1</v>
      </c>
      <c r="HB48" s="14">
        <f t="shared" si="65"/>
        <v>2</v>
      </c>
      <c r="HC48" s="14">
        <f t="shared" si="66"/>
        <v>0.54200000000000004</v>
      </c>
      <c r="HD48" s="14">
        <f t="shared" si="67"/>
        <v>1606005</v>
      </c>
      <c r="HE48" s="14" t="str">
        <f t="shared" si="68"/>
        <v>神器1-3 : 12级</v>
      </c>
      <c r="HF48" s="14" t="s">
        <v>800</v>
      </c>
      <c r="HG48" s="14">
        <f t="shared" si="69"/>
        <v>12</v>
      </c>
      <c r="HH48" s="14" t="str">
        <f t="shared" si="70"/>
        <v>神器1-3</v>
      </c>
      <c r="HI48" s="14">
        <f t="shared" si="71"/>
        <v>6</v>
      </c>
      <c r="HJ48" s="14" t="s">
        <v>1595</v>
      </c>
      <c r="HK48" s="14">
        <f t="shared" si="72"/>
        <v>6500</v>
      </c>
    </row>
    <row r="49" spans="14:219" ht="16.5" x14ac:dyDescent="0.2">
      <c r="N49" s="90">
        <v>7</v>
      </c>
      <c r="O49" s="90">
        <v>8</v>
      </c>
      <c r="P49" s="90">
        <v>4</v>
      </c>
      <c r="Q49" s="90">
        <v>21</v>
      </c>
      <c r="R49" s="14">
        <f>SUM(Q$7:Q49)</f>
        <v>780</v>
      </c>
      <c r="S49" s="91">
        <v>1606044</v>
      </c>
      <c r="T49" s="14" t="str">
        <f t="shared" si="73"/>
        <v>神器7-8</v>
      </c>
      <c r="AO49" s="87">
        <v>3</v>
      </c>
      <c r="AP49" s="87">
        <v>2</v>
      </c>
      <c r="AQ49" s="87">
        <v>16</v>
      </c>
      <c r="AR49" s="144">
        <f t="shared" si="49"/>
        <v>4416</v>
      </c>
      <c r="AS49" s="144" t="s">
        <v>1219</v>
      </c>
      <c r="AT49" s="144" t="str">
        <f t="shared" si="50"/>
        <v>神器本-3-困难-4  神器3-5</v>
      </c>
      <c r="AU49" s="87">
        <v>13</v>
      </c>
      <c r="AV49" s="87" t="s">
        <v>319</v>
      </c>
      <c r="AW49" s="87">
        <v>2000</v>
      </c>
      <c r="AX49" s="87">
        <v>1</v>
      </c>
      <c r="AY49" s="87">
        <v>1</v>
      </c>
      <c r="AZ49" s="87">
        <f t="shared" si="51"/>
        <v>3</v>
      </c>
      <c r="BA49" s="14">
        <f t="shared" si="52"/>
        <v>0.2</v>
      </c>
      <c r="BB49" s="14">
        <f t="shared" si="53"/>
        <v>28</v>
      </c>
      <c r="BL49" s="87">
        <v>43</v>
      </c>
      <c r="BM49" s="14">
        <f>INDEX(节奏总表!$CK$4:$CK$63,新神器!BL49)</f>
        <v>135</v>
      </c>
      <c r="BN49" s="14">
        <f t="shared" si="55"/>
        <v>7</v>
      </c>
      <c r="BO49" s="87">
        <v>3</v>
      </c>
      <c r="BP49" s="87">
        <v>5</v>
      </c>
      <c r="BQ49" s="14">
        <f t="shared" si="129"/>
        <v>0</v>
      </c>
      <c r="BR49" s="14">
        <f t="shared" si="129"/>
        <v>0</v>
      </c>
      <c r="BS49" s="14">
        <f t="shared" si="129"/>
        <v>0</v>
      </c>
      <c r="BT49" s="14">
        <f t="shared" si="129"/>
        <v>0</v>
      </c>
      <c r="BU49" s="14">
        <f t="shared" si="129"/>
        <v>0</v>
      </c>
      <c r="BV49" s="14">
        <f t="shared" si="129"/>
        <v>0</v>
      </c>
      <c r="BW49" s="14">
        <f t="shared" si="129"/>
        <v>0</v>
      </c>
      <c r="BX49" s="14">
        <f t="shared" si="129"/>
        <v>0</v>
      </c>
      <c r="BY49" s="14">
        <f t="shared" si="129"/>
        <v>0.35000000000000003</v>
      </c>
      <c r="BZ49" s="14">
        <f t="shared" si="129"/>
        <v>0.35000000000000003</v>
      </c>
      <c r="CA49" s="14">
        <f t="shared" si="130"/>
        <v>0.20699999999999999</v>
      </c>
      <c r="CB49" s="14">
        <f t="shared" si="130"/>
        <v>0.20699999999999999</v>
      </c>
      <c r="CC49" s="14">
        <f t="shared" si="130"/>
        <v>0.13750000000000001</v>
      </c>
      <c r="CD49" s="14">
        <f t="shared" si="130"/>
        <v>6.9000000000000006E-2</v>
      </c>
      <c r="CE49" s="14">
        <f t="shared" si="130"/>
        <v>0.35000000000000003</v>
      </c>
      <c r="CF49" s="14">
        <f t="shared" si="130"/>
        <v>0.35000000000000003</v>
      </c>
      <c r="CG49" s="14">
        <f t="shared" si="130"/>
        <v>0.20699999999999999</v>
      </c>
      <c r="CH49" s="14">
        <f t="shared" si="130"/>
        <v>0.20699999999999999</v>
      </c>
      <c r="CI49" s="14">
        <f t="shared" si="130"/>
        <v>0.13750000000000001</v>
      </c>
      <c r="CJ49" s="14">
        <f t="shared" si="130"/>
        <v>6.9000000000000006E-2</v>
      </c>
      <c r="CK49" s="14">
        <f t="shared" si="131"/>
        <v>0.35000000000000003</v>
      </c>
      <c r="CL49" s="14">
        <f t="shared" si="131"/>
        <v>0.35000000000000003</v>
      </c>
      <c r="CM49" s="14">
        <f t="shared" si="131"/>
        <v>0.20699999999999999</v>
      </c>
      <c r="CN49" s="14">
        <f t="shared" si="131"/>
        <v>0.20699999999999999</v>
      </c>
      <c r="CO49" s="14">
        <f t="shared" si="131"/>
        <v>0.13750000000000001</v>
      </c>
      <c r="CP49" s="14">
        <f t="shared" si="131"/>
        <v>6.9499999999999992E-2</v>
      </c>
      <c r="CQ49" s="14">
        <f t="shared" si="131"/>
        <v>0.20799999999999999</v>
      </c>
      <c r="CR49" s="14">
        <f t="shared" si="131"/>
        <v>0.20799999999999999</v>
      </c>
      <c r="CS49" s="14">
        <f t="shared" si="131"/>
        <v>0.20799999999999999</v>
      </c>
      <c r="CT49" s="14">
        <f t="shared" si="131"/>
        <v>0.13800000000000001</v>
      </c>
      <c r="CU49" s="14">
        <f t="shared" si="132"/>
        <v>0.13800000000000001</v>
      </c>
      <c r="CV49" s="14">
        <f t="shared" si="132"/>
        <v>0.13800000000000001</v>
      </c>
      <c r="CW49" s="14">
        <f t="shared" si="132"/>
        <v>0</v>
      </c>
      <c r="CX49" s="14">
        <f t="shared" si="132"/>
        <v>0</v>
      </c>
      <c r="CY49" s="14">
        <f t="shared" si="132"/>
        <v>1.5</v>
      </c>
      <c r="CZ49" s="14">
        <f t="shared" si="132"/>
        <v>1.5</v>
      </c>
      <c r="DA49" s="14">
        <f t="shared" si="132"/>
        <v>1.5</v>
      </c>
      <c r="DB49" s="14">
        <f t="shared" si="132"/>
        <v>0.5</v>
      </c>
      <c r="DC49" s="14">
        <f t="shared" si="132"/>
        <v>0.5</v>
      </c>
      <c r="DD49" s="14">
        <f t="shared" si="132"/>
        <v>0.5</v>
      </c>
      <c r="DE49" s="14">
        <f t="shared" si="132"/>
        <v>0.375</v>
      </c>
      <c r="DF49" s="14">
        <f t="shared" si="132"/>
        <v>0.375</v>
      </c>
      <c r="DH49" s="14">
        <f>SUM(BQ$7:BQ49)</f>
        <v>35.749999999999993</v>
      </c>
      <c r="DI49" s="14">
        <f>SUM(BR$7:BR49)</f>
        <v>35.749999999999993</v>
      </c>
      <c r="DJ49" s="14">
        <f>SUM(BS$7:BS49)</f>
        <v>20.25</v>
      </c>
      <c r="DK49" s="14">
        <f>SUM(BT$7:BT49)</f>
        <v>36.25</v>
      </c>
      <c r="DL49" s="14">
        <f>SUM(BU$7:BU49)</f>
        <v>36.25</v>
      </c>
      <c r="DM49" s="14">
        <f>SUM(BV$7:BV49)</f>
        <v>20.625</v>
      </c>
      <c r="DN49" s="14">
        <f>SUM(BW$7:BW49)</f>
        <v>20.625</v>
      </c>
      <c r="DO49" s="14">
        <f>SUM(BX$7:BX49)</f>
        <v>13.75</v>
      </c>
      <c r="DP49" s="14">
        <f>SUM(BY$7:BY49)</f>
        <v>26.349000000000011</v>
      </c>
      <c r="DQ49" s="14">
        <f>SUM(BZ$7:BZ49)</f>
        <v>26.349000000000011</v>
      </c>
      <c r="DR49" s="14">
        <f>SUM(CA$7:CA49)</f>
        <v>14.277000000000008</v>
      </c>
      <c r="DS49" s="14">
        <f>SUM(CB$7:CB49)</f>
        <v>14.277000000000008</v>
      </c>
      <c r="DT49" s="14">
        <f>SUM(CC$7:CC49)</f>
        <v>7.012500000000002</v>
      </c>
      <c r="DU49" s="14">
        <f>SUM(CD$7:CD49)</f>
        <v>3.2689999999999992</v>
      </c>
      <c r="DV49" s="14">
        <f>SUM(CE$7:CE49)</f>
        <v>31.349000000000011</v>
      </c>
      <c r="DW49" s="14">
        <f>SUM(CF$7:CF49)</f>
        <v>31.349000000000011</v>
      </c>
      <c r="DX49" s="14">
        <f>SUM(CG$7:CG49)</f>
        <v>16.902000000000008</v>
      </c>
      <c r="DY49" s="14">
        <f>SUM(CH$7:CH49)</f>
        <v>16.902000000000008</v>
      </c>
      <c r="DZ49" s="14">
        <f>SUM(CI$7:CI49)</f>
        <v>8.0125000000000011</v>
      </c>
      <c r="EA49" s="14">
        <f>SUM(CJ$7:CJ49)</f>
        <v>3.7570000000000006</v>
      </c>
      <c r="EB49" s="14">
        <f>SUM(CK$7:CK49)</f>
        <v>36.349000000000011</v>
      </c>
      <c r="EC49" s="14">
        <f>SUM(CL$7:CL49)</f>
        <v>36.349000000000011</v>
      </c>
      <c r="ED49" s="14">
        <f>SUM(CM$7:CM49)</f>
        <v>19.527000000000008</v>
      </c>
      <c r="EE49" s="14">
        <f>SUM(CN$7:CN49)</f>
        <v>19.527000000000008</v>
      </c>
      <c r="EF49" s="14">
        <f>SUM(CO$7:CO49)</f>
        <v>9.0124999999999957</v>
      </c>
      <c r="EG49" s="14">
        <f>SUM(CP$7:CP49)</f>
        <v>4.2625000000000011</v>
      </c>
      <c r="EH49" s="14">
        <f>SUM(CQ$7:CQ49)</f>
        <v>11.288000000000002</v>
      </c>
      <c r="EI49" s="14">
        <f>SUM(CR$7:CR49)</f>
        <v>11.288000000000002</v>
      </c>
      <c r="EJ49" s="14">
        <f>SUM(CS$7:CS49)</f>
        <v>11.288000000000002</v>
      </c>
      <c r="EK49" s="14">
        <f>SUM(CT$7:CT49)</f>
        <v>4.5179999999999989</v>
      </c>
      <c r="EL49" s="14">
        <f>SUM(CU$7:CU49)</f>
        <v>4.5179999999999989</v>
      </c>
      <c r="EM49" s="14">
        <f>SUM(CV$7:CV49)</f>
        <v>4.5179999999999989</v>
      </c>
      <c r="EN49" s="14">
        <f>SUM(CW$7:CW49)</f>
        <v>2.25</v>
      </c>
      <c r="EO49" s="14">
        <f>SUM(CX$7:CX49)</f>
        <v>2.25</v>
      </c>
      <c r="EP49" s="14">
        <f>SUM(CY$7:CY49)</f>
        <v>16.5</v>
      </c>
      <c r="EQ49" s="14">
        <f>SUM(CZ$7:CZ49)</f>
        <v>16.5</v>
      </c>
      <c r="ER49" s="14">
        <f>SUM(DA$7:DA49)</f>
        <v>16.5</v>
      </c>
      <c r="ES49" s="14">
        <f>SUM(DB$7:DB49)</f>
        <v>5.5</v>
      </c>
      <c r="ET49" s="14">
        <f>SUM(DC$7:DC49)</f>
        <v>5.5</v>
      </c>
      <c r="EU49" s="14">
        <f>SUM(DD$7:DD49)</f>
        <v>5.5</v>
      </c>
      <c r="EV49" s="14">
        <f>SUM(DE$7:DE49)</f>
        <v>4.125</v>
      </c>
      <c r="EW49" s="14">
        <f>SUM(DF$7:DF49)</f>
        <v>4.125</v>
      </c>
      <c r="EZ49" s="14">
        <f t="shared" si="56"/>
        <v>9</v>
      </c>
      <c r="FA49" s="14">
        <f t="shared" si="87"/>
        <v>12</v>
      </c>
      <c r="FB49" s="14">
        <f t="shared" si="88"/>
        <v>12</v>
      </c>
      <c r="FC49" s="14">
        <f t="shared" si="89"/>
        <v>9</v>
      </c>
      <c r="FD49" s="14">
        <f t="shared" si="57"/>
        <v>7</v>
      </c>
      <c r="FE49" s="14">
        <f t="shared" si="90"/>
        <v>12</v>
      </c>
      <c r="FF49" s="14">
        <f t="shared" si="91"/>
        <v>12</v>
      </c>
      <c r="FG49" s="14">
        <f t="shared" si="92"/>
        <v>9</v>
      </c>
      <c r="FH49" s="14">
        <f t="shared" si="93"/>
        <v>9</v>
      </c>
      <c r="FI49" s="14">
        <f t="shared" si="94"/>
        <v>7</v>
      </c>
      <c r="FJ49" s="14">
        <f t="shared" si="58"/>
        <v>3</v>
      </c>
      <c r="FK49" s="14">
        <f t="shared" si="95"/>
        <v>10</v>
      </c>
      <c r="FL49" s="14">
        <f t="shared" si="96"/>
        <v>10</v>
      </c>
      <c r="FM49" s="14">
        <f t="shared" si="97"/>
        <v>7</v>
      </c>
      <c r="FN49" s="14">
        <f t="shared" si="98"/>
        <v>7</v>
      </c>
      <c r="FO49" s="14">
        <f t="shared" si="99"/>
        <v>5</v>
      </c>
      <c r="FP49" s="14">
        <f t="shared" si="100"/>
        <v>3</v>
      </c>
      <c r="FQ49" s="14">
        <f t="shared" si="59"/>
        <v>3</v>
      </c>
      <c r="FR49" s="14">
        <f t="shared" si="101"/>
        <v>11</v>
      </c>
      <c r="FS49" s="14">
        <f t="shared" si="102"/>
        <v>11</v>
      </c>
      <c r="FT49" s="14">
        <f t="shared" si="103"/>
        <v>8</v>
      </c>
      <c r="FU49" s="14">
        <f t="shared" si="104"/>
        <v>8</v>
      </c>
      <c r="FV49" s="14">
        <f t="shared" si="105"/>
        <v>5</v>
      </c>
      <c r="FW49" s="14">
        <f t="shared" si="106"/>
        <v>3</v>
      </c>
      <c r="FX49" s="14">
        <f t="shared" si="60"/>
        <v>3</v>
      </c>
      <c r="FY49" s="14">
        <f t="shared" si="107"/>
        <v>12</v>
      </c>
      <c r="FZ49" s="14">
        <f t="shared" si="108"/>
        <v>12</v>
      </c>
      <c r="GA49" s="14">
        <f t="shared" si="109"/>
        <v>9</v>
      </c>
      <c r="GB49" s="14">
        <f t="shared" si="110"/>
        <v>9</v>
      </c>
      <c r="GC49" s="14">
        <f t="shared" si="111"/>
        <v>6</v>
      </c>
      <c r="GD49" s="14">
        <f t="shared" si="112"/>
        <v>3</v>
      </c>
      <c r="GE49" s="14">
        <f t="shared" si="61"/>
        <v>2</v>
      </c>
      <c r="GF49" s="14">
        <f t="shared" si="113"/>
        <v>6</v>
      </c>
      <c r="GG49" s="14">
        <f t="shared" si="114"/>
        <v>6</v>
      </c>
      <c r="GH49" s="14">
        <f t="shared" si="115"/>
        <v>6</v>
      </c>
      <c r="GI49" s="14">
        <f t="shared" si="116"/>
        <v>3</v>
      </c>
      <c r="GJ49" s="14">
        <f t="shared" si="117"/>
        <v>3</v>
      </c>
      <c r="GK49" s="14">
        <f t="shared" si="118"/>
        <v>3</v>
      </c>
      <c r="GL49" s="14">
        <f t="shared" si="119"/>
        <v>2</v>
      </c>
      <c r="GM49" s="14">
        <f t="shared" si="120"/>
        <v>2</v>
      </c>
      <c r="GN49" s="14">
        <f t="shared" si="62"/>
        <v>3</v>
      </c>
      <c r="GO49" s="14">
        <f t="shared" si="121"/>
        <v>8</v>
      </c>
      <c r="GP49" s="14">
        <f t="shared" si="122"/>
        <v>8</v>
      </c>
      <c r="GQ49" s="14">
        <f t="shared" si="123"/>
        <v>8</v>
      </c>
      <c r="GR49" s="14">
        <f t="shared" si="124"/>
        <v>4</v>
      </c>
      <c r="GS49" s="14">
        <f t="shared" si="125"/>
        <v>4</v>
      </c>
      <c r="GT49" s="14">
        <f t="shared" si="126"/>
        <v>4</v>
      </c>
      <c r="GU49" s="14">
        <f t="shared" si="127"/>
        <v>3</v>
      </c>
      <c r="GV49" s="14">
        <f t="shared" si="128"/>
        <v>3</v>
      </c>
      <c r="GY49" s="91">
        <v>43</v>
      </c>
      <c r="GZ49" s="14">
        <f t="shared" si="63"/>
        <v>3</v>
      </c>
      <c r="HA49" s="14">
        <f t="shared" si="64"/>
        <v>1</v>
      </c>
      <c r="HB49" s="14">
        <f t="shared" si="65"/>
        <v>2</v>
      </c>
      <c r="HC49" s="14">
        <f t="shared" si="66"/>
        <v>0.55300000000000005</v>
      </c>
      <c r="HD49" s="14">
        <f t="shared" si="67"/>
        <v>1606005</v>
      </c>
      <c r="HE49" s="14" t="str">
        <f t="shared" si="68"/>
        <v>神器1-3 : 13级</v>
      </c>
      <c r="HF49" s="14" t="s">
        <v>800</v>
      </c>
      <c r="HG49" s="14">
        <f t="shared" si="69"/>
        <v>13</v>
      </c>
      <c r="HH49" s="14" t="str">
        <f t="shared" si="70"/>
        <v>神器1-3</v>
      </c>
      <c r="HI49" s="14">
        <f t="shared" si="71"/>
        <v>7</v>
      </c>
      <c r="HJ49" s="14" t="s">
        <v>1595</v>
      </c>
      <c r="HK49" s="14">
        <f t="shared" si="72"/>
        <v>6650</v>
      </c>
    </row>
    <row r="50" spans="14:219" ht="16.5" x14ac:dyDescent="0.2">
      <c r="AO50" s="87">
        <v>3</v>
      </c>
      <c r="AP50" s="87">
        <v>3</v>
      </c>
      <c r="AQ50" s="87">
        <v>17</v>
      </c>
      <c r="AR50" s="144">
        <f t="shared" si="49"/>
        <v>4417</v>
      </c>
      <c r="AS50" s="144" t="s">
        <v>1220</v>
      </c>
      <c r="AT50" s="144" t="str">
        <f t="shared" si="50"/>
        <v>神器本-3-噩梦-1  神器1-1</v>
      </c>
      <c r="AU50" s="87">
        <v>1</v>
      </c>
      <c r="AV50" s="87" t="s">
        <v>307</v>
      </c>
      <c r="AW50" s="87">
        <v>1500</v>
      </c>
      <c r="AX50" s="87">
        <v>1</v>
      </c>
      <c r="AY50" s="87">
        <v>1</v>
      </c>
      <c r="AZ50" s="87">
        <f t="shared" si="51"/>
        <v>1</v>
      </c>
      <c r="BA50" s="14">
        <f t="shared" si="52"/>
        <v>0.15</v>
      </c>
      <c r="BB50" s="14">
        <f t="shared" si="53"/>
        <v>1.5</v>
      </c>
      <c r="BL50" s="87">
        <v>44</v>
      </c>
      <c r="BM50" s="14">
        <f>INDEX(节奏总表!$CK$4:$CK$63,新神器!BL50)</f>
        <v>136</v>
      </c>
      <c r="BN50" s="14">
        <f t="shared" si="55"/>
        <v>7</v>
      </c>
      <c r="BO50" s="87">
        <v>3</v>
      </c>
      <c r="BP50" s="87">
        <v>5</v>
      </c>
      <c r="BQ50" s="14">
        <f t="shared" si="129"/>
        <v>0</v>
      </c>
      <c r="BR50" s="14">
        <f t="shared" si="129"/>
        <v>0</v>
      </c>
      <c r="BS50" s="14">
        <f t="shared" si="129"/>
        <v>0</v>
      </c>
      <c r="BT50" s="14">
        <f t="shared" si="129"/>
        <v>0</v>
      </c>
      <c r="BU50" s="14">
        <f t="shared" si="129"/>
        <v>0</v>
      </c>
      <c r="BV50" s="14">
        <f t="shared" si="129"/>
        <v>0</v>
      </c>
      <c r="BW50" s="14">
        <f t="shared" si="129"/>
        <v>0</v>
      </c>
      <c r="BX50" s="14">
        <f t="shared" si="129"/>
        <v>0</v>
      </c>
      <c r="BY50" s="14">
        <f t="shared" si="129"/>
        <v>0.35000000000000003</v>
      </c>
      <c r="BZ50" s="14">
        <f t="shared" si="129"/>
        <v>0.35000000000000003</v>
      </c>
      <c r="CA50" s="14">
        <f t="shared" si="130"/>
        <v>0.20699999999999999</v>
      </c>
      <c r="CB50" s="14">
        <f t="shared" si="130"/>
        <v>0.20699999999999999</v>
      </c>
      <c r="CC50" s="14">
        <f t="shared" si="130"/>
        <v>0.13750000000000001</v>
      </c>
      <c r="CD50" s="14">
        <f t="shared" si="130"/>
        <v>6.9000000000000006E-2</v>
      </c>
      <c r="CE50" s="14">
        <f t="shared" si="130"/>
        <v>0.35000000000000003</v>
      </c>
      <c r="CF50" s="14">
        <f t="shared" si="130"/>
        <v>0.35000000000000003</v>
      </c>
      <c r="CG50" s="14">
        <f t="shared" si="130"/>
        <v>0.20699999999999999</v>
      </c>
      <c r="CH50" s="14">
        <f t="shared" si="130"/>
        <v>0.20699999999999999</v>
      </c>
      <c r="CI50" s="14">
        <f t="shared" si="130"/>
        <v>0.13750000000000001</v>
      </c>
      <c r="CJ50" s="14">
        <f t="shared" si="130"/>
        <v>6.9000000000000006E-2</v>
      </c>
      <c r="CK50" s="14">
        <f t="shared" si="131"/>
        <v>0.35000000000000003</v>
      </c>
      <c r="CL50" s="14">
        <f t="shared" si="131"/>
        <v>0.35000000000000003</v>
      </c>
      <c r="CM50" s="14">
        <f t="shared" si="131"/>
        <v>0.20699999999999999</v>
      </c>
      <c r="CN50" s="14">
        <f t="shared" si="131"/>
        <v>0.20699999999999999</v>
      </c>
      <c r="CO50" s="14">
        <f t="shared" si="131"/>
        <v>0.13750000000000001</v>
      </c>
      <c r="CP50" s="14">
        <f t="shared" si="131"/>
        <v>6.9499999999999992E-2</v>
      </c>
      <c r="CQ50" s="14">
        <f t="shared" si="131"/>
        <v>0.20799999999999999</v>
      </c>
      <c r="CR50" s="14">
        <f t="shared" si="131"/>
        <v>0.20799999999999999</v>
      </c>
      <c r="CS50" s="14">
        <f t="shared" si="131"/>
        <v>0.20799999999999999</v>
      </c>
      <c r="CT50" s="14">
        <f t="shared" si="131"/>
        <v>0.13800000000000001</v>
      </c>
      <c r="CU50" s="14">
        <f t="shared" si="132"/>
        <v>0.13800000000000001</v>
      </c>
      <c r="CV50" s="14">
        <f t="shared" si="132"/>
        <v>0.13800000000000001</v>
      </c>
      <c r="CW50" s="14">
        <f t="shared" si="132"/>
        <v>0</v>
      </c>
      <c r="CX50" s="14">
        <f t="shared" si="132"/>
        <v>0</v>
      </c>
      <c r="CY50" s="14">
        <f t="shared" si="132"/>
        <v>1.5</v>
      </c>
      <c r="CZ50" s="14">
        <f t="shared" si="132"/>
        <v>1.5</v>
      </c>
      <c r="DA50" s="14">
        <f t="shared" si="132"/>
        <v>1.5</v>
      </c>
      <c r="DB50" s="14">
        <f t="shared" si="132"/>
        <v>0.5</v>
      </c>
      <c r="DC50" s="14">
        <f t="shared" si="132"/>
        <v>0.5</v>
      </c>
      <c r="DD50" s="14">
        <f t="shared" si="132"/>
        <v>0.5</v>
      </c>
      <c r="DE50" s="14">
        <f t="shared" si="132"/>
        <v>0.375</v>
      </c>
      <c r="DF50" s="14">
        <f t="shared" si="132"/>
        <v>0.375</v>
      </c>
      <c r="DH50" s="14">
        <f>SUM(BQ$7:BQ50)</f>
        <v>35.749999999999993</v>
      </c>
      <c r="DI50" s="14">
        <f>SUM(BR$7:BR50)</f>
        <v>35.749999999999993</v>
      </c>
      <c r="DJ50" s="14">
        <f>SUM(BS$7:BS50)</f>
        <v>20.25</v>
      </c>
      <c r="DK50" s="14">
        <f>SUM(BT$7:BT50)</f>
        <v>36.25</v>
      </c>
      <c r="DL50" s="14">
        <f>SUM(BU$7:BU50)</f>
        <v>36.25</v>
      </c>
      <c r="DM50" s="14">
        <f>SUM(BV$7:BV50)</f>
        <v>20.625</v>
      </c>
      <c r="DN50" s="14">
        <f>SUM(BW$7:BW50)</f>
        <v>20.625</v>
      </c>
      <c r="DO50" s="14">
        <f>SUM(BX$7:BX50)</f>
        <v>13.75</v>
      </c>
      <c r="DP50" s="14">
        <f>SUM(BY$7:BY50)</f>
        <v>26.699000000000012</v>
      </c>
      <c r="DQ50" s="14">
        <f>SUM(BZ$7:BZ50)</f>
        <v>26.699000000000012</v>
      </c>
      <c r="DR50" s="14">
        <f>SUM(CA$7:CA50)</f>
        <v>14.484000000000009</v>
      </c>
      <c r="DS50" s="14">
        <f>SUM(CB$7:CB50)</f>
        <v>14.484000000000009</v>
      </c>
      <c r="DT50" s="14">
        <f>SUM(CC$7:CC50)</f>
        <v>7.1500000000000021</v>
      </c>
      <c r="DU50" s="14">
        <f>SUM(CD$7:CD50)</f>
        <v>3.3379999999999992</v>
      </c>
      <c r="DV50" s="14">
        <f>SUM(CE$7:CE50)</f>
        <v>31.699000000000012</v>
      </c>
      <c r="DW50" s="14">
        <f>SUM(CF$7:CF50)</f>
        <v>31.699000000000012</v>
      </c>
      <c r="DX50" s="14">
        <f>SUM(CG$7:CG50)</f>
        <v>17.109000000000009</v>
      </c>
      <c r="DY50" s="14">
        <f>SUM(CH$7:CH50)</f>
        <v>17.109000000000009</v>
      </c>
      <c r="DZ50" s="14">
        <f>SUM(CI$7:CI50)</f>
        <v>8.15</v>
      </c>
      <c r="EA50" s="14">
        <f>SUM(CJ$7:CJ50)</f>
        <v>3.8260000000000005</v>
      </c>
      <c r="EB50" s="14">
        <f>SUM(CK$7:CK50)</f>
        <v>36.699000000000012</v>
      </c>
      <c r="EC50" s="14">
        <f>SUM(CL$7:CL50)</f>
        <v>36.699000000000012</v>
      </c>
      <c r="ED50" s="14">
        <f>SUM(CM$7:CM50)</f>
        <v>19.734000000000009</v>
      </c>
      <c r="EE50" s="14">
        <f>SUM(CN$7:CN50)</f>
        <v>19.734000000000009</v>
      </c>
      <c r="EF50" s="14">
        <f>SUM(CO$7:CO50)</f>
        <v>9.149999999999995</v>
      </c>
      <c r="EG50" s="14">
        <f>SUM(CP$7:CP50)</f>
        <v>4.3320000000000007</v>
      </c>
      <c r="EH50" s="14">
        <f>SUM(CQ$7:CQ50)</f>
        <v>11.496000000000002</v>
      </c>
      <c r="EI50" s="14">
        <f>SUM(CR$7:CR50)</f>
        <v>11.496000000000002</v>
      </c>
      <c r="EJ50" s="14">
        <f>SUM(CS$7:CS50)</f>
        <v>11.496000000000002</v>
      </c>
      <c r="EK50" s="14">
        <f>SUM(CT$7:CT50)</f>
        <v>4.6559999999999988</v>
      </c>
      <c r="EL50" s="14">
        <f>SUM(CU$7:CU50)</f>
        <v>4.6559999999999988</v>
      </c>
      <c r="EM50" s="14">
        <f>SUM(CV$7:CV50)</f>
        <v>4.6559999999999988</v>
      </c>
      <c r="EN50" s="14">
        <f>SUM(CW$7:CW50)</f>
        <v>2.25</v>
      </c>
      <c r="EO50" s="14">
        <f>SUM(CX$7:CX50)</f>
        <v>2.25</v>
      </c>
      <c r="EP50" s="14">
        <f>SUM(CY$7:CY50)</f>
        <v>18</v>
      </c>
      <c r="EQ50" s="14">
        <f>SUM(CZ$7:CZ50)</f>
        <v>18</v>
      </c>
      <c r="ER50" s="14">
        <f>SUM(DA$7:DA50)</f>
        <v>18</v>
      </c>
      <c r="ES50" s="14">
        <f>SUM(DB$7:DB50)</f>
        <v>6</v>
      </c>
      <c r="ET50" s="14">
        <f>SUM(DC$7:DC50)</f>
        <v>6</v>
      </c>
      <c r="EU50" s="14">
        <f>SUM(DD$7:DD50)</f>
        <v>6</v>
      </c>
      <c r="EV50" s="14">
        <f>SUM(DE$7:DE50)</f>
        <v>4.5</v>
      </c>
      <c r="EW50" s="14">
        <f>SUM(DF$7:DF50)</f>
        <v>4.5</v>
      </c>
      <c r="EZ50" s="14">
        <f t="shared" si="56"/>
        <v>9</v>
      </c>
      <c r="FA50" s="14">
        <f t="shared" si="87"/>
        <v>12</v>
      </c>
      <c r="FB50" s="14">
        <f t="shared" si="88"/>
        <v>12</v>
      </c>
      <c r="FC50" s="14">
        <f t="shared" si="89"/>
        <v>9</v>
      </c>
      <c r="FD50" s="14">
        <f t="shared" si="57"/>
        <v>7</v>
      </c>
      <c r="FE50" s="14">
        <f t="shared" si="90"/>
        <v>12</v>
      </c>
      <c r="FF50" s="14">
        <f t="shared" si="91"/>
        <v>12</v>
      </c>
      <c r="FG50" s="14">
        <f t="shared" si="92"/>
        <v>9</v>
      </c>
      <c r="FH50" s="14">
        <f t="shared" si="93"/>
        <v>9</v>
      </c>
      <c r="FI50" s="14">
        <f t="shared" si="94"/>
        <v>7</v>
      </c>
      <c r="FJ50" s="14">
        <f t="shared" si="58"/>
        <v>3</v>
      </c>
      <c r="FK50" s="14">
        <f t="shared" si="95"/>
        <v>10</v>
      </c>
      <c r="FL50" s="14">
        <f t="shared" si="96"/>
        <v>10</v>
      </c>
      <c r="FM50" s="14">
        <f t="shared" si="97"/>
        <v>7</v>
      </c>
      <c r="FN50" s="14">
        <f t="shared" si="98"/>
        <v>7</v>
      </c>
      <c r="FO50" s="14">
        <f t="shared" si="99"/>
        <v>5</v>
      </c>
      <c r="FP50" s="14">
        <f t="shared" si="100"/>
        <v>3</v>
      </c>
      <c r="FQ50" s="14">
        <f t="shared" si="59"/>
        <v>3</v>
      </c>
      <c r="FR50" s="14">
        <f t="shared" si="101"/>
        <v>11</v>
      </c>
      <c r="FS50" s="14">
        <f t="shared" si="102"/>
        <v>11</v>
      </c>
      <c r="FT50" s="14">
        <f t="shared" si="103"/>
        <v>8</v>
      </c>
      <c r="FU50" s="14">
        <f t="shared" si="104"/>
        <v>8</v>
      </c>
      <c r="FV50" s="14">
        <f t="shared" si="105"/>
        <v>5</v>
      </c>
      <c r="FW50" s="14">
        <f t="shared" si="106"/>
        <v>3</v>
      </c>
      <c r="FX50" s="14">
        <f t="shared" si="60"/>
        <v>3</v>
      </c>
      <c r="FY50" s="14">
        <f t="shared" si="107"/>
        <v>12</v>
      </c>
      <c r="FZ50" s="14">
        <f t="shared" si="108"/>
        <v>12</v>
      </c>
      <c r="GA50" s="14">
        <f t="shared" si="109"/>
        <v>9</v>
      </c>
      <c r="GB50" s="14">
        <f t="shared" si="110"/>
        <v>9</v>
      </c>
      <c r="GC50" s="14">
        <f t="shared" si="111"/>
        <v>6</v>
      </c>
      <c r="GD50" s="14">
        <f t="shared" si="112"/>
        <v>3</v>
      </c>
      <c r="GE50" s="14">
        <f t="shared" si="61"/>
        <v>2</v>
      </c>
      <c r="GF50" s="14">
        <f t="shared" si="113"/>
        <v>6</v>
      </c>
      <c r="GG50" s="14">
        <f t="shared" si="114"/>
        <v>6</v>
      </c>
      <c r="GH50" s="14">
        <f t="shared" si="115"/>
        <v>6</v>
      </c>
      <c r="GI50" s="14">
        <f t="shared" si="116"/>
        <v>3</v>
      </c>
      <c r="GJ50" s="14">
        <f t="shared" si="117"/>
        <v>3</v>
      </c>
      <c r="GK50" s="14">
        <f t="shared" si="118"/>
        <v>3</v>
      </c>
      <c r="GL50" s="14">
        <f t="shared" si="119"/>
        <v>2</v>
      </c>
      <c r="GM50" s="14">
        <f t="shared" si="120"/>
        <v>2</v>
      </c>
      <c r="GN50" s="14">
        <f t="shared" si="62"/>
        <v>3</v>
      </c>
      <c r="GO50" s="14">
        <f t="shared" si="121"/>
        <v>9</v>
      </c>
      <c r="GP50" s="14">
        <f t="shared" si="122"/>
        <v>9</v>
      </c>
      <c r="GQ50" s="14">
        <f t="shared" si="123"/>
        <v>9</v>
      </c>
      <c r="GR50" s="14">
        <f t="shared" si="124"/>
        <v>4</v>
      </c>
      <c r="GS50" s="14">
        <f t="shared" si="125"/>
        <v>4</v>
      </c>
      <c r="GT50" s="14">
        <f t="shared" si="126"/>
        <v>4</v>
      </c>
      <c r="GU50" s="14">
        <f t="shared" si="127"/>
        <v>3</v>
      </c>
      <c r="GV50" s="14">
        <f t="shared" si="128"/>
        <v>3</v>
      </c>
      <c r="GY50" s="91">
        <v>44</v>
      </c>
      <c r="GZ50" s="14">
        <f t="shared" si="63"/>
        <v>3</v>
      </c>
      <c r="HA50" s="14">
        <f t="shared" si="64"/>
        <v>1</v>
      </c>
      <c r="HB50" s="14">
        <f t="shared" si="65"/>
        <v>2</v>
      </c>
      <c r="HC50" s="14">
        <f t="shared" si="66"/>
        <v>0.56399999999999995</v>
      </c>
      <c r="HD50" s="14">
        <f t="shared" si="67"/>
        <v>1606005</v>
      </c>
      <c r="HE50" s="14" t="str">
        <f t="shared" si="68"/>
        <v>神器1-3 : 14级</v>
      </c>
      <c r="HF50" s="14" t="s">
        <v>800</v>
      </c>
      <c r="HG50" s="14">
        <f t="shared" si="69"/>
        <v>14</v>
      </c>
      <c r="HH50" s="14" t="str">
        <f t="shared" si="70"/>
        <v>神器1-3</v>
      </c>
      <c r="HI50" s="14">
        <f t="shared" si="71"/>
        <v>7</v>
      </c>
      <c r="HJ50" s="14" t="s">
        <v>1595</v>
      </c>
      <c r="HK50" s="14">
        <f t="shared" si="72"/>
        <v>6750</v>
      </c>
    </row>
    <row r="51" spans="14:219" ht="16.5" x14ac:dyDescent="0.2">
      <c r="AO51" s="87">
        <v>3</v>
      </c>
      <c r="AP51" s="87">
        <v>3</v>
      </c>
      <c r="AQ51" s="87">
        <v>17</v>
      </c>
      <c r="AR51" s="144">
        <f t="shared" si="49"/>
        <v>4417</v>
      </c>
      <c r="AS51" s="144" t="s">
        <v>1220</v>
      </c>
      <c r="AT51" s="144" t="str">
        <f t="shared" si="50"/>
        <v>神器本-3-噩梦-1  神器1-2</v>
      </c>
      <c r="AU51" s="87">
        <v>2</v>
      </c>
      <c r="AV51" s="87" t="s">
        <v>308</v>
      </c>
      <c r="AW51" s="87">
        <v>1500</v>
      </c>
      <c r="AX51" s="87">
        <v>1</v>
      </c>
      <c r="AY51" s="87">
        <v>1</v>
      </c>
      <c r="AZ51" s="87">
        <f t="shared" si="51"/>
        <v>1</v>
      </c>
      <c r="BA51" s="14">
        <f t="shared" si="52"/>
        <v>0.15</v>
      </c>
      <c r="BB51" s="14">
        <f t="shared" si="53"/>
        <v>1.5</v>
      </c>
      <c r="BL51" s="87">
        <v>45</v>
      </c>
      <c r="BM51" s="14">
        <f>INDEX(节奏总表!$CK$4:$CK$63,新神器!BL51)</f>
        <v>137</v>
      </c>
      <c r="BN51" s="14">
        <f t="shared" si="55"/>
        <v>7</v>
      </c>
      <c r="BO51" s="87">
        <v>3</v>
      </c>
      <c r="BP51" s="87">
        <v>5</v>
      </c>
      <c r="BQ51" s="14">
        <f t="shared" si="129"/>
        <v>0</v>
      </c>
      <c r="BR51" s="14">
        <f t="shared" si="129"/>
        <v>0</v>
      </c>
      <c r="BS51" s="14">
        <f t="shared" si="129"/>
        <v>0</v>
      </c>
      <c r="BT51" s="14">
        <f t="shared" si="129"/>
        <v>0</v>
      </c>
      <c r="BU51" s="14">
        <f t="shared" si="129"/>
        <v>0</v>
      </c>
      <c r="BV51" s="14">
        <f t="shared" si="129"/>
        <v>0</v>
      </c>
      <c r="BW51" s="14">
        <f t="shared" si="129"/>
        <v>0</v>
      </c>
      <c r="BX51" s="14">
        <f t="shared" si="129"/>
        <v>0</v>
      </c>
      <c r="BY51" s="14">
        <f t="shared" si="129"/>
        <v>0.35000000000000003</v>
      </c>
      <c r="BZ51" s="14">
        <f t="shared" si="129"/>
        <v>0.35000000000000003</v>
      </c>
      <c r="CA51" s="14">
        <f t="shared" si="130"/>
        <v>0.20699999999999999</v>
      </c>
      <c r="CB51" s="14">
        <f t="shared" si="130"/>
        <v>0.20699999999999999</v>
      </c>
      <c r="CC51" s="14">
        <f t="shared" si="130"/>
        <v>0.13750000000000001</v>
      </c>
      <c r="CD51" s="14">
        <f t="shared" si="130"/>
        <v>6.9000000000000006E-2</v>
      </c>
      <c r="CE51" s="14">
        <f t="shared" si="130"/>
        <v>0.35000000000000003</v>
      </c>
      <c r="CF51" s="14">
        <f t="shared" si="130"/>
        <v>0.35000000000000003</v>
      </c>
      <c r="CG51" s="14">
        <f t="shared" si="130"/>
        <v>0.20699999999999999</v>
      </c>
      <c r="CH51" s="14">
        <f t="shared" si="130"/>
        <v>0.20699999999999999</v>
      </c>
      <c r="CI51" s="14">
        <f t="shared" si="130"/>
        <v>0.13750000000000001</v>
      </c>
      <c r="CJ51" s="14">
        <f t="shared" si="130"/>
        <v>6.9000000000000006E-2</v>
      </c>
      <c r="CK51" s="14">
        <f t="shared" si="131"/>
        <v>0.35000000000000003</v>
      </c>
      <c r="CL51" s="14">
        <f t="shared" si="131"/>
        <v>0.35000000000000003</v>
      </c>
      <c r="CM51" s="14">
        <f t="shared" si="131"/>
        <v>0.20699999999999999</v>
      </c>
      <c r="CN51" s="14">
        <f t="shared" si="131"/>
        <v>0.20699999999999999</v>
      </c>
      <c r="CO51" s="14">
        <f t="shared" si="131"/>
        <v>0.13750000000000001</v>
      </c>
      <c r="CP51" s="14">
        <f t="shared" si="131"/>
        <v>6.9499999999999992E-2</v>
      </c>
      <c r="CQ51" s="14">
        <f t="shared" si="131"/>
        <v>0.20799999999999999</v>
      </c>
      <c r="CR51" s="14">
        <f t="shared" si="131"/>
        <v>0.20799999999999999</v>
      </c>
      <c r="CS51" s="14">
        <f t="shared" si="131"/>
        <v>0.20799999999999999</v>
      </c>
      <c r="CT51" s="14">
        <f t="shared" si="131"/>
        <v>0.13800000000000001</v>
      </c>
      <c r="CU51" s="14">
        <f t="shared" si="132"/>
        <v>0.13800000000000001</v>
      </c>
      <c r="CV51" s="14">
        <f t="shared" si="132"/>
        <v>0.13800000000000001</v>
      </c>
      <c r="CW51" s="14">
        <f t="shared" si="132"/>
        <v>0</v>
      </c>
      <c r="CX51" s="14">
        <f t="shared" si="132"/>
        <v>0</v>
      </c>
      <c r="CY51" s="14">
        <f t="shared" si="132"/>
        <v>1.5</v>
      </c>
      <c r="CZ51" s="14">
        <f t="shared" si="132"/>
        <v>1.5</v>
      </c>
      <c r="DA51" s="14">
        <f t="shared" si="132"/>
        <v>1.5</v>
      </c>
      <c r="DB51" s="14">
        <f t="shared" si="132"/>
        <v>0.5</v>
      </c>
      <c r="DC51" s="14">
        <f t="shared" si="132"/>
        <v>0.5</v>
      </c>
      <c r="DD51" s="14">
        <f t="shared" si="132"/>
        <v>0.5</v>
      </c>
      <c r="DE51" s="14">
        <f t="shared" si="132"/>
        <v>0.375</v>
      </c>
      <c r="DF51" s="14">
        <f t="shared" si="132"/>
        <v>0.375</v>
      </c>
      <c r="DH51" s="14">
        <f>SUM(BQ$7:BQ51)</f>
        <v>35.749999999999993</v>
      </c>
      <c r="DI51" s="14">
        <f>SUM(BR$7:BR51)</f>
        <v>35.749999999999993</v>
      </c>
      <c r="DJ51" s="14">
        <f>SUM(BS$7:BS51)</f>
        <v>20.25</v>
      </c>
      <c r="DK51" s="14">
        <f>SUM(BT$7:BT51)</f>
        <v>36.25</v>
      </c>
      <c r="DL51" s="14">
        <f>SUM(BU$7:BU51)</f>
        <v>36.25</v>
      </c>
      <c r="DM51" s="14">
        <f>SUM(BV$7:BV51)</f>
        <v>20.625</v>
      </c>
      <c r="DN51" s="14">
        <f>SUM(BW$7:BW51)</f>
        <v>20.625</v>
      </c>
      <c r="DO51" s="14">
        <f>SUM(BX$7:BX51)</f>
        <v>13.75</v>
      </c>
      <c r="DP51" s="14">
        <f>SUM(BY$7:BY51)</f>
        <v>27.049000000000014</v>
      </c>
      <c r="DQ51" s="14">
        <f>SUM(BZ$7:BZ51)</f>
        <v>27.049000000000014</v>
      </c>
      <c r="DR51" s="14">
        <f>SUM(CA$7:CA51)</f>
        <v>14.69100000000001</v>
      </c>
      <c r="DS51" s="14">
        <f>SUM(CB$7:CB51)</f>
        <v>14.69100000000001</v>
      </c>
      <c r="DT51" s="14">
        <f>SUM(CC$7:CC51)</f>
        <v>7.2875000000000023</v>
      </c>
      <c r="DU51" s="14">
        <f>SUM(CD$7:CD51)</f>
        <v>3.4069999999999991</v>
      </c>
      <c r="DV51" s="14">
        <f>SUM(CE$7:CE51)</f>
        <v>32.049000000000014</v>
      </c>
      <c r="DW51" s="14">
        <f>SUM(CF$7:CF51)</f>
        <v>32.049000000000014</v>
      </c>
      <c r="DX51" s="14">
        <f>SUM(CG$7:CG51)</f>
        <v>17.31600000000001</v>
      </c>
      <c r="DY51" s="14">
        <f>SUM(CH$7:CH51)</f>
        <v>17.31600000000001</v>
      </c>
      <c r="DZ51" s="14">
        <f>SUM(CI$7:CI51)</f>
        <v>8.2874999999999996</v>
      </c>
      <c r="EA51" s="14">
        <f>SUM(CJ$7:CJ51)</f>
        <v>3.8950000000000005</v>
      </c>
      <c r="EB51" s="14">
        <f>SUM(CK$7:CK51)</f>
        <v>37.049000000000014</v>
      </c>
      <c r="EC51" s="14">
        <f>SUM(CL$7:CL51)</f>
        <v>37.049000000000014</v>
      </c>
      <c r="ED51" s="14">
        <f>SUM(CM$7:CM51)</f>
        <v>19.94100000000001</v>
      </c>
      <c r="EE51" s="14">
        <f>SUM(CN$7:CN51)</f>
        <v>19.94100000000001</v>
      </c>
      <c r="EF51" s="14">
        <f>SUM(CO$7:CO51)</f>
        <v>9.2874999999999943</v>
      </c>
      <c r="EG51" s="14">
        <f>SUM(CP$7:CP51)</f>
        <v>4.4015000000000004</v>
      </c>
      <c r="EH51" s="14">
        <f>SUM(CQ$7:CQ51)</f>
        <v>11.704000000000002</v>
      </c>
      <c r="EI51" s="14">
        <f>SUM(CR$7:CR51)</f>
        <v>11.704000000000002</v>
      </c>
      <c r="EJ51" s="14">
        <f>SUM(CS$7:CS51)</f>
        <v>11.704000000000002</v>
      </c>
      <c r="EK51" s="14">
        <f>SUM(CT$7:CT51)</f>
        <v>4.7939999999999987</v>
      </c>
      <c r="EL51" s="14">
        <f>SUM(CU$7:CU51)</f>
        <v>4.7939999999999987</v>
      </c>
      <c r="EM51" s="14">
        <f>SUM(CV$7:CV51)</f>
        <v>4.7939999999999987</v>
      </c>
      <c r="EN51" s="14">
        <f>SUM(CW$7:CW51)</f>
        <v>2.25</v>
      </c>
      <c r="EO51" s="14">
        <f>SUM(CX$7:CX51)</f>
        <v>2.25</v>
      </c>
      <c r="EP51" s="14">
        <f>SUM(CY$7:CY51)</f>
        <v>19.5</v>
      </c>
      <c r="EQ51" s="14">
        <f>SUM(CZ$7:CZ51)</f>
        <v>19.5</v>
      </c>
      <c r="ER51" s="14">
        <f>SUM(DA$7:DA51)</f>
        <v>19.5</v>
      </c>
      <c r="ES51" s="14">
        <f>SUM(DB$7:DB51)</f>
        <v>6.5</v>
      </c>
      <c r="ET51" s="14">
        <f>SUM(DC$7:DC51)</f>
        <v>6.5</v>
      </c>
      <c r="EU51" s="14">
        <f>SUM(DD$7:DD51)</f>
        <v>6.5</v>
      </c>
      <c r="EV51" s="14">
        <f>SUM(DE$7:DE51)</f>
        <v>4.875</v>
      </c>
      <c r="EW51" s="14">
        <f>SUM(DF$7:DF51)</f>
        <v>4.875</v>
      </c>
      <c r="EZ51" s="14">
        <f t="shared" si="56"/>
        <v>9</v>
      </c>
      <c r="FA51" s="14">
        <f t="shared" si="87"/>
        <v>12</v>
      </c>
      <c r="FB51" s="14">
        <f t="shared" si="88"/>
        <v>12</v>
      </c>
      <c r="FC51" s="14">
        <f t="shared" si="89"/>
        <v>9</v>
      </c>
      <c r="FD51" s="14">
        <f t="shared" si="57"/>
        <v>7</v>
      </c>
      <c r="FE51" s="14">
        <f t="shared" si="90"/>
        <v>12</v>
      </c>
      <c r="FF51" s="14">
        <f t="shared" si="91"/>
        <v>12</v>
      </c>
      <c r="FG51" s="14">
        <f t="shared" si="92"/>
        <v>9</v>
      </c>
      <c r="FH51" s="14">
        <f t="shared" si="93"/>
        <v>9</v>
      </c>
      <c r="FI51" s="14">
        <f t="shared" si="94"/>
        <v>7</v>
      </c>
      <c r="FJ51" s="14">
        <f t="shared" si="58"/>
        <v>3</v>
      </c>
      <c r="FK51" s="14">
        <f t="shared" si="95"/>
        <v>10</v>
      </c>
      <c r="FL51" s="14">
        <f t="shared" si="96"/>
        <v>10</v>
      </c>
      <c r="FM51" s="14">
        <f t="shared" si="97"/>
        <v>7</v>
      </c>
      <c r="FN51" s="14">
        <f t="shared" si="98"/>
        <v>7</v>
      </c>
      <c r="FO51" s="14">
        <f t="shared" si="99"/>
        <v>5</v>
      </c>
      <c r="FP51" s="14">
        <f t="shared" si="100"/>
        <v>3</v>
      </c>
      <c r="FQ51" s="14">
        <f t="shared" si="59"/>
        <v>3</v>
      </c>
      <c r="FR51" s="14">
        <f t="shared" si="101"/>
        <v>11</v>
      </c>
      <c r="FS51" s="14">
        <f t="shared" si="102"/>
        <v>11</v>
      </c>
      <c r="FT51" s="14">
        <f t="shared" si="103"/>
        <v>8</v>
      </c>
      <c r="FU51" s="14">
        <f t="shared" si="104"/>
        <v>8</v>
      </c>
      <c r="FV51" s="14">
        <f t="shared" si="105"/>
        <v>5</v>
      </c>
      <c r="FW51" s="14">
        <f t="shared" si="106"/>
        <v>3</v>
      </c>
      <c r="FX51" s="14">
        <f t="shared" si="60"/>
        <v>3</v>
      </c>
      <c r="FY51" s="14">
        <f t="shared" si="107"/>
        <v>12</v>
      </c>
      <c r="FZ51" s="14">
        <f t="shared" si="108"/>
        <v>12</v>
      </c>
      <c r="GA51" s="14">
        <f t="shared" si="109"/>
        <v>9</v>
      </c>
      <c r="GB51" s="14">
        <f t="shared" si="110"/>
        <v>9</v>
      </c>
      <c r="GC51" s="14">
        <f t="shared" si="111"/>
        <v>6</v>
      </c>
      <c r="GD51" s="14">
        <f t="shared" si="112"/>
        <v>3</v>
      </c>
      <c r="GE51" s="14">
        <f t="shared" si="61"/>
        <v>2</v>
      </c>
      <c r="GF51" s="14">
        <f t="shared" si="113"/>
        <v>6</v>
      </c>
      <c r="GG51" s="14">
        <f t="shared" si="114"/>
        <v>6</v>
      </c>
      <c r="GH51" s="14">
        <f t="shared" si="115"/>
        <v>6</v>
      </c>
      <c r="GI51" s="14">
        <f t="shared" si="116"/>
        <v>3</v>
      </c>
      <c r="GJ51" s="14">
        <f t="shared" si="117"/>
        <v>3</v>
      </c>
      <c r="GK51" s="14">
        <f t="shared" si="118"/>
        <v>3</v>
      </c>
      <c r="GL51" s="14">
        <f t="shared" si="119"/>
        <v>2</v>
      </c>
      <c r="GM51" s="14">
        <f t="shared" si="120"/>
        <v>2</v>
      </c>
      <c r="GN51" s="14">
        <f t="shared" si="62"/>
        <v>3</v>
      </c>
      <c r="GO51" s="14">
        <f t="shared" si="121"/>
        <v>9</v>
      </c>
      <c r="GP51" s="14">
        <f t="shared" si="122"/>
        <v>9</v>
      </c>
      <c r="GQ51" s="14">
        <f t="shared" si="123"/>
        <v>9</v>
      </c>
      <c r="GR51" s="14">
        <f t="shared" si="124"/>
        <v>4</v>
      </c>
      <c r="GS51" s="14">
        <f t="shared" si="125"/>
        <v>4</v>
      </c>
      <c r="GT51" s="14">
        <f t="shared" si="126"/>
        <v>4</v>
      </c>
      <c r="GU51" s="14">
        <f t="shared" si="127"/>
        <v>3</v>
      </c>
      <c r="GV51" s="14">
        <f t="shared" si="128"/>
        <v>3</v>
      </c>
      <c r="GY51" s="91">
        <v>45</v>
      </c>
      <c r="GZ51" s="14">
        <f t="shared" si="63"/>
        <v>3</v>
      </c>
      <c r="HA51" s="14">
        <f t="shared" si="64"/>
        <v>1</v>
      </c>
      <c r="HB51" s="14">
        <f t="shared" si="65"/>
        <v>2</v>
      </c>
      <c r="HC51" s="14">
        <f t="shared" si="66"/>
        <v>0.57399999999999995</v>
      </c>
      <c r="HD51" s="14">
        <f t="shared" si="67"/>
        <v>1606005</v>
      </c>
      <c r="HE51" s="14" t="str">
        <f t="shared" si="68"/>
        <v>神器1-3 : 15级</v>
      </c>
      <c r="HF51" s="14" t="s">
        <v>800</v>
      </c>
      <c r="HG51" s="14">
        <f t="shared" si="69"/>
        <v>15</v>
      </c>
      <c r="HH51" s="14" t="str">
        <f t="shared" si="70"/>
        <v>神器1-3</v>
      </c>
      <c r="HI51" s="14">
        <f t="shared" si="71"/>
        <v>7</v>
      </c>
      <c r="HJ51" s="14" t="s">
        <v>1595</v>
      </c>
      <c r="HK51" s="14">
        <f t="shared" si="72"/>
        <v>6900</v>
      </c>
    </row>
    <row r="52" spans="14:219" ht="16.5" x14ac:dyDescent="0.2">
      <c r="AO52" s="87">
        <v>3</v>
      </c>
      <c r="AP52" s="87">
        <v>3</v>
      </c>
      <c r="AQ52" s="87">
        <v>17</v>
      </c>
      <c r="AR52" s="144">
        <f t="shared" si="49"/>
        <v>4417</v>
      </c>
      <c r="AS52" s="144" t="s">
        <v>1220</v>
      </c>
      <c r="AT52" s="144" t="str">
        <f t="shared" si="50"/>
        <v>神器本-3-噩梦-1  神器1-3</v>
      </c>
      <c r="AU52" s="87">
        <v>3</v>
      </c>
      <c r="AV52" s="87" t="s">
        <v>309</v>
      </c>
      <c r="AW52" s="87">
        <v>1000</v>
      </c>
      <c r="AX52" s="87">
        <v>1</v>
      </c>
      <c r="AY52" s="87">
        <v>1</v>
      </c>
      <c r="AZ52" s="87">
        <f t="shared" si="51"/>
        <v>2</v>
      </c>
      <c r="BA52" s="14">
        <f t="shared" si="52"/>
        <v>0.1</v>
      </c>
      <c r="BB52" s="14">
        <f t="shared" si="53"/>
        <v>3</v>
      </c>
      <c r="BL52" s="87">
        <v>46</v>
      </c>
      <c r="BM52" s="14">
        <f>INDEX(节奏总表!$CK$4:$CK$63,新神器!BL52)</f>
        <v>138</v>
      </c>
      <c r="BN52" s="14">
        <f t="shared" si="55"/>
        <v>7</v>
      </c>
      <c r="BO52" s="87">
        <v>3</v>
      </c>
      <c r="BP52" s="87">
        <v>5</v>
      </c>
      <c r="BQ52" s="14">
        <f t="shared" si="129"/>
        <v>0</v>
      </c>
      <c r="BR52" s="14">
        <f t="shared" si="129"/>
        <v>0</v>
      </c>
      <c r="BS52" s="14">
        <f t="shared" si="129"/>
        <v>0</v>
      </c>
      <c r="BT52" s="14">
        <f t="shared" si="129"/>
        <v>0</v>
      </c>
      <c r="BU52" s="14">
        <f t="shared" si="129"/>
        <v>0</v>
      </c>
      <c r="BV52" s="14">
        <f t="shared" si="129"/>
        <v>0</v>
      </c>
      <c r="BW52" s="14">
        <f t="shared" si="129"/>
        <v>0</v>
      </c>
      <c r="BX52" s="14">
        <f t="shared" si="129"/>
        <v>0</v>
      </c>
      <c r="BY52" s="14">
        <f t="shared" si="129"/>
        <v>0.35000000000000003</v>
      </c>
      <c r="BZ52" s="14">
        <f t="shared" si="129"/>
        <v>0.35000000000000003</v>
      </c>
      <c r="CA52" s="14">
        <f t="shared" si="130"/>
        <v>0.20699999999999999</v>
      </c>
      <c r="CB52" s="14">
        <f t="shared" si="130"/>
        <v>0.20699999999999999</v>
      </c>
      <c r="CC52" s="14">
        <f t="shared" si="130"/>
        <v>0.13750000000000001</v>
      </c>
      <c r="CD52" s="14">
        <f t="shared" si="130"/>
        <v>6.9000000000000006E-2</v>
      </c>
      <c r="CE52" s="14">
        <f t="shared" si="130"/>
        <v>0.35000000000000003</v>
      </c>
      <c r="CF52" s="14">
        <f t="shared" si="130"/>
        <v>0.35000000000000003</v>
      </c>
      <c r="CG52" s="14">
        <f t="shared" si="130"/>
        <v>0.20699999999999999</v>
      </c>
      <c r="CH52" s="14">
        <f t="shared" si="130"/>
        <v>0.20699999999999999</v>
      </c>
      <c r="CI52" s="14">
        <f t="shared" si="130"/>
        <v>0.13750000000000001</v>
      </c>
      <c r="CJ52" s="14">
        <f t="shared" si="130"/>
        <v>6.9000000000000006E-2</v>
      </c>
      <c r="CK52" s="14">
        <f t="shared" si="131"/>
        <v>0.35000000000000003</v>
      </c>
      <c r="CL52" s="14">
        <f t="shared" si="131"/>
        <v>0.35000000000000003</v>
      </c>
      <c r="CM52" s="14">
        <f t="shared" si="131"/>
        <v>0.20699999999999999</v>
      </c>
      <c r="CN52" s="14">
        <f t="shared" si="131"/>
        <v>0.20699999999999999</v>
      </c>
      <c r="CO52" s="14">
        <f t="shared" si="131"/>
        <v>0.13750000000000001</v>
      </c>
      <c r="CP52" s="14">
        <f t="shared" si="131"/>
        <v>6.9499999999999992E-2</v>
      </c>
      <c r="CQ52" s="14">
        <f t="shared" si="131"/>
        <v>0.20799999999999999</v>
      </c>
      <c r="CR52" s="14">
        <f t="shared" si="131"/>
        <v>0.20799999999999999</v>
      </c>
      <c r="CS52" s="14">
        <f t="shared" si="131"/>
        <v>0.20799999999999999</v>
      </c>
      <c r="CT52" s="14">
        <f t="shared" si="131"/>
        <v>0.13800000000000001</v>
      </c>
      <c r="CU52" s="14">
        <f t="shared" si="132"/>
        <v>0.13800000000000001</v>
      </c>
      <c r="CV52" s="14">
        <f t="shared" si="132"/>
        <v>0.13800000000000001</v>
      </c>
      <c r="CW52" s="14">
        <f t="shared" si="132"/>
        <v>0</v>
      </c>
      <c r="CX52" s="14">
        <f t="shared" si="132"/>
        <v>0</v>
      </c>
      <c r="CY52" s="14">
        <f t="shared" si="132"/>
        <v>1.5</v>
      </c>
      <c r="CZ52" s="14">
        <f t="shared" si="132"/>
        <v>1.5</v>
      </c>
      <c r="DA52" s="14">
        <f t="shared" si="132"/>
        <v>1.5</v>
      </c>
      <c r="DB52" s="14">
        <f t="shared" si="132"/>
        <v>0.5</v>
      </c>
      <c r="DC52" s="14">
        <f t="shared" si="132"/>
        <v>0.5</v>
      </c>
      <c r="DD52" s="14">
        <f t="shared" si="132"/>
        <v>0.5</v>
      </c>
      <c r="DE52" s="14">
        <f t="shared" si="132"/>
        <v>0.375</v>
      </c>
      <c r="DF52" s="14">
        <f t="shared" si="132"/>
        <v>0.375</v>
      </c>
      <c r="DH52" s="14">
        <f>SUM(BQ$7:BQ52)</f>
        <v>35.749999999999993</v>
      </c>
      <c r="DI52" s="14">
        <f>SUM(BR$7:BR52)</f>
        <v>35.749999999999993</v>
      </c>
      <c r="DJ52" s="14">
        <f>SUM(BS$7:BS52)</f>
        <v>20.25</v>
      </c>
      <c r="DK52" s="14">
        <f>SUM(BT$7:BT52)</f>
        <v>36.25</v>
      </c>
      <c r="DL52" s="14">
        <f>SUM(BU$7:BU52)</f>
        <v>36.25</v>
      </c>
      <c r="DM52" s="14">
        <f>SUM(BV$7:BV52)</f>
        <v>20.625</v>
      </c>
      <c r="DN52" s="14">
        <f>SUM(BW$7:BW52)</f>
        <v>20.625</v>
      </c>
      <c r="DO52" s="14">
        <f>SUM(BX$7:BX52)</f>
        <v>13.75</v>
      </c>
      <c r="DP52" s="14">
        <f>SUM(BY$7:BY52)</f>
        <v>27.399000000000015</v>
      </c>
      <c r="DQ52" s="14">
        <f>SUM(BZ$7:BZ52)</f>
        <v>27.399000000000015</v>
      </c>
      <c r="DR52" s="14">
        <f>SUM(CA$7:CA52)</f>
        <v>14.89800000000001</v>
      </c>
      <c r="DS52" s="14">
        <f>SUM(CB$7:CB52)</f>
        <v>14.89800000000001</v>
      </c>
      <c r="DT52" s="14">
        <f>SUM(CC$7:CC52)</f>
        <v>7.4250000000000025</v>
      </c>
      <c r="DU52" s="14">
        <f>SUM(CD$7:CD52)</f>
        <v>3.4759999999999991</v>
      </c>
      <c r="DV52" s="14">
        <f>SUM(CE$7:CE52)</f>
        <v>32.399000000000015</v>
      </c>
      <c r="DW52" s="14">
        <f>SUM(CF$7:CF52)</f>
        <v>32.399000000000015</v>
      </c>
      <c r="DX52" s="14">
        <f>SUM(CG$7:CG52)</f>
        <v>17.52300000000001</v>
      </c>
      <c r="DY52" s="14">
        <f>SUM(CH$7:CH52)</f>
        <v>17.52300000000001</v>
      </c>
      <c r="DZ52" s="14">
        <f>SUM(CI$7:CI52)</f>
        <v>8.4249999999999989</v>
      </c>
      <c r="EA52" s="14">
        <f>SUM(CJ$7:CJ52)</f>
        <v>3.9640000000000004</v>
      </c>
      <c r="EB52" s="14">
        <f>SUM(CK$7:CK52)</f>
        <v>37.399000000000015</v>
      </c>
      <c r="EC52" s="14">
        <f>SUM(CL$7:CL52)</f>
        <v>37.399000000000015</v>
      </c>
      <c r="ED52" s="14">
        <f>SUM(CM$7:CM52)</f>
        <v>20.14800000000001</v>
      </c>
      <c r="EE52" s="14">
        <f>SUM(CN$7:CN52)</f>
        <v>20.14800000000001</v>
      </c>
      <c r="EF52" s="14">
        <f>SUM(CO$7:CO52)</f>
        <v>9.4249999999999936</v>
      </c>
      <c r="EG52" s="14">
        <f>SUM(CP$7:CP52)</f>
        <v>4.4710000000000001</v>
      </c>
      <c r="EH52" s="14">
        <f>SUM(CQ$7:CQ52)</f>
        <v>11.912000000000003</v>
      </c>
      <c r="EI52" s="14">
        <f>SUM(CR$7:CR52)</f>
        <v>11.912000000000003</v>
      </c>
      <c r="EJ52" s="14">
        <f>SUM(CS$7:CS52)</f>
        <v>11.912000000000003</v>
      </c>
      <c r="EK52" s="14">
        <f>SUM(CT$7:CT52)</f>
        <v>4.9319999999999986</v>
      </c>
      <c r="EL52" s="14">
        <f>SUM(CU$7:CU52)</f>
        <v>4.9319999999999986</v>
      </c>
      <c r="EM52" s="14">
        <f>SUM(CV$7:CV52)</f>
        <v>4.9319999999999986</v>
      </c>
      <c r="EN52" s="14">
        <f>SUM(CW$7:CW52)</f>
        <v>2.25</v>
      </c>
      <c r="EO52" s="14">
        <f>SUM(CX$7:CX52)</f>
        <v>2.25</v>
      </c>
      <c r="EP52" s="14">
        <f>SUM(CY$7:CY52)</f>
        <v>21</v>
      </c>
      <c r="EQ52" s="14">
        <f>SUM(CZ$7:CZ52)</f>
        <v>21</v>
      </c>
      <c r="ER52" s="14">
        <f>SUM(DA$7:DA52)</f>
        <v>21</v>
      </c>
      <c r="ES52" s="14">
        <f>SUM(DB$7:DB52)</f>
        <v>7</v>
      </c>
      <c r="ET52" s="14">
        <f>SUM(DC$7:DC52)</f>
        <v>7</v>
      </c>
      <c r="EU52" s="14">
        <f>SUM(DD$7:DD52)</f>
        <v>7</v>
      </c>
      <c r="EV52" s="14">
        <f>SUM(DE$7:DE52)</f>
        <v>5.25</v>
      </c>
      <c r="EW52" s="14">
        <f>SUM(DF$7:DF52)</f>
        <v>5.25</v>
      </c>
      <c r="EZ52" s="14">
        <f t="shared" si="56"/>
        <v>9</v>
      </c>
      <c r="FA52" s="14">
        <f t="shared" si="87"/>
        <v>12</v>
      </c>
      <c r="FB52" s="14">
        <f t="shared" si="88"/>
        <v>12</v>
      </c>
      <c r="FC52" s="14">
        <f t="shared" si="89"/>
        <v>9</v>
      </c>
      <c r="FD52" s="14">
        <f t="shared" si="57"/>
        <v>7</v>
      </c>
      <c r="FE52" s="14">
        <f t="shared" si="90"/>
        <v>12</v>
      </c>
      <c r="FF52" s="14">
        <f t="shared" si="91"/>
        <v>12</v>
      </c>
      <c r="FG52" s="14">
        <f t="shared" si="92"/>
        <v>9</v>
      </c>
      <c r="FH52" s="14">
        <f t="shared" si="93"/>
        <v>9</v>
      </c>
      <c r="FI52" s="14">
        <f t="shared" si="94"/>
        <v>7</v>
      </c>
      <c r="FJ52" s="14">
        <f t="shared" si="58"/>
        <v>3</v>
      </c>
      <c r="FK52" s="14">
        <f t="shared" si="95"/>
        <v>10</v>
      </c>
      <c r="FL52" s="14">
        <f t="shared" si="96"/>
        <v>10</v>
      </c>
      <c r="FM52" s="14">
        <f t="shared" si="97"/>
        <v>7</v>
      </c>
      <c r="FN52" s="14">
        <f t="shared" si="98"/>
        <v>7</v>
      </c>
      <c r="FO52" s="14">
        <f t="shared" si="99"/>
        <v>5</v>
      </c>
      <c r="FP52" s="14">
        <f t="shared" si="100"/>
        <v>3</v>
      </c>
      <c r="FQ52" s="14">
        <f t="shared" si="59"/>
        <v>3</v>
      </c>
      <c r="FR52" s="14">
        <f t="shared" si="101"/>
        <v>11</v>
      </c>
      <c r="FS52" s="14">
        <f t="shared" si="102"/>
        <v>11</v>
      </c>
      <c r="FT52" s="14">
        <f t="shared" si="103"/>
        <v>8</v>
      </c>
      <c r="FU52" s="14">
        <f t="shared" si="104"/>
        <v>8</v>
      </c>
      <c r="FV52" s="14">
        <f t="shared" si="105"/>
        <v>5</v>
      </c>
      <c r="FW52" s="14">
        <f t="shared" si="106"/>
        <v>3</v>
      </c>
      <c r="FX52" s="14">
        <f t="shared" si="60"/>
        <v>3</v>
      </c>
      <c r="FY52" s="14">
        <f t="shared" si="107"/>
        <v>12</v>
      </c>
      <c r="FZ52" s="14">
        <f t="shared" si="108"/>
        <v>12</v>
      </c>
      <c r="GA52" s="14">
        <f t="shared" si="109"/>
        <v>9</v>
      </c>
      <c r="GB52" s="14">
        <f t="shared" si="110"/>
        <v>9</v>
      </c>
      <c r="GC52" s="14">
        <f t="shared" si="111"/>
        <v>6</v>
      </c>
      <c r="GD52" s="14">
        <f t="shared" si="112"/>
        <v>3</v>
      </c>
      <c r="GE52" s="14">
        <f t="shared" si="61"/>
        <v>2</v>
      </c>
      <c r="GF52" s="14">
        <f t="shared" si="113"/>
        <v>6</v>
      </c>
      <c r="GG52" s="14">
        <f t="shared" si="114"/>
        <v>6</v>
      </c>
      <c r="GH52" s="14">
        <f t="shared" si="115"/>
        <v>6</v>
      </c>
      <c r="GI52" s="14">
        <f t="shared" si="116"/>
        <v>3</v>
      </c>
      <c r="GJ52" s="14">
        <f t="shared" si="117"/>
        <v>3</v>
      </c>
      <c r="GK52" s="14">
        <f t="shared" si="118"/>
        <v>3</v>
      </c>
      <c r="GL52" s="14">
        <f t="shared" si="119"/>
        <v>2</v>
      </c>
      <c r="GM52" s="14">
        <f t="shared" si="120"/>
        <v>2</v>
      </c>
      <c r="GN52" s="14">
        <f t="shared" si="62"/>
        <v>4</v>
      </c>
      <c r="GO52" s="14">
        <f t="shared" si="121"/>
        <v>9</v>
      </c>
      <c r="GP52" s="14">
        <f t="shared" si="122"/>
        <v>9</v>
      </c>
      <c r="GQ52" s="14">
        <f t="shared" si="123"/>
        <v>9</v>
      </c>
      <c r="GR52" s="14">
        <f t="shared" si="124"/>
        <v>5</v>
      </c>
      <c r="GS52" s="14">
        <f t="shared" si="125"/>
        <v>5</v>
      </c>
      <c r="GT52" s="14">
        <f t="shared" si="126"/>
        <v>5</v>
      </c>
      <c r="GU52" s="14">
        <f t="shared" si="127"/>
        <v>4</v>
      </c>
      <c r="GV52" s="14">
        <f t="shared" si="128"/>
        <v>4</v>
      </c>
      <c r="GY52" s="91">
        <v>46</v>
      </c>
      <c r="GZ52" s="14">
        <f t="shared" si="63"/>
        <v>4</v>
      </c>
      <c r="HA52" s="14">
        <f t="shared" si="64"/>
        <v>2</v>
      </c>
      <c r="HB52" s="14">
        <f t="shared" si="65"/>
        <v>1</v>
      </c>
      <c r="HC52" s="14">
        <f t="shared" si="66"/>
        <v>0.23200000000000001</v>
      </c>
      <c r="HD52" s="14">
        <f t="shared" si="67"/>
        <v>1606006</v>
      </c>
      <c r="HE52" s="14" t="str">
        <f t="shared" si="68"/>
        <v>神器2-1 : 1级</v>
      </c>
      <c r="HF52" s="14" t="s">
        <v>800</v>
      </c>
      <c r="HG52" s="14">
        <f t="shared" si="69"/>
        <v>1</v>
      </c>
      <c r="HH52" s="14" t="str">
        <f t="shared" si="70"/>
        <v>神器2-1</v>
      </c>
      <c r="HI52" s="14">
        <f t="shared" si="71"/>
        <v>1</v>
      </c>
      <c r="HJ52" s="14" t="s">
        <v>1595</v>
      </c>
      <c r="HK52" s="14">
        <f t="shared" si="72"/>
        <v>3050</v>
      </c>
    </row>
    <row r="53" spans="14:219" ht="16.5" x14ac:dyDescent="0.2">
      <c r="AO53" s="87">
        <v>3</v>
      </c>
      <c r="AP53" s="87">
        <v>3</v>
      </c>
      <c r="AQ53" s="87">
        <v>17</v>
      </c>
      <c r="AR53" s="144">
        <f t="shared" si="49"/>
        <v>4417</v>
      </c>
      <c r="AS53" s="144" t="s">
        <v>1220</v>
      </c>
      <c r="AT53" s="144" t="str">
        <f t="shared" si="50"/>
        <v>神器本-3-噩梦-1  神器2-1</v>
      </c>
      <c r="AU53" s="87">
        <v>4</v>
      </c>
      <c r="AV53" s="87" t="s">
        <v>310</v>
      </c>
      <c r="AW53" s="87">
        <v>1500</v>
      </c>
      <c r="AX53" s="87">
        <v>1</v>
      </c>
      <c r="AY53" s="87">
        <v>1</v>
      </c>
      <c r="AZ53" s="87">
        <f t="shared" si="51"/>
        <v>1</v>
      </c>
      <c r="BA53" s="14">
        <f t="shared" si="52"/>
        <v>0.15</v>
      </c>
      <c r="BB53" s="14">
        <f t="shared" si="53"/>
        <v>2.25</v>
      </c>
      <c r="BL53" s="87">
        <v>47</v>
      </c>
      <c r="BM53" s="14">
        <f>INDEX(节奏总表!$CK$4:$CK$63,新神器!BL53)</f>
        <v>139</v>
      </c>
      <c r="BN53" s="14">
        <f t="shared" si="55"/>
        <v>7</v>
      </c>
      <c r="BO53" s="87">
        <v>3</v>
      </c>
      <c r="BP53" s="87">
        <v>5</v>
      </c>
      <c r="BQ53" s="14">
        <f t="shared" si="129"/>
        <v>0</v>
      </c>
      <c r="BR53" s="14">
        <f t="shared" si="129"/>
        <v>0</v>
      </c>
      <c r="BS53" s="14">
        <f t="shared" si="129"/>
        <v>0</v>
      </c>
      <c r="BT53" s="14">
        <f t="shared" si="129"/>
        <v>0</v>
      </c>
      <c r="BU53" s="14">
        <f t="shared" si="129"/>
        <v>0</v>
      </c>
      <c r="BV53" s="14">
        <f t="shared" si="129"/>
        <v>0</v>
      </c>
      <c r="BW53" s="14">
        <f t="shared" si="129"/>
        <v>0</v>
      </c>
      <c r="BX53" s="14">
        <f t="shared" si="129"/>
        <v>0</v>
      </c>
      <c r="BY53" s="14">
        <f t="shared" si="129"/>
        <v>0.35000000000000003</v>
      </c>
      <c r="BZ53" s="14">
        <f t="shared" si="129"/>
        <v>0.35000000000000003</v>
      </c>
      <c r="CA53" s="14">
        <f t="shared" si="130"/>
        <v>0.20699999999999999</v>
      </c>
      <c r="CB53" s="14">
        <f t="shared" si="130"/>
        <v>0.20699999999999999</v>
      </c>
      <c r="CC53" s="14">
        <f t="shared" si="130"/>
        <v>0.13750000000000001</v>
      </c>
      <c r="CD53" s="14">
        <f t="shared" si="130"/>
        <v>6.9000000000000006E-2</v>
      </c>
      <c r="CE53" s="14">
        <f t="shared" si="130"/>
        <v>0.35000000000000003</v>
      </c>
      <c r="CF53" s="14">
        <f t="shared" si="130"/>
        <v>0.35000000000000003</v>
      </c>
      <c r="CG53" s="14">
        <f t="shared" si="130"/>
        <v>0.20699999999999999</v>
      </c>
      <c r="CH53" s="14">
        <f t="shared" si="130"/>
        <v>0.20699999999999999</v>
      </c>
      <c r="CI53" s="14">
        <f t="shared" si="130"/>
        <v>0.13750000000000001</v>
      </c>
      <c r="CJ53" s="14">
        <f t="shared" si="130"/>
        <v>6.9000000000000006E-2</v>
      </c>
      <c r="CK53" s="14">
        <f t="shared" si="131"/>
        <v>0.35000000000000003</v>
      </c>
      <c r="CL53" s="14">
        <f t="shared" si="131"/>
        <v>0.35000000000000003</v>
      </c>
      <c r="CM53" s="14">
        <f t="shared" si="131"/>
        <v>0.20699999999999999</v>
      </c>
      <c r="CN53" s="14">
        <f t="shared" si="131"/>
        <v>0.20699999999999999</v>
      </c>
      <c r="CO53" s="14">
        <f t="shared" si="131"/>
        <v>0.13750000000000001</v>
      </c>
      <c r="CP53" s="14">
        <f t="shared" si="131"/>
        <v>6.9499999999999992E-2</v>
      </c>
      <c r="CQ53" s="14">
        <f t="shared" si="131"/>
        <v>0.20799999999999999</v>
      </c>
      <c r="CR53" s="14">
        <f t="shared" si="131"/>
        <v>0.20799999999999999</v>
      </c>
      <c r="CS53" s="14">
        <f t="shared" si="131"/>
        <v>0.20799999999999999</v>
      </c>
      <c r="CT53" s="14">
        <f t="shared" si="131"/>
        <v>0.13800000000000001</v>
      </c>
      <c r="CU53" s="14">
        <f t="shared" si="132"/>
        <v>0.13800000000000001</v>
      </c>
      <c r="CV53" s="14">
        <f t="shared" si="132"/>
        <v>0.13800000000000001</v>
      </c>
      <c r="CW53" s="14">
        <f t="shared" si="132"/>
        <v>0</v>
      </c>
      <c r="CX53" s="14">
        <f t="shared" si="132"/>
        <v>0</v>
      </c>
      <c r="CY53" s="14">
        <f t="shared" si="132"/>
        <v>1.5</v>
      </c>
      <c r="CZ53" s="14">
        <f t="shared" si="132"/>
        <v>1.5</v>
      </c>
      <c r="DA53" s="14">
        <f t="shared" si="132"/>
        <v>1.5</v>
      </c>
      <c r="DB53" s="14">
        <f t="shared" si="132"/>
        <v>0.5</v>
      </c>
      <c r="DC53" s="14">
        <f t="shared" si="132"/>
        <v>0.5</v>
      </c>
      <c r="DD53" s="14">
        <f t="shared" si="132"/>
        <v>0.5</v>
      </c>
      <c r="DE53" s="14">
        <f t="shared" si="132"/>
        <v>0.375</v>
      </c>
      <c r="DF53" s="14">
        <f t="shared" si="132"/>
        <v>0.375</v>
      </c>
      <c r="DH53" s="14">
        <f>SUM(BQ$7:BQ53)</f>
        <v>35.749999999999993</v>
      </c>
      <c r="DI53" s="14">
        <f>SUM(BR$7:BR53)</f>
        <v>35.749999999999993</v>
      </c>
      <c r="DJ53" s="14">
        <f>SUM(BS$7:BS53)</f>
        <v>20.25</v>
      </c>
      <c r="DK53" s="14">
        <f>SUM(BT$7:BT53)</f>
        <v>36.25</v>
      </c>
      <c r="DL53" s="14">
        <f>SUM(BU$7:BU53)</f>
        <v>36.25</v>
      </c>
      <c r="DM53" s="14">
        <f>SUM(BV$7:BV53)</f>
        <v>20.625</v>
      </c>
      <c r="DN53" s="14">
        <f>SUM(BW$7:BW53)</f>
        <v>20.625</v>
      </c>
      <c r="DO53" s="14">
        <f>SUM(BX$7:BX53)</f>
        <v>13.75</v>
      </c>
      <c r="DP53" s="14">
        <f>SUM(BY$7:BY53)</f>
        <v>27.749000000000017</v>
      </c>
      <c r="DQ53" s="14">
        <f>SUM(BZ$7:BZ53)</f>
        <v>27.749000000000017</v>
      </c>
      <c r="DR53" s="14">
        <f>SUM(CA$7:CA53)</f>
        <v>15.105000000000011</v>
      </c>
      <c r="DS53" s="14">
        <f>SUM(CB$7:CB53)</f>
        <v>15.105000000000011</v>
      </c>
      <c r="DT53" s="14">
        <f>SUM(CC$7:CC53)</f>
        <v>7.5625000000000027</v>
      </c>
      <c r="DU53" s="14">
        <f>SUM(CD$7:CD53)</f>
        <v>3.544999999999999</v>
      </c>
      <c r="DV53" s="14">
        <f>SUM(CE$7:CE53)</f>
        <v>32.749000000000017</v>
      </c>
      <c r="DW53" s="14">
        <f>SUM(CF$7:CF53)</f>
        <v>32.749000000000017</v>
      </c>
      <c r="DX53" s="14">
        <f>SUM(CG$7:CG53)</f>
        <v>17.730000000000011</v>
      </c>
      <c r="DY53" s="14">
        <f>SUM(CH$7:CH53)</f>
        <v>17.730000000000011</v>
      </c>
      <c r="DZ53" s="14">
        <f>SUM(CI$7:CI53)</f>
        <v>8.5624999999999982</v>
      </c>
      <c r="EA53" s="14">
        <f>SUM(CJ$7:CJ53)</f>
        <v>4.0330000000000004</v>
      </c>
      <c r="EB53" s="14">
        <f>SUM(CK$7:CK53)</f>
        <v>37.749000000000017</v>
      </c>
      <c r="EC53" s="14">
        <f>SUM(CL$7:CL53)</f>
        <v>37.749000000000017</v>
      </c>
      <c r="ED53" s="14">
        <f>SUM(CM$7:CM53)</f>
        <v>20.355000000000011</v>
      </c>
      <c r="EE53" s="14">
        <f>SUM(CN$7:CN53)</f>
        <v>20.355000000000011</v>
      </c>
      <c r="EF53" s="14">
        <f>SUM(CO$7:CO53)</f>
        <v>9.5624999999999929</v>
      </c>
      <c r="EG53" s="14">
        <f>SUM(CP$7:CP53)</f>
        <v>4.5404999999999998</v>
      </c>
      <c r="EH53" s="14">
        <f>SUM(CQ$7:CQ53)</f>
        <v>12.120000000000003</v>
      </c>
      <c r="EI53" s="14">
        <f>SUM(CR$7:CR53)</f>
        <v>12.120000000000003</v>
      </c>
      <c r="EJ53" s="14">
        <f>SUM(CS$7:CS53)</f>
        <v>12.120000000000003</v>
      </c>
      <c r="EK53" s="14">
        <f>SUM(CT$7:CT53)</f>
        <v>5.0699999999999985</v>
      </c>
      <c r="EL53" s="14">
        <f>SUM(CU$7:CU53)</f>
        <v>5.0699999999999985</v>
      </c>
      <c r="EM53" s="14">
        <f>SUM(CV$7:CV53)</f>
        <v>5.0699999999999985</v>
      </c>
      <c r="EN53" s="14">
        <f>SUM(CW$7:CW53)</f>
        <v>2.25</v>
      </c>
      <c r="EO53" s="14">
        <f>SUM(CX$7:CX53)</f>
        <v>2.25</v>
      </c>
      <c r="EP53" s="14">
        <f>SUM(CY$7:CY53)</f>
        <v>22.5</v>
      </c>
      <c r="EQ53" s="14">
        <f>SUM(CZ$7:CZ53)</f>
        <v>22.5</v>
      </c>
      <c r="ER53" s="14">
        <f>SUM(DA$7:DA53)</f>
        <v>22.5</v>
      </c>
      <c r="ES53" s="14">
        <f>SUM(DB$7:DB53)</f>
        <v>7.5</v>
      </c>
      <c r="ET53" s="14">
        <f>SUM(DC$7:DC53)</f>
        <v>7.5</v>
      </c>
      <c r="EU53" s="14">
        <f>SUM(DD$7:DD53)</f>
        <v>7.5</v>
      </c>
      <c r="EV53" s="14">
        <f>SUM(DE$7:DE53)</f>
        <v>5.625</v>
      </c>
      <c r="EW53" s="14">
        <f>SUM(DF$7:DF53)</f>
        <v>5.625</v>
      </c>
      <c r="EZ53" s="14">
        <f t="shared" si="56"/>
        <v>9</v>
      </c>
      <c r="FA53" s="14">
        <f t="shared" si="87"/>
        <v>12</v>
      </c>
      <c r="FB53" s="14">
        <f t="shared" si="88"/>
        <v>12</v>
      </c>
      <c r="FC53" s="14">
        <f t="shared" si="89"/>
        <v>9</v>
      </c>
      <c r="FD53" s="14">
        <f t="shared" si="57"/>
        <v>7</v>
      </c>
      <c r="FE53" s="14">
        <f t="shared" si="90"/>
        <v>12</v>
      </c>
      <c r="FF53" s="14">
        <f t="shared" si="91"/>
        <v>12</v>
      </c>
      <c r="FG53" s="14">
        <f t="shared" si="92"/>
        <v>9</v>
      </c>
      <c r="FH53" s="14">
        <f t="shared" si="93"/>
        <v>9</v>
      </c>
      <c r="FI53" s="14">
        <f t="shared" si="94"/>
        <v>7</v>
      </c>
      <c r="FJ53" s="14">
        <f t="shared" si="58"/>
        <v>3</v>
      </c>
      <c r="FK53" s="14">
        <f t="shared" si="95"/>
        <v>10</v>
      </c>
      <c r="FL53" s="14">
        <f t="shared" si="96"/>
        <v>10</v>
      </c>
      <c r="FM53" s="14">
        <f t="shared" si="97"/>
        <v>8</v>
      </c>
      <c r="FN53" s="14">
        <f t="shared" si="98"/>
        <v>8</v>
      </c>
      <c r="FO53" s="14">
        <f t="shared" si="99"/>
        <v>5</v>
      </c>
      <c r="FP53" s="14">
        <f t="shared" si="100"/>
        <v>3</v>
      </c>
      <c r="FQ53" s="14">
        <f t="shared" si="59"/>
        <v>3</v>
      </c>
      <c r="FR53" s="14">
        <f t="shared" si="101"/>
        <v>11</v>
      </c>
      <c r="FS53" s="14">
        <f t="shared" si="102"/>
        <v>11</v>
      </c>
      <c r="FT53" s="14">
        <f t="shared" si="103"/>
        <v>8</v>
      </c>
      <c r="FU53" s="14">
        <f t="shared" si="104"/>
        <v>8</v>
      </c>
      <c r="FV53" s="14">
        <f t="shared" si="105"/>
        <v>5</v>
      </c>
      <c r="FW53" s="14">
        <f t="shared" si="106"/>
        <v>3</v>
      </c>
      <c r="FX53" s="14">
        <f t="shared" si="60"/>
        <v>3</v>
      </c>
      <c r="FY53" s="14">
        <f t="shared" si="107"/>
        <v>12</v>
      </c>
      <c r="FZ53" s="14">
        <f t="shared" si="108"/>
        <v>12</v>
      </c>
      <c r="GA53" s="14">
        <f t="shared" si="109"/>
        <v>9</v>
      </c>
      <c r="GB53" s="14">
        <f t="shared" si="110"/>
        <v>9</v>
      </c>
      <c r="GC53" s="14">
        <f t="shared" si="111"/>
        <v>6</v>
      </c>
      <c r="GD53" s="14">
        <f t="shared" si="112"/>
        <v>3</v>
      </c>
      <c r="GE53" s="14">
        <f t="shared" si="61"/>
        <v>2</v>
      </c>
      <c r="GF53" s="14">
        <f t="shared" si="113"/>
        <v>7</v>
      </c>
      <c r="GG53" s="14">
        <f t="shared" si="114"/>
        <v>7</v>
      </c>
      <c r="GH53" s="14">
        <f t="shared" si="115"/>
        <v>7</v>
      </c>
      <c r="GI53" s="14">
        <f t="shared" si="116"/>
        <v>4</v>
      </c>
      <c r="GJ53" s="14">
        <f t="shared" si="117"/>
        <v>4</v>
      </c>
      <c r="GK53" s="14">
        <f t="shared" si="118"/>
        <v>4</v>
      </c>
      <c r="GL53" s="14">
        <f t="shared" si="119"/>
        <v>2</v>
      </c>
      <c r="GM53" s="14">
        <f t="shared" si="120"/>
        <v>2</v>
      </c>
      <c r="GN53" s="14">
        <f t="shared" si="62"/>
        <v>4</v>
      </c>
      <c r="GO53" s="14">
        <f t="shared" si="121"/>
        <v>9</v>
      </c>
      <c r="GP53" s="14">
        <f t="shared" si="122"/>
        <v>9</v>
      </c>
      <c r="GQ53" s="14">
        <f t="shared" si="123"/>
        <v>9</v>
      </c>
      <c r="GR53" s="14">
        <f t="shared" si="124"/>
        <v>5</v>
      </c>
      <c r="GS53" s="14">
        <f t="shared" si="125"/>
        <v>5</v>
      </c>
      <c r="GT53" s="14">
        <f t="shared" si="126"/>
        <v>5</v>
      </c>
      <c r="GU53" s="14">
        <f t="shared" si="127"/>
        <v>4</v>
      </c>
      <c r="GV53" s="14">
        <f t="shared" si="128"/>
        <v>4</v>
      </c>
      <c r="GY53" s="91">
        <v>47</v>
      </c>
      <c r="GZ53" s="14">
        <f t="shared" si="63"/>
        <v>4</v>
      </c>
      <c r="HA53" s="14">
        <f t="shared" si="64"/>
        <v>2</v>
      </c>
      <c r="HB53" s="14">
        <f t="shared" si="65"/>
        <v>1</v>
      </c>
      <c r="HC53" s="14">
        <f t="shared" si="66"/>
        <v>0.24099999999999999</v>
      </c>
      <c r="HD53" s="14">
        <f t="shared" si="67"/>
        <v>1606006</v>
      </c>
      <c r="HE53" s="14" t="str">
        <f t="shared" si="68"/>
        <v>神器2-1 : 2级</v>
      </c>
      <c r="HF53" s="14" t="s">
        <v>800</v>
      </c>
      <c r="HG53" s="14">
        <f t="shared" si="69"/>
        <v>2</v>
      </c>
      <c r="HH53" s="14" t="str">
        <f t="shared" si="70"/>
        <v>神器2-1</v>
      </c>
      <c r="HI53" s="14">
        <f t="shared" si="71"/>
        <v>1</v>
      </c>
      <c r="HJ53" s="14" t="s">
        <v>1595</v>
      </c>
      <c r="HK53" s="14">
        <f t="shared" si="72"/>
        <v>3150</v>
      </c>
    </row>
    <row r="54" spans="14:219" ht="16.5" x14ac:dyDescent="0.2">
      <c r="AO54" s="87">
        <v>3</v>
      </c>
      <c r="AP54" s="87">
        <v>3</v>
      </c>
      <c r="AQ54" s="87">
        <v>17</v>
      </c>
      <c r="AR54" s="144">
        <f t="shared" si="49"/>
        <v>4417</v>
      </c>
      <c r="AS54" s="144" t="s">
        <v>1220</v>
      </c>
      <c r="AT54" s="144" t="str">
        <f t="shared" si="50"/>
        <v>神器本-3-噩梦-1  神器2-2</v>
      </c>
      <c r="AU54" s="87">
        <v>5</v>
      </c>
      <c r="AV54" s="87" t="s">
        <v>311</v>
      </c>
      <c r="AW54" s="87">
        <v>1500</v>
      </c>
      <c r="AX54" s="87">
        <v>1</v>
      </c>
      <c r="AY54" s="87">
        <v>1</v>
      </c>
      <c r="AZ54" s="87">
        <f t="shared" si="51"/>
        <v>1</v>
      </c>
      <c r="BA54" s="14">
        <f t="shared" si="52"/>
        <v>0.15</v>
      </c>
      <c r="BB54" s="14">
        <f t="shared" si="53"/>
        <v>2.25</v>
      </c>
      <c r="BL54" s="87">
        <v>48</v>
      </c>
      <c r="BM54" s="14">
        <f>INDEX(节奏总表!$CK$4:$CK$63,新神器!BL54)</f>
        <v>140</v>
      </c>
      <c r="BN54" s="14">
        <f t="shared" si="55"/>
        <v>7</v>
      </c>
      <c r="BO54" s="87">
        <v>3</v>
      </c>
      <c r="BP54" s="87">
        <v>5</v>
      </c>
      <c r="BQ54" s="14">
        <f t="shared" si="129"/>
        <v>0</v>
      </c>
      <c r="BR54" s="14">
        <f t="shared" si="129"/>
        <v>0</v>
      </c>
      <c r="BS54" s="14">
        <f t="shared" si="129"/>
        <v>0</v>
      </c>
      <c r="BT54" s="14">
        <f t="shared" si="129"/>
        <v>0</v>
      </c>
      <c r="BU54" s="14">
        <f t="shared" si="129"/>
        <v>0</v>
      </c>
      <c r="BV54" s="14">
        <f t="shared" si="129"/>
        <v>0</v>
      </c>
      <c r="BW54" s="14">
        <f t="shared" si="129"/>
        <v>0</v>
      </c>
      <c r="BX54" s="14">
        <f t="shared" si="129"/>
        <v>0</v>
      </c>
      <c r="BY54" s="14">
        <f t="shared" si="129"/>
        <v>0.35000000000000003</v>
      </c>
      <c r="BZ54" s="14">
        <f t="shared" si="129"/>
        <v>0.35000000000000003</v>
      </c>
      <c r="CA54" s="14">
        <f t="shared" si="130"/>
        <v>0.20699999999999999</v>
      </c>
      <c r="CB54" s="14">
        <f t="shared" si="130"/>
        <v>0.20699999999999999</v>
      </c>
      <c r="CC54" s="14">
        <f t="shared" si="130"/>
        <v>0.13750000000000001</v>
      </c>
      <c r="CD54" s="14">
        <f t="shared" si="130"/>
        <v>6.9000000000000006E-2</v>
      </c>
      <c r="CE54" s="14">
        <f t="shared" si="130"/>
        <v>0.35000000000000003</v>
      </c>
      <c r="CF54" s="14">
        <f t="shared" si="130"/>
        <v>0.35000000000000003</v>
      </c>
      <c r="CG54" s="14">
        <f t="shared" si="130"/>
        <v>0.20699999999999999</v>
      </c>
      <c r="CH54" s="14">
        <f t="shared" si="130"/>
        <v>0.20699999999999999</v>
      </c>
      <c r="CI54" s="14">
        <f t="shared" si="130"/>
        <v>0.13750000000000001</v>
      </c>
      <c r="CJ54" s="14">
        <f t="shared" si="130"/>
        <v>6.9000000000000006E-2</v>
      </c>
      <c r="CK54" s="14">
        <f t="shared" si="131"/>
        <v>0.35000000000000003</v>
      </c>
      <c r="CL54" s="14">
        <f t="shared" si="131"/>
        <v>0.35000000000000003</v>
      </c>
      <c r="CM54" s="14">
        <f t="shared" si="131"/>
        <v>0.20699999999999999</v>
      </c>
      <c r="CN54" s="14">
        <f t="shared" si="131"/>
        <v>0.20699999999999999</v>
      </c>
      <c r="CO54" s="14">
        <f t="shared" si="131"/>
        <v>0.13750000000000001</v>
      </c>
      <c r="CP54" s="14">
        <f t="shared" si="131"/>
        <v>6.9499999999999992E-2</v>
      </c>
      <c r="CQ54" s="14">
        <f t="shared" si="131"/>
        <v>0.20799999999999999</v>
      </c>
      <c r="CR54" s="14">
        <f t="shared" si="131"/>
        <v>0.20799999999999999</v>
      </c>
      <c r="CS54" s="14">
        <f t="shared" si="131"/>
        <v>0.20799999999999999</v>
      </c>
      <c r="CT54" s="14">
        <f t="shared" si="131"/>
        <v>0.13800000000000001</v>
      </c>
      <c r="CU54" s="14">
        <f t="shared" si="132"/>
        <v>0.13800000000000001</v>
      </c>
      <c r="CV54" s="14">
        <f t="shared" si="132"/>
        <v>0.13800000000000001</v>
      </c>
      <c r="CW54" s="14">
        <f t="shared" si="132"/>
        <v>0</v>
      </c>
      <c r="CX54" s="14">
        <f t="shared" si="132"/>
        <v>0</v>
      </c>
      <c r="CY54" s="14">
        <f t="shared" si="132"/>
        <v>1.5</v>
      </c>
      <c r="CZ54" s="14">
        <f t="shared" si="132"/>
        <v>1.5</v>
      </c>
      <c r="DA54" s="14">
        <f t="shared" si="132"/>
        <v>1.5</v>
      </c>
      <c r="DB54" s="14">
        <f t="shared" si="132"/>
        <v>0.5</v>
      </c>
      <c r="DC54" s="14">
        <f t="shared" si="132"/>
        <v>0.5</v>
      </c>
      <c r="DD54" s="14">
        <f t="shared" si="132"/>
        <v>0.5</v>
      </c>
      <c r="DE54" s="14">
        <f t="shared" si="132"/>
        <v>0.375</v>
      </c>
      <c r="DF54" s="14">
        <f t="shared" si="132"/>
        <v>0.375</v>
      </c>
      <c r="DH54" s="14">
        <f>SUM(BQ$7:BQ54)</f>
        <v>35.749999999999993</v>
      </c>
      <c r="DI54" s="14">
        <f>SUM(BR$7:BR54)</f>
        <v>35.749999999999993</v>
      </c>
      <c r="DJ54" s="14">
        <f>SUM(BS$7:BS54)</f>
        <v>20.25</v>
      </c>
      <c r="DK54" s="14">
        <f>SUM(BT$7:BT54)</f>
        <v>36.25</v>
      </c>
      <c r="DL54" s="14">
        <f>SUM(BU$7:BU54)</f>
        <v>36.25</v>
      </c>
      <c r="DM54" s="14">
        <f>SUM(BV$7:BV54)</f>
        <v>20.625</v>
      </c>
      <c r="DN54" s="14">
        <f>SUM(BW$7:BW54)</f>
        <v>20.625</v>
      </c>
      <c r="DO54" s="14">
        <f>SUM(BX$7:BX54)</f>
        <v>13.75</v>
      </c>
      <c r="DP54" s="14">
        <f>SUM(BY$7:BY54)</f>
        <v>28.099000000000018</v>
      </c>
      <c r="DQ54" s="14">
        <f>SUM(BZ$7:BZ54)</f>
        <v>28.099000000000018</v>
      </c>
      <c r="DR54" s="14">
        <f>SUM(CA$7:CA54)</f>
        <v>15.312000000000012</v>
      </c>
      <c r="DS54" s="14">
        <f>SUM(CB$7:CB54)</f>
        <v>15.312000000000012</v>
      </c>
      <c r="DT54" s="14">
        <f>SUM(CC$7:CC54)</f>
        <v>7.7000000000000028</v>
      </c>
      <c r="DU54" s="14">
        <f>SUM(CD$7:CD54)</f>
        <v>3.613999999999999</v>
      </c>
      <c r="DV54" s="14">
        <f>SUM(CE$7:CE54)</f>
        <v>33.099000000000018</v>
      </c>
      <c r="DW54" s="14">
        <f>SUM(CF$7:CF54)</f>
        <v>33.099000000000018</v>
      </c>
      <c r="DX54" s="14">
        <f>SUM(CG$7:CG54)</f>
        <v>17.937000000000012</v>
      </c>
      <c r="DY54" s="14">
        <f>SUM(CH$7:CH54)</f>
        <v>17.937000000000012</v>
      </c>
      <c r="DZ54" s="14">
        <f>SUM(CI$7:CI54)</f>
        <v>8.6999999999999975</v>
      </c>
      <c r="EA54" s="14">
        <f>SUM(CJ$7:CJ54)</f>
        <v>4.1020000000000003</v>
      </c>
      <c r="EB54" s="14">
        <f>SUM(CK$7:CK54)</f>
        <v>38.099000000000018</v>
      </c>
      <c r="EC54" s="14">
        <f>SUM(CL$7:CL54)</f>
        <v>38.099000000000018</v>
      </c>
      <c r="ED54" s="14">
        <f>SUM(CM$7:CM54)</f>
        <v>20.562000000000012</v>
      </c>
      <c r="EE54" s="14">
        <f>SUM(CN$7:CN54)</f>
        <v>20.562000000000012</v>
      </c>
      <c r="EF54" s="14">
        <f>SUM(CO$7:CO54)</f>
        <v>9.6999999999999922</v>
      </c>
      <c r="EG54" s="14">
        <f>SUM(CP$7:CP54)</f>
        <v>4.6099999999999994</v>
      </c>
      <c r="EH54" s="14">
        <f>SUM(CQ$7:CQ54)</f>
        <v>12.328000000000003</v>
      </c>
      <c r="EI54" s="14">
        <f>SUM(CR$7:CR54)</f>
        <v>12.328000000000003</v>
      </c>
      <c r="EJ54" s="14">
        <f>SUM(CS$7:CS54)</f>
        <v>12.328000000000003</v>
      </c>
      <c r="EK54" s="14">
        <f>SUM(CT$7:CT54)</f>
        <v>5.2079999999999984</v>
      </c>
      <c r="EL54" s="14">
        <f>SUM(CU$7:CU54)</f>
        <v>5.2079999999999984</v>
      </c>
      <c r="EM54" s="14">
        <f>SUM(CV$7:CV54)</f>
        <v>5.2079999999999984</v>
      </c>
      <c r="EN54" s="14">
        <f>SUM(CW$7:CW54)</f>
        <v>2.25</v>
      </c>
      <c r="EO54" s="14">
        <f>SUM(CX$7:CX54)</f>
        <v>2.25</v>
      </c>
      <c r="EP54" s="14">
        <f>SUM(CY$7:CY54)</f>
        <v>24</v>
      </c>
      <c r="EQ54" s="14">
        <f>SUM(CZ$7:CZ54)</f>
        <v>24</v>
      </c>
      <c r="ER54" s="14">
        <f>SUM(DA$7:DA54)</f>
        <v>24</v>
      </c>
      <c r="ES54" s="14">
        <f>SUM(DB$7:DB54)</f>
        <v>8</v>
      </c>
      <c r="ET54" s="14">
        <f>SUM(DC$7:DC54)</f>
        <v>8</v>
      </c>
      <c r="EU54" s="14">
        <f>SUM(DD$7:DD54)</f>
        <v>8</v>
      </c>
      <c r="EV54" s="14">
        <f>SUM(DE$7:DE54)</f>
        <v>6</v>
      </c>
      <c r="EW54" s="14">
        <f>SUM(DF$7:DF54)</f>
        <v>6</v>
      </c>
      <c r="EZ54" s="14">
        <f t="shared" si="56"/>
        <v>9</v>
      </c>
      <c r="FA54" s="14">
        <f t="shared" si="87"/>
        <v>12</v>
      </c>
      <c r="FB54" s="14">
        <f t="shared" si="88"/>
        <v>12</v>
      </c>
      <c r="FC54" s="14">
        <f t="shared" si="89"/>
        <v>9</v>
      </c>
      <c r="FD54" s="14">
        <f t="shared" si="57"/>
        <v>7</v>
      </c>
      <c r="FE54" s="14">
        <f t="shared" si="90"/>
        <v>12</v>
      </c>
      <c r="FF54" s="14">
        <f t="shared" si="91"/>
        <v>12</v>
      </c>
      <c r="FG54" s="14">
        <f t="shared" si="92"/>
        <v>9</v>
      </c>
      <c r="FH54" s="14">
        <f t="shared" si="93"/>
        <v>9</v>
      </c>
      <c r="FI54" s="14">
        <f t="shared" si="94"/>
        <v>7</v>
      </c>
      <c r="FJ54" s="14">
        <f t="shared" si="58"/>
        <v>3</v>
      </c>
      <c r="FK54" s="14">
        <f t="shared" si="95"/>
        <v>11</v>
      </c>
      <c r="FL54" s="14">
        <f t="shared" si="96"/>
        <v>11</v>
      </c>
      <c r="FM54" s="14">
        <f t="shared" si="97"/>
        <v>8</v>
      </c>
      <c r="FN54" s="14">
        <f t="shared" si="98"/>
        <v>8</v>
      </c>
      <c r="FO54" s="14">
        <f t="shared" si="99"/>
        <v>5</v>
      </c>
      <c r="FP54" s="14">
        <f t="shared" si="100"/>
        <v>3</v>
      </c>
      <c r="FQ54" s="14">
        <f t="shared" si="59"/>
        <v>3</v>
      </c>
      <c r="FR54" s="14">
        <f t="shared" si="101"/>
        <v>11</v>
      </c>
      <c r="FS54" s="14">
        <f t="shared" si="102"/>
        <v>11</v>
      </c>
      <c r="FT54" s="14">
        <f t="shared" si="103"/>
        <v>8</v>
      </c>
      <c r="FU54" s="14">
        <f t="shared" si="104"/>
        <v>8</v>
      </c>
      <c r="FV54" s="14">
        <f t="shared" si="105"/>
        <v>5</v>
      </c>
      <c r="FW54" s="14">
        <f t="shared" si="106"/>
        <v>3</v>
      </c>
      <c r="FX54" s="14">
        <f t="shared" si="60"/>
        <v>3</v>
      </c>
      <c r="FY54" s="14">
        <f t="shared" si="107"/>
        <v>12</v>
      </c>
      <c r="FZ54" s="14">
        <f t="shared" si="108"/>
        <v>12</v>
      </c>
      <c r="GA54" s="14">
        <f t="shared" si="109"/>
        <v>9</v>
      </c>
      <c r="GB54" s="14">
        <f t="shared" si="110"/>
        <v>9</v>
      </c>
      <c r="GC54" s="14">
        <f t="shared" si="111"/>
        <v>6</v>
      </c>
      <c r="GD54" s="14">
        <f t="shared" si="112"/>
        <v>3</v>
      </c>
      <c r="GE54" s="14">
        <f t="shared" si="61"/>
        <v>2</v>
      </c>
      <c r="GF54" s="14">
        <f t="shared" si="113"/>
        <v>7</v>
      </c>
      <c r="GG54" s="14">
        <f t="shared" si="114"/>
        <v>7</v>
      </c>
      <c r="GH54" s="14">
        <f t="shared" si="115"/>
        <v>7</v>
      </c>
      <c r="GI54" s="14">
        <f t="shared" si="116"/>
        <v>4</v>
      </c>
      <c r="GJ54" s="14">
        <f t="shared" si="117"/>
        <v>4</v>
      </c>
      <c r="GK54" s="14">
        <f t="shared" si="118"/>
        <v>4</v>
      </c>
      <c r="GL54" s="14">
        <f t="shared" si="119"/>
        <v>2</v>
      </c>
      <c r="GM54" s="14">
        <f t="shared" si="120"/>
        <v>2</v>
      </c>
      <c r="GN54" s="14">
        <f t="shared" si="62"/>
        <v>4</v>
      </c>
      <c r="GO54" s="14">
        <f t="shared" si="121"/>
        <v>10</v>
      </c>
      <c r="GP54" s="14">
        <f t="shared" si="122"/>
        <v>10</v>
      </c>
      <c r="GQ54" s="14">
        <f t="shared" si="123"/>
        <v>10</v>
      </c>
      <c r="GR54" s="14">
        <f t="shared" si="124"/>
        <v>5</v>
      </c>
      <c r="GS54" s="14">
        <f t="shared" si="125"/>
        <v>5</v>
      </c>
      <c r="GT54" s="14">
        <f t="shared" si="126"/>
        <v>5</v>
      </c>
      <c r="GU54" s="14">
        <f t="shared" si="127"/>
        <v>4</v>
      </c>
      <c r="GV54" s="14">
        <f t="shared" si="128"/>
        <v>4</v>
      </c>
      <c r="GY54" s="91">
        <v>48</v>
      </c>
      <c r="GZ54" s="14">
        <f t="shared" si="63"/>
        <v>4</v>
      </c>
      <c r="HA54" s="14">
        <f t="shared" si="64"/>
        <v>2</v>
      </c>
      <c r="HB54" s="14">
        <f t="shared" si="65"/>
        <v>1</v>
      </c>
      <c r="HC54" s="14">
        <f t="shared" si="66"/>
        <v>0.249</v>
      </c>
      <c r="HD54" s="14">
        <f t="shared" si="67"/>
        <v>1606006</v>
      </c>
      <c r="HE54" s="14" t="str">
        <f t="shared" si="68"/>
        <v>神器2-1 : 3级</v>
      </c>
      <c r="HF54" s="14" t="s">
        <v>800</v>
      </c>
      <c r="HG54" s="14">
        <f t="shared" si="69"/>
        <v>3</v>
      </c>
      <c r="HH54" s="14" t="str">
        <f t="shared" si="70"/>
        <v>神器2-1</v>
      </c>
      <c r="HI54" s="14">
        <f t="shared" si="71"/>
        <v>1</v>
      </c>
      <c r="HJ54" s="14" t="s">
        <v>1595</v>
      </c>
      <c r="HK54" s="14">
        <f t="shared" si="72"/>
        <v>3250</v>
      </c>
    </row>
    <row r="55" spans="14:219" ht="16.5" x14ac:dyDescent="0.2">
      <c r="AO55" s="87">
        <v>3</v>
      </c>
      <c r="AP55" s="87">
        <v>3</v>
      </c>
      <c r="AQ55" s="87">
        <v>17</v>
      </c>
      <c r="AR55" s="144">
        <f t="shared" si="49"/>
        <v>4417</v>
      </c>
      <c r="AS55" s="144" t="s">
        <v>1220</v>
      </c>
      <c r="AT55" s="144" t="str">
        <f t="shared" si="50"/>
        <v>神器本-3-噩梦-1  神器2-3</v>
      </c>
      <c r="AU55" s="87">
        <v>6</v>
      </c>
      <c r="AV55" s="87" t="s">
        <v>312</v>
      </c>
      <c r="AW55" s="87">
        <v>1000</v>
      </c>
      <c r="AX55" s="87">
        <v>1</v>
      </c>
      <c r="AY55" s="87">
        <v>1</v>
      </c>
      <c r="AZ55" s="87">
        <f t="shared" si="51"/>
        <v>2</v>
      </c>
      <c r="BA55" s="14">
        <f t="shared" si="52"/>
        <v>0.1</v>
      </c>
      <c r="BB55" s="14">
        <f t="shared" si="53"/>
        <v>4.5</v>
      </c>
      <c r="BL55" s="87">
        <v>49</v>
      </c>
      <c r="BM55" s="14">
        <f>INDEX(节奏总表!$CK$4:$CK$63,新神器!BL55)</f>
        <v>141</v>
      </c>
      <c r="BN55" s="14">
        <f t="shared" si="55"/>
        <v>7</v>
      </c>
      <c r="BO55" s="87">
        <v>3</v>
      </c>
      <c r="BP55" s="87">
        <v>5</v>
      </c>
      <c r="BQ55" s="14">
        <f t="shared" si="129"/>
        <v>0</v>
      </c>
      <c r="BR55" s="14">
        <f t="shared" si="129"/>
        <v>0</v>
      </c>
      <c r="BS55" s="14">
        <f t="shared" si="129"/>
        <v>0</v>
      </c>
      <c r="BT55" s="14">
        <f t="shared" si="129"/>
        <v>0</v>
      </c>
      <c r="BU55" s="14">
        <f t="shared" si="129"/>
        <v>0</v>
      </c>
      <c r="BV55" s="14">
        <f t="shared" si="129"/>
        <v>0</v>
      </c>
      <c r="BW55" s="14">
        <f t="shared" si="129"/>
        <v>0</v>
      </c>
      <c r="BX55" s="14">
        <f t="shared" si="129"/>
        <v>0</v>
      </c>
      <c r="BY55" s="14">
        <f t="shared" si="129"/>
        <v>0.35000000000000003</v>
      </c>
      <c r="BZ55" s="14">
        <f t="shared" si="129"/>
        <v>0.35000000000000003</v>
      </c>
      <c r="CA55" s="14">
        <f t="shared" si="130"/>
        <v>0.20699999999999999</v>
      </c>
      <c r="CB55" s="14">
        <f t="shared" si="130"/>
        <v>0.20699999999999999</v>
      </c>
      <c r="CC55" s="14">
        <f t="shared" si="130"/>
        <v>0.13750000000000001</v>
      </c>
      <c r="CD55" s="14">
        <f t="shared" si="130"/>
        <v>6.9000000000000006E-2</v>
      </c>
      <c r="CE55" s="14">
        <f t="shared" si="130"/>
        <v>0.35000000000000003</v>
      </c>
      <c r="CF55" s="14">
        <f t="shared" si="130"/>
        <v>0.35000000000000003</v>
      </c>
      <c r="CG55" s="14">
        <f t="shared" si="130"/>
        <v>0.20699999999999999</v>
      </c>
      <c r="CH55" s="14">
        <f t="shared" si="130"/>
        <v>0.20699999999999999</v>
      </c>
      <c r="CI55" s="14">
        <f t="shared" si="130"/>
        <v>0.13750000000000001</v>
      </c>
      <c r="CJ55" s="14">
        <f t="shared" si="130"/>
        <v>6.9000000000000006E-2</v>
      </c>
      <c r="CK55" s="14">
        <f t="shared" si="131"/>
        <v>0.35000000000000003</v>
      </c>
      <c r="CL55" s="14">
        <f t="shared" si="131"/>
        <v>0.35000000000000003</v>
      </c>
      <c r="CM55" s="14">
        <f t="shared" si="131"/>
        <v>0.20699999999999999</v>
      </c>
      <c r="CN55" s="14">
        <f t="shared" si="131"/>
        <v>0.20699999999999999</v>
      </c>
      <c r="CO55" s="14">
        <f t="shared" si="131"/>
        <v>0.13750000000000001</v>
      </c>
      <c r="CP55" s="14">
        <f t="shared" si="131"/>
        <v>6.9499999999999992E-2</v>
      </c>
      <c r="CQ55" s="14">
        <f t="shared" si="131"/>
        <v>0.20799999999999999</v>
      </c>
      <c r="CR55" s="14">
        <f t="shared" si="131"/>
        <v>0.20799999999999999</v>
      </c>
      <c r="CS55" s="14">
        <f t="shared" si="131"/>
        <v>0.20799999999999999</v>
      </c>
      <c r="CT55" s="14">
        <f t="shared" si="131"/>
        <v>0.13800000000000001</v>
      </c>
      <c r="CU55" s="14">
        <f t="shared" si="132"/>
        <v>0.13800000000000001</v>
      </c>
      <c r="CV55" s="14">
        <f t="shared" si="132"/>
        <v>0.13800000000000001</v>
      </c>
      <c r="CW55" s="14">
        <f t="shared" si="132"/>
        <v>0</v>
      </c>
      <c r="CX55" s="14">
        <f t="shared" si="132"/>
        <v>0</v>
      </c>
      <c r="CY55" s="14">
        <f t="shared" si="132"/>
        <v>1.5</v>
      </c>
      <c r="CZ55" s="14">
        <f t="shared" si="132"/>
        <v>1.5</v>
      </c>
      <c r="DA55" s="14">
        <f t="shared" si="132"/>
        <v>1.5</v>
      </c>
      <c r="DB55" s="14">
        <f t="shared" si="132"/>
        <v>0.5</v>
      </c>
      <c r="DC55" s="14">
        <f t="shared" si="132"/>
        <v>0.5</v>
      </c>
      <c r="DD55" s="14">
        <f t="shared" si="132"/>
        <v>0.5</v>
      </c>
      <c r="DE55" s="14">
        <f t="shared" si="132"/>
        <v>0.375</v>
      </c>
      <c r="DF55" s="14">
        <f t="shared" si="132"/>
        <v>0.375</v>
      </c>
      <c r="DH55" s="14">
        <f>SUM(BQ$7:BQ55)</f>
        <v>35.749999999999993</v>
      </c>
      <c r="DI55" s="14">
        <f>SUM(BR$7:BR55)</f>
        <v>35.749999999999993</v>
      </c>
      <c r="DJ55" s="14">
        <f>SUM(BS$7:BS55)</f>
        <v>20.25</v>
      </c>
      <c r="DK55" s="14">
        <f>SUM(BT$7:BT55)</f>
        <v>36.25</v>
      </c>
      <c r="DL55" s="14">
        <f>SUM(BU$7:BU55)</f>
        <v>36.25</v>
      </c>
      <c r="DM55" s="14">
        <f>SUM(BV$7:BV55)</f>
        <v>20.625</v>
      </c>
      <c r="DN55" s="14">
        <f>SUM(BW$7:BW55)</f>
        <v>20.625</v>
      </c>
      <c r="DO55" s="14">
        <f>SUM(BX$7:BX55)</f>
        <v>13.75</v>
      </c>
      <c r="DP55" s="14">
        <f>SUM(BY$7:BY55)</f>
        <v>28.449000000000019</v>
      </c>
      <c r="DQ55" s="14">
        <f>SUM(BZ$7:BZ55)</f>
        <v>28.449000000000019</v>
      </c>
      <c r="DR55" s="14">
        <f>SUM(CA$7:CA55)</f>
        <v>15.519000000000013</v>
      </c>
      <c r="DS55" s="14">
        <f>SUM(CB$7:CB55)</f>
        <v>15.519000000000013</v>
      </c>
      <c r="DT55" s="14">
        <f>SUM(CC$7:CC55)</f>
        <v>7.837500000000003</v>
      </c>
      <c r="DU55" s="14">
        <f>SUM(CD$7:CD55)</f>
        <v>3.6829999999999989</v>
      </c>
      <c r="DV55" s="14">
        <f>SUM(CE$7:CE55)</f>
        <v>33.449000000000019</v>
      </c>
      <c r="DW55" s="14">
        <f>SUM(CF$7:CF55)</f>
        <v>33.449000000000019</v>
      </c>
      <c r="DX55" s="14">
        <f>SUM(CG$7:CG55)</f>
        <v>18.144000000000013</v>
      </c>
      <c r="DY55" s="14">
        <f>SUM(CH$7:CH55)</f>
        <v>18.144000000000013</v>
      </c>
      <c r="DZ55" s="14">
        <f>SUM(CI$7:CI55)</f>
        <v>8.8374999999999968</v>
      </c>
      <c r="EA55" s="14">
        <f>SUM(CJ$7:CJ55)</f>
        <v>4.1710000000000003</v>
      </c>
      <c r="EB55" s="14">
        <f>SUM(CK$7:CK55)</f>
        <v>38.449000000000019</v>
      </c>
      <c r="EC55" s="14">
        <f>SUM(CL$7:CL55)</f>
        <v>38.449000000000019</v>
      </c>
      <c r="ED55" s="14">
        <f>SUM(CM$7:CM55)</f>
        <v>20.769000000000013</v>
      </c>
      <c r="EE55" s="14">
        <f>SUM(CN$7:CN55)</f>
        <v>20.769000000000013</v>
      </c>
      <c r="EF55" s="14">
        <f>SUM(CO$7:CO55)</f>
        <v>9.8374999999999915</v>
      </c>
      <c r="EG55" s="14">
        <f>SUM(CP$7:CP55)</f>
        <v>4.6794999999999991</v>
      </c>
      <c r="EH55" s="14">
        <f>SUM(CQ$7:CQ55)</f>
        <v>12.536000000000003</v>
      </c>
      <c r="EI55" s="14">
        <f>SUM(CR$7:CR55)</f>
        <v>12.536000000000003</v>
      </c>
      <c r="EJ55" s="14">
        <f>SUM(CS$7:CS55)</f>
        <v>12.536000000000003</v>
      </c>
      <c r="EK55" s="14">
        <f>SUM(CT$7:CT55)</f>
        <v>5.3459999999999983</v>
      </c>
      <c r="EL55" s="14">
        <f>SUM(CU$7:CU55)</f>
        <v>5.3459999999999983</v>
      </c>
      <c r="EM55" s="14">
        <f>SUM(CV$7:CV55)</f>
        <v>5.3459999999999983</v>
      </c>
      <c r="EN55" s="14">
        <f>SUM(CW$7:CW55)</f>
        <v>2.25</v>
      </c>
      <c r="EO55" s="14">
        <f>SUM(CX$7:CX55)</f>
        <v>2.25</v>
      </c>
      <c r="EP55" s="14">
        <f>SUM(CY$7:CY55)</f>
        <v>25.5</v>
      </c>
      <c r="EQ55" s="14">
        <f>SUM(CZ$7:CZ55)</f>
        <v>25.5</v>
      </c>
      <c r="ER55" s="14">
        <f>SUM(DA$7:DA55)</f>
        <v>25.5</v>
      </c>
      <c r="ES55" s="14">
        <f>SUM(DB$7:DB55)</f>
        <v>8.5</v>
      </c>
      <c r="ET55" s="14">
        <f>SUM(DC$7:DC55)</f>
        <v>8.5</v>
      </c>
      <c r="EU55" s="14">
        <f>SUM(DD$7:DD55)</f>
        <v>8.5</v>
      </c>
      <c r="EV55" s="14">
        <f>SUM(DE$7:DE55)</f>
        <v>6.375</v>
      </c>
      <c r="EW55" s="14">
        <f>SUM(DF$7:DF55)</f>
        <v>6.375</v>
      </c>
      <c r="EZ55" s="14">
        <f t="shared" si="56"/>
        <v>9</v>
      </c>
      <c r="FA55" s="14">
        <f t="shared" si="87"/>
        <v>12</v>
      </c>
      <c r="FB55" s="14">
        <f t="shared" si="88"/>
        <v>12</v>
      </c>
      <c r="FC55" s="14">
        <f t="shared" si="89"/>
        <v>9</v>
      </c>
      <c r="FD55" s="14">
        <f t="shared" si="57"/>
        <v>7</v>
      </c>
      <c r="FE55" s="14">
        <f t="shared" si="90"/>
        <v>12</v>
      </c>
      <c r="FF55" s="14">
        <f t="shared" si="91"/>
        <v>12</v>
      </c>
      <c r="FG55" s="14">
        <f t="shared" si="92"/>
        <v>9</v>
      </c>
      <c r="FH55" s="14">
        <f t="shared" si="93"/>
        <v>9</v>
      </c>
      <c r="FI55" s="14">
        <f t="shared" si="94"/>
        <v>7</v>
      </c>
      <c r="FJ55" s="14">
        <f t="shared" si="58"/>
        <v>3</v>
      </c>
      <c r="FK55" s="14">
        <f t="shared" si="95"/>
        <v>11</v>
      </c>
      <c r="FL55" s="14">
        <f t="shared" si="96"/>
        <v>11</v>
      </c>
      <c r="FM55" s="14">
        <f t="shared" si="97"/>
        <v>8</v>
      </c>
      <c r="FN55" s="14">
        <f t="shared" si="98"/>
        <v>8</v>
      </c>
      <c r="FO55" s="14">
        <f t="shared" si="99"/>
        <v>5</v>
      </c>
      <c r="FP55" s="14">
        <f t="shared" si="100"/>
        <v>3</v>
      </c>
      <c r="FQ55" s="14">
        <f t="shared" si="59"/>
        <v>3</v>
      </c>
      <c r="FR55" s="14">
        <f t="shared" si="101"/>
        <v>11</v>
      </c>
      <c r="FS55" s="14">
        <f t="shared" si="102"/>
        <v>11</v>
      </c>
      <c r="FT55" s="14">
        <f t="shared" si="103"/>
        <v>9</v>
      </c>
      <c r="FU55" s="14">
        <f t="shared" si="104"/>
        <v>9</v>
      </c>
      <c r="FV55" s="14">
        <f t="shared" si="105"/>
        <v>5</v>
      </c>
      <c r="FW55" s="14">
        <f t="shared" si="106"/>
        <v>3</v>
      </c>
      <c r="FX55" s="14">
        <f t="shared" si="60"/>
        <v>3</v>
      </c>
      <c r="FY55" s="14">
        <f t="shared" si="107"/>
        <v>12</v>
      </c>
      <c r="FZ55" s="14">
        <f t="shared" si="108"/>
        <v>12</v>
      </c>
      <c r="GA55" s="14">
        <f t="shared" si="109"/>
        <v>9</v>
      </c>
      <c r="GB55" s="14">
        <f t="shared" si="110"/>
        <v>9</v>
      </c>
      <c r="GC55" s="14">
        <f t="shared" si="111"/>
        <v>6</v>
      </c>
      <c r="GD55" s="14">
        <f t="shared" si="112"/>
        <v>3</v>
      </c>
      <c r="GE55" s="14">
        <f t="shared" si="61"/>
        <v>2</v>
      </c>
      <c r="GF55" s="14">
        <f t="shared" si="113"/>
        <v>7</v>
      </c>
      <c r="GG55" s="14">
        <f t="shared" si="114"/>
        <v>7</v>
      </c>
      <c r="GH55" s="14">
        <f t="shared" si="115"/>
        <v>7</v>
      </c>
      <c r="GI55" s="14">
        <f t="shared" si="116"/>
        <v>4</v>
      </c>
      <c r="GJ55" s="14">
        <f t="shared" si="117"/>
        <v>4</v>
      </c>
      <c r="GK55" s="14">
        <f t="shared" si="118"/>
        <v>4</v>
      </c>
      <c r="GL55" s="14">
        <f t="shared" si="119"/>
        <v>2</v>
      </c>
      <c r="GM55" s="14">
        <f t="shared" si="120"/>
        <v>2</v>
      </c>
      <c r="GN55" s="14">
        <f t="shared" si="62"/>
        <v>4</v>
      </c>
      <c r="GO55" s="14">
        <f t="shared" si="121"/>
        <v>10</v>
      </c>
      <c r="GP55" s="14">
        <f t="shared" si="122"/>
        <v>10</v>
      </c>
      <c r="GQ55" s="14">
        <f t="shared" si="123"/>
        <v>10</v>
      </c>
      <c r="GR55" s="14">
        <f t="shared" si="124"/>
        <v>5</v>
      </c>
      <c r="GS55" s="14">
        <f t="shared" si="125"/>
        <v>5</v>
      </c>
      <c r="GT55" s="14">
        <f t="shared" si="126"/>
        <v>5</v>
      </c>
      <c r="GU55" s="14">
        <f t="shared" si="127"/>
        <v>4</v>
      </c>
      <c r="GV55" s="14">
        <f t="shared" si="128"/>
        <v>4</v>
      </c>
      <c r="GY55" s="91">
        <v>49</v>
      </c>
      <c r="GZ55" s="14">
        <f t="shared" si="63"/>
        <v>4</v>
      </c>
      <c r="HA55" s="14">
        <f t="shared" si="64"/>
        <v>2</v>
      </c>
      <c r="HB55" s="14">
        <f t="shared" si="65"/>
        <v>1</v>
      </c>
      <c r="HC55" s="14">
        <f t="shared" si="66"/>
        <v>0.25700000000000001</v>
      </c>
      <c r="HD55" s="14">
        <f t="shared" si="67"/>
        <v>1606006</v>
      </c>
      <c r="HE55" s="14" t="str">
        <f t="shared" si="68"/>
        <v>神器2-1 : 4级</v>
      </c>
      <c r="HF55" s="14" t="s">
        <v>800</v>
      </c>
      <c r="HG55" s="14">
        <f t="shared" si="69"/>
        <v>4</v>
      </c>
      <c r="HH55" s="14" t="str">
        <f t="shared" si="70"/>
        <v>神器2-1</v>
      </c>
      <c r="HI55" s="14">
        <f t="shared" si="71"/>
        <v>2</v>
      </c>
      <c r="HJ55" s="14" t="s">
        <v>1595</v>
      </c>
      <c r="HK55" s="14">
        <f t="shared" si="72"/>
        <v>3350</v>
      </c>
    </row>
    <row r="56" spans="14:219" ht="16.5" x14ac:dyDescent="0.2">
      <c r="AO56" s="87">
        <v>3</v>
      </c>
      <c r="AP56" s="87">
        <v>3</v>
      </c>
      <c r="AQ56" s="87">
        <v>17</v>
      </c>
      <c r="AR56" s="144">
        <f t="shared" si="49"/>
        <v>4417</v>
      </c>
      <c r="AS56" s="144" t="s">
        <v>1220</v>
      </c>
      <c r="AT56" s="144" t="str">
        <f t="shared" si="50"/>
        <v>神器本-3-噩梦-1  神器2-4</v>
      </c>
      <c r="AU56" s="87">
        <v>7</v>
      </c>
      <c r="AV56" s="87" t="s">
        <v>313</v>
      </c>
      <c r="AW56" s="87">
        <v>1000</v>
      </c>
      <c r="AX56" s="87">
        <v>1</v>
      </c>
      <c r="AY56" s="87">
        <v>1</v>
      </c>
      <c r="AZ56" s="87">
        <f t="shared" si="51"/>
        <v>2</v>
      </c>
      <c r="BA56" s="14">
        <f t="shared" si="52"/>
        <v>0.1</v>
      </c>
      <c r="BB56" s="14">
        <f t="shared" si="53"/>
        <v>4.5</v>
      </c>
      <c r="BL56" s="87">
        <v>50</v>
      </c>
      <c r="BM56" s="14">
        <f>INDEX(节奏总表!$CK$4:$CK$63,新神器!BL56)</f>
        <v>141</v>
      </c>
      <c r="BN56" s="14">
        <f t="shared" si="55"/>
        <v>7</v>
      </c>
      <c r="BO56" s="87">
        <v>3</v>
      </c>
      <c r="BP56" s="87">
        <v>5</v>
      </c>
      <c r="BQ56" s="14">
        <f t="shared" si="129"/>
        <v>0</v>
      </c>
      <c r="BR56" s="14">
        <f t="shared" si="129"/>
        <v>0</v>
      </c>
      <c r="BS56" s="14">
        <f t="shared" si="129"/>
        <v>0</v>
      </c>
      <c r="BT56" s="14">
        <f t="shared" si="129"/>
        <v>0</v>
      </c>
      <c r="BU56" s="14">
        <f t="shared" si="129"/>
        <v>0</v>
      </c>
      <c r="BV56" s="14">
        <f t="shared" si="129"/>
        <v>0</v>
      </c>
      <c r="BW56" s="14">
        <f t="shared" si="129"/>
        <v>0</v>
      </c>
      <c r="BX56" s="14">
        <f t="shared" si="129"/>
        <v>0</v>
      </c>
      <c r="BY56" s="14">
        <f t="shared" si="129"/>
        <v>0.35000000000000003</v>
      </c>
      <c r="BZ56" s="14">
        <f t="shared" si="129"/>
        <v>0.35000000000000003</v>
      </c>
      <c r="CA56" s="14">
        <f t="shared" si="130"/>
        <v>0.20699999999999999</v>
      </c>
      <c r="CB56" s="14">
        <f t="shared" si="130"/>
        <v>0.20699999999999999</v>
      </c>
      <c r="CC56" s="14">
        <f t="shared" si="130"/>
        <v>0.13750000000000001</v>
      </c>
      <c r="CD56" s="14">
        <f t="shared" si="130"/>
        <v>6.9000000000000006E-2</v>
      </c>
      <c r="CE56" s="14">
        <f t="shared" si="130"/>
        <v>0.35000000000000003</v>
      </c>
      <c r="CF56" s="14">
        <f t="shared" si="130"/>
        <v>0.35000000000000003</v>
      </c>
      <c r="CG56" s="14">
        <f t="shared" si="130"/>
        <v>0.20699999999999999</v>
      </c>
      <c r="CH56" s="14">
        <f t="shared" si="130"/>
        <v>0.20699999999999999</v>
      </c>
      <c r="CI56" s="14">
        <f t="shared" si="130"/>
        <v>0.13750000000000001</v>
      </c>
      <c r="CJ56" s="14">
        <f t="shared" si="130"/>
        <v>6.9000000000000006E-2</v>
      </c>
      <c r="CK56" s="14">
        <f t="shared" si="131"/>
        <v>0.35000000000000003</v>
      </c>
      <c r="CL56" s="14">
        <f t="shared" si="131"/>
        <v>0.35000000000000003</v>
      </c>
      <c r="CM56" s="14">
        <f t="shared" si="131"/>
        <v>0.20699999999999999</v>
      </c>
      <c r="CN56" s="14">
        <f t="shared" si="131"/>
        <v>0.20699999999999999</v>
      </c>
      <c r="CO56" s="14">
        <f t="shared" si="131"/>
        <v>0.13750000000000001</v>
      </c>
      <c r="CP56" s="14">
        <f t="shared" si="131"/>
        <v>6.9499999999999992E-2</v>
      </c>
      <c r="CQ56" s="14">
        <f t="shared" si="131"/>
        <v>0.20799999999999999</v>
      </c>
      <c r="CR56" s="14">
        <f t="shared" si="131"/>
        <v>0.20799999999999999</v>
      </c>
      <c r="CS56" s="14">
        <f t="shared" si="131"/>
        <v>0.20799999999999999</v>
      </c>
      <c r="CT56" s="14">
        <f t="shared" si="131"/>
        <v>0.13800000000000001</v>
      </c>
      <c r="CU56" s="14">
        <f t="shared" si="132"/>
        <v>0.13800000000000001</v>
      </c>
      <c r="CV56" s="14">
        <f t="shared" si="132"/>
        <v>0.13800000000000001</v>
      </c>
      <c r="CW56" s="14">
        <f t="shared" si="132"/>
        <v>0</v>
      </c>
      <c r="CX56" s="14">
        <f t="shared" si="132"/>
        <v>0</v>
      </c>
      <c r="CY56" s="14">
        <f t="shared" si="132"/>
        <v>1.5</v>
      </c>
      <c r="CZ56" s="14">
        <f t="shared" si="132"/>
        <v>1.5</v>
      </c>
      <c r="DA56" s="14">
        <f t="shared" si="132"/>
        <v>1.5</v>
      </c>
      <c r="DB56" s="14">
        <f t="shared" si="132"/>
        <v>0.5</v>
      </c>
      <c r="DC56" s="14">
        <f t="shared" si="132"/>
        <v>0.5</v>
      </c>
      <c r="DD56" s="14">
        <f t="shared" si="132"/>
        <v>0.5</v>
      </c>
      <c r="DE56" s="14">
        <f t="shared" si="132"/>
        <v>0.375</v>
      </c>
      <c r="DF56" s="14">
        <f t="shared" si="132"/>
        <v>0.375</v>
      </c>
      <c r="DH56" s="14">
        <f>SUM(BQ$7:BQ56)</f>
        <v>35.749999999999993</v>
      </c>
      <c r="DI56" s="14">
        <f>SUM(BR$7:BR56)</f>
        <v>35.749999999999993</v>
      </c>
      <c r="DJ56" s="14">
        <f>SUM(BS$7:BS56)</f>
        <v>20.25</v>
      </c>
      <c r="DK56" s="14">
        <f>SUM(BT$7:BT56)</f>
        <v>36.25</v>
      </c>
      <c r="DL56" s="14">
        <f>SUM(BU$7:BU56)</f>
        <v>36.25</v>
      </c>
      <c r="DM56" s="14">
        <f>SUM(BV$7:BV56)</f>
        <v>20.625</v>
      </c>
      <c r="DN56" s="14">
        <f>SUM(BW$7:BW56)</f>
        <v>20.625</v>
      </c>
      <c r="DO56" s="14">
        <f>SUM(BX$7:BX56)</f>
        <v>13.75</v>
      </c>
      <c r="DP56" s="14">
        <f>SUM(BY$7:BY56)</f>
        <v>28.799000000000021</v>
      </c>
      <c r="DQ56" s="14">
        <f>SUM(BZ$7:BZ56)</f>
        <v>28.799000000000021</v>
      </c>
      <c r="DR56" s="14">
        <f>SUM(CA$7:CA56)</f>
        <v>15.726000000000013</v>
      </c>
      <c r="DS56" s="14">
        <f>SUM(CB$7:CB56)</f>
        <v>15.726000000000013</v>
      </c>
      <c r="DT56" s="14">
        <f>SUM(CC$7:CC56)</f>
        <v>7.9750000000000032</v>
      </c>
      <c r="DU56" s="14">
        <f>SUM(CD$7:CD56)</f>
        <v>3.7519999999999989</v>
      </c>
      <c r="DV56" s="14">
        <f>SUM(CE$7:CE56)</f>
        <v>33.799000000000021</v>
      </c>
      <c r="DW56" s="14">
        <f>SUM(CF$7:CF56)</f>
        <v>33.799000000000021</v>
      </c>
      <c r="DX56" s="14">
        <f>SUM(CG$7:CG56)</f>
        <v>18.351000000000013</v>
      </c>
      <c r="DY56" s="14">
        <f>SUM(CH$7:CH56)</f>
        <v>18.351000000000013</v>
      </c>
      <c r="DZ56" s="14">
        <f>SUM(CI$7:CI56)</f>
        <v>8.9749999999999961</v>
      </c>
      <c r="EA56" s="14">
        <f>SUM(CJ$7:CJ56)</f>
        <v>4.24</v>
      </c>
      <c r="EB56" s="14">
        <f>SUM(CK$7:CK56)</f>
        <v>38.799000000000021</v>
      </c>
      <c r="EC56" s="14">
        <f>SUM(CL$7:CL56)</f>
        <v>38.799000000000021</v>
      </c>
      <c r="ED56" s="14">
        <f>SUM(CM$7:CM56)</f>
        <v>20.976000000000013</v>
      </c>
      <c r="EE56" s="14">
        <f>SUM(CN$7:CN56)</f>
        <v>20.976000000000013</v>
      </c>
      <c r="EF56" s="14">
        <f>SUM(CO$7:CO56)</f>
        <v>9.9749999999999908</v>
      </c>
      <c r="EG56" s="14">
        <f>SUM(CP$7:CP56)</f>
        <v>4.7489999999999988</v>
      </c>
      <c r="EH56" s="14">
        <f>SUM(CQ$7:CQ56)</f>
        <v>12.744000000000003</v>
      </c>
      <c r="EI56" s="14">
        <f>SUM(CR$7:CR56)</f>
        <v>12.744000000000003</v>
      </c>
      <c r="EJ56" s="14">
        <f>SUM(CS$7:CS56)</f>
        <v>12.744000000000003</v>
      </c>
      <c r="EK56" s="14">
        <f>SUM(CT$7:CT56)</f>
        <v>5.4839999999999982</v>
      </c>
      <c r="EL56" s="14">
        <f>SUM(CU$7:CU56)</f>
        <v>5.4839999999999982</v>
      </c>
      <c r="EM56" s="14">
        <f>SUM(CV$7:CV56)</f>
        <v>5.4839999999999982</v>
      </c>
      <c r="EN56" s="14">
        <f>SUM(CW$7:CW56)</f>
        <v>2.25</v>
      </c>
      <c r="EO56" s="14">
        <f>SUM(CX$7:CX56)</f>
        <v>2.25</v>
      </c>
      <c r="EP56" s="14">
        <f>SUM(CY$7:CY56)</f>
        <v>27</v>
      </c>
      <c r="EQ56" s="14">
        <f>SUM(CZ$7:CZ56)</f>
        <v>27</v>
      </c>
      <c r="ER56" s="14">
        <f>SUM(DA$7:DA56)</f>
        <v>27</v>
      </c>
      <c r="ES56" s="14">
        <f>SUM(DB$7:DB56)</f>
        <v>9</v>
      </c>
      <c r="ET56" s="14">
        <f>SUM(DC$7:DC56)</f>
        <v>9</v>
      </c>
      <c r="EU56" s="14">
        <f>SUM(DD$7:DD56)</f>
        <v>9</v>
      </c>
      <c r="EV56" s="14">
        <f>SUM(DE$7:DE56)</f>
        <v>6.75</v>
      </c>
      <c r="EW56" s="14">
        <f>SUM(DF$7:DF56)</f>
        <v>6.75</v>
      </c>
      <c r="EZ56" s="14">
        <f t="shared" si="56"/>
        <v>9</v>
      </c>
      <c r="FA56" s="14">
        <f t="shared" si="87"/>
        <v>12</v>
      </c>
      <c r="FB56" s="14">
        <f t="shared" si="88"/>
        <v>12</v>
      </c>
      <c r="FC56" s="14">
        <f t="shared" si="89"/>
        <v>9</v>
      </c>
      <c r="FD56" s="14">
        <f t="shared" si="57"/>
        <v>7</v>
      </c>
      <c r="FE56" s="14">
        <f t="shared" si="90"/>
        <v>12</v>
      </c>
      <c r="FF56" s="14">
        <f t="shared" si="91"/>
        <v>12</v>
      </c>
      <c r="FG56" s="14">
        <f t="shared" si="92"/>
        <v>9</v>
      </c>
      <c r="FH56" s="14">
        <f t="shared" si="93"/>
        <v>9</v>
      </c>
      <c r="FI56" s="14">
        <f t="shared" si="94"/>
        <v>7</v>
      </c>
      <c r="FJ56" s="14">
        <f t="shared" si="58"/>
        <v>3</v>
      </c>
      <c r="FK56" s="14">
        <f t="shared" si="95"/>
        <v>11</v>
      </c>
      <c r="FL56" s="14">
        <f t="shared" si="96"/>
        <v>11</v>
      </c>
      <c r="FM56" s="14">
        <f t="shared" si="97"/>
        <v>8</v>
      </c>
      <c r="FN56" s="14">
        <f t="shared" si="98"/>
        <v>8</v>
      </c>
      <c r="FO56" s="14">
        <f t="shared" si="99"/>
        <v>5</v>
      </c>
      <c r="FP56" s="14">
        <f t="shared" si="100"/>
        <v>3</v>
      </c>
      <c r="FQ56" s="14">
        <f t="shared" si="59"/>
        <v>3</v>
      </c>
      <c r="FR56" s="14">
        <f t="shared" si="101"/>
        <v>11</v>
      </c>
      <c r="FS56" s="14">
        <f t="shared" si="102"/>
        <v>11</v>
      </c>
      <c r="FT56" s="14">
        <f t="shared" si="103"/>
        <v>9</v>
      </c>
      <c r="FU56" s="14">
        <f t="shared" si="104"/>
        <v>9</v>
      </c>
      <c r="FV56" s="14">
        <f t="shared" si="105"/>
        <v>5</v>
      </c>
      <c r="FW56" s="14">
        <f t="shared" si="106"/>
        <v>3</v>
      </c>
      <c r="FX56" s="14">
        <f t="shared" si="60"/>
        <v>3</v>
      </c>
      <c r="FY56" s="14">
        <f t="shared" si="107"/>
        <v>12</v>
      </c>
      <c r="FZ56" s="14">
        <f t="shared" si="108"/>
        <v>12</v>
      </c>
      <c r="GA56" s="14">
        <f t="shared" si="109"/>
        <v>9</v>
      </c>
      <c r="GB56" s="14">
        <f t="shared" si="110"/>
        <v>9</v>
      </c>
      <c r="GC56" s="14">
        <f t="shared" si="111"/>
        <v>6</v>
      </c>
      <c r="GD56" s="14">
        <f t="shared" si="112"/>
        <v>3</v>
      </c>
      <c r="GE56" s="14">
        <f t="shared" si="61"/>
        <v>2</v>
      </c>
      <c r="GF56" s="14">
        <f t="shared" si="113"/>
        <v>7</v>
      </c>
      <c r="GG56" s="14">
        <f t="shared" si="114"/>
        <v>7</v>
      </c>
      <c r="GH56" s="14">
        <f t="shared" si="115"/>
        <v>7</v>
      </c>
      <c r="GI56" s="14">
        <f t="shared" si="116"/>
        <v>4</v>
      </c>
      <c r="GJ56" s="14">
        <f t="shared" si="117"/>
        <v>4</v>
      </c>
      <c r="GK56" s="14">
        <f t="shared" si="118"/>
        <v>4</v>
      </c>
      <c r="GL56" s="14">
        <f t="shared" si="119"/>
        <v>2</v>
      </c>
      <c r="GM56" s="14">
        <f t="shared" si="120"/>
        <v>2</v>
      </c>
      <c r="GN56" s="14">
        <f t="shared" si="62"/>
        <v>4</v>
      </c>
      <c r="GO56" s="14">
        <f t="shared" si="121"/>
        <v>10</v>
      </c>
      <c r="GP56" s="14">
        <f t="shared" si="122"/>
        <v>10</v>
      </c>
      <c r="GQ56" s="14">
        <f t="shared" si="123"/>
        <v>10</v>
      </c>
      <c r="GR56" s="14">
        <f t="shared" si="124"/>
        <v>6</v>
      </c>
      <c r="GS56" s="14">
        <f t="shared" si="125"/>
        <v>6</v>
      </c>
      <c r="GT56" s="14">
        <f t="shared" si="126"/>
        <v>6</v>
      </c>
      <c r="GU56" s="14">
        <f t="shared" si="127"/>
        <v>4</v>
      </c>
      <c r="GV56" s="14">
        <f t="shared" si="128"/>
        <v>4</v>
      </c>
      <c r="GY56" s="91">
        <v>50</v>
      </c>
      <c r="GZ56" s="14">
        <f t="shared" si="63"/>
        <v>4</v>
      </c>
      <c r="HA56" s="14">
        <f t="shared" si="64"/>
        <v>2</v>
      </c>
      <c r="HB56" s="14">
        <f t="shared" si="65"/>
        <v>1</v>
      </c>
      <c r="HC56" s="14">
        <f t="shared" si="66"/>
        <v>0.26500000000000001</v>
      </c>
      <c r="HD56" s="14">
        <f t="shared" si="67"/>
        <v>1606006</v>
      </c>
      <c r="HE56" s="14" t="str">
        <f t="shared" si="68"/>
        <v>神器2-1 : 5级</v>
      </c>
      <c r="HF56" s="14" t="s">
        <v>800</v>
      </c>
      <c r="HG56" s="14">
        <f t="shared" si="69"/>
        <v>5</v>
      </c>
      <c r="HH56" s="14" t="str">
        <f t="shared" si="70"/>
        <v>神器2-1</v>
      </c>
      <c r="HI56" s="14">
        <f t="shared" si="71"/>
        <v>2</v>
      </c>
      <c r="HJ56" s="14" t="s">
        <v>1595</v>
      </c>
      <c r="HK56" s="14">
        <f t="shared" si="72"/>
        <v>3500</v>
      </c>
    </row>
    <row r="57" spans="14:219" ht="16.5" x14ac:dyDescent="0.2">
      <c r="AO57" s="87">
        <v>3</v>
      </c>
      <c r="AP57" s="87">
        <v>3</v>
      </c>
      <c r="AQ57" s="87">
        <v>17</v>
      </c>
      <c r="AR57" s="144">
        <f t="shared" si="49"/>
        <v>4417</v>
      </c>
      <c r="AS57" s="144" t="s">
        <v>1220</v>
      </c>
      <c r="AT57" s="144" t="str">
        <f t="shared" si="50"/>
        <v>神器本-3-噩梦-1  神器2-5</v>
      </c>
      <c r="AU57" s="87">
        <v>8</v>
      </c>
      <c r="AV57" s="87" t="s">
        <v>314</v>
      </c>
      <c r="AW57" s="87">
        <v>1000</v>
      </c>
      <c r="AX57" s="87">
        <v>1</v>
      </c>
      <c r="AY57" s="87">
        <v>1</v>
      </c>
      <c r="AZ57" s="87">
        <f t="shared" si="51"/>
        <v>3</v>
      </c>
      <c r="BA57" s="14">
        <f t="shared" si="52"/>
        <v>0.1</v>
      </c>
      <c r="BB57" s="14">
        <f t="shared" si="53"/>
        <v>10.5</v>
      </c>
      <c r="BL57" s="87">
        <v>51</v>
      </c>
      <c r="BM57" s="14">
        <f>INDEX(节奏总表!$CK$4:$CK$63,新神器!BL57)</f>
        <v>142</v>
      </c>
      <c r="BN57" s="14">
        <f t="shared" si="55"/>
        <v>7</v>
      </c>
      <c r="BO57" s="87">
        <v>3</v>
      </c>
      <c r="BP57" s="87">
        <v>5</v>
      </c>
      <c r="BQ57" s="14">
        <f t="shared" ref="BQ57:BZ66" si="133">SUMIFS($BA$7:$BA$301,$AO$7:$AO$301,"="&amp;$BN57,$AP$7:$AP$301,"="&amp;$BO57,$AU$7:$AU$301,"="&amp;BQ$2)*$BP57</f>
        <v>0</v>
      </c>
      <c r="BR57" s="14">
        <f t="shared" si="133"/>
        <v>0</v>
      </c>
      <c r="BS57" s="14">
        <f t="shared" si="133"/>
        <v>0</v>
      </c>
      <c r="BT57" s="14">
        <f t="shared" si="133"/>
        <v>0</v>
      </c>
      <c r="BU57" s="14">
        <f t="shared" si="133"/>
        <v>0</v>
      </c>
      <c r="BV57" s="14">
        <f t="shared" si="133"/>
        <v>0</v>
      </c>
      <c r="BW57" s="14">
        <f t="shared" si="133"/>
        <v>0</v>
      </c>
      <c r="BX57" s="14">
        <f t="shared" si="133"/>
        <v>0</v>
      </c>
      <c r="BY57" s="14">
        <f t="shared" si="133"/>
        <v>0.35000000000000003</v>
      </c>
      <c r="BZ57" s="14">
        <f t="shared" si="133"/>
        <v>0.35000000000000003</v>
      </c>
      <c r="CA57" s="14">
        <f t="shared" ref="CA57:CJ66" si="134">SUMIFS($BA$7:$BA$301,$AO$7:$AO$301,"="&amp;$BN57,$AP$7:$AP$301,"="&amp;$BO57,$AU$7:$AU$301,"="&amp;CA$2)*$BP57</f>
        <v>0.20699999999999999</v>
      </c>
      <c r="CB57" s="14">
        <f t="shared" si="134"/>
        <v>0.20699999999999999</v>
      </c>
      <c r="CC57" s="14">
        <f t="shared" si="134"/>
        <v>0.13750000000000001</v>
      </c>
      <c r="CD57" s="14">
        <f t="shared" si="134"/>
        <v>6.9000000000000006E-2</v>
      </c>
      <c r="CE57" s="14">
        <f t="shared" si="134"/>
        <v>0.35000000000000003</v>
      </c>
      <c r="CF57" s="14">
        <f t="shared" si="134"/>
        <v>0.35000000000000003</v>
      </c>
      <c r="CG57" s="14">
        <f t="shared" si="134"/>
        <v>0.20699999999999999</v>
      </c>
      <c r="CH57" s="14">
        <f t="shared" si="134"/>
        <v>0.20699999999999999</v>
      </c>
      <c r="CI57" s="14">
        <f t="shared" si="134"/>
        <v>0.13750000000000001</v>
      </c>
      <c r="CJ57" s="14">
        <f t="shared" si="134"/>
        <v>6.9000000000000006E-2</v>
      </c>
      <c r="CK57" s="14">
        <f t="shared" ref="CK57:CT66" si="135">SUMIFS($BA$7:$BA$301,$AO$7:$AO$301,"="&amp;$BN57,$AP$7:$AP$301,"="&amp;$BO57,$AU$7:$AU$301,"="&amp;CK$2)*$BP57</f>
        <v>0.35000000000000003</v>
      </c>
      <c r="CL57" s="14">
        <f t="shared" si="135"/>
        <v>0.35000000000000003</v>
      </c>
      <c r="CM57" s="14">
        <f t="shared" si="135"/>
        <v>0.20699999999999999</v>
      </c>
      <c r="CN57" s="14">
        <f t="shared" si="135"/>
        <v>0.20699999999999999</v>
      </c>
      <c r="CO57" s="14">
        <f t="shared" si="135"/>
        <v>0.13750000000000001</v>
      </c>
      <c r="CP57" s="14">
        <f t="shared" si="135"/>
        <v>6.9499999999999992E-2</v>
      </c>
      <c r="CQ57" s="14">
        <f t="shared" si="135"/>
        <v>0.20799999999999999</v>
      </c>
      <c r="CR57" s="14">
        <f t="shared" si="135"/>
        <v>0.20799999999999999</v>
      </c>
      <c r="CS57" s="14">
        <f t="shared" si="135"/>
        <v>0.20799999999999999</v>
      </c>
      <c r="CT57" s="14">
        <f t="shared" si="135"/>
        <v>0.13800000000000001</v>
      </c>
      <c r="CU57" s="14">
        <f t="shared" ref="CU57:DF66" si="136">SUMIFS($BA$7:$BA$301,$AO$7:$AO$301,"="&amp;$BN57,$AP$7:$AP$301,"="&amp;$BO57,$AU$7:$AU$301,"="&amp;CU$2)*$BP57</f>
        <v>0.13800000000000001</v>
      </c>
      <c r="CV57" s="14">
        <f t="shared" si="136"/>
        <v>0.13800000000000001</v>
      </c>
      <c r="CW57" s="14">
        <f t="shared" si="136"/>
        <v>0</v>
      </c>
      <c r="CX57" s="14">
        <f t="shared" si="136"/>
        <v>0</v>
      </c>
      <c r="CY57" s="14">
        <f t="shared" si="136"/>
        <v>1.5</v>
      </c>
      <c r="CZ57" s="14">
        <f t="shared" si="136"/>
        <v>1.5</v>
      </c>
      <c r="DA57" s="14">
        <f t="shared" si="136"/>
        <v>1.5</v>
      </c>
      <c r="DB57" s="14">
        <f t="shared" si="136"/>
        <v>0.5</v>
      </c>
      <c r="DC57" s="14">
        <f t="shared" si="136"/>
        <v>0.5</v>
      </c>
      <c r="DD57" s="14">
        <f t="shared" si="136"/>
        <v>0.5</v>
      </c>
      <c r="DE57" s="14">
        <f t="shared" si="136"/>
        <v>0.375</v>
      </c>
      <c r="DF57" s="14">
        <f t="shared" si="136"/>
        <v>0.375</v>
      </c>
      <c r="DH57" s="14">
        <f>SUM(BQ$7:BQ57)</f>
        <v>35.749999999999993</v>
      </c>
      <c r="DI57" s="14">
        <f>SUM(BR$7:BR57)</f>
        <v>35.749999999999993</v>
      </c>
      <c r="DJ57" s="14">
        <f>SUM(BS$7:BS57)</f>
        <v>20.25</v>
      </c>
      <c r="DK57" s="14">
        <f>SUM(BT$7:BT57)</f>
        <v>36.25</v>
      </c>
      <c r="DL57" s="14">
        <f>SUM(BU$7:BU57)</f>
        <v>36.25</v>
      </c>
      <c r="DM57" s="14">
        <f>SUM(BV$7:BV57)</f>
        <v>20.625</v>
      </c>
      <c r="DN57" s="14">
        <f>SUM(BW$7:BW57)</f>
        <v>20.625</v>
      </c>
      <c r="DO57" s="14">
        <f>SUM(BX$7:BX57)</f>
        <v>13.75</v>
      </c>
      <c r="DP57" s="14">
        <f>SUM(BY$7:BY57)</f>
        <v>29.149000000000022</v>
      </c>
      <c r="DQ57" s="14">
        <f>SUM(BZ$7:BZ57)</f>
        <v>29.149000000000022</v>
      </c>
      <c r="DR57" s="14">
        <f>SUM(CA$7:CA57)</f>
        <v>15.933000000000014</v>
      </c>
      <c r="DS57" s="14">
        <f>SUM(CB$7:CB57)</f>
        <v>15.933000000000014</v>
      </c>
      <c r="DT57" s="14">
        <f>SUM(CC$7:CC57)</f>
        <v>8.1125000000000025</v>
      </c>
      <c r="DU57" s="14">
        <f>SUM(CD$7:CD57)</f>
        <v>3.8209999999999988</v>
      </c>
      <c r="DV57" s="14">
        <f>SUM(CE$7:CE57)</f>
        <v>34.149000000000022</v>
      </c>
      <c r="DW57" s="14">
        <f>SUM(CF$7:CF57)</f>
        <v>34.149000000000022</v>
      </c>
      <c r="DX57" s="14">
        <f>SUM(CG$7:CG57)</f>
        <v>18.558000000000014</v>
      </c>
      <c r="DY57" s="14">
        <f>SUM(CH$7:CH57)</f>
        <v>18.558000000000014</v>
      </c>
      <c r="DZ57" s="14">
        <f>SUM(CI$7:CI57)</f>
        <v>9.1124999999999954</v>
      </c>
      <c r="EA57" s="14">
        <f>SUM(CJ$7:CJ57)</f>
        <v>4.3090000000000002</v>
      </c>
      <c r="EB57" s="14">
        <f>SUM(CK$7:CK57)</f>
        <v>39.149000000000022</v>
      </c>
      <c r="EC57" s="14">
        <f>SUM(CL$7:CL57)</f>
        <v>39.149000000000022</v>
      </c>
      <c r="ED57" s="14">
        <f>SUM(CM$7:CM57)</f>
        <v>21.183000000000014</v>
      </c>
      <c r="EE57" s="14">
        <f>SUM(CN$7:CN57)</f>
        <v>21.183000000000014</v>
      </c>
      <c r="EF57" s="14">
        <f>SUM(CO$7:CO57)</f>
        <v>10.11249999999999</v>
      </c>
      <c r="EG57" s="14">
        <f>SUM(CP$7:CP57)</f>
        <v>4.8184999999999985</v>
      </c>
      <c r="EH57" s="14">
        <f>SUM(CQ$7:CQ57)</f>
        <v>12.952000000000004</v>
      </c>
      <c r="EI57" s="14">
        <f>SUM(CR$7:CR57)</f>
        <v>12.952000000000004</v>
      </c>
      <c r="EJ57" s="14">
        <f>SUM(CS$7:CS57)</f>
        <v>12.952000000000004</v>
      </c>
      <c r="EK57" s="14">
        <f>SUM(CT$7:CT57)</f>
        <v>5.6219999999999981</v>
      </c>
      <c r="EL57" s="14">
        <f>SUM(CU$7:CU57)</f>
        <v>5.6219999999999981</v>
      </c>
      <c r="EM57" s="14">
        <f>SUM(CV$7:CV57)</f>
        <v>5.6219999999999981</v>
      </c>
      <c r="EN57" s="14">
        <f>SUM(CW$7:CW57)</f>
        <v>2.25</v>
      </c>
      <c r="EO57" s="14">
        <f>SUM(CX$7:CX57)</f>
        <v>2.25</v>
      </c>
      <c r="EP57" s="14">
        <f>SUM(CY$7:CY57)</f>
        <v>28.5</v>
      </c>
      <c r="EQ57" s="14">
        <f>SUM(CZ$7:CZ57)</f>
        <v>28.5</v>
      </c>
      <c r="ER57" s="14">
        <f>SUM(DA$7:DA57)</f>
        <v>28.5</v>
      </c>
      <c r="ES57" s="14">
        <f>SUM(DB$7:DB57)</f>
        <v>9.5</v>
      </c>
      <c r="ET57" s="14">
        <f>SUM(DC$7:DC57)</f>
        <v>9.5</v>
      </c>
      <c r="EU57" s="14">
        <f>SUM(DD$7:DD57)</f>
        <v>9.5</v>
      </c>
      <c r="EV57" s="14">
        <f>SUM(DE$7:DE57)</f>
        <v>7.125</v>
      </c>
      <c r="EW57" s="14">
        <f>SUM(DF$7:DF57)</f>
        <v>7.125</v>
      </c>
      <c r="EZ57" s="14">
        <f t="shared" si="56"/>
        <v>9</v>
      </c>
      <c r="FA57" s="14">
        <f t="shared" si="87"/>
        <v>12</v>
      </c>
      <c r="FB57" s="14">
        <f t="shared" si="88"/>
        <v>12</v>
      </c>
      <c r="FC57" s="14">
        <f t="shared" si="89"/>
        <v>9</v>
      </c>
      <c r="FD57" s="14">
        <f t="shared" si="57"/>
        <v>7</v>
      </c>
      <c r="FE57" s="14">
        <f t="shared" si="90"/>
        <v>12</v>
      </c>
      <c r="FF57" s="14">
        <f t="shared" si="91"/>
        <v>12</v>
      </c>
      <c r="FG57" s="14">
        <f t="shared" si="92"/>
        <v>9</v>
      </c>
      <c r="FH57" s="14">
        <f t="shared" si="93"/>
        <v>9</v>
      </c>
      <c r="FI57" s="14">
        <f t="shared" si="94"/>
        <v>7</v>
      </c>
      <c r="FJ57" s="14">
        <f t="shared" si="58"/>
        <v>3</v>
      </c>
      <c r="FK57" s="14">
        <f t="shared" si="95"/>
        <v>11</v>
      </c>
      <c r="FL57" s="14">
        <f t="shared" si="96"/>
        <v>11</v>
      </c>
      <c r="FM57" s="14">
        <f t="shared" si="97"/>
        <v>8</v>
      </c>
      <c r="FN57" s="14">
        <f t="shared" si="98"/>
        <v>8</v>
      </c>
      <c r="FO57" s="14">
        <f t="shared" si="99"/>
        <v>5</v>
      </c>
      <c r="FP57" s="14">
        <f t="shared" si="100"/>
        <v>3</v>
      </c>
      <c r="FQ57" s="14">
        <f t="shared" si="59"/>
        <v>3</v>
      </c>
      <c r="FR57" s="14">
        <f t="shared" si="101"/>
        <v>12</v>
      </c>
      <c r="FS57" s="14">
        <f t="shared" si="102"/>
        <v>12</v>
      </c>
      <c r="FT57" s="14">
        <f t="shared" si="103"/>
        <v>9</v>
      </c>
      <c r="FU57" s="14">
        <f t="shared" si="104"/>
        <v>9</v>
      </c>
      <c r="FV57" s="14">
        <f t="shared" si="105"/>
        <v>6</v>
      </c>
      <c r="FW57" s="14">
        <f t="shared" si="106"/>
        <v>3</v>
      </c>
      <c r="FX57" s="14">
        <f t="shared" si="60"/>
        <v>3</v>
      </c>
      <c r="FY57" s="14">
        <f t="shared" si="107"/>
        <v>12</v>
      </c>
      <c r="FZ57" s="14">
        <f t="shared" si="108"/>
        <v>12</v>
      </c>
      <c r="GA57" s="14">
        <f t="shared" si="109"/>
        <v>9</v>
      </c>
      <c r="GB57" s="14">
        <f t="shared" si="110"/>
        <v>9</v>
      </c>
      <c r="GC57" s="14">
        <f t="shared" si="111"/>
        <v>6</v>
      </c>
      <c r="GD57" s="14">
        <f t="shared" si="112"/>
        <v>3</v>
      </c>
      <c r="GE57" s="14">
        <f t="shared" si="61"/>
        <v>2</v>
      </c>
      <c r="GF57" s="14">
        <f t="shared" si="113"/>
        <v>7</v>
      </c>
      <c r="GG57" s="14">
        <f t="shared" si="114"/>
        <v>7</v>
      </c>
      <c r="GH57" s="14">
        <f t="shared" si="115"/>
        <v>7</v>
      </c>
      <c r="GI57" s="14">
        <f t="shared" si="116"/>
        <v>4</v>
      </c>
      <c r="GJ57" s="14">
        <f t="shared" si="117"/>
        <v>4</v>
      </c>
      <c r="GK57" s="14">
        <f t="shared" si="118"/>
        <v>4</v>
      </c>
      <c r="GL57" s="14">
        <f t="shared" si="119"/>
        <v>2</v>
      </c>
      <c r="GM57" s="14">
        <f t="shared" si="120"/>
        <v>2</v>
      </c>
      <c r="GN57" s="14">
        <f t="shared" si="62"/>
        <v>5</v>
      </c>
      <c r="GO57" s="14">
        <f t="shared" si="121"/>
        <v>11</v>
      </c>
      <c r="GP57" s="14">
        <f t="shared" si="122"/>
        <v>11</v>
      </c>
      <c r="GQ57" s="14">
        <f t="shared" si="123"/>
        <v>11</v>
      </c>
      <c r="GR57" s="14">
        <f t="shared" si="124"/>
        <v>6</v>
      </c>
      <c r="GS57" s="14">
        <f t="shared" si="125"/>
        <v>6</v>
      </c>
      <c r="GT57" s="14">
        <f t="shared" si="126"/>
        <v>6</v>
      </c>
      <c r="GU57" s="14">
        <f t="shared" si="127"/>
        <v>5</v>
      </c>
      <c r="GV57" s="14">
        <f t="shared" si="128"/>
        <v>5</v>
      </c>
      <c r="GY57" s="91">
        <v>51</v>
      </c>
      <c r="GZ57" s="14">
        <f t="shared" si="63"/>
        <v>4</v>
      </c>
      <c r="HA57" s="14">
        <f t="shared" si="64"/>
        <v>2</v>
      </c>
      <c r="HB57" s="14">
        <f t="shared" si="65"/>
        <v>1</v>
      </c>
      <c r="HC57" s="14">
        <f t="shared" si="66"/>
        <v>0.27200000000000002</v>
      </c>
      <c r="HD57" s="14">
        <f t="shared" si="67"/>
        <v>1606006</v>
      </c>
      <c r="HE57" s="14" t="str">
        <f t="shared" si="68"/>
        <v>神器2-1 : 6级</v>
      </c>
      <c r="HF57" s="14" t="s">
        <v>800</v>
      </c>
      <c r="HG57" s="14">
        <f t="shared" si="69"/>
        <v>6</v>
      </c>
      <c r="HH57" s="14" t="str">
        <f t="shared" si="70"/>
        <v>神器2-1</v>
      </c>
      <c r="HI57" s="14">
        <f t="shared" si="71"/>
        <v>2</v>
      </c>
      <c r="HJ57" s="14" t="s">
        <v>1595</v>
      </c>
      <c r="HK57" s="14">
        <f t="shared" si="72"/>
        <v>3550</v>
      </c>
    </row>
    <row r="58" spans="14:219" ht="16.5" x14ac:dyDescent="0.2">
      <c r="AO58" s="87">
        <v>3</v>
      </c>
      <c r="AP58" s="87">
        <v>3</v>
      </c>
      <c r="AQ58" s="87">
        <v>18</v>
      </c>
      <c r="AR58" s="144">
        <f t="shared" si="49"/>
        <v>4418</v>
      </c>
      <c r="AS58" s="144" t="s">
        <v>1221</v>
      </c>
      <c r="AT58" s="144" t="str">
        <f t="shared" si="50"/>
        <v>神器本-3-噩梦-2  神器3-1</v>
      </c>
      <c r="AU58" s="87">
        <v>9</v>
      </c>
      <c r="AV58" s="87" t="s">
        <v>761</v>
      </c>
      <c r="AW58" s="87">
        <v>5000</v>
      </c>
      <c r="AX58" s="87">
        <v>1</v>
      </c>
      <c r="AY58" s="87">
        <v>3</v>
      </c>
      <c r="AZ58" s="87">
        <f t="shared" si="51"/>
        <v>1</v>
      </c>
      <c r="BA58" s="14">
        <f t="shared" si="52"/>
        <v>1</v>
      </c>
      <c r="BB58" s="14">
        <f t="shared" si="53"/>
        <v>20</v>
      </c>
      <c r="BL58" s="87">
        <v>52</v>
      </c>
      <c r="BM58" s="14">
        <f>INDEX(节奏总表!$CK$4:$CK$63,新神器!BL58)</f>
        <v>143</v>
      </c>
      <c r="BN58" s="14">
        <f t="shared" si="55"/>
        <v>7</v>
      </c>
      <c r="BO58" s="87">
        <v>3</v>
      </c>
      <c r="BP58" s="87">
        <v>5</v>
      </c>
      <c r="BQ58" s="14">
        <f t="shared" si="133"/>
        <v>0</v>
      </c>
      <c r="BR58" s="14">
        <f t="shared" si="133"/>
        <v>0</v>
      </c>
      <c r="BS58" s="14">
        <f t="shared" si="133"/>
        <v>0</v>
      </c>
      <c r="BT58" s="14">
        <f t="shared" si="133"/>
        <v>0</v>
      </c>
      <c r="BU58" s="14">
        <f t="shared" si="133"/>
        <v>0</v>
      </c>
      <c r="BV58" s="14">
        <f t="shared" si="133"/>
        <v>0</v>
      </c>
      <c r="BW58" s="14">
        <f t="shared" si="133"/>
        <v>0</v>
      </c>
      <c r="BX58" s="14">
        <f t="shared" si="133"/>
        <v>0</v>
      </c>
      <c r="BY58" s="14">
        <f t="shared" si="133"/>
        <v>0.35000000000000003</v>
      </c>
      <c r="BZ58" s="14">
        <f t="shared" si="133"/>
        <v>0.35000000000000003</v>
      </c>
      <c r="CA58" s="14">
        <f t="shared" si="134"/>
        <v>0.20699999999999999</v>
      </c>
      <c r="CB58" s="14">
        <f t="shared" si="134"/>
        <v>0.20699999999999999</v>
      </c>
      <c r="CC58" s="14">
        <f t="shared" si="134"/>
        <v>0.13750000000000001</v>
      </c>
      <c r="CD58" s="14">
        <f t="shared" si="134"/>
        <v>6.9000000000000006E-2</v>
      </c>
      <c r="CE58" s="14">
        <f t="shared" si="134"/>
        <v>0.35000000000000003</v>
      </c>
      <c r="CF58" s="14">
        <f t="shared" si="134"/>
        <v>0.35000000000000003</v>
      </c>
      <c r="CG58" s="14">
        <f t="shared" si="134"/>
        <v>0.20699999999999999</v>
      </c>
      <c r="CH58" s="14">
        <f t="shared" si="134"/>
        <v>0.20699999999999999</v>
      </c>
      <c r="CI58" s="14">
        <f t="shared" si="134"/>
        <v>0.13750000000000001</v>
      </c>
      <c r="CJ58" s="14">
        <f t="shared" si="134"/>
        <v>6.9000000000000006E-2</v>
      </c>
      <c r="CK58" s="14">
        <f t="shared" si="135"/>
        <v>0.35000000000000003</v>
      </c>
      <c r="CL58" s="14">
        <f t="shared" si="135"/>
        <v>0.35000000000000003</v>
      </c>
      <c r="CM58" s="14">
        <f t="shared" si="135"/>
        <v>0.20699999999999999</v>
      </c>
      <c r="CN58" s="14">
        <f t="shared" si="135"/>
        <v>0.20699999999999999</v>
      </c>
      <c r="CO58" s="14">
        <f t="shared" si="135"/>
        <v>0.13750000000000001</v>
      </c>
      <c r="CP58" s="14">
        <f t="shared" si="135"/>
        <v>6.9499999999999992E-2</v>
      </c>
      <c r="CQ58" s="14">
        <f t="shared" si="135"/>
        <v>0.20799999999999999</v>
      </c>
      <c r="CR58" s="14">
        <f t="shared" si="135"/>
        <v>0.20799999999999999</v>
      </c>
      <c r="CS58" s="14">
        <f t="shared" si="135"/>
        <v>0.20799999999999999</v>
      </c>
      <c r="CT58" s="14">
        <f t="shared" si="135"/>
        <v>0.13800000000000001</v>
      </c>
      <c r="CU58" s="14">
        <f t="shared" si="136"/>
        <v>0.13800000000000001</v>
      </c>
      <c r="CV58" s="14">
        <f t="shared" si="136"/>
        <v>0.13800000000000001</v>
      </c>
      <c r="CW58" s="14">
        <f t="shared" si="136"/>
        <v>0</v>
      </c>
      <c r="CX58" s="14">
        <f t="shared" si="136"/>
        <v>0</v>
      </c>
      <c r="CY58" s="14">
        <f t="shared" si="136"/>
        <v>1.5</v>
      </c>
      <c r="CZ58" s="14">
        <f t="shared" si="136"/>
        <v>1.5</v>
      </c>
      <c r="DA58" s="14">
        <f t="shared" si="136"/>
        <v>1.5</v>
      </c>
      <c r="DB58" s="14">
        <f t="shared" si="136"/>
        <v>0.5</v>
      </c>
      <c r="DC58" s="14">
        <f t="shared" si="136"/>
        <v>0.5</v>
      </c>
      <c r="DD58" s="14">
        <f t="shared" si="136"/>
        <v>0.5</v>
      </c>
      <c r="DE58" s="14">
        <f t="shared" si="136"/>
        <v>0.375</v>
      </c>
      <c r="DF58" s="14">
        <f t="shared" si="136"/>
        <v>0.375</v>
      </c>
      <c r="DH58" s="14">
        <f>SUM(BQ$7:BQ58)</f>
        <v>35.749999999999993</v>
      </c>
      <c r="DI58" s="14">
        <f>SUM(BR$7:BR58)</f>
        <v>35.749999999999993</v>
      </c>
      <c r="DJ58" s="14">
        <f>SUM(BS$7:BS58)</f>
        <v>20.25</v>
      </c>
      <c r="DK58" s="14">
        <f>SUM(BT$7:BT58)</f>
        <v>36.25</v>
      </c>
      <c r="DL58" s="14">
        <f>SUM(BU$7:BU58)</f>
        <v>36.25</v>
      </c>
      <c r="DM58" s="14">
        <f>SUM(BV$7:BV58)</f>
        <v>20.625</v>
      </c>
      <c r="DN58" s="14">
        <f>SUM(BW$7:BW58)</f>
        <v>20.625</v>
      </c>
      <c r="DO58" s="14">
        <f>SUM(BX$7:BX58)</f>
        <v>13.75</v>
      </c>
      <c r="DP58" s="14">
        <f>SUM(BY$7:BY58)</f>
        <v>29.499000000000024</v>
      </c>
      <c r="DQ58" s="14">
        <f>SUM(BZ$7:BZ58)</f>
        <v>29.499000000000024</v>
      </c>
      <c r="DR58" s="14">
        <f>SUM(CA$7:CA58)</f>
        <v>16.140000000000015</v>
      </c>
      <c r="DS58" s="14">
        <f>SUM(CB$7:CB58)</f>
        <v>16.140000000000015</v>
      </c>
      <c r="DT58" s="14">
        <f>SUM(CC$7:CC58)</f>
        <v>8.2500000000000018</v>
      </c>
      <c r="DU58" s="14">
        <f>SUM(CD$7:CD58)</f>
        <v>3.8899999999999988</v>
      </c>
      <c r="DV58" s="14">
        <f>SUM(CE$7:CE58)</f>
        <v>34.499000000000024</v>
      </c>
      <c r="DW58" s="14">
        <f>SUM(CF$7:CF58)</f>
        <v>34.499000000000024</v>
      </c>
      <c r="DX58" s="14">
        <f>SUM(CG$7:CG58)</f>
        <v>18.765000000000015</v>
      </c>
      <c r="DY58" s="14">
        <f>SUM(CH$7:CH58)</f>
        <v>18.765000000000015</v>
      </c>
      <c r="DZ58" s="14">
        <f>SUM(CI$7:CI58)</f>
        <v>9.2499999999999947</v>
      </c>
      <c r="EA58" s="14">
        <f>SUM(CJ$7:CJ58)</f>
        <v>4.3780000000000001</v>
      </c>
      <c r="EB58" s="14">
        <f>SUM(CK$7:CK58)</f>
        <v>39.499000000000024</v>
      </c>
      <c r="EC58" s="14">
        <f>SUM(CL$7:CL58)</f>
        <v>39.499000000000024</v>
      </c>
      <c r="ED58" s="14">
        <f>SUM(CM$7:CM58)</f>
        <v>21.390000000000015</v>
      </c>
      <c r="EE58" s="14">
        <f>SUM(CN$7:CN58)</f>
        <v>21.390000000000015</v>
      </c>
      <c r="EF58" s="14">
        <f>SUM(CO$7:CO58)</f>
        <v>10.249999999999989</v>
      </c>
      <c r="EG58" s="14">
        <f>SUM(CP$7:CP58)</f>
        <v>4.8879999999999981</v>
      </c>
      <c r="EH58" s="14">
        <f>SUM(CQ$7:CQ58)</f>
        <v>13.160000000000004</v>
      </c>
      <c r="EI58" s="14">
        <f>SUM(CR$7:CR58)</f>
        <v>13.160000000000004</v>
      </c>
      <c r="EJ58" s="14">
        <f>SUM(CS$7:CS58)</f>
        <v>13.160000000000004</v>
      </c>
      <c r="EK58" s="14">
        <f>SUM(CT$7:CT58)</f>
        <v>5.759999999999998</v>
      </c>
      <c r="EL58" s="14">
        <f>SUM(CU$7:CU58)</f>
        <v>5.759999999999998</v>
      </c>
      <c r="EM58" s="14">
        <f>SUM(CV$7:CV58)</f>
        <v>5.759999999999998</v>
      </c>
      <c r="EN58" s="14">
        <f>SUM(CW$7:CW58)</f>
        <v>2.25</v>
      </c>
      <c r="EO58" s="14">
        <f>SUM(CX$7:CX58)</f>
        <v>2.25</v>
      </c>
      <c r="EP58" s="14">
        <f>SUM(CY$7:CY58)</f>
        <v>30</v>
      </c>
      <c r="EQ58" s="14">
        <f>SUM(CZ$7:CZ58)</f>
        <v>30</v>
      </c>
      <c r="ER58" s="14">
        <f>SUM(DA$7:DA58)</f>
        <v>30</v>
      </c>
      <c r="ES58" s="14">
        <f>SUM(DB$7:DB58)</f>
        <v>10</v>
      </c>
      <c r="ET58" s="14">
        <f>SUM(DC$7:DC58)</f>
        <v>10</v>
      </c>
      <c r="EU58" s="14">
        <f>SUM(DD$7:DD58)</f>
        <v>10</v>
      </c>
      <c r="EV58" s="14">
        <f>SUM(DE$7:DE58)</f>
        <v>7.5</v>
      </c>
      <c r="EW58" s="14">
        <f>SUM(DF$7:DF58)</f>
        <v>7.5</v>
      </c>
      <c r="EZ58" s="14">
        <f t="shared" si="56"/>
        <v>9</v>
      </c>
      <c r="FA58" s="14">
        <f t="shared" si="87"/>
        <v>12</v>
      </c>
      <c r="FB58" s="14">
        <f t="shared" si="88"/>
        <v>12</v>
      </c>
      <c r="FC58" s="14">
        <f t="shared" si="89"/>
        <v>9</v>
      </c>
      <c r="FD58" s="14">
        <f t="shared" si="57"/>
        <v>7</v>
      </c>
      <c r="FE58" s="14">
        <f t="shared" si="90"/>
        <v>12</v>
      </c>
      <c r="FF58" s="14">
        <f t="shared" si="91"/>
        <v>12</v>
      </c>
      <c r="FG58" s="14">
        <f t="shared" si="92"/>
        <v>9</v>
      </c>
      <c r="FH58" s="14">
        <f t="shared" si="93"/>
        <v>9</v>
      </c>
      <c r="FI58" s="14">
        <f t="shared" si="94"/>
        <v>7</v>
      </c>
      <c r="FJ58" s="14">
        <f t="shared" si="58"/>
        <v>3</v>
      </c>
      <c r="FK58" s="14">
        <f t="shared" si="95"/>
        <v>11</v>
      </c>
      <c r="FL58" s="14">
        <f t="shared" si="96"/>
        <v>11</v>
      </c>
      <c r="FM58" s="14">
        <f t="shared" si="97"/>
        <v>8</v>
      </c>
      <c r="FN58" s="14">
        <f t="shared" si="98"/>
        <v>8</v>
      </c>
      <c r="FO58" s="14">
        <f t="shared" si="99"/>
        <v>5</v>
      </c>
      <c r="FP58" s="14">
        <f t="shared" si="100"/>
        <v>3</v>
      </c>
      <c r="FQ58" s="14">
        <f t="shared" si="59"/>
        <v>3</v>
      </c>
      <c r="FR58" s="14">
        <f t="shared" si="101"/>
        <v>12</v>
      </c>
      <c r="FS58" s="14">
        <f t="shared" si="102"/>
        <v>12</v>
      </c>
      <c r="FT58" s="14">
        <f t="shared" si="103"/>
        <v>9</v>
      </c>
      <c r="FU58" s="14">
        <f t="shared" si="104"/>
        <v>9</v>
      </c>
      <c r="FV58" s="14">
        <f t="shared" si="105"/>
        <v>6</v>
      </c>
      <c r="FW58" s="14">
        <f t="shared" si="106"/>
        <v>3</v>
      </c>
      <c r="FX58" s="14">
        <f t="shared" si="60"/>
        <v>3</v>
      </c>
      <c r="FY58" s="14">
        <f t="shared" si="107"/>
        <v>12</v>
      </c>
      <c r="FZ58" s="14">
        <f t="shared" si="108"/>
        <v>12</v>
      </c>
      <c r="GA58" s="14">
        <f t="shared" si="109"/>
        <v>9</v>
      </c>
      <c r="GB58" s="14">
        <f t="shared" si="110"/>
        <v>9</v>
      </c>
      <c r="GC58" s="14">
        <f t="shared" si="111"/>
        <v>6</v>
      </c>
      <c r="GD58" s="14">
        <f t="shared" si="112"/>
        <v>3</v>
      </c>
      <c r="GE58" s="14">
        <f t="shared" si="61"/>
        <v>2</v>
      </c>
      <c r="GF58" s="14">
        <f t="shared" si="113"/>
        <v>7</v>
      </c>
      <c r="GG58" s="14">
        <f t="shared" si="114"/>
        <v>7</v>
      </c>
      <c r="GH58" s="14">
        <f t="shared" si="115"/>
        <v>7</v>
      </c>
      <c r="GI58" s="14">
        <f t="shared" si="116"/>
        <v>4</v>
      </c>
      <c r="GJ58" s="14">
        <f t="shared" si="117"/>
        <v>4</v>
      </c>
      <c r="GK58" s="14">
        <f t="shared" si="118"/>
        <v>4</v>
      </c>
      <c r="GL58" s="14">
        <f t="shared" si="119"/>
        <v>2</v>
      </c>
      <c r="GM58" s="14">
        <f t="shared" si="120"/>
        <v>2</v>
      </c>
      <c r="GN58" s="14">
        <f t="shared" si="62"/>
        <v>5</v>
      </c>
      <c r="GO58" s="14">
        <f t="shared" si="121"/>
        <v>11</v>
      </c>
      <c r="GP58" s="14">
        <f t="shared" si="122"/>
        <v>11</v>
      </c>
      <c r="GQ58" s="14">
        <f t="shared" si="123"/>
        <v>11</v>
      </c>
      <c r="GR58" s="14">
        <f t="shared" si="124"/>
        <v>6</v>
      </c>
      <c r="GS58" s="14">
        <f t="shared" si="125"/>
        <v>6</v>
      </c>
      <c r="GT58" s="14">
        <f t="shared" si="126"/>
        <v>6</v>
      </c>
      <c r="GU58" s="14">
        <f t="shared" si="127"/>
        <v>5</v>
      </c>
      <c r="GV58" s="14">
        <f t="shared" si="128"/>
        <v>5</v>
      </c>
      <c r="GY58" s="91">
        <v>52</v>
      </c>
      <c r="GZ58" s="14">
        <f t="shared" si="63"/>
        <v>4</v>
      </c>
      <c r="HA58" s="14">
        <f t="shared" si="64"/>
        <v>2</v>
      </c>
      <c r="HB58" s="14">
        <f t="shared" si="65"/>
        <v>1</v>
      </c>
      <c r="HC58" s="14">
        <f t="shared" si="66"/>
        <v>0.27900000000000003</v>
      </c>
      <c r="HD58" s="14">
        <f t="shared" si="67"/>
        <v>1606006</v>
      </c>
      <c r="HE58" s="14" t="str">
        <f t="shared" si="68"/>
        <v>神器2-1 : 7级</v>
      </c>
      <c r="HF58" s="14" t="s">
        <v>800</v>
      </c>
      <c r="HG58" s="14">
        <f t="shared" si="69"/>
        <v>7</v>
      </c>
      <c r="HH58" s="14" t="str">
        <f t="shared" si="70"/>
        <v>神器2-1</v>
      </c>
      <c r="HI58" s="14">
        <f t="shared" si="71"/>
        <v>3</v>
      </c>
      <c r="HJ58" s="14" t="s">
        <v>1595</v>
      </c>
      <c r="HK58" s="14">
        <f t="shared" si="72"/>
        <v>3650</v>
      </c>
    </row>
    <row r="59" spans="14:219" ht="16.5" x14ac:dyDescent="0.2">
      <c r="AO59" s="87">
        <v>3</v>
      </c>
      <c r="AP59" s="87">
        <v>3</v>
      </c>
      <c r="AQ59" s="87">
        <v>18</v>
      </c>
      <c r="AR59" s="144">
        <f t="shared" si="49"/>
        <v>4418</v>
      </c>
      <c r="AS59" s="144" t="s">
        <v>1221</v>
      </c>
      <c r="AT59" s="144" t="str">
        <f t="shared" si="50"/>
        <v>神器本-3-噩梦-2  神器3-2</v>
      </c>
      <c r="AU59" s="87">
        <v>10</v>
      </c>
      <c r="AV59" s="87" t="s">
        <v>316</v>
      </c>
      <c r="AW59" s="87">
        <v>5000</v>
      </c>
      <c r="AX59" s="87">
        <v>1</v>
      </c>
      <c r="AY59" s="87">
        <v>3</v>
      </c>
      <c r="AZ59" s="87">
        <f t="shared" si="51"/>
        <v>1</v>
      </c>
      <c r="BA59" s="14">
        <f t="shared" si="52"/>
        <v>1</v>
      </c>
      <c r="BB59" s="14">
        <f t="shared" si="53"/>
        <v>20</v>
      </c>
      <c r="BL59" s="87">
        <v>53</v>
      </c>
      <c r="BM59" s="14">
        <f>INDEX(节奏总表!$CK$4:$CK$63,新神器!BL59)</f>
        <v>144</v>
      </c>
      <c r="BN59" s="14">
        <f t="shared" si="55"/>
        <v>7</v>
      </c>
      <c r="BO59" s="87">
        <v>3</v>
      </c>
      <c r="BP59" s="87">
        <v>5</v>
      </c>
      <c r="BQ59" s="14">
        <f t="shared" si="133"/>
        <v>0</v>
      </c>
      <c r="BR59" s="14">
        <f t="shared" si="133"/>
        <v>0</v>
      </c>
      <c r="BS59" s="14">
        <f t="shared" si="133"/>
        <v>0</v>
      </c>
      <c r="BT59" s="14">
        <f t="shared" si="133"/>
        <v>0</v>
      </c>
      <c r="BU59" s="14">
        <f t="shared" si="133"/>
        <v>0</v>
      </c>
      <c r="BV59" s="14">
        <f t="shared" si="133"/>
        <v>0</v>
      </c>
      <c r="BW59" s="14">
        <f t="shared" si="133"/>
        <v>0</v>
      </c>
      <c r="BX59" s="14">
        <f t="shared" si="133"/>
        <v>0</v>
      </c>
      <c r="BY59" s="14">
        <f t="shared" si="133"/>
        <v>0.35000000000000003</v>
      </c>
      <c r="BZ59" s="14">
        <f t="shared" si="133"/>
        <v>0.35000000000000003</v>
      </c>
      <c r="CA59" s="14">
        <f t="shared" si="134"/>
        <v>0.20699999999999999</v>
      </c>
      <c r="CB59" s="14">
        <f t="shared" si="134"/>
        <v>0.20699999999999999</v>
      </c>
      <c r="CC59" s="14">
        <f t="shared" si="134"/>
        <v>0.13750000000000001</v>
      </c>
      <c r="CD59" s="14">
        <f t="shared" si="134"/>
        <v>6.9000000000000006E-2</v>
      </c>
      <c r="CE59" s="14">
        <f t="shared" si="134"/>
        <v>0.35000000000000003</v>
      </c>
      <c r="CF59" s="14">
        <f t="shared" si="134"/>
        <v>0.35000000000000003</v>
      </c>
      <c r="CG59" s="14">
        <f t="shared" si="134"/>
        <v>0.20699999999999999</v>
      </c>
      <c r="CH59" s="14">
        <f t="shared" si="134"/>
        <v>0.20699999999999999</v>
      </c>
      <c r="CI59" s="14">
        <f t="shared" si="134"/>
        <v>0.13750000000000001</v>
      </c>
      <c r="CJ59" s="14">
        <f t="shared" si="134"/>
        <v>6.9000000000000006E-2</v>
      </c>
      <c r="CK59" s="14">
        <f t="shared" si="135"/>
        <v>0.35000000000000003</v>
      </c>
      <c r="CL59" s="14">
        <f t="shared" si="135"/>
        <v>0.35000000000000003</v>
      </c>
      <c r="CM59" s="14">
        <f t="shared" si="135"/>
        <v>0.20699999999999999</v>
      </c>
      <c r="CN59" s="14">
        <f t="shared" si="135"/>
        <v>0.20699999999999999</v>
      </c>
      <c r="CO59" s="14">
        <f t="shared" si="135"/>
        <v>0.13750000000000001</v>
      </c>
      <c r="CP59" s="14">
        <f t="shared" si="135"/>
        <v>6.9499999999999992E-2</v>
      </c>
      <c r="CQ59" s="14">
        <f t="shared" si="135"/>
        <v>0.20799999999999999</v>
      </c>
      <c r="CR59" s="14">
        <f t="shared" si="135"/>
        <v>0.20799999999999999</v>
      </c>
      <c r="CS59" s="14">
        <f t="shared" si="135"/>
        <v>0.20799999999999999</v>
      </c>
      <c r="CT59" s="14">
        <f t="shared" si="135"/>
        <v>0.13800000000000001</v>
      </c>
      <c r="CU59" s="14">
        <f t="shared" si="136"/>
        <v>0.13800000000000001</v>
      </c>
      <c r="CV59" s="14">
        <f t="shared" si="136"/>
        <v>0.13800000000000001</v>
      </c>
      <c r="CW59" s="14">
        <f t="shared" si="136"/>
        <v>0</v>
      </c>
      <c r="CX59" s="14">
        <f t="shared" si="136"/>
        <v>0</v>
      </c>
      <c r="CY59" s="14">
        <f t="shared" si="136"/>
        <v>1.5</v>
      </c>
      <c r="CZ59" s="14">
        <f t="shared" si="136"/>
        <v>1.5</v>
      </c>
      <c r="DA59" s="14">
        <f t="shared" si="136"/>
        <v>1.5</v>
      </c>
      <c r="DB59" s="14">
        <f t="shared" si="136"/>
        <v>0.5</v>
      </c>
      <c r="DC59" s="14">
        <f t="shared" si="136"/>
        <v>0.5</v>
      </c>
      <c r="DD59" s="14">
        <f t="shared" si="136"/>
        <v>0.5</v>
      </c>
      <c r="DE59" s="14">
        <f t="shared" si="136"/>
        <v>0.375</v>
      </c>
      <c r="DF59" s="14">
        <f t="shared" si="136"/>
        <v>0.375</v>
      </c>
      <c r="DH59" s="14">
        <f>SUM(BQ$7:BQ59)</f>
        <v>35.749999999999993</v>
      </c>
      <c r="DI59" s="14">
        <f>SUM(BR$7:BR59)</f>
        <v>35.749999999999993</v>
      </c>
      <c r="DJ59" s="14">
        <f>SUM(BS$7:BS59)</f>
        <v>20.25</v>
      </c>
      <c r="DK59" s="14">
        <f>SUM(BT$7:BT59)</f>
        <v>36.25</v>
      </c>
      <c r="DL59" s="14">
        <f>SUM(BU$7:BU59)</f>
        <v>36.25</v>
      </c>
      <c r="DM59" s="14">
        <f>SUM(BV$7:BV59)</f>
        <v>20.625</v>
      </c>
      <c r="DN59" s="14">
        <f>SUM(BW$7:BW59)</f>
        <v>20.625</v>
      </c>
      <c r="DO59" s="14">
        <f>SUM(BX$7:BX59)</f>
        <v>13.75</v>
      </c>
      <c r="DP59" s="14">
        <f>SUM(BY$7:BY59)</f>
        <v>29.849000000000025</v>
      </c>
      <c r="DQ59" s="14">
        <f>SUM(BZ$7:BZ59)</f>
        <v>29.849000000000025</v>
      </c>
      <c r="DR59" s="14">
        <f>SUM(CA$7:CA59)</f>
        <v>16.347000000000016</v>
      </c>
      <c r="DS59" s="14">
        <f>SUM(CB$7:CB59)</f>
        <v>16.347000000000016</v>
      </c>
      <c r="DT59" s="14">
        <f>SUM(CC$7:CC59)</f>
        <v>8.3875000000000011</v>
      </c>
      <c r="DU59" s="14">
        <f>SUM(CD$7:CD59)</f>
        <v>3.9589999999999987</v>
      </c>
      <c r="DV59" s="14">
        <f>SUM(CE$7:CE59)</f>
        <v>34.849000000000025</v>
      </c>
      <c r="DW59" s="14">
        <f>SUM(CF$7:CF59)</f>
        <v>34.849000000000025</v>
      </c>
      <c r="DX59" s="14">
        <f>SUM(CG$7:CG59)</f>
        <v>18.972000000000016</v>
      </c>
      <c r="DY59" s="14">
        <f>SUM(CH$7:CH59)</f>
        <v>18.972000000000016</v>
      </c>
      <c r="DZ59" s="14">
        <f>SUM(CI$7:CI59)</f>
        <v>9.387499999999994</v>
      </c>
      <c r="EA59" s="14">
        <f>SUM(CJ$7:CJ59)</f>
        <v>4.4470000000000001</v>
      </c>
      <c r="EB59" s="14">
        <f>SUM(CK$7:CK59)</f>
        <v>39.849000000000025</v>
      </c>
      <c r="EC59" s="14">
        <f>SUM(CL$7:CL59)</f>
        <v>39.849000000000025</v>
      </c>
      <c r="ED59" s="14">
        <f>SUM(CM$7:CM59)</f>
        <v>21.597000000000016</v>
      </c>
      <c r="EE59" s="14">
        <f>SUM(CN$7:CN59)</f>
        <v>21.597000000000016</v>
      </c>
      <c r="EF59" s="14">
        <f>SUM(CO$7:CO59)</f>
        <v>10.387499999999989</v>
      </c>
      <c r="EG59" s="14">
        <f>SUM(CP$7:CP59)</f>
        <v>4.9574999999999978</v>
      </c>
      <c r="EH59" s="14">
        <f>SUM(CQ$7:CQ59)</f>
        <v>13.368000000000004</v>
      </c>
      <c r="EI59" s="14">
        <f>SUM(CR$7:CR59)</f>
        <v>13.368000000000004</v>
      </c>
      <c r="EJ59" s="14">
        <f>SUM(CS$7:CS59)</f>
        <v>13.368000000000004</v>
      </c>
      <c r="EK59" s="14">
        <f>SUM(CT$7:CT59)</f>
        <v>5.8979999999999979</v>
      </c>
      <c r="EL59" s="14">
        <f>SUM(CU$7:CU59)</f>
        <v>5.8979999999999979</v>
      </c>
      <c r="EM59" s="14">
        <f>SUM(CV$7:CV59)</f>
        <v>5.8979999999999979</v>
      </c>
      <c r="EN59" s="14">
        <f>SUM(CW$7:CW59)</f>
        <v>2.25</v>
      </c>
      <c r="EO59" s="14">
        <f>SUM(CX$7:CX59)</f>
        <v>2.25</v>
      </c>
      <c r="EP59" s="14">
        <f>SUM(CY$7:CY59)</f>
        <v>31.5</v>
      </c>
      <c r="EQ59" s="14">
        <f>SUM(CZ$7:CZ59)</f>
        <v>31.5</v>
      </c>
      <c r="ER59" s="14">
        <f>SUM(DA$7:DA59)</f>
        <v>31.5</v>
      </c>
      <c r="ES59" s="14">
        <f>SUM(DB$7:DB59)</f>
        <v>10.5</v>
      </c>
      <c r="ET59" s="14">
        <f>SUM(DC$7:DC59)</f>
        <v>10.5</v>
      </c>
      <c r="EU59" s="14">
        <f>SUM(DD$7:DD59)</f>
        <v>10.5</v>
      </c>
      <c r="EV59" s="14">
        <f>SUM(DE$7:DE59)</f>
        <v>7.875</v>
      </c>
      <c r="EW59" s="14">
        <f>SUM(DF$7:DF59)</f>
        <v>7.875</v>
      </c>
      <c r="EZ59" s="14">
        <f t="shared" si="56"/>
        <v>9</v>
      </c>
      <c r="FA59" s="14">
        <f t="shared" si="87"/>
        <v>12</v>
      </c>
      <c r="FB59" s="14">
        <f t="shared" si="88"/>
        <v>12</v>
      </c>
      <c r="FC59" s="14">
        <f t="shared" si="89"/>
        <v>9</v>
      </c>
      <c r="FD59" s="14">
        <f t="shared" si="57"/>
        <v>7</v>
      </c>
      <c r="FE59" s="14">
        <f t="shared" si="90"/>
        <v>12</v>
      </c>
      <c r="FF59" s="14">
        <f t="shared" si="91"/>
        <v>12</v>
      </c>
      <c r="FG59" s="14">
        <f t="shared" si="92"/>
        <v>9</v>
      </c>
      <c r="FH59" s="14">
        <f t="shared" si="93"/>
        <v>9</v>
      </c>
      <c r="FI59" s="14">
        <f t="shared" si="94"/>
        <v>7</v>
      </c>
      <c r="FJ59" s="14">
        <f t="shared" si="58"/>
        <v>3</v>
      </c>
      <c r="FK59" s="14">
        <f t="shared" si="95"/>
        <v>11</v>
      </c>
      <c r="FL59" s="14">
        <f t="shared" si="96"/>
        <v>11</v>
      </c>
      <c r="FM59" s="14">
        <f t="shared" si="97"/>
        <v>8</v>
      </c>
      <c r="FN59" s="14">
        <f t="shared" si="98"/>
        <v>8</v>
      </c>
      <c r="FO59" s="14">
        <f t="shared" si="99"/>
        <v>5</v>
      </c>
      <c r="FP59" s="14">
        <f t="shared" si="100"/>
        <v>3</v>
      </c>
      <c r="FQ59" s="14">
        <f t="shared" si="59"/>
        <v>3</v>
      </c>
      <c r="FR59" s="14">
        <f t="shared" si="101"/>
        <v>12</v>
      </c>
      <c r="FS59" s="14">
        <f t="shared" si="102"/>
        <v>12</v>
      </c>
      <c r="FT59" s="14">
        <f t="shared" si="103"/>
        <v>9</v>
      </c>
      <c r="FU59" s="14">
        <f t="shared" si="104"/>
        <v>9</v>
      </c>
      <c r="FV59" s="14">
        <f t="shared" si="105"/>
        <v>6</v>
      </c>
      <c r="FW59" s="14">
        <f t="shared" si="106"/>
        <v>3</v>
      </c>
      <c r="FX59" s="14">
        <f t="shared" si="60"/>
        <v>3</v>
      </c>
      <c r="FY59" s="14">
        <f t="shared" si="107"/>
        <v>12</v>
      </c>
      <c r="FZ59" s="14">
        <f t="shared" si="108"/>
        <v>12</v>
      </c>
      <c r="GA59" s="14">
        <f t="shared" si="109"/>
        <v>9</v>
      </c>
      <c r="GB59" s="14">
        <f t="shared" si="110"/>
        <v>9</v>
      </c>
      <c r="GC59" s="14">
        <f t="shared" si="111"/>
        <v>6</v>
      </c>
      <c r="GD59" s="14">
        <f t="shared" si="112"/>
        <v>3</v>
      </c>
      <c r="GE59" s="14">
        <f t="shared" si="61"/>
        <v>2</v>
      </c>
      <c r="GF59" s="14">
        <f t="shared" si="113"/>
        <v>7</v>
      </c>
      <c r="GG59" s="14">
        <f t="shared" si="114"/>
        <v>7</v>
      </c>
      <c r="GH59" s="14">
        <f t="shared" si="115"/>
        <v>7</v>
      </c>
      <c r="GI59" s="14">
        <f t="shared" si="116"/>
        <v>4</v>
      </c>
      <c r="GJ59" s="14">
        <f t="shared" si="117"/>
        <v>4</v>
      </c>
      <c r="GK59" s="14">
        <f t="shared" si="118"/>
        <v>4</v>
      </c>
      <c r="GL59" s="14">
        <f t="shared" si="119"/>
        <v>2</v>
      </c>
      <c r="GM59" s="14">
        <f t="shared" si="120"/>
        <v>2</v>
      </c>
      <c r="GN59" s="14">
        <f t="shared" si="62"/>
        <v>5</v>
      </c>
      <c r="GO59" s="14">
        <f t="shared" si="121"/>
        <v>11</v>
      </c>
      <c r="GP59" s="14">
        <f t="shared" si="122"/>
        <v>11</v>
      </c>
      <c r="GQ59" s="14">
        <f t="shared" si="123"/>
        <v>11</v>
      </c>
      <c r="GR59" s="14">
        <f t="shared" si="124"/>
        <v>6</v>
      </c>
      <c r="GS59" s="14">
        <f t="shared" si="125"/>
        <v>6</v>
      </c>
      <c r="GT59" s="14">
        <f t="shared" si="126"/>
        <v>6</v>
      </c>
      <c r="GU59" s="14">
        <f t="shared" si="127"/>
        <v>5</v>
      </c>
      <c r="GV59" s="14">
        <f t="shared" si="128"/>
        <v>5</v>
      </c>
      <c r="GY59" s="91">
        <v>53</v>
      </c>
      <c r="GZ59" s="14">
        <f t="shared" si="63"/>
        <v>4</v>
      </c>
      <c r="HA59" s="14">
        <f t="shared" si="64"/>
        <v>2</v>
      </c>
      <c r="HB59" s="14">
        <f t="shared" si="65"/>
        <v>1</v>
      </c>
      <c r="HC59" s="14">
        <f t="shared" si="66"/>
        <v>0.28599999999999998</v>
      </c>
      <c r="HD59" s="14">
        <f t="shared" si="67"/>
        <v>1606006</v>
      </c>
      <c r="HE59" s="14" t="str">
        <f t="shared" si="68"/>
        <v>神器2-1 : 8级</v>
      </c>
      <c r="HF59" s="14" t="s">
        <v>800</v>
      </c>
      <c r="HG59" s="14">
        <f t="shared" si="69"/>
        <v>8</v>
      </c>
      <c r="HH59" s="14" t="str">
        <f t="shared" si="70"/>
        <v>神器2-1</v>
      </c>
      <c r="HI59" s="14">
        <f t="shared" si="71"/>
        <v>3</v>
      </c>
      <c r="HJ59" s="14" t="s">
        <v>1595</v>
      </c>
      <c r="HK59" s="14">
        <f t="shared" si="72"/>
        <v>3750</v>
      </c>
    </row>
    <row r="60" spans="14:219" ht="16.5" x14ac:dyDescent="0.2">
      <c r="AO60" s="87">
        <v>3</v>
      </c>
      <c r="AP60" s="87">
        <v>3</v>
      </c>
      <c r="AQ60" s="87">
        <v>19</v>
      </c>
      <c r="AR60" s="144">
        <f t="shared" si="49"/>
        <v>4419</v>
      </c>
      <c r="AS60" s="144" t="s">
        <v>1222</v>
      </c>
      <c r="AT60" s="144" t="str">
        <f t="shared" si="50"/>
        <v>神器本-3-噩梦-3  神器3-3</v>
      </c>
      <c r="AU60" s="87">
        <v>11</v>
      </c>
      <c r="AV60" s="87" t="s">
        <v>317</v>
      </c>
      <c r="AW60" s="87">
        <v>3500</v>
      </c>
      <c r="AX60" s="87">
        <v>1</v>
      </c>
      <c r="AY60" s="87">
        <v>2</v>
      </c>
      <c r="AZ60" s="87">
        <f t="shared" si="51"/>
        <v>2</v>
      </c>
      <c r="BA60" s="14">
        <f t="shared" si="52"/>
        <v>0.52500000000000002</v>
      </c>
      <c r="BB60" s="14">
        <f t="shared" si="53"/>
        <v>31.5</v>
      </c>
      <c r="BL60" s="87">
        <v>54</v>
      </c>
      <c r="BM60" s="14">
        <f>INDEX(节奏总表!$CK$4:$CK$63,新神器!BL60)</f>
        <v>144</v>
      </c>
      <c r="BN60" s="14">
        <f t="shared" si="55"/>
        <v>7</v>
      </c>
      <c r="BO60" s="87">
        <v>3</v>
      </c>
      <c r="BP60" s="87">
        <v>5</v>
      </c>
      <c r="BQ60" s="14">
        <f t="shared" si="133"/>
        <v>0</v>
      </c>
      <c r="BR60" s="14">
        <f t="shared" si="133"/>
        <v>0</v>
      </c>
      <c r="BS60" s="14">
        <f t="shared" si="133"/>
        <v>0</v>
      </c>
      <c r="BT60" s="14">
        <f t="shared" si="133"/>
        <v>0</v>
      </c>
      <c r="BU60" s="14">
        <f t="shared" si="133"/>
        <v>0</v>
      </c>
      <c r="BV60" s="14">
        <f t="shared" si="133"/>
        <v>0</v>
      </c>
      <c r="BW60" s="14">
        <f t="shared" si="133"/>
        <v>0</v>
      </c>
      <c r="BX60" s="14">
        <f t="shared" si="133"/>
        <v>0</v>
      </c>
      <c r="BY60" s="14">
        <f t="shared" si="133"/>
        <v>0.35000000000000003</v>
      </c>
      <c r="BZ60" s="14">
        <f t="shared" si="133"/>
        <v>0.35000000000000003</v>
      </c>
      <c r="CA60" s="14">
        <f t="shared" si="134"/>
        <v>0.20699999999999999</v>
      </c>
      <c r="CB60" s="14">
        <f t="shared" si="134"/>
        <v>0.20699999999999999</v>
      </c>
      <c r="CC60" s="14">
        <f t="shared" si="134"/>
        <v>0.13750000000000001</v>
      </c>
      <c r="CD60" s="14">
        <f t="shared" si="134"/>
        <v>6.9000000000000006E-2</v>
      </c>
      <c r="CE60" s="14">
        <f t="shared" si="134"/>
        <v>0.35000000000000003</v>
      </c>
      <c r="CF60" s="14">
        <f t="shared" si="134"/>
        <v>0.35000000000000003</v>
      </c>
      <c r="CG60" s="14">
        <f t="shared" si="134"/>
        <v>0.20699999999999999</v>
      </c>
      <c r="CH60" s="14">
        <f t="shared" si="134"/>
        <v>0.20699999999999999</v>
      </c>
      <c r="CI60" s="14">
        <f t="shared" si="134"/>
        <v>0.13750000000000001</v>
      </c>
      <c r="CJ60" s="14">
        <f t="shared" si="134"/>
        <v>6.9000000000000006E-2</v>
      </c>
      <c r="CK60" s="14">
        <f t="shared" si="135"/>
        <v>0.35000000000000003</v>
      </c>
      <c r="CL60" s="14">
        <f t="shared" si="135"/>
        <v>0.35000000000000003</v>
      </c>
      <c r="CM60" s="14">
        <f t="shared" si="135"/>
        <v>0.20699999999999999</v>
      </c>
      <c r="CN60" s="14">
        <f t="shared" si="135"/>
        <v>0.20699999999999999</v>
      </c>
      <c r="CO60" s="14">
        <f t="shared" si="135"/>
        <v>0.13750000000000001</v>
      </c>
      <c r="CP60" s="14">
        <f t="shared" si="135"/>
        <v>6.9499999999999992E-2</v>
      </c>
      <c r="CQ60" s="14">
        <f t="shared" si="135"/>
        <v>0.20799999999999999</v>
      </c>
      <c r="CR60" s="14">
        <f t="shared" si="135"/>
        <v>0.20799999999999999</v>
      </c>
      <c r="CS60" s="14">
        <f t="shared" si="135"/>
        <v>0.20799999999999999</v>
      </c>
      <c r="CT60" s="14">
        <f t="shared" si="135"/>
        <v>0.13800000000000001</v>
      </c>
      <c r="CU60" s="14">
        <f t="shared" si="136"/>
        <v>0.13800000000000001</v>
      </c>
      <c r="CV60" s="14">
        <f t="shared" si="136"/>
        <v>0.13800000000000001</v>
      </c>
      <c r="CW60" s="14">
        <f t="shared" si="136"/>
        <v>0</v>
      </c>
      <c r="CX60" s="14">
        <f t="shared" si="136"/>
        <v>0</v>
      </c>
      <c r="CY60" s="14">
        <f t="shared" si="136"/>
        <v>1.5</v>
      </c>
      <c r="CZ60" s="14">
        <f t="shared" si="136"/>
        <v>1.5</v>
      </c>
      <c r="DA60" s="14">
        <f t="shared" si="136"/>
        <v>1.5</v>
      </c>
      <c r="DB60" s="14">
        <f t="shared" si="136"/>
        <v>0.5</v>
      </c>
      <c r="DC60" s="14">
        <f t="shared" si="136"/>
        <v>0.5</v>
      </c>
      <c r="DD60" s="14">
        <f t="shared" si="136"/>
        <v>0.5</v>
      </c>
      <c r="DE60" s="14">
        <f t="shared" si="136"/>
        <v>0.375</v>
      </c>
      <c r="DF60" s="14">
        <f t="shared" si="136"/>
        <v>0.375</v>
      </c>
      <c r="DH60" s="14">
        <f>SUM(BQ$7:BQ60)</f>
        <v>35.749999999999993</v>
      </c>
      <c r="DI60" s="14">
        <f>SUM(BR$7:BR60)</f>
        <v>35.749999999999993</v>
      </c>
      <c r="DJ60" s="14">
        <f>SUM(BS$7:BS60)</f>
        <v>20.25</v>
      </c>
      <c r="DK60" s="14">
        <f>SUM(BT$7:BT60)</f>
        <v>36.25</v>
      </c>
      <c r="DL60" s="14">
        <f>SUM(BU$7:BU60)</f>
        <v>36.25</v>
      </c>
      <c r="DM60" s="14">
        <f>SUM(BV$7:BV60)</f>
        <v>20.625</v>
      </c>
      <c r="DN60" s="14">
        <f>SUM(BW$7:BW60)</f>
        <v>20.625</v>
      </c>
      <c r="DO60" s="14">
        <f>SUM(BX$7:BX60)</f>
        <v>13.75</v>
      </c>
      <c r="DP60" s="14">
        <f>SUM(BY$7:BY60)</f>
        <v>30.199000000000026</v>
      </c>
      <c r="DQ60" s="14">
        <f>SUM(BZ$7:BZ60)</f>
        <v>30.199000000000026</v>
      </c>
      <c r="DR60" s="14">
        <f>SUM(CA$7:CA60)</f>
        <v>16.554000000000016</v>
      </c>
      <c r="DS60" s="14">
        <f>SUM(CB$7:CB60)</f>
        <v>16.554000000000016</v>
      </c>
      <c r="DT60" s="14">
        <f>SUM(CC$7:CC60)</f>
        <v>8.5250000000000004</v>
      </c>
      <c r="DU60" s="14">
        <f>SUM(CD$7:CD60)</f>
        <v>4.0279999999999987</v>
      </c>
      <c r="DV60" s="14">
        <f>SUM(CE$7:CE60)</f>
        <v>35.199000000000026</v>
      </c>
      <c r="DW60" s="14">
        <f>SUM(CF$7:CF60)</f>
        <v>35.199000000000026</v>
      </c>
      <c r="DX60" s="14">
        <f>SUM(CG$7:CG60)</f>
        <v>19.179000000000016</v>
      </c>
      <c r="DY60" s="14">
        <f>SUM(CH$7:CH60)</f>
        <v>19.179000000000016</v>
      </c>
      <c r="DZ60" s="14">
        <f>SUM(CI$7:CI60)</f>
        <v>9.5249999999999932</v>
      </c>
      <c r="EA60" s="14">
        <f>SUM(CJ$7:CJ60)</f>
        <v>4.516</v>
      </c>
      <c r="EB60" s="14">
        <f>SUM(CK$7:CK60)</f>
        <v>40.199000000000026</v>
      </c>
      <c r="EC60" s="14">
        <f>SUM(CL$7:CL60)</f>
        <v>40.199000000000026</v>
      </c>
      <c r="ED60" s="14">
        <f>SUM(CM$7:CM60)</f>
        <v>21.804000000000016</v>
      </c>
      <c r="EE60" s="14">
        <f>SUM(CN$7:CN60)</f>
        <v>21.804000000000016</v>
      </c>
      <c r="EF60" s="14">
        <f>SUM(CO$7:CO60)</f>
        <v>10.524999999999988</v>
      </c>
      <c r="EG60" s="14">
        <f>SUM(CP$7:CP60)</f>
        <v>5.0269999999999975</v>
      </c>
      <c r="EH60" s="14">
        <f>SUM(CQ$7:CQ60)</f>
        <v>13.576000000000004</v>
      </c>
      <c r="EI60" s="14">
        <f>SUM(CR$7:CR60)</f>
        <v>13.576000000000004</v>
      </c>
      <c r="EJ60" s="14">
        <f>SUM(CS$7:CS60)</f>
        <v>13.576000000000004</v>
      </c>
      <c r="EK60" s="14">
        <f>SUM(CT$7:CT60)</f>
        <v>6.0359999999999978</v>
      </c>
      <c r="EL60" s="14">
        <f>SUM(CU$7:CU60)</f>
        <v>6.0359999999999978</v>
      </c>
      <c r="EM60" s="14">
        <f>SUM(CV$7:CV60)</f>
        <v>6.0359999999999978</v>
      </c>
      <c r="EN60" s="14">
        <f>SUM(CW$7:CW60)</f>
        <v>2.25</v>
      </c>
      <c r="EO60" s="14">
        <f>SUM(CX$7:CX60)</f>
        <v>2.25</v>
      </c>
      <c r="EP60" s="14">
        <f>SUM(CY$7:CY60)</f>
        <v>33</v>
      </c>
      <c r="EQ60" s="14">
        <f>SUM(CZ$7:CZ60)</f>
        <v>33</v>
      </c>
      <c r="ER60" s="14">
        <f>SUM(DA$7:DA60)</f>
        <v>33</v>
      </c>
      <c r="ES60" s="14">
        <f>SUM(DB$7:DB60)</f>
        <v>11</v>
      </c>
      <c r="ET60" s="14">
        <f>SUM(DC$7:DC60)</f>
        <v>11</v>
      </c>
      <c r="EU60" s="14">
        <f>SUM(DD$7:DD60)</f>
        <v>11</v>
      </c>
      <c r="EV60" s="14">
        <f>SUM(DE$7:DE60)</f>
        <v>8.25</v>
      </c>
      <c r="EW60" s="14">
        <f>SUM(DF$7:DF60)</f>
        <v>8.25</v>
      </c>
      <c r="EZ60" s="14">
        <f t="shared" si="56"/>
        <v>9</v>
      </c>
      <c r="FA60" s="14">
        <f t="shared" si="87"/>
        <v>12</v>
      </c>
      <c r="FB60" s="14">
        <f t="shared" si="88"/>
        <v>12</v>
      </c>
      <c r="FC60" s="14">
        <f t="shared" si="89"/>
        <v>9</v>
      </c>
      <c r="FD60" s="14">
        <f t="shared" si="57"/>
        <v>7</v>
      </c>
      <c r="FE60" s="14">
        <f t="shared" si="90"/>
        <v>12</v>
      </c>
      <c r="FF60" s="14">
        <f t="shared" si="91"/>
        <v>12</v>
      </c>
      <c r="FG60" s="14">
        <f t="shared" si="92"/>
        <v>9</v>
      </c>
      <c r="FH60" s="14">
        <f t="shared" si="93"/>
        <v>9</v>
      </c>
      <c r="FI60" s="14">
        <f t="shared" si="94"/>
        <v>7</v>
      </c>
      <c r="FJ60" s="14">
        <f t="shared" si="58"/>
        <v>3</v>
      </c>
      <c r="FK60" s="14">
        <f t="shared" si="95"/>
        <v>11</v>
      </c>
      <c r="FL60" s="14">
        <f t="shared" si="96"/>
        <v>11</v>
      </c>
      <c r="FM60" s="14">
        <f t="shared" si="97"/>
        <v>8</v>
      </c>
      <c r="FN60" s="14">
        <f t="shared" si="98"/>
        <v>8</v>
      </c>
      <c r="FO60" s="14">
        <f t="shared" si="99"/>
        <v>5</v>
      </c>
      <c r="FP60" s="14">
        <f t="shared" si="100"/>
        <v>3</v>
      </c>
      <c r="FQ60" s="14">
        <f t="shared" si="59"/>
        <v>3</v>
      </c>
      <c r="FR60" s="14">
        <f t="shared" si="101"/>
        <v>12</v>
      </c>
      <c r="FS60" s="14">
        <f t="shared" si="102"/>
        <v>12</v>
      </c>
      <c r="FT60" s="14">
        <f t="shared" si="103"/>
        <v>9</v>
      </c>
      <c r="FU60" s="14">
        <f t="shared" si="104"/>
        <v>9</v>
      </c>
      <c r="FV60" s="14">
        <f t="shared" si="105"/>
        <v>6</v>
      </c>
      <c r="FW60" s="14">
        <f t="shared" si="106"/>
        <v>3</v>
      </c>
      <c r="FX60" s="14">
        <f t="shared" si="60"/>
        <v>4</v>
      </c>
      <c r="FY60" s="14">
        <f t="shared" si="107"/>
        <v>12</v>
      </c>
      <c r="FZ60" s="14">
        <f t="shared" si="108"/>
        <v>12</v>
      </c>
      <c r="GA60" s="14">
        <f t="shared" si="109"/>
        <v>9</v>
      </c>
      <c r="GB60" s="14">
        <f t="shared" si="110"/>
        <v>9</v>
      </c>
      <c r="GC60" s="14">
        <f t="shared" si="111"/>
        <v>6</v>
      </c>
      <c r="GD60" s="14">
        <f t="shared" si="112"/>
        <v>4</v>
      </c>
      <c r="GE60" s="14">
        <f t="shared" si="61"/>
        <v>2</v>
      </c>
      <c r="GF60" s="14">
        <f t="shared" si="113"/>
        <v>7</v>
      </c>
      <c r="GG60" s="14">
        <f t="shared" si="114"/>
        <v>7</v>
      </c>
      <c r="GH60" s="14">
        <f t="shared" si="115"/>
        <v>7</v>
      </c>
      <c r="GI60" s="14">
        <f t="shared" si="116"/>
        <v>4</v>
      </c>
      <c r="GJ60" s="14">
        <f t="shared" si="117"/>
        <v>4</v>
      </c>
      <c r="GK60" s="14">
        <f t="shared" si="118"/>
        <v>4</v>
      </c>
      <c r="GL60" s="14">
        <f t="shared" si="119"/>
        <v>2</v>
      </c>
      <c r="GM60" s="14">
        <f t="shared" si="120"/>
        <v>2</v>
      </c>
      <c r="GN60" s="14">
        <f t="shared" si="62"/>
        <v>5</v>
      </c>
      <c r="GO60" s="14">
        <f t="shared" si="121"/>
        <v>11</v>
      </c>
      <c r="GP60" s="14">
        <f t="shared" si="122"/>
        <v>11</v>
      </c>
      <c r="GQ60" s="14">
        <f t="shared" si="123"/>
        <v>11</v>
      </c>
      <c r="GR60" s="14">
        <f t="shared" si="124"/>
        <v>6</v>
      </c>
      <c r="GS60" s="14">
        <f t="shared" si="125"/>
        <v>6</v>
      </c>
      <c r="GT60" s="14">
        <f t="shared" si="126"/>
        <v>6</v>
      </c>
      <c r="GU60" s="14">
        <f t="shared" si="127"/>
        <v>5</v>
      </c>
      <c r="GV60" s="14">
        <f t="shared" si="128"/>
        <v>5</v>
      </c>
      <c r="GY60" s="91">
        <v>54</v>
      </c>
      <c r="GZ60" s="14">
        <f t="shared" si="63"/>
        <v>4</v>
      </c>
      <c r="HA60" s="14">
        <f t="shared" si="64"/>
        <v>2</v>
      </c>
      <c r="HB60" s="14">
        <f t="shared" si="65"/>
        <v>1</v>
      </c>
      <c r="HC60" s="14">
        <f t="shared" si="66"/>
        <v>0.29299999999999998</v>
      </c>
      <c r="HD60" s="14">
        <f t="shared" si="67"/>
        <v>1606006</v>
      </c>
      <c r="HE60" s="14" t="str">
        <f t="shared" si="68"/>
        <v>神器2-1 : 9级</v>
      </c>
      <c r="HF60" s="14" t="s">
        <v>800</v>
      </c>
      <c r="HG60" s="14">
        <f t="shared" si="69"/>
        <v>9</v>
      </c>
      <c r="HH60" s="14" t="str">
        <f t="shared" si="70"/>
        <v>神器2-1</v>
      </c>
      <c r="HI60" s="14">
        <f t="shared" si="71"/>
        <v>3</v>
      </c>
      <c r="HJ60" s="14" t="s">
        <v>1595</v>
      </c>
      <c r="HK60" s="14">
        <f t="shared" si="72"/>
        <v>3850</v>
      </c>
    </row>
    <row r="61" spans="14:219" ht="16.5" x14ac:dyDescent="0.2">
      <c r="AO61" s="87">
        <v>3</v>
      </c>
      <c r="AP61" s="87">
        <v>3</v>
      </c>
      <c r="AQ61" s="87">
        <v>19</v>
      </c>
      <c r="AR61" s="144">
        <f t="shared" si="49"/>
        <v>4419</v>
      </c>
      <c r="AS61" s="144" t="s">
        <v>1222</v>
      </c>
      <c r="AT61" s="144" t="str">
        <f t="shared" si="50"/>
        <v>神器本-3-噩梦-3  神器3-4</v>
      </c>
      <c r="AU61" s="87">
        <v>12</v>
      </c>
      <c r="AV61" s="87" t="s">
        <v>318</v>
      </c>
      <c r="AW61" s="87">
        <v>3500</v>
      </c>
      <c r="AX61" s="87">
        <v>1</v>
      </c>
      <c r="AY61" s="87">
        <v>2</v>
      </c>
      <c r="AZ61" s="87">
        <f t="shared" si="51"/>
        <v>2</v>
      </c>
      <c r="BA61" s="14">
        <f t="shared" si="52"/>
        <v>0.52500000000000002</v>
      </c>
      <c r="BB61" s="14">
        <f t="shared" si="53"/>
        <v>31.5</v>
      </c>
      <c r="BL61" s="87">
        <v>55</v>
      </c>
      <c r="BM61" s="14">
        <f>INDEX(节奏总表!$CK$4:$CK$63,新神器!BL61)</f>
        <v>145</v>
      </c>
      <c r="BN61" s="14">
        <f t="shared" si="55"/>
        <v>7</v>
      </c>
      <c r="BO61" s="87">
        <v>3</v>
      </c>
      <c r="BP61" s="87">
        <v>5</v>
      </c>
      <c r="BQ61" s="14">
        <f t="shared" si="133"/>
        <v>0</v>
      </c>
      <c r="BR61" s="14">
        <f t="shared" si="133"/>
        <v>0</v>
      </c>
      <c r="BS61" s="14">
        <f t="shared" si="133"/>
        <v>0</v>
      </c>
      <c r="BT61" s="14">
        <f t="shared" si="133"/>
        <v>0</v>
      </c>
      <c r="BU61" s="14">
        <f t="shared" si="133"/>
        <v>0</v>
      </c>
      <c r="BV61" s="14">
        <f t="shared" si="133"/>
        <v>0</v>
      </c>
      <c r="BW61" s="14">
        <f t="shared" si="133"/>
        <v>0</v>
      </c>
      <c r="BX61" s="14">
        <f t="shared" si="133"/>
        <v>0</v>
      </c>
      <c r="BY61" s="14">
        <f t="shared" si="133"/>
        <v>0.35000000000000003</v>
      </c>
      <c r="BZ61" s="14">
        <f t="shared" si="133"/>
        <v>0.35000000000000003</v>
      </c>
      <c r="CA61" s="14">
        <f t="shared" si="134"/>
        <v>0.20699999999999999</v>
      </c>
      <c r="CB61" s="14">
        <f t="shared" si="134"/>
        <v>0.20699999999999999</v>
      </c>
      <c r="CC61" s="14">
        <f t="shared" si="134"/>
        <v>0.13750000000000001</v>
      </c>
      <c r="CD61" s="14">
        <f t="shared" si="134"/>
        <v>6.9000000000000006E-2</v>
      </c>
      <c r="CE61" s="14">
        <f t="shared" si="134"/>
        <v>0.35000000000000003</v>
      </c>
      <c r="CF61" s="14">
        <f t="shared" si="134"/>
        <v>0.35000000000000003</v>
      </c>
      <c r="CG61" s="14">
        <f t="shared" si="134"/>
        <v>0.20699999999999999</v>
      </c>
      <c r="CH61" s="14">
        <f t="shared" si="134"/>
        <v>0.20699999999999999</v>
      </c>
      <c r="CI61" s="14">
        <f t="shared" si="134"/>
        <v>0.13750000000000001</v>
      </c>
      <c r="CJ61" s="14">
        <f t="shared" si="134"/>
        <v>6.9000000000000006E-2</v>
      </c>
      <c r="CK61" s="14">
        <f t="shared" si="135"/>
        <v>0.35000000000000003</v>
      </c>
      <c r="CL61" s="14">
        <f t="shared" si="135"/>
        <v>0.35000000000000003</v>
      </c>
      <c r="CM61" s="14">
        <f t="shared" si="135"/>
        <v>0.20699999999999999</v>
      </c>
      <c r="CN61" s="14">
        <f t="shared" si="135"/>
        <v>0.20699999999999999</v>
      </c>
      <c r="CO61" s="14">
        <f t="shared" si="135"/>
        <v>0.13750000000000001</v>
      </c>
      <c r="CP61" s="14">
        <f t="shared" si="135"/>
        <v>6.9499999999999992E-2</v>
      </c>
      <c r="CQ61" s="14">
        <f t="shared" si="135"/>
        <v>0.20799999999999999</v>
      </c>
      <c r="CR61" s="14">
        <f t="shared" si="135"/>
        <v>0.20799999999999999</v>
      </c>
      <c r="CS61" s="14">
        <f t="shared" si="135"/>
        <v>0.20799999999999999</v>
      </c>
      <c r="CT61" s="14">
        <f t="shared" si="135"/>
        <v>0.13800000000000001</v>
      </c>
      <c r="CU61" s="14">
        <f t="shared" si="136"/>
        <v>0.13800000000000001</v>
      </c>
      <c r="CV61" s="14">
        <f t="shared" si="136"/>
        <v>0.13800000000000001</v>
      </c>
      <c r="CW61" s="14">
        <f t="shared" si="136"/>
        <v>0</v>
      </c>
      <c r="CX61" s="14">
        <f t="shared" si="136"/>
        <v>0</v>
      </c>
      <c r="CY61" s="14">
        <f t="shared" si="136"/>
        <v>1.5</v>
      </c>
      <c r="CZ61" s="14">
        <f t="shared" si="136"/>
        <v>1.5</v>
      </c>
      <c r="DA61" s="14">
        <f t="shared" si="136"/>
        <v>1.5</v>
      </c>
      <c r="DB61" s="14">
        <f t="shared" si="136"/>
        <v>0.5</v>
      </c>
      <c r="DC61" s="14">
        <f t="shared" si="136"/>
        <v>0.5</v>
      </c>
      <c r="DD61" s="14">
        <f t="shared" si="136"/>
        <v>0.5</v>
      </c>
      <c r="DE61" s="14">
        <f t="shared" si="136"/>
        <v>0.375</v>
      </c>
      <c r="DF61" s="14">
        <f t="shared" si="136"/>
        <v>0.375</v>
      </c>
      <c r="DH61" s="14">
        <f>SUM(BQ$7:BQ61)</f>
        <v>35.749999999999993</v>
      </c>
      <c r="DI61" s="14">
        <f>SUM(BR$7:BR61)</f>
        <v>35.749999999999993</v>
      </c>
      <c r="DJ61" s="14">
        <f>SUM(BS$7:BS61)</f>
        <v>20.25</v>
      </c>
      <c r="DK61" s="14">
        <f>SUM(BT$7:BT61)</f>
        <v>36.25</v>
      </c>
      <c r="DL61" s="14">
        <f>SUM(BU$7:BU61)</f>
        <v>36.25</v>
      </c>
      <c r="DM61" s="14">
        <f>SUM(BV$7:BV61)</f>
        <v>20.625</v>
      </c>
      <c r="DN61" s="14">
        <f>SUM(BW$7:BW61)</f>
        <v>20.625</v>
      </c>
      <c r="DO61" s="14">
        <f>SUM(BX$7:BX61)</f>
        <v>13.75</v>
      </c>
      <c r="DP61" s="14">
        <f>SUM(BY$7:BY61)</f>
        <v>30.549000000000028</v>
      </c>
      <c r="DQ61" s="14">
        <f>SUM(BZ$7:BZ61)</f>
        <v>30.549000000000028</v>
      </c>
      <c r="DR61" s="14">
        <f>SUM(CA$7:CA61)</f>
        <v>16.761000000000017</v>
      </c>
      <c r="DS61" s="14">
        <f>SUM(CB$7:CB61)</f>
        <v>16.761000000000017</v>
      </c>
      <c r="DT61" s="14">
        <f>SUM(CC$7:CC61)</f>
        <v>8.6624999999999996</v>
      </c>
      <c r="DU61" s="14">
        <f>SUM(CD$7:CD61)</f>
        <v>4.0969999999999986</v>
      </c>
      <c r="DV61" s="14">
        <f>SUM(CE$7:CE61)</f>
        <v>35.549000000000028</v>
      </c>
      <c r="DW61" s="14">
        <f>SUM(CF$7:CF61)</f>
        <v>35.549000000000028</v>
      </c>
      <c r="DX61" s="14">
        <f>SUM(CG$7:CG61)</f>
        <v>19.386000000000017</v>
      </c>
      <c r="DY61" s="14">
        <f>SUM(CH$7:CH61)</f>
        <v>19.386000000000017</v>
      </c>
      <c r="DZ61" s="14">
        <f>SUM(CI$7:CI61)</f>
        <v>9.6624999999999925</v>
      </c>
      <c r="EA61" s="14">
        <f>SUM(CJ$7:CJ61)</f>
        <v>4.585</v>
      </c>
      <c r="EB61" s="14">
        <f>SUM(CK$7:CK61)</f>
        <v>40.549000000000028</v>
      </c>
      <c r="EC61" s="14">
        <f>SUM(CL$7:CL61)</f>
        <v>40.549000000000028</v>
      </c>
      <c r="ED61" s="14">
        <f>SUM(CM$7:CM61)</f>
        <v>22.011000000000017</v>
      </c>
      <c r="EE61" s="14">
        <f>SUM(CN$7:CN61)</f>
        <v>22.011000000000017</v>
      </c>
      <c r="EF61" s="14">
        <f>SUM(CO$7:CO61)</f>
        <v>10.662499999999987</v>
      </c>
      <c r="EG61" s="14">
        <f>SUM(CP$7:CP61)</f>
        <v>5.0964999999999971</v>
      </c>
      <c r="EH61" s="14">
        <f>SUM(CQ$7:CQ61)</f>
        <v>13.784000000000004</v>
      </c>
      <c r="EI61" s="14">
        <f>SUM(CR$7:CR61)</f>
        <v>13.784000000000004</v>
      </c>
      <c r="EJ61" s="14">
        <f>SUM(CS$7:CS61)</f>
        <v>13.784000000000004</v>
      </c>
      <c r="EK61" s="14">
        <f>SUM(CT$7:CT61)</f>
        <v>6.1739999999999977</v>
      </c>
      <c r="EL61" s="14">
        <f>SUM(CU$7:CU61)</f>
        <v>6.1739999999999977</v>
      </c>
      <c r="EM61" s="14">
        <f>SUM(CV$7:CV61)</f>
        <v>6.1739999999999977</v>
      </c>
      <c r="EN61" s="14">
        <f>SUM(CW$7:CW61)</f>
        <v>2.25</v>
      </c>
      <c r="EO61" s="14">
        <f>SUM(CX$7:CX61)</f>
        <v>2.25</v>
      </c>
      <c r="EP61" s="14">
        <f>SUM(CY$7:CY61)</f>
        <v>34.5</v>
      </c>
      <c r="EQ61" s="14">
        <f>SUM(CZ$7:CZ61)</f>
        <v>34.5</v>
      </c>
      <c r="ER61" s="14">
        <f>SUM(DA$7:DA61)</f>
        <v>34.5</v>
      </c>
      <c r="ES61" s="14">
        <f>SUM(DB$7:DB61)</f>
        <v>11.5</v>
      </c>
      <c r="ET61" s="14">
        <f>SUM(DC$7:DC61)</f>
        <v>11.5</v>
      </c>
      <c r="EU61" s="14">
        <f>SUM(DD$7:DD61)</f>
        <v>11.5</v>
      </c>
      <c r="EV61" s="14">
        <f>SUM(DE$7:DE61)</f>
        <v>8.625</v>
      </c>
      <c r="EW61" s="14">
        <f>SUM(DF$7:DF61)</f>
        <v>8.625</v>
      </c>
      <c r="EZ61" s="14">
        <f t="shared" si="56"/>
        <v>9</v>
      </c>
      <c r="FA61" s="14">
        <f t="shared" si="87"/>
        <v>12</v>
      </c>
      <c r="FB61" s="14">
        <f t="shared" si="88"/>
        <v>12</v>
      </c>
      <c r="FC61" s="14">
        <f t="shared" si="89"/>
        <v>9</v>
      </c>
      <c r="FD61" s="14">
        <f t="shared" si="57"/>
        <v>7</v>
      </c>
      <c r="FE61" s="14">
        <f t="shared" si="90"/>
        <v>12</v>
      </c>
      <c r="FF61" s="14">
        <f t="shared" si="91"/>
        <v>12</v>
      </c>
      <c r="FG61" s="14">
        <f t="shared" si="92"/>
        <v>9</v>
      </c>
      <c r="FH61" s="14">
        <f t="shared" si="93"/>
        <v>9</v>
      </c>
      <c r="FI61" s="14">
        <f t="shared" si="94"/>
        <v>7</v>
      </c>
      <c r="FJ61" s="14">
        <f t="shared" si="58"/>
        <v>3</v>
      </c>
      <c r="FK61" s="14">
        <f t="shared" si="95"/>
        <v>11</v>
      </c>
      <c r="FL61" s="14">
        <f t="shared" si="96"/>
        <v>11</v>
      </c>
      <c r="FM61" s="14">
        <f t="shared" si="97"/>
        <v>8</v>
      </c>
      <c r="FN61" s="14">
        <f t="shared" si="98"/>
        <v>8</v>
      </c>
      <c r="FO61" s="14">
        <f t="shared" si="99"/>
        <v>5</v>
      </c>
      <c r="FP61" s="14">
        <f t="shared" si="100"/>
        <v>3</v>
      </c>
      <c r="FQ61" s="14">
        <f t="shared" si="59"/>
        <v>3</v>
      </c>
      <c r="FR61" s="14">
        <f t="shared" si="101"/>
        <v>12</v>
      </c>
      <c r="FS61" s="14">
        <f t="shared" si="102"/>
        <v>12</v>
      </c>
      <c r="FT61" s="14">
        <f t="shared" si="103"/>
        <v>9</v>
      </c>
      <c r="FU61" s="14">
        <f t="shared" si="104"/>
        <v>9</v>
      </c>
      <c r="FV61" s="14">
        <f t="shared" si="105"/>
        <v>6</v>
      </c>
      <c r="FW61" s="14">
        <f t="shared" si="106"/>
        <v>3</v>
      </c>
      <c r="FX61" s="14">
        <f t="shared" si="60"/>
        <v>4</v>
      </c>
      <c r="FY61" s="14">
        <f t="shared" si="107"/>
        <v>12</v>
      </c>
      <c r="FZ61" s="14">
        <f t="shared" si="108"/>
        <v>12</v>
      </c>
      <c r="GA61" s="14">
        <f t="shared" si="109"/>
        <v>9</v>
      </c>
      <c r="GB61" s="14">
        <f t="shared" si="110"/>
        <v>9</v>
      </c>
      <c r="GC61" s="14">
        <f t="shared" si="111"/>
        <v>6</v>
      </c>
      <c r="GD61" s="14">
        <f t="shared" si="112"/>
        <v>4</v>
      </c>
      <c r="GE61" s="14">
        <f t="shared" si="61"/>
        <v>2</v>
      </c>
      <c r="GF61" s="14">
        <f t="shared" si="113"/>
        <v>7</v>
      </c>
      <c r="GG61" s="14">
        <f t="shared" si="114"/>
        <v>7</v>
      </c>
      <c r="GH61" s="14">
        <f t="shared" si="115"/>
        <v>7</v>
      </c>
      <c r="GI61" s="14">
        <f t="shared" si="116"/>
        <v>4</v>
      </c>
      <c r="GJ61" s="14">
        <f t="shared" si="117"/>
        <v>4</v>
      </c>
      <c r="GK61" s="14">
        <f t="shared" si="118"/>
        <v>4</v>
      </c>
      <c r="GL61" s="14">
        <f t="shared" si="119"/>
        <v>2</v>
      </c>
      <c r="GM61" s="14">
        <f t="shared" si="120"/>
        <v>2</v>
      </c>
      <c r="GN61" s="14">
        <f t="shared" si="62"/>
        <v>5</v>
      </c>
      <c r="GO61" s="14">
        <f t="shared" si="121"/>
        <v>12</v>
      </c>
      <c r="GP61" s="14">
        <f t="shared" si="122"/>
        <v>12</v>
      </c>
      <c r="GQ61" s="14">
        <f t="shared" si="123"/>
        <v>12</v>
      </c>
      <c r="GR61" s="14">
        <f t="shared" si="124"/>
        <v>6</v>
      </c>
      <c r="GS61" s="14">
        <f t="shared" si="125"/>
        <v>6</v>
      </c>
      <c r="GT61" s="14">
        <f t="shared" si="126"/>
        <v>6</v>
      </c>
      <c r="GU61" s="14">
        <f t="shared" si="127"/>
        <v>5</v>
      </c>
      <c r="GV61" s="14">
        <f t="shared" si="128"/>
        <v>5</v>
      </c>
      <c r="GY61" s="91">
        <v>55</v>
      </c>
      <c r="GZ61" s="14">
        <f t="shared" si="63"/>
        <v>4</v>
      </c>
      <c r="HA61" s="14">
        <f t="shared" si="64"/>
        <v>2</v>
      </c>
      <c r="HB61" s="14">
        <f t="shared" si="65"/>
        <v>1</v>
      </c>
      <c r="HC61" s="14">
        <f t="shared" si="66"/>
        <v>0.3</v>
      </c>
      <c r="HD61" s="14">
        <f t="shared" si="67"/>
        <v>1606006</v>
      </c>
      <c r="HE61" s="14" t="str">
        <f t="shared" si="68"/>
        <v>神器2-1 : 10级</v>
      </c>
      <c r="HF61" s="14" t="s">
        <v>800</v>
      </c>
      <c r="HG61" s="14">
        <f t="shared" si="69"/>
        <v>10</v>
      </c>
      <c r="HH61" s="14" t="str">
        <f t="shared" si="70"/>
        <v>神器2-1</v>
      </c>
      <c r="HI61" s="14">
        <f t="shared" si="71"/>
        <v>5</v>
      </c>
      <c r="HJ61" s="14" t="s">
        <v>1595</v>
      </c>
      <c r="HK61" s="14">
        <f t="shared" si="72"/>
        <v>3950</v>
      </c>
    </row>
    <row r="62" spans="14:219" ht="16.5" x14ac:dyDescent="0.2">
      <c r="AO62" s="87">
        <v>3</v>
      </c>
      <c r="AP62" s="87">
        <v>3</v>
      </c>
      <c r="AQ62" s="87">
        <v>20</v>
      </c>
      <c r="AR62" s="144">
        <f t="shared" si="49"/>
        <v>4420</v>
      </c>
      <c r="AS62" s="144" t="s">
        <v>1223</v>
      </c>
      <c r="AT62" s="144" t="str">
        <f t="shared" si="50"/>
        <v>神器本-3-噩梦-4  神器3-5</v>
      </c>
      <c r="AU62" s="87">
        <v>13</v>
      </c>
      <c r="AV62" s="87" t="s">
        <v>319</v>
      </c>
      <c r="AW62" s="87">
        <v>2000</v>
      </c>
      <c r="AX62" s="87">
        <v>1</v>
      </c>
      <c r="AY62" s="87">
        <v>1</v>
      </c>
      <c r="AZ62" s="87">
        <f t="shared" si="51"/>
        <v>3</v>
      </c>
      <c r="BA62" s="14">
        <f t="shared" si="52"/>
        <v>0.2</v>
      </c>
      <c r="BB62" s="14">
        <f t="shared" si="53"/>
        <v>28</v>
      </c>
      <c r="BL62" s="87">
        <v>56</v>
      </c>
      <c r="BM62" s="14">
        <f>INDEX(节奏总表!$CK$4:$CK$63,新神器!BL62)</f>
        <v>146</v>
      </c>
      <c r="BN62" s="14">
        <f t="shared" si="55"/>
        <v>7</v>
      </c>
      <c r="BO62" s="87">
        <v>3</v>
      </c>
      <c r="BP62" s="87">
        <v>5</v>
      </c>
      <c r="BQ62" s="14">
        <f t="shared" si="133"/>
        <v>0</v>
      </c>
      <c r="BR62" s="14">
        <f t="shared" si="133"/>
        <v>0</v>
      </c>
      <c r="BS62" s="14">
        <f t="shared" si="133"/>
        <v>0</v>
      </c>
      <c r="BT62" s="14">
        <f t="shared" si="133"/>
        <v>0</v>
      </c>
      <c r="BU62" s="14">
        <f t="shared" si="133"/>
        <v>0</v>
      </c>
      <c r="BV62" s="14">
        <f t="shared" si="133"/>
        <v>0</v>
      </c>
      <c r="BW62" s="14">
        <f t="shared" si="133"/>
        <v>0</v>
      </c>
      <c r="BX62" s="14">
        <f t="shared" si="133"/>
        <v>0</v>
      </c>
      <c r="BY62" s="14">
        <f t="shared" si="133"/>
        <v>0.35000000000000003</v>
      </c>
      <c r="BZ62" s="14">
        <f t="shared" si="133"/>
        <v>0.35000000000000003</v>
      </c>
      <c r="CA62" s="14">
        <f t="shared" si="134"/>
        <v>0.20699999999999999</v>
      </c>
      <c r="CB62" s="14">
        <f t="shared" si="134"/>
        <v>0.20699999999999999</v>
      </c>
      <c r="CC62" s="14">
        <f t="shared" si="134"/>
        <v>0.13750000000000001</v>
      </c>
      <c r="CD62" s="14">
        <f t="shared" si="134"/>
        <v>6.9000000000000006E-2</v>
      </c>
      <c r="CE62" s="14">
        <f t="shared" si="134"/>
        <v>0.35000000000000003</v>
      </c>
      <c r="CF62" s="14">
        <f t="shared" si="134"/>
        <v>0.35000000000000003</v>
      </c>
      <c r="CG62" s="14">
        <f t="shared" si="134"/>
        <v>0.20699999999999999</v>
      </c>
      <c r="CH62" s="14">
        <f t="shared" si="134"/>
        <v>0.20699999999999999</v>
      </c>
      <c r="CI62" s="14">
        <f t="shared" si="134"/>
        <v>0.13750000000000001</v>
      </c>
      <c r="CJ62" s="14">
        <f t="shared" si="134"/>
        <v>6.9000000000000006E-2</v>
      </c>
      <c r="CK62" s="14">
        <f t="shared" si="135"/>
        <v>0.35000000000000003</v>
      </c>
      <c r="CL62" s="14">
        <f t="shared" si="135"/>
        <v>0.35000000000000003</v>
      </c>
      <c r="CM62" s="14">
        <f t="shared" si="135"/>
        <v>0.20699999999999999</v>
      </c>
      <c r="CN62" s="14">
        <f t="shared" si="135"/>
        <v>0.20699999999999999</v>
      </c>
      <c r="CO62" s="14">
        <f t="shared" si="135"/>
        <v>0.13750000000000001</v>
      </c>
      <c r="CP62" s="14">
        <f t="shared" si="135"/>
        <v>6.9499999999999992E-2</v>
      </c>
      <c r="CQ62" s="14">
        <f t="shared" si="135"/>
        <v>0.20799999999999999</v>
      </c>
      <c r="CR62" s="14">
        <f t="shared" si="135"/>
        <v>0.20799999999999999</v>
      </c>
      <c r="CS62" s="14">
        <f t="shared" si="135"/>
        <v>0.20799999999999999</v>
      </c>
      <c r="CT62" s="14">
        <f t="shared" si="135"/>
        <v>0.13800000000000001</v>
      </c>
      <c r="CU62" s="14">
        <f t="shared" si="136"/>
        <v>0.13800000000000001</v>
      </c>
      <c r="CV62" s="14">
        <f t="shared" si="136"/>
        <v>0.13800000000000001</v>
      </c>
      <c r="CW62" s="14">
        <f t="shared" si="136"/>
        <v>0</v>
      </c>
      <c r="CX62" s="14">
        <f t="shared" si="136"/>
        <v>0</v>
      </c>
      <c r="CY62" s="14">
        <f t="shared" si="136"/>
        <v>1.5</v>
      </c>
      <c r="CZ62" s="14">
        <f t="shared" si="136"/>
        <v>1.5</v>
      </c>
      <c r="DA62" s="14">
        <f t="shared" si="136"/>
        <v>1.5</v>
      </c>
      <c r="DB62" s="14">
        <f t="shared" si="136"/>
        <v>0.5</v>
      </c>
      <c r="DC62" s="14">
        <f t="shared" si="136"/>
        <v>0.5</v>
      </c>
      <c r="DD62" s="14">
        <f t="shared" si="136"/>
        <v>0.5</v>
      </c>
      <c r="DE62" s="14">
        <f t="shared" si="136"/>
        <v>0.375</v>
      </c>
      <c r="DF62" s="14">
        <f t="shared" si="136"/>
        <v>0.375</v>
      </c>
      <c r="DH62" s="14">
        <f>SUM(BQ$7:BQ62)</f>
        <v>35.749999999999993</v>
      </c>
      <c r="DI62" s="14">
        <f>SUM(BR$7:BR62)</f>
        <v>35.749999999999993</v>
      </c>
      <c r="DJ62" s="14">
        <f>SUM(BS$7:BS62)</f>
        <v>20.25</v>
      </c>
      <c r="DK62" s="14">
        <f>SUM(BT$7:BT62)</f>
        <v>36.25</v>
      </c>
      <c r="DL62" s="14">
        <f>SUM(BU$7:BU62)</f>
        <v>36.25</v>
      </c>
      <c r="DM62" s="14">
        <f>SUM(BV$7:BV62)</f>
        <v>20.625</v>
      </c>
      <c r="DN62" s="14">
        <f>SUM(BW$7:BW62)</f>
        <v>20.625</v>
      </c>
      <c r="DO62" s="14">
        <f>SUM(BX$7:BX62)</f>
        <v>13.75</v>
      </c>
      <c r="DP62" s="14">
        <f>SUM(BY$7:BY62)</f>
        <v>30.899000000000029</v>
      </c>
      <c r="DQ62" s="14">
        <f>SUM(BZ$7:BZ62)</f>
        <v>30.899000000000029</v>
      </c>
      <c r="DR62" s="14">
        <f>SUM(CA$7:CA62)</f>
        <v>16.968000000000018</v>
      </c>
      <c r="DS62" s="14">
        <f>SUM(CB$7:CB62)</f>
        <v>16.968000000000018</v>
      </c>
      <c r="DT62" s="14">
        <f>SUM(CC$7:CC62)</f>
        <v>8.7999999999999989</v>
      </c>
      <c r="DU62" s="14">
        <f>SUM(CD$7:CD62)</f>
        <v>4.1659999999999986</v>
      </c>
      <c r="DV62" s="14">
        <f>SUM(CE$7:CE62)</f>
        <v>35.899000000000029</v>
      </c>
      <c r="DW62" s="14">
        <f>SUM(CF$7:CF62)</f>
        <v>35.899000000000029</v>
      </c>
      <c r="DX62" s="14">
        <f>SUM(CG$7:CG62)</f>
        <v>19.593000000000018</v>
      </c>
      <c r="DY62" s="14">
        <f>SUM(CH$7:CH62)</f>
        <v>19.593000000000018</v>
      </c>
      <c r="DZ62" s="14">
        <f>SUM(CI$7:CI62)</f>
        <v>9.7999999999999918</v>
      </c>
      <c r="EA62" s="14">
        <f>SUM(CJ$7:CJ62)</f>
        <v>4.6539999999999999</v>
      </c>
      <c r="EB62" s="14">
        <f>SUM(CK$7:CK62)</f>
        <v>40.899000000000029</v>
      </c>
      <c r="EC62" s="14">
        <f>SUM(CL$7:CL62)</f>
        <v>40.899000000000029</v>
      </c>
      <c r="ED62" s="14">
        <f>SUM(CM$7:CM62)</f>
        <v>22.218000000000018</v>
      </c>
      <c r="EE62" s="14">
        <f>SUM(CN$7:CN62)</f>
        <v>22.218000000000018</v>
      </c>
      <c r="EF62" s="14">
        <f>SUM(CO$7:CO62)</f>
        <v>10.799999999999986</v>
      </c>
      <c r="EG62" s="14">
        <f>SUM(CP$7:CP62)</f>
        <v>5.1659999999999968</v>
      </c>
      <c r="EH62" s="14">
        <f>SUM(CQ$7:CQ62)</f>
        <v>13.992000000000004</v>
      </c>
      <c r="EI62" s="14">
        <f>SUM(CR$7:CR62)</f>
        <v>13.992000000000004</v>
      </c>
      <c r="EJ62" s="14">
        <f>SUM(CS$7:CS62)</f>
        <v>13.992000000000004</v>
      </c>
      <c r="EK62" s="14">
        <f>SUM(CT$7:CT62)</f>
        <v>6.3119999999999976</v>
      </c>
      <c r="EL62" s="14">
        <f>SUM(CU$7:CU62)</f>
        <v>6.3119999999999976</v>
      </c>
      <c r="EM62" s="14">
        <f>SUM(CV$7:CV62)</f>
        <v>6.3119999999999976</v>
      </c>
      <c r="EN62" s="14">
        <f>SUM(CW$7:CW62)</f>
        <v>2.25</v>
      </c>
      <c r="EO62" s="14">
        <f>SUM(CX$7:CX62)</f>
        <v>2.25</v>
      </c>
      <c r="EP62" s="14">
        <f>SUM(CY$7:CY62)</f>
        <v>36</v>
      </c>
      <c r="EQ62" s="14">
        <f>SUM(CZ$7:CZ62)</f>
        <v>36</v>
      </c>
      <c r="ER62" s="14">
        <f>SUM(DA$7:DA62)</f>
        <v>36</v>
      </c>
      <c r="ES62" s="14">
        <f>SUM(DB$7:DB62)</f>
        <v>12</v>
      </c>
      <c r="ET62" s="14">
        <f>SUM(DC$7:DC62)</f>
        <v>12</v>
      </c>
      <c r="EU62" s="14">
        <f>SUM(DD$7:DD62)</f>
        <v>12</v>
      </c>
      <c r="EV62" s="14">
        <f>SUM(DE$7:DE62)</f>
        <v>9</v>
      </c>
      <c r="EW62" s="14">
        <f>SUM(DF$7:DF62)</f>
        <v>9</v>
      </c>
      <c r="EZ62" s="14">
        <f t="shared" si="56"/>
        <v>9</v>
      </c>
      <c r="FA62" s="14">
        <f t="shared" si="87"/>
        <v>12</v>
      </c>
      <c r="FB62" s="14">
        <f t="shared" si="88"/>
        <v>12</v>
      </c>
      <c r="FC62" s="14">
        <f t="shared" si="89"/>
        <v>9</v>
      </c>
      <c r="FD62" s="14">
        <f t="shared" si="57"/>
        <v>7</v>
      </c>
      <c r="FE62" s="14">
        <f t="shared" si="90"/>
        <v>12</v>
      </c>
      <c r="FF62" s="14">
        <f t="shared" si="91"/>
        <v>12</v>
      </c>
      <c r="FG62" s="14">
        <f t="shared" si="92"/>
        <v>9</v>
      </c>
      <c r="FH62" s="14">
        <f t="shared" si="93"/>
        <v>9</v>
      </c>
      <c r="FI62" s="14">
        <f t="shared" si="94"/>
        <v>7</v>
      </c>
      <c r="FJ62" s="14">
        <f t="shared" si="58"/>
        <v>3</v>
      </c>
      <c r="FK62" s="14">
        <f t="shared" si="95"/>
        <v>11</v>
      </c>
      <c r="FL62" s="14">
        <f t="shared" si="96"/>
        <v>11</v>
      </c>
      <c r="FM62" s="14">
        <f t="shared" si="97"/>
        <v>8</v>
      </c>
      <c r="FN62" s="14">
        <f t="shared" si="98"/>
        <v>8</v>
      </c>
      <c r="FO62" s="14">
        <f t="shared" si="99"/>
        <v>5</v>
      </c>
      <c r="FP62" s="14">
        <f t="shared" si="100"/>
        <v>3</v>
      </c>
      <c r="FQ62" s="14">
        <f t="shared" si="59"/>
        <v>3</v>
      </c>
      <c r="FR62" s="14">
        <f t="shared" si="101"/>
        <v>12</v>
      </c>
      <c r="FS62" s="14">
        <f t="shared" si="102"/>
        <v>12</v>
      </c>
      <c r="FT62" s="14">
        <f t="shared" si="103"/>
        <v>9</v>
      </c>
      <c r="FU62" s="14">
        <f t="shared" si="104"/>
        <v>9</v>
      </c>
      <c r="FV62" s="14">
        <f t="shared" si="105"/>
        <v>6</v>
      </c>
      <c r="FW62" s="14">
        <f t="shared" si="106"/>
        <v>3</v>
      </c>
      <c r="FX62" s="14">
        <f t="shared" si="60"/>
        <v>4</v>
      </c>
      <c r="FY62" s="14">
        <f t="shared" si="107"/>
        <v>12</v>
      </c>
      <c r="FZ62" s="14">
        <f t="shared" si="108"/>
        <v>12</v>
      </c>
      <c r="GA62" s="14">
        <f t="shared" si="109"/>
        <v>9</v>
      </c>
      <c r="GB62" s="14">
        <f t="shared" si="110"/>
        <v>9</v>
      </c>
      <c r="GC62" s="14">
        <f t="shared" si="111"/>
        <v>6</v>
      </c>
      <c r="GD62" s="14">
        <f t="shared" si="112"/>
        <v>4</v>
      </c>
      <c r="GE62" s="14">
        <f t="shared" si="61"/>
        <v>2</v>
      </c>
      <c r="GF62" s="14">
        <f t="shared" si="113"/>
        <v>7</v>
      </c>
      <c r="GG62" s="14">
        <f t="shared" si="114"/>
        <v>7</v>
      </c>
      <c r="GH62" s="14">
        <f t="shared" si="115"/>
        <v>7</v>
      </c>
      <c r="GI62" s="14">
        <f t="shared" si="116"/>
        <v>4</v>
      </c>
      <c r="GJ62" s="14">
        <f t="shared" si="117"/>
        <v>4</v>
      </c>
      <c r="GK62" s="14">
        <f t="shared" si="118"/>
        <v>4</v>
      </c>
      <c r="GL62" s="14">
        <f t="shared" si="119"/>
        <v>2</v>
      </c>
      <c r="GM62" s="14">
        <f t="shared" si="120"/>
        <v>2</v>
      </c>
      <c r="GN62" s="14">
        <f t="shared" si="62"/>
        <v>6</v>
      </c>
      <c r="GO62" s="14">
        <f t="shared" si="121"/>
        <v>12</v>
      </c>
      <c r="GP62" s="14">
        <f t="shared" si="122"/>
        <v>12</v>
      </c>
      <c r="GQ62" s="14">
        <f t="shared" si="123"/>
        <v>12</v>
      </c>
      <c r="GR62" s="14">
        <f t="shared" si="124"/>
        <v>7</v>
      </c>
      <c r="GS62" s="14">
        <f t="shared" si="125"/>
        <v>7</v>
      </c>
      <c r="GT62" s="14">
        <f t="shared" si="126"/>
        <v>7</v>
      </c>
      <c r="GU62" s="14">
        <f t="shared" si="127"/>
        <v>6</v>
      </c>
      <c r="GV62" s="14">
        <f t="shared" si="128"/>
        <v>6</v>
      </c>
      <c r="GY62" s="91">
        <v>56</v>
      </c>
      <c r="GZ62" s="14">
        <f t="shared" si="63"/>
        <v>4</v>
      </c>
      <c r="HA62" s="14">
        <f t="shared" si="64"/>
        <v>2</v>
      </c>
      <c r="HB62" s="14">
        <f t="shared" si="65"/>
        <v>1</v>
      </c>
      <c r="HC62" s="14">
        <f t="shared" si="66"/>
        <v>0.307</v>
      </c>
      <c r="HD62" s="14">
        <f t="shared" si="67"/>
        <v>1606006</v>
      </c>
      <c r="HE62" s="14" t="str">
        <f t="shared" si="68"/>
        <v>神器2-1 : 11级</v>
      </c>
      <c r="HF62" s="14" t="s">
        <v>800</v>
      </c>
      <c r="HG62" s="14">
        <f t="shared" si="69"/>
        <v>11</v>
      </c>
      <c r="HH62" s="14" t="str">
        <f t="shared" si="70"/>
        <v>神器2-1</v>
      </c>
      <c r="HI62" s="14">
        <f t="shared" si="71"/>
        <v>5</v>
      </c>
      <c r="HJ62" s="14" t="s">
        <v>1595</v>
      </c>
      <c r="HK62" s="14">
        <f t="shared" si="72"/>
        <v>4050</v>
      </c>
    </row>
    <row r="63" spans="14:219" ht="16.5" x14ac:dyDescent="0.2">
      <c r="AO63" s="87">
        <v>3</v>
      </c>
      <c r="AP63" s="87">
        <v>3</v>
      </c>
      <c r="AQ63" s="87">
        <v>21</v>
      </c>
      <c r="AR63" s="144">
        <f t="shared" si="49"/>
        <v>4421</v>
      </c>
      <c r="AS63" s="144" t="s">
        <v>1224</v>
      </c>
      <c r="AT63" s="144" t="str">
        <f t="shared" si="50"/>
        <v>神器本-3-噩梦-5  神器3-6</v>
      </c>
      <c r="AU63" s="87">
        <v>14</v>
      </c>
      <c r="AV63" s="87" t="s">
        <v>320</v>
      </c>
      <c r="AW63" s="87">
        <v>1000</v>
      </c>
      <c r="AX63" s="87">
        <v>1</v>
      </c>
      <c r="AY63" s="87">
        <v>1</v>
      </c>
      <c r="AZ63" s="87">
        <f t="shared" si="51"/>
        <v>4</v>
      </c>
      <c r="BA63" s="14">
        <f t="shared" si="52"/>
        <v>0.1</v>
      </c>
      <c r="BB63" s="14">
        <f t="shared" si="53"/>
        <v>30</v>
      </c>
      <c r="BL63" s="87">
        <v>57</v>
      </c>
      <c r="BM63" s="14">
        <f>INDEX(节奏总表!$CK$4:$CK$63,新神器!BL63)</f>
        <v>147</v>
      </c>
      <c r="BN63" s="14">
        <f t="shared" si="55"/>
        <v>7</v>
      </c>
      <c r="BO63" s="87">
        <v>3</v>
      </c>
      <c r="BP63" s="87">
        <v>5</v>
      </c>
      <c r="BQ63" s="14">
        <f t="shared" si="133"/>
        <v>0</v>
      </c>
      <c r="BR63" s="14">
        <f t="shared" si="133"/>
        <v>0</v>
      </c>
      <c r="BS63" s="14">
        <f t="shared" si="133"/>
        <v>0</v>
      </c>
      <c r="BT63" s="14">
        <f t="shared" si="133"/>
        <v>0</v>
      </c>
      <c r="BU63" s="14">
        <f t="shared" si="133"/>
        <v>0</v>
      </c>
      <c r="BV63" s="14">
        <f t="shared" si="133"/>
        <v>0</v>
      </c>
      <c r="BW63" s="14">
        <f t="shared" si="133"/>
        <v>0</v>
      </c>
      <c r="BX63" s="14">
        <f t="shared" si="133"/>
        <v>0</v>
      </c>
      <c r="BY63" s="14">
        <f t="shared" si="133"/>
        <v>0.35000000000000003</v>
      </c>
      <c r="BZ63" s="14">
        <f t="shared" si="133"/>
        <v>0.35000000000000003</v>
      </c>
      <c r="CA63" s="14">
        <f t="shared" si="134"/>
        <v>0.20699999999999999</v>
      </c>
      <c r="CB63" s="14">
        <f t="shared" si="134"/>
        <v>0.20699999999999999</v>
      </c>
      <c r="CC63" s="14">
        <f t="shared" si="134"/>
        <v>0.13750000000000001</v>
      </c>
      <c r="CD63" s="14">
        <f t="shared" si="134"/>
        <v>6.9000000000000006E-2</v>
      </c>
      <c r="CE63" s="14">
        <f t="shared" si="134"/>
        <v>0.35000000000000003</v>
      </c>
      <c r="CF63" s="14">
        <f t="shared" si="134"/>
        <v>0.35000000000000003</v>
      </c>
      <c r="CG63" s="14">
        <f t="shared" si="134"/>
        <v>0.20699999999999999</v>
      </c>
      <c r="CH63" s="14">
        <f t="shared" si="134"/>
        <v>0.20699999999999999</v>
      </c>
      <c r="CI63" s="14">
        <f t="shared" si="134"/>
        <v>0.13750000000000001</v>
      </c>
      <c r="CJ63" s="14">
        <f t="shared" si="134"/>
        <v>6.9000000000000006E-2</v>
      </c>
      <c r="CK63" s="14">
        <f t="shared" si="135"/>
        <v>0.35000000000000003</v>
      </c>
      <c r="CL63" s="14">
        <f t="shared" si="135"/>
        <v>0.35000000000000003</v>
      </c>
      <c r="CM63" s="14">
        <f t="shared" si="135"/>
        <v>0.20699999999999999</v>
      </c>
      <c r="CN63" s="14">
        <f t="shared" si="135"/>
        <v>0.20699999999999999</v>
      </c>
      <c r="CO63" s="14">
        <f t="shared" si="135"/>
        <v>0.13750000000000001</v>
      </c>
      <c r="CP63" s="14">
        <f t="shared" si="135"/>
        <v>6.9499999999999992E-2</v>
      </c>
      <c r="CQ63" s="14">
        <f t="shared" si="135"/>
        <v>0.20799999999999999</v>
      </c>
      <c r="CR63" s="14">
        <f t="shared" si="135"/>
        <v>0.20799999999999999</v>
      </c>
      <c r="CS63" s="14">
        <f t="shared" si="135"/>
        <v>0.20799999999999999</v>
      </c>
      <c r="CT63" s="14">
        <f t="shared" si="135"/>
        <v>0.13800000000000001</v>
      </c>
      <c r="CU63" s="14">
        <f t="shared" si="136"/>
        <v>0.13800000000000001</v>
      </c>
      <c r="CV63" s="14">
        <f t="shared" si="136"/>
        <v>0.13800000000000001</v>
      </c>
      <c r="CW63" s="14">
        <f t="shared" si="136"/>
        <v>0</v>
      </c>
      <c r="CX63" s="14">
        <f t="shared" si="136"/>
        <v>0</v>
      </c>
      <c r="CY63" s="14">
        <f t="shared" si="136"/>
        <v>1.5</v>
      </c>
      <c r="CZ63" s="14">
        <f t="shared" si="136"/>
        <v>1.5</v>
      </c>
      <c r="DA63" s="14">
        <f t="shared" si="136"/>
        <v>1.5</v>
      </c>
      <c r="DB63" s="14">
        <f t="shared" si="136"/>
        <v>0.5</v>
      </c>
      <c r="DC63" s="14">
        <f t="shared" si="136"/>
        <v>0.5</v>
      </c>
      <c r="DD63" s="14">
        <f t="shared" si="136"/>
        <v>0.5</v>
      </c>
      <c r="DE63" s="14">
        <f t="shared" si="136"/>
        <v>0.375</v>
      </c>
      <c r="DF63" s="14">
        <f t="shared" si="136"/>
        <v>0.375</v>
      </c>
      <c r="DH63" s="14">
        <f>SUM(BQ$7:BQ63)</f>
        <v>35.749999999999993</v>
      </c>
      <c r="DI63" s="14">
        <f>SUM(BR$7:BR63)</f>
        <v>35.749999999999993</v>
      </c>
      <c r="DJ63" s="14">
        <f>SUM(BS$7:BS63)</f>
        <v>20.25</v>
      </c>
      <c r="DK63" s="14">
        <f>SUM(BT$7:BT63)</f>
        <v>36.25</v>
      </c>
      <c r="DL63" s="14">
        <f>SUM(BU$7:BU63)</f>
        <v>36.25</v>
      </c>
      <c r="DM63" s="14">
        <f>SUM(BV$7:BV63)</f>
        <v>20.625</v>
      </c>
      <c r="DN63" s="14">
        <f>SUM(BW$7:BW63)</f>
        <v>20.625</v>
      </c>
      <c r="DO63" s="14">
        <f>SUM(BX$7:BX63)</f>
        <v>13.75</v>
      </c>
      <c r="DP63" s="14">
        <f>SUM(BY$7:BY63)</f>
        <v>31.249000000000031</v>
      </c>
      <c r="DQ63" s="14">
        <f>SUM(BZ$7:BZ63)</f>
        <v>31.249000000000031</v>
      </c>
      <c r="DR63" s="14">
        <f>SUM(CA$7:CA63)</f>
        <v>17.175000000000018</v>
      </c>
      <c r="DS63" s="14">
        <f>SUM(CB$7:CB63)</f>
        <v>17.175000000000018</v>
      </c>
      <c r="DT63" s="14">
        <f>SUM(CC$7:CC63)</f>
        <v>8.9374999999999982</v>
      </c>
      <c r="DU63" s="14">
        <f>SUM(CD$7:CD63)</f>
        <v>4.2349999999999985</v>
      </c>
      <c r="DV63" s="14">
        <f>SUM(CE$7:CE63)</f>
        <v>36.249000000000031</v>
      </c>
      <c r="DW63" s="14">
        <f>SUM(CF$7:CF63)</f>
        <v>36.249000000000031</v>
      </c>
      <c r="DX63" s="14">
        <f>SUM(CG$7:CG63)</f>
        <v>19.800000000000018</v>
      </c>
      <c r="DY63" s="14">
        <f>SUM(CH$7:CH63)</f>
        <v>19.800000000000018</v>
      </c>
      <c r="DZ63" s="14">
        <f>SUM(CI$7:CI63)</f>
        <v>9.9374999999999911</v>
      </c>
      <c r="EA63" s="14">
        <f>SUM(CJ$7:CJ63)</f>
        <v>4.7229999999999999</v>
      </c>
      <c r="EB63" s="14">
        <f>SUM(CK$7:CK63)</f>
        <v>41.249000000000031</v>
      </c>
      <c r="EC63" s="14">
        <f>SUM(CL$7:CL63)</f>
        <v>41.249000000000031</v>
      </c>
      <c r="ED63" s="14">
        <f>SUM(CM$7:CM63)</f>
        <v>22.425000000000018</v>
      </c>
      <c r="EE63" s="14">
        <f>SUM(CN$7:CN63)</f>
        <v>22.425000000000018</v>
      </c>
      <c r="EF63" s="14">
        <f>SUM(CO$7:CO63)</f>
        <v>10.937499999999986</v>
      </c>
      <c r="EG63" s="14">
        <f>SUM(CP$7:CP63)</f>
        <v>5.2354999999999965</v>
      </c>
      <c r="EH63" s="14">
        <f>SUM(CQ$7:CQ63)</f>
        <v>14.200000000000005</v>
      </c>
      <c r="EI63" s="14">
        <f>SUM(CR$7:CR63)</f>
        <v>14.200000000000005</v>
      </c>
      <c r="EJ63" s="14">
        <f>SUM(CS$7:CS63)</f>
        <v>14.200000000000005</v>
      </c>
      <c r="EK63" s="14">
        <f>SUM(CT$7:CT63)</f>
        <v>6.4499999999999975</v>
      </c>
      <c r="EL63" s="14">
        <f>SUM(CU$7:CU63)</f>
        <v>6.4499999999999975</v>
      </c>
      <c r="EM63" s="14">
        <f>SUM(CV$7:CV63)</f>
        <v>6.4499999999999975</v>
      </c>
      <c r="EN63" s="14">
        <f>SUM(CW$7:CW63)</f>
        <v>2.25</v>
      </c>
      <c r="EO63" s="14">
        <f>SUM(CX$7:CX63)</f>
        <v>2.25</v>
      </c>
      <c r="EP63" s="14">
        <f>SUM(CY$7:CY63)</f>
        <v>37.5</v>
      </c>
      <c r="EQ63" s="14">
        <f>SUM(CZ$7:CZ63)</f>
        <v>37.5</v>
      </c>
      <c r="ER63" s="14">
        <f>SUM(DA$7:DA63)</f>
        <v>37.5</v>
      </c>
      <c r="ES63" s="14">
        <f>SUM(DB$7:DB63)</f>
        <v>12.5</v>
      </c>
      <c r="ET63" s="14">
        <f>SUM(DC$7:DC63)</f>
        <v>12.5</v>
      </c>
      <c r="EU63" s="14">
        <f>SUM(DD$7:DD63)</f>
        <v>12.5</v>
      </c>
      <c r="EV63" s="14">
        <f>SUM(DE$7:DE63)</f>
        <v>9.375</v>
      </c>
      <c r="EW63" s="14">
        <f>SUM(DF$7:DF63)</f>
        <v>9.375</v>
      </c>
      <c r="EZ63" s="14">
        <f t="shared" si="56"/>
        <v>9</v>
      </c>
      <c r="FA63" s="14">
        <f t="shared" si="87"/>
        <v>12</v>
      </c>
      <c r="FB63" s="14">
        <f t="shared" si="88"/>
        <v>12</v>
      </c>
      <c r="FC63" s="14">
        <f t="shared" si="89"/>
        <v>9</v>
      </c>
      <c r="FD63" s="14">
        <f t="shared" si="57"/>
        <v>7</v>
      </c>
      <c r="FE63" s="14">
        <f t="shared" si="90"/>
        <v>12</v>
      </c>
      <c r="FF63" s="14">
        <f t="shared" si="91"/>
        <v>12</v>
      </c>
      <c r="FG63" s="14">
        <f t="shared" si="92"/>
        <v>9</v>
      </c>
      <c r="FH63" s="14">
        <f t="shared" si="93"/>
        <v>9</v>
      </c>
      <c r="FI63" s="14">
        <f t="shared" si="94"/>
        <v>7</v>
      </c>
      <c r="FJ63" s="14">
        <f t="shared" si="58"/>
        <v>3</v>
      </c>
      <c r="FK63" s="14">
        <f t="shared" si="95"/>
        <v>11</v>
      </c>
      <c r="FL63" s="14">
        <f t="shared" si="96"/>
        <v>11</v>
      </c>
      <c r="FM63" s="14">
        <f t="shared" si="97"/>
        <v>8</v>
      </c>
      <c r="FN63" s="14">
        <f t="shared" si="98"/>
        <v>8</v>
      </c>
      <c r="FO63" s="14">
        <f t="shared" si="99"/>
        <v>5</v>
      </c>
      <c r="FP63" s="14">
        <f t="shared" si="100"/>
        <v>3</v>
      </c>
      <c r="FQ63" s="14">
        <f t="shared" si="59"/>
        <v>3</v>
      </c>
      <c r="FR63" s="14">
        <f t="shared" si="101"/>
        <v>12</v>
      </c>
      <c r="FS63" s="14">
        <f t="shared" si="102"/>
        <v>12</v>
      </c>
      <c r="FT63" s="14">
        <f t="shared" si="103"/>
        <v>9</v>
      </c>
      <c r="FU63" s="14">
        <f t="shared" si="104"/>
        <v>9</v>
      </c>
      <c r="FV63" s="14">
        <f t="shared" si="105"/>
        <v>6</v>
      </c>
      <c r="FW63" s="14">
        <f t="shared" si="106"/>
        <v>3</v>
      </c>
      <c r="FX63" s="14">
        <f t="shared" si="60"/>
        <v>4</v>
      </c>
      <c r="FY63" s="14">
        <f t="shared" si="107"/>
        <v>13</v>
      </c>
      <c r="FZ63" s="14">
        <f t="shared" si="108"/>
        <v>13</v>
      </c>
      <c r="GA63" s="14">
        <f t="shared" si="109"/>
        <v>9</v>
      </c>
      <c r="GB63" s="14">
        <f t="shared" si="110"/>
        <v>9</v>
      </c>
      <c r="GC63" s="14">
        <f t="shared" si="111"/>
        <v>6</v>
      </c>
      <c r="GD63" s="14">
        <f t="shared" si="112"/>
        <v>4</v>
      </c>
      <c r="GE63" s="14">
        <f t="shared" si="61"/>
        <v>2</v>
      </c>
      <c r="GF63" s="14">
        <f t="shared" si="113"/>
        <v>7</v>
      </c>
      <c r="GG63" s="14">
        <f t="shared" si="114"/>
        <v>7</v>
      </c>
      <c r="GH63" s="14">
        <f t="shared" si="115"/>
        <v>7</v>
      </c>
      <c r="GI63" s="14">
        <f t="shared" si="116"/>
        <v>4</v>
      </c>
      <c r="GJ63" s="14">
        <f t="shared" si="117"/>
        <v>4</v>
      </c>
      <c r="GK63" s="14">
        <f t="shared" si="118"/>
        <v>4</v>
      </c>
      <c r="GL63" s="14">
        <f t="shared" si="119"/>
        <v>2</v>
      </c>
      <c r="GM63" s="14">
        <f t="shared" si="120"/>
        <v>2</v>
      </c>
      <c r="GN63" s="14">
        <f t="shared" si="62"/>
        <v>6</v>
      </c>
      <c r="GO63" s="14">
        <f t="shared" si="121"/>
        <v>12</v>
      </c>
      <c r="GP63" s="14">
        <f t="shared" si="122"/>
        <v>12</v>
      </c>
      <c r="GQ63" s="14">
        <f t="shared" si="123"/>
        <v>12</v>
      </c>
      <c r="GR63" s="14">
        <f t="shared" si="124"/>
        <v>7</v>
      </c>
      <c r="GS63" s="14">
        <f t="shared" si="125"/>
        <v>7</v>
      </c>
      <c r="GT63" s="14">
        <f t="shared" si="126"/>
        <v>7</v>
      </c>
      <c r="GU63" s="14">
        <f t="shared" si="127"/>
        <v>6</v>
      </c>
      <c r="GV63" s="14">
        <f t="shared" si="128"/>
        <v>6</v>
      </c>
      <c r="GY63" s="91">
        <v>57</v>
      </c>
      <c r="GZ63" s="14">
        <f t="shared" si="63"/>
        <v>4</v>
      </c>
      <c r="HA63" s="14">
        <f t="shared" si="64"/>
        <v>2</v>
      </c>
      <c r="HB63" s="14">
        <f t="shared" si="65"/>
        <v>1</v>
      </c>
      <c r="HC63" s="14">
        <f t="shared" si="66"/>
        <v>0.313</v>
      </c>
      <c r="HD63" s="14">
        <f t="shared" si="67"/>
        <v>1606006</v>
      </c>
      <c r="HE63" s="14" t="str">
        <f t="shared" si="68"/>
        <v>神器2-1 : 12级</v>
      </c>
      <c r="HF63" s="14" t="s">
        <v>800</v>
      </c>
      <c r="HG63" s="14">
        <f t="shared" si="69"/>
        <v>12</v>
      </c>
      <c r="HH63" s="14" t="str">
        <f t="shared" si="70"/>
        <v>神器2-1</v>
      </c>
      <c r="HI63" s="14">
        <f t="shared" si="71"/>
        <v>6</v>
      </c>
      <c r="HJ63" s="14" t="s">
        <v>1595</v>
      </c>
      <c r="HK63" s="14">
        <f t="shared" si="72"/>
        <v>4100</v>
      </c>
    </row>
    <row r="64" spans="14:219" ht="16.5" x14ac:dyDescent="0.2">
      <c r="AO64" s="87">
        <v>4</v>
      </c>
      <c r="AP64" s="87">
        <v>1</v>
      </c>
      <c r="AQ64" s="87">
        <v>22</v>
      </c>
      <c r="AR64" s="144">
        <f t="shared" si="49"/>
        <v>4422</v>
      </c>
      <c r="AS64" s="144" t="s">
        <v>1225</v>
      </c>
      <c r="AT64" s="144" t="str">
        <f t="shared" si="50"/>
        <v>神器本-4-普通-1  神器1-1</v>
      </c>
      <c r="AU64" s="87">
        <v>1</v>
      </c>
      <c r="AV64" s="87" t="s">
        <v>307</v>
      </c>
      <c r="AW64" s="87">
        <v>1500</v>
      </c>
      <c r="AX64" s="87">
        <v>1</v>
      </c>
      <c r="AY64" s="87">
        <v>1</v>
      </c>
      <c r="AZ64" s="87">
        <f t="shared" si="51"/>
        <v>1</v>
      </c>
      <c r="BA64" s="14">
        <f t="shared" si="52"/>
        <v>0.15</v>
      </c>
      <c r="BB64" s="14">
        <f t="shared" si="53"/>
        <v>1.5</v>
      </c>
      <c r="BL64" s="87">
        <v>58</v>
      </c>
      <c r="BM64" s="14">
        <f>INDEX(节奏总表!$CK$4:$CK$63,新神器!BL64)</f>
        <v>147</v>
      </c>
      <c r="BN64" s="14">
        <f t="shared" si="55"/>
        <v>7</v>
      </c>
      <c r="BO64" s="87">
        <v>3</v>
      </c>
      <c r="BP64" s="87">
        <v>5</v>
      </c>
      <c r="BQ64" s="14">
        <f t="shared" si="133"/>
        <v>0</v>
      </c>
      <c r="BR64" s="14">
        <f t="shared" si="133"/>
        <v>0</v>
      </c>
      <c r="BS64" s="14">
        <f t="shared" si="133"/>
        <v>0</v>
      </c>
      <c r="BT64" s="14">
        <f t="shared" si="133"/>
        <v>0</v>
      </c>
      <c r="BU64" s="14">
        <f t="shared" si="133"/>
        <v>0</v>
      </c>
      <c r="BV64" s="14">
        <f t="shared" si="133"/>
        <v>0</v>
      </c>
      <c r="BW64" s="14">
        <f t="shared" si="133"/>
        <v>0</v>
      </c>
      <c r="BX64" s="14">
        <f t="shared" si="133"/>
        <v>0</v>
      </c>
      <c r="BY64" s="14">
        <f t="shared" si="133"/>
        <v>0.35000000000000003</v>
      </c>
      <c r="BZ64" s="14">
        <f t="shared" si="133"/>
        <v>0.35000000000000003</v>
      </c>
      <c r="CA64" s="14">
        <f t="shared" si="134"/>
        <v>0.20699999999999999</v>
      </c>
      <c r="CB64" s="14">
        <f t="shared" si="134"/>
        <v>0.20699999999999999</v>
      </c>
      <c r="CC64" s="14">
        <f t="shared" si="134"/>
        <v>0.13750000000000001</v>
      </c>
      <c r="CD64" s="14">
        <f t="shared" si="134"/>
        <v>6.9000000000000006E-2</v>
      </c>
      <c r="CE64" s="14">
        <f t="shared" si="134"/>
        <v>0.35000000000000003</v>
      </c>
      <c r="CF64" s="14">
        <f t="shared" si="134"/>
        <v>0.35000000000000003</v>
      </c>
      <c r="CG64" s="14">
        <f t="shared" si="134"/>
        <v>0.20699999999999999</v>
      </c>
      <c r="CH64" s="14">
        <f t="shared" si="134"/>
        <v>0.20699999999999999</v>
      </c>
      <c r="CI64" s="14">
        <f t="shared" si="134"/>
        <v>0.13750000000000001</v>
      </c>
      <c r="CJ64" s="14">
        <f t="shared" si="134"/>
        <v>6.9000000000000006E-2</v>
      </c>
      <c r="CK64" s="14">
        <f t="shared" si="135"/>
        <v>0.35000000000000003</v>
      </c>
      <c r="CL64" s="14">
        <f t="shared" si="135"/>
        <v>0.35000000000000003</v>
      </c>
      <c r="CM64" s="14">
        <f t="shared" si="135"/>
        <v>0.20699999999999999</v>
      </c>
      <c r="CN64" s="14">
        <f t="shared" si="135"/>
        <v>0.20699999999999999</v>
      </c>
      <c r="CO64" s="14">
        <f t="shared" si="135"/>
        <v>0.13750000000000001</v>
      </c>
      <c r="CP64" s="14">
        <f t="shared" si="135"/>
        <v>6.9499999999999992E-2</v>
      </c>
      <c r="CQ64" s="14">
        <f t="shared" si="135"/>
        <v>0.20799999999999999</v>
      </c>
      <c r="CR64" s="14">
        <f t="shared" si="135"/>
        <v>0.20799999999999999</v>
      </c>
      <c r="CS64" s="14">
        <f t="shared" si="135"/>
        <v>0.20799999999999999</v>
      </c>
      <c r="CT64" s="14">
        <f t="shared" si="135"/>
        <v>0.13800000000000001</v>
      </c>
      <c r="CU64" s="14">
        <f t="shared" si="136"/>
        <v>0.13800000000000001</v>
      </c>
      <c r="CV64" s="14">
        <f t="shared" si="136"/>
        <v>0.13800000000000001</v>
      </c>
      <c r="CW64" s="14">
        <f t="shared" si="136"/>
        <v>0</v>
      </c>
      <c r="CX64" s="14">
        <f t="shared" si="136"/>
        <v>0</v>
      </c>
      <c r="CY64" s="14">
        <f t="shared" si="136"/>
        <v>1.5</v>
      </c>
      <c r="CZ64" s="14">
        <f t="shared" si="136"/>
        <v>1.5</v>
      </c>
      <c r="DA64" s="14">
        <f t="shared" si="136"/>
        <v>1.5</v>
      </c>
      <c r="DB64" s="14">
        <f t="shared" si="136"/>
        <v>0.5</v>
      </c>
      <c r="DC64" s="14">
        <f t="shared" si="136"/>
        <v>0.5</v>
      </c>
      <c r="DD64" s="14">
        <f t="shared" si="136"/>
        <v>0.5</v>
      </c>
      <c r="DE64" s="14">
        <f t="shared" si="136"/>
        <v>0.375</v>
      </c>
      <c r="DF64" s="14">
        <f t="shared" si="136"/>
        <v>0.375</v>
      </c>
      <c r="DH64" s="14">
        <f>SUM(BQ$7:BQ64)</f>
        <v>35.749999999999993</v>
      </c>
      <c r="DI64" s="14">
        <f>SUM(BR$7:BR64)</f>
        <v>35.749999999999993</v>
      </c>
      <c r="DJ64" s="14">
        <f>SUM(BS$7:BS64)</f>
        <v>20.25</v>
      </c>
      <c r="DK64" s="14">
        <f>SUM(BT$7:BT64)</f>
        <v>36.25</v>
      </c>
      <c r="DL64" s="14">
        <f>SUM(BU$7:BU64)</f>
        <v>36.25</v>
      </c>
      <c r="DM64" s="14">
        <f>SUM(BV$7:BV64)</f>
        <v>20.625</v>
      </c>
      <c r="DN64" s="14">
        <f>SUM(BW$7:BW64)</f>
        <v>20.625</v>
      </c>
      <c r="DO64" s="14">
        <f>SUM(BX$7:BX64)</f>
        <v>13.75</v>
      </c>
      <c r="DP64" s="14">
        <f>SUM(BY$7:BY64)</f>
        <v>31.599000000000032</v>
      </c>
      <c r="DQ64" s="14">
        <f>SUM(BZ$7:BZ64)</f>
        <v>31.599000000000032</v>
      </c>
      <c r="DR64" s="14">
        <f>SUM(CA$7:CA64)</f>
        <v>17.382000000000019</v>
      </c>
      <c r="DS64" s="14">
        <f>SUM(CB$7:CB64)</f>
        <v>17.382000000000019</v>
      </c>
      <c r="DT64" s="14">
        <f>SUM(CC$7:CC64)</f>
        <v>9.0749999999999975</v>
      </c>
      <c r="DU64" s="14">
        <f>SUM(CD$7:CD64)</f>
        <v>4.3039999999999985</v>
      </c>
      <c r="DV64" s="14">
        <f>SUM(CE$7:CE64)</f>
        <v>36.599000000000032</v>
      </c>
      <c r="DW64" s="14">
        <f>SUM(CF$7:CF64)</f>
        <v>36.599000000000032</v>
      </c>
      <c r="DX64" s="14">
        <f>SUM(CG$7:CG64)</f>
        <v>20.007000000000019</v>
      </c>
      <c r="DY64" s="14">
        <f>SUM(CH$7:CH64)</f>
        <v>20.007000000000019</v>
      </c>
      <c r="DZ64" s="14">
        <f>SUM(CI$7:CI64)</f>
        <v>10.07499999999999</v>
      </c>
      <c r="EA64" s="14">
        <f>SUM(CJ$7:CJ64)</f>
        <v>4.7919999999999998</v>
      </c>
      <c r="EB64" s="14">
        <f>SUM(CK$7:CK64)</f>
        <v>41.599000000000032</v>
      </c>
      <c r="EC64" s="14">
        <f>SUM(CL$7:CL64)</f>
        <v>41.599000000000032</v>
      </c>
      <c r="ED64" s="14">
        <f>SUM(CM$7:CM64)</f>
        <v>22.632000000000019</v>
      </c>
      <c r="EE64" s="14">
        <f>SUM(CN$7:CN64)</f>
        <v>22.632000000000019</v>
      </c>
      <c r="EF64" s="14">
        <f>SUM(CO$7:CO64)</f>
        <v>11.074999999999985</v>
      </c>
      <c r="EG64" s="14">
        <f>SUM(CP$7:CP64)</f>
        <v>5.3049999999999962</v>
      </c>
      <c r="EH64" s="14">
        <f>SUM(CQ$7:CQ64)</f>
        <v>14.408000000000005</v>
      </c>
      <c r="EI64" s="14">
        <f>SUM(CR$7:CR64)</f>
        <v>14.408000000000005</v>
      </c>
      <c r="EJ64" s="14">
        <f>SUM(CS$7:CS64)</f>
        <v>14.408000000000005</v>
      </c>
      <c r="EK64" s="14">
        <f>SUM(CT$7:CT64)</f>
        <v>6.5879999999999974</v>
      </c>
      <c r="EL64" s="14">
        <f>SUM(CU$7:CU64)</f>
        <v>6.5879999999999974</v>
      </c>
      <c r="EM64" s="14">
        <f>SUM(CV$7:CV64)</f>
        <v>6.5879999999999974</v>
      </c>
      <c r="EN64" s="14">
        <f>SUM(CW$7:CW64)</f>
        <v>2.25</v>
      </c>
      <c r="EO64" s="14">
        <f>SUM(CX$7:CX64)</f>
        <v>2.25</v>
      </c>
      <c r="EP64" s="14">
        <f>SUM(CY$7:CY64)</f>
        <v>39</v>
      </c>
      <c r="EQ64" s="14">
        <f>SUM(CZ$7:CZ64)</f>
        <v>39</v>
      </c>
      <c r="ER64" s="14">
        <f>SUM(DA$7:DA64)</f>
        <v>39</v>
      </c>
      <c r="ES64" s="14">
        <f>SUM(DB$7:DB64)</f>
        <v>13</v>
      </c>
      <c r="ET64" s="14">
        <f>SUM(DC$7:DC64)</f>
        <v>13</v>
      </c>
      <c r="EU64" s="14">
        <f>SUM(DD$7:DD64)</f>
        <v>13</v>
      </c>
      <c r="EV64" s="14">
        <f>SUM(DE$7:DE64)</f>
        <v>9.75</v>
      </c>
      <c r="EW64" s="14">
        <f>SUM(DF$7:DF64)</f>
        <v>9.75</v>
      </c>
      <c r="EZ64" s="14">
        <f t="shared" si="56"/>
        <v>9</v>
      </c>
      <c r="FA64" s="14">
        <f t="shared" si="87"/>
        <v>12</v>
      </c>
      <c r="FB64" s="14">
        <f t="shared" si="88"/>
        <v>12</v>
      </c>
      <c r="FC64" s="14">
        <f t="shared" si="89"/>
        <v>9</v>
      </c>
      <c r="FD64" s="14">
        <f t="shared" si="57"/>
        <v>7</v>
      </c>
      <c r="FE64" s="14">
        <f t="shared" si="90"/>
        <v>12</v>
      </c>
      <c r="FF64" s="14">
        <f t="shared" si="91"/>
        <v>12</v>
      </c>
      <c r="FG64" s="14">
        <f t="shared" si="92"/>
        <v>9</v>
      </c>
      <c r="FH64" s="14">
        <f t="shared" si="93"/>
        <v>9</v>
      </c>
      <c r="FI64" s="14">
        <f t="shared" si="94"/>
        <v>7</v>
      </c>
      <c r="FJ64" s="14">
        <f t="shared" si="58"/>
        <v>3</v>
      </c>
      <c r="FK64" s="14">
        <f t="shared" si="95"/>
        <v>11</v>
      </c>
      <c r="FL64" s="14">
        <f t="shared" si="96"/>
        <v>11</v>
      </c>
      <c r="FM64" s="14">
        <f t="shared" si="97"/>
        <v>8</v>
      </c>
      <c r="FN64" s="14">
        <f t="shared" si="98"/>
        <v>8</v>
      </c>
      <c r="FO64" s="14">
        <f t="shared" si="99"/>
        <v>6</v>
      </c>
      <c r="FP64" s="14">
        <f t="shared" si="100"/>
        <v>3</v>
      </c>
      <c r="FQ64" s="14">
        <f t="shared" si="59"/>
        <v>3</v>
      </c>
      <c r="FR64" s="14">
        <f t="shared" si="101"/>
        <v>12</v>
      </c>
      <c r="FS64" s="14">
        <f t="shared" si="102"/>
        <v>12</v>
      </c>
      <c r="FT64" s="14">
        <f t="shared" si="103"/>
        <v>9</v>
      </c>
      <c r="FU64" s="14">
        <f t="shared" si="104"/>
        <v>9</v>
      </c>
      <c r="FV64" s="14">
        <f t="shared" si="105"/>
        <v>6</v>
      </c>
      <c r="FW64" s="14">
        <f t="shared" si="106"/>
        <v>3</v>
      </c>
      <c r="FX64" s="14">
        <f t="shared" si="60"/>
        <v>4</v>
      </c>
      <c r="FY64" s="14">
        <f t="shared" si="107"/>
        <v>13</v>
      </c>
      <c r="FZ64" s="14">
        <f t="shared" si="108"/>
        <v>13</v>
      </c>
      <c r="GA64" s="14">
        <f t="shared" si="109"/>
        <v>9</v>
      </c>
      <c r="GB64" s="14">
        <f t="shared" si="110"/>
        <v>9</v>
      </c>
      <c r="GC64" s="14">
        <f t="shared" si="111"/>
        <v>6</v>
      </c>
      <c r="GD64" s="14">
        <f t="shared" si="112"/>
        <v>4</v>
      </c>
      <c r="GE64" s="14">
        <f t="shared" si="61"/>
        <v>2</v>
      </c>
      <c r="GF64" s="14">
        <f t="shared" si="113"/>
        <v>7</v>
      </c>
      <c r="GG64" s="14">
        <f t="shared" si="114"/>
        <v>7</v>
      </c>
      <c r="GH64" s="14">
        <f t="shared" si="115"/>
        <v>7</v>
      </c>
      <c r="GI64" s="14">
        <f t="shared" si="116"/>
        <v>4</v>
      </c>
      <c r="GJ64" s="14">
        <f t="shared" si="117"/>
        <v>4</v>
      </c>
      <c r="GK64" s="14">
        <f t="shared" si="118"/>
        <v>4</v>
      </c>
      <c r="GL64" s="14">
        <f t="shared" si="119"/>
        <v>2</v>
      </c>
      <c r="GM64" s="14">
        <f t="shared" si="120"/>
        <v>2</v>
      </c>
      <c r="GN64" s="14">
        <f t="shared" si="62"/>
        <v>6</v>
      </c>
      <c r="GO64" s="14">
        <f t="shared" si="121"/>
        <v>12</v>
      </c>
      <c r="GP64" s="14">
        <f t="shared" si="122"/>
        <v>12</v>
      </c>
      <c r="GQ64" s="14">
        <f t="shared" si="123"/>
        <v>12</v>
      </c>
      <c r="GR64" s="14">
        <f t="shared" si="124"/>
        <v>7</v>
      </c>
      <c r="GS64" s="14">
        <f t="shared" si="125"/>
        <v>7</v>
      </c>
      <c r="GT64" s="14">
        <f t="shared" si="126"/>
        <v>7</v>
      </c>
      <c r="GU64" s="14">
        <f t="shared" si="127"/>
        <v>6</v>
      </c>
      <c r="GV64" s="14">
        <f t="shared" si="128"/>
        <v>6</v>
      </c>
      <c r="GY64" s="91">
        <v>58</v>
      </c>
      <c r="GZ64" s="14">
        <f t="shared" si="63"/>
        <v>4</v>
      </c>
      <c r="HA64" s="14">
        <f t="shared" si="64"/>
        <v>2</v>
      </c>
      <c r="HB64" s="14">
        <f t="shared" si="65"/>
        <v>1</v>
      </c>
      <c r="HC64" s="14">
        <f t="shared" si="66"/>
        <v>0.31900000000000001</v>
      </c>
      <c r="HD64" s="14">
        <f t="shared" si="67"/>
        <v>1606006</v>
      </c>
      <c r="HE64" s="14" t="str">
        <f t="shared" si="68"/>
        <v>神器2-1 : 13级</v>
      </c>
      <c r="HF64" s="14" t="s">
        <v>800</v>
      </c>
      <c r="HG64" s="14">
        <f t="shared" si="69"/>
        <v>13</v>
      </c>
      <c r="HH64" s="14" t="str">
        <f t="shared" si="70"/>
        <v>神器2-1</v>
      </c>
      <c r="HI64" s="14">
        <f t="shared" si="71"/>
        <v>7</v>
      </c>
      <c r="HJ64" s="14" t="s">
        <v>1595</v>
      </c>
      <c r="HK64" s="14">
        <f t="shared" si="72"/>
        <v>4200</v>
      </c>
    </row>
    <row r="65" spans="41:219" ht="16.5" x14ac:dyDescent="0.2">
      <c r="AO65" s="87">
        <v>4</v>
      </c>
      <c r="AP65" s="87">
        <v>1</v>
      </c>
      <c r="AQ65" s="87">
        <v>22</v>
      </c>
      <c r="AR65" s="144">
        <f t="shared" si="49"/>
        <v>4422</v>
      </c>
      <c r="AS65" s="144" t="s">
        <v>1225</v>
      </c>
      <c r="AT65" s="144" t="str">
        <f t="shared" si="50"/>
        <v>神器本-4-普通-1  神器1-2</v>
      </c>
      <c r="AU65" s="87">
        <v>2</v>
      </c>
      <c r="AV65" s="87" t="s">
        <v>308</v>
      </c>
      <c r="AW65" s="87">
        <v>1500</v>
      </c>
      <c r="AX65" s="87">
        <v>1</v>
      </c>
      <c r="AY65" s="87">
        <v>1</v>
      </c>
      <c r="AZ65" s="87">
        <f t="shared" si="51"/>
        <v>1</v>
      </c>
      <c r="BA65" s="14">
        <f t="shared" si="52"/>
        <v>0.15</v>
      </c>
      <c r="BB65" s="14">
        <f t="shared" si="53"/>
        <v>1.5</v>
      </c>
      <c r="BL65" s="87">
        <v>59</v>
      </c>
      <c r="BM65" s="14">
        <f>INDEX(节奏总表!$CK$4:$CK$63,新神器!BL65)</f>
        <v>148</v>
      </c>
      <c r="BN65" s="14">
        <f t="shared" si="55"/>
        <v>7</v>
      </c>
      <c r="BO65" s="87">
        <v>3</v>
      </c>
      <c r="BP65" s="87">
        <v>5</v>
      </c>
      <c r="BQ65" s="14">
        <f t="shared" si="133"/>
        <v>0</v>
      </c>
      <c r="BR65" s="14">
        <f t="shared" si="133"/>
        <v>0</v>
      </c>
      <c r="BS65" s="14">
        <f t="shared" si="133"/>
        <v>0</v>
      </c>
      <c r="BT65" s="14">
        <f t="shared" si="133"/>
        <v>0</v>
      </c>
      <c r="BU65" s="14">
        <f t="shared" si="133"/>
        <v>0</v>
      </c>
      <c r="BV65" s="14">
        <f t="shared" si="133"/>
        <v>0</v>
      </c>
      <c r="BW65" s="14">
        <f t="shared" si="133"/>
        <v>0</v>
      </c>
      <c r="BX65" s="14">
        <f t="shared" si="133"/>
        <v>0</v>
      </c>
      <c r="BY65" s="14">
        <f t="shared" si="133"/>
        <v>0.35000000000000003</v>
      </c>
      <c r="BZ65" s="14">
        <f t="shared" si="133"/>
        <v>0.35000000000000003</v>
      </c>
      <c r="CA65" s="14">
        <f t="shared" si="134"/>
        <v>0.20699999999999999</v>
      </c>
      <c r="CB65" s="14">
        <f t="shared" si="134"/>
        <v>0.20699999999999999</v>
      </c>
      <c r="CC65" s="14">
        <f t="shared" si="134"/>
        <v>0.13750000000000001</v>
      </c>
      <c r="CD65" s="14">
        <f t="shared" si="134"/>
        <v>6.9000000000000006E-2</v>
      </c>
      <c r="CE65" s="14">
        <f t="shared" si="134"/>
        <v>0.35000000000000003</v>
      </c>
      <c r="CF65" s="14">
        <f t="shared" si="134"/>
        <v>0.35000000000000003</v>
      </c>
      <c r="CG65" s="14">
        <f t="shared" si="134"/>
        <v>0.20699999999999999</v>
      </c>
      <c r="CH65" s="14">
        <f t="shared" si="134"/>
        <v>0.20699999999999999</v>
      </c>
      <c r="CI65" s="14">
        <f t="shared" si="134"/>
        <v>0.13750000000000001</v>
      </c>
      <c r="CJ65" s="14">
        <f t="shared" si="134"/>
        <v>6.9000000000000006E-2</v>
      </c>
      <c r="CK65" s="14">
        <f t="shared" si="135"/>
        <v>0.35000000000000003</v>
      </c>
      <c r="CL65" s="14">
        <f t="shared" si="135"/>
        <v>0.35000000000000003</v>
      </c>
      <c r="CM65" s="14">
        <f t="shared" si="135"/>
        <v>0.20699999999999999</v>
      </c>
      <c r="CN65" s="14">
        <f t="shared" si="135"/>
        <v>0.20699999999999999</v>
      </c>
      <c r="CO65" s="14">
        <f t="shared" si="135"/>
        <v>0.13750000000000001</v>
      </c>
      <c r="CP65" s="14">
        <f t="shared" si="135"/>
        <v>6.9499999999999992E-2</v>
      </c>
      <c r="CQ65" s="14">
        <f t="shared" si="135"/>
        <v>0.20799999999999999</v>
      </c>
      <c r="CR65" s="14">
        <f t="shared" si="135"/>
        <v>0.20799999999999999</v>
      </c>
      <c r="CS65" s="14">
        <f t="shared" si="135"/>
        <v>0.20799999999999999</v>
      </c>
      <c r="CT65" s="14">
        <f t="shared" si="135"/>
        <v>0.13800000000000001</v>
      </c>
      <c r="CU65" s="14">
        <f t="shared" si="136"/>
        <v>0.13800000000000001</v>
      </c>
      <c r="CV65" s="14">
        <f t="shared" si="136"/>
        <v>0.13800000000000001</v>
      </c>
      <c r="CW65" s="14">
        <f t="shared" si="136"/>
        <v>0</v>
      </c>
      <c r="CX65" s="14">
        <f t="shared" si="136"/>
        <v>0</v>
      </c>
      <c r="CY65" s="14">
        <f t="shared" si="136"/>
        <v>1.5</v>
      </c>
      <c r="CZ65" s="14">
        <f t="shared" si="136"/>
        <v>1.5</v>
      </c>
      <c r="DA65" s="14">
        <f t="shared" si="136"/>
        <v>1.5</v>
      </c>
      <c r="DB65" s="14">
        <f t="shared" si="136"/>
        <v>0.5</v>
      </c>
      <c r="DC65" s="14">
        <f t="shared" si="136"/>
        <v>0.5</v>
      </c>
      <c r="DD65" s="14">
        <f t="shared" si="136"/>
        <v>0.5</v>
      </c>
      <c r="DE65" s="14">
        <f t="shared" si="136"/>
        <v>0.375</v>
      </c>
      <c r="DF65" s="14">
        <f t="shared" si="136"/>
        <v>0.375</v>
      </c>
      <c r="DH65" s="14">
        <f>SUM(BQ$7:BQ65)</f>
        <v>35.749999999999993</v>
      </c>
      <c r="DI65" s="14">
        <f>SUM(BR$7:BR65)</f>
        <v>35.749999999999993</v>
      </c>
      <c r="DJ65" s="14">
        <f>SUM(BS$7:BS65)</f>
        <v>20.25</v>
      </c>
      <c r="DK65" s="14">
        <f>SUM(BT$7:BT65)</f>
        <v>36.25</v>
      </c>
      <c r="DL65" s="14">
        <f>SUM(BU$7:BU65)</f>
        <v>36.25</v>
      </c>
      <c r="DM65" s="14">
        <f>SUM(BV$7:BV65)</f>
        <v>20.625</v>
      </c>
      <c r="DN65" s="14">
        <f>SUM(BW$7:BW65)</f>
        <v>20.625</v>
      </c>
      <c r="DO65" s="14">
        <f>SUM(BX$7:BX65)</f>
        <v>13.75</v>
      </c>
      <c r="DP65" s="14">
        <f>SUM(BY$7:BY65)</f>
        <v>31.949000000000034</v>
      </c>
      <c r="DQ65" s="14">
        <f>SUM(BZ$7:BZ65)</f>
        <v>31.949000000000034</v>
      </c>
      <c r="DR65" s="14">
        <f>SUM(CA$7:CA65)</f>
        <v>17.58900000000002</v>
      </c>
      <c r="DS65" s="14">
        <f>SUM(CB$7:CB65)</f>
        <v>17.58900000000002</v>
      </c>
      <c r="DT65" s="14">
        <f>SUM(CC$7:CC65)</f>
        <v>9.2124999999999968</v>
      </c>
      <c r="DU65" s="14">
        <f>SUM(CD$7:CD65)</f>
        <v>4.3729999999999984</v>
      </c>
      <c r="DV65" s="14">
        <f>SUM(CE$7:CE65)</f>
        <v>36.949000000000034</v>
      </c>
      <c r="DW65" s="14">
        <f>SUM(CF$7:CF65)</f>
        <v>36.949000000000034</v>
      </c>
      <c r="DX65" s="14">
        <f>SUM(CG$7:CG65)</f>
        <v>20.21400000000002</v>
      </c>
      <c r="DY65" s="14">
        <f>SUM(CH$7:CH65)</f>
        <v>20.21400000000002</v>
      </c>
      <c r="DZ65" s="14">
        <f>SUM(CI$7:CI65)</f>
        <v>10.21249999999999</v>
      </c>
      <c r="EA65" s="14">
        <f>SUM(CJ$7:CJ65)</f>
        <v>4.8609999999999998</v>
      </c>
      <c r="EB65" s="14">
        <f>SUM(CK$7:CK65)</f>
        <v>41.949000000000034</v>
      </c>
      <c r="EC65" s="14">
        <f>SUM(CL$7:CL65)</f>
        <v>41.949000000000034</v>
      </c>
      <c r="ED65" s="14">
        <f>SUM(CM$7:CM65)</f>
        <v>22.83900000000002</v>
      </c>
      <c r="EE65" s="14">
        <f>SUM(CN$7:CN65)</f>
        <v>22.83900000000002</v>
      </c>
      <c r="EF65" s="14">
        <f>SUM(CO$7:CO65)</f>
        <v>11.212499999999984</v>
      </c>
      <c r="EG65" s="14">
        <f>SUM(CP$7:CP65)</f>
        <v>5.3744999999999958</v>
      </c>
      <c r="EH65" s="14">
        <f>SUM(CQ$7:CQ65)</f>
        <v>14.616000000000005</v>
      </c>
      <c r="EI65" s="14">
        <f>SUM(CR$7:CR65)</f>
        <v>14.616000000000005</v>
      </c>
      <c r="EJ65" s="14">
        <f>SUM(CS$7:CS65)</f>
        <v>14.616000000000005</v>
      </c>
      <c r="EK65" s="14">
        <f>SUM(CT$7:CT65)</f>
        <v>6.7259999999999973</v>
      </c>
      <c r="EL65" s="14">
        <f>SUM(CU$7:CU65)</f>
        <v>6.7259999999999973</v>
      </c>
      <c r="EM65" s="14">
        <f>SUM(CV$7:CV65)</f>
        <v>6.7259999999999973</v>
      </c>
      <c r="EN65" s="14">
        <f>SUM(CW$7:CW65)</f>
        <v>2.25</v>
      </c>
      <c r="EO65" s="14">
        <f>SUM(CX$7:CX65)</f>
        <v>2.25</v>
      </c>
      <c r="EP65" s="14">
        <f>SUM(CY$7:CY65)</f>
        <v>40.5</v>
      </c>
      <c r="EQ65" s="14">
        <f>SUM(CZ$7:CZ65)</f>
        <v>40.5</v>
      </c>
      <c r="ER65" s="14">
        <f>SUM(DA$7:DA65)</f>
        <v>40.5</v>
      </c>
      <c r="ES65" s="14">
        <f>SUM(DB$7:DB65)</f>
        <v>13.5</v>
      </c>
      <c r="ET65" s="14">
        <f>SUM(DC$7:DC65)</f>
        <v>13.5</v>
      </c>
      <c r="EU65" s="14">
        <f>SUM(DD$7:DD65)</f>
        <v>13.5</v>
      </c>
      <c r="EV65" s="14">
        <f>SUM(DE$7:DE65)</f>
        <v>10.125</v>
      </c>
      <c r="EW65" s="14">
        <f>SUM(DF$7:DF65)</f>
        <v>10.125</v>
      </c>
      <c r="EZ65" s="14">
        <f t="shared" si="56"/>
        <v>9</v>
      </c>
      <c r="FA65" s="14">
        <f t="shared" si="87"/>
        <v>12</v>
      </c>
      <c r="FB65" s="14">
        <f t="shared" si="88"/>
        <v>12</v>
      </c>
      <c r="FC65" s="14">
        <f t="shared" si="89"/>
        <v>9</v>
      </c>
      <c r="FD65" s="14">
        <f t="shared" si="57"/>
        <v>7</v>
      </c>
      <c r="FE65" s="14">
        <f t="shared" si="90"/>
        <v>12</v>
      </c>
      <c r="FF65" s="14">
        <f t="shared" si="91"/>
        <v>12</v>
      </c>
      <c r="FG65" s="14">
        <f t="shared" si="92"/>
        <v>9</v>
      </c>
      <c r="FH65" s="14">
        <f t="shared" si="93"/>
        <v>9</v>
      </c>
      <c r="FI65" s="14">
        <f t="shared" si="94"/>
        <v>7</v>
      </c>
      <c r="FJ65" s="14">
        <f t="shared" si="58"/>
        <v>3</v>
      </c>
      <c r="FK65" s="14">
        <f t="shared" si="95"/>
        <v>11</v>
      </c>
      <c r="FL65" s="14">
        <f t="shared" si="96"/>
        <v>11</v>
      </c>
      <c r="FM65" s="14">
        <f t="shared" si="97"/>
        <v>8</v>
      </c>
      <c r="FN65" s="14">
        <f t="shared" si="98"/>
        <v>8</v>
      </c>
      <c r="FO65" s="14">
        <f t="shared" si="99"/>
        <v>6</v>
      </c>
      <c r="FP65" s="14">
        <f t="shared" si="100"/>
        <v>3</v>
      </c>
      <c r="FQ65" s="14">
        <f t="shared" si="59"/>
        <v>3</v>
      </c>
      <c r="FR65" s="14">
        <f t="shared" si="101"/>
        <v>12</v>
      </c>
      <c r="FS65" s="14">
        <f t="shared" si="102"/>
        <v>12</v>
      </c>
      <c r="FT65" s="14">
        <f t="shared" si="103"/>
        <v>9</v>
      </c>
      <c r="FU65" s="14">
        <f t="shared" si="104"/>
        <v>9</v>
      </c>
      <c r="FV65" s="14">
        <f t="shared" si="105"/>
        <v>6</v>
      </c>
      <c r="FW65" s="14">
        <f t="shared" si="106"/>
        <v>3</v>
      </c>
      <c r="FX65" s="14">
        <f t="shared" si="60"/>
        <v>4</v>
      </c>
      <c r="FY65" s="14">
        <f t="shared" si="107"/>
        <v>13</v>
      </c>
      <c r="FZ65" s="14">
        <f t="shared" si="108"/>
        <v>13</v>
      </c>
      <c r="GA65" s="14">
        <f t="shared" si="109"/>
        <v>9</v>
      </c>
      <c r="GB65" s="14">
        <f t="shared" si="110"/>
        <v>9</v>
      </c>
      <c r="GC65" s="14">
        <f t="shared" si="111"/>
        <v>6</v>
      </c>
      <c r="GD65" s="14">
        <f t="shared" si="112"/>
        <v>4</v>
      </c>
      <c r="GE65" s="14">
        <f t="shared" si="61"/>
        <v>2</v>
      </c>
      <c r="GF65" s="14">
        <f t="shared" si="113"/>
        <v>7</v>
      </c>
      <c r="GG65" s="14">
        <f t="shared" si="114"/>
        <v>7</v>
      </c>
      <c r="GH65" s="14">
        <f t="shared" si="115"/>
        <v>7</v>
      </c>
      <c r="GI65" s="14">
        <f t="shared" si="116"/>
        <v>4</v>
      </c>
      <c r="GJ65" s="14">
        <f t="shared" si="117"/>
        <v>4</v>
      </c>
      <c r="GK65" s="14">
        <f t="shared" si="118"/>
        <v>4</v>
      </c>
      <c r="GL65" s="14">
        <f t="shared" si="119"/>
        <v>2</v>
      </c>
      <c r="GM65" s="14">
        <f t="shared" si="120"/>
        <v>2</v>
      </c>
      <c r="GN65" s="14">
        <f t="shared" si="62"/>
        <v>6</v>
      </c>
      <c r="GO65" s="14">
        <f t="shared" si="121"/>
        <v>12</v>
      </c>
      <c r="GP65" s="14">
        <f t="shared" si="122"/>
        <v>12</v>
      </c>
      <c r="GQ65" s="14">
        <f t="shared" si="123"/>
        <v>12</v>
      </c>
      <c r="GR65" s="14">
        <f t="shared" si="124"/>
        <v>7</v>
      </c>
      <c r="GS65" s="14">
        <f t="shared" si="125"/>
        <v>7</v>
      </c>
      <c r="GT65" s="14">
        <f t="shared" si="126"/>
        <v>7</v>
      </c>
      <c r="GU65" s="14">
        <f t="shared" si="127"/>
        <v>6</v>
      </c>
      <c r="GV65" s="14">
        <f t="shared" si="128"/>
        <v>6</v>
      </c>
      <c r="GY65" s="91">
        <v>59</v>
      </c>
      <c r="GZ65" s="14">
        <f t="shared" si="63"/>
        <v>4</v>
      </c>
      <c r="HA65" s="14">
        <f t="shared" si="64"/>
        <v>2</v>
      </c>
      <c r="HB65" s="14">
        <f t="shared" si="65"/>
        <v>1</v>
      </c>
      <c r="HC65" s="14">
        <f t="shared" si="66"/>
        <v>0.32600000000000001</v>
      </c>
      <c r="HD65" s="14">
        <f t="shared" si="67"/>
        <v>1606006</v>
      </c>
      <c r="HE65" s="14" t="str">
        <f t="shared" si="68"/>
        <v>神器2-1 : 14级</v>
      </c>
      <c r="HF65" s="14" t="s">
        <v>800</v>
      </c>
      <c r="HG65" s="14">
        <f t="shared" si="69"/>
        <v>14</v>
      </c>
      <c r="HH65" s="14" t="str">
        <f t="shared" si="70"/>
        <v>神器2-1</v>
      </c>
      <c r="HI65" s="14">
        <f t="shared" si="71"/>
        <v>7</v>
      </c>
      <c r="HJ65" s="14" t="s">
        <v>1595</v>
      </c>
      <c r="HK65" s="14">
        <f t="shared" si="72"/>
        <v>4300</v>
      </c>
    </row>
    <row r="66" spans="41:219" ht="16.5" x14ac:dyDescent="0.2">
      <c r="AO66" s="87">
        <v>4</v>
      </c>
      <c r="AP66" s="87">
        <v>1</v>
      </c>
      <c r="AQ66" s="87">
        <v>22</v>
      </c>
      <c r="AR66" s="144">
        <f t="shared" si="49"/>
        <v>4422</v>
      </c>
      <c r="AS66" s="144" t="s">
        <v>1225</v>
      </c>
      <c r="AT66" s="144" t="str">
        <f t="shared" si="50"/>
        <v>神器本-4-普通-1  神器1-3</v>
      </c>
      <c r="AU66" s="87">
        <v>3</v>
      </c>
      <c r="AV66" s="87" t="s">
        <v>309</v>
      </c>
      <c r="AW66" s="87">
        <v>1000</v>
      </c>
      <c r="AX66" s="87">
        <v>1</v>
      </c>
      <c r="AY66" s="87">
        <v>1</v>
      </c>
      <c r="AZ66" s="87">
        <f t="shared" si="51"/>
        <v>2</v>
      </c>
      <c r="BA66" s="14">
        <f t="shared" si="52"/>
        <v>0.1</v>
      </c>
      <c r="BB66" s="14">
        <f t="shared" si="53"/>
        <v>3</v>
      </c>
      <c r="BL66" s="87">
        <v>60</v>
      </c>
      <c r="BM66" s="14">
        <f>INDEX(节奏总表!$CK$4:$CK$63,新神器!BL66)</f>
        <v>148</v>
      </c>
      <c r="BN66" s="14">
        <f t="shared" si="55"/>
        <v>7</v>
      </c>
      <c r="BO66" s="87">
        <v>3</v>
      </c>
      <c r="BP66" s="87">
        <v>5</v>
      </c>
      <c r="BQ66" s="14">
        <f t="shared" si="133"/>
        <v>0</v>
      </c>
      <c r="BR66" s="14">
        <f t="shared" si="133"/>
        <v>0</v>
      </c>
      <c r="BS66" s="14">
        <f t="shared" si="133"/>
        <v>0</v>
      </c>
      <c r="BT66" s="14">
        <f t="shared" si="133"/>
        <v>0</v>
      </c>
      <c r="BU66" s="14">
        <f t="shared" si="133"/>
        <v>0</v>
      </c>
      <c r="BV66" s="14">
        <f t="shared" si="133"/>
        <v>0</v>
      </c>
      <c r="BW66" s="14">
        <f t="shared" si="133"/>
        <v>0</v>
      </c>
      <c r="BX66" s="14">
        <f t="shared" si="133"/>
        <v>0</v>
      </c>
      <c r="BY66" s="14">
        <f t="shared" si="133"/>
        <v>0.35000000000000003</v>
      </c>
      <c r="BZ66" s="14">
        <f t="shared" si="133"/>
        <v>0.35000000000000003</v>
      </c>
      <c r="CA66" s="14">
        <f t="shared" si="134"/>
        <v>0.20699999999999999</v>
      </c>
      <c r="CB66" s="14">
        <f t="shared" si="134"/>
        <v>0.20699999999999999</v>
      </c>
      <c r="CC66" s="14">
        <f t="shared" si="134"/>
        <v>0.13750000000000001</v>
      </c>
      <c r="CD66" s="14">
        <f t="shared" si="134"/>
        <v>6.9000000000000006E-2</v>
      </c>
      <c r="CE66" s="14">
        <f t="shared" si="134"/>
        <v>0.35000000000000003</v>
      </c>
      <c r="CF66" s="14">
        <f t="shared" si="134"/>
        <v>0.35000000000000003</v>
      </c>
      <c r="CG66" s="14">
        <f t="shared" si="134"/>
        <v>0.20699999999999999</v>
      </c>
      <c r="CH66" s="14">
        <f t="shared" si="134"/>
        <v>0.20699999999999999</v>
      </c>
      <c r="CI66" s="14">
        <f t="shared" si="134"/>
        <v>0.13750000000000001</v>
      </c>
      <c r="CJ66" s="14">
        <f t="shared" si="134"/>
        <v>6.9000000000000006E-2</v>
      </c>
      <c r="CK66" s="14">
        <f t="shared" si="135"/>
        <v>0.35000000000000003</v>
      </c>
      <c r="CL66" s="14">
        <f t="shared" si="135"/>
        <v>0.35000000000000003</v>
      </c>
      <c r="CM66" s="14">
        <f t="shared" si="135"/>
        <v>0.20699999999999999</v>
      </c>
      <c r="CN66" s="14">
        <f t="shared" si="135"/>
        <v>0.20699999999999999</v>
      </c>
      <c r="CO66" s="14">
        <f t="shared" si="135"/>
        <v>0.13750000000000001</v>
      </c>
      <c r="CP66" s="14">
        <f t="shared" si="135"/>
        <v>6.9499999999999992E-2</v>
      </c>
      <c r="CQ66" s="14">
        <f t="shared" si="135"/>
        <v>0.20799999999999999</v>
      </c>
      <c r="CR66" s="14">
        <f t="shared" si="135"/>
        <v>0.20799999999999999</v>
      </c>
      <c r="CS66" s="14">
        <f t="shared" si="135"/>
        <v>0.20799999999999999</v>
      </c>
      <c r="CT66" s="14">
        <f t="shared" si="135"/>
        <v>0.13800000000000001</v>
      </c>
      <c r="CU66" s="14">
        <f t="shared" si="136"/>
        <v>0.13800000000000001</v>
      </c>
      <c r="CV66" s="14">
        <f t="shared" si="136"/>
        <v>0.13800000000000001</v>
      </c>
      <c r="CW66" s="14">
        <f t="shared" si="136"/>
        <v>0</v>
      </c>
      <c r="CX66" s="14">
        <f t="shared" si="136"/>
        <v>0</v>
      </c>
      <c r="CY66" s="14">
        <f t="shared" si="136"/>
        <v>1.5</v>
      </c>
      <c r="CZ66" s="14">
        <f t="shared" si="136"/>
        <v>1.5</v>
      </c>
      <c r="DA66" s="14">
        <f t="shared" si="136"/>
        <v>1.5</v>
      </c>
      <c r="DB66" s="14">
        <f t="shared" si="136"/>
        <v>0.5</v>
      </c>
      <c r="DC66" s="14">
        <f t="shared" si="136"/>
        <v>0.5</v>
      </c>
      <c r="DD66" s="14">
        <f t="shared" si="136"/>
        <v>0.5</v>
      </c>
      <c r="DE66" s="14">
        <f t="shared" si="136"/>
        <v>0.375</v>
      </c>
      <c r="DF66" s="14">
        <f t="shared" si="136"/>
        <v>0.375</v>
      </c>
      <c r="DH66" s="14">
        <f>SUM(BQ$7:BQ66)</f>
        <v>35.749999999999993</v>
      </c>
      <c r="DI66" s="14">
        <f>SUM(BR$7:BR66)</f>
        <v>35.749999999999993</v>
      </c>
      <c r="DJ66" s="14">
        <f>SUM(BS$7:BS66)</f>
        <v>20.25</v>
      </c>
      <c r="DK66" s="14">
        <f>SUM(BT$7:BT66)</f>
        <v>36.25</v>
      </c>
      <c r="DL66" s="14">
        <f>SUM(BU$7:BU66)</f>
        <v>36.25</v>
      </c>
      <c r="DM66" s="14">
        <f>SUM(BV$7:BV66)</f>
        <v>20.625</v>
      </c>
      <c r="DN66" s="14">
        <f>SUM(BW$7:BW66)</f>
        <v>20.625</v>
      </c>
      <c r="DO66" s="14">
        <f>SUM(BX$7:BX66)</f>
        <v>13.75</v>
      </c>
      <c r="DP66" s="14">
        <f>SUM(BY$7:BY66)</f>
        <v>32.299000000000035</v>
      </c>
      <c r="DQ66" s="14">
        <f>SUM(BZ$7:BZ66)</f>
        <v>32.299000000000035</v>
      </c>
      <c r="DR66" s="14">
        <f>SUM(CA$7:CA66)</f>
        <v>17.796000000000021</v>
      </c>
      <c r="DS66" s="14">
        <f>SUM(CB$7:CB66)</f>
        <v>17.796000000000021</v>
      </c>
      <c r="DT66" s="14">
        <f>SUM(CC$7:CC66)</f>
        <v>9.3499999999999961</v>
      </c>
      <c r="DU66" s="14">
        <f>SUM(CD$7:CD66)</f>
        <v>4.4419999999999984</v>
      </c>
      <c r="DV66" s="14">
        <f>SUM(CE$7:CE66)</f>
        <v>37.299000000000035</v>
      </c>
      <c r="DW66" s="14">
        <f>SUM(CF$7:CF66)</f>
        <v>37.299000000000035</v>
      </c>
      <c r="DX66" s="14">
        <f>SUM(CG$7:CG66)</f>
        <v>20.421000000000021</v>
      </c>
      <c r="DY66" s="14">
        <f>SUM(CH$7:CH66)</f>
        <v>20.421000000000021</v>
      </c>
      <c r="DZ66" s="14">
        <f>SUM(CI$7:CI66)</f>
        <v>10.349999999999989</v>
      </c>
      <c r="EA66" s="14">
        <f>SUM(CJ$7:CJ66)</f>
        <v>4.93</v>
      </c>
      <c r="EB66" s="14">
        <f>SUM(CK$7:CK66)</f>
        <v>42.299000000000035</v>
      </c>
      <c r="EC66" s="14">
        <f>SUM(CL$7:CL66)</f>
        <v>42.299000000000035</v>
      </c>
      <c r="ED66" s="14">
        <f>SUM(CM$7:CM66)</f>
        <v>23.046000000000021</v>
      </c>
      <c r="EE66" s="14">
        <f>SUM(CN$7:CN66)</f>
        <v>23.046000000000021</v>
      </c>
      <c r="EF66" s="14">
        <f>SUM(CO$7:CO66)</f>
        <v>11.349999999999984</v>
      </c>
      <c r="EG66" s="14">
        <f>SUM(CP$7:CP66)</f>
        <v>5.4439999999999955</v>
      </c>
      <c r="EH66" s="14">
        <f>SUM(CQ$7:CQ66)</f>
        <v>14.824000000000005</v>
      </c>
      <c r="EI66" s="14">
        <f>SUM(CR$7:CR66)</f>
        <v>14.824000000000005</v>
      </c>
      <c r="EJ66" s="14">
        <f>SUM(CS$7:CS66)</f>
        <v>14.824000000000005</v>
      </c>
      <c r="EK66" s="14">
        <f>SUM(CT$7:CT66)</f>
        <v>6.8639999999999972</v>
      </c>
      <c r="EL66" s="14">
        <f>SUM(CU$7:CU66)</f>
        <v>6.8639999999999972</v>
      </c>
      <c r="EM66" s="14">
        <f>SUM(CV$7:CV66)</f>
        <v>6.8639999999999972</v>
      </c>
      <c r="EN66" s="14">
        <f>SUM(CW$7:CW66)</f>
        <v>2.25</v>
      </c>
      <c r="EO66" s="14">
        <f>SUM(CX$7:CX66)</f>
        <v>2.25</v>
      </c>
      <c r="EP66" s="14">
        <f>SUM(CY$7:CY66)</f>
        <v>42</v>
      </c>
      <c r="EQ66" s="14">
        <f>SUM(CZ$7:CZ66)</f>
        <v>42</v>
      </c>
      <c r="ER66" s="14">
        <f>SUM(DA$7:DA66)</f>
        <v>42</v>
      </c>
      <c r="ES66" s="14">
        <f>SUM(DB$7:DB66)</f>
        <v>14</v>
      </c>
      <c r="ET66" s="14">
        <f>SUM(DC$7:DC66)</f>
        <v>14</v>
      </c>
      <c r="EU66" s="14">
        <f>SUM(DD$7:DD66)</f>
        <v>14</v>
      </c>
      <c r="EV66" s="14">
        <f>SUM(DE$7:DE66)</f>
        <v>10.5</v>
      </c>
      <c r="EW66" s="14">
        <f>SUM(DF$7:DF66)</f>
        <v>10.5</v>
      </c>
      <c r="EZ66" s="14">
        <f t="shared" si="56"/>
        <v>9</v>
      </c>
      <c r="FA66" s="14">
        <f t="shared" si="87"/>
        <v>12</v>
      </c>
      <c r="FB66" s="14">
        <f t="shared" si="88"/>
        <v>12</v>
      </c>
      <c r="FC66" s="14">
        <f t="shared" si="89"/>
        <v>9</v>
      </c>
      <c r="FD66" s="14">
        <f t="shared" si="57"/>
        <v>7</v>
      </c>
      <c r="FE66" s="14">
        <f t="shared" si="90"/>
        <v>12</v>
      </c>
      <c r="FF66" s="14">
        <f t="shared" si="91"/>
        <v>12</v>
      </c>
      <c r="FG66" s="14">
        <f t="shared" si="92"/>
        <v>9</v>
      </c>
      <c r="FH66" s="14">
        <f t="shared" si="93"/>
        <v>9</v>
      </c>
      <c r="FI66" s="14">
        <f t="shared" si="94"/>
        <v>7</v>
      </c>
      <c r="FJ66" s="14">
        <f t="shared" si="58"/>
        <v>3</v>
      </c>
      <c r="FK66" s="14">
        <f t="shared" si="95"/>
        <v>11</v>
      </c>
      <c r="FL66" s="14">
        <f t="shared" si="96"/>
        <v>11</v>
      </c>
      <c r="FM66" s="14">
        <f t="shared" si="97"/>
        <v>8</v>
      </c>
      <c r="FN66" s="14">
        <f t="shared" si="98"/>
        <v>8</v>
      </c>
      <c r="FO66" s="14">
        <f t="shared" si="99"/>
        <v>6</v>
      </c>
      <c r="FP66" s="14">
        <f t="shared" si="100"/>
        <v>3</v>
      </c>
      <c r="FQ66" s="14">
        <f t="shared" si="59"/>
        <v>3</v>
      </c>
      <c r="FR66" s="14">
        <f t="shared" si="101"/>
        <v>12</v>
      </c>
      <c r="FS66" s="14">
        <f t="shared" si="102"/>
        <v>12</v>
      </c>
      <c r="FT66" s="14">
        <f t="shared" si="103"/>
        <v>9</v>
      </c>
      <c r="FU66" s="14">
        <f t="shared" si="104"/>
        <v>9</v>
      </c>
      <c r="FV66" s="14">
        <f t="shared" si="105"/>
        <v>6</v>
      </c>
      <c r="FW66" s="14">
        <f t="shared" si="106"/>
        <v>3</v>
      </c>
      <c r="FX66" s="14">
        <f t="shared" si="60"/>
        <v>4</v>
      </c>
      <c r="FY66" s="14">
        <f t="shared" si="107"/>
        <v>13</v>
      </c>
      <c r="FZ66" s="14">
        <f t="shared" si="108"/>
        <v>13</v>
      </c>
      <c r="GA66" s="14">
        <f t="shared" si="109"/>
        <v>10</v>
      </c>
      <c r="GB66" s="14">
        <f t="shared" si="110"/>
        <v>10</v>
      </c>
      <c r="GC66" s="14">
        <f t="shared" si="111"/>
        <v>6</v>
      </c>
      <c r="GD66" s="14">
        <f t="shared" si="112"/>
        <v>4</v>
      </c>
      <c r="GE66" s="14">
        <f t="shared" si="61"/>
        <v>2</v>
      </c>
      <c r="GF66" s="14">
        <f t="shared" si="113"/>
        <v>7</v>
      </c>
      <c r="GG66" s="14">
        <f t="shared" si="114"/>
        <v>7</v>
      </c>
      <c r="GH66" s="14">
        <f t="shared" si="115"/>
        <v>7</v>
      </c>
      <c r="GI66" s="14">
        <f t="shared" si="116"/>
        <v>4</v>
      </c>
      <c r="GJ66" s="14">
        <f t="shared" si="117"/>
        <v>4</v>
      </c>
      <c r="GK66" s="14">
        <f t="shared" si="118"/>
        <v>4</v>
      </c>
      <c r="GL66" s="14">
        <f t="shared" si="119"/>
        <v>2</v>
      </c>
      <c r="GM66" s="14">
        <f t="shared" si="120"/>
        <v>2</v>
      </c>
      <c r="GN66" s="14">
        <f t="shared" si="62"/>
        <v>6</v>
      </c>
      <c r="GO66" s="14">
        <f t="shared" si="121"/>
        <v>13</v>
      </c>
      <c r="GP66" s="14">
        <f t="shared" si="122"/>
        <v>13</v>
      </c>
      <c r="GQ66" s="14">
        <f t="shared" si="123"/>
        <v>13</v>
      </c>
      <c r="GR66" s="14">
        <f t="shared" si="124"/>
        <v>7</v>
      </c>
      <c r="GS66" s="14">
        <f t="shared" si="125"/>
        <v>7</v>
      </c>
      <c r="GT66" s="14">
        <f t="shared" si="126"/>
        <v>7</v>
      </c>
      <c r="GU66" s="14">
        <f t="shared" si="127"/>
        <v>6</v>
      </c>
      <c r="GV66" s="14">
        <f t="shared" si="128"/>
        <v>6</v>
      </c>
      <c r="GY66" s="91">
        <v>60</v>
      </c>
      <c r="GZ66" s="14">
        <f t="shared" si="63"/>
        <v>4</v>
      </c>
      <c r="HA66" s="14">
        <f t="shared" si="64"/>
        <v>2</v>
      </c>
      <c r="HB66" s="14">
        <f t="shared" si="65"/>
        <v>1</v>
      </c>
      <c r="HC66" s="14">
        <f t="shared" si="66"/>
        <v>0.33200000000000002</v>
      </c>
      <c r="HD66" s="14">
        <f t="shared" si="67"/>
        <v>1606006</v>
      </c>
      <c r="HE66" s="14" t="str">
        <f t="shared" si="68"/>
        <v>神器2-1 : 15级</v>
      </c>
      <c r="HF66" s="14" t="s">
        <v>800</v>
      </c>
      <c r="HG66" s="14">
        <f t="shared" si="69"/>
        <v>15</v>
      </c>
      <c r="HH66" s="14" t="str">
        <f t="shared" si="70"/>
        <v>神器2-1</v>
      </c>
      <c r="HI66" s="14">
        <f t="shared" si="71"/>
        <v>7</v>
      </c>
      <c r="HJ66" s="14" t="s">
        <v>1595</v>
      </c>
      <c r="HK66" s="14">
        <f t="shared" si="72"/>
        <v>4350</v>
      </c>
    </row>
    <row r="67" spans="41:219" ht="16.5" x14ac:dyDescent="0.2">
      <c r="AO67" s="87">
        <v>4</v>
      </c>
      <c r="AP67" s="87">
        <v>1</v>
      </c>
      <c r="AQ67" s="87">
        <v>22</v>
      </c>
      <c r="AR67" s="144">
        <f t="shared" si="49"/>
        <v>4422</v>
      </c>
      <c r="AS67" s="144" t="s">
        <v>1225</v>
      </c>
      <c r="AT67" s="144" t="str">
        <f t="shared" si="50"/>
        <v>神器本-4-普通-1  神器2-1</v>
      </c>
      <c r="AU67" s="87">
        <v>4</v>
      </c>
      <c r="AV67" s="87" t="s">
        <v>310</v>
      </c>
      <c r="AW67" s="87">
        <v>1500</v>
      </c>
      <c r="AX67" s="87">
        <v>1</v>
      </c>
      <c r="AY67" s="87">
        <v>1</v>
      </c>
      <c r="AZ67" s="87">
        <f t="shared" si="51"/>
        <v>1</v>
      </c>
      <c r="BA67" s="14">
        <f t="shared" si="52"/>
        <v>0.15</v>
      </c>
      <c r="BB67" s="14">
        <f t="shared" si="53"/>
        <v>2.25</v>
      </c>
      <c r="GY67" s="91">
        <v>61</v>
      </c>
      <c r="GZ67" s="14">
        <f t="shared" si="63"/>
        <v>5</v>
      </c>
      <c r="HA67" s="14">
        <f t="shared" si="64"/>
        <v>2</v>
      </c>
      <c r="HB67" s="14">
        <f t="shared" si="65"/>
        <v>1</v>
      </c>
      <c r="HC67" s="14">
        <f t="shared" si="66"/>
        <v>0.23200000000000001</v>
      </c>
      <c r="HD67" s="14">
        <f t="shared" si="67"/>
        <v>1606007</v>
      </c>
      <c r="HE67" s="14" t="str">
        <f t="shared" si="68"/>
        <v>神器2-2 : 1级</v>
      </c>
      <c r="HF67" s="14" t="s">
        <v>800</v>
      </c>
      <c r="HG67" s="14">
        <f t="shared" si="69"/>
        <v>1</v>
      </c>
      <c r="HH67" s="14" t="str">
        <f t="shared" si="70"/>
        <v>神器2-2</v>
      </c>
      <c r="HI67" s="14">
        <f t="shared" si="71"/>
        <v>1</v>
      </c>
      <c r="HJ67" s="14" t="s">
        <v>1595</v>
      </c>
      <c r="HK67" s="14">
        <f t="shared" si="72"/>
        <v>3050</v>
      </c>
    </row>
    <row r="68" spans="41:219" ht="16.5" x14ac:dyDescent="0.2">
      <c r="AO68" s="87">
        <v>4</v>
      </c>
      <c r="AP68" s="87">
        <v>1</v>
      </c>
      <c r="AQ68" s="87">
        <v>22</v>
      </c>
      <c r="AR68" s="144">
        <f t="shared" si="49"/>
        <v>4422</v>
      </c>
      <c r="AS68" s="144" t="s">
        <v>1225</v>
      </c>
      <c r="AT68" s="144" t="str">
        <f t="shared" si="50"/>
        <v>神器本-4-普通-1  神器2-2</v>
      </c>
      <c r="AU68" s="87">
        <v>5</v>
      </c>
      <c r="AV68" s="87" t="s">
        <v>311</v>
      </c>
      <c r="AW68" s="87">
        <v>1500</v>
      </c>
      <c r="AX68" s="87">
        <v>1</v>
      </c>
      <c r="AY68" s="87">
        <v>1</v>
      </c>
      <c r="AZ68" s="87">
        <f t="shared" si="51"/>
        <v>1</v>
      </c>
      <c r="BA68" s="14">
        <f t="shared" si="52"/>
        <v>0.15</v>
      </c>
      <c r="BB68" s="14">
        <f t="shared" si="53"/>
        <v>2.25</v>
      </c>
      <c r="GY68" s="91">
        <v>62</v>
      </c>
      <c r="GZ68" s="14">
        <f t="shared" si="63"/>
        <v>5</v>
      </c>
      <c r="HA68" s="14">
        <f t="shared" si="64"/>
        <v>2</v>
      </c>
      <c r="HB68" s="14">
        <f t="shared" si="65"/>
        <v>1</v>
      </c>
      <c r="HC68" s="14">
        <f t="shared" si="66"/>
        <v>0.24099999999999999</v>
      </c>
      <c r="HD68" s="14">
        <f t="shared" si="67"/>
        <v>1606007</v>
      </c>
      <c r="HE68" s="14" t="str">
        <f t="shared" si="68"/>
        <v>神器2-2 : 2级</v>
      </c>
      <c r="HF68" s="14" t="s">
        <v>800</v>
      </c>
      <c r="HG68" s="14">
        <f t="shared" si="69"/>
        <v>2</v>
      </c>
      <c r="HH68" s="14" t="str">
        <f t="shared" si="70"/>
        <v>神器2-2</v>
      </c>
      <c r="HI68" s="14">
        <f t="shared" si="71"/>
        <v>1</v>
      </c>
      <c r="HJ68" s="14" t="s">
        <v>1595</v>
      </c>
      <c r="HK68" s="14">
        <f t="shared" si="72"/>
        <v>3150</v>
      </c>
    </row>
    <row r="69" spans="41:219" ht="16.5" x14ac:dyDescent="0.2">
      <c r="AO69" s="87">
        <v>4</v>
      </c>
      <c r="AP69" s="87">
        <v>1</v>
      </c>
      <c r="AQ69" s="87">
        <v>22</v>
      </c>
      <c r="AR69" s="144">
        <f t="shared" si="49"/>
        <v>4422</v>
      </c>
      <c r="AS69" s="144" t="s">
        <v>1225</v>
      </c>
      <c r="AT69" s="144" t="str">
        <f t="shared" si="50"/>
        <v>神器本-4-普通-1  神器2-3</v>
      </c>
      <c r="AU69" s="87">
        <v>6</v>
      </c>
      <c r="AV69" s="87" t="s">
        <v>312</v>
      </c>
      <c r="AW69" s="87">
        <v>1000</v>
      </c>
      <c r="AX69" s="87">
        <v>1</v>
      </c>
      <c r="AY69" s="87">
        <v>1</v>
      </c>
      <c r="AZ69" s="87">
        <f t="shared" si="51"/>
        <v>2</v>
      </c>
      <c r="BA69" s="14">
        <f t="shared" si="52"/>
        <v>0.1</v>
      </c>
      <c r="BB69" s="14">
        <f t="shared" si="53"/>
        <v>4.5</v>
      </c>
      <c r="GY69" s="91">
        <v>63</v>
      </c>
      <c r="GZ69" s="14">
        <f t="shared" si="63"/>
        <v>5</v>
      </c>
      <c r="HA69" s="14">
        <f t="shared" si="64"/>
        <v>2</v>
      </c>
      <c r="HB69" s="14">
        <f t="shared" si="65"/>
        <v>1</v>
      </c>
      <c r="HC69" s="14">
        <f t="shared" si="66"/>
        <v>0.249</v>
      </c>
      <c r="HD69" s="14">
        <f t="shared" si="67"/>
        <v>1606007</v>
      </c>
      <c r="HE69" s="14" t="str">
        <f t="shared" si="68"/>
        <v>神器2-2 : 3级</v>
      </c>
      <c r="HF69" s="14" t="s">
        <v>800</v>
      </c>
      <c r="HG69" s="14">
        <f t="shared" si="69"/>
        <v>3</v>
      </c>
      <c r="HH69" s="14" t="str">
        <f t="shared" si="70"/>
        <v>神器2-2</v>
      </c>
      <c r="HI69" s="14">
        <f t="shared" si="71"/>
        <v>1</v>
      </c>
      <c r="HJ69" s="14" t="s">
        <v>1595</v>
      </c>
      <c r="HK69" s="14">
        <f t="shared" si="72"/>
        <v>3250</v>
      </c>
    </row>
    <row r="70" spans="41:219" ht="16.5" x14ac:dyDescent="0.2">
      <c r="AO70" s="87">
        <v>4</v>
      </c>
      <c r="AP70" s="87">
        <v>1</v>
      </c>
      <c r="AQ70" s="87">
        <v>22</v>
      </c>
      <c r="AR70" s="144">
        <f t="shared" si="49"/>
        <v>4422</v>
      </c>
      <c r="AS70" s="144" t="s">
        <v>1225</v>
      </c>
      <c r="AT70" s="144" t="str">
        <f t="shared" si="50"/>
        <v>神器本-4-普通-1  神器2-4</v>
      </c>
      <c r="AU70" s="87">
        <v>7</v>
      </c>
      <c r="AV70" s="87" t="s">
        <v>313</v>
      </c>
      <c r="AW70" s="87">
        <v>1000</v>
      </c>
      <c r="AX70" s="87">
        <v>1</v>
      </c>
      <c r="AY70" s="87">
        <v>1</v>
      </c>
      <c r="AZ70" s="87">
        <f t="shared" si="51"/>
        <v>2</v>
      </c>
      <c r="BA70" s="14">
        <f t="shared" si="52"/>
        <v>0.1</v>
      </c>
      <c r="BB70" s="14">
        <f t="shared" si="53"/>
        <v>4.5</v>
      </c>
      <c r="GY70" s="91">
        <v>64</v>
      </c>
      <c r="GZ70" s="14">
        <f t="shared" si="63"/>
        <v>5</v>
      </c>
      <c r="HA70" s="14">
        <f t="shared" si="64"/>
        <v>2</v>
      </c>
      <c r="HB70" s="14">
        <f t="shared" si="65"/>
        <v>1</v>
      </c>
      <c r="HC70" s="14">
        <f t="shared" si="66"/>
        <v>0.25700000000000001</v>
      </c>
      <c r="HD70" s="14">
        <f t="shared" si="67"/>
        <v>1606007</v>
      </c>
      <c r="HE70" s="14" t="str">
        <f t="shared" si="68"/>
        <v>神器2-2 : 4级</v>
      </c>
      <c r="HF70" s="14" t="s">
        <v>800</v>
      </c>
      <c r="HG70" s="14">
        <f t="shared" si="69"/>
        <v>4</v>
      </c>
      <c r="HH70" s="14" t="str">
        <f t="shared" si="70"/>
        <v>神器2-2</v>
      </c>
      <c r="HI70" s="14">
        <f t="shared" si="71"/>
        <v>2</v>
      </c>
      <c r="HJ70" s="14" t="s">
        <v>1595</v>
      </c>
      <c r="HK70" s="14">
        <f t="shared" si="72"/>
        <v>3350</v>
      </c>
    </row>
    <row r="71" spans="41:219" ht="16.5" x14ac:dyDescent="0.2">
      <c r="AO71" s="87">
        <v>4</v>
      </c>
      <c r="AP71" s="87">
        <v>1</v>
      </c>
      <c r="AQ71" s="87">
        <v>22</v>
      </c>
      <c r="AR71" s="144">
        <f t="shared" si="49"/>
        <v>4422</v>
      </c>
      <c r="AS71" s="144" t="s">
        <v>1225</v>
      </c>
      <c r="AT71" s="144" t="str">
        <f t="shared" si="50"/>
        <v>神器本-4-普通-1  神器2-5</v>
      </c>
      <c r="AU71" s="87">
        <v>8</v>
      </c>
      <c r="AV71" s="87" t="s">
        <v>314</v>
      </c>
      <c r="AW71" s="87">
        <v>1000</v>
      </c>
      <c r="AX71" s="87">
        <v>1</v>
      </c>
      <c r="AY71" s="87">
        <v>1</v>
      </c>
      <c r="AZ71" s="87">
        <f t="shared" si="51"/>
        <v>3</v>
      </c>
      <c r="BA71" s="14">
        <f t="shared" si="52"/>
        <v>0.1</v>
      </c>
      <c r="BB71" s="14">
        <f t="shared" si="53"/>
        <v>10.5</v>
      </c>
      <c r="GY71" s="91">
        <v>65</v>
      </c>
      <c r="GZ71" s="14">
        <f t="shared" si="63"/>
        <v>5</v>
      </c>
      <c r="HA71" s="14">
        <f t="shared" si="64"/>
        <v>2</v>
      </c>
      <c r="HB71" s="14">
        <f t="shared" si="65"/>
        <v>1</v>
      </c>
      <c r="HC71" s="14">
        <f t="shared" si="66"/>
        <v>0.26500000000000001</v>
      </c>
      <c r="HD71" s="14">
        <f t="shared" si="67"/>
        <v>1606007</v>
      </c>
      <c r="HE71" s="14" t="str">
        <f t="shared" si="68"/>
        <v>神器2-2 : 5级</v>
      </c>
      <c r="HF71" s="14" t="s">
        <v>800</v>
      </c>
      <c r="HG71" s="14">
        <f t="shared" si="69"/>
        <v>5</v>
      </c>
      <c r="HH71" s="14" t="str">
        <f t="shared" si="70"/>
        <v>神器2-2</v>
      </c>
      <c r="HI71" s="14">
        <f t="shared" si="71"/>
        <v>2</v>
      </c>
      <c r="HJ71" s="14" t="s">
        <v>1595</v>
      </c>
      <c r="HK71" s="14">
        <f t="shared" si="72"/>
        <v>3500</v>
      </c>
    </row>
    <row r="72" spans="41:219" ht="16.5" x14ac:dyDescent="0.2">
      <c r="AO72" s="87">
        <v>4</v>
      </c>
      <c r="AP72" s="87">
        <v>1</v>
      </c>
      <c r="AQ72" s="87">
        <v>23</v>
      </c>
      <c r="AR72" s="144">
        <f t="shared" ref="AR72:AR135" si="137">4400+AQ72</f>
        <v>4423</v>
      </c>
      <c r="AS72" s="144" t="s">
        <v>1226</v>
      </c>
      <c r="AT72" s="144" t="str">
        <f t="shared" ref="AT72:AT135" si="138">AS72&amp;"  "&amp;AV72</f>
        <v>神器本-4-普通-2  神器4-1</v>
      </c>
      <c r="AU72" s="87">
        <v>15</v>
      </c>
      <c r="AV72" s="87" t="s">
        <v>321</v>
      </c>
      <c r="AW72" s="87">
        <v>5000</v>
      </c>
      <c r="AX72" s="87">
        <v>1</v>
      </c>
      <c r="AY72" s="87">
        <v>3</v>
      </c>
      <c r="AZ72" s="87">
        <f t="shared" ref="AZ72:AZ135" si="139">INDEX($AK$7:$AK$48,AU72)</f>
        <v>1</v>
      </c>
      <c r="BA72" s="14">
        <f t="shared" ref="BA72:BA135" si="140">(AX72+AY72)/2*AW72/10000</f>
        <v>1</v>
      </c>
      <c r="BB72" s="14">
        <f t="shared" ref="BB72:BB135" si="141">(AX72+AY72)/2*AW72/10000*INDEX($AL$7:$AL$48,AU72)</f>
        <v>25</v>
      </c>
      <c r="GY72" s="91">
        <v>66</v>
      </c>
      <c r="GZ72" s="14">
        <f t="shared" ref="GZ72:GZ135" si="142">MATCH(GY72-1,$R$7:$R$49,1)</f>
        <v>5</v>
      </c>
      <c r="HA72" s="14">
        <f t="shared" ref="HA72:HA135" si="143">INDEX($N$8:$N$49,GZ72)</f>
        <v>2</v>
      </c>
      <c r="HB72" s="14">
        <f t="shared" ref="HB72:HB135" si="144">INDEX($P$8:$P$49,GZ72)</f>
        <v>1</v>
      </c>
      <c r="HC72" s="14">
        <f t="shared" ref="HC72:HC135" si="145">ROUND(SQRT(INDEX($BJ$7:$BJ$27,HG72)*INDEX($H$7:$H$10,HB72)),3)</f>
        <v>0.27200000000000002</v>
      </c>
      <c r="HD72" s="14">
        <f t="shared" ref="HD72:HD135" si="146">INDEX($S$8:$S$49,GZ72)</f>
        <v>1606007</v>
      </c>
      <c r="HE72" s="14" t="str">
        <f t="shared" ref="HE72:HE135" si="147">INDEX($T$8:$T$49,GZ72)&amp;" : "&amp;HG72&amp;"级"</f>
        <v>神器2-2 : 6级</v>
      </c>
      <c r="HF72" s="14" t="s">
        <v>800</v>
      </c>
      <c r="HG72" s="14">
        <f t="shared" ref="HG72:HG135" si="148">GY72-INDEX($R$7:$R$49,GZ72)</f>
        <v>6</v>
      </c>
      <c r="HH72" s="14" t="str">
        <f t="shared" ref="HH72:HH135" si="149">INDEX($T$8:$T$49,GZ72)</f>
        <v>神器2-2</v>
      </c>
      <c r="HI72" s="14">
        <f t="shared" ref="HI72:HI135" si="150">INDEX($K$8:$K$28,HG72)</f>
        <v>2</v>
      </c>
      <c r="HJ72" s="14" t="s">
        <v>1595</v>
      </c>
      <c r="HK72" s="14">
        <f t="shared" ref="HK72:HK135" si="151">ROUND(INDEX($Y$8:$Y$14,HA72)/INDEX($Z$8:$Z$14,HA72)*HC72/50,0)*50</f>
        <v>3550</v>
      </c>
    </row>
    <row r="73" spans="41:219" ht="16.5" x14ac:dyDescent="0.2">
      <c r="AO73" s="87">
        <v>4</v>
      </c>
      <c r="AP73" s="87">
        <v>1</v>
      </c>
      <c r="AQ73" s="87">
        <v>23</v>
      </c>
      <c r="AR73" s="144">
        <f t="shared" si="137"/>
        <v>4423</v>
      </c>
      <c r="AS73" s="144" t="s">
        <v>1226</v>
      </c>
      <c r="AT73" s="144" t="str">
        <f t="shared" si="138"/>
        <v>神器本-4-普通-2  神器4-2</v>
      </c>
      <c r="AU73" s="87">
        <v>16</v>
      </c>
      <c r="AV73" s="87" t="s">
        <v>322</v>
      </c>
      <c r="AW73" s="87">
        <v>5000</v>
      </c>
      <c r="AX73" s="87">
        <v>1</v>
      </c>
      <c r="AY73" s="87">
        <v>3</v>
      </c>
      <c r="AZ73" s="87">
        <f t="shared" si="139"/>
        <v>1</v>
      </c>
      <c r="BA73" s="14">
        <f t="shared" si="140"/>
        <v>1</v>
      </c>
      <c r="BB73" s="14">
        <f t="shared" si="141"/>
        <v>25</v>
      </c>
      <c r="GY73" s="91">
        <v>67</v>
      </c>
      <c r="GZ73" s="14">
        <f t="shared" si="142"/>
        <v>5</v>
      </c>
      <c r="HA73" s="14">
        <f t="shared" si="143"/>
        <v>2</v>
      </c>
      <c r="HB73" s="14">
        <f t="shared" si="144"/>
        <v>1</v>
      </c>
      <c r="HC73" s="14">
        <f t="shared" si="145"/>
        <v>0.27900000000000003</v>
      </c>
      <c r="HD73" s="14">
        <f t="shared" si="146"/>
        <v>1606007</v>
      </c>
      <c r="HE73" s="14" t="str">
        <f t="shared" si="147"/>
        <v>神器2-2 : 7级</v>
      </c>
      <c r="HF73" s="14" t="s">
        <v>800</v>
      </c>
      <c r="HG73" s="14">
        <f t="shared" si="148"/>
        <v>7</v>
      </c>
      <c r="HH73" s="14" t="str">
        <f t="shared" si="149"/>
        <v>神器2-2</v>
      </c>
      <c r="HI73" s="14">
        <f t="shared" si="150"/>
        <v>3</v>
      </c>
      <c r="HJ73" s="14" t="s">
        <v>1595</v>
      </c>
      <c r="HK73" s="14">
        <f t="shared" si="151"/>
        <v>3650</v>
      </c>
    </row>
    <row r="74" spans="41:219" ht="16.5" x14ac:dyDescent="0.2">
      <c r="AO74" s="87">
        <v>4</v>
      </c>
      <c r="AP74" s="87">
        <v>1</v>
      </c>
      <c r="AQ74" s="87">
        <v>24</v>
      </c>
      <c r="AR74" s="144">
        <f t="shared" si="137"/>
        <v>4424</v>
      </c>
      <c r="AS74" s="144" t="s">
        <v>1227</v>
      </c>
      <c r="AT74" s="144" t="str">
        <f t="shared" si="138"/>
        <v>神器本-4-普通-3  神器4-3</v>
      </c>
      <c r="AU74" s="87">
        <v>17</v>
      </c>
      <c r="AV74" s="87" t="s">
        <v>323</v>
      </c>
      <c r="AW74" s="87">
        <v>3500</v>
      </c>
      <c r="AX74" s="87">
        <v>1</v>
      </c>
      <c r="AY74" s="87">
        <v>2</v>
      </c>
      <c r="AZ74" s="87">
        <f t="shared" si="139"/>
        <v>2</v>
      </c>
      <c r="BA74" s="14">
        <f t="shared" si="140"/>
        <v>0.52500000000000002</v>
      </c>
      <c r="BB74" s="14">
        <f t="shared" si="141"/>
        <v>39.375</v>
      </c>
      <c r="GY74" s="91">
        <v>68</v>
      </c>
      <c r="GZ74" s="14">
        <f t="shared" si="142"/>
        <v>5</v>
      </c>
      <c r="HA74" s="14">
        <f t="shared" si="143"/>
        <v>2</v>
      </c>
      <c r="HB74" s="14">
        <f t="shared" si="144"/>
        <v>1</v>
      </c>
      <c r="HC74" s="14">
        <f t="shared" si="145"/>
        <v>0.28599999999999998</v>
      </c>
      <c r="HD74" s="14">
        <f t="shared" si="146"/>
        <v>1606007</v>
      </c>
      <c r="HE74" s="14" t="str">
        <f t="shared" si="147"/>
        <v>神器2-2 : 8级</v>
      </c>
      <c r="HF74" s="14" t="s">
        <v>800</v>
      </c>
      <c r="HG74" s="14">
        <f t="shared" si="148"/>
        <v>8</v>
      </c>
      <c r="HH74" s="14" t="str">
        <f t="shared" si="149"/>
        <v>神器2-2</v>
      </c>
      <c r="HI74" s="14">
        <f t="shared" si="150"/>
        <v>3</v>
      </c>
      <c r="HJ74" s="14" t="s">
        <v>1595</v>
      </c>
      <c r="HK74" s="14">
        <f t="shared" si="151"/>
        <v>3750</v>
      </c>
    </row>
    <row r="75" spans="41:219" ht="16.5" x14ac:dyDescent="0.2">
      <c r="AO75" s="87">
        <v>4</v>
      </c>
      <c r="AP75" s="87">
        <v>1</v>
      </c>
      <c r="AQ75" s="87">
        <v>24</v>
      </c>
      <c r="AR75" s="144">
        <f t="shared" si="137"/>
        <v>4424</v>
      </c>
      <c r="AS75" s="144" t="s">
        <v>1227</v>
      </c>
      <c r="AT75" s="144" t="str">
        <f t="shared" si="138"/>
        <v>神器本-4-普通-3  神器4-4</v>
      </c>
      <c r="AU75" s="87">
        <v>18</v>
      </c>
      <c r="AV75" s="87" t="s">
        <v>324</v>
      </c>
      <c r="AW75" s="87">
        <v>3500</v>
      </c>
      <c r="AX75" s="87">
        <v>1</v>
      </c>
      <c r="AY75" s="87">
        <v>2</v>
      </c>
      <c r="AZ75" s="87">
        <f t="shared" si="139"/>
        <v>2</v>
      </c>
      <c r="BA75" s="14">
        <f t="shared" si="140"/>
        <v>0.52500000000000002</v>
      </c>
      <c r="BB75" s="14">
        <f t="shared" si="141"/>
        <v>39.375</v>
      </c>
      <c r="GY75" s="91">
        <v>69</v>
      </c>
      <c r="GZ75" s="14">
        <f t="shared" si="142"/>
        <v>5</v>
      </c>
      <c r="HA75" s="14">
        <f t="shared" si="143"/>
        <v>2</v>
      </c>
      <c r="HB75" s="14">
        <f t="shared" si="144"/>
        <v>1</v>
      </c>
      <c r="HC75" s="14">
        <f t="shared" si="145"/>
        <v>0.29299999999999998</v>
      </c>
      <c r="HD75" s="14">
        <f t="shared" si="146"/>
        <v>1606007</v>
      </c>
      <c r="HE75" s="14" t="str">
        <f t="shared" si="147"/>
        <v>神器2-2 : 9级</v>
      </c>
      <c r="HF75" s="14" t="s">
        <v>800</v>
      </c>
      <c r="HG75" s="14">
        <f t="shared" si="148"/>
        <v>9</v>
      </c>
      <c r="HH75" s="14" t="str">
        <f t="shared" si="149"/>
        <v>神器2-2</v>
      </c>
      <c r="HI75" s="14">
        <f t="shared" si="150"/>
        <v>3</v>
      </c>
      <c r="HJ75" s="14" t="s">
        <v>1595</v>
      </c>
      <c r="HK75" s="14">
        <f t="shared" si="151"/>
        <v>3850</v>
      </c>
    </row>
    <row r="76" spans="41:219" ht="16.5" x14ac:dyDescent="0.2">
      <c r="AO76" s="87">
        <v>4</v>
      </c>
      <c r="AP76" s="87">
        <v>2</v>
      </c>
      <c r="AQ76" s="87">
        <v>25</v>
      </c>
      <c r="AR76" s="144">
        <f t="shared" si="137"/>
        <v>4425</v>
      </c>
      <c r="AS76" s="144" t="s">
        <v>1228</v>
      </c>
      <c r="AT76" s="144" t="str">
        <f t="shared" si="138"/>
        <v>神器本-4-困难-1  神器1-1</v>
      </c>
      <c r="AU76" s="87">
        <v>1</v>
      </c>
      <c r="AV76" s="87" t="s">
        <v>307</v>
      </c>
      <c r="AW76" s="87">
        <v>1500</v>
      </c>
      <c r="AX76" s="87">
        <v>1</v>
      </c>
      <c r="AY76" s="87">
        <v>1</v>
      </c>
      <c r="AZ76" s="87">
        <f t="shared" si="139"/>
        <v>1</v>
      </c>
      <c r="BA76" s="14">
        <f t="shared" si="140"/>
        <v>0.15</v>
      </c>
      <c r="BB76" s="14">
        <f t="shared" si="141"/>
        <v>1.5</v>
      </c>
      <c r="GY76" s="91">
        <v>70</v>
      </c>
      <c r="GZ76" s="14">
        <f t="shared" si="142"/>
        <v>5</v>
      </c>
      <c r="HA76" s="14">
        <f t="shared" si="143"/>
        <v>2</v>
      </c>
      <c r="HB76" s="14">
        <f t="shared" si="144"/>
        <v>1</v>
      </c>
      <c r="HC76" s="14">
        <f t="shared" si="145"/>
        <v>0.3</v>
      </c>
      <c r="HD76" s="14">
        <f t="shared" si="146"/>
        <v>1606007</v>
      </c>
      <c r="HE76" s="14" t="str">
        <f t="shared" si="147"/>
        <v>神器2-2 : 10级</v>
      </c>
      <c r="HF76" s="14" t="s">
        <v>800</v>
      </c>
      <c r="HG76" s="14">
        <f t="shared" si="148"/>
        <v>10</v>
      </c>
      <c r="HH76" s="14" t="str">
        <f t="shared" si="149"/>
        <v>神器2-2</v>
      </c>
      <c r="HI76" s="14">
        <f t="shared" si="150"/>
        <v>5</v>
      </c>
      <c r="HJ76" s="14" t="s">
        <v>1595</v>
      </c>
      <c r="HK76" s="14">
        <f t="shared" si="151"/>
        <v>3950</v>
      </c>
    </row>
    <row r="77" spans="41:219" ht="16.5" x14ac:dyDescent="0.2">
      <c r="AO77" s="87">
        <v>4</v>
      </c>
      <c r="AP77" s="87">
        <v>2</v>
      </c>
      <c r="AQ77" s="87">
        <v>25</v>
      </c>
      <c r="AR77" s="144">
        <f t="shared" si="137"/>
        <v>4425</v>
      </c>
      <c r="AS77" s="144" t="s">
        <v>1228</v>
      </c>
      <c r="AT77" s="144" t="str">
        <f t="shared" si="138"/>
        <v>神器本-4-困难-1  神器1-2</v>
      </c>
      <c r="AU77" s="87">
        <v>2</v>
      </c>
      <c r="AV77" s="87" t="s">
        <v>308</v>
      </c>
      <c r="AW77" s="87">
        <v>1500</v>
      </c>
      <c r="AX77" s="87">
        <v>1</v>
      </c>
      <c r="AY77" s="87">
        <v>1</v>
      </c>
      <c r="AZ77" s="87">
        <f t="shared" si="139"/>
        <v>1</v>
      </c>
      <c r="BA77" s="14">
        <f t="shared" si="140"/>
        <v>0.15</v>
      </c>
      <c r="BB77" s="14">
        <f t="shared" si="141"/>
        <v>1.5</v>
      </c>
      <c r="GY77" s="91">
        <v>71</v>
      </c>
      <c r="GZ77" s="14">
        <f t="shared" si="142"/>
        <v>5</v>
      </c>
      <c r="HA77" s="14">
        <f t="shared" si="143"/>
        <v>2</v>
      </c>
      <c r="HB77" s="14">
        <f t="shared" si="144"/>
        <v>1</v>
      </c>
      <c r="HC77" s="14">
        <f t="shared" si="145"/>
        <v>0.307</v>
      </c>
      <c r="HD77" s="14">
        <f t="shared" si="146"/>
        <v>1606007</v>
      </c>
      <c r="HE77" s="14" t="str">
        <f t="shared" si="147"/>
        <v>神器2-2 : 11级</v>
      </c>
      <c r="HF77" s="14" t="s">
        <v>800</v>
      </c>
      <c r="HG77" s="14">
        <f t="shared" si="148"/>
        <v>11</v>
      </c>
      <c r="HH77" s="14" t="str">
        <f t="shared" si="149"/>
        <v>神器2-2</v>
      </c>
      <c r="HI77" s="14">
        <f t="shared" si="150"/>
        <v>5</v>
      </c>
      <c r="HJ77" s="14" t="s">
        <v>1595</v>
      </c>
      <c r="HK77" s="14">
        <f t="shared" si="151"/>
        <v>4050</v>
      </c>
    </row>
    <row r="78" spans="41:219" ht="16.5" x14ac:dyDescent="0.2">
      <c r="AO78" s="87">
        <v>4</v>
      </c>
      <c r="AP78" s="87">
        <v>2</v>
      </c>
      <c r="AQ78" s="87">
        <v>25</v>
      </c>
      <c r="AR78" s="144">
        <f t="shared" si="137"/>
        <v>4425</v>
      </c>
      <c r="AS78" s="144" t="s">
        <v>1228</v>
      </c>
      <c r="AT78" s="144" t="str">
        <f t="shared" si="138"/>
        <v>神器本-4-困难-1  神器1-3</v>
      </c>
      <c r="AU78" s="87">
        <v>3</v>
      </c>
      <c r="AV78" s="87" t="s">
        <v>309</v>
      </c>
      <c r="AW78" s="87">
        <v>1000</v>
      </c>
      <c r="AX78" s="87">
        <v>1</v>
      </c>
      <c r="AY78" s="87">
        <v>1</v>
      </c>
      <c r="AZ78" s="87">
        <f t="shared" si="139"/>
        <v>2</v>
      </c>
      <c r="BA78" s="14">
        <f t="shared" si="140"/>
        <v>0.1</v>
      </c>
      <c r="BB78" s="14">
        <f t="shared" si="141"/>
        <v>3</v>
      </c>
      <c r="GY78" s="91">
        <v>72</v>
      </c>
      <c r="GZ78" s="14">
        <f t="shared" si="142"/>
        <v>5</v>
      </c>
      <c r="HA78" s="14">
        <f t="shared" si="143"/>
        <v>2</v>
      </c>
      <c r="HB78" s="14">
        <f t="shared" si="144"/>
        <v>1</v>
      </c>
      <c r="HC78" s="14">
        <f t="shared" si="145"/>
        <v>0.313</v>
      </c>
      <c r="HD78" s="14">
        <f t="shared" si="146"/>
        <v>1606007</v>
      </c>
      <c r="HE78" s="14" t="str">
        <f t="shared" si="147"/>
        <v>神器2-2 : 12级</v>
      </c>
      <c r="HF78" s="14" t="s">
        <v>800</v>
      </c>
      <c r="HG78" s="14">
        <f t="shared" si="148"/>
        <v>12</v>
      </c>
      <c r="HH78" s="14" t="str">
        <f t="shared" si="149"/>
        <v>神器2-2</v>
      </c>
      <c r="HI78" s="14">
        <f t="shared" si="150"/>
        <v>6</v>
      </c>
      <c r="HJ78" s="14" t="s">
        <v>1595</v>
      </c>
      <c r="HK78" s="14">
        <f t="shared" si="151"/>
        <v>4100</v>
      </c>
    </row>
    <row r="79" spans="41:219" ht="16.5" x14ac:dyDescent="0.2">
      <c r="AO79" s="87">
        <v>4</v>
      </c>
      <c r="AP79" s="87">
        <v>2</v>
      </c>
      <c r="AQ79" s="87">
        <v>25</v>
      </c>
      <c r="AR79" s="144">
        <f t="shared" si="137"/>
        <v>4425</v>
      </c>
      <c r="AS79" s="144" t="s">
        <v>1228</v>
      </c>
      <c r="AT79" s="144" t="str">
        <f t="shared" si="138"/>
        <v>神器本-4-困难-1  神器2-1</v>
      </c>
      <c r="AU79" s="87">
        <v>4</v>
      </c>
      <c r="AV79" s="87" t="s">
        <v>310</v>
      </c>
      <c r="AW79" s="87">
        <v>1500</v>
      </c>
      <c r="AX79" s="87">
        <v>1</v>
      </c>
      <c r="AY79" s="87">
        <v>1</v>
      </c>
      <c r="AZ79" s="87">
        <f t="shared" si="139"/>
        <v>1</v>
      </c>
      <c r="BA79" s="14">
        <f t="shared" si="140"/>
        <v>0.15</v>
      </c>
      <c r="BB79" s="14">
        <f t="shared" si="141"/>
        <v>2.25</v>
      </c>
      <c r="GY79" s="91">
        <v>73</v>
      </c>
      <c r="GZ79" s="14">
        <f t="shared" si="142"/>
        <v>5</v>
      </c>
      <c r="HA79" s="14">
        <f t="shared" si="143"/>
        <v>2</v>
      </c>
      <c r="HB79" s="14">
        <f t="shared" si="144"/>
        <v>1</v>
      </c>
      <c r="HC79" s="14">
        <f t="shared" si="145"/>
        <v>0.31900000000000001</v>
      </c>
      <c r="HD79" s="14">
        <f t="shared" si="146"/>
        <v>1606007</v>
      </c>
      <c r="HE79" s="14" t="str">
        <f t="shared" si="147"/>
        <v>神器2-2 : 13级</v>
      </c>
      <c r="HF79" s="14" t="s">
        <v>800</v>
      </c>
      <c r="HG79" s="14">
        <f t="shared" si="148"/>
        <v>13</v>
      </c>
      <c r="HH79" s="14" t="str">
        <f t="shared" si="149"/>
        <v>神器2-2</v>
      </c>
      <c r="HI79" s="14">
        <f t="shared" si="150"/>
        <v>7</v>
      </c>
      <c r="HJ79" s="14" t="s">
        <v>1595</v>
      </c>
      <c r="HK79" s="14">
        <f t="shared" si="151"/>
        <v>4200</v>
      </c>
    </row>
    <row r="80" spans="41:219" ht="16.5" x14ac:dyDescent="0.2">
      <c r="AO80" s="87">
        <v>4</v>
      </c>
      <c r="AP80" s="87">
        <v>2</v>
      </c>
      <c r="AQ80" s="87">
        <v>25</v>
      </c>
      <c r="AR80" s="144">
        <f t="shared" si="137"/>
        <v>4425</v>
      </c>
      <c r="AS80" s="144" t="s">
        <v>1228</v>
      </c>
      <c r="AT80" s="144" t="str">
        <f t="shared" si="138"/>
        <v>神器本-4-困难-1  神器2-2</v>
      </c>
      <c r="AU80" s="87">
        <v>5</v>
      </c>
      <c r="AV80" s="87" t="s">
        <v>311</v>
      </c>
      <c r="AW80" s="87">
        <v>1500</v>
      </c>
      <c r="AX80" s="87">
        <v>1</v>
      </c>
      <c r="AY80" s="87">
        <v>1</v>
      </c>
      <c r="AZ80" s="87">
        <f t="shared" si="139"/>
        <v>1</v>
      </c>
      <c r="BA80" s="14">
        <f t="shared" si="140"/>
        <v>0.15</v>
      </c>
      <c r="BB80" s="14">
        <f t="shared" si="141"/>
        <v>2.25</v>
      </c>
      <c r="GY80" s="91">
        <v>74</v>
      </c>
      <c r="GZ80" s="14">
        <f t="shared" si="142"/>
        <v>5</v>
      </c>
      <c r="HA80" s="14">
        <f t="shared" si="143"/>
        <v>2</v>
      </c>
      <c r="HB80" s="14">
        <f t="shared" si="144"/>
        <v>1</v>
      </c>
      <c r="HC80" s="14">
        <f t="shared" si="145"/>
        <v>0.32600000000000001</v>
      </c>
      <c r="HD80" s="14">
        <f t="shared" si="146"/>
        <v>1606007</v>
      </c>
      <c r="HE80" s="14" t="str">
        <f t="shared" si="147"/>
        <v>神器2-2 : 14级</v>
      </c>
      <c r="HF80" s="14" t="s">
        <v>800</v>
      </c>
      <c r="HG80" s="14">
        <f t="shared" si="148"/>
        <v>14</v>
      </c>
      <c r="HH80" s="14" t="str">
        <f t="shared" si="149"/>
        <v>神器2-2</v>
      </c>
      <c r="HI80" s="14">
        <f t="shared" si="150"/>
        <v>7</v>
      </c>
      <c r="HJ80" s="14" t="s">
        <v>1595</v>
      </c>
      <c r="HK80" s="14">
        <f t="shared" si="151"/>
        <v>4300</v>
      </c>
    </row>
    <row r="81" spans="41:219" ht="16.5" x14ac:dyDescent="0.2">
      <c r="AO81" s="87">
        <v>4</v>
      </c>
      <c r="AP81" s="87">
        <v>2</v>
      </c>
      <c r="AQ81" s="87">
        <v>25</v>
      </c>
      <c r="AR81" s="144">
        <f t="shared" si="137"/>
        <v>4425</v>
      </c>
      <c r="AS81" s="144" t="s">
        <v>1228</v>
      </c>
      <c r="AT81" s="144" t="str">
        <f t="shared" si="138"/>
        <v>神器本-4-困难-1  神器2-3</v>
      </c>
      <c r="AU81" s="87">
        <v>6</v>
      </c>
      <c r="AV81" s="87" t="s">
        <v>312</v>
      </c>
      <c r="AW81" s="87">
        <v>1000</v>
      </c>
      <c r="AX81" s="87">
        <v>1</v>
      </c>
      <c r="AY81" s="87">
        <v>1</v>
      </c>
      <c r="AZ81" s="87">
        <f t="shared" si="139"/>
        <v>2</v>
      </c>
      <c r="BA81" s="14">
        <f t="shared" si="140"/>
        <v>0.1</v>
      </c>
      <c r="BB81" s="14">
        <f t="shared" si="141"/>
        <v>4.5</v>
      </c>
      <c r="GY81" s="91">
        <v>75</v>
      </c>
      <c r="GZ81" s="14">
        <f t="shared" si="142"/>
        <v>5</v>
      </c>
      <c r="HA81" s="14">
        <f t="shared" si="143"/>
        <v>2</v>
      </c>
      <c r="HB81" s="14">
        <f t="shared" si="144"/>
        <v>1</v>
      </c>
      <c r="HC81" s="14">
        <f t="shared" si="145"/>
        <v>0.33200000000000002</v>
      </c>
      <c r="HD81" s="14">
        <f t="shared" si="146"/>
        <v>1606007</v>
      </c>
      <c r="HE81" s="14" t="str">
        <f t="shared" si="147"/>
        <v>神器2-2 : 15级</v>
      </c>
      <c r="HF81" s="14" t="s">
        <v>800</v>
      </c>
      <c r="HG81" s="14">
        <f t="shared" si="148"/>
        <v>15</v>
      </c>
      <c r="HH81" s="14" t="str">
        <f t="shared" si="149"/>
        <v>神器2-2</v>
      </c>
      <c r="HI81" s="14">
        <f t="shared" si="150"/>
        <v>7</v>
      </c>
      <c r="HJ81" s="14" t="s">
        <v>1595</v>
      </c>
      <c r="HK81" s="14">
        <f t="shared" si="151"/>
        <v>4350</v>
      </c>
    </row>
    <row r="82" spans="41:219" ht="16.5" x14ac:dyDescent="0.2">
      <c r="AO82" s="87">
        <v>4</v>
      </c>
      <c r="AP82" s="87">
        <v>2</v>
      </c>
      <c r="AQ82" s="87">
        <v>25</v>
      </c>
      <c r="AR82" s="144">
        <f t="shared" si="137"/>
        <v>4425</v>
      </c>
      <c r="AS82" s="144" t="s">
        <v>1228</v>
      </c>
      <c r="AT82" s="144" t="str">
        <f t="shared" si="138"/>
        <v>神器本-4-困难-1  神器2-4</v>
      </c>
      <c r="AU82" s="87">
        <v>7</v>
      </c>
      <c r="AV82" s="87" t="s">
        <v>313</v>
      </c>
      <c r="AW82" s="87">
        <v>1000</v>
      </c>
      <c r="AX82" s="87">
        <v>1</v>
      </c>
      <c r="AY82" s="87">
        <v>1</v>
      </c>
      <c r="AZ82" s="87">
        <f t="shared" si="139"/>
        <v>2</v>
      </c>
      <c r="BA82" s="14">
        <f t="shared" si="140"/>
        <v>0.1</v>
      </c>
      <c r="BB82" s="14">
        <f t="shared" si="141"/>
        <v>4.5</v>
      </c>
      <c r="GY82" s="91">
        <v>76</v>
      </c>
      <c r="GZ82" s="14">
        <f t="shared" si="142"/>
        <v>6</v>
      </c>
      <c r="HA82" s="14">
        <f t="shared" si="143"/>
        <v>2</v>
      </c>
      <c r="HB82" s="14">
        <f t="shared" si="144"/>
        <v>2</v>
      </c>
      <c r="HC82" s="14">
        <f t="shared" si="145"/>
        <v>0.40200000000000002</v>
      </c>
      <c r="HD82" s="14">
        <f t="shared" si="146"/>
        <v>1606008</v>
      </c>
      <c r="HE82" s="14" t="str">
        <f t="shared" si="147"/>
        <v>神器2-3 : 1级</v>
      </c>
      <c r="HF82" s="14" t="s">
        <v>800</v>
      </c>
      <c r="HG82" s="14">
        <f t="shared" si="148"/>
        <v>1</v>
      </c>
      <c r="HH82" s="14" t="str">
        <f t="shared" si="149"/>
        <v>神器2-3</v>
      </c>
      <c r="HI82" s="14">
        <f t="shared" si="150"/>
        <v>1</v>
      </c>
      <c r="HJ82" s="14" t="s">
        <v>1595</v>
      </c>
      <c r="HK82" s="14">
        <f t="shared" si="151"/>
        <v>5250</v>
      </c>
    </row>
    <row r="83" spans="41:219" ht="16.5" x14ac:dyDescent="0.2">
      <c r="AO83" s="87">
        <v>4</v>
      </c>
      <c r="AP83" s="87">
        <v>2</v>
      </c>
      <c r="AQ83" s="87">
        <v>25</v>
      </c>
      <c r="AR83" s="144">
        <f t="shared" si="137"/>
        <v>4425</v>
      </c>
      <c r="AS83" s="144" t="s">
        <v>1228</v>
      </c>
      <c r="AT83" s="144" t="str">
        <f t="shared" si="138"/>
        <v>神器本-4-困难-1  神器2-5</v>
      </c>
      <c r="AU83" s="87">
        <v>8</v>
      </c>
      <c r="AV83" s="87" t="s">
        <v>314</v>
      </c>
      <c r="AW83" s="87">
        <v>1000</v>
      </c>
      <c r="AX83" s="87">
        <v>1</v>
      </c>
      <c r="AY83" s="87">
        <v>1</v>
      </c>
      <c r="AZ83" s="87">
        <f t="shared" si="139"/>
        <v>3</v>
      </c>
      <c r="BA83" s="14">
        <f t="shared" si="140"/>
        <v>0.1</v>
      </c>
      <c r="BB83" s="14">
        <f t="shared" si="141"/>
        <v>10.5</v>
      </c>
      <c r="GY83" s="91">
        <v>77</v>
      </c>
      <c r="GZ83" s="14">
        <f t="shared" si="142"/>
        <v>6</v>
      </c>
      <c r="HA83" s="14">
        <f t="shared" si="143"/>
        <v>2</v>
      </c>
      <c r="HB83" s="14">
        <f t="shared" si="144"/>
        <v>2</v>
      </c>
      <c r="HC83" s="14">
        <f t="shared" si="145"/>
        <v>0.41699999999999998</v>
      </c>
      <c r="HD83" s="14">
        <f t="shared" si="146"/>
        <v>1606008</v>
      </c>
      <c r="HE83" s="14" t="str">
        <f t="shared" si="147"/>
        <v>神器2-3 : 2级</v>
      </c>
      <c r="HF83" s="14" t="s">
        <v>800</v>
      </c>
      <c r="HG83" s="14">
        <f t="shared" si="148"/>
        <v>2</v>
      </c>
      <c r="HH83" s="14" t="str">
        <f t="shared" si="149"/>
        <v>神器2-3</v>
      </c>
      <c r="HI83" s="14">
        <f t="shared" si="150"/>
        <v>1</v>
      </c>
      <c r="HJ83" s="14" t="s">
        <v>1595</v>
      </c>
      <c r="HK83" s="14">
        <f t="shared" si="151"/>
        <v>5450</v>
      </c>
    </row>
    <row r="84" spans="41:219" ht="16.5" x14ac:dyDescent="0.2">
      <c r="AO84" s="87">
        <v>4</v>
      </c>
      <c r="AP84" s="87">
        <v>2</v>
      </c>
      <c r="AQ84" s="87">
        <v>26</v>
      </c>
      <c r="AR84" s="144">
        <f t="shared" si="137"/>
        <v>4426</v>
      </c>
      <c r="AS84" s="144" t="s">
        <v>1229</v>
      </c>
      <c r="AT84" s="144" t="str">
        <f t="shared" si="138"/>
        <v>神器本-4-困难-2  神器4-1</v>
      </c>
      <c r="AU84" s="87">
        <v>15</v>
      </c>
      <c r="AV84" s="87" t="s">
        <v>321</v>
      </c>
      <c r="AW84" s="87">
        <v>5000</v>
      </c>
      <c r="AX84" s="87">
        <v>1</v>
      </c>
      <c r="AY84" s="87">
        <v>3</v>
      </c>
      <c r="AZ84" s="87">
        <f t="shared" si="139"/>
        <v>1</v>
      </c>
      <c r="BA84" s="14">
        <f t="shared" si="140"/>
        <v>1</v>
      </c>
      <c r="BB84" s="14">
        <f t="shared" si="141"/>
        <v>25</v>
      </c>
      <c r="GY84" s="91">
        <v>78</v>
      </c>
      <c r="GZ84" s="14">
        <f t="shared" si="142"/>
        <v>6</v>
      </c>
      <c r="HA84" s="14">
        <f t="shared" si="143"/>
        <v>2</v>
      </c>
      <c r="HB84" s="14">
        <f t="shared" si="144"/>
        <v>2</v>
      </c>
      <c r="HC84" s="14">
        <f t="shared" si="145"/>
        <v>0.43099999999999999</v>
      </c>
      <c r="HD84" s="14">
        <f t="shared" si="146"/>
        <v>1606008</v>
      </c>
      <c r="HE84" s="14" t="str">
        <f t="shared" si="147"/>
        <v>神器2-3 : 3级</v>
      </c>
      <c r="HF84" s="14" t="s">
        <v>800</v>
      </c>
      <c r="HG84" s="14">
        <f t="shared" si="148"/>
        <v>3</v>
      </c>
      <c r="HH84" s="14" t="str">
        <f t="shared" si="149"/>
        <v>神器2-3</v>
      </c>
      <c r="HI84" s="14">
        <f t="shared" si="150"/>
        <v>1</v>
      </c>
      <c r="HJ84" s="14" t="s">
        <v>1595</v>
      </c>
      <c r="HK84" s="14">
        <f t="shared" si="151"/>
        <v>5650</v>
      </c>
    </row>
    <row r="85" spans="41:219" ht="16.5" x14ac:dyDescent="0.2">
      <c r="AO85" s="87">
        <v>4</v>
      </c>
      <c r="AP85" s="87">
        <v>2</v>
      </c>
      <c r="AQ85" s="87">
        <v>26</v>
      </c>
      <c r="AR85" s="144">
        <f t="shared" si="137"/>
        <v>4426</v>
      </c>
      <c r="AS85" s="144" t="s">
        <v>1229</v>
      </c>
      <c r="AT85" s="144" t="str">
        <f t="shared" si="138"/>
        <v>神器本-4-困难-2  神器4-2</v>
      </c>
      <c r="AU85" s="87">
        <v>16</v>
      </c>
      <c r="AV85" s="87" t="s">
        <v>322</v>
      </c>
      <c r="AW85" s="87">
        <v>5000</v>
      </c>
      <c r="AX85" s="87">
        <v>1</v>
      </c>
      <c r="AY85" s="87">
        <v>3</v>
      </c>
      <c r="AZ85" s="87">
        <f t="shared" si="139"/>
        <v>1</v>
      </c>
      <c r="BA85" s="14">
        <f t="shared" si="140"/>
        <v>1</v>
      </c>
      <c r="BB85" s="14">
        <f t="shared" si="141"/>
        <v>25</v>
      </c>
      <c r="GY85" s="91">
        <v>79</v>
      </c>
      <c r="GZ85" s="14">
        <f t="shared" si="142"/>
        <v>6</v>
      </c>
      <c r="HA85" s="14">
        <f t="shared" si="143"/>
        <v>2</v>
      </c>
      <c r="HB85" s="14">
        <f t="shared" si="144"/>
        <v>2</v>
      </c>
      <c r="HC85" s="14">
        <f t="shared" si="145"/>
        <v>0.44500000000000001</v>
      </c>
      <c r="HD85" s="14">
        <f t="shared" si="146"/>
        <v>1606008</v>
      </c>
      <c r="HE85" s="14" t="str">
        <f t="shared" si="147"/>
        <v>神器2-3 : 4级</v>
      </c>
      <c r="HF85" s="14" t="s">
        <v>800</v>
      </c>
      <c r="HG85" s="14">
        <f t="shared" si="148"/>
        <v>4</v>
      </c>
      <c r="HH85" s="14" t="str">
        <f t="shared" si="149"/>
        <v>神器2-3</v>
      </c>
      <c r="HI85" s="14">
        <f t="shared" si="150"/>
        <v>2</v>
      </c>
      <c r="HJ85" s="14" t="s">
        <v>1595</v>
      </c>
      <c r="HK85" s="14">
        <f t="shared" si="151"/>
        <v>5850</v>
      </c>
    </row>
    <row r="86" spans="41:219" ht="16.5" x14ac:dyDescent="0.2">
      <c r="AO86" s="87">
        <v>4</v>
      </c>
      <c r="AP86" s="87">
        <v>2</v>
      </c>
      <c r="AQ86" s="87">
        <v>27</v>
      </c>
      <c r="AR86" s="144">
        <f t="shared" si="137"/>
        <v>4427</v>
      </c>
      <c r="AS86" s="144" t="s">
        <v>1230</v>
      </c>
      <c r="AT86" s="144" t="str">
        <f t="shared" si="138"/>
        <v>神器本-4-困难-3  神器4-3</v>
      </c>
      <c r="AU86" s="87">
        <v>17</v>
      </c>
      <c r="AV86" s="87" t="s">
        <v>323</v>
      </c>
      <c r="AW86" s="87">
        <v>3500</v>
      </c>
      <c r="AX86" s="87">
        <v>1</v>
      </c>
      <c r="AY86" s="87">
        <v>2</v>
      </c>
      <c r="AZ86" s="87">
        <f t="shared" si="139"/>
        <v>2</v>
      </c>
      <c r="BA86" s="14">
        <f t="shared" si="140"/>
        <v>0.52500000000000002</v>
      </c>
      <c r="BB86" s="14">
        <f t="shared" si="141"/>
        <v>39.375</v>
      </c>
      <c r="GY86" s="91">
        <v>80</v>
      </c>
      <c r="GZ86" s="14">
        <f t="shared" si="142"/>
        <v>6</v>
      </c>
      <c r="HA86" s="14">
        <f t="shared" si="143"/>
        <v>2</v>
      </c>
      <c r="HB86" s="14">
        <f t="shared" si="144"/>
        <v>2</v>
      </c>
      <c r="HC86" s="14">
        <f t="shared" si="145"/>
        <v>0.45800000000000002</v>
      </c>
      <c r="HD86" s="14">
        <f t="shared" si="146"/>
        <v>1606008</v>
      </c>
      <c r="HE86" s="14" t="str">
        <f t="shared" si="147"/>
        <v>神器2-3 : 5级</v>
      </c>
      <c r="HF86" s="14" t="s">
        <v>800</v>
      </c>
      <c r="HG86" s="14">
        <f t="shared" si="148"/>
        <v>5</v>
      </c>
      <c r="HH86" s="14" t="str">
        <f t="shared" si="149"/>
        <v>神器2-3</v>
      </c>
      <c r="HI86" s="14">
        <f t="shared" si="150"/>
        <v>2</v>
      </c>
      <c r="HJ86" s="14" t="s">
        <v>1595</v>
      </c>
      <c r="HK86" s="14">
        <f t="shared" si="151"/>
        <v>6000</v>
      </c>
    </row>
    <row r="87" spans="41:219" ht="16.5" x14ac:dyDescent="0.2">
      <c r="AO87" s="87">
        <v>4</v>
      </c>
      <c r="AP87" s="87">
        <v>2</v>
      </c>
      <c r="AQ87" s="87">
        <v>27</v>
      </c>
      <c r="AR87" s="144">
        <f t="shared" si="137"/>
        <v>4427</v>
      </c>
      <c r="AS87" s="144" t="s">
        <v>1230</v>
      </c>
      <c r="AT87" s="144" t="str">
        <f t="shared" si="138"/>
        <v>神器本-4-困难-3  神器4-4</v>
      </c>
      <c r="AU87" s="87">
        <v>18</v>
      </c>
      <c r="AV87" s="87" t="s">
        <v>324</v>
      </c>
      <c r="AW87" s="87">
        <v>3500</v>
      </c>
      <c r="AX87" s="87">
        <v>1</v>
      </c>
      <c r="AY87" s="87">
        <v>2</v>
      </c>
      <c r="AZ87" s="87">
        <f t="shared" si="139"/>
        <v>2</v>
      </c>
      <c r="BA87" s="14">
        <f t="shared" si="140"/>
        <v>0.52500000000000002</v>
      </c>
      <c r="BB87" s="14">
        <f t="shared" si="141"/>
        <v>39.375</v>
      </c>
      <c r="GY87" s="91">
        <v>81</v>
      </c>
      <c r="GZ87" s="14">
        <f t="shared" si="142"/>
        <v>6</v>
      </c>
      <c r="HA87" s="14">
        <f t="shared" si="143"/>
        <v>2</v>
      </c>
      <c r="HB87" s="14">
        <f t="shared" si="144"/>
        <v>2</v>
      </c>
      <c r="HC87" s="14">
        <f t="shared" si="145"/>
        <v>0.47099999999999997</v>
      </c>
      <c r="HD87" s="14">
        <f t="shared" si="146"/>
        <v>1606008</v>
      </c>
      <c r="HE87" s="14" t="str">
        <f t="shared" si="147"/>
        <v>神器2-3 : 6级</v>
      </c>
      <c r="HF87" s="14" t="s">
        <v>800</v>
      </c>
      <c r="HG87" s="14">
        <f t="shared" si="148"/>
        <v>6</v>
      </c>
      <c r="HH87" s="14" t="str">
        <f t="shared" si="149"/>
        <v>神器2-3</v>
      </c>
      <c r="HI87" s="14">
        <f t="shared" si="150"/>
        <v>2</v>
      </c>
      <c r="HJ87" s="14" t="s">
        <v>1595</v>
      </c>
      <c r="HK87" s="14">
        <f t="shared" si="151"/>
        <v>6200</v>
      </c>
    </row>
    <row r="88" spans="41:219" ht="16.5" x14ac:dyDescent="0.2">
      <c r="AO88" s="87">
        <v>4</v>
      </c>
      <c r="AP88" s="87">
        <v>2</v>
      </c>
      <c r="AQ88" s="87">
        <v>28</v>
      </c>
      <c r="AR88" s="144">
        <f t="shared" si="137"/>
        <v>4428</v>
      </c>
      <c r="AS88" s="144" t="s">
        <v>1231</v>
      </c>
      <c r="AT88" s="144" t="str">
        <f t="shared" si="138"/>
        <v>神器本-4-困难-4  神器4-5</v>
      </c>
      <c r="AU88" s="87">
        <v>19</v>
      </c>
      <c r="AV88" s="87" t="s">
        <v>325</v>
      </c>
      <c r="AW88" s="87">
        <v>2000</v>
      </c>
      <c r="AX88" s="87">
        <v>1</v>
      </c>
      <c r="AY88" s="87">
        <v>1</v>
      </c>
      <c r="AZ88" s="87">
        <f t="shared" si="139"/>
        <v>3</v>
      </c>
      <c r="BA88" s="14">
        <f t="shared" si="140"/>
        <v>0.2</v>
      </c>
      <c r="BB88" s="14">
        <f t="shared" si="141"/>
        <v>35</v>
      </c>
      <c r="GY88" s="91">
        <v>82</v>
      </c>
      <c r="GZ88" s="14">
        <f t="shared" si="142"/>
        <v>6</v>
      </c>
      <c r="HA88" s="14">
        <f t="shared" si="143"/>
        <v>2</v>
      </c>
      <c r="HB88" s="14">
        <f t="shared" si="144"/>
        <v>2</v>
      </c>
      <c r="HC88" s="14">
        <f t="shared" si="145"/>
        <v>0.48399999999999999</v>
      </c>
      <c r="HD88" s="14">
        <f t="shared" si="146"/>
        <v>1606008</v>
      </c>
      <c r="HE88" s="14" t="str">
        <f t="shared" si="147"/>
        <v>神器2-3 : 7级</v>
      </c>
      <c r="HF88" s="14" t="s">
        <v>800</v>
      </c>
      <c r="HG88" s="14">
        <f t="shared" si="148"/>
        <v>7</v>
      </c>
      <c r="HH88" s="14" t="str">
        <f t="shared" si="149"/>
        <v>神器2-3</v>
      </c>
      <c r="HI88" s="14">
        <f t="shared" si="150"/>
        <v>3</v>
      </c>
      <c r="HJ88" s="14" t="s">
        <v>1595</v>
      </c>
      <c r="HK88" s="14">
        <f t="shared" si="151"/>
        <v>6350</v>
      </c>
    </row>
    <row r="89" spans="41:219" ht="16.5" x14ac:dyDescent="0.2">
      <c r="AO89" s="87">
        <v>4</v>
      </c>
      <c r="AP89" s="87">
        <v>3</v>
      </c>
      <c r="AQ89" s="87">
        <v>29</v>
      </c>
      <c r="AR89" s="144">
        <f t="shared" si="137"/>
        <v>4429</v>
      </c>
      <c r="AS89" s="144" t="s">
        <v>1233</v>
      </c>
      <c r="AT89" s="144" t="str">
        <f t="shared" si="138"/>
        <v>神器本-4-噩梦-1  神器1-1</v>
      </c>
      <c r="AU89" s="87">
        <v>1</v>
      </c>
      <c r="AV89" s="87" t="s">
        <v>307</v>
      </c>
      <c r="AW89" s="87">
        <v>1500</v>
      </c>
      <c r="AX89" s="87">
        <v>1</v>
      </c>
      <c r="AY89" s="87">
        <v>1</v>
      </c>
      <c r="AZ89" s="87">
        <f t="shared" si="139"/>
        <v>1</v>
      </c>
      <c r="BA89" s="14">
        <f t="shared" si="140"/>
        <v>0.15</v>
      </c>
      <c r="BB89" s="14">
        <f t="shared" si="141"/>
        <v>1.5</v>
      </c>
      <c r="GY89" s="91">
        <v>83</v>
      </c>
      <c r="GZ89" s="14">
        <f t="shared" si="142"/>
        <v>6</v>
      </c>
      <c r="HA89" s="14">
        <f t="shared" si="143"/>
        <v>2</v>
      </c>
      <c r="HB89" s="14">
        <f t="shared" si="144"/>
        <v>2</v>
      </c>
      <c r="HC89" s="14">
        <f t="shared" si="145"/>
        <v>0.496</v>
      </c>
      <c r="HD89" s="14">
        <f t="shared" si="146"/>
        <v>1606008</v>
      </c>
      <c r="HE89" s="14" t="str">
        <f t="shared" si="147"/>
        <v>神器2-3 : 8级</v>
      </c>
      <c r="HF89" s="14" t="s">
        <v>800</v>
      </c>
      <c r="HG89" s="14">
        <f t="shared" si="148"/>
        <v>8</v>
      </c>
      <c r="HH89" s="14" t="str">
        <f t="shared" si="149"/>
        <v>神器2-3</v>
      </c>
      <c r="HI89" s="14">
        <f t="shared" si="150"/>
        <v>3</v>
      </c>
      <c r="HJ89" s="14" t="s">
        <v>1595</v>
      </c>
      <c r="HK89" s="14">
        <f t="shared" si="151"/>
        <v>6500</v>
      </c>
    </row>
    <row r="90" spans="41:219" ht="16.5" x14ac:dyDescent="0.2">
      <c r="AO90" s="87">
        <v>4</v>
      </c>
      <c r="AP90" s="87">
        <v>3</v>
      </c>
      <c r="AQ90" s="87">
        <v>29</v>
      </c>
      <c r="AR90" s="144">
        <f t="shared" si="137"/>
        <v>4429</v>
      </c>
      <c r="AS90" s="144" t="s">
        <v>1233</v>
      </c>
      <c r="AT90" s="144" t="str">
        <f t="shared" si="138"/>
        <v>神器本-4-噩梦-1  神器1-2</v>
      </c>
      <c r="AU90" s="87">
        <v>2</v>
      </c>
      <c r="AV90" s="87" t="s">
        <v>308</v>
      </c>
      <c r="AW90" s="87">
        <v>1500</v>
      </c>
      <c r="AX90" s="87">
        <v>1</v>
      </c>
      <c r="AY90" s="87">
        <v>1</v>
      </c>
      <c r="AZ90" s="87">
        <f t="shared" si="139"/>
        <v>1</v>
      </c>
      <c r="BA90" s="14">
        <f t="shared" si="140"/>
        <v>0.15</v>
      </c>
      <c r="BB90" s="14">
        <f t="shared" si="141"/>
        <v>1.5</v>
      </c>
      <c r="GY90" s="91">
        <v>84</v>
      </c>
      <c r="GZ90" s="14">
        <f t="shared" si="142"/>
        <v>6</v>
      </c>
      <c r="HA90" s="14">
        <f t="shared" si="143"/>
        <v>2</v>
      </c>
      <c r="HB90" s="14">
        <f t="shared" si="144"/>
        <v>2</v>
      </c>
      <c r="HC90" s="14">
        <f t="shared" si="145"/>
        <v>0.50800000000000001</v>
      </c>
      <c r="HD90" s="14">
        <f t="shared" si="146"/>
        <v>1606008</v>
      </c>
      <c r="HE90" s="14" t="str">
        <f t="shared" si="147"/>
        <v>神器2-3 : 9级</v>
      </c>
      <c r="HF90" s="14" t="s">
        <v>800</v>
      </c>
      <c r="HG90" s="14">
        <f t="shared" si="148"/>
        <v>9</v>
      </c>
      <c r="HH90" s="14" t="str">
        <f t="shared" si="149"/>
        <v>神器2-3</v>
      </c>
      <c r="HI90" s="14">
        <f t="shared" si="150"/>
        <v>3</v>
      </c>
      <c r="HJ90" s="14" t="s">
        <v>1595</v>
      </c>
      <c r="HK90" s="14">
        <f t="shared" si="151"/>
        <v>6650</v>
      </c>
    </row>
    <row r="91" spans="41:219" ht="16.5" x14ac:dyDescent="0.2">
      <c r="AO91" s="87">
        <v>4</v>
      </c>
      <c r="AP91" s="87">
        <v>3</v>
      </c>
      <c r="AQ91" s="87">
        <v>29</v>
      </c>
      <c r="AR91" s="144">
        <f t="shared" si="137"/>
        <v>4429</v>
      </c>
      <c r="AS91" s="144" t="s">
        <v>1233</v>
      </c>
      <c r="AT91" s="144" t="str">
        <f t="shared" si="138"/>
        <v>神器本-4-噩梦-1  神器1-3</v>
      </c>
      <c r="AU91" s="87">
        <v>3</v>
      </c>
      <c r="AV91" s="87" t="s">
        <v>309</v>
      </c>
      <c r="AW91" s="87">
        <v>1000</v>
      </c>
      <c r="AX91" s="87">
        <v>1</v>
      </c>
      <c r="AY91" s="87">
        <v>1</v>
      </c>
      <c r="AZ91" s="87">
        <f t="shared" si="139"/>
        <v>2</v>
      </c>
      <c r="BA91" s="14">
        <f t="shared" si="140"/>
        <v>0.1</v>
      </c>
      <c r="BB91" s="14">
        <f t="shared" si="141"/>
        <v>3</v>
      </c>
      <c r="GY91" s="91">
        <v>85</v>
      </c>
      <c r="GZ91" s="14">
        <f t="shared" si="142"/>
        <v>6</v>
      </c>
      <c r="HA91" s="14">
        <f t="shared" si="143"/>
        <v>2</v>
      </c>
      <c r="HB91" s="14">
        <f t="shared" si="144"/>
        <v>2</v>
      </c>
      <c r="HC91" s="14">
        <f t="shared" si="145"/>
        <v>0.52</v>
      </c>
      <c r="HD91" s="14">
        <f t="shared" si="146"/>
        <v>1606008</v>
      </c>
      <c r="HE91" s="14" t="str">
        <f t="shared" si="147"/>
        <v>神器2-3 : 10级</v>
      </c>
      <c r="HF91" s="14" t="s">
        <v>800</v>
      </c>
      <c r="HG91" s="14">
        <f t="shared" si="148"/>
        <v>10</v>
      </c>
      <c r="HH91" s="14" t="str">
        <f t="shared" si="149"/>
        <v>神器2-3</v>
      </c>
      <c r="HI91" s="14">
        <f t="shared" si="150"/>
        <v>5</v>
      </c>
      <c r="HJ91" s="14" t="s">
        <v>1595</v>
      </c>
      <c r="HK91" s="14">
        <f t="shared" si="151"/>
        <v>6800</v>
      </c>
    </row>
    <row r="92" spans="41:219" ht="16.5" x14ac:dyDescent="0.2">
      <c r="AO92" s="87">
        <v>4</v>
      </c>
      <c r="AP92" s="87">
        <v>3</v>
      </c>
      <c r="AQ92" s="87">
        <v>29</v>
      </c>
      <c r="AR92" s="144">
        <f t="shared" si="137"/>
        <v>4429</v>
      </c>
      <c r="AS92" s="144" t="s">
        <v>1233</v>
      </c>
      <c r="AT92" s="144" t="str">
        <f t="shared" si="138"/>
        <v>神器本-4-噩梦-1  神器2-1</v>
      </c>
      <c r="AU92" s="87">
        <v>4</v>
      </c>
      <c r="AV92" s="87" t="s">
        <v>310</v>
      </c>
      <c r="AW92" s="87">
        <v>1500</v>
      </c>
      <c r="AX92" s="87">
        <v>1</v>
      </c>
      <c r="AY92" s="87">
        <v>1</v>
      </c>
      <c r="AZ92" s="87">
        <f t="shared" si="139"/>
        <v>1</v>
      </c>
      <c r="BA92" s="14">
        <f t="shared" si="140"/>
        <v>0.15</v>
      </c>
      <c r="BB92" s="14">
        <f t="shared" si="141"/>
        <v>2.25</v>
      </c>
      <c r="GY92" s="91">
        <v>86</v>
      </c>
      <c r="GZ92" s="14">
        <f t="shared" si="142"/>
        <v>6</v>
      </c>
      <c r="HA92" s="14">
        <f t="shared" si="143"/>
        <v>2</v>
      </c>
      <c r="HB92" s="14">
        <f t="shared" si="144"/>
        <v>2</v>
      </c>
      <c r="HC92" s="14">
        <f t="shared" si="145"/>
        <v>0.53100000000000003</v>
      </c>
      <c r="HD92" s="14">
        <f t="shared" si="146"/>
        <v>1606008</v>
      </c>
      <c r="HE92" s="14" t="str">
        <f t="shared" si="147"/>
        <v>神器2-3 : 11级</v>
      </c>
      <c r="HF92" s="14" t="s">
        <v>800</v>
      </c>
      <c r="HG92" s="14">
        <f t="shared" si="148"/>
        <v>11</v>
      </c>
      <c r="HH92" s="14" t="str">
        <f t="shared" si="149"/>
        <v>神器2-3</v>
      </c>
      <c r="HI92" s="14">
        <f t="shared" si="150"/>
        <v>5</v>
      </c>
      <c r="HJ92" s="14" t="s">
        <v>1595</v>
      </c>
      <c r="HK92" s="14">
        <f t="shared" si="151"/>
        <v>6950</v>
      </c>
    </row>
    <row r="93" spans="41:219" ht="16.5" x14ac:dyDescent="0.2">
      <c r="AO93" s="87">
        <v>4</v>
      </c>
      <c r="AP93" s="87">
        <v>3</v>
      </c>
      <c r="AQ93" s="87">
        <v>29</v>
      </c>
      <c r="AR93" s="144">
        <f t="shared" si="137"/>
        <v>4429</v>
      </c>
      <c r="AS93" s="144" t="s">
        <v>1233</v>
      </c>
      <c r="AT93" s="144" t="str">
        <f t="shared" si="138"/>
        <v>神器本-4-噩梦-1  神器2-2</v>
      </c>
      <c r="AU93" s="87">
        <v>5</v>
      </c>
      <c r="AV93" s="87" t="s">
        <v>311</v>
      </c>
      <c r="AW93" s="87">
        <v>1500</v>
      </c>
      <c r="AX93" s="87">
        <v>1</v>
      </c>
      <c r="AY93" s="87">
        <v>1</v>
      </c>
      <c r="AZ93" s="87">
        <f t="shared" si="139"/>
        <v>1</v>
      </c>
      <c r="BA93" s="14">
        <f t="shared" si="140"/>
        <v>0.15</v>
      </c>
      <c r="BB93" s="14">
        <f t="shared" si="141"/>
        <v>2.25</v>
      </c>
      <c r="GY93" s="91">
        <v>87</v>
      </c>
      <c r="GZ93" s="14">
        <f t="shared" si="142"/>
        <v>6</v>
      </c>
      <c r="HA93" s="14">
        <f t="shared" si="143"/>
        <v>2</v>
      </c>
      <c r="HB93" s="14">
        <f t="shared" si="144"/>
        <v>2</v>
      </c>
      <c r="HC93" s="14">
        <f t="shared" si="145"/>
        <v>0.54200000000000004</v>
      </c>
      <c r="HD93" s="14">
        <f t="shared" si="146"/>
        <v>1606008</v>
      </c>
      <c r="HE93" s="14" t="str">
        <f t="shared" si="147"/>
        <v>神器2-3 : 12级</v>
      </c>
      <c r="HF93" s="14" t="s">
        <v>800</v>
      </c>
      <c r="HG93" s="14">
        <f t="shared" si="148"/>
        <v>12</v>
      </c>
      <c r="HH93" s="14" t="str">
        <f t="shared" si="149"/>
        <v>神器2-3</v>
      </c>
      <c r="HI93" s="14">
        <f t="shared" si="150"/>
        <v>6</v>
      </c>
      <c r="HJ93" s="14" t="s">
        <v>1595</v>
      </c>
      <c r="HK93" s="14">
        <f t="shared" si="151"/>
        <v>7100</v>
      </c>
    </row>
    <row r="94" spans="41:219" ht="16.5" x14ac:dyDescent="0.2">
      <c r="AO94" s="87">
        <v>4</v>
      </c>
      <c r="AP94" s="87">
        <v>3</v>
      </c>
      <c r="AQ94" s="87">
        <v>29</v>
      </c>
      <c r="AR94" s="144">
        <f t="shared" si="137"/>
        <v>4429</v>
      </c>
      <c r="AS94" s="144" t="s">
        <v>1233</v>
      </c>
      <c r="AT94" s="144" t="str">
        <f t="shared" si="138"/>
        <v>神器本-4-噩梦-1  神器2-3</v>
      </c>
      <c r="AU94" s="87">
        <v>6</v>
      </c>
      <c r="AV94" s="87" t="s">
        <v>312</v>
      </c>
      <c r="AW94" s="87">
        <v>1000</v>
      </c>
      <c r="AX94" s="87">
        <v>1</v>
      </c>
      <c r="AY94" s="87">
        <v>1</v>
      </c>
      <c r="AZ94" s="87">
        <f t="shared" si="139"/>
        <v>2</v>
      </c>
      <c r="BA94" s="14">
        <f t="shared" si="140"/>
        <v>0.1</v>
      </c>
      <c r="BB94" s="14">
        <f t="shared" si="141"/>
        <v>4.5</v>
      </c>
      <c r="GY94" s="91">
        <v>88</v>
      </c>
      <c r="GZ94" s="14">
        <f t="shared" si="142"/>
        <v>6</v>
      </c>
      <c r="HA94" s="14">
        <f t="shared" si="143"/>
        <v>2</v>
      </c>
      <c r="HB94" s="14">
        <f t="shared" si="144"/>
        <v>2</v>
      </c>
      <c r="HC94" s="14">
        <f t="shared" si="145"/>
        <v>0.55300000000000005</v>
      </c>
      <c r="HD94" s="14">
        <f t="shared" si="146"/>
        <v>1606008</v>
      </c>
      <c r="HE94" s="14" t="str">
        <f t="shared" si="147"/>
        <v>神器2-3 : 13级</v>
      </c>
      <c r="HF94" s="14" t="s">
        <v>800</v>
      </c>
      <c r="HG94" s="14">
        <f t="shared" si="148"/>
        <v>13</v>
      </c>
      <c r="HH94" s="14" t="str">
        <f t="shared" si="149"/>
        <v>神器2-3</v>
      </c>
      <c r="HI94" s="14">
        <f t="shared" si="150"/>
        <v>7</v>
      </c>
      <c r="HJ94" s="14" t="s">
        <v>1595</v>
      </c>
      <c r="HK94" s="14">
        <f t="shared" si="151"/>
        <v>7250</v>
      </c>
    </row>
    <row r="95" spans="41:219" ht="16.5" x14ac:dyDescent="0.2">
      <c r="AO95" s="87">
        <v>4</v>
      </c>
      <c r="AP95" s="87">
        <v>3</v>
      </c>
      <c r="AQ95" s="87">
        <v>29</v>
      </c>
      <c r="AR95" s="144">
        <f t="shared" si="137"/>
        <v>4429</v>
      </c>
      <c r="AS95" s="144" t="s">
        <v>1233</v>
      </c>
      <c r="AT95" s="144" t="str">
        <f t="shared" si="138"/>
        <v>神器本-4-噩梦-1  神器2-4</v>
      </c>
      <c r="AU95" s="87">
        <v>7</v>
      </c>
      <c r="AV95" s="87" t="s">
        <v>313</v>
      </c>
      <c r="AW95" s="87">
        <v>1000</v>
      </c>
      <c r="AX95" s="87">
        <v>1</v>
      </c>
      <c r="AY95" s="87">
        <v>1</v>
      </c>
      <c r="AZ95" s="87">
        <f t="shared" si="139"/>
        <v>2</v>
      </c>
      <c r="BA95" s="14">
        <f t="shared" si="140"/>
        <v>0.1</v>
      </c>
      <c r="BB95" s="14">
        <f t="shared" si="141"/>
        <v>4.5</v>
      </c>
      <c r="GY95" s="91">
        <v>89</v>
      </c>
      <c r="GZ95" s="14">
        <f t="shared" si="142"/>
        <v>6</v>
      </c>
      <c r="HA95" s="14">
        <f t="shared" si="143"/>
        <v>2</v>
      </c>
      <c r="HB95" s="14">
        <f t="shared" si="144"/>
        <v>2</v>
      </c>
      <c r="HC95" s="14">
        <f t="shared" si="145"/>
        <v>0.56399999999999995</v>
      </c>
      <c r="HD95" s="14">
        <f t="shared" si="146"/>
        <v>1606008</v>
      </c>
      <c r="HE95" s="14" t="str">
        <f t="shared" si="147"/>
        <v>神器2-3 : 14级</v>
      </c>
      <c r="HF95" s="14" t="s">
        <v>800</v>
      </c>
      <c r="HG95" s="14">
        <f t="shared" si="148"/>
        <v>14</v>
      </c>
      <c r="HH95" s="14" t="str">
        <f t="shared" si="149"/>
        <v>神器2-3</v>
      </c>
      <c r="HI95" s="14">
        <f t="shared" si="150"/>
        <v>7</v>
      </c>
      <c r="HJ95" s="14" t="s">
        <v>1595</v>
      </c>
      <c r="HK95" s="14">
        <f t="shared" si="151"/>
        <v>7400</v>
      </c>
    </row>
    <row r="96" spans="41:219" ht="16.5" x14ac:dyDescent="0.2">
      <c r="AO96" s="87">
        <v>4</v>
      </c>
      <c r="AP96" s="87">
        <v>3</v>
      </c>
      <c r="AQ96" s="87">
        <v>29</v>
      </c>
      <c r="AR96" s="144">
        <f t="shared" si="137"/>
        <v>4429</v>
      </c>
      <c r="AS96" s="144" t="s">
        <v>1233</v>
      </c>
      <c r="AT96" s="144" t="str">
        <f t="shared" si="138"/>
        <v>神器本-4-噩梦-1  神器2-5</v>
      </c>
      <c r="AU96" s="87">
        <v>8</v>
      </c>
      <c r="AV96" s="87" t="s">
        <v>314</v>
      </c>
      <c r="AW96" s="87">
        <v>1000</v>
      </c>
      <c r="AX96" s="87">
        <v>1</v>
      </c>
      <c r="AY96" s="87">
        <v>1</v>
      </c>
      <c r="AZ96" s="87">
        <f t="shared" si="139"/>
        <v>3</v>
      </c>
      <c r="BA96" s="14">
        <f t="shared" si="140"/>
        <v>0.1</v>
      </c>
      <c r="BB96" s="14">
        <f t="shared" si="141"/>
        <v>10.5</v>
      </c>
      <c r="GY96" s="91">
        <v>90</v>
      </c>
      <c r="GZ96" s="14">
        <f t="shared" si="142"/>
        <v>6</v>
      </c>
      <c r="HA96" s="14">
        <f t="shared" si="143"/>
        <v>2</v>
      </c>
      <c r="HB96" s="14">
        <f t="shared" si="144"/>
        <v>2</v>
      </c>
      <c r="HC96" s="14">
        <f t="shared" si="145"/>
        <v>0.57399999999999995</v>
      </c>
      <c r="HD96" s="14">
        <f t="shared" si="146"/>
        <v>1606008</v>
      </c>
      <c r="HE96" s="14" t="str">
        <f t="shared" si="147"/>
        <v>神器2-3 : 15级</v>
      </c>
      <c r="HF96" s="14" t="s">
        <v>800</v>
      </c>
      <c r="HG96" s="14">
        <f t="shared" si="148"/>
        <v>15</v>
      </c>
      <c r="HH96" s="14" t="str">
        <f t="shared" si="149"/>
        <v>神器2-3</v>
      </c>
      <c r="HI96" s="14">
        <f t="shared" si="150"/>
        <v>7</v>
      </c>
      <c r="HJ96" s="14" t="s">
        <v>1595</v>
      </c>
      <c r="HK96" s="14">
        <f t="shared" si="151"/>
        <v>7550</v>
      </c>
    </row>
    <row r="97" spans="41:219" ht="16.5" x14ac:dyDescent="0.2">
      <c r="AO97" s="87">
        <v>4</v>
      </c>
      <c r="AP97" s="87">
        <v>3</v>
      </c>
      <c r="AQ97" s="87">
        <v>30</v>
      </c>
      <c r="AR97" s="144">
        <f t="shared" si="137"/>
        <v>4430</v>
      </c>
      <c r="AS97" s="144" t="s">
        <v>1234</v>
      </c>
      <c r="AT97" s="144" t="str">
        <f t="shared" si="138"/>
        <v>神器本-4-噩梦-2  神器4-1</v>
      </c>
      <c r="AU97" s="87">
        <v>15</v>
      </c>
      <c r="AV97" s="87" t="s">
        <v>321</v>
      </c>
      <c r="AW97" s="87">
        <v>5000</v>
      </c>
      <c r="AX97" s="87">
        <v>1</v>
      </c>
      <c r="AY97" s="87">
        <v>3</v>
      </c>
      <c r="AZ97" s="87">
        <f t="shared" si="139"/>
        <v>1</v>
      </c>
      <c r="BA97" s="14">
        <f t="shared" si="140"/>
        <v>1</v>
      </c>
      <c r="BB97" s="14">
        <f t="shared" si="141"/>
        <v>25</v>
      </c>
      <c r="GY97" s="91">
        <v>91</v>
      </c>
      <c r="GZ97" s="14">
        <f t="shared" si="142"/>
        <v>7</v>
      </c>
      <c r="HA97" s="14">
        <f t="shared" si="143"/>
        <v>2</v>
      </c>
      <c r="HB97" s="14">
        <f t="shared" si="144"/>
        <v>2</v>
      </c>
      <c r="HC97" s="14">
        <f t="shared" si="145"/>
        <v>0.40200000000000002</v>
      </c>
      <c r="HD97" s="14">
        <f t="shared" si="146"/>
        <v>1606009</v>
      </c>
      <c r="HE97" s="14" t="str">
        <f t="shared" si="147"/>
        <v>神器2-4 : 1级</v>
      </c>
      <c r="HF97" s="14" t="s">
        <v>800</v>
      </c>
      <c r="HG97" s="14">
        <f t="shared" si="148"/>
        <v>1</v>
      </c>
      <c r="HH97" s="14" t="str">
        <f t="shared" si="149"/>
        <v>神器2-4</v>
      </c>
      <c r="HI97" s="14">
        <f t="shared" si="150"/>
        <v>1</v>
      </c>
      <c r="HJ97" s="14" t="s">
        <v>1595</v>
      </c>
      <c r="HK97" s="14">
        <f t="shared" si="151"/>
        <v>5250</v>
      </c>
    </row>
    <row r="98" spans="41:219" ht="16.5" x14ac:dyDescent="0.2">
      <c r="AO98" s="87">
        <v>4</v>
      </c>
      <c r="AP98" s="87">
        <v>3</v>
      </c>
      <c r="AQ98" s="87">
        <v>30</v>
      </c>
      <c r="AR98" s="144">
        <f t="shared" si="137"/>
        <v>4430</v>
      </c>
      <c r="AS98" s="144" t="s">
        <v>1234</v>
      </c>
      <c r="AT98" s="144" t="str">
        <f t="shared" si="138"/>
        <v>神器本-4-噩梦-2  神器4-2</v>
      </c>
      <c r="AU98" s="87">
        <v>16</v>
      </c>
      <c r="AV98" s="87" t="s">
        <v>322</v>
      </c>
      <c r="AW98" s="87">
        <v>5000</v>
      </c>
      <c r="AX98" s="87">
        <v>1</v>
      </c>
      <c r="AY98" s="87">
        <v>3</v>
      </c>
      <c r="AZ98" s="87">
        <f t="shared" si="139"/>
        <v>1</v>
      </c>
      <c r="BA98" s="14">
        <f t="shared" si="140"/>
        <v>1</v>
      </c>
      <c r="BB98" s="14">
        <f t="shared" si="141"/>
        <v>25</v>
      </c>
      <c r="GY98" s="91">
        <v>92</v>
      </c>
      <c r="GZ98" s="14">
        <f t="shared" si="142"/>
        <v>7</v>
      </c>
      <c r="HA98" s="14">
        <f t="shared" si="143"/>
        <v>2</v>
      </c>
      <c r="HB98" s="14">
        <f t="shared" si="144"/>
        <v>2</v>
      </c>
      <c r="HC98" s="14">
        <f t="shared" si="145"/>
        <v>0.41699999999999998</v>
      </c>
      <c r="HD98" s="14">
        <f t="shared" si="146"/>
        <v>1606009</v>
      </c>
      <c r="HE98" s="14" t="str">
        <f t="shared" si="147"/>
        <v>神器2-4 : 2级</v>
      </c>
      <c r="HF98" s="14" t="s">
        <v>800</v>
      </c>
      <c r="HG98" s="14">
        <f t="shared" si="148"/>
        <v>2</v>
      </c>
      <c r="HH98" s="14" t="str">
        <f t="shared" si="149"/>
        <v>神器2-4</v>
      </c>
      <c r="HI98" s="14">
        <f t="shared" si="150"/>
        <v>1</v>
      </c>
      <c r="HJ98" s="14" t="s">
        <v>1595</v>
      </c>
      <c r="HK98" s="14">
        <f t="shared" si="151"/>
        <v>5450</v>
      </c>
    </row>
    <row r="99" spans="41:219" ht="16.5" x14ac:dyDescent="0.2">
      <c r="AO99" s="87">
        <v>4</v>
      </c>
      <c r="AP99" s="87">
        <v>3</v>
      </c>
      <c r="AQ99" s="87">
        <v>31</v>
      </c>
      <c r="AR99" s="144">
        <f t="shared" si="137"/>
        <v>4431</v>
      </c>
      <c r="AS99" s="144" t="s">
        <v>1235</v>
      </c>
      <c r="AT99" s="144" t="str">
        <f t="shared" si="138"/>
        <v>神器本-4-噩梦-3  神器4-3</v>
      </c>
      <c r="AU99" s="87">
        <v>17</v>
      </c>
      <c r="AV99" s="87" t="s">
        <v>323</v>
      </c>
      <c r="AW99" s="87">
        <v>3500</v>
      </c>
      <c r="AX99" s="87">
        <v>1</v>
      </c>
      <c r="AY99" s="87">
        <v>2</v>
      </c>
      <c r="AZ99" s="87">
        <f t="shared" si="139"/>
        <v>2</v>
      </c>
      <c r="BA99" s="14">
        <f t="shared" si="140"/>
        <v>0.52500000000000002</v>
      </c>
      <c r="BB99" s="14">
        <f t="shared" si="141"/>
        <v>39.375</v>
      </c>
      <c r="GY99" s="91">
        <v>93</v>
      </c>
      <c r="GZ99" s="14">
        <f t="shared" si="142"/>
        <v>7</v>
      </c>
      <c r="HA99" s="14">
        <f t="shared" si="143"/>
        <v>2</v>
      </c>
      <c r="HB99" s="14">
        <f t="shared" si="144"/>
        <v>2</v>
      </c>
      <c r="HC99" s="14">
        <f t="shared" si="145"/>
        <v>0.43099999999999999</v>
      </c>
      <c r="HD99" s="14">
        <f t="shared" si="146"/>
        <v>1606009</v>
      </c>
      <c r="HE99" s="14" t="str">
        <f t="shared" si="147"/>
        <v>神器2-4 : 3级</v>
      </c>
      <c r="HF99" s="14" t="s">
        <v>800</v>
      </c>
      <c r="HG99" s="14">
        <f t="shared" si="148"/>
        <v>3</v>
      </c>
      <c r="HH99" s="14" t="str">
        <f t="shared" si="149"/>
        <v>神器2-4</v>
      </c>
      <c r="HI99" s="14">
        <f t="shared" si="150"/>
        <v>1</v>
      </c>
      <c r="HJ99" s="14" t="s">
        <v>1595</v>
      </c>
      <c r="HK99" s="14">
        <f t="shared" si="151"/>
        <v>5650</v>
      </c>
    </row>
    <row r="100" spans="41:219" ht="16.5" x14ac:dyDescent="0.2">
      <c r="AO100" s="87">
        <v>4</v>
      </c>
      <c r="AP100" s="87">
        <v>3</v>
      </c>
      <c r="AQ100" s="87">
        <v>31</v>
      </c>
      <c r="AR100" s="144">
        <f t="shared" si="137"/>
        <v>4431</v>
      </c>
      <c r="AS100" s="144" t="s">
        <v>1235</v>
      </c>
      <c r="AT100" s="144" t="str">
        <f t="shared" si="138"/>
        <v>神器本-4-噩梦-3  神器4-4</v>
      </c>
      <c r="AU100" s="87">
        <v>18</v>
      </c>
      <c r="AV100" s="87" t="s">
        <v>324</v>
      </c>
      <c r="AW100" s="87">
        <v>3500</v>
      </c>
      <c r="AX100" s="87">
        <v>1</v>
      </c>
      <c r="AY100" s="87">
        <v>2</v>
      </c>
      <c r="AZ100" s="87">
        <f t="shared" si="139"/>
        <v>2</v>
      </c>
      <c r="BA100" s="14">
        <f t="shared" si="140"/>
        <v>0.52500000000000002</v>
      </c>
      <c r="BB100" s="14">
        <f t="shared" si="141"/>
        <v>39.375</v>
      </c>
      <c r="GY100" s="91">
        <v>94</v>
      </c>
      <c r="GZ100" s="14">
        <f t="shared" si="142"/>
        <v>7</v>
      </c>
      <c r="HA100" s="14">
        <f t="shared" si="143"/>
        <v>2</v>
      </c>
      <c r="HB100" s="14">
        <f t="shared" si="144"/>
        <v>2</v>
      </c>
      <c r="HC100" s="14">
        <f t="shared" si="145"/>
        <v>0.44500000000000001</v>
      </c>
      <c r="HD100" s="14">
        <f t="shared" si="146"/>
        <v>1606009</v>
      </c>
      <c r="HE100" s="14" t="str">
        <f t="shared" si="147"/>
        <v>神器2-4 : 4级</v>
      </c>
      <c r="HF100" s="14" t="s">
        <v>800</v>
      </c>
      <c r="HG100" s="14">
        <f t="shared" si="148"/>
        <v>4</v>
      </c>
      <c r="HH100" s="14" t="str">
        <f t="shared" si="149"/>
        <v>神器2-4</v>
      </c>
      <c r="HI100" s="14">
        <f t="shared" si="150"/>
        <v>2</v>
      </c>
      <c r="HJ100" s="14" t="s">
        <v>1595</v>
      </c>
      <c r="HK100" s="14">
        <f t="shared" si="151"/>
        <v>5850</v>
      </c>
    </row>
    <row r="101" spans="41:219" ht="16.5" x14ac:dyDescent="0.2">
      <c r="AO101" s="87">
        <v>4</v>
      </c>
      <c r="AP101" s="87">
        <v>3</v>
      </c>
      <c r="AQ101" s="87">
        <v>32</v>
      </c>
      <c r="AR101" s="144">
        <f t="shared" si="137"/>
        <v>4432</v>
      </c>
      <c r="AS101" s="144" t="s">
        <v>1236</v>
      </c>
      <c r="AT101" s="144" t="str">
        <f t="shared" si="138"/>
        <v>神器本-4-噩梦-4  神器4-5</v>
      </c>
      <c r="AU101" s="87">
        <v>19</v>
      </c>
      <c r="AV101" s="87" t="s">
        <v>325</v>
      </c>
      <c r="AW101" s="87">
        <v>2000</v>
      </c>
      <c r="AX101" s="87">
        <v>1</v>
      </c>
      <c r="AY101" s="87">
        <v>1</v>
      </c>
      <c r="AZ101" s="87">
        <f t="shared" si="139"/>
        <v>3</v>
      </c>
      <c r="BA101" s="14">
        <f t="shared" si="140"/>
        <v>0.2</v>
      </c>
      <c r="BB101" s="14">
        <f t="shared" si="141"/>
        <v>35</v>
      </c>
      <c r="GY101" s="91">
        <v>95</v>
      </c>
      <c r="GZ101" s="14">
        <f t="shared" si="142"/>
        <v>7</v>
      </c>
      <c r="HA101" s="14">
        <f t="shared" si="143"/>
        <v>2</v>
      </c>
      <c r="HB101" s="14">
        <f t="shared" si="144"/>
        <v>2</v>
      </c>
      <c r="HC101" s="14">
        <f t="shared" si="145"/>
        <v>0.45800000000000002</v>
      </c>
      <c r="HD101" s="14">
        <f t="shared" si="146"/>
        <v>1606009</v>
      </c>
      <c r="HE101" s="14" t="str">
        <f t="shared" si="147"/>
        <v>神器2-4 : 5级</v>
      </c>
      <c r="HF101" s="14" t="s">
        <v>800</v>
      </c>
      <c r="HG101" s="14">
        <f t="shared" si="148"/>
        <v>5</v>
      </c>
      <c r="HH101" s="14" t="str">
        <f t="shared" si="149"/>
        <v>神器2-4</v>
      </c>
      <c r="HI101" s="14">
        <f t="shared" si="150"/>
        <v>2</v>
      </c>
      <c r="HJ101" s="14" t="s">
        <v>1595</v>
      </c>
      <c r="HK101" s="14">
        <f t="shared" si="151"/>
        <v>6000</v>
      </c>
    </row>
    <row r="102" spans="41:219" ht="16.5" x14ac:dyDescent="0.2">
      <c r="AO102" s="87">
        <v>4</v>
      </c>
      <c r="AP102" s="87">
        <v>3</v>
      </c>
      <c r="AQ102" s="87">
        <v>33</v>
      </c>
      <c r="AR102" s="144">
        <f t="shared" si="137"/>
        <v>4433</v>
      </c>
      <c r="AS102" s="144" t="s">
        <v>1237</v>
      </c>
      <c r="AT102" s="144" t="str">
        <f t="shared" si="138"/>
        <v>神器本-4-噩梦-5  神器4-6</v>
      </c>
      <c r="AU102" s="87">
        <v>20</v>
      </c>
      <c r="AV102" s="87" t="s">
        <v>326</v>
      </c>
      <c r="AW102" s="87">
        <v>1000</v>
      </c>
      <c r="AX102" s="87">
        <v>1</v>
      </c>
      <c r="AY102" s="87">
        <v>1</v>
      </c>
      <c r="AZ102" s="87">
        <f t="shared" si="139"/>
        <v>4</v>
      </c>
      <c r="BA102" s="14">
        <f t="shared" si="140"/>
        <v>0.1</v>
      </c>
      <c r="BB102" s="14">
        <f t="shared" si="141"/>
        <v>37.5</v>
      </c>
      <c r="GY102" s="91">
        <v>96</v>
      </c>
      <c r="GZ102" s="14">
        <f t="shared" si="142"/>
        <v>7</v>
      </c>
      <c r="HA102" s="14">
        <f t="shared" si="143"/>
        <v>2</v>
      </c>
      <c r="HB102" s="14">
        <f t="shared" si="144"/>
        <v>2</v>
      </c>
      <c r="HC102" s="14">
        <f t="shared" si="145"/>
        <v>0.47099999999999997</v>
      </c>
      <c r="HD102" s="14">
        <f t="shared" si="146"/>
        <v>1606009</v>
      </c>
      <c r="HE102" s="14" t="str">
        <f t="shared" si="147"/>
        <v>神器2-4 : 6级</v>
      </c>
      <c r="HF102" s="14" t="s">
        <v>800</v>
      </c>
      <c r="HG102" s="14">
        <f t="shared" si="148"/>
        <v>6</v>
      </c>
      <c r="HH102" s="14" t="str">
        <f t="shared" si="149"/>
        <v>神器2-4</v>
      </c>
      <c r="HI102" s="14">
        <f t="shared" si="150"/>
        <v>2</v>
      </c>
      <c r="HJ102" s="14" t="s">
        <v>1595</v>
      </c>
      <c r="HK102" s="14">
        <f t="shared" si="151"/>
        <v>6200</v>
      </c>
    </row>
    <row r="103" spans="41:219" ht="16.5" x14ac:dyDescent="0.2">
      <c r="AO103" s="87">
        <v>5</v>
      </c>
      <c r="AP103" s="87">
        <v>1</v>
      </c>
      <c r="AQ103" s="87">
        <v>34</v>
      </c>
      <c r="AR103" s="144">
        <f t="shared" si="137"/>
        <v>4434</v>
      </c>
      <c r="AS103" s="144" t="s">
        <v>1238</v>
      </c>
      <c r="AT103" s="144" t="str">
        <f t="shared" si="138"/>
        <v>神器本-5-普通-1  神器1-1</v>
      </c>
      <c r="AU103" s="87">
        <v>1</v>
      </c>
      <c r="AV103" s="87" t="s">
        <v>307</v>
      </c>
      <c r="AW103" s="87">
        <v>1500</v>
      </c>
      <c r="AX103" s="87">
        <v>1</v>
      </c>
      <c r="AY103" s="87">
        <v>1</v>
      </c>
      <c r="AZ103" s="87">
        <f t="shared" si="139"/>
        <v>1</v>
      </c>
      <c r="BA103" s="14">
        <f t="shared" si="140"/>
        <v>0.15</v>
      </c>
      <c r="BB103" s="14">
        <f t="shared" si="141"/>
        <v>1.5</v>
      </c>
      <c r="GY103" s="91">
        <v>97</v>
      </c>
      <c r="GZ103" s="14">
        <f t="shared" si="142"/>
        <v>7</v>
      </c>
      <c r="HA103" s="14">
        <f t="shared" si="143"/>
        <v>2</v>
      </c>
      <c r="HB103" s="14">
        <f t="shared" si="144"/>
        <v>2</v>
      </c>
      <c r="HC103" s="14">
        <f t="shared" si="145"/>
        <v>0.48399999999999999</v>
      </c>
      <c r="HD103" s="14">
        <f t="shared" si="146"/>
        <v>1606009</v>
      </c>
      <c r="HE103" s="14" t="str">
        <f t="shared" si="147"/>
        <v>神器2-4 : 7级</v>
      </c>
      <c r="HF103" s="14" t="s">
        <v>800</v>
      </c>
      <c r="HG103" s="14">
        <f t="shared" si="148"/>
        <v>7</v>
      </c>
      <c r="HH103" s="14" t="str">
        <f t="shared" si="149"/>
        <v>神器2-4</v>
      </c>
      <c r="HI103" s="14">
        <f t="shared" si="150"/>
        <v>3</v>
      </c>
      <c r="HJ103" s="14" t="s">
        <v>1595</v>
      </c>
      <c r="HK103" s="14">
        <f t="shared" si="151"/>
        <v>6350</v>
      </c>
    </row>
    <row r="104" spans="41:219" ht="16.5" x14ac:dyDescent="0.2">
      <c r="AO104" s="87">
        <v>5</v>
      </c>
      <c r="AP104" s="87">
        <v>1</v>
      </c>
      <c r="AQ104" s="87">
        <v>34</v>
      </c>
      <c r="AR104" s="144">
        <f t="shared" si="137"/>
        <v>4434</v>
      </c>
      <c r="AS104" s="144" t="s">
        <v>1238</v>
      </c>
      <c r="AT104" s="144" t="str">
        <f t="shared" si="138"/>
        <v>神器本-5-普通-1  神器1-2</v>
      </c>
      <c r="AU104" s="87">
        <v>2</v>
      </c>
      <c r="AV104" s="87" t="s">
        <v>308</v>
      </c>
      <c r="AW104" s="87">
        <v>1500</v>
      </c>
      <c r="AX104" s="87">
        <v>1</v>
      </c>
      <c r="AY104" s="87">
        <v>1</v>
      </c>
      <c r="AZ104" s="87">
        <f t="shared" si="139"/>
        <v>1</v>
      </c>
      <c r="BA104" s="14">
        <f t="shared" si="140"/>
        <v>0.15</v>
      </c>
      <c r="BB104" s="14">
        <f t="shared" si="141"/>
        <v>1.5</v>
      </c>
      <c r="GY104" s="91">
        <v>98</v>
      </c>
      <c r="GZ104" s="14">
        <f t="shared" si="142"/>
        <v>7</v>
      </c>
      <c r="HA104" s="14">
        <f t="shared" si="143"/>
        <v>2</v>
      </c>
      <c r="HB104" s="14">
        <f t="shared" si="144"/>
        <v>2</v>
      </c>
      <c r="HC104" s="14">
        <f t="shared" si="145"/>
        <v>0.496</v>
      </c>
      <c r="HD104" s="14">
        <f t="shared" si="146"/>
        <v>1606009</v>
      </c>
      <c r="HE104" s="14" t="str">
        <f t="shared" si="147"/>
        <v>神器2-4 : 8级</v>
      </c>
      <c r="HF104" s="14" t="s">
        <v>800</v>
      </c>
      <c r="HG104" s="14">
        <f t="shared" si="148"/>
        <v>8</v>
      </c>
      <c r="HH104" s="14" t="str">
        <f t="shared" si="149"/>
        <v>神器2-4</v>
      </c>
      <c r="HI104" s="14">
        <f t="shared" si="150"/>
        <v>3</v>
      </c>
      <c r="HJ104" s="14" t="s">
        <v>1595</v>
      </c>
      <c r="HK104" s="14">
        <f t="shared" si="151"/>
        <v>6500</v>
      </c>
    </row>
    <row r="105" spans="41:219" ht="16.5" x14ac:dyDescent="0.2">
      <c r="AO105" s="87">
        <v>5</v>
      </c>
      <c r="AP105" s="87">
        <v>1</v>
      </c>
      <c r="AQ105" s="87">
        <v>34</v>
      </c>
      <c r="AR105" s="144">
        <f t="shared" si="137"/>
        <v>4434</v>
      </c>
      <c r="AS105" s="144" t="s">
        <v>1238</v>
      </c>
      <c r="AT105" s="144" t="str">
        <f t="shared" si="138"/>
        <v>神器本-5-普通-1  神器1-3</v>
      </c>
      <c r="AU105" s="87">
        <v>3</v>
      </c>
      <c r="AV105" s="87" t="s">
        <v>309</v>
      </c>
      <c r="AW105" s="87">
        <v>1000</v>
      </c>
      <c r="AX105" s="87">
        <v>1</v>
      </c>
      <c r="AY105" s="87">
        <v>1</v>
      </c>
      <c r="AZ105" s="87">
        <f t="shared" si="139"/>
        <v>2</v>
      </c>
      <c r="BA105" s="14">
        <f t="shared" si="140"/>
        <v>0.1</v>
      </c>
      <c r="BB105" s="14">
        <f t="shared" si="141"/>
        <v>3</v>
      </c>
      <c r="GY105" s="91">
        <v>99</v>
      </c>
      <c r="GZ105" s="14">
        <f t="shared" si="142"/>
        <v>7</v>
      </c>
      <c r="HA105" s="14">
        <f t="shared" si="143"/>
        <v>2</v>
      </c>
      <c r="HB105" s="14">
        <f t="shared" si="144"/>
        <v>2</v>
      </c>
      <c r="HC105" s="14">
        <f t="shared" si="145"/>
        <v>0.50800000000000001</v>
      </c>
      <c r="HD105" s="14">
        <f t="shared" si="146"/>
        <v>1606009</v>
      </c>
      <c r="HE105" s="14" t="str">
        <f t="shared" si="147"/>
        <v>神器2-4 : 9级</v>
      </c>
      <c r="HF105" s="14" t="s">
        <v>800</v>
      </c>
      <c r="HG105" s="14">
        <f t="shared" si="148"/>
        <v>9</v>
      </c>
      <c r="HH105" s="14" t="str">
        <f t="shared" si="149"/>
        <v>神器2-4</v>
      </c>
      <c r="HI105" s="14">
        <f t="shared" si="150"/>
        <v>3</v>
      </c>
      <c r="HJ105" s="14" t="s">
        <v>1595</v>
      </c>
      <c r="HK105" s="14">
        <f t="shared" si="151"/>
        <v>6650</v>
      </c>
    </row>
    <row r="106" spans="41:219" ht="16.5" x14ac:dyDescent="0.2">
      <c r="AO106" s="87">
        <v>5</v>
      </c>
      <c r="AP106" s="87">
        <v>1</v>
      </c>
      <c r="AQ106" s="87">
        <v>34</v>
      </c>
      <c r="AR106" s="144">
        <f t="shared" si="137"/>
        <v>4434</v>
      </c>
      <c r="AS106" s="144" t="s">
        <v>1238</v>
      </c>
      <c r="AT106" s="144" t="str">
        <f t="shared" si="138"/>
        <v>神器本-5-普通-1  神器2-1</v>
      </c>
      <c r="AU106" s="87">
        <v>4</v>
      </c>
      <c r="AV106" s="87" t="s">
        <v>310</v>
      </c>
      <c r="AW106" s="87">
        <v>1500</v>
      </c>
      <c r="AX106" s="87">
        <v>1</v>
      </c>
      <c r="AY106" s="87">
        <v>1</v>
      </c>
      <c r="AZ106" s="87">
        <f t="shared" si="139"/>
        <v>1</v>
      </c>
      <c r="BA106" s="14">
        <f t="shared" si="140"/>
        <v>0.15</v>
      </c>
      <c r="BB106" s="14">
        <f t="shared" si="141"/>
        <v>2.25</v>
      </c>
      <c r="GY106" s="91">
        <v>100</v>
      </c>
      <c r="GZ106" s="14">
        <f t="shared" si="142"/>
        <v>7</v>
      </c>
      <c r="HA106" s="14">
        <f t="shared" si="143"/>
        <v>2</v>
      </c>
      <c r="HB106" s="14">
        <f t="shared" si="144"/>
        <v>2</v>
      </c>
      <c r="HC106" s="14">
        <f t="shared" si="145"/>
        <v>0.52</v>
      </c>
      <c r="HD106" s="14">
        <f t="shared" si="146"/>
        <v>1606009</v>
      </c>
      <c r="HE106" s="14" t="str">
        <f t="shared" si="147"/>
        <v>神器2-4 : 10级</v>
      </c>
      <c r="HF106" s="14" t="s">
        <v>800</v>
      </c>
      <c r="HG106" s="14">
        <f t="shared" si="148"/>
        <v>10</v>
      </c>
      <c r="HH106" s="14" t="str">
        <f t="shared" si="149"/>
        <v>神器2-4</v>
      </c>
      <c r="HI106" s="14">
        <f t="shared" si="150"/>
        <v>5</v>
      </c>
      <c r="HJ106" s="14" t="s">
        <v>1595</v>
      </c>
      <c r="HK106" s="14">
        <f t="shared" si="151"/>
        <v>6800</v>
      </c>
    </row>
    <row r="107" spans="41:219" ht="16.5" x14ac:dyDescent="0.2">
      <c r="AO107" s="87">
        <v>5</v>
      </c>
      <c r="AP107" s="87">
        <v>1</v>
      </c>
      <c r="AQ107" s="87">
        <v>34</v>
      </c>
      <c r="AR107" s="144">
        <f t="shared" si="137"/>
        <v>4434</v>
      </c>
      <c r="AS107" s="144" t="s">
        <v>1238</v>
      </c>
      <c r="AT107" s="144" t="str">
        <f t="shared" si="138"/>
        <v>神器本-5-普通-1  神器2-2</v>
      </c>
      <c r="AU107" s="87">
        <v>5</v>
      </c>
      <c r="AV107" s="87" t="s">
        <v>311</v>
      </c>
      <c r="AW107" s="87">
        <v>1500</v>
      </c>
      <c r="AX107" s="87">
        <v>1</v>
      </c>
      <c r="AY107" s="87">
        <v>1</v>
      </c>
      <c r="AZ107" s="87">
        <f t="shared" si="139"/>
        <v>1</v>
      </c>
      <c r="BA107" s="14">
        <f t="shared" si="140"/>
        <v>0.15</v>
      </c>
      <c r="BB107" s="14">
        <f t="shared" si="141"/>
        <v>2.25</v>
      </c>
      <c r="GY107" s="91">
        <v>101</v>
      </c>
      <c r="GZ107" s="14">
        <f t="shared" si="142"/>
        <v>7</v>
      </c>
      <c r="HA107" s="14">
        <f t="shared" si="143"/>
        <v>2</v>
      </c>
      <c r="HB107" s="14">
        <f t="shared" si="144"/>
        <v>2</v>
      </c>
      <c r="HC107" s="14">
        <f t="shared" si="145"/>
        <v>0.53100000000000003</v>
      </c>
      <c r="HD107" s="14">
        <f t="shared" si="146"/>
        <v>1606009</v>
      </c>
      <c r="HE107" s="14" t="str">
        <f t="shared" si="147"/>
        <v>神器2-4 : 11级</v>
      </c>
      <c r="HF107" s="14" t="s">
        <v>800</v>
      </c>
      <c r="HG107" s="14">
        <f t="shared" si="148"/>
        <v>11</v>
      </c>
      <c r="HH107" s="14" t="str">
        <f t="shared" si="149"/>
        <v>神器2-4</v>
      </c>
      <c r="HI107" s="14">
        <f t="shared" si="150"/>
        <v>5</v>
      </c>
      <c r="HJ107" s="14" t="s">
        <v>1595</v>
      </c>
      <c r="HK107" s="14">
        <f t="shared" si="151"/>
        <v>6950</v>
      </c>
    </row>
    <row r="108" spans="41:219" ht="16.5" x14ac:dyDescent="0.2">
      <c r="AO108" s="87">
        <v>5</v>
      </c>
      <c r="AP108" s="87">
        <v>1</v>
      </c>
      <c r="AQ108" s="87">
        <v>34</v>
      </c>
      <c r="AR108" s="144">
        <f t="shared" si="137"/>
        <v>4434</v>
      </c>
      <c r="AS108" s="144" t="s">
        <v>1238</v>
      </c>
      <c r="AT108" s="144" t="str">
        <f t="shared" si="138"/>
        <v>神器本-5-普通-1  神器2-3</v>
      </c>
      <c r="AU108" s="87">
        <v>6</v>
      </c>
      <c r="AV108" s="87" t="s">
        <v>312</v>
      </c>
      <c r="AW108" s="87">
        <v>1000</v>
      </c>
      <c r="AX108" s="87">
        <v>1</v>
      </c>
      <c r="AY108" s="87">
        <v>1</v>
      </c>
      <c r="AZ108" s="87">
        <f t="shared" si="139"/>
        <v>2</v>
      </c>
      <c r="BA108" s="14">
        <f t="shared" si="140"/>
        <v>0.1</v>
      </c>
      <c r="BB108" s="14">
        <f t="shared" si="141"/>
        <v>4.5</v>
      </c>
      <c r="GY108" s="91">
        <v>102</v>
      </c>
      <c r="GZ108" s="14">
        <f t="shared" si="142"/>
        <v>7</v>
      </c>
      <c r="HA108" s="14">
        <f t="shared" si="143"/>
        <v>2</v>
      </c>
      <c r="HB108" s="14">
        <f t="shared" si="144"/>
        <v>2</v>
      </c>
      <c r="HC108" s="14">
        <f t="shared" si="145"/>
        <v>0.54200000000000004</v>
      </c>
      <c r="HD108" s="14">
        <f t="shared" si="146"/>
        <v>1606009</v>
      </c>
      <c r="HE108" s="14" t="str">
        <f t="shared" si="147"/>
        <v>神器2-4 : 12级</v>
      </c>
      <c r="HF108" s="14" t="s">
        <v>800</v>
      </c>
      <c r="HG108" s="14">
        <f t="shared" si="148"/>
        <v>12</v>
      </c>
      <c r="HH108" s="14" t="str">
        <f t="shared" si="149"/>
        <v>神器2-4</v>
      </c>
      <c r="HI108" s="14">
        <f t="shared" si="150"/>
        <v>6</v>
      </c>
      <c r="HJ108" s="14" t="s">
        <v>1595</v>
      </c>
      <c r="HK108" s="14">
        <f t="shared" si="151"/>
        <v>7100</v>
      </c>
    </row>
    <row r="109" spans="41:219" ht="16.5" x14ac:dyDescent="0.2">
      <c r="AO109" s="87">
        <v>5</v>
      </c>
      <c r="AP109" s="87">
        <v>1</v>
      </c>
      <c r="AQ109" s="87">
        <v>34</v>
      </c>
      <c r="AR109" s="144">
        <f t="shared" si="137"/>
        <v>4434</v>
      </c>
      <c r="AS109" s="144" t="s">
        <v>1238</v>
      </c>
      <c r="AT109" s="144" t="str">
        <f t="shared" si="138"/>
        <v>神器本-5-普通-1  神器2-4</v>
      </c>
      <c r="AU109" s="87">
        <v>7</v>
      </c>
      <c r="AV109" s="87" t="s">
        <v>313</v>
      </c>
      <c r="AW109" s="87">
        <v>1000</v>
      </c>
      <c r="AX109" s="87">
        <v>1</v>
      </c>
      <c r="AY109" s="87">
        <v>1</v>
      </c>
      <c r="AZ109" s="87">
        <f t="shared" si="139"/>
        <v>2</v>
      </c>
      <c r="BA109" s="14">
        <f t="shared" si="140"/>
        <v>0.1</v>
      </c>
      <c r="BB109" s="14">
        <f t="shared" si="141"/>
        <v>4.5</v>
      </c>
      <c r="GY109" s="91">
        <v>103</v>
      </c>
      <c r="GZ109" s="14">
        <f t="shared" si="142"/>
        <v>7</v>
      </c>
      <c r="HA109" s="14">
        <f t="shared" si="143"/>
        <v>2</v>
      </c>
      <c r="HB109" s="14">
        <f t="shared" si="144"/>
        <v>2</v>
      </c>
      <c r="HC109" s="14">
        <f t="shared" si="145"/>
        <v>0.55300000000000005</v>
      </c>
      <c r="HD109" s="14">
        <f t="shared" si="146"/>
        <v>1606009</v>
      </c>
      <c r="HE109" s="14" t="str">
        <f t="shared" si="147"/>
        <v>神器2-4 : 13级</v>
      </c>
      <c r="HF109" s="14" t="s">
        <v>800</v>
      </c>
      <c r="HG109" s="14">
        <f t="shared" si="148"/>
        <v>13</v>
      </c>
      <c r="HH109" s="14" t="str">
        <f t="shared" si="149"/>
        <v>神器2-4</v>
      </c>
      <c r="HI109" s="14">
        <f t="shared" si="150"/>
        <v>7</v>
      </c>
      <c r="HJ109" s="14" t="s">
        <v>1595</v>
      </c>
      <c r="HK109" s="14">
        <f t="shared" si="151"/>
        <v>7250</v>
      </c>
    </row>
    <row r="110" spans="41:219" ht="16.5" x14ac:dyDescent="0.2">
      <c r="AO110" s="87">
        <v>5</v>
      </c>
      <c r="AP110" s="87">
        <v>1</v>
      </c>
      <c r="AQ110" s="87">
        <v>34</v>
      </c>
      <c r="AR110" s="144">
        <f t="shared" si="137"/>
        <v>4434</v>
      </c>
      <c r="AS110" s="144" t="s">
        <v>1238</v>
      </c>
      <c r="AT110" s="144" t="str">
        <f t="shared" si="138"/>
        <v>神器本-5-普通-1  神器2-5</v>
      </c>
      <c r="AU110" s="87">
        <v>8</v>
      </c>
      <c r="AV110" s="87" t="s">
        <v>314</v>
      </c>
      <c r="AW110" s="87">
        <v>1000</v>
      </c>
      <c r="AX110" s="87">
        <v>1</v>
      </c>
      <c r="AY110" s="87">
        <v>1</v>
      </c>
      <c r="AZ110" s="87">
        <f t="shared" si="139"/>
        <v>3</v>
      </c>
      <c r="BA110" s="14">
        <f t="shared" si="140"/>
        <v>0.1</v>
      </c>
      <c r="BB110" s="14">
        <f t="shared" si="141"/>
        <v>10.5</v>
      </c>
      <c r="GY110" s="91">
        <v>104</v>
      </c>
      <c r="GZ110" s="14">
        <f t="shared" si="142"/>
        <v>7</v>
      </c>
      <c r="HA110" s="14">
        <f t="shared" si="143"/>
        <v>2</v>
      </c>
      <c r="HB110" s="14">
        <f t="shared" si="144"/>
        <v>2</v>
      </c>
      <c r="HC110" s="14">
        <f t="shared" si="145"/>
        <v>0.56399999999999995</v>
      </c>
      <c r="HD110" s="14">
        <f t="shared" si="146"/>
        <v>1606009</v>
      </c>
      <c r="HE110" s="14" t="str">
        <f t="shared" si="147"/>
        <v>神器2-4 : 14级</v>
      </c>
      <c r="HF110" s="14" t="s">
        <v>800</v>
      </c>
      <c r="HG110" s="14">
        <f t="shared" si="148"/>
        <v>14</v>
      </c>
      <c r="HH110" s="14" t="str">
        <f t="shared" si="149"/>
        <v>神器2-4</v>
      </c>
      <c r="HI110" s="14">
        <f t="shared" si="150"/>
        <v>7</v>
      </c>
      <c r="HJ110" s="14" t="s">
        <v>1595</v>
      </c>
      <c r="HK110" s="14">
        <f t="shared" si="151"/>
        <v>7400</v>
      </c>
    </row>
    <row r="111" spans="41:219" ht="16.5" x14ac:dyDescent="0.2">
      <c r="AO111" s="87">
        <v>5</v>
      </c>
      <c r="AP111" s="87">
        <v>1</v>
      </c>
      <c r="AQ111" s="87">
        <v>35</v>
      </c>
      <c r="AR111" s="144">
        <f t="shared" si="137"/>
        <v>4435</v>
      </c>
      <c r="AS111" s="144" t="s">
        <v>1239</v>
      </c>
      <c r="AT111" s="144" t="str">
        <f t="shared" si="138"/>
        <v>神器本-5-普通-2  神器5-1</v>
      </c>
      <c r="AU111" s="87">
        <v>21</v>
      </c>
      <c r="AV111" s="87" t="s">
        <v>327</v>
      </c>
      <c r="AW111" s="87">
        <v>5000</v>
      </c>
      <c r="AX111" s="87">
        <v>1</v>
      </c>
      <c r="AY111" s="87">
        <v>3</v>
      </c>
      <c r="AZ111" s="87">
        <f t="shared" si="139"/>
        <v>1</v>
      </c>
      <c r="BA111" s="14">
        <f t="shared" si="140"/>
        <v>1</v>
      </c>
      <c r="BB111" s="14">
        <f t="shared" si="141"/>
        <v>30</v>
      </c>
      <c r="GY111" s="91">
        <v>105</v>
      </c>
      <c r="GZ111" s="14">
        <f t="shared" si="142"/>
        <v>7</v>
      </c>
      <c r="HA111" s="14">
        <f t="shared" si="143"/>
        <v>2</v>
      </c>
      <c r="HB111" s="14">
        <f t="shared" si="144"/>
        <v>2</v>
      </c>
      <c r="HC111" s="14">
        <f t="shared" si="145"/>
        <v>0.57399999999999995</v>
      </c>
      <c r="HD111" s="14">
        <f t="shared" si="146"/>
        <v>1606009</v>
      </c>
      <c r="HE111" s="14" t="str">
        <f t="shared" si="147"/>
        <v>神器2-4 : 15级</v>
      </c>
      <c r="HF111" s="14" t="s">
        <v>800</v>
      </c>
      <c r="HG111" s="14">
        <f t="shared" si="148"/>
        <v>15</v>
      </c>
      <c r="HH111" s="14" t="str">
        <f t="shared" si="149"/>
        <v>神器2-4</v>
      </c>
      <c r="HI111" s="14">
        <f t="shared" si="150"/>
        <v>7</v>
      </c>
      <c r="HJ111" s="14" t="s">
        <v>1595</v>
      </c>
      <c r="HK111" s="14">
        <f t="shared" si="151"/>
        <v>7550</v>
      </c>
    </row>
    <row r="112" spans="41:219" ht="16.5" x14ac:dyDescent="0.2">
      <c r="AO112" s="87">
        <v>5</v>
      </c>
      <c r="AP112" s="87">
        <v>1</v>
      </c>
      <c r="AQ112" s="87">
        <v>35</v>
      </c>
      <c r="AR112" s="144">
        <f t="shared" si="137"/>
        <v>4435</v>
      </c>
      <c r="AS112" s="144" t="s">
        <v>1239</v>
      </c>
      <c r="AT112" s="144" t="str">
        <f t="shared" si="138"/>
        <v>神器本-5-普通-2  神器5-2</v>
      </c>
      <c r="AU112" s="87">
        <v>22</v>
      </c>
      <c r="AV112" s="87" t="s">
        <v>328</v>
      </c>
      <c r="AW112" s="87">
        <v>5000</v>
      </c>
      <c r="AX112" s="87">
        <v>1</v>
      </c>
      <c r="AY112" s="87">
        <v>3</v>
      </c>
      <c r="AZ112" s="87">
        <f t="shared" si="139"/>
        <v>1</v>
      </c>
      <c r="BA112" s="14">
        <f t="shared" si="140"/>
        <v>1</v>
      </c>
      <c r="BB112" s="14">
        <f t="shared" si="141"/>
        <v>30</v>
      </c>
      <c r="GY112" s="91">
        <v>106</v>
      </c>
      <c r="GZ112" s="14">
        <f t="shared" si="142"/>
        <v>8</v>
      </c>
      <c r="HA112" s="14">
        <f t="shared" si="143"/>
        <v>2</v>
      </c>
      <c r="HB112" s="14">
        <f t="shared" si="144"/>
        <v>3</v>
      </c>
      <c r="HC112" s="14">
        <f t="shared" si="145"/>
        <v>0.61499999999999999</v>
      </c>
      <c r="HD112" s="14">
        <f t="shared" si="146"/>
        <v>1606010</v>
      </c>
      <c r="HE112" s="14" t="str">
        <f t="shared" si="147"/>
        <v>神器2-5 : 1级</v>
      </c>
      <c r="HF112" s="14" t="s">
        <v>800</v>
      </c>
      <c r="HG112" s="14">
        <f t="shared" si="148"/>
        <v>1</v>
      </c>
      <c r="HH112" s="14" t="str">
        <f t="shared" si="149"/>
        <v>神器2-5</v>
      </c>
      <c r="HI112" s="14">
        <f t="shared" si="150"/>
        <v>1</v>
      </c>
      <c r="HJ112" s="14" t="s">
        <v>1595</v>
      </c>
      <c r="HK112" s="14">
        <f t="shared" si="151"/>
        <v>8050</v>
      </c>
    </row>
    <row r="113" spans="41:219" ht="16.5" x14ac:dyDescent="0.2">
      <c r="AO113" s="87">
        <v>5</v>
      </c>
      <c r="AP113" s="87">
        <v>1</v>
      </c>
      <c r="AQ113" s="87">
        <v>36</v>
      </c>
      <c r="AR113" s="144">
        <f t="shared" si="137"/>
        <v>4436</v>
      </c>
      <c r="AS113" s="144" t="s">
        <v>1264</v>
      </c>
      <c r="AT113" s="144" t="str">
        <f t="shared" si="138"/>
        <v>神器本-5-普通-3  神器5-3</v>
      </c>
      <c r="AU113" s="87">
        <v>23</v>
      </c>
      <c r="AV113" s="87" t="s">
        <v>329</v>
      </c>
      <c r="AW113" s="87">
        <v>3500</v>
      </c>
      <c r="AX113" s="87">
        <v>1</v>
      </c>
      <c r="AY113" s="87">
        <v>2</v>
      </c>
      <c r="AZ113" s="87">
        <f t="shared" si="139"/>
        <v>2</v>
      </c>
      <c r="BA113" s="14">
        <f t="shared" si="140"/>
        <v>0.52500000000000002</v>
      </c>
      <c r="BB113" s="14">
        <f t="shared" si="141"/>
        <v>47.25</v>
      </c>
      <c r="GY113" s="91">
        <v>107</v>
      </c>
      <c r="GZ113" s="14">
        <f t="shared" si="142"/>
        <v>8</v>
      </c>
      <c r="HA113" s="14">
        <f t="shared" si="143"/>
        <v>2</v>
      </c>
      <c r="HB113" s="14">
        <f t="shared" si="144"/>
        <v>3</v>
      </c>
      <c r="HC113" s="14">
        <f t="shared" si="145"/>
        <v>0.63700000000000001</v>
      </c>
      <c r="HD113" s="14">
        <f t="shared" si="146"/>
        <v>1606010</v>
      </c>
      <c r="HE113" s="14" t="str">
        <f t="shared" si="147"/>
        <v>神器2-5 : 2级</v>
      </c>
      <c r="HF113" s="14" t="s">
        <v>800</v>
      </c>
      <c r="HG113" s="14">
        <f t="shared" si="148"/>
        <v>2</v>
      </c>
      <c r="HH113" s="14" t="str">
        <f t="shared" si="149"/>
        <v>神器2-5</v>
      </c>
      <c r="HI113" s="14">
        <f t="shared" si="150"/>
        <v>1</v>
      </c>
      <c r="HJ113" s="14" t="s">
        <v>1595</v>
      </c>
      <c r="HK113" s="14">
        <f t="shared" si="151"/>
        <v>8350</v>
      </c>
    </row>
    <row r="114" spans="41:219" ht="16.5" x14ac:dyDescent="0.2">
      <c r="AO114" s="87">
        <v>5</v>
      </c>
      <c r="AP114" s="87">
        <v>1</v>
      </c>
      <c r="AQ114" s="87">
        <v>36</v>
      </c>
      <c r="AR114" s="144">
        <f t="shared" si="137"/>
        <v>4436</v>
      </c>
      <c r="AS114" s="144" t="s">
        <v>1265</v>
      </c>
      <c r="AT114" s="144" t="str">
        <f t="shared" si="138"/>
        <v>神器本-5-普通-3  神器5-4</v>
      </c>
      <c r="AU114" s="87">
        <v>24</v>
      </c>
      <c r="AV114" s="87" t="s">
        <v>330</v>
      </c>
      <c r="AW114" s="87">
        <v>3500</v>
      </c>
      <c r="AX114" s="87">
        <v>1</v>
      </c>
      <c r="AY114" s="87">
        <v>2</v>
      </c>
      <c r="AZ114" s="87">
        <f t="shared" si="139"/>
        <v>2</v>
      </c>
      <c r="BA114" s="14">
        <f t="shared" si="140"/>
        <v>0.52500000000000002</v>
      </c>
      <c r="BB114" s="14">
        <f t="shared" si="141"/>
        <v>47.25</v>
      </c>
      <c r="GY114" s="91">
        <v>108</v>
      </c>
      <c r="GZ114" s="14">
        <f t="shared" si="142"/>
        <v>8</v>
      </c>
      <c r="HA114" s="14">
        <f t="shared" si="143"/>
        <v>2</v>
      </c>
      <c r="HB114" s="14">
        <f t="shared" si="144"/>
        <v>3</v>
      </c>
      <c r="HC114" s="14">
        <f t="shared" si="145"/>
        <v>0.65900000000000003</v>
      </c>
      <c r="HD114" s="14">
        <f t="shared" si="146"/>
        <v>1606010</v>
      </c>
      <c r="HE114" s="14" t="str">
        <f t="shared" si="147"/>
        <v>神器2-5 : 3级</v>
      </c>
      <c r="HF114" s="14" t="s">
        <v>800</v>
      </c>
      <c r="HG114" s="14">
        <f t="shared" si="148"/>
        <v>3</v>
      </c>
      <c r="HH114" s="14" t="str">
        <f t="shared" si="149"/>
        <v>神器2-5</v>
      </c>
      <c r="HI114" s="14">
        <f t="shared" si="150"/>
        <v>1</v>
      </c>
      <c r="HJ114" s="14" t="s">
        <v>1595</v>
      </c>
      <c r="HK114" s="14">
        <f t="shared" si="151"/>
        <v>8650</v>
      </c>
    </row>
    <row r="115" spans="41:219" ht="16.5" x14ac:dyDescent="0.2">
      <c r="AO115" s="87">
        <v>5</v>
      </c>
      <c r="AP115" s="87">
        <v>2</v>
      </c>
      <c r="AQ115" s="87">
        <v>37</v>
      </c>
      <c r="AR115" s="144">
        <f t="shared" si="137"/>
        <v>4437</v>
      </c>
      <c r="AS115" s="144" t="s">
        <v>1240</v>
      </c>
      <c r="AT115" s="144" t="str">
        <f t="shared" si="138"/>
        <v>神器本-5-困难-1  神器1-1</v>
      </c>
      <c r="AU115" s="87">
        <v>1</v>
      </c>
      <c r="AV115" s="87" t="s">
        <v>307</v>
      </c>
      <c r="AW115" s="87">
        <v>1500</v>
      </c>
      <c r="AX115" s="87">
        <v>1</v>
      </c>
      <c r="AY115" s="87">
        <v>1</v>
      </c>
      <c r="AZ115" s="87">
        <f t="shared" si="139"/>
        <v>1</v>
      </c>
      <c r="BA115" s="14">
        <f t="shared" si="140"/>
        <v>0.15</v>
      </c>
      <c r="BB115" s="14">
        <f t="shared" si="141"/>
        <v>1.5</v>
      </c>
      <c r="GY115" s="91">
        <v>109</v>
      </c>
      <c r="GZ115" s="14">
        <f t="shared" si="142"/>
        <v>8</v>
      </c>
      <c r="HA115" s="14">
        <f t="shared" si="143"/>
        <v>2</v>
      </c>
      <c r="HB115" s="14">
        <f t="shared" si="144"/>
        <v>3</v>
      </c>
      <c r="HC115" s="14">
        <f t="shared" si="145"/>
        <v>0.68</v>
      </c>
      <c r="HD115" s="14">
        <f t="shared" si="146"/>
        <v>1606010</v>
      </c>
      <c r="HE115" s="14" t="str">
        <f t="shared" si="147"/>
        <v>神器2-5 : 4级</v>
      </c>
      <c r="HF115" s="14" t="s">
        <v>800</v>
      </c>
      <c r="HG115" s="14">
        <f t="shared" si="148"/>
        <v>4</v>
      </c>
      <c r="HH115" s="14" t="str">
        <f t="shared" si="149"/>
        <v>神器2-5</v>
      </c>
      <c r="HI115" s="14">
        <f t="shared" si="150"/>
        <v>2</v>
      </c>
      <c r="HJ115" s="14" t="s">
        <v>1595</v>
      </c>
      <c r="HK115" s="14">
        <f t="shared" si="151"/>
        <v>8900</v>
      </c>
    </row>
    <row r="116" spans="41:219" ht="16.5" x14ac:dyDescent="0.2">
      <c r="AO116" s="87">
        <v>5</v>
      </c>
      <c r="AP116" s="87">
        <v>2</v>
      </c>
      <c r="AQ116" s="87">
        <v>37</v>
      </c>
      <c r="AR116" s="144">
        <f t="shared" si="137"/>
        <v>4437</v>
      </c>
      <c r="AS116" s="144" t="s">
        <v>1240</v>
      </c>
      <c r="AT116" s="144" t="str">
        <f t="shared" si="138"/>
        <v>神器本-5-困难-1  神器1-2</v>
      </c>
      <c r="AU116" s="87">
        <v>2</v>
      </c>
      <c r="AV116" s="87" t="s">
        <v>308</v>
      </c>
      <c r="AW116" s="87">
        <v>1500</v>
      </c>
      <c r="AX116" s="87">
        <v>1</v>
      </c>
      <c r="AY116" s="87">
        <v>1</v>
      </c>
      <c r="AZ116" s="87">
        <f t="shared" si="139"/>
        <v>1</v>
      </c>
      <c r="BA116" s="14">
        <f t="shared" si="140"/>
        <v>0.15</v>
      </c>
      <c r="BB116" s="14">
        <f t="shared" si="141"/>
        <v>1.5</v>
      </c>
      <c r="GY116" s="91">
        <v>110</v>
      </c>
      <c r="GZ116" s="14">
        <f t="shared" si="142"/>
        <v>8</v>
      </c>
      <c r="HA116" s="14">
        <f t="shared" si="143"/>
        <v>2</v>
      </c>
      <c r="HB116" s="14">
        <f t="shared" si="144"/>
        <v>3</v>
      </c>
      <c r="HC116" s="14">
        <f t="shared" si="145"/>
        <v>0.7</v>
      </c>
      <c r="HD116" s="14">
        <f t="shared" si="146"/>
        <v>1606010</v>
      </c>
      <c r="HE116" s="14" t="str">
        <f t="shared" si="147"/>
        <v>神器2-5 : 5级</v>
      </c>
      <c r="HF116" s="14" t="s">
        <v>800</v>
      </c>
      <c r="HG116" s="14">
        <f t="shared" si="148"/>
        <v>5</v>
      </c>
      <c r="HH116" s="14" t="str">
        <f t="shared" si="149"/>
        <v>神器2-5</v>
      </c>
      <c r="HI116" s="14">
        <f t="shared" si="150"/>
        <v>2</v>
      </c>
      <c r="HJ116" s="14" t="s">
        <v>1595</v>
      </c>
      <c r="HK116" s="14">
        <f t="shared" si="151"/>
        <v>9200</v>
      </c>
    </row>
    <row r="117" spans="41:219" ht="16.5" x14ac:dyDescent="0.2">
      <c r="AO117" s="87">
        <v>5</v>
      </c>
      <c r="AP117" s="87">
        <v>2</v>
      </c>
      <c r="AQ117" s="87">
        <v>37</v>
      </c>
      <c r="AR117" s="144">
        <f t="shared" si="137"/>
        <v>4437</v>
      </c>
      <c r="AS117" s="144" t="s">
        <v>1240</v>
      </c>
      <c r="AT117" s="144" t="str">
        <f t="shared" si="138"/>
        <v>神器本-5-困难-1  神器1-3</v>
      </c>
      <c r="AU117" s="87">
        <v>3</v>
      </c>
      <c r="AV117" s="87" t="s">
        <v>309</v>
      </c>
      <c r="AW117" s="87">
        <v>1000</v>
      </c>
      <c r="AX117" s="87">
        <v>1</v>
      </c>
      <c r="AY117" s="87">
        <v>1</v>
      </c>
      <c r="AZ117" s="87">
        <f t="shared" si="139"/>
        <v>2</v>
      </c>
      <c r="BA117" s="14">
        <f t="shared" si="140"/>
        <v>0.1</v>
      </c>
      <c r="BB117" s="14">
        <f t="shared" si="141"/>
        <v>3</v>
      </c>
      <c r="GY117" s="91">
        <v>111</v>
      </c>
      <c r="GZ117" s="14">
        <f t="shared" si="142"/>
        <v>8</v>
      </c>
      <c r="HA117" s="14">
        <f t="shared" si="143"/>
        <v>2</v>
      </c>
      <c r="HB117" s="14">
        <f t="shared" si="144"/>
        <v>3</v>
      </c>
      <c r="HC117" s="14">
        <f t="shared" si="145"/>
        <v>0.72</v>
      </c>
      <c r="HD117" s="14">
        <f t="shared" si="146"/>
        <v>1606010</v>
      </c>
      <c r="HE117" s="14" t="str">
        <f t="shared" si="147"/>
        <v>神器2-5 : 6级</v>
      </c>
      <c r="HF117" s="14" t="s">
        <v>800</v>
      </c>
      <c r="HG117" s="14">
        <f t="shared" si="148"/>
        <v>6</v>
      </c>
      <c r="HH117" s="14" t="str">
        <f t="shared" si="149"/>
        <v>神器2-5</v>
      </c>
      <c r="HI117" s="14">
        <f t="shared" si="150"/>
        <v>2</v>
      </c>
      <c r="HJ117" s="14" t="s">
        <v>1595</v>
      </c>
      <c r="HK117" s="14">
        <f t="shared" si="151"/>
        <v>9450</v>
      </c>
    </row>
    <row r="118" spans="41:219" ht="16.5" x14ac:dyDescent="0.2">
      <c r="AO118" s="87">
        <v>5</v>
      </c>
      <c r="AP118" s="87">
        <v>2</v>
      </c>
      <c r="AQ118" s="87">
        <v>37</v>
      </c>
      <c r="AR118" s="144">
        <f t="shared" si="137"/>
        <v>4437</v>
      </c>
      <c r="AS118" s="144" t="s">
        <v>1240</v>
      </c>
      <c r="AT118" s="144" t="str">
        <f t="shared" si="138"/>
        <v>神器本-5-困难-1  神器2-1</v>
      </c>
      <c r="AU118" s="87">
        <v>4</v>
      </c>
      <c r="AV118" s="87" t="s">
        <v>310</v>
      </c>
      <c r="AW118" s="87">
        <v>1500</v>
      </c>
      <c r="AX118" s="87">
        <v>1</v>
      </c>
      <c r="AY118" s="87">
        <v>1</v>
      </c>
      <c r="AZ118" s="87">
        <f t="shared" si="139"/>
        <v>1</v>
      </c>
      <c r="BA118" s="14">
        <f t="shared" si="140"/>
        <v>0.15</v>
      </c>
      <c r="BB118" s="14">
        <f t="shared" si="141"/>
        <v>2.25</v>
      </c>
      <c r="GY118" s="91">
        <v>112</v>
      </c>
      <c r="GZ118" s="14">
        <f t="shared" si="142"/>
        <v>8</v>
      </c>
      <c r="HA118" s="14">
        <f t="shared" si="143"/>
        <v>2</v>
      </c>
      <c r="HB118" s="14">
        <f t="shared" si="144"/>
        <v>3</v>
      </c>
      <c r="HC118" s="14">
        <f t="shared" si="145"/>
        <v>0.73899999999999999</v>
      </c>
      <c r="HD118" s="14">
        <f t="shared" si="146"/>
        <v>1606010</v>
      </c>
      <c r="HE118" s="14" t="str">
        <f t="shared" si="147"/>
        <v>神器2-5 : 7级</v>
      </c>
      <c r="HF118" s="14" t="s">
        <v>800</v>
      </c>
      <c r="HG118" s="14">
        <f t="shared" si="148"/>
        <v>7</v>
      </c>
      <c r="HH118" s="14" t="str">
        <f t="shared" si="149"/>
        <v>神器2-5</v>
      </c>
      <c r="HI118" s="14">
        <f t="shared" si="150"/>
        <v>3</v>
      </c>
      <c r="HJ118" s="14" t="s">
        <v>1595</v>
      </c>
      <c r="HK118" s="14">
        <f t="shared" si="151"/>
        <v>9700</v>
      </c>
    </row>
    <row r="119" spans="41:219" ht="16.5" x14ac:dyDescent="0.2">
      <c r="AO119" s="87">
        <v>5</v>
      </c>
      <c r="AP119" s="87">
        <v>2</v>
      </c>
      <c r="AQ119" s="87">
        <v>37</v>
      </c>
      <c r="AR119" s="144">
        <f t="shared" si="137"/>
        <v>4437</v>
      </c>
      <c r="AS119" s="144" t="s">
        <v>1240</v>
      </c>
      <c r="AT119" s="144" t="str">
        <f t="shared" si="138"/>
        <v>神器本-5-困难-1  神器2-2</v>
      </c>
      <c r="AU119" s="87">
        <v>5</v>
      </c>
      <c r="AV119" s="87" t="s">
        <v>311</v>
      </c>
      <c r="AW119" s="87">
        <v>1500</v>
      </c>
      <c r="AX119" s="87">
        <v>1</v>
      </c>
      <c r="AY119" s="87">
        <v>1</v>
      </c>
      <c r="AZ119" s="87">
        <f t="shared" si="139"/>
        <v>1</v>
      </c>
      <c r="BA119" s="14">
        <f t="shared" si="140"/>
        <v>0.15</v>
      </c>
      <c r="BB119" s="14">
        <f t="shared" si="141"/>
        <v>2.25</v>
      </c>
      <c r="GY119" s="91">
        <v>113</v>
      </c>
      <c r="GZ119" s="14">
        <f t="shared" si="142"/>
        <v>8</v>
      </c>
      <c r="HA119" s="14">
        <f t="shared" si="143"/>
        <v>2</v>
      </c>
      <c r="HB119" s="14">
        <f t="shared" si="144"/>
        <v>3</v>
      </c>
      <c r="HC119" s="14">
        <f t="shared" si="145"/>
        <v>0.75800000000000001</v>
      </c>
      <c r="HD119" s="14">
        <f t="shared" si="146"/>
        <v>1606010</v>
      </c>
      <c r="HE119" s="14" t="str">
        <f t="shared" si="147"/>
        <v>神器2-5 : 8级</v>
      </c>
      <c r="HF119" s="14" t="s">
        <v>800</v>
      </c>
      <c r="HG119" s="14">
        <f t="shared" si="148"/>
        <v>8</v>
      </c>
      <c r="HH119" s="14" t="str">
        <f t="shared" si="149"/>
        <v>神器2-5</v>
      </c>
      <c r="HI119" s="14">
        <f t="shared" si="150"/>
        <v>3</v>
      </c>
      <c r="HJ119" s="14" t="s">
        <v>1595</v>
      </c>
      <c r="HK119" s="14">
        <f t="shared" si="151"/>
        <v>9950</v>
      </c>
    </row>
    <row r="120" spans="41:219" ht="16.5" x14ac:dyDescent="0.2">
      <c r="AO120" s="87">
        <v>5</v>
      </c>
      <c r="AP120" s="87">
        <v>2</v>
      </c>
      <c r="AQ120" s="87">
        <v>37</v>
      </c>
      <c r="AR120" s="144">
        <f t="shared" si="137"/>
        <v>4437</v>
      </c>
      <c r="AS120" s="144" t="s">
        <v>1240</v>
      </c>
      <c r="AT120" s="144" t="str">
        <f t="shared" si="138"/>
        <v>神器本-5-困难-1  神器2-3</v>
      </c>
      <c r="AU120" s="87">
        <v>6</v>
      </c>
      <c r="AV120" s="87" t="s">
        <v>312</v>
      </c>
      <c r="AW120" s="87">
        <v>1000</v>
      </c>
      <c r="AX120" s="87">
        <v>1</v>
      </c>
      <c r="AY120" s="87">
        <v>1</v>
      </c>
      <c r="AZ120" s="87">
        <f t="shared" si="139"/>
        <v>2</v>
      </c>
      <c r="BA120" s="14">
        <f t="shared" si="140"/>
        <v>0.1</v>
      </c>
      <c r="BB120" s="14">
        <f t="shared" si="141"/>
        <v>4.5</v>
      </c>
      <c r="GY120" s="91">
        <v>114</v>
      </c>
      <c r="GZ120" s="14">
        <f t="shared" si="142"/>
        <v>8</v>
      </c>
      <c r="HA120" s="14">
        <f t="shared" si="143"/>
        <v>2</v>
      </c>
      <c r="HB120" s="14">
        <f t="shared" si="144"/>
        <v>3</v>
      </c>
      <c r="HC120" s="14">
        <f t="shared" si="145"/>
        <v>0.77600000000000002</v>
      </c>
      <c r="HD120" s="14">
        <f t="shared" si="146"/>
        <v>1606010</v>
      </c>
      <c r="HE120" s="14" t="str">
        <f t="shared" si="147"/>
        <v>神器2-5 : 9级</v>
      </c>
      <c r="HF120" s="14" t="s">
        <v>800</v>
      </c>
      <c r="HG120" s="14">
        <f t="shared" si="148"/>
        <v>9</v>
      </c>
      <c r="HH120" s="14" t="str">
        <f t="shared" si="149"/>
        <v>神器2-5</v>
      </c>
      <c r="HI120" s="14">
        <f t="shared" si="150"/>
        <v>3</v>
      </c>
      <c r="HJ120" s="14" t="s">
        <v>1595</v>
      </c>
      <c r="HK120" s="14">
        <f t="shared" si="151"/>
        <v>10200</v>
      </c>
    </row>
    <row r="121" spans="41:219" ht="16.5" x14ac:dyDescent="0.2">
      <c r="AO121" s="87">
        <v>5</v>
      </c>
      <c r="AP121" s="87">
        <v>2</v>
      </c>
      <c r="AQ121" s="87">
        <v>37</v>
      </c>
      <c r="AR121" s="144">
        <f t="shared" si="137"/>
        <v>4437</v>
      </c>
      <c r="AS121" s="144" t="s">
        <v>1240</v>
      </c>
      <c r="AT121" s="144" t="str">
        <f t="shared" si="138"/>
        <v>神器本-5-困难-1  神器2-4</v>
      </c>
      <c r="AU121" s="87">
        <v>7</v>
      </c>
      <c r="AV121" s="87" t="s">
        <v>313</v>
      </c>
      <c r="AW121" s="87">
        <v>1000</v>
      </c>
      <c r="AX121" s="87">
        <v>1</v>
      </c>
      <c r="AY121" s="87">
        <v>1</v>
      </c>
      <c r="AZ121" s="87">
        <f t="shared" si="139"/>
        <v>2</v>
      </c>
      <c r="BA121" s="14">
        <f t="shared" si="140"/>
        <v>0.1</v>
      </c>
      <c r="BB121" s="14">
        <f t="shared" si="141"/>
        <v>4.5</v>
      </c>
      <c r="GY121" s="91">
        <v>115</v>
      </c>
      <c r="GZ121" s="14">
        <f t="shared" si="142"/>
        <v>8</v>
      </c>
      <c r="HA121" s="14">
        <f t="shared" si="143"/>
        <v>2</v>
      </c>
      <c r="HB121" s="14">
        <f t="shared" si="144"/>
        <v>3</v>
      </c>
      <c r="HC121" s="14">
        <f t="shared" si="145"/>
        <v>0.79400000000000004</v>
      </c>
      <c r="HD121" s="14">
        <f t="shared" si="146"/>
        <v>1606010</v>
      </c>
      <c r="HE121" s="14" t="str">
        <f t="shared" si="147"/>
        <v>神器2-5 : 10级</v>
      </c>
      <c r="HF121" s="14" t="s">
        <v>800</v>
      </c>
      <c r="HG121" s="14">
        <f t="shared" si="148"/>
        <v>10</v>
      </c>
      <c r="HH121" s="14" t="str">
        <f t="shared" si="149"/>
        <v>神器2-5</v>
      </c>
      <c r="HI121" s="14">
        <f t="shared" si="150"/>
        <v>5</v>
      </c>
      <c r="HJ121" s="14" t="s">
        <v>1595</v>
      </c>
      <c r="HK121" s="14">
        <f t="shared" si="151"/>
        <v>10400</v>
      </c>
    </row>
    <row r="122" spans="41:219" ht="16.5" x14ac:dyDescent="0.2">
      <c r="AO122" s="87">
        <v>5</v>
      </c>
      <c r="AP122" s="87">
        <v>2</v>
      </c>
      <c r="AQ122" s="87">
        <v>37</v>
      </c>
      <c r="AR122" s="144">
        <f t="shared" si="137"/>
        <v>4437</v>
      </c>
      <c r="AS122" s="144" t="s">
        <v>1240</v>
      </c>
      <c r="AT122" s="144" t="str">
        <f t="shared" si="138"/>
        <v>神器本-5-困难-1  神器2-5</v>
      </c>
      <c r="AU122" s="87">
        <v>8</v>
      </c>
      <c r="AV122" s="87" t="s">
        <v>314</v>
      </c>
      <c r="AW122" s="87">
        <v>1000</v>
      </c>
      <c r="AX122" s="87">
        <v>1</v>
      </c>
      <c r="AY122" s="87">
        <v>1</v>
      </c>
      <c r="AZ122" s="87">
        <f t="shared" si="139"/>
        <v>3</v>
      </c>
      <c r="BA122" s="14">
        <f t="shared" si="140"/>
        <v>0.1</v>
      </c>
      <c r="BB122" s="14">
        <f t="shared" si="141"/>
        <v>10.5</v>
      </c>
      <c r="GY122" s="91">
        <v>116</v>
      </c>
      <c r="GZ122" s="14">
        <f t="shared" si="142"/>
        <v>8</v>
      </c>
      <c r="HA122" s="14">
        <f t="shared" si="143"/>
        <v>2</v>
      </c>
      <c r="HB122" s="14">
        <f t="shared" si="144"/>
        <v>3</v>
      </c>
      <c r="HC122" s="14">
        <f t="shared" si="145"/>
        <v>0.81100000000000005</v>
      </c>
      <c r="HD122" s="14">
        <f t="shared" si="146"/>
        <v>1606010</v>
      </c>
      <c r="HE122" s="14" t="str">
        <f t="shared" si="147"/>
        <v>神器2-5 : 11级</v>
      </c>
      <c r="HF122" s="14" t="s">
        <v>800</v>
      </c>
      <c r="HG122" s="14">
        <f t="shared" si="148"/>
        <v>11</v>
      </c>
      <c r="HH122" s="14" t="str">
        <f t="shared" si="149"/>
        <v>神器2-5</v>
      </c>
      <c r="HI122" s="14">
        <f t="shared" si="150"/>
        <v>5</v>
      </c>
      <c r="HJ122" s="14" t="s">
        <v>1595</v>
      </c>
      <c r="HK122" s="14">
        <f t="shared" si="151"/>
        <v>10650</v>
      </c>
    </row>
    <row r="123" spans="41:219" ht="16.5" x14ac:dyDescent="0.2">
      <c r="AO123" s="87">
        <v>5</v>
      </c>
      <c r="AP123" s="87">
        <v>2</v>
      </c>
      <c r="AQ123" s="87">
        <v>38</v>
      </c>
      <c r="AR123" s="144">
        <f t="shared" si="137"/>
        <v>4438</v>
      </c>
      <c r="AS123" s="144" t="s">
        <v>1241</v>
      </c>
      <c r="AT123" s="144" t="str">
        <f t="shared" si="138"/>
        <v>神器本-5-困难-2  神器5-1</v>
      </c>
      <c r="AU123" s="87">
        <v>21</v>
      </c>
      <c r="AV123" s="87" t="s">
        <v>327</v>
      </c>
      <c r="AW123" s="87">
        <v>5000</v>
      </c>
      <c r="AX123" s="87">
        <v>1</v>
      </c>
      <c r="AY123" s="87">
        <v>3</v>
      </c>
      <c r="AZ123" s="87">
        <f t="shared" si="139"/>
        <v>1</v>
      </c>
      <c r="BA123" s="14">
        <f t="shared" si="140"/>
        <v>1</v>
      </c>
      <c r="BB123" s="14">
        <f t="shared" si="141"/>
        <v>30</v>
      </c>
      <c r="GY123" s="91">
        <v>117</v>
      </c>
      <c r="GZ123" s="14">
        <f t="shared" si="142"/>
        <v>8</v>
      </c>
      <c r="HA123" s="14">
        <f t="shared" si="143"/>
        <v>2</v>
      </c>
      <c r="HB123" s="14">
        <f t="shared" si="144"/>
        <v>3</v>
      </c>
      <c r="HC123" s="14">
        <f t="shared" si="145"/>
        <v>0.82799999999999996</v>
      </c>
      <c r="HD123" s="14">
        <f t="shared" si="146"/>
        <v>1606010</v>
      </c>
      <c r="HE123" s="14" t="str">
        <f t="shared" si="147"/>
        <v>神器2-5 : 12级</v>
      </c>
      <c r="HF123" s="14" t="s">
        <v>800</v>
      </c>
      <c r="HG123" s="14">
        <f t="shared" si="148"/>
        <v>12</v>
      </c>
      <c r="HH123" s="14" t="str">
        <f t="shared" si="149"/>
        <v>神器2-5</v>
      </c>
      <c r="HI123" s="14">
        <f t="shared" si="150"/>
        <v>6</v>
      </c>
      <c r="HJ123" s="14" t="s">
        <v>1595</v>
      </c>
      <c r="HK123" s="14">
        <f t="shared" si="151"/>
        <v>10850</v>
      </c>
    </row>
    <row r="124" spans="41:219" ht="16.5" x14ac:dyDescent="0.2">
      <c r="AO124" s="87">
        <v>5</v>
      </c>
      <c r="AP124" s="87">
        <v>2</v>
      </c>
      <c r="AQ124" s="87">
        <v>38</v>
      </c>
      <c r="AR124" s="144">
        <f t="shared" si="137"/>
        <v>4438</v>
      </c>
      <c r="AS124" s="144" t="s">
        <v>1241</v>
      </c>
      <c r="AT124" s="144" t="str">
        <f t="shared" si="138"/>
        <v>神器本-5-困难-2  神器5-2</v>
      </c>
      <c r="AU124" s="87">
        <v>22</v>
      </c>
      <c r="AV124" s="87" t="s">
        <v>328</v>
      </c>
      <c r="AW124" s="87">
        <v>5000</v>
      </c>
      <c r="AX124" s="87">
        <v>1</v>
      </c>
      <c r="AY124" s="87">
        <v>3</v>
      </c>
      <c r="AZ124" s="87">
        <f t="shared" si="139"/>
        <v>1</v>
      </c>
      <c r="BA124" s="14">
        <f t="shared" si="140"/>
        <v>1</v>
      </c>
      <c r="BB124" s="14">
        <f t="shared" si="141"/>
        <v>30</v>
      </c>
      <c r="GY124" s="91">
        <v>118</v>
      </c>
      <c r="GZ124" s="14">
        <f t="shared" si="142"/>
        <v>8</v>
      </c>
      <c r="HA124" s="14">
        <f t="shared" si="143"/>
        <v>2</v>
      </c>
      <c r="HB124" s="14">
        <f t="shared" si="144"/>
        <v>3</v>
      </c>
      <c r="HC124" s="14">
        <f t="shared" si="145"/>
        <v>0.84499999999999997</v>
      </c>
      <c r="HD124" s="14">
        <f t="shared" si="146"/>
        <v>1606010</v>
      </c>
      <c r="HE124" s="14" t="str">
        <f t="shared" si="147"/>
        <v>神器2-5 : 13级</v>
      </c>
      <c r="HF124" s="14" t="s">
        <v>800</v>
      </c>
      <c r="HG124" s="14">
        <f t="shared" si="148"/>
        <v>13</v>
      </c>
      <c r="HH124" s="14" t="str">
        <f t="shared" si="149"/>
        <v>神器2-5</v>
      </c>
      <c r="HI124" s="14">
        <f t="shared" si="150"/>
        <v>7</v>
      </c>
      <c r="HJ124" s="14" t="s">
        <v>1595</v>
      </c>
      <c r="HK124" s="14">
        <f t="shared" si="151"/>
        <v>11100</v>
      </c>
    </row>
    <row r="125" spans="41:219" ht="16.5" x14ac:dyDescent="0.2">
      <c r="AO125" s="87">
        <v>5</v>
      </c>
      <c r="AP125" s="87">
        <v>2</v>
      </c>
      <c r="AQ125" s="87">
        <v>39</v>
      </c>
      <c r="AR125" s="144">
        <f t="shared" si="137"/>
        <v>4439</v>
      </c>
      <c r="AS125" s="144" t="s">
        <v>1241</v>
      </c>
      <c r="AT125" s="144" t="str">
        <f t="shared" si="138"/>
        <v>神器本-5-困难-2  神器5-3</v>
      </c>
      <c r="AU125" s="87">
        <v>23</v>
      </c>
      <c r="AV125" s="87" t="s">
        <v>329</v>
      </c>
      <c r="AW125" s="87">
        <v>3500</v>
      </c>
      <c r="AX125" s="87">
        <v>1</v>
      </c>
      <c r="AY125" s="87">
        <v>2</v>
      </c>
      <c r="AZ125" s="87">
        <f t="shared" si="139"/>
        <v>2</v>
      </c>
      <c r="BA125" s="14">
        <f t="shared" si="140"/>
        <v>0.52500000000000002</v>
      </c>
      <c r="BB125" s="14">
        <f t="shared" si="141"/>
        <v>47.25</v>
      </c>
      <c r="GY125" s="91">
        <v>119</v>
      </c>
      <c r="GZ125" s="14">
        <f t="shared" si="142"/>
        <v>8</v>
      </c>
      <c r="HA125" s="14">
        <f t="shared" si="143"/>
        <v>2</v>
      </c>
      <c r="HB125" s="14">
        <f t="shared" si="144"/>
        <v>3</v>
      </c>
      <c r="HC125" s="14">
        <f t="shared" si="145"/>
        <v>0.86099999999999999</v>
      </c>
      <c r="HD125" s="14">
        <f t="shared" si="146"/>
        <v>1606010</v>
      </c>
      <c r="HE125" s="14" t="str">
        <f t="shared" si="147"/>
        <v>神器2-5 : 14级</v>
      </c>
      <c r="HF125" s="14" t="s">
        <v>800</v>
      </c>
      <c r="HG125" s="14">
        <f t="shared" si="148"/>
        <v>14</v>
      </c>
      <c r="HH125" s="14" t="str">
        <f t="shared" si="149"/>
        <v>神器2-5</v>
      </c>
      <c r="HI125" s="14">
        <f t="shared" si="150"/>
        <v>7</v>
      </c>
      <c r="HJ125" s="14" t="s">
        <v>1595</v>
      </c>
      <c r="HK125" s="14">
        <f t="shared" si="151"/>
        <v>11300</v>
      </c>
    </row>
    <row r="126" spans="41:219" ht="16.5" x14ac:dyDescent="0.2">
      <c r="AO126" s="87">
        <v>5</v>
      </c>
      <c r="AP126" s="87">
        <v>2</v>
      </c>
      <c r="AQ126" s="87">
        <v>39</v>
      </c>
      <c r="AR126" s="144">
        <f t="shared" si="137"/>
        <v>4439</v>
      </c>
      <c r="AS126" s="144" t="s">
        <v>1241</v>
      </c>
      <c r="AT126" s="144" t="str">
        <f t="shared" si="138"/>
        <v>神器本-5-困难-2  神器5-4</v>
      </c>
      <c r="AU126" s="87">
        <v>24</v>
      </c>
      <c r="AV126" s="87" t="s">
        <v>330</v>
      </c>
      <c r="AW126" s="87">
        <v>3500</v>
      </c>
      <c r="AX126" s="87">
        <v>1</v>
      </c>
      <c r="AY126" s="87">
        <v>2</v>
      </c>
      <c r="AZ126" s="87">
        <f t="shared" si="139"/>
        <v>2</v>
      </c>
      <c r="BA126" s="14">
        <f t="shared" si="140"/>
        <v>0.52500000000000002</v>
      </c>
      <c r="BB126" s="14">
        <f t="shared" si="141"/>
        <v>47.25</v>
      </c>
      <c r="GY126" s="91">
        <v>120</v>
      </c>
      <c r="GZ126" s="14">
        <f t="shared" si="142"/>
        <v>8</v>
      </c>
      <c r="HA126" s="14">
        <f t="shared" si="143"/>
        <v>2</v>
      </c>
      <c r="HB126" s="14">
        <f t="shared" si="144"/>
        <v>3</v>
      </c>
      <c r="HC126" s="14">
        <f t="shared" si="145"/>
        <v>0.877</v>
      </c>
      <c r="HD126" s="14">
        <f t="shared" si="146"/>
        <v>1606010</v>
      </c>
      <c r="HE126" s="14" t="str">
        <f t="shared" si="147"/>
        <v>神器2-5 : 15级</v>
      </c>
      <c r="HF126" s="14" t="s">
        <v>800</v>
      </c>
      <c r="HG126" s="14">
        <f t="shared" si="148"/>
        <v>15</v>
      </c>
      <c r="HH126" s="14" t="str">
        <f t="shared" si="149"/>
        <v>神器2-5</v>
      </c>
      <c r="HI126" s="14">
        <f t="shared" si="150"/>
        <v>7</v>
      </c>
      <c r="HJ126" s="14" t="s">
        <v>1595</v>
      </c>
      <c r="HK126" s="14">
        <f t="shared" si="151"/>
        <v>11500</v>
      </c>
    </row>
    <row r="127" spans="41:219" ht="16.5" x14ac:dyDescent="0.2">
      <c r="AO127" s="87">
        <v>5</v>
      </c>
      <c r="AP127" s="87">
        <v>2</v>
      </c>
      <c r="AQ127" s="87">
        <v>40</v>
      </c>
      <c r="AR127" s="144">
        <f t="shared" si="137"/>
        <v>4440</v>
      </c>
      <c r="AS127" s="144" t="s">
        <v>1232</v>
      </c>
      <c r="AT127" s="144" t="str">
        <f t="shared" si="138"/>
        <v>神器本-5-困难-3  神器5-5</v>
      </c>
      <c r="AU127" s="87">
        <v>25</v>
      </c>
      <c r="AV127" s="87" t="s">
        <v>331</v>
      </c>
      <c r="AW127" s="87">
        <v>2000</v>
      </c>
      <c r="AX127" s="87">
        <v>1</v>
      </c>
      <c r="AY127" s="87">
        <v>1</v>
      </c>
      <c r="AZ127" s="87">
        <f t="shared" si="139"/>
        <v>3</v>
      </c>
      <c r="BA127" s="14">
        <f t="shared" si="140"/>
        <v>0.2</v>
      </c>
      <c r="BB127" s="14">
        <f t="shared" si="141"/>
        <v>42</v>
      </c>
      <c r="GY127" s="91">
        <v>121</v>
      </c>
      <c r="GZ127" s="14">
        <f t="shared" si="142"/>
        <v>9</v>
      </c>
      <c r="HA127" s="14">
        <f t="shared" si="143"/>
        <v>3</v>
      </c>
      <c r="HB127" s="14">
        <f t="shared" si="144"/>
        <v>1</v>
      </c>
      <c r="HC127" s="14">
        <f t="shared" si="145"/>
        <v>0.23200000000000001</v>
      </c>
      <c r="HD127" s="14">
        <f t="shared" si="146"/>
        <v>1606011</v>
      </c>
      <c r="HE127" s="14" t="str">
        <f t="shared" si="147"/>
        <v>神器3-1 : 1级</v>
      </c>
      <c r="HF127" s="14" t="s">
        <v>800</v>
      </c>
      <c r="HG127" s="14">
        <f t="shared" si="148"/>
        <v>1</v>
      </c>
      <c r="HH127" s="14" t="str">
        <f t="shared" si="149"/>
        <v>神器3-1</v>
      </c>
      <c r="HI127" s="14">
        <f t="shared" si="150"/>
        <v>1</v>
      </c>
      <c r="HJ127" s="14" t="s">
        <v>1595</v>
      </c>
      <c r="HK127" s="14">
        <f t="shared" si="151"/>
        <v>2250</v>
      </c>
    </row>
    <row r="128" spans="41:219" ht="16.5" x14ac:dyDescent="0.2">
      <c r="AO128" s="87">
        <v>5</v>
      </c>
      <c r="AP128" s="87">
        <v>3</v>
      </c>
      <c r="AQ128" s="87">
        <v>41</v>
      </c>
      <c r="AR128" s="144">
        <f t="shared" si="137"/>
        <v>4441</v>
      </c>
      <c r="AS128" s="144" t="s">
        <v>1244</v>
      </c>
      <c r="AT128" s="144" t="str">
        <f t="shared" si="138"/>
        <v>神器本-5-噩梦-1  神器1-1</v>
      </c>
      <c r="AU128" s="87">
        <v>1</v>
      </c>
      <c r="AV128" s="87" t="s">
        <v>307</v>
      </c>
      <c r="AW128" s="87">
        <v>1500</v>
      </c>
      <c r="AX128" s="87">
        <v>1</v>
      </c>
      <c r="AY128" s="87">
        <v>1</v>
      </c>
      <c r="AZ128" s="87">
        <f t="shared" si="139"/>
        <v>1</v>
      </c>
      <c r="BA128" s="14">
        <f t="shared" si="140"/>
        <v>0.15</v>
      </c>
      <c r="BB128" s="14">
        <f t="shared" si="141"/>
        <v>1.5</v>
      </c>
      <c r="GY128" s="91">
        <v>122</v>
      </c>
      <c r="GZ128" s="14">
        <f t="shared" si="142"/>
        <v>9</v>
      </c>
      <c r="HA128" s="14">
        <f t="shared" si="143"/>
        <v>3</v>
      </c>
      <c r="HB128" s="14">
        <f t="shared" si="144"/>
        <v>1</v>
      </c>
      <c r="HC128" s="14">
        <f t="shared" si="145"/>
        <v>0.24099999999999999</v>
      </c>
      <c r="HD128" s="14">
        <f t="shared" si="146"/>
        <v>1606011</v>
      </c>
      <c r="HE128" s="14" t="str">
        <f t="shared" si="147"/>
        <v>神器3-1 : 2级</v>
      </c>
      <c r="HF128" s="14" t="s">
        <v>800</v>
      </c>
      <c r="HG128" s="14">
        <f t="shared" si="148"/>
        <v>2</v>
      </c>
      <c r="HH128" s="14" t="str">
        <f t="shared" si="149"/>
        <v>神器3-1</v>
      </c>
      <c r="HI128" s="14">
        <f t="shared" si="150"/>
        <v>1</v>
      </c>
      <c r="HJ128" s="14" t="s">
        <v>1595</v>
      </c>
      <c r="HK128" s="14">
        <f t="shared" si="151"/>
        <v>2350</v>
      </c>
    </row>
    <row r="129" spans="41:219" ht="16.5" x14ac:dyDescent="0.2">
      <c r="AO129" s="87">
        <v>5</v>
      </c>
      <c r="AP129" s="87">
        <v>3</v>
      </c>
      <c r="AQ129" s="87">
        <v>41</v>
      </c>
      <c r="AR129" s="144">
        <f t="shared" si="137"/>
        <v>4441</v>
      </c>
      <c r="AS129" s="144" t="s">
        <v>1244</v>
      </c>
      <c r="AT129" s="144" t="str">
        <f t="shared" si="138"/>
        <v>神器本-5-噩梦-1  神器1-2</v>
      </c>
      <c r="AU129" s="87">
        <v>2</v>
      </c>
      <c r="AV129" s="87" t="s">
        <v>308</v>
      </c>
      <c r="AW129" s="87">
        <v>1500</v>
      </c>
      <c r="AX129" s="87">
        <v>1</v>
      </c>
      <c r="AY129" s="87">
        <v>1</v>
      </c>
      <c r="AZ129" s="87">
        <f t="shared" si="139"/>
        <v>1</v>
      </c>
      <c r="BA129" s="14">
        <f t="shared" si="140"/>
        <v>0.15</v>
      </c>
      <c r="BB129" s="14">
        <f t="shared" si="141"/>
        <v>1.5</v>
      </c>
      <c r="GY129" s="91">
        <v>123</v>
      </c>
      <c r="GZ129" s="14">
        <f t="shared" si="142"/>
        <v>9</v>
      </c>
      <c r="HA129" s="14">
        <f t="shared" si="143"/>
        <v>3</v>
      </c>
      <c r="HB129" s="14">
        <f t="shared" si="144"/>
        <v>1</v>
      </c>
      <c r="HC129" s="14">
        <f t="shared" si="145"/>
        <v>0.249</v>
      </c>
      <c r="HD129" s="14">
        <f t="shared" si="146"/>
        <v>1606011</v>
      </c>
      <c r="HE129" s="14" t="str">
        <f t="shared" si="147"/>
        <v>神器3-1 : 3级</v>
      </c>
      <c r="HF129" s="14" t="s">
        <v>800</v>
      </c>
      <c r="HG129" s="14">
        <f t="shared" si="148"/>
        <v>3</v>
      </c>
      <c r="HH129" s="14" t="str">
        <f t="shared" si="149"/>
        <v>神器3-1</v>
      </c>
      <c r="HI129" s="14">
        <f t="shared" si="150"/>
        <v>1</v>
      </c>
      <c r="HJ129" s="14" t="s">
        <v>1595</v>
      </c>
      <c r="HK129" s="14">
        <f t="shared" si="151"/>
        <v>2400</v>
      </c>
    </row>
    <row r="130" spans="41:219" ht="16.5" x14ac:dyDescent="0.2">
      <c r="AO130" s="87">
        <v>5</v>
      </c>
      <c r="AP130" s="87">
        <v>3</v>
      </c>
      <c r="AQ130" s="87">
        <v>41</v>
      </c>
      <c r="AR130" s="144">
        <f t="shared" si="137"/>
        <v>4441</v>
      </c>
      <c r="AS130" s="144" t="s">
        <v>1244</v>
      </c>
      <c r="AT130" s="144" t="str">
        <f t="shared" si="138"/>
        <v>神器本-5-噩梦-1  神器1-3</v>
      </c>
      <c r="AU130" s="87">
        <v>3</v>
      </c>
      <c r="AV130" s="87" t="s">
        <v>309</v>
      </c>
      <c r="AW130" s="87">
        <v>1000</v>
      </c>
      <c r="AX130" s="87">
        <v>1</v>
      </c>
      <c r="AY130" s="87">
        <v>1</v>
      </c>
      <c r="AZ130" s="87">
        <f t="shared" si="139"/>
        <v>2</v>
      </c>
      <c r="BA130" s="14">
        <f t="shared" si="140"/>
        <v>0.1</v>
      </c>
      <c r="BB130" s="14">
        <f t="shared" si="141"/>
        <v>3</v>
      </c>
      <c r="GY130" s="91">
        <v>124</v>
      </c>
      <c r="GZ130" s="14">
        <f t="shared" si="142"/>
        <v>9</v>
      </c>
      <c r="HA130" s="14">
        <f t="shared" si="143"/>
        <v>3</v>
      </c>
      <c r="HB130" s="14">
        <f t="shared" si="144"/>
        <v>1</v>
      </c>
      <c r="HC130" s="14">
        <f t="shared" si="145"/>
        <v>0.25700000000000001</v>
      </c>
      <c r="HD130" s="14">
        <f t="shared" si="146"/>
        <v>1606011</v>
      </c>
      <c r="HE130" s="14" t="str">
        <f t="shared" si="147"/>
        <v>神器3-1 : 4级</v>
      </c>
      <c r="HF130" s="14" t="s">
        <v>800</v>
      </c>
      <c r="HG130" s="14">
        <f t="shared" si="148"/>
        <v>4</v>
      </c>
      <c r="HH130" s="14" t="str">
        <f t="shared" si="149"/>
        <v>神器3-1</v>
      </c>
      <c r="HI130" s="14">
        <f t="shared" si="150"/>
        <v>2</v>
      </c>
      <c r="HJ130" s="14" t="s">
        <v>1595</v>
      </c>
      <c r="HK130" s="14">
        <f t="shared" si="151"/>
        <v>2500</v>
      </c>
    </row>
    <row r="131" spans="41:219" ht="16.5" x14ac:dyDescent="0.2">
      <c r="AO131" s="87">
        <v>5</v>
      </c>
      <c r="AP131" s="87">
        <v>3</v>
      </c>
      <c r="AQ131" s="87">
        <v>41</v>
      </c>
      <c r="AR131" s="144">
        <f t="shared" si="137"/>
        <v>4441</v>
      </c>
      <c r="AS131" s="144" t="s">
        <v>1244</v>
      </c>
      <c r="AT131" s="144" t="str">
        <f t="shared" si="138"/>
        <v>神器本-5-噩梦-1  神器2-1</v>
      </c>
      <c r="AU131" s="87">
        <v>4</v>
      </c>
      <c r="AV131" s="87" t="s">
        <v>310</v>
      </c>
      <c r="AW131" s="87">
        <v>1500</v>
      </c>
      <c r="AX131" s="87">
        <v>1</v>
      </c>
      <c r="AY131" s="87">
        <v>1</v>
      </c>
      <c r="AZ131" s="87">
        <f t="shared" si="139"/>
        <v>1</v>
      </c>
      <c r="BA131" s="14">
        <f t="shared" si="140"/>
        <v>0.15</v>
      </c>
      <c r="BB131" s="14">
        <f t="shared" si="141"/>
        <v>2.25</v>
      </c>
      <c r="GY131" s="91">
        <v>125</v>
      </c>
      <c r="GZ131" s="14">
        <f t="shared" si="142"/>
        <v>9</v>
      </c>
      <c r="HA131" s="14">
        <f t="shared" si="143"/>
        <v>3</v>
      </c>
      <c r="HB131" s="14">
        <f t="shared" si="144"/>
        <v>1</v>
      </c>
      <c r="HC131" s="14">
        <f t="shared" si="145"/>
        <v>0.26500000000000001</v>
      </c>
      <c r="HD131" s="14">
        <f t="shared" si="146"/>
        <v>1606011</v>
      </c>
      <c r="HE131" s="14" t="str">
        <f t="shared" si="147"/>
        <v>神器3-1 : 5级</v>
      </c>
      <c r="HF131" s="14" t="s">
        <v>800</v>
      </c>
      <c r="HG131" s="14">
        <f t="shared" si="148"/>
        <v>5</v>
      </c>
      <c r="HH131" s="14" t="str">
        <f t="shared" si="149"/>
        <v>神器3-1</v>
      </c>
      <c r="HI131" s="14">
        <f t="shared" si="150"/>
        <v>2</v>
      </c>
      <c r="HJ131" s="14" t="s">
        <v>1595</v>
      </c>
      <c r="HK131" s="14">
        <f t="shared" si="151"/>
        <v>2550</v>
      </c>
    </row>
    <row r="132" spans="41:219" ht="16.5" x14ac:dyDescent="0.2">
      <c r="AO132" s="87">
        <v>5</v>
      </c>
      <c r="AP132" s="87">
        <v>3</v>
      </c>
      <c r="AQ132" s="87">
        <v>41</v>
      </c>
      <c r="AR132" s="144">
        <f t="shared" si="137"/>
        <v>4441</v>
      </c>
      <c r="AS132" s="144" t="s">
        <v>1244</v>
      </c>
      <c r="AT132" s="144" t="str">
        <f t="shared" si="138"/>
        <v>神器本-5-噩梦-1  神器2-2</v>
      </c>
      <c r="AU132" s="87">
        <v>5</v>
      </c>
      <c r="AV132" s="87" t="s">
        <v>311</v>
      </c>
      <c r="AW132" s="87">
        <v>1500</v>
      </c>
      <c r="AX132" s="87">
        <v>1</v>
      </c>
      <c r="AY132" s="87">
        <v>1</v>
      </c>
      <c r="AZ132" s="87">
        <f t="shared" si="139"/>
        <v>1</v>
      </c>
      <c r="BA132" s="14">
        <f t="shared" si="140"/>
        <v>0.15</v>
      </c>
      <c r="BB132" s="14">
        <f t="shared" si="141"/>
        <v>2.25</v>
      </c>
      <c r="GY132" s="91">
        <v>126</v>
      </c>
      <c r="GZ132" s="14">
        <f t="shared" si="142"/>
        <v>9</v>
      </c>
      <c r="HA132" s="14">
        <f t="shared" si="143"/>
        <v>3</v>
      </c>
      <c r="HB132" s="14">
        <f t="shared" si="144"/>
        <v>1</v>
      </c>
      <c r="HC132" s="14">
        <f t="shared" si="145"/>
        <v>0.27200000000000002</v>
      </c>
      <c r="HD132" s="14">
        <f t="shared" si="146"/>
        <v>1606011</v>
      </c>
      <c r="HE132" s="14" t="str">
        <f t="shared" si="147"/>
        <v>神器3-1 : 6级</v>
      </c>
      <c r="HF132" s="14" t="s">
        <v>800</v>
      </c>
      <c r="HG132" s="14">
        <f t="shared" si="148"/>
        <v>6</v>
      </c>
      <c r="HH132" s="14" t="str">
        <f t="shared" si="149"/>
        <v>神器3-1</v>
      </c>
      <c r="HI132" s="14">
        <f t="shared" si="150"/>
        <v>2</v>
      </c>
      <c r="HJ132" s="14" t="s">
        <v>1595</v>
      </c>
      <c r="HK132" s="14">
        <f t="shared" si="151"/>
        <v>2650</v>
      </c>
    </row>
    <row r="133" spans="41:219" ht="16.5" x14ac:dyDescent="0.2">
      <c r="AO133" s="87">
        <v>5</v>
      </c>
      <c r="AP133" s="87">
        <v>3</v>
      </c>
      <c r="AQ133" s="87">
        <v>41</v>
      </c>
      <c r="AR133" s="144">
        <f t="shared" si="137"/>
        <v>4441</v>
      </c>
      <c r="AS133" s="144" t="s">
        <v>1244</v>
      </c>
      <c r="AT133" s="144" t="str">
        <f t="shared" si="138"/>
        <v>神器本-5-噩梦-1  神器2-3</v>
      </c>
      <c r="AU133" s="87">
        <v>6</v>
      </c>
      <c r="AV133" s="87" t="s">
        <v>312</v>
      </c>
      <c r="AW133" s="87">
        <v>1000</v>
      </c>
      <c r="AX133" s="87">
        <v>1</v>
      </c>
      <c r="AY133" s="87">
        <v>1</v>
      </c>
      <c r="AZ133" s="87">
        <f t="shared" si="139"/>
        <v>2</v>
      </c>
      <c r="BA133" s="14">
        <f t="shared" si="140"/>
        <v>0.1</v>
      </c>
      <c r="BB133" s="14">
        <f t="shared" si="141"/>
        <v>4.5</v>
      </c>
      <c r="GY133" s="91">
        <v>127</v>
      </c>
      <c r="GZ133" s="14">
        <f t="shared" si="142"/>
        <v>9</v>
      </c>
      <c r="HA133" s="14">
        <f t="shared" si="143"/>
        <v>3</v>
      </c>
      <c r="HB133" s="14">
        <f t="shared" si="144"/>
        <v>1</v>
      </c>
      <c r="HC133" s="14">
        <f t="shared" si="145"/>
        <v>0.27900000000000003</v>
      </c>
      <c r="HD133" s="14">
        <f t="shared" si="146"/>
        <v>1606011</v>
      </c>
      <c r="HE133" s="14" t="str">
        <f t="shared" si="147"/>
        <v>神器3-1 : 7级</v>
      </c>
      <c r="HF133" s="14" t="s">
        <v>800</v>
      </c>
      <c r="HG133" s="14">
        <f t="shared" si="148"/>
        <v>7</v>
      </c>
      <c r="HH133" s="14" t="str">
        <f t="shared" si="149"/>
        <v>神器3-1</v>
      </c>
      <c r="HI133" s="14">
        <f t="shared" si="150"/>
        <v>3</v>
      </c>
      <c r="HJ133" s="14" t="s">
        <v>1595</v>
      </c>
      <c r="HK133" s="14">
        <f t="shared" si="151"/>
        <v>2700</v>
      </c>
    </row>
    <row r="134" spans="41:219" ht="16.5" x14ac:dyDescent="0.2">
      <c r="AO134" s="87">
        <v>5</v>
      </c>
      <c r="AP134" s="87">
        <v>3</v>
      </c>
      <c r="AQ134" s="87">
        <v>41</v>
      </c>
      <c r="AR134" s="144">
        <f t="shared" si="137"/>
        <v>4441</v>
      </c>
      <c r="AS134" s="144" t="s">
        <v>1244</v>
      </c>
      <c r="AT134" s="144" t="str">
        <f t="shared" si="138"/>
        <v>神器本-5-噩梦-1  神器2-4</v>
      </c>
      <c r="AU134" s="87">
        <v>7</v>
      </c>
      <c r="AV134" s="87" t="s">
        <v>313</v>
      </c>
      <c r="AW134" s="87">
        <v>1000</v>
      </c>
      <c r="AX134" s="87">
        <v>1</v>
      </c>
      <c r="AY134" s="87">
        <v>1</v>
      </c>
      <c r="AZ134" s="87">
        <f t="shared" si="139"/>
        <v>2</v>
      </c>
      <c r="BA134" s="14">
        <f t="shared" si="140"/>
        <v>0.1</v>
      </c>
      <c r="BB134" s="14">
        <f t="shared" si="141"/>
        <v>4.5</v>
      </c>
      <c r="GY134" s="91">
        <v>128</v>
      </c>
      <c r="GZ134" s="14">
        <f t="shared" si="142"/>
        <v>9</v>
      </c>
      <c r="HA134" s="14">
        <f t="shared" si="143"/>
        <v>3</v>
      </c>
      <c r="HB134" s="14">
        <f t="shared" si="144"/>
        <v>1</v>
      </c>
      <c r="HC134" s="14">
        <f t="shared" si="145"/>
        <v>0.28599999999999998</v>
      </c>
      <c r="HD134" s="14">
        <f t="shared" si="146"/>
        <v>1606011</v>
      </c>
      <c r="HE134" s="14" t="str">
        <f t="shared" si="147"/>
        <v>神器3-1 : 8级</v>
      </c>
      <c r="HF134" s="14" t="s">
        <v>800</v>
      </c>
      <c r="HG134" s="14">
        <f t="shared" si="148"/>
        <v>8</v>
      </c>
      <c r="HH134" s="14" t="str">
        <f t="shared" si="149"/>
        <v>神器3-1</v>
      </c>
      <c r="HI134" s="14">
        <f t="shared" si="150"/>
        <v>3</v>
      </c>
      <c r="HJ134" s="14" t="s">
        <v>1595</v>
      </c>
      <c r="HK134" s="14">
        <f t="shared" si="151"/>
        <v>2750</v>
      </c>
    </row>
    <row r="135" spans="41:219" ht="16.5" x14ac:dyDescent="0.2">
      <c r="AO135" s="87">
        <v>5</v>
      </c>
      <c r="AP135" s="87">
        <v>3</v>
      </c>
      <c r="AQ135" s="87">
        <v>41</v>
      </c>
      <c r="AR135" s="144">
        <f t="shared" si="137"/>
        <v>4441</v>
      </c>
      <c r="AS135" s="144" t="s">
        <v>1244</v>
      </c>
      <c r="AT135" s="144" t="str">
        <f t="shared" si="138"/>
        <v>神器本-5-噩梦-1  神器2-5</v>
      </c>
      <c r="AU135" s="87">
        <v>8</v>
      </c>
      <c r="AV135" s="87" t="s">
        <v>314</v>
      </c>
      <c r="AW135" s="87">
        <v>1000</v>
      </c>
      <c r="AX135" s="87">
        <v>1</v>
      </c>
      <c r="AY135" s="87">
        <v>1</v>
      </c>
      <c r="AZ135" s="87">
        <f t="shared" si="139"/>
        <v>3</v>
      </c>
      <c r="BA135" s="14">
        <f t="shared" si="140"/>
        <v>0.1</v>
      </c>
      <c r="BB135" s="14">
        <f t="shared" si="141"/>
        <v>10.5</v>
      </c>
      <c r="GY135" s="91">
        <v>129</v>
      </c>
      <c r="GZ135" s="14">
        <f t="shared" si="142"/>
        <v>9</v>
      </c>
      <c r="HA135" s="14">
        <f t="shared" si="143"/>
        <v>3</v>
      </c>
      <c r="HB135" s="14">
        <f t="shared" si="144"/>
        <v>1</v>
      </c>
      <c r="HC135" s="14">
        <f t="shared" si="145"/>
        <v>0.29299999999999998</v>
      </c>
      <c r="HD135" s="14">
        <f t="shared" si="146"/>
        <v>1606011</v>
      </c>
      <c r="HE135" s="14" t="str">
        <f t="shared" si="147"/>
        <v>神器3-1 : 9级</v>
      </c>
      <c r="HF135" s="14" t="s">
        <v>800</v>
      </c>
      <c r="HG135" s="14">
        <f t="shared" si="148"/>
        <v>9</v>
      </c>
      <c r="HH135" s="14" t="str">
        <f t="shared" si="149"/>
        <v>神器3-1</v>
      </c>
      <c r="HI135" s="14">
        <f t="shared" si="150"/>
        <v>3</v>
      </c>
      <c r="HJ135" s="14" t="s">
        <v>1595</v>
      </c>
      <c r="HK135" s="14">
        <f t="shared" si="151"/>
        <v>2850</v>
      </c>
    </row>
    <row r="136" spans="41:219" ht="16.5" x14ac:dyDescent="0.2">
      <c r="AO136" s="87">
        <v>5</v>
      </c>
      <c r="AP136" s="87">
        <v>3</v>
      </c>
      <c r="AQ136" s="87">
        <v>42</v>
      </c>
      <c r="AR136" s="144">
        <f t="shared" ref="AR136:AR199" si="152">4400+AQ136</f>
        <v>4442</v>
      </c>
      <c r="AS136" s="144" t="s">
        <v>1245</v>
      </c>
      <c r="AT136" s="144" t="str">
        <f t="shared" ref="AT136:AT199" si="153">AS136&amp;"  "&amp;AV136</f>
        <v>神器本-5-噩梦-2  神器5-1</v>
      </c>
      <c r="AU136" s="87">
        <v>21</v>
      </c>
      <c r="AV136" s="87" t="s">
        <v>327</v>
      </c>
      <c r="AW136" s="87">
        <v>5000</v>
      </c>
      <c r="AX136" s="87">
        <v>1</v>
      </c>
      <c r="AY136" s="87">
        <v>3</v>
      </c>
      <c r="AZ136" s="87">
        <f t="shared" ref="AZ136:AZ199" si="154">INDEX($AK$7:$AK$48,AU136)</f>
        <v>1</v>
      </c>
      <c r="BA136" s="14">
        <f t="shared" ref="BA136:BA199" si="155">(AX136+AY136)/2*AW136/10000</f>
        <v>1</v>
      </c>
      <c r="BB136" s="14">
        <f t="shared" ref="BB136:BB199" si="156">(AX136+AY136)/2*AW136/10000*INDEX($AL$7:$AL$48,AU136)</f>
        <v>30</v>
      </c>
      <c r="GY136" s="91">
        <v>130</v>
      </c>
      <c r="GZ136" s="14">
        <f t="shared" ref="GZ136:GZ199" si="157">MATCH(GY136-1,$R$7:$R$49,1)</f>
        <v>9</v>
      </c>
      <c r="HA136" s="14">
        <f t="shared" ref="HA136:HA199" si="158">INDEX($N$8:$N$49,GZ136)</f>
        <v>3</v>
      </c>
      <c r="HB136" s="14">
        <f t="shared" ref="HB136:HB199" si="159">INDEX($P$8:$P$49,GZ136)</f>
        <v>1</v>
      </c>
      <c r="HC136" s="14">
        <f t="shared" ref="HC136:HC199" si="160">ROUND(SQRT(INDEX($BJ$7:$BJ$27,HG136)*INDEX($H$7:$H$10,HB136)),3)</f>
        <v>0.3</v>
      </c>
      <c r="HD136" s="14">
        <f t="shared" ref="HD136:HD199" si="161">INDEX($S$8:$S$49,GZ136)</f>
        <v>1606011</v>
      </c>
      <c r="HE136" s="14" t="str">
        <f t="shared" ref="HE136:HE199" si="162">INDEX($T$8:$T$49,GZ136)&amp;" : "&amp;HG136&amp;"级"</f>
        <v>神器3-1 : 10级</v>
      </c>
      <c r="HF136" s="14" t="s">
        <v>800</v>
      </c>
      <c r="HG136" s="14">
        <f t="shared" ref="HG136:HG199" si="163">GY136-INDEX($R$7:$R$49,GZ136)</f>
        <v>10</v>
      </c>
      <c r="HH136" s="14" t="str">
        <f t="shared" ref="HH136:HH199" si="164">INDEX($T$8:$T$49,GZ136)</f>
        <v>神器3-1</v>
      </c>
      <c r="HI136" s="14">
        <f t="shared" ref="HI136:HI199" si="165">INDEX($K$8:$K$28,HG136)</f>
        <v>5</v>
      </c>
      <c r="HJ136" s="14" t="s">
        <v>1595</v>
      </c>
      <c r="HK136" s="14">
        <f t="shared" ref="HK136:HK199" si="166">ROUND(INDEX($Y$8:$Y$14,HA136)/INDEX($Z$8:$Z$14,HA136)*HC136/50,0)*50</f>
        <v>2900</v>
      </c>
    </row>
    <row r="137" spans="41:219" ht="16.5" x14ac:dyDescent="0.2">
      <c r="AO137" s="87">
        <v>5</v>
      </c>
      <c r="AP137" s="87">
        <v>3</v>
      </c>
      <c r="AQ137" s="87">
        <v>42</v>
      </c>
      <c r="AR137" s="144">
        <f t="shared" si="152"/>
        <v>4442</v>
      </c>
      <c r="AS137" s="144" t="s">
        <v>1245</v>
      </c>
      <c r="AT137" s="144" t="str">
        <f t="shared" si="153"/>
        <v>神器本-5-噩梦-2  神器5-2</v>
      </c>
      <c r="AU137" s="87">
        <v>22</v>
      </c>
      <c r="AV137" s="87" t="s">
        <v>328</v>
      </c>
      <c r="AW137" s="87">
        <v>5000</v>
      </c>
      <c r="AX137" s="87">
        <v>1</v>
      </c>
      <c r="AY137" s="87">
        <v>3</v>
      </c>
      <c r="AZ137" s="87">
        <f t="shared" si="154"/>
        <v>1</v>
      </c>
      <c r="BA137" s="14">
        <f t="shared" si="155"/>
        <v>1</v>
      </c>
      <c r="BB137" s="14">
        <f t="shared" si="156"/>
        <v>30</v>
      </c>
      <c r="GY137" s="91">
        <v>131</v>
      </c>
      <c r="GZ137" s="14">
        <f t="shared" si="157"/>
        <v>9</v>
      </c>
      <c r="HA137" s="14">
        <f t="shared" si="158"/>
        <v>3</v>
      </c>
      <c r="HB137" s="14">
        <f t="shared" si="159"/>
        <v>1</v>
      </c>
      <c r="HC137" s="14">
        <f t="shared" si="160"/>
        <v>0.307</v>
      </c>
      <c r="HD137" s="14">
        <f t="shared" si="161"/>
        <v>1606011</v>
      </c>
      <c r="HE137" s="14" t="str">
        <f t="shared" si="162"/>
        <v>神器3-1 : 11级</v>
      </c>
      <c r="HF137" s="14" t="s">
        <v>800</v>
      </c>
      <c r="HG137" s="14">
        <f t="shared" si="163"/>
        <v>11</v>
      </c>
      <c r="HH137" s="14" t="str">
        <f t="shared" si="164"/>
        <v>神器3-1</v>
      </c>
      <c r="HI137" s="14">
        <f t="shared" si="165"/>
        <v>5</v>
      </c>
      <c r="HJ137" s="14" t="s">
        <v>1595</v>
      </c>
      <c r="HK137" s="14">
        <f t="shared" si="166"/>
        <v>2950</v>
      </c>
    </row>
    <row r="138" spans="41:219" ht="16.5" x14ac:dyDescent="0.2">
      <c r="AO138" s="87">
        <v>5</v>
      </c>
      <c r="AP138" s="87">
        <v>3</v>
      </c>
      <c r="AQ138" s="87">
        <v>43</v>
      </c>
      <c r="AR138" s="144">
        <f t="shared" si="152"/>
        <v>4443</v>
      </c>
      <c r="AS138" s="144" t="s">
        <v>1245</v>
      </c>
      <c r="AT138" s="144" t="str">
        <f t="shared" si="153"/>
        <v>神器本-5-噩梦-2  神器5-3</v>
      </c>
      <c r="AU138" s="87">
        <v>23</v>
      </c>
      <c r="AV138" s="87" t="s">
        <v>329</v>
      </c>
      <c r="AW138" s="87">
        <v>3500</v>
      </c>
      <c r="AX138" s="87">
        <v>1</v>
      </c>
      <c r="AY138" s="87">
        <v>2</v>
      </c>
      <c r="AZ138" s="87">
        <f t="shared" si="154"/>
        <v>2</v>
      </c>
      <c r="BA138" s="14">
        <f t="shared" si="155"/>
        <v>0.52500000000000002</v>
      </c>
      <c r="BB138" s="14">
        <f t="shared" si="156"/>
        <v>47.25</v>
      </c>
      <c r="GY138" s="91">
        <v>132</v>
      </c>
      <c r="GZ138" s="14">
        <f t="shared" si="157"/>
        <v>9</v>
      </c>
      <c r="HA138" s="14">
        <f t="shared" si="158"/>
        <v>3</v>
      </c>
      <c r="HB138" s="14">
        <f t="shared" si="159"/>
        <v>1</v>
      </c>
      <c r="HC138" s="14">
        <f t="shared" si="160"/>
        <v>0.313</v>
      </c>
      <c r="HD138" s="14">
        <f t="shared" si="161"/>
        <v>1606011</v>
      </c>
      <c r="HE138" s="14" t="str">
        <f t="shared" si="162"/>
        <v>神器3-1 : 12级</v>
      </c>
      <c r="HF138" s="14" t="s">
        <v>800</v>
      </c>
      <c r="HG138" s="14">
        <f t="shared" si="163"/>
        <v>12</v>
      </c>
      <c r="HH138" s="14" t="str">
        <f t="shared" si="164"/>
        <v>神器3-1</v>
      </c>
      <c r="HI138" s="14">
        <f t="shared" si="165"/>
        <v>6</v>
      </c>
      <c r="HJ138" s="14" t="s">
        <v>1595</v>
      </c>
      <c r="HK138" s="14">
        <f t="shared" si="166"/>
        <v>3050</v>
      </c>
    </row>
    <row r="139" spans="41:219" ht="16.5" x14ac:dyDescent="0.2">
      <c r="AO139" s="87">
        <v>5</v>
      </c>
      <c r="AP139" s="87">
        <v>3</v>
      </c>
      <c r="AQ139" s="87">
        <v>43</v>
      </c>
      <c r="AR139" s="144">
        <f t="shared" si="152"/>
        <v>4443</v>
      </c>
      <c r="AS139" s="144" t="s">
        <v>1245</v>
      </c>
      <c r="AT139" s="144" t="str">
        <f t="shared" si="153"/>
        <v>神器本-5-噩梦-2  神器5-4</v>
      </c>
      <c r="AU139" s="87">
        <v>24</v>
      </c>
      <c r="AV139" s="87" t="s">
        <v>330</v>
      </c>
      <c r="AW139" s="87">
        <v>3500</v>
      </c>
      <c r="AX139" s="87">
        <v>1</v>
      </c>
      <c r="AY139" s="87">
        <v>2</v>
      </c>
      <c r="AZ139" s="87">
        <f t="shared" si="154"/>
        <v>2</v>
      </c>
      <c r="BA139" s="14">
        <f t="shared" si="155"/>
        <v>0.52500000000000002</v>
      </c>
      <c r="BB139" s="14">
        <f t="shared" si="156"/>
        <v>47.25</v>
      </c>
      <c r="GY139" s="91">
        <v>133</v>
      </c>
      <c r="GZ139" s="14">
        <f t="shared" si="157"/>
        <v>9</v>
      </c>
      <c r="HA139" s="14">
        <f t="shared" si="158"/>
        <v>3</v>
      </c>
      <c r="HB139" s="14">
        <f t="shared" si="159"/>
        <v>1</v>
      </c>
      <c r="HC139" s="14">
        <f t="shared" si="160"/>
        <v>0.31900000000000001</v>
      </c>
      <c r="HD139" s="14">
        <f t="shared" si="161"/>
        <v>1606011</v>
      </c>
      <c r="HE139" s="14" t="str">
        <f t="shared" si="162"/>
        <v>神器3-1 : 13级</v>
      </c>
      <c r="HF139" s="14" t="s">
        <v>800</v>
      </c>
      <c r="HG139" s="14">
        <f t="shared" si="163"/>
        <v>13</v>
      </c>
      <c r="HH139" s="14" t="str">
        <f t="shared" si="164"/>
        <v>神器3-1</v>
      </c>
      <c r="HI139" s="14">
        <f t="shared" si="165"/>
        <v>7</v>
      </c>
      <c r="HJ139" s="14" t="s">
        <v>1595</v>
      </c>
      <c r="HK139" s="14">
        <f t="shared" si="166"/>
        <v>3100</v>
      </c>
    </row>
    <row r="140" spans="41:219" ht="16.5" x14ac:dyDescent="0.2">
      <c r="AO140" s="87">
        <v>5</v>
      </c>
      <c r="AP140" s="87">
        <v>3</v>
      </c>
      <c r="AQ140" s="87">
        <v>44</v>
      </c>
      <c r="AR140" s="144">
        <f t="shared" si="152"/>
        <v>4444</v>
      </c>
      <c r="AS140" s="144" t="s">
        <v>1246</v>
      </c>
      <c r="AT140" s="144" t="str">
        <f t="shared" si="153"/>
        <v>神器本-5-噩梦-3  神器5-5</v>
      </c>
      <c r="AU140" s="87">
        <v>25</v>
      </c>
      <c r="AV140" s="87" t="s">
        <v>331</v>
      </c>
      <c r="AW140" s="87">
        <v>2000</v>
      </c>
      <c r="AX140" s="87">
        <v>1</v>
      </c>
      <c r="AY140" s="87">
        <v>1</v>
      </c>
      <c r="AZ140" s="87">
        <f t="shared" si="154"/>
        <v>3</v>
      </c>
      <c r="BA140" s="14">
        <f t="shared" si="155"/>
        <v>0.2</v>
      </c>
      <c r="BB140" s="14">
        <f t="shared" si="156"/>
        <v>42</v>
      </c>
      <c r="GY140" s="91">
        <v>134</v>
      </c>
      <c r="GZ140" s="14">
        <f t="shared" si="157"/>
        <v>9</v>
      </c>
      <c r="HA140" s="14">
        <f t="shared" si="158"/>
        <v>3</v>
      </c>
      <c r="HB140" s="14">
        <f t="shared" si="159"/>
        <v>1</v>
      </c>
      <c r="HC140" s="14">
        <f t="shared" si="160"/>
        <v>0.32600000000000001</v>
      </c>
      <c r="HD140" s="14">
        <f t="shared" si="161"/>
        <v>1606011</v>
      </c>
      <c r="HE140" s="14" t="str">
        <f t="shared" si="162"/>
        <v>神器3-1 : 14级</v>
      </c>
      <c r="HF140" s="14" t="s">
        <v>800</v>
      </c>
      <c r="HG140" s="14">
        <f t="shared" si="163"/>
        <v>14</v>
      </c>
      <c r="HH140" s="14" t="str">
        <f t="shared" si="164"/>
        <v>神器3-1</v>
      </c>
      <c r="HI140" s="14">
        <f t="shared" si="165"/>
        <v>7</v>
      </c>
      <c r="HJ140" s="14" t="s">
        <v>1595</v>
      </c>
      <c r="HK140" s="14">
        <f t="shared" si="166"/>
        <v>3150</v>
      </c>
    </row>
    <row r="141" spans="41:219" ht="16.5" x14ac:dyDescent="0.2">
      <c r="AO141" s="87">
        <v>5</v>
      </c>
      <c r="AP141" s="87">
        <v>3</v>
      </c>
      <c r="AQ141" s="87">
        <v>45</v>
      </c>
      <c r="AR141" s="144">
        <f t="shared" si="152"/>
        <v>4445</v>
      </c>
      <c r="AS141" s="144" t="s">
        <v>1247</v>
      </c>
      <c r="AT141" s="144" t="str">
        <f t="shared" si="153"/>
        <v>神器本-5-噩梦-4  神器5-6</v>
      </c>
      <c r="AU141" s="87">
        <v>26</v>
      </c>
      <c r="AV141" s="87" t="s">
        <v>332</v>
      </c>
      <c r="AW141" s="87">
        <v>1000</v>
      </c>
      <c r="AX141" s="87">
        <v>1</v>
      </c>
      <c r="AY141" s="87">
        <v>1</v>
      </c>
      <c r="AZ141" s="87">
        <f t="shared" si="154"/>
        <v>4</v>
      </c>
      <c r="BA141" s="14">
        <f t="shared" si="155"/>
        <v>0.1</v>
      </c>
      <c r="BB141" s="14">
        <f t="shared" si="156"/>
        <v>45</v>
      </c>
      <c r="GY141" s="91">
        <v>135</v>
      </c>
      <c r="GZ141" s="14">
        <f t="shared" si="157"/>
        <v>9</v>
      </c>
      <c r="HA141" s="14">
        <f t="shared" si="158"/>
        <v>3</v>
      </c>
      <c r="HB141" s="14">
        <f t="shared" si="159"/>
        <v>1</v>
      </c>
      <c r="HC141" s="14">
        <f t="shared" si="160"/>
        <v>0.33200000000000002</v>
      </c>
      <c r="HD141" s="14">
        <f t="shared" si="161"/>
        <v>1606011</v>
      </c>
      <c r="HE141" s="14" t="str">
        <f t="shared" si="162"/>
        <v>神器3-1 : 15级</v>
      </c>
      <c r="HF141" s="14" t="s">
        <v>800</v>
      </c>
      <c r="HG141" s="14">
        <f t="shared" si="163"/>
        <v>15</v>
      </c>
      <c r="HH141" s="14" t="str">
        <f t="shared" si="164"/>
        <v>神器3-1</v>
      </c>
      <c r="HI141" s="14">
        <f t="shared" si="165"/>
        <v>7</v>
      </c>
      <c r="HJ141" s="14" t="s">
        <v>1595</v>
      </c>
      <c r="HK141" s="14">
        <f t="shared" si="166"/>
        <v>3200</v>
      </c>
    </row>
    <row r="142" spans="41:219" ht="16.5" x14ac:dyDescent="0.2">
      <c r="AO142" s="87">
        <v>6</v>
      </c>
      <c r="AP142" s="87">
        <v>1</v>
      </c>
      <c r="AQ142" s="87">
        <v>46</v>
      </c>
      <c r="AR142" s="144">
        <f t="shared" si="152"/>
        <v>4446</v>
      </c>
      <c r="AS142" s="144" t="s">
        <v>1248</v>
      </c>
      <c r="AT142" s="144" t="str">
        <f t="shared" si="153"/>
        <v>神器本-6-普通-1  神器3-1</v>
      </c>
      <c r="AU142" s="87">
        <v>9</v>
      </c>
      <c r="AV142" s="87" t="s">
        <v>761</v>
      </c>
      <c r="AW142" s="87">
        <v>833</v>
      </c>
      <c r="AX142" s="87">
        <v>1</v>
      </c>
      <c r="AY142" s="87">
        <v>1</v>
      </c>
      <c r="AZ142" s="87">
        <f t="shared" si="154"/>
        <v>1</v>
      </c>
      <c r="BA142" s="14">
        <f t="shared" si="155"/>
        <v>8.3299999999999999E-2</v>
      </c>
      <c r="BB142" s="14">
        <f t="shared" si="156"/>
        <v>1.6659999999999999</v>
      </c>
      <c r="GY142" s="91">
        <v>136</v>
      </c>
      <c r="GZ142" s="14">
        <f t="shared" si="157"/>
        <v>9</v>
      </c>
      <c r="HA142" s="14">
        <f t="shared" si="158"/>
        <v>3</v>
      </c>
      <c r="HB142" s="14">
        <f t="shared" si="159"/>
        <v>1</v>
      </c>
      <c r="HC142" s="14">
        <f t="shared" si="160"/>
        <v>0.33800000000000002</v>
      </c>
      <c r="HD142" s="14">
        <f t="shared" si="161"/>
        <v>1606011</v>
      </c>
      <c r="HE142" s="14" t="str">
        <f t="shared" si="162"/>
        <v>神器3-1 : 16级</v>
      </c>
      <c r="HF142" s="14" t="s">
        <v>800</v>
      </c>
      <c r="HG142" s="14">
        <f t="shared" si="163"/>
        <v>16</v>
      </c>
      <c r="HH142" s="14" t="str">
        <f t="shared" si="164"/>
        <v>神器3-1</v>
      </c>
      <c r="HI142" s="14">
        <f t="shared" si="165"/>
        <v>10</v>
      </c>
      <c r="HJ142" s="14" t="s">
        <v>1595</v>
      </c>
      <c r="HK142" s="14">
        <f t="shared" si="166"/>
        <v>3250</v>
      </c>
    </row>
    <row r="143" spans="41:219" ht="16.5" x14ac:dyDescent="0.2">
      <c r="AO143" s="87">
        <v>6</v>
      </c>
      <c r="AP143" s="87">
        <v>1</v>
      </c>
      <c r="AQ143" s="87">
        <v>46</v>
      </c>
      <c r="AR143" s="144">
        <f t="shared" si="152"/>
        <v>4446</v>
      </c>
      <c r="AS143" s="144" t="s">
        <v>1248</v>
      </c>
      <c r="AT143" s="144" t="str">
        <f t="shared" si="153"/>
        <v>神器本-6-普通-1  神器3-2</v>
      </c>
      <c r="AU143" s="87">
        <v>10</v>
      </c>
      <c r="AV143" s="87" t="s">
        <v>316</v>
      </c>
      <c r="AW143" s="87">
        <v>833</v>
      </c>
      <c r="AX143" s="87">
        <v>1</v>
      </c>
      <c r="AY143" s="87">
        <v>1</v>
      </c>
      <c r="AZ143" s="87">
        <f t="shared" si="154"/>
        <v>1</v>
      </c>
      <c r="BA143" s="14">
        <f t="shared" si="155"/>
        <v>8.3299999999999999E-2</v>
      </c>
      <c r="BB143" s="14">
        <f t="shared" si="156"/>
        <v>1.6659999999999999</v>
      </c>
      <c r="GY143" s="91">
        <v>137</v>
      </c>
      <c r="GZ143" s="14">
        <f t="shared" si="157"/>
        <v>9</v>
      </c>
      <c r="HA143" s="14">
        <f t="shared" si="158"/>
        <v>3</v>
      </c>
      <c r="HB143" s="14">
        <f t="shared" si="159"/>
        <v>1</v>
      </c>
      <c r="HC143" s="14">
        <f t="shared" si="160"/>
        <v>0.34399999999999997</v>
      </c>
      <c r="HD143" s="14">
        <f t="shared" si="161"/>
        <v>1606011</v>
      </c>
      <c r="HE143" s="14" t="str">
        <f t="shared" si="162"/>
        <v>神器3-1 : 17级</v>
      </c>
      <c r="HF143" s="14" t="s">
        <v>800</v>
      </c>
      <c r="HG143" s="14">
        <f t="shared" si="163"/>
        <v>17</v>
      </c>
      <c r="HH143" s="14" t="str">
        <f t="shared" si="164"/>
        <v>神器3-1</v>
      </c>
      <c r="HI143" s="14">
        <f t="shared" si="165"/>
        <v>10</v>
      </c>
      <c r="HJ143" s="14" t="s">
        <v>1595</v>
      </c>
      <c r="HK143" s="14">
        <f t="shared" si="166"/>
        <v>3350</v>
      </c>
    </row>
    <row r="144" spans="41:219" ht="16.5" x14ac:dyDescent="0.2">
      <c r="AO144" s="87">
        <v>6</v>
      </c>
      <c r="AP144" s="87">
        <v>1</v>
      </c>
      <c r="AQ144" s="87">
        <v>46</v>
      </c>
      <c r="AR144" s="144">
        <f t="shared" si="152"/>
        <v>4446</v>
      </c>
      <c r="AS144" s="144" t="s">
        <v>1248</v>
      </c>
      <c r="AT144" s="144" t="str">
        <f t="shared" si="153"/>
        <v>神器本-6-普通-1  神器3-3</v>
      </c>
      <c r="AU144" s="87">
        <v>11</v>
      </c>
      <c r="AV144" s="87" t="s">
        <v>317</v>
      </c>
      <c r="AW144" s="87">
        <v>500</v>
      </c>
      <c r="AX144" s="87">
        <v>1</v>
      </c>
      <c r="AY144" s="87">
        <v>1</v>
      </c>
      <c r="AZ144" s="87">
        <f t="shared" si="154"/>
        <v>2</v>
      </c>
      <c r="BA144" s="14">
        <f t="shared" si="155"/>
        <v>0.05</v>
      </c>
      <c r="BB144" s="14">
        <f t="shared" si="156"/>
        <v>3</v>
      </c>
      <c r="GY144" s="91">
        <v>138</v>
      </c>
      <c r="GZ144" s="14">
        <f t="shared" si="157"/>
        <v>9</v>
      </c>
      <c r="HA144" s="14">
        <f t="shared" si="158"/>
        <v>3</v>
      </c>
      <c r="HB144" s="14">
        <f t="shared" si="159"/>
        <v>1</v>
      </c>
      <c r="HC144" s="14">
        <f t="shared" si="160"/>
        <v>0.34899999999999998</v>
      </c>
      <c r="HD144" s="14">
        <f t="shared" si="161"/>
        <v>1606011</v>
      </c>
      <c r="HE144" s="14" t="str">
        <f t="shared" si="162"/>
        <v>神器3-1 : 18级</v>
      </c>
      <c r="HF144" s="14" t="s">
        <v>800</v>
      </c>
      <c r="HG144" s="14">
        <f t="shared" si="163"/>
        <v>18</v>
      </c>
      <c r="HH144" s="14" t="str">
        <f t="shared" si="164"/>
        <v>神器3-1</v>
      </c>
      <c r="HI144" s="14">
        <f t="shared" si="165"/>
        <v>10</v>
      </c>
      <c r="HJ144" s="14" t="s">
        <v>1595</v>
      </c>
      <c r="HK144" s="14">
        <f t="shared" si="166"/>
        <v>3400</v>
      </c>
    </row>
    <row r="145" spans="41:219" ht="16.5" x14ac:dyDescent="0.2">
      <c r="AO145" s="87">
        <v>6</v>
      </c>
      <c r="AP145" s="87">
        <v>1</v>
      </c>
      <c r="AQ145" s="87">
        <v>46</v>
      </c>
      <c r="AR145" s="144">
        <f t="shared" si="152"/>
        <v>4446</v>
      </c>
      <c r="AS145" s="144" t="s">
        <v>1248</v>
      </c>
      <c r="AT145" s="144" t="str">
        <f t="shared" si="153"/>
        <v>神器本-6-普通-1  神器3-4</v>
      </c>
      <c r="AU145" s="87">
        <v>12</v>
      </c>
      <c r="AV145" s="87" t="s">
        <v>318</v>
      </c>
      <c r="AW145" s="87">
        <v>500</v>
      </c>
      <c r="AX145" s="87">
        <v>1</v>
      </c>
      <c r="AY145" s="87">
        <v>1</v>
      </c>
      <c r="AZ145" s="87">
        <f t="shared" si="154"/>
        <v>2</v>
      </c>
      <c r="BA145" s="14">
        <f t="shared" si="155"/>
        <v>0.05</v>
      </c>
      <c r="BB145" s="14">
        <f t="shared" si="156"/>
        <v>3</v>
      </c>
      <c r="GY145" s="91">
        <v>139</v>
      </c>
      <c r="GZ145" s="14">
        <f t="shared" si="157"/>
        <v>10</v>
      </c>
      <c r="HA145" s="14">
        <f t="shared" si="158"/>
        <v>3</v>
      </c>
      <c r="HB145" s="14">
        <f t="shared" si="159"/>
        <v>1</v>
      </c>
      <c r="HC145" s="14">
        <f t="shared" si="160"/>
        <v>0.23200000000000001</v>
      </c>
      <c r="HD145" s="14">
        <f t="shared" si="161"/>
        <v>1606012</v>
      </c>
      <c r="HE145" s="14" t="str">
        <f t="shared" si="162"/>
        <v>神器3-2 : 1级</v>
      </c>
      <c r="HF145" s="14" t="s">
        <v>800</v>
      </c>
      <c r="HG145" s="14">
        <f t="shared" si="163"/>
        <v>1</v>
      </c>
      <c r="HH145" s="14" t="str">
        <f t="shared" si="164"/>
        <v>神器3-2</v>
      </c>
      <c r="HI145" s="14">
        <f t="shared" si="165"/>
        <v>1</v>
      </c>
      <c r="HJ145" s="14" t="s">
        <v>1595</v>
      </c>
      <c r="HK145" s="14">
        <f t="shared" si="166"/>
        <v>2250</v>
      </c>
    </row>
    <row r="146" spans="41:219" ht="16.5" x14ac:dyDescent="0.2">
      <c r="AO146" s="87">
        <v>6</v>
      </c>
      <c r="AP146" s="87">
        <v>1</v>
      </c>
      <c r="AQ146" s="87">
        <v>46</v>
      </c>
      <c r="AR146" s="144">
        <f t="shared" si="152"/>
        <v>4446</v>
      </c>
      <c r="AS146" s="144" t="s">
        <v>1248</v>
      </c>
      <c r="AT146" s="144" t="str">
        <f t="shared" si="153"/>
        <v>神器本-6-普通-1  神器3-5</v>
      </c>
      <c r="AU146" s="87">
        <v>13</v>
      </c>
      <c r="AV146" s="87" t="s">
        <v>319</v>
      </c>
      <c r="AW146" s="87">
        <v>500</v>
      </c>
      <c r="AX146" s="87">
        <v>1</v>
      </c>
      <c r="AY146" s="87">
        <v>1</v>
      </c>
      <c r="AZ146" s="87">
        <f t="shared" si="154"/>
        <v>3</v>
      </c>
      <c r="BA146" s="14">
        <f t="shared" si="155"/>
        <v>0.05</v>
      </c>
      <c r="BB146" s="14">
        <f t="shared" si="156"/>
        <v>7</v>
      </c>
      <c r="GY146" s="91">
        <v>140</v>
      </c>
      <c r="GZ146" s="14">
        <f t="shared" si="157"/>
        <v>10</v>
      </c>
      <c r="HA146" s="14">
        <f t="shared" si="158"/>
        <v>3</v>
      </c>
      <c r="HB146" s="14">
        <f t="shared" si="159"/>
        <v>1</v>
      </c>
      <c r="HC146" s="14">
        <f t="shared" si="160"/>
        <v>0.24099999999999999</v>
      </c>
      <c r="HD146" s="14">
        <f t="shared" si="161"/>
        <v>1606012</v>
      </c>
      <c r="HE146" s="14" t="str">
        <f t="shared" si="162"/>
        <v>神器3-2 : 2级</v>
      </c>
      <c r="HF146" s="14" t="s">
        <v>800</v>
      </c>
      <c r="HG146" s="14">
        <f t="shared" si="163"/>
        <v>2</v>
      </c>
      <c r="HH146" s="14" t="str">
        <f t="shared" si="164"/>
        <v>神器3-2</v>
      </c>
      <c r="HI146" s="14">
        <f t="shared" si="165"/>
        <v>1</v>
      </c>
      <c r="HJ146" s="14" t="s">
        <v>1595</v>
      </c>
      <c r="HK146" s="14">
        <f t="shared" si="166"/>
        <v>2350</v>
      </c>
    </row>
    <row r="147" spans="41:219" ht="16.5" x14ac:dyDescent="0.2">
      <c r="AO147" s="87">
        <v>6</v>
      </c>
      <c r="AP147" s="87">
        <v>1</v>
      </c>
      <c r="AQ147" s="87">
        <v>46</v>
      </c>
      <c r="AR147" s="144">
        <f t="shared" si="152"/>
        <v>4446</v>
      </c>
      <c r="AS147" s="144" t="s">
        <v>1248</v>
      </c>
      <c r="AT147" s="144" t="str">
        <f t="shared" si="153"/>
        <v>神器本-6-普通-1  神器3-6</v>
      </c>
      <c r="AU147" s="87">
        <v>14</v>
      </c>
      <c r="AV147" s="87" t="s">
        <v>320</v>
      </c>
      <c r="AW147" s="87">
        <v>170</v>
      </c>
      <c r="AX147" s="87">
        <v>1</v>
      </c>
      <c r="AY147" s="87">
        <v>1</v>
      </c>
      <c r="AZ147" s="87">
        <f t="shared" si="154"/>
        <v>4</v>
      </c>
      <c r="BA147" s="14">
        <f t="shared" si="155"/>
        <v>1.7000000000000001E-2</v>
      </c>
      <c r="BB147" s="14">
        <f t="shared" si="156"/>
        <v>5.1000000000000005</v>
      </c>
      <c r="GY147" s="91">
        <v>141</v>
      </c>
      <c r="GZ147" s="14">
        <f t="shared" si="157"/>
        <v>10</v>
      </c>
      <c r="HA147" s="14">
        <f t="shared" si="158"/>
        <v>3</v>
      </c>
      <c r="HB147" s="14">
        <f t="shared" si="159"/>
        <v>1</v>
      </c>
      <c r="HC147" s="14">
        <f t="shared" si="160"/>
        <v>0.249</v>
      </c>
      <c r="HD147" s="14">
        <f t="shared" si="161"/>
        <v>1606012</v>
      </c>
      <c r="HE147" s="14" t="str">
        <f t="shared" si="162"/>
        <v>神器3-2 : 3级</v>
      </c>
      <c r="HF147" s="14" t="s">
        <v>800</v>
      </c>
      <c r="HG147" s="14">
        <f t="shared" si="163"/>
        <v>3</v>
      </c>
      <c r="HH147" s="14" t="str">
        <f t="shared" si="164"/>
        <v>神器3-2</v>
      </c>
      <c r="HI147" s="14">
        <f t="shared" si="165"/>
        <v>1</v>
      </c>
      <c r="HJ147" s="14" t="s">
        <v>1595</v>
      </c>
      <c r="HK147" s="14">
        <f t="shared" si="166"/>
        <v>2400</v>
      </c>
    </row>
    <row r="148" spans="41:219" ht="16.5" x14ac:dyDescent="0.2">
      <c r="AO148" s="87">
        <v>6</v>
      </c>
      <c r="AP148" s="87">
        <v>1</v>
      </c>
      <c r="AQ148" s="87">
        <v>46</v>
      </c>
      <c r="AR148" s="144">
        <f t="shared" si="152"/>
        <v>4446</v>
      </c>
      <c r="AS148" s="144" t="s">
        <v>1248</v>
      </c>
      <c r="AT148" s="144" t="str">
        <f t="shared" si="153"/>
        <v>神器本-6-普通-1  神器4-1</v>
      </c>
      <c r="AU148" s="87">
        <v>15</v>
      </c>
      <c r="AV148" s="87" t="s">
        <v>321</v>
      </c>
      <c r="AW148" s="87">
        <v>833</v>
      </c>
      <c r="AX148" s="87">
        <v>1</v>
      </c>
      <c r="AY148" s="87">
        <v>1</v>
      </c>
      <c r="AZ148" s="87">
        <f t="shared" si="154"/>
        <v>1</v>
      </c>
      <c r="BA148" s="14">
        <f t="shared" si="155"/>
        <v>8.3299999999999999E-2</v>
      </c>
      <c r="BB148" s="14">
        <f t="shared" si="156"/>
        <v>2.0825</v>
      </c>
      <c r="GY148" s="91">
        <v>142</v>
      </c>
      <c r="GZ148" s="14">
        <f t="shared" si="157"/>
        <v>10</v>
      </c>
      <c r="HA148" s="14">
        <f t="shared" si="158"/>
        <v>3</v>
      </c>
      <c r="HB148" s="14">
        <f t="shared" si="159"/>
        <v>1</v>
      </c>
      <c r="HC148" s="14">
        <f t="shared" si="160"/>
        <v>0.25700000000000001</v>
      </c>
      <c r="HD148" s="14">
        <f t="shared" si="161"/>
        <v>1606012</v>
      </c>
      <c r="HE148" s="14" t="str">
        <f t="shared" si="162"/>
        <v>神器3-2 : 4级</v>
      </c>
      <c r="HF148" s="14" t="s">
        <v>800</v>
      </c>
      <c r="HG148" s="14">
        <f t="shared" si="163"/>
        <v>4</v>
      </c>
      <c r="HH148" s="14" t="str">
        <f t="shared" si="164"/>
        <v>神器3-2</v>
      </c>
      <c r="HI148" s="14">
        <f t="shared" si="165"/>
        <v>2</v>
      </c>
      <c r="HJ148" s="14" t="s">
        <v>1595</v>
      </c>
      <c r="HK148" s="14">
        <f t="shared" si="166"/>
        <v>2500</v>
      </c>
    </row>
    <row r="149" spans="41:219" ht="16.5" x14ac:dyDescent="0.2">
      <c r="AO149" s="87">
        <v>6</v>
      </c>
      <c r="AP149" s="87">
        <v>1</v>
      </c>
      <c r="AQ149" s="87">
        <v>46</v>
      </c>
      <c r="AR149" s="144">
        <f t="shared" si="152"/>
        <v>4446</v>
      </c>
      <c r="AS149" s="144" t="s">
        <v>1248</v>
      </c>
      <c r="AT149" s="144" t="str">
        <f t="shared" si="153"/>
        <v>神器本-6-普通-1  神器4-2</v>
      </c>
      <c r="AU149" s="87">
        <v>16</v>
      </c>
      <c r="AV149" s="87" t="s">
        <v>322</v>
      </c>
      <c r="AW149" s="87">
        <v>833</v>
      </c>
      <c r="AX149" s="87">
        <v>1</v>
      </c>
      <c r="AY149" s="87">
        <v>1</v>
      </c>
      <c r="AZ149" s="87">
        <f t="shared" si="154"/>
        <v>1</v>
      </c>
      <c r="BA149" s="14">
        <f t="shared" si="155"/>
        <v>8.3299999999999999E-2</v>
      </c>
      <c r="BB149" s="14">
        <f t="shared" si="156"/>
        <v>2.0825</v>
      </c>
      <c r="GY149" s="91">
        <v>143</v>
      </c>
      <c r="GZ149" s="14">
        <f t="shared" si="157"/>
        <v>10</v>
      </c>
      <c r="HA149" s="14">
        <f t="shared" si="158"/>
        <v>3</v>
      </c>
      <c r="HB149" s="14">
        <f t="shared" si="159"/>
        <v>1</v>
      </c>
      <c r="HC149" s="14">
        <f t="shared" si="160"/>
        <v>0.26500000000000001</v>
      </c>
      <c r="HD149" s="14">
        <f t="shared" si="161"/>
        <v>1606012</v>
      </c>
      <c r="HE149" s="14" t="str">
        <f t="shared" si="162"/>
        <v>神器3-2 : 5级</v>
      </c>
      <c r="HF149" s="14" t="s">
        <v>800</v>
      </c>
      <c r="HG149" s="14">
        <f t="shared" si="163"/>
        <v>5</v>
      </c>
      <c r="HH149" s="14" t="str">
        <f t="shared" si="164"/>
        <v>神器3-2</v>
      </c>
      <c r="HI149" s="14">
        <f t="shared" si="165"/>
        <v>2</v>
      </c>
      <c r="HJ149" s="14" t="s">
        <v>1595</v>
      </c>
      <c r="HK149" s="14">
        <f t="shared" si="166"/>
        <v>2550</v>
      </c>
    </row>
    <row r="150" spans="41:219" ht="16.5" x14ac:dyDescent="0.2">
      <c r="AO150" s="87">
        <v>6</v>
      </c>
      <c r="AP150" s="87">
        <v>1</v>
      </c>
      <c r="AQ150" s="87">
        <v>46</v>
      </c>
      <c r="AR150" s="144">
        <f t="shared" si="152"/>
        <v>4446</v>
      </c>
      <c r="AS150" s="144" t="s">
        <v>1248</v>
      </c>
      <c r="AT150" s="144" t="str">
        <f t="shared" si="153"/>
        <v>神器本-6-普通-1  神器4-3</v>
      </c>
      <c r="AU150" s="87">
        <v>17</v>
      </c>
      <c r="AV150" s="87" t="s">
        <v>323</v>
      </c>
      <c r="AW150" s="87">
        <v>500</v>
      </c>
      <c r="AX150" s="87">
        <v>1</v>
      </c>
      <c r="AY150" s="87">
        <v>1</v>
      </c>
      <c r="AZ150" s="87">
        <f t="shared" si="154"/>
        <v>2</v>
      </c>
      <c r="BA150" s="14">
        <f t="shared" si="155"/>
        <v>0.05</v>
      </c>
      <c r="BB150" s="14">
        <f t="shared" si="156"/>
        <v>3.75</v>
      </c>
      <c r="GY150" s="91">
        <v>144</v>
      </c>
      <c r="GZ150" s="14">
        <f t="shared" si="157"/>
        <v>10</v>
      </c>
      <c r="HA150" s="14">
        <f t="shared" si="158"/>
        <v>3</v>
      </c>
      <c r="HB150" s="14">
        <f t="shared" si="159"/>
        <v>1</v>
      </c>
      <c r="HC150" s="14">
        <f t="shared" si="160"/>
        <v>0.27200000000000002</v>
      </c>
      <c r="HD150" s="14">
        <f t="shared" si="161"/>
        <v>1606012</v>
      </c>
      <c r="HE150" s="14" t="str">
        <f t="shared" si="162"/>
        <v>神器3-2 : 6级</v>
      </c>
      <c r="HF150" s="14" t="s">
        <v>800</v>
      </c>
      <c r="HG150" s="14">
        <f t="shared" si="163"/>
        <v>6</v>
      </c>
      <c r="HH150" s="14" t="str">
        <f t="shared" si="164"/>
        <v>神器3-2</v>
      </c>
      <c r="HI150" s="14">
        <f t="shared" si="165"/>
        <v>2</v>
      </c>
      <c r="HJ150" s="14" t="s">
        <v>1595</v>
      </c>
      <c r="HK150" s="14">
        <f t="shared" si="166"/>
        <v>2650</v>
      </c>
    </row>
    <row r="151" spans="41:219" ht="16.5" x14ac:dyDescent="0.2">
      <c r="AO151" s="87">
        <v>6</v>
      </c>
      <c r="AP151" s="87">
        <v>1</v>
      </c>
      <c r="AQ151" s="87">
        <v>46</v>
      </c>
      <c r="AR151" s="144">
        <f t="shared" si="152"/>
        <v>4446</v>
      </c>
      <c r="AS151" s="144" t="s">
        <v>1248</v>
      </c>
      <c r="AT151" s="144" t="str">
        <f t="shared" si="153"/>
        <v>神器本-6-普通-1  神器4-4</v>
      </c>
      <c r="AU151" s="87">
        <v>18</v>
      </c>
      <c r="AV151" s="87" t="s">
        <v>324</v>
      </c>
      <c r="AW151" s="87">
        <v>500</v>
      </c>
      <c r="AX151" s="87">
        <v>1</v>
      </c>
      <c r="AY151" s="87">
        <v>1</v>
      </c>
      <c r="AZ151" s="87">
        <f t="shared" si="154"/>
        <v>2</v>
      </c>
      <c r="BA151" s="14">
        <f t="shared" si="155"/>
        <v>0.05</v>
      </c>
      <c r="BB151" s="14">
        <f t="shared" si="156"/>
        <v>3.75</v>
      </c>
      <c r="GY151" s="91">
        <v>145</v>
      </c>
      <c r="GZ151" s="14">
        <f t="shared" si="157"/>
        <v>10</v>
      </c>
      <c r="HA151" s="14">
        <f t="shared" si="158"/>
        <v>3</v>
      </c>
      <c r="HB151" s="14">
        <f t="shared" si="159"/>
        <v>1</v>
      </c>
      <c r="HC151" s="14">
        <f t="shared" si="160"/>
        <v>0.27900000000000003</v>
      </c>
      <c r="HD151" s="14">
        <f t="shared" si="161"/>
        <v>1606012</v>
      </c>
      <c r="HE151" s="14" t="str">
        <f t="shared" si="162"/>
        <v>神器3-2 : 7级</v>
      </c>
      <c r="HF151" s="14" t="s">
        <v>800</v>
      </c>
      <c r="HG151" s="14">
        <f t="shared" si="163"/>
        <v>7</v>
      </c>
      <c r="HH151" s="14" t="str">
        <f t="shared" si="164"/>
        <v>神器3-2</v>
      </c>
      <c r="HI151" s="14">
        <f t="shared" si="165"/>
        <v>3</v>
      </c>
      <c r="HJ151" s="14" t="s">
        <v>1595</v>
      </c>
      <c r="HK151" s="14">
        <f t="shared" si="166"/>
        <v>2700</v>
      </c>
    </row>
    <row r="152" spans="41:219" ht="16.5" x14ac:dyDescent="0.2">
      <c r="AO152" s="87">
        <v>6</v>
      </c>
      <c r="AP152" s="87">
        <v>1</v>
      </c>
      <c r="AQ152" s="87">
        <v>46</v>
      </c>
      <c r="AR152" s="144">
        <f t="shared" si="152"/>
        <v>4446</v>
      </c>
      <c r="AS152" s="144" t="s">
        <v>1248</v>
      </c>
      <c r="AT152" s="144" t="str">
        <f t="shared" si="153"/>
        <v>神器本-6-普通-1  神器4-5</v>
      </c>
      <c r="AU152" s="87">
        <v>19</v>
      </c>
      <c r="AV152" s="87" t="s">
        <v>325</v>
      </c>
      <c r="AW152" s="87">
        <v>500</v>
      </c>
      <c r="AX152" s="87">
        <v>1</v>
      </c>
      <c r="AY152" s="87">
        <v>1</v>
      </c>
      <c r="AZ152" s="87">
        <f t="shared" si="154"/>
        <v>3</v>
      </c>
      <c r="BA152" s="14">
        <f t="shared" si="155"/>
        <v>0.05</v>
      </c>
      <c r="BB152" s="14">
        <f t="shared" si="156"/>
        <v>8.75</v>
      </c>
      <c r="GY152" s="91">
        <v>146</v>
      </c>
      <c r="GZ152" s="14">
        <f t="shared" si="157"/>
        <v>10</v>
      </c>
      <c r="HA152" s="14">
        <f t="shared" si="158"/>
        <v>3</v>
      </c>
      <c r="HB152" s="14">
        <f t="shared" si="159"/>
        <v>1</v>
      </c>
      <c r="HC152" s="14">
        <f t="shared" si="160"/>
        <v>0.28599999999999998</v>
      </c>
      <c r="HD152" s="14">
        <f t="shared" si="161"/>
        <v>1606012</v>
      </c>
      <c r="HE152" s="14" t="str">
        <f t="shared" si="162"/>
        <v>神器3-2 : 8级</v>
      </c>
      <c r="HF152" s="14" t="s">
        <v>800</v>
      </c>
      <c r="HG152" s="14">
        <f t="shared" si="163"/>
        <v>8</v>
      </c>
      <c r="HH152" s="14" t="str">
        <f t="shared" si="164"/>
        <v>神器3-2</v>
      </c>
      <c r="HI152" s="14">
        <f t="shared" si="165"/>
        <v>3</v>
      </c>
      <c r="HJ152" s="14" t="s">
        <v>1595</v>
      </c>
      <c r="HK152" s="14">
        <f t="shared" si="166"/>
        <v>2750</v>
      </c>
    </row>
    <row r="153" spans="41:219" ht="16.5" x14ac:dyDescent="0.2">
      <c r="AO153" s="87">
        <v>6</v>
      </c>
      <c r="AP153" s="87">
        <v>1</v>
      </c>
      <c r="AQ153" s="87">
        <v>46</v>
      </c>
      <c r="AR153" s="144">
        <f t="shared" si="152"/>
        <v>4446</v>
      </c>
      <c r="AS153" s="144" t="s">
        <v>1248</v>
      </c>
      <c r="AT153" s="144" t="str">
        <f t="shared" si="153"/>
        <v>神器本-6-普通-1  神器4-6</v>
      </c>
      <c r="AU153" s="87">
        <v>20</v>
      </c>
      <c r="AV153" s="87" t="s">
        <v>326</v>
      </c>
      <c r="AW153" s="87">
        <v>166</v>
      </c>
      <c r="AX153" s="87">
        <v>1</v>
      </c>
      <c r="AY153" s="87">
        <v>1</v>
      </c>
      <c r="AZ153" s="87">
        <f t="shared" si="154"/>
        <v>4</v>
      </c>
      <c r="BA153" s="14">
        <f t="shared" si="155"/>
        <v>1.66E-2</v>
      </c>
      <c r="BB153" s="14">
        <f t="shared" si="156"/>
        <v>6.2249999999999996</v>
      </c>
      <c r="GY153" s="91">
        <v>147</v>
      </c>
      <c r="GZ153" s="14">
        <f t="shared" si="157"/>
        <v>10</v>
      </c>
      <c r="HA153" s="14">
        <f t="shared" si="158"/>
        <v>3</v>
      </c>
      <c r="HB153" s="14">
        <f t="shared" si="159"/>
        <v>1</v>
      </c>
      <c r="HC153" s="14">
        <f t="shared" si="160"/>
        <v>0.29299999999999998</v>
      </c>
      <c r="HD153" s="14">
        <f t="shared" si="161"/>
        <v>1606012</v>
      </c>
      <c r="HE153" s="14" t="str">
        <f t="shared" si="162"/>
        <v>神器3-2 : 9级</v>
      </c>
      <c r="HF153" s="14" t="s">
        <v>800</v>
      </c>
      <c r="HG153" s="14">
        <f t="shared" si="163"/>
        <v>9</v>
      </c>
      <c r="HH153" s="14" t="str">
        <f t="shared" si="164"/>
        <v>神器3-2</v>
      </c>
      <c r="HI153" s="14">
        <f t="shared" si="165"/>
        <v>3</v>
      </c>
      <c r="HJ153" s="14" t="s">
        <v>1595</v>
      </c>
      <c r="HK153" s="14">
        <f t="shared" si="166"/>
        <v>2850</v>
      </c>
    </row>
    <row r="154" spans="41:219" ht="16.5" x14ac:dyDescent="0.2">
      <c r="AO154" s="87">
        <v>6</v>
      </c>
      <c r="AP154" s="87">
        <v>1</v>
      </c>
      <c r="AQ154" s="87">
        <v>46</v>
      </c>
      <c r="AR154" s="144">
        <f t="shared" si="152"/>
        <v>4446</v>
      </c>
      <c r="AS154" s="144" t="s">
        <v>1248</v>
      </c>
      <c r="AT154" s="144" t="str">
        <f t="shared" si="153"/>
        <v>神器本-6-普通-1  神器5-1</v>
      </c>
      <c r="AU154" s="87">
        <v>21</v>
      </c>
      <c r="AV154" s="87" t="s">
        <v>327</v>
      </c>
      <c r="AW154" s="87">
        <v>833</v>
      </c>
      <c r="AX154" s="87">
        <v>1</v>
      </c>
      <c r="AY154" s="87">
        <v>1</v>
      </c>
      <c r="AZ154" s="87">
        <f t="shared" si="154"/>
        <v>1</v>
      </c>
      <c r="BA154" s="14">
        <f t="shared" si="155"/>
        <v>8.3299999999999999E-2</v>
      </c>
      <c r="BB154" s="14">
        <f t="shared" si="156"/>
        <v>2.4990000000000001</v>
      </c>
      <c r="GY154" s="91">
        <v>148</v>
      </c>
      <c r="GZ154" s="14">
        <f t="shared" si="157"/>
        <v>10</v>
      </c>
      <c r="HA154" s="14">
        <f t="shared" si="158"/>
        <v>3</v>
      </c>
      <c r="HB154" s="14">
        <f t="shared" si="159"/>
        <v>1</v>
      </c>
      <c r="HC154" s="14">
        <f t="shared" si="160"/>
        <v>0.3</v>
      </c>
      <c r="HD154" s="14">
        <f t="shared" si="161"/>
        <v>1606012</v>
      </c>
      <c r="HE154" s="14" t="str">
        <f t="shared" si="162"/>
        <v>神器3-2 : 10级</v>
      </c>
      <c r="HF154" s="14" t="s">
        <v>800</v>
      </c>
      <c r="HG154" s="14">
        <f t="shared" si="163"/>
        <v>10</v>
      </c>
      <c r="HH154" s="14" t="str">
        <f t="shared" si="164"/>
        <v>神器3-2</v>
      </c>
      <c r="HI154" s="14">
        <f t="shared" si="165"/>
        <v>5</v>
      </c>
      <c r="HJ154" s="14" t="s">
        <v>1595</v>
      </c>
      <c r="HK154" s="14">
        <f t="shared" si="166"/>
        <v>2900</v>
      </c>
    </row>
    <row r="155" spans="41:219" ht="16.5" x14ac:dyDescent="0.2">
      <c r="AO155" s="87">
        <v>6</v>
      </c>
      <c r="AP155" s="87">
        <v>1</v>
      </c>
      <c r="AQ155" s="87">
        <v>46</v>
      </c>
      <c r="AR155" s="144">
        <f t="shared" si="152"/>
        <v>4446</v>
      </c>
      <c r="AS155" s="144" t="s">
        <v>1248</v>
      </c>
      <c r="AT155" s="144" t="str">
        <f t="shared" si="153"/>
        <v>神器本-6-普通-1  神器5-2</v>
      </c>
      <c r="AU155" s="87">
        <v>22</v>
      </c>
      <c r="AV155" s="87" t="s">
        <v>328</v>
      </c>
      <c r="AW155" s="87">
        <v>833</v>
      </c>
      <c r="AX155" s="87">
        <v>1</v>
      </c>
      <c r="AY155" s="87">
        <v>1</v>
      </c>
      <c r="AZ155" s="87">
        <f t="shared" si="154"/>
        <v>1</v>
      </c>
      <c r="BA155" s="14">
        <f t="shared" si="155"/>
        <v>8.3299999999999999E-2</v>
      </c>
      <c r="BB155" s="14">
        <f t="shared" si="156"/>
        <v>2.4990000000000001</v>
      </c>
      <c r="GY155" s="91">
        <v>149</v>
      </c>
      <c r="GZ155" s="14">
        <f t="shared" si="157"/>
        <v>10</v>
      </c>
      <c r="HA155" s="14">
        <f t="shared" si="158"/>
        <v>3</v>
      </c>
      <c r="HB155" s="14">
        <f t="shared" si="159"/>
        <v>1</v>
      </c>
      <c r="HC155" s="14">
        <f t="shared" si="160"/>
        <v>0.307</v>
      </c>
      <c r="HD155" s="14">
        <f t="shared" si="161"/>
        <v>1606012</v>
      </c>
      <c r="HE155" s="14" t="str">
        <f t="shared" si="162"/>
        <v>神器3-2 : 11级</v>
      </c>
      <c r="HF155" s="14" t="s">
        <v>800</v>
      </c>
      <c r="HG155" s="14">
        <f t="shared" si="163"/>
        <v>11</v>
      </c>
      <c r="HH155" s="14" t="str">
        <f t="shared" si="164"/>
        <v>神器3-2</v>
      </c>
      <c r="HI155" s="14">
        <f t="shared" si="165"/>
        <v>5</v>
      </c>
      <c r="HJ155" s="14" t="s">
        <v>1595</v>
      </c>
      <c r="HK155" s="14">
        <f t="shared" si="166"/>
        <v>2950</v>
      </c>
    </row>
    <row r="156" spans="41:219" ht="16.5" x14ac:dyDescent="0.2">
      <c r="AO156" s="87">
        <v>6</v>
      </c>
      <c r="AP156" s="87">
        <v>1</v>
      </c>
      <c r="AQ156" s="87">
        <v>46</v>
      </c>
      <c r="AR156" s="144">
        <f t="shared" si="152"/>
        <v>4446</v>
      </c>
      <c r="AS156" s="144" t="s">
        <v>1248</v>
      </c>
      <c r="AT156" s="144" t="str">
        <f t="shared" si="153"/>
        <v>神器本-6-普通-1  神器5-3</v>
      </c>
      <c r="AU156" s="87">
        <v>23</v>
      </c>
      <c r="AV156" s="87" t="s">
        <v>329</v>
      </c>
      <c r="AW156" s="87">
        <v>500</v>
      </c>
      <c r="AX156" s="87">
        <v>1</v>
      </c>
      <c r="AY156" s="87">
        <v>1</v>
      </c>
      <c r="AZ156" s="87">
        <f t="shared" si="154"/>
        <v>2</v>
      </c>
      <c r="BA156" s="14">
        <f t="shared" si="155"/>
        <v>0.05</v>
      </c>
      <c r="BB156" s="14">
        <f t="shared" si="156"/>
        <v>4.5</v>
      </c>
      <c r="GY156" s="91">
        <v>150</v>
      </c>
      <c r="GZ156" s="14">
        <f t="shared" si="157"/>
        <v>10</v>
      </c>
      <c r="HA156" s="14">
        <f t="shared" si="158"/>
        <v>3</v>
      </c>
      <c r="HB156" s="14">
        <f t="shared" si="159"/>
        <v>1</v>
      </c>
      <c r="HC156" s="14">
        <f t="shared" si="160"/>
        <v>0.313</v>
      </c>
      <c r="HD156" s="14">
        <f t="shared" si="161"/>
        <v>1606012</v>
      </c>
      <c r="HE156" s="14" t="str">
        <f t="shared" si="162"/>
        <v>神器3-2 : 12级</v>
      </c>
      <c r="HF156" s="14" t="s">
        <v>800</v>
      </c>
      <c r="HG156" s="14">
        <f t="shared" si="163"/>
        <v>12</v>
      </c>
      <c r="HH156" s="14" t="str">
        <f t="shared" si="164"/>
        <v>神器3-2</v>
      </c>
      <c r="HI156" s="14">
        <f t="shared" si="165"/>
        <v>6</v>
      </c>
      <c r="HJ156" s="14" t="s">
        <v>1595</v>
      </c>
      <c r="HK156" s="14">
        <f t="shared" si="166"/>
        <v>3050</v>
      </c>
    </row>
    <row r="157" spans="41:219" ht="16.5" x14ac:dyDescent="0.2">
      <c r="AO157" s="87">
        <v>6</v>
      </c>
      <c r="AP157" s="87">
        <v>1</v>
      </c>
      <c r="AQ157" s="87">
        <v>46</v>
      </c>
      <c r="AR157" s="144">
        <f t="shared" si="152"/>
        <v>4446</v>
      </c>
      <c r="AS157" s="144" t="s">
        <v>1248</v>
      </c>
      <c r="AT157" s="144" t="str">
        <f t="shared" si="153"/>
        <v>神器本-6-普通-1  神器5-4</v>
      </c>
      <c r="AU157" s="87">
        <v>24</v>
      </c>
      <c r="AV157" s="87" t="s">
        <v>330</v>
      </c>
      <c r="AW157" s="87">
        <v>500</v>
      </c>
      <c r="AX157" s="87">
        <v>1</v>
      </c>
      <c r="AY157" s="87">
        <v>1</v>
      </c>
      <c r="AZ157" s="87">
        <f t="shared" si="154"/>
        <v>2</v>
      </c>
      <c r="BA157" s="14">
        <f t="shared" si="155"/>
        <v>0.05</v>
      </c>
      <c r="BB157" s="14">
        <f t="shared" si="156"/>
        <v>4.5</v>
      </c>
      <c r="GY157" s="91">
        <v>151</v>
      </c>
      <c r="GZ157" s="14">
        <f t="shared" si="157"/>
        <v>10</v>
      </c>
      <c r="HA157" s="14">
        <f t="shared" si="158"/>
        <v>3</v>
      </c>
      <c r="HB157" s="14">
        <f t="shared" si="159"/>
        <v>1</v>
      </c>
      <c r="HC157" s="14">
        <f t="shared" si="160"/>
        <v>0.31900000000000001</v>
      </c>
      <c r="HD157" s="14">
        <f t="shared" si="161"/>
        <v>1606012</v>
      </c>
      <c r="HE157" s="14" t="str">
        <f t="shared" si="162"/>
        <v>神器3-2 : 13级</v>
      </c>
      <c r="HF157" s="14" t="s">
        <v>800</v>
      </c>
      <c r="HG157" s="14">
        <f t="shared" si="163"/>
        <v>13</v>
      </c>
      <c r="HH157" s="14" t="str">
        <f t="shared" si="164"/>
        <v>神器3-2</v>
      </c>
      <c r="HI157" s="14">
        <f t="shared" si="165"/>
        <v>7</v>
      </c>
      <c r="HJ157" s="14" t="s">
        <v>1595</v>
      </c>
      <c r="HK157" s="14">
        <f t="shared" si="166"/>
        <v>3100</v>
      </c>
    </row>
    <row r="158" spans="41:219" ht="16.5" x14ac:dyDescent="0.2">
      <c r="AO158" s="87">
        <v>6</v>
      </c>
      <c r="AP158" s="87">
        <v>1</v>
      </c>
      <c r="AQ158" s="87">
        <v>46</v>
      </c>
      <c r="AR158" s="144">
        <f t="shared" si="152"/>
        <v>4446</v>
      </c>
      <c r="AS158" s="144" t="s">
        <v>1248</v>
      </c>
      <c r="AT158" s="144" t="str">
        <f t="shared" si="153"/>
        <v>神器本-6-普通-1  神器5-5</v>
      </c>
      <c r="AU158" s="87">
        <v>25</v>
      </c>
      <c r="AV158" s="87" t="s">
        <v>331</v>
      </c>
      <c r="AW158" s="87">
        <v>500</v>
      </c>
      <c r="AX158" s="87">
        <v>1</v>
      </c>
      <c r="AY158" s="87">
        <v>1</v>
      </c>
      <c r="AZ158" s="87">
        <f t="shared" si="154"/>
        <v>3</v>
      </c>
      <c r="BA158" s="14">
        <f t="shared" si="155"/>
        <v>0.05</v>
      </c>
      <c r="BB158" s="14">
        <f t="shared" si="156"/>
        <v>10.5</v>
      </c>
      <c r="GY158" s="91">
        <v>152</v>
      </c>
      <c r="GZ158" s="14">
        <f t="shared" si="157"/>
        <v>10</v>
      </c>
      <c r="HA158" s="14">
        <f t="shared" si="158"/>
        <v>3</v>
      </c>
      <c r="HB158" s="14">
        <f t="shared" si="159"/>
        <v>1</v>
      </c>
      <c r="HC158" s="14">
        <f t="shared" si="160"/>
        <v>0.32600000000000001</v>
      </c>
      <c r="HD158" s="14">
        <f t="shared" si="161"/>
        <v>1606012</v>
      </c>
      <c r="HE158" s="14" t="str">
        <f t="shared" si="162"/>
        <v>神器3-2 : 14级</v>
      </c>
      <c r="HF158" s="14" t="s">
        <v>800</v>
      </c>
      <c r="HG158" s="14">
        <f t="shared" si="163"/>
        <v>14</v>
      </c>
      <c r="HH158" s="14" t="str">
        <f t="shared" si="164"/>
        <v>神器3-2</v>
      </c>
      <c r="HI158" s="14">
        <f t="shared" si="165"/>
        <v>7</v>
      </c>
      <c r="HJ158" s="14" t="s">
        <v>1595</v>
      </c>
      <c r="HK158" s="14">
        <f t="shared" si="166"/>
        <v>3150</v>
      </c>
    </row>
    <row r="159" spans="41:219" ht="16.5" x14ac:dyDescent="0.2">
      <c r="AO159" s="87">
        <v>6</v>
      </c>
      <c r="AP159" s="87">
        <v>1</v>
      </c>
      <c r="AQ159" s="87">
        <v>46</v>
      </c>
      <c r="AR159" s="144">
        <f t="shared" si="152"/>
        <v>4446</v>
      </c>
      <c r="AS159" s="144" t="s">
        <v>1248</v>
      </c>
      <c r="AT159" s="144" t="str">
        <f t="shared" si="153"/>
        <v>神器本-6-普通-1  神器5-6</v>
      </c>
      <c r="AU159" s="87">
        <v>26</v>
      </c>
      <c r="AV159" s="87" t="s">
        <v>332</v>
      </c>
      <c r="AW159" s="87">
        <v>166</v>
      </c>
      <c r="AX159" s="87">
        <v>1</v>
      </c>
      <c r="AY159" s="87">
        <v>1</v>
      </c>
      <c r="AZ159" s="87">
        <f t="shared" si="154"/>
        <v>4</v>
      </c>
      <c r="BA159" s="14">
        <f t="shared" si="155"/>
        <v>1.66E-2</v>
      </c>
      <c r="BB159" s="14">
        <f t="shared" si="156"/>
        <v>7.47</v>
      </c>
      <c r="GY159" s="91">
        <v>153</v>
      </c>
      <c r="GZ159" s="14">
        <f t="shared" si="157"/>
        <v>10</v>
      </c>
      <c r="HA159" s="14">
        <f t="shared" si="158"/>
        <v>3</v>
      </c>
      <c r="HB159" s="14">
        <f t="shared" si="159"/>
        <v>1</v>
      </c>
      <c r="HC159" s="14">
        <f t="shared" si="160"/>
        <v>0.33200000000000002</v>
      </c>
      <c r="HD159" s="14">
        <f t="shared" si="161"/>
        <v>1606012</v>
      </c>
      <c r="HE159" s="14" t="str">
        <f t="shared" si="162"/>
        <v>神器3-2 : 15级</v>
      </c>
      <c r="HF159" s="14" t="s">
        <v>800</v>
      </c>
      <c r="HG159" s="14">
        <f t="shared" si="163"/>
        <v>15</v>
      </c>
      <c r="HH159" s="14" t="str">
        <f t="shared" si="164"/>
        <v>神器3-2</v>
      </c>
      <c r="HI159" s="14">
        <f t="shared" si="165"/>
        <v>7</v>
      </c>
      <c r="HJ159" s="14" t="s">
        <v>1595</v>
      </c>
      <c r="HK159" s="14">
        <f t="shared" si="166"/>
        <v>3200</v>
      </c>
    </row>
    <row r="160" spans="41:219" ht="16.5" x14ac:dyDescent="0.2">
      <c r="AO160" s="87">
        <v>6</v>
      </c>
      <c r="AP160" s="87">
        <v>1</v>
      </c>
      <c r="AQ160" s="87">
        <v>47</v>
      </c>
      <c r="AR160" s="144">
        <f t="shared" si="152"/>
        <v>4447</v>
      </c>
      <c r="AS160" s="144" t="s">
        <v>1249</v>
      </c>
      <c r="AT160" s="144" t="str">
        <f t="shared" si="153"/>
        <v>神器本-6-普通-2  神器6-1</v>
      </c>
      <c r="AU160" s="87">
        <v>27</v>
      </c>
      <c r="AV160" s="87" t="s">
        <v>762</v>
      </c>
      <c r="AW160" s="87">
        <v>2000</v>
      </c>
      <c r="AX160" s="87">
        <v>1</v>
      </c>
      <c r="AY160" s="87">
        <v>2</v>
      </c>
      <c r="AZ160" s="87">
        <f t="shared" si="154"/>
        <v>2</v>
      </c>
      <c r="BA160" s="14">
        <f t="shared" si="155"/>
        <v>0.3</v>
      </c>
      <c r="BB160" s="14">
        <f t="shared" si="156"/>
        <v>36</v>
      </c>
      <c r="GY160" s="91">
        <v>154</v>
      </c>
      <c r="GZ160" s="14">
        <f t="shared" si="157"/>
        <v>10</v>
      </c>
      <c r="HA160" s="14">
        <f t="shared" si="158"/>
        <v>3</v>
      </c>
      <c r="HB160" s="14">
        <f t="shared" si="159"/>
        <v>1</v>
      </c>
      <c r="HC160" s="14">
        <f t="shared" si="160"/>
        <v>0.33800000000000002</v>
      </c>
      <c r="HD160" s="14">
        <f t="shared" si="161"/>
        <v>1606012</v>
      </c>
      <c r="HE160" s="14" t="str">
        <f t="shared" si="162"/>
        <v>神器3-2 : 16级</v>
      </c>
      <c r="HF160" s="14" t="s">
        <v>800</v>
      </c>
      <c r="HG160" s="14">
        <f t="shared" si="163"/>
        <v>16</v>
      </c>
      <c r="HH160" s="14" t="str">
        <f t="shared" si="164"/>
        <v>神器3-2</v>
      </c>
      <c r="HI160" s="14">
        <f t="shared" si="165"/>
        <v>10</v>
      </c>
      <c r="HJ160" s="14" t="s">
        <v>1595</v>
      </c>
      <c r="HK160" s="14">
        <f t="shared" si="166"/>
        <v>3250</v>
      </c>
    </row>
    <row r="161" spans="41:219" ht="16.5" x14ac:dyDescent="0.2">
      <c r="AO161" s="87">
        <v>6</v>
      </c>
      <c r="AP161" s="87">
        <v>1</v>
      </c>
      <c r="AQ161" s="87">
        <v>47</v>
      </c>
      <c r="AR161" s="144">
        <f t="shared" si="152"/>
        <v>4447</v>
      </c>
      <c r="AS161" s="144" t="s">
        <v>1249</v>
      </c>
      <c r="AT161" s="144" t="str">
        <f t="shared" si="153"/>
        <v>神器本-6-普通-2  神器6-2</v>
      </c>
      <c r="AU161" s="87">
        <v>28</v>
      </c>
      <c r="AV161" s="87" t="s">
        <v>763</v>
      </c>
      <c r="AW161" s="87">
        <v>2000</v>
      </c>
      <c r="AX161" s="87">
        <v>1</v>
      </c>
      <c r="AY161" s="87">
        <v>2</v>
      </c>
      <c r="AZ161" s="87">
        <f t="shared" si="154"/>
        <v>2</v>
      </c>
      <c r="BA161" s="14">
        <f t="shared" si="155"/>
        <v>0.3</v>
      </c>
      <c r="BB161" s="14">
        <f t="shared" si="156"/>
        <v>36</v>
      </c>
      <c r="GY161" s="91">
        <v>155</v>
      </c>
      <c r="GZ161" s="14">
        <f t="shared" si="157"/>
        <v>10</v>
      </c>
      <c r="HA161" s="14">
        <f t="shared" si="158"/>
        <v>3</v>
      </c>
      <c r="HB161" s="14">
        <f t="shared" si="159"/>
        <v>1</v>
      </c>
      <c r="HC161" s="14">
        <f t="shared" si="160"/>
        <v>0.34399999999999997</v>
      </c>
      <c r="HD161" s="14">
        <f t="shared" si="161"/>
        <v>1606012</v>
      </c>
      <c r="HE161" s="14" t="str">
        <f t="shared" si="162"/>
        <v>神器3-2 : 17级</v>
      </c>
      <c r="HF161" s="14" t="s">
        <v>800</v>
      </c>
      <c r="HG161" s="14">
        <f t="shared" si="163"/>
        <v>17</v>
      </c>
      <c r="HH161" s="14" t="str">
        <f t="shared" si="164"/>
        <v>神器3-2</v>
      </c>
      <c r="HI161" s="14">
        <f t="shared" si="165"/>
        <v>10</v>
      </c>
      <c r="HJ161" s="14" t="s">
        <v>1595</v>
      </c>
      <c r="HK161" s="14">
        <f t="shared" si="166"/>
        <v>3350</v>
      </c>
    </row>
    <row r="162" spans="41:219" ht="16.5" x14ac:dyDescent="0.2">
      <c r="AO162" s="87">
        <v>6</v>
      </c>
      <c r="AP162" s="87">
        <v>1</v>
      </c>
      <c r="AQ162" s="87">
        <v>47</v>
      </c>
      <c r="AR162" s="144">
        <f t="shared" si="152"/>
        <v>4447</v>
      </c>
      <c r="AS162" s="144" t="s">
        <v>1249</v>
      </c>
      <c r="AT162" s="144" t="str">
        <f t="shared" si="153"/>
        <v>神器本-6-普通-2  神器6-3</v>
      </c>
      <c r="AU162" s="87">
        <v>29</v>
      </c>
      <c r="AV162" s="87" t="s">
        <v>764</v>
      </c>
      <c r="AW162" s="87">
        <v>2000</v>
      </c>
      <c r="AX162" s="87">
        <v>1</v>
      </c>
      <c r="AY162" s="87">
        <v>2</v>
      </c>
      <c r="AZ162" s="87">
        <f t="shared" si="154"/>
        <v>2</v>
      </c>
      <c r="BA162" s="14">
        <f t="shared" si="155"/>
        <v>0.3</v>
      </c>
      <c r="BB162" s="14">
        <f t="shared" si="156"/>
        <v>36</v>
      </c>
      <c r="GY162" s="91">
        <v>156</v>
      </c>
      <c r="GZ162" s="14">
        <f t="shared" si="157"/>
        <v>10</v>
      </c>
      <c r="HA162" s="14">
        <f t="shared" si="158"/>
        <v>3</v>
      </c>
      <c r="HB162" s="14">
        <f t="shared" si="159"/>
        <v>1</v>
      </c>
      <c r="HC162" s="14">
        <f t="shared" si="160"/>
        <v>0.34899999999999998</v>
      </c>
      <c r="HD162" s="14">
        <f t="shared" si="161"/>
        <v>1606012</v>
      </c>
      <c r="HE162" s="14" t="str">
        <f t="shared" si="162"/>
        <v>神器3-2 : 18级</v>
      </c>
      <c r="HF162" s="14" t="s">
        <v>800</v>
      </c>
      <c r="HG162" s="14">
        <f t="shared" si="163"/>
        <v>18</v>
      </c>
      <c r="HH162" s="14" t="str">
        <f t="shared" si="164"/>
        <v>神器3-2</v>
      </c>
      <c r="HI162" s="14">
        <f t="shared" si="165"/>
        <v>10</v>
      </c>
      <c r="HJ162" s="14" t="s">
        <v>1595</v>
      </c>
      <c r="HK162" s="14">
        <f t="shared" si="166"/>
        <v>3400</v>
      </c>
    </row>
    <row r="163" spans="41:219" ht="16.5" x14ac:dyDescent="0.2">
      <c r="AO163" s="87">
        <v>6</v>
      </c>
      <c r="AP163" s="87">
        <v>2</v>
      </c>
      <c r="AQ163" s="87">
        <v>48</v>
      </c>
      <c r="AR163" s="144">
        <f t="shared" si="152"/>
        <v>4448</v>
      </c>
      <c r="AS163" s="144" t="s">
        <v>1242</v>
      </c>
      <c r="AT163" s="144" t="str">
        <f t="shared" si="153"/>
        <v>神器本-6-困难-1  神器3-1</v>
      </c>
      <c r="AU163" s="87">
        <v>9</v>
      </c>
      <c r="AV163" s="87" t="s">
        <v>761</v>
      </c>
      <c r="AW163" s="87">
        <v>833</v>
      </c>
      <c r="AX163" s="87">
        <v>1</v>
      </c>
      <c r="AY163" s="87">
        <v>1</v>
      </c>
      <c r="AZ163" s="87">
        <f t="shared" si="154"/>
        <v>1</v>
      </c>
      <c r="BA163" s="14">
        <f t="shared" si="155"/>
        <v>8.3299999999999999E-2</v>
      </c>
      <c r="BB163" s="14">
        <f t="shared" si="156"/>
        <v>1.6659999999999999</v>
      </c>
      <c r="GY163" s="91">
        <v>157</v>
      </c>
      <c r="GZ163" s="14">
        <f t="shared" si="157"/>
        <v>11</v>
      </c>
      <c r="HA163" s="14">
        <f t="shared" si="158"/>
        <v>3</v>
      </c>
      <c r="HB163" s="14">
        <f t="shared" si="159"/>
        <v>2</v>
      </c>
      <c r="HC163" s="14">
        <f t="shared" si="160"/>
        <v>0.40200000000000002</v>
      </c>
      <c r="HD163" s="14">
        <f t="shared" si="161"/>
        <v>1606013</v>
      </c>
      <c r="HE163" s="14" t="str">
        <f t="shared" si="162"/>
        <v>神器3-3 : 1级</v>
      </c>
      <c r="HF163" s="14" t="s">
        <v>800</v>
      </c>
      <c r="HG163" s="14">
        <f t="shared" si="163"/>
        <v>1</v>
      </c>
      <c r="HH163" s="14" t="str">
        <f t="shared" si="164"/>
        <v>神器3-3</v>
      </c>
      <c r="HI163" s="14">
        <f t="shared" si="165"/>
        <v>1</v>
      </c>
      <c r="HJ163" s="14" t="s">
        <v>1595</v>
      </c>
      <c r="HK163" s="14">
        <f t="shared" si="166"/>
        <v>3900</v>
      </c>
    </row>
    <row r="164" spans="41:219" ht="16.5" x14ac:dyDescent="0.2">
      <c r="AO164" s="87">
        <v>6</v>
      </c>
      <c r="AP164" s="87">
        <v>2</v>
      </c>
      <c r="AQ164" s="87">
        <v>48</v>
      </c>
      <c r="AR164" s="144">
        <f t="shared" si="152"/>
        <v>4448</v>
      </c>
      <c r="AS164" s="144" t="s">
        <v>1242</v>
      </c>
      <c r="AT164" s="144" t="str">
        <f t="shared" si="153"/>
        <v>神器本-6-困难-1  神器3-2</v>
      </c>
      <c r="AU164" s="87">
        <v>10</v>
      </c>
      <c r="AV164" s="87" t="s">
        <v>316</v>
      </c>
      <c r="AW164" s="87">
        <v>833</v>
      </c>
      <c r="AX164" s="87">
        <v>1</v>
      </c>
      <c r="AY164" s="87">
        <v>1</v>
      </c>
      <c r="AZ164" s="87">
        <f t="shared" si="154"/>
        <v>1</v>
      </c>
      <c r="BA164" s="14">
        <f t="shared" si="155"/>
        <v>8.3299999999999999E-2</v>
      </c>
      <c r="BB164" s="14">
        <f t="shared" si="156"/>
        <v>1.6659999999999999</v>
      </c>
      <c r="GY164" s="91">
        <v>158</v>
      </c>
      <c r="GZ164" s="14">
        <f t="shared" si="157"/>
        <v>11</v>
      </c>
      <c r="HA164" s="14">
        <f t="shared" si="158"/>
        <v>3</v>
      </c>
      <c r="HB164" s="14">
        <f t="shared" si="159"/>
        <v>2</v>
      </c>
      <c r="HC164" s="14">
        <f t="shared" si="160"/>
        <v>0.41699999999999998</v>
      </c>
      <c r="HD164" s="14">
        <f t="shared" si="161"/>
        <v>1606013</v>
      </c>
      <c r="HE164" s="14" t="str">
        <f t="shared" si="162"/>
        <v>神器3-3 : 2级</v>
      </c>
      <c r="HF164" s="14" t="s">
        <v>800</v>
      </c>
      <c r="HG164" s="14">
        <f t="shared" si="163"/>
        <v>2</v>
      </c>
      <c r="HH164" s="14" t="str">
        <f t="shared" si="164"/>
        <v>神器3-3</v>
      </c>
      <c r="HI164" s="14">
        <f t="shared" si="165"/>
        <v>1</v>
      </c>
      <c r="HJ164" s="14" t="s">
        <v>1595</v>
      </c>
      <c r="HK164" s="14">
        <f t="shared" si="166"/>
        <v>4050</v>
      </c>
    </row>
    <row r="165" spans="41:219" ht="16.5" x14ac:dyDescent="0.2">
      <c r="AO165" s="87">
        <v>6</v>
      </c>
      <c r="AP165" s="87">
        <v>2</v>
      </c>
      <c r="AQ165" s="87">
        <v>48</v>
      </c>
      <c r="AR165" s="144">
        <f t="shared" si="152"/>
        <v>4448</v>
      </c>
      <c r="AS165" s="144" t="s">
        <v>1242</v>
      </c>
      <c r="AT165" s="144" t="str">
        <f t="shared" si="153"/>
        <v>神器本-6-困难-1  神器3-3</v>
      </c>
      <c r="AU165" s="87">
        <v>11</v>
      </c>
      <c r="AV165" s="87" t="s">
        <v>317</v>
      </c>
      <c r="AW165" s="87">
        <v>500</v>
      </c>
      <c r="AX165" s="87">
        <v>1</v>
      </c>
      <c r="AY165" s="87">
        <v>1</v>
      </c>
      <c r="AZ165" s="87">
        <f t="shared" si="154"/>
        <v>2</v>
      </c>
      <c r="BA165" s="14">
        <f t="shared" si="155"/>
        <v>0.05</v>
      </c>
      <c r="BB165" s="14">
        <f t="shared" si="156"/>
        <v>3</v>
      </c>
      <c r="GY165" s="91">
        <v>159</v>
      </c>
      <c r="GZ165" s="14">
        <f t="shared" si="157"/>
        <v>11</v>
      </c>
      <c r="HA165" s="14">
        <f t="shared" si="158"/>
        <v>3</v>
      </c>
      <c r="HB165" s="14">
        <f t="shared" si="159"/>
        <v>2</v>
      </c>
      <c r="HC165" s="14">
        <f t="shared" si="160"/>
        <v>0.43099999999999999</v>
      </c>
      <c r="HD165" s="14">
        <f t="shared" si="161"/>
        <v>1606013</v>
      </c>
      <c r="HE165" s="14" t="str">
        <f t="shared" si="162"/>
        <v>神器3-3 : 3级</v>
      </c>
      <c r="HF165" s="14" t="s">
        <v>800</v>
      </c>
      <c r="HG165" s="14">
        <f t="shared" si="163"/>
        <v>3</v>
      </c>
      <c r="HH165" s="14" t="str">
        <f t="shared" si="164"/>
        <v>神器3-3</v>
      </c>
      <c r="HI165" s="14">
        <f t="shared" si="165"/>
        <v>1</v>
      </c>
      <c r="HJ165" s="14" t="s">
        <v>1595</v>
      </c>
      <c r="HK165" s="14">
        <f t="shared" si="166"/>
        <v>4150</v>
      </c>
    </row>
    <row r="166" spans="41:219" ht="16.5" x14ac:dyDescent="0.2">
      <c r="AO166" s="87">
        <v>6</v>
      </c>
      <c r="AP166" s="87">
        <v>2</v>
      </c>
      <c r="AQ166" s="87">
        <v>48</v>
      </c>
      <c r="AR166" s="144">
        <f t="shared" si="152"/>
        <v>4448</v>
      </c>
      <c r="AS166" s="144" t="s">
        <v>1242</v>
      </c>
      <c r="AT166" s="144" t="str">
        <f t="shared" si="153"/>
        <v>神器本-6-困难-1  神器3-4</v>
      </c>
      <c r="AU166" s="87">
        <v>12</v>
      </c>
      <c r="AV166" s="87" t="s">
        <v>318</v>
      </c>
      <c r="AW166" s="87">
        <v>500</v>
      </c>
      <c r="AX166" s="87">
        <v>1</v>
      </c>
      <c r="AY166" s="87">
        <v>1</v>
      </c>
      <c r="AZ166" s="87">
        <f t="shared" si="154"/>
        <v>2</v>
      </c>
      <c r="BA166" s="14">
        <f t="shared" si="155"/>
        <v>0.05</v>
      </c>
      <c r="BB166" s="14">
        <f t="shared" si="156"/>
        <v>3</v>
      </c>
      <c r="GY166" s="91">
        <v>160</v>
      </c>
      <c r="GZ166" s="14">
        <f t="shared" si="157"/>
        <v>11</v>
      </c>
      <c r="HA166" s="14">
        <f t="shared" si="158"/>
        <v>3</v>
      </c>
      <c r="HB166" s="14">
        <f t="shared" si="159"/>
        <v>2</v>
      </c>
      <c r="HC166" s="14">
        <f t="shared" si="160"/>
        <v>0.44500000000000001</v>
      </c>
      <c r="HD166" s="14">
        <f t="shared" si="161"/>
        <v>1606013</v>
      </c>
      <c r="HE166" s="14" t="str">
        <f t="shared" si="162"/>
        <v>神器3-3 : 4级</v>
      </c>
      <c r="HF166" s="14" t="s">
        <v>800</v>
      </c>
      <c r="HG166" s="14">
        <f t="shared" si="163"/>
        <v>4</v>
      </c>
      <c r="HH166" s="14" t="str">
        <f t="shared" si="164"/>
        <v>神器3-3</v>
      </c>
      <c r="HI166" s="14">
        <f t="shared" si="165"/>
        <v>2</v>
      </c>
      <c r="HJ166" s="14" t="s">
        <v>1595</v>
      </c>
      <c r="HK166" s="14">
        <f t="shared" si="166"/>
        <v>4300</v>
      </c>
    </row>
    <row r="167" spans="41:219" ht="16.5" x14ac:dyDescent="0.2">
      <c r="AO167" s="87">
        <v>6</v>
      </c>
      <c r="AP167" s="87">
        <v>2</v>
      </c>
      <c r="AQ167" s="87">
        <v>48</v>
      </c>
      <c r="AR167" s="144">
        <f t="shared" si="152"/>
        <v>4448</v>
      </c>
      <c r="AS167" s="144" t="s">
        <v>1242</v>
      </c>
      <c r="AT167" s="144" t="str">
        <f t="shared" si="153"/>
        <v>神器本-6-困难-1  神器3-5</v>
      </c>
      <c r="AU167" s="87">
        <v>13</v>
      </c>
      <c r="AV167" s="87" t="s">
        <v>319</v>
      </c>
      <c r="AW167" s="87">
        <v>500</v>
      </c>
      <c r="AX167" s="87">
        <v>1</v>
      </c>
      <c r="AY167" s="87">
        <v>1</v>
      </c>
      <c r="AZ167" s="87">
        <f t="shared" si="154"/>
        <v>3</v>
      </c>
      <c r="BA167" s="14">
        <f t="shared" si="155"/>
        <v>0.05</v>
      </c>
      <c r="BB167" s="14">
        <f t="shared" si="156"/>
        <v>7</v>
      </c>
      <c r="GY167" s="91">
        <v>161</v>
      </c>
      <c r="GZ167" s="14">
        <f t="shared" si="157"/>
        <v>11</v>
      </c>
      <c r="HA167" s="14">
        <f t="shared" si="158"/>
        <v>3</v>
      </c>
      <c r="HB167" s="14">
        <f t="shared" si="159"/>
        <v>2</v>
      </c>
      <c r="HC167" s="14">
        <f t="shared" si="160"/>
        <v>0.45800000000000002</v>
      </c>
      <c r="HD167" s="14">
        <f t="shared" si="161"/>
        <v>1606013</v>
      </c>
      <c r="HE167" s="14" t="str">
        <f t="shared" si="162"/>
        <v>神器3-3 : 5级</v>
      </c>
      <c r="HF167" s="14" t="s">
        <v>800</v>
      </c>
      <c r="HG167" s="14">
        <f t="shared" si="163"/>
        <v>5</v>
      </c>
      <c r="HH167" s="14" t="str">
        <f t="shared" si="164"/>
        <v>神器3-3</v>
      </c>
      <c r="HI167" s="14">
        <f t="shared" si="165"/>
        <v>2</v>
      </c>
      <c r="HJ167" s="14" t="s">
        <v>1595</v>
      </c>
      <c r="HK167" s="14">
        <f t="shared" si="166"/>
        <v>4450</v>
      </c>
    </row>
    <row r="168" spans="41:219" ht="16.5" x14ac:dyDescent="0.2">
      <c r="AO168" s="87">
        <v>6</v>
      </c>
      <c r="AP168" s="87">
        <v>2</v>
      </c>
      <c r="AQ168" s="87">
        <v>48</v>
      </c>
      <c r="AR168" s="144">
        <f t="shared" si="152"/>
        <v>4448</v>
      </c>
      <c r="AS168" s="144" t="s">
        <v>1242</v>
      </c>
      <c r="AT168" s="144" t="str">
        <f t="shared" si="153"/>
        <v>神器本-6-困难-1  神器3-6</v>
      </c>
      <c r="AU168" s="87">
        <v>14</v>
      </c>
      <c r="AV168" s="87" t="s">
        <v>320</v>
      </c>
      <c r="AW168" s="87">
        <v>170</v>
      </c>
      <c r="AX168" s="87">
        <v>1</v>
      </c>
      <c r="AY168" s="87">
        <v>1</v>
      </c>
      <c r="AZ168" s="87">
        <f t="shared" si="154"/>
        <v>4</v>
      </c>
      <c r="BA168" s="14">
        <f t="shared" si="155"/>
        <v>1.7000000000000001E-2</v>
      </c>
      <c r="BB168" s="14">
        <f t="shared" si="156"/>
        <v>5.1000000000000005</v>
      </c>
      <c r="GY168" s="91">
        <v>162</v>
      </c>
      <c r="GZ168" s="14">
        <f t="shared" si="157"/>
        <v>11</v>
      </c>
      <c r="HA168" s="14">
        <f t="shared" si="158"/>
        <v>3</v>
      </c>
      <c r="HB168" s="14">
        <f t="shared" si="159"/>
        <v>2</v>
      </c>
      <c r="HC168" s="14">
        <f t="shared" si="160"/>
        <v>0.47099999999999997</v>
      </c>
      <c r="HD168" s="14">
        <f t="shared" si="161"/>
        <v>1606013</v>
      </c>
      <c r="HE168" s="14" t="str">
        <f t="shared" si="162"/>
        <v>神器3-3 : 6级</v>
      </c>
      <c r="HF168" s="14" t="s">
        <v>800</v>
      </c>
      <c r="HG168" s="14">
        <f t="shared" si="163"/>
        <v>6</v>
      </c>
      <c r="HH168" s="14" t="str">
        <f t="shared" si="164"/>
        <v>神器3-3</v>
      </c>
      <c r="HI168" s="14">
        <f t="shared" si="165"/>
        <v>2</v>
      </c>
      <c r="HJ168" s="14" t="s">
        <v>1595</v>
      </c>
      <c r="HK168" s="14">
        <f t="shared" si="166"/>
        <v>4550</v>
      </c>
    </row>
    <row r="169" spans="41:219" ht="16.5" x14ac:dyDescent="0.2">
      <c r="AO169" s="87">
        <v>6</v>
      </c>
      <c r="AP169" s="87">
        <v>2</v>
      </c>
      <c r="AQ169" s="87">
        <v>48</v>
      </c>
      <c r="AR169" s="144">
        <f t="shared" si="152"/>
        <v>4448</v>
      </c>
      <c r="AS169" s="144" t="s">
        <v>1242</v>
      </c>
      <c r="AT169" s="144" t="str">
        <f t="shared" si="153"/>
        <v>神器本-6-困难-1  神器4-1</v>
      </c>
      <c r="AU169" s="87">
        <v>15</v>
      </c>
      <c r="AV169" s="87" t="s">
        <v>321</v>
      </c>
      <c r="AW169" s="87">
        <v>833</v>
      </c>
      <c r="AX169" s="87">
        <v>1</v>
      </c>
      <c r="AY169" s="87">
        <v>1</v>
      </c>
      <c r="AZ169" s="87">
        <f t="shared" si="154"/>
        <v>1</v>
      </c>
      <c r="BA169" s="14">
        <f t="shared" si="155"/>
        <v>8.3299999999999999E-2</v>
      </c>
      <c r="BB169" s="14">
        <f t="shared" si="156"/>
        <v>2.0825</v>
      </c>
      <c r="GY169" s="91">
        <v>163</v>
      </c>
      <c r="GZ169" s="14">
        <f t="shared" si="157"/>
        <v>11</v>
      </c>
      <c r="HA169" s="14">
        <f t="shared" si="158"/>
        <v>3</v>
      </c>
      <c r="HB169" s="14">
        <f t="shared" si="159"/>
        <v>2</v>
      </c>
      <c r="HC169" s="14">
        <f t="shared" si="160"/>
        <v>0.48399999999999999</v>
      </c>
      <c r="HD169" s="14">
        <f t="shared" si="161"/>
        <v>1606013</v>
      </c>
      <c r="HE169" s="14" t="str">
        <f t="shared" si="162"/>
        <v>神器3-3 : 7级</v>
      </c>
      <c r="HF169" s="14" t="s">
        <v>800</v>
      </c>
      <c r="HG169" s="14">
        <f t="shared" si="163"/>
        <v>7</v>
      </c>
      <c r="HH169" s="14" t="str">
        <f t="shared" si="164"/>
        <v>神器3-3</v>
      </c>
      <c r="HI169" s="14">
        <f t="shared" si="165"/>
        <v>3</v>
      </c>
      <c r="HJ169" s="14" t="s">
        <v>1595</v>
      </c>
      <c r="HK169" s="14">
        <f t="shared" si="166"/>
        <v>4700</v>
      </c>
    </row>
    <row r="170" spans="41:219" ht="16.5" x14ac:dyDescent="0.2">
      <c r="AO170" s="87">
        <v>6</v>
      </c>
      <c r="AP170" s="87">
        <v>2</v>
      </c>
      <c r="AQ170" s="87">
        <v>48</v>
      </c>
      <c r="AR170" s="144">
        <f t="shared" si="152"/>
        <v>4448</v>
      </c>
      <c r="AS170" s="144" t="s">
        <v>1242</v>
      </c>
      <c r="AT170" s="144" t="str">
        <f t="shared" si="153"/>
        <v>神器本-6-困难-1  神器4-2</v>
      </c>
      <c r="AU170" s="87">
        <v>16</v>
      </c>
      <c r="AV170" s="87" t="s">
        <v>322</v>
      </c>
      <c r="AW170" s="87">
        <v>833</v>
      </c>
      <c r="AX170" s="87">
        <v>1</v>
      </c>
      <c r="AY170" s="87">
        <v>1</v>
      </c>
      <c r="AZ170" s="87">
        <f t="shared" si="154"/>
        <v>1</v>
      </c>
      <c r="BA170" s="14">
        <f t="shared" si="155"/>
        <v>8.3299999999999999E-2</v>
      </c>
      <c r="BB170" s="14">
        <f t="shared" si="156"/>
        <v>2.0825</v>
      </c>
      <c r="GY170" s="91">
        <v>164</v>
      </c>
      <c r="GZ170" s="14">
        <f t="shared" si="157"/>
        <v>11</v>
      </c>
      <c r="HA170" s="14">
        <f t="shared" si="158"/>
        <v>3</v>
      </c>
      <c r="HB170" s="14">
        <f t="shared" si="159"/>
        <v>2</v>
      </c>
      <c r="HC170" s="14">
        <f t="shared" si="160"/>
        <v>0.496</v>
      </c>
      <c r="HD170" s="14">
        <f t="shared" si="161"/>
        <v>1606013</v>
      </c>
      <c r="HE170" s="14" t="str">
        <f t="shared" si="162"/>
        <v>神器3-3 : 8级</v>
      </c>
      <c r="HF170" s="14" t="s">
        <v>800</v>
      </c>
      <c r="HG170" s="14">
        <f t="shared" si="163"/>
        <v>8</v>
      </c>
      <c r="HH170" s="14" t="str">
        <f t="shared" si="164"/>
        <v>神器3-3</v>
      </c>
      <c r="HI170" s="14">
        <f t="shared" si="165"/>
        <v>3</v>
      </c>
      <c r="HJ170" s="14" t="s">
        <v>1595</v>
      </c>
      <c r="HK170" s="14">
        <f t="shared" si="166"/>
        <v>4800</v>
      </c>
    </row>
    <row r="171" spans="41:219" ht="16.5" x14ac:dyDescent="0.2">
      <c r="AO171" s="87">
        <v>6</v>
      </c>
      <c r="AP171" s="87">
        <v>2</v>
      </c>
      <c r="AQ171" s="87">
        <v>48</v>
      </c>
      <c r="AR171" s="144">
        <f t="shared" si="152"/>
        <v>4448</v>
      </c>
      <c r="AS171" s="144" t="s">
        <v>1242</v>
      </c>
      <c r="AT171" s="144" t="str">
        <f t="shared" si="153"/>
        <v>神器本-6-困难-1  神器4-3</v>
      </c>
      <c r="AU171" s="87">
        <v>17</v>
      </c>
      <c r="AV171" s="87" t="s">
        <v>323</v>
      </c>
      <c r="AW171" s="87">
        <v>500</v>
      </c>
      <c r="AX171" s="87">
        <v>1</v>
      </c>
      <c r="AY171" s="87">
        <v>1</v>
      </c>
      <c r="AZ171" s="87">
        <f t="shared" si="154"/>
        <v>2</v>
      </c>
      <c r="BA171" s="14">
        <f t="shared" si="155"/>
        <v>0.05</v>
      </c>
      <c r="BB171" s="14">
        <f t="shared" si="156"/>
        <v>3.75</v>
      </c>
      <c r="GY171" s="91">
        <v>165</v>
      </c>
      <c r="GZ171" s="14">
        <f t="shared" si="157"/>
        <v>11</v>
      </c>
      <c r="HA171" s="14">
        <f t="shared" si="158"/>
        <v>3</v>
      </c>
      <c r="HB171" s="14">
        <f t="shared" si="159"/>
        <v>2</v>
      </c>
      <c r="HC171" s="14">
        <f t="shared" si="160"/>
        <v>0.50800000000000001</v>
      </c>
      <c r="HD171" s="14">
        <f t="shared" si="161"/>
        <v>1606013</v>
      </c>
      <c r="HE171" s="14" t="str">
        <f t="shared" si="162"/>
        <v>神器3-3 : 9级</v>
      </c>
      <c r="HF171" s="14" t="s">
        <v>800</v>
      </c>
      <c r="HG171" s="14">
        <f t="shared" si="163"/>
        <v>9</v>
      </c>
      <c r="HH171" s="14" t="str">
        <f t="shared" si="164"/>
        <v>神器3-3</v>
      </c>
      <c r="HI171" s="14">
        <f t="shared" si="165"/>
        <v>3</v>
      </c>
      <c r="HJ171" s="14" t="s">
        <v>1595</v>
      </c>
      <c r="HK171" s="14">
        <f t="shared" si="166"/>
        <v>4900</v>
      </c>
    </row>
    <row r="172" spans="41:219" ht="16.5" x14ac:dyDescent="0.2">
      <c r="AO172" s="87">
        <v>6</v>
      </c>
      <c r="AP172" s="87">
        <v>2</v>
      </c>
      <c r="AQ172" s="87">
        <v>48</v>
      </c>
      <c r="AR172" s="144">
        <f t="shared" si="152"/>
        <v>4448</v>
      </c>
      <c r="AS172" s="144" t="s">
        <v>1242</v>
      </c>
      <c r="AT172" s="144" t="str">
        <f t="shared" si="153"/>
        <v>神器本-6-困难-1  神器4-4</v>
      </c>
      <c r="AU172" s="87">
        <v>18</v>
      </c>
      <c r="AV172" s="87" t="s">
        <v>324</v>
      </c>
      <c r="AW172" s="87">
        <v>500</v>
      </c>
      <c r="AX172" s="87">
        <v>1</v>
      </c>
      <c r="AY172" s="87">
        <v>1</v>
      </c>
      <c r="AZ172" s="87">
        <f t="shared" si="154"/>
        <v>2</v>
      </c>
      <c r="BA172" s="14">
        <f t="shared" si="155"/>
        <v>0.05</v>
      </c>
      <c r="BB172" s="14">
        <f t="shared" si="156"/>
        <v>3.75</v>
      </c>
      <c r="GY172" s="91">
        <v>166</v>
      </c>
      <c r="GZ172" s="14">
        <f t="shared" si="157"/>
        <v>11</v>
      </c>
      <c r="HA172" s="14">
        <f t="shared" si="158"/>
        <v>3</v>
      </c>
      <c r="HB172" s="14">
        <f t="shared" si="159"/>
        <v>2</v>
      </c>
      <c r="HC172" s="14">
        <f t="shared" si="160"/>
        <v>0.52</v>
      </c>
      <c r="HD172" s="14">
        <f t="shared" si="161"/>
        <v>1606013</v>
      </c>
      <c r="HE172" s="14" t="str">
        <f t="shared" si="162"/>
        <v>神器3-3 : 10级</v>
      </c>
      <c r="HF172" s="14" t="s">
        <v>800</v>
      </c>
      <c r="HG172" s="14">
        <f t="shared" si="163"/>
        <v>10</v>
      </c>
      <c r="HH172" s="14" t="str">
        <f t="shared" si="164"/>
        <v>神器3-3</v>
      </c>
      <c r="HI172" s="14">
        <f t="shared" si="165"/>
        <v>5</v>
      </c>
      <c r="HJ172" s="14" t="s">
        <v>1595</v>
      </c>
      <c r="HK172" s="14">
        <f t="shared" si="166"/>
        <v>5050</v>
      </c>
    </row>
    <row r="173" spans="41:219" ht="16.5" x14ac:dyDescent="0.2">
      <c r="AO173" s="87">
        <v>6</v>
      </c>
      <c r="AP173" s="87">
        <v>2</v>
      </c>
      <c r="AQ173" s="87">
        <v>48</v>
      </c>
      <c r="AR173" s="144">
        <f t="shared" si="152"/>
        <v>4448</v>
      </c>
      <c r="AS173" s="144" t="s">
        <v>1242</v>
      </c>
      <c r="AT173" s="144" t="str">
        <f t="shared" si="153"/>
        <v>神器本-6-困难-1  神器4-5</v>
      </c>
      <c r="AU173" s="87">
        <v>19</v>
      </c>
      <c r="AV173" s="87" t="s">
        <v>325</v>
      </c>
      <c r="AW173" s="87">
        <v>500</v>
      </c>
      <c r="AX173" s="87">
        <v>1</v>
      </c>
      <c r="AY173" s="87">
        <v>1</v>
      </c>
      <c r="AZ173" s="87">
        <f t="shared" si="154"/>
        <v>3</v>
      </c>
      <c r="BA173" s="14">
        <f t="shared" si="155"/>
        <v>0.05</v>
      </c>
      <c r="BB173" s="14">
        <f t="shared" si="156"/>
        <v>8.75</v>
      </c>
      <c r="GY173" s="91">
        <v>167</v>
      </c>
      <c r="GZ173" s="14">
        <f t="shared" si="157"/>
        <v>11</v>
      </c>
      <c r="HA173" s="14">
        <f t="shared" si="158"/>
        <v>3</v>
      </c>
      <c r="HB173" s="14">
        <f t="shared" si="159"/>
        <v>2</v>
      </c>
      <c r="HC173" s="14">
        <f t="shared" si="160"/>
        <v>0.53100000000000003</v>
      </c>
      <c r="HD173" s="14">
        <f t="shared" si="161"/>
        <v>1606013</v>
      </c>
      <c r="HE173" s="14" t="str">
        <f t="shared" si="162"/>
        <v>神器3-3 : 11级</v>
      </c>
      <c r="HF173" s="14" t="s">
        <v>800</v>
      </c>
      <c r="HG173" s="14">
        <f t="shared" si="163"/>
        <v>11</v>
      </c>
      <c r="HH173" s="14" t="str">
        <f t="shared" si="164"/>
        <v>神器3-3</v>
      </c>
      <c r="HI173" s="14">
        <f t="shared" si="165"/>
        <v>5</v>
      </c>
      <c r="HJ173" s="14" t="s">
        <v>1595</v>
      </c>
      <c r="HK173" s="14">
        <f t="shared" si="166"/>
        <v>5150</v>
      </c>
    </row>
    <row r="174" spans="41:219" ht="16.5" x14ac:dyDescent="0.2">
      <c r="AO174" s="87">
        <v>6</v>
      </c>
      <c r="AP174" s="87">
        <v>2</v>
      </c>
      <c r="AQ174" s="87">
        <v>48</v>
      </c>
      <c r="AR174" s="144">
        <f t="shared" si="152"/>
        <v>4448</v>
      </c>
      <c r="AS174" s="144" t="s">
        <v>1242</v>
      </c>
      <c r="AT174" s="144" t="str">
        <f t="shared" si="153"/>
        <v>神器本-6-困难-1  神器4-6</v>
      </c>
      <c r="AU174" s="87">
        <v>20</v>
      </c>
      <c r="AV174" s="87" t="s">
        <v>326</v>
      </c>
      <c r="AW174" s="87">
        <v>166</v>
      </c>
      <c r="AX174" s="87">
        <v>1</v>
      </c>
      <c r="AY174" s="87">
        <v>1</v>
      </c>
      <c r="AZ174" s="87">
        <f t="shared" si="154"/>
        <v>4</v>
      </c>
      <c r="BA174" s="14">
        <f t="shared" si="155"/>
        <v>1.66E-2</v>
      </c>
      <c r="BB174" s="14">
        <f t="shared" si="156"/>
        <v>6.2249999999999996</v>
      </c>
      <c r="GY174" s="91">
        <v>168</v>
      </c>
      <c r="GZ174" s="14">
        <f t="shared" si="157"/>
        <v>11</v>
      </c>
      <c r="HA174" s="14">
        <f t="shared" si="158"/>
        <v>3</v>
      </c>
      <c r="HB174" s="14">
        <f t="shared" si="159"/>
        <v>2</v>
      </c>
      <c r="HC174" s="14">
        <f t="shared" si="160"/>
        <v>0.54200000000000004</v>
      </c>
      <c r="HD174" s="14">
        <f t="shared" si="161"/>
        <v>1606013</v>
      </c>
      <c r="HE174" s="14" t="str">
        <f t="shared" si="162"/>
        <v>神器3-3 : 12级</v>
      </c>
      <c r="HF174" s="14" t="s">
        <v>800</v>
      </c>
      <c r="HG174" s="14">
        <f t="shared" si="163"/>
        <v>12</v>
      </c>
      <c r="HH174" s="14" t="str">
        <f t="shared" si="164"/>
        <v>神器3-3</v>
      </c>
      <c r="HI174" s="14">
        <f t="shared" si="165"/>
        <v>6</v>
      </c>
      <c r="HJ174" s="14" t="s">
        <v>1595</v>
      </c>
      <c r="HK174" s="14">
        <f t="shared" si="166"/>
        <v>5250</v>
      </c>
    </row>
    <row r="175" spans="41:219" ht="16.5" x14ac:dyDescent="0.2">
      <c r="AO175" s="87">
        <v>6</v>
      </c>
      <c r="AP175" s="87">
        <v>2</v>
      </c>
      <c r="AQ175" s="87">
        <v>48</v>
      </c>
      <c r="AR175" s="144">
        <f t="shared" si="152"/>
        <v>4448</v>
      </c>
      <c r="AS175" s="144" t="s">
        <v>1242</v>
      </c>
      <c r="AT175" s="144" t="str">
        <f t="shared" si="153"/>
        <v>神器本-6-困难-1  神器5-1</v>
      </c>
      <c r="AU175" s="87">
        <v>21</v>
      </c>
      <c r="AV175" s="87" t="s">
        <v>327</v>
      </c>
      <c r="AW175" s="87">
        <v>833</v>
      </c>
      <c r="AX175" s="87">
        <v>1</v>
      </c>
      <c r="AY175" s="87">
        <v>1</v>
      </c>
      <c r="AZ175" s="87">
        <f t="shared" si="154"/>
        <v>1</v>
      </c>
      <c r="BA175" s="14">
        <f t="shared" si="155"/>
        <v>8.3299999999999999E-2</v>
      </c>
      <c r="BB175" s="14">
        <f t="shared" si="156"/>
        <v>2.4990000000000001</v>
      </c>
      <c r="GY175" s="91">
        <v>169</v>
      </c>
      <c r="GZ175" s="14">
        <f t="shared" si="157"/>
        <v>11</v>
      </c>
      <c r="HA175" s="14">
        <f t="shared" si="158"/>
        <v>3</v>
      </c>
      <c r="HB175" s="14">
        <f t="shared" si="159"/>
        <v>2</v>
      </c>
      <c r="HC175" s="14">
        <f t="shared" si="160"/>
        <v>0.55300000000000005</v>
      </c>
      <c r="HD175" s="14">
        <f t="shared" si="161"/>
        <v>1606013</v>
      </c>
      <c r="HE175" s="14" t="str">
        <f t="shared" si="162"/>
        <v>神器3-3 : 13级</v>
      </c>
      <c r="HF175" s="14" t="s">
        <v>800</v>
      </c>
      <c r="HG175" s="14">
        <f t="shared" si="163"/>
        <v>13</v>
      </c>
      <c r="HH175" s="14" t="str">
        <f t="shared" si="164"/>
        <v>神器3-3</v>
      </c>
      <c r="HI175" s="14">
        <f t="shared" si="165"/>
        <v>7</v>
      </c>
      <c r="HJ175" s="14" t="s">
        <v>1595</v>
      </c>
      <c r="HK175" s="14">
        <f t="shared" si="166"/>
        <v>5350</v>
      </c>
    </row>
    <row r="176" spans="41:219" ht="16.5" x14ac:dyDescent="0.2">
      <c r="AO176" s="87">
        <v>6</v>
      </c>
      <c r="AP176" s="87">
        <v>2</v>
      </c>
      <c r="AQ176" s="87">
        <v>48</v>
      </c>
      <c r="AR176" s="144">
        <f t="shared" si="152"/>
        <v>4448</v>
      </c>
      <c r="AS176" s="144" t="s">
        <v>1242</v>
      </c>
      <c r="AT176" s="144" t="str">
        <f t="shared" si="153"/>
        <v>神器本-6-困难-1  神器5-2</v>
      </c>
      <c r="AU176" s="87">
        <v>22</v>
      </c>
      <c r="AV176" s="87" t="s">
        <v>328</v>
      </c>
      <c r="AW176" s="87">
        <v>833</v>
      </c>
      <c r="AX176" s="87">
        <v>1</v>
      </c>
      <c r="AY176" s="87">
        <v>1</v>
      </c>
      <c r="AZ176" s="87">
        <f t="shared" si="154"/>
        <v>1</v>
      </c>
      <c r="BA176" s="14">
        <f t="shared" si="155"/>
        <v>8.3299999999999999E-2</v>
      </c>
      <c r="BB176" s="14">
        <f t="shared" si="156"/>
        <v>2.4990000000000001</v>
      </c>
      <c r="GY176" s="91">
        <v>170</v>
      </c>
      <c r="GZ176" s="14">
        <f t="shared" si="157"/>
        <v>11</v>
      </c>
      <c r="HA176" s="14">
        <f t="shared" si="158"/>
        <v>3</v>
      </c>
      <c r="HB176" s="14">
        <f t="shared" si="159"/>
        <v>2</v>
      </c>
      <c r="HC176" s="14">
        <f t="shared" si="160"/>
        <v>0.56399999999999995</v>
      </c>
      <c r="HD176" s="14">
        <f t="shared" si="161"/>
        <v>1606013</v>
      </c>
      <c r="HE176" s="14" t="str">
        <f t="shared" si="162"/>
        <v>神器3-3 : 14级</v>
      </c>
      <c r="HF176" s="14" t="s">
        <v>800</v>
      </c>
      <c r="HG176" s="14">
        <f t="shared" si="163"/>
        <v>14</v>
      </c>
      <c r="HH176" s="14" t="str">
        <f t="shared" si="164"/>
        <v>神器3-3</v>
      </c>
      <c r="HI176" s="14">
        <f t="shared" si="165"/>
        <v>7</v>
      </c>
      <c r="HJ176" s="14" t="s">
        <v>1595</v>
      </c>
      <c r="HK176" s="14">
        <f t="shared" si="166"/>
        <v>5450</v>
      </c>
    </row>
    <row r="177" spans="41:219" ht="16.5" x14ac:dyDescent="0.2">
      <c r="AO177" s="87">
        <v>6</v>
      </c>
      <c r="AP177" s="87">
        <v>2</v>
      </c>
      <c r="AQ177" s="87">
        <v>48</v>
      </c>
      <c r="AR177" s="144">
        <f t="shared" si="152"/>
        <v>4448</v>
      </c>
      <c r="AS177" s="144" t="s">
        <v>1242</v>
      </c>
      <c r="AT177" s="144" t="str">
        <f t="shared" si="153"/>
        <v>神器本-6-困难-1  神器5-3</v>
      </c>
      <c r="AU177" s="87">
        <v>23</v>
      </c>
      <c r="AV177" s="87" t="s">
        <v>329</v>
      </c>
      <c r="AW177" s="87">
        <v>500</v>
      </c>
      <c r="AX177" s="87">
        <v>1</v>
      </c>
      <c r="AY177" s="87">
        <v>1</v>
      </c>
      <c r="AZ177" s="87">
        <f t="shared" si="154"/>
        <v>2</v>
      </c>
      <c r="BA177" s="14">
        <f t="shared" si="155"/>
        <v>0.05</v>
      </c>
      <c r="BB177" s="14">
        <f t="shared" si="156"/>
        <v>4.5</v>
      </c>
      <c r="GY177" s="91">
        <v>171</v>
      </c>
      <c r="GZ177" s="14">
        <f t="shared" si="157"/>
        <v>11</v>
      </c>
      <c r="HA177" s="14">
        <f t="shared" si="158"/>
        <v>3</v>
      </c>
      <c r="HB177" s="14">
        <f t="shared" si="159"/>
        <v>2</v>
      </c>
      <c r="HC177" s="14">
        <f t="shared" si="160"/>
        <v>0.57399999999999995</v>
      </c>
      <c r="HD177" s="14">
        <f t="shared" si="161"/>
        <v>1606013</v>
      </c>
      <c r="HE177" s="14" t="str">
        <f t="shared" si="162"/>
        <v>神器3-3 : 15级</v>
      </c>
      <c r="HF177" s="14" t="s">
        <v>800</v>
      </c>
      <c r="HG177" s="14">
        <f t="shared" si="163"/>
        <v>15</v>
      </c>
      <c r="HH177" s="14" t="str">
        <f t="shared" si="164"/>
        <v>神器3-3</v>
      </c>
      <c r="HI177" s="14">
        <f t="shared" si="165"/>
        <v>7</v>
      </c>
      <c r="HJ177" s="14" t="s">
        <v>1595</v>
      </c>
      <c r="HK177" s="14">
        <f t="shared" si="166"/>
        <v>5550</v>
      </c>
    </row>
    <row r="178" spans="41:219" ht="16.5" x14ac:dyDescent="0.2">
      <c r="AO178" s="87">
        <v>6</v>
      </c>
      <c r="AP178" s="87">
        <v>2</v>
      </c>
      <c r="AQ178" s="87">
        <v>48</v>
      </c>
      <c r="AR178" s="144">
        <f t="shared" si="152"/>
        <v>4448</v>
      </c>
      <c r="AS178" s="144" t="s">
        <v>1242</v>
      </c>
      <c r="AT178" s="144" t="str">
        <f t="shared" si="153"/>
        <v>神器本-6-困难-1  神器5-4</v>
      </c>
      <c r="AU178" s="87">
        <v>24</v>
      </c>
      <c r="AV178" s="87" t="s">
        <v>330</v>
      </c>
      <c r="AW178" s="87">
        <v>500</v>
      </c>
      <c r="AX178" s="87">
        <v>1</v>
      </c>
      <c r="AY178" s="87">
        <v>1</v>
      </c>
      <c r="AZ178" s="87">
        <f t="shared" si="154"/>
        <v>2</v>
      </c>
      <c r="BA178" s="14">
        <f t="shared" si="155"/>
        <v>0.05</v>
      </c>
      <c r="BB178" s="14">
        <f t="shared" si="156"/>
        <v>4.5</v>
      </c>
      <c r="GY178" s="91">
        <v>172</v>
      </c>
      <c r="GZ178" s="14">
        <f t="shared" si="157"/>
        <v>11</v>
      </c>
      <c r="HA178" s="14">
        <f t="shared" si="158"/>
        <v>3</v>
      </c>
      <c r="HB178" s="14">
        <f t="shared" si="159"/>
        <v>2</v>
      </c>
      <c r="HC178" s="14">
        <f t="shared" si="160"/>
        <v>0.58499999999999996</v>
      </c>
      <c r="HD178" s="14">
        <f t="shared" si="161"/>
        <v>1606013</v>
      </c>
      <c r="HE178" s="14" t="str">
        <f t="shared" si="162"/>
        <v>神器3-3 : 16级</v>
      </c>
      <c r="HF178" s="14" t="s">
        <v>800</v>
      </c>
      <c r="HG178" s="14">
        <f t="shared" si="163"/>
        <v>16</v>
      </c>
      <c r="HH178" s="14" t="str">
        <f t="shared" si="164"/>
        <v>神器3-3</v>
      </c>
      <c r="HI178" s="14">
        <f t="shared" si="165"/>
        <v>10</v>
      </c>
      <c r="HJ178" s="14" t="s">
        <v>1595</v>
      </c>
      <c r="HK178" s="14">
        <f t="shared" si="166"/>
        <v>5650</v>
      </c>
    </row>
    <row r="179" spans="41:219" ht="16.5" x14ac:dyDescent="0.2">
      <c r="AO179" s="87">
        <v>6</v>
      </c>
      <c r="AP179" s="87">
        <v>2</v>
      </c>
      <c r="AQ179" s="87">
        <v>48</v>
      </c>
      <c r="AR179" s="144">
        <f t="shared" si="152"/>
        <v>4448</v>
      </c>
      <c r="AS179" s="144" t="s">
        <v>1242</v>
      </c>
      <c r="AT179" s="144" t="str">
        <f t="shared" si="153"/>
        <v>神器本-6-困难-1  神器5-5</v>
      </c>
      <c r="AU179" s="87">
        <v>25</v>
      </c>
      <c r="AV179" s="87" t="s">
        <v>331</v>
      </c>
      <c r="AW179" s="87">
        <v>500</v>
      </c>
      <c r="AX179" s="87">
        <v>1</v>
      </c>
      <c r="AY179" s="87">
        <v>1</v>
      </c>
      <c r="AZ179" s="87">
        <f t="shared" si="154"/>
        <v>3</v>
      </c>
      <c r="BA179" s="14">
        <f t="shared" si="155"/>
        <v>0.05</v>
      </c>
      <c r="BB179" s="14">
        <f t="shared" si="156"/>
        <v>10.5</v>
      </c>
      <c r="GY179" s="91">
        <v>173</v>
      </c>
      <c r="GZ179" s="14">
        <f t="shared" si="157"/>
        <v>11</v>
      </c>
      <c r="HA179" s="14">
        <f t="shared" si="158"/>
        <v>3</v>
      </c>
      <c r="HB179" s="14">
        <f t="shared" si="159"/>
        <v>2</v>
      </c>
      <c r="HC179" s="14">
        <f t="shared" si="160"/>
        <v>0.59499999999999997</v>
      </c>
      <c r="HD179" s="14">
        <f t="shared" si="161"/>
        <v>1606013</v>
      </c>
      <c r="HE179" s="14" t="str">
        <f t="shared" si="162"/>
        <v>神器3-3 : 17级</v>
      </c>
      <c r="HF179" s="14" t="s">
        <v>800</v>
      </c>
      <c r="HG179" s="14">
        <f t="shared" si="163"/>
        <v>17</v>
      </c>
      <c r="HH179" s="14" t="str">
        <f t="shared" si="164"/>
        <v>神器3-3</v>
      </c>
      <c r="HI179" s="14">
        <f t="shared" si="165"/>
        <v>10</v>
      </c>
      <c r="HJ179" s="14" t="s">
        <v>1595</v>
      </c>
      <c r="HK179" s="14">
        <f t="shared" si="166"/>
        <v>5750</v>
      </c>
    </row>
    <row r="180" spans="41:219" ht="16.5" x14ac:dyDescent="0.2">
      <c r="AO180" s="87">
        <v>6</v>
      </c>
      <c r="AP180" s="87">
        <v>2</v>
      </c>
      <c r="AQ180" s="87">
        <v>48</v>
      </c>
      <c r="AR180" s="144">
        <f t="shared" si="152"/>
        <v>4448</v>
      </c>
      <c r="AS180" s="144" t="s">
        <v>1242</v>
      </c>
      <c r="AT180" s="144" t="str">
        <f t="shared" si="153"/>
        <v>神器本-6-困难-1  神器5-6</v>
      </c>
      <c r="AU180" s="87">
        <v>26</v>
      </c>
      <c r="AV180" s="87" t="s">
        <v>332</v>
      </c>
      <c r="AW180" s="87">
        <v>166</v>
      </c>
      <c r="AX180" s="87">
        <v>1</v>
      </c>
      <c r="AY180" s="87">
        <v>1</v>
      </c>
      <c r="AZ180" s="87">
        <f t="shared" si="154"/>
        <v>4</v>
      </c>
      <c r="BA180" s="14">
        <f t="shared" si="155"/>
        <v>1.66E-2</v>
      </c>
      <c r="BB180" s="14">
        <f t="shared" si="156"/>
        <v>7.47</v>
      </c>
      <c r="GY180" s="91">
        <v>174</v>
      </c>
      <c r="GZ180" s="14">
        <f t="shared" si="157"/>
        <v>11</v>
      </c>
      <c r="HA180" s="14">
        <f t="shared" si="158"/>
        <v>3</v>
      </c>
      <c r="HB180" s="14">
        <f t="shared" si="159"/>
        <v>2</v>
      </c>
      <c r="HC180" s="14">
        <f t="shared" si="160"/>
        <v>0.60499999999999998</v>
      </c>
      <c r="HD180" s="14">
        <f t="shared" si="161"/>
        <v>1606013</v>
      </c>
      <c r="HE180" s="14" t="str">
        <f t="shared" si="162"/>
        <v>神器3-3 : 18级</v>
      </c>
      <c r="HF180" s="14" t="s">
        <v>800</v>
      </c>
      <c r="HG180" s="14">
        <f t="shared" si="163"/>
        <v>18</v>
      </c>
      <c r="HH180" s="14" t="str">
        <f t="shared" si="164"/>
        <v>神器3-3</v>
      </c>
      <c r="HI180" s="14">
        <f t="shared" si="165"/>
        <v>10</v>
      </c>
      <c r="HJ180" s="14" t="s">
        <v>1595</v>
      </c>
      <c r="HK180" s="14">
        <f t="shared" si="166"/>
        <v>5850</v>
      </c>
    </row>
    <row r="181" spans="41:219" ht="16.5" x14ac:dyDescent="0.2">
      <c r="AO181" s="87">
        <v>6</v>
      </c>
      <c r="AP181" s="87">
        <v>2</v>
      </c>
      <c r="AQ181" s="87">
        <v>49</v>
      </c>
      <c r="AR181" s="144">
        <f t="shared" si="152"/>
        <v>4449</v>
      </c>
      <c r="AS181" s="144" t="s">
        <v>1243</v>
      </c>
      <c r="AT181" s="144" t="str">
        <f t="shared" si="153"/>
        <v>神器本-6-困难-2  神器6-1</v>
      </c>
      <c r="AU181" s="87">
        <v>27</v>
      </c>
      <c r="AV181" s="87" t="s">
        <v>762</v>
      </c>
      <c r="AW181" s="87">
        <v>2000</v>
      </c>
      <c r="AX181" s="87">
        <v>1</v>
      </c>
      <c r="AY181" s="87">
        <v>2</v>
      </c>
      <c r="AZ181" s="87">
        <f t="shared" si="154"/>
        <v>2</v>
      </c>
      <c r="BA181" s="14">
        <f t="shared" si="155"/>
        <v>0.3</v>
      </c>
      <c r="BB181" s="14">
        <f t="shared" si="156"/>
        <v>36</v>
      </c>
      <c r="GY181" s="91">
        <v>175</v>
      </c>
      <c r="GZ181" s="14">
        <f t="shared" si="157"/>
        <v>12</v>
      </c>
      <c r="HA181" s="14">
        <f t="shared" si="158"/>
        <v>3</v>
      </c>
      <c r="HB181" s="14">
        <f t="shared" si="159"/>
        <v>2</v>
      </c>
      <c r="HC181" s="14">
        <f t="shared" si="160"/>
        <v>0.40200000000000002</v>
      </c>
      <c r="HD181" s="14">
        <f t="shared" si="161"/>
        <v>1606014</v>
      </c>
      <c r="HE181" s="14" t="str">
        <f t="shared" si="162"/>
        <v>神器3-4 : 1级</v>
      </c>
      <c r="HF181" s="14" t="s">
        <v>800</v>
      </c>
      <c r="HG181" s="14">
        <f t="shared" si="163"/>
        <v>1</v>
      </c>
      <c r="HH181" s="14" t="str">
        <f t="shared" si="164"/>
        <v>神器3-4</v>
      </c>
      <c r="HI181" s="14">
        <f t="shared" si="165"/>
        <v>1</v>
      </c>
      <c r="HJ181" s="14" t="s">
        <v>1595</v>
      </c>
      <c r="HK181" s="14">
        <f t="shared" si="166"/>
        <v>3900</v>
      </c>
    </row>
    <row r="182" spans="41:219" ht="16.5" x14ac:dyDescent="0.2">
      <c r="AO182" s="87">
        <v>6</v>
      </c>
      <c r="AP182" s="87">
        <v>2</v>
      </c>
      <c r="AQ182" s="87">
        <v>49</v>
      </c>
      <c r="AR182" s="144">
        <f t="shared" si="152"/>
        <v>4449</v>
      </c>
      <c r="AS182" s="144" t="s">
        <v>1243</v>
      </c>
      <c r="AT182" s="144" t="str">
        <f t="shared" si="153"/>
        <v>神器本-6-困难-2  神器6-2</v>
      </c>
      <c r="AU182" s="87">
        <v>28</v>
      </c>
      <c r="AV182" s="87" t="s">
        <v>763</v>
      </c>
      <c r="AW182" s="87">
        <v>2000</v>
      </c>
      <c r="AX182" s="87">
        <v>1</v>
      </c>
      <c r="AY182" s="87">
        <v>2</v>
      </c>
      <c r="AZ182" s="87">
        <f t="shared" si="154"/>
        <v>2</v>
      </c>
      <c r="BA182" s="14">
        <f t="shared" si="155"/>
        <v>0.3</v>
      </c>
      <c r="BB182" s="14">
        <f t="shared" si="156"/>
        <v>36</v>
      </c>
      <c r="GY182" s="91">
        <v>176</v>
      </c>
      <c r="GZ182" s="14">
        <f t="shared" si="157"/>
        <v>12</v>
      </c>
      <c r="HA182" s="14">
        <f t="shared" si="158"/>
        <v>3</v>
      </c>
      <c r="HB182" s="14">
        <f t="shared" si="159"/>
        <v>2</v>
      </c>
      <c r="HC182" s="14">
        <f t="shared" si="160"/>
        <v>0.41699999999999998</v>
      </c>
      <c r="HD182" s="14">
        <f t="shared" si="161"/>
        <v>1606014</v>
      </c>
      <c r="HE182" s="14" t="str">
        <f t="shared" si="162"/>
        <v>神器3-4 : 2级</v>
      </c>
      <c r="HF182" s="14" t="s">
        <v>800</v>
      </c>
      <c r="HG182" s="14">
        <f t="shared" si="163"/>
        <v>2</v>
      </c>
      <c r="HH182" s="14" t="str">
        <f t="shared" si="164"/>
        <v>神器3-4</v>
      </c>
      <c r="HI182" s="14">
        <f t="shared" si="165"/>
        <v>1</v>
      </c>
      <c r="HJ182" s="14" t="s">
        <v>1595</v>
      </c>
      <c r="HK182" s="14">
        <f t="shared" si="166"/>
        <v>4050</v>
      </c>
    </row>
    <row r="183" spans="41:219" ht="16.5" x14ac:dyDescent="0.2">
      <c r="AO183" s="87">
        <v>6</v>
      </c>
      <c r="AP183" s="87">
        <v>2</v>
      </c>
      <c r="AQ183" s="87">
        <v>49</v>
      </c>
      <c r="AR183" s="144">
        <f t="shared" si="152"/>
        <v>4449</v>
      </c>
      <c r="AS183" s="144" t="s">
        <v>1243</v>
      </c>
      <c r="AT183" s="144" t="str">
        <f t="shared" si="153"/>
        <v>神器本-6-困难-2  神器6-3</v>
      </c>
      <c r="AU183" s="87">
        <v>29</v>
      </c>
      <c r="AV183" s="87" t="s">
        <v>764</v>
      </c>
      <c r="AW183" s="87">
        <v>2000</v>
      </c>
      <c r="AX183" s="87">
        <v>1</v>
      </c>
      <c r="AY183" s="87">
        <v>2</v>
      </c>
      <c r="AZ183" s="87">
        <f t="shared" si="154"/>
        <v>2</v>
      </c>
      <c r="BA183" s="14">
        <f t="shared" si="155"/>
        <v>0.3</v>
      </c>
      <c r="BB183" s="14">
        <f t="shared" si="156"/>
        <v>36</v>
      </c>
      <c r="GY183" s="91">
        <v>177</v>
      </c>
      <c r="GZ183" s="14">
        <f t="shared" si="157"/>
        <v>12</v>
      </c>
      <c r="HA183" s="14">
        <f t="shared" si="158"/>
        <v>3</v>
      </c>
      <c r="HB183" s="14">
        <f t="shared" si="159"/>
        <v>2</v>
      </c>
      <c r="HC183" s="14">
        <f t="shared" si="160"/>
        <v>0.43099999999999999</v>
      </c>
      <c r="HD183" s="14">
        <f t="shared" si="161"/>
        <v>1606014</v>
      </c>
      <c r="HE183" s="14" t="str">
        <f t="shared" si="162"/>
        <v>神器3-4 : 3级</v>
      </c>
      <c r="HF183" s="14" t="s">
        <v>800</v>
      </c>
      <c r="HG183" s="14">
        <f t="shared" si="163"/>
        <v>3</v>
      </c>
      <c r="HH183" s="14" t="str">
        <f t="shared" si="164"/>
        <v>神器3-4</v>
      </c>
      <c r="HI183" s="14">
        <f t="shared" si="165"/>
        <v>1</v>
      </c>
      <c r="HJ183" s="14" t="s">
        <v>1595</v>
      </c>
      <c r="HK183" s="14">
        <f t="shared" si="166"/>
        <v>4150</v>
      </c>
    </row>
    <row r="184" spans="41:219" ht="16.5" x14ac:dyDescent="0.2">
      <c r="AO184" s="87">
        <v>6</v>
      </c>
      <c r="AP184" s="87">
        <v>2</v>
      </c>
      <c r="AQ184" s="87">
        <v>50</v>
      </c>
      <c r="AR184" s="144">
        <f t="shared" si="152"/>
        <v>4450</v>
      </c>
      <c r="AS184" s="144" t="s">
        <v>1250</v>
      </c>
      <c r="AT184" s="144" t="str">
        <f t="shared" si="153"/>
        <v>神器本-6-困难-3  神器6-4</v>
      </c>
      <c r="AU184" s="87">
        <v>30</v>
      </c>
      <c r="AV184" s="87" t="s">
        <v>336</v>
      </c>
      <c r="AW184" s="87">
        <v>1000</v>
      </c>
      <c r="AX184" s="87">
        <v>1</v>
      </c>
      <c r="AY184" s="87">
        <v>1</v>
      </c>
      <c r="AZ184" s="87">
        <f t="shared" si="154"/>
        <v>3</v>
      </c>
      <c r="BA184" s="14">
        <f t="shared" si="155"/>
        <v>0.1</v>
      </c>
      <c r="BB184" s="14">
        <f t="shared" si="156"/>
        <v>28</v>
      </c>
      <c r="GY184" s="91">
        <v>178</v>
      </c>
      <c r="GZ184" s="14">
        <f t="shared" si="157"/>
        <v>12</v>
      </c>
      <c r="HA184" s="14">
        <f t="shared" si="158"/>
        <v>3</v>
      </c>
      <c r="HB184" s="14">
        <f t="shared" si="159"/>
        <v>2</v>
      </c>
      <c r="HC184" s="14">
        <f t="shared" si="160"/>
        <v>0.44500000000000001</v>
      </c>
      <c r="HD184" s="14">
        <f t="shared" si="161"/>
        <v>1606014</v>
      </c>
      <c r="HE184" s="14" t="str">
        <f t="shared" si="162"/>
        <v>神器3-4 : 4级</v>
      </c>
      <c r="HF184" s="14" t="s">
        <v>800</v>
      </c>
      <c r="HG184" s="14">
        <f t="shared" si="163"/>
        <v>4</v>
      </c>
      <c r="HH184" s="14" t="str">
        <f t="shared" si="164"/>
        <v>神器3-4</v>
      </c>
      <c r="HI184" s="14">
        <f t="shared" si="165"/>
        <v>2</v>
      </c>
      <c r="HJ184" s="14" t="s">
        <v>1595</v>
      </c>
      <c r="HK184" s="14">
        <f t="shared" si="166"/>
        <v>4300</v>
      </c>
    </row>
    <row r="185" spans="41:219" ht="16.5" x14ac:dyDescent="0.2">
      <c r="AO185" s="87">
        <v>6</v>
      </c>
      <c r="AP185" s="87">
        <v>2</v>
      </c>
      <c r="AQ185" s="87">
        <v>50</v>
      </c>
      <c r="AR185" s="144">
        <f t="shared" si="152"/>
        <v>4450</v>
      </c>
      <c r="AS185" s="144" t="s">
        <v>1250</v>
      </c>
      <c r="AT185" s="144" t="str">
        <f t="shared" si="153"/>
        <v>神器本-6-困难-3  神器6-5</v>
      </c>
      <c r="AU185" s="87">
        <v>31</v>
      </c>
      <c r="AV185" s="87" t="s">
        <v>337</v>
      </c>
      <c r="AW185" s="87">
        <v>1000</v>
      </c>
      <c r="AX185" s="87">
        <v>1</v>
      </c>
      <c r="AY185" s="87">
        <v>1</v>
      </c>
      <c r="AZ185" s="87">
        <f t="shared" si="154"/>
        <v>3</v>
      </c>
      <c r="BA185" s="14">
        <f t="shared" si="155"/>
        <v>0.1</v>
      </c>
      <c r="BB185" s="14">
        <f t="shared" si="156"/>
        <v>28</v>
      </c>
      <c r="GY185" s="91">
        <v>179</v>
      </c>
      <c r="GZ185" s="14">
        <f t="shared" si="157"/>
        <v>12</v>
      </c>
      <c r="HA185" s="14">
        <f t="shared" si="158"/>
        <v>3</v>
      </c>
      <c r="HB185" s="14">
        <f t="shared" si="159"/>
        <v>2</v>
      </c>
      <c r="HC185" s="14">
        <f t="shared" si="160"/>
        <v>0.45800000000000002</v>
      </c>
      <c r="HD185" s="14">
        <f t="shared" si="161"/>
        <v>1606014</v>
      </c>
      <c r="HE185" s="14" t="str">
        <f t="shared" si="162"/>
        <v>神器3-4 : 5级</v>
      </c>
      <c r="HF185" s="14" t="s">
        <v>800</v>
      </c>
      <c r="HG185" s="14">
        <f t="shared" si="163"/>
        <v>5</v>
      </c>
      <c r="HH185" s="14" t="str">
        <f t="shared" si="164"/>
        <v>神器3-4</v>
      </c>
      <c r="HI185" s="14">
        <f t="shared" si="165"/>
        <v>2</v>
      </c>
      <c r="HJ185" s="14" t="s">
        <v>1595</v>
      </c>
      <c r="HK185" s="14">
        <f t="shared" si="166"/>
        <v>4450</v>
      </c>
    </row>
    <row r="186" spans="41:219" ht="16.5" x14ac:dyDescent="0.2">
      <c r="AO186" s="87">
        <v>6</v>
      </c>
      <c r="AP186" s="87">
        <v>2</v>
      </c>
      <c r="AQ186" s="87">
        <v>50</v>
      </c>
      <c r="AR186" s="144">
        <f t="shared" si="152"/>
        <v>4450</v>
      </c>
      <c r="AS186" s="144" t="s">
        <v>1250</v>
      </c>
      <c r="AT186" s="144" t="str">
        <f t="shared" si="153"/>
        <v>神器本-6-困难-3  神器6-6</v>
      </c>
      <c r="AU186" s="87">
        <v>32</v>
      </c>
      <c r="AV186" s="87" t="s">
        <v>338</v>
      </c>
      <c r="AW186" s="87">
        <v>1000</v>
      </c>
      <c r="AX186" s="87">
        <v>1</v>
      </c>
      <c r="AY186" s="87">
        <v>1</v>
      </c>
      <c r="AZ186" s="87">
        <f t="shared" si="154"/>
        <v>3</v>
      </c>
      <c r="BA186" s="14">
        <f t="shared" si="155"/>
        <v>0.1</v>
      </c>
      <c r="BB186" s="14">
        <f t="shared" si="156"/>
        <v>28</v>
      </c>
      <c r="GY186" s="91">
        <v>180</v>
      </c>
      <c r="GZ186" s="14">
        <f t="shared" si="157"/>
        <v>12</v>
      </c>
      <c r="HA186" s="14">
        <f t="shared" si="158"/>
        <v>3</v>
      </c>
      <c r="HB186" s="14">
        <f t="shared" si="159"/>
        <v>2</v>
      </c>
      <c r="HC186" s="14">
        <f t="shared" si="160"/>
        <v>0.47099999999999997</v>
      </c>
      <c r="HD186" s="14">
        <f t="shared" si="161"/>
        <v>1606014</v>
      </c>
      <c r="HE186" s="14" t="str">
        <f t="shared" si="162"/>
        <v>神器3-4 : 6级</v>
      </c>
      <c r="HF186" s="14" t="s">
        <v>800</v>
      </c>
      <c r="HG186" s="14">
        <f t="shared" si="163"/>
        <v>6</v>
      </c>
      <c r="HH186" s="14" t="str">
        <f t="shared" si="164"/>
        <v>神器3-4</v>
      </c>
      <c r="HI186" s="14">
        <f t="shared" si="165"/>
        <v>2</v>
      </c>
      <c r="HJ186" s="14" t="s">
        <v>1595</v>
      </c>
      <c r="HK186" s="14">
        <f t="shared" si="166"/>
        <v>4550</v>
      </c>
    </row>
    <row r="187" spans="41:219" ht="16.5" x14ac:dyDescent="0.2">
      <c r="AO187" s="87">
        <v>6</v>
      </c>
      <c r="AP187" s="87">
        <v>3</v>
      </c>
      <c r="AQ187" s="87">
        <v>51</v>
      </c>
      <c r="AR187" s="144">
        <f t="shared" si="152"/>
        <v>4451</v>
      </c>
      <c r="AS187" s="144" t="s">
        <v>1254</v>
      </c>
      <c r="AT187" s="144" t="str">
        <f t="shared" si="153"/>
        <v>神器本-6-噩梦-1  神器3-1</v>
      </c>
      <c r="AU187" s="87">
        <v>9</v>
      </c>
      <c r="AV187" s="87" t="s">
        <v>761</v>
      </c>
      <c r="AW187" s="87">
        <v>833</v>
      </c>
      <c r="AX187" s="87">
        <v>1</v>
      </c>
      <c r="AY187" s="87">
        <v>1</v>
      </c>
      <c r="AZ187" s="87">
        <f t="shared" si="154"/>
        <v>1</v>
      </c>
      <c r="BA187" s="14">
        <f t="shared" si="155"/>
        <v>8.3299999999999999E-2</v>
      </c>
      <c r="BB187" s="14">
        <f t="shared" si="156"/>
        <v>1.6659999999999999</v>
      </c>
      <c r="GY187" s="91">
        <v>181</v>
      </c>
      <c r="GZ187" s="14">
        <f t="shared" si="157"/>
        <v>12</v>
      </c>
      <c r="HA187" s="14">
        <f t="shared" si="158"/>
        <v>3</v>
      </c>
      <c r="HB187" s="14">
        <f t="shared" si="159"/>
        <v>2</v>
      </c>
      <c r="HC187" s="14">
        <f t="shared" si="160"/>
        <v>0.48399999999999999</v>
      </c>
      <c r="HD187" s="14">
        <f t="shared" si="161"/>
        <v>1606014</v>
      </c>
      <c r="HE187" s="14" t="str">
        <f t="shared" si="162"/>
        <v>神器3-4 : 7级</v>
      </c>
      <c r="HF187" s="14" t="s">
        <v>800</v>
      </c>
      <c r="HG187" s="14">
        <f t="shared" si="163"/>
        <v>7</v>
      </c>
      <c r="HH187" s="14" t="str">
        <f t="shared" si="164"/>
        <v>神器3-4</v>
      </c>
      <c r="HI187" s="14">
        <f t="shared" si="165"/>
        <v>3</v>
      </c>
      <c r="HJ187" s="14" t="s">
        <v>1595</v>
      </c>
      <c r="HK187" s="14">
        <f t="shared" si="166"/>
        <v>4700</v>
      </c>
    </row>
    <row r="188" spans="41:219" ht="16.5" x14ac:dyDescent="0.2">
      <c r="AO188" s="87">
        <v>6</v>
      </c>
      <c r="AP188" s="87">
        <v>3</v>
      </c>
      <c r="AQ188" s="87">
        <v>51</v>
      </c>
      <c r="AR188" s="144">
        <f t="shared" si="152"/>
        <v>4451</v>
      </c>
      <c r="AS188" s="144" t="s">
        <v>1254</v>
      </c>
      <c r="AT188" s="144" t="str">
        <f t="shared" si="153"/>
        <v>神器本-6-噩梦-1  神器3-2</v>
      </c>
      <c r="AU188" s="87">
        <v>10</v>
      </c>
      <c r="AV188" s="87" t="s">
        <v>316</v>
      </c>
      <c r="AW188" s="87">
        <v>833</v>
      </c>
      <c r="AX188" s="87">
        <v>1</v>
      </c>
      <c r="AY188" s="87">
        <v>1</v>
      </c>
      <c r="AZ188" s="87">
        <f t="shared" si="154"/>
        <v>1</v>
      </c>
      <c r="BA188" s="14">
        <f t="shared" si="155"/>
        <v>8.3299999999999999E-2</v>
      </c>
      <c r="BB188" s="14">
        <f t="shared" si="156"/>
        <v>1.6659999999999999</v>
      </c>
      <c r="GY188" s="91">
        <v>182</v>
      </c>
      <c r="GZ188" s="14">
        <f t="shared" si="157"/>
        <v>12</v>
      </c>
      <c r="HA188" s="14">
        <f t="shared" si="158"/>
        <v>3</v>
      </c>
      <c r="HB188" s="14">
        <f t="shared" si="159"/>
        <v>2</v>
      </c>
      <c r="HC188" s="14">
        <f t="shared" si="160"/>
        <v>0.496</v>
      </c>
      <c r="HD188" s="14">
        <f t="shared" si="161"/>
        <v>1606014</v>
      </c>
      <c r="HE188" s="14" t="str">
        <f t="shared" si="162"/>
        <v>神器3-4 : 8级</v>
      </c>
      <c r="HF188" s="14" t="s">
        <v>800</v>
      </c>
      <c r="HG188" s="14">
        <f t="shared" si="163"/>
        <v>8</v>
      </c>
      <c r="HH188" s="14" t="str">
        <f t="shared" si="164"/>
        <v>神器3-4</v>
      </c>
      <c r="HI188" s="14">
        <f t="shared" si="165"/>
        <v>3</v>
      </c>
      <c r="HJ188" s="14" t="s">
        <v>1595</v>
      </c>
      <c r="HK188" s="14">
        <f t="shared" si="166"/>
        <v>4800</v>
      </c>
    </row>
    <row r="189" spans="41:219" ht="16.5" x14ac:dyDescent="0.2">
      <c r="AO189" s="87">
        <v>6</v>
      </c>
      <c r="AP189" s="87">
        <v>3</v>
      </c>
      <c r="AQ189" s="87">
        <v>51</v>
      </c>
      <c r="AR189" s="144">
        <f t="shared" si="152"/>
        <v>4451</v>
      </c>
      <c r="AS189" s="144" t="s">
        <v>1254</v>
      </c>
      <c r="AT189" s="144" t="str">
        <f t="shared" si="153"/>
        <v>神器本-6-噩梦-1  神器3-3</v>
      </c>
      <c r="AU189" s="87">
        <v>11</v>
      </c>
      <c r="AV189" s="87" t="s">
        <v>317</v>
      </c>
      <c r="AW189" s="87">
        <v>500</v>
      </c>
      <c r="AX189" s="87">
        <v>1</v>
      </c>
      <c r="AY189" s="87">
        <v>1</v>
      </c>
      <c r="AZ189" s="87">
        <f t="shared" si="154"/>
        <v>2</v>
      </c>
      <c r="BA189" s="14">
        <f t="shared" si="155"/>
        <v>0.05</v>
      </c>
      <c r="BB189" s="14">
        <f t="shared" si="156"/>
        <v>3</v>
      </c>
      <c r="GY189" s="91">
        <v>183</v>
      </c>
      <c r="GZ189" s="14">
        <f t="shared" si="157"/>
        <v>12</v>
      </c>
      <c r="HA189" s="14">
        <f t="shared" si="158"/>
        <v>3</v>
      </c>
      <c r="HB189" s="14">
        <f t="shared" si="159"/>
        <v>2</v>
      </c>
      <c r="HC189" s="14">
        <f t="shared" si="160"/>
        <v>0.50800000000000001</v>
      </c>
      <c r="HD189" s="14">
        <f t="shared" si="161"/>
        <v>1606014</v>
      </c>
      <c r="HE189" s="14" t="str">
        <f t="shared" si="162"/>
        <v>神器3-4 : 9级</v>
      </c>
      <c r="HF189" s="14" t="s">
        <v>800</v>
      </c>
      <c r="HG189" s="14">
        <f t="shared" si="163"/>
        <v>9</v>
      </c>
      <c r="HH189" s="14" t="str">
        <f t="shared" si="164"/>
        <v>神器3-4</v>
      </c>
      <c r="HI189" s="14">
        <f t="shared" si="165"/>
        <v>3</v>
      </c>
      <c r="HJ189" s="14" t="s">
        <v>1595</v>
      </c>
      <c r="HK189" s="14">
        <f t="shared" si="166"/>
        <v>4900</v>
      </c>
    </row>
    <row r="190" spans="41:219" ht="16.5" x14ac:dyDescent="0.2">
      <c r="AO190" s="87">
        <v>6</v>
      </c>
      <c r="AP190" s="87">
        <v>3</v>
      </c>
      <c r="AQ190" s="87">
        <v>51</v>
      </c>
      <c r="AR190" s="144">
        <f t="shared" si="152"/>
        <v>4451</v>
      </c>
      <c r="AS190" s="144" t="s">
        <v>1254</v>
      </c>
      <c r="AT190" s="144" t="str">
        <f t="shared" si="153"/>
        <v>神器本-6-噩梦-1  神器3-4</v>
      </c>
      <c r="AU190" s="87">
        <v>12</v>
      </c>
      <c r="AV190" s="87" t="s">
        <v>318</v>
      </c>
      <c r="AW190" s="87">
        <v>500</v>
      </c>
      <c r="AX190" s="87">
        <v>1</v>
      </c>
      <c r="AY190" s="87">
        <v>1</v>
      </c>
      <c r="AZ190" s="87">
        <f t="shared" si="154"/>
        <v>2</v>
      </c>
      <c r="BA190" s="14">
        <f t="shared" si="155"/>
        <v>0.05</v>
      </c>
      <c r="BB190" s="14">
        <f t="shared" si="156"/>
        <v>3</v>
      </c>
      <c r="GY190" s="91">
        <v>184</v>
      </c>
      <c r="GZ190" s="14">
        <f t="shared" si="157"/>
        <v>12</v>
      </c>
      <c r="HA190" s="14">
        <f t="shared" si="158"/>
        <v>3</v>
      </c>
      <c r="HB190" s="14">
        <f t="shared" si="159"/>
        <v>2</v>
      </c>
      <c r="HC190" s="14">
        <f t="shared" si="160"/>
        <v>0.52</v>
      </c>
      <c r="HD190" s="14">
        <f t="shared" si="161"/>
        <v>1606014</v>
      </c>
      <c r="HE190" s="14" t="str">
        <f t="shared" si="162"/>
        <v>神器3-4 : 10级</v>
      </c>
      <c r="HF190" s="14" t="s">
        <v>800</v>
      </c>
      <c r="HG190" s="14">
        <f t="shared" si="163"/>
        <v>10</v>
      </c>
      <c r="HH190" s="14" t="str">
        <f t="shared" si="164"/>
        <v>神器3-4</v>
      </c>
      <c r="HI190" s="14">
        <f t="shared" si="165"/>
        <v>5</v>
      </c>
      <c r="HJ190" s="14" t="s">
        <v>1595</v>
      </c>
      <c r="HK190" s="14">
        <f t="shared" si="166"/>
        <v>5050</v>
      </c>
    </row>
    <row r="191" spans="41:219" ht="16.5" x14ac:dyDescent="0.2">
      <c r="AO191" s="87">
        <v>6</v>
      </c>
      <c r="AP191" s="87">
        <v>3</v>
      </c>
      <c r="AQ191" s="87">
        <v>51</v>
      </c>
      <c r="AR191" s="144">
        <f t="shared" si="152"/>
        <v>4451</v>
      </c>
      <c r="AS191" s="144" t="s">
        <v>1254</v>
      </c>
      <c r="AT191" s="144" t="str">
        <f t="shared" si="153"/>
        <v>神器本-6-噩梦-1  神器3-5</v>
      </c>
      <c r="AU191" s="87">
        <v>13</v>
      </c>
      <c r="AV191" s="87" t="s">
        <v>319</v>
      </c>
      <c r="AW191" s="87">
        <v>500</v>
      </c>
      <c r="AX191" s="87">
        <v>1</v>
      </c>
      <c r="AY191" s="87">
        <v>1</v>
      </c>
      <c r="AZ191" s="87">
        <f t="shared" si="154"/>
        <v>3</v>
      </c>
      <c r="BA191" s="14">
        <f t="shared" si="155"/>
        <v>0.05</v>
      </c>
      <c r="BB191" s="14">
        <f t="shared" si="156"/>
        <v>7</v>
      </c>
      <c r="GY191" s="91">
        <v>185</v>
      </c>
      <c r="GZ191" s="14">
        <f t="shared" si="157"/>
        <v>12</v>
      </c>
      <c r="HA191" s="14">
        <f t="shared" si="158"/>
        <v>3</v>
      </c>
      <c r="HB191" s="14">
        <f t="shared" si="159"/>
        <v>2</v>
      </c>
      <c r="HC191" s="14">
        <f t="shared" si="160"/>
        <v>0.53100000000000003</v>
      </c>
      <c r="HD191" s="14">
        <f t="shared" si="161"/>
        <v>1606014</v>
      </c>
      <c r="HE191" s="14" t="str">
        <f t="shared" si="162"/>
        <v>神器3-4 : 11级</v>
      </c>
      <c r="HF191" s="14" t="s">
        <v>800</v>
      </c>
      <c r="HG191" s="14">
        <f t="shared" si="163"/>
        <v>11</v>
      </c>
      <c r="HH191" s="14" t="str">
        <f t="shared" si="164"/>
        <v>神器3-4</v>
      </c>
      <c r="HI191" s="14">
        <f t="shared" si="165"/>
        <v>5</v>
      </c>
      <c r="HJ191" s="14" t="s">
        <v>1595</v>
      </c>
      <c r="HK191" s="14">
        <f t="shared" si="166"/>
        <v>5150</v>
      </c>
    </row>
    <row r="192" spans="41:219" ht="16.5" x14ac:dyDescent="0.2">
      <c r="AO192" s="87">
        <v>6</v>
      </c>
      <c r="AP192" s="87">
        <v>3</v>
      </c>
      <c r="AQ192" s="87">
        <v>51</v>
      </c>
      <c r="AR192" s="144">
        <f t="shared" si="152"/>
        <v>4451</v>
      </c>
      <c r="AS192" s="144" t="s">
        <v>1254</v>
      </c>
      <c r="AT192" s="144" t="str">
        <f t="shared" si="153"/>
        <v>神器本-6-噩梦-1  神器3-6</v>
      </c>
      <c r="AU192" s="87">
        <v>14</v>
      </c>
      <c r="AV192" s="87" t="s">
        <v>320</v>
      </c>
      <c r="AW192" s="87">
        <v>170</v>
      </c>
      <c r="AX192" s="87">
        <v>1</v>
      </c>
      <c r="AY192" s="87">
        <v>1</v>
      </c>
      <c r="AZ192" s="87">
        <f t="shared" si="154"/>
        <v>4</v>
      </c>
      <c r="BA192" s="14">
        <f t="shared" si="155"/>
        <v>1.7000000000000001E-2</v>
      </c>
      <c r="BB192" s="14">
        <f t="shared" si="156"/>
        <v>5.1000000000000005</v>
      </c>
      <c r="GY192" s="91">
        <v>186</v>
      </c>
      <c r="GZ192" s="14">
        <f t="shared" si="157"/>
        <v>12</v>
      </c>
      <c r="HA192" s="14">
        <f t="shared" si="158"/>
        <v>3</v>
      </c>
      <c r="HB192" s="14">
        <f t="shared" si="159"/>
        <v>2</v>
      </c>
      <c r="HC192" s="14">
        <f t="shared" si="160"/>
        <v>0.54200000000000004</v>
      </c>
      <c r="HD192" s="14">
        <f t="shared" si="161"/>
        <v>1606014</v>
      </c>
      <c r="HE192" s="14" t="str">
        <f t="shared" si="162"/>
        <v>神器3-4 : 12级</v>
      </c>
      <c r="HF192" s="14" t="s">
        <v>800</v>
      </c>
      <c r="HG192" s="14">
        <f t="shared" si="163"/>
        <v>12</v>
      </c>
      <c r="HH192" s="14" t="str">
        <f t="shared" si="164"/>
        <v>神器3-4</v>
      </c>
      <c r="HI192" s="14">
        <f t="shared" si="165"/>
        <v>6</v>
      </c>
      <c r="HJ192" s="14" t="s">
        <v>1595</v>
      </c>
      <c r="HK192" s="14">
        <f t="shared" si="166"/>
        <v>5250</v>
      </c>
    </row>
    <row r="193" spans="41:219" ht="16.5" x14ac:dyDescent="0.2">
      <c r="AO193" s="87">
        <v>6</v>
      </c>
      <c r="AP193" s="87">
        <v>3</v>
      </c>
      <c r="AQ193" s="87">
        <v>51</v>
      </c>
      <c r="AR193" s="144">
        <f t="shared" si="152"/>
        <v>4451</v>
      </c>
      <c r="AS193" s="144" t="s">
        <v>1254</v>
      </c>
      <c r="AT193" s="144" t="str">
        <f t="shared" si="153"/>
        <v>神器本-6-噩梦-1  神器4-1</v>
      </c>
      <c r="AU193" s="87">
        <v>15</v>
      </c>
      <c r="AV193" s="87" t="s">
        <v>321</v>
      </c>
      <c r="AW193" s="87">
        <v>833</v>
      </c>
      <c r="AX193" s="87">
        <v>1</v>
      </c>
      <c r="AY193" s="87">
        <v>1</v>
      </c>
      <c r="AZ193" s="87">
        <f t="shared" si="154"/>
        <v>1</v>
      </c>
      <c r="BA193" s="14">
        <f t="shared" si="155"/>
        <v>8.3299999999999999E-2</v>
      </c>
      <c r="BB193" s="14">
        <f t="shared" si="156"/>
        <v>2.0825</v>
      </c>
      <c r="GY193" s="91">
        <v>187</v>
      </c>
      <c r="GZ193" s="14">
        <f t="shared" si="157"/>
        <v>12</v>
      </c>
      <c r="HA193" s="14">
        <f t="shared" si="158"/>
        <v>3</v>
      </c>
      <c r="HB193" s="14">
        <f t="shared" si="159"/>
        <v>2</v>
      </c>
      <c r="HC193" s="14">
        <f t="shared" si="160"/>
        <v>0.55300000000000005</v>
      </c>
      <c r="HD193" s="14">
        <f t="shared" si="161"/>
        <v>1606014</v>
      </c>
      <c r="HE193" s="14" t="str">
        <f t="shared" si="162"/>
        <v>神器3-4 : 13级</v>
      </c>
      <c r="HF193" s="14" t="s">
        <v>800</v>
      </c>
      <c r="HG193" s="14">
        <f t="shared" si="163"/>
        <v>13</v>
      </c>
      <c r="HH193" s="14" t="str">
        <f t="shared" si="164"/>
        <v>神器3-4</v>
      </c>
      <c r="HI193" s="14">
        <f t="shared" si="165"/>
        <v>7</v>
      </c>
      <c r="HJ193" s="14" t="s">
        <v>1595</v>
      </c>
      <c r="HK193" s="14">
        <f t="shared" si="166"/>
        <v>5350</v>
      </c>
    </row>
    <row r="194" spans="41:219" ht="16.5" x14ac:dyDescent="0.2">
      <c r="AO194" s="87">
        <v>6</v>
      </c>
      <c r="AP194" s="87">
        <v>3</v>
      </c>
      <c r="AQ194" s="87">
        <v>51</v>
      </c>
      <c r="AR194" s="144">
        <f t="shared" si="152"/>
        <v>4451</v>
      </c>
      <c r="AS194" s="144" t="s">
        <v>1254</v>
      </c>
      <c r="AT194" s="144" t="str">
        <f t="shared" si="153"/>
        <v>神器本-6-噩梦-1  神器4-2</v>
      </c>
      <c r="AU194" s="87">
        <v>16</v>
      </c>
      <c r="AV194" s="87" t="s">
        <v>322</v>
      </c>
      <c r="AW194" s="87">
        <v>833</v>
      </c>
      <c r="AX194" s="87">
        <v>1</v>
      </c>
      <c r="AY194" s="87">
        <v>1</v>
      </c>
      <c r="AZ194" s="87">
        <f t="shared" si="154"/>
        <v>1</v>
      </c>
      <c r="BA194" s="14">
        <f t="shared" si="155"/>
        <v>8.3299999999999999E-2</v>
      </c>
      <c r="BB194" s="14">
        <f t="shared" si="156"/>
        <v>2.0825</v>
      </c>
      <c r="GY194" s="91">
        <v>188</v>
      </c>
      <c r="GZ194" s="14">
        <f t="shared" si="157"/>
        <v>12</v>
      </c>
      <c r="HA194" s="14">
        <f t="shared" si="158"/>
        <v>3</v>
      </c>
      <c r="HB194" s="14">
        <f t="shared" si="159"/>
        <v>2</v>
      </c>
      <c r="HC194" s="14">
        <f t="shared" si="160"/>
        <v>0.56399999999999995</v>
      </c>
      <c r="HD194" s="14">
        <f t="shared" si="161"/>
        <v>1606014</v>
      </c>
      <c r="HE194" s="14" t="str">
        <f t="shared" si="162"/>
        <v>神器3-4 : 14级</v>
      </c>
      <c r="HF194" s="14" t="s">
        <v>800</v>
      </c>
      <c r="HG194" s="14">
        <f t="shared" si="163"/>
        <v>14</v>
      </c>
      <c r="HH194" s="14" t="str">
        <f t="shared" si="164"/>
        <v>神器3-4</v>
      </c>
      <c r="HI194" s="14">
        <f t="shared" si="165"/>
        <v>7</v>
      </c>
      <c r="HJ194" s="14" t="s">
        <v>1595</v>
      </c>
      <c r="HK194" s="14">
        <f t="shared" si="166"/>
        <v>5450</v>
      </c>
    </row>
    <row r="195" spans="41:219" ht="16.5" x14ac:dyDescent="0.2">
      <c r="AO195" s="87">
        <v>6</v>
      </c>
      <c r="AP195" s="87">
        <v>3</v>
      </c>
      <c r="AQ195" s="87">
        <v>51</v>
      </c>
      <c r="AR195" s="144">
        <f t="shared" si="152"/>
        <v>4451</v>
      </c>
      <c r="AS195" s="144" t="s">
        <v>1254</v>
      </c>
      <c r="AT195" s="144" t="str">
        <f t="shared" si="153"/>
        <v>神器本-6-噩梦-1  神器4-3</v>
      </c>
      <c r="AU195" s="87">
        <v>17</v>
      </c>
      <c r="AV195" s="87" t="s">
        <v>323</v>
      </c>
      <c r="AW195" s="87">
        <v>500</v>
      </c>
      <c r="AX195" s="87">
        <v>1</v>
      </c>
      <c r="AY195" s="87">
        <v>1</v>
      </c>
      <c r="AZ195" s="87">
        <f t="shared" si="154"/>
        <v>2</v>
      </c>
      <c r="BA195" s="14">
        <f t="shared" si="155"/>
        <v>0.05</v>
      </c>
      <c r="BB195" s="14">
        <f t="shared" si="156"/>
        <v>3.75</v>
      </c>
      <c r="GY195" s="91">
        <v>189</v>
      </c>
      <c r="GZ195" s="14">
        <f t="shared" si="157"/>
        <v>12</v>
      </c>
      <c r="HA195" s="14">
        <f t="shared" si="158"/>
        <v>3</v>
      </c>
      <c r="HB195" s="14">
        <f t="shared" si="159"/>
        <v>2</v>
      </c>
      <c r="HC195" s="14">
        <f t="shared" si="160"/>
        <v>0.57399999999999995</v>
      </c>
      <c r="HD195" s="14">
        <f t="shared" si="161"/>
        <v>1606014</v>
      </c>
      <c r="HE195" s="14" t="str">
        <f t="shared" si="162"/>
        <v>神器3-4 : 15级</v>
      </c>
      <c r="HF195" s="14" t="s">
        <v>800</v>
      </c>
      <c r="HG195" s="14">
        <f t="shared" si="163"/>
        <v>15</v>
      </c>
      <c r="HH195" s="14" t="str">
        <f t="shared" si="164"/>
        <v>神器3-4</v>
      </c>
      <c r="HI195" s="14">
        <f t="shared" si="165"/>
        <v>7</v>
      </c>
      <c r="HJ195" s="14" t="s">
        <v>1595</v>
      </c>
      <c r="HK195" s="14">
        <f t="shared" si="166"/>
        <v>5550</v>
      </c>
    </row>
    <row r="196" spans="41:219" ht="16.5" x14ac:dyDescent="0.2">
      <c r="AO196" s="87">
        <v>6</v>
      </c>
      <c r="AP196" s="87">
        <v>3</v>
      </c>
      <c r="AQ196" s="87">
        <v>51</v>
      </c>
      <c r="AR196" s="144">
        <f t="shared" si="152"/>
        <v>4451</v>
      </c>
      <c r="AS196" s="144" t="s">
        <v>1254</v>
      </c>
      <c r="AT196" s="144" t="str">
        <f t="shared" si="153"/>
        <v>神器本-6-噩梦-1  神器4-4</v>
      </c>
      <c r="AU196" s="87">
        <v>18</v>
      </c>
      <c r="AV196" s="87" t="s">
        <v>324</v>
      </c>
      <c r="AW196" s="87">
        <v>500</v>
      </c>
      <c r="AX196" s="87">
        <v>1</v>
      </c>
      <c r="AY196" s="87">
        <v>1</v>
      </c>
      <c r="AZ196" s="87">
        <f t="shared" si="154"/>
        <v>2</v>
      </c>
      <c r="BA196" s="14">
        <f t="shared" si="155"/>
        <v>0.05</v>
      </c>
      <c r="BB196" s="14">
        <f t="shared" si="156"/>
        <v>3.75</v>
      </c>
      <c r="GY196" s="91">
        <v>190</v>
      </c>
      <c r="GZ196" s="14">
        <f t="shared" si="157"/>
        <v>12</v>
      </c>
      <c r="HA196" s="14">
        <f t="shared" si="158"/>
        <v>3</v>
      </c>
      <c r="HB196" s="14">
        <f t="shared" si="159"/>
        <v>2</v>
      </c>
      <c r="HC196" s="14">
        <f t="shared" si="160"/>
        <v>0.58499999999999996</v>
      </c>
      <c r="HD196" s="14">
        <f t="shared" si="161"/>
        <v>1606014</v>
      </c>
      <c r="HE196" s="14" t="str">
        <f t="shared" si="162"/>
        <v>神器3-4 : 16级</v>
      </c>
      <c r="HF196" s="14" t="s">
        <v>800</v>
      </c>
      <c r="HG196" s="14">
        <f t="shared" si="163"/>
        <v>16</v>
      </c>
      <c r="HH196" s="14" t="str">
        <f t="shared" si="164"/>
        <v>神器3-4</v>
      </c>
      <c r="HI196" s="14">
        <f t="shared" si="165"/>
        <v>10</v>
      </c>
      <c r="HJ196" s="14" t="s">
        <v>1595</v>
      </c>
      <c r="HK196" s="14">
        <f t="shared" si="166"/>
        <v>5650</v>
      </c>
    </row>
    <row r="197" spans="41:219" ht="16.5" x14ac:dyDescent="0.2">
      <c r="AO197" s="87">
        <v>6</v>
      </c>
      <c r="AP197" s="87">
        <v>3</v>
      </c>
      <c r="AQ197" s="87">
        <v>51</v>
      </c>
      <c r="AR197" s="144">
        <f t="shared" si="152"/>
        <v>4451</v>
      </c>
      <c r="AS197" s="144" t="s">
        <v>1254</v>
      </c>
      <c r="AT197" s="144" t="str">
        <f t="shared" si="153"/>
        <v>神器本-6-噩梦-1  神器4-5</v>
      </c>
      <c r="AU197" s="87">
        <v>19</v>
      </c>
      <c r="AV197" s="87" t="s">
        <v>325</v>
      </c>
      <c r="AW197" s="87">
        <v>500</v>
      </c>
      <c r="AX197" s="87">
        <v>1</v>
      </c>
      <c r="AY197" s="87">
        <v>1</v>
      </c>
      <c r="AZ197" s="87">
        <f t="shared" si="154"/>
        <v>3</v>
      </c>
      <c r="BA197" s="14">
        <f t="shared" si="155"/>
        <v>0.05</v>
      </c>
      <c r="BB197" s="14">
        <f t="shared" si="156"/>
        <v>8.75</v>
      </c>
      <c r="GY197" s="91">
        <v>191</v>
      </c>
      <c r="GZ197" s="14">
        <f t="shared" si="157"/>
        <v>12</v>
      </c>
      <c r="HA197" s="14">
        <f t="shared" si="158"/>
        <v>3</v>
      </c>
      <c r="HB197" s="14">
        <f t="shared" si="159"/>
        <v>2</v>
      </c>
      <c r="HC197" s="14">
        <f t="shared" si="160"/>
        <v>0.59499999999999997</v>
      </c>
      <c r="HD197" s="14">
        <f t="shared" si="161"/>
        <v>1606014</v>
      </c>
      <c r="HE197" s="14" t="str">
        <f t="shared" si="162"/>
        <v>神器3-4 : 17级</v>
      </c>
      <c r="HF197" s="14" t="s">
        <v>800</v>
      </c>
      <c r="HG197" s="14">
        <f t="shared" si="163"/>
        <v>17</v>
      </c>
      <c r="HH197" s="14" t="str">
        <f t="shared" si="164"/>
        <v>神器3-4</v>
      </c>
      <c r="HI197" s="14">
        <f t="shared" si="165"/>
        <v>10</v>
      </c>
      <c r="HJ197" s="14" t="s">
        <v>1595</v>
      </c>
      <c r="HK197" s="14">
        <f t="shared" si="166"/>
        <v>5750</v>
      </c>
    </row>
    <row r="198" spans="41:219" ht="16.5" x14ac:dyDescent="0.2">
      <c r="AO198" s="87">
        <v>6</v>
      </c>
      <c r="AP198" s="87">
        <v>3</v>
      </c>
      <c r="AQ198" s="87">
        <v>51</v>
      </c>
      <c r="AR198" s="144">
        <f t="shared" si="152"/>
        <v>4451</v>
      </c>
      <c r="AS198" s="144" t="s">
        <v>1254</v>
      </c>
      <c r="AT198" s="144" t="str">
        <f t="shared" si="153"/>
        <v>神器本-6-噩梦-1  神器4-6</v>
      </c>
      <c r="AU198" s="87">
        <v>20</v>
      </c>
      <c r="AV198" s="87" t="s">
        <v>326</v>
      </c>
      <c r="AW198" s="87">
        <v>166</v>
      </c>
      <c r="AX198" s="87">
        <v>1</v>
      </c>
      <c r="AY198" s="87">
        <v>1</v>
      </c>
      <c r="AZ198" s="87">
        <f t="shared" si="154"/>
        <v>4</v>
      </c>
      <c r="BA198" s="14">
        <f t="shared" si="155"/>
        <v>1.66E-2</v>
      </c>
      <c r="BB198" s="14">
        <f t="shared" si="156"/>
        <v>6.2249999999999996</v>
      </c>
      <c r="GY198" s="91">
        <v>192</v>
      </c>
      <c r="GZ198" s="14">
        <f t="shared" si="157"/>
        <v>12</v>
      </c>
      <c r="HA198" s="14">
        <f t="shared" si="158"/>
        <v>3</v>
      </c>
      <c r="HB198" s="14">
        <f t="shared" si="159"/>
        <v>2</v>
      </c>
      <c r="HC198" s="14">
        <f t="shared" si="160"/>
        <v>0.60499999999999998</v>
      </c>
      <c r="HD198" s="14">
        <f t="shared" si="161"/>
        <v>1606014</v>
      </c>
      <c r="HE198" s="14" t="str">
        <f t="shared" si="162"/>
        <v>神器3-4 : 18级</v>
      </c>
      <c r="HF198" s="14" t="s">
        <v>800</v>
      </c>
      <c r="HG198" s="14">
        <f t="shared" si="163"/>
        <v>18</v>
      </c>
      <c r="HH198" s="14" t="str">
        <f t="shared" si="164"/>
        <v>神器3-4</v>
      </c>
      <c r="HI198" s="14">
        <f t="shared" si="165"/>
        <v>10</v>
      </c>
      <c r="HJ198" s="14" t="s">
        <v>1595</v>
      </c>
      <c r="HK198" s="14">
        <f t="shared" si="166"/>
        <v>5850</v>
      </c>
    </row>
    <row r="199" spans="41:219" ht="16.5" x14ac:dyDescent="0.2">
      <c r="AO199" s="87">
        <v>6</v>
      </c>
      <c r="AP199" s="87">
        <v>3</v>
      </c>
      <c r="AQ199" s="87">
        <v>51</v>
      </c>
      <c r="AR199" s="144">
        <f t="shared" si="152"/>
        <v>4451</v>
      </c>
      <c r="AS199" s="144" t="s">
        <v>1254</v>
      </c>
      <c r="AT199" s="144" t="str">
        <f t="shared" si="153"/>
        <v>神器本-6-噩梦-1  神器5-1</v>
      </c>
      <c r="AU199" s="87">
        <v>21</v>
      </c>
      <c r="AV199" s="87" t="s">
        <v>327</v>
      </c>
      <c r="AW199" s="87">
        <v>833</v>
      </c>
      <c r="AX199" s="87">
        <v>1</v>
      </c>
      <c r="AY199" s="87">
        <v>1</v>
      </c>
      <c r="AZ199" s="87">
        <f t="shared" si="154"/>
        <v>1</v>
      </c>
      <c r="BA199" s="14">
        <f t="shared" si="155"/>
        <v>8.3299999999999999E-2</v>
      </c>
      <c r="BB199" s="14">
        <f t="shared" si="156"/>
        <v>2.4990000000000001</v>
      </c>
      <c r="GY199" s="91">
        <v>193</v>
      </c>
      <c r="GZ199" s="14">
        <f t="shared" si="157"/>
        <v>13</v>
      </c>
      <c r="HA199" s="14">
        <f t="shared" si="158"/>
        <v>3</v>
      </c>
      <c r="HB199" s="14">
        <f t="shared" si="159"/>
        <v>3</v>
      </c>
      <c r="HC199" s="14">
        <f t="shared" si="160"/>
        <v>0.61499999999999999</v>
      </c>
      <c r="HD199" s="14">
        <f t="shared" si="161"/>
        <v>1606015</v>
      </c>
      <c r="HE199" s="14" t="str">
        <f t="shared" si="162"/>
        <v>神器3-5 : 1级</v>
      </c>
      <c r="HF199" s="14" t="s">
        <v>800</v>
      </c>
      <c r="HG199" s="14">
        <f t="shared" si="163"/>
        <v>1</v>
      </c>
      <c r="HH199" s="14" t="str">
        <f t="shared" si="164"/>
        <v>神器3-5</v>
      </c>
      <c r="HI199" s="14">
        <f t="shared" si="165"/>
        <v>1</v>
      </c>
      <c r="HJ199" s="14" t="s">
        <v>1595</v>
      </c>
      <c r="HK199" s="14">
        <f t="shared" si="166"/>
        <v>5950</v>
      </c>
    </row>
    <row r="200" spans="41:219" ht="16.5" x14ac:dyDescent="0.2">
      <c r="AO200" s="87">
        <v>6</v>
      </c>
      <c r="AP200" s="87">
        <v>3</v>
      </c>
      <c r="AQ200" s="87">
        <v>51</v>
      </c>
      <c r="AR200" s="144">
        <f t="shared" ref="AR200:AR263" si="167">4400+AQ200</f>
        <v>4451</v>
      </c>
      <c r="AS200" s="144" t="s">
        <v>1254</v>
      </c>
      <c r="AT200" s="144" t="str">
        <f t="shared" ref="AT200:AT263" si="168">AS200&amp;"  "&amp;AV200</f>
        <v>神器本-6-噩梦-1  神器5-2</v>
      </c>
      <c r="AU200" s="87">
        <v>22</v>
      </c>
      <c r="AV200" s="87" t="s">
        <v>328</v>
      </c>
      <c r="AW200" s="87">
        <v>833</v>
      </c>
      <c r="AX200" s="87">
        <v>1</v>
      </c>
      <c r="AY200" s="87">
        <v>1</v>
      </c>
      <c r="AZ200" s="87">
        <f t="shared" ref="AZ200:AZ236" si="169">INDEX($AK$7:$AK$48,AU200)</f>
        <v>1</v>
      </c>
      <c r="BA200" s="14">
        <f t="shared" ref="BA200:BA230" si="170">(AX200+AY200)/2*AW200/10000</f>
        <v>8.3299999999999999E-2</v>
      </c>
      <c r="BB200" s="14">
        <f t="shared" ref="BB200:BB230" si="171">(AX200+AY200)/2*AW200/10000*INDEX($AL$7:$AL$48,AU200)</f>
        <v>2.4990000000000001</v>
      </c>
      <c r="GY200" s="91">
        <v>194</v>
      </c>
      <c r="GZ200" s="14">
        <f t="shared" ref="GZ200:GZ263" si="172">MATCH(GY200-1,$R$7:$R$49,1)</f>
        <v>13</v>
      </c>
      <c r="HA200" s="14">
        <f t="shared" ref="HA200:HA263" si="173">INDEX($N$8:$N$49,GZ200)</f>
        <v>3</v>
      </c>
      <c r="HB200" s="14">
        <f t="shared" ref="HB200:HB263" si="174">INDEX($P$8:$P$49,GZ200)</f>
        <v>3</v>
      </c>
      <c r="HC200" s="14">
        <f t="shared" ref="HC200:HC263" si="175">ROUND(SQRT(INDEX($BJ$7:$BJ$27,HG200)*INDEX($H$7:$H$10,HB200)),3)</f>
        <v>0.63700000000000001</v>
      </c>
      <c r="HD200" s="14">
        <f t="shared" ref="HD200:HD263" si="176">INDEX($S$8:$S$49,GZ200)</f>
        <v>1606015</v>
      </c>
      <c r="HE200" s="14" t="str">
        <f t="shared" ref="HE200:HE263" si="177">INDEX($T$8:$T$49,GZ200)&amp;" : "&amp;HG200&amp;"级"</f>
        <v>神器3-5 : 2级</v>
      </c>
      <c r="HF200" s="14" t="s">
        <v>800</v>
      </c>
      <c r="HG200" s="14">
        <f t="shared" ref="HG200:HG263" si="178">GY200-INDEX($R$7:$R$49,GZ200)</f>
        <v>2</v>
      </c>
      <c r="HH200" s="14" t="str">
        <f t="shared" ref="HH200:HH263" si="179">INDEX($T$8:$T$49,GZ200)</f>
        <v>神器3-5</v>
      </c>
      <c r="HI200" s="14">
        <f t="shared" ref="HI200:HI263" si="180">INDEX($K$8:$K$28,HG200)</f>
        <v>1</v>
      </c>
      <c r="HJ200" s="14" t="s">
        <v>1595</v>
      </c>
      <c r="HK200" s="14">
        <f t="shared" ref="HK200:HK263" si="181">ROUND(INDEX($Y$8:$Y$14,HA200)/INDEX($Z$8:$Z$14,HA200)*HC200/50,0)*50</f>
        <v>6150</v>
      </c>
    </row>
    <row r="201" spans="41:219" ht="16.5" x14ac:dyDescent="0.2">
      <c r="AO201" s="87">
        <v>6</v>
      </c>
      <c r="AP201" s="87">
        <v>3</v>
      </c>
      <c r="AQ201" s="87">
        <v>51</v>
      </c>
      <c r="AR201" s="144">
        <f t="shared" si="167"/>
        <v>4451</v>
      </c>
      <c r="AS201" s="144" t="s">
        <v>1254</v>
      </c>
      <c r="AT201" s="144" t="str">
        <f t="shared" si="168"/>
        <v>神器本-6-噩梦-1  神器5-3</v>
      </c>
      <c r="AU201" s="87">
        <v>23</v>
      </c>
      <c r="AV201" s="87" t="s">
        <v>329</v>
      </c>
      <c r="AW201" s="87">
        <v>500</v>
      </c>
      <c r="AX201" s="87">
        <v>1</v>
      </c>
      <c r="AY201" s="87">
        <v>1</v>
      </c>
      <c r="AZ201" s="87">
        <f t="shared" si="169"/>
        <v>2</v>
      </c>
      <c r="BA201" s="14">
        <f t="shared" si="170"/>
        <v>0.05</v>
      </c>
      <c r="BB201" s="14">
        <f t="shared" si="171"/>
        <v>4.5</v>
      </c>
      <c r="GY201" s="91">
        <v>195</v>
      </c>
      <c r="GZ201" s="14">
        <f t="shared" si="172"/>
        <v>13</v>
      </c>
      <c r="HA201" s="14">
        <f t="shared" si="173"/>
        <v>3</v>
      </c>
      <c r="HB201" s="14">
        <f t="shared" si="174"/>
        <v>3</v>
      </c>
      <c r="HC201" s="14">
        <f t="shared" si="175"/>
        <v>0.65900000000000003</v>
      </c>
      <c r="HD201" s="14">
        <f t="shared" si="176"/>
        <v>1606015</v>
      </c>
      <c r="HE201" s="14" t="str">
        <f t="shared" si="177"/>
        <v>神器3-5 : 3级</v>
      </c>
      <c r="HF201" s="14" t="s">
        <v>800</v>
      </c>
      <c r="HG201" s="14">
        <f t="shared" si="178"/>
        <v>3</v>
      </c>
      <c r="HH201" s="14" t="str">
        <f t="shared" si="179"/>
        <v>神器3-5</v>
      </c>
      <c r="HI201" s="14">
        <f t="shared" si="180"/>
        <v>1</v>
      </c>
      <c r="HJ201" s="14" t="s">
        <v>1595</v>
      </c>
      <c r="HK201" s="14">
        <f t="shared" si="181"/>
        <v>6400</v>
      </c>
    </row>
    <row r="202" spans="41:219" ht="16.5" x14ac:dyDescent="0.2">
      <c r="AO202" s="87">
        <v>6</v>
      </c>
      <c r="AP202" s="87">
        <v>3</v>
      </c>
      <c r="AQ202" s="87">
        <v>51</v>
      </c>
      <c r="AR202" s="144">
        <f t="shared" si="167"/>
        <v>4451</v>
      </c>
      <c r="AS202" s="144" t="s">
        <v>1254</v>
      </c>
      <c r="AT202" s="144" t="str">
        <f t="shared" si="168"/>
        <v>神器本-6-噩梦-1  神器5-4</v>
      </c>
      <c r="AU202" s="87">
        <v>24</v>
      </c>
      <c r="AV202" s="87" t="s">
        <v>330</v>
      </c>
      <c r="AW202" s="87">
        <v>500</v>
      </c>
      <c r="AX202" s="87">
        <v>1</v>
      </c>
      <c r="AY202" s="87">
        <v>1</v>
      </c>
      <c r="AZ202" s="87">
        <f t="shared" si="169"/>
        <v>2</v>
      </c>
      <c r="BA202" s="14">
        <f t="shared" si="170"/>
        <v>0.05</v>
      </c>
      <c r="BB202" s="14">
        <f t="shared" si="171"/>
        <v>4.5</v>
      </c>
      <c r="GY202" s="91">
        <v>196</v>
      </c>
      <c r="GZ202" s="14">
        <f t="shared" si="172"/>
        <v>13</v>
      </c>
      <c r="HA202" s="14">
        <f t="shared" si="173"/>
        <v>3</v>
      </c>
      <c r="HB202" s="14">
        <f t="shared" si="174"/>
        <v>3</v>
      </c>
      <c r="HC202" s="14">
        <f t="shared" si="175"/>
        <v>0.68</v>
      </c>
      <c r="HD202" s="14">
        <f t="shared" si="176"/>
        <v>1606015</v>
      </c>
      <c r="HE202" s="14" t="str">
        <f t="shared" si="177"/>
        <v>神器3-5 : 4级</v>
      </c>
      <c r="HF202" s="14" t="s">
        <v>800</v>
      </c>
      <c r="HG202" s="14">
        <f t="shared" si="178"/>
        <v>4</v>
      </c>
      <c r="HH202" s="14" t="str">
        <f t="shared" si="179"/>
        <v>神器3-5</v>
      </c>
      <c r="HI202" s="14">
        <f t="shared" si="180"/>
        <v>2</v>
      </c>
      <c r="HJ202" s="14" t="s">
        <v>1595</v>
      </c>
      <c r="HK202" s="14">
        <f t="shared" si="181"/>
        <v>6600</v>
      </c>
    </row>
    <row r="203" spans="41:219" ht="16.5" x14ac:dyDescent="0.2">
      <c r="AO203" s="87">
        <v>6</v>
      </c>
      <c r="AP203" s="87">
        <v>3</v>
      </c>
      <c r="AQ203" s="87">
        <v>51</v>
      </c>
      <c r="AR203" s="144">
        <f t="shared" si="167"/>
        <v>4451</v>
      </c>
      <c r="AS203" s="144" t="s">
        <v>1254</v>
      </c>
      <c r="AT203" s="144" t="str">
        <f t="shared" si="168"/>
        <v>神器本-6-噩梦-1  神器5-5</v>
      </c>
      <c r="AU203" s="87">
        <v>25</v>
      </c>
      <c r="AV203" s="87" t="s">
        <v>331</v>
      </c>
      <c r="AW203" s="87">
        <v>500</v>
      </c>
      <c r="AX203" s="87">
        <v>1</v>
      </c>
      <c r="AY203" s="87">
        <v>1</v>
      </c>
      <c r="AZ203" s="87">
        <f t="shared" si="169"/>
        <v>3</v>
      </c>
      <c r="BA203" s="14">
        <f t="shared" si="170"/>
        <v>0.05</v>
      </c>
      <c r="BB203" s="14">
        <f t="shared" si="171"/>
        <v>10.5</v>
      </c>
      <c r="GY203" s="91">
        <v>197</v>
      </c>
      <c r="GZ203" s="14">
        <f t="shared" si="172"/>
        <v>13</v>
      </c>
      <c r="HA203" s="14">
        <f t="shared" si="173"/>
        <v>3</v>
      </c>
      <c r="HB203" s="14">
        <f t="shared" si="174"/>
        <v>3</v>
      </c>
      <c r="HC203" s="14">
        <f t="shared" si="175"/>
        <v>0.7</v>
      </c>
      <c r="HD203" s="14">
        <f t="shared" si="176"/>
        <v>1606015</v>
      </c>
      <c r="HE203" s="14" t="str">
        <f t="shared" si="177"/>
        <v>神器3-5 : 5级</v>
      </c>
      <c r="HF203" s="14" t="s">
        <v>800</v>
      </c>
      <c r="HG203" s="14">
        <f t="shared" si="178"/>
        <v>5</v>
      </c>
      <c r="HH203" s="14" t="str">
        <f t="shared" si="179"/>
        <v>神器3-5</v>
      </c>
      <c r="HI203" s="14">
        <f t="shared" si="180"/>
        <v>2</v>
      </c>
      <c r="HJ203" s="14" t="s">
        <v>1595</v>
      </c>
      <c r="HK203" s="14">
        <f t="shared" si="181"/>
        <v>6750</v>
      </c>
    </row>
    <row r="204" spans="41:219" ht="16.5" x14ac:dyDescent="0.2">
      <c r="AO204" s="87">
        <v>6</v>
      </c>
      <c r="AP204" s="87">
        <v>3</v>
      </c>
      <c r="AQ204" s="87">
        <v>51</v>
      </c>
      <c r="AR204" s="144">
        <f t="shared" si="167"/>
        <v>4451</v>
      </c>
      <c r="AS204" s="144" t="s">
        <v>1254</v>
      </c>
      <c r="AT204" s="144" t="str">
        <f t="shared" si="168"/>
        <v>神器本-6-噩梦-1  神器5-6</v>
      </c>
      <c r="AU204" s="87">
        <v>26</v>
      </c>
      <c r="AV204" s="87" t="s">
        <v>332</v>
      </c>
      <c r="AW204" s="87">
        <v>166</v>
      </c>
      <c r="AX204" s="87">
        <v>1</v>
      </c>
      <c r="AY204" s="87">
        <v>1</v>
      </c>
      <c r="AZ204" s="87">
        <f t="shared" si="169"/>
        <v>4</v>
      </c>
      <c r="BA204" s="14">
        <f t="shared" si="170"/>
        <v>1.66E-2</v>
      </c>
      <c r="BB204" s="14">
        <f t="shared" si="171"/>
        <v>7.47</v>
      </c>
      <c r="GY204" s="91">
        <v>198</v>
      </c>
      <c r="GZ204" s="14">
        <f t="shared" si="172"/>
        <v>13</v>
      </c>
      <c r="HA204" s="14">
        <f t="shared" si="173"/>
        <v>3</v>
      </c>
      <c r="HB204" s="14">
        <f t="shared" si="174"/>
        <v>3</v>
      </c>
      <c r="HC204" s="14">
        <f t="shared" si="175"/>
        <v>0.72</v>
      </c>
      <c r="HD204" s="14">
        <f t="shared" si="176"/>
        <v>1606015</v>
      </c>
      <c r="HE204" s="14" t="str">
        <f t="shared" si="177"/>
        <v>神器3-5 : 6级</v>
      </c>
      <c r="HF204" s="14" t="s">
        <v>800</v>
      </c>
      <c r="HG204" s="14">
        <f t="shared" si="178"/>
        <v>6</v>
      </c>
      <c r="HH204" s="14" t="str">
        <f t="shared" si="179"/>
        <v>神器3-5</v>
      </c>
      <c r="HI204" s="14">
        <f t="shared" si="180"/>
        <v>2</v>
      </c>
      <c r="HJ204" s="14" t="s">
        <v>1595</v>
      </c>
      <c r="HK204" s="14">
        <f t="shared" si="181"/>
        <v>6950</v>
      </c>
    </row>
    <row r="205" spans="41:219" ht="16.5" x14ac:dyDescent="0.2">
      <c r="AO205" s="87">
        <v>6</v>
      </c>
      <c r="AP205" s="87">
        <v>3</v>
      </c>
      <c r="AQ205" s="87">
        <v>52</v>
      </c>
      <c r="AR205" s="144">
        <f t="shared" si="167"/>
        <v>4452</v>
      </c>
      <c r="AS205" s="144" t="s">
        <v>1255</v>
      </c>
      <c r="AT205" s="144" t="str">
        <f t="shared" si="168"/>
        <v>神器本-6-噩梦-2  神器6-1</v>
      </c>
      <c r="AU205" s="87">
        <v>27</v>
      </c>
      <c r="AV205" s="87" t="s">
        <v>762</v>
      </c>
      <c r="AW205" s="87">
        <v>2000</v>
      </c>
      <c r="AX205" s="87">
        <v>1</v>
      </c>
      <c r="AY205" s="87">
        <v>2</v>
      </c>
      <c r="AZ205" s="87">
        <f t="shared" si="169"/>
        <v>2</v>
      </c>
      <c r="BA205" s="14">
        <f t="shared" si="170"/>
        <v>0.3</v>
      </c>
      <c r="BB205" s="14">
        <f t="shared" si="171"/>
        <v>36</v>
      </c>
      <c r="GY205" s="91">
        <v>199</v>
      </c>
      <c r="GZ205" s="14">
        <f t="shared" si="172"/>
        <v>13</v>
      </c>
      <c r="HA205" s="14">
        <f t="shared" si="173"/>
        <v>3</v>
      </c>
      <c r="HB205" s="14">
        <f t="shared" si="174"/>
        <v>3</v>
      </c>
      <c r="HC205" s="14">
        <f t="shared" si="175"/>
        <v>0.73899999999999999</v>
      </c>
      <c r="HD205" s="14">
        <f t="shared" si="176"/>
        <v>1606015</v>
      </c>
      <c r="HE205" s="14" t="str">
        <f t="shared" si="177"/>
        <v>神器3-5 : 7级</v>
      </c>
      <c r="HF205" s="14" t="s">
        <v>800</v>
      </c>
      <c r="HG205" s="14">
        <f t="shared" si="178"/>
        <v>7</v>
      </c>
      <c r="HH205" s="14" t="str">
        <f t="shared" si="179"/>
        <v>神器3-5</v>
      </c>
      <c r="HI205" s="14">
        <f t="shared" si="180"/>
        <v>3</v>
      </c>
      <c r="HJ205" s="14" t="s">
        <v>1595</v>
      </c>
      <c r="HK205" s="14">
        <f t="shared" si="181"/>
        <v>7150</v>
      </c>
    </row>
    <row r="206" spans="41:219" ht="16.5" x14ac:dyDescent="0.2">
      <c r="AO206" s="87">
        <v>6</v>
      </c>
      <c r="AP206" s="87">
        <v>3</v>
      </c>
      <c r="AQ206" s="87">
        <v>52</v>
      </c>
      <c r="AR206" s="144">
        <f t="shared" si="167"/>
        <v>4452</v>
      </c>
      <c r="AS206" s="144" t="s">
        <v>1255</v>
      </c>
      <c r="AT206" s="144" t="str">
        <f t="shared" si="168"/>
        <v>神器本-6-噩梦-2  神器6-2</v>
      </c>
      <c r="AU206" s="87">
        <v>28</v>
      </c>
      <c r="AV206" s="87" t="s">
        <v>763</v>
      </c>
      <c r="AW206" s="87">
        <v>2000</v>
      </c>
      <c r="AX206" s="87">
        <v>1</v>
      </c>
      <c r="AY206" s="87">
        <v>2</v>
      </c>
      <c r="AZ206" s="87">
        <f t="shared" si="169"/>
        <v>2</v>
      </c>
      <c r="BA206" s="14">
        <f t="shared" si="170"/>
        <v>0.3</v>
      </c>
      <c r="BB206" s="14">
        <f t="shared" si="171"/>
        <v>36</v>
      </c>
      <c r="GY206" s="91">
        <v>200</v>
      </c>
      <c r="GZ206" s="14">
        <f t="shared" si="172"/>
        <v>13</v>
      </c>
      <c r="HA206" s="14">
        <f t="shared" si="173"/>
        <v>3</v>
      </c>
      <c r="HB206" s="14">
        <f t="shared" si="174"/>
        <v>3</v>
      </c>
      <c r="HC206" s="14">
        <f t="shared" si="175"/>
        <v>0.75800000000000001</v>
      </c>
      <c r="HD206" s="14">
        <f t="shared" si="176"/>
        <v>1606015</v>
      </c>
      <c r="HE206" s="14" t="str">
        <f t="shared" si="177"/>
        <v>神器3-5 : 8级</v>
      </c>
      <c r="HF206" s="14" t="s">
        <v>800</v>
      </c>
      <c r="HG206" s="14">
        <f t="shared" si="178"/>
        <v>8</v>
      </c>
      <c r="HH206" s="14" t="str">
        <f t="shared" si="179"/>
        <v>神器3-5</v>
      </c>
      <c r="HI206" s="14">
        <f t="shared" si="180"/>
        <v>3</v>
      </c>
      <c r="HJ206" s="14" t="s">
        <v>1595</v>
      </c>
      <c r="HK206" s="14">
        <f t="shared" si="181"/>
        <v>7350</v>
      </c>
    </row>
    <row r="207" spans="41:219" ht="16.5" x14ac:dyDescent="0.2">
      <c r="AO207" s="87">
        <v>6</v>
      </c>
      <c r="AP207" s="87">
        <v>3</v>
      </c>
      <c r="AQ207" s="87">
        <v>52</v>
      </c>
      <c r="AR207" s="144">
        <f t="shared" si="167"/>
        <v>4452</v>
      </c>
      <c r="AS207" s="144" t="s">
        <v>1255</v>
      </c>
      <c r="AT207" s="144" t="str">
        <f t="shared" si="168"/>
        <v>神器本-6-噩梦-2  神器6-3</v>
      </c>
      <c r="AU207" s="87">
        <v>29</v>
      </c>
      <c r="AV207" s="87" t="s">
        <v>764</v>
      </c>
      <c r="AW207" s="87">
        <v>2000</v>
      </c>
      <c r="AX207" s="87">
        <v>1</v>
      </c>
      <c r="AY207" s="87">
        <v>2</v>
      </c>
      <c r="AZ207" s="87">
        <f t="shared" si="169"/>
        <v>2</v>
      </c>
      <c r="BA207" s="14">
        <f t="shared" si="170"/>
        <v>0.3</v>
      </c>
      <c r="BB207" s="14">
        <f t="shared" si="171"/>
        <v>36</v>
      </c>
      <c r="GY207" s="91">
        <v>201</v>
      </c>
      <c r="GZ207" s="14">
        <f t="shared" si="172"/>
        <v>13</v>
      </c>
      <c r="HA207" s="14">
        <f t="shared" si="173"/>
        <v>3</v>
      </c>
      <c r="HB207" s="14">
        <f t="shared" si="174"/>
        <v>3</v>
      </c>
      <c r="HC207" s="14">
        <f t="shared" si="175"/>
        <v>0.77600000000000002</v>
      </c>
      <c r="HD207" s="14">
        <f t="shared" si="176"/>
        <v>1606015</v>
      </c>
      <c r="HE207" s="14" t="str">
        <f t="shared" si="177"/>
        <v>神器3-5 : 9级</v>
      </c>
      <c r="HF207" s="14" t="s">
        <v>800</v>
      </c>
      <c r="HG207" s="14">
        <f t="shared" si="178"/>
        <v>9</v>
      </c>
      <c r="HH207" s="14" t="str">
        <f t="shared" si="179"/>
        <v>神器3-5</v>
      </c>
      <c r="HI207" s="14">
        <f t="shared" si="180"/>
        <v>3</v>
      </c>
      <c r="HJ207" s="14" t="s">
        <v>1595</v>
      </c>
      <c r="HK207" s="14">
        <f t="shared" si="181"/>
        <v>7500</v>
      </c>
    </row>
    <row r="208" spans="41:219" ht="16.5" x14ac:dyDescent="0.2">
      <c r="AO208" s="87">
        <v>6</v>
      </c>
      <c r="AP208" s="87">
        <v>3</v>
      </c>
      <c r="AQ208" s="87">
        <v>53</v>
      </c>
      <c r="AR208" s="144">
        <f t="shared" si="167"/>
        <v>4453</v>
      </c>
      <c r="AS208" s="144" t="s">
        <v>1256</v>
      </c>
      <c r="AT208" s="144" t="str">
        <f t="shared" si="168"/>
        <v>神器本-6-噩梦-3  神器6-4</v>
      </c>
      <c r="AU208" s="87">
        <v>30</v>
      </c>
      <c r="AV208" s="87" t="s">
        <v>336</v>
      </c>
      <c r="AW208" s="87">
        <v>1000</v>
      </c>
      <c r="AX208" s="87">
        <v>1</v>
      </c>
      <c r="AY208" s="87">
        <v>1</v>
      </c>
      <c r="AZ208" s="87">
        <f t="shared" si="169"/>
        <v>3</v>
      </c>
      <c r="BA208" s="14">
        <f t="shared" si="170"/>
        <v>0.1</v>
      </c>
      <c r="BB208" s="14">
        <f t="shared" si="171"/>
        <v>28</v>
      </c>
      <c r="GY208" s="91">
        <v>202</v>
      </c>
      <c r="GZ208" s="14">
        <f t="shared" si="172"/>
        <v>13</v>
      </c>
      <c r="HA208" s="14">
        <f t="shared" si="173"/>
        <v>3</v>
      </c>
      <c r="HB208" s="14">
        <f t="shared" si="174"/>
        <v>3</v>
      </c>
      <c r="HC208" s="14">
        <f t="shared" si="175"/>
        <v>0.79400000000000004</v>
      </c>
      <c r="HD208" s="14">
        <f t="shared" si="176"/>
        <v>1606015</v>
      </c>
      <c r="HE208" s="14" t="str">
        <f t="shared" si="177"/>
        <v>神器3-5 : 10级</v>
      </c>
      <c r="HF208" s="14" t="s">
        <v>800</v>
      </c>
      <c r="HG208" s="14">
        <f t="shared" si="178"/>
        <v>10</v>
      </c>
      <c r="HH208" s="14" t="str">
        <f t="shared" si="179"/>
        <v>神器3-5</v>
      </c>
      <c r="HI208" s="14">
        <f t="shared" si="180"/>
        <v>5</v>
      </c>
      <c r="HJ208" s="14" t="s">
        <v>1595</v>
      </c>
      <c r="HK208" s="14">
        <f t="shared" si="181"/>
        <v>7700</v>
      </c>
    </row>
    <row r="209" spans="41:219" ht="16.5" x14ac:dyDescent="0.2">
      <c r="AO209" s="87">
        <v>6</v>
      </c>
      <c r="AP209" s="87">
        <v>3</v>
      </c>
      <c r="AQ209" s="87">
        <v>53</v>
      </c>
      <c r="AR209" s="144">
        <f t="shared" si="167"/>
        <v>4453</v>
      </c>
      <c r="AS209" s="144" t="s">
        <v>1256</v>
      </c>
      <c r="AT209" s="144" t="str">
        <f t="shared" si="168"/>
        <v>神器本-6-噩梦-3  神器6-5</v>
      </c>
      <c r="AU209" s="87">
        <v>31</v>
      </c>
      <c r="AV209" s="87" t="s">
        <v>337</v>
      </c>
      <c r="AW209" s="87">
        <v>1000</v>
      </c>
      <c r="AX209" s="87">
        <v>1</v>
      </c>
      <c r="AY209" s="87">
        <v>1</v>
      </c>
      <c r="AZ209" s="87">
        <f t="shared" si="169"/>
        <v>3</v>
      </c>
      <c r="BA209" s="14">
        <f t="shared" si="170"/>
        <v>0.1</v>
      </c>
      <c r="BB209" s="14">
        <f t="shared" si="171"/>
        <v>28</v>
      </c>
      <c r="GY209" s="91">
        <v>203</v>
      </c>
      <c r="GZ209" s="14">
        <f t="shared" si="172"/>
        <v>13</v>
      </c>
      <c r="HA209" s="14">
        <f t="shared" si="173"/>
        <v>3</v>
      </c>
      <c r="HB209" s="14">
        <f t="shared" si="174"/>
        <v>3</v>
      </c>
      <c r="HC209" s="14">
        <f t="shared" si="175"/>
        <v>0.81100000000000005</v>
      </c>
      <c r="HD209" s="14">
        <f t="shared" si="176"/>
        <v>1606015</v>
      </c>
      <c r="HE209" s="14" t="str">
        <f t="shared" si="177"/>
        <v>神器3-5 : 11级</v>
      </c>
      <c r="HF209" s="14" t="s">
        <v>800</v>
      </c>
      <c r="HG209" s="14">
        <f t="shared" si="178"/>
        <v>11</v>
      </c>
      <c r="HH209" s="14" t="str">
        <f t="shared" si="179"/>
        <v>神器3-5</v>
      </c>
      <c r="HI209" s="14">
        <f t="shared" si="180"/>
        <v>5</v>
      </c>
      <c r="HJ209" s="14" t="s">
        <v>1595</v>
      </c>
      <c r="HK209" s="14">
        <f t="shared" si="181"/>
        <v>7850</v>
      </c>
    </row>
    <row r="210" spans="41:219" ht="16.5" x14ac:dyDescent="0.2">
      <c r="AO210" s="87">
        <v>6</v>
      </c>
      <c r="AP210" s="87">
        <v>3</v>
      </c>
      <c r="AQ210" s="87">
        <v>53</v>
      </c>
      <c r="AR210" s="144">
        <f t="shared" si="167"/>
        <v>4453</v>
      </c>
      <c r="AS210" s="144" t="s">
        <v>1256</v>
      </c>
      <c r="AT210" s="144" t="str">
        <f t="shared" si="168"/>
        <v>神器本-6-噩梦-3  神器6-6</v>
      </c>
      <c r="AU210" s="87">
        <v>32</v>
      </c>
      <c r="AV210" s="87" t="s">
        <v>338</v>
      </c>
      <c r="AW210" s="87">
        <v>1000</v>
      </c>
      <c r="AX210" s="87">
        <v>1</v>
      </c>
      <c r="AY210" s="87">
        <v>1</v>
      </c>
      <c r="AZ210" s="87">
        <f t="shared" si="169"/>
        <v>3</v>
      </c>
      <c r="BA210" s="14">
        <f t="shared" si="170"/>
        <v>0.1</v>
      </c>
      <c r="BB210" s="14">
        <f t="shared" si="171"/>
        <v>28</v>
      </c>
      <c r="GY210" s="91">
        <v>204</v>
      </c>
      <c r="GZ210" s="14">
        <f t="shared" si="172"/>
        <v>13</v>
      </c>
      <c r="HA210" s="14">
        <f t="shared" si="173"/>
        <v>3</v>
      </c>
      <c r="HB210" s="14">
        <f t="shared" si="174"/>
        <v>3</v>
      </c>
      <c r="HC210" s="14">
        <f t="shared" si="175"/>
        <v>0.82799999999999996</v>
      </c>
      <c r="HD210" s="14">
        <f t="shared" si="176"/>
        <v>1606015</v>
      </c>
      <c r="HE210" s="14" t="str">
        <f t="shared" si="177"/>
        <v>神器3-5 : 12级</v>
      </c>
      <c r="HF210" s="14" t="s">
        <v>800</v>
      </c>
      <c r="HG210" s="14">
        <f t="shared" si="178"/>
        <v>12</v>
      </c>
      <c r="HH210" s="14" t="str">
        <f t="shared" si="179"/>
        <v>神器3-5</v>
      </c>
      <c r="HI210" s="14">
        <f t="shared" si="180"/>
        <v>6</v>
      </c>
      <c r="HJ210" s="14" t="s">
        <v>1595</v>
      </c>
      <c r="HK210" s="14">
        <f t="shared" si="181"/>
        <v>8000</v>
      </c>
    </row>
    <row r="211" spans="41:219" ht="16.5" x14ac:dyDescent="0.2">
      <c r="AO211" s="87">
        <v>6</v>
      </c>
      <c r="AP211" s="87">
        <v>3</v>
      </c>
      <c r="AQ211" s="87">
        <v>54</v>
      </c>
      <c r="AR211" s="144">
        <f t="shared" si="167"/>
        <v>4454</v>
      </c>
      <c r="AS211" s="144" t="s">
        <v>1257</v>
      </c>
      <c r="AT211" s="144" t="str">
        <f t="shared" si="168"/>
        <v>神器本-6-噩梦-4  神器6-7</v>
      </c>
      <c r="AU211" s="87">
        <v>33</v>
      </c>
      <c r="AV211" s="87" t="s">
        <v>339</v>
      </c>
      <c r="AW211" s="87">
        <v>750</v>
      </c>
      <c r="AX211" s="87">
        <v>1</v>
      </c>
      <c r="AY211" s="87">
        <v>1</v>
      </c>
      <c r="AZ211" s="87">
        <f t="shared" si="169"/>
        <v>4</v>
      </c>
      <c r="BA211" s="14">
        <f t="shared" si="170"/>
        <v>7.4999999999999997E-2</v>
      </c>
      <c r="BB211" s="14">
        <f t="shared" si="171"/>
        <v>45</v>
      </c>
      <c r="GY211" s="91">
        <v>205</v>
      </c>
      <c r="GZ211" s="14">
        <f t="shared" si="172"/>
        <v>13</v>
      </c>
      <c r="HA211" s="14">
        <f t="shared" si="173"/>
        <v>3</v>
      </c>
      <c r="HB211" s="14">
        <f t="shared" si="174"/>
        <v>3</v>
      </c>
      <c r="HC211" s="14">
        <f t="shared" si="175"/>
        <v>0.84499999999999997</v>
      </c>
      <c r="HD211" s="14">
        <f t="shared" si="176"/>
        <v>1606015</v>
      </c>
      <c r="HE211" s="14" t="str">
        <f t="shared" si="177"/>
        <v>神器3-5 : 13级</v>
      </c>
      <c r="HF211" s="14" t="s">
        <v>800</v>
      </c>
      <c r="HG211" s="14">
        <f t="shared" si="178"/>
        <v>13</v>
      </c>
      <c r="HH211" s="14" t="str">
        <f t="shared" si="179"/>
        <v>神器3-5</v>
      </c>
      <c r="HI211" s="14">
        <f t="shared" si="180"/>
        <v>7</v>
      </c>
      <c r="HJ211" s="14" t="s">
        <v>1595</v>
      </c>
      <c r="HK211" s="14">
        <f t="shared" si="181"/>
        <v>8200</v>
      </c>
    </row>
    <row r="212" spans="41:219" ht="16.5" x14ac:dyDescent="0.2">
      <c r="AO212" s="87">
        <v>6</v>
      </c>
      <c r="AP212" s="87">
        <v>3</v>
      </c>
      <c r="AQ212" s="87">
        <v>54</v>
      </c>
      <c r="AR212" s="144">
        <f t="shared" si="167"/>
        <v>4454</v>
      </c>
      <c r="AS212" s="144" t="s">
        <v>1257</v>
      </c>
      <c r="AT212" s="144" t="str">
        <f t="shared" si="168"/>
        <v>神器本-6-噩梦-4  神器6-8</v>
      </c>
      <c r="AU212" s="87">
        <v>34</v>
      </c>
      <c r="AV212" s="87" t="s">
        <v>340</v>
      </c>
      <c r="AW212" s="87">
        <v>750</v>
      </c>
      <c r="AX212" s="87">
        <v>1</v>
      </c>
      <c r="AY212" s="87">
        <v>1</v>
      </c>
      <c r="AZ212" s="87">
        <f t="shared" si="169"/>
        <v>4</v>
      </c>
      <c r="BA212" s="14">
        <f t="shared" si="170"/>
        <v>7.4999999999999997E-2</v>
      </c>
      <c r="BB212" s="14">
        <f t="shared" si="171"/>
        <v>45</v>
      </c>
      <c r="GY212" s="91">
        <v>206</v>
      </c>
      <c r="GZ212" s="14">
        <f t="shared" si="172"/>
        <v>13</v>
      </c>
      <c r="HA212" s="14">
        <f t="shared" si="173"/>
        <v>3</v>
      </c>
      <c r="HB212" s="14">
        <f t="shared" si="174"/>
        <v>3</v>
      </c>
      <c r="HC212" s="14">
        <f t="shared" si="175"/>
        <v>0.86099999999999999</v>
      </c>
      <c r="HD212" s="14">
        <f t="shared" si="176"/>
        <v>1606015</v>
      </c>
      <c r="HE212" s="14" t="str">
        <f t="shared" si="177"/>
        <v>神器3-5 : 14级</v>
      </c>
      <c r="HF212" s="14" t="s">
        <v>800</v>
      </c>
      <c r="HG212" s="14">
        <f t="shared" si="178"/>
        <v>14</v>
      </c>
      <c r="HH212" s="14" t="str">
        <f t="shared" si="179"/>
        <v>神器3-5</v>
      </c>
      <c r="HI212" s="14">
        <f t="shared" si="180"/>
        <v>7</v>
      </c>
      <c r="HJ212" s="14" t="s">
        <v>1595</v>
      </c>
      <c r="HK212" s="14">
        <f t="shared" si="181"/>
        <v>8350</v>
      </c>
    </row>
    <row r="213" spans="41:219" ht="16.5" x14ac:dyDescent="0.2">
      <c r="AO213" s="87">
        <v>7</v>
      </c>
      <c r="AP213" s="87">
        <v>1</v>
      </c>
      <c r="AQ213" s="87">
        <v>55</v>
      </c>
      <c r="AR213" s="144">
        <f t="shared" si="167"/>
        <v>4455</v>
      </c>
      <c r="AS213" s="144" t="s">
        <v>1266</v>
      </c>
      <c r="AT213" s="144" t="str">
        <f t="shared" si="168"/>
        <v>神器本-7-普通-1  神器3-1</v>
      </c>
      <c r="AU213" s="87">
        <v>9</v>
      </c>
      <c r="AV213" s="87" t="s">
        <v>761</v>
      </c>
      <c r="AW213" s="87">
        <v>700</v>
      </c>
      <c r="AX213" s="87">
        <v>1</v>
      </c>
      <c r="AY213" s="87">
        <v>1</v>
      </c>
      <c r="AZ213" s="87">
        <f t="shared" si="169"/>
        <v>1</v>
      </c>
      <c r="BA213" s="14">
        <f t="shared" si="170"/>
        <v>7.0000000000000007E-2</v>
      </c>
      <c r="BB213" s="14">
        <f t="shared" si="171"/>
        <v>1.4000000000000001</v>
      </c>
      <c r="GY213" s="91">
        <v>207</v>
      </c>
      <c r="GZ213" s="14">
        <f t="shared" si="172"/>
        <v>13</v>
      </c>
      <c r="HA213" s="14">
        <f t="shared" si="173"/>
        <v>3</v>
      </c>
      <c r="HB213" s="14">
        <f t="shared" si="174"/>
        <v>3</v>
      </c>
      <c r="HC213" s="14">
        <f t="shared" si="175"/>
        <v>0.877</v>
      </c>
      <c r="HD213" s="14">
        <f t="shared" si="176"/>
        <v>1606015</v>
      </c>
      <c r="HE213" s="14" t="str">
        <f t="shared" si="177"/>
        <v>神器3-5 : 15级</v>
      </c>
      <c r="HF213" s="14" t="s">
        <v>800</v>
      </c>
      <c r="HG213" s="14">
        <f t="shared" si="178"/>
        <v>15</v>
      </c>
      <c r="HH213" s="14" t="str">
        <f t="shared" si="179"/>
        <v>神器3-5</v>
      </c>
      <c r="HI213" s="14">
        <f t="shared" si="180"/>
        <v>7</v>
      </c>
      <c r="HJ213" s="14" t="s">
        <v>1595</v>
      </c>
      <c r="HK213" s="14">
        <f t="shared" si="181"/>
        <v>8500</v>
      </c>
    </row>
    <row r="214" spans="41:219" ht="16.5" x14ac:dyDescent="0.2">
      <c r="AO214" s="87">
        <v>7</v>
      </c>
      <c r="AP214" s="87">
        <v>1</v>
      </c>
      <c r="AQ214" s="87">
        <v>55</v>
      </c>
      <c r="AR214" s="144">
        <f t="shared" si="167"/>
        <v>4455</v>
      </c>
      <c r="AS214" s="144" t="s">
        <v>1258</v>
      </c>
      <c r="AT214" s="144" t="str">
        <f t="shared" si="168"/>
        <v>神器本-7-普通-1  神器3-2</v>
      </c>
      <c r="AU214" s="87">
        <v>10</v>
      </c>
      <c r="AV214" s="87" t="s">
        <v>316</v>
      </c>
      <c r="AW214" s="87">
        <v>700</v>
      </c>
      <c r="AX214" s="87">
        <v>1</v>
      </c>
      <c r="AY214" s="87">
        <v>1</v>
      </c>
      <c r="AZ214" s="87">
        <f t="shared" si="169"/>
        <v>1</v>
      </c>
      <c r="BA214" s="14">
        <f t="shared" si="170"/>
        <v>7.0000000000000007E-2</v>
      </c>
      <c r="BB214" s="14">
        <f t="shared" si="171"/>
        <v>1.4000000000000001</v>
      </c>
      <c r="GY214" s="91">
        <v>208</v>
      </c>
      <c r="GZ214" s="14">
        <f t="shared" si="172"/>
        <v>13</v>
      </c>
      <c r="HA214" s="14">
        <f t="shared" si="173"/>
        <v>3</v>
      </c>
      <c r="HB214" s="14">
        <f t="shared" si="174"/>
        <v>3</v>
      </c>
      <c r="HC214" s="14">
        <f t="shared" si="175"/>
        <v>0.89300000000000002</v>
      </c>
      <c r="HD214" s="14">
        <f t="shared" si="176"/>
        <v>1606015</v>
      </c>
      <c r="HE214" s="14" t="str">
        <f t="shared" si="177"/>
        <v>神器3-5 : 16级</v>
      </c>
      <c r="HF214" s="14" t="s">
        <v>800</v>
      </c>
      <c r="HG214" s="14">
        <f t="shared" si="178"/>
        <v>16</v>
      </c>
      <c r="HH214" s="14" t="str">
        <f t="shared" si="179"/>
        <v>神器3-5</v>
      </c>
      <c r="HI214" s="14">
        <f t="shared" si="180"/>
        <v>10</v>
      </c>
      <c r="HJ214" s="14" t="s">
        <v>1595</v>
      </c>
      <c r="HK214" s="14">
        <f t="shared" si="181"/>
        <v>8650</v>
      </c>
    </row>
    <row r="215" spans="41:219" ht="16.5" x14ac:dyDescent="0.2">
      <c r="AO215" s="87">
        <v>7</v>
      </c>
      <c r="AP215" s="87">
        <v>1</v>
      </c>
      <c r="AQ215" s="87">
        <v>55</v>
      </c>
      <c r="AR215" s="144">
        <f t="shared" si="167"/>
        <v>4455</v>
      </c>
      <c r="AS215" s="144" t="s">
        <v>1258</v>
      </c>
      <c r="AT215" s="144" t="str">
        <f t="shared" si="168"/>
        <v>神器本-7-普通-1  神器3-3</v>
      </c>
      <c r="AU215" s="87">
        <v>11</v>
      </c>
      <c r="AV215" s="87" t="s">
        <v>317</v>
      </c>
      <c r="AW215" s="87">
        <v>414</v>
      </c>
      <c r="AX215" s="87">
        <v>1</v>
      </c>
      <c r="AY215" s="87">
        <v>1</v>
      </c>
      <c r="AZ215" s="87">
        <f t="shared" si="169"/>
        <v>2</v>
      </c>
      <c r="BA215" s="14">
        <f t="shared" si="170"/>
        <v>4.1399999999999999E-2</v>
      </c>
      <c r="BB215" s="14">
        <f t="shared" si="171"/>
        <v>2.484</v>
      </c>
      <c r="GY215" s="91">
        <v>209</v>
      </c>
      <c r="GZ215" s="14">
        <f t="shared" si="172"/>
        <v>13</v>
      </c>
      <c r="HA215" s="14">
        <f t="shared" si="173"/>
        <v>3</v>
      </c>
      <c r="HB215" s="14">
        <f t="shared" si="174"/>
        <v>3</v>
      </c>
      <c r="HC215" s="14">
        <f t="shared" si="175"/>
        <v>0.90900000000000003</v>
      </c>
      <c r="HD215" s="14">
        <f t="shared" si="176"/>
        <v>1606015</v>
      </c>
      <c r="HE215" s="14" t="str">
        <f t="shared" si="177"/>
        <v>神器3-5 : 17级</v>
      </c>
      <c r="HF215" s="14" t="s">
        <v>800</v>
      </c>
      <c r="HG215" s="14">
        <f t="shared" si="178"/>
        <v>17</v>
      </c>
      <c r="HH215" s="14" t="str">
        <f t="shared" si="179"/>
        <v>神器3-5</v>
      </c>
      <c r="HI215" s="14">
        <f t="shared" si="180"/>
        <v>10</v>
      </c>
      <c r="HJ215" s="14" t="s">
        <v>1595</v>
      </c>
      <c r="HK215" s="14">
        <f t="shared" si="181"/>
        <v>8800</v>
      </c>
    </row>
    <row r="216" spans="41:219" ht="16.5" x14ac:dyDescent="0.2">
      <c r="AO216" s="87">
        <v>7</v>
      </c>
      <c r="AP216" s="87">
        <v>1</v>
      </c>
      <c r="AQ216" s="87">
        <v>55</v>
      </c>
      <c r="AR216" s="144">
        <f t="shared" si="167"/>
        <v>4455</v>
      </c>
      <c r="AS216" s="144" t="s">
        <v>1258</v>
      </c>
      <c r="AT216" s="144" t="str">
        <f t="shared" si="168"/>
        <v>神器本-7-普通-1  神器3-4</v>
      </c>
      <c r="AU216" s="87">
        <v>12</v>
      </c>
      <c r="AV216" s="87" t="s">
        <v>318</v>
      </c>
      <c r="AW216" s="87">
        <v>414</v>
      </c>
      <c r="AX216" s="87">
        <v>1</v>
      </c>
      <c r="AY216" s="87">
        <v>1</v>
      </c>
      <c r="AZ216" s="87">
        <f t="shared" si="169"/>
        <v>2</v>
      </c>
      <c r="BA216" s="14">
        <f t="shared" si="170"/>
        <v>4.1399999999999999E-2</v>
      </c>
      <c r="BB216" s="14">
        <f t="shared" si="171"/>
        <v>2.484</v>
      </c>
      <c r="GY216" s="91">
        <v>210</v>
      </c>
      <c r="GZ216" s="14">
        <f t="shared" si="172"/>
        <v>13</v>
      </c>
      <c r="HA216" s="14">
        <f t="shared" si="173"/>
        <v>3</v>
      </c>
      <c r="HB216" s="14">
        <f t="shared" si="174"/>
        <v>3</v>
      </c>
      <c r="HC216" s="14">
        <f t="shared" si="175"/>
        <v>0.92400000000000004</v>
      </c>
      <c r="HD216" s="14">
        <f t="shared" si="176"/>
        <v>1606015</v>
      </c>
      <c r="HE216" s="14" t="str">
        <f t="shared" si="177"/>
        <v>神器3-5 : 18级</v>
      </c>
      <c r="HF216" s="14" t="s">
        <v>800</v>
      </c>
      <c r="HG216" s="14">
        <f t="shared" si="178"/>
        <v>18</v>
      </c>
      <c r="HH216" s="14" t="str">
        <f t="shared" si="179"/>
        <v>神器3-5</v>
      </c>
      <c r="HI216" s="14">
        <f t="shared" si="180"/>
        <v>10</v>
      </c>
      <c r="HJ216" s="14" t="s">
        <v>1595</v>
      </c>
      <c r="HK216" s="14">
        <f t="shared" si="181"/>
        <v>8950</v>
      </c>
    </row>
    <row r="217" spans="41:219" ht="16.5" x14ac:dyDescent="0.2">
      <c r="AO217" s="87">
        <v>7</v>
      </c>
      <c r="AP217" s="87">
        <v>1</v>
      </c>
      <c r="AQ217" s="87">
        <v>55</v>
      </c>
      <c r="AR217" s="144">
        <f t="shared" si="167"/>
        <v>4455</v>
      </c>
      <c r="AS217" s="144" t="s">
        <v>1258</v>
      </c>
      <c r="AT217" s="144" t="str">
        <f t="shared" si="168"/>
        <v>神器本-7-普通-1  神器3-5</v>
      </c>
      <c r="AU217" s="87">
        <v>13</v>
      </c>
      <c r="AV217" s="87" t="s">
        <v>319</v>
      </c>
      <c r="AW217" s="87">
        <v>275</v>
      </c>
      <c r="AX217" s="87">
        <v>1</v>
      </c>
      <c r="AY217" s="87">
        <v>1</v>
      </c>
      <c r="AZ217" s="87">
        <f t="shared" si="169"/>
        <v>3</v>
      </c>
      <c r="BA217" s="14">
        <f t="shared" si="170"/>
        <v>2.75E-2</v>
      </c>
      <c r="BB217" s="14">
        <f t="shared" si="171"/>
        <v>3.85</v>
      </c>
      <c r="GY217" s="91">
        <v>211</v>
      </c>
      <c r="GZ217" s="14">
        <f t="shared" si="172"/>
        <v>14</v>
      </c>
      <c r="HA217" s="14">
        <f t="shared" si="173"/>
        <v>3</v>
      </c>
      <c r="HB217" s="14">
        <f t="shared" si="174"/>
        <v>4</v>
      </c>
      <c r="HC217" s="14">
        <f t="shared" si="175"/>
        <v>0.9</v>
      </c>
      <c r="HD217" s="14">
        <f t="shared" si="176"/>
        <v>1606016</v>
      </c>
      <c r="HE217" s="14" t="str">
        <f t="shared" si="177"/>
        <v>神器3-6 : 1级</v>
      </c>
      <c r="HF217" s="14" t="s">
        <v>800</v>
      </c>
      <c r="HG217" s="14">
        <f t="shared" si="178"/>
        <v>1</v>
      </c>
      <c r="HH217" s="14" t="str">
        <f t="shared" si="179"/>
        <v>神器3-6</v>
      </c>
      <c r="HI217" s="14">
        <f t="shared" si="180"/>
        <v>1</v>
      </c>
      <c r="HJ217" s="14" t="s">
        <v>1595</v>
      </c>
      <c r="HK217" s="14">
        <f t="shared" si="181"/>
        <v>8700</v>
      </c>
    </row>
    <row r="218" spans="41:219" ht="16.5" x14ac:dyDescent="0.2">
      <c r="AO218" s="87">
        <v>7</v>
      </c>
      <c r="AP218" s="87">
        <v>1</v>
      </c>
      <c r="AQ218" s="87">
        <v>55</v>
      </c>
      <c r="AR218" s="144">
        <f t="shared" si="167"/>
        <v>4455</v>
      </c>
      <c r="AS218" s="144" t="s">
        <v>1258</v>
      </c>
      <c r="AT218" s="144" t="str">
        <f t="shared" si="168"/>
        <v>神器本-7-普通-1  神器3-6</v>
      </c>
      <c r="AU218" s="87">
        <v>14</v>
      </c>
      <c r="AV218" s="87" t="s">
        <v>320</v>
      </c>
      <c r="AW218" s="87">
        <v>138</v>
      </c>
      <c r="AX218" s="87">
        <v>1</v>
      </c>
      <c r="AY218" s="87">
        <v>1</v>
      </c>
      <c r="AZ218" s="87">
        <f t="shared" si="169"/>
        <v>4</v>
      </c>
      <c r="BA218" s="14">
        <f t="shared" si="170"/>
        <v>1.38E-2</v>
      </c>
      <c r="BB218" s="14">
        <f t="shared" si="171"/>
        <v>4.1399999999999997</v>
      </c>
      <c r="GY218" s="91">
        <v>212</v>
      </c>
      <c r="GZ218" s="14">
        <f t="shared" si="172"/>
        <v>14</v>
      </c>
      <c r="HA218" s="14">
        <f t="shared" si="173"/>
        <v>3</v>
      </c>
      <c r="HB218" s="14">
        <f t="shared" si="174"/>
        <v>4</v>
      </c>
      <c r="HC218" s="14">
        <f t="shared" si="175"/>
        <v>0.93300000000000005</v>
      </c>
      <c r="HD218" s="14">
        <f t="shared" si="176"/>
        <v>1606016</v>
      </c>
      <c r="HE218" s="14" t="str">
        <f t="shared" si="177"/>
        <v>神器3-6 : 2级</v>
      </c>
      <c r="HF218" s="14" t="s">
        <v>800</v>
      </c>
      <c r="HG218" s="14">
        <f t="shared" si="178"/>
        <v>2</v>
      </c>
      <c r="HH218" s="14" t="str">
        <f t="shared" si="179"/>
        <v>神器3-6</v>
      </c>
      <c r="HI218" s="14">
        <f t="shared" si="180"/>
        <v>1</v>
      </c>
      <c r="HJ218" s="14" t="s">
        <v>1595</v>
      </c>
      <c r="HK218" s="14">
        <f t="shared" si="181"/>
        <v>9050</v>
      </c>
    </row>
    <row r="219" spans="41:219" ht="16.5" x14ac:dyDescent="0.2">
      <c r="AO219" s="87">
        <v>7</v>
      </c>
      <c r="AP219" s="87">
        <v>1</v>
      </c>
      <c r="AQ219" s="87">
        <v>55</v>
      </c>
      <c r="AR219" s="144">
        <f t="shared" si="167"/>
        <v>4455</v>
      </c>
      <c r="AS219" s="144" t="s">
        <v>1258</v>
      </c>
      <c r="AT219" s="144" t="str">
        <f t="shared" si="168"/>
        <v>神器本-7-普通-1  神器4-1</v>
      </c>
      <c r="AU219" s="87">
        <v>15</v>
      </c>
      <c r="AV219" s="87" t="s">
        <v>321</v>
      </c>
      <c r="AW219" s="87">
        <v>700</v>
      </c>
      <c r="AX219" s="87">
        <v>1</v>
      </c>
      <c r="AY219" s="87">
        <v>1</v>
      </c>
      <c r="AZ219" s="87">
        <f t="shared" si="169"/>
        <v>1</v>
      </c>
      <c r="BA219" s="14">
        <f t="shared" si="170"/>
        <v>7.0000000000000007E-2</v>
      </c>
      <c r="BB219" s="14">
        <f t="shared" si="171"/>
        <v>1.7500000000000002</v>
      </c>
      <c r="GY219" s="91">
        <v>213</v>
      </c>
      <c r="GZ219" s="14">
        <f t="shared" si="172"/>
        <v>14</v>
      </c>
      <c r="HA219" s="14">
        <f t="shared" si="173"/>
        <v>3</v>
      </c>
      <c r="HB219" s="14">
        <f t="shared" si="174"/>
        <v>4</v>
      </c>
      <c r="HC219" s="14">
        <f t="shared" si="175"/>
        <v>0.96399999999999997</v>
      </c>
      <c r="HD219" s="14">
        <f t="shared" si="176"/>
        <v>1606016</v>
      </c>
      <c r="HE219" s="14" t="str">
        <f t="shared" si="177"/>
        <v>神器3-6 : 3级</v>
      </c>
      <c r="HF219" s="14" t="s">
        <v>800</v>
      </c>
      <c r="HG219" s="14">
        <f t="shared" si="178"/>
        <v>3</v>
      </c>
      <c r="HH219" s="14" t="str">
        <f t="shared" si="179"/>
        <v>神器3-6</v>
      </c>
      <c r="HI219" s="14">
        <f t="shared" si="180"/>
        <v>1</v>
      </c>
      <c r="HJ219" s="14" t="s">
        <v>1595</v>
      </c>
      <c r="HK219" s="14">
        <f t="shared" si="181"/>
        <v>9350</v>
      </c>
    </row>
    <row r="220" spans="41:219" ht="16.5" x14ac:dyDescent="0.2">
      <c r="AO220" s="87">
        <v>7</v>
      </c>
      <c r="AP220" s="87">
        <v>1</v>
      </c>
      <c r="AQ220" s="87">
        <v>55</v>
      </c>
      <c r="AR220" s="144">
        <f t="shared" si="167"/>
        <v>4455</v>
      </c>
      <c r="AS220" s="144" t="s">
        <v>1258</v>
      </c>
      <c r="AT220" s="144" t="str">
        <f t="shared" si="168"/>
        <v>神器本-7-普通-1  神器4-2</v>
      </c>
      <c r="AU220" s="87">
        <v>16</v>
      </c>
      <c r="AV220" s="87" t="s">
        <v>322</v>
      </c>
      <c r="AW220" s="87">
        <v>700</v>
      </c>
      <c r="AX220" s="87">
        <v>1</v>
      </c>
      <c r="AY220" s="87">
        <v>1</v>
      </c>
      <c r="AZ220" s="87">
        <f t="shared" si="169"/>
        <v>1</v>
      </c>
      <c r="BA220" s="14">
        <f t="shared" si="170"/>
        <v>7.0000000000000007E-2</v>
      </c>
      <c r="BB220" s="14">
        <f t="shared" si="171"/>
        <v>1.7500000000000002</v>
      </c>
      <c r="GY220" s="91">
        <v>214</v>
      </c>
      <c r="GZ220" s="14">
        <f t="shared" si="172"/>
        <v>14</v>
      </c>
      <c r="HA220" s="14">
        <f t="shared" si="173"/>
        <v>3</v>
      </c>
      <c r="HB220" s="14">
        <f t="shared" si="174"/>
        <v>4</v>
      </c>
      <c r="HC220" s="14">
        <f t="shared" si="175"/>
        <v>0.995</v>
      </c>
      <c r="HD220" s="14">
        <f t="shared" si="176"/>
        <v>1606016</v>
      </c>
      <c r="HE220" s="14" t="str">
        <f t="shared" si="177"/>
        <v>神器3-6 : 4级</v>
      </c>
      <c r="HF220" s="14" t="s">
        <v>800</v>
      </c>
      <c r="HG220" s="14">
        <f t="shared" si="178"/>
        <v>4</v>
      </c>
      <c r="HH220" s="14" t="str">
        <f t="shared" si="179"/>
        <v>神器3-6</v>
      </c>
      <c r="HI220" s="14">
        <f t="shared" si="180"/>
        <v>2</v>
      </c>
      <c r="HJ220" s="14" t="s">
        <v>1595</v>
      </c>
      <c r="HK220" s="14">
        <f t="shared" si="181"/>
        <v>9650</v>
      </c>
    </row>
    <row r="221" spans="41:219" ht="16.5" x14ac:dyDescent="0.2">
      <c r="AO221" s="87">
        <v>7</v>
      </c>
      <c r="AP221" s="87">
        <v>1</v>
      </c>
      <c r="AQ221" s="87">
        <v>55</v>
      </c>
      <c r="AR221" s="144">
        <f t="shared" si="167"/>
        <v>4455</v>
      </c>
      <c r="AS221" s="144" t="s">
        <v>1258</v>
      </c>
      <c r="AT221" s="144" t="str">
        <f t="shared" si="168"/>
        <v>神器本-7-普通-1  神器4-3</v>
      </c>
      <c r="AU221" s="87">
        <v>17</v>
      </c>
      <c r="AV221" s="87" t="s">
        <v>323</v>
      </c>
      <c r="AW221" s="87">
        <v>414</v>
      </c>
      <c r="AX221" s="87">
        <v>1</v>
      </c>
      <c r="AY221" s="87">
        <v>1</v>
      </c>
      <c r="AZ221" s="87">
        <f t="shared" si="169"/>
        <v>2</v>
      </c>
      <c r="BA221" s="14">
        <f t="shared" si="170"/>
        <v>4.1399999999999999E-2</v>
      </c>
      <c r="BB221" s="14">
        <f t="shared" si="171"/>
        <v>3.105</v>
      </c>
      <c r="GY221" s="91">
        <v>215</v>
      </c>
      <c r="GZ221" s="14">
        <f t="shared" si="172"/>
        <v>14</v>
      </c>
      <c r="HA221" s="14">
        <f t="shared" si="173"/>
        <v>3</v>
      </c>
      <c r="HB221" s="14">
        <f t="shared" si="174"/>
        <v>4</v>
      </c>
      <c r="HC221" s="14">
        <f t="shared" si="175"/>
        <v>1.0249999999999999</v>
      </c>
      <c r="HD221" s="14">
        <f t="shared" si="176"/>
        <v>1606016</v>
      </c>
      <c r="HE221" s="14" t="str">
        <f t="shared" si="177"/>
        <v>神器3-6 : 5级</v>
      </c>
      <c r="HF221" s="14" t="s">
        <v>800</v>
      </c>
      <c r="HG221" s="14">
        <f t="shared" si="178"/>
        <v>5</v>
      </c>
      <c r="HH221" s="14" t="str">
        <f t="shared" si="179"/>
        <v>神器3-6</v>
      </c>
      <c r="HI221" s="14">
        <f t="shared" si="180"/>
        <v>2</v>
      </c>
      <c r="HJ221" s="14" t="s">
        <v>1595</v>
      </c>
      <c r="HK221" s="14">
        <f t="shared" si="181"/>
        <v>9900</v>
      </c>
    </row>
    <row r="222" spans="41:219" ht="16.5" x14ac:dyDescent="0.2">
      <c r="AO222" s="87">
        <v>7</v>
      </c>
      <c r="AP222" s="87">
        <v>1</v>
      </c>
      <c r="AQ222" s="87">
        <v>55</v>
      </c>
      <c r="AR222" s="144">
        <f t="shared" si="167"/>
        <v>4455</v>
      </c>
      <c r="AS222" s="144" t="s">
        <v>1258</v>
      </c>
      <c r="AT222" s="144" t="str">
        <f t="shared" si="168"/>
        <v>神器本-7-普通-1  神器4-4</v>
      </c>
      <c r="AU222" s="87">
        <v>18</v>
      </c>
      <c r="AV222" s="87" t="s">
        <v>324</v>
      </c>
      <c r="AW222" s="87">
        <v>414</v>
      </c>
      <c r="AX222" s="87">
        <v>1</v>
      </c>
      <c r="AY222" s="87">
        <v>1</v>
      </c>
      <c r="AZ222" s="87">
        <f t="shared" si="169"/>
        <v>2</v>
      </c>
      <c r="BA222" s="14">
        <f t="shared" si="170"/>
        <v>4.1399999999999999E-2</v>
      </c>
      <c r="BB222" s="14">
        <f t="shared" si="171"/>
        <v>3.105</v>
      </c>
      <c r="GY222" s="91">
        <v>216</v>
      </c>
      <c r="GZ222" s="14">
        <f t="shared" si="172"/>
        <v>14</v>
      </c>
      <c r="HA222" s="14">
        <f t="shared" si="173"/>
        <v>3</v>
      </c>
      <c r="HB222" s="14">
        <f t="shared" si="174"/>
        <v>4</v>
      </c>
      <c r="HC222" s="14">
        <f t="shared" si="175"/>
        <v>1.054</v>
      </c>
      <c r="HD222" s="14">
        <f t="shared" si="176"/>
        <v>1606016</v>
      </c>
      <c r="HE222" s="14" t="str">
        <f t="shared" si="177"/>
        <v>神器3-6 : 6级</v>
      </c>
      <c r="HF222" s="14" t="s">
        <v>800</v>
      </c>
      <c r="HG222" s="14">
        <f t="shared" si="178"/>
        <v>6</v>
      </c>
      <c r="HH222" s="14" t="str">
        <f t="shared" si="179"/>
        <v>神器3-6</v>
      </c>
      <c r="HI222" s="14">
        <f t="shared" si="180"/>
        <v>2</v>
      </c>
      <c r="HJ222" s="14" t="s">
        <v>1595</v>
      </c>
      <c r="HK222" s="14">
        <f t="shared" si="181"/>
        <v>10200</v>
      </c>
    </row>
    <row r="223" spans="41:219" ht="16.5" x14ac:dyDescent="0.2">
      <c r="AO223" s="87">
        <v>7</v>
      </c>
      <c r="AP223" s="87">
        <v>1</v>
      </c>
      <c r="AQ223" s="87">
        <v>55</v>
      </c>
      <c r="AR223" s="144">
        <f t="shared" si="167"/>
        <v>4455</v>
      </c>
      <c r="AS223" s="144" t="s">
        <v>1258</v>
      </c>
      <c r="AT223" s="144" t="str">
        <f t="shared" si="168"/>
        <v>神器本-7-普通-1  神器4-5</v>
      </c>
      <c r="AU223" s="87">
        <v>19</v>
      </c>
      <c r="AV223" s="87" t="s">
        <v>325</v>
      </c>
      <c r="AW223" s="87">
        <v>275</v>
      </c>
      <c r="AX223" s="87">
        <v>1</v>
      </c>
      <c r="AY223" s="87">
        <v>1</v>
      </c>
      <c r="AZ223" s="87">
        <f t="shared" si="169"/>
        <v>3</v>
      </c>
      <c r="BA223" s="14">
        <f t="shared" si="170"/>
        <v>2.75E-2</v>
      </c>
      <c r="BB223" s="14">
        <f t="shared" si="171"/>
        <v>4.8125</v>
      </c>
      <c r="GY223" s="91">
        <v>217</v>
      </c>
      <c r="GZ223" s="14">
        <f t="shared" si="172"/>
        <v>14</v>
      </c>
      <c r="HA223" s="14">
        <f t="shared" si="173"/>
        <v>3</v>
      </c>
      <c r="HB223" s="14">
        <f t="shared" si="174"/>
        <v>4</v>
      </c>
      <c r="HC223" s="14">
        <f t="shared" si="175"/>
        <v>1.0820000000000001</v>
      </c>
      <c r="HD223" s="14">
        <f t="shared" si="176"/>
        <v>1606016</v>
      </c>
      <c r="HE223" s="14" t="str">
        <f t="shared" si="177"/>
        <v>神器3-6 : 7级</v>
      </c>
      <c r="HF223" s="14" t="s">
        <v>800</v>
      </c>
      <c r="HG223" s="14">
        <f t="shared" si="178"/>
        <v>7</v>
      </c>
      <c r="HH223" s="14" t="str">
        <f t="shared" si="179"/>
        <v>神器3-6</v>
      </c>
      <c r="HI223" s="14">
        <f t="shared" si="180"/>
        <v>3</v>
      </c>
      <c r="HJ223" s="14" t="s">
        <v>1595</v>
      </c>
      <c r="HK223" s="14">
        <f t="shared" si="181"/>
        <v>10450</v>
      </c>
    </row>
    <row r="224" spans="41:219" ht="16.5" x14ac:dyDescent="0.2">
      <c r="AO224" s="87">
        <v>7</v>
      </c>
      <c r="AP224" s="87">
        <v>1</v>
      </c>
      <c r="AQ224" s="87">
        <v>55</v>
      </c>
      <c r="AR224" s="144">
        <f t="shared" si="167"/>
        <v>4455</v>
      </c>
      <c r="AS224" s="144" t="s">
        <v>1258</v>
      </c>
      <c r="AT224" s="144" t="str">
        <f t="shared" si="168"/>
        <v>神器本-7-普通-1  神器4-6</v>
      </c>
      <c r="AU224" s="87">
        <v>20</v>
      </c>
      <c r="AV224" s="87" t="s">
        <v>326</v>
      </c>
      <c r="AW224" s="87">
        <v>138</v>
      </c>
      <c r="AX224" s="87">
        <v>1</v>
      </c>
      <c r="AY224" s="87">
        <v>1</v>
      </c>
      <c r="AZ224" s="87">
        <f t="shared" si="169"/>
        <v>4</v>
      </c>
      <c r="BA224" s="14">
        <f t="shared" si="170"/>
        <v>1.38E-2</v>
      </c>
      <c r="BB224" s="14">
        <f t="shared" si="171"/>
        <v>5.1749999999999998</v>
      </c>
      <c r="GY224" s="91">
        <v>218</v>
      </c>
      <c r="GZ224" s="14">
        <f t="shared" si="172"/>
        <v>14</v>
      </c>
      <c r="HA224" s="14">
        <f t="shared" si="173"/>
        <v>3</v>
      </c>
      <c r="HB224" s="14">
        <f t="shared" si="174"/>
        <v>4</v>
      </c>
      <c r="HC224" s="14">
        <f t="shared" si="175"/>
        <v>1.109</v>
      </c>
      <c r="HD224" s="14">
        <f t="shared" si="176"/>
        <v>1606016</v>
      </c>
      <c r="HE224" s="14" t="str">
        <f t="shared" si="177"/>
        <v>神器3-6 : 8级</v>
      </c>
      <c r="HF224" s="14" t="s">
        <v>800</v>
      </c>
      <c r="HG224" s="14">
        <f t="shared" si="178"/>
        <v>8</v>
      </c>
      <c r="HH224" s="14" t="str">
        <f t="shared" si="179"/>
        <v>神器3-6</v>
      </c>
      <c r="HI224" s="14">
        <f t="shared" si="180"/>
        <v>3</v>
      </c>
      <c r="HJ224" s="14" t="s">
        <v>1595</v>
      </c>
      <c r="HK224" s="14">
        <f t="shared" si="181"/>
        <v>10750</v>
      </c>
    </row>
    <row r="225" spans="41:219" ht="16.5" x14ac:dyDescent="0.2">
      <c r="AO225" s="87">
        <v>7</v>
      </c>
      <c r="AP225" s="87">
        <v>1</v>
      </c>
      <c r="AQ225" s="87">
        <v>55</v>
      </c>
      <c r="AR225" s="144">
        <f t="shared" si="167"/>
        <v>4455</v>
      </c>
      <c r="AS225" s="144" t="s">
        <v>1258</v>
      </c>
      <c r="AT225" s="144" t="str">
        <f t="shared" si="168"/>
        <v>神器本-7-普通-1  神器5-1</v>
      </c>
      <c r="AU225" s="87">
        <v>21</v>
      </c>
      <c r="AV225" s="87" t="s">
        <v>327</v>
      </c>
      <c r="AW225" s="87">
        <v>700</v>
      </c>
      <c r="AX225" s="87">
        <v>1</v>
      </c>
      <c r="AY225" s="87">
        <v>1</v>
      </c>
      <c r="AZ225" s="87">
        <f t="shared" si="169"/>
        <v>1</v>
      </c>
      <c r="BA225" s="14">
        <f t="shared" si="170"/>
        <v>7.0000000000000007E-2</v>
      </c>
      <c r="BB225" s="14">
        <f t="shared" si="171"/>
        <v>2.1</v>
      </c>
      <c r="GY225" s="91">
        <v>219</v>
      </c>
      <c r="GZ225" s="14">
        <f t="shared" si="172"/>
        <v>14</v>
      </c>
      <c r="HA225" s="14">
        <f t="shared" si="173"/>
        <v>3</v>
      </c>
      <c r="HB225" s="14">
        <f t="shared" si="174"/>
        <v>4</v>
      </c>
      <c r="HC225" s="14">
        <f t="shared" si="175"/>
        <v>1.1359999999999999</v>
      </c>
      <c r="HD225" s="14">
        <f t="shared" si="176"/>
        <v>1606016</v>
      </c>
      <c r="HE225" s="14" t="str">
        <f t="shared" si="177"/>
        <v>神器3-6 : 9级</v>
      </c>
      <c r="HF225" s="14" t="s">
        <v>800</v>
      </c>
      <c r="HG225" s="14">
        <f t="shared" si="178"/>
        <v>9</v>
      </c>
      <c r="HH225" s="14" t="str">
        <f t="shared" si="179"/>
        <v>神器3-6</v>
      </c>
      <c r="HI225" s="14">
        <f t="shared" si="180"/>
        <v>3</v>
      </c>
      <c r="HJ225" s="14" t="s">
        <v>1595</v>
      </c>
      <c r="HK225" s="14">
        <f t="shared" si="181"/>
        <v>11000</v>
      </c>
    </row>
    <row r="226" spans="41:219" ht="16.5" x14ac:dyDescent="0.2">
      <c r="AO226" s="87">
        <v>7</v>
      </c>
      <c r="AP226" s="87">
        <v>1</v>
      </c>
      <c r="AQ226" s="87">
        <v>55</v>
      </c>
      <c r="AR226" s="144">
        <f t="shared" si="167"/>
        <v>4455</v>
      </c>
      <c r="AS226" s="144" t="s">
        <v>1258</v>
      </c>
      <c r="AT226" s="144" t="str">
        <f t="shared" si="168"/>
        <v>神器本-7-普通-1  神器5-2</v>
      </c>
      <c r="AU226" s="87">
        <v>22</v>
      </c>
      <c r="AV226" s="87" t="s">
        <v>328</v>
      </c>
      <c r="AW226" s="87">
        <v>700</v>
      </c>
      <c r="AX226" s="87">
        <v>1</v>
      </c>
      <c r="AY226" s="87">
        <v>1</v>
      </c>
      <c r="AZ226" s="87">
        <f t="shared" si="169"/>
        <v>1</v>
      </c>
      <c r="BA226" s="14">
        <f t="shared" si="170"/>
        <v>7.0000000000000007E-2</v>
      </c>
      <c r="BB226" s="14">
        <f t="shared" si="171"/>
        <v>2.1</v>
      </c>
      <c r="GY226" s="91">
        <v>220</v>
      </c>
      <c r="GZ226" s="14">
        <f t="shared" si="172"/>
        <v>14</v>
      </c>
      <c r="HA226" s="14">
        <f t="shared" si="173"/>
        <v>3</v>
      </c>
      <c r="HB226" s="14">
        <f t="shared" si="174"/>
        <v>4</v>
      </c>
      <c r="HC226" s="14">
        <f t="shared" si="175"/>
        <v>1.1619999999999999</v>
      </c>
      <c r="HD226" s="14">
        <f t="shared" si="176"/>
        <v>1606016</v>
      </c>
      <c r="HE226" s="14" t="str">
        <f t="shared" si="177"/>
        <v>神器3-6 : 10级</v>
      </c>
      <c r="HF226" s="14" t="s">
        <v>800</v>
      </c>
      <c r="HG226" s="14">
        <f t="shared" si="178"/>
        <v>10</v>
      </c>
      <c r="HH226" s="14" t="str">
        <f t="shared" si="179"/>
        <v>神器3-6</v>
      </c>
      <c r="HI226" s="14">
        <f t="shared" si="180"/>
        <v>5</v>
      </c>
      <c r="HJ226" s="14" t="s">
        <v>1595</v>
      </c>
      <c r="HK226" s="14">
        <f t="shared" si="181"/>
        <v>11250</v>
      </c>
    </row>
    <row r="227" spans="41:219" ht="16.5" x14ac:dyDescent="0.2">
      <c r="AO227" s="87">
        <v>7</v>
      </c>
      <c r="AP227" s="87">
        <v>1</v>
      </c>
      <c r="AQ227" s="87">
        <v>55</v>
      </c>
      <c r="AR227" s="144">
        <f t="shared" si="167"/>
        <v>4455</v>
      </c>
      <c r="AS227" s="144" t="s">
        <v>1258</v>
      </c>
      <c r="AT227" s="144" t="str">
        <f t="shared" si="168"/>
        <v>神器本-7-普通-1  神器5-3</v>
      </c>
      <c r="AU227" s="87">
        <v>23</v>
      </c>
      <c r="AV227" s="87" t="s">
        <v>329</v>
      </c>
      <c r="AW227" s="87">
        <v>414</v>
      </c>
      <c r="AX227" s="87">
        <v>1</v>
      </c>
      <c r="AY227" s="87">
        <v>1</v>
      </c>
      <c r="AZ227" s="87">
        <f t="shared" si="169"/>
        <v>2</v>
      </c>
      <c r="BA227" s="14">
        <f t="shared" si="170"/>
        <v>4.1399999999999999E-2</v>
      </c>
      <c r="BB227" s="14">
        <f t="shared" si="171"/>
        <v>3.726</v>
      </c>
      <c r="GY227" s="91">
        <v>221</v>
      </c>
      <c r="GZ227" s="14">
        <f t="shared" si="172"/>
        <v>14</v>
      </c>
      <c r="HA227" s="14">
        <f t="shared" si="173"/>
        <v>3</v>
      </c>
      <c r="HB227" s="14">
        <f t="shared" si="174"/>
        <v>4</v>
      </c>
      <c r="HC227" s="14">
        <f t="shared" si="175"/>
        <v>1.1870000000000001</v>
      </c>
      <c r="HD227" s="14">
        <f t="shared" si="176"/>
        <v>1606016</v>
      </c>
      <c r="HE227" s="14" t="str">
        <f t="shared" si="177"/>
        <v>神器3-6 : 11级</v>
      </c>
      <c r="HF227" s="14" t="s">
        <v>800</v>
      </c>
      <c r="HG227" s="14">
        <f t="shared" si="178"/>
        <v>11</v>
      </c>
      <c r="HH227" s="14" t="str">
        <f t="shared" si="179"/>
        <v>神器3-6</v>
      </c>
      <c r="HI227" s="14">
        <f t="shared" si="180"/>
        <v>5</v>
      </c>
      <c r="HJ227" s="14" t="s">
        <v>1595</v>
      </c>
      <c r="HK227" s="14">
        <f t="shared" si="181"/>
        <v>11500</v>
      </c>
    </row>
    <row r="228" spans="41:219" ht="16.5" x14ac:dyDescent="0.2">
      <c r="AO228" s="87">
        <v>7</v>
      </c>
      <c r="AP228" s="87">
        <v>1</v>
      </c>
      <c r="AQ228" s="87">
        <v>55</v>
      </c>
      <c r="AR228" s="144">
        <f t="shared" si="167"/>
        <v>4455</v>
      </c>
      <c r="AS228" s="144" t="s">
        <v>1258</v>
      </c>
      <c r="AT228" s="144" t="str">
        <f t="shared" si="168"/>
        <v>神器本-7-普通-1  神器5-4</v>
      </c>
      <c r="AU228" s="87">
        <v>24</v>
      </c>
      <c r="AV228" s="87" t="s">
        <v>330</v>
      </c>
      <c r="AW228" s="87">
        <v>414</v>
      </c>
      <c r="AX228" s="87">
        <v>1</v>
      </c>
      <c r="AY228" s="87">
        <v>1</v>
      </c>
      <c r="AZ228" s="87">
        <f t="shared" si="169"/>
        <v>2</v>
      </c>
      <c r="BA228" s="14">
        <f t="shared" si="170"/>
        <v>4.1399999999999999E-2</v>
      </c>
      <c r="BB228" s="14">
        <f t="shared" si="171"/>
        <v>3.726</v>
      </c>
      <c r="GY228" s="91">
        <v>222</v>
      </c>
      <c r="GZ228" s="14">
        <f t="shared" si="172"/>
        <v>14</v>
      </c>
      <c r="HA228" s="14">
        <f t="shared" si="173"/>
        <v>3</v>
      </c>
      <c r="HB228" s="14">
        <f t="shared" si="174"/>
        <v>4</v>
      </c>
      <c r="HC228" s="14">
        <f t="shared" si="175"/>
        <v>1.212</v>
      </c>
      <c r="HD228" s="14">
        <f t="shared" si="176"/>
        <v>1606016</v>
      </c>
      <c r="HE228" s="14" t="str">
        <f t="shared" si="177"/>
        <v>神器3-6 : 12级</v>
      </c>
      <c r="HF228" s="14" t="s">
        <v>800</v>
      </c>
      <c r="HG228" s="14">
        <f t="shared" si="178"/>
        <v>12</v>
      </c>
      <c r="HH228" s="14" t="str">
        <f t="shared" si="179"/>
        <v>神器3-6</v>
      </c>
      <c r="HI228" s="14">
        <f t="shared" si="180"/>
        <v>6</v>
      </c>
      <c r="HJ228" s="14" t="s">
        <v>1595</v>
      </c>
      <c r="HK228" s="14">
        <f t="shared" si="181"/>
        <v>11750</v>
      </c>
    </row>
    <row r="229" spans="41:219" ht="16.5" x14ac:dyDescent="0.2">
      <c r="AO229" s="87">
        <v>7</v>
      </c>
      <c r="AP229" s="87">
        <v>1</v>
      </c>
      <c r="AQ229" s="87">
        <v>55</v>
      </c>
      <c r="AR229" s="144">
        <f t="shared" si="167"/>
        <v>4455</v>
      </c>
      <c r="AS229" s="144" t="s">
        <v>1258</v>
      </c>
      <c r="AT229" s="144" t="str">
        <f t="shared" si="168"/>
        <v>神器本-7-普通-1  神器5-5</v>
      </c>
      <c r="AU229" s="87">
        <v>25</v>
      </c>
      <c r="AV229" s="87" t="s">
        <v>331</v>
      </c>
      <c r="AW229" s="87">
        <v>275</v>
      </c>
      <c r="AX229" s="87">
        <v>1</v>
      </c>
      <c r="AY229" s="87">
        <v>1</v>
      </c>
      <c r="AZ229" s="87">
        <f t="shared" si="169"/>
        <v>3</v>
      </c>
      <c r="BA229" s="14">
        <f t="shared" si="170"/>
        <v>2.75E-2</v>
      </c>
      <c r="BB229" s="14">
        <f t="shared" si="171"/>
        <v>5.7750000000000004</v>
      </c>
      <c r="GY229" s="91">
        <v>223</v>
      </c>
      <c r="GZ229" s="14">
        <f t="shared" si="172"/>
        <v>14</v>
      </c>
      <c r="HA229" s="14">
        <f t="shared" si="173"/>
        <v>3</v>
      </c>
      <c r="HB229" s="14">
        <f t="shared" si="174"/>
        <v>4</v>
      </c>
      <c r="HC229" s="14">
        <f t="shared" si="175"/>
        <v>1.2370000000000001</v>
      </c>
      <c r="HD229" s="14">
        <f t="shared" si="176"/>
        <v>1606016</v>
      </c>
      <c r="HE229" s="14" t="str">
        <f t="shared" si="177"/>
        <v>神器3-6 : 13级</v>
      </c>
      <c r="HF229" s="14" t="s">
        <v>800</v>
      </c>
      <c r="HG229" s="14">
        <f t="shared" si="178"/>
        <v>13</v>
      </c>
      <c r="HH229" s="14" t="str">
        <f t="shared" si="179"/>
        <v>神器3-6</v>
      </c>
      <c r="HI229" s="14">
        <f t="shared" si="180"/>
        <v>7</v>
      </c>
      <c r="HJ229" s="14" t="s">
        <v>1595</v>
      </c>
      <c r="HK229" s="14">
        <f t="shared" si="181"/>
        <v>11950</v>
      </c>
    </row>
    <row r="230" spans="41:219" ht="16.5" x14ac:dyDescent="0.2">
      <c r="AO230" s="87">
        <v>7</v>
      </c>
      <c r="AP230" s="87">
        <v>1</v>
      </c>
      <c r="AQ230" s="87">
        <v>55</v>
      </c>
      <c r="AR230" s="144">
        <f t="shared" si="167"/>
        <v>4455</v>
      </c>
      <c r="AS230" s="144" t="s">
        <v>1258</v>
      </c>
      <c r="AT230" s="144" t="str">
        <f t="shared" si="168"/>
        <v>神器本-7-普通-1  神器5-6</v>
      </c>
      <c r="AU230" s="87">
        <v>26</v>
      </c>
      <c r="AV230" s="87" t="s">
        <v>332</v>
      </c>
      <c r="AW230" s="87">
        <v>139</v>
      </c>
      <c r="AX230" s="87">
        <v>1</v>
      </c>
      <c r="AY230" s="87">
        <v>1</v>
      </c>
      <c r="AZ230" s="87">
        <f t="shared" si="169"/>
        <v>4</v>
      </c>
      <c r="BA230" s="14">
        <f t="shared" si="170"/>
        <v>1.3899999999999999E-2</v>
      </c>
      <c r="BB230" s="14">
        <f t="shared" si="171"/>
        <v>6.2549999999999999</v>
      </c>
      <c r="GY230" s="91">
        <v>224</v>
      </c>
      <c r="GZ230" s="14">
        <f t="shared" si="172"/>
        <v>14</v>
      </c>
      <c r="HA230" s="14">
        <f t="shared" si="173"/>
        <v>3</v>
      </c>
      <c r="HB230" s="14">
        <f t="shared" si="174"/>
        <v>4</v>
      </c>
      <c r="HC230" s="14">
        <f t="shared" si="175"/>
        <v>1.2609999999999999</v>
      </c>
      <c r="HD230" s="14">
        <f t="shared" si="176"/>
        <v>1606016</v>
      </c>
      <c r="HE230" s="14" t="str">
        <f t="shared" si="177"/>
        <v>神器3-6 : 14级</v>
      </c>
      <c r="HF230" s="14" t="s">
        <v>800</v>
      </c>
      <c r="HG230" s="14">
        <f t="shared" si="178"/>
        <v>14</v>
      </c>
      <c r="HH230" s="14" t="str">
        <f t="shared" si="179"/>
        <v>神器3-6</v>
      </c>
      <c r="HI230" s="14">
        <f t="shared" si="180"/>
        <v>7</v>
      </c>
      <c r="HJ230" s="14" t="s">
        <v>1595</v>
      </c>
      <c r="HK230" s="14">
        <f t="shared" si="181"/>
        <v>12200</v>
      </c>
    </row>
    <row r="231" spans="41:219" ht="16.5" x14ac:dyDescent="0.2">
      <c r="AO231" s="87">
        <v>7</v>
      </c>
      <c r="AP231" s="87">
        <v>1</v>
      </c>
      <c r="AQ231" s="87">
        <v>55</v>
      </c>
      <c r="AR231" s="144">
        <f t="shared" si="167"/>
        <v>4455</v>
      </c>
      <c r="AS231" s="144" t="s">
        <v>1258</v>
      </c>
      <c r="AT231" s="144" t="str">
        <f t="shared" si="168"/>
        <v>神器本-7-普通-1  神器6-1</v>
      </c>
      <c r="AU231" s="87">
        <v>27</v>
      </c>
      <c r="AV231" s="87" t="s">
        <v>786</v>
      </c>
      <c r="AW231" s="87">
        <v>416</v>
      </c>
      <c r="AX231" s="87">
        <v>1</v>
      </c>
      <c r="AY231" s="87">
        <v>1</v>
      </c>
      <c r="AZ231" s="87">
        <f t="shared" si="169"/>
        <v>2</v>
      </c>
      <c r="BA231" s="14">
        <f t="shared" ref="BA231:BA236" si="182">(AX231+AY231)/2*AW231/10000</f>
        <v>4.1599999999999998E-2</v>
      </c>
      <c r="BB231" s="14">
        <f t="shared" ref="BB231:BB236" si="183">(AX231+AY231)/2*AW231/10000*INDEX($AL$7:$AL$48,AU231)</f>
        <v>4.992</v>
      </c>
      <c r="GY231" s="91">
        <v>225</v>
      </c>
      <c r="GZ231" s="14">
        <f t="shared" si="172"/>
        <v>14</v>
      </c>
      <c r="HA231" s="14">
        <f t="shared" si="173"/>
        <v>3</v>
      </c>
      <c r="HB231" s="14">
        <f t="shared" si="174"/>
        <v>4</v>
      </c>
      <c r="HC231" s="14">
        <f t="shared" si="175"/>
        <v>1.2849999999999999</v>
      </c>
      <c r="HD231" s="14">
        <f t="shared" si="176"/>
        <v>1606016</v>
      </c>
      <c r="HE231" s="14" t="str">
        <f t="shared" si="177"/>
        <v>神器3-6 : 15级</v>
      </c>
      <c r="HF231" s="14" t="s">
        <v>800</v>
      </c>
      <c r="HG231" s="14">
        <f t="shared" si="178"/>
        <v>15</v>
      </c>
      <c r="HH231" s="14" t="str">
        <f t="shared" si="179"/>
        <v>神器3-6</v>
      </c>
      <c r="HI231" s="14">
        <f t="shared" si="180"/>
        <v>7</v>
      </c>
      <c r="HJ231" s="14" t="s">
        <v>1595</v>
      </c>
      <c r="HK231" s="14">
        <f t="shared" si="181"/>
        <v>12450</v>
      </c>
    </row>
    <row r="232" spans="41:219" ht="16.5" x14ac:dyDescent="0.2">
      <c r="AO232" s="87">
        <v>7</v>
      </c>
      <c r="AP232" s="87">
        <v>1</v>
      </c>
      <c r="AQ232" s="87">
        <v>55</v>
      </c>
      <c r="AR232" s="144">
        <f t="shared" si="167"/>
        <v>4455</v>
      </c>
      <c r="AS232" s="144" t="s">
        <v>1258</v>
      </c>
      <c r="AT232" s="144" t="str">
        <f t="shared" si="168"/>
        <v>神器本-7-普通-1  神器6-2</v>
      </c>
      <c r="AU232" s="87">
        <v>28</v>
      </c>
      <c r="AV232" s="87" t="s">
        <v>334</v>
      </c>
      <c r="AW232" s="87">
        <v>416</v>
      </c>
      <c r="AX232" s="87">
        <v>1</v>
      </c>
      <c r="AY232" s="87">
        <v>1</v>
      </c>
      <c r="AZ232" s="87">
        <f t="shared" si="169"/>
        <v>2</v>
      </c>
      <c r="BA232" s="14">
        <f t="shared" si="182"/>
        <v>4.1599999999999998E-2</v>
      </c>
      <c r="BB232" s="14">
        <f t="shared" si="183"/>
        <v>4.992</v>
      </c>
      <c r="GY232" s="91">
        <v>226</v>
      </c>
      <c r="GZ232" s="14">
        <f t="shared" si="172"/>
        <v>14</v>
      </c>
      <c r="HA232" s="14">
        <f t="shared" si="173"/>
        <v>3</v>
      </c>
      <c r="HB232" s="14">
        <f t="shared" si="174"/>
        <v>4</v>
      </c>
      <c r="HC232" s="14">
        <f t="shared" si="175"/>
        <v>1.3080000000000001</v>
      </c>
      <c r="HD232" s="14">
        <f t="shared" si="176"/>
        <v>1606016</v>
      </c>
      <c r="HE232" s="14" t="str">
        <f t="shared" si="177"/>
        <v>神器3-6 : 16级</v>
      </c>
      <c r="HF232" s="14" t="s">
        <v>800</v>
      </c>
      <c r="HG232" s="14">
        <f t="shared" si="178"/>
        <v>16</v>
      </c>
      <c r="HH232" s="14" t="str">
        <f t="shared" si="179"/>
        <v>神器3-6</v>
      </c>
      <c r="HI232" s="14">
        <f t="shared" si="180"/>
        <v>10</v>
      </c>
      <c r="HJ232" s="14" t="s">
        <v>1595</v>
      </c>
      <c r="HK232" s="14">
        <f t="shared" si="181"/>
        <v>12650</v>
      </c>
    </row>
    <row r="233" spans="41:219" ht="16.5" x14ac:dyDescent="0.2">
      <c r="AO233" s="87">
        <v>7</v>
      </c>
      <c r="AP233" s="87">
        <v>1</v>
      </c>
      <c r="AQ233" s="87">
        <v>55</v>
      </c>
      <c r="AR233" s="144">
        <f t="shared" si="167"/>
        <v>4455</v>
      </c>
      <c r="AS233" s="144" t="s">
        <v>1258</v>
      </c>
      <c r="AT233" s="144" t="str">
        <f t="shared" si="168"/>
        <v>神器本-7-普通-1  神器6-3</v>
      </c>
      <c r="AU233" s="87">
        <v>29</v>
      </c>
      <c r="AV233" s="87" t="s">
        <v>335</v>
      </c>
      <c r="AW233" s="87">
        <v>416</v>
      </c>
      <c r="AX233" s="87">
        <v>1</v>
      </c>
      <c r="AY233" s="87">
        <v>1</v>
      </c>
      <c r="AZ233" s="87">
        <f t="shared" si="169"/>
        <v>2</v>
      </c>
      <c r="BA233" s="14">
        <f t="shared" si="182"/>
        <v>4.1599999999999998E-2</v>
      </c>
      <c r="BB233" s="14">
        <f t="shared" si="183"/>
        <v>4.992</v>
      </c>
      <c r="GY233" s="91">
        <v>227</v>
      </c>
      <c r="GZ233" s="14">
        <f t="shared" si="172"/>
        <v>14</v>
      </c>
      <c r="HA233" s="14">
        <f t="shared" si="173"/>
        <v>3</v>
      </c>
      <c r="HB233" s="14">
        <f t="shared" si="174"/>
        <v>4</v>
      </c>
      <c r="HC233" s="14">
        <f t="shared" si="175"/>
        <v>1.33</v>
      </c>
      <c r="HD233" s="14">
        <f t="shared" si="176"/>
        <v>1606016</v>
      </c>
      <c r="HE233" s="14" t="str">
        <f t="shared" si="177"/>
        <v>神器3-6 : 17级</v>
      </c>
      <c r="HF233" s="14" t="s">
        <v>800</v>
      </c>
      <c r="HG233" s="14">
        <f t="shared" si="178"/>
        <v>17</v>
      </c>
      <c r="HH233" s="14" t="str">
        <f t="shared" si="179"/>
        <v>神器3-6</v>
      </c>
      <c r="HI233" s="14">
        <f t="shared" si="180"/>
        <v>10</v>
      </c>
      <c r="HJ233" s="14" t="s">
        <v>1595</v>
      </c>
      <c r="HK233" s="14">
        <f t="shared" si="181"/>
        <v>12850</v>
      </c>
    </row>
    <row r="234" spans="41:219" ht="16.5" x14ac:dyDescent="0.2">
      <c r="AO234" s="87">
        <v>7</v>
      </c>
      <c r="AP234" s="87">
        <v>1</v>
      </c>
      <c r="AQ234" s="87">
        <v>55</v>
      </c>
      <c r="AR234" s="144">
        <f t="shared" si="167"/>
        <v>4455</v>
      </c>
      <c r="AS234" s="144" t="s">
        <v>1258</v>
      </c>
      <c r="AT234" s="144" t="str">
        <f t="shared" si="168"/>
        <v>神器本-7-普通-1  神器6-4</v>
      </c>
      <c r="AU234" s="87">
        <v>30</v>
      </c>
      <c r="AV234" s="87" t="s">
        <v>336</v>
      </c>
      <c r="AW234" s="87">
        <v>276</v>
      </c>
      <c r="AX234" s="87">
        <v>1</v>
      </c>
      <c r="AY234" s="87">
        <v>1</v>
      </c>
      <c r="AZ234" s="87">
        <f t="shared" si="169"/>
        <v>3</v>
      </c>
      <c r="BA234" s="14">
        <f t="shared" si="182"/>
        <v>2.76E-2</v>
      </c>
      <c r="BB234" s="14">
        <f t="shared" si="183"/>
        <v>7.7279999999999998</v>
      </c>
      <c r="GY234" s="91">
        <v>228</v>
      </c>
      <c r="GZ234" s="14">
        <f t="shared" si="172"/>
        <v>14</v>
      </c>
      <c r="HA234" s="14">
        <f t="shared" si="173"/>
        <v>3</v>
      </c>
      <c r="HB234" s="14">
        <f t="shared" si="174"/>
        <v>4</v>
      </c>
      <c r="HC234" s="14">
        <f t="shared" si="175"/>
        <v>1.353</v>
      </c>
      <c r="HD234" s="14">
        <f t="shared" si="176"/>
        <v>1606016</v>
      </c>
      <c r="HE234" s="14" t="str">
        <f t="shared" si="177"/>
        <v>神器3-6 : 18级</v>
      </c>
      <c r="HF234" s="14" t="s">
        <v>800</v>
      </c>
      <c r="HG234" s="14">
        <f t="shared" si="178"/>
        <v>18</v>
      </c>
      <c r="HH234" s="14" t="str">
        <f t="shared" si="179"/>
        <v>神器3-6</v>
      </c>
      <c r="HI234" s="14">
        <f t="shared" si="180"/>
        <v>10</v>
      </c>
      <c r="HJ234" s="14" t="s">
        <v>1595</v>
      </c>
      <c r="HK234" s="14">
        <f t="shared" si="181"/>
        <v>13100</v>
      </c>
    </row>
    <row r="235" spans="41:219" ht="16.5" x14ac:dyDescent="0.2">
      <c r="AO235" s="87">
        <v>7</v>
      </c>
      <c r="AP235" s="87">
        <v>1</v>
      </c>
      <c r="AQ235" s="87">
        <v>55</v>
      </c>
      <c r="AR235" s="144">
        <f t="shared" si="167"/>
        <v>4455</v>
      </c>
      <c r="AS235" s="144" t="s">
        <v>1258</v>
      </c>
      <c r="AT235" s="144" t="str">
        <f t="shared" si="168"/>
        <v>神器本-7-普通-1  神器6-5</v>
      </c>
      <c r="AU235" s="87">
        <v>31</v>
      </c>
      <c r="AV235" s="87" t="s">
        <v>337</v>
      </c>
      <c r="AW235" s="87">
        <v>276</v>
      </c>
      <c r="AX235" s="87">
        <v>1</v>
      </c>
      <c r="AY235" s="87">
        <v>1</v>
      </c>
      <c r="AZ235" s="87">
        <f t="shared" si="169"/>
        <v>3</v>
      </c>
      <c r="BA235" s="14">
        <f t="shared" si="182"/>
        <v>2.76E-2</v>
      </c>
      <c r="BB235" s="14">
        <f t="shared" si="183"/>
        <v>7.7279999999999998</v>
      </c>
      <c r="GY235" s="91">
        <v>229</v>
      </c>
      <c r="GZ235" s="14">
        <f t="shared" si="172"/>
        <v>15</v>
      </c>
      <c r="HA235" s="14">
        <f t="shared" si="173"/>
        <v>4</v>
      </c>
      <c r="HB235" s="14">
        <f t="shared" si="174"/>
        <v>1</v>
      </c>
      <c r="HC235" s="14">
        <f t="shared" si="175"/>
        <v>0.23200000000000001</v>
      </c>
      <c r="HD235" s="14">
        <f t="shared" si="176"/>
        <v>1606017</v>
      </c>
      <c r="HE235" s="14" t="str">
        <f t="shared" si="177"/>
        <v>神器4-1 : 1级</v>
      </c>
      <c r="HF235" s="14" t="s">
        <v>800</v>
      </c>
      <c r="HG235" s="14">
        <f t="shared" si="178"/>
        <v>1</v>
      </c>
      <c r="HH235" s="14" t="str">
        <f t="shared" si="179"/>
        <v>神器4-1</v>
      </c>
      <c r="HI235" s="14">
        <f t="shared" si="180"/>
        <v>1</v>
      </c>
      <c r="HJ235" s="14" t="s">
        <v>1595</v>
      </c>
      <c r="HK235" s="14">
        <f t="shared" si="181"/>
        <v>2850</v>
      </c>
    </row>
    <row r="236" spans="41:219" ht="16.5" x14ac:dyDescent="0.2">
      <c r="AO236" s="87">
        <v>7</v>
      </c>
      <c r="AP236" s="87">
        <v>1</v>
      </c>
      <c r="AQ236" s="87">
        <v>55</v>
      </c>
      <c r="AR236" s="144">
        <f t="shared" si="167"/>
        <v>4455</v>
      </c>
      <c r="AS236" s="144" t="s">
        <v>1258</v>
      </c>
      <c r="AT236" s="144" t="str">
        <f t="shared" si="168"/>
        <v>神器本-7-普通-1  神器6-6</v>
      </c>
      <c r="AU236" s="87">
        <v>32</v>
      </c>
      <c r="AV236" s="87" t="s">
        <v>338</v>
      </c>
      <c r="AW236" s="87">
        <v>276</v>
      </c>
      <c r="AX236" s="87">
        <v>1</v>
      </c>
      <c r="AY236" s="87">
        <v>1</v>
      </c>
      <c r="AZ236" s="87">
        <f t="shared" si="169"/>
        <v>3</v>
      </c>
      <c r="BA236" s="14">
        <f t="shared" si="182"/>
        <v>2.76E-2</v>
      </c>
      <c r="BB236" s="14">
        <f t="shared" si="183"/>
        <v>7.7279999999999998</v>
      </c>
      <c r="GY236" s="91">
        <v>230</v>
      </c>
      <c r="GZ236" s="14">
        <f t="shared" si="172"/>
        <v>15</v>
      </c>
      <c r="HA236" s="14">
        <f t="shared" si="173"/>
        <v>4</v>
      </c>
      <c r="HB236" s="14">
        <f t="shared" si="174"/>
        <v>1</v>
      </c>
      <c r="HC236" s="14">
        <f t="shared" si="175"/>
        <v>0.24099999999999999</v>
      </c>
      <c r="HD236" s="14">
        <f t="shared" si="176"/>
        <v>1606017</v>
      </c>
      <c r="HE236" s="14" t="str">
        <f t="shared" si="177"/>
        <v>神器4-1 : 2级</v>
      </c>
      <c r="HF236" s="14" t="s">
        <v>800</v>
      </c>
      <c r="HG236" s="14">
        <f t="shared" si="178"/>
        <v>2</v>
      </c>
      <c r="HH236" s="14" t="str">
        <f t="shared" si="179"/>
        <v>神器4-1</v>
      </c>
      <c r="HI236" s="14">
        <f t="shared" si="180"/>
        <v>1</v>
      </c>
      <c r="HJ236" s="14" t="s">
        <v>1595</v>
      </c>
      <c r="HK236" s="14">
        <f t="shared" si="181"/>
        <v>2950</v>
      </c>
    </row>
    <row r="237" spans="41:219" ht="16.5" x14ac:dyDescent="0.2">
      <c r="AO237" s="87">
        <v>7</v>
      </c>
      <c r="AP237" s="87">
        <v>1</v>
      </c>
      <c r="AQ237" s="87">
        <v>56</v>
      </c>
      <c r="AR237" s="144">
        <f t="shared" si="167"/>
        <v>4456</v>
      </c>
      <c r="AS237" s="144" t="s">
        <v>1259</v>
      </c>
      <c r="AT237" s="144" t="str">
        <f t="shared" si="168"/>
        <v>神器本-7-普通-2  神器7-1</v>
      </c>
      <c r="AU237" s="87">
        <v>35</v>
      </c>
      <c r="AV237" s="87" t="s">
        <v>341</v>
      </c>
      <c r="AW237" s="87">
        <v>2000</v>
      </c>
      <c r="AX237" s="87">
        <v>1</v>
      </c>
      <c r="AY237" s="87">
        <v>2</v>
      </c>
      <c r="AZ237" s="87">
        <f t="shared" ref="AZ237:AZ257" si="184">INDEX($AK$7:$AK$48,AU237)</f>
        <v>2</v>
      </c>
      <c r="BA237" s="14">
        <f t="shared" ref="BA237:BA257" si="185">(AX237+AY237)/2*AW237/10000</f>
        <v>0.3</v>
      </c>
      <c r="BB237" s="14">
        <f t="shared" ref="BB237:BB257" si="186">(AX237+AY237)/2*AW237/10000*INDEX($AL$7:$AL$48,AU237)</f>
        <v>45</v>
      </c>
      <c r="GY237" s="91">
        <v>231</v>
      </c>
      <c r="GZ237" s="14">
        <f t="shared" si="172"/>
        <v>15</v>
      </c>
      <c r="HA237" s="14">
        <f t="shared" si="173"/>
        <v>4</v>
      </c>
      <c r="HB237" s="14">
        <f t="shared" si="174"/>
        <v>1</v>
      </c>
      <c r="HC237" s="14">
        <f t="shared" si="175"/>
        <v>0.249</v>
      </c>
      <c r="HD237" s="14">
        <f t="shared" si="176"/>
        <v>1606017</v>
      </c>
      <c r="HE237" s="14" t="str">
        <f t="shared" si="177"/>
        <v>神器4-1 : 3级</v>
      </c>
      <c r="HF237" s="14" t="s">
        <v>800</v>
      </c>
      <c r="HG237" s="14">
        <f t="shared" si="178"/>
        <v>3</v>
      </c>
      <c r="HH237" s="14" t="str">
        <f t="shared" si="179"/>
        <v>神器4-1</v>
      </c>
      <c r="HI237" s="14">
        <f t="shared" si="180"/>
        <v>1</v>
      </c>
      <c r="HJ237" s="14" t="s">
        <v>1595</v>
      </c>
      <c r="HK237" s="14">
        <f t="shared" si="181"/>
        <v>3050</v>
      </c>
    </row>
    <row r="238" spans="41:219" ht="16.5" x14ac:dyDescent="0.2">
      <c r="AO238" s="87">
        <v>7</v>
      </c>
      <c r="AP238" s="87">
        <v>1</v>
      </c>
      <c r="AQ238" s="87">
        <v>56</v>
      </c>
      <c r="AR238" s="144">
        <f t="shared" si="167"/>
        <v>4456</v>
      </c>
      <c r="AS238" s="144" t="s">
        <v>1259</v>
      </c>
      <c r="AT238" s="144" t="str">
        <f t="shared" si="168"/>
        <v>神器本-7-普通-2  神器7-2</v>
      </c>
      <c r="AU238" s="87">
        <v>36</v>
      </c>
      <c r="AV238" s="87" t="s">
        <v>342</v>
      </c>
      <c r="AW238" s="87">
        <v>2000</v>
      </c>
      <c r="AX238" s="87">
        <v>1</v>
      </c>
      <c r="AY238" s="87">
        <v>2</v>
      </c>
      <c r="AZ238" s="87">
        <f t="shared" si="184"/>
        <v>2</v>
      </c>
      <c r="BA238" s="14">
        <f t="shared" si="185"/>
        <v>0.3</v>
      </c>
      <c r="BB238" s="14">
        <f t="shared" si="186"/>
        <v>45</v>
      </c>
      <c r="GY238" s="91">
        <v>232</v>
      </c>
      <c r="GZ238" s="14">
        <f t="shared" si="172"/>
        <v>15</v>
      </c>
      <c r="HA238" s="14">
        <f t="shared" si="173"/>
        <v>4</v>
      </c>
      <c r="HB238" s="14">
        <f t="shared" si="174"/>
        <v>1</v>
      </c>
      <c r="HC238" s="14">
        <f t="shared" si="175"/>
        <v>0.25700000000000001</v>
      </c>
      <c r="HD238" s="14">
        <f t="shared" si="176"/>
        <v>1606017</v>
      </c>
      <c r="HE238" s="14" t="str">
        <f t="shared" si="177"/>
        <v>神器4-1 : 4级</v>
      </c>
      <c r="HF238" s="14" t="s">
        <v>800</v>
      </c>
      <c r="HG238" s="14">
        <f t="shared" si="178"/>
        <v>4</v>
      </c>
      <c r="HH238" s="14" t="str">
        <f t="shared" si="179"/>
        <v>神器4-1</v>
      </c>
      <c r="HI238" s="14">
        <f t="shared" si="180"/>
        <v>2</v>
      </c>
      <c r="HJ238" s="14" t="s">
        <v>1595</v>
      </c>
      <c r="HK238" s="14">
        <f t="shared" si="181"/>
        <v>3150</v>
      </c>
    </row>
    <row r="239" spans="41:219" ht="16.5" x14ac:dyDescent="0.2">
      <c r="AO239" s="87">
        <v>7</v>
      </c>
      <c r="AP239" s="87">
        <v>1</v>
      </c>
      <c r="AQ239" s="87">
        <v>56</v>
      </c>
      <c r="AR239" s="144">
        <f t="shared" si="167"/>
        <v>4456</v>
      </c>
      <c r="AS239" s="144" t="s">
        <v>1259</v>
      </c>
      <c r="AT239" s="144" t="str">
        <f t="shared" si="168"/>
        <v>神器本-7-普通-2  神器7-3</v>
      </c>
      <c r="AU239" s="87">
        <v>37</v>
      </c>
      <c r="AV239" s="87" t="s">
        <v>343</v>
      </c>
      <c r="AW239" s="87">
        <v>2000</v>
      </c>
      <c r="AX239" s="87">
        <v>1</v>
      </c>
      <c r="AY239" s="87">
        <v>2</v>
      </c>
      <c r="AZ239" s="87">
        <f t="shared" si="184"/>
        <v>2</v>
      </c>
      <c r="BA239" s="14">
        <f t="shared" si="185"/>
        <v>0.3</v>
      </c>
      <c r="BB239" s="14">
        <f t="shared" si="186"/>
        <v>45</v>
      </c>
      <c r="GY239" s="91">
        <v>233</v>
      </c>
      <c r="GZ239" s="14">
        <f t="shared" si="172"/>
        <v>15</v>
      </c>
      <c r="HA239" s="14">
        <f t="shared" si="173"/>
        <v>4</v>
      </c>
      <c r="HB239" s="14">
        <f t="shared" si="174"/>
        <v>1</v>
      </c>
      <c r="HC239" s="14">
        <f t="shared" si="175"/>
        <v>0.26500000000000001</v>
      </c>
      <c r="HD239" s="14">
        <f t="shared" si="176"/>
        <v>1606017</v>
      </c>
      <c r="HE239" s="14" t="str">
        <f t="shared" si="177"/>
        <v>神器4-1 : 5级</v>
      </c>
      <c r="HF239" s="14" t="s">
        <v>800</v>
      </c>
      <c r="HG239" s="14">
        <f t="shared" si="178"/>
        <v>5</v>
      </c>
      <c r="HH239" s="14" t="str">
        <f t="shared" si="179"/>
        <v>神器4-1</v>
      </c>
      <c r="HI239" s="14">
        <f t="shared" si="180"/>
        <v>2</v>
      </c>
      <c r="HJ239" s="14" t="s">
        <v>1595</v>
      </c>
      <c r="HK239" s="14">
        <f t="shared" si="181"/>
        <v>3250</v>
      </c>
    </row>
    <row r="240" spans="41:219" ht="16.5" x14ac:dyDescent="0.2">
      <c r="AO240" s="87">
        <v>7</v>
      </c>
      <c r="AP240" s="87">
        <v>2</v>
      </c>
      <c r="AQ240" s="87">
        <v>57</v>
      </c>
      <c r="AR240" s="144">
        <f t="shared" si="167"/>
        <v>4457</v>
      </c>
      <c r="AS240" s="144" t="s">
        <v>1251</v>
      </c>
      <c r="AT240" s="144" t="str">
        <f t="shared" si="168"/>
        <v>神器本-7-困难-1  神器3-1</v>
      </c>
      <c r="AU240" s="87">
        <v>9</v>
      </c>
      <c r="AV240" s="87" t="s">
        <v>761</v>
      </c>
      <c r="AW240" s="87">
        <v>700</v>
      </c>
      <c r="AX240" s="87">
        <v>1</v>
      </c>
      <c r="AY240" s="87">
        <v>1</v>
      </c>
      <c r="AZ240" s="87">
        <f t="shared" si="184"/>
        <v>1</v>
      </c>
      <c r="BA240" s="14">
        <f t="shared" si="185"/>
        <v>7.0000000000000007E-2</v>
      </c>
      <c r="BB240" s="14">
        <f t="shared" si="186"/>
        <v>1.4000000000000001</v>
      </c>
      <c r="GY240" s="91">
        <v>234</v>
      </c>
      <c r="GZ240" s="14">
        <f t="shared" si="172"/>
        <v>15</v>
      </c>
      <c r="HA240" s="14">
        <f t="shared" si="173"/>
        <v>4</v>
      </c>
      <c r="HB240" s="14">
        <f t="shared" si="174"/>
        <v>1</v>
      </c>
      <c r="HC240" s="14">
        <f t="shared" si="175"/>
        <v>0.27200000000000002</v>
      </c>
      <c r="HD240" s="14">
        <f t="shared" si="176"/>
        <v>1606017</v>
      </c>
      <c r="HE240" s="14" t="str">
        <f t="shared" si="177"/>
        <v>神器4-1 : 6级</v>
      </c>
      <c r="HF240" s="14" t="s">
        <v>800</v>
      </c>
      <c r="HG240" s="14">
        <f t="shared" si="178"/>
        <v>6</v>
      </c>
      <c r="HH240" s="14" t="str">
        <f t="shared" si="179"/>
        <v>神器4-1</v>
      </c>
      <c r="HI240" s="14">
        <f t="shared" si="180"/>
        <v>2</v>
      </c>
      <c r="HJ240" s="14" t="s">
        <v>1595</v>
      </c>
      <c r="HK240" s="14">
        <f t="shared" si="181"/>
        <v>3350</v>
      </c>
    </row>
    <row r="241" spans="41:219" ht="16.5" x14ac:dyDescent="0.2">
      <c r="AO241" s="87">
        <v>7</v>
      </c>
      <c r="AP241" s="87">
        <v>2</v>
      </c>
      <c r="AQ241" s="87">
        <v>57</v>
      </c>
      <c r="AR241" s="144">
        <f t="shared" si="167"/>
        <v>4457</v>
      </c>
      <c r="AS241" s="144" t="s">
        <v>1251</v>
      </c>
      <c r="AT241" s="144" t="str">
        <f t="shared" si="168"/>
        <v>神器本-7-困难-1  神器3-2</v>
      </c>
      <c r="AU241" s="87">
        <v>10</v>
      </c>
      <c r="AV241" s="87" t="s">
        <v>316</v>
      </c>
      <c r="AW241" s="87">
        <v>700</v>
      </c>
      <c r="AX241" s="87">
        <v>1</v>
      </c>
      <c r="AY241" s="87">
        <v>1</v>
      </c>
      <c r="AZ241" s="87">
        <f t="shared" si="184"/>
        <v>1</v>
      </c>
      <c r="BA241" s="14">
        <f t="shared" si="185"/>
        <v>7.0000000000000007E-2</v>
      </c>
      <c r="BB241" s="14">
        <f t="shared" si="186"/>
        <v>1.4000000000000001</v>
      </c>
      <c r="GY241" s="91">
        <v>235</v>
      </c>
      <c r="GZ241" s="14">
        <f t="shared" si="172"/>
        <v>15</v>
      </c>
      <c r="HA241" s="14">
        <f t="shared" si="173"/>
        <v>4</v>
      </c>
      <c r="HB241" s="14">
        <f t="shared" si="174"/>
        <v>1</v>
      </c>
      <c r="HC241" s="14">
        <f t="shared" si="175"/>
        <v>0.27900000000000003</v>
      </c>
      <c r="HD241" s="14">
        <f t="shared" si="176"/>
        <v>1606017</v>
      </c>
      <c r="HE241" s="14" t="str">
        <f t="shared" si="177"/>
        <v>神器4-1 : 7级</v>
      </c>
      <c r="HF241" s="14" t="s">
        <v>800</v>
      </c>
      <c r="HG241" s="14">
        <f t="shared" si="178"/>
        <v>7</v>
      </c>
      <c r="HH241" s="14" t="str">
        <f t="shared" si="179"/>
        <v>神器4-1</v>
      </c>
      <c r="HI241" s="14">
        <f t="shared" si="180"/>
        <v>3</v>
      </c>
      <c r="HJ241" s="14" t="s">
        <v>1595</v>
      </c>
      <c r="HK241" s="14">
        <f t="shared" si="181"/>
        <v>3400</v>
      </c>
    </row>
    <row r="242" spans="41:219" ht="16.5" x14ac:dyDescent="0.2">
      <c r="AO242" s="87">
        <v>7</v>
      </c>
      <c r="AP242" s="87">
        <v>2</v>
      </c>
      <c r="AQ242" s="87">
        <v>57</v>
      </c>
      <c r="AR242" s="144">
        <f t="shared" si="167"/>
        <v>4457</v>
      </c>
      <c r="AS242" s="144" t="s">
        <v>1251</v>
      </c>
      <c r="AT242" s="144" t="str">
        <f t="shared" si="168"/>
        <v>神器本-7-困难-1  神器3-3</v>
      </c>
      <c r="AU242" s="87">
        <v>11</v>
      </c>
      <c r="AV242" s="87" t="s">
        <v>317</v>
      </c>
      <c r="AW242" s="87">
        <v>414</v>
      </c>
      <c r="AX242" s="87">
        <v>1</v>
      </c>
      <c r="AY242" s="87">
        <v>1</v>
      </c>
      <c r="AZ242" s="87">
        <f t="shared" si="184"/>
        <v>2</v>
      </c>
      <c r="BA242" s="14">
        <f t="shared" si="185"/>
        <v>4.1399999999999999E-2</v>
      </c>
      <c r="BB242" s="14">
        <f t="shared" si="186"/>
        <v>2.484</v>
      </c>
      <c r="GY242" s="91">
        <v>236</v>
      </c>
      <c r="GZ242" s="14">
        <f t="shared" si="172"/>
        <v>15</v>
      </c>
      <c r="HA242" s="14">
        <f t="shared" si="173"/>
        <v>4</v>
      </c>
      <c r="HB242" s="14">
        <f t="shared" si="174"/>
        <v>1</v>
      </c>
      <c r="HC242" s="14">
        <f t="shared" si="175"/>
        <v>0.28599999999999998</v>
      </c>
      <c r="HD242" s="14">
        <f t="shared" si="176"/>
        <v>1606017</v>
      </c>
      <c r="HE242" s="14" t="str">
        <f t="shared" si="177"/>
        <v>神器4-1 : 8级</v>
      </c>
      <c r="HF242" s="14" t="s">
        <v>800</v>
      </c>
      <c r="HG242" s="14">
        <f t="shared" si="178"/>
        <v>8</v>
      </c>
      <c r="HH242" s="14" t="str">
        <f t="shared" si="179"/>
        <v>神器4-1</v>
      </c>
      <c r="HI242" s="14">
        <f t="shared" si="180"/>
        <v>3</v>
      </c>
      <c r="HJ242" s="14" t="s">
        <v>1595</v>
      </c>
      <c r="HK242" s="14">
        <f t="shared" si="181"/>
        <v>3500</v>
      </c>
    </row>
    <row r="243" spans="41:219" ht="16.5" x14ac:dyDescent="0.2">
      <c r="AO243" s="87">
        <v>7</v>
      </c>
      <c r="AP243" s="87">
        <v>2</v>
      </c>
      <c r="AQ243" s="87">
        <v>57</v>
      </c>
      <c r="AR243" s="144">
        <f t="shared" si="167"/>
        <v>4457</v>
      </c>
      <c r="AS243" s="144" t="s">
        <v>1251</v>
      </c>
      <c r="AT243" s="144" t="str">
        <f t="shared" si="168"/>
        <v>神器本-7-困难-1  神器3-4</v>
      </c>
      <c r="AU243" s="87">
        <v>12</v>
      </c>
      <c r="AV243" s="87" t="s">
        <v>318</v>
      </c>
      <c r="AW243" s="87">
        <v>414</v>
      </c>
      <c r="AX243" s="87">
        <v>1</v>
      </c>
      <c r="AY243" s="87">
        <v>1</v>
      </c>
      <c r="AZ243" s="87">
        <f t="shared" si="184"/>
        <v>2</v>
      </c>
      <c r="BA243" s="14">
        <f t="shared" si="185"/>
        <v>4.1399999999999999E-2</v>
      </c>
      <c r="BB243" s="14">
        <f t="shared" si="186"/>
        <v>2.484</v>
      </c>
      <c r="GY243" s="91">
        <v>237</v>
      </c>
      <c r="GZ243" s="14">
        <f t="shared" si="172"/>
        <v>15</v>
      </c>
      <c r="HA243" s="14">
        <f t="shared" si="173"/>
        <v>4</v>
      </c>
      <c r="HB243" s="14">
        <f t="shared" si="174"/>
        <v>1</v>
      </c>
      <c r="HC243" s="14">
        <f t="shared" si="175"/>
        <v>0.29299999999999998</v>
      </c>
      <c r="HD243" s="14">
        <f t="shared" si="176"/>
        <v>1606017</v>
      </c>
      <c r="HE243" s="14" t="str">
        <f t="shared" si="177"/>
        <v>神器4-1 : 9级</v>
      </c>
      <c r="HF243" s="14" t="s">
        <v>800</v>
      </c>
      <c r="HG243" s="14">
        <f t="shared" si="178"/>
        <v>9</v>
      </c>
      <c r="HH243" s="14" t="str">
        <f t="shared" si="179"/>
        <v>神器4-1</v>
      </c>
      <c r="HI243" s="14">
        <f t="shared" si="180"/>
        <v>3</v>
      </c>
      <c r="HJ243" s="14" t="s">
        <v>1595</v>
      </c>
      <c r="HK243" s="14">
        <f t="shared" si="181"/>
        <v>3600</v>
      </c>
    </row>
    <row r="244" spans="41:219" ht="16.5" x14ac:dyDescent="0.2">
      <c r="AO244" s="87">
        <v>7</v>
      </c>
      <c r="AP244" s="87">
        <v>2</v>
      </c>
      <c r="AQ244" s="87">
        <v>57</v>
      </c>
      <c r="AR244" s="144">
        <f t="shared" si="167"/>
        <v>4457</v>
      </c>
      <c r="AS244" s="144" t="s">
        <v>1251</v>
      </c>
      <c r="AT244" s="144" t="str">
        <f t="shared" si="168"/>
        <v>神器本-7-困难-1  神器3-5</v>
      </c>
      <c r="AU244" s="87">
        <v>13</v>
      </c>
      <c r="AV244" s="87" t="s">
        <v>319</v>
      </c>
      <c r="AW244" s="87">
        <v>275</v>
      </c>
      <c r="AX244" s="87">
        <v>1</v>
      </c>
      <c r="AY244" s="87">
        <v>1</v>
      </c>
      <c r="AZ244" s="87">
        <f t="shared" si="184"/>
        <v>3</v>
      </c>
      <c r="BA244" s="14">
        <f t="shared" si="185"/>
        <v>2.75E-2</v>
      </c>
      <c r="BB244" s="14">
        <f t="shared" si="186"/>
        <v>3.85</v>
      </c>
      <c r="GY244" s="91">
        <v>238</v>
      </c>
      <c r="GZ244" s="14">
        <f t="shared" si="172"/>
        <v>15</v>
      </c>
      <c r="HA244" s="14">
        <f t="shared" si="173"/>
        <v>4</v>
      </c>
      <c r="HB244" s="14">
        <f t="shared" si="174"/>
        <v>1</v>
      </c>
      <c r="HC244" s="14">
        <f t="shared" si="175"/>
        <v>0.3</v>
      </c>
      <c r="HD244" s="14">
        <f t="shared" si="176"/>
        <v>1606017</v>
      </c>
      <c r="HE244" s="14" t="str">
        <f t="shared" si="177"/>
        <v>神器4-1 : 10级</v>
      </c>
      <c r="HF244" s="14" t="s">
        <v>800</v>
      </c>
      <c r="HG244" s="14">
        <f t="shared" si="178"/>
        <v>10</v>
      </c>
      <c r="HH244" s="14" t="str">
        <f t="shared" si="179"/>
        <v>神器4-1</v>
      </c>
      <c r="HI244" s="14">
        <f t="shared" si="180"/>
        <v>5</v>
      </c>
      <c r="HJ244" s="14" t="s">
        <v>1595</v>
      </c>
      <c r="HK244" s="14">
        <f t="shared" si="181"/>
        <v>3650</v>
      </c>
    </row>
    <row r="245" spans="41:219" ht="16.5" x14ac:dyDescent="0.2">
      <c r="AO245" s="87">
        <v>7</v>
      </c>
      <c r="AP245" s="87">
        <v>2</v>
      </c>
      <c r="AQ245" s="87">
        <v>57</v>
      </c>
      <c r="AR245" s="144">
        <f t="shared" si="167"/>
        <v>4457</v>
      </c>
      <c r="AS245" s="144" t="s">
        <v>1251</v>
      </c>
      <c r="AT245" s="144" t="str">
        <f t="shared" si="168"/>
        <v>神器本-7-困难-1  神器3-6</v>
      </c>
      <c r="AU245" s="87">
        <v>14</v>
      </c>
      <c r="AV245" s="87" t="s">
        <v>320</v>
      </c>
      <c r="AW245" s="87">
        <v>138</v>
      </c>
      <c r="AX245" s="87">
        <v>1</v>
      </c>
      <c r="AY245" s="87">
        <v>1</v>
      </c>
      <c r="AZ245" s="87">
        <f t="shared" si="184"/>
        <v>4</v>
      </c>
      <c r="BA245" s="14">
        <f t="shared" si="185"/>
        <v>1.38E-2</v>
      </c>
      <c r="BB245" s="14">
        <f t="shared" si="186"/>
        <v>4.1399999999999997</v>
      </c>
      <c r="GY245" s="91">
        <v>239</v>
      </c>
      <c r="GZ245" s="14">
        <f t="shared" si="172"/>
        <v>15</v>
      </c>
      <c r="HA245" s="14">
        <f t="shared" si="173"/>
        <v>4</v>
      </c>
      <c r="HB245" s="14">
        <f t="shared" si="174"/>
        <v>1</v>
      </c>
      <c r="HC245" s="14">
        <f t="shared" si="175"/>
        <v>0.307</v>
      </c>
      <c r="HD245" s="14">
        <f t="shared" si="176"/>
        <v>1606017</v>
      </c>
      <c r="HE245" s="14" t="str">
        <f t="shared" si="177"/>
        <v>神器4-1 : 11级</v>
      </c>
      <c r="HF245" s="14" t="s">
        <v>800</v>
      </c>
      <c r="HG245" s="14">
        <f t="shared" si="178"/>
        <v>11</v>
      </c>
      <c r="HH245" s="14" t="str">
        <f t="shared" si="179"/>
        <v>神器4-1</v>
      </c>
      <c r="HI245" s="14">
        <f t="shared" si="180"/>
        <v>5</v>
      </c>
      <c r="HJ245" s="14" t="s">
        <v>1595</v>
      </c>
      <c r="HK245" s="14">
        <f t="shared" si="181"/>
        <v>3750</v>
      </c>
    </row>
    <row r="246" spans="41:219" ht="16.5" x14ac:dyDescent="0.2">
      <c r="AO246" s="87">
        <v>7</v>
      </c>
      <c r="AP246" s="87">
        <v>2</v>
      </c>
      <c r="AQ246" s="87">
        <v>57</v>
      </c>
      <c r="AR246" s="144">
        <f t="shared" si="167"/>
        <v>4457</v>
      </c>
      <c r="AS246" s="144" t="s">
        <v>1251</v>
      </c>
      <c r="AT246" s="144" t="str">
        <f t="shared" si="168"/>
        <v>神器本-7-困难-1  神器4-1</v>
      </c>
      <c r="AU246" s="87">
        <v>15</v>
      </c>
      <c r="AV246" s="87" t="s">
        <v>321</v>
      </c>
      <c r="AW246" s="87">
        <v>700</v>
      </c>
      <c r="AX246" s="87">
        <v>1</v>
      </c>
      <c r="AY246" s="87">
        <v>1</v>
      </c>
      <c r="AZ246" s="87">
        <f t="shared" si="184"/>
        <v>1</v>
      </c>
      <c r="BA246" s="14">
        <f t="shared" si="185"/>
        <v>7.0000000000000007E-2</v>
      </c>
      <c r="BB246" s="14">
        <f t="shared" si="186"/>
        <v>1.7500000000000002</v>
      </c>
      <c r="GY246" s="91">
        <v>240</v>
      </c>
      <c r="GZ246" s="14">
        <f t="shared" si="172"/>
        <v>15</v>
      </c>
      <c r="HA246" s="14">
        <f t="shared" si="173"/>
        <v>4</v>
      </c>
      <c r="HB246" s="14">
        <f t="shared" si="174"/>
        <v>1</v>
      </c>
      <c r="HC246" s="14">
        <f t="shared" si="175"/>
        <v>0.313</v>
      </c>
      <c r="HD246" s="14">
        <f t="shared" si="176"/>
        <v>1606017</v>
      </c>
      <c r="HE246" s="14" t="str">
        <f t="shared" si="177"/>
        <v>神器4-1 : 12级</v>
      </c>
      <c r="HF246" s="14" t="s">
        <v>800</v>
      </c>
      <c r="HG246" s="14">
        <f t="shared" si="178"/>
        <v>12</v>
      </c>
      <c r="HH246" s="14" t="str">
        <f t="shared" si="179"/>
        <v>神器4-1</v>
      </c>
      <c r="HI246" s="14">
        <f t="shared" si="180"/>
        <v>6</v>
      </c>
      <c r="HJ246" s="14" t="s">
        <v>1595</v>
      </c>
      <c r="HK246" s="14">
        <f t="shared" si="181"/>
        <v>3850</v>
      </c>
    </row>
    <row r="247" spans="41:219" ht="16.5" x14ac:dyDescent="0.2">
      <c r="AO247" s="87">
        <v>7</v>
      </c>
      <c r="AP247" s="87">
        <v>2</v>
      </c>
      <c r="AQ247" s="87">
        <v>57</v>
      </c>
      <c r="AR247" s="144">
        <f t="shared" si="167"/>
        <v>4457</v>
      </c>
      <c r="AS247" s="144" t="s">
        <v>1251</v>
      </c>
      <c r="AT247" s="144" t="str">
        <f t="shared" si="168"/>
        <v>神器本-7-困难-1  神器4-2</v>
      </c>
      <c r="AU247" s="87">
        <v>16</v>
      </c>
      <c r="AV247" s="87" t="s">
        <v>322</v>
      </c>
      <c r="AW247" s="87">
        <v>700</v>
      </c>
      <c r="AX247" s="87">
        <v>1</v>
      </c>
      <c r="AY247" s="87">
        <v>1</v>
      </c>
      <c r="AZ247" s="87">
        <f t="shared" si="184"/>
        <v>1</v>
      </c>
      <c r="BA247" s="14">
        <f t="shared" si="185"/>
        <v>7.0000000000000007E-2</v>
      </c>
      <c r="BB247" s="14">
        <f t="shared" si="186"/>
        <v>1.7500000000000002</v>
      </c>
      <c r="GY247" s="91">
        <v>241</v>
      </c>
      <c r="GZ247" s="14">
        <f t="shared" si="172"/>
        <v>15</v>
      </c>
      <c r="HA247" s="14">
        <f t="shared" si="173"/>
        <v>4</v>
      </c>
      <c r="HB247" s="14">
        <f t="shared" si="174"/>
        <v>1</v>
      </c>
      <c r="HC247" s="14">
        <f t="shared" si="175"/>
        <v>0.31900000000000001</v>
      </c>
      <c r="HD247" s="14">
        <f t="shared" si="176"/>
        <v>1606017</v>
      </c>
      <c r="HE247" s="14" t="str">
        <f t="shared" si="177"/>
        <v>神器4-1 : 13级</v>
      </c>
      <c r="HF247" s="14" t="s">
        <v>800</v>
      </c>
      <c r="HG247" s="14">
        <f t="shared" si="178"/>
        <v>13</v>
      </c>
      <c r="HH247" s="14" t="str">
        <f t="shared" si="179"/>
        <v>神器4-1</v>
      </c>
      <c r="HI247" s="14">
        <f t="shared" si="180"/>
        <v>7</v>
      </c>
      <c r="HJ247" s="14" t="s">
        <v>1595</v>
      </c>
      <c r="HK247" s="14">
        <f t="shared" si="181"/>
        <v>3900</v>
      </c>
    </row>
    <row r="248" spans="41:219" ht="16.5" x14ac:dyDescent="0.2">
      <c r="AO248" s="87">
        <v>7</v>
      </c>
      <c r="AP248" s="87">
        <v>2</v>
      </c>
      <c r="AQ248" s="87">
        <v>57</v>
      </c>
      <c r="AR248" s="144">
        <f t="shared" si="167"/>
        <v>4457</v>
      </c>
      <c r="AS248" s="144" t="s">
        <v>1251</v>
      </c>
      <c r="AT248" s="144" t="str">
        <f t="shared" si="168"/>
        <v>神器本-7-困难-1  神器4-3</v>
      </c>
      <c r="AU248" s="87">
        <v>17</v>
      </c>
      <c r="AV248" s="87" t="s">
        <v>323</v>
      </c>
      <c r="AW248" s="87">
        <v>414</v>
      </c>
      <c r="AX248" s="87">
        <v>1</v>
      </c>
      <c r="AY248" s="87">
        <v>1</v>
      </c>
      <c r="AZ248" s="87">
        <f t="shared" si="184"/>
        <v>2</v>
      </c>
      <c r="BA248" s="14">
        <f t="shared" si="185"/>
        <v>4.1399999999999999E-2</v>
      </c>
      <c r="BB248" s="14">
        <f t="shared" si="186"/>
        <v>3.105</v>
      </c>
      <c r="GY248" s="91">
        <v>242</v>
      </c>
      <c r="GZ248" s="14">
        <f t="shared" si="172"/>
        <v>15</v>
      </c>
      <c r="HA248" s="14">
        <f t="shared" si="173"/>
        <v>4</v>
      </c>
      <c r="HB248" s="14">
        <f t="shared" si="174"/>
        <v>1</v>
      </c>
      <c r="HC248" s="14">
        <f t="shared" si="175"/>
        <v>0.32600000000000001</v>
      </c>
      <c r="HD248" s="14">
        <f t="shared" si="176"/>
        <v>1606017</v>
      </c>
      <c r="HE248" s="14" t="str">
        <f t="shared" si="177"/>
        <v>神器4-1 : 14级</v>
      </c>
      <c r="HF248" s="14" t="s">
        <v>800</v>
      </c>
      <c r="HG248" s="14">
        <f t="shared" si="178"/>
        <v>14</v>
      </c>
      <c r="HH248" s="14" t="str">
        <f t="shared" si="179"/>
        <v>神器4-1</v>
      </c>
      <c r="HI248" s="14">
        <f t="shared" si="180"/>
        <v>7</v>
      </c>
      <c r="HJ248" s="14" t="s">
        <v>1595</v>
      </c>
      <c r="HK248" s="14">
        <f t="shared" si="181"/>
        <v>4000</v>
      </c>
    </row>
    <row r="249" spans="41:219" ht="16.5" x14ac:dyDescent="0.2">
      <c r="AO249" s="87">
        <v>7</v>
      </c>
      <c r="AP249" s="87">
        <v>2</v>
      </c>
      <c r="AQ249" s="87">
        <v>57</v>
      </c>
      <c r="AR249" s="144">
        <f t="shared" si="167"/>
        <v>4457</v>
      </c>
      <c r="AS249" s="144" t="s">
        <v>1251</v>
      </c>
      <c r="AT249" s="144" t="str">
        <f t="shared" si="168"/>
        <v>神器本-7-困难-1  神器4-4</v>
      </c>
      <c r="AU249" s="87">
        <v>18</v>
      </c>
      <c r="AV249" s="87" t="s">
        <v>324</v>
      </c>
      <c r="AW249" s="87">
        <v>414</v>
      </c>
      <c r="AX249" s="87">
        <v>1</v>
      </c>
      <c r="AY249" s="87">
        <v>1</v>
      </c>
      <c r="AZ249" s="87">
        <f t="shared" si="184"/>
        <v>2</v>
      </c>
      <c r="BA249" s="14">
        <f t="shared" si="185"/>
        <v>4.1399999999999999E-2</v>
      </c>
      <c r="BB249" s="14">
        <f t="shared" si="186"/>
        <v>3.105</v>
      </c>
      <c r="GY249" s="91">
        <v>243</v>
      </c>
      <c r="GZ249" s="14">
        <f t="shared" si="172"/>
        <v>15</v>
      </c>
      <c r="HA249" s="14">
        <f t="shared" si="173"/>
        <v>4</v>
      </c>
      <c r="HB249" s="14">
        <f t="shared" si="174"/>
        <v>1</v>
      </c>
      <c r="HC249" s="14">
        <f t="shared" si="175"/>
        <v>0.33200000000000002</v>
      </c>
      <c r="HD249" s="14">
        <f t="shared" si="176"/>
        <v>1606017</v>
      </c>
      <c r="HE249" s="14" t="str">
        <f t="shared" si="177"/>
        <v>神器4-1 : 15级</v>
      </c>
      <c r="HF249" s="14" t="s">
        <v>800</v>
      </c>
      <c r="HG249" s="14">
        <f t="shared" si="178"/>
        <v>15</v>
      </c>
      <c r="HH249" s="14" t="str">
        <f t="shared" si="179"/>
        <v>神器4-1</v>
      </c>
      <c r="HI249" s="14">
        <f t="shared" si="180"/>
        <v>7</v>
      </c>
      <c r="HJ249" s="14" t="s">
        <v>1595</v>
      </c>
      <c r="HK249" s="14">
        <f t="shared" si="181"/>
        <v>4050</v>
      </c>
    </row>
    <row r="250" spans="41:219" ht="16.5" x14ac:dyDescent="0.2">
      <c r="AO250" s="87">
        <v>7</v>
      </c>
      <c r="AP250" s="87">
        <v>2</v>
      </c>
      <c r="AQ250" s="87">
        <v>57</v>
      </c>
      <c r="AR250" s="144">
        <f t="shared" si="167"/>
        <v>4457</v>
      </c>
      <c r="AS250" s="144" t="s">
        <v>1251</v>
      </c>
      <c r="AT250" s="144" t="str">
        <f t="shared" si="168"/>
        <v>神器本-7-困难-1  神器4-5</v>
      </c>
      <c r="AU250" s="87">
        <v>19</v>
      </c>
      <c r="AV250" s="87" t="s">
        <v>325</v>
      </c>
      <c r="AW250" s="87">
        <v>275</v>
      </c>
      <c r="AX250" s="87">
        <v>1</v>
      </c>
      <c r="AY250" s="87">
        <v>1</v>
      </c>
      <c r="AZ250" s="87">
        <f t="shared" si="184"/>
        <v>3</v>
      </c>
      <c r="BA250" s="14">
        <f t="shared" si="185"/>
        <v>2.75E-2</v>
      </c>
      <c r="BB250" s="14">
        <f t="shared" si="186"/>
        <v>4.8125</v>
      </c>
      <c r="GY250" s="91">
        <v>244</v>
      </c>
      <c r="GZ250" s="14">
        <f t="shared" si="172"/>
        <v>15</v>
      </c>
      <c r="HA250" s="14">
        <f t="shared" si="173"/>
        <v>4</v>
      </c>
      <c r="HB250" s="14">
        <f t="shared" si="174"/>
        <v>1</v>
      </c>
      <c r="HC250" s="14">
        <f t="shared" si="175"/>
        <v>0.33800000000000002</v>
      </c>
      <c r="HD250" s="14">
        <f t="shared" si="176"/>
        <v>1606017</v>
      </c>
      <c r="HE250" s="14" t="str">
        <f t="shared" si="177"/>
        <v>神器4-1 : 16级</v>
      </c>
      <c r="HF250" s="14" t="s">
        <v>800</v>
      </c>
      <c r="HG250" s="14">
        <f t="shared" si="178"/>
        <v>16</v>
      </c>
      <c r="HH250" s="14" t="str">
        <f t="shared" si="179"/>
        <v>神器4-1</v>
      </c>
      <c r="HI250" s="14">
        <f t="shared" si="180"/>
        <v>10</v>
      </c>
      <c r="HJ250" s="14" t="s">
        <v>1595</v>
      </c>
      <c r="HK250" s="14">
        <f t="shared" si="181"/>
        <v>4150</v>
      </c>
    </row>
    <row r="251" spans="41:219" ht="16.5" x14ac:dyDescent="0.2">
      <c r="AO251" s="87">
        <v>7</v>
      </c>
      <c r="AP251" s="87">
        <v>2</v>
      </c>
      <c r="AQ251" s="87">
        <v>57</v>
      </c>
      <c r="AR251" s="144">
        <f t="shared" si="167"/>
        <v>4457</v>
      </c>
      <c r="AS251" s="144" t="s">
        <v>1251</v>
      </c>
      <c r="AT251" s="144" t="str">
        <f t="shared" si="168"/>
        <v>神器本-7-困难-1  神器4-6</v>
      </c>
      <c r="AU251" s="87">
        <v>20</v>
      </c>
      <c r="AV251" s="87" t="s">
        <v>326</v>
      </c>
      <c r="AW251" s="87">
        <v>138</v>
      </c>
      <c r="AX251" s="87">
        <v>1</v>
      </c>
      <c r="AY251" s="87">
        <v>1</v>
      </c>
      <c r="AZ251" s="87">
        <f t="shared" si="184"/>
        <v>4</v>
      </c>
      <c r="BA251" s="14">
        <f t="shared" si="185"/>
        <v>1.38E-2</v>
      </c>
      <c r="BB251" s="14">
        <f t="shared" si="186"/>
        <v>5.1749999999999998</v>
      </c>
      <c r="GY251" s="91">
        <v>245</v>
      </c>
      <c r="GZ251" s="14">
        <f t="shared" si="172"/>
        <v>15</v>
      </c>
      <c r="HA251" s="14">
        <f t="shared" si="173"/>
        <v>4</v>
      </c>
      <c r="HB251" s="14">
        <f t="shared" si="174"/>
        <v>1</v>
      </c>
      <c r="HC251" s="14">
        <f t="shared" si="175"/>
        <v>0.34399999999999997</v>
      </c>
      <c r="HD251" s="14">
        <f t="shared" si="176"/>
        <v>1606017</v>
      </c>
      <c r="HE251" s="14" t="str">
        <f t="shared" si="177"/>
        <v>神器4-1 : 17级</v>
      </c>
      <c r="HF251" s="14" t="s">
        <v>800</v>
      </c>
      <c r="HG251" s="14">
        <f t="shared" si="178"/>
        <v>17</v>
      </c>
      <c r="HH251" s="14" t="str">
        <f t="shared" si="179"/>
        <v>神器4-1</v>
      </c>
      <c r="HI251" s="14">
        <f t="shared" si="180"/>
        <v>10</v>
      </c>
      <c r="HJ251" s="14" t="s">
        <v>1595</v>
      </c>
      <c r="HK251" s="14">
        <f t="shared" si="181"/>
        <v>4200</v>
      </c>
    </row>
    <row r="252" spans="41:219" ht="16.5" x14ac:dyDescent="0.2">
      <c r="AO252" s="87">
        <v>7</v>
      </c>
      <c r="AP252" s="87">
        <v>2</v>
      </c>
      <c r="AQ252" s="87">
        <v>57</v>
      </c>
      <c r="AR252" s="144">
        <f t="shared" si="167"/>
        <v>4457</v>
      </c>
      <c r="AS252" s="144" t="s">
        <v>1251</v>
      </c>
      <c r="AT252" s="144" t="str">
        <f t="shared" si="168"/>
        <v>神器本-7-困难-1  神器5-1</v>
      </c>
      <c r="AU252" s="87">
        <v>21</v>
      </c>
      <c r="AV252" s="87" t="s">
        <v>327</v>
      </c>
      <c r="AW252" s="87">
        <v>700</v>
      </c>
      <c r="AX252" s="87">
        <v>1</v>
      </c>
      <c r="AY252" s="87">
        <v>1</v>
      </c>
      <c r="AZ252" s="87">
        <f t="shared" si="184"/>
        <v>1</v>
      </c>
      <c r="BA252" s="14">
        <f t="shared" si="185"/>
        <v>7.0000000000000007E-2</v>
      </c>
      <c r="BB252" s="14">
        <f t="shared" si="186"/>
        <v>2.1</v>
      </c>
      <c r="GY252" s="91">
        <v>246</v>
      </c>
      <c r="GZ252" s="14">
        <f t="shared" si="172"/>
        <v>15</v>
      </c>
      <c r="HA252" s="14">
        <f t="shared" si="173"/>
        <v>4</v>
      </c>
      <c r="HB252" s="14">
        <f t="shared" si="174"/>
        <v>1</v>
      </c>
      <c r="HC252" s="14">
        <f t="shared" si="175"/>
        <v>0.34899999999999998</v>
      </c>
      <c r="HD252" s="14">
        <f t="shared" si="176"/>
        <v>1606017</v>
      </c>
      <c r="HE252" s="14" t="str">
        <f t="shared" si="177"/>
        <v>神器4-1 : 18级</v>
      </c>
      <c r="HF252" s="14" t="s">
        <v>800</v>
      </c>
      <c r="HG252" s="14">
        <f t="shared" si="178"/>
        <v>18</v>
      </c>
      <c r="HH252" s="14" t="str">
        <f t="shared" si="179"/>
        <v>神器4-1</v>
      </c>
      <c r="HI252" s="14">
        <f t="shared" si="180"/>
        <v>10</v>
      </c>
      <c r="HJ252" s="14" t="s">
        <v>1595</v>
      </c>
      <c r="HK252" s="14">
        <f t="shared" si="181"/>
        <v>4250</v>
      </c>
    </row>
    <row r="253" spans="41:219" ht="16.5" x14ac:dyDescent="0.2">
      <c r="AO253" s="87">
        <v>7</v>
      </c>
      <c r="AP253" s="87">
        <v>2</v>
      </c>
      <c r="AQ253" s="87">
        <v>57</v>
      </c>
      <c r="AR253" s="144">
        <f t="shared" si="167"/>
        <v>4457</v>
      </c>
      <c r="AS253" s="144" t="s">
        <v>1251</v>
      </c>
      <c r="AT253" s="144" t="str">
        <f t="shared" si="168"/>
        <v>神器本-7-困难-1  神器5-2</v>
      </c>
      <c r="AU253" s="87">
        <v>22</v>
      </c>
      <c r="AV253" s="87" t="s">
        <v>328</v>
      </c>
      <c r="AW253" s="87">
        <v>700</v>
      </c>
      <c r="AX253" s="87">
        <v>1</v>
      </c>
      <c r="AY253" s="87">
        <v>1</v>
      </c>
      <c r="AZ253" s="87">
        <f t="shared" si="184"/>
        <v>1</v>
      </c>
      <c r="BA253" s="14">
        <f t="shared" si="185"/>
        <v>7.0000000000000007E-2</v>
      </c>
      <c r="BB253" s="14">
        <f t="shared" si="186"/>
        <v>2.1</v>
      </c>
      <c r="GY253" s="91">
        <v>247</v>
      </c>
      <c r="GZ253" s="14">
        <f t="shared" si="172"/>
        <v>16</v>
      </c>
      <c r="HA253" s="14">
        <f t="shared" si="173"/>
        <v>4</v>
      </c>
      <c r="HB253" s="14">
        <f t="shared" si="174"/>
        <v>1</v>
      </c>
      <c r="HC253" s="14">
        <f t="shared" si="175"/>
        <v>0.23200000000000001</v>
      </c>
      <c r="HD253" s="14">
        <f t="shared" si="176"/>
        <v>1606018</v>
      </c>
      <c r="HE253" s="14" t="str">
        <f t="shared" si="177"/>
        <v>神器4-2 : 1级</v>
      </c>
      <c r="HF253" s="14" t="s">
        <v>800</v>
      </c>
      <c r="HG253" s="14">
        <f t="shared" si="178"/>
        <v>1</v>
      </c>
      <c r="HH253" s="14" t="str">
        <f t="shared" si="179"/>
        <v>神器4-2</v>
      </c>
      <c r="HI253" s="14">
        <f t="shared" si="180"/>
        <v>1</v>
      </c>
      <c r="HJ253" s="14" t="s">
        <v>1595</v>
      </c>
      <c r="HK253" s="14">
        <f t="shared" si="181"/>
        <v>2850</v>
      </c>
    </row>
    <row r="254" spans="41:219" ht="16.5" x14ac:dyDescent="0.2">
      <c r="AO254" s="87">
        <v>7</v>
      </c>
      <c r="AP254" s="87">
        <v>2</v>
      </c>
      <c r="AQ254" s="87">
        <v>57</v>
      </c>
      <c r="AR254" s="144">
        <f t="shared" si="167"/>
        <v>4457</v>
      </c>
      <c r="AS254" s="144" t="s">
        <v>1251</v>
      </c>
      <c r="AT254" s="144" t="str">
        <f t="shared" si="168"/>
        <v>神器本-7-困难-1  神器5-3</v>
      </c>
      <c r="AU254" s="87">
        <v>23</v>
      </c>
      <c r="AV254" s="87" t="s">
        <v>329</v>
      </c>
      <c r="AW254" s="87">
        <v>414</v>
      </c>
      <c r="AX254" s="87">
        <v>1</v>
      </c>
      <c r="AY254" s="87">
        <v>1</v>
      </c>
      <c r="AZ254" s="87">
        <f t="shared" si="184"/>
        <v>2</v>
      </c>
      <c r="BA254" s="14">
        <f t="shared" si="185"/>
        <v>4.1399999999999999E-2</v>
      </c>
      <c r="BB254" s="14">
        <f t="shared" si="186"/>
        <v>3.726</v>
      </c>
      <c r="GY254" s="91">
        <v>248</v>
      </c>
      <c r="GZ254" s="14">
        <f t="shared" si="172"/>
        <v>16</v>
      </c>
      <c r="HA254" s="14">
        <f t="shared" si="173"/>
        <v>4</v>
      </c>
      <c r="HB254" s="14">
        <f t="shared" si="174"/>
        <v>1</v>
      </c>
      <c r="HC254" s="14">
        <f t="shared" si="175"/>
        <v>0.24099999999999999</v>
      </c>
      <c r="HD254" s="14">
        <f t="shared" si="176"/>
        <v>1606018</v>
      </c>
      <c r="HE254" s="14" t="str">
        <f t="shared" si="177"/>
        <v>神器4-2 : 2级</v>
      </c>
      <c r="HF254" s="14" t="s">
        <v>800</v>
      </c>
      <c r="HG254" s="14">
        <f t="shared" si="178"/>
        <v>2</v>
      </c>
      <c r="HH254" s="14" t="str">
        <f t="shared" si="179"/>
        <v>神器4-2</v>
      </c>
      <c r="HI254" s="14">
        <f t="shared" si="180"/>
        <v>1</v>
      </c>
      <c r="HJ254" s="14" t="s">
        <v>1595</v>
      </c>
      <c r="HK254" s="14">
        <f t="shared" si="181"/>
        <v>2950</v>
      </c>
    </row>
    <row r="255" spans="41:219" ht="16.5" x14ac:dyDescent="0.2">
      <c r="AO255" s="87">
        <v>7</v>
      </c>
      <c r="AP255" s="87">
        <v>2</v>
      </c>
      <c r="AQ255" s="87">
        <v>57</v>
      </c>
      <c r="AR255" s="144">
        <f t="shared" si="167"/>
        <v>4457</v>
      </c>
      <c r="AS255" s="144" t="s">
        <v>1251</v>
      </c>
      <c r="AT255" s="144" t="str">
        <f t="shared" si="168"/>
        <v>神器本-7-困难-1  神器5-4</v>
      </c>
      <c r="AU255" s="87">
        <v>24</v>
      </c>
      <c r="AV255" s="87" t="s">
        <v>330</v>
      </c>
      <c r="AW255" s="87">
        <v>414</v>
      </c>
      <c r="AX255" s="87">
        <v>1</v>
      </c>
      <c r="AY255" s="87">
        <v>1</v>
      </c>
      <c r="AZ255" s="87">
        <f t="shared" si="184"/>
        <v>2</v>
      </c>
      <c r="BA255" s="14">
        <f t="shared" si="185"/>
        <v>4.1399999999999999E-2</v>
      </c>
      <c r="BB255" s="14">
        <f t="shared" si="186"/>
        <v>3.726</v>
      </c>
      <c r="GY255" s="91">
        <v>249</v>
      </c>
      <c r="GZ255" s="14">
        <f t="shared" si="172"/>
        <v>16</v>
      </c>
      <c r="HA255" s="14">
        <f t="shared" si="173"/>
        <v>4</v>
      </c>
      <c r="HB255" s="14">
        <f t="shared" si="174"/>
        <v>1</v>
      </c>
      <c r="HC255" s="14">
        <f t="shared" si="175"/>
        <v>0.249</v>
      </c>
      <c r="HD255" s="14">
        <f t="shared" si="176"/>
        <v>1606018</v>
      </c>
      <c r="HE255" s="14" t="str">
        <f t="shared" si="177"/>
        <v>神器4-2 : 3级</v>
      </c>
      <c r="HF255" s="14" t="s">
        <v>800</v>
      </c>
      <c r="HG255" s="14">
        <f t="shared" si="178"/>
        <v>3</v>
      </c>
      <c r="HH255" s="14" t="str">
        <f t="shared" si="179"/>
        <v>神器4-2</v>
      </c>
      <c r="HI255" s="14">
        <f t="shared" si="180"/>
        <v>1</v>
      </c>
      <c r="HJ255" s="14" t="s">
        <v>1595</v>
      </c>
      <c r="HK255" s="14">
        <f t="shared" si="181"/>
        <v>3050</v>
      </c>
    </row>
    <row r="256" spans="41:219" ht="16.5" x14ac:dyDescent="0.2">
      <c r="AO256" s="87">
        <v>7</v>
      </c>
      <c r="AP256" s="87">
        <v>2</v>
      </c>
      <c r="AQ256" s="87">
        <v>57</v>
      </c>
      <c r="AR256" s="144">
        <f t="shared" si="167"/>
        <v>4457</v>
      </c>
      <c r="AS256" s="144" t="s">
        <v>1251</v>
      </c>
      <c r="AT256" s="144" t="str">
        <f t="shared" si="168"/>
        <v>神器本-7-困难-1  神器5-5</v>
      </c>
      <c r="AU256" s="87">
        <v>25</v>
      </c>
      <c r="AV256" s="87" t="s">
        <v>331</v>
      </c>
      <c r="AW256" s="87">
        <v>275</v>
      </c>
      <c r="AX256" s="87">
        <v>1</v>
      </c>
      <c r="AY256" s="87">
        <v>1</v>
      </c>
      <c r="AZ256" s="87">
        <f t="shared" si="184"/>
        <v>3</v>
      </c>
      <c r="BA256" s="14">
        <f t="shared" si="185"/>
        <v>2.75E-2</v>
      </c>
      <c r="BB256" s="14">
        <f t="shared" si="186"/>
        <v>5.7750000000000004</v>
      </c>
      <c r="GY256" s="91">
        <v>250</v>
      </c>
      <c r="GZ256" s="14">
        <f t="shared" si="172"/>
        <v>16</v>
      </c>
      <c r="HA256" s="14">
        <f t="shared" si="173"/>
        <v>4</v>
      </c>
      <c r="HB256" s="14">
        <f t="shared" si="174"/>
        <v>1</v>
      </c>
      <c r="HC256" s="14">
        <f t="shared" si="175"/>
        <v>0.25700000000000001</v>
      </c>
      <c r="HD256" s="14">
        <f t="shared" si="176"/>
        <v>1606018</v>
      </c>
      <c r="HE256" s="14" t="str">
        <f t="shared" si="177"/>
        <v>神器4-2 : 4级</v>
      </c>
      <c r="HF256" s="14" t="s">
        <v>800</v>
      </c>
      <c r="HG256" s="14">
        <f t="shared" si="178"/>
        <v>4</v>
      </c>
      <c r="HH256" s="14" t="str">
        <f t="shared" si="179"/>
        <v>神器4-2</v>
      </c>
      <c r="HI256" s="14">
        <f t="shared" si="180"/>
        <v>2</v>
      </c>
      <c r="HJ256" s="14" t="s">
        <v>1595</v>
      </c>
      <c r="HK256" s="14">
        <f t="shared" si="181"/>
        <v>3150</v>
      </c>
    </row>
    <row r="257" spans="41:219" ht="16.5" x14ac:dyDescent="0.2">
      <c r="AO257" s="87">
        <v>7</v>
      </c>
      <c r="AP257" s="87">
        <v>2</v>
      </c>
      <c r="AQ257" s="87">
        <v>57</v>
      </c>
      <c r="AR257" s="144">
        <f t="shared" si="167"/>
        <v>4457</v>
      </c>
      <c r="AS257" s="144" t="s">
        <v>1251</v>
      </c>
      <c r="AT257" s="144" t="str">
        <f t="shared" si="168"/>
        <v>神器本-7-困难-1  神器5-6</v>
      </c>
      <c r="AU257" s="87">
        <v>26</v>
      </c>
      <c r="AV257" s="87" t="s">
        <v>332</v>
      </c>
      <c r="AW257" s="87">
        <v>139</v>
      </c>
      <c r="AX257" s="87">
        <v>1</v>
      </c>
      <c r="AY257" s="87">
        <v>1</v>
      </c>
      <c r="AZ257" s="87">
        <f t="shared" si="184"/>
        <v>4</v>
      </c>
      <c r="BA257" s="14">
        <f t="shared" si="185"/>
        <v>1.3899999999999999E-2</v>
      </c>
      <c r="BB257" s="14">
        <f t="shared" si="186"/>
        <v>6.2549999999999999</v>
      </c>
      <c r="GY257" s="91">
        <v>251</v>
      </c>
      <c r="GZ257" s="14">
        <f t="shared" si="172"/>
        <v>16</v>
      </c>
      <c r="HA257" s="14">
        <f t="shared" si="173"/>
        <v>4</v>
      </c>
      <c r="HB257" s="14">
        <f t="shared" si="174"/>
        <v>1</v>
      </c>
      <c r="HC257" s="14">
        <f t="shared" si="175"/>
        <v>0.26500000000000001</v>
      </c>
      <c r="HD257" s="14">
        <f t="shared" si="176"/>
        <v>1606018</v>
      </c>
      <c r="HE257" s="14" t="str">
        <f t="shared" si="177"/>
        <v>神器4-2 : 5级</v>
      </c>
      <c r="HF257" s="14" t="s">
        <v>800</v>
      </c>
      <c r="HG257" s="14">
        <f t="shared" si="178"/>
        <v>5</v>
      </c>
      <c r="HH257" s="14" t="str">
        <f t="shared" si="179"/>
        <v>神器4-2</v>
      </c>
      <c r="HI257" s="14">
        <f t="shared" si="180"/>
        <v>2</v>
      </c>
      <c r="HJ257" s="14" t="s">
        <v>1595</v>
      </c>
      <c r="HK257" s="14">
        <f t="shared" si="181"/>
        <v>3250</v>
      </c>
    </row>
    <row r="258" spans="41:219" ht="16.5" x14ac:dyDescent="0.2">
      <c r="AO258" s="87">
        <v>7</v>
      </c>
      <c r="AP258" s="87">
        <v>2</v>
      </c>
      <c r="AQ258" s="87">
        <v>57</v>
      </c>
      <c r="AR258" s="144">
        <f t="shared" si="167"/>
        <v>4457</v>
      </c>
      <c r="AS258" s="144" t="s">
        <v>1251</v>
      </c>
      <c r="AT258" s="144" t="str">
        <f t="shared" si="168"/>
        <v>神器本-7-困难-1  神器6-1</v>
      </c>
      <c r="AU258" s="87">
        <v>27</v>
      </c>
      <c r="AV258" s="87" t="s">
        <v>786</v>
      </c>
      <c r="AW258" s="87">
        <v>416</v>
      </c>
      <c r="AX258" s="87">
        <v>1</v>
      </c>
      <c r="AY258" s="87">
        <v>1</v>
      </c>
      <c r="AZ258" s="87">
        <f t="shared" ref="AZ258:AZ263" si="187">INDEX($AK$7:$AK$48,AU258)</f>
        <v>2</v>
      </c>
      <c r="BA258" s="14">
        <f t="shared" ref="BA258:BA263" si="188">(AX258+AY258)/2*AW258/10000</f>
        <v>4.1599999999999998E-2</v>
      </c>
      <c r="BB258" s="14">
        <f t="shared" ref="BB258:BB263" si="189">(AX258+AY258)/2*AW258/10000*INDEX($AL$7:$AL$48,AU258)</f>
        <v>4.992</v>
      </c>
      <c r="GY258" s="91">
        <v>252</v>
      </c>
      <c r="GZ258" s="14">
        <f t="shared" si="172"/>
        <v>16</v>
      </c>
      <c r="HA258" s="14">
        <f t="shared" si="173"/>
        <v>4</v>
      </c>
      <c r="HB258" s="14">
        <f t="shared" si="174"/>
        <v>1</v>
      </c>
      <c r="HC258" s="14">
        <f t="shared" si="175"/>
        <v>0.27200000000000002</v>
      </c>
      <c r="HD258" s="14">
        <f t="shared" si="176"/>
        <v>1606018</v>
      </c>
      <c r="HE258" s="14" t="str">
        <f t="shared" si="177"/>
        <v>神器4-2 : 6级</v>
      </c>
      <c r="HF258" s="14" t="s">
        <v>800</v>
      </c>
      <c r="HG258" s="14">
        <f t="shared" si="178"/>
        <v>6</v>
      </c>
      <c r="HH258" s="14" t="str">
        <f t="shared" si="179"/>
        <v>神器4-2</v>
      </c>
      <c r="HI258" s="14">
        <f t="shared" si="180"/>
        <v>2</v>
      </c>
      <c r="HJ258" s="14" t="s">
        <v>1595</v>
      </c>
      <c r="HK258" s="14">
        <f t="shared" si="181"/>
        <v>3350</v>
      </c>
    </row>
    <row r="259" spans="41:219" ht="16.5" x14ac:dyDescent="0.2">
      <c r="AO259" s="87">
        <v>7</v>
      </c>
      <c r="AP259" s="87">
        <v>2</v>
      </c>
      <c r="AQ259" s="87">
        <v>57</v>
      </c>
      <c r="AR259" s="144">
        <f t="shared" si="167"/>
        <v>4457</v>
      </c>
      <c r="AS259" s="144" t="s">
        <v>1251</v>
      </c>
      <c r="AT259" s="144" t="str">
        <f t="shared" si="168"/>
        <v>神器本-7-困难-1  神器6-2</v>
      </c>
      <c r="AU259" s="87">
        <v>28</v>
      </c>
      <c r="AV259" s="87" t="s">
        <v>334</v>
      </c>
      <c r="AW259" s="87">
        <v>416</v>
      </c>
      <c r="AX259" s="87">
        <v>1</v>
      </c>
      <c r="AY259" s="87">
        <v>1</v>
      </c>
      <c r="AZ259" s="87">
        <f t="shared" si="187"/>
        <v>2</v>
      </c>
      <c r="BA259" s="14">
        <f t="shared" si="188"/>
        <v>4.1599999999999998E-2</v>
      </c>
      <c r="BB259" s="14">
        <f t="shared" si="189"/>
        <v>4.992</v>
      </c>
      <c r="GY259" s="91">
        <v>253</v>
      </c>
      <c r="GZ259" s="14">
        <f t="shared" si="172"/>
        <v>16</v>
      </c>
      <c r="HA259" s="14">
        <f t="shared" si="173"/>
        <v>4</v>
      </c>
      <c r="HB259" s="14">
        <f t="shared" si="174"/>
        <v>1</v>
      </c>
      <c r="HC259" s="14">
        <f t="shared" si="175"/>
        <v>0.27900000000000003</v>
      </c>
      <c r="HD259" s="14">
        <f t="shared" si="176"/>
        <v>1606018</v>
      </c>
      <c r="HE259" s="14" t="str">
        <f t="shared" si="177"/>
        <v>神器4-2 : 7级</v>
      </c>
      <c r="HF259" s="14" t="s">
        <v>800</v>
      </c>
      <c r="HG259" s="14">
        <f t="shared" si="178"/>
        <v>7</v>
      </c>
      <c r="HH259" s="14" t="str">
        <f t="shared" si="179"/>
        <v>神器4-2</v>
      </c>
      <c r="HI259" s="14">
        <f t="shared" si="180"/>
        <v>3</v>
      </c>
      <c r="HJ259" s="14" t="s">
        <v>1595</v>
      </c>
      <c r="HK259" s="14">
        <f t="shared" si="181"/>
        <v>3400</v>
      </c>
    </row>
    <row r="260" spans="41:219" ht="16.5" x14ac:dyDescent="0.2">
      <c r="AO260" s="87">
        <v>7</v>
      </c>
      <c r="AP260" s="87">
        <v>2</v>
      </c>
      <c r="AQ260" s="87">
        <v>57</v>
      </c>
      <c r="AR260" s="144">
        <f t="shared" si="167"/>
        <v>4457</v>
      </c>
      <c r="AS260" s="144" t="s">
        <v>1251</v>
      </c>
      <c r="AT260" s="144" t="str">
        <f t="shared" si="168"/>
        <v>神器本-7-困难-1  神器6-3</v>
      </c>
      <c r="AU260" s="87">
        <v>29</v>
      </c>
      <c r="AV260" s="87" t="s">
        <v>335</v>
      </c>
      <c r="AW260" s="87">
        <v>416</v>
      </c>
      <c r="AX260" s="87">
        <v>1</v>
      </c>
      <c r="AY260" s="87">
        <v>1</v>
      </c>
      <c r="AZ260" s="87">
        <f t="shared" si="187"/>
        <v>2</v>
      </c>
      <c r="BA260" s="14">
        <f t="shared" si="188"/>
        <v>4.1599999999999998E-2</v>
      </c>
      <c r="BB260" s="14">
        <f t="shared" si="189"/>
        <v>4.992</v>
      </c>
      <c r="GY260" s="91">
        <v>254</v>
      </c>
      <c r="GZ260" s="14">
        <f t="shared" si="172"/>
        <v>16</v>
      </c>
      <c r="HA260" s="14">
        <f t="shared" si="173"/>
        <v>4</v>
      </c>
      <c r="HB260" s="14">
        <f t="shared" si="174"/>
        <v>1</v>
      </c>
      <c r="HC260" s="14">
        <f t="shared" si="175"/>
        <v>0.28599999999999998</v>
      </c>
      <c r="HD260" s="14">
        <f t="shared" si="176"/>
        <v>1606018</v>
      </c>
      <c r="HE260" s="14" t="str">
        <f t="shared" si="177"/>
        <v>神器4-2 : 8级</v>
      </c>
      <c r="HF260" s="14" t="s">
        <v>800</v>
      </c>
      <c r="HG260" s="14">
        <f t="shared" si="178"/>
        <v>8</v>
      </c>
      <c r="HH260" s="14" t="str">
        <f t="shared" si="179"/>
        <v>神器4-2</v>
      </c>
      <c r="HI260" s="14">
        <f t="shared" si="180"/>
        <v>3</v>
      </c>
      <c r="HJ260" s="14" t="s">
        <v>1595</v>
      </c>
      <c r="HK260" s="14">
        <f t="shared" si="181"/>
        <v>3500</v>
      </c>
    </row>
    <row r="261" spans="41:219" ht="16.5" x14ac:dyDescent="0.2">
      <c r="AO261" s="87">
        <v>7</v>
      </c>
      <c r="AP261" s="87">
        <v>2</v>
      </c>
      <c r="AQ261" s="87">
        <v>57</v>
      </c>
      <c r="AR261" s="144">
        <f t="shared" si="167"/>
        <v>4457</v>
      </c>
      <c r="AS261" s="144" t="s">
        <v>1251</v>
      </c>
      <c r="AT261" s="144" t="str">
        <f t="shared" si="168"/>
        <v>神器本-7-困难-1  神器6-4</v>
      </c>
      <c r="AU261" s="87">
        <v>30</v>
      </c>
      <c r="AV261" s="87" t="s">
        <v>336</v>
      </c>
      <c r="AW261" s="87">
        <v>276</v>
      </c>
      <c r="AX261" s="87">
        <v>1</v>
      </c>
      <c r="AY261" s="87">
        <v>1</v>
      </c>
      <c r="AZ261" s="87">
        <f t="shared" si="187"/>
        <v>3</v>
      </c>
      <c r="BA261" s="14">
        <f t="shared" si="188"/>
        <v>2.76E-2</v>
      </c>
      <c r="BB261" s="14">
        <f t="shared" si="189"/>
        <v>7.7279999999999998</v>
      </c>
      <c r="GY261" s="91">
        <v>255</v>
      </c>
      <c r="GZ261" s="14">
        <f t="shared" si="172"/>
        <v>16</v>
      </c>
      <c r="HA261" s="14">
        <f t="shared" si="173"/>
        <v>4</v>
      </c>
      <c r="HB261" s="14">
        <f t="shared" si="174"/>
        <v>1</v>
      </c>
      <c r="HC261" s="14">
        <f t="shared" si="175"/>
        <v>0.29299999999999998</v>
      </c>
      <c r="HD261" s="14">
        <f t="shared" si="176"/>
        <v>1606018</v>
      </c>
      <c r="HE261" s="14" t="str">
        <f t="shared" si="177"/>
        <v>神器4-2 : 9级</v>
      </c>
      <c r="HF261" s="14" t="s">
        <v>800</v>
      </c>
      <c r="HG261" s="14">
        <f t="shared" si="178"/>
        <v>9</v>
      </c>
      <c r="HH261" s="14" t="str">
        <f t="shared" si="179"/>
        <v>神器4-2</v>
      </c>
      <c r="HI261" s="14">
        <f t="shared" si="180"/>
        <v>3</v>
      </c>
      <c r="HJ261" s="14" t="s">
        <v>1595</v>
      </c>
      <c r="HK261" s="14">
        <f t="shared" si="181"/>
        <v>3600</v>
      </c>
    </row>
    <row r="262" spans="41:219" ht="16.5" x14ac:dyDescent="0.2">
      <c r="AO262" s="87">
        <v>7</v>
      </c>
      <c r="AP262" s="87">
        <v>2</v>
      </c>
      <c r="AQ262" s="87">
        <v>57</v>
      </c>
      <c r="AR262" s="144">
        <f t="shared" si="167"/>
        <v>4457</v>
      </c>
      <c r="AS262" s="144" t="s">
        <v>1251</v>
      </c>
      <c r="AT262" s="144" t="str">
        <f t="shared" si="168"/>
        <v>神器本-7-困难-1  神器6-5</v>
      </c>
      <c r="AU262" s="87">
        <v>31</v>
      </c>
      <c r="AV262" s="87" t="s">
        <v>337</v>
      </c>
      <c r="AW262" s="87">
        <v>276</v>
      </c>
      <c r="AX262" s="87">
        <v>1</v>
      </c>
      <c r="AY262" s="87">
        <v>1</v>
      </c>
      <c r="AZ262" s="87">
        <f t="shared" si="187"/>
        <v>3</v>
      </c>
      <c r="BA262" s="14">
        <f t="shared" si="188"/>
        <v>2.76E-2</v>
      </c>
      <c r="BB262" s="14">
        <f t="shared" si="189"/>
        <v>7.7279999999999998</v>
      </c>
      <c r="GY262" s="91">
        <v>256</v>
      </c>
      <c r="GZ262" s="14">
        <f t="shared" si="172"/>
        <v>16</v>
      </c>
      <c r="HA262" s="14">
        <f t="shared" si="173"/>
        <v>4</v>
      </c>
      <c r="HB262" s="14">
        <f t="shared" si="174"/>
        <v>1</v>
      </c>
      <c r="HC262" s="14">
        <f t="shared" si="175"/>
        <v>0.3</v>
      </c>
      <c r="HD262" s="14">
        <f t="shared" si="176"/>
        <v>1606018</v>
      </c>
      <c r="HE262" s="14" t="str">
        <f t="shared" si="177"/>
        <v>神器4-2 : 10级</v>
      </c>
      <c r="HF262" s="14" t="s">
        <v>800</v>
      </c>
      <c r="HG262" s="14">
        <f t="shared" si="178"/>
        <v>10</v>
      </c>
      <c r="HH262" s="14" t="str">
        <f t="shared" si="179"/>
        <v>神器4-2</v>
      </c>
      <c r="HI262" s="14">
        <f t="shared" si="180"/>
        <v>5</v>
      </c>
      <c r="HJ262" s="14" t="s">
        <v>1595</v>
      </c>
      <c r="HK262" s="14">
        <f t="shared" si="181"/>
        <v>3650</v>
      </c>
    </row>
    <row r="263" spans="41:219" ht="16.5" x14ac:dyDescent="0.2">
      <c r="AO263" s="87">
        <v>7</v>
      </c>
      <c r="AP263" s="87">
        <v>2</v>
      </c>
      <c r="AQ263" s="87">
        <v>57</v>
      </c>
      <c r="AR263" s="144">
        <f t="shared" si="167"/>
        <v>4457</v>
      </c>
      <c r="AS263" s="144" t="s">
        <v>1251</v>
      </c>
      <c r="AT263" s="144" t="str">
        <f t="shared" si="168"/>
        <v>神器本-7-困难-1  神器6-6</v>
      </c>
      <c r="AU263" s="87">
        <v>32</v>
      </c>
      <c r="AV263" s="87" t="s">
        <v>338</v>
      </c>
      <c r="AW263" s="87">
        <v>276</v>
      </c>
      <c r="AX263" s="87">
        <v>1</v>
      </c>
      <c r="AY263" s="87">
        <v>1</v>
      </c>
      <c r="AZ263" s="87">
        <f t="shared" si="187"/>
        <v>3</v>
      </c>
      <c r="BA263" s="14">
        <f t="shared" si="188"/>
        <v>2.76E-2</v>
      </c>
      <c r="BB263" s="14">
        <f t="shared" si="189"/>
        <v>7.7279999999999998</v>
      </c>
      <c r="GY263" s="91">
        <v>257</v>
      </c>
      <c r="GZ263" s="14">
        <f t="shared" si="172"/>
        <v>16</v>
      </c>
      <c r="HA263" s="14">
        <f t="shared" si="173"/>
        <v>4</v>
      </c>
      <c r="HB263" s="14">
        <f t="shared" si="174"/>
        <v>1</v>
      </c>
      <c r="HC263" s="14">
        <f t="shared" si="175"/>
        <v>0.307</v>
      </c>
      <c r="HD263" s="14">
        <f t="shared" si="176"/>
        <v>1606018</v>
      </c>
      <c r="HE263" s="14" t="str">
        <f t="shared" si="177"/>
        <v>神器4-2 : 11级</v>
      </c>
      <c r="HF263" s="14" t="s">
        <v>800</v>
      </c>
      <c r="HG263" s="14">
        <f t="shared" si="178"/>
        <v>11</v>
      </c>
      <c r="HH263" s="14" t="str">
        <f t="shared" si="179"/>
        <v>神器4-2</v>
      </c>
      <c r="HI263" s="14">
        <f t="shared" si="180"/>
        <v>5</v>
      </c>
      <c r="HJ263" s="14" t="s">
        <v>1595</v>
      </c>
      <c r="HK263" s="14">
        <f t="shared" si="181"/>
        <v>3750</v>
      </c>
    </row>
    <row r="264" spans="41:219" ht="16.5" x14ac:dyDescent="0.2">
      <c r="AO264" s="87">
        <v>7</v>
      </c>
      <c r="AP264" s="87">
        <v>2</v>
      </c>
      <c r="AQ264" s="87">
        <v>58</v>
      </c>
      <c r="AR264" s="144">
        <f t="shared" ref="AR264:AR301" si="190">4400+AQ264</f>
        <v>4458</v>
      </c>
      <c r="AS264" s="144" t="s">
        <v>1252</v>
      </c>
      <c r="AT264" s="144" t="str">
        <f t="shared" ref="AT264:AT301" si="191">AS264&amp;"  "&amp;AV264</f>
        <v>神器本-7-困难-2  神器7-1</v>
      </c>
      <c r="AU264" s="87">
        <v>35</v>
      </c>
      <c r="AV264" s="87" t="s">
        <v>341</v>
      </c>
      <c r="AW264" s="87">
        <v>2000</v>
      </c>
      <c r="AX264" s="87">
        <v>1</v>
      </c>
      <c r="AY264" s="87">
        <v>2</v>
      </c>
      <c r="AZ264" s="87">
        <f t="shared" ref="AZ264:AZ275" si="192">INDEX($AK$7:$AK$48,AU264)</f>
        <v>2</v>
      </c>
      <c r="BA264" s="14">
        <f t="shared" ref="BA264:BA275" si="193">(AX264+AY264)/2*AW264/10000</f>
        <v>0.3</v>
      </c>
      <c r="BB264" s="14">
        <f t="shared" ref="BB264:BB275" si="194">(AX264+AY264)/2*AW264/10000*INDEX($AL$7:$AL$48,AU264)</f>
        <v>45</v>
      </c>
      <c r="GY264" s="91">
        <v>258</v>
      </c>
      <c r="GZ264" s="14">
        <f t="shared" ref="GZ264:GZ327" si="195">MATCH(GY264-1,$R$7:$R$49,1)</f>
        <v>16</v>
      </c>
      <c r="HA264" s="14">
        <f t="shared" ref="HA264:HA327" si="196">INDEX($N$8:$N$49,GZ264)</f>
        <v>4</v>
      </c>
      <c r="HB264" s="14">
        <f t="shared" ref="HB264:HB327" si="197">INDEX($P$8:$P$49,GZ264)</f>
        <v>1</v>
      </c>
      <c r="HC264" s="14">
        <f t="shared" ref="HC264:HC327" si="198">ROUND(SQRT(INDEX($BJ$7:$BJ$27,HG264)*INDEX($H$7:$H$10,HB264)),3)</f>
        <v>0.313</v>
      </c>
      <c r="HD264" s="14">
        <f t="shared" ref="HD264:HD327" si="199">INDEX($S$8:$S$49,GZ264)</f>
        <v>1606018</v>
      </c>
      <c r="HE264" s="14" t="str">
        <f t="shared" ref="HE264:HE327" si="200">INDEX($T$8:$T$49,GZ264)&amp;" : "&amp;HG264&amp;"级"</f>
        <v>神器4-2 : 12级</v>
      </c>
      <c r="HF264" s="14" t="s">
        <v>800</v>
      </c>
      <c r="HG264" s="14">
        <f t="shared" ref="HG264:HG327" si="201">GY264-INDEX($R$7:$R$49,GZ264)</f>
        <v>12</v>
      </c>
      <c r="HH264" s="14" t="str">
        <f t="shared" ref="HH264:HH327" si="202">INDEX($T$8:$T$49,GZ264)</f>
        <v>神器4-2</v>
      </c>
      <c r="HI264" s="14">
        <f t="shared" ref="HI264:HI327" si="203">INDEX($K$8:$K$28,HG264)</f>
        <v>6</v>
      </c>
      <c r="HJ264" s="14" t="s">
        <v>1595</v>
      </c>
      <c r="HK264" s="14">
        <f t="shared" ref="HK264:HK327" si="204">ROUND(INDEX($Y$8:$Y$14,HA264)/INDEX($Z$8:$Z$14,HA264)*HC264/50,0)*50</f>
        <v>3850</v>
      </c>
    </row>
    <row r="265" spans="41:219" ht="16.5" x14ac:dyDescent="0.2">
      <c r="AO265" s="87">
        <v>7</v>
      </c>
      <c r="AP265" s="87">
        <v>2</v>
      </c>
      <c r="AQ265" s="87">
        <v>58</v>
      </c>
      <c r="AR265" s="144">
        <f t="shared" si="190"/>
        <v>4458</v>
      </c>
      <c r="AS265" s="144" t="s">
        <v>1252</v>
      </c>
      <c r="AT265" s="144" t="str">
        <f t="shared" si="191"/>
        <v>神器本-7-困难-2  神器7-2</v>
      </c>
      <c r="AU265" s="87">
        <v>36</v>
      </c>
      <c r="AV265" s="87" t="s">
        <v>342</v>
      </c>
      <c r="AW265" s="87">
        <v>2000</v>
      </c>
      <c r="AX265" s="87">
        <v>1</v>
      </c>
      <c r="AY265" s="87">
        <v>2</v>
      </c>
      <c r="AZ265" s="87">
        <f t="shared" si="192"/>
        <v>2</v>
      </c>
      <c r="BA265" s="14">
        <f t="shared" si="193"/>
        <v>0.3</v>
      </c>
      <c r="BB265" s="14">
        <f t="shared" si="194"/>
        <v>45</v>
      </c>
      <c r="GY265" s="91">
        <v>259</v>
      </c>
      <c r="GZ265" s="14">
        <f t="shared" si="195"/>
        <v>16</v>
      </c>
      <c r="HA265" s="14">
        <f t="shared" si="196"/>
        <v>4</v>
      </c>
      <c r="HB265" s="14">
        <f t="shared" si="197"/>
        <v>1</v>
      </c>
      <c r="HC265" s="14">
        <f t="shared" si="198"/>
        <v>0.31900000000000001</v>
      </c>
      <c r="HD265" s="14">
        <f t="shared" si="199"/>
        <v>1606018</v>
      </c>
      <c r="HE265" s="14" t="str">
        <f t="shared" si="200"/>
        <v>神器4-2 : 13级</v>
      </c>
      <c r="HF265" s="14" t="s">
        <v>800</v>
      </c>
      <c r="HG265" s="14">
        <f t="shared" si="201"/>
        <v>13</v>
      </c>
      <c r="HH265" s="14" t="str">
        <f t="shared" si="202"/>
        <v>神器4-2</v>
      </c>
      <c r="HI265" s="14">
        <f t="shared" si="203"/>
        <v>7</v>
      </c>
      <c r="HJ265" s="14" t="s">
        <v>1595</v>
      </c>
      <c r="HK265" s="14">
        <f t="shared" si="204"/>
        <v>3900</v>
      </c>
    </row>
    <row r="266" spans="41:219" ht="16.5" x14ac:dyDescent="0.2">
      <c r="AO266" s="87">
        <v>7</v>
      </c>
      <c r="AP266" s="87">
        <v>2</v>
      </c>
      <c r="AQ266" s="87">
        <v>58</v>
      </c>
      <c r="AR266" s="144">
        <f t="shared" si="190"/>
        <v>4458</v>
      </c>
      <c r="AS266" s="144" t="s">
        <v>1252</v>
      </c>
      <c r="AT266" s="144" t="str">
        <f t="shared" si="191"/>
        <v>神器本-7-困难-2  神器7-3</v>
      </c>
      <c r="AU266" s="87">
        <v>37</v>
      </c>
      <c r="AV266" s="87" t="s">
        <v>343</v>
      </c>
      <c r="AW266" s="87">
        <v>2000</v>
      </c>
      <c r="AX266" s="87">
        <v>1</v>
      </c>
      <c r="AY266" s="87">
        <v>2</v>
      </c>
      <c r="AZ266" s="87">
        <f t="shared" si="192"/>
        <v>2</v>
      </c>
      <c r="BA266" s="14">
        <f t="shared" si="193"/>
        <v>0.3</v>
      </c>
      <c r="BB266" s="14">
        <f t="shared" si="194"/>
        <v>45</v>
      </c>
      <c r="GY266" s="91">
        <v>260</v>
      </c>
      <c r="GZ266" s="14">
        <f t="shared" si="195"/>
        <v>16</v>
      </c>
      <c r="HA266" s="14">
        <f t="shared" si="196"/>
        <v>4</v>
      </c>
      <c r="HB266" s="14">
        <f t="shared" si="197"/>
        <v>1</v>
      </c>
      <c r="HC266" s="14">
        <f t="shared" si="198"/>
        <v>0.32600000000000001</v>
      </c>
      <c r="HD266" s="14">
        <f t="shared" si="199"/>
        <v>1606018</v>
      </c>
      <c r="HE266" s="14" t="str">
        <f t="shared" si="200"/>
        <v>神器4-2 : 14级</v>
      </c>
      <c r="HF266" s="14" t="s">
        <v>800</v>
      </c>
      <c r="HG266" s="14">
        <f t="shared" si="201"/>
        <v>14</v>
      </c>
      <c r="HH266" s="14" t="str">
        <f t="shared" si="202"/>
        <v>神器4-2</v>
      </c>
      <c r="HI266" s="14">
        <f t="shared" si="203"/>
        <v>7</v>
      </c>
      <c r="HJ266" s="14" t="s">
        <v>1595</v>
      </c>
      <c r="HK266" s="14">
        <f t="shared" si="204"/>
        <v>4000</v>
      </c>
    </row>
    <row r="267" spans="41:219" ht="16.5" x14ac:dyDescent="0.2">
      <c r="AO267" s="87">
        <v>7</v>
      </c>
      <c r="AP267" s="87">
        <v>2</v>
      </c>
      <c r="AQ267" s="87">
        <v>59</v>
      </c>
      <c r="AR267" s="144">
        <f t="shared" si="190"/>
        <v>4459</v>
      </c>
      <c r="AS267" s="144" t="s">
        <v>1253</v>
      </c>
      <c r="AT267" s="144" t="str">
        <f t="shared" si="191"/>
        <v>神器本-7-困难-3  神器7-4</v>
      </c>
      <c r="AU267" s="87">
        <v>38</v>
      </c>
      <c r="AV267" s="87" t="s">
        <v>344</v>
      </c>
      <c r="AW267" s="87">
        <v>1000</v>
      </c>
      <c r="AX267" s="87">
        <v>1</v>
      </c>
      <c r="AY267" s="87">
        <v>1</v>
      </c>
      <c r="AZ267" s="87">
        <f t="shared" si="192"/>
        <v>3</v>
      </c>
      <c r="BA267" s="14">
        <f t="shared" si="193"/>
        <v>0.1</v>
      </c>
      <c r="BB267" s="14">
        <f t="shared" si="194"/>
        <v>35</v>
      </c>
      <c r="GY267" s="91">
        <v>261</v>
      </c>
      <c r="GZ267" s="14">
        <f t="shared" si="195"/>
        <v>16</v>
      </c>
      <c r="HA267" s="14">
        <f t="shared" si="196"/>
        <v>4</v>
      </c>
      <c r="HB267" s="14">
        <f t="shared" si="197"/>
        <v>1</v>
      </c>
      <c r="HC267" s="14">
        <f t="shared" si="198"/>
        <v>0.33200000000000002</v>
      </c>
      <c r="HD267" s="14">
        <f t="shared" si="199"/>
        <v>1606018</v>
      </c>
      <c r="HE267" s="14" t="str">
        <f t="shared" si="200"/>
        <v>神器4-2 : 15级</v>
      </c>
      <c r="HF267" s="14" t="s">
        <v>800</v>
      </c>
      <c r="HG267" s="14">
        <f t="shared" si="201"/>
        <v>15</v>
      </c>
      <c r="HH267" s="14" t="str">
        <f t="shared" si="202"/>
        <v>神器4-2</v>
      </c>
      <c r="HI267" s="14">
        <f t="shared" si="203"/>
        <v>7</v>
      </c>
      <c r="HJ267" s="14" t="s">
        <v>1595</v>
      </c>
      <c r="HK267" s="14">
        <f t="shared" si="204"/>
        <v>4050</v>
      </c>
    </row>
    <row r="268" spans="41:219" ht="16.5" x14ac:dyDescent="0.2">
      <c r="AO268" s="87">
        <v>7</v>
      </c>
      <c r="AP268" s="87">
        <v>2</v>
      </c>
      <c r="AQ268" s="87">
        <v>59</v>
      </c>
      <c r="AR268" s="144">
        <f t="shared" si="190"/>
        <v>4459</v>
      </c>
      <c r="AS268" s="144" t="s">
        <v>1253</v>
      </c>
      <c r="AT268" s="144" t="str">
        <f t="shared" si="191"/>
        <v>神器本-7-困难-3  神器7-5</v>
      </c>
      <c r="AU268" s="87">
        <v>39</v>
      </c>
      <c r="AV268" s="87" t="s">
        <v>345</v>
      </c>
      <c r="AW268" s="87">
        <v>1000</v>
      </c>
      <c r="AX268" s="87">
        <v>1</v>
      </c>
      <c r="AY268" s="87">
        <v>1</v>
      </c>
      <c r="AZ268" s="87">
        <f t="shared" si="192"/>
        <v>3</v>
      </c>
      <c r="BA268" s="14">
        <f t="shared" si="193"/>
        <v>0.1</v>
      </c>
      <c r="BB268" s="14">
        <f t="shared" si="194"/>
        <v>35</v>
      </c>
      <c r="GY268" s="91">
        <v>262</v>
      </c>
      <c r="GZ268" s="14">
        <f t="shared" si="195"/>
        <v>16</v>
      </c>
      <c r="HA268" s="14">
        <f t="shared" si="196"/>
        <v>4</v>
      </c>
      <c r="HB268" s="14">
        <f t="shared" si="197"/>
        <v>1</v>
      </c>
      <c r="HC268" s="14">
        <f t="shared" si="198"/>
        <v>0.33800000000000002</v>
      </c>
      <c r="HD268" s="14">
        <f t="shared" si="199"/>
        <v>1606018</v>
      </c>
      <c r="HE268" s="14" t="str">
        <f t="shared" si="200"/>
        <v>神器4-2 : 16级</v>
      </c>
      <c r="HF268" s="14" t="s">
        <v>800</v>
      </c>
      <c r="HG268" s="14">
        <f t="shared" si="201"/>
        <v>16</v>
      </c>
      <c r="HH268" s="14" t="str">
        <f t="shared" si="202"/>
        <v>神器4-2</v>
      </c>
      <c r="HI268" s="14">
        <f t="shared" si="203"/>
        <v>10</v>
      </c>
      <c r="HJ268" s="14" t="s">
        <v>1595</v>
      </c>
      <c r="HK268" s="14">
        <f t="shared" si="204"/>
        <v>4150</v>
      </c>
    </row>
    <row r="269" spans="41:219" ht="16.5" x14ac:dyDescent="0.2">
      <c r="AO269" s="87">
        <v>7</v>
      </c>
      <c r="AP269" s="87">
        <v>2</v>
      </c>
      <c r="AQ269" s="87">
        <v>59</v>
      </c>
      <c r="AR269" s="144">
        <f t="shared" si="190"/>
        <v>4459</v>
      </c>
      <c r="AS269" s="144" t="s">
        <v>1253</v>
      </c>
      <c r="AT269" s="144" t="str">
        <f t="shared" si="191"/>
        <v>神器本-7-困难-3  神器7-6</v>
      </c>
      <c r="AU269" s="87">
        <v>40</v>
      </c>
      <c r="AV269" s="87" t="s">
        <v>346</v>
      </c>
      <c r="AW269" s="87">
        <v>1000</v>
      </c>
      <c r="AX269" s="87">
        <v>1</v>
      </c>
      <c r="AY269" s="87">
        <v>1</v>
      </c>
      <c r="AZ269" s="87">
        <f t="shared" si="192"/>
        <v>3</v>
      </c>
      <c r="BA269" s="14">
        <f t="shared" si="193"/>
        <v>0.1</v>
      </c>
      <c r="BB269" s="14">
        <f t="shared" si="194"/>
        <v>35</v>
      </c>
      <c r="GY269" s="91">
        <v>263</v>
      </c>
      <c r="GZ269" s="14">
        <f t="shared" si="195"/>
        <v>16</v>
      </c>
      <c r="HA269" s="14">
        <f t="shared" si="196"/>
        <v>4</v>
      </c>
      <c r="HB269" s="14">
        <f t="shared" si="197"/>
        <v>1</v>
      </c>
      <c r="HC269" s="14">
        <f t="shared" si="198"/>
        <v>0.34399999999999997</v>
      </c>
      <c r="HD269" s="14">
        <f t="shared" si="199"/>
        <v>1606018</v>
      </c>
      <c r="HE269" s="14" t="str">
        <f t="shared" si="200"/>
        <v>神器4-2 : 17级</v>
      </c>
      <c r="HF269" s="14" t="s">
        <v>800</v>
      </c>
      <c r="HG269" s="14">
        <f t="shared" si="201"/>
        <v>17</v>
      </c>
      <c r="HH269" s="14" t="str">
        <f t="shared" si="202"/>
        <v>神器4-2</v>
      </c>
      <c r="HI269" s="14">
        <f t="shared" si="203"/>
        <v>10</v>
      </c>
      <c r="HJ269" s="14" t="s">
        <v>1595</v>
      </c>
      <c r="HK269" s="14">
        <f t="shared" si="204"/>
        <v>4200</v>
      </c>
    </row>
    <row r="270" spans="41:219" ht="16.5" x14ac:dyDescent="0.2">
      <c r="AO270" s="87">
        <v>7</v>
      </c>
      <c r="AP270" s="87">
        <v>3</v>
      </c>
      <c r="AQ270" s="87">
        <v>60</v>
      </c>
      <c r="AR270" s="144">
        <f t="shared" si="190"/>
        <v>4460</v>
      </c>
      <c r="AS270" s="144" t="s">
        <v>1267</v>
      </c>
      <c r="AT270" s="144" t="str">
        <f t="shared" si="191"/>
        <v>神器本-7-噩梦-1  神器3-1</v>
      </c>
      <c r="AU270" s="87">
        <v>9</v>
      </c>
      <c r="AV270" s="87" t="s">
        <v>761</v>
      </c>
      <c r="AW270" s="87">
        <v>700</v>
      </c>
      <c r="AX270" s="87">
        <v>1</v>
      </c>
      <c r="AY270" s="87">
        <v>1</v>
      </c>
      <c r="AZ270" s="87">
        <f t="shared" si="192"/>
        <v>1</v>
      </c>
      <c r="BA270" s="14">
        <f t="shared" si="193"/>
        <v>7.0000000000000007E-2</v>
      </c>
      <c r="BB270" s="14">
        <f t="shared" si="194"/>
        <v>1.4000000000000001</v>
      </c>
      <c r="GY270" s="91">
        <v>264</v>
      </c>
      <c r="GZ270" s="14">
        <f t="shared" si="195"/>
        <v>16</v>
      </c>
      <c r="HA270" s="14">
        <f t="shared" si="196"/>
        <v>4</v>
      </c>
      <c r="HB270" s="14">
        <f t="shared" si="197"/>
        <v>1</v>
      </c>
      <c r="HC270" s="14">
        <f t="shared" si="198"/>
        <v>0.34899999999999998</v>
      </c>
      <c r="HD270" s="14">
        <f t="shared" si="199"/>
        <v>1606018</v>
      </c>
      <c r="HE270" s="14" t="str">
        <f t="shared" si="200"/>
        <v>神器4-2 : 18级</v>
      </c>
      <c r="HF270" s="14" t="s">
        <v>800</v>
      </c>
      <c r="HG270" s="14">
        <f t="shared" si="201"/>
        <v>18</v>
      </c>
      <c r="HH270" s="14" t="str">
        <f t="shared" si="202"/>
        <v>神器4-2</v>
      </c>
      <c r="HI270" s="14">
        <f t="shared" si="203"/>
        <v>10</v>
      </c>
      <c r="HJ270" s="14" t="s">
        <v>1595</v>
      </c>
      <c r="HK270" s="14">
        <f t="shared" si="204"/>
        <v>4250</v>
      </c>
    </row>
    <row r="271" spans="41:219" ht="16.5" x14ac:dyDescent="0.2">
      <c r="AO271" s="87">
        <v>7</v>
      </c>
      <c r="AP271" s="87">
        <v>3</v>
      </c>
      <c r="AQ271" s="87">
        <v>60</v>
      </c>
      <c r="AR271" s="144">
        <f t="shared" si="190"/>
        <v>4460</v>
      </c>
      <c r="AS271" s="144" t="s">
        <v>1260</v>
      </c>
      <c r="AT271" s="144" t="str">
        <f t="shared" si="191"/>
        <v>神器本-7-噩梦-1  神器3-2</v>
      </c>
      <c r="AU271" s="87">
        <v>10</v>
      </c>
      <c r="AV271" s="87" t="s">
        <v>316</v>
      </c>
      <c r="AW271" s="87">
        <v>700</v>
      </c>
      <c r="AX271" s="87">
        <v>1</v>
      </c>
      <c r="AY271" s="87">
        <v>1</v>
      </c>
      <c r="AZ271" s="87">
        <f t="shared" si="192"/>
        <v>1</v>
      </c>
      <c r="BA271" s="14">
        <f t="shared" si="193"/>
        <v>7.0000000000000007E-2</v>
      </c>
      <c r="BB271" s="14">
        <f t="shared" si="194"/>
        <v>1.4000000000000001</v>
      </c>
      <c r="GY271" s="91">
        <v>265</v>
      </c>
      <c r="GZ271" s="14">
        <f t="shared" si="195"/>
        <v>17</v>
      </c>
      <c r="HA271" s="14">
        <f t="shared" si="196"/>
        <v>4</v>
      </c>
      <c r="HB271" s="14">
        <f t="shared" si="197"/>
        <v>2</v>
      </c>
      <c r="HC271" s="14">
        <f t="shared" si="198"/>
        <v>0.40200000000000002</v>
      </c>
      <c r="HD271" s="14">
        <f t="shared" si="199"/>
        <v>1606019</v>
      </c>
      <c r="HE271" s="14" t="str">
        <f t="shared" si="200"/>
        <v>神器4-3 : 1级</v>
      </c>
      <c r="HF271" s="14" t="s">
        <v>800</v>
      </c>
      <c r="HG271" s="14">
        <f t="shared" si="201"/>
        <v>1</v>
      </c>
      <c r="HH271" s="14" t="str">
        <f t="shared" si="202"/>
        <v>神器4-3</v>
      </c>
      <c r="HI271" s="14">
        <f t="shared" si="203"/>
        <v>1</v>
      </c>
      <c r="HJ271" s="14" t="s">
        <v>1595</v>
      </c>
      <c r="HK271" s="14">
        <f t="shared" si="204"/>
        <v>4900</v>
      </c>
    </row>
    <row r="272" spans="41:219" ht="16.5" x14ac:dyDescent="0.2">
      <c r="AO272" s="87">
        <v>7</v>
      </c>
      <c r="AP272" s="87">
        <v>3</v>
      </c>
      <c r="AQ272" s="87">
        <v>60</v>
      </c>
      <c r="AR272" s="144">
        <f t="shared" si="190"/>
        <v>4460</v>
      </c>
      <c r="AS272" s="144" t="s">
        <v>1260</v>
      </c>
      <c r="AT272" s="144" t="str">
        <f t="shared" si="191"/>
        <v>神器本-7-噩梦-1  神器3-3</v>
      </c>
      <c r="AU272" s="87">
        <v>11</v>
      </c>
      <c r="AV272" s="87" t="s">
        <v>317</v>
      </c>
      <c r="AW272" s="87">
        <v>414</v>
      </c>
      <c r="AX272" s="87">
        <v>1</v>
      </c>
      <c r="AY272" s="87">
        <v>1</v>
      </c>
      <c r="AZ272" s="87">
        <f t="shared" si="192"/>
        <v>2</v>
      </c>
      <c r="BA272" s="14">
        <f t="shared" si="193"/>
        <v>4.1399999999999999E-2</v>
      </c>
      <c r="BB272" s="14">
        <f t="shared" si="194"/>
        <v>2.484</v>
      </c>
      <c r="GY272" s="91">
        <v>266</v>
      </c>
      <c r="GZ272" s="14">
        <f t="shared" si="195"/>
        <v>17</v>
      </c>
      <c r="HA272" s="14">
        <f t="shared" si="196"/>
        <v>4</v>
      </c>
      <c r="HB272" s="14">
        <f t="shared" si="197"/>
        <v>2</v>
      </c>
      <c r="HC272" s="14">
        <f t="shared" si="198"/>
        <v>0.41699999999999998</v>
      </c>
      <c r="HD272" s="14">
        <f t="shared" si="199"/>
        <v>1606019</v>
      </c>
      <c r="HE272" s="14" t="str">
        <f t="shared" si="200"/>
        <v>神器4-3 : 2级</v>
      </c>
      <c r="HF272" s="14" t="s">
        <v>800</v>
      </c>
      <c r="HG272" s="14">
        <f t="shared" si="201"/>
        <v>2</v>
      </c>
      <c r="HH272" s="14" t="str">
        <f t="shared" si="202"/>
        <v>神器4-3</v>
      </c>
      <c r="HI272" s="14">
        <f t="shared" si="203"/>
        <v>1</v>
      </c>
      <c r="HJ272" s="14" t="s">
        <v>1595</v>
      </c>
      <c r="HK272" s="14">
        <f t="shared" si="204"/>
        <v>5100</v>
      </c>
    </row>
    <row r="273" spans="41:219" ht="16.5" x14ac:dyDescent="0.2">
      <c r="AO273" s="87">
        <v>7</v>
      </c>
      <c r="AP273" s="87">
        <v>3</v>
      </c>
      <c r="AQ273" s="87">
        <v>60</v>
      </c>
      <c r="AR273" s="144">
        <f t="shared" si="190"/>
        <v>4460</v>
      </c>
      <c r="AS273" s="144" t="s">
        <v>1260</v>
      </c>
      <c r="AT273" s="144" t="str">
        <f t="shared" si="191"/>
        <v>神器本-7-噩梦-1  神器3-4</v>
      </c>
      <c r="AU273" s="87">
        <v>12</v>
      </c>
      <c r="AV273" s="87" t="s">
        <v>318</v>
      </c>
      <c r="AW273" s="87">
        <v>414</v>
      </c>
      <c r="AX273" s="87">
        <v>1</v>
      </c>
      <c r="AY273" s="87">
        <v>1</v>
      </c>
      <c r="AZ273" s="87">
        <f t="shared" si="192"/>
        <v>2</v>
      </c>
      <c r="BA273" s="14">
        <f t="shared" si="193"/>
        <v>4.1399999999999999E-2</v>
      </c>
      <c r="BB273" s="14">
        <f t="shared" si="194"/>
        <v>2.484</v>
      </c>
      <c r="GY273" s="91">
        <v>267</v>
      </c>
      <c r="GZ273" s="14">
        <f t="shared" si="195"/>
        <v>17</v>
      </c>
      <c r="HA273" s="14">
        <f t="shared" si="196"/>
        <v>4</v>
      </c>
      <c r="HB273" s="14">
        <f t="shared" si="197"/>
        <v>2</v>
      </c>
      <c r="HC273" s="14">
        <f t="shared" si="198"/>
        <v>0.43099999999999999</v>
      </c>
      <c r="HD273" s="14">
        <f t="shared" si="199"/>
        <v>1606019</v>
      </c>
      <c r="HE273" s="14" t="str">
        <f t="shared" si="200"/>
        <v>神器4-3 : 3级</v>
      </c>
      <c r="HF273" s="14" t="s">
        <v>800</v>
      </c>
      <c r="HG273" s="14">
        <f t="shared" si="201"/>
        <v>3</v>
      </c>
      <c r="HH273" s="14" t="str">
        <f t="shared" si="202"/>
        <v>神器4-3</v>
      </c>
      <c r="HI273" s="14">
        <f t="shared" si="203"/>
        <v>1</v>
      </c>
      <c r="HJ273" s="14" t="s">
        <v>1595</v>
      </c>
      <c r="HK273" s="14">
        <f t="shared" si="204"/>
        <v>5300</v>
      </c>
    </row>
    <row r="274" spans="41:219" ht="16.5" x14ac:dyDescent="0.2">
      <c r="AO274" s="87">
        <v>7</v>
      </c>
      <c r="AP274" s="87">
        <v>3</v>
      </c>
      <c r="AQ274" s="87">
        <v>60</v>
      </c>
      <c r="AR274" s="144">
        <f t="shared" si="190"/>
        <v>4460</v>
      </c>
      <c r="AS274" s="144" t="s">
        <v>1260</v>
      </c>
      <c r="AT274" s="144" t="str">
        <f t="shared" si="191"/>
        <v>神器本-7-噩梦-1  神器3-5</v>
      </c>
      <c r="AU274" s="87">
        <v>13</v>
      </c>
      <c r="AV274" s="87" t="s">
        <v>319</v>
      </c>
      <c r="AW274" s="87">
        <v>275</v>
      </c>
      <c r="AX274" s="87">
        <v>1</v>
      </c>
      <c r="AY274" s="87">
        <v>1</v>
      </c>
      <c r="AZ274" s="87">
        <f t="shared" si="192"/>
        <v>3</v>
      </c>
      <c r="BA274" s="14">
        <f t="shared" si="193"/>
        <v>2.75E-2</v>
      </c>
      <c r="BB274" s="14">
        <f t="shared" si="194"/>
        <v>3.85</v>
      </c>
      <c r="GY274" s="91">
        <v>268</v>
      </c>
      <c r="GZ274" s="14">
        <f t="shared" si="195"/>
        <v>17</v>
      </c>
      <c r="HA274" s="14">
        <f t="shared" si="196"/>
        <v>4</v>
      </c>
      <c r="HB274" s="14">
        <f t="shared" si="197"/>
        <v>2</v>
      </c>
      <c r="HC274" s="14">
        <f t="shared" si="198"/>
        <v>0.44500000000000001</v>
      </c>
      <c r="HD274" s="14">
        <f t="shared" si="199"/>
        <v>1606019</v>
      </c>
      <c r="HE274" s="14" t="str">
        <f t="shared" si="200"/>
        <v>神器4-3 : 4级</v>
      </c>
      <c r="HF274" s="14" t="s">
        <v>800</v>
      </c>
      <c r="HG274" s="14">
        <f t="shared" si="201"/>
        <v>4</v>
      </c>
      <c r="HH274" s="14" t="str">
        <f t="shared" si="202"/>
        <v>神器4-3</v>
      </c>
      <c r="HI274" s="14">
        <f t="shared" si="203"/>
        <v>2</v>
      </c>
      <c r="HJ274" s="14" t="s">
        <v>1595</v>
      </c>
      <c r="HK274" s="14">
        <f t="shared" si="204"/>
        <v>5450</v>
      </c>
    </row>
    <row r="275" spans="41:219" ht="16.5" x14ac:dyDescent="0.2">
      <c r="AO275" s="87">
        <v>7</v>
      </c>
      <c r="AP275" s="87">
        <v>3</v>
      </c>
      <c r="AQ275" s="87">
        <v>60</v>
      </c>
      <c r="AR275" s="144">
        <f t="shared" si="190"/>
        <v>4460</v>
      </c>
      <c r="AS275" s="144" t="s">
        <v>1260</v>
      </c>
      <c r="AT275" s="144" t="str">
        <f t="shared" si="191"/>
        <v>神器本-7-噩梦-1  神器3-6</v>
      </c>
      <c r="AU275" s="87">
        <v>14</v>
      </c>
      <c r="AV275" s="87" t="s">
        <v>320</v>
      </c>
      <c r="AW275" s="87">
        <v>138</v>
      </c>
      <c r="AX275" s="87">
        <v>1</v>
      </c>
      <c r="AY275" s="87">
        <v>1</v>
      </c>
      <c r="AZ275" s="87">
        <f t="shared" si="192"/>
        <v>4</v>
      </c>
      <c r="BA275" s="14">
        <f t="shared" si="193"/>
        <v>1.38E-2</v>
      </c>
      <c r="BB275" s="14">
        <f t="shared" si="194"/>
        <v>4.1399999999999997</v>
      </c>
      <c r="GY275" s="91">
        <v>269</v>
      </c>
      <c r="GZ275" s="14">
        <f t="shared" si="195"/>
        <v>17</v>
      </c>
      <c r="HA275" s="14">
        <f t="shared" si="196"/>
        <v>4</v>
      </c>
      <c r="HB275" s="14">
        <f t="shared" si="197"/>
        <v>2</v>
      </c>
      <c r="HC275" s="14">
        <f t="shared" si="198"/>
        <v>0.45800000000000002</v>
      </c>
      <c r="HD275" s="14">
        <f t="shared" si="199"/>
        <v>1606019</v>
      </c>
      <c r="HE275" s="14" t="str">
        <f t="shared" si="200"/>
        <v>神器4-3 : 5级</v>
      </c>
      <c r="HF275" s="14" t="s">
        <v>800</v>
      </c>
      <c r="HG275" s="14">
        <f t="shared" si="201"/>
        <v>5</v>
      </c>
      <c r="HH275" s="14" t="str">
        <f t="shared" si="202"/>
        <v>神器4-3</v>
      </c>
      <c r="HI275" s="14">
        <f t="shared" si="203"/>
        <v>2</v>
      </c>
      <c r="HJ275" s="14" t="s">
        <v>1595</v>
      </c>
      <c r="HK275" s="14">
        <f t="shared" si="204"/>
        <v>5600</v>
      </c>
    </row>
    <row r="276" spans="41:219" ht="16.5" x14ac:dyDescent="0.2">
      <c r="AO276" s="87">
        <v>7</v>
      </c>
      <c r="AP276" s="87">
        <v>3</v>
      </c>
      <c r="AQ276" s="87">
        <v>60</v>
      </c>
      <c r="AR276" s="144">
        <f t="shared" si="190"/>
        <v>4460</v>
      </c>
      <c r="AS276" s="144" t="s">
        <v>1260</v>
      </c>
      <c r="AT276" s="144" t="str">
        <f t="shared" si="191"/>
        <v>神器本-7-噩梦-1  神器4-1</v>
      </c>
      <c r="AU276" s="87">
        <v>15</v>
      </c>
      <c r="AV276" s="87" t="s">
        <v>321</v>
      </c>
      <c r="AW276" s="87">
        <v>700</v>
      </c>
      <c r="AX276" s="87">
        <v>1</v>
      </c>
      <c r="AY276" s="87">
        <v>1</v>
      </c>
      <c r="AZ276" s="87">
        <f t="shared" ref="AZ276:AZ293" si="205">INDEX($AK$7:$AK$48,AU276)</f>
        <v>1</v>
      </c>
      <c r="BA276" s="14">
        <f t="shared" ref="BA276:BA293" si="206">(AX276+AY276)/2*AW276/10000</f>
        <v>7.0000000000000007E-2</v>
      </c>
      <c r="BB276" s="14">
        <f t="shared" ref="BB276:BB293" si="207">(AX276+AY276)/2*AW276/10000*INDEX($AL$7:$AL$48,AU276)</f>
        <v>1.7500000000000002</v>
      </c>
      <c r="GY276" s="91">
        <v>270</v>
      </c>
      <c r="GZ276" s="14">
        <f t="shared" si="195"/>
        <v>17</v>
      </c>
      <c r="HA276" s="14">
        <f t="shared" si="196"/>
        <v>4</v>
      </c>
      <c r="HB276" s="14">
        <f t="shared" si="197"/>
        <v>2</v>
      </c>
      <c r="HC276" s="14">
        <f t="shared" si="198"/>
        <v>0.47099999999999997</v>
      </c>
      <c r="HD276" s="14">
        <f t="shared" si="199"/>
        <v>1606019</v>
      </c>
      <c r="HE276" s="14" t="str">
        <f t="shared" si="200"/>
        <v>神器4-3 : 6级</v>
      </c>
      <c r="HF276" s="14" t="s">
        <v>800</v>
      </c>
      <c r="HG276" s="14">
        <f t="shared" si="201"/>
        <v>6</v>
      </c>
      <c r="HH276" s="14" t="str">
        <f t="shared" si="202"/>
        <v>神器4-3</v>
      </c>
      <c r="HI276" s="14">
        <f t="shared" si="203"/>
        <v>2</v>
      </c>
      <c r="HJ276" s="14" t="s">
        <v>1595</v>
      </c>
      <c r="HK276" s="14">
        <f t="shared" si="204"/>
        <v>5750</v>
      </c>
    </row>
    <row r="277" spans="41:219" ht="16.5" x14ac:dyDescent="0.2">
      <c r="AO277" s="87">
        <v>7</v>
      </c>
      <c r="AP277" s="87">
        <v>3</v>
      </c>
      <c r="AQ277" s="87">
        <v>60</v>
      </c>
      <c r="AR277" s="144">
        <f t="shared" si="190"/>
        <v>4460</v>
      </c>
      <c r="AS277" s="144" t="s">
        <v>1260</v>
      </c>
      <c r="AT277" s="144" t="str">
        <f t="shared" si="191"/>
        <v>神器本-7-噩梦-1  神器4-2</v>
      </c>
      <c r="AU277" s="87">
        <v>16</v>
      </c>
      <c r="AV277" s="87" t="s">
        <v>322</v>
      </c>
      <c r="AW277" s="87">
        <v>700</v>
      </c>
      <c r="AX277" s="87">
        <v>1</v>
      </c>
      <c r="AY277" s="87">
        <v>1</v>
      </c>
      <c r="AZ277" s="87">
        <f t="shared" si="205"/>
        <v>1</v>
      </c>
      <c r="BA277" s="14">
        <f t="shared" si="206"/>
        <v>7.0000000000000007E-2</v>
      </c>
      <c r="BB277" s="14">
        <f t="shared" si="207"/>
        <v>1.7500000000000002</v>
      </c>
      <c r="GY277" s="91">
        <v>271</v>
      </c>
      <c r="GZ277" s="14">
        <f t="shared" si="195"/>
        <v>17</v>
      </c>
      <c r="HA277" s="14">
        <f t="shared" si="196"/>
        <v>4</v>
      </c>
      <c r="HB277" s="14">
        <f t="shared" si="197"/>
        <v>2</v>
      </c>
      <c r="HC277" s="14">
        <f t="shared" si="198"/>
        <v>0.48399999999999999</v>
      </c>
      <c r="HD277" s="14">
        <f t="shared" si="199"/>
        <v>1606019</v>
      </c>
      <c r="HE277" s="14" t="str">
        <f t="shared" si="200"/>
        <v>神器4-3 : 7级</v>
      </c>
      <c r="HF277" s="14" t="s">
        <v>800</v>
      </c>
      <c r="HG277" s="14">
        <f t="shared" si="201"/>
        <v>7</v>
      </c>
      <c r="HH277" s="14" t="str">
        <f t="shared" si="202"/>
        <v>神器4-3</v>
      </c>
      <c r="HI277" s="14">
        <f t="shared" si="203"/>
        <v>3</v>
      </c>
      <c r="HJ277" s="14" t="s">
        <v>1595</v>
      </c>
      <c r="HK277" s="14">
        <f t="shared" si="204"/>
        <v>5950</v>
      </c>
    </row>
    <row r="278" spans="41:219" ht="16.5" x14ac:dyDescent="0.2">
      <c r="AO278" s="87">
        <v>7</v>
      </c>
      <c r="AP278" s="87">
        <v>3</v>
      </c>
      <c r="AQ278" s="87">
        <v>60</v>
      </c>
      <c r="AR278" s="144">
        <f t="shared" si="190"/>
        <v>4460</v>
      </c>
      <c r="AS278" s="144" t="s">
        <v>1260</v>
      </c>
      <c r="AT278" s="144" t="str">
        <f t="shared" si="191"/>
        <v>神器本-7-噩梦-1  神器4-3</v>
      </c>
      <c r="AU278" s="87">
        <v>17</v>
      </c>
      <c r="AV278" s="87" t="s">
        <v>323</v>
      </c>
      <c r="AW278" s="87">
        <v>414</v>
      </c>
      <c r="AX278" s="87">
        <v>1</v>
      </c>
      <c r="AY278" s="87">
        <v>1</v>
      </c>
      <c r="AZ278" s="87">
        <f t="shared" si="205"/>
        <v>2</v>
      </c>
      <c r="BA278" s="14">
        <f t="shared" si="206"/>
        <v>4.1399999999999999E-2</v>
      </c>
      <c r="BB278" s="14">
        <f t="shared" si="207"/>
        <v>3.105</v>
      </c>
      <c r="GY278" s="91">
        <v>272</v>
      </c>
      <c r="GZ278" s="14">
        <f t="shared" si="195"/>
        <v>17</v>
      </c>
      <c r="HA278" s="14">
        <f t="shared" si="196"/>
        <v>4</v>
      </c>
      <c r="HB278" s="14">
        <f t="shared" si="197"/>
        <v>2</v>
      </c>
      <c r="HC278" s="14">
        <f t="shared" si="198"/>
        <v>0.496</v>
      </c>
      <c r="HD278" s="14">
        <f t="shared" si="199"/>
        <v>1606019</v>
      </c>
      <c r="HE278" s="14" t="str">
        <f t="shared" si="200"/>
        <v>神器4-3 : 8级</v>
      </c>
      <c r="HF278" s="14" t="s">
        <v>800</v>
      </c>
      <c r="HG278" s="14">
        <f t="shared" si="201"/>
        <v>8</v>
      </c>
      <c r="HH278" s="14" t="str">
        <f t="shared" si="202"/>
        <v>神器4-3</v>
      </c>
      <c r="HI278" s="14">
        <f t="shared" si="203"/>
        <v>3</v>
      </c>
      <c r="HJ278" s="14" t="s">
        <v>1595</v>
      </c>
      <c r="HK278" s="14">
        <f t="shared" si="204"/>
        <v>6050</v>
      </c>
    </row>
    <row r="279" spans="41:219" ht="16.5" x14ac:dyDescent="0.2">
      <c r="AO279" s="87">
        <v>7</v>
      </c>
      <c r="AP279" s="87">
        <v>3</v>
      </c>
      <c r="AQ279" s="87">
        <v>60</v>
      </c>
      <c r="AR279" s="144">
        <f t="shared" si="190"/>
        <v>4460</v>
      </c>
      <c r="AS279" s="144" t="s">
        <v>1260</v>
      </c>
      <c r="AT279" s="144" t="str">
        <f t="shared" si="191"/>
        <v>神器本-7-噩梦-1  神器4-4</v>
      </c>
      <c r="AU279" s="87">
        <v>18</v>
      </c>
      <c r="AV279" s="87" t="s">
        <v>324</v>
      </c>
      <c r="AW279" s="87">
        <v>414</v>
      </c>
      <c r="AX279" s="87">
        <v>1</v>
      </c>
      <c r="AY279" s="87">
        <v>1</v>
      </c>
      <c r="AZ279" s="87">
        <f t="shared" si="205"/>
        <v>2</v>
      </c>
      <c r="BA279" s="14">
        <f t="shared" si="206"/>
        <v>4.1399999999999999E-2</v>
      </c>
      <c r="BB279" s="14">
        <f t="shared" si="207"/>
        <v>3.105</v>
      </c>
      <c r="GY279" s="91">
        <v>273</v>
      </c>
      <c r="GZ279" s="14">
        <f t="shared" si="195"/>
        <v>17</v>
      </c>
      <c r="HA279" s="14">
        <f t="shared" si="196"/>
        <v>4</v>
      </c>
      <c r="HB279" s="14">
        <f t="shared" si="197"/>
        <v>2</v>
      </c>
      <c r="HC279" s="14">
        <f t="shared" si="198"/>
        <v>0.50800000000000001</v>
      </c>
      <c r="HD279" s="14">
        <f t="shared" si="199"/>
        <v>1606019</v>
      </c>
      <c r="HE279" s="14" t="str">
        <f t="shared" si="200"/>
        <v>神器4-3 : 9级</v>
      </c>
      <c r="HF279" s="14" t="s">
        <v>800</v>
      </c>
      <c r="HG279" s="14">
        <f t="shared" si="201"/>
        <v>9</v>
      </c>
      <c r="HH279" s="14" t="str">
        <f t="shared" si="202"/>
        <v>神器4-3</v>
      </c>
      <c r="HI279" s="14">
        <f t="shared" si="203"/>
        <v>3</v>
      </c>
      <c r="HJ279" s="14" t="s">
        <v>1595</v>
      </c>
      <c r="HK279" s="14">
        <f t="shared" si="204"/>
        <v>6200</v>
      </c>
    </row>
    <row r="280" spans="41:219" ht="16.5" x14ac:dyDescent="0.2">
      <c r="AO280" s="87">
        <v>7</v>
      </c>
      <c r="AP280" s="87">
        <v>3</v>
      </c>
      <c r="AQ280" s="87">
        <v>60</v>
      </c>
      <c r="AR280" s="144">
        <f t="shared" si="190"/>
        <v>4460</v>
      </c>
      <c r="AS280" s="144" t="s">
        <v>1260</v>
      </c>
      <c r="AT280" s="144" t="str">
        <f t="shared" si="191"/>
        <v>神器本-7-噩梦-1  神器4-5</v>
      </c>
      <c r="AU280" s="87">
        <v>19</v>
      </c>
      <c r="AV280" s="87" t="s">
        <v>325</v>
      </c>
      <c r="AW280" s="87">
        <v>275</v>
      </c>
      <c r="AX280" s="87">
        <v>1</v>
      </c>
      <c r="AY280" s="87">
        <v>1</v>
      </c>
      <c r="AZ280" s="87">
        <f t="shared" si="205"/>
        <v>3</v>
      </c>
      <c r="BA280" s="14">
        <f t="shared" si="206"/>
        <v>2.75E-2</v>
      </c>
      <c r="BB280" s="14">
        <f t="shared" si="207"/>
        <v>4.8125</v>
      </c>
      <c r="GY280" s="91">
        <v>274</v>
      </c>
      <c r="GZ280" s="14">
        <f t="shared" si="195"/>
        <v>17</v>
      </c>
      <c r="HA280" s="14">
        <f t="shared" si="196"/>
        <v>4</v>
      </c>
      <c r="HB280" s="14">
        <f t="shared" si="197"/>
        <v>2</v>
      </c>
      <c r="HC280" s="14">
        <f t="shared" si="198"/>
        <v>0.52</v>
      </c>
      <c r="HD280" s="14">
        <f t="shared" si="199"/>
        <v>1606019</v>
      </c>
      <c r="HE280" s="14" t="str">
        <f t="shared" si="200"/>
        <v>神器4-3 : 10级</v>
      </c>
      <c r="HF280" s="14" t="s">
        <v>800</v>
      </c>
      <c r="HG280" s="14">
        <f t="shared" si="201"/>
        <v>10</v>
      </c>
      <c r="HH280" s="14" t="str">
        <f t="shared" si="202"/>
        <v>神器4-3</v>
      </c>
      <c r="HI280" s="14">
        <f t="shared" si="203"/>
        <v>5</v>
      </c>
      <c r="HJ280" s="14" t="s">
        <v>1595</v>
      </c>
      <c r="HK280" s="14">
        <f t="shared" si="204"/>
        <v>6350</v>
      </c>
    </row>
    <row r="281" spans="41:219" ht="16.5" x14ac:dyDescent="0.2">
      <c r="AO281" s="87">
        <v>7</v>
      </c>
      <c r="AP281" s="87">
        <v>3</v>
      </c>
      <c r="AQ281" s="87">
        <v>60</v>
      </c>
      <c r="AR281" s="144">
        <f t="shared" si="190"/>
        <v>4460</v>
      </c>
      <c r="AS281" s="144" t="s">
        <v>1260</v>
      </c>
      <c r="AT281" s="144" t="str">
        <f t="shared" si="191"/>
        <v>神器本-7-噩梦-1  神器4-6</v>
      </c>
      <c r="AU281" s="87">
        <v>20</v>
      </c>
      <c r="AV281" s="87" t="s">
        <v>326</v>
      </c>
      <c r="AW281" s="87">
        <v>138</v>
      </c>
      <c r="AX281" s="87">
        <v>1</v>
      </c>
      <c r="AY281" s="87">
        <v>1</v>
      </c>
      <c r="AZ281" s="87">
        <f t="shared" si="205"/>
        <v>4</v>
      </c>
      <c r="BA281" s="14">
        <f t="shared" si="206"/>
        <v>1.38E-2</v>
      </c>
      <c r="BB281" s="14">
        <f t="shared" si="207"/>
        <v>5.1749999999999998</v>
      </c>
      <c r="GY281" s="91">
        <v>275</v>
      </c>
      <c r="GZ281" s="14">
        <f t="shared" si="195"/>
        <v>17</v>
      </c>
      <c r="HA281" s="14">
        <f t="shared" si="196"/>
        <v>4</v>
      </c>
      <c r="HB281" s="14">
        <f t="shared" si="197"/>
        <v>2</v>
      </c>
      <c r="HC281" s="14">
        <f t="shared" si="198"/>
        <v>0.53100000000000003</v>
      </c>
      <c r="HD281" s="14">
        <f t="shared" si="199"/>
        <v>1606019</v>
      </c>
      <c r="HE281" s="14" t="str">
        <f t="shared" si="200"/>
        <v>神器4-3 : 11级</v>
      </c>
      <c r="HF281" s="14" t="s">
        <v>800</v>
      </c>
      <c r="HG281" s="14">
        <f t="shared" si="201"/>
        <v>11</v>
      </c>
      <c r="HH281" s="14" t="str">
        <f t="shared" si="202"/>
        <v>神器4-3</v>
      </c>
      <c r="HI281" s="14">
        <f t="shared" si="203"/>
        <v>5</v>
      </c>
      <c r="HJ281" s="14" t="s">
        <v>1595</v>
      </c>
      <c r="HK281" s="14">
        <f t="shared" si="204"/>
        <v>6500</v>
      </c>
    </row>
    <row r="282" spans="41:219" ht="16.5" x14ac:dyDescent="0.2">
      <c r="AO282" s="87">
        <v>7</v>
      </c>
      <c r="AP282" s="87">
        <v>3</v>
      </c>
      <c r="AQ282" s="87">
        <v>60</v>
      </c>
      <c r="AR282" s="144">
        <f t="shared" si="190"/>
        <v>4460</v>
      </c>
      <c r="AS282" s="144" t="s">
        <v>1260</v>
      </c>
      <c r="AT282" s="144" t="str">
        <f t="shared" si="191"/>
        <v>神器本-7-噩梦-1  神器5-1</v>
      </c>
      <c r="AU282" s="87">
        <v>21</v>
      </c>
      <c r="AV282" s="87" t="s">
        <v>327</v>
      </c>
      <c r="AW282" s="87">
        <v>700</v>
      </c>
      <c r="AX282" s="87">
        <v>1</v>
      </c>
      <c r="AY282" s="87">
        <v>1</v>
      </c>
      <c r="AZ282" s="87">
        <f t="shared" si="205"/>
        <v>1</v>
      </c>
      <c r="BA282" s="14">
        <f t="shared" si="206"/>
        <v>7.0000000000000007E-2</v>
      </c>
      <c r="BB282" s="14">
        <f t="shared" si="207"/>
        <v>2.1</v>
      </c>
      <c r="GY282" s="91">
        <v>276</v>
      </c>
      <c r="GZ282" s="14">
        <f t="shared" si="195"/>
        <v>17</v>
      </c>
      <c r="HA282" s="14">
        <f t="shared" si="196"/>
        <v>4</v>
      </c>
      <c r="HB282" s="14">
        <f t="shared" si="197"/>
        <v>2</v>
      </c>
      <c r="HC282" s="14">
        <f t="shared" si="198"/>
        <v>0.54200000000000004</v>
      </c>
      <c r="HD282" s="14">
        <f t="shared" si="199"/>
        <v>1606019</v>
      </c>
      <c r="HE282" s="14" t="str">
        <f t="shared" si="200"/>
        <v>神器4-3 : 12级</v>
      </c>
      <c r="HF282" s="14" t="s">
        <v>800</v>
      </c>
      <c r="HG282" s="14">
        <f t="shared" si="201"/>
        <v>12</v>
      </c>
      <c r="HH282" s="14" t="str">
        <f t="shared" si="202"/>
        <v>神器4-3</v>
      </c>
      <c r="HI282" s="14">
        <f t="shared" si="203"/>
        <v>6</v>
      </c>
      <c r="HJ282" s="14" t="s">
        <v>1595</v>
      </c>
      <c r="HK282" s="14">
        <f t="shared" si="204"/>
        <v>6650</v>
      </c>
    </row>
    <row r="283" spans="41:219" ht="16.5" x14ac:dyDescent="0.2">
      <c r="AO283" s="87">
        <v>7</v>
      </c>
      <c r="AP283" s="87">
        <v>3</v>
      </c>
      <c r="AQ283" s="87">
        <v>60</v>
      </c>
      <c r="AR283" s="144">
        <f t="shared" si="190"/>
        <v>4460</v>
      </c>
      <c r="AS283" s="144" t="s">
        <v>1260</v>
      </c>
      <c r="AT283" s="144" t="str">
        <f t="shared" si="191"/>
        <v>神器本-7-噩梦-1  神器5-2</v>
      </c>
      <c r="AU283" s="87">
        <v>22</v>
      </c>
      <c r="AV283" s="87" t="s">
        <v>328</v>
      </c>
      <c r="AW283" s="87">
        <v>700</v>
      </c>
      <c r="AX283" s="87">
        <v>1</v>
      </c>
      <c r="AY283" s="87">
        <v>1</v>
      </c>
      <c r="AZ283" s="87">
        <f t="shared" si="205"/>
        <v>1</v>
      </c>
      <c r="BA283" s="14">
        <f t="shared" si="206"/>
        <v>7.0000000000000007E-2</v>
      </c>
      <c r="BB283" s="14">
        <f t="shared" si="207"/>
        <v>2.1</v>
      </c>
      <c r="GY283" s="91">
        <v>277</v>
      </c>
      <c r="GZ283" s="14">
        <f t="shared" si="195"/>
        <v>17</v>
      </c>
      <c r="HA283" s="14">
        <f t="shared" si="196"/>
        <v>4</v>
      </c>
      <c r="HB283" s="14">
        <f t="shared" si="197"/>
        <v>2</v>
      </c>
      <c r="HC283" s="14">
        <f t="shared" si="198"/>
        <v>0.55300000000000005</v>
      </c>
      <c r="HD283" s="14">
        <f t="shared" si="199"/>
        <v>1606019</v>
      </c>
      <c r="HE283" s="14" t="str">
        <f t="shared" si="200"/>
        <v>神器4-3 : 13级</v>
      </c>
      <c r="HF283" s="14" t="s">
        <v>800</v>
      </c>
      <c r="HG283" s="14">
        <f t="shared" si="201"/>
        <v>13</v>
      </c>
      <c r="HH283" s="14" t="str">
        <f t="shared" si="202"/>
        <v>神器4-3</v>
      </c>
      <c r="HI283" s="14">
        <f t="shared" si="203"/>
        <v>7</v>
      </c>
      <c r="HJ283" s="14" t="s">
        <v>1595</v>
      </c>
      <c r="HK283" s="14">
        <f t="shared" si="204"/>
        <v>6750</v>
      </c>
    </row>
    <row r="284" spans="41:219" ht="16.5" x14ac:dyDescent="0.2">
      <c r="AO284" s="87">
        <v>7</v>
      </c>
      <c r="AP284" s="87">
        <v>3</v>
      </c>
      <c r="AQ284" s="87">
        <v>60</v>
      </c>
      <c r="AR284" s="144">
        <f t="shared" si="190"/>
        <v>4460</v>
      </c>
      <c r="AS284" s="144" t="s">
        <v>1260</v>
      </c>
      <c r="AT284" s="144" t="str">
        <f t="shared" si="191"/>
        <v>神器本-7-噩梦-1  神器5-3</v>
      </c>
      <c r="AU284" s="87">
        <v>23</v>
      </c>
      <c r="AV284" s="87" t="s">
        <v>329</v>
      </c>
      <c r="AW284" s="87">
        <v>414</v>
      </c>
      <c r="AX284" s="87">
        <v>1</v>
      </c>
      <c r="AY284" s="87">
        <v>1</v>
      </c>
      <c r="AZ284" s="87">
        <f t="shared" si="205"/>
        <v>2</v>
      </c>
      <c r="BA284" s="14">
        <f t="shared" si="206"/>
        <v>4.1399999999999999E-2</v>
      </c>
      <c r="BB284" s="14">
        <f t="shared" si="207"/>
        <v>3.726</v>
      </c>
      <c r="GY284" s="91">
        <v>278</v>
      </c>
      <c r="GZ284" s="14">
        <f t="shared" si="195"/>
        <v>17</v>
      </c>
      <c r="HA284" s="14">
        <f t="shared" si="196"/>
        <v>4</v>
      </c>
      <c r="HB284" s="14">
        <f t="shared" si="197"/>
        <v>2</v>
      </c>
      <c r="HC284" s="14">
        <f t="shared" si="198"/>
        <v>0.56399999999999995</v>
      </c>
      <c r="HD284" s="14">
        <f t="shared" si="199"/>
        <v>1606019</v>
      </c>
      <c r="HE284" s="14" t="str">
        <f t="shared" si="200"/>
        <v>神器4-3 : 14级</v>
      </c>
      <c r="HF284" s="14" t="s">
        <v>800</v>
      </c>
      <c r="HG284" s="14">
        <f t="shared" si="201"/>
        <v>14</v>
      </c>
      <c r="HH284" s="14" t="str">
        <f t="shared" si="202"/>
        <v>神器4-3</v>
      </c>
      <c r="HI284" s="14">
        <f t="shared" si="203"/>
        <v>7</v>
      </c>
      <c r="HJ284" s="14" t="s">
        <v>1595</v>
      </c>
      <c r="HK284" s="14">
        <f t="shared" si="204"/>
        <v>6900</v>
      </c>
    </row>
    <row r="285" spans="41:219" ht="16.5" x14ac:dyDescent="0.2">
      <c r="AO285" s="87">
        <v>7</v>
      </c>
      <c r="AP285" s="87">
        <v>3</v>
      </c>
      <c r="AQ285" s="87">
        <v>60</v>
      </c>
      <c r="AR285" s="144">
        <f t="shared" si="190"/>
        <v>4460</v>
      </c>
      <c r="AS285" s="144" t="s">
        <v>1260</v>
      </c>
      <c r="AT285" s="144" t="str">
        <f t="shared" si="191"/>
        <v>神器本-7-噩梦-1  神器5-4</v>
      </c>
      <c r="AU285" s="87">
        <v>24</v>
      </c>
      <c r="AV285" s="87" t="s">
        <v>330</v>
      </c>
      <c r="AW285" s="87">
        <v>414</v>
      </c>
      <c r="AX285" s="87">
        <v>1</v>
      </c>
      <c r="AY285" s="87">
        <v>1</v>
      </c>
      <c r="AZ285" s="87">
        <f t="shared" si="205"/>
        <v>2</v>
      </c>
      <c r="BA285" s="14">
        <f t="shared" si="206"/>
        <v>4.1399999999999999E-2</v>
      </c>
      <c r="BB285" s="14">
        <f t="shared" si="207"/>
        <v>3.726</v>
      </c>
      <c r="GY285" s="91">
        <v>279</v>
      </c>
      <c r="GZ285" s="14">
        <f t="shared" si="195"/>
        <v>17</v>
      </c>
      <c r="HA285" s="14">
        <f t="shared" si="196"/>
        <v>4</v>
      </c>
      <c r="HB285" s="14">
        <f t="shared" si="197"/>
        <v>2</v>
      </c>
      <c r="HC285" s="14">
        <f t="shared" si="198"/>
        <v>0.57399999999999995</v>
      </c>
      <c r="HD285" s="14">
        <f t="shared" si="199"/>
        <v>1606019</v>
      </c>
      <c r="HE285" s="14" t="str">
        <f t="shared" si="200"/>
        <v>神器4-3 : 15级</v>
      </c>
      <c r="HF285" s="14" t="s">
        <v>800</v>
      </c>
      <c r="HG285" s="14">
        <f t="shared" si="201"/>
        <v>15</v>
      </c>
      <c r="HH285" s="14" t="str">
        <f t="shared" si="202"/>
        <v>神器4-3</v>
      </c>
      <c r="HI285" s="14">
        <f t="shared" si="203"/>
        <v>7</v>
      </c>
      <c r="HJ285" s="14" t="s">
        <v>1595</v>
      </c>
      <c r="HK285" s="14">
        <f t="shared" si="204"/>
        <v>7050</v>
      </c>
    </row>
    <row r="286" spans="41:219" ht="16.5" x14ac:dyDescent="0.2">
      <c r="AO286" s="87">
        <v>7</v>
      </c>
      <c r="AP286" s="87">
        <v>3</v>
      </c>
      <c r="AQ286" s="87">
        <v>60</v>
      </c>
      <c r="AR286" s="144">
        <f t="shared" si="190"/>
        <v>4460</v>
      </c>
      <c r="AS286" s="144" t="s">
        <v>1260</v>
      </c>
      <c r="AT286" s="144" t="str">
        <f t="shared" si="191"/>
        <v>神器本-7-噩梦-1  神器5-5</v>
      </c>
      <c r="AU286" s="87">
        <v>25</v>
      </c>
      <c r="AV286" s="87" t="s">
        <v>331</v>
      </c>
      <c r="AW286" s="87">
        <v>275</v>
      </c>
      <c r="AX286" s="87">
        <v>1</v>
      </c>
      <c r="AY286" s="87">
        <v>1</v>
      </c>
      <c r="AZ286" s="87">
        <f t="shared" si="205"/>
        <v>3</v>
      </c>
      <c r="BA286" s="14">
        <f t="shared" si="206"/>
        <v>2.75E-2</v>
      </c>
      <c r="BB286" s="14">
        <f t="shared" si="207"/>
        <v>5.7750000000000004</v>
      </c>
      <c r="GY286" s="91">
        <v>280</v>
      </c>
      <c r="GZ286" s="14">
        <f t="shared" si="195"/>
        <v>17</v>
      </c>
      <c r="HA286" s="14">
        <f t="shared" si="196"/>
        <v>4</v>
      </c>
      <c r="HB286" s="14">
        <f t="shared" si="197"/>
        <v>2</v>
      </c>
      <c r="HC286" s="14">
        <f t="shared" si="198"/>
        <v>0.58499999999999996</v>
      </c>
      <c r="HD286" s="14">
        <f t="shared" si="199"/>
        <v>1606019</v>
      </c>
      <c r="HE286" s="14" t="str">
        <f t="shared" si="200"/>
        <v>神器4-3 : 16级</v>
      </c>
      <c r="HF286" s="14" t="s">
        <v>800</v>
      </c>
      <c r="HG286" s="14">
        <f t="shared" si="201"/>
        <v>16</v>
      </c>
      <c r="HH286" s="14" t="str">
        <f t="shared" si="202"/>
        <v>神器4-3</v>
      </c>
      <c r="HI286" s="14">
        <f t="shared" si="203"/>
        <v>10</v>
      </c>
      <c r="HJ286" s="14" t="s">
        <v>1595</v>
      </c>
      <c r="HK286" s="14">
        <f t="shared" si="204"/>
        <v>7150</v>
      </c>
    </row>
    <row r="287" spans="41:219" ht="16.5" x14ac:dyDescent="0.2">
      <c r="AO287" s="87">
        <v>7</v>
      </c>
      <c r="AP287" s="87">
        <v>3</v>
      </c>
      <c r="AQ287" s="87">
        <v>60</v>
      </c>
      <c r="AR287" s="144">
        <f t="shared" si="190"/>
        <v>4460</v>
      </c>
      <c r="AS287" s="144" t="s">
        <v>1260</v>
      </c>
      <c r="AT287" s="144" t="str">
        <f t="shared" si="191"/>
        <v>神器本-7-噩梦-1  神器5-6</v>
      </c>
      <c r="AU287" s="87">
        <v>26</v>
      </c>
      <c r="AV287" s="87" t="s">
        <v>332</v>
      </c>
      <c r="AW287" s="87">
        <v>139</v>
      </c>
      <c r="AX287" s="87">
        <v>1</v>
      </c>
      <c r="AY287" s="87">
        <v>1</v>
      </c>
      <c r="AZ287" s="87">
        <f t="shared" si="205"/>
        <v>4</v>
      </c>
      <c r="BA287" s="14">
        <f t="shared" si="206"/>
        <v>1.3899999999999999E-2</v>
      </c>
      <c r="BB287" s="14">
        <f t="shared" si="207"/>
        <v>6.2549999999999999</v>
      </c>
      <c r="GY287" s="91">
        <v>281</v>
      </c>
      <c r="GZ287" s="14">
        <f t="shared" si="195"/>
        <v>17</v>
      </c>
      <c r="HA287" s="14">
        <f t="shared" si="196"/>
        <v>4</v>
      </c>
      <c r="HB287" s="14">
        <f t="shared" si="197"/>
        <v>2</v>
      </c>
      <c r="HC287" s="14">
        <f t="shared" si="198"/>
        <v>0.59499999999999997</v>
      </c>
      <c r="HD287" s="14">
        <f t="shared" si="199"/>
        <v>1606019</v>
      </c>
      <c r="HE287" s="14" t="str">
        <f t="shared" si="200"/>
        <v>神器4-3 : 17级</v>
      </c>
      <c r="HF287" s="14" t="s">
        <v>800</v>
      </c>
      <c r="HG287" s="14">
        <f t="shared" si="201"/>
        <v>17</v>
      </c>
      <c r="HH287" s="14" t="str">
        <f t="shared" si="202"/>
        <v>神器4-3</v>
      </c>
      <c r="HI287" s="14">
        <f t="shared" si="203"/>
        <v>10</v>
      </c>
      <c r="HJ287" s="14" t="s">
        <v>1595</v>
      </c>
      <c r="HK287" s="14">
        <f t="shared" si="204"/>
        <v>7300</v>
      </c>
    </row>
    <row r="288" spans="41:219" ht="16.5" x14ac:dyDescent="0.2">
      <c r="AO288" s="87">
        <v>7</v>
      </c>
      <c r="AP288" s="87">
        <v>3</v>
      </c>
      <c r="AQ288" s="87">
        <v>60</v>
      </c>
      <c r="AR288" s="144">
        <f t="shared" si="190"/>
        <v>4460</v>
      </c>
      <c r="AS288" s="144" t="s">
        <v>1260</v>
      </c>
      <c r="AT288" s="144" t="str">
        <f t="shared" si="191"/>
        <v>神器本-7-噩梦-1  神器6-1</v>
      </c>
      <c r="AU288" s="87">
        <v>27</v>
      </c>
      <c r="AV288" s="87" t="s">
        <v>786</v>
      </c>
      <c r="AW288" s="87">
        <v>416</v>
      </c>
      <c r="AX288" s="87">
        <v>1</v>
      </c>
      <c r="AY288" s="87">
        <v>1</v>
      </c>
      <c r="AZ288" s="87">
        <f t="shared" si="205"/>
        <v>2</v>
      </c>
      <c r="BA288" s="14">
        <f t="shared" si="206"/>
        <v>4.1599999999999998E-2</v>
      </c>
      <c r="BB288" s="14">
        <f t="shared" si="207"/>
        <v>4.992</v>
      </c>
      <c r="GY288" s="91">
        <v>282</v>
      </c>
      <c r="GZ288" s="14">
        <f t="shared" si="195"/>
        <v>17</v>
      </c>
      <c r="HA288" s="14">
        <f t="shared" si="196"/>
        <v>4</v>
      </c>
      <c r="HB288" s="14">
        <f t="shared" si="197"/>
        <v>2</v>
      </c>
      <c r="HC288" s="14">
        <f t="shared" si="198"/>
        <v>0.60499999999999998</v>
      </c>
      <c r="HD288" s="14">
        <f t="shared" si="199"/>
        <v>1606019</v>
      </c>
      <c r="HE288" s="14" t="str">
        <f t="shared" si="200"/>
        <v>神器4-3 : 18级</v>
      </c>
      <c r="HF288" s="14" t="s">
        <v>800</v>
      </c>
      <c r="HG288" s="14">
        <f t="shared" si="201"/>
        <v>18</v>
      </c>
      <c r="HH288" s="14" t="str">
        <f t="shared" si="202"/>
        <v>神器4-3</v>
      </c>
      <c r="HI288" s="14">
        <f t="shared" si="203"/>
        <v>10</v>
      </c>
      <c r="HJ288" s="14" t="s">
        <v>1595</v>
      </c>
      <c r="HK288" s="14">
        <f t="shared" si="204"/>
        <v>7400</v>
      </c>
    </row>
    <row r="289" spans="41:219" ht="16.5" x14ac:dyDescent="0.2">
      <c r="AO289" s="87">
        <v>7</v>
      </c>
      <c r="AP289" s="87">
        <v>3</v>
      </c>
      <c r="AQ289" s="87">
        <v>60</v>
      </c>
      <c r="AR289" s="144">
        <f t="shared" si="190"/>
        <v>4460</v>
      </c>
      <c r="AS289" s="144" t="s">
        <v>1260</v>
      </c>
      <c r="AT289" s="144" t="str">
        <f t="shared" si="191"/>
        <v>神器本-7-噩梦-1  神器6-2</v>
      </c>
      <c r="AU289" s="87">
        <v>28</v>
      </c>
      <c r="AV289" s="87" t="s">
        <v>334</v>
      </c>
      <c r="AW289" s="87">
        <v>416</v>
      </c>
      <c r="AX289" s="87">
        <v>1</v>
      </c>
      <c r="AY289" s="87">
        <v>1</v>
      </c>
      <c r="AZ289" s="87">
        <f t="shared" si="205"/>
        <v>2</v>
      </c>
      <c r="BA289" s="14">
        <f t="shared" si="206"/>
        <v>4.1599999999999998E-2</v>
      </c>
      <c r="BB289" s="14">
        <f t="shared" si="207"/>
        <v>4.992</v>
      </c>
      <c r="GY289" s="91">
        <v>283</v>
      </c>
      <c r="GZ289" s="14">
        <f t="shared" si="195"/>
        <v>18</v>
      </c>
      <c r="HA289" s="14">
        <f t="shared" si="196"/>
        <v>4</v>
      </c>
      <c r="HB289" s="14">
        <f t="shared" si="197"/>
        <v>2</v>
      </c>
      <c r="HC289" s="14">
        <f t="shared" si="198"/>
        <v>0.40200000000000002</v>
      </c>
      <c r="HD289" s="14">
        <f t="shared" si="199"/>
        <v>1606020</v>
      </c>
      <c r="HE289" s="14" t="str">
        <f t="shared" si="200"/>
        <v>神器4-4 : 1级</v>
      </c>
      <c r="HF289" s="14" t="s">
        <v>800</v>
      </c>
      <c r="HG289" s="14">
        <f t="shared" si="201"/>
        <v>1</v>
      </c>
      <c r="HH289" s="14" t="str">
        <f t="shared" si="202"/>
        <v>神器4-4</v>
      </c>
      <c r="HI289" s="14">
        <f t="shared" si="203"/>
        <v>1</v>
      </c>
      <c r="HJ289" s="14" t="s">
        <v>1595</v>
      </c>
      <c r="HK289" s="14">
        <f t="shared" si="204"/>
        <v>4900</v>
      </c>
    </row>
    <row r="290" spans="41:219" ht="16.5" x14ac:dyDescent="0.2">
      <c r="AO290" s="87">
        <v>7</v>
      </c>
      <c r="AP290" s="87">
        <v>3</v>
      </c>
      <c r="AQ290" s="87">
        <v>60</v>
      </c>
      <c r="AR290" s="144">
        <f t="shared" si="190"/>
        <v>4460</v>
      </c>
      <c r="AS290" s="144" t="s">
        <v>1260</v>
      </c>
      <c r="AT290" s="144" t="str">
        <f t="shared" si="191"/>
        <v>神器本-7-噩梦-1  神器6-3</v>
      </c>
      <c r="AU290" s="87">
        <v>29</v>
      </c>
      <c r="AV290" s="87" t="s">
        <v>335</v>
      </c>
      <c r="AW290" s="87">
        <v>416</v>
      </c>
      <c r="AX290" s="87">
        <v>1</v>
      </c>
      <c r="AY290" s="87">
        <v>1</v>
      </c>
      <c r="AZ290" s="87">
        <f t="shared" si="205"/>
        <v>2</v>
      </c>
      <c r="BA290" s="14">
        <f t="shared" si="206"/>
        <v>4.1599999999999998E-2</v>
      </c>
      <c r="BB290" s="14">
        <f t="shared" si="207"/>
        <v>4.992</v>
      </c>
      <c r="GY290" s="91">
        <v>284</v>
      </c>
      <c r="GZ290" s="14">
        <f t="shared" si="195"/>
        <v>18</v>
      </c>
      <c r="HA290" s="14">
        <f t="shared" si="196"/>
        <v>4</v>
      </c>
      <c r="HB290" s="14">
        <f t="shared" si="197"/>
        <v>2</v>
      </c>
      <c r="HC290" s="14">
        <f t="shared" si="198"/>
        <v>0.41699999999999998</v>
      </c>
      <c r="HD290" s="14">
        <f t="shared" si="199"/>
        <v>1606020</v>
      </c>
      <c r="HE290" s="14" t="str">
        <f t="shared" si="200"/>
        <v>神器4-4 : 2级</v>
      </c>
      <c r="HF290" s="14" t="s">
        <v>800</v>
      </c>
      <c r="HG290" s="14">
        <f t="shared" si="201"/>
        <v>2</v>
      </c>
      <c r="HH290" s="14" t="str">
        <f t="shared" si="202"/>
        <v>神器4-4</v>
      </c>
      <c r="HI290" s="14">
        <f t="shared" si="203"/>
        <v>1</v>
      </c>
      <c r="HJ290" s="14" t="s">
        <v>1595</v>
      </c>
      <c r="HK290" s="14">
        <f t="shared" si="204"/>
        <v>5100</v>
      </c>
    </row>
    <row r="291" spans="41:219" ht="16.5" x14ac:dyDescent="0.2">
      <c r="AO291" s="87">
        <v>7</v>
      </c>
      <c r="AP291" s="87">
        <v>3</v>
      </c>
      <c r="AQ291" s="87">
        <v>60</v>
      </c>
      <c r="AR291" s="144">
        <f t="shared" si="190"/>
        <v>4460</v>
      </c>
      <c r="AS291" s="144" t="s">
        <v>1260</v>
      </c>
      <c r="AT291" s="144" t="str">
        <f t="shared" si="191"/>
        <v>神器本-7-噩梦-1  神器6-4</v>
      </c>
      <c r="AU291" s="87">
        <v>30</v>
      </c>
      <c r="AV291" s="87" t="s">
        <v>336</v>
      </c>
      <c r="AW291" s="87">
        <v>276</v>
      </c>
      <c r="AX291" s="87">
        <v>1</v>
      </c>
      <c r="AY291" s="87">
        <v>1</v>
      </c>
      <c r="AZ291" s="87">
        <f t="shared" si="205"/>
        <v>3</v>
      </c>
      <c r="BA291" s="14">
        <f t="shared" si="206"/>
        <v>2.76E-2</v>
      </c>
      <c r="BB291" s="14">
        <f t="shared" si="207"/>
        <v>7.7279999999999998</v>
      </c>
      <c r="GY291" s="91">
        <v>285</v>
      </c>
      <c r="GZ291" s="14">
        <f t="shared" si="195"/>
        <v>18</v>
      </c>
      <c r="HA291" s="14">
        <f t="shared" si="196"/>
        <v>4</v>
      </c>
      <c r="HB291" s="14">
        <f t="shared" si="197"/>
        <v>2</v>
      </c>
      <c r="HC291" s="14">
        <f t="shared" si="198"/>
        <v>0.43099999999999999</v>
      </c>
      <c r="HD291" s="14">
        <f t="shared" si="199"/>
        <v>1606020</v>
      </c>
      <c r="HE291" s="14" t="str">
        <f t="shared" si="200"/>
        <v>神器4-4 : 3级</v>
      </c>
      <c r="HF291" s="14" t="s">
        <v>800</v>
      </c>
      <c r="HG291" s="14">
        <f t="shared" si="201"/>
        <v>3</v>
      </c>
      <c r="HH291" s="14" t="str">
        <f t="shared" si="202"/>
        <v>神器4-4</v>
      </c>
      <c r="HI291" s="14">
        <f t="shared" si="203"/>
        <v>1</v>
      </c>
      <c r="HJ291" s="14" t="s">
        <v>1595</v>
      </c>
      <c r="HK291" s="14">
        <f t="shared" si="204"/>
        <v>5300</v>
      </c>
    </row>
    <row r="292" spans="41:219" ht="16.5" x14ac:dyDescent="0.2">
      <c r="AO292" s="87">
        <v>7</v>
      </c>
      <c r="AP292" s="87">
        <v>3</v>
      </c>
      <c r="AQ292" s="87">
        <v>60</v>
      </c>
      <c r="AR292" s="144">
        <f t="shared" si="190"/>
        <v>4460</v>
      </c>
      <c r="AS292" s="144" t="s">
        <v>1260</v>
      </c>
      <c r="AT292" s="144" t="str">
        <f t="shared" si="191"/>
        <v>神器本-7-噩梦-1  神器6-5</v>
      </c>
      <c r="AU292" s="87">
        <v>31</v>
      </c>
      <c r="AV292" s="87" t="s">
        <v>337</v>
      </c>
      <c r="AW292" s="87">
        <v>276</v>
      </c>
      <c r="AX292" s="87">
        <v>1</v>
      </c>
      <c r="AY292" s="87">
        <v>1</v>
      </c>
      <c r="AZ292" s="87">
        <f t="shared" si="205"/>
        <v>3</v>
      </c>
      <c r="BA292" s="14">
        <f t="shared" si="206"/>
        <v>2.76E-2</v>
      </c>
      <c r="BB292" s="14">
        <f t="shared" si="207"/>
        <v>7.7279999999999998</v>
      </c>
      <c r="GY292" s="91">
        <v>286</v>
      </c>
      <c r="GZ292" s="14">
        <f t="shared" si="195"/>
        <v>18</v>
      </c>
      <c r="HA292" s="14">
        <f t="shared" si="196"/>
        <v>4</v>
      </c>
      <c r="HB292" s="14">
        <f t="shared" si="197"/>
        <v>2</v>
      </c>
      <c r="HC292" s="14">
        <f t="shared" si="198"/>
        <v>0.44500000000000001</v>
      </c>
      <c r="HD292" s="14">
        <f t="shared" si="199"/>
        <v>1606020</v>
      </c>
      <c r="HE292" s="14" t="str">
        <f t="shared" si="200"/>
        <v>神器4-4 : 4级</v>
      </c>
      <c r="HF292" s="14" t="s">
        <v>800</v>
      </c>
      <c r="HG292" s="14">
        <f t="shared" si="201"/>
        <v>4</v>
      </c>
      <c r="HH292" s="14" t="str">
        <f t="shared" si="202"/>
        <v>神器4-4</v>
      </c>
      <c r="HI292" s="14">
        <f t="shared" si="203"/>
        <v>2</v>
      </c>
      <c r="HJ292" s="14" t="s">
        <v>1595</v>
      </c>
      <c r="HK292" s="14">
        <f t="shared" si="204"/>
        <v>5450</v>
      </c>
    </row>
    <row r="293" spans="41:219" ht="16.5" x14ac:dyDescent="0.2">
      <c r="AO293" s="87">
        <v>7</v>
      </c>
      <c r="AP293" s="87">
        <v>3</v>
      </c>
      <c r="AQ293" s="87">
        <v>60</v>
      </c>
      <c r="AR293" s="144">
        <f t="shared" si="190"/>
        <v>4460</v>
      </c>
      <c r="AS293" s="144" t="s">
        <v>1260</v>
      </c>
      <c r="AT293" s="144" t="str">
        <f t="shared" si="191"/>
        <v>神器本-7-噩梦-1  神器6-6</v>
      </c>
      <c r="AU293" s="87">
        <v>32</v>
      </c>
      <c r="AV293" s="87" t="s">
        <v>338</v>
      </c>
      <c r="AW293" s="87">
        <v>276</v>
      </c>
      <c r="AX293" s="87">
        <v>1</v>
      </c>
      <c r="AY293" s="87">
        <v>1</v>
      </c>
      <c r="AZ293" s="87">
        <f t="shared" si="205"/>
        <v>3</v>
      </c>
      <c r="BA293" s="14">
        <f t="shared" si="206"/>
        <v>2.76E-2</v>
      </c>
      <c r="BB293" s="14">
        <f t="shared" si="207"/>
        <v>7.7279999999999998</v>
      </c>
      <c r="GY293" s="91">
        <v>287</v>
      </c>
      <c r="GZ293" s="14">
        <f t="shared" si="195"/>
        <v>18</v>
      </c>
      <c r="HA293" s="14">
        <f t="shared" si="196"/>
        <v>4</v>
      </c>
      <c r="HB293" s="14">
        <f t="shared" si="197"/>
        <v>2</v>
      </c>
      <c r="HC293" s="14">
        <f t="shared" si="198"/>
        <v>0.45800000000000002</v>
      </c>
      <c r="HD293" s="14">
        <f t="shared" si="199"/>
        <v>1606020</v>
      </c>
      <c r="HE293" s="14" t="str">
        <f t="shared" si="200"/>
        <v>神器4-4 : 5级</v>
      </c>
      <c r="HF293" s="14" t="s">
        <v>800</v>
      </c>
      <c r="HG293" s="14">
        <f t="shared" si="201"/>
        <v>5</v>
      </c>
      <c r="HH293" s="14" t="str">
        <f t="shared" si="202"/>
        <v>神器4-4</v>
      </c>
      <c r="HI293" s="14">
        <f t="shared" si="203"/>
        <v>2</v>
      </c>
      <c r="HJ293" s="14" t="s">
        <v>1595</v>
      </c>
      <c r="HK293" s="14">
        <f t="shared" si="204"/>
        <v>5600</v>
      </c>
    </row>
    <row r="294" spans="41:219" ht="16.5" x14ac:dyDescent="0.2">
      <c r="AO294" s="87">
        <v>7</v>
      </c>
      <c r="AP294" s="87">
        <v>3</v>
      </c>
      <c r="AQ294" s="87">
        <v>61</v>
      </c>
      <c r="AR294" s="144">
        <f t="shared" si="190"/>
        <v>4461</v>
      </c>
      <c r="AS294" s="144" t="s">
        <v>1261</v>
      </c>
      <c r="AT294" s="144" t="str">
        <f t="shared" si="191"/>
        <v>神器本-7-噩梦-2  神器7-1</v>
      </c>
      <c r="AU294" s="87">
        <v>35</v>
      </c>
      <c r="AV294" s="87" t="s">
        <v>670</v>
      </c>
      <c r="AW294" s="87">
        <v>2000</v>
      </c>
      <c r="AX294" s="87">
        <v>1</v>
      </c>
      <c r="AY294" s="87">
        <v>2</v>
      </c>
      <c r="AZ294" s="87">
        <f t="shared" ref="AZ294:AZ301" si="208">INDEX($AK$7:$AK$48,AU294)</f>
        <v>2</v>
      </c>
      <c r="BA294" s="14">
        <f t="shared" ref="BA294:BA301" si="209">(AX294+AY294)/2*AW294/10000</f>
        <v>0.3</v>
      </c>
      <c r="BB294" s="14">
        <f t="shared" ref="BB294:BB301" si="210">(AX294+AY294)/2*AW294/10000*INDEX($AL$7:$AL$48,AU294)</f>
        <v>45</v>
      </c>
      <c r="GY294" s="91">
        <v>288</v>
      </c>
      <c r="GZ294" s="14">
        <f t="shared" si="195"/>
        <v>18</v>
      </c>
      <c r="HA294" s="14">
        <f t="shared" si="196"/>
        <v>4</v>
      </c>
      <c r="HB294" s="14">
        <f t="shared" si="197"/>
        <v>2</v>
      </c>
      <c r="HC294" s="14">
        <f t="shared" si="198"/>
        <v>0.47099999999999997</v>
      </c>
      <c r="HD294" s="14">
        <f t="shared" si="199"/>
        <v>1606020</v>
      </c>
      <c r="HE294" s="14" t="str">
        <f t="shared" si="200"/>
        <v>神器4-4 : 6级</v>
      </c>
      <c r="HF294" s="14" t="s">
        <v>800</v>
      </c>
      <c r="HG294" s="14">
        <f t="shared" si="201"/>
        <v>6</v>
      </c>
      <c r="HH294" s="14" t="str">
        <f t="shared" si="202"/>
        <v>神器4-4</v>
      </c>
      <c r="HI294" s="14">
        <f t="shared" si="203"/>
        <v>2</v>
      </c>
      <c r="HJ294" s="14" t="s">
        <v>1595</v>
      </c>
      <c r="HK294" s="14">
        <f t="shared" si="204"/>
        <v>5750</v>
      </c>
    </row>
    <row r="295" spans="41:219" ht="16.5" x14ac:dyDescent="0.2">
      <c r="AO295" s="87">
        <v>7</v>
      </c>
      <c r="AP295" s="87">
        <v>3</v>
      </c>
      <c r="AQ295" s="87">
        <v>61</v>
      </c>
      <c r="AR295" s="144">
        <f t="shared" si="190"/>
        <v>4461</v>
      </c>
      <c r="AS295" s="144" t="s">
        <v>1261</v>
      </c>
      <c r="AT295" s="144" t="str">
        <f t="shared" si="191"/>
        <v>神器本-7-噩梦-2  神器7-2</v>
      </c>
      <c r="AU295" s="87">
        <v>36</v>
      </c>
      <c r="AV295" s="87" t="s">
        <v>765</v>
      </c>
      <c r="AW295" s="87">
        <v>2000</v>
      </c>
      <c r="AX295" s="87">
        <v>1</v>
      </c>
      <c r="AY295" s="87">
        <v>2</v>
      </c>
      <c r="AZ295" s="87">
        <f t="shared" si="208"/>
        <v>2</v>
      </c>
      <c r="BA295" s="14">
        <f t="shared" si="209"/>
        <v>0.3</v>
      </c>
      <c r="BB295" s="14">
        <f t="shared" si="210"/>
        <v>45</v>
      </c>
      <c r="GY295" s="91">
        <v>289</v>
      </c>
      <c r="GZ295" s="14">
        <f t="shared" si="195"/>
        <v>18</v>
      </c>
      <c r="HA295" s="14">
        <f t="shared" si="196"/>
        <v>4</v>
      </c>
      <c r="HB295" s="14">
        <f t="shared" si="197"/>
        <v>2</v>
      </c>
      <c r="HC295" s="14">
        <f t="shared" si="198"/>
        <v>0.48399999999999999</v>
      </c>
      <c r="HD295" s="14">
        <f t="shared" si="199"/>
        <v>1606020</v>
      </c>
      <c r="HE295" s="14" t="str">
        <f t="shared" si="200"/>
        <v>神器4-4 : 7级</v>
      </c>
      <c r="HF295" s="14" t="s">
        <v>800</v>
      </c>
      <c r="HG295" s="14">
        <f t="shared" si="201"/>
        <v>7</v>
      </c>
      <c r="HH295" s="14" t="str">
        <f t="shared" si="202"/>
        <v>神器4-4</v>
      </c>
      <c r="HI295" s="14">
        <f t="shared" si="203"/>
        <v>3</v>
      </c>
      <c r="HJ295" s="14" t="s">
        <v>1595</v>
      </c>
      <c r="HK295" s="14">
        <f t="shared" si="204"/>
        <v>5950</v>
      </c>
    </row>
    <row r="296" spans="41:219" ht="16.5" x14ac:dyDescent="0.2">
      <c r="AO296" s="87">
        <v>7</v>
      </c>
      <c r="AP296" s="87">
        <v>3</v>
      </c>
      <c r="AQ296" s="87">
        <v>61</v>
      </c>
      <c r="AR296" s="144">
        <f t="shared" si="190"/>
        <v>4461</v>
      </c>
      <c r="AS296" s="144" t="s">
        <v>1261</v>
      </c>
      <c r="AT296" s="144" t="str">
        <f t="shared" si="191"/>
        <v>神器本-7-噩梦-2  神器7-3</v>
      </c>
      <c r="AU296" s="87">
        <v>37</v>
      </c>
      <c r="AV296" s="87" t="s">
        <v>766</v>
      </c>
      <c r="AW296" s="87">
        <v>2000</v>
      </c>
      <c r="AX296" s="87">
        <v>1</v>
      </c>
      <c r="AY296" s="87">
        <v>2</v>
      </c>
      <c r="AZ296" s="87">
        <f t="shared" si="208"/>
        <v>2</v>
      </c>
      <c r="BA296" s="14">
        <f t="shared" si="209"/>
        <v>0.3</v>
      </c>
      <c r="BB296" s="14">
        <f t="shared" si="210"/>
        <v>45</v>
      </c>
      <c r="GY296" s="91">
        <v>290</v>
      </c>
      <c r="GZ296" s="14">
        <f t="shared" si="195"/>
        <v>18</v>
      </c>
      <c r="HA296" s="14">
        <f t="shared" si="196"/>
        <v>4</v>
      </c>
      <c r="HB296" s="14">
        <f t="shared" si="197"/>
        <v>2</v>
      </c>
      <c r="HC296" s="14">
        <f t="shared" si="198"/>
        <v>0.496</v>
      </c>
      <c r="HD296" s="14">
        <f t="shared" si="199"/>
        <v>1606020</v>
      </c>
      <c r="HE296" s="14" t="str">
        <f t="shared" si="200"/>
        <v>神器4-4 : 8级</v>
      </c>
      <c r="HF296" s="14" t="s">
        <v>800</v>
      </c>
      <c r="HG296" s="14">
        <f t="shared" si="201"/>
        <v>8</v>
      </c>
      <c r="HH296" s="14" t="str">
        <f t="shared" si="202"/>
        <v>神器4-4</v>
      </c>
      <c r="HI296" s="14">
        <f t="shared" si="203"/>
        <v>3</v>
      </c>
      <c r="HJ296" s="14" t="s">
        <v>1595</v>
      </c>
      <c r="HK296" s="14">
        <f t="shared" si="204"/>
        <v>6050</v>
      </c>
    </row>
    <row r="297" spans="41:219" ht="16.5" x14ac:dyDescent="0.2">
      <c r="AO297" s="87">
        <v>7</v>
      </c>
      <c r="AP297" s="87">
        <v>3</v>
      </c>
      <c r="AQ297" s="87">
        <v>62</v>
      </c>
      <c r="AR297" s="144">
        <f t="shared" si="190"/>
        <v>4462</v>
      </c>
      <c r="AS297" s="144" t="s">
        <v>1262</v>
      </c>
      <c r="AT297" s="144" t="str">
        <f t="shared" si="191"/>
        <v>神器本-7-噩梦-3  神器7-4</v>
      </c>
      <c r="AU297" s="87">
        <v>38</v>
      </c>
      <c r="AV297" s="87" t="s">
        <v>767</v>
      </c>
      <c r="AW297" s="87">
        <v>1000</v>
      </c>
      <c r="AX297" s="87">
        <v>1</v>
      </c>
      <c r="AY297" s="87">
        <v>1</v>
      </c>
      <c r="AZ297" s="87">
        <f t="shared" si="208"/>
        <v>3</v>
      </c>
      <c r="BA297" s="14">
        <f t="shared" si="209"/>
        <v>0.1</v>
      </c>
      <c r="BB297" s="14">
        <f t="shared" si="210"/>
        <v>35</v>
      </c>
      <c r="GY297" s="91">
        <v>291</v>
      </c>
      <c r="GZ297" s="14">
        <f t="shared" si="195"/>
        <v>18</v>
      </c>
      <c r="HA297" s="14">
        <f t="shared" si="196"/>
        <v>4</v>
      </c>
      <c r="HB297" s="14">
        <f t="shared" si="197"/>
        <v>2</v>
      </c>
      <c r="HC297" s="14">
        <f t="shared" si="198"/>
        <v>0.50800000000000001</v>
      </c>
      <c r="HD297" s="14">
        <f t="shared" si="199"/>
        <v>1606020</v>
      </c>
      <c r="HE297" s="14" t="str">
        <f t="shared" si="200"/>
        <v>神器4-4 : 9级</v>
      </c>
      <c r="HF297" s="14" t="s">
        <v>800</v>
      </c>
      <c r="HG297" s="14">
        <f t="shared" si="201"/>
        <v>9</v>
      </c>
      <c r="HH297" s="14" t="str">
        <f t="shared" si="202"/>
        <v>神器4-4</v>
      </c>
      <c r="HI297" s="14">
        <f t="shared" si="203"/>
        <v>3</v>
      </c>
      <c r="HJ297" s="14" t="s">
        <v>1595</v>
      </c>
      <c r="HK297" s="14">
        <f t="shared" si="204"/>
        <v>6200</v>
      </c>
    </row>
    <row r="298" spans="41:219" ht="16.5" x14ac:dyDescent="0.2">
      <c r="AO298" s="87">
        <v>7</v>
      </c>
      <c r="AP298" s="87">
        <v>3</v>
      </c>
      <c r="AQ298" s="87">
        <v>62</v>
      </c>
      <c r="AR298" s="144">
        <f t="shared" si="190"/>
        <v>4462</v>
      </c>
      <c r="AS298" s="144" t="s">
        <v>1262</v>
      </c>
      <c r="AT298" s="144" t="str">
        <f t="shared" si="191"/>
        <v>神器本-7-噩梦-3  神器7-5</v>
      </c>
      <c r="AU298" s="87">
        <v>39</v>
      </c>
      <c r="AV298" s="87" t="s">
        <v>768</v>
      </c>
      <c r="AW298" s="87">
        <v>1000</v>
      </c>
      <c r="AX298" s="87">
        <v>1</v>
      </c>
      <c r="AY298" s="87">
        <v>1</v>
      </c>
      <c r="AZ298" s="87">
        <f t="shared" si="208"/>
        <v>3</v>
      </c>
      <c r="BA298" s="14">
        <f t="shared" si="209"/>
        <v>0.1</v>
      </c>
      <c r="BB298" s="14">
        <f t="shared" si="210"/>
        <v>35</v>
      </c>
      <c r="GY298" s="91">
        <v>292</v>
      </c>
      <c r="GZ298" s="14">
        <f t="shared" si="195"/>
        <v>18</v>
      </c>
      <c r="HA298" s="14">
        <f t="shared" si="196"/>
        <v>4</v>
      </c>
      <c r="HB298" s="14">
        <f t="shared" si="197"/>
        <v>2</v>
      </c>
      <c r="HC298" s="14">
        <f t="shared" si="198"/>
        <v>0.52</v>
      </c>
      <c r="HD298" s="14">
        <f t="shared" si="199"/>
        <v>1606020</v>
      </c>
      <c r="HE298" s="14" t="str">
        <f t="shared" si="200"/>
        <v>神器4-4 : 10级</v>
      </c>
      <c r="HF298" s="14" t="s">
        <v>800</v>
      </c>
      <c r="HG298" s="14">
        <f t="shared" si="201"/>
        <v>10</v>
      </c>
      <c r="HH298" s="14" t="str">
        <f t="shared" si="202"/>
        <v>神器4-4</v>
      </c>
      <c r="HI298" s="14">
        <f t="shared" si="203"/>
        <v>5</v>
      </c>
      <c r="HJ298" s="14" t="s">
        <v>1595</v>
      </c>
      <c r="HK298" s="14">
        <f t="shared" si="204"/>
        <v>6350</v>
      </c>
    </row>
    <row r="299" spans="41:219" ht="16.5" x14ac:dyDescent="0.2">
      <c r="AO299" s="87">
        <v>7</v>
      </c>
      <c r="AP299" s="87">
        <v>3</v>
      </c>
      <c r="AQ299" s="87">
        <v>62</v>
      </c>
      <c r="AR299" s="144">
        <f t="shared" si="190"/>
        <v>4462</v>
      </c>
      <c r="AS299" s="144" t="s">
        <v>1262</v>
      </c>
      <c r="AT299" s="144" t="str">
        <f t="shared" si="191"/>
        <v>神器本-7-噩梦-3  神器7-6</v>
      </c>
      <c r="AU299" s="87">
        <v>40</v>
      </c>
      <c r="AV299" s="87" t="s">
        <v>769</v>
      </c>
      <c r="AW299" s="87">
        <v>1000</v>
      </c>
      <c r="AX299" s="87">
        <v>1</v>
      </c>
      <c r="AY299" s="87">
        <v>1</v>
      </c>
      <c r="AZ299" s="87">
        <f t="shared" si="208"/>
        <v>3</v>
      </c>
      <c r="BA299" s="14">
        <f t="shared" si="209"/>
        <v>0.1</v>
      </c>
      <c r="BB299" s="14">
        <f t="shared" si="210"/>
        <v>35</v>
      </c>
      <c r="GY299" s="91">
        <v>293</v>
      </c>
      <c r="GZ299" s="14">
        <f t="shared" si="195"/>
        <v>18</v>
      </c>
      <c r="HA299" s="14">
        <f t="shared" si="196"/>
        <v>4</v>
      </c>
      <c r="HB299" s="14">
        <f t="shared" si="197"/>
        <v>2</v>
      </c>
      <c r="HC299" s="14">
        <f t="shared" si="198"/>
        <v>0.53100000000000003</v>
      </c>
      <c r="HD299" s="14">
        <f t="shared" si="199"/>
        <v>1606020</v>
      </c>
      <c r="HE299" s="14" t="str">
        <f t="shared" si="200"/>
        <v>神器4-4 : 11级</v>
      </c>
      <c r="HF299" s="14" t="s">
        <v>800</v>
      </c>
      <c r="HG299" s="14">
        <f t="shared" si="201"/>
        <v>11</v>
      </c>
      <c r="HH299" s="14" t="str">
        <f t="shared" si="202"/>
        <v>神器4-4</v>
      </c>
      <c r="HI299" s="14">
        <f t="shared" si="203"/>
        <v>5</v>
      </c>
      <c r="HJ299" s="14" t="s">
        <v>1595</v>
      </c>
      <c r="HK299" s="14">
        <f t="shared" si="204"/>
        <v>6500</v>
      </c>
    </row>
    <row r="300" spans="41:219" ht="16.5" x14ac:dyDescent="0.2">
      <c r="AO300" s="87">
        <v>7</v>
      </c>
      <c r="AP300" s="87">
        <v>3</v>
      </c>
      <c r="AQ300" s="87">
        <v>63</v>
      </c>
      <c r="AR300" s="144">
        <f t="shared" si="190"/>
        <v>4463</v>
      </c>
      <c r="AS300" s="144" t="s">
        <v>1263</v>
      </c>
      <c r="AT300" s="144" t="str">
        <f t="shared" si="191"/>
        <v>神器本-7-噩梦-4  神器7-7</v>
      </c>
      <c r="AU300" s="87">
        <v>41</v>
      </c>
      <c r="AV300" s="87" t="s">
        <v>770</v>
      </c>
      <c r="AW300" s="87">
        <v>750</v>
      </c>
      <c r="AX300" s="87">
        <v>1</v>
      </c>
      <c r="AY300" s="87">
        <v>1</v>
      </c>
      <c r="AZ300" s="87">
        <f t="shared" si="208"/>
        <v>4</v>
      </c>
      <c r="BA300" s="14">
        <f t="shared" si="209"/>
        <v>7.4999999999999997E-2</v>
      </c>
      <c r="BB300" s="14">
        <f t="shared" si="210"/>
        <v>56.25</v>
      </c>
      <c r="GY300" s="91">
        <v>294</v>
      </c>
      <c r="GZ300" s="14">
        <f t="shared" si="195"/>
        <v>18</v>
      </c>
      <c r="HA300" s="14">
        <f t="shared" si="196"/>
        <v>4</v>
      </c>
      <c r="HB300" s="14">
        <f t="shared" si="197"/>
        <v>2</v>
      </c>
      <c r="HC300" s="14">
        <f t="shared" si="198"/>
        <v>0.54200000000000004</v>
      </c>
      <c r="HD300" s="14">
        <f t="shared" si="199"/>
        <v>1606020</v>
      </c>
      <c r="HE300" s="14" t="str">
        <f t="shared" si="200"/>
        <v>神器4-4 : 12级</v>
      </c>
      <c r="HF300" s="14" t="s">
        <v>800</v>
      </c>
      <c r="HG300" s="14">
        <f t="shared" si="201"/>
        <v>12</v>
      </c>
      <c r="HH300" s="14" t="str">
        <f t="shared" si="202"/>
        <v>神器4-4</v>
      </c>
      <c r="HI300" s="14">
        <f t="shared" si="203"/>
        <v>6</v>
      </c>
      <c r="HJ300" s="14" t="s">
        <v>1595</v>
      </c>
      <c r="HK300" s="14">
        <f t="shared" si="204"/>
        <v>6650</v>
      </c>
    </row>
    <row r="301" spans="41:219" ht="16.5" x14ac:dyDescent="0.2">
      <c r="AO301" s="87">
        <v>7</v>
      </c>
      <c r="AP301" s="87">
        <v>3</v>
      </c>
      <c r="AQ301" s="87">
        <v>63</v>
      </c>
      <c r="AR301" s="144">
        <f t="shared" si="190"/>
        <v>4463</v>
      </c>
      <c r="AS301" s="144" t="s">
        <v>1263</v>
      </c>
      <c r="AT301" s="144" t="str">
        <f t="shared" si="191"/>
        <v>神器本-7-噩梦-4  神器7-8</v>
      </c>
      <c r="AU301" s="87">
        <v>42</v>
      </c>
      <c r="AV301" s="87" t="s">
        <v>771</v>
      </c>
      <c r="AW301" s="87">
        <v>750</v>
      </c>
      <c r="AX301" s="87">
        <v>1</v>
      </c>
      <c r="AY301" s="87">
        <v>1</v>
      </c>
      <c r="AZ301" s="87">
        <f t="shared" si="208"/>
        <v>4</v>
      </c>
      <c r="BA301" s="14">
        <f t="shared" si="209"/>
        <v>7.4999999999999997E-2</v>
      </c>
      <c r="BB301" s="14">
        <f t="shared" si="210"/>
        <v>56.25</v>
      </c>
      <c r="GY301" s="91">
        <v>295</v>
      </c>
      <c r="GZ301" s="14">
        <f t="shared" si="195"/>
        <v>18</v>
      </c>
      <c r="HA301" s="14">
        <f t="shared" si="196"/>
        <v>4</v>
      </c>
      <c r="HB301" s="14">
        <f t="shared" si="197"/>
        <v>2</v>
      </c>
      <c r="HC301" s="14">
        <f t="shared" si="198"/>
        <v>0.55300000000000005</v>
      </c>
      <c r="HD301" s="14">
        <f t="shared" si="199"/>
        <v>1606020</v>
      </c>
      <c r="HE301" s="14" t="str">
        <f t="shared" si="200"/>
        <v>神器4-4 : 13级</v>
      </c>
      <c r="HF301" s="14" t="s">
        <v>800</v>
      </c>
      <c r="HG301" s="14">
        <f t="shared" si="201"/>
        <v>13</v>
      </c>
      <c r="HH301" s="14" t="str">
        <f t="shared" si="202"/>
        <v>神器4-4</v>
      </c>
      <c r="HI301" s="14">
        <f t="shared" si="203"/>
        <v>7</v>
      </c>
      <c r="HJ301" s="14" t="s">
        <v>1595</v>
      </c>
      <c r="HK301" s="14">
        <f t="shared" si="204"/>
        <v>6750</v>
      </c>
    </row>
    <row r="302" spans="41:219" ht="16.5" x14ac:dyDescent="0.2">
      <c r="GY302" s="91">
        <v>296</v>
      </c>
      <c r="GZ302" s="14">
        <f t="shared" si="195"/>
        <v>18</v>
      </c>
      <c r="HA302" s="14">
        <f t="shared" si="196"/>
        <v>4</v>
      </c>
      <c r="HB302" s="14">
        <f t="shared" si="197"/>
        <v>2</v>
      </c>
      <c r="HC302" s="14">
        <f t="shared" si="198"/>
        <v>0.56399999999999995</v>
      </c>
      <c r="HD302" s="14">
        <f t="shared" si="199"/>
        <v>1606020</v>
      </c>
      <c r="HE302" s="14" t="str">
        <f t="shared" si="200"/>
        <v>神器4-4 : 14级</v>
      </c>
      <c r="HF302" s="14" t="s">
        <v>800</v>
      </c>
      <c r="HG302" s="14">
        <f t="shared" si="201"/>
        <v>14</v>
      </c>
      <c r="HH302" s="14" t="str">
        <f t="shared" si="202"/>
        <v>神器4-4</v>
      </c>
      <c r="HI302" s="14">
        <f t="shared" si="203"/>
        <v>7</v>
      </c>
      <c r="HJ302" s="14" t="s">
        <v>1595</v>
      </c>
      <c r="HK302" s="14">
        <f t="shared" si="204"/>
        <v>6900</v>
      </c>
    </row>
    <row r="303" spans="41:219" ht="16.5" x14ac:dyDescent="0.2">
      <c r="GY303" s="91">
        <v>297</v>
      </c>
      <c r="GZ303" s="14">
        <f t="shared" si="195"/>
        <v>18</v>
      </c>
      <c r="HA303" s="14">
        <f t="shared" si="196"/>
        <v>4</v>
      </c>
      <c r="HB303" s="14">
        <f t="shared" si="197"/>
        <v>2</v>
      </c>
      <c r="HC303" s="14">
        <f t="shared" si="198"/>
        <v>0.57399999999999995</v>
      </c>
      <c r="HD303" s="14">
        <f t="shared" si="199"/>
        <v>1606020</v>
      </c>
      <c r="HE303" s="14" t="str">
        <f t="shared" si="200"/>
        <v>神器4-4 : 15级</v>
      </c>
      <c r="HF303" s="14" t="s">
        <v>800</v>
      </c>
      <c r="HG303" s="14">
        <f t="shared" si="201"/>
        <v>15</v>
      </c>
      <c r="HH303" s="14" t="str">
        <f t="shared" si="202"/>
        <v>神器4-4</v>
      </c>
      <c r="HI303" s="14">
        <f t="shared" si="203"/>
        <v>7</v>
      </c>
      <c r="HJ303" s="14" t="s">
        <v>1595</v>
      </c>
      <c r="HK303" s="14">
        <f t="shared" si="204"/>
        <v>7050</v>
      </c>
    </row>
    <row r="304" spans="41:219" ht="16.5" x14ac:dyDescent="0.2">
      <c r="GY304" s="91">
        <v>298</v>
      </c>
      <c r="GZ304" s="14">
        <f t="shared" si="195"/>
        <v>18</v>
      </c>
      <c r="HA304" s="14">
        <f t="shared" si="196"/>
        <v>4</v>
      </c>
      <c r="HB304" s="14">
        <f t="shared" si="197"/>
        <v>2</v>
      </c>
      <c r="HC304" s="14">
        <f t="shared" si="198"/>
        <v>0.58499999999999996</v>
      </c>
      <c r="HD304" s="14">
        <f t="shared" si="199"/>
        <v>1606020</v>
      </c>
      <c r="HE304" s="14" t="str">
        <f t="shared" si="200"/>
        <v>神器4-4 : 16级</v>
      </c>
      <c r="HF304" s="14" t="s">
        <v>800</v>
      </c>
      <c r="HG304" s="14">
        <f t="shared" si="201"/>
        <v>16</v>
      </c>
      <c r="HH304" s="14" t="str">
        <f t="shared" si="202"/>
        <v>神器4-4</v>
      </c>
      <c r="HI304" s="14">
        <f t="shared" si="203"/>
        <v>10</v>
      </c>
      <c r="HJ304" s="14" t="s">
        <v>1595</v>
      </c>
      <c r="HK304" s="14">
        <f t="shared" si="204"/>
        <v>7150</v>
      </c>
    </row>
    <row r="305" spans="207:219" ht="16.5" x14ac:dyDescent="0.2">
      <c r="GY305" s="91">
        <v>299</v>
      </c>
      <c r="GZ305" s="14">
        <f t="shared" si="195"/>
        <v>18</v>
      </c>
      <c r="HA305" s="14">
        <f t="shared" si="196"/>
        <v>4</v>
      </c>
      <c r="HB305" s="14">
        <f t="shared" si="197"/>
        <v>2</v>
      </c>
      <c r="HC305" s="14">
        <f t="shared" si="198"/>
        <v>0.59499999999999997</v>
      </c>
      <c r="HD305" s="14">
        <f t="shared" si="199"/>
        <v>1606020</v>
      </c>
      <c r="HE305" s="14" t="str">
        <f t="shared" si="200"/>
        <v>神器4-4 : 17级</v>
      </c>
      <c r="HF305" s="14" t="s">
        <v>800</v>
      </c>
      <c r="HG305" s="14">
        <f t="shared" si="201"/>
        <v>17</v>
      </c>
      <c r="HH305" s="14" t="str">
        <f t="shared" si="202"/>
        <v>神器4-4</v>
      </c>
      <c r="HI305" s="14">
        <f t="shared" si="203"/>
        <v>10</v>
      </c>
      <c r="HJ305" s="14" t="s">
        <v>1595</v>
      </c>
      <c r="HK305" s="14">
        <f t="shared" si="204"/>
        <v>7300</v>
      </c>
    </row>
    <row r="306" spans="207:219" ht="16.5" x14ac:dyDescent="0.2">
      <c r="GY306" s="91">
        <v>300</v>
      </c>
      <c r="GZ306" s="14">
        <f t="shared" si="195"/>
        <v>18</v>
      </c>
      <c r="HA306" s="14">
        <f t="shared" si="196"/>
        <v>4</v>
      </c>
      <c r="HB306" s="14">
        <f t="shared" si="197"/>
        <v>2</v>
      </c>
      <c r="HC306" s="14">
        <f t="shared" si="198"/>
        <v>0.60499999999999998</v>
      </c>
      <c r="HD306" s="14">
        <f t="shared" si="199"/>
        <v>1606020</v>
      </c>
      <c r="HE306" s="14" t="str">
        <f t="shared" si="200"/>
        <v>神器4-4 : 18级</v>
      </c>
      <c r="HF306" s="14" t="s">
        <v>800</v>
      </c>
      <c r="HG306" s="14">
        <f t="shared" si="201"/>
        <v>18</v>
      </c>
      <c r="HH306" s="14" t="str">
        <f t="shared" si="202"/>
        <v>神器4-4</v>
      </c>
      <c r="HI306" s="14">
        <f t="shared" si="203"/>
        <v>10</v>
      </c>
      <c r="HJ306" s="14" t="s">
        <v>1595</v>
      </c>
      <c r="HK306" s="14">
        <f t="shared" si="204"/>
        <v>7400</v>
      </c>
    </row>
    <row r="307" spans="207:219" ht="16.5" x14ac:dyDescent="0.2">
      <c r="GY307" s="91">
        <v>301</v>
      </c>
      <c r="GZ307" s="14">
        <f t="shared" si="195"/>
        <v>19</v>
      </c>
      <c r="HA307" s="14">
        <f t="shared" si="196"/>
        <v>4</v>
      </c>
      <c r="HB307" s="14">
        <f t="shared" si="197"/>
        <v>3</v>
      </c>
      <c r="HC307" s="14">
        <f t="shared" si="198"/>
        <v>0.61499999999999999</v>
      </c>
      <c r="HD307" s="14">
        <f t="shared" si="199"/>
        <v>1606021</v>
      </c>
      <c r="HE307" s="14" t="str">
        <f t="shared" si="200"/>
        <v>神器4-5 : 1级</v>
      </c>
      <c r="HF307" s="14" t="s">
        <v>800</v>
      </c>
      <c r="HG307" s="14">
        <f t="shared" si="201"/>
        <v>1</v>
      </c>
      <c r="HH307" s="14" t="str">
        <f t="shared" si="202"/>
        <v>神器4-5</v>
      </c>
      <c r="HI307" s="14">
        <f t="shared" si="203"/>
        <v>1</v>
      </c>
      <c r="HJ307" s="14" t="s">
        <v>1595</v>
      </c>
      <c r="HK307" s="14">
        <f t="shared" si="204"/>
        <v>7550</v>
      </c>
    </row>
    <row r="308" spans="207:219" ht="16.5" x14ac:dyDescent="0.2">
      <c r="GY308" s="91">
        <v>302</v>
      </c>
      <c r="GZ308" s="14">
        <f t="shared" si="195"/>
        <v>19</v>
      </c>
      <c r="HA308" s="14">
        <f t="shared" si="196"/>
        <v>4</v>
      </c>
      <c r="HB308" s="14">
        <f t="shared" si="197"/>
        <v>3</v>
      </c>
      <c r="HC308" s="14">
        <f t="shared" si="198"/>
        <v>0.63700000000000001</v>
      </c>
      <c r="HD308" s="14">
        <f t="shared" si="199"/>
        <v>1606021</v>
      </c>
      <c r="HE308" s="14" t="str">
        <f t="shared" si="200"/>
        <v>神器4-5 : 2级</v>
      </c>
      <c r="HF308" s="14" t="s">
        <v>800</v>
      </c>
      <c r="HG308" s="14">
        <f t="shared" si="201"/>
        <v>2</v>
      </c>
      <c r="HH308" s="14" t="str">
        <f t="shared" si="202"/>
        <v>神器4-5</v>
      </c>
      <c r="HI308" s="14">
        <f t="shared" si="203"/>
        <v>1</v>
      </c>
      <c r="HJ308" s="14" t="s">
        <v>1595</v>
      </c>
      <c r="HK308" s="14">
        <f t="shared" si="204"/>
        <v>7800</v>
      </c>
    </row>
    <row r="309" spans="207:219" ht="16.5" x14ac:dyDescent="0.2">
      <c r="GY309" s="91">
        <v>303</v>
      </c>
      <c r="GZ309" s="14">
        <f t="shared" si="195"/>
        <v>19</v>
      </c>
      <c r="HA309" s="14">
        <f t="shared" si="196"/>
        <v>4</v>
      </c>
      <c r="HB309" s="14">
        <f t="shared" si="197"/>
        <v>3</v>
      </c>
      <c r="HC309" s="14">
        <f t="shared" si="198"/>
        <v>0.65900000000000003</v>
      </c>
      <c r="HD309" s="14">
        <f t="shared" si="199"/>
        <v>1606021</v>
      </c>
      <c r="HE309" s="14" t="str">
        <f t="shared" si="200"/>
        <v>神器4-5 : 3级</v>
      </c>
      <c r="HF309" s="14" t="s">
        <v>800</v>
      </c>
      <c r="HG309" s="14">
        <f t="shared" si="201"/>
        <v>3</v>
      </c>
      <c r="HH309" s="14" t="str">
        <f t="shared" si="202"/>
        <v>神器4-5</v>
      </c>
      <c r="HI309" s="14">
        <f t="shared" si="203"/>
        <v>1</v>
      </c>
      <c r="HJ309" s="14" t="s">
        <v>1595</v>
      </c>
      <c r="HK309" s="14">
        <f t="shared" si="204"/>
        <v>8050</v>
      </c>
    </row>
    <row r="310" spans="207:219" ht="16.5" x14ac:dyDescent="0.2">
      <c r="GY310" s="91">
        <v>304</v>
      </c>
      <c r="GZ310" s="14">
        <f t="shared" si="195"/>
        <v>19</v>
      </c>
      <c r="HA310" s="14">
        <f t="shared" si="196"/>
        <v>4</v>
      </c>
      <c r="HB310" s="14">
        <f t="shared" si="197"/>
        <v>3</v>
      </c>
      <c r="HC310" s="14">
        <f t="shared" si="198"/>
        <v>0.68</v>
      </c>
      <c r="HD310" s="14">
        <f t="shared" si="199"/>
        <v>1606021</v>
      </c>
      <c r="HE310" s="14" t="str">
        <f t="shared" si="200"/>
        <v>神器4-5 : 4级</v>
      </c>
      <c r="HF310" s="14" t="s">
        <v>800</v>
      </c>
      <c r="HG310" s="14">
        <f t="shared" si="201"/>
        <v>4</v>
      </c>
      <c r="HH310" s="14" t="str">
        <f t="shared" si="202"/>
        <v>神器4-5</v>
      </c>
      <c r="HI310" s="14">
        <f t="shared" si="203"/>
        <v>2</v>
      </c>
      <c r="HJ310" s="14" t="s">
        <v>1595</v>
      </c>
      <c r="HK310" s="14">
        <f t="shared" si="204"/>
        <v>8350</v>
      </c>
    </row>
    <row r="311" spans="207:219" ht="16.5" x14ac:dyDescent="0.2">
      <c r="GY311" s="91">
        <v>305</v>
      </c>
      <c r="GZ311" s="14">
        <f t="shared" si="195"/>
        <v>19</v>
      </c>
      <c r="HA311" s="14">
        <f t="shared" si="196"/>
        <v>4</v>
      </c>
      <c r="HB311" s="14">
        <f t="shared" si="197"/>
        <v>3</v>
      </c>
      <c r="HC311" s="14">
        <f t="shared" si="198"/>
        <v>0.7</v>
      </c>
      <c r="HD311" s="14">
        <f t="shared" si="199"/>
        <v>1606021</v>
      </c>
      <c r="HE311" s="14" t="str">
        <f t="shared" si="200"/>
        <v>神器4-5 : 5级</v>
      </c>
      <c r="HF311" s="14" t="s">
        <v>800</v>
      </c>
      <c r="HG311" s="14">
        <f t="shared" si="201"/>
        <v>5</v>
      </c>
      <c r="HH311" s="14" t="str">
        <f t="shared" si="202"/>
        <v>神器4-5</v>
      </c>
      <c r="HI311" s="14">
        <f t="shared" si="203"/>
        <v>2</v>
      </c>
      <c r="HJ311" s="14" t="s">
        <v>1595</v>
      </c>
      <c r="HK311" s="14">
        <f t="shared" si="204"/>
        <v>8550</v>
      </c>
    </row>
    <row r="312" spans="207:219" ht="16.5" x14ac:dyDescent="0.2">
      <c r="GY312" s="91">
        <v>306</v>
      </c>
      <c r="GZ312" s="14">
        <f t="shared" si="195"/>
        <v>19</v>
      </c>
      <c r="HA312" s="14">
        <f t="shared" si="196"/>
        <v>4</v>
      </c>
      <c r="HB312" s="14">
        <f t="shared" si="197"/>
        <v>3</v>
      </c>
      <c r="HC312" s="14">
        <f t="shared" si="198"/>
        <v>0.72</v>
      </c>
      <c r="HD312" s="14">
        <f t="shared" si="199"/>
        <v>1606021</v>
      </c>
      <c r="HE312" s="14" t="str">
        <f t="shared" si="200"/>
        <v>神器4-5 : 6级</v>
      </c>
      <c r="HF312" s="14" t="s">
        <v>800</v>
      </c>
      <c r="HG312" s="14">
        <f t="shared" si="201"/>
        <v>6</v>
      </c>
      <c r="HH312" s="14" t="str">
        <f t="shared" si="202"/>
        <v>神器4-5</v>
      </c>
      <c r="HI312" s="14">
        <f t="shared" si="203"/>
        <v>2</v>
      </c>
      <c r="HJ312" s="14" t="s">
        <v>1595</v>
      </c>
      <c r="HK312" s="14">
        <f t="shared" si="204"/>
        <v>8800</v>
      </c>
    </row>
    <row r="313" spans="207:219" ht="16.5" x14ac:dyDescent="0.2">
      <c r="GY313" s="91">
        <v>307</v>
      </c>
      <c r="GZ313" s="14">
        <f t="shared" si="195"/>
        <v>19</v>
      </c>
      <c r="HA313" s="14">
        <f t="shared" si="196"/>
        <v>4</v>
      </c>
      <c r="HB313" s="14">
        <f t="shared" si="197"/>
        <v>3</v>
      </c>
      <c r="HC313" s="14">
        <f t="shared" si="198"/>
        <v>0.73899999999999999</v>
      </c>
      <c r="HD313" s="14">
        <f t="shared" si="199"/>
        <v>1606021</v>
      </c>
      <c r="HE313" s="14" t="str">
        <f t="shared" si="200"/>
        <v>神器4-5 : 7级</v>
      </c>
      <c r="HF313" s="14" t="s">
        <v>800</v>
      </c>
      <c r="HG313" s="14">
        <f t="shared" si="201"/>
        <v>7</v>
      </c>
      <c r="HH313" s="14" t="str">
        <f t="shared" si="202"/>
        <v>神器4-5</v>
      </c>
      <c r="HI313" s="14">
        <f t="shared" si="203"/>
        <v>3</v>
      </c>
      <c r="HJ313" s="14" t="s">
        <v>1595</v>
      </c>
      <c r="HK313" s="14">
        <f t="shared" si="204"/>
        <v>9050</v>
      </c>
    </row>
    <row r="314" spans="207:219" ht="16.5" x14ac:dyDescent="0.2">
      <c r="GY314" s="91">
        <v>308</v>
      </c>
      <c r="GZ314" s="14">
        <f t="shared" si="195"/>
        <v>19</v>
      </c>
      <c r="HA314" s="14">
        <f t="shared" si="196"/>
        <v>4</v>
      </c>
      <c r="HB314" s="14">
        <f t="shared" si="197"/>
        <v>3</v>
      </c>
      <c r="HC314" s="14">
        <f t="shared" si="198"/>
        <v>0.75800000000000001</v>
      </c>
      <c r="HD314" s="14">
        <f t="shared" si="199"/>
        <v>1606021</v>
      </c>
      <c r="HE314" s="14" t="str">
        <f t="shared" si="200"/>
        <v>神器4-5 : 8级</v>
      </c>
      <c r="HF314" s="14" t="s">
        <v>800</v>
      </c>
      <c r="HG314" s="14">
        <f t="shared" si="201"/>
        <v>8</v>
      </c>
      <c r="HH314" s="14" t="str">
        <f t="shared" si="202"/>
        <v>神器4-5</v>
      </c>
      <c r="HI314" s="14">
        <f t="shared" si="203"/>
        <v>3</v>
      </c>
      <c r="HJ314" s="14" t="s">
        <v>1595</v>
      </c>
      <c r="HK314" s="14">
        <f t="shared" si="204"/>
        <v>9300</v>
      </c>
    </row>
    <row r="315" spans="207:219" ht="16.5" x14ac:dyDescent="0.2">
      <c r="GY315" s="91">
        <v>309</v>
      </c>
      <c r="GZ315" s="14">
        <f t="shared" si="195"/>
        <v>19</v>
      </c>
      <c r="HA315" s="14">
        <f t="shared" si="196"/>
        <v>4</v>
      </c>
      <c r="HB315" s="14">
        <f t="shared" si="197"/>
        <v>3</v>
      </c>
      <c r="HC315" s="14">
        <f t="shared" si="198"/>
        <v>0.77600000000000002</v>
      </c>
      <c r="HD315" s="14">
        <f t="shared" si="199"/>
        <v>1606021</v>
      </c>
      <c r="HE315" s="14" t="str">
        <f t="shared" si="200"/>
        <v>神器4-5 : 9级</v>
      </c>
      <c r="HF315" s="14" t="s">
        <v>800</v>
      </c>
      <c r="HG315" s="14">
        <f t="shared" si="201"/>
        <v>9</v>
      </c>
      <c r="HH315" s="14" t="str">
        <f t="shared" si="202"/>
        <v>神器4-5</v>
      </c>
      <c r="HI315" s="14">
        <f t="shared" si="203"/>
        <v>3</v>
      </c>
      <c r="HJ315" s="14" t="s">
        <v>1595</v>
      </c>
      <c r="HK315" s="14">
        <f t="shared" si="204"/>
        <v>9500</v>
      </c>
    </row>
    <row r="316" spans="207:219" ht="16.5" x14ac:dyDescent="0.2">
      <c r="GY316" s="91">
        <v>310</v>
      </c>
      <c r="GZ316" s="14">
        <f t="shared" si="195"/>
        <v>19</v>
      </c>
      <c r="HA316" s="14">
        <f t="shared" si="196"/>
        <v>4</v>
      </c>
      <c r="HB316" s="14">
        <f t="shared" si="197"/>
        <v>3</v>
      </c>
      <c r="HC316" s="14">
        <f t="shared" si="198"/>
        <v>0.79400000000000004</v>
      </c>
      <c r="HD316" s="14">
        <f t="shared" si="199"/>
        <v>1606021</v>
      </c>
      <c r="HE316" s="14" t="str">
        <f t="shared" si="200"/>
        <v>神器4-5 : 10级</v>
      </c>
      <c r="HF316" s="14" t="s">
        <v>800</v>
      </c>
      <c r="HG316" s="14">
        <f t="shared" si="201"/>
        <v>10</v>
      </c>
      <c r="HH316" s="14" t="str">
        <f t="shared" si="202"/>
        <v>神器4-5</v>
      </c>
      <c r="HI316" s="14">
        <f t="shared" si="203"/>
        <v>5</v>
      </c>
      <c r="HJ316" s="14" t="s">
        <v>1595</v>
      </c>
      <c r="HK316" s="14">
        <f t="shared" si="204"/>
        <v>9700</v>
      </c>
    </row>
    <row r="317" spans="207:219" ht="16.5" x14ac:dyDescent="0.2">
      <c r="GY317" s="91">
        <v>311</v>
      </c>
      <c r="GZ317" s="14">
        <f t="shared" si="195"/>
        <v>19</v>
      </c>
      <c r="HA317" s="14">
        <f t="shared" si="196"/>
        <v>4</v>
      </c>
      <c r="HB317" s="14">
        <f t="shared" si="197"/>
        <v>3</v>
      </c>
      <c r="HC317" s="14">
        <f t="shared" si="198"/>
        <v>0.81100000000000005</v>
      </c>
      <c r="HD317" s="14">
        <f t="shared" si="199"/>
        <v>1606021</v>
      </c>
      <c r="HE317" s="14" t="str">
        <f t="shared" si="200"/>
        <v>神器4-5 : 11级</v>
      </c>
      <c r="HF317" s="14" t="s">
        <v>800</v>
      </c>
      <c r="HG317" s="14">
        <f t="shared" si="201"/>
        <v>11</v>
      </c>
      <c r="HH317" s="14" t="str">
        <f t="shared" si="202"/>
        <v>神器4-5</v>
      </c>
      <c r="HI317" s="14">
        <f t="shared" si="203"/>
        <v>5</v>
      </c>
      <c r="HJ317" s="14" t="s">
        <v>1595</v>
      </c>
      <c r="HK317" s="14">
        <f t="shared" si="204"/>
        <v>9950</v>
      </c>
    </row>
    <row r="318" spans="207:219" ht="16.5" x14ac:dyDescent="0.2">
      <c r="GY318" s="91">
        <v>312</v>
      </c>
      <c r="GZ318" s="14">
        <f t="shared" si="195"/>
        <v>19</v>
      </c>
      <c r="HA318" s="14">
        <f t="shared" si="196"/>
        <v>4</v>
      </c>
      <c r="HB318" s="14">
        <f t="shared" si="197"/>
        <v>3</v>
      </c>
      <c r="HC318" s="14">
        <f t="shared" si="198"/>
        <v>0.82799999999999996</v>
      </c>
      <c r="HD318" s="14">
        <f t="shared" si="199"/>
        <v>1606021</v>
      </c>
      <c r="HE318" s="14" t="str">
        <f t="shared" si="200"/>
        <v>神器4-5 : 12级</v>
      </c>
      <c r="HF318" s="14" t="s">
        <v>800</v>
      </c>
      <c r="HG318" s="14">
        <f t="shared" si="201"/>
        <v>12</v>
      </c>
      <c r="HH318" s="14" t="str">
        <f t="shared" si="202"/>
        <v>神器4-5</v>
      </c>
      <c r="HI318" s="14">
        <f t="shared" si="203"/>
        <v>6</v>
      </c>
      <c r="HJ318" s="14" t="s">
        <v>1595</v>
      </c>
      <c r="HK318" s="14">
        <f t="shared" si="204"/>
        <v>10150</v>
      </c>
    </row>
    <row r="319" spans="207:219" ht="16.5" x14ac:dyDescent="0.2">
      <c r="GY319" s="91">
        <v>313</v>
      </c>
      <c r="GZ319" s="14">
        <f t="shared" si="195"/>
        <v>19</v>
      </c>
      <c r="HA319" s="14">
        <f t="shared" si="196"/>
        <v>4</v>
      </c>
      <c r="HB319" s="14">
        <f t="shared" si="197"/>
        <v>3</v>
      </c>
      <c r="HC319" s="14">
        <f t="shared" si="198"/>
        <v>0.84499999999999997</v>
      </c>
      <c r="HD319" s="14">
        <f t="shared" si="199"/>
        <v>1606021</v>
      </c>
      <c r="HE319" s="14" t="str">
        <f t="shared" si="200"/>
        <v>神器4-5 : 13级</v>
      </c>
      <c r="HF319" s="14" t="s">
        <v>800</v>
      </c>
      <c r="HG319" s="14">
        <f t="shared" si="201"/>
        <v>13</v>
      </c>
      <c r="HH319" s="14" t="str">
        <f t="shared" si="202"/>
        <v>神器4-5</v>
      </c>
      <c r="HI319" s="14">
        <f t="shared" si="203"/>
        <v>7</v>
      </c>
      <c r="HJ319" s="14" t="s">
        <v>1595</v>
      </c>
      <c r="HK319" s="14">
        <f t="shared" si="204"/>
        <v>10350</v>
      </c>
    </row>
    <row r="320" spans="207:219" ht="16.5" x14ac:dyDescent="0.2">
      <c r="GY320" s="91">
        <v>314</v>
      </c>
      <c r="GZ320" s="14">
        <f t="shared" si="195"/>
        <v>19</v>
      </c>
      <c r="HA320" s="14">
        <f t="shared" si="196"/>
        <v>4</v>
      </c>
      <c r="HB320" s="14">
        <f t="shared" si="197"/>
        <v>3</v>
      </c>
      <c r="HC320" s="14">
        <f t="shared" si="198"/>
        <v>0.86099999999999999</v>
      </c>
      <c r="HD320" s="14">
        <f t="shared" si="199"/>
        <v>1606021</v>
      </c>
      <c r="HE320" s="14" t="str">
        <f t="shared" si="200"/>
        <v>神器4-5 : 14级</v>
      </c>
      <c r="HF320" s="14" t="s">
        <v>800</v>
      </c>
      <c r="HG320" s="14">
        <f t="shared" si="201"/>
        <v>14</v>
      </c>
      <c r="HH320" s="14" t="str">
        <f t="shared" si="202"/>
        <v>神器4-5</v>
      </c>
      <c r="HI320" s="14">
        <f t="shared" si="203"/>
        <v>7</v>
      </c>
      <c r="HJ320" s="14" t="s">
        <v>1595</v>
      </c>
      <c r="HK320" s="14">
        <f t="shared" si="204"/>
        <v>10550</v>
      </c>
    </row>
    <row r="321" spans="207:219" ht="16.5" x14ac:dyDescent="0.2">
      <c r="GY321" s="91">
        <v>315</v>
      </c>
      <c r="GZ321" s="14">
        <f t="shared" si="195"/>
        <v>19</v>
      </c>
      <c r="HA321" s="14">
        <f t="shared" si="196"/>
        <v>4</v>
      </c>
      <c r="HB321" s="14">
        <f t="shared" si="197"/>
        <v>3</v>
      </c>
      <c r="HC321" s="14">
        <f t="shared" si="198"/>
        <v>0.877</v>
      </c>
      <c r="HD321" s="14">
        <f t="shared" si="199"/>
        <v>1606021</v>
      </c>
      <c r="HE321" s="14" t="str">
        <f t="shared" si="200"/>
        <v>神器4-5 : 15级</v>
      </c>
      <c r="HF321" s="14" t="s">
        <v>800</v>
      </c>
      <c r="HG321" s="14">
        <f t="shared" si="201"/>
        <v>15</v>
      </c>
      <c r="HH321" s="14" t="str">
        <f t="shared" si="202"/>
        <v>神器4-5</v>
      </c>
      <c r="HI321" s="14">
        <f t="shared" si="203"/>
        <v>7</v>
      </c>
      <c r="HJ321" s="14" t="s">
        <v>1595</v>
      </c>
      <c r="HK321" s="14">
        <f t="shared" si="204"/>
        <v>10750</v>
      </c>
    </row>
    <row r="322" spans="207:219" ht="16.5" x14ac:dyDescent="0.2">
      <c r="GY322" s="91">
        <v>316</v>
      </c>
      <c r="GZ322" s="14">
        <f t="shared" si="195"/>
        <v>19</v>
      </c>
      <c r="HA322" s="14">
        <f t="shared" si="196"/>
        <v>4</v>
      </c>
      <c r="HB322" s="14">
        <f t="shared" si="197"/>
        <v>3</v>
      </c>
      <c r="HC322" s="14">
        <f t="shared" si="198"/>
        <v>0.89300000000000002</v>
      </c>
      <c r="HD322" s="14">
        <f t="shared" si="199"/>
        <v>1606021</v>
      </c>
      <c r="HE322" s="14" t="str">
        <f t="shared" si="200"/>
        <v>神器4-5 : 16级</v>
      </c>
      <c r="HF322" s="14" t="s">
        <v>800</v>
      </c>
      <c r="HG322" s="14">
        <f t="shared" si="201"/>
        <v>16</v>
      </c>
      <c r="HH322" s="14" t="str">
        <f t="shared" si="202"/>
        <v>神器4-5</v>
      </c>
      <c r="HI322" s="14">
        <f t="shared" si="203"/>
        <v>10</v>
      </c>
      <c r="HJ322" s="14" t="s">
        <v>1595</v>
      </c>
      <c r="HK322" s="14">
        <f t="shared" si="204"/>
        <v>10950</v>
      </c>
    </row>
    <row r="323" spans="207:219" ht="16.5" x14ac:dyDescent="0.2">
      <c r="GY323" s="91">
        <v>317</v>
      </c>
      <c r="GZ323" s="14">
        <f t="shared" si="195"/>
        <v>19</v>
      </c>
      <c r="HA323" s="14">
        <f t="shared" si="196"/>
        <v>4</v>
      </c>
      <c r="HB323" s="14">
        <f t="shared" si="197"/>
        <v>3</v>
      </c>
      <c r="HC323" s="14">
        <f t="shared" si="198"/>
        <v>0.90900000000000003</v>
      </c>
      <c r="HD323" s="14">
        <f t="shared" si="199"/>
        <v>1606021</v>
      </c>
      <c r="HE323" s="14" t="str">
        <f t="shared" si="200"/>
        <v>神器4-5 : 17级</v>
      </c>
      <c r="HF323" s="14" t="s">
        <v>800</v>
      </c>
      <c r="HG323" s="14">
        <f t="shared" si="201"/>
        <v>17</v>
      </c>
      <c r="HH323" s="14" t="str">
        <f t="shared" si="202"/>
        <v>神器4-5</v>
      </c>
      <c r="HI323" s="14">
        <f t="shared" si="203"/>
        <v>10</v>
      </c>
      <c r="HJ323" s="14" t="s">
        <v>1595</v>
      </c>
      <c r="HK323" s="14">
        <f t="shared" si="204"/>
        <v>11150</v>
      </c>
    </row>
    <row r="324" spans="207:219" ht="16.5" x14ac:dyDescent="0.2">
      <c r="GY324" s="91">
        <v>318</v>
      </c>
      <c r="GZ324" s="14">
        <f t="shared" si="195"/>
        <v>19</v>
      </c>
      <c r="HA324" s="14">
        <f t="shared" si="196"/>
        <v>4</v>
      </c>
      <c r="HB324" s="14">
        <f t="shared" si="197"/>
        <v>3</v>
      </c>
      <c r="HC324" s="14">
        <f t="shared" si="198"/>
        <v>0.92400000000000004</v>
      </c>
      <c r="HD324" s="14">
        <f t="shared" si="199"/>
        <v>1606021</v>
      </c>
      <c r="HE324" s="14" t="str">
        <f t="shared" si="200"/>
        <v>神器4-5 : 18级</v>
      </c>
      <c r="HF324" s="14" t="s">
        <v>800</v>
      </c>
      <c r="HG324" s="14">
        <f t="shared" si="201"/>
        <v>18</v>
      </c>
      <c r="HH324" s="14" t="str">
        <f t="shared" si="202"/>
        <v>神器4-5</v>
      </c>
      <c r="HI324" s="14">
        <f t="shared" si="203"/>
        <v>10</v>
      </c>
      <c r="HJ324" s="14" t="s">
        <v>1595</v>
      </c>
      <c r="HK324" s="14">
        <f t="shared" si="204"/>
        <v>11300</v>
      </c>
    </row>
    <row r="325" spans="207:219" ht="16.5" x14ac:dyDescent="0.2">
      <c r="GY325" s="91">
        <v>319</v>
      </c>
      <c r="GZ325" s="14">
        <f t="shared" si="195"/>
        <v>20</v>
      </c>
      <c r="HA325" s="14">
        <f t="shared" si="196"/>
        <v>4</v>
      </c>
      <c r="HB325" s="14">
        <f t="shared" si="197"/>
        <v>4</v>
      </c>
      <c r="HC325" s="14">
        <f t="shared" si="198"/>
        <v>0.9</v>
      </c>
      <c r="HD325" s="14">
        <f t="shared" si="199"/>
        <v>1606022</v>
      </c>
      <c r="HE325" s="14" t="str">
        <f t="shared" si="200"/>
        <v>神器4-6 : 1级</v>
      </c>
      <c r="HF325" s="14" t="s">
        <v>800</v>
      </c>
      <c r="HG325" s="14">
        <f t="shared" si="201"/>
        <v>1</v>
      </c>
      <c r="HH325" s="14" t="str">
        <f t="shared" si="202"/>
        <v>神器4-6</v>
      </c>
      <c r="HI325" s="14">
        <f t="shared" si="203"/>
        <v>1</v>
      </c>
      <c r="HJ325" s="14" t="s">
        <v>1595</v>
      </c>
      <c r="HK325" s="14">
        <f t="shared" si="204"/>
        <v>11000</v>
      </c>
    </row>
    <row r="326" spans="207:219" ht="16.5" x14ac:dyDescent="0.2">
      <c r="GY326" s="91">
        <v>320</v>
      </c>
      <c r="GZ326" s="14">
        <f t="shared" si="195"/>
        <v>20</v>
      </c>
      <c r="HA326" s="14">
        <f t="shared" si="196"/>
        <v>4</v>
      </c>
      <c r="HB326" s="14">
        <f t="shared" si="197"/>
        <v>4</v>
      </c>
      <c r="HC326" s="14">
        <f t="shared" si="198"/>
        <v>0.93300000000000005</v>
      </c>
      <c r="HD326" s="14">
        <f t="shared" si="199"/>
        <v>1606022</v>
      </c>
      <c r="HE326" s="14" t="str">
        <f t="shared" si="200"/>
        <v>神器4-6 : 2级</v>
      </c>
      <c r="HF326" s="14" t="s">
        <v>800</v>
      </c>
      <c r="HG326" s="14">
        <f t="shared" si="201"/>
        <v>2</v>
      </c>
      <c r="HH326" s="14" t="str">
        <f t="shared" si="202"/>
        <v>神器4-6</v>
      </c>
      <c r="HI326" s="14">
        <f t="shared" si="203"/>
        <v>1</v>
      </c>
      <c r="HJ326" s="14" t="s">
        <v>1595</v>
      </c>
      <c r="HK326" s="14">
        <f t="shared" si="204"/>
        <v>11400</v>
      </c>
    </row>
    <row r="327" spans="207:219" ht="16.5" x14ac:dyDescent="0.2">
      <c r="GY327" s="91">
        <v>321</v>
      </c>
      <c r="GZ327" s="14">
        <f t="shared" si="195"/>
        <v>20</v>
      </c>
      <c r="HA327" s="14">
        <f t="shared" si="196"/>
        <v>4</v>
      </c>
      <c r="HB327" s="14">
        <f t="shared" si="197"/>
        <v>4</v>
      </c>
      <c r="HC327" s="14">
        <f t="shared" si="198"/>
        <v>0.96399999999999997</v>
      </c>
      <c r="HD327" s="14">
        <f t="shared" si="199"/>
        <v>1606022</v>
      </c>
      <c r="HE327" s="14" t="str">
        <f t="shared" si="200"/>
        <v>神器4-6 : 3级</v>
      </c>
      <c r="HF327" s="14" t="s">
        <v>800</v>
      </c>
      <c r="HG327" s="14">
        <f t="shared" si="201"/>
        <v>3</v>
      </c>
      <c r="HH327" s="14" t="str">
        <f t="shared" si="202"/>
        <v>神器4-6</v>
      </c>
      <c r="HI327" s="14">
        <f t="shared" si="203"/>
        <v>1</v>
      </c>
      <c r="HJ327" s="14" t="s">
        <v>1595</v>
      </c>
      <c r="HK327" s="14">
        <f t="shared" si="204"/>
        <v>11800</v>
      </c>
    </row>
    <row r="328" spans="207:219" ht="16.5" x14ac:dyDescent="0.2">
      <c r="GY328" s="91">
        <v>322</v>
      </c>
      <c r="GZ328" s="14">
        <f t="shared" ref="GZ328:GZ391" si="211">MATCH(GY328-1,$R$7:$R$49,1)</f>
        <v>20</v>
      </c>
      <c r="HA328" s="14">
        <f t="shared" ref="HA328:HA391" si="212">INDEX($N$8:$N$49,GZ328)</f>
        <v>4</v>
      </c>
      <c r="HB328" s="14">
        <f t="shared" ref="HB328:HB391" si="213">INDEX($P$8:$P$49,GZ328)</f>
        <v>4</v>
      </c>
      <c r="HC328" s="14">
        <f t="shared" ref="HC328:HC391" si="214">ROUND(SQRT(INDEX($BJ$7:$BJ$27,HG328)*INDEX($H$7:$H$10,HB328)),3)</f>
        <v>0.995</v>
      </c>
      <c r="HD328" s="14">
        <f t="shared" ref="HD328:HD391" si="215">INDEX($S$8:$S$49,GZ328)</f>
        <v>1606022</v>
      </c>
      <c r="HE328" s="14" t="str">
        <f t="shared" ref="HE328:HE391" si="216">INDEX($T$8:$T$49,GZ328)&amp;" : "&amp;HG328&amp;"级"</f>
        <v>神器4-6 : 4级</v>
      </c>
      <c r="HF328" s="14" t="s">
        <v>800</v>
      </c>
      <c r="HG328" s="14">
        <f t="shared" ref="HG328:HG391" si="217">GY328-INDEX($R$7:$R$49,GZ328)</f>
        <v>4</v>
      </c>
      <c r="HH328" s="14" t="str">
        <f t="shared" ref="HH328:HH391" si="218">INDEX($T$8:$T$49,GZ328)</f>
        <v>神器4-6</v>
      </c>
      <c r="HI328" s="14">
        <f t="shared" ref="HI328:HI391" si="219">INDEX($K$8:$K$28,HG328)</f>
        <v>2</v>
      </c>
      <c r="HJ328" s="14" t="s">
        <v>1595</v>
      </c>
      <c r="HK328" s="14">
        <f t="shared" ref="HK328:HK391" si="220">ROUND(INDEX($Y$8:$Y$14,HA328)/INDEX($Z$8:$Z$14,HA328)*HC328/50,0)*50</f>
        <v>12200</v>
      </c>
    </row>
    <row r="329" spans="207:219" ht="16.5" x14ac:dyDescent="0.2">
      <c r="GY329" s="91">
        <v>323</v>
      </c>
      <c r="GZ329" s="14">
        <f t="shared" si="211"/>
        <v>20</v>
      </c>
      <c r="HA329" s="14">
        <f t="shared" si="212"/>
        <v>4</v>
      </c>
      <c r="HB329" s="14">
        <f t="shared" si="213"/>
        <v>4</v>
      </c>
      <c r="HC329" s="14">
        <f t="shared" si="214"/>
        <v>1.0249999999999999</v>
      </c>
      <c r="HD329" s="14">
        <f t="shared" si="215"/>
        <v>1606022</v>
      </c>
      <c r="HE329" s="14" t="str">
        <f t="shared" si="216"/>
        <v>神器4-6 : 5级</v>
      </c>
      <c r="HF329" s="14" t="s">
        <v>800</v>
      </c>
      <c r="HG329" s="14">
        <f t="shared" si="217"/>
        <v>5</v>
      </c>
      <c r="HH329" s="14" t="str">
        <f t="shared" si="218"/>
        <v>神器4-6</v>
      </c>
      <c r="HI329" s="14">
        <f t="shared" si="219"/>
        <v>2</v>
      </c>
      <c r="HJ329" s="14" t="s">
        <v>1595</v>
      </c>
      <c r="HK329" s="14">
        <f t="shared" si="220"/>
        <v>12550</v>
      </c>
    </row>
    <row r="330" spans="207:219" ht="16.5" x14ac:dyDescent="0.2">
      <c r="GY330" s="91">
        <v>324</v>
      </c>
      <c r="GZ330" s="14">
        <f t="shared" si="211"/>
        <v>20</v>
      </c>
      <c r="HA330" s="14">
        <f t="shared" si="212"/>
        <v>4</v>
      </c>
      <c r="HB330" s="14">
        <f t="shared" si="213"/>
        <v>4</v>
      </c>
      <c r="HC330" s="14">
        <f t="shared" si="214"/>
        <v>1.054</v>
      </c>
      <c r="HD330" s="14">
        <f t="shared" si="215"/>
        <v>1606022</v>
      </c>
      <c r="HE330" s="14" t="str">
        <f t="shared" si="216"/>
        <v>神器4-6 : 6级</v>
      </c>
      <c r="HF330" s="14" t="s">
        <v>800</v>
      </c>
      <c r="HG330" s="14">
        <f t="shared" si="217"/>
        <v>6</v>
      </c>
      <c r="HH330" s="14" t="str">
        <f t="shared" si="218"/>
        <v>神器4-6</v>
      </c>
      <c r="HI330" s="14">
        <f t="shared" si="219"/>
        <v>2</v>
      </c>
      <c r="HJ330" s="14" t="s">
        <v>1595</v>
      </c>
      <c r="HK330" s="14">
        <f t="shared" si="220"/>
        <v>12900</v>
      </c>
    </row>
    <row r="331" spans="207:219" ht="16.5" x14ac:dyDescent="0.2">
      <c r="GY331" s="91">
        <v>325</v>
      </c>
      <c r="GZ331" s="14">
        <f t="shared" si="211"/>
        <v>20</v>
      </c>
      <c r="HA331" s="14">
        <f t="shared" si="212"/>
        <v>4</v>
      </c>
      <c r="HB331" s="14">
        <f t="shared" si="213"/>
        <v>4</v>
      </c>
      <c r="HC331" s="14">
        <f t="shared" si="214"/>
        <v>1.0820000000000001</v>
      </c>
      <c r="HD331" s="14">
        <f t="shared" si="215"/>
        <v>1606022</v>
      </c>
      <c r="HE331" s="14" t="str">
        <f t="shared" si="216"/>
        <v>神器4-6 : 7级</v>
      </c>
      <c r="HF331" s="14" t="s">
        <v>800</v>
      </c>
      <c r="HG331" s="14">
        <f t="shared" si="217"/>
        <v>7</v>
      </c>
      <c r="HH331" s="14" t="str">
        <f t="shared" si="218"/>
        <v>神器4-6</v>
      </c>
      <c r="HI331" s="14">
        <f t="shared" si="219"/>
        <v>3</v>
      </c>
      <c r="HJ331" s="14" t="s">
        <v>1595</v>
      </c>
      <c r="HK331" s="14">
        <f t="shared" si="220"/>
        <v>13250</v>
      </c>
    </row>
    <row r="332" spans="207:219" ht="16.5" x14ac:dyDescent="0.2">
      <c r="GY332" s="91">
        <v>326</v>
      </c>
      <c r="GZ332" s="14">
        <f t="shared" si="211"/>
        <v>20</v>
      </c>
      <c r="HA332" s="14">
        <f t="shared" si="212"/>
        <v>4</v>
      </c>
      <c r="HB332" s="14">
        <f t="shared" si="213"/>
        <v>4</v>
      </c>
      <c r="HC332" s="14">
        <f t="shared" si="214"/>
        <v>1.109</v>
      </c>
      <c r="HD332" s="14">
        <f t="shared" si="215"/>
        <v>1606022</v>
      </c>
      <c r="HE332" s="14" t="str">
        <f t="shared" si="216"/>
        <v>神器4-6 : 8级</v>
      </c>
      <c r="HF332" s="14" t="s">
        <v>800</v>
      </c>
      <c r="HG332" s="14">
        <f t="shared" si="217"/>
        <v>8</v>
      </c>
      <c r="HH332" s="14" t="str">
        <f t="shared" si="218"/>
        <v>神器4-6</v>
      </c>
      <c r="HI332" s="14">
        <f t="shared" si="219"/>
        <v>3</v>
      </c>
      <c r="HJ332" s="14" t="s">
        <v>1595</v>
      </c>
      <c r="HK332" s="14">
        <f t="shared" si="220"/>
        <v>13600</v>
      </c>
    </row>
    <row r="333" spans="207:219" ht="16.5" x14ac:dyDescent="0.2">
      <c r="GY333" s="91">
        <v>327</v>
      </c>
      <c r="GZ333" s="14">
        <f t="shared" si="211"/>
        <v>20</v>
      </c>
      <c r="HA333" s="14">
        <f t="shared" si="212"/>
        <v>4</v>
      </c>
      <c r="HB333" s="14">
        <f t="shared" si="213"/>
        <v>4</v>
      </c>
      <c r="HC333" s="14">
        <f t="shared" si="214"/>
        <v>1.1359999999999999</v>
      </c>
      <c r="HD333" s="14">
        <f t="shared" si="215"/>
        <v>1606022</v>
      </c>
      <c r="HE333" s="14" t="str">
        <f t="shared" si="216"/>
        <v>神器4-6 : 9级</v>
      </c>
      <c r="HF333" s="14" t="s">
        <v>800</v>
      </c>
      <c r="HG333" s="14">
        <f t="shared" si="217"/>
        <v>9</v>
      </c>
      <c r="HH333" s="14" t="str">
        <f t="shared" si="218"/>
        <v>神器4-6</v>
      </c>
      <c r="HI333" s="14">
        <f t="shared" si="219"/>
        <v>3</v>
      </c>
      <c r="HJ333" s="14" t="s">
        <v>1595</v>
      </c>
      <c r="HK333" s="14">
        <f t="shared" si="220"/>
        <v>13900</v>
      </c>
    </row>
    <row r="334" spans="207:219" ht="16.5" x14ac:dyDescent="0.2">
      <c r="GY334" s="91">
        <v>328</v>
      </c>
      <c r="GZ334" s="14">
        <f t="shared" si="211"/>
        <v>20</v>
      </c>
      <c r="HA334" s="14">
        <f t="shared" si="212"/>
        <v>4</v>
      </c>
      <c r="HB334" s="14">
        <f t="shared" si="213"/>
        <v>4</v>
      </c>
      <c r="HC334" s="14">
        <f t="shared" si="214"/>
        <v>1.1619999999999999</v>
      </c>
      <c r="HD334" s="14">
        <f t="shared" si="215"/>
        <v>1606022</v>
      </c>
      <c r="HE334" s="14" t="str">
        <f t="shared" si="216"/>
        <v>神器4-6 : 10级</v>
      </c>
      <c r="HF334" s="14" t="s">
        <v>800</v>
      </c>
      <c r="HG334" s="14">
        <f t="shared" si="217"/>
        <v>10</v>
      </c>
      <c r="HH334" s="14" t="str">
        <f t="shared" si="218"/>
        <v>神器4-6</v>
      </c>
      <c r="HI334" s="14">
        <f t="shared" si="219"/>
        <v>5</v>
      </c>
      <c r="HJ334" s="14" t="s">
        <v>1595</v>
      </c>
      <c r="HK334" s="14">
        <f t="shared" si="220"/>
        <v>14250</v>
      </c>
    </row>
    <row r="335" spans="207:219" ht="16.5" x14ac:dyDescent="0.2">
      <c r="GY335" s="91">
        <v>329</v>
      </c>
      <c r="GZ335" s="14">
        <f t="shared" si="211"/>
        <v>20</v>
      </c>
      <c r="HA335" s="14">
        <f t="shared" si="212"/>
        <v>4</v>
      </c>
      <c r="HB335" s="14">
        <f t="shared" si="213"/>
        <v>4</v>
      </c>
      <c r="HC335" s="14">
        <f t="shared" si="214"/>
        <v>1.1870000000000001</v>
      </c>
      <c r="HD335" s="14">
        <f t="shared" si="215"/>
        <v>1606022</v>
      </c>
      <c r="HE335" s="14" t="str">
        <f t="shared" si="216"/>
        <v>神器4-6 : 11级</v>
      </c>
      <c r="HF335" s="14" t="s">
        <v>800</v>
      </c>
      <c r="HG335" s="14">
        <f t="shared" si="217"/>
        <v>11</v>
      </c>
      <c r="HH335" s="14" t="str">
        <f t="shared" si="218"/>
        <v>神器4-6</v>
      </c>
      <c r="HI335" s="14">
        <f t="shared" si="219"/>
        <v>5</v>
      </c>
      <c r="HJ335" s="14" t="s">
        <v>1595</v>
      </c>
      <c r="HK335" s="14">
        <f t="shared" si="220"/>
        <v>14550</v>
      </c>
    </row>
    <row r="336" spans="207:219" ht="16.5" x14ac:dyDescent="0.2">
      <c r="GY336" s="91">
        <v>330</v>
      </c>
      <c r="GZ336" s="14">
        <f t="shared" si="211"/>
        <v>20</v>
      </c>
      <c r="HA336" s="14">
        <f t="shared" si="212"/>
        <v>4</v>
      </c>
      <c r="HB336" s="14">
        <f t="shared" si="213"/>
        <v>4</v>
      </c>
      <c r="HC336" s="14">
        <f t="shared" si="214"/>
        <v>1.212</v>
      </c>
      <c r="HD336" s="14">
        <f t="shared" si="215"/>
        <v>1606022</v>
      </c>
      <c r="HE336" s="14" t="str">
        <f t="shared" si="216"/>
        <v>神器4-6 : 12级</v>
      </c>
      <c r="HF336" s="14" t="s">
        <v>800</v>
      </c>
      <c r="HG336" s="14">
        <f t="shared" si="217"/>
        <v>12</v>
      </c>
      <c r="HH336" s="14" t="str">
        <f t="shared" si="218"/>
        <v>神器4-6</v>
      </c>
      <c r="HI336" s="14">
        <f t="shared" si="219"/>
        <v>6</v>
      </c>
      <c r="HJ336" s="14" t="s">
        <v>1595</v>
      </c>
      <c r="HK336" s="14">
        <f t="shared" si="220"/>
        <v>14850</v>
      </c>
    </row>
    <row r="337" spans="207:219" ht="16.5" x14ac:dyDescent="0.2">
      <c r="GY337" s="91">
        <v>331</v>
      </c>
      <c r="GZ337" s="14">
        <f t="shared" si="211"/>
        <v>20</v>
      </c>
      <c r="HA337" s="14">
        <f t="shared" si="212"/>
        <v>4</v>
      </c>
      <c r="HB337" s="14">
        <f t="shared" si="213"/>
        <v>4</v>
      </c>
      <c r="HC337" s="14">
        <f t="shared" si="214"/>
        <v>1.2370000000000001</v>
      </c>
      <c r="HD337" s="14">
        <f t="shared" si="215"/>
        <v>1606022</v>
      </c>
      <c r="HE337" s="14" t="str">
        <f t="shared" si="216"/>
        <v>神器4-6 : 13级</v>
      </c>
      <c r="HF337" s="14" t="s">
        <v>800</v>
      </c>
      <c r="HG337" s="14">
        <f t="shared" si="217"/>
        <v>13</v>
      </c>
      <c r="HH337" s="14" t="str">
        <f t="shared" si="218"/>
        <v>神器4-6</v>
      </c>
      <c r="HI337" s="14">
        <f t="shared" si="219"/>
        <v>7</v>
      </c>
      <c r="HJ337" s="14" t="s">
        <v>1595</v>
      </c>
      <c r="HK337" s="14">
        <f t="shared" si="220"/>
        <v>15150</v>
      </c>
    </row>
    <row r="338" spans="207:219" ht="16.5" x14ac:dyDescent="0.2">
      <c r="GY338" s="91">
        <v>332</v>
      </c>
      <c r="GZ338" s="14">
        <f t="shared" si="211"/>
        <v>20</v>
      </c>
      <c r="HA338" s="14">
        <f t="shared" si="212"/>
        <v>4</v>
      </c>
      <c r="HB338" s="14">
        <f t="shared" si="213"/>
        <v>4</v>
      </c>
      <c r="HC338" s="14">
        <f t="shared" si="214"/>
        <v>1.2609999999999999</v>
      </c>
      <c r="HD338" s="14">
        <f t="shared" si="215"/>
        <v>1606022</v>
      </c>
      <c r="HE338" s="14" t="str">
        <f t="shared" si="216"/>
        <v>神器4-6 : 14级</v>
      </c>
      <c r="HF338" s="14" t="s">
        <v>800</v>
      </c>
      <c r="HG338" s="14">
        <f t="shared" si="217"/>
        <v>14</v>
      </c>
      <c r="HH338" s="14" t="str">
        <f t="shared" si="218"/>
        <v>神器4-6</v>
      </c>
      <c r="HI338" s="14">
        <f t="shared" si="219"/>
        <v>7</v>
      </c>
      <c r="HJ338" s="14" t="s">
        <v>1595</v>
      </c>
      <c r="HK338" s="14">
        <f t="shared" si="220"/>
        <v>15450</v>
      </c>
    </row>
    <row r="339" spans="207:219" ht="16.5" x14ac:dyDescent="0.2">
      <c r="GY339" s="91">
        <v>333</v>
      </c>
      <c r="GZ339" s="14">
        <f t="shared" si="211"/>
        <v>20</v>
      </c>
      <c r="HA339" s="14">
        <f t="shared" si="212"/>
        <v>4</v>
      </c>
      <c r="HB339" s="14">
        <f t="shared" si="213"/>
        <v>4</v>
      </c>
      <c r="HC339" s="14">
        <f t="shared" si="214"/>
        <v>1.2849999999999999</v>
      </c>
      <c r="HD339" s="14">
        <f t="shared" si="215"/>
        <v>1606022</v>
      </c>
      <c r="HE339" s="14" t="str">
        <f t="shared" si="216"/>
        <v>神器4-6 : 15级</v>
      </c>
      <c r="HF339" s="14" t="s">
        <v>800</v>
      </c>
      <c r="HG339" s="14">
        <f t="shared" si="217"/>
        <v>15</v>
      </c>
      <c r="HH339" s="14" t="str">
        <f t="shared" si="218"/>
        <v>神器4-6</v>
      </c>
      <c r="HI339" s="14">
        <f t="shared" si="219"/>
        <v>7</v>
      </c>
      <c r="HJ339" s="14" t="s">
        <v>1595</v>
      </c>
      <c r="HK339" s="14">
        <f t="shared" si="220"/>
        <v>15750</v>
      </c>
    </row>
    <row r="340" spans="207:219" ht="16.5" x14ac:dyDescent="0.2">
      <c r="GY340" s="91">
        <v>334</v>
      </c>
      <c r="GZ340" s="14">
        <f t="shared" si="211"/>
        <v>20</v>
      </c>
      <c r="HA340" s="14">
        <f t="shared" si="212"/>
        <v>4</v>
      </c>
      <c r="HB340" s="14">
        <f t="shared" si="213"/>
        <v>4</v>
      </c>
      <c r="HC340" s="14">
        <f t="shared" si="214"/>
        <v>1.3080000000000001</v>
      </c>
      <c r="HD340" s="14">
        <f t="shared" si="215"/>
        <v>1606022</v>
      </c>
      <c r="HE340" s="14" t="str">
        <f t="shared" si="216"/>
        <v>神器4-6 : 16级</v>
      </c>
      <c r="HF340" s="14" t="s">
        <v>800</v>
      </c>
      <c r="HG340" s="14">
        <f t="shared" si="217"/>
        <v>16</v>
      </c>
      <c r="HH340" s="14" t="str">
        <f t="shared" si="218"/>
        <v>神器4-6</v>
      </c>
      <c r="HI340" s="14">
        <f t="shared" si="219"/>
        <v>10</v>
      </c>
      <c r="HJ340" s="14" t="s">
        <v>1595</v>
      </c>
      <c r="HK340" s="14">
        <f t="shared" si="220"/>
        <v>16000</v>
      </c>
    </row>
    <row r="341" spans="207:219" ht="16.5" x14ac:dyDescent="0.2">
      <c r="GY341" s="91">
        <v>335</v>
      </c>
      <c r="GZ341" s="14">
        <f t="shared" si="211"/>
        <v>20</v>
      </c>
      <c r="HA341" s="14">
        <f t="shared" si="212"/>
        <v>4</v>
      </c>
      <c r="HB341" s="14">
        <f t="shared" si="213"/>
        <v>4</v>
      </c>
      <c r="HC341" s="14">
        <f t="shared" si="214"/>
        <v>1.33</v>
      </c>
      <c r="HD341" s="14">
        <f t="shared" si="215"/>
        <v>1606022</v>
      </c>
      <c r="HE341" s="14" t="str">
        <f t="shared" si="216"/>
        <v>神器4-6 : 17级</v>
      </c>
      <c r="HF341" s="14" t="s">
        <v>800</v>
      </c>
      <c r="HG341" s="14">
        <f t="shared" si="217"/>
        <v>17</v>
      </c>
      <c r="HH341" s="14" t="str">
        <f t="shared" si="218"/>
        <v>神器4-6</v>
      </c>
      <c r="HI341" s="14">
        <f t="shared" si="219"/>
        <v>10</v>
      </c>
      <c r="HJ341" s="14" t="s">
        <v>1595</v>
      </c>
      <c r="HK341" s="14">
        <f t="shared" si="220"/>
        <v>16300</v>
      </c>
    </row>
    <row r="342" spans="207:219" ht="16.5" x14ac:dyDescent="0.2">
      <c r="GY342" s="91">
        <v>336</v>
      </c>
      <c r="GZ342" s="14">
        <f t="shared" si="211"/>
        <v>20</v>
      </c>
      <c r="HA342" s="14">
        <f t="shared" si="212"/>
        <v>4</v>
      </c>
      <c r="HB342" s="14">
        <f t="shared" si="213"/>
        <v>4</v>
      </c>
      <c r="HC342" s="14">
        <f t="shared" si="214"/>
        <v>1.353</v>
      </c>
      <c r="HD342" s="14">
        <f t="shared" si="215"/>
        <v>1606022</v>
      </c>
      <c r="HE342" s="14" t="str">
        <f t="shared" si="216"/>
        <v>神器4-6 : 18级</v>
      </c>
      <c r="HF342" s="14" t="s">
        <v>800</v>
      </c>
      <c r="HG342" s="14">
        <f t="shared" si="217"/>
        <v>18</v>
      </c>
      <c r="HH342" s="14" t="str">
        <f t="shared" si="218"/>
        <v>神器4-6</v>
      </c>
      <c r="HI342" s="14">
        <f t="shared" si="219"/>
        <v>10</v>
      </c>
      <c r="HJ342" s="14" t="s">
        <v>1595</v>
      </c>
      <c r="HK342" s="14">
        <f t="shared" si="220"/>
        <v>16550</v>
      </c>
    </row>
    <row r="343" spans="207:219" ht="16.5" x14ac:dyDescent="0.2">
      <c r="GY343" s="91">
        <v>337</v>
      </c>
      <c r="GZ343" s="14">
        <f t="shared" si="211"/>
        <v>21</v>
      </c>
      <c r="HA343" s="14">
        <f t="shared" si="212"/>
        <v>5</v>
      </c>
      <c r="HB343" s="14">
        <f t="shared" si="213"/>
        <v>1</v>
      </c>
      <c r="HC343" s="14">
        <f t="shared" si="214"/>
        <v>0.23200000000000001</v>
      </c>
      <c r="HD343" s="14">
        <f t="shared" si="215"/>
        <v>1606023</v>
      </c>
      <c r="HE343" s="14" t="str">
        <f t="shared" si="216"/>
        <v>神器5-1 : 1级</v>
      </c>
      <c r="HF343" s="14" t="s">
        <v>800</v>
      </c>
      <c r="HG343" s="14">
        <f t="shared" si="217"/>
        <v>1</v>
      </c>
      <c r="HH343" s="14" t="str">
        <f t="shared" si="218"/>
        <v>神器5-1</v>
      </c>
      <c r="HI343" s="14">
        <f t="shared" si="219"/>
        <v>1</v>
      </c>
      <c r="HJ343" s="14" t="s">
        <v>1595</v>
      </c>
      <c r="HK343" s="14">
        <f t="shared" si="220"/>
        <v>4200</v>
      </c>
    </row>
    <row r="344" spans="207:219" ht="16.5" x14ac:dyDescent="0.2">
      <c r="GY344" s="91">
        <v>338</v>
      </c>
      <c r="GZ344" s="14">
        <f t="shared" si="211"/>
        <v>21</v>
      </c>
      <c r="HA344" s="14">
        <f t="shared" si="212"/>
        <v>5</v>
      </c>
      <c r="HB344" s="14">
        <f t="shared" si="213"/>
        <v>1</v>
      </c>
      <c r="HC344" s="14">
        <f t="shared" si="214"/>
        <v>0.24099999999999999</v>
      </c>
      <c r="HD344" s="14">
        <f t="shared" si="215"/>
        <v>1606023</v>
      </c>
      <c r="HE344" s="14" t="str">
        <f t="shared" si="216"/>
        <v>神器5-1 : 2级</v>
      </c>
      <c r="HF344" s="14" t="s">
        <v>800</v>
      </c>
      <c r="HG344" s="14">
        <f t="shared" si="217"/>
        <v>2</v>
      </c>
      <c r="HH344" s="14" t="str">
        <f t="shared" si="218"/>
        <v>神器5-1</v>
      </c>
      <c r="HI344" s="14">
        <f t="shared" si="219"/>
        <v>1</v>
      </c>
      <c r="HJ344" s="14" t="s">
        <v>1595</v>
      </c>
      <c r="HK344" s="14">
        <f t="shared" si="220"/>
        <v>4400</v>
      </c>
    </row>
    <row r="345" spans="207:219" ht="16.5" x14ac:dyDescent="0.2">
      <c r="GY345" s="91">
        <v>339</v>
      </c>
      <c r="GZ345" s="14">
        <f t="shared" si="211"/>
        <v>21</v>
      </c>
      <c r="HA345" s="14">
        <f t="shared" si="212"/>
        <v>5</v>
      </c>
      <c r="HB345" s="14">
        <f t="shared" si="213"/>
        <v>1</v>
      </c>
      <c r="HC345" s="14">
        <f t="shared" si="214"/>
        <v>0.249</v>
      </c>
      <c r="HD345" s="14">
        <f t="shared" si="215"/>
        <v>1606023</v>
      </c>
      <c r="HE345" s="14" t="str">
        <f t="shared" si="216"/>
        <v>神器5-1 : 3级</v>
      </c>
      <c r="HF345" s="14" t="s">
        <v>800</v>
      </c>
      <c r="HG345" s="14">
        <f t="shared" si="217"/>
        <v>3</v>
      </c>
      <c r="HH345" s="14" t="str">
        <f t="shared" si="218"/>
        <v>神器5-1</v>
      </c>
      <c r="HI345" s="14">
        <f t="shared" si="219"/>
        <v>1</v>
      </c>
      <c r="HJ345" s="14" t="s">
        <v>1595</v>
      </c>
      <c r="HK345" s="14">
        <f t="shared" si="220"/>
        <v>4500</v>
      </c>
    </row>
    <row r="346" spans="207:219" ht="16.5" x14ac:dyDescent="0.2">
      <c r="GY346" s="91">
        <v>340</v>
      </c>
      <c r="GZ346" s="14">
        <f t="shared" si="211"/>
        <v>21</v>
      </c>
      <c r="HA346" s="14">
        <f t="shared" si="212"/>
        <v>5</v>
      </c>
      <c r="HB346" s="14">
        <f t="shared" si="213"/>
        <v>1</v>
      </c>
      <c r="HC346" s="14">
        <f t="shared" si="214"/>
        <v>0.25700000000000001</v>
      </c>
      <c r="HD346" s="14">
        <f t="shared" si="215"/>
        <v>1606023</v>
      </c>
      <c r="HE346" s="14" t="str">
        <f t="shared" si="216"/>
        <v>神器5-1 : 4级</v>
      </c>
      <c r="HF346" s="14" t="s">
        <v>800</v>
      </c>
      <c r="HG346" s="14">
        <f t="shared" si="217"/>
        <v>4</v>
      </c>
      <c r="HH346" s="14" t="str">
        <f t="shared" si="218"/>
        <v>神器5-1</v>
      </c>
      <c r="HI346" s="14">
        <f t="shared" si="219"/>
        <v>2</v>
      </c>
      <c r="HJ346" s="14" t="s">
        <v>1595</v>
      </c>
      <c r="HK346" s="14">
        <f t="shared" si="220"/>
        <v>4650</v>
      </c>
    </row>
    <row r="347" spans="207:219" ht="16.5" x14ac:dyDescent="0.2">
      <c r="GY347" s="91">
        <v>341</v>
      </c>
      <c r="GZ347" s="14">
        <f t="shared" si="211"/>
        <v>21</v>
      </c>
      <c r="HA347" s="14">
        <f t="shared" si="212"/>
        <v>5</v>
      </c>
      <c r="HB347" s="14">
        <f t="shared" si="213"/>
        <v>1</v>
      </c>
      <c r="HC347" s="14">
        <f t="shared" si="214"/>
        <v>0.26500000000000001</v>
      </c>
      <c r="HD347" s="14">
        <f t="shared" si="215"/>
        <v>1606023</v>
      </c>
      <c r="HE347" s="14" t="str">
        <f t="shared" si="216"/>
        <v>神器5-1 : 5级</v>
      </c>
      <c r="HF347" s="14" t="s">
        <v>800</v>
      </c>
      <c r="HG347" s="14">
        <f t="shared" si="217"/>
        <v>5</v>
      </c>
      <c r="HH347" s="14" t="str">
        <f t="shared" si="218"/>
        <v>神器5-1</v>
      </c>
      <c r="HI347" s="14">
        <f t="shared" si="219"/>
        <v>2</v>
      </c>
      <c r="HJ347" s="14" t="s">
        <v>1595</v>
      </c>
      <c r="HK347" s="14">
        <f t="shared" si="220"/>
        <v>4800</v>
      </c>
    </row>
    <row r="348" spans="207:219" ht="16.5" x14ac:dyDescent="0.2">
      <c r="GY348" s="91">
        <v>342</v>
      </c>
      <c r="GZ348" s="14">
        <f t="shared" si="211"/>
        <v>21</v>
      </c>
      <c r="HA348" s="14">
        <f t="shared" si="212"/>
        <v>5</v>
      </c>
      <c r="HB348" s="14">
        <f t="shared" si="213"/>
        <v>1</v>
      </c>
      <c r="HC348" s="14">
        <f t="shared" si="214"/>
        <v>0.27200000000000002</v>
      </c>
      <c r="HD348" s="14">
        <f t="shared" si="215"/>
        <v>1606023</v>
      </c>
      <c r="HE348" s="14" t="str">
        <f t="shared" si="216"/>
        <v>神器5-1 : 6级</v>
      </c>
      <c r="HF348" s="14" t="s">
        <v>800</v>
      </c>
      <c r="HG348" s="14">
        <f t="shared" si="217"/>
        <v>6</v>
      </c>
      <c r="HH348" s="14" t="str">
        <f t="shared" si="218"/>
        <v>神器5-1</v>
      </c>
      <c r="HI348" s="14">
        <f t="shared" si="219"/>
        <v>2</v>
      </c>
      <c r="HJ348" s="14" t="s">
        <v>1595</v>
      </c>
      <c r="HK348" s="14">
        <f t="shared" si="220"/>
        <v>4950</v>
      </c>
    </row>
    <row r="349" spans="207:219" ht="16.5" x14ac:dyDescent="0.2">
      <c r="GY349" s="91">
        <v>343</v>
      </c>
      <c r="GZ349" s="14">
        <f t="shared" si="211"/>
        <v>21</v>
      </c>
      <c r="HA349" s="14">
        <f t="shared" si="212"/>
        <v>5</v>
      </c>
      <c r="HB349" s="14">
        <f t="shared" si="213"/>
        <v>1</v>
      </c>
      <c r="HC349" s="14">
        <f t="shared" si="214"/>
        <v>0.27900000000000003</v>
      </c>
      <c r="HD349" s="14">
        <f t="shared" si="215"/>
        <v>1606023</v>
      </c>
      <c r="HE349" s="14" t="str">
        <f t="shared" si="216"/>
        <v>神器5-1 : 7级</v>
      </c>
      <c r="HF349" s="14" t="s">
        <v>800</v>
      </c>
      <c r="HG349" s="14">
        <f t="shared" si="217"/>
        <v>7</v>
      </c>
      <c r="HH349" s="14" t="str">
        <f t="shared" si="218"/>
        <v>神器5-1</v>
      </c>
      <c r="HI349" s="14">
        <f t="shared" si="219"/>
        <v>3</v>
      </c>
      <c r="HJ349" s="14" t="s">
        <v>1595</v>
      </c>
      <c r="HK349" s="14">
        <f t="shared" si="220"/>
        <v>5050</v>
      </c>
    </row>
    <row r="350" spans="207:219" ht="16.5" x14ac:dyDescent="0.2">
      <c r="GY350" s="91">
        <v>344</v>
      </c>
      <c r="GZ350" s="14">
        <f t="shared" si="211"/>
        <v>21</v>
      </c>
      <c r="HA350" s="14">
        <f t="shared" si="212"/>
        <v>5</v>
      </c>
      <c r="HB350" s="14">
        <f t="shared" si="213"/>
        <v>1</v>
      </c>
      <c r="HC350" s="14">
        <f t="shared" si="214"/>
        <v>0.28599999999999998</v>
      </c>
      <c r="HD350" s="14">
        <f t="shared" si="215"/>
        <v>1606023</v>
      </c>
      <c r="HE350" s="14" t="str">
        <f t="shared" si="216"/>
        <v>神器5-1 : 8级</v>
      </c>
      <c r="HF350" s="14" t="s">
        <v>800</v>
      </c>
      <c r="HG350" s="14">
        <f t="shared" si="217"/>
        <v>8</v>
      </c>
      <c r="HH350" s="14" t="str">
        <f t="shared" si="218"/>
        <v>神器5-1</v>
      </c>
      <c r="HI350" s="14">
        <f t="shared" si="219"/>
        <v>3</v>
      </c>
      <c r="HJ350" s="14" t="s">
        <v>1595</v>
      </c>
      <c r="HK350" s="14">
        <f t="shared" si="220"/>
        <v>5200</v>
      </c>
    </row>
    <row r="351" spans="207:219" ht="16.5" x14ac:dyDescent="0.2">
      <c r="GY351" s="91">
        <v>345</v>
      </c>
      <c r="GZ351" s="14">
        <f t="shared" si="211"/>
        <v>21</v>
      </c>
      <c r="HA351" s="14">
        <f t="shared" si="212"/>
        <v>5</v>
      </c>
      <c r="HB351" s="14">
        <f t="shared" si="213"/>
        <v>1</v>
      </c>
      <c r="HC351" s="14">
        <f t="shared" si="214"/>
        <v>0.29299999999999998</v>
      </c>
      <c r="HD351" s="14">
        <f t="shared" si="215"/>
        <v>1606023</v>
      </c>
      <c r="HE351" s="14" t="str">
        <f t="shared" si="216"/>
        <v>神器5-1 : 9级</v>
      </c>
      <c r="HF351" s="14" t="s">
        <v>800</v>
      </c>
      <c r="HG351" s="14">
        <f t="shared" si="217"/>
        <v>9</v>
      </c>
      <c r="HH351" s="14" t="str">
        <f t="shared" si="218"/>
        <v>神器5-1</v>
      </c>
      <c r="HI351" s="14">
        <f t="shared" si="219"/>
        <v>3</v>
      </c>
      <c r="HJ351" s="14" t="s">
        <v>1595</v>
      </c>
      <c r="HK351" s="14">
        <f t="shared" si="220"/>
        <v>5300</v>
      </c>
    </row>
    <row r="352" spans="207:219" ht="16.5" x14ac:dyDescent="0.2">
      <c r="GY352" s="91">
        <v>346</v>
      </c>
      <c r="GZ352" s="14">
        <f t="shared" si="211"/>
        <v>21</v>
      </c>
      <c r="HA352" s="14">
        <f t="shared" si="212"/>
        <v>5</v>
      </c>
      <c r="HB352" s="14">
        <f t="shared" si="213"/>
        <v>1</v>
      </c>
      <c r="HC352" s="14">
        <f t="shared" si="214"/>
        <v>0.3</v>
      </c>
      <c r="HD352" s="14">
        <f t="shared" si="215"/>
        <v>1606023</v>
      </c>
      <c r="HE352" s="14" t="str">
        <f t="shared" si="216"/>
        <v>神器5-1 : 10级</v>
      </c>
      <c r="HF352" s="14" t="s">
        <v>800</v>
      </c>
      <c r="HG352" s="14">
        <f t="shared" si="217"/>
        <v>10</v>
      </c>
      <c r="HH352" s="14" t="str">
        <f t="shared" si="218"/>
        <v>神器5-1</v>
      </c>
      <c r="HI352" s="14">
        <f t="shared" si="219"/>
        <v>5</v>
      </c>
      <c r="HJ352" s="14" t="s">
        <v>1595</v>
      </c>
      <c r="HK352" s="14">
        <f t="shared" si="220"/>
        <v>5450</v>
      </c>
    </row>
    <row r="353" spans="207:219" ht="16.5" x14ac:dyDescent="0.2">
      <c r="GY353" s="91">
        <v>347</v>
      </c>
      <c r="GZ353" s="14">
        <f t="shared" si="211"/>
        <v>21</v>
      </c>
      <c r="HA353" s="14">
        <f t="shared" si="212"/>
        <v>5</v>
      </c>
      <c r="HB353" s="14">
        <f t="shared" si="213"/>
        <v>1</v>
      </c>
      <c r="HC353" s="14">
        <f t="shared" si="214"/>
        <v>0.307</v>
      </c>
      <c r="HD353" s="14">
        <f t="shared" si="215"/>
        <v>1606023</v>
      </c>
      <c r="HE353" s="14" t="str">
        <f t="shared" si="216"/>
        <v>神器5-1 : 11级</v>
      </c>
      <c r="HF353" s="14" t="s">
        <v>800</v>
      </c>
      <c r="HG353" s="14">
        <f t="shared" si="217"/>
        <v>11</v>
      </c>
      <c r="HH353" s="14" t="str">
        <f t="shared" si="218"/>
        <v>神器5-1</v>
      </c>
      <c r="HI353" s="14">
        <f t="shared" si="219"/>
        <v>5</v>
      </c>
      <c r="HJ353" s="14" t="s">
        <v>1595</v>
      </c>
      <c r="HK353" s="14">
        <f t="shared" si="220"/>
        <v>5600</v>
      </c>
    </row>
    <row r="354" spans="207:219" ht="16.5" x14ac:dyDescent="0.2">
      <c r="GY354" s="91">
        <v>348</v>
      </c>
      <c r="GZ354" s="14">
        <f t="shared" si="211"/>
        <v>21</v>
      </c>
      <c r="HA354" s="14">
        <f t="shared" si="212"/>
        <v>5</v>
      </c>
      <c r="HB354" s="14">
        <f t="shared" si="213"/>
        <v>1</v>
      </c>
      <c r="HC354" s="14">
        <f t="shared" si="214"/>
        <v>0.313</v>
      </c>
      <c r="HD354" s="14">
        <f t="shared" si="215"/>
        <v>1606023</v>
      </c>
      <c r="HE354" s="14" t="str">
        <f t="shared" si="216"/>
        <v>神器5-1 : 12级</v>
      </c>
      <c r="HF354" s="14" t="s">
        <v>800</v>
      </c>
      <c r="HG354" s="14">
        <f t="shared" si="217"/>
        <v>12</v>
      </c>
      <c r="HH354" s="14" t="str">
        <f t="shared" si="218"/>
        <v>神器5-1</v>
      </c>
      <c r="HI354" s="14">
        <f t="shared" si="219"/>
        <v>6</v>
      </c>
      <c r="HJ354" s="14" t="s">
        <v>1595</v>
      </c>
      <c r="HK354" s="14">
        <f t="shared" si="220"/>
        <v>5700</v>
      </c>
    </row>
    <row r="355" spans="207:219" ht="16.5" x14ac:dyDescent="0.2">
      <c r="GY355" s="91">
        <v>349</v>
      </c>
      <c r="GZ355" s="14">
        <f t="shared" si="211"/>
        <v>21</v>
      </c>
      <c r="HA355" s="14">
        <f t="shared" si="212"/>
        <v>5</v>
      </c>
      <c r="HB355" s="14">
        <f t="shared" si="213"/>
        <v>1</v>
      </c>
      <c r="HC355" s="14">
        <f t="shared" si="214"/>
        <v>0.31900000000000001</v>
      </c>
      <c r="HD355" s="14">
        <f t="shared" si="215"/>
        <v>1606023</v>
      </c>
      <c r="HE355" s="14" t="str">
        <f t="shared" si="216"/>
        <v>神器5-1 : 13级</v>
      </c>
      <c r="HF355" s="14" t="s">
        <v>800</v>
      </c>
      <c r="HG355" s="14">
        <f t="shared" si="217"/>
        <v>13</v>
      </c>
      <c r="HH355" s="14" t="str">
        <f t="shared" si="218"/>
        <v>神器5-1</v>
      </c>
      <c r="HI355" s="14">
        <f t="shared" si="219"/>
        <v>7</v>
      </c>
      <c r="HJ355" s="14" t="s">
        <v>1595</v>
      </c>
      <c r="HK355" s="14">
        <f t="shared" si="220"/>
        <v>5800</v>
      </c>
    </row>
    <row r="356" spans="207:219" ht="16.5" x14ac:dyDescent="0.2">
      <c r="GY356" s="91">
        <v>350</v>
      </c>
      <c r="GZ356" s="14">
        <f t="shared" si="211"/>
        <v>21</v>
      </c>
      <c r="HA356" s="14">
        <f t="shared" si="212"/>
        <v>5</v>
      </c>
      <c r="HB356" s="14">
        <f t="shared" si="213"/>
        <v>1</v>
      </c>
      <c r="HC356" s="14">
        <f t="shared" si="214"/>
        <v>0.32600000000000001</v>
      </c>
      <c r="HD356" s="14">
        <f t="shared" si="215"/>
        <v>1606023</v>
      </c>
      <c r="HE356" s="14" t="str">
        <f t="shared" si="216"/>
        <v>神器5-1 : 14级</v>
      </c>
      <c r="HF356" s="14" t="s">
        <v>800</v>
      </c>
      <c r="HG356" s="14">
        <f t="shared" si="217"/>
        <v>14</v>
      </c>
      <c r="HH356" s="14" t="str">
        <f t="shared" si="218"/>
        <v>神器5-1</v>
      </c>
      <c r="HI356" s="14">
        <f t="shared" si="219"/>
        <v>7</v>
      </c>
      <c r="HJ356" s="14" t="s">
        <v>1595</v>
      </c>
      <c r="HK356" s="14">
        <f t="shared" si="220"/>
        <v>5900</v>
      </c>
    </row>
    <row r="357" spans="207:219" ht="16.5" x14ac:dyDescent="0.2">
      <c r="GY357" s="91">
        <v>351</v>
      </c>
      <c r="GZ357" s="14">
        <f t="shared" si="211"/>
        <v>21</v>
      </c>
      <c r="HA357" s="14">
        <f t="shared" si="212"/>
        <v>5</v>
      </c>
      <c r="HB357" s="14">
        <f t="shared" si="213"/>
        <v>1</v>
      </c>
      <c r="HC357" s="14">
        <f t="shared" si="214"/>
        <v>0.33200000000000002</v>
      </c>
      <c r="HD357" s="14">
        <f t="shared" si="215"/>
        <v>1606023</v>
      </c>
      <c r="HE357" s="14" t="str">
        <f t="shared" si="216"/>
        <v>神器5-1 : 15级</v>
      </c>
      <c r="HF357" s="14" t="s">
        <v>800</v>
      </c>
      <c r="HG357" s="14">
        <f t="shared" si="217"/>
        <v>15</v>
      </c>
      <c r="HH357" s="14" t="str">
        <f t="shared" si="218"/>
        <v>神器5-1</v>
      </c>
      <c r="HI357" s="14">
        <f t="shared" si="219"/>
        <v>7</v>
      </c>
      <c r="HJ357" s="14" t="s">
        <v>1595</v>
      </c>
      <c r="HK357" s="14">
        <f t="shared" si="220"/>
        <v>6050</v>
      </c>
    </row>
    <row r="358" spans="207:219" ht="16.5" x14ac:dyDescent="0.2">
      <c r="GY358" s="91">
        <v>352</v>
      </c>
      <c r="GZ358" s="14">
        <f t="shared" si="211"/>
        <v>21</v>
      </c>
      <c r="HA358" s="14">
        <f t="shared" si="212"/>
        <v>5</v>
      </c>
      <c r="HB358" s="14">
        <f t="shared" si="213"/>
        <v>1</v>
      </c>
      <c r="HC358" s="14">
        <f t="shared" si="214"/>
        <v>0.33800000000000002</v>
      </c>
      <c r="HD358" s="14">
        <f t="shared" si="215"/>
        <v>1606023</v>
      </c>
      <c r="HE358" s="14" t="str">
        <f t="shared" si="216"/>
        <v>神器5-1 : 16级</v>
      </c>
      <c r="HF358" s="14" t="s">
        <v>800</v>
      </c>
      <c r="HG358" s="14">
        <f t="shared" si="217"/>
        <v>16</v>
      </c>
      <c r="HH358" s="14" t="str">
        <f t="shared" si="218"/>
        <v>神器5-1</v>
      </c>
      <c r="HI358" s="14">
        <f t="shared" si="219"/>
        <v>10</v>
      </c>
      <c r="HJ358" s="14" t="s">
        <v>1595</v>
      </c>
      <c r="HK358" s="14">
        <f t="shared" si="220"/>
        <v>6150</v>
      </c>
    </row>
    <row r="359" spans="207:219" ht="16.5" x14ac:dyDescent="0.2">
      <c r="GY359" s="91">
        <v>353</v>
      </c>
      <c r="GZ359" s="14">
        <f t="shared" si="211"/>
        <v>21</v>
      </c>
      <c r="HA359" s="14">
        <f t="shared" si="212"/>
        <v>5</v>
      </c>
      <c r="HB359" s="14">
        <f t="shared" si="213"/>
        <v>1</v>
      </c>
      <c r="HC359" s="14">
        <f t="shared" si="214"/>
        <v>0.34399999999999997</v>
      </c>
      <c r="HD359" s="14">
        <f t="shared" si="215"/>
        <v>1606023</v>
      </c>
      <c r="HE359" s="14" t="str">
        <f t="shared" si="216"/>
        <v>神器5-1 : 17级</v>
      </c>
      <c r="HF359" s="14" t="s">
        <v>800</v>
      </c>
      <c r="HG359" s="14">
        <f t="shared" si="217"/>
        <v>17</v>
      </c>
      <c r="HH359" s="14" t="str">
        <f t="shared" si="218"/>
        <v>神器5-1</v>
      </c>
      <c r="HI359" s="14">
        <f t="shared" si="219"/>
        <v>10</v>
      </c>
      <c r="HJ359" s="14" t="s">
        <v>1595</v>
      </c>
      <c r="HK359" s="14">
        <f t="shared" si="220"/>
        <v>6250</v>
      </c>
    </row>
    <row r="360" spans="207:219" ht="16.5" x14ac:dyDescent="0.2">
      <c r="GY360" s="91">
        <v>354</v>
      </c>
      <c r="GZ360" s="14">
        <f t="shared" si="211"/>
        <v>21</v>
      </c>
      <c r="HA360" s="14">
        <f t="shared" si="212"/>
        <v>5</v>
      </c>
      <c r="HB360" s="14">
        <f t="shared" si="213"/>
        <v>1</v>
      </c>
      <c r="HC360" s="14">
        <f t="shared" si="214"/>
        <v>0.34899999999999998</v>
      </c>
      <c r="HD360" s="14">
        <f t="shared" si="215"/>
        <v>1606023</v>
      </c>
      <c r="HE360" s="14" t="str">
        <f t="shared" si="216"/>
        <v>神器5-1 : 18级</v>
      </c>
      <c r="HF360" s="14" t="s">
        <v>800</v>
      </c>
      <c r="HG360" s="14">
        <f t="shared" si="217"/>
        <v>18</v>
      </c>
      <c r="HH360" s="14" t="str">
        <f t="shared" si="218"/>
        <v>神器5-1</v>
      </c>
      <c r="HI360" s="14">
        <f t="shared" si="219"/>
        <v>10</v>
      </c>
      <c r="HJ360" s="14" t="s">
        <v>1595</v>
      </c>
      <c r="HK360" s="14">
        <f t="shared" si="220"/>
        <v>6350</v>
      </c>
    </row>
    <row r="361" spans="207:219" ht="16.5" x14ac:dyDescent="0.2">
      <c r="GY361" s="91">
        <v>355</v>
      </c>
      <c r="GZ361" s="14">
        <f t="shared" si="211"/>
        <v>22</v>
      </c>
      <c r="HA361" s="14">
        <f t="shared" si="212"/>
        <v>5</v>
      </c>
      <c r="HB361" s="14">
        <f t="shared" si="213"/>
        <v>1</v>
      </c>
      <c r="HC361" s="14">
        <f t="shared" si="214"/>
        <v>0.23200000000000001</v>
      </c>
      <c r="HD361" s="14">
        <f t="shared" si="215"/>
        <v>1606024</v>
      </c>
      <c r="HE361" s="14" t="str">
        <f t="shared" si="216"/>
        <v>神器5-2 : 1级</v>
      </c>
      <c r="HF361" s="14" t="s">
        <v>800</v>
      </c>
      <c r="HG361" s="14">
        <f t="shared" si="217"/>
        <v>1</v>
      </c>
      <c r="HH361" s="14" t="str">
        <f t="shared" si="218"/>
        <v>神器5-2</v>
      </c>
      <c r="HI361" s="14">
        <f t="shared" si="219"/>
        <v>1</v>
      </c>
      <c r="HJ361" s="14" t="s">
        <v>1595</v>
      </c>
      <c r="HK361" s="14">
        <f t="shared" si="220"/>
        <v>4200</v>
      </c>
    </row>
    <row r="362" spans="207:219" ht="16.5" x14ac:dyDescent="0.2">
      <c r="GY362" s="91">
        <v>356</v>
      </c>
      <c r="GZ362" s="14">
        <f t="shared" si="211"/>
        <v>22</v>
      </c>
      <c r="HA362" s="14">
        <f t="shared" si="212"/>
        <v>5</v>
      </c>
      <c r="HB362" s="14">
        <f t="shared" si="213"/>
        <v>1</v>
      </c>
      <c r="HC362" s="14">
        <f t="shared" si="214"/>
        <v>0.24099999999999999</v>
      </c>
      <c r="HD362" s="14">
        <f t="shared" si="215"/>
        <v>1606024</v>
      </c>
      <c r="HE362" s="14" t="str">
        <f t="shared" si="216"/>
        <v>神器5-2 : 2级</v>
      </c>
      <c r="HF362" s="14" t="s">
        <v>800</v>
      </c>
      <c r="HG362" s="14">
        <f t="shared" si="217"/>
        <v>2</v>
      </c>
      <c r="HH362" s="14" t="str">
        <f t="shared" si="218"/>
        <v>神器5-2</v>
      </c>
      <c r="HI362" s="14">
        <f t="shared" si="219"/>
        <v>1</v>
      </c>
      <c r="HJ362" s="14" t="s">
        <v>1595</v>
      </c>
      <c r="HK362" s="14">
        <f t="shared" si="220"/>
        <v>4400</v>
      </c>
    </row>
    <row r="363" spans="207:219" ht="16.5" x14ac:dyDescent="0.2">
      <c r="GY363" s="91">
        <v>357</v>
      </c>
      <c r="GZ363" s="14">
        <f t="shared" si="211"/>
        <v>22</v>
      </c>
      <c r="HA363" s="14">
        <f t="shared" si="212"/>
        <v>5</v>
      </c>
      <c r="HB363" s="14">
        <f t="shared" si="213"/>
        <v>1</v>
      </c>
      <c r="HC363" s="14">
        <f t="shared" si="214"/>
        <v>0.249</v>
      </c>
      <c r="HD363" s="14">
        <f t="shared" si="215"/>
        <v>1606024</v>
      </c>
      <c r="HE363" s="14" t="str">
        <f t="shared" si="216"/>
        <v>神器5-2 : 3级</v>
      </c>
      <c r="HF363" s="14" t="s">
        <v>800</v>
      </c>
      <c r="HG363" s="14">
        <f t="shared" si="217"/>
        <v>3</v>
      </c>
      <c r="HH363" s="14" t="str">
        <f t="shared" si="218"/>
        <v>神器5-2</v>
      </c>
      <c r="HI363" s="14">
        <f t="shared" si="219"/>
        <v>1</v>
      </c>
      <c r="HJ363" s="14" t="s">
        <v>1595</v>
      </c>
      <c r="HK363" s="14">
        <f t="shared" si="220"/>
        <v>4500</v>
      </c>
    </row>
    <row r="364" spans="207:219" ht="16.5" x14ac:dyDescent="0.2">
      <c r="GY364" s="91">
        <v>358</v>
      </c>
      <c r="GZ364" s="14">
        <f t="shared" si="211"/>
        <v>22</v>
      </c>
      <c r="HA364" s="14">
        <f t="shared" si="212"/>
        <v>5</v>
      </c>
      <c r="HB364" s="14">
        <f t="shared" si="213"/>
        <v>1</v>
      </c>
      <c r="HC364" s="14">
        <f t="shared" si="214"/>
        <v>0.25700000000000001</v>
      </c>
      <c r="HD364" s="14">
        <f t="shared" si="215"/>
        <v>1606024</v>
      </c>
      <c r="HE364" s="14" t="str">
        <f t="shared" si="216"/>
        <v>神器5-2 : 4级</v>
      </c>
      <c r="HF364" s="14" t="s">
        <v>800</v>
      </c>
      <c r="HG364" s="14">
        <f t="shared" si="217"/>
        <v>4</v>
      </c>
      <c r="HH364" s="14" t="str">
        <f t="shared" si="218"/>
        <v>神器5-2</v>
      </c>
      <c r="HI364" s="14">
        <f t="shared" si="219"/>
        <v>2</v>
      </c>
      <c r="HJ364" s="14" t="s">
        <v>1595</v>
      </c>
      <c r="HK364" s="14">
        <f t="shared" si="220"/>
        <v>4650</v>
      </c>
    </row>
    <row r="365" spans="207:219" ht="16.5" x14ac:dyDescent="0.2">
      <c r="GY365" s="91">
        <v>359</v>
      </c>
      <c r="GZ365" s="14">
        <f t="shared" si="211"/>
        <v>22</v>
      </c>
      <c r="HA365" s="14">
        <f t="shared" si="212"/>
        <v>5</v>
      </c>
      <c r="HB365" s="14">
        <f t="shared" si="213"/>
        <v>1</v>
      </c>
      <c r="HC365" s="14">
        <f t="shared" si="214"/>
        <v>0.26500000000000001</v>
      </c>
      <c r="HD365" s="14">
        <f t="shared" si="215"/>
        <v>1606024</v>
      </c>
      <c r="HE365" s="14" t="str">
        <f t="shared" si="216"/>
        <v>神器5-2 : 5级</v>
      </c>
      <c r="HF365" s="14" t="s">
        <v>800</v>
      </c>
      <c r="HG365" s="14">
        <f t="shared" si="217"/>
        <v>5</v>
      </c>
      <c r="HH365" s="14" t="str">
        <f t="shared" si="218"/>
        <v>神器5-2</v>
      </c>
      <c r="HI365" s="14">
        <f t="shared" si="219"/>
        <v>2</v>
      </c>
      <c r="HJ365" s="14" t="s">
        <v>1595</v>
      </c>
      <c r="HK365" s="14">
        <f t="shared" si="220"/>
        <v>4800</v>
      </c>
    </row>
    <row r="366" spans="207:219" ht="16.5" x14ac:dyDescent="0.2">
      <c r="GY366" s="91">
        <v>360</v>
      </c>
      <c r="GZ366" s="14">
        <f t="shared" si="211"/>
        <v>22</v>
      </c>
      <c r="HA366" s="14">
        <f t="shared" si="212"/>
        <v>5</v>
      </c>
      <c r="HB366" s="14">
        <f t="shared" si="213"/>
        <v>1</v>
      </c>
      <c r="HC366" s="14">
        <f t="shared" si="214"/>
        <v>0.27200000000000002</v>
      </c>
      <c r="HD366" s="14">
        <f t="shared" si="215"/>
        <v>1606024</v>
      </c>
      <c r="HE366" s="14" t="str">
        <f t="shared" si="216"/>
        <v>神器5-2 : 6级</v>
      </c>
      <c r="HF366" s="14" t="s">
        <v>800</v>
      </c>
      <c r="HG366" s="14">
        <f t="shared" si="217"/>
        <v>6</v>
      </c>
      <c r="HH366" s="14" t="str">
        <f t="shared" si="218"/>
        <v>神器5-2</v>
      </c>
      <c r="HI366" s="14">
        <f t="shared" si="219"/>
        <v>2</v>
      </c>
      <c r="HJ366" s="14" t="s">
        <v>1595</v>
      </c>
      <c r="HK366" s="14">
        <f t="shared" si="220"/>
        <v>4950</v>
      </c>
    </row>
    <row r="367" spans="207:219" ht="16.5" x14ac:dyDescent="0.2">
      <c r="GY367" s="91">
        <v>361</v>
      </c>
      <c r="GZ367" s="14">
        <f t="shared" si="211"/>
        <v>22</v>
      </c>
      <c r="HA367" s="14">
        <f t="shared" si="212"/>
        <v>5</v>
      </c>
      <c r="HB367" s="14">
        <f t="shared" si="213"/>
        <v>1</v>
      </c>
      <c r="HC367" s="14">
        <f t="shared" si="214"/>
        <v>0.27900000000000003</v>
      </c>
      <c r="HD367" s="14">
        <f t="shared" si="215"/>
        <v>1606024</v>
      </c>
      <c r="HE367" s="14" t="str">
        <f t="shared" si="216"/>
        <v>神器5-2 : 7级</v>
      </c>
      <c r="HF367" s="14" t="s">
        <v>800</v>
      </c>
      <c r="HG367" s="14">
        <f t="shared" si="217"/>
        <v>7</v>
      </c>
      <c r="HH367" s="14" t="str">
        <f t="shared" si="218"/>
        <v>神器5-2</v>
      </c>
      <c r="HI367" s="14">
        <f t="shared" si="219"/>
        <v>3</v>
      </c>
      <c r="HJ367" s="14" t="s">
        <v>1595</v>
      </c>
      <c r="HK367" s="14">
        <f t="shared" si="220"/>
        <v>5050</v>
      </c>
    </row>
    <row r="368" spans="207:219" ht="16.5" x14ac:dyDescent="0.2">
      <c r="GY368" s="91">
        <v>362</v>
      </c>
      <c r="GZ368" s="14">
        <f t="shared" si="211"/>
        <v>22</v>
      </c>
      <c r="HA368" s="14">
        <f t="shared" si="212"/>
        <v>5</v>
      </c>
      <c r="HB368" s="14">
        <f t="shared" si="213"/>
        <v>1</v>
      </c>
      <c r="HC368" s="14">
        <f t="shared" si="214"/>
        <v>0.28599999999999998</v>
      </c>
      <c r="HD368" s="14">
        <f t="shared" si="215"/>
        <v>1606024</v>
      </c>
      <c r="HE368" s="14" t="str">
        <f t="shared" si="216"/>
        <v>神器5-2 : 8级</v>
      </c>
      <c r="HF368" s="14" t="s">
        <v>800</v>
      </c>
      <c r="HG368" s="14">
        <f t="shared" si="217"/>
        <v>8</v>
      </c>
      <c r="HH368" s="14" t="str">
        <f t="shared" si="218"/>
        <v>神器5-2</v>
      </c>
      <c r="HI368" s="14">
        <f t="shared" si="219"/>
        <v>3</v>
      </c>
      <c r="HJ368" s="14" t="s">
        <v>1595</v>
      </c>
      <c r="HK368" s="14">
        <f t="shared" si="220"/>
        <v>5200</v>
      </c>
    </row>
    <row r="369" spans="207:219" ht="16.5" x14ac:dyDescent="0.2">
      <c r="GY369" s="91">
        <v>363</v>
      </c>
      <c r="GZ369" s="14">
        <f t="shared" si="211"/>
        <v>22</v>
      </c>
      <c r="HA369" s="14">
        <f t="shared" si="212"/>
        <v>5</v>
      </c>
      <c r="HB369" s="14">
        <f t="shared" si="213"/>
        <v>1</v>
      </c>
      <c r="HC369" s="14">
        <f t="shared" si="214"/>
        <v>0.29299999999999998</v>
      </c>
      <c r="HD369" s="14">
        <f t="shared" si="215"/>
        <v>1606024</v>
      </c>
      <c r="HE369" s="14" t="str">
        <f t="shared" si="216"/>
        <v>神器5-2 : 9级</v>
      </c>
      <c r="HF369" s="14" t="s">
        <v>800</v>
      </c>
      <c r="HG369" s="14">
        <f t="shared" si="217"/>
        <v>9</v>
      </c>
      <c r="HH369" s="14" t="str">
        <f t="shared" si="218"/>
        <v>神器5-2</v>
      </c>
      <c r="HI369" s="14">
        <f t="shared" si="219"/>
        <v>3</v>
      </c>
      <c r="HJ369" s="14" t="s">
        <v>1595</v>
      </c>
      <c r="HK369" s="14">
        <f t="shared" si="220"/>
        <v>5300</v>
      </c>
    </row>
    <row r="370" spans="207:219" ht="16.5" x14ac:dyDescent="0.2">
      <c r="GY370" s="91">
        <v>364</v>
      </c>
      <c r="GZ370" s="14">
        <f t="shared" si="211"/>
        <v>22</v>
      </c>
      <c r="HA370" s="14">
        <f t="shared" si="212"/>
        <v>5</v>
      </c>
      <c r="HB370" s="14">
        <f t="shared" si="213"/>
        <v>1</v>
      </c>
      <c r="HC370" s="14">
        <f t="shared" si="214"/>
        <v>0.3</v>
      </c>
      <c r="HD370" s="14">
        <f t="shared" si="215"/>
        <v>1606024</v>
      </c>
      <c r="HE370" s="14" t="str">
        <f t="shared" si="216"/>
        <v>神器5-2 : 10级</v>
      </c>
      <c r="HF370" s="14" t="s">
        <v>800</v>
      </c>
      <c r="HG370" s="14">
        <f t="shared" si="217"/>
        <v>10</v>
      </c>
      <c r="HH370" s="14" t="str">
        <f t="shared" si="218"/>
        <v>神器5-2</v>
      </c>
      <c r="HI370" s="14">
        <f t="shared" si="219"/>
        <v>5</v>
      </c>
      <c r="HJ370" s="14" t="s">
        <v>1595</v>
      </c>
      <c r="HK370" s="14">
        <f t="shared" si="220"/>
        <v>5450</v>
      </c>
    </row>
    <row r="371" spans="207:219" ht="16.5" x14ac:dyDescent="0.2">
      <c r="GY371" s="91">
        <v>365</v>
      </c>
      <c r="GZ371" s="14">
        <f t="shared" si="211"/>
        <v>22</v>
      </c>
      <c r="HA371" s="14">
        <f t="shared" si="212"/>
        <v>5</v>
      </c>
      <c r="HB371" s="14">
        <f t="shared" si="213"/>
        <v>1</v>
      </c>
      <c r="HC371" s="14">
        <f t="shared" si="214"/>
        <v>0.307</v>
      </c>
      <c r="HD371" s="14">
        <f t="shared" si="215"/>
        <v>1606024</v>
      </c>
      <c r="HE371" s="14" t="str">
        <f t="shared" si="216"/>
        <v>神器5-2 : 11级</v>
      </c>
      <c r="HF371" s="14" t="s">
        <v>800</v>
      </c>
      <c r="HG371" s="14">
        <f t="shared" si="217"/>
        <v>11</v>
      </c>
      <c r="HH371" s="14" t="str">
        <f t="shared" si="218"/>
        <v>神器5-2</v>
      </c>
      <c r="HI371" s="14">
        <f t="shared" si="219"/>
        <v>5</v>
      </c>
      <c r="HJ371" s="14" t="s">
        <v>1595</v>
      </c>
      <c r="HK371" s="14">
        <f t="shared" si="220"/>
        <v>5600</v>
      </c>
    </row>
    <row r="372" spans="207:219" ht="16.5" x14ac:dyDescent="0.2">
      <c r="GY372" s="91">
        <v>366</v>
      </c>
      <c r="GZ372" s="14">
        <f t="shared" si="211"/>
        <v>22</v>
      </c>
      <c r="HA372" s="14">
        <f t="shared" si="212"/>
        <v>5</v>
      </c>
      <c r="HB372" s="14">
        <f t="shared" si="213"/>
        <v>1</v>
      </c>
      <c r="HC372" s="14">
        <f t="shared" si="214"/>
        <v>0.313</v>
      </c>
      <c r="HD372" s="14">
        <f t="shared" si="215"/>
        <v>1606024</v>
      </c>
      <c r="HE372" s="14" t="str">
        <f t="shared" si="216"/>
        <v>神器5-2 : 12级</v>
      </c>
      <c r="HF372" s="14" t="s">
        <v>800</v>
      </c>
      <c r="HG372" s="14">
        <f t="shared" si="217"/>
        <v>12</v>
      </c>
      <c r="HH372" s="14" t="str">
        <f t="shared" si="218"/>
        <v>神器5-2</v>
      </c>
      <c r="HI372" s="14">
        <f t="shared" si="219"/>
        <v>6</v>
      </c>
      <c r="HJ372" s="14" t="s">
        <v>1595</v>
      </c>
      <c r="HK372" s="14">
        <f t="shared" si="220"/>
        <v>5700</v>
      </c>
    </row>
    <row r="373" spans="207:219" ht="16.5" x14ac:dyDescent="0.2">
      <c r="GY373" s="91">
        <v>367</v>
      </c>
      <c r="GZ373" s="14">
        <f t="shared" si="211"/>
        <v>22</v>
      </c>
      <c r="HA373" s="14">
        <f t="shared" si="212"/>
        <v>5</v>
      </c>
      <c r="HB373" s="14">
        <f t="shared" si="213"/>
        <v>1</v>
      </c>
      <c r="HC373" s="14">
        <f t="shared" si="214"/>
        <v>0.31900000000000001</v>
      </c>
      <c r="HD373" s="14">
        <f t="shared" si="215"/>
        <v>1606024</v>
      </c>
      <c r="HE373" s="14" t="str">
        <f t="shared" si="216"/>
        <v>神器5-2 : 13级</v>
      </c>
      <c r="HF373" s="14" t="s">
        <v>800</v>
      </c>
      <c r="HG373" s="14">
        <f t="shared" si="217"/>
        <v>13</v>
      </c>
      <c r="HH373" s="14" t="str">
        <f t="shared" si="218"/>
        <v>神器5-2</v>
      </c>
      <c r="HI373" s="14">
        <f t="shared" si="219"/>
        <v>7</v>
      </c>
      <c r="HJ373" s="14" t="s">
        <v>1595</v>
      </c>
      <c r="HK373" s="14">
        <f t="shared" si="220"/>
        <v>5800</v>
      </c>
    </row>
    <row r="374" spans="207:219" ht="16.5" x14ac:dyDescent="0.2">
      <c r="GY374" s="91">
        <v>368</v>
      </c>
      <c r="GZ374" s="14">
        <f t="shared" si="211"/>
        <v>22</v>
      </c>
      <c r="HA374" s="14">
        <f t="shared" si="212"/>
        <v>5</v>
      </c>
      <c r="HB374" s="14">
        <f t="shared" si="213"/>
        <v>1</v>
      </c>
      <c r="HC374" s="14">
        <f t="shared" si="214"/>
        <v>0.32600000000000001</v>
      </c>
      <c r="HD374" s="14">
        <f t="shared" si="215"/>
        <v>1606024</v>
      </c>
      <c r="HE374" s="14" t="str">
        <f t="shared" si="216"/>
        <v>神器5-2 : 14级</v>
      </c>
      <c r="HF374" s="14" t="s">
        <v>800</v>
      </c>
      <c r="HG374" s="14">
        <f t="shared" si="217"/>
        <v>14</v>
      </c>
      <c r="HH374" s="14" t="str">
        <f t="shared" si="218"/>
        <v>神器5-2</v>
      </c>
      <c r="HI374" s="14">
        <f t="shared" si="219"/>
        <v>7</v>
      </c>
      <c r="HJ374" s="14" t="s">
        <v>1595</v>
      </c>
      <c r="HK374" s="14">
        <f t="shared" si="220"/>
        <v>5900</v>
      </c>
    </row>
    <row r="375" spans="207:219" ht="16.5" x14ac:dyDescent="0.2">
      <c r="GY375" s="91">
        <v>369</v>
      </c>
      <c r="GZ375" s="14">
        <f t="shared" si="211"/>
        <v>22</v>
      </c>
      <c r="HA375" s="14">
        <f t="shared" si="212"/>
        <v>5</v>
      </c>
      <c r="HB375" s="14">
        <f t="shared" si="213"/>
        <v>1</v>
      </c>
      <c r="HC375" s="14">
        <f t="shared" si="214"/>
        <v>0.33200000000000002</v>
      </c>
      <c r="HD375" s="14">
        <f t="shared" si="215"/>
        <v>1606024</v>
      </c>
      <c r="HE375" s="14" t="str">
        <f t="shared" si="216"/>
        <v>神器5-2 : 15级</v>
      </c>
      <c r="HF375" s="14" t="s">
        <v>800</v>
      </c>
      <c r="HG375" s="14">
        <f t="shared" si="217"/>
        <v>15</v>
      </c>
      <c r="HH375" s="14" t="str">
        <f t="shared" si="218"/>
        <v>神器5-2</v>
      </c>
      <c r="HI375" s="14">
        <f t="shared" si="219"/>
        <v>7</v>
      </c>
      <c r="HJ375" s="14" t="s">
        <v>1595</v>
      </c>
      <c r="HK375" s="14">
        <f t="shared" si="220"/>
        <v>6050</v>
      </c>
    </row>
    <row r="376" spans="207:219" ht="16.5" x14ac:dyDescent="0.2">
      <c r="GY376" s="91">
        <v>370</v>
      </c>
      <c r="GZ376" s="14">
        <f t="shared" si="211"/>
        <v>22</v>
      </c>
      <c r="HA376" s="14">
        <f t="shared" si="212"/>
        <v>5</v>
      </c>
      <c r="HB376" s="14">
        <f t="shared" si="213"/>
        <v>1</v>
      </c>
      <c r="HC376" s="14">
        <f t="shared" si="214"/>
        <v>0.33800000000000002</v>
      </c>
      <c r="HD376" s="14">
        <f t="shared" si="215"/>
        <v>1606024</v>
      </c>
      <c r="HE376" s="14" t="str">
        <f t="shared" si="216"/>
        <v>神器5-2 : 16级</v>
      </c>
      <c r="HF376" s="14" t="s">
        <v>800</v>
      </c>
      <c r="HG376" s="14">
        <f t="shared" si="217"/>
        <v>16</v>
      </c>
      <c r="HH376" s="14" t="str">
        <f t="shared" si="218"/>
        <v>神器5-2</v>
      </c>
      <c r="HI376" s="14">
        <f t="shared" si="219"/>
        <v>10</v>
      </c>
      <c r="HJ376" s="14" t="s">
        <v>1595</v>
      </c>
      <c r="HK376" s="14">
        <f t="shared" si="220"/>
        <v>6150</v>
      </c>
    </row>
    <row r="377" spans="207:219" ht="16.5" x14ac:dyDescent="0.2">
      <c r="GY377" s="91">
        <v>371</v>
      </c>
      <c r="GZ377" s="14">
        <f t="shared" si="211"/>
        <v>22</v>
      </c>
      <c r="HA377" s="14">
        <f t="shared" si="212"/>
        <v>5</v>
      </c>
      <c r="HB377" s="14">
        <f t="shared" si="213"/>
        <v>1</v>
      </c>
      <c r="HC377" s="14">
        <f t="shared" si="214"/>
        <v>0.34399999999999997</v>
      </c>
      <c r="HD377" s="14">
        <f t="shared" si="215"/>
        <v>1606024</v>
      </c>
      <c r="HE377" s="14" t="str">
        <f t="shared" si="216"/>
        <v>神器5-2 : 17级</v>
      </c>
      <c r="HF377" s="14" t="s">
        <v>800</v>
      </c>
      <c r="HG377" s="14">
        <f t="shared" si="217"/>
        <v>17</v>
      </c>
      <c r="HH377" s="14" t="str">
        <f t="shared" si="218"/>
        <v>神器5-2</v>
      </c>
      <c r="HI377" s="14">
        <f t="shared" si="219"/>
        <v>10</v>
      </c>
      <c r="HJ377" s="14" t="s">
        <v>1595</v>
      </c>
      <c r="HK377" s="14">
        <f t="shared" si="220"/>
        <v>6250</v>
      </c>
    </row>
    <row r="378" spans="207:219" ht="16.5" x14ac:dyDescent="0.2">
      <c r="GY378" s="91">
        <v>372</v>
      </c>
      <c r="GZ378" s="14">
        <f t="shared" si="211"/>
        <v>22</v>
      </c>
      <c r="HA378" s="14">
        <f t="shared" si="212"/>
        <v>5</v>
      </c>
      <c r="HB378" s="14">
        <f t="shared" si="213"/>
        <v>1</v>
      </c>
      <c r="HC378" s="14">
        <f t="shared" si="214"/>
        <v>0.34899999999999998</v>
      </c>
      <c r="HD378" s="14">
        <f t="shared" si="215"/>
        <v>1606024</v>
      </c>
      <c r="HE378" s="14" t="str">
        <f t="shared" si="216"/>
        <v>神器5-2 : 18级</v>
      </c>
      <c r="HF378" s="14" t="s">
        <v>800</v>
      </c>
      <c r="HG378" s="14">
        <f t="shared" si="217"/>
        <v>18</v>
      </c>
      <c r="HH378" s="14" t="str">
        <f t="shared" si="218"/>
        <v>神器5-2</v>
      </c>
      <c r="HI378" s="14">
        <f t="shared" si="219"/>
        <v>10</v>
      </c>
      <c r="HJ378" s="14" t="s">
        <v>1595</v>
      </c>
      <c r="HK378" s="14">
        <f t="shared" si="220"/>
        <v>6350</v>
      </c>
    </row>
    <row r="379" spans="207:219" ht="16.5" x14ac:dyDescent="0.2">
      <c r="GY379" s="91">
        <v>373</v>
      </c>
      <c r="GZ379" s="14">
        <f t="shared" si="211"/>
        <v>23</v>
      </c>
      <c r="HA379" s="14">
        <f t="shared" si="212"/>
        <v>5</v>
      </c>
      <c r="HB379" s="14">
        <f t="shared" si="213"/>
        <v>2</v>
      </c>
      <c r="HC379" s="14">
        <f t="shared" si="214"/>
        <v>0.40200000000000002</v>
      </c>
      <c r="HD379" s="14">
        <f t="shared" si="215"/>
        <v>1606025</v>
      </c>
      <c r="HE379" s="14" t="str">
        <f t="shared" si="216"/>
        <v>神器5-3 : 1级</v>
      </c>
      <c r="HF379" s="14" t="s">
        <v>800</v>
      </c>
      <c r="HG379" s="14">
        <f t="shared" si="217"/>
        <v>1</v>
      </c>
      <c r="HH379" s="14" t="str">
        <f t="shared" si="218"/>
        <v>神器5-3</v>
      </c>
      <c r="HI379" s="14">
        <f t="shared" si="219"/>
        <v>1</v>
      </c>
      <c r="HJ379" s="14" t="s">
        <v>1595</v>
      </c>
      <c r="HK379" s="14">
        <f t="shared" si="220"/>
        <v>7300</v>
      </c>
    </row>
    <row r="380" spans="207:219" ht="16.5" x14ac:dyDescent="0.2">
      <c r="GY380" s="91">
        <v>374</v>
      </c>
      <c r="GZ380" s="14">
        <f t="shared" si="211"/>
        <v>23</v>
      </c>
      <c r="HA380" s="14">
        <f t="shared" si="212"/>
        <v>5</v>
      </c>
      <c r="HB380" s="14">
        <f t="shared" si="213"/>
        <v>2</v>
      </c>
      <c r="HC380" s="14">
        <f t="shared" si="214"/>
        <v>0.41699999999999998</v>
      </c>
      <c r="HD380" s="14">
        <f t="shared" si="215"/>
        <v>1606025</v>
      </c>
      <c r="HE380" s="14" t="str">
        <f t="shared" si="216"/>
        <v>神器5-3 : 2级</v>
      </c>
      <c r="HF380" s="14" t="s">
        <v>800</v>
      </c>
      <c r="HG380" s="14">
        <f t="shared" si="217"/>
        <v>2</v>
      </c>
      <c r="HH380" s="14" t="str">
        <f t="shared" si="218"/>
        <v>神器5-3</v>
      </c>
      <c r="HI380" s="14">
        <f t="shared" si="219"/>
        <v>1</v>
      </c>
      <c r="HJ380" s="14" t="s">
        <v>1595</v>
      </c>
      <c r="HK380" s="14">
        <f t="shared" si="220"/>
        <v>7550</v>
      </c>
    </row>
    <row r="381" spans="207:219" ht="16.5" x14ac:dyDescent="0.2">
      <c r="GY381" s="91">
        <v>375</v>
      </c>
      <c r="GZ381" s="14">
        <f t="shared" si="211"/>
        <v>23</v>
      </c>
      <c r="HA381" s="14">
        <f t="shared" si="212"/>
        <v>5</v>
      </c>
      <c r="HB381" s="14">
        <f t="shared" si="213"/>
        <v>2</v>
      </c>
      <c r="HC381" s="14">
        <f t="shared" si="214"/>
        <v>0.43099999999999999</v>
      </c>
      <c r="HD381" s="14">
        <f t="shared" si="215"/>
        <v>1606025</v>
      </c>
      <c r="HE381" s="14" t="str">
        <f t="shared" si="216"/>
        <v>神器5-3 : 3级</v>
      </c>
      <c r="HF381" s="14" t="s">
        <v>800</v>
      </c>
      <c r="HG381" s="14">
        <f t="shared" si="217"/>
        <v>3</v>
      </c>
      <c r="HH381" s="14" t="str">
        <f t="shared" si="218"/>
        <v>神器5-3</v>
      </c>
      <c r="HI381" s="14">
        <f t="shared" si="219"/>
        <v>1</v>
      </c>
      <c r="HJ381" s="14" t="s">
        <v>1595</v>
      </c>
      <c r="HK381" s="14">
        <f t="shared" si="220"/>
        <v>7850</v>
      </c>
    </row>
    <row r="382" spans="207:219" ht="16.5" x14ac:dyDescent="0.2">
      <c r="GY382" s="91">
        <v>376</v>
      </c>
      <c r="GZ382" s="14">
        <f t="shared" si="211"/>
        <v>23</v>
      </c>
      <c r="HA382" s="14">
        <f t="shared" si="212"/>
        <v>5</v>
      </c>
      <c r="HB382" s="14">
        <f t="shared" si="213"/>
        <v>2</v>
      </c>
      <c r="HC382" s="14">
        <f t="shared" si="214"/>
        <v>0.44500000000000001</v>
      </c>
      <c r="HD382" s="14">
        <f t="shared" si="215"/>
        <v>1606025</v>
      </c>
      <c r="HE382" s="14" t="str">
        <f t="shared" si="216"/>
        <v>神器5-3 : 4级</v>
      </c>
      <c r="HF382" s="14" t="s">
        <v>800</v>
      </c>
      <c r="HG382" s="14">
        <f t="shared" si="217"/>
        <v>4</v>
      </c>
      <c r="HH382" s="14" t="str">
        <f t="shared" si="218"/>
        <v>神器5-3</v>
      </c>
      <c r="HI382" s="14">
        <f t="shared" si="219"/>
        <v>2</v>
      </c>
      <c r="HJ382" s="14" t="s">
        <v>1595</v>
      </c>
      <c r="HK382" s="14">
        <f t="shared" si="220"/>
        <v>8100</v>
      </c>
    </row>
    <row r="383" spans="207:219" ht="16.5" x14ac:dyDescent="0.2">
      <c r="GY383" s="91">
        <v>377</v>
      </c>
      <c r="GZ383" s="14">
        <f t="shared" si="211"/>
        <v>23</v>
      </c>
      <c r="HA383" s="14">
        <f t="shared" si="212"/>
        <v>5</v>
      </c>
      <c r="HB383" s="14">
        <f t="shared" si="213"/>
        <v>2</v>
      </c>
      <c r="HC383" s="14">
        <f t="shared" si="214"/>
        <v>0.45800000000000002</v>
      </c>
      <c r="HD383" s="14">
        <f t="shared" si="215"/>
        <v>1606025</v>
      </c>
      <c r="HE383" s="14" t="str">
        <f t="shared" si="216"/>
        <v>神器5-3 : 5级</v>
      </c>
      <c r="HF383" s="14" t="s">
        <v>800</v>
      </c>
      <c r="HG383" s="14">
        <f t="shared" si="217"/>
        <v>5</v>
      </c>
      <c r="HH383" s="14" t="str">
        <f t="shared" si="218"/>
        <v>神器5-3</v>
      </c>
      <c r="HI383" s="14">
        <f t="shared" si="219"/>
        <v>2</v>
      </c>
      <c r="HJ383" s="14" t="s">
        <v>1595</v>
      </c>
      <c r="HK383" s="14">
        <f t="shared" si="220"/>
        <v>8300</v>
      </c>
    </row>
    <row r="384" spans="207:219" ht="16.5" x14ac:dyDescent="0.2">
      <c r="GY384" s="91">
        <v>378</v>
      </c>
      <c r="GZ384" s="14">
        <f t="shared" si="211"/>
        <v>23</v>
      </c>
      <c r="HA384" s="14">
        <f t="shared" si="212"/>
        <v>5</v>
      </c>
      <c r="HB384" s="14">
        <f t="shared" si="213"/>
        <v>2</v>
      </c>
      <c r="HC384" s="14">
        <f t="shared" si="214"/>
        <v>0.47099999999999997</v>
      </c>
      <c r="HD384" s="14">
        <f t="shared" si="215"/>
        <v>1606025</v>
      </c>
      <c r="HE384" s="14" t="str">
        <f t="shared" si="216"/>
        <v>神器5-3 : 6级</v>
      </c>
      <c r="HF384" s="14" t="s">
        <v>800</v>
      </c>
      <c r="HG384" s="14">
        <f t="shared" si="217"/>
        <v>6</v>
      </c>
      <c r="HH384" s="14" t="str">
        <f t="shared" si="218"/>
        <v>神器5-3</v>
      </c>
      <c r="HI384" s="14">
        <f t="shared" si="219"/>
        <v>2</v>
      </c>
      <c r="HJ384" s="14" t="s">
        <v>1595</v>
      </c>
      <c r="HK384" s="14">
        <f t="shared" si="220"/>
        <v>8550</v>
      </c>
    </row>
    <row r="385" spans="207:219" ht="16.5" x14ac:dyDescent="0.2">
      <c r="GY385" s="91">
        <v>379</v>
      </c>
      <c r="GZ385" s="14">
        <f t="shared" si="211"/>
        <v>23</v>
      </c>
      <c r="HA385" s="14">
        <f t="shared" si="212"/>
        <v>5</v>
      </c>
      <c r="HB385" s="14">
        <f t="shared" si="213"/>
        <v>2</v>
      </c>
      <c r="HC385" s="14">
        <f t="shared" si="214"/>
        <v>0.48399999999999999</v>
      </c>
      <c r="HD385" s="14">
        <f t="shared" si="215"/>
        <v>1606025</v>
      </c>
      <c r="HE385" s="14" t="str">
        <f t="shared" si="216"/>
        <v>神器5-3 : 7级</v>
      </c>
      <c r="HF385" s="14" t="s">
        <v>800</v>
      </c>
      <c r="HG385" s="14">
        <f t="shared" si="217"/>
        <v>7</v>
      </c>
      <c r="HH385" s="14" t="str">
        <f t="shared" si="218"/>
        <v>神器5-3</v>
      </c>
      <c r="HI385" s="14">
        <f t="shared" si="219"/>
        <v>3</v>
      </c>
      <c r="HJ385" s="14" t="s">
        <v>1595</v>
      </c>
      <c r="HK385" s="14">
        <f t="shared" si="220"/>
        <v>8800</v>
      </c>
    </row>
    <row r="386" spans="207:219" ht="16.5" x14ac:dyDescent="0.2">
      <c r="GY386" s="91">
        <v>380</v>
      </c>
      <c r="GZ386" s="14">
        <f t="shared" si="211"/>
        <v>23</v>
      </c>
      <c r="HA386" s="14">
        <f t="shared" si="212"/>
        <v>5</v>
      </c>
      <c r="HB386" s="14">
        <f t="shared" si="213"/>
        <v>2</v>
      </c>
      <c r="HC386" s="14">
        <f t="shared" si="214"/>
        <v>0.496</v>
      </c>
      <c r="HD386" s="14">
        <f t="shared" si="215"/>
        <v>1606025</v>
      </c>
      <c r="HE386" s="14" t="str">
        <f t="shared" si="216"/>
        <v>神器5-3 : 8级</v>
      </c>
      <c r="HF386" s="14" t="s">
        <v>800</v>
      </c>
      <c r="HG386" s="14">
        <f t="shared" si="217"/>
        <v>8</v>
      </c>
      <c r="HH386" s="14" t="str">
        <f t="shared" si="218"/>
        <v>神器5-3</v>
      </c>
      <c r="HI386" s="14">
        <f t="shared" si="219"/>
        <v>3</v>
      </c>
      <c r="HJ386" s="14" t="s">
        <v>1595</v>
      </c>
      <c r="HK386" s="14">
        <f t="shared" si="220"/>
        <v>9000</v>
      </c>
    </row>
    <row r="387" spans="207:219" ht="16.5" x14ac:dyDescent="0.2">
      <c r="GY387" s="91">
        <v>381</v>
      </c>
      <c r="GZ387" s="14">
        <f t="shared" si="211"/>
        <v>23</v>
      </c>
      <c r="HA387" s="14">
        <f t="shared" si="212"/>
        <v>5</v>
      </c>
      <c r="HB387" s="14">
        <f t="shared" si="213"/>
        <v>2</v>
      </c>
      <c r="HC387" s="14">
        <f t="shared" si="214"/>
        <v>0.50800000000000001</v>
      </c>
      <c r="HD387" s="14">
        <f t="shared" si="215"/>
        <v>1606025</v>
      </c>
      <c r="HE387" s="14" t="str">
        <f t="shared" si="216"/>
        <v>神器5-3 : 9级</v>
      </c>
      <c r="HF387" s="14" t="s">
        <v>800</v>
      </c>
      <c r="HG387" s="14">
        <f t="shared" si="217"/>
        <v>9</v>
      </c>
      <c r="HH387" s="14" t="str">
        <f t="shared" si="218"/>
        <v>神器5-3</v>
      </c>
      <c r="HI387" s="14">
        <f t="shared" si="219"/>
        <v>3</v>
      </c>
      <c r="HJ387" s="14" t="s">
        <v>1595</v>
      </c>
      <c r="HK387" s="14">
        <f t="shared" si="220"/>
        <v>9250</v>
      </c>
    </row>
    <row r="388" spans="207:219" ht="16.5" x14ac:dyDescent="0.2">
      <c r="GY388" s="91">
        <v>382</v>
      </c>
      <c r="GZ388" s="14">
        <f t="shared" si="211"/>
        <v>23</v>
      </c>
      <c r="HA388" s="14">
        <f t="shared" si="212"/>
        <v>5</v>
      </c>
      <c r="HB388" s="14">
        <f t="shared" si="213"/>
        <v>2</v>
      </c>
      <c r="HC388" s="14">
        <f t="shared" si="214"/>
        <v>0.52</v>
      </c>
      <c r="HD388" s="14">
        <f t="shared" si="215"/>
        <v>1606025</v>
      </c>
      <c r="HE388" s="14" t="str">
        <f t="shared" si="216"/>
        <v>神器5-3 : 10级</v>
      </c>
      <c r="HF388" s="14" t="s">
        <v>800</v>
      </c>
      <c r="HG388" s="14">
        <f t="shared" si="217"/>
        <v>10</v>
      </c>
      <c r="HH388" s="14" t="str">
        <f t="shared" si="218"/>
        <v>神器5-3</v>
      </c>
      <c r="HI388" s="14">
        <f t="shared" si="219"/>
        <v>5</v>
      </c>
      <c r="HJ388" s="14" t="s">
        <v>1595</v>
      </c>
      <c r="HK388" s="14">
        <f t="shared" si="220"/>
        <v>9450</v>
      </c>
    </row>
    <row r="389" spans="207:219" ht="16.5" x14ac:dyDescent="0.2">
      <c r="GY389" s="91">
        <v>383</v>
      </c>
      <c r="GZ389" s="14">
        <f t="shared" si="211"/>
        <v>23</v>
      </c>
      <c r="HA389" s="14">
        <f t="shared" si="212"/>
        <v>5</v>
      </c>
      <c r="HB389" s="14">
        <f t="shared" si="213"/>
        <v>2</v>
      </c>
      <c r="HC389" s="14">
        <f t="shared" si="214"/>
        <v>0.53100000000000003</v>
      </c>
      <c r="HD389" s="14">
        <f t="shared" si="215"/>
        <v>1606025</v>
      </c>
      <c r="HE389" s="14" t="str">
        <f t="shared" si="216"/>
        <v>神器5-3 : 11级</v>
      </c>
      <c r="HF389" s="14" t="s">
        <v>800</v>
      </c>
      <c r="HG389" s="14">
        <f t="shared" si="217"/>
        <v>11</v>
      </c>
      <c r="HH389" s="14" t="str">
        <f t="shared" si="218"/>
        <v>神器5-3</v>
      </c>
      <c r="HI389" s="14">
        <f t="shared" si="219"/>
        <v>5</v>
      </c>
      <c r="HJ389" s="14" t="s">
        <v>1595</v>
      </c>
      <c r="HK389" s="14">
        <f t="shared" si="220"/>
        <v>9650</v>
      </c>
    </row>
    <row r="390" spans="207:219" ht="16.5" x14ac:dyDescent="0.2">
      <c r="GY390" s="91">
        <v>384</v>
      </c>
      <c r="GZ390" s="14">
        <f t="shared" si="211"/>
        <v>23</v>
      </c>
      <c r="HA390" s="14">
        <f t="shared" si="212"/>
        <v>5</v>
      </c>
      <c r="HB390" s="14">
        <f t="shared" si="213"/>
        <v>2</v>
      </c>
      <c r="HC390" s="14">
        <f t="shared" si="214"/>
        <v>0.54200000000000004</v>
      </c>
      <c r="HD390" s="14">
        <f t="shared" si="215"/>
        <v>1606025</v>
      </c>
      <c r="HE390" s="14" t="str">
        <f t="shared" si="216"/>
        <v>神器5-3 : 12级</v>
      </c>
      <c r="HF390" s="14" t="s">
        <v>800</v>
      </c>
      <c r="HG390" s="14">
        <f t="shared" si="217"/>
        <v>12</v>
      </c>
      <c r="HH390" s="14" t="str">
        <f t="shared" si="218"/>
        <v>神器5-3</v>
      </c>
      <c r="HI390" s="14">
        <f t="shared" si="219"/>
        <v>6</v>
      </c>
      <c r="HJ390" s="14" t="s">
        <v>1595</v>
      </c>
      <c r="HK390" s="14">
        <f t="shared" si="220"/>
        <v>9850</v>
      </c>
    </row>
    <row r="391" spans="207:219" ht="16.5" x14ac:dyDescent="0.2">
      <c r="GY391" s="91">
        <v>385</v>
      </c>
      <c r="GZ391" s="14">
        <f t="shared" si="211"/>
        <v>23</v>
      </c>
      <c r="HA391" s="14">
        <f t="shared" si="212"/>
        <v>5</v>
      </c>
      <c r="HB391" s="14">
        <f t="shared" si="213"/>
        <v>2</v>
      </c>
      <c r="HC391" s="14">
        <f t="shared" si="214"/>
        <v>0.55300000000000005</v>
      </c>
      <c r="HD391" s="14">
        <f t="shared" si="215"/>
        <v>1606025</v>
      </c>
      <c r="HE391" s="14" t="str">
        <f t="shared" si="216"/>
        <v>神器5-3 : 13级</v>
      </c>
      <c r="HF391" s="14" t="s">
        <v>800</v>
      </c>
      <c r="HG391" s="14">
        <f t="shared" si="217"/>
        <v>13</v>
      </c>
      <c r="HH391" s="14" t="str">
        <f t="shared" si="218"/>
        <v>神器5-3</v>
      </c>
      <c r="HI391" s="14">
        <f t="shared" si="219"/>
        <v>7</v>
      </c>
      <c r="HJ391" s="14" t="s">
        <v>1595</v>
      </c>
      <c r="HK391" s="14">
        <f t="shared" si="220"/>
        <v>10050</v>
      </c>
    </row>
    <row r="392" spans="207:219" ht="16.5" x14ac:dyDescent="0.2">
      <c r="GY392" s="91">
        <v>386</v>
      </c>
      <c r="GZ392" s="14">
        <f t="shared" ref="GZ392:GZ455" si="221">MATCH(GY392-1,$R$7:$R$49,1)</f>
        <v>23</v>
      </c>
      <c r="HA392" s="14">
        <f t="shared" ref="HA392:HA455" si="222">INDEX($N$8:$N$49,GZ392)</f>
        <v>5</v>
      </c>
      <c r="HB392" s="14">
        <f t="shared" ref="HB392:HB455" si="223">INDEX($P$8:$P$49,GZ392)</f>
        <v>2</v>
      </c>
      <c r="HC392" s="14">
        <f t="shared" ref="HC392:HC455" si="224">ROUND(SQRT(INDEX($BJ$7:$BJ$27,HG392)*INDEX($H$7:$H$10,HB392)),3)</f>
        <v>0.56399999999999995</v>
      </c>
      <c r="HD392" s="14">
        <f t="shared" ref="HD392:HD455" si="225">INDEX($S$8:$S$49,GZ392)</f>
        <v>1606025</v>
      </c>
      <c r="HE392" s="14" t="str">
        <f t="shared" ref="HE392:HE455" si="226">INDEX($T$8:$T$49,GZ392)&amp;" : "&amp;HG392&amp;"级"</f>
        <v>神器5-3 : 14级</v>
      </c>
      <c r="HF392" s="14" t="s">
        <v>800</v>
      </c>
      <c r="HG392" s="14">
        <f t="shared" ref="HG392:HG455" si="227">GY392-INDEX($R$7:$R$49,GZ392)</f>
        <v>14</v>
      </c>
      <c r="HH392" s="14" t="str">
        <f t="shared" ref="HH392:HH455" si="228">INDEX($T$8:$T$49,GZ392)</f>
        <v>神器5-3</v>
      </c>
      <c r="HI392" s="14">
        <f t="shared" ref="HI392:HI455" si="229">INDEX($K$8:$K$28,HG392)</f>
        <v>7</v>
      </c>
      <c r="HJ392" s="14" t="s">
        <v>1595</v>
      </c>
      <c r="HK392" s="14">
        <f t="shared" ref="HK392:HK455" si="230">ROUND(INDEX($Y$8:$Y$14,HA392)/INDEX($Z$8:$Z$14,HA392)*HC392/50,0)*50</f>
        <v>10250</v>
      </c>
    </row>
    <row r="393" spans="207:219" ht="16.5" x14ac:dyDescent="0.2">
      <c r="GY393" s="91">
        <v>387</v>
      </c>
      <c r="GZ393" s="14">
        <f t="shared" si="221"/>
        <v>23</v>
      </c>
      <c r="HA393" s="14">
        <f t="shared" si="222"/>
        <v>5</v>
      </c>
      <c r="HB393" s="14">
        <f t="shared" si="223"/>
        <v>2</v>
      </c>
      <c r="HC393" s="14">
        <f t="shared" si="224"/>
        <v>0.57399999999999995</v>
      </c>
      <c r="HD393" s="14">
        <f t="shared" si="225"/>
        <v>1606025</v>
      </c>
      <c r="HE393" s="14" t="str">
        <f t="shared" si="226"/>
        <v>神器5-3 : 15级</v>
      </c>
      <c r="HF393" s="14" t="s">
        <v>800</v>
      </c>
      <c r="HG393" s="14">
        <f t="shared" si="227"/>
        <v>15</v>
      </c>
      <c r="HH393" s="14" t="str">
        <f t="shared" si="228"/>
        <v>神器5-3</v>
      </c>
      <c r="HI393" s="14">
        <f t="shared" si="229"/>
        <v>7</v>
      </c>
      <c r="HJ393" s="14" t="s">
        <v>1595</v>
      </c>
      <c r="HK393" s="14">
        <f t="shared" si="230"/>
        <v>10450</v>
      </c>
    </row>
    <row r="394" spans="207:219" ht="16.5" x14ac:dyDescent="0.2">
      <c r="GY394" s="91">
        <v>388</v>
      </c>
      <c r="GZ394" s="14">
        <f t="shared" si="221"/>
        <v>23</v>
      </c>
      <c r="HA394" s="14">
        <f t="shared" si="222"/>
        <v>5</v>
      </c>
      <c r="HB394" s="14">
        <f t="shared" si="223"/>
        <v>2</v>
      </c>
      <c r="HC394" s="14">
        <f t="shared" si="224"/>
        <v>0.58499999999999996</v>
      </c>
      <c r="HD394" s="14">
        <f t="shared" si="225"/>
        <v>1606025</v>
      </c>
      <c r="HE394" s="14" t="str">
        <f t="shared" si="226"/>
        <v>神器5-3 : 16级</v>
      </c>
      <c r="HF394" s="14" t="s">
        <v>800</v>
      </c>
      <c r="HG394" s="14">
        <f t="shared" si="227"/>
        <v>16</v>
      </c>
      <c r="HH394" s="14" t="str">
        <f t="shared" si="228"/>
        <v>神器5-3</v>
      </c>
      <c r="HI394" s="14">
        <f t="shared" si="229"/>
        <v>10</v>
      </c>
      <c r="HJ394" s="14" t="s">
        <v>1595</v>
      </c>
      <c r="HK394" s="14">
        <f t="shared" si="230"/>
        <v>10650</v>
      </c>
    </row>
    <row r="395" spans="207:219" ht="16.5" x14ac:dyDescent="0.2">
      <c r="GY395" s="91">
        <v>389</v>
      </c>
      <c r="GZ395" s="14">
        <f t="shared" si="221"/>
        <v>23</v>
      </c>
      <c r="HA395" s="14">
        <f t="shared" si="222"/>
        <v>5</v>
      </c>
      <c r="HB395" s="14">
        <f t="shared" si="223"/>
        <v>2</v>
      </c>
      <c r="HC395" s="14">
        <f t="shared" si="224"/>
        <v>0.59499999999999997</v>
      </c>
      <c r="HD395" s="14">
        <f t="shared" si="225"/>
        <v>1606025</v>
      </c>
      <c r="HE395" s="14" t="str">
        <f t="shared" si="226"/>
        <v>神器5-3 : 17级</v>
      </c>
      <c r="HF395" s="14" t="s">
        <v>800</v>
      </c>
      <c r="HG395" s="14">
        <f t="shared" si="227"/>
        <v>17</v>
      </c>
      <c r="HH395" s="14" t="str">
        <f t="shared" si="228"/>
        <v>神器5-3</v>
      </c>
      <c r="HI395" s="14">
        <f t="shared" si="229"/>
        <v>10</v>
      </c>
      <c r="HJ395" s="14" t="s">
        <v>1595</v>
      </c>
      <c r="HK395" s="14">
        <f t="shared" si="230"/>
        <v>10800</v>
      </c>
    </row>
    <row r="396" spans="207:219" ht="16.5" x14ac:dyDescent="0.2">
      <c r="GY396" s="91">
        <v>390</v>
      </c>
      <c r="GZ396" s="14">
        <f t="shared" si="221"/>
        <v>23</v>
      </c>
      <c r="HA396" s="14">
        <f t="shared" si="222"/>
        <v>5</v>
      </c>
      <c r="HB396" s="14">
        <f t="shared" si="223"/>
        <v>2</v>
      </c>
      <c r="HC396" s="14">
        <f t="shared" si="224"/>
        <v>0.60499999999999998</v>
      </c>
      <c r="HD396" s="14">
        <f t="shared" si="225"/>
        <v>1606025</v>
      </c>
      <c r="HE396" s="14" t="str">
        <f t="shared" si="226"/>
        <v>神器5-3 : 18级</v>
      </c>
      <c r="HF396" s="14" t="s">
        <v>800</v>
      </c>
      <c r="HG396" s="14">
        <f t="shared" si="227"/>
        <v>18</v>
      </c>
      <c r="HH396" s="14" t="str">
        <f t="shared" si="228"/>
        <v>神器5-3</v>
      </c>
      <c r="HI396" s="14">
        <f t="shared" si="229"/>
        <v>10</v>
      </c>
      <c r="HJ396" s="14" t="s">
        <v>1595</v>
      </c>
      <c r="HK396" s="14">
        <f t="shared" si="230"/>
        <v>11000</v>
      </c>
    </row>
    <row r="397" spans="207:219" ht="16.5" x14ac:dyDescent="0.2">
      <c r="GY397" s="91">
        <v>391</v>
      </c>
      <c r="GZ397" s="14">
        <f t="shared" si="221"/>
        <v>24</v>
      </c>
      <c r="HA397" s="14">
        <f t="shared" si="222"/>
        <v>5</v>
      </c>
      <c r="HB397" s="14">
        <f t="shared" si="223"/>
        <v>2</v>
      </c>
      <c r="HC397" s="14">
        <f t="shared" si="224"/>
        <v>0.40200000000000002</v>
      </c>
      <c r="HD397" s="14">
        <f t="shared" si="225"/>
        <v>1606026</v>
      </c>
      <c r="HE397" s="14" t="str">
        <f t="shared" si="226"/>
        <v>神器5-4 : 1级</v>
      </c>
      <c r="HF397" s="14" t="s">
        <v>800</v>
      </c>
      <c r="HG397" s="14">
        <f t="shared" si="227"/>
        <v>1</v>
      </c>
      <c r="HH397" s="14" t="str">
        <f t="shared" si="228"/>
        <v>神器5-4</v>
      </c>
      <c r="HI397" s="14">
        <f t="shared" si="229"/>
        <v>1</v>
      </c>
      <c r="HJ397" s="14" t="s">
        <v>1595</v>
      </c>
      <c r="HK397" s="14">
        <f t="shared" si="230"/>
        <v>7300</v>
      </c>
    </row>
    <row r="398" spans="207:219" ht="16.5" x14ac:dyDescent="0.2">
      <c r="GY398" s="91">
        <v>392</v>
      </c>
      <c r="GZ398" s="14">
        <f t="shared" si="221"/>
        <v>24</v>
      </c>
      <c r="HA398" s="14">
        <f t="shared" si="222"/>
        <v>5</v>
      </c>
      <c r="HB398" s="14">
        <f t="shared" si="223"/>
        <v>2</v>
      </c>
      <c r="HC398" s="14">
        <f t="shared" si="224"/>
        <v>0.41699999999999998</v>
      </c>
      <c r="HD398" s="14">
        <f t="shared" si="225"/>
        <v>1606026</v>
      </c>
      <c r="HE398" s="14" t="str">
        <f t="shared" si="226"/>
        <v>神器5-4 : 2级</v>
      </c>
      <c r="HF398" s="14" t="s">
        <v>800</v>
      </c>
      <c r="HG398" s="14">
        <f t="shared" si="227"/>
        <v>2</v>
      </c>
      <c r="HH398" s="14" t="str">
        <f t="shared" si="228"/>
        <v>神器5-4</v>
      </c>
      <c r="HI398" s="14">
        <f t="shared" si="229"/>
        <v>1</v>
      </c>
      <c r="HJ398" s="14" t="s">
        <v>1595</v>
      </c>
      <c r="HK398" s="14">
        <f t="shared" si="230"/>
        <v>7550</v>
      </c>
    </row>
    <row r="399" spans="207:219" ht="16.5" x14ac:dyDescent="0.2">
      <c r="GY399" s="91">
        <v>393</v>
      </c>
      <c r="GZ399" s="14">
        <f t="shared" si="221"/>
        <v>24</v>
      </c>
      <c r="HA399" s="14">
        <f t="shared" si="222"/>
        <v>5</v>
      </c>
      <c r="HB399" s="14">
        <f t="shared" si="223"/>
        <v>2</v>
      </c>
      <c r="HC399" s="14">
        <f t="shared" si="224"/>
        <v>0.43099999999999999</v>
      </c>
      <c r="HD399" s="14">
        <f t="shared" si="225"/>
        <v>1606026</v>
      </c>
      <c r="HE399" s="14" t="str">
        <f t="shared" si="226"/>
        <v>神器5-4 : 3级</v>
      </c>
      <c r="HF399" s="14" t="s">
        <v>800</v>
      </c>
      <c r="HG399" s="14">
        <f t="shared" si="227"/>
        <v>3</v>
      </c>
      <c r="HH399" s="14" t="str">
        <f t="shared" si="228"/>
        <v>神器5-4</v>
      </c>
      <c r="HI399" s="14">
        <f t="shared" si="229"/>
        <v>1</v>
      </c>
      <c r="HJ399" s="14" t="s">
        <v>1595</v>
      </c>
      <c r="HK399" s="14">
        <f t="shared" si="230"/>
        <v>7850</v>
      </c>
    </row>
    <row r="400" spans="207:219" ht="16.5" x14ac:dyDescent="0.2">
      <c r="GY400" s="91">
        <v>394</v>
      </c>
      <c r="GZ400" s="14">
        <f t="shared" si="221"/>
        <v>24</v>
      </c>
      <c r="HA400" s="14">
        <f t="shared" si="222"/>
        <v>5</v>
      </c>
      <c r="HB400" s="14">
        <f t="shared" si="223"/>
        <v>2</v>
      </c>
      <c r="HC400" s="14">
        <f t="shared" si="224"/>
        <v>0.44500000000000001</v>
      </c>
      <c r="HD400" s="14">
        <f t="shared" si="225"/>
        <v>1606026</v>
      </c>
      <c r="HE400" s="14" t="str">
        <f t="shared" si="226"/>
        <v>神器5-4 : 4级</v>
      </c>
      <c r="HF400" s="14" t="s">
        <v>800</v>
      </c>
      <c r="HG400" s="14">
        <f t="shared" si="227"/>
        <v>4</v>
      </c>
      <c r="HH400" s="14" t="str">
        <f t="shared" si="228"/>
        <v>神器5-4</v>
      </c>
      <c r="HI400" s="14">
        <f t="shared" si="229"/>
        <v>2</v>
      </c>
      <c r="HJ400" s="14" t="s">
        <v>1595</v>
      </c>
      <c r="HK400" s="14">
        <f t="shared" si="230"/>
        <v>8100</v>
      </c>
    </row>
    <row r="401" spans="207:219" ht="16.5" x14ac:dyDescent="0.2">
      <c r="GY401" s="91">
        <v>395</v>
      </c>
      <c r="GZ401" s="14">
        <f t="shared" si="221"/>
        <v>24</v>
      </c>
      <c r="HA401" s="14">
        <f t="shared" si="222"/>
        <v>5</v>
      </c>
      <c r="HB401" s="14">
        <f t="shared" si="223"/>
        <v>2</v>
      </c>
      <c r="HC401" s="14">
        <f t="shared" si="224"/>
        <v>0.45800000000000002</v>
      </c>
      <c r="HD401" s="14">
        <f t="shared" si="225"/>
        <v>1606026</v>
      </c>
      <c r="HE401" s="14" t="str">
        <f t="shared" si="226"/>
        <v>神器5-4 : 5级</v>
      </c>
      <c r="HF401" s="14" t="s">
        <v>800</v>
      </c>
      <c r="HG401" s="14">
        <f t="shared" si="227"/>
        <v>5</v>
      </c>
      <c r="HH401" s="14" t="str">
        <f t="shared" si="228"/>
        <v>神器5-4</v>
      </c>
      <c r="HI401" s="14">
        <f t="shared" si="229"/>
        <v>2</v>
      </c>
      <c r="HJ401" s="14" t="s">
        <v>1595</v>
      </c>
      <c r="HK401" s="14">
        <f t="shared" si="230"/>
        <v>8300</v>
      </c>
    </row>
    <row r="402" spans="207:219" ht="16.5" x14ac:dyDescent="0.2">
      <c r="GY402" s="91">
        <v>396</v>
      </c>
      <c r="GZ402" s="14">
        <f t="shared" si="221"/>
        <v>24</v>
      </c>
      <c r="HA402" s="14">
        <f t="shared" si="222"/>
        <v>5</v>
      </c>
      <c r="HB402" s="14">
        <f t="shared" si="223"/>
        <v>2</v>
      </c>
      <c r="HC402" s="14">
        <f t="shared" si="224"/>
        <v>0.47099999999999997</v>
      </c>
      <c r="HD402" s="14">
        <f t="shared" si="225"/>
        <v>1606026</v>
      </c>
      <c r="HE402" s="14" t="str">
        <f t="shared" si="226"/>
        <v>神器5-4 : 6级</v>
      </c>
      <c r="HF402" s="14" t="s">
        <v>800</v>
      </c>
      <c r="HG402" s="14">
        <f t="shared" si="227"/>
        <v>6</v>
      </c>
      <c r="HH402" s="14" t="str">
        <f t="shared" si="228"/>
        <v>神器5-4</v>
      </c>
      <c r="HI402" s="14">
        <f t="shared" si="229"/>
        <v>2</v>
      </c>
      <c r="HJ402" s="14" t="s">
        <v>1595</v>
      </c>
      <c r="HK402" s="14">
        <f t="shared" si="230"/>
        <v>8550</v>
      </c>
    </row>
    <row r="403" spans="207:219" ht="16.5" x14ac:dyDescent="0.2">
      <c r="GY403" s="91">
        <v>397</v>
      </c>
      <c r="GZ403" s="14">
        <f t="shared" si="221"/>
        <v>24</v>
      </c>
      <c r="HA403" s="14">
        <f t="shared" si="222"/>
        <v>5</v>
      </c>
      <c r="HB403" s="14">
        <f t="shared" si="223"/>
        <v>2</v>
      </c>
      <c r="HC403" s="14">
        <f t="shared" si="224"/>
        <v>0.48399999999999999</v>
      </c>
      <c r="HD403" s="14">
        <f t="shared" si="225"/>
        <v>1606026</v>
      </c>
      <c r="HE403" s="14" t="str">
        <f t="shared" si="226"/>
        <v>神器5-4 : 7级</v>
      </c>
      <c r="HF403" s="14" t="s">
        <v>800</v>
      </c>
      <c r="HG403" s="14">
        <f t="shared" si="227"/>
        <v>7</v>
      </c>
      <c r="HH403" s="14" t="str">
        <f t="shared" si="228"/>
        <v>神器5-4</v>
      </c>
      <c r="HI403" s="14">
        <f t="shared" si="229"/>
        <v>3</v>
      </c>
      <c r="HJ403" s="14" t="s">
        <v>1595</v>
      </c>
      <c r="HK403" s="14">
        <f t="shared" si="230"/>
        <v>8800</v>
      </c>
    </row>
    <row r="404" spans="207:219" ht="16.5" x14ac:dyDescent="0.2">
      <c r="GY404" s="91">
        <v>398</v>
      </c>
      <c r="GZ404" s="14">
        <f t="shared" si="221"/>
        <v>24</v>
      </c>
      <c r="HA404" s="14">
        <f t="shared" si="222"/>
        <v>5</v>
      </c>
      <c r="HB404" s="14">
        <f t="shared" si="223"/>
        <v>2</v>
      </c>
      <c r="HC404" s="14">
        <f t="shared" si="224"/>
        <v>0.496</v>
      </c>
      <c r="HD404" s="14">
        <f t="shared" si="225"/>
        <v>1606026</v>
      </c>
      <c r="HE404" s="14" t="str">
        <f t="shared" si="226"/>
        <v>神器5-4 : 8级</v>
      </c>
      <c r="HF404" s="14" t="s">
        <v>800</v>
      </c>
      <c r="HG404" s="14">
        <f t="shared" si="227"/>
        <v>8</v>
      </c>
      <c r="HH404" s="14" t="str">
        <f t="shared" si="228"/>
        <v>神器5-4</v>
      </c>
      <c r="HI404" s="14">
        <f t="shared" si="229"/>
        <v>3</v>
      </c>
      <c r="HJ404" s="14" t="s">
        <v>1595</v>
      </c>
      <c r="HK404" s="14">
        <f t="shared" si="230"/>
        <v>9000</v>
      </c>
    </row>
    <row r="405" spans="207:219" ht="16.5" x14ac:dyDescent="0.2">
      <c r="GY405" s="91">
        <v>399</v>
      </c>
      <c r="GZ405" s="14">
        <f t="shared" si="221"/>
        <v>24</v>
      </c>
      <c r="HA405" s="14">
        <f t="shared" si="222"/>
        <v>5</v>
      </c>
      <c r="HB405" s="14">
        <f t="shared" si="223"/>
        <v>2</v>
      </c>
      <c r="HC405" s="14">
        <f t="shared" si="224"/>
        <v>0.50800000000000001</v>
      </c>
      <c r="HD405" s="14">
        <f t="shared" si="225"/>
        <v>1606026</v>
      </c>
      <c r="HE405" s="14" t="str">
        <f t="shared" si="226"/>
        <v>神器5-4 : 9级</v>
      </c>
      <c r="HF405" s="14" t="s">
        <v>800</v>
      </c>
      <c r="HG405" s="14">
        <f t="shared" si="227"/>
        <v>9</v>
      </c>
      <c r="HH405" s="14" t="str">
        <f t="shared" si="228"/>
        <v>神器5-4</v>
      </c>
      <c r="HI405" s="14">
        <f t="shared" si="229"/>
        <v>3</v>
      </c>
      <c r="HJ405" s="14" t="s">
        <v>1595</v>
      </c>
      <c r="HK405" s="14">
        <f t="shared" si="230"/>
        <v>9250</v>
      </c>
    </row>
    <row r="406" spans="207:219" ht="16.5" x14ac:dyDescent="0.2">
      <c r="GY406" s="91">
        <v>400</v>
      </c>
      <c r="GZ406" s="14">
        <f t="shared" si="221"/>
        <v>24</v>
      </c>
      <c r="HA406" s="14">
        <f t="shared" si="222"/>
        <v>5</v>
      </c>
      <c r="HB406" s="14">
        <f t="shared" si="223"/>
        <v>2</v>
      </c>
      <c r="HC406" s="14">
        <f t="shared" si="224"/>
        <v>0.52</v>
      </c>
      <c r="HD406" s="14">
        <f t="shared" si="225"/>
        <v>1606026</v>
      </c>
      <c r="HE406" s="14" t="str">
        <f t="shared" si="226"/>
        <v>神器5-4 : 10级</v>
      </c>
      <c r="HF406" s="14" t="s">
        <v>800</v>
      </c>
      <c r="HG406" s="14">
        <f t="shared" si="227"/>
        <v>10</v>
      </c>
      <c r="HH406" s="14" t="str">
        <f t="shared" si="228"/>
        <v>神器5-4</v>
      </c>
      <c r="HI406" s="14">
        <f t="shared" si="229"/>
        <v>5</v>
      </c>
      <c r="HJ406" s="14" t="s">
        <v>1595</v>
      </c>
      <c r="HK406" s="14">
        <f t="shared" si="230"/>
        <v>9450</v>
      </c>
    </row>
    <row r="407" spans="207:219" ht="16.5" x14ac:dyDescent="0.2">
      <c r="GY407" s="91">
        <v>401</v>
      </c>
      <c r="GZ407" s="14">
        <f t="shared" si="221"/>
        <v>24</v>
      </c>
      <c r="HA407" s="14">
        <f t="shared" si="222"/>
        <v>5</v>
      </c>
      <c r="HB407" s="14">
        <f t="shared" si="223"/>
        <v>2</v>
      </c>
      <c r="HC407" s="14">
        <f t="shared" si="224"/>
        <v>0.53100000000000003</v>
      </c>
      <c r="HD407" s="14">
        <f t="shared" si="225"/>
        <v>1606026</v>
      </c>
      <c r="HE407" s="14" t="str">
        <f t="shared" si="226"/>
        <v>神器5-4 : 11级</v>
      </c>
      <c r="HF407" s="14" t="s">
        <v>800</v>
      </c>
      <c r="HG407" s="14">
        <f t="shared" si="227"/>
        <v>11</v>
      </c>
      <c r="HH407" s="14" t="str">
        <f t="shared" si="228"/>
        <v>神器5-4</v>
      </c>
      <c r="HI407" s="14">
        <f t="shared" si="229"/>
        <v>5</v>
      </c>
      <c r="HJ407" s="14" t="s">
        <v>1595</v>
      </c>
      <c r="HK407" s="14">
        <f t="shared" si="230"/>
        <v>9650</v>
      </c>
    </row>
    <row r="408" spans="207:219" ht="16.5" x14ac:dyDescent="0.2">
      <c r="GY408" s="91">
        <v>402</v>
      </c>
      <c r="GZ408" s="14">
        <f t="shared" si="221"/>
        <v>24</v>
      </c>
      <c r="HA408" s="14">
        <f t="shared" si="222"/>
        <v>5</v>
      </c>
      <c r="HB408" s="14">
        <f t="shared" si="223"/>
        <v>2</v>
      </c>
      <c r="HC408" s="14">
        <f t="shared" si="224"/>
        <v>0.54200000000000004</v>
      </c>
      <c r="HD408" s="14">
        <f t="shared" si="225"/>
        <v>1606026</v>
      </c>
      <c r="HE408" s="14" t="str">
        <f t="shared" si="226"/>
        <v>神器5-4 : 12级</v>
      </c>
      <c r="HF408" s="14" t="s">
        <v>800</v>
      </c>
      <c r="HG408" s="14">
        <f t="shared" si="227"/>
        <v>12</v>
      </c>
      <c r="HH408" s="14" t="str">
        <f t="shared" si="228"/>
        <v>神器5-4</v>
      </c>
      <c r="HI408" s="14">
        <f t="shared" si="229"/>
        <v>6</v>
      </c>
      <c r="HJ408" s="14" t="s">
        <v>1595</v>
      </c>
      <c r="HK408" s="14">
        <f t="shared" si="230"/>
        <v>9850</v>
      </c>
    </row>
    <row r="409" spans="207:219" ht="16.5" x14ac:dyDescent="0.2">
      <c r="GY409" s="91">
        <v>403</v>
      </c>
      <c r="GZ409" s="14">
        <f t="shared" si="221"/>
        <v>24</v>
      </c>
      <c r="HA409" s="14">
        <f t="shared" si="222"/>
        <v>5</v>
      </c>
      <c r="HB409" s="14">
        <f t="shared" si="223"/>
        <v>2</v>
      </c>
      <c r="HC409" s="14">
        <f t="shared" si="224"/>
        <v>0.55300000000000005</v>
      </c>
      <c r="HD409" s="14">
        <f t="shared" si="225"/>
        <v>1606026</v>
      </c>
      <c r="HE409" s="14" t="str">
        <f t="shared" si="226"/>
        <v>神器5-4 : 13级</v>
      </c>
      <c r="HF409" s="14" t="s">
        <v>800</v>
      </c>
      <c r="HG409" s="14">
        <f t="shared" si="227"/>
        <v>13</v>
      </c>
      <c r="HH409" s="14" t="str">
        <f t="shared" si="228"/>
        <v>神器5-4</v>
      </c>
      <c r="HI409" s="14">
        <f t="shared" si="229"/>
        <v>7</v>
      </c>
      <c r="HJ409" s="14" t="s">
        <v>1595</v>
      </c>
      <c r="HK409" s="14">
        <f t="shared" si="230"/>
        <v>10050</v>
      </c>
    </row>
    <row r="410" spans="207:219" ht="16.5" x14ac:dyDescent="0.2">
      <c r="GY410" s="91">
        <v>404</v>
      </c>
      <c r="GZ410" s="14">
        <f t="shared" si="221"/>
        <v>24</v>
      </c>
      <c r="HA410" s="14">
        <f t="shared" si="222"/>
        <v>5</v>
      </c>
      <c r="HB410" s="14">
        <f t="shared" si="223"/>
        <v>2</v>
      </c>
      <c r="HC410" s="14">
        <f t="shared" si="224"/>
        <v>0.56399999999999995</v>
      </c>
      <c r="HD410" s="14">
        <f t="shared" si="225"/>
        <v>1606026</v>
      </c>
      <c r="HE410" s="14" t="str">
        <f t="shared" si="226"/>
        <v>神器5-4 : 14级</v>
      </c>
      <c r="HF410" s="14" t="s">
        <v>800</v>
      </c>
      <c r="HG410" s="14">
        <f t="shared" si="227"/>
        <v>14</v>
      </c>
      <c r="HH410" s="14" t="str">
        <f t="shared" si="228"/>
        <v>神器5-4</v>
      </c>
      <c r="HI410" s="14">
        <f t="shared" si="229"/>
        <v>7</v>
      </c>
      <c r="HJ410" s="14" t="s">
        <v>1595</v>
      </c>
      <c r="HK410" s="14">
        <f t="shared" si="230"/>
        <v>10250</v>
      </c>
    </row>
    <row r="411" spans="207:219" ht="16.5" x14ac:dyDescent="0.2">
      <c r="GY411" s="91">
        <v>405</v>
      </c>
      <c r="GZ411" s="14">
        <f t="shared" si="221"/>
        <v>24</v>
      </c>
      <c r="HA411" s="14">
        <f t="shared" si="222"/>
        <v>5</v>
      </c>
      <c r="HB411" s="14">
        <f t="shared" si="223"/>
        <v>2</v>
      </c>
      <c r="HC411" s="14">
        <f t="shared" si="224"/>
        <v>0.57399999999999995</v>
      </c>
      <c r="HD411" s="14">
        <f t="shared" si="225"/>
        <v>1606026</v>
      </c>
      <c r="HE411" s="14" t="str">
        <f t="shared" si="226"/>
        <v>神器5-4 : 15级</v>
      </c>
      <c r="HF411" s="14" t="s">
        <v>800</v>
      </c>
      <c r="HG411" s="14">
        <f t="shared" si="227"/>
        <v>15</v>
      </c>
      <c r="HH411" s="14" t="str">
        <f t="shared" si="228"/>
        <v>神器5-4</v>
      </c>
      <c r="HI411" s="14">
        <f t="shared" si="229"/>
        <v>7</v>
      </c>
      <c r="HJ411" s="14" t="s">
        <v>1595</v>
      </c>
      <c r="HK411" s="14">
        <f t="shared" si="230"/>
        <v>10450</v>
      </c>
    </row>
    <row r="412" spans="207:219" ht="16.5" x14ac:dyDescent="0.2">
      <c r="GY412" s="91">
        <v>406</v>
      </c>
      <c r="GZ412" s="14">
        <f t="shared" si="221"/>
        <v>24</v>
      </c>
      <c r="HA412" s="14">
        <f t="shared" si="222"/>
        <v>5</v>
      </c>
      <c r="HB412" s="14">
        <f t="shared" si="223"/>
        <v>2</v>
      </c>
      <c r="HC412" s="14">
        <f t="shared" si="224"/>
        <v>0.58499999999999996</v>
      </c>
      <c r="HD412" s="14">
        <f t="shared" si="225"/>
        <v>1606026</v>
      </c>
      <c r="HE412" s="14" t="str">
        <f t="shared" si="226"/>
        <v>神器5-4 : 16级</v>
      </c>
      <c r="HF412" s="14" t="s">
        <v>800</v>
      </c>
      <c r="HG412" s="14">
        <f t="shared" si="227"/>
        <v>16</v>
      </c>
      <c r="HH412" s="14" t="str">
        <f t="shared" si="228"/>
        <v>神器5-4</v>
      </c>
      <c r="HI412" s="14">
        <f t="shared" si="229"/>
        <v>10</v>
      </c>
      <c r="HJ412" s="14" t="s">
        <v>1595</v>
      </c>
      <c r="HK412" s="14">
        <f t="shared" si="230"/>
        <v>10650</v>
      </c>
    </row>
    <row r="413" spans="207:219" ht="16.5" x14ac:dyDescent="0.2">
      <c r="GY413" s="91">
        <v>407</v>
      </c>
      <c r="GZ413" s="14">
        <f t="shared" si="221"/>
        <v>24</v>
      </c>
      <c r="HA413" s="14">
        <f t="shared" si="222"/>
        <v>5</v>
      </c>
      <c r="HB413" s="14">
        <f t="shared" si="223"/>
        <v>2</v>
      </c>
      <c r="HC413" s="14">
        <f t="shared" si="224"/>
        <v>0.59499999999999997</v>
      </c>
      <c r="HD413" s="14">
        <f t="shared" si="225"/>
        <v>1606026</v>
      </c>
      <c r="HE413" s="14" t="str">
        <f t="shared" si="226"/>
        <v>神器5-4 : 17级</v>
      </c>
      <c r="HF413" s="14" t="s">
        <v>800</v>
      </c>
      <c r="HG413" s="14">
        <f t="shared" si="227"/>
        <v>17</v>
      </c>
      <c r="HH413" s="14" t="str">
        <f t="shared" si="228"/>
        <v>神器5-4</v>
      </c>
      <c r="HI413" s="14">
        <f t="shared" si="229"/>
        <v>10</v>
      </c>
      <c r="HJ413" s="14" t="s">
        <v>1595</v>
      </c>
      <c r="HK413" s="14">
        <f t="shared" si="230"/>
        <v>10800</v>
      </c>
    </row>
    <row r="414" spans="207:219" ht="16.5" x14ac:dyDescent="0.2">
      <c r="GY414" s="91">
        <v>408</v>
      </c>
      <c r="GZ414" s="14">
        <f t="shared" si="221"/>
        <v>24</v>
      </c>
      <c r="HA414" s="14">
        <f t="shared" si="222"/>
        <v>5</v>
      </c>
      <c r="HB414" s="14">
        <f t="shared" si="223"/>
        <v>2</v>
      </c>
      <c r="HC414" s="14">
        <f t="shared" si="224"/>
        <v>0.60499999999999998</v>
      </c>
      <c r="HD414" s="14">
        <f t="shared" si="225"/>
        <v>1606026</v>
      </c>
      <c r="HE414" s="14" t="str">
        <f t="shared" si="226"/>
        <v>神器5-4 : 18级</v>
      </c>
      <c r="HF414" s="14" t="s">
        <v>800</v>
      </c>
      <c r="HG414" s="14">
        <f t="shared" si="227"/>
        <v>18</v>
      </c>
      <c r="HH414" s="14" t="str">
        <f t="shared" si="228"/>
        <v>神器5-4</v>
      </c>
      <c r="HI414" s="14">
        <f t="shared" si="229"/>
        <v>10</v>
      </c>
      <c r="HJ414" s="14" t="s">
        <v>1595</v>
      </c>
      <c r="HK414" s="14">
        <f t="shared" si="230"/>
        <v>11000</v>
      </c>
    </row>
    <row r="415" spans="207:219" ht="16.5" x14ac:dyDescent="0.2">
      <c r="GY415" s="91">
        <v>409</v>
      </c>
      <c r="GZ415" s="14">
        <f t="shared" si="221"/>
        <v>25</v>
      </c>
      <c r="HA415" s="14">
        <f t="shared" si="222"/>
        <v>5</v>
      </c>
      <c r="HB415" s="14">
        <f t="shared" si="223"/>
        <v>3</v>
      </c>
      <c r="HC415" s="14">
        <f t="shared" si="224"/>
        <v>0.61499999999999999</v>
      </c>
      <c r="HD415" s="14">
        <f t="shared" si="225"/>
        <v>1606027</v>
      </c>
      <c r="HE415" s="14" t="str">
        <f t="shared" si="226"/>
        <v>神器5-5 : 1级</v>
      </c>
      <c r="HF415" s="14" t="s">
        <v>800</v>
      </c>
      <c r="HG415" s="14">
        <f t="shared" si="227"/>
        <v>1</v>
      </c>
      <c r="HH415" s="14" t="str">
        <f t="shared" si="228"/>
        <v>神器5-5</v>
      </c>
      <c r="HI415" s="14">
        <f t="shared" si="229"/>
        <v>1</v>
      </c>
      <c r="HJ415" s="14" t="s">
        <v>1595</v>
      </c>
      <c r="HK415" s="14">
        <f t="shared" si="230"/>
        <v>11150</v>
      </c>
    </row>
    <row r="416" spans="207:219" ht="16.5" x14ac:dyDescent="0.2">
      <c r="GY416" s="91">
        <v>410</v>
      </c>
      <c r="GZ416" s="14">
        <f t="shared" si="221"/>
        <v>25</v>
      </c>
      <c r="HA416" s="14">
        <f t="shared" si="222"/>
        <v>5</v>
      </c>
      <c r="HB416" s="14">
        <f t="shared" si="223"/>
        <v>3</v>
      </c>
      <c r="HC416" s="14">
        <f t="shared" si="224"/>
        <v>0.63700000000000001</v>
      </c>
      <c r="HD416" s="14">
        <f t="shared" si="225"/>
        <v>1606027</v>
      </c>
      <c r="HE416" s="14" t="str">
        <f t="shared" si="226"/>
        <v>神器5-5 : 2级</v>
      </c>
      <c r="HF416" s="14" t="s">
        <v>800</v>
      </c>
      <c r="HG416" s="14">
        <f t="shared" si="227"/>
        <v>2</v>
      </c>
      <c r="HH416" s="14" t="str">
        <f t="shared" si="228"/>
        <v>神器5-5</v>
      </c>
      <c r="HI416" s="14">
        <f t="shared" si="229"/>
        <v>1</v>
      </c>
      <c r="HJ416" s="14" t="s">
        <v>1595</v>
      </c>
      <c r="HK416" s="14">
        <f t="shared" si="230"/>
        <v>11550</v>
      </c>
    </row>
    <row r="417" spans="207:219" ht="16.5" x14ac:dyDescent="0.2">
      <c r="GY417" s="91">
        <v>411</v>
      </c>
      <c r="GZ417" s="14">
        <f t="shared" si="221"/>
        <v>25</v>
      </c>
      <c r="HA417" s="14">
        <f t="shared" si="222"/>
        <v>5</v>
      </c>
      <c r="HB417" s="14">
        <f t="shared" si="223"/>
        <v>3</v>
      </c>
      <c r="HC417" s="14">
        <f t="shared" si="224"/>
        <v>0.65900000000000003</v>
      </c>
      <c r="HD417" s="14">
        <f t="shared" si="225"/>
        <v>1606027</v>
      </c>
      <c r="HE417" s="14" t="str">
        <f t="shared" si="226"/>
        <v>神器5-5 : 3级</v>
      </c>
      <c r="HF417" s="14" t="s">
        <v>800</v>
      </c>
      <c r="HG417" s="14">
        <f t="shared" si="227"/>
        <v>3</v>
      </c>
      <c r="HH417" s="14" t="str">
        <f t="shared" si="228"/>
        <v>神器5-5</v>
      </c>
      <c r="HI417" s="14">
        <f t="shared" si="229"/>
        <v>1</v>
      </c>
      <c r="HJ417" s="14" t="s">
        <v>1595</v>
      </c>
      <c r="HK417" s="14">
        <f t="shared" si="230"/>
        <v>11950</v>
      </c>
    </row>
    <row r="418" spans="207:219" ht="16.5" x14ac:dyDescent="0.2">
      <c r="GY418" s="91">
        <v>412</v>
      </c>
      <c r="GZ418" s="14">
        <f t="shared" si="221"/>
        <v>25</v>
      </c>
      <c r="HA418" s="14">
        <f t="shared" si="222"/>
        <v>5</v>
      </c>
      <c r="HB418" s="14">
        <f t="shared" si="223"/>
        <v>3</v>
      </c>
      <c r="HC418" s="14">
        <f t="shared" si="224"/>
        <v>0.68</v>
      </c>
      <c r="HD418" s="14">
        <f t="shared" si="225"/>
        <v>1606027</v>
      </c>
      <c r="HE418" s="14" t="str">
        <f t="shared" si="226"/>
        <v>神器5-5 : 4级</v>
      </c>
      <c r="HF418" s="14" t="s">
        <v>800</v>
      </c>
      <c r="HG418" s="14">
        <f t="shared" si="227"/>
        <v>4</v>
      </c>
      <c r="HH418" s="14" t="str">
        <f t="shared" si="228"/>
        <v>神器5-5</v>
      </c>
      <c r="HI418" s="14">
        <f t="shared" si="229"/>
        <v>2</v>
      </c>
      <c r="HJ418" s="14" t="s">
        <v>1595</v>
      </c>
      <c r="HK418" s="14">
        <f t="shared" si="230"/>
        <v>12350</v>
      </c>
    </row>
    <row r="419" spans="207:219" ht="16.5" x14ac:dyDescent="0.2">
      <c r="GY419" s="91">
        <v>413</v>
      </c>
      <c r="GZ419" s="14">
        <f t="shared" si="221"/>
        <v>25</v>
      </c>
      <c r="HA419" s="14">
        <f t="shared" si="222"/>
        <v>5</v>
      </c>
      <c r="HB419" s="14">
        <f t="shared" si="223"/>
        <v>3</v>
      </c>
      <c r="HC419" s="14">
        <f t="shared" si="224"/>
        <v>0.7</v>
      </c>
      <c r="HD419" s="14">
        <f t="shared" si="225"/>
        <v>1606027</v>
      </c>
      <c r="HE419" s="14" t="str">
        <f t="shared" si="226"/>
        <v>神器5-5 : 5级</v>
      </c>
      <c r="HF419" s="14" t="s">
        <v>800</v>
      </c>
      <c r="HG419" s="14">
        <f t="shared" si="227"/>
        <v>5</v>
      </c>
      <c r="HH419" s="14" t="str">
        <f t="shared" si="228"/>
        <v>神器5-5</v>
      </c>
      <c r="HI419" s="14">
        <f t="shared" si="229"/>
        <v>2</v>
      </c>
      <c r="HJ419" s="14" t="s">
        <v>1595</v>
      </c>
      <c r="HK419" s="14">
        <f t="shared" si="230"/>
        <v>12700</v>
      </c>
    </row>
    <row r="420" spans="207:219" ht="16.5" x14ac:dyDescent="0.2">
      <c r="GY420" s="91">
        <v>414</v>
      </c>
      <c r="GZ420" s="14">
        <f t="shared" si="221"/>
        <v>25</v>
      </c>
      <c r="HA420" s="14">
        <f t="shared" si="222"/>
        <v>5</v>
      </c>
      <c r="HB420" s="14">
        <f t="shared" si="223"/>
        <v>3</v>
      </c>
      <c r="HC420" s="14">
        <f t="shared" si="224"/>
        <v>0.72</v>
      </c>
      <c r="HD420" s="14">
        <f t="shared" si="225"/>
        <v>1606027</v>
      </c>
      <c r="HE420" s="14" t="str">
        <f t="shared" si="226"/>
        <v>神器5-5 : 6级</v>
      </c>
      <c r="HF420" s="14" t="s">
        <v>800</v>
      </c>
      <c r="HG420" s="14">
        <f t="shared" si="227"/>
        <v>6</v>
      </c>
      <c r="HH420" s="14" t="str">
        <f t="shared" si="228"/>
        <v>神器5-5</v>
      </c>
      <c r="HI420" s="14">
        <f t="shared" si="229"/>
        <v>2</v>
      </c>
      <c r="HJ420" s="14" t="s">
        <v>1595</v>
      </c>
      <c r="HK420" s="14">
        <f t="shared" si="230"/>
        <v>13100</v>
      </c>
    </row>
    <row r="421" spans="207:219" ht="16.5" x14ac:dyDescent="0.2">
      <c r="GY421" s="91">
        <v>415</v>
      </c>
      <c r="GZ421" s="14">
        <f t="shared" si="221"/>
        <v>25</v>
      </c>
      <c r="HA421" s="14">
        <f t="shared" si="222"/>
        <v>5</v>
      </c>
      <c r="HB421" s="14">
        <f t="shared" si="223"/>
        <v>3</v>
      </c>
      <c r="HC421" s="14">
        <f t="shared" si="224"/>
        <v>0.73899999999999999</v>
      </c>
      <c r="HD421" s="14">
        <f t="shared" si="225"/>
        <v>1606027</v>
      </c>
      <c r="HE421" s="14" t="str">
        <f t="shared" si="226"/>
        <v>神器5-5 : 7级</v>
      </c>
      <c r="HF421" s="14" t="s">
        <v>800</v>
      </c>
      <c r="HG421" s="14">
        <f t="shared" si="227"/>
        <v>7</v>
      </c>
      <c r="HH421" s="14" t="str">
        <f t="shared" si="228"/>
        <v>神器5-5</v>
      </c>
      <c r="HI421" s="14">
        <f t="shared" si="229"/>
        <v>3</v>
      </c>
      <c r="HJ421" s="14" t="s">
        <v>1595</v>
      </c>
      <c r="HK421" s="14">
        <f t="shared" si="230"/>
        <v>13400</v>
      </c>
    </row>
    <row r="422" spans="207:219" ht="16.5" x14ac:dyDescent="0.2">
      <c r="GY422" s="91">
        <v>416</v>
      </c>
      <c r="GZ422" s="14">
        <f t="shared" si="221"/>
        <v>25</v>
      </c>
      <c r="HA422" s="14">
        <f t="shared" si="222"/>
        <v>5</v>
      </c>
      <c r="HB422" s="14">
        <f t="shared" si="223"/>
        <v>3</v>
      </c>
      <c r="HC422" s="14">
        <f t="shared" si="224"/>
        <v>0.75800000000000001</v>
      </c>
      <c r="HD422" s="14">
        <f t="shared" si="225"/>
        <v>1606027</v>
      </c>
      <c r="HE422" s="14" t="str">
        <f t="shared" si="226"/>
        <v>神器5-5 : 8级</v>
      </c>
      <c r="HF422" s="14" t="s">
        <v>800</v>
      </c>
      <c r="HG422" s="14">
        <f t="shared" si="227"/>
        <v>8</v>
      </c>
      <c r="HH422" s="14" t="str">
        <f t="shared" si="228"/>
        <v>神器5-5</v>
      </c>
      <c r="HI422" s="14">
        <f t="shared" si="229"/>
        <v>3</v>
      </c>
      <c r="HJ422" s="14" t="s">
        <v>1595</v>
      </c>
      <c r="HK422" s="14">
        <f t="shared" si="230"/>
        <v>13750</v>
      </c>
    </row>
    <row r="423" spans="207:219" ht="16.5" x14ac:dyDescent="0.2">
      <c r="GY423" s="91">
        <v>417</v>
      </c>
      <c r="GZ423" s="14">
        <f t="shared" si="221"/>
        <v>25</v>
      </c>
      <c r="HA423" s="14">
        <f t="shared" si="222"/>
        <v>5</v>
      </c>
      <c r="HB423" s="14">
        <f t="shared" si="223"/>
        <v>3</v>
      </c>
      <c r="HC423" s="14">
        <f t="shared" si="224"/>
        <v>0.77600000000000002</v>
      </c>
      <c r="HD423" s="14">
        <f t="shared" si="225"/>
        <v>1606027</v>
      </c>
      <c r="HE423" s="14" t="str">
        <f t="shared" si="226"/>
        <v>神器5-5 : 9级</v>
      </c>
      <c r="HF423" s="14" t="s">
        <v>800</v>
      </c>
      <c r="HG423" s="14">
        <f t="shared" si="227"/>
        <v>9</v>
      </c>
      <c r="HH423" s="14" t="str">
        <f t="shared" si="228"/>
        <v>神器5-5</v>
      </c>
      <c r="HI423" s="14">
        <f t="shared" si="229"/>
        <v>3</v>
      </c>
      <c r="HJ423" s="14" t="s">
        <v>1595</v>
      </c>
      <c r="HK423" s="14">
        <f t="shared" si="230"/>
        <v>14100</v>
      </c>
    </row>
    <row r="424" spans="207:219" ht="16.5" x14ac:dyDescent="0.2">
      <c r="GY424" s="91">
        <v>418</v>
      </c>
      <c r="GZ424" s="14">
        <f t="shared" si="221"/>
        <v>25</v>
      </c>
      <c r="HA424" s="14">
        <f t="shared" si="222"/>
        <v>5</v>
      </c>
      <c r="HB424" s="14">
        <f t="shared" si="223"/>
        <v>3</v>
      </c>
      <c r="HC424" s="14">
        <f t="shared" si="224"/>
        <v>0.79400000000000004</v>
      </c>
      <c r="HD424" s="14">
        <f t="shared" si="225"/>
        <v>1606027</v>
      </c>
      <c r="HE424" s="14" t="str">
        <f t="shared" si="226"/>
        <v>神器5-5 : 10级</v>
      </c>
      <c r="HF424" s="14" t="s">
        <v>800</v>
      </c>
      <c r="HG424" s="14">
        <f t="shared" si="227"/>
        <v>10</v>
      </c>
      <c r="HH424" s="14" t="str">
        <f t="shared" si="228"/>
        <v>神器5-5</v>
      </c>
      <c r="HI424" s="14">
        <f t="shared" si="229"/>
        <v>5</v>
      </c>
      <c r="HJ424" s="14" t="s">
        <v>1595</v>
      </c>
      <c r="HK424" s="14">
        <f t="shared" si="230"/>
        <v>14400</v>
      </c>
    </row>
    <row r="425" spans="207:219" ht="16.5" x14ac:dyDescent="0.2">
      <c r="GY425" s="91">
        <v>419</v>
      </c>
      <c r="GZ425" s="14">
        <f t="shared" si="221"/>
        <v>25</v>
      </c>
      <c r="HA425" s="14">
        <f t="shared" si="222"/>
        <v>5</v>
      </c>
      <c r="HB425" s="14">
        <f t="shared" si="223"/>
        <v>3</v>
      </c>
      <c r="HC425" s="14">
        <f t="shared" si="224"/>
        <v>0.81100000000000005</v>
      </c>
      <c r="HD425" s="14">
        <f t="shared" si="225"/>
        <v>1606027</v>
      </c>
      <c r="HE425" s="14" t="str">
        <f t="shared" si="226"/>
        <v>神器5-5 : 11级</v>
      </c>
      <c r="HF425" s="14" t="s">
        <v>800</v>
      </c>
      <c r="HG425" s="14">
        <f t="shared" si="227"/>
        <v>11</v>
      </c>
      <c r="HH425" s="14" t="str">
        <f t="shared" si="228"/>
        <v>神器5-5</v>
      </c>
      <c r="HI425" s="14">
        <f t="shared" si="229"/>
        <v>5</v>
      </c>
      <c r="HJ425" s="14" t="s">
        <v>1595</v>
      </c>
      <c r="HK425" s="14">
        <f t="shared" si="230"/>
        <v>14750</v>
      </c>
    </row>
    <row r="426" spans="207:219" ht="16.5" x14ac:dyDescent="0.2">
      <c r="GY426" s="91">
        <v>420</v>
      </c>
      <c r="GZ426" s="14">
        <f t="shared" si="221"/>
        <v>25</v>
      </c>
      <c r="HA426" s="14">
        <f t="shared" si="222"/>
        <v>5</v>
      </c>
      <c r="HB426" s="14">
        <f t="shared" si="223"/>
        <v>3</v>
      </c>
      <c r="HC426" s="14">
        <f t="shared" si="224"/>
        <v>0.82799999999999996</v>
      </c>
      <c r="HD426" s="14">
        <f t="shared" si="225"/>
        <v>1606027</v>
      </c>
      <c r="HE426" s="14" t="str">
        <f t="shared" si="226"/>
        <v>神器5-5 : 12级</v>
      </c>
      <c r="HF426" s="14" t="s">
        <v>800</v>
      </c>
      <c r="HG426" s="14">
        <f t="shared" si="227"/>
        <v>12</v>
      </c>
      <c r="HH426" s="14" t="str">
        <f t="shared" si="228"/>
        <v>神器5-5</v>
      </c>
      <c r="HI426" s="14">
        <f t="shared" si="229"/>
        <v>6</v>
      </c>
      <c r="HJ426" s="14" t="s">
        <v>1595</v>
      </c>
      <c r="HK426" s="14">
        <f t="shared" si="230"/>
        <v>15050</v>
      </c>
    </row>
    <row r="427" spans="207:219" ht="16.5" x14ac:dyDescent="0.2">
      <c r="GY427" s="91">
        <v>421</v>
      </c>
      <c r="GZ427" s="14">
        <f t="shared" si="221"/>
        <v>25</v>
      </c>
      <c r="HA427" s="14">
        <f t="shared" si="222"/>
        <v>5</v>
      </c>
      <c r="HB427" s="14">
        <f t="shared" si="223"/>
        <v>3</v>
      </c>
      <c r="HC427" s="14">
        <f t="shared" si="224"/>
        <v>0.84499999999999997</v>
      </c>
      <c r="HD427" s="14">
        <f t="shared" si="225"/>
        <v>1606027</v>
      </c>
      <c r="HE427" s="14" t="str">
        <f t="shared" si="226"/>
        <v>神器5-5 : 13级</v>
      </c>
      <c r="HF427" s="14" t="s">
        <v>800</v>
      </c>
      <c r="HG427" s="14">
        <f t="shared" si="227"/>
        <v>13</v>
      </c>
      <c r="HH427" s="14" t="str">
        <f t="shared" si="228"/>
        <v>神器5-5</v>
      </c>
      <c r="HI427" s="14">
        <f t="shared" si="229"/>
        <v>7</v>
      </c>
      <c r="HJ427" s="14" t="s">
        <v>1595</v>
      </c>
      <c r="HK427" s="14">
        <f t="shared" si="230"/>
        <v>15350</v>
      </c>
    </row>
    <row r="428" spans="207:219" ht="16.5" x14ac:dyDescent="0.2">
      <c r="GY428" s="91">
        <v>422</v>
      </c>
      <c r="GZ428" s="14">
        <f t="shared" si="221"/>
        <v>25</v>
      </c>
      <c r="HA428" s="14">
        <f t="shared" si="222"/>
        <v>5</v>
      </c>
      <c r="HB428" s="14">
        <f t="shared" si="223"/>
        <v>3</v>
      </c>
      <c r="HC428" s="14">
        <f t="shared" si="224"/>
        <v>0.86099999999999999</v>
      </c>
      <c r="HD428" s="14">
        <f t="shared" si="225"/>
        <v>1606027</v>
      </c>
      <c r="HE428" s="14" t="str">
        <f t="shared" si="226"/>
        <v>神器5-5 : 14级</v>
      </c>
      <c r="HF428" s="14" t="s">
        <v>800</v>
      </c>
      <c r="HG428" s="14">
        <f t="shared" si="227"/>
        <v>14</v>
      </c>
      <c r="HH428" s="14" t="str">
        <f t="shared" si="228"/>
        <v>神器5-5</v>
      </c>
      <c r="HI428" s="14">
        <f t="shared" si="229"/>
        <v>7</v>
      </c>
      <c r="HJ428" s="14" t="s">
        <v>1595</v>
      </c>
      <c r="HK428" s="14">
        <f t="shared" si="230"/>
        <v>15650</v>
      </c>
    </row>
    <row r="429" spans="207:219" ht="16.5" x14ac:dyDescent="0.2">
      <c r="GY429" s="91">
        <v>423</v>
      </c>
      <c r="GZ429" s="14">
        <f t="shared" si="221"/>
        <v>25</v>
      </c>
      <c r="HA429" s="14">
        <f t="shared" si="222"/>
        <v>5</v>
      </c>
      <c r="HB429" s="14">
        <f t="shared" si="223"/>
        <v>3</v>
      </c>
      <c r="HC429" s="14">
        <f t="shared" si="224"/>
        <v>0.877</v>
      </c>
      <c r="HD429" s="14">
        <f t="shared" si="225"/>
        <v>1606027</v>
      </c>
      <c r="HE429" s="14" t="str">
        <f t="shared" si="226"/>
        <v>神器5-5 : 15级</v>
      </c>
      <c r="HF429" s="14" t="s">
        <v>800</v>
      </c>
      <c r="HG429" s="14">
        <f t="shared" si="227"/>
        <v>15</v>
      </c>
      <c r="HH429" s="14" t="str">
        <f t="shared" si="228"/>
        <v>神器5-5</v>
      </c>
      <c r="HI429" s="14">
        <f t="shared" si="229"/>
        <v>7</v>
      </c>
      <c r="HJ429" s="14" t="s">
        <v>1595</v>
      </c>
      <c r="HK429" s="14">
        <f t="shared" si="230"/>
        <v>15950</v>
      </c>
    </row>
    <row r="430" spans="207:219" ht="16.5" x14ac:dyDescent="0.2">
      <c r="GY430" s="91">
        <v>424</v>
      </c>
      <c r="GZ430" s="14">
        <f t="shared" si="221"/>
        <v>25</v>
      </c>
      <c r="HA430" s="14">
        <f t="shared" si="222"/>
        <v>5</v>
      </c>
      <c r="HB430" s="14">
        <f t="shared" si="223"/>
        <v>3</v>
      </c>
      <c r="HC430" s="14">
        <f t="shared" si="224"/>
        <v>0.89300000000000002</v>
      </c>
      <c r="HD430" s="14">
        <f t="shared" si="225"/>
        <v>1606027</v>
      </c>
      <c r="HE430" s="14" t="str">
        <f t="shared" si="226"/>
        <v>神器5-5 : 16级</v>
      </c>
      <c r="HF430" s="14" t="s">
        <v>800</v>
      </c>
      <c r="HG430" s="14">
        <f t="shared" si="227"/>
        <v>16</v>
      </c>
      <c r="HH430" s="14" t="str">
        <f t="shared" si="228"/>
        <v>神器5-5</v>
      </c>
      <c r="HI430" s="14">
        <f t="shared" si="229"/>
        <v>10</v>
      </c>
      <c r="HJ430" s="14" t="s">
        <v>1595</v>
      </c>
      <c r="HK430" s="14">
        <f t="shared" si="230"/>
        <v>16200</v>
      </c>
    </row>
    <row r="431" spans="207:219" ht="16.5" x14ac:dyDescent="0.2">
      <c r="GY431" s="91">
        <v>425</v>
      </c>
      <c r="GZ431" s="14">
        <f t="shared" si="221"/>
        <v>25</v>
      </c>
      <c r="HA431" s="14">
        <f t="shared" si="222"/>
        <v>5</v>
      </c>
      <c r="HB431" s="14">
        <f t="shared" si="223"/>
        <v>3</v>
      </c>
      <c r="HC431" s="14">
        <f t="shared" si="224"/>
        <v>0.90900000000000003</v>
      </c>
      <c r="HD431" s="14">
        <f t="shared" si="225"/>
        <v>1606027</v>
      </c>
      <c r="HE431" s="14" t="str">
        <f t="shared" si="226"/>
        <v>神器5-5 : 17级</v>
      </c>
      <c r="HF431" s="14" t="s">
        <v>800</v>
      </c>
      <c r="HG431" s="14">
        <f t="shared" si="227"/>
        <v>17</v>
      </c>
      <c r="HH431" s="14" t="str">
        <f t="shared" si="228"/>
        <v>神器5-5</v>
      </c>
      <c r="HI431" s="14">
        <f t="shared" si="229"/>
        <v>10</v>
      </c>
      <c r="HJ431" s="14" t="s">
        <v>1595</v>
      </c>
      <c r="HK431" s="14">
        <f t="shared" si="230"/>
        <v>16500</v>
      </c>
    </row>
    <row r="432" spans="207:219" ht="16.5" x14ac:dyDescent="0.2">
      <c r="GY432" s="91">
        <v>426</v>
      </c>
      <c r="GZ432" s="14">
        <f t="shared" si="221"/>
        <v>25</v>
      </c>
      <c r="HA432" s="14">
        <f t="shared" si="222"/>
        <v>5</v>
      </c>
      <c r="HB432" s="14">
        <f t="shared" si="223"/>
        <v>3</v>
      </c>
      <c r="HC432" s="14">
        <f t="shared" si="224"/>
        <v>0.92400000000000004</v>
      </c>
      <c r="HD432" s="14">
        <f t="shared" si="225"/>
        <v>1606027</v>
      </c>
      <c r="HE432" s="14" t="str">
        <f t="shared" si="226"/>
        <v>神器5-5 : 18级</v>
      </c>
      <c r="HF432" s="14" t="s">
        <v>800</v>
      </c>
      <c r="HG432" s="14">
        <f t="shared" si="227"/>
        <v>18</v>
      </c>
      <c r="HH432" s="14" t="str">
        <f t="shared" si="228"/>
        <v>神器5-5</v>
      </c>
      <c r="HI432" s="14">
        <f t="shared" si="229"/>
        <v>10</v>
      </c>
      <c r="HJ432" s="14" t="s">
        <v>1595</v>
      </c>
      <c r="HK432" s="14">
        <f t="shared" si="230"/>
        <v>16800</v>
      </c>
    </row>
    <row r="433" spans="207:219" ht="16.5" x14ac:dyDescent="0.2">
      <c r="GY433" s="91">
        <v>427</v>
      </c>
      <c r="GZ433" s="14">
        <f t="shared" si="221"/>
        <v>26</v>
      </c>
      <c r="HA433" s="14">
        <f t="shared" si="222"/>
        <v>5</v>
      </c>
      <c r="HB433" s="14">
        <f t="shared" si="223"/>
        <v>4</v>
      </c>
      <c r="HC433" s="14">
        <f t="shared" si="224"/>
        <v>0.9</v>
      </c>
      <c r="HD433" s="14">
        <f t="shared" si="225"/>
        <v>1606028</v>
      </c>
      <c r="HE433" s="14" t="str">
        <f t="shared" si="226"/>
        <v>神器5-6 : 1级</v>
      </c>
      <c r="HF433" s="14" t="s">
        <v>800</v>
      </c>
      <c r="HG433" s="14">
        <f t="shared" si="227"/>
        <v>1</v>
      </c>
      <c r="HH433" s="14" t="str">
        <f t="shared" si="228"/>
        <v>神器5-6</v>
      </c>
      <c r="HI433" s="14">
        <f t="shared" si="229"/>
        <v>1</v>
      </c>
      <c r="HJ433" s="14" t="s">
        <v>1595</v>
      </c>
      <c r="HK433" s="14">
        <f t="shared" si="230"/>
        <v>16350</v>
      </c>
    </row>
    <row r="434" spans="207:219" ht="16.5" x14ac:dyDescent="0.2">
      <c r="GY434" s="91">
        <v>428</v>
      </c>
      <c r="GZ434" s="14">
        <f t="shared" si="221"/>
        <v>26</v>
      </c>
      <c r="HA434" s="14">
        <f t="shared" si="222"/>
        <v>5</v>
      </c>
      <c r="HB434" s="14">
        <f t="shared" si="223"/>
        <v>4</v>
      </c>
      <c r="HC434" s="14">
        <f t="shared" si="224"/>
        <v>0.93300000000000005</v>
      </c>
      <c r="HD434" s="14">
        <f t="shared" si="225"/>
        <v>1606028</v>
      </c>
      <c r="HE434" s="14" t="str">
        <f t="shared" si="226"/>
        <v>神器5-6 : 2级</v>
      </c>
      <c r="HF434" s="14" t="s">
        <v>800</v>
      </c>
      <c r="HG434" s="14">
        <f t="shared" si="227"/>
        <v>2</v>
      </c>
      <c r="HH434" s="14" t="str">
        <f t="shared" si="228"/>
        <v>神器5-6</v>
      </c>
      <c r="HI434" s="14">
        <f t="shared" si="229"/>
        <v>1</v>
      </c>
      <c r="HJ434" s="14" t="s">
        <v>1595</v>
      </c>
      <c r="HK434" s="14">
        <f t="shared" si="230"/>
        <v>16950</v>
      </c>
    </row>
    <row r="435" spans="207:219" ht="16.5" x14ac:dyDescent="0.2">
      <c r="GY435" s="91">
        <v>429</v>
      </c>
      <c r="GZ435" s="14">
        <f t="shared" si="221"/>
        <v>26</v>
      </c>
      <c r="HA435" s="14">
        <f t="shared" si="222"/>
        <v>5</v>
      </c>
      <c r="HB435" s="14">
        <f t="shared" si="223"/>
        <v>4</v>
      </c>
      <c r="HC435" s="14">
        <f t="shared" si="224"/>
        <v>0.96399999999999997</v>
      </c>
      <c r="HD435" s="14">
        <f t="shared" si="225"/>
        <v>1606028</v>
      </c>
      <c r="HE435" s="14" t="str">
        <f t="shared" si="226"/>
        <v>神器5-6 : 3级</v>
      </c>
      <c r="HF435" s="14" t="s">
        <v>800</v>
      </c>
      <c r="HG435" s="14">
        <f t="shared" si="227"/>
        <v>3</v>
      </c>
      <c r="HH435" s="14" t="str">
        <f t="shared" si="228"/>
        <v>神器5-6</v>
      </c>
      <c r="HI435" s="14">
        <f t="shared" si="229"/>
        <v>1</v>
      </c>
      <c r="HJ435" s="14" t="s">
        <v>1595</v>
      </c>
      <c r="HK435" s="14">
        <f t="shared" si="230"/>
        <v>17500</v>
      </c>
    </row>
    <row r="436" spans="207:219" ht="16.5" x14ac:dyDescent="0.2">
      <c r="GY436" s="91">
        <v>430</v>
      </c>
      <c r="GZ436" s="14">
        <f t="shared" si="221"/>
        <v>26</v>
      </c>
      <c r="HA436" s="14">
        <f t="shared" si="222"/>
        <v>5</v>
      </c>
      <c r="HB436" s="14">
        <f t="shared" si="223"/>
        <v>4</v>
      </c>
      <c r="HC436" s="14">
        <f t="shared" si="224"/>
        <v>0.995</v>
      </c>
      <c r="HD436" s="14">
        <f t="shared" si="225"/>
        <v>1606028</v>
      </c>
      <c r="HE436" s="14" t="str">
        <f t="shared" si="226"/>
        <v>神器5-6 : 4级</v>
      </c>
      <c r="HF436" s="14" t="s">
        <v>800</v>
      </c>
      <c r="HG436" s="14">
        <f t="shared" si="227"/>
        <v>4</v>
      </c>
      <c r="HH436" s="14" t="str">
        <f t="shared" si="228"/>
        <v>神器5-6</v>
      </c>
      <c r="HI436" s="14">
        <f t="shared" si="229"/>
        <v>2</v>
      </c>
      <c r="HJ436" s="14" t="s">
        <v>1595</v>
      </c>
      <c r="HK436" s="14">
        <f t="shared" si="230"/>
        <v>18050</v>
      </c>
    </row>
    <row r="437" spans="207:219" ht="16.5" x14ac:dyDescent="0.2">
      <c r="GY437" s="91">
        <v>431</v>
      </c>
      <c r="GZ437" s="14">
        <f t="shared" si="221"/>
        <v>26</v>
      </c>
      <c r="HA437" s="14">
        <f t="shared" si="222"/>
        <v>5</v>
      </c>
      <c r="HB437" s="14">
        <f t="shared" si="223"/>
        <v>4</v>
      </c>
      <c r="HC437" s="14">
        <f t="shared" si="224"/>
        <v>1.0249999999999999</v>
      </c>
      <c r="HD437" s="14">
        <f t="shared" si="225"/>
        <v>1606028</v>
      </c>
      <c r="HE437" s="14" t="str">
        <f t="shared" si="226"/>
        <v>神器5-6 : 5级</v>
      </c>
      <c r="HF437" s="14" t="s">
        <v>800</v>
      </c>
      <c r="HG437" s="14">
        <f t="shared" si="227"/>
        <v>5</v>
      </c>
      <c r="HH437" s="14" t="str">
        <f t="shared" si="228"/>
        <v>神器5-6</v>
      </c>
      <c r="HI437" s="14">
        <f t="shared" si="229"/>
        <v>2</v>
      </c>
      <c r="HJ437" s="14" t="s">
        <v>1595</v>
      </c>
      <c r="HK437" s="14">
        <f t="shared" si="230"/>
        <v>18600</v>
      </c>
    </row>
    <row r="438" spans="207:219" ht="16.5" x14ac:dyDescent="0.2">
      <c r="GY438" s="91">
        <v>432</v>
      </c>
      <c r="GZ438" s="14">
        <f t="shared" si="221"/>
        <v>26</v>
      </c>
      <c r="HA438" s="14">
        <f t="shared" si="222"/>
        <v>5</v>
      </c>
      <c r="HB438" s="14">
        <f t="shared" si="223"/>
        <v>4</v>
      </c>
      <c r="HC438" s="14">
        <f t="shared" si="224"/>
        <v>1.054</v>
      </c>
      <c r="HD438" s="14">
        <f t="shared" si="225"/>
        <v>1606028</v>
      </c>
      <c r="HE438" s="14" t="str">
        <f t="shared" si="226"/>
        <v>神器5-6 : 6级</v>
      </c>
      <c r="HF438" s="14" t="s">
        <v>800</v>
      </c>
      <c r="HG438" s="14">
        <f t="shared" si="227"/>
        <v>6</v>
      </c>
      <c r="HH438" s="14" t="str">
        <f t="shared" si="228"/>
        <v>神器5-6</v>
      </c>
      <c r="HI438" s="14">
        <f t="shared" si="229"/>
        <v>2</v>
      </c>
      <c r="HJ438" s="14" t="s">
        <v>1595</v>
      </c>
      <c r="HK438" s="14">
        <f t="shared" si="230"/>
        <v>19150</v>
      </c>
    </row>
    <row r="439" spans="207:219" ht="16.5" x14ac:dyDescent="0.2">
      <c r="GY439" s="91">
        <v>433</v>
      </c>
      <c r="GZ439" s="14">
        <f t="shared" si="221"/>
        <v>26</v>
      </c>
      <c r="HA439" s="14">
        <f t="shared" si="222"/>
        <v>5</v>
      </c>
      <c r="HB439" s="14">
        <f t="shared" si="223"/>
        <v>4</v>
      </c>
      <c r="HC439" s="14">
        <f t="shared" si="224"/>
        <v>1.0820000000000001</v>
      </c>
      <c r="HD439" s="14">
        <f t="shared" si="225"/>
        <v>1606028</v>
      </c>
      <c r="HE439" s="14" t="str">
        <f t="shared" si="226"/>
        <v>神器5-6 : 7级</v>
      </c>
      <c r="HF439" s="14" t="s">
        <v>800</v>
      </c>
      <c r="HG439" s="14">
        <f t="shared" si="227"/>
        <v>7</v>
      </c>
      <c r="HH439" s="14" t="str">
        <f t="shared" si="228"/>
        <v>神器5-6</v>
      </c>
      <c r="HI439" s="14">
        <f t="shared" si="229"/>
        <v>3</v>
      </c>
      <c r="HJ439" s="14" t="s">
        <v>1595</v>
      </c>
      <c r="HK439" s="14">
        <f t="shared" si="230"/>
        <v>19650</v>
      </c>
    </row>
    <row r="440" spans="207:219" ht="16.5" x14ac:dyDescent="0.2">
      <c r="GY440" s="91">
        <v>434</v>
      </c>
      <c r="GZ440" s="14">
        <f t="shared" si="221"/>
        <v>26</v>
      </c>
      <c r="HA440" s="14">
        <f t="shared" si="222"/>
        <v>5</v>
      </c>
      <c r="HB440" s="14">
        <f t="shared" si="223"/>
        <v>4</v>
      </c>
      <c r="HC440" s="14">
        <f t="shared" si="224"/>
        <v>1.109</v>
      </c>
      <c r="HD440" s="14">
        <f t="shared" si="225"/>
        <v>1606028</v>
      </c>
      <c r="HE440" s="14" t="str">
        <f t="shared" si="226"/>
        <v>神器5-6 : 8级</v>
      </c>
      <c r="HF440" s="14" t="s">
        <v>800</v>
      </c>
      <c r="HG440" s="14">
        <f t="shared" si="227"/>
        <v>8</v>
      </c>
      <c r="HH440" s="14" t="str">
        <f t="shared" si="228"/>
        <v>神器5-6</v>
      </c>
      <c r="HI440" s="14">
        <f t="shared" si="229"/>
        <v>3</v>
      </c>
      <c r="HJ440" s="14" t="s">
        <v>1595</v>
      </c>
      <c r="HK440" s="14">
        <f t="shared" si="230"/>
        <v>20150</v>
      </c>
    </row>
    <row r="441" spans="207:219" ht="16.5" x14ac:dyDescent="0.2">
      <c r="GY441" s="91">
        <v>435</v>
      </c>
      <c r="GZ441" s="14">
        <f t="shared" si="221"/>
        <v>26</v>
      </c>
      <c r="HA441" s="14">
        <f t="shared" si="222"/>
        <v>5</v>
      </c>
      <c r="HB441" s="14">
        <f t="shared" si="223"/>
        <v>4</v>
      </c>
      <c r="HC441" s="14">
        <f t="shared" si="224"/>
        <v>1.1359999999999999</v>
      </c>
      <c r="HD441" s="14">
        <f t="shared" si="225"/>
        <v>1606028</v>
      </c>
      <c r="HE441" s="14" t="str">
        <f t="shared" si="226"/>
        <v>神器5-6 : 9级</v>
      </c>
      <c r="HF441" s="14" t="s">
        <v>800</v>
      </c>
      <c r="HG441" s="14">
        <f t="shared" si="227"/>
        <v>9</v>
      </c>
      <c r="HH441" s="14" t="str">
        <f t="shared" si="228"/>
        <v>神器5-6</v>
      </c>
      <c r="HI441" s="14">
        <f t="shared" si="229"/>
        <v>3</v>
      </c>
      <c r="HJ441" s="14" t="s">
        <v>1595</v>
      </c>
      <c r="HK441" s="14">
        <f t="shared" si="230"/>
        <v>20650</v>
      </c>
    </row>
    <row r="442" spans="207:219" ht="16.5" x14ac:dyDescent="0.2">
      <c r="GY442" s="91">
        <v>436</v>
      </c>
      <c r="GZ442" s="14">
        <f t="shared" si="221"/>
        <v>26</v>
      </c>
      <c r="HA442" s="14">
        <f t="shared" si="222"/>
        <v>5</v>
      </c>
      <c r="HB442" s="14">
        <f t="shared" si="223"/>
        <v>4</v>
      </c>
      <c r="HC442" s="14">
        <f t="shared" si="224"/>
        <v>1.1619999999999999</v>
      </c>
      <c r="HD442" s="14">
        <f t="shared" si="225"/>
        <v>1606028</v>
      </c>
      <c r="HE442" s="14" t="str">
        <f t="shared" si="226"/>
        <v>神器5-6 : 10级</v>
      </c>
      <c r="HF442" s="14" t="s">
        <v>800</v>
      </c>
      <c r="HG442" s="14">
        <f t="shared" si="227"/>
        <v>10</v>
      </c>
      <c r="HH442" s="14" t="str">
        <f t="shared" si="228"/>
        <v>神器5-6</v>
      </c>
      <c r="HI442" s="14">
        <f t="shared" si="229"/>
        <v>5</v>
      </c>
      <c r="HJ442" s="14" t="s">
        <v>1595</v>
      </c>
      <c r="HK442" s="14">
        <f t="shared" si="230"/>
        <v>21100</v>
      </c>
    </row>
    <row r="443" spans="207:219" ht="16.5" x14ac:dyDescent="0.2">
      <c r="GY443" s="91">
        <v>437</v>
      </c>
      <c r="GZ443" s="14">
        <f t="shared" si="221"/>
        <v>26</v>
      </c>
      <c r="HA443" s="14">
        <f t="shared" si="222"/>
        <v>5</v>
      </c>
      <c r="HB443" s="14">
        <f t="shared" si="223"/>
        <v>4</v>
      </c>
      <c r="HC443" s="14">
        <f t="shared" si="224"/>
        <v>1.1870000000000001</v>
      </c>
      <c r="HD443" s="14">
        <f t="shared" si="225"/>
        <v>1606028</v>
      </c>
      <c r="HE443" s="14" t="str">
        <f t="shared" si="226"/>
        <v>神器5-6 : 11级</v>
      </c>
      <c r="HF443" s="14" t="s">
        <v>800</v>
      </c>
      <c r="HG443" s="14">
        <f t="shared" si="227"/>
        <v>11</v>
      </c>
      <c r="HH443" s="14" t="str">
        <f t="shared" si="228"/>
        <v>神器5-6</v>
      </c>
      <c r="HI443" s="14">
        <f t="shared" si="229"/>
        <v>5</v>
      </c>
      <c r="HJ443" s="14" t="s">
        <v>1595</v>
      </c>
      <c r="HK443" s="14">
        <f t="shared" si="230"/>
        <v>21550</v>
      </c>
    </row>
    <row r="444" spans="207:219" ht="16.5" x14ac:dyDescent="0.2">
      <c r="GY444" s="91">
        <v>438</v>
      </c>
      <c r="GZ444" s="14">
        <f t="shared" si="221"/>
        <v>26</v>
      </c>
      <c r="HA444" s="14">
        <f t="shared" si="222"/>
        <v>5</v>
      </c>
      <c r="HB444" s="14">
        <f t="shared" si="223"/>
        <v>4</v>
      </c>
      <c r="HC444" s="14">
        <f t="shared" si="224"/>
        <v>1.212</v>
      </c>
      <c r="HD444" s="14">
        <f t="shared" si="225"/>
        <v>1606028</v>
      </c>
      <c r="HE444" s="14" t="str">
        <f t="shared" si="226"/>
        <v>神器5-6 : 12级</v>
      </c>
      <c r="HF444" s="14" t="s">
        <v>800</v>
      </c>
      <c r="HG444" s="14">
        <f t="shared" si="227"/>
        <v>12</v>
      </c>
      <c r="HH444" s="14" t="str">
        <f t="shared" si="228"/>
        <v>神器5-6</v>
      </c>
      <c r="HI444" s="14">
        <f t="shared" si="229"/>
        <v>6</v>
      </c>
      <c r="HJ444" s="14" t="s">
        <v>1595</v>
      </c>
      <c r="HK444" s="14">
        <f t="shared" si="230"/>
        <v>22000</v>
      </c>
    </row>
    <row r="445" spans="207:219" ht="16.5" x14ac:dyDescent="0.2">
      <c r="GY445" s="91">
        <v>439</v>
      </c>
      <c r="GZ445" s="14">
        <f t="shared" si="221"/>
        <v>26</v>
      </c>
      <c r="HA445" s="14">
        <f t="shared" si="222"/>
        <v>5</v>
      </c>
      <c r="HB445" s="14">
        <f t="shared" si="223"/>
        <v>4</v>
      </c>
      <c r="HC445" s="14">
        <f t="shared" si="224"/>
        <v>1.2370000000000001</v>
      </c>
      <c r="HD445" s="14">
        <f t="shared" si="225"/>
        <v>1606028</v>
      </c>
      <c r="HE445" s="14" t="str">
        <f t="shared" si="226"/>
        <v>神器5-6 : 13级</v>
      </c>
      <c r="HF445" s="14" t="s">
        <v>800</v>
      </c>
      <c r="HG445" s="14">
        <f t="shared" si="227"/>
        <v>13</v>
      </c>
      <c r="HH445" s="14" t="str">
        <f t="shared" si="228"/>
        <v>神器5-6</v>
      </c>
      <c r="HI445" s="14">
        <f t="shared" si="229"/>
        <v>7</v>
      </c>
      <c r="HJ445" s="14" t="s">
        <v>1595</v>
      </c>
      <c r="HK445" s="14">
        <f t="shared" si="230"/>
        <v>22450</v>
      </c>
    </row>
    <row r="446" spans="207:219" ht="16.5" x14ac:dyDescent="0.2">
      <c r="GY446" s="91">
        <v>440</v>
      </c>
      <c r="GZ446" s="14">
        <f t="shared" si="221"/>
        <v>26</v>
      </c>
      <c r="HA446" s="14">
        <f t="shared" si="222"/>
        <v>5</v>
      </c>
      <c r="HB446" s="14">
        <f t="shared" si="223"/>
        <v>4</v>
      </c>
      <c r="HC446" s="14">
        <f t="shared" si="224"/>
        <v>1.2609999999999999</v>
      </c>
      <c r="HD446" s="14">
        <f t="shared" si="225"/>
        <v>1606028</v>
      </c>
      <c r="HE446" s="14" t="str">
        <f t="shared" si="226"/>
        <v>神器5-6 : 14级</v>
      </c>
      <c r="HF446" s="14" t="s">
        <v>800</v>
      </c>
      <c r="HG446" s="14">
        <f t="shared" si="227"/>
        <v>14</v>
      </c>
      <c r="HH446" s="14" t="str">
        <f t="shared" si="228"/>
        <v>神器5-6</v>
      </c>
      <c r="HI446" s="14">
        <f t="shared" si="229"/>
        <v>7</v>
      </c>
      <c r="HJ446" s="14" t="s">
        <v>1595</v>
      </c>
      <c r="HK446" s="14">
        <f t="shared" si="230"/>
        <v>22900</v>
      </c>
    </row>
    <row r="447" spans="207:219" ht="16.5" x14ac:dyDescent="0.2">
      <c r="GY447" s="91">
        <v>441</v>
      </c>
      <c r="GZ447" s="14">
        <f t="shared" si="221"/>
        <v>26</v>
      </c>
      <c r="HA447" s="14">
        <f t="shared" si="222"/>
        <v>5</v>
      </c>
      <c r="HB447" s="14">
        <f t="shared" si="223"/>
        <v>4</v>
      </c>
      <c r="HC447" s="14">
        <f t="shared" si="224"/>
        <v>1.2849999999999999</v>
      </c>
      <c r="HD447" s="14">
        <f t="shared" si="225"/>
        <v>1606028</v>
      </c>
      <c r="HE447" s="14" t="str">
        <f t="shared" si="226"/>
        <v>神器5-6 : 15级</v>
      </c>
      <c r="HF447" s="14" t="s">
        <v>800</v>
      </c>
      <c r="HG447" s="14">
        <f t="shared" si="227"/>
        <v>15</v>
      </c>
      <c r="HH447" s="14" t="str">
        <f t="shared" si="228"/>
        <v>神器5-6</v>
      </c>
      <c r="HI447" s="14">
        <f t="shared" si="229"/>
        <v>7</v>
      </c>
      <c r="HJ447" s="14" t="s">
        <v>1595</v>
      </c>
      <c r="HK447" s="14">
        <f t="shared" si="230"/>
        <v>23350</v>
      </c>
    </row>
    <row r="448" spans="207:219" ht="16.5" x14ac:dyDescent="0.2">
      <c r="GY448" s="91">
        <v>442</v>
      </c>
      <c r="GZ448" s="14">
        <f t="shared" si="221"/>
        <v>26</v>
      </c>
      <c r="HA448" s="14">
        <f t="shared" si="222"/>
        <v>5</v>
      </c>
      <c r="HB448" s="14">
        <f t="shared" si="223"/>
        <v>4</v>
      </c>
      <c r="HC448" s="14">
        <f t="shared" si="224"/>
        <v>1.3080000000000001</v>
      </c>
      <c r="HD448" s="14">
        <f t="shared" si="225"/>
        <v>1606028</v>
      </c>
      <c r="HE448" s="14" t="str">
        <f t="shared" si="226"/>
        <v>神器5-6 : 16级</v>
      </c>
      <c r="HF448" s="14" t="s">
        <v>800</v>
      </c>
      <c r="HG448" s="14">
        <f t="shared" si="227"/>
        <v>16</v>
      </c>
      <c r="HH448" s="14" t="str">
        <f t="shared" si="228"/>
        <v>神器5-6</v>
      </c>
      <c r="HI448" s="14">
        <f t="shared" si="229"/>
        <v>10</v>
      </c>
      <c r="HJ448" s="14" t="s">
        <v>1595</v>
      </c>
      <c r="HK448" s="14">
        <f t="shared" si="230"/>
        <v>23750</v>
      </c>
    </row>
    <row r="449" spans="207:219" ht="16.5" x14ac:dyDescent="0.2">
      <c r="GY449" s="91">
        <v>443</v>
      </c>
      <c r="GZ449" s="14">
        <f t="shared" si="221"/>
        <v>26</v>
      </c>
      <c r="HA449" s="14">
        <f t="shared" si="222"/>
        <v>5</v>
      </c>
      <c r="HB449" s="14">
        <f t="shared" si="223"/>
        <v>4</v>
      </c>
      <c r="HC449" s="14">
        <f t="shared" si="224"/>
        <v>1.33</v>
      </c>
      <c r="HD449" s="14">
        <f t="shared" si="225"/>
        <v>1606028</v>
      </c>
      <c r="HE449" s="14" t="str">
        <f t="shared" si="226"/>
        <v>神器5-6 : 17级</v>
      </c>
      <c r="HF449" s="14" t="s">
        <v>800</v>
      </c>
      <c r="HG449" s="14">
        <f t="shared" si="227"/>
        <v>17</v>
      </c>
      <c r="HH449" s="14" t="str">
        <f t="shared" si="228"/>
        <v>神器5-6</v>
      </c>
      <c r="HI449" s="14">
        <f t="shared" si="229"/>
        <v>10</v>
      </c>
      <c r="HJ449" s="14" t="s">
        <v>1595</v>
      </c>
      <c r="HK449" s="14">
        <f t="shared" si="230"/>
        <v>24150</v>
      </c>
    </row>
    <row r="450" spans="207:219" ht="16.5" x14ac:dyDescent="0.2">
      <c r="GY450" s="91">
        <v>444</v>
      </c>
      <c r="GZ450" s="14">
        <f t="shared" si="221"/>
        <v>26</v>
      </c>
      <c r="HA450" s="14">
        <f t="shared" si="222"/>
        <v>5</v>
      </c>
      <c r="HB450" s="14">
        <f t="shared" si="223"/>
        <v>4</v>
      </c>
      <c r="HC450" s="14">
        <f t="shared" si="224"/>
        <v>1.353</v>
      </c>
      <c r="HD450" s="14">
        <f t="shared" si="225"/>
        <v>1606028</v>
      </c>
      <c r="HE450" s="14" t="str">
        <f t="shared" si="226"/>
        <v>神器5-6 : 18级</v>
      </c>
      <c r="HF450" s="14" t="s">
        <v>800</v>
      </c>
      <c r="HG450" s="14">
        <f t="shared" si="227"/>
        <v>18</v>
      </c>
      <c r="HH450" s="14" t="str">
        <f t="shared" si="228"/>
        <v>神器5-6</v>
      </c>
      <c r="HI450" s="14">
        <f t="shared" si="229"/>
        <v>10</v>
      </c>
      <c r="HJ450" s="14" t="s">
        <v>1595</v>
      </c>
      <c r="HK450" s="14">
        <f t="shared" si="230"/>
        <v>24550</v>
      </c>
    </row>
    <row r="451" spans="207:219" ht="16.5" x14ac:dyDescent="0.2">
      <c r="GY451" s="91">
        <v>445</v>
      </c>
      <c r="GZ451" s="14">
        <f t="shared" si="221"/>
        <v>27</v>
      </c>
      <c r="HA451" s="14">
        <f t="shared" si="222"/>
        <v>6</v>
      </c>
      <c r="HB451" s="14">
        <f t="shared" si="223"/>
        <v>2</v>
      </c>
      <c r="HC451" s="14">
        <f t="shared" si="224"/>
        <v>0.40200000000000002</v>
      </c>
      <c r="HD451" s="14">
        <f t="shared" si="225"/>
        <v>1606029</v>
      </c>
      <c r="HE451" s="14" t="str">
        <f t="shared" si="226"/>
        <v>神器6-1 : 1级</v>
      </c>
      <c r="HF451" s="14" t="s">
        <v>800</v>
      </c>
      <c r="HG451" s="14">
        <f t="shared" si="227"/>
        <v>1</v>
      </c>
      <c r="HH451" s="14" t="str">
        <f t="shared" si="228"/>
        <v>神器6-1</v>
      </c>
      <c r="HI451" s="14">
        <f t="shared" si="229"/>
        <v>1</v>
      </c>
      <c r="HJ451" s="14" t="s">
        <v>1595</v>
      </c>
      <c r="HK451" s="14">
        <f t="shared" si="230"/>
        <v>10850</v>
      </c>
    </row>
    <row r="452" spans="207:219" ht="16.5" x14ac:dyDescent="0.2">
      <c r="GY452" s="91">
        <v>446</v>
      </c>
      <c r="GZ452" s="14">
        <f t="shared" si="221"/>
        <v>27</v>
      </c>
      <c r="HA452" s="14">
        <f t="shared" si="222"/>
        <v>6</v>
      </c>
      <c r="HB452" s="14">
        <f t="shared" si="223"/>
        <v>2</v>
      </c>
      <c r="HC452" s="14">
        <f t="shared" si="224"/>
        <v>0.41699999999999998</v>
      </c>
      <c r="HD452" s="14">
        <f t="shared" si="225"/>
        <v>1606029</v>
      </c>
      <c r="HE452" s="14" t="str">
        <f t="shared" si="226"/>
        <v>神器6-1 : 2级</v>
      </c>
      <c r="HF452" s="14" t="s">
        <v>800</v>
      </c>
      <c r="HG452" s="14">
        <f t="shared" si="227"/>
        <v>2</v>
      </c>
      <c r="HH452" s="14" t="str">
        <f t="shared" si="228"/>
        <v>神器6-1</v>
      </c>
      <c r="HI452" s="14">
        <f t="shared" si="229"/>
        <v>1</v>
      </c>
      <c r="HJ452" s="14" t="s">
        <v>1595</v>
      </c>
      <c r="HK452" s="14">
        <f t="shared" si="230"/>
        <v>11250</v>
      </c>
    </row>
    <row r="453" spans="207:219" ht="16.5" x14ac:dyDescent="0.2">
      <c r="GY453" s="91">
        <v>447</v>
      </c>
      <c r="GZ453" s="14">
        <f t="shared" si="221"/>
        <v>27</v>
      </c>
      <c r="HA453" s="14">
        <f t="shared" si="222"/>
        <v>6</v>
      </c>
      <c r="HB453" s="14">
        <f t="shared" si="223"/>
        <v>2</v>
      </c>
      <c r="HC453" s="14">
        <f t="shared" si="224"/>
        <v>0.43099999999999999</v>
      </c>
      <c r="HD453" s="14">
        <f t="shared" si="225"/>
        <v>1606029</v>
      </c>
      <c r="HE453" s="14" t="str">
        <f t="shared" si="226"/>
        <v>神器6-1 : 3级</v>
      </c>
      <c r="HF453" s="14" t="s">
        <v>800</v>
      </c>
      <c r="HG453" s="14">
        <f t="shared" si="227"/>
        <v>3</v>
      </c>
      <c r="HH453" s="14" t="str">
        <f t="shared" si="228"/>
        <v>神器6-1</v>
      </c>
      <c r="HI453" s="14">
        <f t="shared" si="229"/>
        <v>1</v>
      </c>
      <c r="HJ453" s="14" t="s">
        <v>1595</v>
      </c>
      <c r="HK453" s="14">
        <f t="shared" si="230"/>
        <v>11600</v>
      </c>
    </row>
    <row r="454" spans="207:219" ht="16.5" x14ac:dyDescent="0.2">
      <c r="GY454" s="91">
        <v>448</v>
      </c>
      <c r="GZ454" s="14">
        <f t="shared" si="221"/>
        <v>27</v>
      </c>
      <c r="HA454" s="14">
        <f t="shared" si="222"/>
        <v>6</v>
      </c>
      <c r="HB454" s="14">
        <f t="shared" si="223"/>
        <v>2</v>
      </c>
      <c r="HC454" s="14">
        <f t="shared" si="224"/>
        <v>0.44500000000000001</v>
      </c>
      <c r="HD454" s="14">
        <f t="shared" si="225"/>
        <v>1606029</v>
      </c>
      <c r="HE454" s="14" t="str">
        <f t="shared" si="226"/>
        <v>神器6-1 : 4级</v>
      </c>
      <c r="HF454" s="14" t="s">
        <v>800</v>
      </c>
      <c r="HG454" s="14">
        <f t="shared" si="227"/>
        <v>4</v>
      </c>
      <c r="HH454" s="14" t="str">
        <f t="shared" si="228"/>
        <v>神器6-1</v>
      </c>
      <c r="HI454" s="14">
        <f t="shared" si="229"/>
        <v>2</v>
      </c>
      <c r="HJ454" s="14" t="s">
        <v>1595</v>
      </c>
      <c r="HK454" s="14">
        <f t="shared" si="230"/>
        <v>12000</v>
      </c>
    </row>
    <row r="455" spans="207:219" ht="16.5" x14ac:dyDescent="0.2">
      <c r="GY455" s="91">
        <v>449</v>
      </c>
      <c r="GZ455" s="14">
        <f t="shared" si="221"/>
        <v>27</v>
      </c>
      <c r="HA455" s="14">
        <f t="shared" si="222"/>
        <v>6</v>
      </c>
      <c r="HB455" s="14">
        <f t="shared" si="223"/>
        <v>2</v>
      </c>
      <c r="HC455" s="14">
        <f t="shared" si="224"/>
        <v>0.45800000000000002</v>
      </c>
      <c r="HD455" s="14">
        <f t="shared" si="225"/>
        <v>1606029</v>
      </c>
      <c r="HE455" s="14" t="str">
        <f t="shared" si="226"/>
        <v>神器6-1 : 5级</v>
      </c>
      <c r="HF455" s="14" t="s">
        <v>800</v>
      </c>
      <c r="HG455" s="14">
        <f t="shared" si="227"/>
        <v>5</v>
      </c>
      <c r="HH455" s="14" t="str">
        <f t="shared" si="228"/>
        <v>神器6-1</v>
      </c>
      <c r="HI455" s="14">
        <f t="shared" si="229"/>
        <v>2</v>
      </c>
      <c r="HJ455" s="14" t="s">
        <v>1595</v>
      </c>
      <c r="HK455" s="14">
        <f t="shared" si="230"/>
        <v>12350</v>
      </c>
    </row>
    <row r="456" spans="207:219" ht="16.5" x14ac:dyDescent="0.2">
      <c r="GY456" s="91">
        <v>450</v>
      </c>
      <c r="GZ456" s="14">
        <f t="shared" ref="GZ456:GZ519" si="231">MATCH(GY456-1,$R$7:$R$49,1)</f>
        <v>27</v>
      </c>
      <c r="HA456" s="14">
        <f t="shared" ref="HA456:HA519" si="232">INDEX($N$8:$N$49,GZ456)</f>
        <v>6</v>
      </c>
      <c r="HB456" s="14">
        <f t="shared" ref="HB456:HB519" si="233">INDEX($P$8:$P$49,GZ456)</f>
        <v>2</v>
      </c>
      <c r="HC456" s="14">
        <f t="shared" ref="HC456:HC519" si="234">ROUND(SQRT(INDEX($BJ$7:$BJ$27,HG456)*INDEX($H$7:$H$10,HB456)),3)</f>
        <v>0.47099999999999997</v>
      </c>
      <c r="HD456" s="14">
        <f t="shared" ref="HD456:HD519" si="235">INDEX($S$8:$S$49,GZ456)</f>
        <v>1606029</v>
      </c>
      <c r="HE456" s="14" t="str">
        <f t="shared" ref="HE456:HE519" si="236">INDEX($T$8:$T$49,GZ456)&amp;" : "&amp;HG456&amp;"级"</f>
        <v>神器6-1 : 6级</v>
      </c>
      <c r="HF456" s="14" t="s">
        <v>800</v>
      </c>
      <c r="HG456" s="14">
        <f t="shared" ref="HG456:HG519" si="237">GY456-INDEX($R$7:$R$49,GZ456)</f>
        <v>6</v>
      </c>
      <c r="HH456" s="14" t="str">
        <f t="shared" ref="HH456:HH519" si="238">INDEX($T$8:$T$49,GZ456)</f>
        <v>神器6-1</v>
      </c>
      <c r="HI456" s="14">
        <f t="shared" ref="HI456:HI519" si="239">INDEX($K$8:$K$28,HG456)</f>
        <v>2</v>
      </c>
      <c r="HJ456" s="14" t="s">
        <v>1595</v>
      </c>
      <c r="HK456" s="14">
        <f t="shared" ref="HK456:HK519" si="240">ROUND(INDEX($Y$8:$Y$14,HA456)/INDEX($Z$8:$Z$14,HA456)*HC456/50,0)*50</f>
        <v>12700</v>
      </c>
    </row>
    <row r="457" spans="207:219" ht="16.5" x14ac:dyDescent="0.2">
      <c r="GY457" s="91">
        <v>451</v>
      </c>
      <c r="GZ457" s="14">
        <f t="shared" si="231"/>
        <v>27</v>
      </c>
      <c r="HA457" s="14">
        <f t="shared" si="232"/>
        <v>6</v>
      </c>
      <c r="HB457" s="14">
        <f t="shared" si="233"/>
        <v>2</v>
      </c>
      <c r="HC457" s="14">
        <f t="shared" si="234"/>
        <v>0.48399999999999999</v>
      </c>
      <c r="HD457" s="14">
        <f t="shared" si="235"/>
        <v>1606029</v>
      </c>
      <c r="HE457" s="14" t="str">
        <f t="shared" si="236"/>
        <v>神器6-1 : 7级</v>
      </c>
      <c r="HF457" s="14" t="s">
        <v>800</v>
      </c>
      <c r="HG457" s="14">
        <f t="shared" si="237"/>
        <v>7</v>
      </c>
      <c r="HH457" s="14" t="str">
        <f t="shared" si="238"/>
        <v>神器6-1</v>
      </c>
      <c r="HI457" s="14">
        <f t="shared" si="239"/>
        <v>3</v>
      </c>
      <c r="HJ457" s="14" t="s">
        <v>1595</v>
      </c>
      <c r="HK457" s="14">
        <f t="shared" si="240"/>
        <v>13050</v>
      </c>
    </row>
    <row r="458" spans="207:219" ht="16.5" x14ac:dyDescent="0.2">
      <c r="GY458" s="91">
        <v>452</v>
      </c>
      <c r="GZ458" s="14">
        <f t="shared" si="231"/>
        <v>27</v>
      </c>
      <c r="HA458" s="14">
        <f t="shared" si="232"/>
        <v>6</v>
      </c>
      <c r="HB458" s="14">
        <f t="shared" si="233"/>
        <v>2</v>
      </c>
      <c r="HC458" s="14">
        <f t="shared" si="234"/>
        <v>0.496</v>
      </c>
      <c r="HD458" s="14">
        <f t="shared" si="235"/>
        <v>1606029</v>
      </c>
      <c r="HE458" s="14" t="str">
        <f t="shared" si="236"/>
        <v>神器6-1 : 8级</v>
      </c>
      <c r="HF458" s="14" t="s">
        <v>800</v>
      </c>
      <c r="HG458" s="14">
        <f t="shared" si="237"/>
        <v>8</v>
      </c>
      <c r="HH458" s="14" t="str">
        <f t="shared" si="238"/>
        <v>神器6-1</v>
      </c>
      <c r="HI458" s="14">
        <f t="shared" si="239"/>
        <v>3</v>
      </c>
      <c r="HJ458" s="14" t="s">
        <v>1595</v>
      </c>
      <c r="HK458" s="14">
        <f t="shared" si="240"/>
        <v>13350</v>
      </c>
    </row>
    <row r="459" spans="207:219" ht="16.5" x14ac:dyDescent="0.2">
      <c r="GY459" s="91">
        <v>453</v>
      </c>
      <c r="GZ459" s="14">
        <f t="shared" si="231"/>
        <v>27</v>
      </c>
      <c r="HA459" s="14">
        <f t="shared" si="232"/>
        <v>6</v>
      </c>
      <c r="HB459" s="14">
        <f t="shared" si="233"/>
        <v>2</v>
      </c>
      <c r="HC459" s="14">
        <f t="shared" si="234"/>
        <v>0.50800000000000001</v>
      </c>
      <c r="HD459" s="14">
        <f t="shared" si="235"/>
        <v>1606029</v>
      </c>
      <c r="HE459" s="14" t="str">
        <f t="shared" si="236"/>
        <v>神器6-1 : 9级</v>
      </c>
      <c r="HF459" s="14" t="s">
        <v>800</v>
      </c>
      <c r="HG459" s="14">
        <f t="shared" si="237"/>
        <v>9</v>
      </c>
      <c r="HH459" s="14" t="str">
        <f t="shared" si="238"/>
        <v>神器6-1</v>
      </c>
      <c r="HI459" s="14">
        <f t="shared" si="239"/>
        <v>3</v>
      </c>
      <c r="HJ459" s="14" t="s">
        <v>1595</v>
      </c>
      <c r="HK459" s="14">
        <f t="shared" si="240"/>
        <v>13700</v>
      </c>
    </row>
    <row r="460" spans="207:219" ht="16.5" x14ac:dyDescent="0.2">
      <c r="GY460" s="91">
        <v>454</v>
      </c>
      <c r="GZ460" s="14">
        <f t="shared" si="231"/>
        <v>27</v>
      </c>
      <c r="HA460" s="14">
        <f t="shared" si="232"/>
        <v>6</v>
      </c>
      <c r="HB460" s="14">
        <f t="shared" si="233"/>
        <v>2</v>
      </c>
      <c r="HC460" s="14">
        <f t="shared" si="234"/>
        <v>0.52</v>
      </c>
      <c r="HD460" s="14">
        <f t="shared" si="235"/>
        <v>1606029</v>
      </c>
      <c r="HE460" s="14" t="str">
        <f t="shared" si="236"/>
        <v>神器6-1 : 10级</v>
      </c>
      <c r="HF460" s="14" t="s">
        <v>800</v>
      </c>
      <c r="HG460" s="14">
        <f t="shared" si="237"/>
        <v>10</v>
      </c>
      <c r="HH460" s="14" t="str">
        <f t="shared" si="238"/>
        <v>神器6-1</v>
      </c>
      <c r="HI460" s="14">
        <f t="shared" si="239"/>
        <v>5</v>
      </c>
      <c r="HJ460" s="14" t="s">
        <v>1595</v>
      </c>
      <c r="HK460" s="14">
        <f t="shared" si="240"/>
        <v>14000</v>
      </c>
    </row>
    <row r="461" spans="207:219" ht="16.5" x14ac:dyDescent="0.2">
      <c r="GY461" s="91">
        <v>455</v>
      </c>
      <c r="GZ461" s="14">
        <f t="shared" si="231"/>
        <v>27</v>
      </c>
      <c r="HA461" s="14">
        <f t="shared" si="232"/>
        <v>6</v>
      </c>
      <c r="HB461" s="14">
        <f t="shared" si="233"/>
        <v>2</v>
      </c>
      <c r="HC461" s="14">
        <f t="shared" si="234"/>
        <v>0.53100000000000003</v>
      </c>
      <c r="HD461" s="14">
        <f t="shared" si="235"/>
        <v>1606029</v>
      </c>
      <c r="HE461" s="14" t="str">
        <f t="shared" si="236"/>
        <v>神器6-1 : 11级</v>
      </c>
      <c r="HF461" s="14" t="s">
        <v>800</v>
      </c>
      <c r="HG461" s="14">
        <f t="shared" si="237"/>
        <v>11</v>
      </c>
      <c r="HH461" s="14" t="str">
        <f t="shared" si="238"/>
        <v>神器6-1</v>
      </c>
      <c r="HI461" s="14">
        <f t="shared" si="239"/>
        <v>5</v>
      </c>
      <c r="HJ461" s="14" t="s">
        <v>1595</v>
      </c>
      <c r="HK461" s="14">
        <f t="shared" si="240"/>
        <v>14300</v>
      </c>
    </row>
    <row r="462" spans="207:219" ht="16.5" x14ac:dyDescent="0.2">
      <c r="GY462" s="91">
        <v>456</v>
      </c>
      <c r="GZ462" s="14">
        <f t="shared" si="231"/>
        <v>27</v>
      </c>
      <c r="HA462" s="14">
        <f t="shared" si="232"/>
        <v>6</v>
      </c>
      <c r="HB462" s="14">
        <f t="shared" si="233"/>
        <v>2</v>
      </c>
      <c r="HC462" s="14">
        <f t="shared" si="234"/>
        <v>0.54200000000000004</v>
      </c>
      <c r="HD462" s="14">
        <f t="shared" si="235"/>
        <v>1606029</v>
      </c>
      <c r="HE462" s="14" t="str">
        <f t="shared" si="236"/>
        <v>神器6-1 : 12级</v>
      </c>
      <c r="HF462" s="14" t="s">
        <v>800</v>
      </c>
      <c r="HG462" s="14">
        <f t="shared" si="237"/>
        <v>12</v>
      </c>
      <c r="HH462" s="14" t="str">
        <f t="shared" si="238"/>
        <v>神器6-1</v>
      </c>
      <c r="HI462" s="14">
        <f t="shared" si="239"/>
        <v>6</v>
      </c>
      <c r="HJ462" s="14" t="s">
        <v>1595</v>
      </c>
      <c r="HK462" s="14">
        <f t="shared" si="240"/>
        <v>14600</v>
      </c>
    </row>
    <row r="463" spans="207:219" ht="16.5" x14ac:dyDescent="0.2">
      <c r="GY463" s="91">
        <v>457</v>
      </c>
      <c r="GZ463" s="14">
        <f t="shared" si="231"/>
        <v>27</v>
      </c>
      <c r="HA463" s="14">
        <f t="shared" si="232"/>
        <v>6</v>
      </c>
      <c r="HB463" s="14">
        <f t="shared" si="233"/>
        <v>2</v>
      </c>
      <c r="HC463" s="14">
        <f t="shared" si="234"/>
        <v>0.55300000000000005</v>
      </c>
      <c r="HD463" s="14">
        <f t="shared" si="235"/>
        <v>1606029</v>
      </c>
      <c r="HE463" s="14" t="str">
        <f t="shared" si="236"/>
        <v>神器6-1 : 13级</v>
      </c>
      <c r="HF463" s="14" t="s">
        <v>800</v>
      </c>
      <c r="HG463" s="14">
        <f t="shared" si="237"/>
        <v>13</v>
      </c>
      <c r="HH463" s="14" t="str">
        <f t="shared" si="238"/>
        <v>神器6-1</v>
      </c>
      <c r="HI463" s="14">
        <f t="shared" si="239"/>
        <v>7</v>
      </c>
      <c r="HJ463" s="14" t="s">
        <v>1595</v>
      </c>
      <c r="HK463" s="14">
        <f t="shared" si="240"/>
        <v>14900</v>
      </c>
    </row>
    <row r="464" spans="207:219" ht="16.5" x14ac:dyDescent="0.2">
      <c r="GY464" s="91">
        <v>458</v>
      </c>
      <c r="GZ464" s="14">
        <f t="shared" si="231"/>
        <v>27</v>
      </c>
      <c r="HA464" s="14">
        <f t="shared" si="232"/>
        <v>6</v>
      </c>
      <c r="HB464" s="14">
        <f t="shared" si="233"/>
        <v>2</v>
      </c>
      <c r="HC464" s="14">
        <f t="shared" si="234"/>
        <v>0.56399999999999995</v>
      </c>
      <c r="HD464" s="14">
        <f t="shared" si="235"/>
        <v>1606029</v>
      </c>
      <c r="HE464" s="14" t="str">
        <f t="shared" si="236"/>
        <v>神器6-1 : 14级</v>
      </c>
      <c r="HF464" s="14" t="s">
        <v>800</v>
      </c>
      <c r="HG464" s="14">
        <f t="shared" si="237"/>
        <v>14</v>
      </c>
      <c r="HH464" s="14" t="str">
        <f t="shared" si="238"/>
        <v>神器6-1</v>
      </c>
      <c r="HI464" s="14">
        <f t="shared" si="239"/>
        <v>7</v>
      </c>
      <c r="HJ464" s="14" t="s">
        <v>1595</v>
      </c>
      <c r="HK464" s="14">
        <f t="shared" si="240"/>
        <v>15200</v>
      </c>
    </row>
    <row r="465" spans="207:219" ht="16.5" x14ac:dyDescent="0.2">
      <c r="GY465" s="91">
        <v>459</v>
      </c>
      <c r="GZ465" s="14">
        <f t="shared" si="231"/>
        <v>27</v>
      </c>
      <c r="HA465" s="14">
        <f t="shared" si="232"/>
        <v>6</v>
      </c>
      <c r="HB465" s="14">
        <f t="shared" si="233"/>
        <v>2</v>
      </c>
      <c r="HC465" s="14">
        <f t="shared" si="234"/>
        <v>0.57399999999999995</v>
      </c>
      <c r="HD465" s="14">
        <f t="shared" si="235"/>
        <v>1606029</v>
      </c>
      <c r="HE465" s="14" t="str">
        <f t="shared" si="236"/>
        <v>神器6-1 : 15级</v>
      </c>
      <c r="HF465" s="14" t="s">
        <v>800</v>
      </c>
      <c r="HG465" s="14">
        <f t="shared" si="237"/>
        <v>15</v>
      </c>
      <c r="HH465" s="14" t="str">
        <f t="shared" si="238"/>
        <v>神器6-1</v>
      </c>
      <c r="HI465" s="14">
        <f t="shared" si="239"/>
        <v>7</v>
      </c>
      <c r="HJ465" s="14" t="s">
        <v>1595</v>
      </c>
      <c r="HK465" s="14">
        <f t="shared" si="240"/>
        <v>15450</v>
      </c>
    </row>
    <row r="466" spans="207:219" ht="16.5" x14ac:dyDescent="0.2">
      <c r="GY466" s="91">
        <v>460</v>
      </c>
      <c r="GZ466" s="14">
        <f t="shared" si="231"/>
        <v>27</v>
      </c>
      <c r="HA466" s="14">
        <f t="shared" si="232"/>
        <v>6</v>
      </c>
      <c r="HB466" s="14">
        <f t="shared" si="233"/>
        <v>2</v>
      </c>
      <c r="HC466" s="14">
        <f t="shared" si="234"/>
        <v>0.58499999999999996</v>
      </c>
      <c r="HD466" s="14">
        <f t="shared" si="235"/>
        <v>1606029</v>
      </c>
      <c r="HE466" s="14" t="str">
        <f t="shared" si="236"/>
        <v>神器6-1 : 16级</v>
      </c>
      <c r="HF466" s="14" t="s">
        <v>800</v>
      </c>
      <c r="HG466" s="14">
        <f t="shared" si="237"/>
        <v>16</v>
      </c>
      <c r="HH466" s="14" t="str">
        <f t="shared" si="238"/>
        <v>神器6-1</v>
      </c>
      <c r="HI466" s="14">
        <f t="shared" si="239"/>
        <v>10</v>
      </c>
      <c r="HJ466" s="14" t="s">
        <v>1595</v>
      </c>
      <c r="HK466" s="14">
        <f t="shared" si="240"/>
        <v>15750</v>
      </c>
    </row>
    <row r="467" spans="207:219" ht="16.5" x14ac:dyDescent="0.2">
      <c r="GY467" s="91">
        <v>461</v>
      </c>
      <c r="GZ467" s="14">
        <f t="shared" si="231"/>
        <v>27</v>
      </c>
      <c r="HA467" s="14">
        <f t="shared" si="232"/>
        <v>6</v>
      </c>
      <c r="HB467" s="14">
        <f t="shared" si="233"/>
        <v>2</v>
      </c>
      <c r="HC467" s="14">
        <f t="shared" si="234"/>
        <v>0.59499999999999997</v>
      </c>
      <c r="HD467" s="14">
        <f t="shared" si="235"/>
        <v>1606029</v>
      </c>
      <c r="HE467" s="14" t="str">
        <f t="shared" si="236"/>
        <v>神器6-1 : 17级</v>
      </c>
      <c r="HF467" s="14" t="s">
        <v>800</v>
      </c>
      <c r="HG467" s="14">
        <f t="shared" si="237"/>
        <v>17</v>
      </c>
      <c r="HH467" s="14" t="str">
        <f t="shared" si="238"/>
        <v>神器6-1</v>
      </c>
      <c r="HI467" s="14">
        <f t="shared" si="239"/>
        <v>10</v>
      </c>
      <c r="HJ467" s="14" t="s">
        <v>1595</v>
      </c>
      <c r="HK467" s="14">
        <f t="shared" si="240"/>
        <v>16050</v>
      </c>
    </row>
    <row r="468" spans="207:219" ht="16.5" x14ac:dyDescent="0.2">
      <c r="GY468" s="91">
        <v>462</v>
      </c>
      <c r="GZ468" s="14">
        <f t="shared" si="231"/>
        <v>27</v>
      </c>
      <c r="HA468" s="14">
        <f t="shared" si="232"/>
        <v>6</v>
      </c>
      <c r="HB468" s="14">
        <f t="shared" si="233"/>
        <v>2</v>
      </c>
      <c r="HC468" s="14">
        <f t="shared" si="234"/>
        <v>0.60499999999999998</v>
      </c>
      <c r="HD468" s="14">
        <f t="shared" si="235"/>
        <v>1606029</v>
      </c>
      <c r="HE468" s="14" t="str">
        <f t="shared" si="236"/>
        <v>神器6-1 : 18级</v>
      </c>
      <c r="HF468" s="14" t="s">
        <v>800</v>
      </c>
      <c r="HG468" s="14">
        <f t="shared" si="237"/>
        <v>18</v>
      </c>
      <c r="HH468" s="14" t="str">
        <f t="shared" si="238"/>
        <v>神器6-1</v>
      </c>
      <c r="HI468" s="14">
        <f t="shared" si="239"/>
        <v>10</v>
      </c>
      <c r="HJ468" s="14" t="s">
        <v>1595</v>
      </c>
      <c r="HK468" s="14">
        <f t="shared" si="240"/>
        <v>16300</v>
      </c>
    </row>
    <row r="469" spans="207:219" ht="16.5" x14ac:dyDescent="0.2">
      <c r="GY469" s="91">
        <v>463</v>
      </c>
      <c r="GZ469" s="14">
        <f t="shared" si="231"/>
        <v>27</v>
      </c>
      <c r="HA469" s="14">
        <f t="shared" si="232"/>
        <v>6</v>
      </c>
      <c r="HB469" s="14">
        <f t="shared" si="233"/>
        <v>2</v>
      </c>
      <c r="HC469" s="14">
        <f t="shared" si="234"/>
        <v>0.61499999999999999</v>
      </c>
      <c r="HD469" s="14">
        <f t="shared" si="235"/>
        <v>1606029</v>
      </c>
      <c r="HE469" s="14" t="str">
        <f t="shared" si="236"/>
        <v>神器6-1 : 19级</v>
      </c>
      <c r="HF469" s="14" t="s">
        <v>800</v>
      </c>
      <c r="HG469" s="14">
        <f t="shared" si="237"/>
        <v>19</v>
      </c>
      <c r="HH469" s="14" t="str">
        <f t="shared" si="238"/>
        <v>神器6-1</v>
      </c>
      <c r="HI469" s="14">
        <f t="shared" si="239"/>
        <v>15</v>
      </c>
      <c r="HJ469" s="14" t="s">
        <v>1595</v>
      </c>
      <c r="HK469" s="14">
        <f t="shared" si="240"/>
        <v>16550</v>
      </c>
    </row>
    <row r="470" spans="207:219" ht="16.5" x14ac:dyDescent="0.2">
      <c r="GY470" s="91">
        <v>464</v>
      </c>
      <c r="GZ470" s="14">
        <f t="shared" si="231"/>
        <v>27</v>
      </c>
      <c r="HA470" s="14">
        <f t="shared" si="232"/>
        <v>6</v>
      </c>
      <c r="HB470" s="14">
        <f t="shared" si="233"/>
        <v>2</v>
      </c>
      <c r="HC470" s="14">
        <f t="shared" si="234"/>
        <v>0.624</v>
      </c>
      <c r="HD470" s="14">
        <f t="shared" si="235"/>
        <v>1606029</v>
      </c>
      <c r="HE470" s="14" t="str">
        <f t="shared" si="236"/>
        <v>神器6-1 : 20级</v>
      </c>
      <c r="HF470" s="14" t="s">
        <v>800</v>
      </c>
      <c r="HG470" s="14">
        <f t="shared" si="237"/>
        <v>20</v>
      </c>
      <c r="HH470" s="14" t="str">
        <f t="shared" si="238"/>
        <v>神器6-1</v>
      </c>
      <c r="HI470" s="14">
        <f t="shared" si="239"/>
        <v>15</v>
      </c>
      <c r="HJ470" s="14" t="s">
        <v>1595</v>
      </c>
      <c r="HK470" s="14">
        <f t="shared" si="240"/>
        <v>16800</v>
      </c>
    </row>
    <row r="471" spans="207:219" ht="16.5" x14ac:dyDescent="0.2">
      <c r="GY471" s="91">
        <v>465</v>
      </c>
      <c r="GZ471" s="14">
        <f t="shared" si="231"/>
        <v>27</v>
      </c>
      <c r="HA471" s="14">
        <f t="shared" si="232"/>
        <v>6</v>
      </c>
      <c r="HB471" s="14">
        <f t="shared" si="233"/>
        <v>2</v>
      </c>
      <c r="HC471" s="14">
        <f t="shared" si="234"/>
        <v>0.63400000000000001</v>
      </c>
      <c r="HD471" s="14">
        <f t="shared" si="235"/>
        <v>1606029</v>
      </c>
      <c r="HE471" s="14" t="str">
        <f t="shared" si="236"/>
        <v>神器6-1 : 21级</v>
      </c>
      <c r="HF471" s="14" t="s">
        <v>800</v>
      </c>
      <c r="HG471" s="14">
        <f t="shared" si="237"/>
        <v>21</v>
      </c>
      <c r="HH471" s="14" t="str">
        <f t="shared" si="238"/>
        <v>神器6-1</v>
      </c>
      <c r="HI471" s="14">
        <f t="shared" si="239"/>
        <v>15</v>
      </c>
      <c r="HJ471" s="14" t="s">
        <v>1595</v>
      </c>
      <c r="HK471" s="14">
        <f t="shared" si="240"/>
        <v>17100</v>
      </c>
    </row>
    <row r="472" spans="207:219" ht="16.5" x14ac:dyDescent="0.2">
      <c r="GY472" s="91">
        <v>466</v>
      </c>
      <c r="GZ472" s="14">
        <f t="shared" si="231"/>
        <v>28</v>
      </c>
      <c r="HA472" s="14">
        <f t="shared" si="232"/>
        <v>6</v>
      </c>
      <c r="HB472" s="14">
        <f t="shared" si="233"/>
        <v>2</v>
      </c>
      <c r="HC472" s="14">
        <f t="shared" si="234"/>
        <v>0.40200000000000002</v>
      </c>
      <c r="HD472" s="14">
        <f t="shared" si="235"/>
        <v>1606030</v>
      </c>
      <c r="HE472" s="14" t="str">
        <f t="shared" si="236"/>
        <v>神器6-2 : 1级</v>
      </c>
      <c r="HF472" s="14" t="s">
        <v>800</v>
      </c>
      <c r="HG472" s="14">
        <f t="shared" si="237"/>
        <v>1</v>
      </c>
      <c r="HH472" s="14" t="str">
        <f t="shared" si="238"/>
        <v>神器6-2</v>
      </c>
      <c r="HI472" s="14">
        <f t="shared" si="239"/>
        <v>1</v>
      </c>
      <c r="HJ472" s="14" t="s">
        <v>1595</v>
      </c>
      <c r="HK472" s="14">
        <f t="shared" si="240"/>
        <v>10850</v>
      </c>
    </row>
    <row r="473" spans="207:219" ht="16.5" x14ac:dyDescent="0.2">
      <c r="GY473" s="91">
        <v>467</v>
      </c>
      <c r="GZ473" s="14">
        <f t="shared" si="231"/>
        <v>28</v>
      </c>
      <c r="HA473" s="14">
        <f t="shared" si="232"/>
        <v>6</v>
      </c>
      <c r="HB473" s="14">
        <f t="shared" si="233"/>
        <v>2</v>
      </c>
      <c r="HC473" s="14">
        <f t="shared" si="234"/>
        <v>0.41699999999999998</v>
      </c>
      <c r="HD473" s="14">
        <f t="shared" si="235"/>
        <v>1606030</v>
      </c>
      <c r="HE473" s="14" t="str">
        <f t="shared" si="236"/>
        <v>神器6-2 : 2级</v>
      </c>
      <c r="HF473" s="14" t="s">
        <v>800</v>
      </c>
      <c r="HG473" s="14">
        <f t="shared" si="237"/>
        <v>2</v>
      </c>
      <c r="HH473" s="14" t="str">
        <f t="shared" si="238"/>
        <v>神器6-2</v>
      </c>
      <c r="HI473" s="14">
        <f t="shared" si="239"/>
        <v>1</v>
      </c>
      <c r="HJ473" s="14" t="s">
        <v>1595</v>
      </c>
      <c r="HK473" s="14">
        <f t="shared" si="240"/>
        <v>11250</v>
      </c>
    </row>
    <row r="474" spans="207:219" ht="16.5" x14ac:dyDescent="0.2">
      <c r="GY474" s="91">
        <v>468</v>
      </c>
      <c r="GZ474" s="14">
        <f t="shared" si="231"/>
        <v>28</v>
      </c>
      <c r="HA474" s="14">
        <f t="shared" si="232"/>
        <v>6</v>
      </c>
      <c r="HB474" s="14">
        <f t="shared" si="233"/>
        <v>2</v>
      </c>
      <c r="HC474" s="14">
        <f t="shared" si="234"/>
        <v>0.43099999999999999</v>
      </c>
      <c r="HD474" s="14">
        <f t="shared" si="235"/>
        <v>1606030</v>
      </c>
      <c r="HE474" s="14" t="str">
        <f t="shared" si="236"/>
        <v>神器6-2 : 3级</v>
      </c>
      <c r="HF474" s="14" t="s">
        <v>800</v>
      </c>
      <c r="HG474" s="14">
        <f t="shared" si="237"/>
        <v>3</v>
      </c>
      <c r="HH474" s="14" t="str">
        <f t="shared" si="238"/>
        <v>神器6-2</v>
      </c>
      <c r="HI474" s="14">
        <f t="shared" si="239"/>
        <v>1</v>
      </c>
      <c r="HJ474" s="14" t="s">
        <v>1595</v>
      </c>
      <c r="HK474" s="14">
        <f t="shared" si="240"/>
        <v>11600</v>
      </c>
    </row>
    <row r="475" spans="207:219" ht="16.5" x14ac:dyDescent="0.2">
      <c r="GY475" s="91">
        <v>469</v>
      </c>
      <c r="GZ475" s="14">
        <f t="shared" si="231"/>
        <v>28</v>
      </c>
      <c r="HA475" s="14">
        <f t="shared" si="232"/>
        <v>6</v>
      </c>
      <c r="HB475" s="14">
        <f t="shared" si="233"/>
        <v>2</v>
      </c>
      <c r="HC475" s="14">
        <f t="shared" si="234"/>
        <v>0.44500000000000001</v>
      </c>
      <c r="HD475" s="14">
        <f t="shared" si="235"/>
        <v>1606030</v>
      </c>
      <c r="HE475" s="14" t="str">
        <f t="shared" si="236"/>
        <v>神器6-2 : 4级</v>
      </c>
      <c r="HF475" s="14" t="s">
        <v>800</v>
      </c>
      <c r="HG475" s="14">
        <f t="shared" si="237"/>
        <v>4</v>
      </c>
      <c r="HH475" s="14" t="str">
        <f t="shared" si="238"/>
        <v>神器6-2</v>
      </c>
      <c r="HI475" s="14">
        <f t="shared" si="239"/>
        <v>2</v>
      </c>
      <c r="HJ475" s="14" t="s">
        <v>1595</v>
      </c>
      <c r="HK475" s="14">
        <f t="shared" si="240"/>
        <v>12000</v>
      </c>
    </row>
    <row r="476" spans="207:219" ht="16.5" x14ac:dyDescent="0.2">
      <c r="GY476" s="91">
        <v>470</v>
      </c>
      <c r="GZ476" s="14">
        <f t="shared" si="231"/>
        <v>28</v>
      </c>
      <c r="HA476" s="14">
        <f t="shared" si="232"/>
        <v>6</v>
      </c>
      <c r="HB476" s="14">
        <f t="shared" si="233"/>
        <v>2</v>
      </c>
      <c r="HC476" s="14">
        <f t="shared" si="234"/>
        <v>0.45800000000000002</v>
      </c>
      <c r="HD476" s="14">
        <f t="shared" si="235"/>
        <v>1606030</v>
      </c>
      <c r="HE476" s="14" t="str">
        <f t="shared" si="236"/>
        <v>神器6-2 : 5级</v>
      </c>
      <c r="HF476" s="14" t="s">
        <v>800</v>
      </c>
      <c r="HG476" s="14">
        <f t="shared" si="237"/>
        <v>5</v>
      </c>
      <c r="HH476" s="14" t="str">
        <f t="shared" si="238"/>
        <v>神器6-2</v>
      </c>
      <c r="HI476" s="14">
        <f t="shared" si="239"/>
        <v>2</v>
      </c>
      <c r="HJ476" s="14" t="s">
        <v>1595</v>
      </c>
      <c r="HK476" s="14">
        <f t="shared" si="240"/>
        <v>12350</v>
      </c>
    </row>
    <row r="477" spans="207:219" ht="16.5" x14ac:dyDescent="0.2">
      <c r="GY477" s="91">
        <v>471</v>
      </c>
      <c r="GZ477" s="14">
        <f t="shared" si="231"/>
        <v>28</v>
      </c>
      <c r="HA477" s="14">
        <f t="shared" si="232"/>
        <v>6</v>
      </c>
      <c r="HB477" s="14">
        <f t="shared" si="233"/>
        <v>2</v>
      </c>
      <c r="HC477" s="14">
        <f t="shared" si="234"/>
        <v>0.47099999999999997</v>
      </c>
      <c r="HD477" s="14">
        <f t="shared" si="235"/>
        <v>1606030</v>
      </c>
      <c r="HE477" s="14" t="str">
        <f t="shared" si="236"/>
        <v>神器6-2 : 6级</v>
      </c>
      <c r="HF477" s="14" t="s">
        <v>800</v>
      </c>
      <c r="HG477" s="14">
        <f t="shared" si="237"/>
        <v>6</v>
      </c>
      <c r="HH477" s="14" t="str">
        <f t="shared" si="238"/>
        <v>神器6-2</v>
      </c>
      <c r="HI477" s="14">
        <f t="shared" si="239"/>
        <v>2</v>
      </c>
      <c r="HJ477" s="14" t="s">
        <v>1595</v>
      </c>
      <c r="HK477" s="14">
        <f t="shared" si="240"/>
        <v>12700</v>
      </c>
    </row>
    <row r="478" spans="207:219" ht="16.5" x14ac:dyDescent="0.2">
      <c r="GY478" s="91">
        <v>472</v>
      </c>
      <c r="GZ478" s="14">
        <f t="shared" si="231"/>
        <v>28</v>
      </c>
      <c r="HA478" s="14">
        <f t="shared" si="232"/>
        <v>6</v>
      </c>
      <c r="HB478" s="14">
        <f t="shared" si="233"/>
        <v>2</v>
      </c>
      <c r="HC478" s="14">
        <f t="shared" si="234"/>
        <v>0.48399999999999999</v>
      </c>
      <c r="HD478" s="14">
        <f t="shared" si="235"/>
        <v>1606030</v>
      </c>
      <c r="HE478" s="14" t="str">
        <f t="shared" si="236"/>
        <v>神器6-2 : 7级</v>
      </c>
      <c r="HF478" s="14" t="s">
        <v>800</v>
      </c>
      <c r="HG478" s="14">
        <f t="shared" si="237"/>
        <v>7</v>
      </c>
      <c r="HH478" s="14" t="str">
        <f t="shared" si="238"/>
        <v>神器6-2</v>
      </c>
      <c r="HI478" s="14">
        <f t="shared" si="239"/>
        <v>3</v>
      </c>
      <c r="HJ478" s="14" t="s">
        <v>1595</v>
      </c>
      <c r="HK478" s="14">
        <f t="shared" si="240"/>
        <v>13050</v>
      </c>
    </row>
    <row r="479" spans="207:219" ht="16.5" x14ac:dyDescent="0.2">
      <c r="GY479" s="91">
        <v>473</v>
      </c>
      <c r="GZ479" s="14">
        <f t="shared" si="231"/>
        <v>28</v>
      </c>
      <c r="HA479" s="14">
        <f t="shared" si="232"/>
        <v>6</v>
      </c>
      <c r="HB479" s="14">
        <f t="shared" si="233"/>
        <v>2</v>
      </c>
      <c r="HC479" s="14">
        <f t="shared" si="234"/>
        <v>0.496</v>
      </c>
      <c r="HD479" s="14">
        <f t="shared" si="235"/>
        <v>1606030</v>
      </c>
      <c r="HE479" s="14" t="str">
        <f t="shared" si="236"/>
        <v>神器6-2 : 8级</v>
      </c>
      <c r="HF479" s="14" t="s">
        <v>800</v>
      </c>
      <c r="HG479" s="14">
        <f t="shared" si="237"/>
        <v>8</v>
      </c>
      <c r="HH479" s="14" t="str">
        <f t="shared" si="238"/>
        <v>神器6-2</v>
      </c>
      <c r="HI479" s="14">
        <f t="shared" si="239"/>
        <v>3</v>
      </c>
      <c r="HJ479" s="14" t="s">
        <v>1595</v>
      </c>
      <c r="HK479" s="14">
        <f t="shared" si="240"/>
        <v>13350</v>
      </c>
    </row>
    <row r="480" spans="207:219" ht="16.5" x14ac:dyDescent="0.2">
      <c r="GY480" s="91">
        <v>474</v>
      </c>
      <c r="GZ480" s="14">
        <f t="shared" si="231"/>
        <v>28</v>
      </c>
      <c r="HA480" s="14">
        <f t="shared" si="232"/>
        <v>6</v>
      </c>
      <c r="HB480" s="14">
        <f t="shared" si="233"/>
        <v>2</v>
      </c>
      <c r="HC480" s="14">
        <f t="shared" si="234"/>
        <v>0.50800000000000001</v>
      </c>
      <c r="HD480" s="14">
        <f t="shared" si="235"/>
        <v>1606030</v>
      </c>
      <c r="HE480" s="14" t="str">
        <f t="shared" si="236"/>
        <v>神器6-2 : 9级</v>
      </c>
      <c r="HF480" s="14" t="s">
        <v>800</v>
      </c>
      <c r="HG480" s="14">
        <f t="shared" si="237"/>
        <v>9</v>
      </c>
      <c r="HH480" s="14" t="str">
        <f t="shared" si="238"/>
        <v>神器6-2</v>
      </c>
      <c r="HI480" s="14">
        <f t="shared" si="239"/>
        <v>3</v>
      </c>
      <c r="HJ480" s="14" t="s">
        <v>1595</v>
      </c>
      <c r="HK480" s="14">
        <f t="shared" si="240"/>
        <v>13700</v>
      </c>
    </row>
    <row r="481" spans="207:219" ht="16.5" x14ac:dyDescent="0.2">
      <c r="GY481" s="91">
        <v>475</v>
      </c>
      <c r="GZ481" s="14">
        <f t="shared" si="231"/>
        <v>28</v>
      </c>
      <c r="HA481" s="14">
        <f t="shared" si="232"/>
        <v>6</v>
      </c>
      <c r="HB481" s="14">
        <f t="shared" si="233"/>
        <v>2</v>
      </c>
      <c r="HC481" s="14">
        <f t="shared" si="234"/>
        <v>0.52</v>
      </c>
      <c r="HD481" s="14">
        <f t="shared" si="235"/>
        <v>1606030</v>
      </c>
      <c r="HE481" s="14" t="str">
        <f t="shared" si="236"/>
        <v>神器6-2 : 10级</v>
      </c>
      <c r="HF481" s="14" t="s">
        <v>800</v>
      </c>
      <c r="HG481" s="14">
        <f t="shared" si="237"/>
        <v>10</v>
      </c>
      <c r="HH481" s="14" t="str">
        <f t="shared" si="238"/>
        <v>神器6-2</v>
      </c>
      <c r="HI481" s="14">
        <f t="shared" si="239"/>
        <v>5</v>
      </c>
      <c r="HJ481" s="14" t="s">
        <v>1595</v>
      </c>
      <c r="HK481" s="14">
        <f t="shared" si="240"/>
        <v>14000</v>
      </c>
    </row>
    <row r="482" spans="207:219" ht="16.5" x14ac:dyDescent="0.2">
      <c r="GY482" s="91">
        <v>476</v>
      </c>
      <c r="GZ482" s="14">
        <f t="shared" si="231"/>
        <v>28</v>
      </c>
      <c r="HA482" s="14">
        <f t="shared" si="232"/>
        <v>6</v>
      </c>
      <c r="HB482" s="14">
        <f t="shared" si="233"/>
        <v>2</v>
      </c>
      <c r="HC482" s="14">
        <f t="shared" si="234"/>
        <v>0.53100000000000003</v>
      </c>
      <c r="HD482" s="14">
        <f t="shared" si="235"/>
        <v>1606030</v>
      </c>
      <c r="HE482" s="14" t="str">
        <f t="shared" si="236"/>
        <v>神器6-2 : 11级</v>
      </c>
      <c r="HF482" s="14" t="s">
        <v>800</v>
      </c>
      <c r="HG482" s="14">
        <f t="shared" si="237"/>
        <v>11</v>
      </c>
      <c r="HH482" s="14" t="str">
        <f t="shared" si="238"/>
        <v>神器6-2</v>
      </c>
      <c r="HI482" s="14">
        <f t="shared" si="239"/>
        <v>5</v>
      </c>
      <c r="HJ482" s="14" t="s">
        <v>1595</v>
      </c>
      <c r="HK482" s="14">
        <f t="shared" si="240"/>
        <v>14300</v>
      </c>
    </row>
    <row r="483" spans="207:219" ht="16.5" x14ac:dyDescent="0.2">
      <c r="GY483" s="91">
        <v>477</v>
      </c>
      <c r="GZ483" s="14">
        <f t="shared" si="231"/>
        <v>28</v>
      </c>
      <c r="HA483" s="14">
        <f t="shared" si="232"/>
        <v>6</v>
      </c>
      <c r="HB483" s="14">
        <f t="shared" si="233"/>
        <v>2</v>
      </c>
      <c r="HC483" s="14">
        <f t="shared" si="234"/>
        <v>0.54200000000000004</v>
      </c>
      <c r="HD483" s="14">
        <f t="shared" si="235"/>
        <v>1606030</v>
      </c>
      <c r="HE483" s="14" t="str">
        <f t="shared" si="236"/>
        <v>神器6-2 : 12级</v>
      </c>
      <c r="HF483" s="14" t="s">
        <v>800</v>
      </c>
      <c r="HG483" s="14">
        <f t="shared" si="237"/>
        <v>12</v>
      </c>
      <c r="HH483" s="14" t="str">
        <f t="shared" si="238"/>
        <v>神器6-2</v>
      </c>
      <c r="HI483" s="14">
        <f t="shared" si="239"/>
        <v>6</v>
      </c>
      <c r="HJ483" s="14" t="s">
        <v>1595</v>
      </c>
      <c r="HK483" s="14">
        <f t="shared" si="240"/>
        <v>14600</v>
      </c>
    </row>
    <row r="484" spans="207:219" ht="16.5" x14ac:dyDescent="0.2">
      <c r="GY484" s="91">
        <v>478</v>
      </c>
      <c r="GZ484" s="14">
        <f t="shared" si="231"/>
        <v>28</v>
      </c>
      <c r="HA484" s="14">
        <f t="shared" si="232"/>
        <v>6</v>
      </c>
      <c r="HB484" s="14">
        <f t="shared" si="233"/>
        <v>2</v>
      </c>
      <c r="HC484" s="14">
        <f t="shared" si="234"/>
        <v>0.55300000000000005</v>
      </c>
      <c r="HD484" s="14">
        <f t="shared" si="235"/>
        <v>1606030</v>
      </c>
      <c r="HE484" s="14" t="str">
        <f t="shared" si="236"/>
        <v>神器6-2 : 13级</v>
      </c>
      <c r="HF484" s="14" t="s">
        <v>800</v>
      </c>
      <c r="HG484" s="14">
        <f t="shared" si="237"/>
        <v>13</v>
      </c>
      <c r="HH484" s="14" t="str">
        <f t="shared" si="238"/>
        <v>神器6-2</v>
      </c>
      <c r="HI484" s="14">
        <f t="shared" si="239"/>
        <v>7</v>
      </c>
      <c r="HJ484" s="14" t="s">
        <v>1595</v>
      </c>
      <c r="HK484" s="14">
        <f t="shared" si="240"/>
        <v>14900</v>
      </c>
    </row>
    <row r="485" spans="207:219" ht="16.5" x14ac:dyDescent="0.2">
      <c r="GY485" s="91">
        <v>479</v>
      </c>
      <c r="GZ485" s="14">
        <f t="shared" si="231"/>
        <v>28</v>
      </c>
      <c r="HA485" s="14">
        <f t="shared" si="232"/>
        <v>6</v>
      </c>
      <c r="HB485" s="14">
        <f t="shared" si="233"/>
        <v>2</v>
      </c>
      <c r="HC485" s="14">
        <f t="shared" si="234"/>
        <v>0.56399999999999995</v>
      </c>
      <c r="HD485" s="14">
        <f t="shared" si="235"/>
        <v>1606030</v>
      </c>
      <c r="HE485" s="14" t="str">
        <f t="shared" si="236"/>
        <v>神器6-2 : 14级</v>
      </c>
      <c r="HF485" s="14" t="s">
        <v>800</v>
      </c>
      <c r="HG485" s="14">
        <f t="shared" si="237"/>
        <v>14</v>
      </c>
      <c r="HH485" s="14" t="str">
        <f t="shared" si="238"/>
        <v>神器6-2</v>
      </c>
      <c r="HI485" s="14">
        <f t="shared" si="239"/>
        <v>7</v>
      </c>
      <c r="HJ485" s="14" t="s">
        <v>1595</v>
      </c>
      <c r="HK485" s="14">
        <f t="shared" si="240"/>
        <v>15200</v>
      </c>
    </row>
    <row r="486" spans="207:219" ht="16.5" x14ac:dyDescent="0.2">
      <c r="GY486" s="91">
        <v>480</v>
      </c>
      <c r="GZ486" s="14">
        <f t="shared" si="231"/>
        <v>28</v>
      </c>
      <c r="HA486" s="14">
        <f t="shared" si="232"/>
        <v>6</v>
      </c>
      <c r="HB486" s="14">
        <f t="shared" si="233"/>
        <v>2</v>
      </c>
      <c r="HC486" s="14">
        <f t="shared" si="234"/>
        <v>0.57399999999999995</v>
      </c>
      <c r="HD486" s="14">
        <f t="shared" si="235"/>
        <v>1606030</v>
      </c>
      <c r="HE486" s="14" t="str">
        <f t="shared" si="236"/>
        <v>神器6-2 : 15级</v>
      </c>
      <c r="HF486" s="14" t="s">
        <v>800</v>
      </c>
      <c r="HG486" s="14">
        <f t="shared" si="237"/>
        <v>15</v>
      </c>
      <c r="HH486" s="14" t="str">
        <f t="shared" si="238"/>
        <v>神器6-2</v>
      </c>
      <c r="HI486" s="14">
        <f t="shared" si="239"/>
        <v>7</v>
      </c>
      <c r="HJ486" s="14" t="s">
        <v>1595</v>
      </c>
      <c r="HK486" s="14">
        <f t="shared" si="240"/>
        <v>15450</v>
      </c>
    </row>
    <row r="487" spans="207:219" ht="16.5" x14ac:dyDescent="0.2">
      <c r="GY487" s="91">
        <v>481</v>
      </c>
      <c r="GZ487" s="14">
        <f t="shared" si="231"/>
        <v>28</v>
      </c>
      <c r="HA487" s="14">
        <f t="shared" si="232"/>
        <v>6</v>
      </c>
      <c r="HB487" s="14">
        <f t="shared" si="233"/>
        <v>2</v>
      </c>
      <c r="HC487" s="14">
        <f t="shared" si="234"/>
        <v>0.58499999999999996</v>
      </c>
      <c r="HD487" s="14">
        <f t="shared" si="235"/>
        <v>1606030</v>
      </c>
      <c r="HE487" s="14" t="str">
        <f t="shared" si="236"/>
        <v>神器6-2 : 16级</v>
      </c>
      <c r="HF487" s="14" t="s">
        <v>800</v>
      </c>
      <c r="HG487" s="14">
        <f t="shared" si="237"/>
        <v>16</v>
      </c>
      <c r="HH487" s="14" t="str">
        <f t="shared" si="238"/>
        <v>神器6-2</v>
      </c>
      <c r="HI487" s="14">
        <f t="shared" si="239"/>
        <v>10</v>
      </c>
      <c r="HJ487" s="14" t="s">
        <v>1595</v>
      </c>
      <c r="HK487" s="14">
        <f t="shared" si="240"/>
        <v>15750</v>
      </c>
    </row>
    <row r="488" spans="207:219" ht="16.5" x14ac:dyDescent="0.2">
      <c r="GY488" s="91">
        <v>482</v>
      </c>
      <c r="GZ488" s="14">
        <f t="shared" si="231"/>
        <v>28</v>
      </c>
      <c r="HA488" s="14">
        <f t="shared" si="232"/>
        <v>6</v>
      </c>
      <c r="HB488" s="14">
        <f t="shared" si="233"/>
        <v>2</v>
      </c>
      <c r="HC488" s="14">
        <f t="shared" si="234"/>
        <v>0.59499999999999997</v>
      </c>
      <c r="HD488" s="14">
        <f t="shared" si="235"/>
        <v>1606030</v>
      </c>
      <c r="HE488" s="14" t="str">
        <f t="shared" si="236"/>
        <v>神器6-2 : 17级</v>
      </c>
      <c r="HF488" s="14" t="s">
        <v>800</v>
      </c>
      <c r="HG488" s="14">
        <f t="shared" si="237"/>
        <v>17</v>
      </c>
      <c r="HH488" s="14" t="str">
        <f t="shared" si="238"/>
        <v>神器6-2</v>
      </c>
      <c r="HI488" s="14">
        <f t="shared" si="239"/>
        <v>10</v>
      </c>
      <c r="HJ488" s="14" t="s">
        <v>1595</v>
      </c>
      <c r="HK488" s="14">
        <f t="shared" si="240"/>
        <v>16050</v>
      </c>
    </row>
    <row r="489" spans="207:219" ht="16.5" x14ac:dyDescent="0.2">
      <c r="GY489" s="91">
        <v>483</v>
      </c>
      <c r="GZ489" s="14">
        <f t="shared" si="231"/>
        <v>28</v>
      </c>
      <c r="HA489" s="14">
        <f t="shared" si="232"/>
        <v>6</v>
      </c>
      <c r="HB489" s="14">
        <f t="shared" si="233"/>
        <v>2</v>
      </c>
      <c r="HC489" s="14">
        <f t="shared" si="234"/>
        <v>0.60499999999999998</v>
      </c>
      <c r="HD489" s="14">
        <f t="shared" si="235"/>
        <v>1606030</v>
      </c>
      <c r="HE489" s="14" t="str">
        <f t="shared" si="236"/>
        <v>神器6-2 : 18级</v>
      </c>
      <c r="HF489" s="14" t="s">
        <v>800</v>
      </c>
      <c r="HG489" s="14">
        <f t="shared" si="237"/>
        <v>18</v>
      </c>
      <c r="HH489" s="14" t="str">
        <f t="shared" si="238"/>
        <v>神器6-2</v>
      </c>
      <c r="HI489" s="14">
        <f t="shared" si="239"/>
        <v>10</v>
      </c>
      <c r="HJ489" s="14" t="s">
        <v>1595</v>
      </c>
      <c r="HK489" s="14">
        <f t="shared" si="240"/>
        <v>16300</v>
      </c>
    </row>
    <row r="490" spans="207:219" ht="16.5" x14ac:dyDescent="0.2">
      <c r="GY490" s="91">
        <v>484</v>
      </c>
      <c r="GZ490" s="14">
        <f t="shared" si="231"/>
        <v>28</v>
      </c>
      <c r="HA490" s="14">
        <f t="shared" si="232"/>
        <v>6</v>
      </c>
      <c r="HB490" s="14">
        <f t="shared" si="233"/>
        <v>2</v>
      </c>
      <c r="HC490" s="14">
        <f t="shared" si="234"/>
        <v>0.61499999999999999</v>
      </c>
      <c r="HD490" s="14">
        <f t="shared" si="235"/>
        <v>1606030</v>
      </c>
      <c r="HE490" s="14" t="str">
        <f t="shared" si="236"/>
        <v>神器6-2 : 19级</v>
      </c>
      <c r="HF490" s="14" t="s">
        <v>800</v>
      </c>
      <c r="HG490" s="14">
        <f t="shared" si="237"/>
        <v>19</v>
      </c>
      <c r="HH490" s="14" t="str">
        <f t="shared" si="238"/>
        <v>神器6-2</v>
      </c>
      <c r="HI490" s="14">
        <f t="shared" si="239"/>
        <v>15</v>
      </c>
      <c r="HJ490" s="14" t="s">
        <v>1595</v>
      </c>
      <c r="HK490" s="14">
        <f t="shared" si="240"/>
        <v>16550</v>
      </c>
    </row>
    <row r="491" spans="207:219" ht="16.5" x14ac:dyDescent="0.2">
      <c r="GY491" s="91">
        <v>485</v>
      </c>
      <c r="GZ491" s="14">
        <f t="shared" si="231"/>
        <v>28</v>
      </c>
      <c r="HA491" s="14">
        <f t="shared" si="232"/>
        <v>6</v>
      </c>
      <c r="HB491" s="14">
        <f t="shared" si="233"/>
        <v>2</v>
      </c>
      <c r="HC491" s="14">
        <f t="shared" si="234"/>
        <v>0.624</v>
      </c>
      <c r="HD491" s="14">
        <f t="shared" si="235"/>
        <v>1606030</v>
      </c>
      <c r="HE491" s="14" t="str">
        <f t="shared" si="236"/>
        <v>神器6-2 : 20级</v>
      </c>
      <c r="HF491" s="14" t="s">
        <v>800</v>
      </c>
      <c r="HG491" s="14">
        <f t="shared" si="237"/>
        <v>20</v>
      </c>
      <c r="HH491" s="14" t="str">
        <f t="shared" si="238"/>
        <v>神器6-2</v>
      </c>
      <c r="HI491" s="14">
        <f t="shared" si="239"/>
        <v>15</v>
      </c>
      <c r="HJ491" s="14" t="s">
        <v>1595</v>
      </c>
      <c r="HK491" s="14">
        <f t="shared" si="240"/>
        <v>16800</v>
      </c>
    </row>
    <row r="492" spans="207:219" ht="16.5" x14ac:dyDescent="0.2">
      <c r="GY492" s="91">
        <v>486</v>
      </c>
      <c r="GZ492" s="14">
        <f t="shared" si="231"/>
        <v>28</v>
      </c>
      <c r="HA492" s="14">
        <f t="shared" si="232"/>
        <v>6</v>
      </c>
      <c r="HB492" s="14">
        <f t="shared" si="233"/>
        <v>2</v>
      </c>
      <c r="HC492" s="14">
        <f t="shared" si="234"/>
        <v>0.63400000000000001</v>
      </c>
      <c r="HD492" s="14">
        <f t="shared" si="235"/>
        <v>1606030</v>
      </c>
      <c r="HE492" s="14" t="str">
        <f t="shared" si="236"/>
        <v>神器6-2 : 21级</v>
      </c>
      <c r="HF492" s="14" t="s">
        <v>800</v>
      </c>
      <c r="HG492" s="14">
        <f t="shared" si="237"/>
        <v>21</v>
      </c>
      <c r="HH492" s="14" t="str">
        <f t="shared" si="238"/>
        <v>神器6-2</v>
      </c>
      <c r="HI492" s="14">
        <f t="shared" si="239"/>
        <v>15</v>
      </c>
      <c r="HJ492" s="14" t="s">
        <v>1595</v>
      </c>
      <c r="HK492" s="14">
        <f t="shared" si="240"/>
        <v>17100</v>
      </c>
    </row>
    <row r="493" spans="207:219" ht="16.5" x14ac:dyDescent="0.2">
      <c r="GY493" s="91">
        <v>487</v>
      </c>
      <c r="GZ493" s="14">
        <f t="shared" si="231"/>
        <v>29</v>
      </c>
      <c r="HA493" s="14">
        <f t="shared" si="232"/>
        <v>6</v>
      </c>
      <c r="HB493" s="14">
        <f t="shared" si="233"/>
        <v>2</v>
      </c>
      <c r="HC493" s="14">
        <f t="shared" si="234"/>
        <v>0.40200000000000002</v>
      </c>
      <c r="HD493" s="14">
        <f t="shared" si="235"/>
        <v>1606031</v>
      </c>
      <c r="HE493" s="14" t="str">
        <f t="shared" si="236"/>
        <v>神器6-3 : 1级</v>
      </c>
      <c r="HF493" s="14" t="s">
        <v>800</v>
      </c>
      <c r="HG493" s="14">
        <f t="shared" si="237"/>
        <v>1</v>
      </c>
      <c r="HH493" s="14" t="str">
        <f t="shared" si="238"/>
        <v>神器6-3</v>
      </c>
      <c r="HI493" s="14">
        <f t="shared" si="239"/>
        <v>1</v>
      </c>
      <c r="HJ493" s="14" t="s">
        <v>1595</v>
      </c>
      <c r="HK493" s="14">
        <f t="shared" si="240"/>
        <v>10850</v>
      </c>
    </row>
    <row r="494" spans="207:219" ht="16.5" x14ac:dyDescent="0.2">
      <c r="GY494" s="91">
        <v>488</v>
      </c>
      <c r="GZ494" s="14">
        <f t="shared" si="231"/>
        <v>29</v>
      </c>
      <c r="HA494" s="14">
        <f t="shared" si="232"/>
        <v>6</v>
      </c>
      <c r="HB494" s="14">
        <f t="shared" si="233"/>
        <v>2</v>
      </c>
      <c r="HC494" s="14">
        <f t="shared" si="234"/>
        <v>0.41699999999999998</v>
      </c>
      <c r="HD494" s="14">
        <f t="shared" si="235"/>
        <v>1606031</v>
      </c>
      <c r="HE494" s="14" t="str">
        <f t="shared" si="236"/>
        <v>神器6-3 : 2级</v>
      </c>
      <c r="HF494" s="14" t="s">
        <v>800</v>
      </c>
      <c r="HG494" s="14">
        <f t="shared" si="237"/>
        <v>2</v>
      </c>
      <c r="HH494" s="14" t="str">
        <f t="shared" si="238"/>
        <v>神器6-3</v>
      </c>
      <c r="HI494" s="14">
        <f t="shared" si="239"/>
        <v>1</v>
      </c>
      <c r="HJ494" s="14" t="s">
        <v>1595</v>
      </c>
      <c r="HK494" s="14">
        <f t="shared" si="240"/>
        <v>11250</v>
      </c>
    </row>
    <row r="495" spans="207:219" ht="16.5" x14ac:dyDescent="0.2">
      <c r="GY495" s="91">
        <v>489</v>
      </c>
      <c r="GZ495" s="14">
        <f t="shared" si="231"/>
        <v>29</v>
      </c>
      <c r="HA495" s="14">
        <f t="shared" si="232"/>
        <v>6</v>
      </c>
      <c r="HB495" s="14">
        <f t="shared" si="233"/>
        <v>2</v>
      </c>
      <c r="HC495" s="14">
        <f t="shared" si="234"/>
        <v>0.43099999999999999</v>
      </c>
      <c r="HD495" s="14">
        <f t="shared" si="235"/>
        <v>1606031</v>
      </c>
      <c r="HE495" s="14" t="str">
        <f t="shared" si="236"/>
        <v>神器6-3 : 3级</v>
      </c>
      <c r="HF495" s="14" t="s">
        <v>800</v>
      </c>
      <c r="HG495" s="14">
        <f t="shared" si="237"/>
        <v>3</v>
      </c>
      <c r="HH495" s="14" t="str">
        <f t="shared" si="238"/>
        <v>神器6-3</v>
      </c>
      <c r="HI495" s="14">
        <f t="shared" si="239"/>
        <v>1</v>
      </c>
      <c r="HJ495" s="14" t="s">
        <v>1595</v>
      </c>
      <c r="HK495" s="14">
        <f t="shared" si="240"/>
        <v>11600</v>
      </c>
    </row>
    <row r="496" spans="207:219" ht="16.5" x14ac:dyDescent="0.2">
      <c r="GY496" s="91">
        <v>490</v>
      </c>
      <c r="GZ496" s="14">
        <f t="shared" si="231"/>
        <v>29</v>
      </c>
      <c r="HA496" s="14">
        <f t="shared" si="232"/>
        <v>6</v>
      </c>
      <c r="HB496" s="14">
        <f t="shared" si="233"/>
        <v>2</v>
      </c>
      <c r="HC496" s="14">
        <f t="shared" si="234"/>
        <v>0.44500000000000001</v>
      </c>
      <c r="HD496" s="14">
        <f t="shared" si="235"/>
        <v>1606031</v>
      </c>
      <c r="HE496" s="14" t="str">
        <f t="shared" si="236"/>
        <v>神器6-3 : 4级</v>
      </c>
      <c r="HF496" s="14" t="s">
        <v>800</v>
      </c>
      <c r="HG496" s="14">
        <f t="shared" si="237"/>
        <v>4</v>
      </c>
      <c r="HH496" s="14" t="str">
        <f t="shared" si="238"/>
        <v>神器6-3</v>
      </c>
      <c r="HI496" s="14">
        <f t="shared" si="239"/>
        <v>2</v>
      </c>
      <c r="HJ496" s="14" t="s">
        <v>1595</v>
      </c>
      <c r="HK496" s="14">
        <f t="shared" si="240"/>
        <v>12000</v>
      </c>
    </row>
    <row r="497" spans="207:219" ht="16.5" x14ac:dyDescent="0.2">
      <c r="GY497" s="91">
        <v>491</v>
      </c>
      <c r="GZ497" s="14">
        <f t="shared" si="231"/>
        <v>29</v>
      </c>
      <c r="HA497" s="14">
        <f t="shared" si="232"/>
        <v>6</v>
      </c>
      <c r="HB497" s="14">
        <f t="shared" si="233"/>
        <v>2</v>
      </c>
      <c r="HC497" s="14">
        <f t="shared" si="234"/>
        <v>0.45800000000000002</v>
      </c>
      <c r="HD497" s="14">
        <f t="shared" si="235"/>
        <v>1606031</v>
      </c>
      <c r="HE497" s="14" t="str">
        <f t="shared" si="236"/>
        <v>神器6-3 : 5级</v>
      </c>
      <c r="HF497" s="14" t="s">
        <v>800</v>
      </c>
      <c r="HG497" s="14">
        <f t="shared" si="237"/>
        <v>5</v>
      </c>
      <c r="HH497" s="14" t="str">
        <f t="shared" si="238"/>
        <v>神器6-3</v>
      </c>
      <c r="HI497" s="14">
        <f t="shared" si="239"/>
        <v>2</v>
      </c>
      <c r="HJ497" s="14" t="s">
        <v>1595</v>
      </c>
      <c r="HK497" s="14">
        <f t="shared" si="240"/>
        <v>12350</v>
      </c>
    </row>
    <row r="498" spans="207:219" ht="16.5" x14ac:dyDescent="0.2">
      <c r="GY498" s="91">
        <v>492</v>
      </c>
      <c r="GZ498" s="14">
        <f t="shared" si="231"/>
        <v>29</v>
      </c>
      <c r="HA498" s="14">
        <f t="shared" si="232"/>
        <v>6</v>
      </c>
      <c r="HB498" s="14">
        <f t="shared" si="233"/>
        <v>2</v>
      </c>
      <c r="HC498" s="14">
        <f t="shared" si="234"/>
        <v>0.47099999999999997</v>
      </c>
      <c r="HD498" s="14">
        <f t="shared" si="235"/>
        <v>1606031</v>
      </c>
      <c r="HE498" s="14" t="str">
        <f t="shared" si="236"/>
        <v>神器6-3 : 6级</v>
      </c>
      <c r="HF498" s="14" t="s">
        <v>800</v>
      </c>
      <c r="HG498" s="14">
        <f t="shared" si="237"/>
        <v>6</v>
      </c>
      <c r="HH498" s="14" t="str">
        <f t="shared" si="238"/>
        <v>神器6-3</v>
      </c>
      <c r="HI498" s="14">
        <f t="shared" si="239"/>
        <v>2</v>
      </c>
      <c r="HJ498" s="14" t="s">
        <v>1595</v>
      </c>
      <c r="HK498" s="14">
        <f t="shared" si="240"/>
        <v>12700</v>
      </c>
    </row>
    <row r="499" spans="207:219" ht="16.5" x14ac:dyDescent="0.2">
      <c r="GY499" s="91">
        <v>493</v>
      </c>
      <c r="GZ499" s="14">
        <f t="shared" si="231"/>
        <v>29</v>
      </c>
      <c r="HA499" s="14">
        <f t="shared" si="232"/>
        <v>6</v>
      </c>
      <c r="HB499" s="14">
        <f t="shared" si="233"/>
        <v>2</v>
      </c>
      <c r="HC499" s="14">
        <f t="shared" si="234"/>
        <v>0.48399999999999999</v>
      </c>
      <c r="HD499" s="14">
        <f t="shared" si="235"/>
        <v>1606031</v>
      </c>
      <c r="HE499" s="14" t="str">
        <f t="shared" si="236"/>
        <v>神器6-3 : 7级</v>
      </c>
      <c r="HF499" s="14" t="s">
        <v>800</v>
      </c>
      <c r="HG499" s="14">
        <f t="shared" si="237"/>
        <v>7</v>
      </c>
      <c r="HH499" s="14" t="str">
        <f t="shared" si="238"/>
        <v>神器6-3</v>
      </c>
      <c r="HI499" s="14">
        <f t="shared" si="239"/>
        <v>3</v>
      </c>
      <c r="HJ499" s="14" t="s">
        <v>1595</v>
      </c>
      <c r="HK499" s="14">
        <f t="shared" si="240"/>
        <v>13050</v>
      </c>
    </row>
    <row r="500" spans="207:219" ht="16.5" x14ac:dyDescent="0.2">
      <c r="GY500" s="91">
        <v>494</v>
      </c>
      <c r="GZ500" s="14">
        <f t="shared" si="231"/>
        <v>29</v>
      </c>
      <c r="HA500" s="14">
        <f t="shared" si="232"/>
        <v>6</v>
      </c>
      <c r="HB500" s="14">
        <f t="shared" si="233"/>
        <v>2</v>
      </c>
      <c r="HC500" s="14">
        <f t="shared" si="234"/>
        <v>0.496</v>
      </c>
      <c r="HD500" s="14">
        <f t="shared" si="235"/>
        <v>1606031</v>
      </c>
      <c r="HE500" s="14" t="str">
        <f t="shared" si="236"/>
        <v>神器6-3 : 8级</v>
      </c>
      <c r="HF500" s="14" t="s">
        <v>800</v>
      </c>
      <c r="HG500" s="14">
        <f t="shared" si="237"/>
        <v>8</v>
      </c>
      <c r="HH500" s="14" t="str">
        <f t="shared" si="238"/>
        <v>神器6-3</v>
      </c>
      <c r="HI500" s="14">
        <f t="shared" si="239"/>
        <v>3</v>
      </c>
      <c r="HJ500" s="14" t="s">
        <v>1595</v>
      </c>
      <c r="HK500" s="14">
        <f t="shared" si="240"/>
        <v>13350</v>
      </c>
    </row>
    <row r="501" spans="207:219" ht="16.5" x14ac:dyDescent="0.2">
      <c r="GY501" s="91">
        <v>495</v>
      </c>
      <c r="GZ501" s="14">
        <f t="shared" si="231"/>
        <v>29</v>
      </c>
      <c r="HA501" s="14">
        <f t="shared" si="232"/>
        <v>6</v>
      </c>
      <c r="HB501" s="14">
        <f t="shared" si="233"/>
        <v>2</v>
      </c>
      <c r="HC501" s="14">
        <f t="shared" si="234"/>
        <v>0.50800000000000001</v>
      </c>
      <c r="HD501" s="14">
        <f t="shared" si="235"/>
        <v>1606031</v>
      </c>
      <c r="HE501" s="14" t="str">
        <f t="shared" si="236"/>
        <v>神器6-3 : 9级</v>
      </c>
      <c r="HF501" s="14" t="s">
        <v>800</v>
      </c>
      <c r="HG501" s="14">
        <f t="shared" si="237"/>
        <v>9</v>
      </c>
      <c r="HH501" s="14" t="str">
        <f t="shared" si="238"/>
        <v>神器6-3</v>
      </c>
      <c r="HI501" s="14">
        <f t="shared" si="239"/>
        <v>3</v>
      </c>
      <c r="HJ501" s="14" t="s">
        <v>1595</v>
      </c>
      <c r="HK501" s="14">
        <f t="shared" si="240"/>
        <v>13700</v>
      </c>
    </row>
    <row r="502" spans="207:219" ht="16.5" x14ac:dyDescent="0.2">
      <c r="GY502" s="91">
        <v>496</v>
      </c>
      <c r="GZ502" s="14">
        <f t="shared" si="231"/>
        <v>29</v>
      </c>
      <c r="HA502" s="14">
        <f t="shared" si="232"/>
        <v>6</v>
      </c>
      <c r="HB502" s="14">
        <f t="shared" si="233"/>
        <v>2</v>
      </c>
      <c r="HC502" s="14">
        <f t="shared" si="234"/>
        <v>0.52</v>
      </c>
      <c r="HD502" s="14">
        <f t="shared" si="235"/>
        <v>1606031</v>
      </c>
      <c r="HE502" s="14" t="str">
        <f t="shared" si="236"/>
        <v>神器6-3 : 10级</v>
      </c>
      <c r="HF502" s="14" t="s">
        <v>800</v>
      </c>
      <c r="HG502" s="14">
        <f t="shared" si="237"/>
        <v>10</v>
      </c>
      <c r="HH502" s="14" t="str">
        <f t="shared" si="238"/>
        <v>神器6-3</v>
      </c>
      <c r="HI502" s="14">
        <f t="shared" si="239"/>
        <v>5</v>
      </c>
      <c r="HJ502" s="14" t="s">
        <v>1595</v>
      </c>
      <c r="HK502" s="14">
        <f t="shared" si="240"/>
        <v>14000</v>
      </c>
    </row>
    <row r="503" spans="207:219" ht="16.5" x14ac:dyDescent="0.2">
      <c r="GY503" s="91">
        <v>497</v>
      </c>
      <c r="GZ503" s="14">
        <f t="shared" si="231"/>
        <v>29</v>
      </c>
      <c r="HA503" s="14">
        <f t="shared" si="232"/>
        <v>6</v>
      </c>
      <c r="HB503" s="14">
        <f t="shared" si="233"/>
        <v>2</v>
      </c>
      <c r="HC503" s="14">
        <f t="shared" si="234"/>
        <v>0.53100000000000003</v>
      </c>
      <c r="HD503" s="14">
        <f t="shared" si="235"/>
        <v>1606031</v>
      </c>
      <c r="HE503" s="14" t="str">
        <f t="shared" si="236"/>
        <v>神器6-3 : 11级</v>
      </c>
      <c r="HF503" s="14" t="s">
        <v>800</v>
      </c>
      <c r="HG503" s="14">
        <f t="shared" si="237"/>
        <v>11</v>
      </c>
      <c r="HH503" s="14" t="str">
        <f t="shared" si="238"/>
        <v>神器6-3</v>
      </c>
      <c r="HI503" s="14">
        <f t="shared" si="239"/>
        <v>5</v>
      </c>
      <c r="HJ503" s="14" t="s">
        <v>1595</v>
      </c>
      <c r="HK503" s="14">
        <f t="shared" si="240"/>
        <v>14300</v>
      </c>
    </row>
    <row r="504" spans="207:219" ht="16.5" x14ac:dyDescent="0.2">
      <c r="GY504" s="91">
        <v>498</v>
      </c>
      <c r="GZ504" s="14">
        <f t="shared" si="231"/>
        <v>29</v>
      </c>
      <c r="HA504" s="14">
        <f t="shared" si="232"/>
        <v>6</v>
      </c>
      <c r="HB504" s="14">
        <f t="shared" si="233"/>
        <v>2</v>
      </c>
      <c r="HC504" s="14">
        <f t="shared" si="234"/>
        <v>0.54200000000000004</v>
      </c>
      <c r="HD504" s="14">
        <f t="shared" si="235"/>
        <v>1606031</v>
      </c>
      <c r="HE504" s="14" t="str">
        <f t="shared" si="236"/>
        <v>神器6-3 : 12级</v>
      </c>
      <c r="HF504" s="14" t="s">
        <v>800</v>
      </c>
      <c r="HG504" s="14">
        <f t="shared" si="237"/>
        <v>12</v>
      </c>
      <c r="HH504" s="14" t="str">
        <f t="shared" si="238"/>
        <v>神器6-3</v>
      </c>
      <c r="HI504" s="14">
        <f t="shared" si="239"/>
        <v>6</v>
      </c>
      <c r="HJ504" s="14" t="s">
        <v>1595</v>
      </c>
      <c r="HK504" s="14">
        <f t="shared" si="240"/>
        <v>14600</v>
      </c>
    </row>
    <row r="505" spans="207:219" ht="16.5" x14ac:dyDescent="0.2">
      <c r="GY505" s="91">
        <v>499</v>
      </c>
      <c r="GZ505" s="14">
        <f t="shared" si="231"/>
        <v>29</v>
      </c>
      <c r="HA505" s="14">
        <f t="shared" si="232"/>
        <v>6</v>
      </c>
      <c r="HB505" s="14">
        <f t="shared" si="233"/>
        <v>2</v>
      </c>
      <c r="HC505" s="14">
        <f t="shared" si="234"/>
        <v>0.55300000000000005</v>
      </c>
      <c r="HD505" s="14">
        <f t="shared" si="235"/>
        <v>1606031</v>
      </c>
      <c r="HE505" s="14" t="str">
        <f t="shared" si="236"/>
        <v>神器6-3 : 13级</v>
      </c>
      <c r="HF505" s="14" t="s">
        <v>800</v>
      </c>
      <c r="HG505" s="14">
        <f t="shared" si="237"/>
        <v>13</v>
      </c>
      <c r="HH505" s="14" t="str">
        <f t="shared" si="238"/>
        <v>神器6-3</v>
      </c>
      <c r="HI505" s="14">
        <f t="shared" si="239"/>
        <v>7</v>
      </c>
      <c r="HJ505" s="14" t="s">
        <v>1595</v>
      </c>
      <c r="HK505" s="14">
        <f t="shared" si="240"/>
        <v>14900</v>
      </c>
    </row>
    <row r="506" spans="207:219" ht="16.5" x14ac:dyDescent="0.2">
      <c r="GY506" s="91">
        <v>500</v>
      </c>
      <c r="GZ506" s="14">
        <f t="shared" si="231"/>
        <v>29</v>
      </c>
      <c r="HA506" s="14">
        <f t="shared" si="232"/>
        <v>6</v>
      </c>
      <c r="HB506" s="14">
        <f t="shared" si="233"/>
        <v>2</v>
      </c>
      <c r="HC506" s="14">
        <f t="shared" si="234"/>
        <v>0.56399999999999995</v>
      </c>
      <c r="HD506" s="14">
        <f t="shared" si="235"/>
        <v>1606031</v>
      </c>
      <c r="HE506" s="14" t="str">
        <f t="shared" si="236"/>
        <v>神器6-3 : 14级</v>
      </c>
      <c r="HF506" s="14" t="s">
        <v>800</v>
      </c>
      <c r="HG506" s="14">
        <f t="shared" si="237"/>
        <v>14</v>
      </c>
      <c r="HH506" s="14" t="str">
        <f t="shared" si="238"/>
        <v>神器6-3</v>
      </c>
      <c r="HI506" s="14">
        <f t="shared" si="239"/>
        <v>7</v>
      </c>
      <c r="HJ506" s="14" t="s">
        <v>1595</v>
      </c>
      <c r="HK506" s="14">
        <f t="shared" si="240"/>
        <v>15200</v>
      </c>
    </row>
    <row r="507" spans="207:219" ht="16.5" x14ac:dyDescent="0.2">
      <c r="GY507" s="91">
        <v>501</v>
      </c>
      <c r="GZ507" s="14">
        <f t="shared" si="231"/>
        <v>29</v>
      </c>
      <c r="HA507" s="14">
        <f t="shared" si="232"/>
        <v>6</v>
      </c>
      <c r="HB507" s="14">
        <f t="shared" si="233"/>
        <v>2</v>
      </c>
      <c r="HC507" s="14">
        <f t="shared" si="234"/>
        <v>0.57399999999999995</v>
      </c>
      <c r="HD507" s="14">
        <f t="shared" si="235"/>
        <v>1606031</v>
      </c>
      <c r="HE507" s="14" t="str">
        <f t="shared" si="236"/>
        <v>神器6-3 : 15级</v>
      </c>
      <c r="HF507" s="14" t="s">
        <v>800</v>
      </c>
      <c r="HG507" s="14">
        <f t="shared" si="237"/>
        <v>15</v>
      </c>
      <c r="HH507" s="14" t="str">
        <f t="shared" si="238"/>
        <v>神器6-3</v>
      </c>
      <c r="HI507" s="14">
        <f t="shared" si="239"/>
        <v>7</v>
      </c>
      <c r="HJ507" s="14" t="s">
        <v>1595</v>
      </c>
      <c r="HK507" s="14">
        <f t="shared" si="240"/>
        <v>15450</v>
      </c>
    </row>
    <row r="508" spans="207:219" ht="16.5" x14ac:dyDescent="0.2">
      <c r="GY508" s="91">
        <v>502</v>
      </c>
      <c r="GZ508" s="14">
        <f t="shared" si="231"/>
        <v>29</v>
      </c>
      <c r="HA508" s="14">
        <f t="shared" si="232"/>
        <v>6</v>
      </c>
      <c r="HB508" s="14">
        <f t="shared" si="233"/>
        <v>2</v>
      </c>
      <c r="HC508" s="14">
        <f t="shared" si="234"/>
        <v>0.58499999999999996</v>
      </c>
      <c r="HD508" s="14">
        <f t="shared" si="235"/>
        <v>1606031</v>
      </c>
      <c r="HE508" s="14" t="str">
        <f t="shared" si="236"/>
        <v>神器6-3 : 16级</v>
      </c>
      <c r="HF508" s="14" t="s">
        <v>800</v>
      </c>
      <c r="HG508" s="14">
        <f t="shared" si="237"/>
        <v>16</v>
      </c>
      <c r="HH508" s="14" t="str">
        <f t="shared" si="238"/>
        <v>神器6-3</v>
      </c>
      <c r="HI508" s="14">
        <f t="shared" si="239"/>
        <v>10</v>
      </c>
      <c r="HJ508" s="14" t="s">
        <v>1595</v>
      </c>
      <c r="HK508" s="14">
        <f t="shared" si="240"/>
        <v>15750</v>
      </c>
    </row>
    <row r="509" spans="207:219" ht="16.5" x14ac:dyDescent="0.2">
      <c r="GY509" s="91">
        <v>503</v>
      </c>
      <c r="GZ509" s="14">
        <f t="shared" si="231"/>
        <v>29</v>
      </c>
      <c r="HA509" s="14">
        <f t="shared" si="232"/>
        <v>6</v>
      </c>
      <c r="HB509" s="14">
        <f t="shared" si="233"/>
        <v>2</v>
      </c>
      <c r="HC509" s="14">
        <f t="shared" si="234"/>
        <v>0.59499999999999997</v>
      </c>
      <c r="HD509" s="14">
        <f t="shared" si="235"/>
        <v>1606031</v>
      </c>
      <c r="HE509" s="14" t="str">
        <f t="shared" si="236"/>
        <v>神器6-3 : 17级</v>
      </c>
      <c r="HF509" s="14" t="s">
        <v>800</v>
      </c>
      <c r="HG509" s="14">
        <f t="shared" si="237"/>
        <v>17</v>
      </c>
      <c r="HH509" s="14" t="str">
        <f t="shared" si="238"/>
        <v>神器6-3</v>
      </c>
      <c r="HI509" s="14">
        <f t="shared" si="239"/>
        <v>10</v>
      </c>
      <c r="HJ509" s="14" t="s">
        <v>1595</v>
      </c>
      <c r="HK509" s="14">
        <f t="shared" si="240"/>
        <v>16050</v>
      </c>
    </row>
    <row r="510" spans="207:219" ht="16.5" x14ac:dyDescent="0.2">
      <c r="GY510" s="91">
        <v>504</v>
      </c>
      <c r="GZ510" s="14">
        <f t="shared" si="231"/>
        <v>29</v>
      </c>
      <c r="HA510" s="14">
        <f t="shared" si="232"/>
        <v>6</v>
      </c>
      <c r="HB510" s="14">
        <f t="shared" si="233"/>
        <v>2</v>
      </c>
      <c r="HC510" s="14">
        <f t="shared" si="234"/>
        <v>0.60499999999999998</v>
      </c>
      <c r="HD510" s="14">
        <f t="shared" si="235"/>
        <v>1606031</v>
      </c>
      <c r="HE510" s="14" t="str">
        <f t="shared" si="236"/>
        <v>神器6-3 : 18级</v>
      </c>
      <c r="HF510" s="14" t="s">
        <v>800</v>
      </c>
      <c r="HG510" s="14">
        <f t="shared" si="237"/>
        <v>18</v>
      </c>
      <c r="HH510" s="14" t="str">
        <f t="shared" si="238"/>
        <v>神器6-3</v>
      </c>
      <c r="HI510" s="14">
        <f t="shared" si="239"/>
        <v>10</v>
      </c>
      <c r="HJ510" s="14" t="s">
        <v>1595</v>
      </c>
      <c r="HK510" s="14">
        <f t="shared" si="240"/>
        <v>16300</v>
      </c>
    </row>
    <row r="511" spans="207:219" ht="16.5" x14ac:dyDescent="0.2">
      <c r="GY511" s="91">
        <v>505</v>
      </c>
      <c r="GZ511" s="14">
        <f t="shared" si="231"/>
        <v>29</v>
      </c>
      <c r="HA511" s="14">
        <f t="shared" si="232"/>
        <v>6</v>
      </c>
      <c r="HB511" s="14">
        <f t="shared" si="233"/>
        <v>2</v>
      </c>
      <c r="HC511" s="14">
        <f t="shared" si="234"/>
        <v>0.61499999999999999</v>
      </c>
      <c r="HD511" s="14">
        <f t="shared" si="235"/>
        <v>1606031</v>
      </c>
      <c r="HE511" s="14" t="str">
        <f t="shared" si="236"/>
        <v>神器6-3 : 19级</v>
      </c>
      <c r="HF511" s="14" t="s">
        <v>800</v>
      </c>
      <c r="HG511" s="14">
        <f t="shared" si="237"/>
        <v>19</v>
      </c>
      <c r="HH511" s="14" t="str">
        <f t="shared" si="238"/>
        <v>神器6-3</v>
      </c>
      <c r="HI511" s="14">
        <f t="shared" si="239"/>
        <v>15</v>
      </c>
      <c r="HJ511" s="14" t="s">
        <v>1595</v>
      </c>
      <c r="HK511" s="14">
        <f t="shared" si="240"/>
        <v>16550</v>
      </c>
    </row>
    <row r="512" spans="207:219" ht="16.5" x14ac:dyDescent="0.2">
      <c r="GY512" s="91">
        <v>506</v>
      </c>
      <c r="GZ512" s="14">
        <f t="shared" si="231"/>
        <v>29</v>
      </c>
      <c r="HA512" s="14">
        <f t="shared" si="232"/>
        <v>6</v>
      </c>
      <c r="HB512" s="14">
        <f t="shared" si="233"/>
        <v>2</v>
      </c>
      <c r="HC512" s="14">
        <f t="shared" si="234"/>
        <v>0.624</v>
      </c>
      <c r="HD512" s="14">
        <f t="shared" si="235"/>
        <v>1606031</v>
      </c>
      <c r="HE512" s="14" t="str">
        <f t="shared" si="236"/>
        <v>神器6-3 : 20级</v>
      </c>
      <c r="HF512" s="14" t="s">
        <v>800</v>
      </c>
      <c r="HG512" s="14">
        <f t="shared" si="237"/>
        <v>20</v>
      </c>
      <c r="HH512" s="14" t="str">
        <f t="shared" si="238"/>
        <v>神器6-3</v>
      </c>
      <c r="HI512" s="14">
        <f t="shared" si="239"/>
        <v>15</v>
      </c>
      <c r="HJ512" s="14" t="s">
        <v>1595</v>
      </c>
      <c r="HK512" s="14">
        <f t="shared" si="240"/>
        <v>16800</v>
      </c>
    </row>
    <row r="513" spans="207:219" ht="16.5" x14ac:dyDescent="0.2">
      <c r="GY513" s="91">
        <v>507</v>
      </c>
      <c r="GZ513" s="14">
        <f t="shared" si="231"/>
        <v>29</v>
      </c>
      <c r="HA513" s="14">
        <f t="shared" si="232"/>
        <v>6</v>
      </c>
      <c r="HB513" s="14">
        <f t="shared" si="233"/>
        <v>2</v>
      </c>
      <c r="HC513" s="14">
        <f t="shared" si="234"/>
        <v>0.63400000000000001</v>
      </c>
      <c r="HD513" s="14">
        <f t="shared" si="235"/>
        <v>1606031</v>
      </c>
      <c r="HE513" s="14" t="str">
        <f t="shared" si="236"/>
        <v>神器6-3 : 21级</v>
      </c>
      <c r="HF513" s="14" t="s">
        <v>800</v>
      </c>
      <c r="HG513" s="14">
        <f t="shared" si="237"/>
        <v>21</v>
      </c>
      <c r="HH513" s="14" t="str">
        <f t="shared" si="238"/>
        <v>神器6-3</v>
      </c>
      <c r="HI513" s="14">
        <f t="shared" si="239"/>
        <v>15</v>
      </c>
      <c r="HJ513" s="14" t="s">
        <v>1595</v>
      </c>
      <c r="HK513" s="14">
        <f t="shared" si="240"/>
        <v>17100</v>
      </c>
    </row>
    <row r="514" spans="207:219" ht="16.5" x14ac:dyDescent="0.2">
      <c r="GY514" s="91">
        <v>508</v>
      </c>
      <c r="GZ514" s="14">
        <f t="shared" si="231"/>
        <v>30</v>
      </c>
      <c r="HA514" s="14">
        <f t="shared" si="232"/>
        <v>6</v>
      </c>
      <c r="HB514" s="14">
        <f t="shared" si="233"/>
        <v>3</v>
      </c>
      <c r="HC514" s="14">
        <f t="shared" si="234"/>
        <v>0.61499999999999999</v>
      </c>
      <c r="HD514" s="14">
        <f t="shared" si="235"/>
        <v>1606032</v>
      </c>
      <c r="HE514" s="14" t="str">
        <f t="shared" si="236"/>
        <v>神器6-4 : 1级</v>
      </c>
      <c r="HF514" s="14" t="s">
        <v>800</v>
      </c>
      <c r="HG514" s="14">
        <f t="shared" si="237"/>
        <v>1</v>
      </c>
      <c r="HH514" s="14" t="str">
        <f t="shared" si="238"/>
        <v>神器6-4</v>
      </c>
      <c r="HI514" s="14">
        <f t="shared" si="239"/>
        <v>1</v>
      </c>
      <c r="HJ514" s="14" t="s">
        <v>1595</v>
      </c>
      <c r="HK514" s="14">
        <f t="shared" si="240"/>
        <v>16550</v>
      </c>
    </row>
    <row r="515" spans="207:219" ht="16.5" x14ac:dyDescent="0.2">
      <c r="GY515" s="91">
        <v>509</v>
      </c>
      <c r="GZ515" s="14">
        <f t="shared" si="231"/>
        <v>30</v>
      </c>
      <c r="HA515" s="14">
        <f t="shared" si="232"/>
        <v>6</v>
      </c>
      <c r="HB515" s="14">
        <f t="shared" si="233"/>
        <v>3</v>
      </c>
      <c r="HC515" s="14">
        <f t="shared" si="234"/>
        <v>0.63700000000000001</v>
      </c>
      <c r="HD515" s="14">
        <f t="shared" si="235"/>
        <v>1606032</v>
      </c>
      <c r="HE515" s="14" t="str">
        <f t="shared" si="236"/>
        <v>神器6-4 : 2级</v>
      </c>
      <c r="HF515" s="14" t="s">
        <v>800</v>
      </c>
      <c r="HG515" s="14">
        <f t="shared" si="237"/>
        <v>2</v>
      </c>
      <c r="HH515" s="14" t="str">
        <f t="shared" si="238"/>
        <v>神器6-4</v>
      </c>
      <c r="HI515" s="14">
        <f t="shared" si="239"/>
        <v>1</v>
      </c>
      <c r="HJ515" s="14" t="s">
        <v>1595</v>
      </c>
      <c r="HK515" s="14">
        <f t="shared" si="240"/>
        <v>17150</v>
      </c>
    </row>
    <row r="516" spans="207:219" ht="16.5" x14ac:dyDescent="0.2">
      <c r="GY516" s="91">
        <v>510</v>
      </c>
      <c r="GZ516" s="14">
        <f t="shared" si="231"/>
        <v>30</v>
      </c>
      <c r="HA516" s="14">
        <f t="shared" si="232"/>
        <v>6</v>
      </c>
      <c r="HB516" s="14">
        <f t="shared" si="233"/>
        <v>3</v>
      </c>
      <c r="HC516" s="14">
        <f t="shared" si="234"/>
        <v>0.65900000000000003</v>
      </c>
      <c r="HD516" s="14">
        <f t="shared" si="235"/>
        <v>1606032</v>
      </c>
      <c r="HE516" s="14" t="str">
        <f t="shared" si="236"/>
        <v>神器6-4 : 3级</v>
      </c>
      <c r="HF516" s="14" t="s">
        <v>800</v>
      </c>
      <c r="HG516" s="14">
        <f t="shared" si="237"/>
        <v>3</v>
      </c>
      <c r="HH516" s="14" t="str">
        <f t="shared" si="238"/>
        <v>神器6-4</v>
      </c>
      <c r="HI516" s="14">
        <f t="shared" si="239"/>
        <v>1</v>
      </c>
      <c r="HJ516" s="14" t="s">
        <v>1595</v>
      </c>
      <c r="HK516" s="14">
        <f t="shared" si="240"/>
        <v>17750</v>
      </c>
    </row>
    <row r="517" spans="207:219" ht="16.5" x14ac:dyDescent="0.2">
      <c r="GY517" s="91">
        <v>511</v>
      </c>
      <c r="GZ517" s="14">
        <f t="shared" si="231"/>
        <v>30</v>
      </c>
      <c r="HA517" s="14">
        <f t="shared" si="232"/>
        <v>6</v>
      </c>
      <c r="HB517" s="14">
        <f t="shared" si="233"/>
        <v>3</v>
      </c>
      <c r="HC517" s="14">
        <f t="shared" si="234"/>
        <v>0.68</v>
      </c>
      <c r="HD517" s="14">
        <f t="shared" si="235"/>
        <v>1606032</v>
      </c>
      <c r="HE517" s="14" t="str">
        <f t="shared" si="236"/>
        <v>神器6-4 : 4级</v>
      </c>
      <c r="HF517" s="14" t="s">
        <v>800</v>
      </c>
      <c r="HG517" s="14">
        <f t="shared" si="237"/>
        <v>4</v>
      </c>
      <c r="HH517" s="14" t="str">
        <f t="shared" si="238"/>
        <v>神器6-4</v>
      </c>
      <c r="HI517" s="14">
        <f t="shared" si="239"/>
        <v>2</v>
      </c>
      <c r="HJ517" s="14" t="s">
        <v>1595</v>
      </c>
      <c r="HK517" s="14">
        <f t="shared" si="240"/>
        <v>18300</v>
      </c>
    </row>
    <row r="518" spans="207:219" ht="16.5" x14ac:dyDescent="0.2">
      <c r="GY518" s="91">
        <v>512</v>
      </c>
      <c r="GZ518" s="14">
        <f t="shared" si="231"/>
        <v>30</v>
      </c>
      <c r="HA518" s="14">
        <f t="shared" si="232"/>
        <v>6</v>
      </c>
      <c r="HB518" s="14">
        <f t="shared" si="233"/>
        <v>3</v>
      </c>
      <c r="HC518" s="14">
        <f t="shared" si="234"/>
        <v>0.7</v>
      </c>
      <c r="HD518" s="14">
        <f t="shared" si="235"/>
        <v>1606032</v>
      </c>
      <c r="HE518" s="14" t="str">
        <f t="shared" si="236"/>
        <v>神器6-4 : 5级</v>
      </c>
      <c r="HF518" s="14" t="s">
        <v>800</v>
      </c>
      <c r="HG518" s="14">
        <f t="shared" si="237"/>
        <v>5</v>
      </c>
      <c r="HH518" s="14" t="str">
        <f t="shared" si="238"/>
        <v>神器6-4</v>
      </c>
      <c r="HI518" s="14">
        <f t="shared" si="239"/>
        <v>2</v>
      </c>
      <c r="HJ518" s="14" t="s">
        <v>1595</v>
      </c>
      <c r="HK518" s="14">
        <f t="shared" si="240"/>
        <v>18850</v>
      </c>
    </row>
    <row r="519" spans="207:219" ht="16.5" x14ac:dyDescent="0.2">
      <c r="GY519" s="91">
        <v>513</v>
      </c>
      <c r="GZ519" s="14">
        <f t="shared" si="231"/>
        <v>30</v>
      </c>
      <c r="HA519" s="14">
        <f t="shared" si="232"/>
        <v>6</v>
      </c>
      <c r="HB519" s="14">
        <f t="shared" si="233"/>
        <v>3</v>
      </c>
      <c r="HC519" s="14">
        <f t="shared" si="234"/>
        <v>0.72</v>
      </c>
      <c r="HD519" s="14">
        <f t="shared" si="235"/>
        <v>1606032</v>
      </c>
      <c r="HE519" s="14" t="str">
        <f t="shared" si="236"/>
        <v>神器6-4 : 6级</v>
      </c>
      <c r="HF519" s="14" t="s">
        <v>800</v>
      </c>
      <c r="HG519" s="14">
        <f t="shared" si="237"/>
        <v>6</v>
      </c>
      <c r="HH519" s="14" t="str">
        <f t="shared" si="238"/>
        <v>神器6-4</v>
      </c>
      <c r="HI519" s="14">
        <f t="shared" si="239"/>
        <v>2</v>
      </c>
      <c r="HJ519" s="14" t="s">
        <v>1595</v>
      </c>
      <c r="HK519" s="14">
        <f t="shared" si="240"/>
        <v>19400</v>
      </c>
    </row>
    <row r="520" spans="207:219" ht="16.5" x14ac:dyDescent="0.2">
      <c r="GY520" s="91">
        <v>514</v>
      </c>
      <c r="GZ520" s="14">
        <f t="shared" ref="GZ520:GZ583" si="241">MATCH(GY520-1,$R$7:$R$49,1)</f>
        <v>30</v>
      </c>
      <c r="HA520" s="14">
        <f t="shared" ref="HA520:HA583" si="242">INDEX($N$8:$N$49,GZ520)</f>
        <v>6</v>
      </c>
      <c r="HB520" s="14">
        <f t="shared" ref="HB520:HB583" si="243">INDEX($P$8:$P$49,GZ520)</f>
        <v>3</v>
      </c>
      <c r="HC520" s="14">
        <f t="shared" ref="HC520:HC583" si="244">ROUND(SQRT(INDEX($BJ$7:$BJ$27,HG520)*INDEX($H$7:$H$10,HB520)),3)</f>
        <v>0.73899999999999999</v>
      </c>
      <c r="HD520" s="14">
        <f t="shared" ref="HD520:HD583" si="245">INDEX($S$8:$S$49,GZ520)</f>
        <v>1606032</v>
      </c>
      <c r="HE520" s="14" t="str">
        <f t="shared" ref="HE520:HE583" si="246">INDEX($T$8:$T$49,GZ520)&amp;" : "&amp;HG520&amp;"级"</f>
        <v>神器6-4 : 7级</v>
      </c>
      <c r="HF520" s="14" t="s">
        <v>800</v>
      </c>
      <c r="HG520" s="14">
        <f t="shared" ref="HG520:HG583" si="247">GY520-INDEX($R$7:$R$49,GZ520)</f>
        <v>7</v>
      </c>
      <c r="HH520" s="14" t="str">
        <f t="shared" ref="HH520:HH583" si="248">INDEX($T$8:$T$49,GZ520)</f>
        <v>神器6-4</v>
      </c>
      <c r="HI520" s="14">
        <f t="shared" ref="HI520:HI583" si="249">INDEX($K$8:$K$28,HG520)</f>
        <v>3</v>
      </c>
      <c r="HJ520" s="14" t="s">
        <v>1595</v>
      </c>
      <c r="HK520" s="14">
        <f t="shared" ref="HK520:HK583" si="250">ROUND(INDEX($Y$8:$Y$14,HA520)/INDEX($Z$8:$Z$14,HA520)*HC520/50,0)*50</f>
        <v>19900</v>
      </c>
    </row>
    <row r="521" spans="207:219" ht="16.5" x14ac:dyDescent="0.2">
      <c r="GY521" s="91">
        <v>515</v>
      </c>
      <c r="GZ521" s="14">
        <f t="shared" si="241"/>
        <v>30</v>
      </c>
      <c r="HA521" s="14">
        <f t="shared" si="242"/>
        <v>6</v>
      </c>
      <c r="HB521" s="14">
        <f t="shared" si="243"/>
        <v>3</v>
      </c>
      <c r="HC521" s="14">
        <f t="shared" si="244"/>
        <v>0.75800000000000001</v>
      </c>
      <c r="HD521" s="14">
        <f t="shared" si="245"/>
        <v>1606032</v>
      </c>
      <c r="HE521" s="14" t="str">
        <f t="shared" si="246"/>
        <v>神器6-4 : 8级</v>
      </c>
      <c r="HF521" s="14" t="s">
        <v>800</v>
      </c>
      <c r="HG521" s="14">
        <f t="shared" si="247"/>
        <v>8</v>
      </c>
      <c r="HH521" s="14" t="str">
        <f t="shared" si="248"/>
        <v>神器6-4</v>
      </c>
      <c r="HI521" s="14">
        <f t="shared" si="249"/>
        <v>3</v>
      </c>
      <c r="HJ521" s="14" t="s">
        <v>1595</v>
      </c>
      <c r="HK521" s="14">
        <f t="shared" si="250"/>
        <v>20400</v>
      </c>
    </row>
    <row r="522" spans="207:219" ht="16.5" x14ac:dyDescent="0.2">
      <c r="GY522" s="91">
        <v>516</v>
      </c>
      <c r="GZ522" s="14">
        <f t="shared" si="241"/>
        <v>30</v>
      </c>
      <c r="HA522" s="14">
        <f t="shared" si="242"/>
        <v>6</v>
      </c>
      <c r="HB522" s="14">
        <f t="shared" si="243"/>
        <v>3</v>
      </c>
      <c r="HC522" s="14">
        <f t="shared" si="244"/>
        <v>0.77600000000000002</v>
      </c>
      <c r="HD522" s="14">
        <f t="shared" si="245"/>
        <v>1606032</v>
      </c>
      <c r="HE522" s="14" t="str">
        <f t="shared" si="246"/>
        <v>神器6-4 : 9级</v>
      </c>
      <c r="HF522" s="14" t="s">
        <v>800</v>
      </c>
      <c r="HG522" s="14">
        <f t="shared" si="247"/>
        <v>9</v>
      </c>
      <c r="HH522" s="14" t="str">
        <f t="shared" si="248"/>
        <v>神器6-4</v>
      </c>
      <c r="HI522" s="14">
        <f t="shared" si="249"/>
        <v>3</v>
      </c>
      <c r="HJ522" s="14" t="s">
        <v>1595</v>
      </c>
      <c r="HK522" s="14">
        <f t="shared" si="250"/>
        <v>20900</v>
      </c>
    </row>
    <row r="523" spans="207:219" ht="16.5" x14ac:dyDescent="0.2">
      <c r="GY523" s="91">
        <v>517</v>
      </c>
      <c r="GZ523" s="14">
        <f t="shared" si="241"/>
        <v>30</v>
      </c>
      <c r="HA523" s="14">
        <f t="shared" si="242"/>
        <v>6</v>
      </c>
      <c r="HB523" s="14">
        <f t="shared" si="243"/>
        <v>3</v>
      </c>
      <c r="HC523" s="14">
        <f t="shared" si="244"/>
        <v>0.79400000000000004</v>
      </c>
      <c r="HD523" s="14">
        <f t="shared" si="245"/>
        <v>1606032</v>
      </c>
      <c r="HE523" s="14" t="str">
        <f t="shared" si="246"/>
        <v>神器6-4 : 10级</v>
      </c>
      <c r="HF523" s="14" t="s">
        <v>800</v>
      </c>
      <c r="HG523" s="14">
        <f t="shared" si="247"/>
        <v>10</v>
      </c>
      <c r="HH523" s="14" t="str">
        <f t="shared" si="248"/>
        <v>神器6-4</v>
      </c>
      <c r="HI523" s="14">
        <f t="shared" si="249"/>
        <v>5</v>
      </c>
      <c r="HJ523" s="14" t="s">
        <v>1595</v>
      </c>
      <c r="HK523" s="14">
        <f t="shared" si="250"/>
        <v>21400</v>
      </c>
    </row>
    <row r="524" spans="207:219" ht="16.5" x14ac:dyDescent="0.2">
      <c r="GY524" s="91">
        <v>518</v>
      </c>
      <c r="GZ524" s="14">
        <f t="shared" si="241"/>
        <v>30</v>
      </c>
      <c r="HA524" s="14">
        <f t="shared" si="242"/>
        <v>6</v>
      </c>
      <c r="HB524" s="14">
        <f t="shared" si="243"/>
        <v>3</v>
      </c>
      <c r="HC524" s="14">
        <f t="shared" si="244"/>
        <v>0.81100000000000005</v>
      </c>
      <c r="HD524" s="14">
        <f t="shared" si="245"/>
        <v>1606032</v>
      </c>
      <c r="HE524" s="14" t="str">
        <f t="shared" si="246"/>
        <v>神器6-4 : 11级</v>
      </c>
      <c r="HF524" s="14" t="s">
        <v>800</v>
      </c>
      <c r="HG524" s="14">
        <f t="shared" si="247"/>
        <v>11</v>
      </c>
      <c r="HH524" s="14" t="str">
        <f t="shared" si="248"/>
        <v>神器6-4</v>
      </c>
      <c r="HI524" s="14">
        <f t="shared" si="249"/>
        <v>5</v>
      </c>
      <c r="HJ524" s="14" t="s">
        <v>1595</v>
      </c>
      <c r="HK524" s="14">
        <f t="shared" si="250"/>
        <v>21850</v>
      </c>
    </row>
    <row r="525" spans="207:219" ht="16.5" x14ac:dyDescent="0.2">
      <c r="GY525" s="91">
        <v>519</v>
      </c>
      <c r="GZ525" s="14">
        <f t="shared" si="241"/>
        <v>30</v>
      </c>
      <c r="HA525" s="14">
        <f t="shared" si="242"/>
        <v>6</v>
      </c>
      <c r="HB525" s="14">
        <f t="shared" si="243"/>
        <v>3</v>
      </c>
      <c r="HC525" s="14">
        <f t="shared" si="244"/>
        <v>0.82799999999999996</v>
      </c>
      <c r="HD525" s="14">
        <f t="shared" si="245"/>
        <v>1606032</v>
      </c>
      <c r="HE525" s="14" t="str">
        <f t="shared" si="246"/>
        <v>神器6-4 : 12级</v>
      </c>
      <c r="HF525" s="14" t="s">
        <v>800</v>
      </c>
      <c r="HG525" s="14">
        <f t="shared" si="247"/>
        <v>12</v>
      </c>
      <c r="HH525" s="14" t="str">
        <f t="shared" si="248"/>
        <v>神器6-4</v>
      </c>
      <c r="HI525" s="14">
        <f t="shared" si="249"/>
        <v>6</v>
      </c>
      <c r="HJ525" s="14" t="s">
        <v>1595</v>
      </c>
      <c r="HK525" s="14">
        <f t="shared" si="250"/>
        <v>22300</v>
      </c>
    </row>
    <row r="526" spans="207:219" ht="16.5" x14ac:dyDescent="0.2">
      <c r="GY526" s="91">
        <v>520</v>
      </c>
      <c r="GZ526" s="14">
        <f t="shared" si="241"/>
        <v>30</v>
      </c>
      <c r="HA526" s="14">
        <f t="shared" si="242"/>
        <v>6</v>
      </c>
      <c r="HB526" s="14">
        <f t="shared" si="243"/>
        <v>3</v>
      </c>
      <c r="HC526" s="14">
        <f t="shared" si="244"/>
        <v>0.84499999999999997</v>
      </c>
      <c r="HD526" s="14">
        <f t="shared" si="245"/>
        <v>1606032</v>
      </c>
      <c r="HE526" s="14" t="str">
        <f t="shared" si="246"/>
        <v>神器6-4 : 13级</v>
      </c>
      <c r="HF526" s="14" t="s">
        <v>800</v>
      </c>
      <c r="HG526" s="14">
        <f t="shared" si="247"/>
        <v>13</v>
      </c>
      <c r="HH526" s="14" t="str">
        <f t="shared" si="248"/>
        <v>神器6-4</v>
      </c>
      <c r="HI526" s="14">
        <f t="shared" si="249"/>
        <v>7</v>
      </c>
      <c r="HJ526" s="14" t="s">
        <v>1595</v>
      </c>
      <c r="HK526" s="14">
        <f t="shared" si="250"/>
        <v>22750</v>
      </c>
    </row>
    <row r="527" spans="207:219" ht="16.5" x14ac:dyDescent="0.2">
      <c r="GY527" s="91">
        <v>521</v>
      </c>
      <c r="GZ527" s="14">
        <f t="shared" si="241"/>
        <v>30</v>
      </c>
      <c r="HA527" s="14">
        <f t="shared" si="242"/>
        <v>6</v>
      </c>
      <c r="HB527" s="14">
        <f t="shared" si="243"/>
        <v>3</v>
      </c>
      <c r="HC527" s="14">
        <f t="shared" si="244"/>
        <v>0.86099999999999999</v>
      </c>
      <c r="HD527" s="14">
        <f t="shared" si="245"/>
        <v>1606032</v>
      </c>
      <c r="HE527" s="14" t="str">
        <f t="shared" si="246"/>
        <v>神器6-4 : 14级</v>
      </c>
      <c r="HF527" s="14" t="s">
        <v>800</v>
      </c>
      <c r="HG527" s="14">
        <f t="shared" si="247"/>
        <v>14</v>
      </c>
      <c r="HH527" s="14" t="str">
        <f t="shared" si="248"/>
        <v>神器6-4</v>
      </c>
      <c r="HI527" s="14">
        <f t="shared" si="249"/>
        <v>7</v>
      </c>
      <c r="HJ527" s="14" t="s">
        <v>1595</v>
      </c>
      <c r="HK527" s="14">
        <f t="shared" si="250"/>
        <v>23200</v>
      </c>
    </row>
    <row r="528" spans="207:219" ht="16.5" x14ac:dyDescent="0.2">
      <c r="GY528" s="91">
        <v>522</v>
      </c>
      <c r="GZ528" s="14">
        <f t="shared" si="241"/>
        <v>30</v>
      </c>
      <c r="HA528" s="14">
        <f t="shared" si="242"/>
        <v>6</v>
      </c>
      <c r="HB528" s="14">
        <f t="shared" si="243"/>
        <v>3</v>
      </c>
      <c r="HC528" s="14">
        <f t="shared" si="244"/>
        <v>0.877</v>
      </c>
      <c r="HD528" s="14">
        <f t="shared" si="245"/>
        <v>1606032</v>
      </c>
      <c r="HE528" s="14" t="str">
        <f t="shared" si="246"/>
        <v>神器6-4 : 15级</v>
      </c>
      <c r="HF528" s="14" t="s">
        <v>800</v>
      </c>
      <c r="HG528" s="14">
        <f t="shared" si="247"/>
        <v>15</v>
      </c>
      <c r="HH528" s="14" t="str">
        <f t="shared" si="248"/>
        <v>神器6-4</v>
      </c>
      <c r="HI528" s="14">
        <f t="shared" si="249"/>
        <v>7</v>
      </c>
      <c r="HJ528" s="14" t="s">
        <v>1595</v>
      </c>
      <c r="HK528" s="14">
        <f t="shared" si="250"/>
        <v>23600</v>
      </c>
    </row>
    <row r="529" spans="207:219" ht="16.5" x14ac:dyDescent="0.2">
      <c r="GY529" s="91">
        <v>523</v>
      </c>
      <c r="GZ529" s="14">
        <f t="shared" si="241"/>
        <v>30</v>
      </c>
      <c r="HA529" s="14">
        <f t="shared" si="242"/>
        <v>6</v>
      </c>
      <c r="HB529" s="14">
        <f t="shared" si="243"/>
        <v>3</v>
      </c>
      <c r="HC529" s="14">
        <f t="shared" si="244"/>
        <v>0.89300000000000002</v>
      </c>
      <c r="HD529" s="14">
        <f t="shared" si="245"/>
        <v>1606032</v>
      </c>
      <c r="HE529" s="14" t="str">
        <f t="shared" si="246"/>
        <v>神器6-4 : 16级</v>
      </c>
      <c r="HF529" s="14" t="s">
        <v>800</v>
      </c>
      <c r="HG529" s="14">
        <f t="shared" si="247"/>
        <v>16</v>
      </c>
      <c r="HH529" s="14" t="str">
        <f t="shared" si="248"/>
        <v>神器6-4</v>
      </c>
      <c r="HI529" s="14">
        <f t="shared" si="249"/>
        <v>10</v>
      </c>
      <c r="HJ529" s="14" t="s">
        <v>1595</v>
      </c>
      <c r="HK529" s="14">
        <f t="shared" si="250"/>
        <v>24050</v>
      </c>
    </row>
    <row r="530" spans="207:219" ht="16.5" x14ac:dyDescent="0.2">
      <c r="GY530" s="91">
        <v>524</v>
      </c>
      <c r="GZ530" s="14">
        <f t="shared" si="241"/>
        <v>30</v>
      </c>
      <c r="HA530" s="14">
        <f t="shared" si="242"/>
        <v>6</v>
      </c>
      <c r="HB530" s="14">
        <f t="shared" si="243"/>
        <v>3</v>
      </c>
      <c r="HC530" s="14">
        <f t="shared" si="244"/>
        <v>0.90900000000000003</v>
      </c>
      <c r="HD530" s="14">
        <f t="shared" si="245"/>
        <v>1606032</v>
      </c>
      <c r="HE530" s="14" t="str">
        <f t="shared" si="246"/>
        <v>神器6-4 : 17级</v>
      </c>
      <c r="HF530" s="14" t="s">
        <v>800</v>
      </c>
      <c r="HG530" s="14">
        <f t="shared" si="247"/>
        <v>17</v>
      </c>
      <c r="HH530" s="14" t="str">
        <f t="shared" si="248"/>
        <v>神器6-4</v>
      </c>
      <c r="HI530" s="14">
        <f t="shared" si="249"/>
        <v>10</v>
      </c>
      <c r="HJ530" s="14" t="s">
        <v>1595</v>
      </c>
      <c r="HK530" s="14">
        <f t="shared" si="250"/>
        <v>24500</v>
      </c>
    </row>
    <row r="531" spans="207:219" ht="16.5" x14ac:dyDescent="0.2">
      <c r="GY531" s="91">
        <v>525</v>
      </c>
      <c r="GZ531" s="14">
        <f t="shared" si="241"/>
        <v>30</v>
      </c>
      <c r="HA531" s="14">
        <f t="shared" si="242"/>
        <v>6</v>
      </c>
      <c r="HB531" s="14">
        <f t="shared" si="243"/>
        <v>3</v>
      </c>
      <c r="HC531" s="14">
        <f t="shared" si="244"/>
        <v>0.92400000000000004</v>
      </c>
      <c r="HD531" s="14">
        <f t="shared" si="245"/>
        <v>1606032</v>
      </c>
      <c r="HE531" s="14" t="str">
        <f t="shared" si="246"/>
        <v>神器6-4 : 18级</v>
      </c>
      <c r="HF531" s="14" t="s">
        <v>800</v>
      </c>
      <c r="HG531" s="14">
        <f t="shared" si="247"/>
        <v>18</v>
      </c>
      <c r="HH531" s="14" t="str">
        <f t="shared" si="248"/>
        <v>神器6-4</v>
      </c>
      <c r="HI531" s="14">
        <f t="shared" si="249"/>
        <v>10</v>
      </c>
      <c r="HJ531" s="14" t="s">
        <v>1595</v>
      </c>
      <c r="HK531" s="14">
        <f t="shared" si="250"/>
        <v>24900</v>
      </c>
    </row>
    <row r="532" spans="207:219" ht="16.5" x14ac:dyDescent="0.2">
      <c r="GY532" s="91">
        <v>526</v>
      </c>
      <c r="GZ532" s="14">
        <f t="shared" si="241"/>
        <v>30</v>
      </c>
      <c r="HA532" s="14">
        <f t="shared" si="242"/>
        <v>6</v>
      </c>
      <c r="HB532" s="14">
        <f t="shared" si="243"/>
        <v>3</v>
      </c>
      <c r="HC532" s="14">
        <f t="shared" si="244"/>
        <v>0.93899999999999995</v>
      </c>
      <c r="HD532" s="14">
        <f t="shared" si="245"/>
        <v>1606032</v>
      </c>
      <c r="HE532" s="14" t="str">
        <f t="shared" si="246"/>
        <v>神器6-4 : 19级</v>
      </c>
      <c r="HF532" s="14" t="s">
        <v>800</v>
      </c>
      <c r="HG532" s="14">
        <f t="shared" si="247"/>
        <v>19</v>
      </c>
      <c r="HH532" s="14" t="str">
        <f t="shared" si="248"/>
        <v>神器6-4</v>
      </c>
      <c r="HI532" s="14">
        <f t="shared" si="249"/>
        <v>15</v>
      </c>
      <c r="HJ532" s="14" t="s">
        <v>1595</v>
      </c>
      <c r="HK532" s="14">
        <f t="shared" si="250"/>
        <v>25300</v>
      </c>
    </row>
    <row r="533" spans="207:219" ht="16.5" x14ac:dyDescent="0.2">
      <c r="GY533" s="91">
        <v>527</v>
      </c>
      <c r="GZ533" s="14">
        <f t="shared" si="241"/>
        <v>30</v>
      </c>
      <c r="HA533" s="14">
        <f t="shared" si="242"/>
        <v>6</v>
      </c>
      <c r="HB533" s="14">
        <f t="shared" si="243"/>
        <v>3</v>
      </c>
      <c r="HC533" s="14">
        <f t="shared" si="244"/>
        <v>0.95399999999999996</v>
      </c>
      <c r="HD533" s="14">
        <f t="shared" si="245"/>
        <v>1606032</v>
      </c>
      <c r="HE533" s="14" t="str">
        <f t="shared" si="246"/>
        <v>神器6-4 : 20级</v>
      </c>
      <c r="HF533" s="14" t="s">
        <v>800</v>
      </c>
      <c r="HG533" s="14">
        <f t="shared" si="247"/>
        <v>20</v>
      </c>
      <c r="HH533" s="14" t="str">
        <f t="shared" si="248"/>
        <v>神器6-4</v>
      </c>
      <c r="HI533" s="14">
        <f t="shared" si="249"/>
        <v>15</v>
      </c>
      <c r="HJ533" s="14" t="s">
        <v>1595</v>
      </c>
      <c r="HK533" s="14">
        <f t="shared" si="250"/>
        <v>25700</v>
      </c>
    </row>
    <row r="534" spans="207:219" ht="16.5" x14ac:dyDescent="0.2">
      <c r="GY534" s="91">
        <v>528</v>
      </c>
      <c r="GZ534" s="14">
        <f t="shared" si="241"/>
        <v>30</v>
      </c>
      <c r="HA534" s="14">
        <f t="shared" si="242"/>
        <v>6</v>
      </c>
      <c r="HB534" s="14">
        <f t="shared" si="243"/>
        <v>3</v>
      </c>
      <c r="HC534" s="14">
        <f t="shared" si="244"/>
        <v>0.96899999999999997</v>
      </c>
      <c r="HD534" s="14">
        <f t="shared" si="245"/>
        <v>1606032</v>
      </c>
      <c r="HE534" s="14" t="str">
        <f t="shared" si="246"/>
        <v>神器6-4 : 21级</v>
      </c>
      <c r="HF534" s="14" t="s">
        <v>800</v>
      </c>
      <c r="HG534" s="14">
        <f t="shared" si="247"/>
        <v>21</v>
      </c>
      <c r="HH534" s="14" t="str">
        <f t="shared" si="248"/>
        <v>神器6-4</v>
      </c>
      <c r="HI534" s="14">
        <f t="shared" si="249"/>
        <v>15</v>
      </c>
      <c r="HJ534" s="14" t="s">
        <v>1595</v>
      </c>
      <c r="HK534" s="14">
        <f t="shared" si="250"/>
        <v>26100</v>
      </c>
    </row>
    <row r="535" spans="207:219" ht="16.5" x14ac:dyDescent="0.2">
      <c r="GY535" s="91">
        <v>529</v>
      </c>
      <c r="GZ535" s="14">
        <f t="shared" si="241"/>
        <v>31</v>
      </c>
      <c r="HA535" s="14">
        <f t="shared" si="242"/>
        <v>6</v>
      </c>
      <c r="HB535" s="14">
        <f t="shared" si="243"/>
        <v>3</v>
      </c>
      <c r="HC535" s="14">
        <f t="shared" si="244"/>
        <v>0.61499999999999999</v>
      </c>
      <c r="HD535" s="14">
        <f t="shared" si="245"/>
        <v>1606033</v>
      </c>
      <c r="HE535" s="14" t="str">
        <f t="shared" si="246"/>
        <v>神器6-5 : 1级</v>
      </c>
      <c r="HF535" s="14" t="s">
        <v>800</v>
      </c>
      <c r="HG535" s="14">
        <f t="shared" si="247"/>
        <v>1</v>
      </c>
      <c r="HH535" s="14" t="str">
        <f t="shared" si="248"/>
        <v>神器6-5</v>
      </c>
      <c r="HI535" s="14">
        <f t="shared" si="249"/>
        <v>1</v>
      </c>
      <c r="HJ535" s="14" t="s">
        <v>1595</v>
      </c>
      <c r="HK535" s="14">
        <f t="shared" si="250"/>
        <v>16550</v>
      </c>
    </row>
    <row r="536" spans="207:219" ht="16.5" x14ac:dyDescent="0.2">
      <c r="GY536" s="91">
        <v>530</v>
      </c>
      <c r="GZ536" s="14">
        <f t="shared" si="241"/>
        <v>31</v>
      </c>
      <c r="HA536" s="14">
        <f t="shared" si="242"/>
        <v>6</v>
      </c>
      <c r="HB536" s="14">
        <f t="shared" si="243"/>
        <v>3</v>
      </c>
      <c r="HC536" s="14">
        <f t="shared" si="244"/>
        <v>0.63700000000000001</v>
      </c>
      <c r="HD536" s="14">
        <f t="shared" si="245"/>
        <v>1606033</v>
      </c>
      <c r="HE536" s="14" t="str">
        <f t="shared" si="246"/>
        <v>神器6-5 : 2级</v>
      </c>
      <c r="HF536" s="14" t="s">
        <v>800</v>
      </c>
      <c r="HG536" s="14">
        <f t="shared" si="247"/>
        <v>2</v>
      </c>
      <c r="HH536" s="14" t="str">
        <f t="shared" si="248"/>
        <v>神器6-5</v>
      </c>
      <c r="HI536" s="14">
        <f t="shared" si="249"/>
        <v>1</v>
      </c>
      <c r="HJ536" s="14" t="s">
        <v>1595</v>
      </c>
      <c r="HK536" s="14">
        <f t="shared" si="250"/>
        <v>17150</v>
      </c>
    </row>
    <row r="537" spans="207:219" ht="16.5" x14ac:dyDescent="0.2">
      <c r="GY537" s="91">
        <v>531</v>
      </c>
      <c r="GZ537" s="14">
        <f t="shared" si="241"/>
        <v>31</v>
      </c>
      <c r="HA537" s="14">
        <f t="shared" si="242"/>
        <v>6</v>
      </c>
      <c r="HB537" s="14">
        <f t="shared" si="243"/>
        <v>3</v>
      </c>
      <c r="HC537" s="14">
        <f t="shared" si="244"/>
        <v>0.65900000000000003</v>
      </c>
      <c r="HD537" s="14">
        <f t="shared" si="245"/>
        <v>1606033</v>
      </c>
      <c r="HE537" s="14" t="str">
        <f t="shared" si="246"/>
        <v>神器6-5 : 3级</v>
      </c>
      <c r="HF537" s="14" t="s">
        <v>800</v>
      </c>
      <c r="HG537" s="14">
        <f t="shared" si="247"/>
        <v>3</v>
      </c>
      <c r="HH537" s="14" t="str">
        <f t="shared" si="248"/>
        <v>神器6-5</v>
      </c>
      <c r="HI537" s="14">
        <f t="shared" si="249"/>
        <v>1</v>
      </c>
      <c r="HJ537" s="14" t="s">
        <v>1595</v>
      </c>
      <c r="HK537" s="14">
        <f t="shared" si="250"/>
        <v>17750</v>
      </c>
    </row>
    <row r="538" spans="207:219" ht="16.5" x14ac:dyDescent="0.2">
      <c r="GY538" s="91">
        <v>532</v>
      </c>
      <c r="GZ538" s="14">
        <f t="shared" si="241"/>
        <v>31</v>
      </c>
      <c r="HA538" s="14">
        <f t="shared" si="242"/>
        <v>6</v>
      </c>
      <c r="HB538" s="14">
        <f t="shared" si="243"/>
        <v>3</v>
      </c>
      <c r="HC538" s="14">
        <f t="shared" si="244"/>
        <v>0.68</v>
      </c>
      <c r="HD538" s="14">
        <f t="shared" si="245"/>
        <v>1606033</v>
      </c>
      <c r="HE538" s="14" t="str">
        <f t="shared" si="246"/>
        <v>神器6-5 : 4级</v>
      </c>
      <c r="HF538" s="14" t="s">
        <v>800</v>
      </c>
      <c r="HG538" s="14">
        <f t="shared" si="247"/>
        <v>4</v>
      </c>
      <c r="HH538" s="14" t="str">
        <f t="shared" si="248"/>
        <v>神器6-5</v>
      </c>
      <c r="HI538" s="14">
        <f t="shared" si="249"/>
        <v>2</v>
      </c>
      <c r="HJ538" s="14" t="s">
        <v>1595</v>
      </c>
      <c r="HK538" s="14">
        <f t="shared" si="250"/>
        <v>18300</v>
      </c>
    </row>
    <row r="539" spans="207:219" ht="16.5" x14ac:dyDescent="0.2">
      <c r="GY539" s="91">
        <v>533</v>
      </c>
      <c r="GZ539" s="14">
        <f t="shared" si="241"/>
        <v>31</v>
      </c>
      <c r="HA539" s="14">
        <f t="shared" si="242"/>
        <v>6</v>
      </c>
      <c r="HB539" s="14">
        <f t="shared" si="243"/>
        <v>3</v>
      </c>
      <c r="HC539" s="14">
        <f t="shared" si="244"/>
        <v>0.7</v>
      </c>
      <c r="HD539" s="14">
        <f t="shared" si="245"/>
        <v>1606033</v>
      </c>
      <c r="HE539" s="14" t="str">
        <f t="shared" si="246"/>
        <v>神器6-5 : 5级</v>
      </c>
      <c r="HF539" s="14" t="s">
        <v>800</v>
      </c>
      <c r="HG539" s="14">
        <f t="shared" si="247"/>
        <v>5</v>
      </c>
      <c r="HH539" s="14" t="str">
        <f t="shared" si="248"/>
        <v>神器6-5</v>
      </c>
      <c r="HI539" s="14">
        <f t="shared" si="249"/>
        <v>2</v>
      </c>
      <c r="HJ539" s="14" t="s">
        <v>1595</v>
      </c>
      <c r="HK539" s="14">
        <f t="shared" si="250"/>
        <v>18850</v>
      </c>
    </row>
    <row r="540" spans="207:219" ht="16.5" x14ac:dyDescent="0.2">
      <c r="GY540" s="91">
        <v>534</v>
      </c>
      <c r="GZ540" s="14">
        <f t="shared" si="241"/>
        <v>31</v>
      </c>
      <c r="HA540" s="14">
        <f t="shared" si="242"/>
        <v>6</v>
      </c>
      <c r="HB540" s="14">
        <f t="shared" si="243"/>
        <v>3</v>
      </c>
      <c r="HC540" s="14">
        <f t="shared" si="244"/>
        <v>0.72</v>
      </c>
      <c r="HD540" s="14">
        <f t="shared" si="245"/>
        <v>1606033</v>
      </c>
      <c r="HE540" s="14" t="str">
        <f t="shared" si="246"/>
        <v>神器6-5 : 6级</v>
      </c>
      <c r="HF540" s="14" t="s">
        <v>800</v>
      </c>
      <c r="HG540" s="14">
        <f t="shared" si="247"/>
        <v>6</v>
      </c>
      <c r="HH540" s="14" t="str">
        <f t="shared" si="248"/>
        <v>神器6-5</v>
      </c>
      <c r="HI540" s="14">
        <f t="shared" si="249"/>
        <v>2</v>
      </c>
      <c r="HJ540" s="14" t="s">
        <v>1595</v>
      </c>
      <c r="HK540" s="14">
        <f t="shared" si="250"/>
        <v>19400</v>
      </c>
    </row>
    <row r="541" spans="207:219" ht="16.5" x14ac:dyDescent="0.2">
      <c r="GY541" s="91">
        <v>535</v>
      </c>
      <c r="GZ541" s="14">
        <f t="shared" si="241"/>
        <v>31</v>
      </c>
      <c r="HA541" s="14">
        <f t="shared" si="242"/>
        <v>6</v>
      </c>
      <c r="HB541" s="14">
        <f t="shared" si="243"/>
        <v>3</v>
      </c>
      <c r="HC541" s="14">
        <f t="shared" si="244"/>
        <v>0.73899999999999999</v>
      </c>
      <c r="HD541" s="14">
        <f t="shared" si="245"/>
        <v>1606033</v>
      </c>
      <c r="HE541" s="14" t="str">
        <f t="shared" si="246"/>
        <v>神器6-5 : 7级</v>
      </c>
      <c r="HF541" s="14" t="s">
        <v>800</v>
      </c>
      <c r="HG541" s="14">
        <f t="shared" si="247"/>
        <v>7</v>
      </c>
      <c r="HH541" s="14" t="str">
        <f t="shared" si="248"/>
        <v>神器6-5</v>
      </c>
      <c r="HI541" s="14">
        <f t="shared" si="249"/>
        <v>3</v>
      </c>
      <c r="HJ541" s="14" t="s">
        <v>1595</v>
      </c>
      <c r="HK541" s="14">
        <f t="shared" si="250"/>
        <v>19900</v>
      </c>
    </row>
    <row r="542" spans="207:219" ht="16.5" x14ac:dyDescent="0.2">
      <c r="GY542" s="91">
        <v>536</v>
      </c>
      <c r="GZ542" s="14">
        <f t="shared" si="241"/>
        <v>31</v>
      </c>
      <c r="HA542" s="14">
        <f t="shared" si="242"/>
        <v>6</v>
      </c>
      <c r="HB542" s="14">
        <f t="shared" si="243"/>
        <v>3</v>
      </c>
      <c r="HC542" s="14">
        <f t="shared" si="244"/>
        <v>0.75800000000000001</v>
      </c>
      <c r="HD542" s="14">
        <f t="shared" si="245"/>
        <v>1606033</v>
      </c>
      <c r="HE542" s="14" t="str">
        <f t="shared" si="246"/>
        <v>神器6-5 : 8级</v>
      </c>
      <c r="HF542" s="14" t="s">
        <v>800</v>
      </c>
      <c r="HG542" s="14">
        <f t="shared" si="247"/>
        <v>8</v>
      </c>
      <c r="HH542" s="14" t="str">
        <f t="shared" si="248"/>
        <v>神器6-5</v>
      </c>
      <c r="HI542" s="14">
        <f t="shared" si="249"/>
        <v>3</v>
      </c>
      <c r="HJ542" s="14" t="s">
        <v>1595</v>
      </c>
      <c r="HK542" s="14">
        <f t="shared" si="250"/>
        <v>20400</v>
      </c>
    </row>
    <row r="543" spans="207:219" ht="16.5" x14ac:dyDescent="0.2">
      <c r="GY543" s="91">
        <v>537</v>
      </c>
      <c r="GZ543" s="14">
        <f t="shared" si="241"/>
        <v>31</v>
      </c>
      <c r="HA543" s="14">
        <f t="shared" si="242"/>
        <v>6</v>
      </c>
      <c r="HB543" s="14">
        <f t="shared" si="243"/>
        <v>3</v>
      </c>
      <c r="HC543" s="14">
        <f t="shared" si="244"/>
        <v>0.77600000000000002</v>
      </c>
      <c r="HD543" s="14">
        <f t="shared" si="245"/>
        <v>1606033</v>
      </c>
      <c r="HE543" s="14" t="str">
        <f t="shared" si="246"/>
        <v>神器6-5 : 9级</v>
      </c>
      <c r="HF543" s="14" t="s">
        <v>800</v>
      </c>
      <c r="HG543" s="14">
        <f t="shared" si="247"/>
        <v>9</v>
      </c>
      <c r="HH543" s="14" t="str">
        <f t="shared" si="248"/>
        <v>神器6-5</v>
      </c>
      <c r="HI543" s="14">
        <f t="shared" si="249"/>
        <v>3</v>
      </c>
      <c r="HJ543" s="14" t="s">
        <v>1595</v>
      </c>
      <c r="HK543" s="14">
        <f t="shared" si="250"/>
        <v>20900</v>
      </c>
    </row>
    <row r="544" spans="207:219" ht="16.5" x14ac:dyDescent="0.2">
      <c r="GY544" s="91">
        <v>538</v>
      </c>
      <c r="GZ544" s="14">
        <f t="shared" si="241"/>
        <v>31</v>
      </c>
      <c r="HA544" s="14">
        <f t="shared" si="242"/>
        <v>6</v>
      </c>
      <c r="HB544" s="14">
        <f t="shared" si="243"/>
        <v>3</v>
      </c>
      <c r="HC544" s="14">
        <f t="shared" si="244"/>
        <v>0.79400000000000004</v>
      </c>
      <c r="HD544" s="14">
        <f t="shared" si="245"/>
        <v>1606033</v>
      </c>
      <c r="HE544" s="14" t="str">
        <f t="shared" si="246"/>
        <v>神器6-5 : 10级</v>
      </c>
      <c r="HF544" s="14" t="s">
        <v>800</v>
      </c>
      <c r="HG544" s="14">
        <f t="shared" si="247"/>
        <v>10</v>
      </c>
      <c r="HH544" s="14" t="str">
        <f t="shared" si="248"/>
        <v>神器6-5</v>
      </c>
      <c r="HI544" s="14">
        <f t="shared" si="249"/>
        <v>5</v>
      </c>
      <c r="HJ544" s="14" t="s">
        <v>1595</v>
      </c>
      <c r="HK544" s="14">
        <f t="shared" si="250"/>
        <v>21400</v>
      </c>
    </row>
    <row r="545" spans="207:219" ht="16.5" x14ac:dyDescent="0.2">
      <c r="GY545" s="91">
        <v>539</v>
      </c>
      <c r="GZ545" s="14">
        <f t="shared" si="241"/>
        <v>31</v>
      </c>
      <c r="HA545" s="14">
        <f t="shared" si="242"/>
        <v>6</v>
      </c>
      <c r="HB545" s="14">
        <f t="shared" si="243"/>
        <v>3</v>
      </c>
      <c r="HC545" s="14">
        <f t="shared" si="244"/>
        <v>0.81100000000000005</v>
      </c>
      <c r="HD545" s="14">
        <f t="shared" si="245"/>
        <v>1606033</v>
      </c>
      <c r="HE545" s="14" t="str">
        <f t="shared" si="246"/>
        <v>神器6-5 : 11级</v>
      </c>
      <c r="HF545" s="14" t="s">
        <v>800</v>
      </c>
      <c r="HG545" s="14">
        <f t="shared" si="247"/>
        <v>11</v>
      </c>
      <c r="HH545" s="14" t="str">
        <f t="shared" si="248"/>
        <v>神器6-5</v>
      </c>
      <c r="HI545" s="14">
        <f t="shared" si="249"/>
        <v>5</v>
      </c>
      <c r="HJ545" s="14" t="s">
        <v>1595</v>
      </c>
      <c r="HK545" s="14">
        <f t="shared" si="250"/>
        <v>21850</v>
      </c>
    </row>
    <row r="546" spans="207:219" ht="16.5" x14ac:dyDescent="0.2">
      <c r="GY546" s="91">
        <v>540</v>
      </c>
      <c r="GZ546" s="14">
        <f t="shared" si="241"/>
        <v>31</v>
      </c>
      <c r="HA546" s="14">
        <f t="shared" si="242"/>
        <v>6</v>
      </c>
      <c r="HB546" s="14">
        <f t="shared" si="243"/>
        <v>3</v>
      </c>
      <c r="HC546" s="14">
        <f t="shared" si="244"/>
        <v>0.82799999999999996</v>
      </c>
      <c r="HD546" s="14">
        <f t="shared" si="245"/>
        <v>1606033</v>
      </c>
      <c r="HE546" s="14" t="str">
        <f t="shared" si="246"/>
        <v>神器6-5 : 12级</v>
      </c>
      <c r="HF546" s="14" t="s">
        <v>800</v>
      </c>
      <c r="HG546" s="14">
        <f t="shared" si="247"/>
        <v>12</v>
      </c>
      <c r="HH546" s="14" t="str">
        <f t="shared" si="248"/>
        <v>神器6-5</v>
      </c>
      <c r="HI546" s="14">
        <f t="shared" si="249"/>
        <v>6</v>
      </c>
      <c r="HJ546" s="14" t="s">
        <v>1595</v>
      </c>
      <c r="HK546" s="14">
        <f t="shared" si="250"/>
        <v>22300</v>
      </c>
    </row>
    <row r="547" spans="207:219" ht="16.5" x14ac:dyDescent="0.2">
      <c r="GY547" s="91">
        <v>541</v>
      </c>
      <c r="GZ547" s="14">
        <f t="shared" si="241"/>
        <v>31</v>
      </c>
      <c r="HA547" s="14">
        <f t="shared" si="242"/>
        <v>6</v>
      </c>
      <c r="HB547" s="14">
        <f t="shared" si="243"/>
        <v>3</v>
      </c>
      <c r="HC547" s="14">
        <f t="shared" si="244"/>
        <v>0.84499999999999997</v>
      </c>
      <c r="HD547" s="14">
        <f t="shared" si="245"/>
        <v>1606033</v>
      </c>
      <c r="HE547" s="14" t="str">
        <f t="shared" si="246"/>
        <v>神器6-5 : 13级</v>
      </c>
      <c r="HF547" s="14" t="s">
        <v>800</v>
      </c>
      <c r="HG547" s="14">
        <f t="shared" si="247"/>
        <v>13</v>
      </c>
      <c r="HH547" s="14" t="str">
        <f t="shared" si="248"/>
        <v>神器6-5</v>
      </c>
      <c r="HI547" s="14">
        <f t="shared" si="249"/>
        <v>7</v>
      </c>
      <c r="HJ547" s="14" t="s">
        <v>1595</v>
      </c>
      <c r="HK547" s="14">
        <f t="shared" si="250"/>
        <v>22750</v>
      </c>
    </row>
    <row r="548" spans="207:219" ht="16.5" x14ac:dyDescent="0.2">
      <c r="GY548" s="91">
        <v>542</v>
      </c>
      <c r="GZ548" s="14">
        <f t="shared" si="241"/>
        <v>31</v>
      </c>
      <c r="HA548" s="14">
        <f t="shared" si="242"/>
        <v>6</v>
      </c>
      <c r="HB548" s="14">
        <f t="shared" si="243"/>
        <v>3</v>
      </c>
      <c r="HC548" s="14">
        <f t="shared" si="244"/>
        <v>0.86099999999999999</v>
      </c>
      <c r="HD548" s="14">
        <f t="shared" si="245"/>
        <v>1606033</v>
      </c>
      <c r="HE548" s="14" t="str">
        <f t="shared" si="246"/>
        <v>神器6-5 : 14级</v>
      </c>
      <c r="HF548" s="14" t="s">
        <v>800</v>
      </c>
      <c r="HG548" s="14">
        <f t="shared" si="247"/>
        <v>14</v>
      </c>
      <c r="HH548" s="14" t="str">
        <f t="shared" si="248"/>
        <v>神器6-5</v>
      </c>
      <c r="HI548" s="14">
        <f t="shared" si="249"/>
        <v>7</v>
      </c>
      <c r="HJ548" s="14" t="s">
        <v>1595</v>
      </c>
      <c r="HK548" s="14">
        <f t="shared" si="250"/>
        <v>23200</v>
      </c>
    </row>
    <row r="549" spans="207:219" ht="16.5" x14ac:dyDescent="0.2">
      <c r="GY549" s="91">
        <v>543</v>
      </c>
      <c r="GZ549" s="14">
        <f t="shared" si="241"/>
        <v>31</v>
      </c>
      <c r="HA549" s="14">
        <f t="shared" si="242"/>
        <v>6</v>
      </c>
      <c r="HB549" s="14">
        <f t="shared" si="243"/>
        <v>3</v>
      </c>
      <c r="HC549" s="14">
        <f t="shared" si="244"/>
        <v>0.877</v>
      </c>
      <c r="HD549" s="14">
        <f t="shared" si="245"/>
        <v>1606033</v>
      </c>
      <c r="HE549" s="14" t="str">
        <f t="shared" si="246"/>
        <v>神器6-5 : 15级</v>
      </c>
      <c r="HF549" s="14" t="s">
        <v>800</v>
      </c>
      <c r="HG549" s="14">
        <f t="shared" si="247"/>
        <v>15</v>
      </c>
      <c r="HH549" s="14" t="str">
        <f t="shared" si="248"/>
        <v>神器6-5</v>
      </c>
      <c r="HI549" s="14">
        <f t="shared" si="249"/>
        <v>7</v>
      </c>
      <c r="HJ549" s="14" t="s">
        <v>1595</v>
      </c>
      <c r="HK549" s="14">
        <f t="shared" si="250"/>
        <v>23600</v>
      </c>
    </row>
    <row r="550" spans="207:219" ht="16.5" x14ac:dyDescent="0.2">
      <c r="GY550" s="91">
        <v>544</v>
      </c>
      <c r="GZ550" s="14">
        <f t="shared" si="241"/>
        <v>31</v>
      </c>
      <c r="HA550" s="14">
        <f t="shared" si="242"/>
        <v>6</v>
      </c>
      <c r="HB550" s="14">
        <f t="shared" si="243"/>
        <v>3</v>
      </c>
      <c r="HC550" s="14">
        <f t="shared" si="244"/>
        <v>0.89300000000000002</v>
      </c>
      <c r="HD550" s="14">
        <f t="shared" si="245"/>
        <v>1606033</v>
      </c>
      <c r="HE550" s="14" t="str">
        <f t="shared" si="246"/>
        <v>神器6-5 : 16级</v>
      </c>
      <c r="HF550" s="14" t="s">
        <v>800</v>
      </c>
      <c r="HG550" s="14">
        <f t="shared" si="247"/>
        <v>16</v>
      </c>
      <c r="HH550" s="14" t="str">
        <f t="shared" si="248"/>
        <v>神器6-5</v>
      </c>
      <c r="HI550" s="14">
        <f t="shared" si="249"/>
        <v>10</v>
      </c>
      <c r="HJ550" s="14" t="s">
        <v>1595</v>
      </c>
      <c r="HK550" s="14">
        <f t="shared" si="250"/>
        <v>24050</v>
      </c>
    </row>
    <row r="551" spans="207:219" ht="16.5" x14ac:dyDescent="0.2">
      <c r="GY551" s="91">
        <v>545</v>
      </c>
      <c r="GZ551" s="14">
        <f t="shared" si="241"/>
        <v>31</v>
      </c>
      <c r="HA551" s="14">
        <f t="shared" si="242"/>
        <v>6</v>
      </c>
      <c r="HB551" s="14">
        <f t="shared" si="243"/>
        <v>3</v>
      </c>
      <c r="HC551" s="14">
        <f t="shared" si="244"/>
        <v>0.90900000000000003</v>
      </c>
      <c r="HD551" s="14">
        <f t="shared" si="245"/>
        <v>1606033</v>
      </c>
      <c r="HE551" s="14" t="str">
        <f t="shared" si="246"/>
        <v>神器6-5 : 17级</v>
      </c>
      <c r="HF551" s="14" t="s">
        <v>800</v>
      </c>
      <c r="HG551" s="14">
        <f t="shared" si="247"/>
        <v>17</v>
      </c>
      <c r="HH551" s="14" t="str">
        <f t="shared" si="248"/>
        <v>神器6-5</v>
      </c>
      <c r="HI551" s="14">
        <f t="shared" si="249"/>
        <v>10</v>
      </c>
      <c r="HJ551" s="14" t="s">
        <v>1595</v>
      </c>
      <c r="HK551" s="14">
        <f t="shared" si="250"/>
        <v>24500</v>
      </c>
    </row>
    <row r="552" spans="207:219" ht="16.5" x14ac:dyDescent="0.2">
      <c r="GY552" s="91">
        <v>546</v>
      </c>
      <c r="GZ552" s="14">
        <f t="shared" si="241"/>
        <v>31</v>
      </c>
      <c r="HA552" s="14">
        <f t="shared" si="242"/>
        <v>6</v>
      </c>
      <c r="HB552" s="14">
        <f t="shared" si="243"/>
        <v>3</v>
      </c>
      <c r="HC552" s="14">
        <f t="shared" si="244"/>
        <v>0.92400000000000004</v>
      </c>
      <c r="HD552" s="14">
        <f t="shared" si="245"/>
        <v>1606033</v>
      </c>
      <c r="HE552" s="14" t="str">
        <f t="shared" si="246"/>
        <v>神器6-5 : 18级</v>
      </c>
      <c r="HF552" s="14" t="s">
        <v>800</v>
      </c>
      <c r="HG552" s="14">
        <f t="shared" si="247"/>
        <v>18</v>
      </c>
      <c r="HH552" s="14" t="str">
        <f t="shared" si="248"/>
        <v>神器6-5</v>
      </c>
      <c r="HI552" s="14">
        <f t="shared" si="249"/>
        <v>10</v>
      </c>
      <c r="HJ552" s="14" t="s">
        <v>1595</v>
      </c>
      <c r="HK552" s="14">
        <f t="shared" si="250"/>
        <v>24900</v>
      </c>
    </row>
    <row r="553" spans="207:219" ht="16.5" x14ac:dyDescent="0.2">
      <c r="GY553" s="91">
        <v>547</v>
      </c>
      <c r="GZ553" s="14">
        <f t="shared" si="241"/>
        <v>31</v>
      </c>
      <c r="HA553" s="14">
        <f t="shared" si="242"/>
        <v>6</v>
      </c>
      <c r="HB553" s="14">
        <f t="shared" si="243"/>
        <v>3</v>
      </c>
      <c r="HC553" s="14">
        <f t="shared" si="244"/>
        <v>0.93899999999999995</v>
      </c>
      <c r="HD553" s="14">
        <f t="shared" si="245"/>
        <v>1606033</v>
      </c>
      <c r="HE553" s="14" t="str">
        <f t="shared" si="246"/>
        <v>神器6-5 : 19级</v>
      </c>
      <c r="HF553" s="14" t="s">
        <v>800</v>
      </c>
      <c r="HG553" s="14">
        <f t="shared" si="247"/>
        <v>19</v>
      </c>
      <c r="HH553" s="14" t="str">
        <f t="shared" si="248"/>
        <v>神器6-5</v>
      </c>
      <c r="HI553" s="14">
        <f t="shared" si="249"/>
        <v>15</v>
      </c>
      <c r="HJ553" s="14" t="s">
        <v>1595</v>
      </c>
      <c r="HK553" s="14">
        <f t="shared" si="250"/>
        <v>25300</v>
      </c>
    </row>
    <row r="554" spans="207:219" ht="16.5" x14ac:dyDescent="0.2">
      <c r="GY554" s="91">
        <v>548</v>
      </c>
      <c r="GZ554" s="14">
        <f t="shared" si="241"/>
        <v>31</v>
      </c>
      <c r="HA554" s="14">
        <f t="shared" si="242"/>
        <v>6</v>
      </c>
      <c r="HB554" s="14">
        <f t="shared" si="243"/>
        <v>3</v>
      </c>
      <c r="HC554" s="14">
        <f t="shared" si="244"/>
        <v>0.95399999999999996</v>
      </c>
      <c r="HD554" s="14">
        <f t="shared" si="245"/>
        <v>1606033</v>
      </c>
      <c r="HE554" s="14" t="str">
        <f t="shared" si="246"/>
        <v>神器6-5 : 20级</v>
      </c>
      <c r="HF554" s="14" t="s">
        <v>800</v>
      </c>
      <c r="HG554" s="14">
        <f t="shared" si="247"/>
        <v>20</v>
      </c>
      <c r="HH554" s="14" t="str">
        <f t="shared" si="248"/>
        <v>神器6-5</v>
      </c>
      <c r="HI554" s="14">
        <f t="shared" si="249"/>
        <v>15</v>
      </c>
      <c r="HJ554" s="14" t="s">
        <v>1595</v>
      </c>
      <c r="HK554" s="14">
        <f t="shared" si="250"/>
        <v>25700</v>
      </c>
    </row>
    <row r="555" spans="207:219" ht="16.5" x14ac:dyDescent="0.2">
      <c r="GY555" s="91">
        <v>549</v>
      </c>
      <c r="GZ555" s="14">
        <f t="shared" si="241"/>
        <v>31</v>
      </c>
      <c r="HA555" s="14">
        <f t="shared" si="242"/>
        <v>6</v>
      </c>
      <c r="HB555" s="14">
        <f t="shared" si="243"/>
        <v>3</v>
      </c>
      <c r="HC555" s="14">
        <f t="shared" si="244"/>
        <v>0.96899999999999997</v>
      </c>
      <c r="HD555" s="14">
        <f t="shared" si="245"/>
        <v>1606033</v>
      </c>
      <c r="HE555" s="14" t="str">
        <f t="shared" si="246"/>
        <v>神器6-5 : 21级</v>
      </c>
      <c r="HF555" s="14" t="s">
        <v>800</v>
      </c>
      <c r="HG555" s="14">
        <f t="shared" si="247"/>
        <v>21</v>
      </c>
      <c r="HH555" s="14" t="str">
        <f t="shared" si="248"/>
        <v>神器6-5</v>
      </c>
      <c r="HI555" s="14">
        <f t="shared" si="249"/>
        <v>15</v>
      </c>
      <c r="HJ555" s="14" t="s">
        <v>1595</v>
      </c>
      <c r="HK555" s="14">
        <f t="shared" si="250"/>
        <v>26100</v>
      </c>
    </row>
    <row r="556" spans="207:219" ht="16.5" x14ac:dyDescent="0.2">
      <c r="GY556" s="91">
        <v>550</v>
      </c>
      <c r="GZ556" s="14">
        <f t="shared" si="241"/>
        <v>32</v>
      </c>
      <c r="HA556" s="14">
        <f t="shared" si="242"/>
        <v>6</v>
      </c>
      <c r="HB556" s="14">
        <f t="shared" si="243"/>
        <v>3</v>
      </c>
      <c r="HC556" s="14">
        <f t="shared" si="244"/>
        <v>0.61499999999999999</v>
      </c>
      <c r="HD556" s="14">
        <f t="shared" si="245"/>
        <v>1606034</v>
      </c>
      <c r="HE556" s="14" t="str">
        <f t="shared" si="246"/>
        <v>神器6-6 : 1级</v>
      </c>
      <c r="HF556" s="14" t="s">
        <v>800</v>
      </c>
      <c r="HG556" s="14">
        <f t="shared" si="247"/>
        <v>1</v>
      </c>
      <c r="HH556" s="14" t="str">
        <f t="shared" si="248"/>
        <v>神器6-6</v>
      </c>
      <c r="HI556" s="14">
        <f t="shared" si="249"/>
        <v>1</v>
      </c>
      <c r="HJ556" s="14" t="s">
        <v>1595</v>
      </c>
      <c r="HK556" s="14">
        <f t="shared" si="250"/>
        <v>16550</v>
      </c>
    </row>
    <row r="557" spans="207:219" ht="16.5" x14ac:dyDescent="0.2">
      <c r="GY557" s="91">
        <v>551</v>
      </c>
      <c r="GZ557" s="14">
        <f t="shared" si="241"/>
        <v>32</v>
      </c>
      <c r="HA557" s="14">
        <f t="shared" si="242"/>
        <v>6</v>
      </c>
      <c r="HB557" s="14">
        <f t="shared" si="243"/>
        <v>3</v>
      </c>
      <c r="HC557" s="14">
        <f t="shared" si="244"/>
        <v>0.63700000000000001</v>
      </c>
      <c r="HD557" s="14">
        <f t="shared" si="245"/>
        <v>1606034</v>
      </c>
      <c r="HE557" s="14" t="str">
        <f t="shared" si="246"/>
        <v>神器6-6 : 2级</v>
      </c>
      <c r="HF557" s="14" t="s">
        <v>800</v>
      </c>
      <c r="HG557" s="14">
        <f t="shared" si="247"/>
        <v>2</v>
      </c>
      <c r="HH557" s="14" t="str">
        <f t="shared" si="248"/>
        <v>神器6-6</v>
      </c>
      <c r="HI557" s="14">
        <f t="shared" si="249"/>
        <v>1</v>
      </c>
      <c r="HJ557" s="14" t="s">
        <v>1595</v>
      </c>
      <c r="HK557" s="14">
        <f t="shared" si="250"/>
        <v>17150</v>
      </c>
    </row>
    <row r="558" spans="207:219" ht="16.5" x14ac:dyDescent="0.2">
      <c r="GY558" s="91">
        <v>552</v>
      </c>
      <c r="GZ558" s="14">
        <f t="shared" si="241"/>
        <v>32</v>
      </c>
      <c r="HA558" s="14">
        <f t="shared" si="242"/>
        <v>6</v>
      </c>
      <c r="HB558" s="14">
        <f t="shared" si="243"/>
        <v>3</v>
      </c>
      <c r="HC558" s="14">
        <f t="shared" si="244"/>
        <v>0.65900000000000003</v>
      </c>
      <c r="HD558" s="14">
        <f t="shared" si="245"/>
        <v>1606034</v>
      </c>
      <c r="HE558" s="14" t="str">
        <f t="shared" si="246"/>
        <v>神器6-6 : 3级</v>
      </c>
      <c r="HF558" s="14" t="s">
        <v>800</v>
      </c>
      <c r="HG558" s="14">
        <f t="shared" si="247"/>
        <v>3</v>
      </c>
      <c r="HH558" s="14" t="str">
        <f t="shared" si="248"/>
        <v>神器6-6</v>
      </c>
      <c r="HI558" s="14">
        <f t="shared" si="249"/>
        <v>1</v>
      </c>
      <c r="HJ558" s="14" t="s">
        <v>1595</v>
      </c>
      <c r="HK558" s="14">
        <f t="shared" si="250"/>
        <v>17750</v>
      </c>
    </row>
    <row r="559" spans="207:219" ht="16.5" x14ac:dyDescent="0.2">
      <c r="GY559" s="91">
        <v>553</v>
      </c>
      <c r="GZ559" s="14">
        <f t="shared" si="241"/>
        <v>32</v>
      </c>
      <c r="HA559" s="14">
        <f t="shared" si="242"/>
        <v>6</v>
      </c>
      <c r="HB559" s="14">
        <f t="shared" si="243"/>
        <v>3</v>
      </c>
      <c r="HC559" s="14">
        <f t="shared" si="244"/>
        <v>0.68</v>
      </c>
      <c r="HD559" s="14">
        <f t="shared" si="245"/>
        <v>1606034</v>
      </c>
      <c r="HE559" s="14" t="str">
        <f t="shared" si="246"/>
        <v>神器6-6 : 4级</v>
      </c>
      <c r="HF559" s="14" t="s">
        <v>800</v>
      </c>
      <c r="HG559" s="14">
        <f t="shared" si="247"/>
        <v>4</v>
      </c>
      <c r="HH559" s="14" t="str">
        <f t="shared" si="248"/>
        <v>神器6-6</v>
      </c>
      <c r="HI559" s="14">
        <f t="shared" si="249"/>
        <v>2</v>
      </c>
      <c r="HJ559" s="14" t="s">
        <v>1595</v>
      </c>
      <c r="HK559" s="14">
        <f t="shared" si="250"/>
        <v>18300</v>
      </c>
    </row>
    <row r="560" spans="207:219" ht="16.5" x14ac:dyDescent="0.2">
      <c r="GY560" s="91">
        <v>554</v>
      </c>
      <c r="GZ560" s="14">
        <f t="shared" si="241"/>
        <v>32</v>
      </c>
      <c r="HA560" s="14">
        <f t="shared" si="242"/>
        <v>6</v>
      </c>
      <c r="HB560" s="14">
        <f t="shared" si="243"/>
        <v>3</v>
      </c>
      <c r="HC560" s="14">
        <f t="shared" si="244"/>
        <v>0.7</v>
      </c>
      <c r="HD560" s="14">
        <f t="shared" si="245"/>
        <v>1606034</v>
      </c>
      <c r="HE560" s="14" t="str">
        <f t="shared" si="246"/>
        <v>神器6-6 : 5级</v>
      </c>
      <c r="HF560" s="14" t="s">
        <v>800</v>
      </c>
      <c r="HG560" s="14">
        <f t="shared" si="247"/>
        <v>5</v>
      </c>
      <c r="HH560" s="14" t="str">
        <f t="shared" si="248"/>
        <v>神器6-6</v>
      </c>
      <c r="HI560" s="14">
        <f t="shared" si="249"/>
        <v>2</v>
      </c>
      <c r="HJ560" s="14" t="s">
        <v>1595</v>
      </c>
      <c r="HK560" s="14">
        <f t="shared" si="250"/>
        <v>18850</v>
      </c>
    </row>
    <row r="561" spans="207:219" ht="16.5" x14ac:dyDescent="0.2">
      <c r="GY561" s="91">
        <v>555</v>
      </c>
      <c r="GZ561" s="14">
        <f t="shared" si="241"/>
        <v>32</v>
      </c>
      <c r="HA561" s="14">
        <f t="shared" si="242"/>
        <v>6</v>
      </c>
      <c r="HB561" s="14">
        <f t="shared" si="243"/>
        <v>3</v>
      </c>
      <c r="HC561" s="14">
        <f t="shared" si="244"/>
        <v>0.72</v>
      </c>
      <c r="HD561" s="14">
        <f t="shared" si="245"/>
        <v>1606034</v>
      </c>
      <c r="HE561" s="14" t="str">
        <f t="shared" si="246"/>
        <v>神器6-6 : 6级</v>
      </c>
      <c r="HF561" s="14" t="s">
        <v>800</v>
      </c>
      <c r="HG561" s="14">
        <f t="shared" si="247"/>
        <v>6</v>
      </c>
      <c r="HH561" s="14" t="str">
        <f t="shared" si="248"/>
        <v>神器6-6</v>
      </c>
      <c r="HI561" s="14">
        <f t="shared" si="249"/>
        <v>2</v>
      </c>
      <c r="HJ561" s="14" t="s">
        <v>1595</v>
      </c>
      <c r="HK561" s="14">
        <f t="shared" si="250"/>
        <v>19400</v>
      </c>
    </row>
    <row r="562" spans="207:219" ht="16.5" x14ac:dyDescent="0.2">
      <c r="GY562" s="91">
        <v>556</v>
      </c>
      <c r="GZ562" s="14">
        <f t="shared" si="241"/>
        <v>32</v>
      </c>
      <c r="HA562" s="14">
        <f t="shared" si="242"/>
        <v>6</v>
      </c>
      <c r="HB562" s="14">
        <f t="shared" si="243"/>
        <v>3</v>
      </c>
      <c r="HC562" s="14">
        <f t="shared" si="244"/>
        <v>0.73899999999999999</v>
      </c>
      <c r="HD562" s="14">
        <f t="shared" si="245"/>
        <v>1606034</v>
      </c>
      <c r="HE562" s="14" t="str">
        <f t="shared" si="246"/>
        <v>神器6-6 : 7级</v>
      </c>
      <c r="HF562" s="14" t="s">
        <v>800</v>
      </c>
      <c r="HG562" s="14">
        <f t="shared" si="247"/>
        <v>7</v>
      </c>
      <c r="HH562" s="14" t="str">
        <f t="shared" si="248"/>
        <v>神器6-6</v>
      </c>
      <c r="HI562" s="14">
        <f t="shared" si="249"/>
        <v>3</v>
      </c>
      <c r="HJ562" s="14" t="s">
        <v>1595</v>
      </c>
      <c r="HK562" s="14">
        <f t="shared" si="250"/>
        <v>19900</v>
      </c>
    </row>
    <row r="563" spans="207:219" ht="16.5" x14ac:dyDescent="0.2">
      <c r="GY563" s="91">
        <v>557</v>
      </c>
      <c r="GZ563" s="14">
        <f t="shared" si="241"/>
        <v>32</v>
      </c>
      <c r="HA563" s="14">
        <f t="shared" si="242"/>
        <v>6</v>
      </c>
      <c r="HB563" s="14">
        <f t="shared" si="243"/>
        <v>3</v>
      </c>
      <c r="HC563" s="14">
        <f t="shared" si="244"/>
        <v>0.75800000000000001</v>
      </c>
      <c r="HD563" s="14">
        <f t="shared" si="245"/>
        <v>1606034</v>
      </c>
      <c r="HE563" s="14" t="str">
        <f t="shared" si="246"/>
        <v>神器6-6 : 8级</v>
      </c>
      <c r="HF563" s="14" t="s">
        <v>800</v>
      </c>
      <c r="HG563" s="14">
        <f t="shared" si="247"/>
        <v>8</v>
      </c>
      <c r="HH563" s="14" t="str">
        <f t="shared" si="248"/>
        <v>神器6-6</v>
      </c>
      <c r="HI563" s="14">
        <f t="shared" si="249"/>
        <v>3</v>
      </c>
      <c r="HJ563" s="14" t="s">
        <v>1595</v>
      </c>
      <c r="HK563" s="14">
        <f t="shared" si="250"/>
        <v>20400</v>
      </c>
    </row>
    <row r="564" spans="207:219" ht="16.5" x14ac:dyDescent="0.2">
      <c r="GY564" s="91">
        <v>558</v>
      </c>
      <c r="GZ564" s="14">
        <f t="shared" si="241"/>
        <v>32</v>
      </c>
      <c r="HA564" s="14">
        <f t="shared" si="242"/>
        <v>6</v>
      </c>
      <c r="HB564" s="14">
        <f t="shared" si="243"/>
        <v>3</v>
      </c>
      <c r="HC564" s="14">
        <f t="shared" si="244"/>
        <v>0.77600000000000002</v>
      </c>
      <c r="HD564" s="14">
        <f t="shared" si="245"/>
        <v>1606034</v>
      </c>
      <c r="HE564" s="14" t="str">
        <f t="shared" si="246"/>
        <v>神器6-6 : 9级</v>
      </c>
      <c r="HF564" s="14" t="s">
        <v>800</v>
      </c>
      <c r="HG564" s="14">
        <f t="shared" si="247"/>
        <v>9</v>
      </c>
      <c r="HH564" s="14" t="str">
        <f t="shared" si="248"/>
        <v>神器6-6</v>
      </c>
      <c r="HI564" s="14">
        <f t="shared" si="249"/>
        <v>3</v>
      </c>
      <c r="HJ564" s="14" t="s">
        <v>1595</v>
      </c>
      <c r="HK564" s="14">
        <f t="shared" si="250"/>
        <v>20900</v>
      </c>
    </row>
    <row r="565" spans="207:219" ht="16.5" x14ac:dyDescent="0.2">
      <c r="GY565" s="91">
        <v>559</v>
      </c>
      <c r="GZ565" s="14">
        <f t="shared" si="241"/>
        <v>32</v>
      </c>
      <c r="HA565" s="14">
        <f t="shared" si="242"/>
        <v>6</v>
      </c>
      <c r="HB565" s="14">
        <f t="shared" si="243"/>
        <v>3</v>
      </c>
      <c r="HC565" s="14">
        <f t="shared" si="244"/>
        <v>0.79400000000000004</v>
      </c>
      <c r="HD565" s="14">
        <f t="shared" si="245"/>
        <v>1606034</v>
      </c>
      <c r="HE565" s="14" t="str">
        <f t="shared" si="246"/>
        <v>神器6-6 : 10级</v>
      </c>
      <c r="HF565" s="14" t="s">
        <v>800</v>
      </c>
      <c r="HG565" s="14">
        <f t="shared" si="247"/>
        <v>10</v>
      </c>
      <c r="HH565" s="14" t="str">
        <f t="shared" si="248"/>
        <v>神器6-6</v>
      </c>
      <c r="HI565" s="14">
        <f t="shared" si="249"/>
        <v>5</v>
      </c>
      <c r="HJ565" s="14" t="s">
        <v>1595</v>
      </c>
      <c r="HK565" s="14">
        <f t="shared" si="250"/>
        <v>21400</v>
      </c>
    </row>
    <row r="566" spans="207:219" ht="16.5" x14ac:dyDescent="0.2">
      <c r="GY566" s="91">
        <v>560</v>
      </c>
      <c r="GZ566" s="14">
        <f t="shared" si="241"/>
        <v>32</v>
      </c>
      <c r="HA566" s="14">
        <f t="shared" si="242"/>
        <v>6</v>
      </c>
      <c r="HB566" s="14">
        <f t="shared" si="243"/>
        <v>3</v>
      </c>
      <c r="HC566" s="14">
        <f t="shared" si="244"/>
        <v>0.81100000000000005</v>
      </c>
      <c r="HD566" s="14">
        <f t="shared" si="245"/>
        <v>1606034</v>
      </c>
      <c r="HE566" s="14" t="str">
        <f t="shared" si="246"/>
        <v>神器6-6 : 11级</v>
      </c>
      <c r="HF566" s="14" t="s">
        <v>800</v>
      </c>
      <c r="HG566" s="14">
        <f t="shared" si="247"/>
        <v>11</v>
      </c>
      <c r="HH566" s="14" t="str">
        <f t="shared" si="248"/>
        <v>神器6-6</v>
      </c>
      <c r="HI566" s="14">
        <f t="shared" si="249"/>
        <v>5</v>
      </c>
      <c r="HJ566" s="14" t="s">
        <v>1595</v>
      </c>
      <c r="HK566" s="14">
        <f t="shared" si="250"/>
        <v>21850</v>
      </c>
    </row>
    <row r="567" spans="207:219" ht="16.5" x14ac:dyDescent="0.2">
      <c r="GY567" s="91">
        <v>561</v>
      </c>
      <c r="GZ567" s="14">
        <f t="shared" si="241"/>
        <v>32</v>
      </c>
      <c r="HA567" s="14">
        <f t="shared" si="242"/>
        <v>6</v>
      </c>
      <c r="HB567" s="14">
        <f t="shared" si="243"/>
        <v>3</v>
      </c>
      <c r="HC567" s="14">
        <f t="shared" si="244"/>
        <v>0.82799999999999996</v>
      </c>
      <c r="HD567" s="14">
        <f t="shared" si="245"/>
        <v>1606034</v>
      </c>
      <c r="HE567" s="14" t="str">
        <f t="shared" si="246"/>
        <v>神器6-6 : 12级</v>
      </c>
      <c r="HF567" s="14" t="s">
        <v>800</v>
      </c>
      <c r="HG567" s="14">
        <f t="shared" si="247"/>
        <v>12</v>
      </c>
      <c r="HH567" s="14" t="str">
        <f t="shared" si="248"/>
        <v>神器6-6</v>
      </c>
      <c r="HI567" s="14">
        <f t="shared" si="249"/>
        <v>6</v>
      </c>
      <c r="HJ567" s="14" t="s">
        <v>1595</v>
      </c>
      <c r="HK567" s="14">
        <f t="shared" si="250"/>
        <v>22300</v>
      </c>
    </row>
    <row r="568" spans="207:219" ht="16.5" x14ac:dyDescent="0.2">
      <c r="GY568" s="91">
        <v>562</v>
      </c>
      <c r="GZ568" s="14">
        <f t="shared" si="241"/>
        <v>32</v>
      </c>
      <c r="HA568" s="14">
        <f t="shared" si="242"/>
        <v>6</v>
      </c>
      <c r="HB568" s="14">
        <f t="shared" si="243"/>
        <v>3</v>
      </c>
      <c r="HC568" s="14">
        <f t="shared" si="244"/>
        <v>0.84499999999999997</v>
      </c>
      <c r="HD568" s="14">
        <f t="shared" si="245"/>
        <v>1606034</v>
      </c>
      <c r="HE568" s="14" t="str">
        <f t="shared" si="246"/>
        <v>神器6-6 : 13级</v>
      </c>
      <c r="HF568" s="14" t="s">
        <v>800</v>
      </c>
      <c r="HG568" s="14">
        <f t="shared" si="247"/>
        <v>13</v>
      </c>
      <c r="HH568" s="14" t="str">
        <f t="shared" si="248"/>
        <v>神器6-6</v>
      </c>
      <c r="HI568" s="14">
        <f t="shared" si="249"/>
        <v>7</v>
      </c>
      <c r="HJ568" s="14" t="s">
        <v>1595</v>
      </c>
      <c r="HK568" s="14">
        <f t="shared" si="250"/>
        <v>22750</v>
      </c>
    </row>
    <row r="569" spans="207:219" ht="16.5" x14ac:dyDescent="0.2">
      <c r="GY569" s="91">
        <v>563</v>
      </c>
      <c r="GZ569" s="14">
        <f t="shared" si="241"/>
        <v>32</v>
      </c>
      <c r="HA569" s="14">
        <f t="shared" si="242"/>
        <v>6</v>
      </c>
      <c r="HB569" s="14">
        <f t="shared" si="243"/>
        <v>3</v>
      </c>
      <c r="HC569" s="14">
        <f t="shared" si="244"/>
        <v>0.86099999999999999</v>
      </c>
      <c r="HD569" s="14">
        <f t="shared" si="245"/>
        <v>1606034</v>
      </c>
      <c r="HE569" s="14" t="str">
        <f t="shared" si="246"/>
        <v>神器6-6 : 14级</v>
      </c>
      <c r="HF569" s="14" t="s">
        <v>800</v>
      </c>
      <c r="HG569" s="14">
        <f t="shared" si="247"/>
        <v>14</v>
      </c>
      <c r="HH569" s="14" t="str">
        <f t="shared" si="248"/>
        <v>神器6-6</v>
      </c>
      <c r="HI569" s="14">
        <f t="shared" si="249"/>
        <v>7</v>
      </c>
      <c r="HJ569" s="14" t="s">
        <v>1595</v>
      </c>
      <c r="HK569" s="14">
        <f t="shared" si="250"/>
        <v>23200</v>
      </c>
    </row>
    <row r="570" spans="207:219" ht="16.5" x14ac:dyDescent="0.2">
      <c r="GY570" s="91">
        <v>564</v>
      </c>
      <c r="GZ570" s="14">
        <f t="shared" si="241"/>
        <v>32</v>
      </c>
      <c r="HA570" s="14">
        <f t="shared" si="242"/>
        <v>6</v>
      </c>
      <c r="HB570" s="14">
        <f t="shared" si="243"/>
        <v>3</v>
      </c>
      <c r="HC570" s="14">
        <f t="shared" si="244"/>
        <v>0.877</v>
      </c>
      <c r="HD570" s="14">
        <f t="shared" si="245"/>
        <v>1606034</v>
      </c>
      <c r="HE570" s="14" t="str">
        <f t="shared" si="246"/>
        <v>神器6-6 : 15级</v>
      </c>
      <c r="HF570" s="14" t="s">
        <v>800</v>
      </c>
      <c r="HG570" s="14">
        <f t="shared" si="247"/>
        <v>15</v>
      </c>
      <c r="HH570" s="14" t="str">
        <f t="shared" si="248"/>
        <v>神器6-6</v>
      </c>
      <c r="HI570" s="14">
        <f t="shared" si="249"/>
        <v>7</v>
      </c>
      <c r="HJ570" s="14" t="s">
        <v>1595</v>
      </c>
      <c r="HK570" s="14">
        <f t="shared" si="250"/>
        <v>23600</v>
      </c>
    </row>
    <row r="571" spans="207:219" ht="16.5" x14ac:dyDescent="0.2">
      <c r="GY571" s="91">
        <v>565</v>
      </c>
      <c r="GZ571" s="14">
        <f t="shared" si="241"/>
        <v>32</v>
      </c>
      <c r="HA571" s="14">
        <f t="shared" si="242"/>
        <v>6</v>
      </c>
      <c r="HB571" s="14">
        <f t="shared" si="243"/>
        <v>3</v>
      </c>
      <c r="HC571" s="14">
        <f t="shared" si="244"/>
        <v>0.89300000000000002</v>
      </c>
      <c r="HD571" s="14">
        <f t="shared" si="245"/>
        <v>1606034</v>
      </c>
      <c r="HE571" s="14" t="str">
        <f t="shared" si="246"/>
        <v>神器6-6 : 16级</v>
      </c>
      <c r="HF571" s="14" t="s">
        <v>800</v>
      </c>
      <c r="HG571" s="14">
        <f t="shared" si="247"/>
        <v>16</v>
      </c>
      <c r="HH571" s="14" t="str">
        <f t="shared" si="248"/>
        <v>神器6-6</v>
      </c>
      <c r="HI571" s="14">
        <f t="shared" si="249"/>
        <v>10</v>
      </c>
      <c r="HJ571" s="14" t="s">
        <v>1595</v>
      </c>
      <c r="HK571" s="14">
        <f t="shared" si="250"/>
        <v>24050</v>
      </c>
    </row>
    <row r="572" spans="207:219" ht="16.5" x14ac:dyDescent="0.2">
      <c r="GY572" s="91">
        <v>566</v>
      </c>
      <c r="GZ572" s="14">
        <f t="shared" si="241"/>
        <v>32</v>
      </c>
      <c r="HA572" s="14">
        <f t="shared" si="242"/>
        <v>6</v>
      </c>
      <c r="HB572" s="14">
        <f t="shared" si="243"/>
        <v>3</v>
      </c>
      <c r="HC572" s="14">
        <f t="shared" si="244"/>
        <v>0.90900000000000003</v>
      </c>
      <c r="HD572" s="14">
        <f t="shared" si="245"/>
        <v>1606034</v>
      </c>
      <c r="HE572" s="14" t="str">
        <f t="shared" si="246"/>
        <v>神器6-6 : 17级</v>
      </c>
      <c r="HF572" s="14" t="s">
        <v>800</v>
      </c>
      <c r="HG572" s="14">
        <f t="shared" si="247"/>
        <v>17</v>
      </c>
      <c r="HH572" s="14" t="str">
        <f t="shared" si="248"/>
        <v>神器6-6</v>
      </c>
      <c r="HI572" s="14">
        <f t="shared" si="249"/>
        <v>10</v>
      </c>
      <c r="HJ572" s="14" t="s">
        <v>1595</v>
      </c>
      <c r="HK572" s="14">
        <f t="shared" si="250"/>
        <v>24500</v>
      </c>
    </row>
    <row r="573" spans="207:219" ht="16.5" x14ac:dyDescent="0.2">
      <c r="GY573" s="91">
        <v>567</v>
      </c>
      <c r="GZ573" s="14">
        <f t="shared" si="241"/>
        <v>32</v>
      </c>
      <c r="HA573" s="14">
        <f t="shared" si="242"/>
        <v>6</v>
      </c>
      <c r="HB573" s="14">
        <f t="shared" si="243"/>
        <v>3</v>
      </c>
      <c r="HC573" s="14">
        <f t="shared" si="244"/>
        <v>0.92400000000000004</v>
      </c>
      <c r="HD573" s="14">
        <f t="shared" si="245"/>
        <v>1606034</v>
      </c>
      <c r="HE573" s="14" t="str">
        <f t="shared" si="246"/>
        <v>神器6-6 : 18级</v>
      </c>
      <c r="HF573" s="14" t="s">
        <v>800</v>
      </c>
      <c r="HG573" s="14">
        <f t="shared" si="247"/>
        <v>18</v>
      </c>
      <c r="HH573" s="14" t="str">
        <f t="shared" si="248"/>
        <v>神器6-6</v>
      </c>
      <c r="HI573" s="14">
        <f t="shared" si="249"/>
        <v>10</v>
      </c>
      <c r="HJ573" s="14" t="s">
        <v>1595</v>
      </c>
      <c r="HK573" s="14">
        <f t="shared" si="250"/>
        <v>24900</v>
      </c>
    </row>
    <row r="574" spans="207:219" ht="16.5" x14ac:dyDescent="0.2">
      <c r="GY574" s="91">
        <v>568</v>
      </c>
      <c r="GZ574" s="14">
        <f t="shared" si="241"/>
        <v>32</v>
      </c>
      <c r="HA574" s="14">
        <f t="shared" si="242"/>
        <v>6</v>
      </c>
      <c r="HB574" s="14">
        <f t="shared" si="243"/>
        <v>3</v>
      </c>
      <c r="HC574" s="14">
        <f t="shared" si="244"/>
        <v>0.93899999999999995</v>
      </c>
      <c r="HD574" s="14">
        <f t="shared" si="245"/>
        <v>1606034</v>
      </c>
      <c r="HE574" s="14" t="str">
        <f t="shared" si="246"/>
        <v>神器6-6 : 19级</v>
      </c>
      <c r="HF574" s="14" t="s">
        <v>800</v>
      </c>
      <c r="HG574" s="14">
        <f t="shared" si="247"/>
        <v>19</v>
      </c>
      <c r="HH574" s="14" t="str">
        <f t="shared" si="248"/>
        <v>神器6-6</v>
      </c>
      <c r="HI574" s="14">
        <f t="shared" si="249"/>
        <v>15</v>
      </c>
      <c r="HJ574" s="14" t="s">
        <v>1595</v>
      </c>
      <c r="HK574" s="14">
        <f t="shared" si="250"/>
        <v>25300</v>
      </c>
    </row>
    <row r="575" spans="207:219" ht="16.5" x14ac:dyDescent="0.2">
      <c r="GY575" s="91">
        <v>569</v>
      </c>
      <c r="GZ575" s="14">
        <f t="shared" si="241"/>
        <v>32</v>
      </c>
      <c r="HA575" s="14">
        <f t="shared" si="242"/>
        <v>6</v>
      </c>
      <c r="HB575" s="14">
        <f t="shared" si="243"/>
        <v>3</v>
      </c>
      <c r="HC575" s="14">
        <f t="shared" si="244"/>
        <v>0.95399999999999996</v>
      </c>
      <c r="HD575" s="14">
        <f t="shared" si="245"/>
        <v>1606034</v>
      </c>
      <c r="HE575" s="14" t="str">
        <f t="shared" si="246"/>
        <v>神器6-6 : 20级</v>
      </c>
      <c r="HF575" s="14" t="s">
        <v>800</v>
      </c>
      <c r="HG575" s="14">
        <f t="shared" si="247"/>
        <v>20</v>
      </c>
      <c r="HH575" s="14" t="str">
        <f t="shared" si="248"/>
        <v>神器6-6</v>
      </c>
      <c r="HI575" s="14">
        <f t="shared" si="249"/>
        <v>15</v>
      </c>
      <c r="HJ575" s="14" t="s">
        <v>1595</v>
      </c>
      <c r="HK575" s="14">
        <f t="shared" si="250"/>
        <v>25700</v>
      </c>
    </row>
    <row r="576" spans="207:219" ht="16.5" x14ac:dyDescent="0.2">
      <c r="GY576" s="91">
        <v>570</v>
      </c>
      <c r="GZ576" s="14">
        <f t="shared" si="241"/>
        <v>32</v>
      </c>
      <c r="HA576" s="14">
        <f t="shared" si="242"/>
        <v>6</v>
      </c>
      <c r="HB576" s="14">
        <f t="shared" si="243"/>
        <v>3</v>
      </c>
      <c r="HC576" s="14">
        <f t="shared" si="244"/>
        <v>0.96899999999999997</v>
      </c>
      <c r="HD576" s="14">
        <f t="shared" si="245"/>
        <v>1606034</v>
      </c>
      <c r="HE576" s="14" t="str">
        <f t="shared" si="246"/>
        <v>神器6-6 : 21级</v>
      </c>
      <c r="HF576" s="14" t="s">
        <v>800</v>
      </c>
      <c r="HG576" s="14">
        <f t="shared" si="247"/>
        <v>21</v>
      </c>
      <c r="HH576" s="14" t="str">
        <f t="shared" si="248"/>
        <v>神器6-6</v>
      </c>
      <c r="HI576" s="14">
        <f t="shared" si="249"/>
        <v>15</v>
      </c>
      <c r="HJ576" s="14" t="s">
        <v>1595</v>
      </c>
      <c r="HK576" s="14">
        <f t="shared" si="250"/>
        <v>26100</v>
      </c>
    </row>
    <row r="577" spans="207:219" ht="16.5" x14ac:dyDescent="0.2">
      <c r="GY577" s="91">
        <v>571</v>
      </c>
      <c r="GZ577" s="14">
        <f t="shared" si="241"/>
        <v>33</v>
      </c>
      <c r="HA577" s="14">
        <f t="shared" si="242"/>
        <v>6</v>
      </c>
      <c r="HB577" s="14">
        <f t="shared" si="243"/>
        <v>4</v>
      </c>
      <c r="HC577" s="14">
        <f t="shared" si="244"/>
        <v>0.9</v>
      </c>
      <c r="HD577" s="14">
        <f t="shared" si="245"/>
        <v>1606035</v>
      </c>
      <c r="HE577" s="14" t="str">
        <f t="shared" si="246"/>
        <v>神器6-7 : 1级</v>
      </c>
      <c r="HF577" s="14" t="s">
        <v>800</v>
      </c>
      <c r="HG577" s="14">
        <f t="shared" si="247"/>
        <v>1</v>
      </c>
      <c r="HH577" s="14" t="str">
        <f t="shared" si="248"/>
        <v>神器6-7</v>
      </c>
      <c r="HI577" s="14">
        <f t="shared" si="249"/>
        <v>1</v>
      </c>
      <c r="HJ577" s="14" t="s">
        <v>1595</v>
      </c>
      <c r="HK577" s="14">
        <f t="shared" si="250"/>
        <v>24250</v>
      </c>
    </row>
    <row r="578" spans="207:219" ht="16.5" x14ac:dyDescent="0.2">
      <c r="GY578" s="91">
        <v>572</v>
      </c>
      <c r="GZ578" s="14">
        <f t="shared" si="241"/>
        <v>33</v>
      </c>
      <c r="HA578" s="14">
        <f t="shared" si="242"/>
        <v>6</v>
      </c>
      <c r="HB578" s="14">
        <f t="shared" si="243"/>
        <v>4</v>
      </c>
      <c r="HC578" s="14">
        <f t="shared" si="244"/>
        <v>0.93300000000000005</v>
      </c>
      <c r="HD578" s="14">
        <f t="shared" si="245"/>
        <v>1606035</v>
      </c>
      <c r="HE578" s="14" t="str">
        <f t="shared" si="246"/>
        <v>神器6-7 : 2级</v>
      </c>
      <c r="HF578" s="14" t="s">
        <v>800</v>
      </c>
      <c r="HG578" s="14">
        <f t="shared" si="247"/>
        <v>2</v>
      </c>
      <c r="HH578" s="14" t="str">
        <f t="shared" si="248"/>
        <v>神器6-7</v>
      </c>
      <c r="HI578" s="14">
        <f t="shared" si="249"/>
        <v>1</v>
      </c>
      <c r="HJ578" s="14" t="s">
        <v>1595</v>
      </c>
      <c r="HK578" s="14">
        <f t="shared" si="250"/>
        <v>25150</v>
      </c>
    </row>
    <row r="579" spans="207:219" ht="16.5" x14ac:dyDescent="0.2">
      <c r="GY579" s="91">
        <v>573</v>
      </c>
      <c r="GZ579" s="14">
        <f t="shared" si="241"/>
        <v>33</v>
      </c>
      <c r="HA579" s="14">
        <f t="shared" si="242"/>
        <v>6</v>
      </c>
      <c r="HB579" s="14">
        <f t="shared" si="243"/>
        <v>4</v>
      </c>
      <c r="HC579" s="14">
        <f t="shared" si="244"/>
        <v>0.96399999999999997</v>
      </c>
      <c r="HD579" s="14">
        <f t="shared" si="245"/>
        <v>1606035</v>
      </c>
      <c r="HE579" s="14" t="str">
        <f t="shared" si="246"/>
        <v>神器6-7 : 3级</v>
      </c>
      <c r="HF579" s="14" t="s">
        <v>800</v>
      </c>
      <c r="HG579" s="14">
        <f t="shared" si="247"/>
        <v>3</v>
      </c>
      <c r="HH579" s="14" t="str">
        <f t="shared" si="248"/>
        <v>神器6-7</v>
      </c>
      <c r="HI579" s="14">
        <f t="shared" si="249"/>
        <v>1</v>
      </c>
      <c r="HJ579" s="14" t="s">
        <v>1595</v>
      </c>
      <c r="HK579" s="14">
        <f t="shared" si="250"/>
        <v>25950</v>
      </c>
    </row>
    <row r="580" spans="207:219" ht="16.5" x14ac:dyDescent="0.2">
      <c r="GY580" s="91">
        <v>574</v>
      </c>
      <c r="GZ580" s="14">
        <f t="shared" si="241"/>
        <v>33</v>
      </c>
      <c r="HA580" s="14">
        <f t="shared" si="242"/>
        <v>6</v>
      </c>
      <c r="HB580" s="14">
        <f t="shared" si="243"/>
        <v>4</v>
      </c>
      <c r="HC580" s="14">
        <f t="shared" si="244"/>
        <v>0.995</v>
      </c>
      <c r="HD580" s="14">
        <f t="shared" si="245"/>
        <v>1606035</v>
      </c>
      <c r="HE580" s="14" t="str">
        <f t="shared" si="246"/>
        <v>神器6-7 : 4级</v>
      </c>
      <c r="HF580" s="14" t="s">
        <v>800</v>
      </c>
      <c r="HG580" s="14">
        <f t="shared" si="247"/>
        <v>4</v>
      </c>
      <c r="HH580" s="14" t="str">
        <f t="shared" si="248"/>
        <v>神器6-7</v>
      </c>
      <c r="HI580" s="14">
        <f t="shared" si="249"/>
        <v>2</v>
      </c>
      <c r="HJ580" s="14" t="s">
        <v>1595</v>
      </c>
      <c r="HK580" s="14">
        <f t="shared" si="250"/>
        <v>26800</v>
      </c>
    </row>
    <row r="581" spans="207:219" ht="16.5" x14ac:dyDescent="0.2">
      <c r="GY581" s="91">
        <v>575</v>
      </c>
      <c r="GZ581" s="14">
        <f t="shared" si="241"/>
        <v>33</v>
      </c>
      <c r="HA581" s="14">
        <f t="shared" si="242"/>
        <v>6</v>
      </c>
      <c r="HB581" s="14">
        <f t="shared" si="243"/>
        <v>4</v>
      </c>
      <c r="HC581" s="14">
        <f t="shared" si="244"/>
        <v>1.0249999999999999</v>
      </c>
      <c r="HD581" s="14">
        <f t="shared" si="245"/>
        <v>1606035</v>
      </c>
      <c r="HE581" s="14" t="str">
        <f t="shared" si="246"/>
        <v>神器6-7 : 5级</v>
      </c>
      <c r="HF581" s="14" t="s">
        <v>800</v>
      </c>
      <c r="HG581" s="14">
        <f t="shared" si="247"/>
        <v>5</v>
      </c>
      <c r="HH581" s="14" t="str">
        <f t="shared" si="248"/>
        <v>神器6-7</v>
      </c>
      <c r="HI581" s="14">
        <f t="shared" si="249"/>
        <v>2</v>
      </c>
      <c r="HJ581" s="14" t="s">
        <v>1595</v>
      </c>
      <c r="HK581" s="14">
        <f t="shared" si="250"/>
        <v>27600</v>
      </c>
    </row>
    <row r="582" spans="207:219" ht="16.5" x14ac:dyDescent="0.2">
      <c r="GY582" s="91">
        <v>576</v>
      </c>
      <c r="GZ582" s="14">
        <f t="shared" si="241"/>
        <v>33</v>
      </c>
      <c r="HA582" s="14">
        <f t="shared" si="242"/>
        <v>6</v>
      </c>
      <c r="HB582" s="14">
        <f t="shared" si="243"/>
        <v>4</v>
      </c>
      <c r="HC582" s="14">
        <f t="shared" si="244"/>
        <v>1.054</v>
      </c>
      <c r="HD582" s="14">
        <f t="shared" si="245"/>
        <v>1606035</v>
      </c>
      <c r="HE582" s="14" t="str">
        <f t="shared" si="246"/>
        <v>神器6-7 : 6级</v>
      </c>
      <c r="HF582" s="14" t="s">
        <v>800</v>
      </c>
      <c r="HG582" s="14">
        <f t="shared" si="247"/>
        <v>6</v>
      </c>
      <c r="HH582" s="14" t="str">
        <f t="shared" si="248"/>
        <v>神器6-7</v>
      </c>
      <c r="HI582" s="14">
        <f t="shared" si="249"/>
        <v>2</v>
      </c>
      <c r="HJ582" s="14" t="s">
        <v>1595</v>
      </c>
      <c r="HK582" s="14">
        <f t="shared" si="250"/>
        <v>28400</v>
      </c>
    </row>
    <row r="583" spans="207:219" ht="16.5" x14ac:dyDescent="0.2">
      <c r="GY583" s="91">
        <v>577</v>
      </c>
      <c r="GZ583" s="14">
        <f t="shared" si="241"/>
        <v>33</v>
      </c>
      <c r="HA583" s="14">
        <f t="shared" si="242"/>
        <v>6</v>
      </c>
      <c r="HB583" s="14">
        <f t="shared" si="243"/>
        <v>4</v>
      </c>
      <c r="HC583" s="14">
        <f t="shared" si="244"/>
        <v>1.0820000000000001</v>
      </c>
      <c r="HD583" s="14">
        <f t="shared" si="245"/>
        <v>1606035</v>
      </c>
      <c r="HE583" s="14" t="str">
        <f t="shared" si="246"/>
        <v>神器6-7 : 7级</v>
      </c>
      <c r="HF583" s="14" t="s">
        <v>800</v>
      </c>
      <c r="HG583" s="14">
        <f t="shared" si="247"/>
        <v>7</v>
      </c>
      <c r="HH583" s="14" t="str">
        <f t="shared" si="248"/>
        <v>神器6-7</v>
      </c>
      <c r="HI583" s="14">
        <f t="shared" si="249"/>
        <v>3</v>
      </c>
      <c r="HJ583" s="14" t="s">
        <v>1595</v>
      </c>
      <c r="HK583" s="14">
        <f t="shared" si="250"/>
        <v>29150</v>
      </c>
    </row>
    <row r="584" spans="207:219" ht="16.5" x14ac:dyDescent="0.2">
      <c r="GY584" s="91">
        <v>578</v>
      </c>
      <c r="GZ584" s="14">
        <f t="shared" ref="GZ584:GZ647" si="251">MATCH(GY584-1,$R$7:$R$49,1)</f>
        <v>33</v>
      </c>
      <c r="HA584" s="14">
        <f t="shared" ref="HA584:HA647" si="252">INDEX($N$8:$N$49,GZ584)</f>
        <v>6</v>
      </c>
      <c r="HB584" s="14">
        <f t="shared" ref="HB584:HB647" si="253">INDEX($P$8:$P$49,GZ584)</f>
        <v>4</v>
      </c>
      <c r="HC584" s="14">
        <f t="shared" ref="HC584:HC647" si="254">ROUND(SQRT(INDEX($BJ$7:$BJ$27,HG584)*INDEX($H$7:$H$10,HB584)),3)</f>
        <v>1.109</v>
      </c>
      <c r="HD584" s="14">
        <f t="shared" ref="HD584:HD647" si="255">INDEX($S$8:$S$49,GZ584)</f>
        <v>1606035</v>
      </c>
      <c r="HE584" s="14" t="str">
        <f t="shared" ref="HE584:HE647" si="256">INDEX($T$8:$T$49,GZ584)&amp;" : "&amp;HG584&amp;"级"</f>
        <v>神器6-7 : 8级</v>
      </c>
      <c r="HF584" s="14" t="s">
        <v>800</v>
      </c>
      <c r="HG584" s="14">
        <f t="shared" ref="HG584:HG647" si="257">GY584-INDEX($R$7:$R$49,GZ584)</f>
        <v>8</v>
      </c>
      <c r="HH584" s="14" t="str">
        <f t="shared" ref="HH584:HH647" si="258">INDEX($T$8:$T$49,GZ584)</f>
        <v>神器6-7</v>
      </c>
      <c r="HI584" s="14">
        <f t="shared" ref="HI584:HI647" si="259">INDEX($K$8:$K$28,HG584)</f>
        <v>3</v>
      </c>
      <c r="HJ584" s="14" t="s">
        <v>1595</v>
      </c>
      <c r="HK584" s="14">
        <f t="shared" ref="HK584:HK647" si="260">ROUND(INDEX($Y$8:$Y$14,HA584)/INDEX($Z$8:$Z$14,HA584)*HC584/50,0)*50</f>
        <v>29850</v>
      </c>
    </row>
    <row r="585" spans="207:219" ht="16.5" x14ac:dyDescent="0.2">
      <c r="GY585" s="91">
        <v>579</v>
      </c>
      <c r="GZ585" s="14">
        <f t="shared" si="251"/>
        <v>33</v>
      </c>
      <c r="HA585" s="14">
        <f t="shared" si="252"/>
        <v>6</v>
      </c>
      <c r="HB585" s="14">
        <f t="shared" si="253"/>
        <v>4</v>
      </c>
      <c r="HC585" s="14">
        <f t="shared" si="254"/>
        <v>1.1359999999999999</v>
      </c>
      <c r="HD585" s="14">
        <f t="shared" si="255"/>
        <v>1606035</v>
      </c>
      <c r="HE585" s="14" t="str">
        <f t="shared" si="256"/>
        <v>神器6-7 : 9级</v>
      </c>
      <c r="HF585" s="14" t="s">
        <v>800</v>
      </c>
      <c r="HG585" s="14">
        <f t="shared" si="257"/>
        <v>9</v>
      </c>
      <c r="HH585" s="14" t="str">
        <f t="shared" si="258"/>
        <v>神器6-7</v>
      </c>
      <c r="HI585" s="14">
        <f t="shared" si="259"/>
        <v>3</v>
      </c>
      <c r="HJ585" s="14" t="s">
        <v>1595</v>
      </c>
      <c r="HK585" s="14">
        <f t="shared" si="260"/>
        <v>30600</v>
      </c>
    </row>
    <row r="586" spans="207:219" ht="16.5" x14ac:dyDescent="0.2">
      <c r="GY586" s="91">
        <v>580</v>
      </c>
      <c r="GZ586" s="14">
        <f t="shared" si="251"/>
        <v>33</v>
      </c>
      <c r="HA586" s="14">
        <f t="shared" si="252"/>
        <v>6</v>
      </c>
      <c r="HB586" s="14">
        <f t="shared" si="253"/>
        <v>4</v>
      </c>
      <c r="HC586" s="14">
        <f t="shared" si="254"/>
        <v>1.1619999999999999</v>
      </c>
      <c r="HD586" s="14">
        <f t="shared" si="255"/>
        <v>1606035</v>
      </c>
      <c r="HE586" s="14" t="str">
        <f t="shared" si="256"/>
        <v>神器6-7 : 10级</v>
      </c>
      <c r="HF586" s="14" t="s">
        <v>800</v>
      </c>
      <c r="HG586" s="14">
        <f t="shared" si="257"/>
        <v>10</v>
      </c>
      <c r="HH586" s="14" t="str">
        <f t="shared" si="258"/>
        <v>神器6-7</v>
      </c>
      <c r="HI586" s="14">
        <f t="shared" si="259"/>
        <v>5</v>
      </c>
      <c r="HJ586" s="14" t="s">
        <v>1595</v>
      </c>
      <c r="HK586" s="14">
        <f t="shared" si="260"/>
        <v>31300</v>
      </c>
    </row>
    <row r="587" spans="207:219" ht="16.5" x14ac:dyDescent="0.2">
      <c r="GY587" s="91">
        <v>581</v>
      </c>
      <c r="GZ587" s="14">
        <f t="shared" si="251"/>
        <v>33</v>
      </c>
      <c r="HA587" s="14">
        <f t="shared" si="252"/>
        <v>6</v>
      </c>
      <c r="HB587" s="14">
        <f t="shared" si="253"/>
        <v>4</v>
      </c>
      <c r="HC587" s="14">
        <f t="shared" si="254"/>
        <v>1.1870000000000001</v>
      </c>
      <c r="HD587" s="14">
        <f t="shared" si="255"/>
        <v>1606035</v>
      </c>
      <c r="HE587" s="14" t="str">
        <f t="shared" si="256"/>
        <v>神器6-7 : 11级</v>
      </c>
      <c r="HF587" s="14" t="s">
        <v>800</v>
      </c>
      <c r="HG587" s="14">
        <f t="shared" si="257"/>
        <v>11</v>
      </c>
      <c r="HH587" s="14" t="str">
        <f t="shared" si="258"/>
        <v>神器6-7</v>
      </c>
      <c r="HI587" s="14">
        <f t="shared" si="259"/>
        <v>5</v>
      </c>
      <c r="HJ587" s="14" t="s">
        <v>1595</v>
      </c>
      <c r="HK587" s="14">
        <f t="shared" si="260"/>
        <v>31950</v>
      </c>
    </row>
    <row r="588" spans="207:219" ht="16.5" x14ac:dyDescent="0.2">
      <c r="GY588" s="91">
        <v>582</v>
      </c>
      <c r="GZ588" s="14">
        <f t="shared" si="251"/>
        <v>33</v>
      </c>
      <c r="HA588" s="14">
        <f t="shared" si="252"/>
        <v>6</v>
      </c>
      <c r="HB588" s="14">
        <f t="shared" si="253"/>
        <v>4</v>
      </c>
      <c r="HC588" s="14">
        <f t="shared" si="254"/>
        <v>1.212</v>
      </c>
      <c r="HD588" s="14">
        <f t="shared" si="255"/>
        <v>1606035</v>
      </c>
      <c r="HE588" s="14" t="str">
        <f t="shared" si="256"/>
        <v>神器6-7 : 12级</v>
      </c>
      <c r="HF588" s="14" t="s">
        <v>800</v>
      </c>
      <c r="HG588" s="14">
        <f t="shared" si="257"/>
        <v>12</v>
      </c>
      <c r="HH588" s="14" t="str">
        <f t="shared" si="258"/>
        <v>神器6-7</v>
      </c>
      <c r="HI588" s="14">
        <f t="shared" si="259"/>
        <v>6</v>
      </c>
      <c r="HJ588" s="14" t="s">
        <v>1595</v>
      </c>
      <c r="HK588" s="14">
        <f t="shared" si="260"/>
        <v>32650</v>
      </c>
    </row>
    <row r="589" spans="207:219" ht="16.5" x14ac:dyDescent="0.2">
      <c r="GY589" s="91">
        <v>583</v>
      </c>
      <c r="GZ589" s="14">
        <f t="shared" si="251"/>
        <v>33</v>
      </c>
      <c r="HA589" s="14">
        <f t="shared" si="252"/>
        <v>6</v>
      </c>
      <c r="HB589" s="14">
        <f t="shared" si="253"/>
        <v>4</v>
      </c>
      <c r="HC589" s="14">
        <f t="shared" si="254"/>
        <v>1.2370000000000001</v>
      </c>
      <c r="HD589" s="14">
        <f t="shared" si="255"/>
        <v>1606035</v>
      </c>
      <c r="HE589" s="14" t="str">
        <f t="shared" si="256"/>
        <v>神器6-7 : 13级</v>
      </c>
      <c r="HF589" s="14" t="s">
        <v>800</v>
      </c>
      <c r="HG589" s="14">
        <f t="shared" si="257"/>
        <v>13</v>
      </c>
      <c r="HH589" s="14" t="str">
        <f t="shared" si="258"/>
        <v>神器6-7</v>
      </c>
      <c r="HI589" s="14">
        <f t="shared" si="259"/>
        <v>7</v>
      </c>
      <c r="HJ589" s="14" t="s">
        <v>1595</v>
      </c>
      <c r="HK589" s="14">
        <f t="shared" si="260"/>
        <v>33300</v>
      </c>
    </row>
    <row r="590" spans="207:219" ht="16.5" x14ac:dyDescent="0.2">
      <c r="GY590" s="91">
        <v>584</v>
      </c>
      <c r="GZ590" s="14">
        <f t="shared" si="251"/>
        <v>33</v>
      </c>
      <c r="HA590" s="14">
        <f t="shared" si="252"/>
        <v>6</v>
      </c>
      <c r="HB590" s="14">
        <f t="shared" si="253"/>
        <v>4</v>
      </c>
      <c r="HC590" s="14">
        <f t="shared" si="254"/>
        <v>1.2609999999999999</v>
      </c>
      <c r="HD590" s="14">
        <f t="shared" si="255"/>
        <v>1606035</v>
      </c>
      <c r="HE590" s="14" t="str">
        <f t="shared" si="256"/>
        <v>神器6-7 : 14级</v>
      </c>
      <c r="HF590" s="14" t="s">
        <v>800</v>
      </c>
      <c r="HG590" s="14">
        <f t="shared" si="257"/>
        <v>14</v>
      </c>
      <c r="HH590" s="14" t="str">
        <f t="shared" si="258"/>
        <v>神器6-7</v>
      </c>
      <c r="HI590" s="14">
        <f t="shared" si="259"/>
        <v>7</v>
      </c>
      <c r="HJ590" s="14" t="s">
        <v>1595</v>
      </c>
      <c r="HK590" s="14">
        <f t="shared" si="260"/>
        <v>33950</v>
      </c>
    </row>
    <row r="591" spans="207:219" ht="16.5" x14ac:dyDescent="0.2">
      <c r="GY591" s="91">
        <v>585</v>
      </c>
      <c r="GZ591" s="14">
        <f t="shared" si="251"/>
        <v>33</v>
      </c>
      <c r="HA591" s="14">
        <f t="shared" si="252"/>
        <v>6</v>
      </c>
      <c r="HB591" s="14">
        <f t="shared" si="253"/>
        <v>4</v>
      </c>
      <c r="HC591" s="14">
        <f t="shared" si="254"/>
        <v>1.2849999999999999</v>
      </c>
      <c r="HD591" s="14">
        <f t="shared" si="255"/>
        <v>1606035</v>
      </c>
      <c r="HE591" s="14" t="str">
        <f t="shared" si="256"/>
        <v>神器6-7 : 15级</v>
      </c>
      <c r="HF591" s="14" t="s">
        <v>800</v>
      </c>
      <c r="HG591" s="14">
        <f t="shared" si="257"/>
        <v>15</v>
      </c>
      <c r="HH591" s="14" t="str">
        <f t="shared" si="258"/>
        <v>神器6-7</v>
      </c>
      <c r="HI591" s="14">
        <f t="shared" si="259"/>
        <v>7</v>
      </c>
      <c r="HJ591" s="14" t="s">
        <v>1595</v>
      </c>
      <c r="HK591" s="14">
        <f t="shared" si="260"/>
        <v>34600</v>
      </c>
    </row>
    <row r="592" spans="207:219" ht="16.5" x14ac:dyDescent="0.2">
      <c r="GY592" s="91">
        <v>586</v>
      </c>
      <c r="GZ592" s="14">
        <f t="shared" si="251"/>
        <v>33</v>
      </c>
      <c r="HA592" s="14">
        <f t="shared" si="252"/>
        <v>6</v>
      </c>
      <c r="HB592" s="14">
        <f t="shared" si="253"/>
        <v>4</v>
      </c>
      <c r="HC592" s="14">
        <f t="shared" si="254"/>
        <v>1.3080000000000001</v>
      </c>
      <c r="HD592" s="14">
        <f t="shared" si="255"/>
        <v>1606035</v>
      </c>
      <c r="HE592" s="14" t="str">
        <f t="shared" si="256"/>
        <v>神器6-7 : 16级</v>
      </c>
      <c r="HF592" s="14" t="s">
        <v>800</v>
      </c>
      <c r="HG592" s="14">
        <f t="shared" si="257"/>
        <v>16</v>
      </c>
      <c r="HH592" s="14" t="str">
        <f t="shared" si="258"/>
        <v>神器6-7</v>
      </c>
      <c r="HI592" s="14">
        <f t="shared" si="259"/>
        <v>10</v>
      </c>
      <c r="HJ592" s="14" t="s">
        <v>1595</v>
      </c>
      <c r="HK592" s="14">
        <f t="shared" si="260"/>
        <v>35250</v>
      </c>
    </row>
    <row r="593" spans="207:219" ht="16.5" x14ac:dyDescent="0.2">
      <c r="GY593" s="91">
        <v>587</v>
      </c>
      <c r="GZ593" s="14">
        <f t="shared" si="251"/>
        <v>33</v>
      </c>
      <c r="HA593" s="14">
        <f t="shared" si="252"/>
        <v>6</v>
      </c>
      <c r="HB593" s="14">
        <f t="shared" si="253"/>
        <v>4</v>
      </c>
      <c r="HC593" s="14">
        <f t="shared" si="254"/>
        <v>1.33</v>
      </c>
      <c r="HD593" s="14">
        <f t="shared" si="255"/>
        <v>1606035</v>
      </c>
      <c r="HE593" s="14" t="str">
        <f t="shared" si="256"/>
        <v>神器6-7 : 17级</v>
      </c>
      <c r="HF593" s="14" t="s">
        <v>800</v>
      </c>
      <c r="HG593" s="14">
        <f t="shared" si="257"/>
        <v>17</v>
      </c>
      <c r="HH593" s="14" t="str">
        <f t="shared" si="258"/>
        <v>神器6-7</v>
      </c>
      <c r="HI593" s="14">
        <f t="shared" si="259"/>
        <v>10</v>
      </c>
      <c r="HJ593" s="14" t="s">
        <v>1595</v>
      </c>
      <c r="HK593" s="14">
        <f t="shared" si="260"/>
        <v>35800</v>
      </c>
    </row>
    <row r="594" spans="207:219" ht="16.5" x14ac:dyDescent="0.2">
      <c r="GY594" s="91">
        <v>588</v>
      </c>
      <c r="GZ594" s="14">
        <f t="shared" si="251"/>
        <v>33</v>
      </c>
      <c r="HA594" s="14">
        <f t="shared" si="252"/>
        <v>6</v>
      </c>
      <c r="HB594" s="14">
        <f t="shared" si="253"/>
        <v>4</v>
      </c>
      <c r="HC594" s="14">
        <f t="shared" si="254"/>
        <v>1.353</v>
      </c>
      <c r="HD594" s="14">
        <f t="shared" si="255"/>
        <v>1606035</v>
      </c>
      <c r="HE594" s="14" t="str">
        <f t="shared" si="256"/>
        <v>神器6-7 : 18级</v>
      </c>
      <c r="HF594" s="14" t="s">
        <v>800</v>
      </c>
      <c r="HG594" s="14">
        <f t="shared" si="257"/>
        <v>18</v>
      </c>
      <c r="HH594" s="14" t="str">
        <f t="shared" si="258"/>
        <v>神器6-7</v>
      </c>
      <c r="HI594" s="14">
        <f t="shared" si="259"/>
        <v>10</v>
      </c>
      <c r="HJ594" s="14" t="s">
        <v>1595</v>
      </c>
      <c r="HK594" s="14">
        <f t="shared" si="260"/>
        <v>36450</v>
      </c>
    </row>
    <row r="595" spans="207:219" ht="16.5" x14ac:dyDescent="0.2">
      <c r="GY595" s="91">
        <v>589</v>
      </c>
      <c r="GZ595" s="14">
        <f t="shared" si="251"/>
        <v>33</v>
      </c>
      <c r="HA595" s="14">
        <f t="shared" si="252"/>
        <v>6</v>
      </c>
      <c r="HB595" s="14">
        <f t="shared" si="253"/>
        <v>4</v>
      </c>
      <c r="HC595" s="14">
        <f t="shared" si="254"/>
        <v>1.375</v>
      </c>
      <c r="HD595" s="14">
        <f t="shared" si="255"/>
        <v>1606035</v>
      </c>
      <c r="HE595" s="14" t="str">
        <f t="shared" si="256"/>
        <v>神器6-7 : 19级</v>
      </c>
      <c r="HF595" s="14" t="s">
        <v>800</v>
      </c>
      <c r="HG595" s="14">
        <f t="shared" si="257"/>
        <v>19</v>
      </c>
      <c r="HH595" s="14" t="str">
        <f t="shared" si="258"/>
        <v>神器6-7</v>
      </c>
      <c r="HI595" s="14">
        <f t="shared" si="259"/>
        <v>15</v>
      </c>
      <c r="HJ595" s="14" t="s">
        <v>1595</v>
      </c>
      <c r="HK595" s="14">
        <f t="shared" si="260"/>
        <v>37050</v>
      </c>
    </row>
    <row r="596" spans="207:219" ht="16.5" x14ac:dyDescent="0.2">
      <c r="GY596" s="91">
        <v>590</v>
      </c>
      <c r="GZ596" s="14">
        <f t="shared" si="251"/>
        <v>33</v>
      </c>
      <c r="HA596" s="14">
        <f t="shared" si="252"/>
        <v>6</v>
      </c>
      <c r="HB596" s="14">
        <f t="shared" si="253"/>
        <v>4</v>
      </c>
      <c r="HC596" s="14">
        <f t="shared" si="254"/>
        <v>1.3959999999999999</v>
      </c>
      <c r="HD596" s="14">
        <f t="shared" si="255"/>
        <v>1606035</v>
      </c>
      <c r="HE596" s="14" t="str">
        <f t="shared" si="256"/>
        <v>神器6-7 : 20级</v>
      </c>
      <c r="HF596" s="14" t="s">
        <v>800</v>
      </c>
      <c r="HG596" s="14">
        <f t="shared" si="257"/>
        <v>20</v>
      </c>
      <c r="HH596" s="14" t="str">
        <f t="shared" si="258"/>
        <v>神器6-7</v>
      </c>
      <c r="HI596" s="14">
        <f t="shared" si="259"/>
        <v>15</v>
      </c>
      <c r="HJ596" s="14" t="s">
        <v>1595</v>
      </c>
      <c r="HK596" s="14">
        <f t="shared" si="260"/>
        <v>37600</v>
      </c>
    </row>
    <row r="597" spans="207:219" ht="16.5" x14ac:dyDescent="0.2">
      <c r="GY597" s="91">
        <v>591</v>
      </c>
      <c r="GZ597" s="14">
        <f t="shared" si="251"/>
        <v>33</v>
      </c>
      <c r="HA597" s="14">
        <f t="shared" si="252"/>
        <v>6</v>
      </c>
      <c r="HB597" s="14">
        <f t="shared" si="253"/>
        <v>4</v>
      </c>
      <c r="HC597" s="14">
        <f t="shared" si="254"/>
        <v>1.4179999999999999</v>
      </c>
      <c r="HD597" s="14">
        <f t="shared" si="255"/>
        <v>1606035</v>
      </c>
      <c r="HE597" s="14" t="str">
        <f t="shared" si="256"/>
        <v>神器6-7 : 21级</v>
      </c>
      <c r="HF597" s="14" t="s">
        <v>800</v>
      </c>
      <c r="HG597" s="14">
        <f t="shared" si="257"/>
        <v>21</v>
      </c>
      <c r="HH597" s="14" t="str">
        <f t="shared" si="258"/>
        <v>神器6-7</v>
      </c>
      <c r="HI597" s="14">
        <f t="shared" si="259"/>
        <v>15</v>
      </c>
      <c r="HJ597" s="14" t="s">
        <v>1595</v>
      </c>
      <c r="HK597" s="14">
        <f t="shared" si="260"/>
        <v>38200</v>
      </c>
    </row>
    <row r="598" spans="207:219" ht="16.5" x14ac:dyDescent="0.2">
      <c r="GY598" s="91">
        <v>592</v>
      </c>
      <c r="GZ598" s="14">
        <f t="shared" si="251"/>
        <v>34</v>
      </c>
      <c r="HA598" s="14">
        <f t="shared" si="252"/>
        <v>6</v>
      </c>
      <c r="HB598" s="14">
        <f t="shared" si="253"/>
        <v>4</v>
      </c>
      <c r="HC598" s="14">
        <f t="shared" si="254"/>
        <v>0.9</v>
      </c>
      <c r="HD598" s="14">
        <f t="shared" si="255"/>
        <v>1606036</v>
      </c>
      <c r="HE598" s="14" t="str">
        <f t="shared" si="256"/>
        <v>神器6-8 : 1级</v>
      </c>
      <c r="HF598" s="14" t="s">
        <v>800</v>
      </c>
      <c r="HG598" s="14">
        <f t="shared" si="257"/>
        <v>1</v>
      </c>
      <c r="HH598" s="14" t="str">
        <f t="shared" si="258"/>
        <v>神器6-8</v>
      </c>
      <c r="HI598" s="14">
        <f t="shared" si="259"/>
        <v>1</v>
      </c>
      <c r="HJ598" s="14" t="s">
        <v>1595</v>
      </c>
      <c r="HK598" s="14">
        <f t="shared" si="260"/>
        <v>24250</v>
      </c>
    </row>
    <row r="599" spans="207:219" ht="16.5" x14ac:dyDescent="0.2">
      <c r="GY599" s="91">
        <v>593</v>
      </c>
      <c r="GZ599" s="14">
        <f t="shared" si="251"/>
        <v>34</v>
      </c>
      <c r="HA599" s="14">
        <f t="shared" si="252"/>
        <v>6</v>
      </c>
      <c r="HB599" s="14">
        <f t="shared" si="253"/>
        <v>4</v>
      </c>
      <c r="HC599" s="14">
        <f t="shared" si="254"/>
        <v>0.93300000000000005</v>
      </c>
      <c r="HD599" s="14">
        <f t="shared" si="255"/>
        <v>1606036</v>
      </c>
      <c r="HE599" s="14" t="str">
        <f t="shared" si="256"/>
        <v>神器6-8 : 2级</v>
      </c>
      <c r="HF599" s="14" t="s">
        <v>800</v>
      </c>
      <c r="HG599" s="14">
        <f t="shared" si="257"/>
        <v>2</v>
      </c>
      <c r="HH599" s="14" t="str">
        <f t="shared" si="258"/>
        <v>神器6-8</v>
      </c>
      <c r="HI599" s="14">
        <f t="shared" si="259"/>
        <v>1</v>
      </c>
      <c r="HJ599" s="14" t="s">
        <v>1595</v>
      </c>
      <c r="HK599" s="14">
        <f t="shared" si="260"/>
        <v>25150</v>
      </c>
    </row>
    <row r="600" spans="207:219" ht="16.5" x14ac:dyDescent="0.2">
      <c r="GY600" s="91">
        <v>594</v>
      </c>
      <c r="GZ600" s="14">
        <f t="shared" si="251"/>
        <v>34</v>
      </c>
      <c r="HA600" s="14">
        <f t="shared" si="252"/>
        <v>6</v>
      </c>
      <c r="HB600" s="14">
        <f t="shared" si="253"/>
        <v>4</v>
      </c>
      <c r="HC600" s="14">
        <f t="shared" si="254"/>
        <v>0.96399999999999997</v>
      </c>
      <c r="HD600" s="14">
        <f t="shared" si="255"/>
        <v>1606036</v>
      </c>
      <c r="HE600" s="14" t="str">
        <f t="shared" si="256"/>
        <v>神器6-8 : 3级</v>
      </c>
      <c r="HF600" s="14" t="s">
        <v>800</v>
      </c>
      <c r="HG600" s="14">
        <f t="shared" si="257"/>
        <v>3</v>
      </c>
      <c r="HH600" s="14" t="str">
        <f t="shared" si="258"/>
        <v>神器6-8</v>
      </c>
      <c r="HI600" s="14">
        <f t="shared" si="259"/>
        <v>1</v>
      </c>
      <c r="HJ600" s="14" t="s">
        <v>1595</v>
      </c>
      <c r="HK600" s="14">
        <f t="shared" si="260"/>
        <v>25950</v>
      </c>
    </row>
    <row r="601" spans="207:219" ht="16.5" x14ac:dyDescent="0.2">
      <c r="GY601" s="91">
        <v>595</v>
      </c>
      <c r="GZ601" s="14">
        <f t="shared" si="251"/>
        <v>34</v>
      </c>
      <c r="HA601" s="14">
        <f t="shared" si="252"/>
        <v>6</v>
      </c>
      <c r="HB601" s="14">
        <f t="shared" si="253"/>
        <v>4</v>
      </c>
      <c r="HC601" s="14">
        <f t="shared" si="254"/>
        <v>0.995</v>
      </c>
      <c r="HD601" s="14">
        <f t="shared" si="255"/>
        <v>1606036</v>
      </c>
      <c r="HE601" s="14" t="str">
        <f t="shared" si="256"/>
        <v>神器6-8 : 4级</v>
      </c>
      <c r="HF601" s="14" t="s">
        <v>800</v>
      </c>
      <c r="HG601" s="14">
        <f t="shared" si="257"/>
        <v>4</v>
      </c>
      <c r="HH601" s="14" t="str">
        <f t="shared" si="258"/>
        <v>神器6-8</v>
      </c>
      <c r="HI601" s="14">
        <f t="shared" si="259"/>
        <v>2</v>
      </c>
      <c r="HJ601" s="14" t="s">
        <v>1595</v>
      </c>
      <c r="HK601" s="14">
        <f t="shared" si="260"/>
        <v>26800</v>
      </c>
    </row>
    <row r="602" spans="207:219" ht="16.5" x14ac:dyDescent="0.2">
      <c r="GY602" s="91">
        <v>596</v>
      </c>
      <c r="GZ602" s="14">
        <f t="shared" si="251"/>
        <v>34</v>
      </c>
      <c r="HA602" s="14">
        <f t="shared" si="252"/>
        <v>6</v>
      </c>
      <c r="HB602" s="14">
        <f t="shared" si="253"/>
        <v>4</v>
      </c>
      <c r="HC602" s="14">
        <f t="shared" si="254"/>
        <v>1.0249999999999999</v>
      </c>
      <c r="HD602" s="14">
        <f t="shared" si="255"/>
        <v>1606036</v>
      </c>
      <c r="HE602" s="14" t="str">
        <f t="shared" si="256"/>
        <v>神器6-8 : 5级</v>
      </c>
      <c r="HF602" s="14" t="s">
        <v>800</v>
      </c>
      <c r="HG602" s="14">
        <f t="shared" si="257"/>
        <v>5</v>
      </c>
      <c r="HH602" s="14" t="str">
        <f t="shared" si="258"/>
        <v>神器6-8</v>
      </c>
      <c r="HI602" s="14">
        <f t="shared" si="259"/>
        <v>2</v>
      </c>
      <c r="HJ602" s="14" t="s">
        <v>1595</v>
      </c>
      <c r="HK602" s="14">
        <f t="shared" si="260"/>
        <v>27600</v>
      </c>
    </row>
    <row r="603" spans="207:219" ht="16.5" x14ac:dyDescent="0.2">
      <c r="GY603" s="91">
        <v>597</v>
      </c>
      <c r="GZ603" s="14">
        <f t="shared" si="251"/>
        <v>34</v>
      </c>
      <c r="HA603" s="14">
        <f t="shared" si="252"/>
        <v>6</v>
      </c>
      <c r="HB603" s="14">
        <f t="shared" si="253"/>
        <v>4</v>
      </c>
      <c r="HC603" s="14">
        <f t="shared" si="254"/>
        <v>1.054</v>
      </c>
      <c r="HD603" s="14">
        <f t="shared" si="255"/>
        <v>1606036</v>
      </c>
      <c r="HE603" s="14" t="str">
        <f t="shared" si="256"/>
        <v>神器6-8 : 6级</v>
      </c>
      <c r="HF603" s="14" t="s">
        <v>800</v>
      </c>
      <c r="HG603" s="14">
        <f t="shared" si="257"/>
        <v>6</v>
      </c>
      <c r="HH603" s="14" t="str">
        <f t="shared" si="258"/>
        <v>神器6-8</v>
      </c>
      <c r="HI603" s="14">
        <f t="shared" si="259"/>
        <v>2</v>
      </c>
      <c r="HJ603" s="14" t="s">
        <v>1595</v>
      </c>
      <c r="HK603" s="14">
        <f t="shared" si="260"/>
        <v>28400</v>
      </c>
    </row>
    <row r="604" spans="207:219" ht="16.5" x14ac:dyDescent="0.2">
      <c r="GY604" s="91">
        <v>598</v>
      </c>
      <c r="GZ604" s="14">
        <f t="shared" si="251"/>
        <v>34</v>
      </c>
      <c r="HA604" s="14">
        <f t="shared" si="252"/>
        <v>6</v>
      </c>
      <c r="HB604" s="14">
        <f t="shared" si="253"/>
        <v>4</v>
      </c>
      <c r="HC604" s="14">
        <f t="shared" si="254"/>
        <v>1.0820000000000001</v>
      </c>
      <c r="HD604" s="14">
        <f t="shared" si="255"/>
        <v>1606036</v>
      </c>
      <c r="HE604" s="14" t="str">
        <f t="shared" si="256"/>
        <v>神器6-8 : 7级</v>
      </c>
      <c r="HF604" s="14" t="s">
        <v>800</v>
      </c>
      <c r="HG604" s="14">
        <f t="shared" si="257"/>
        <v>7</v>
      </c>
      <c r="HH604" s="14" t="str">
        <f t="shared" si="258"/>
        <v>神器6-8</v>
      </c>
      <c r="HI604" s="14">
        <f t="shared" si="259"/>
        <v>3</v>
      </c>
      <c r="HJ604" s="14" t="s">
        <v>1595</v>
      </c>
      <c r="HK604" s="14">
        <f t="shared" si="260"/>
        <v>29150</v>
      </c>
    </row>
    <row r="605" spans="207:219" ht="16.5" x14ac:dyDescent="0.2">
      <c r="GY605" s="91">
        <v>599</v>
      </c>
      <c r="GZ605" s="14">
        <f t="shared" si="251"/>
        <v>34</v>
      </c>
      <c r="HA605" s="14">
        <f t="shared" si="252"/>
        <v>6</v>
      </c>
      <c r="HB605" s="14">
        <f t="shared" si="253"/>
        <v>4</v>
      </c>
      <c r="HC605" s="14">
        <f t="shared" si="254"/>
        <v>1.109</v>
      </c>
      <c r="HD605" s="14">
        <f t="shared" si="255"/>
        <v>1606036</v>
      </c>
      <c r="HE605" s="14" t="str">
        <f t="shared" si="256"/>
        <v>神器6-8 : 8级</v>
      </c>
      <c r="HF605" s="14" t="s">
        <v>800</v>
      </c>
      <c r="HG605" s="14">
        <f t="shared" si="257"/>
        <v>8</v>
      </c>
      <c r="HH605" s="14" t="str">
        <f t="shared" si="258"/>
        <v>神器6-8</v>
      </c>
      <c r="HI605" s="14">
        <f t="shared" si="259"/>
        <v>3</v>
      </c>
      <c r="HJ605" s="14" t="s">
        <v>1595</v>
      </c>
      <c r="HK605" s="14">
        <f t="shared" si="260"/>
        <v>29850</v>
      </c>
    </row>
    <row r="606" spans="207:219" ht="16.5" x14ac:dyDescent="0.2">
      <c r="GY606" s="91">
        <v>600</v>
      </c>
      <c r="GZ606" s="14">
        <f t="shared" si="251"/>
        <v>34</v>
      </c>
      <c r="HA606" s="14">
        <f t="shared" si="252"/>
        <v>6</v>
      </c>
      <c r="HB606" s="14">
        <f t="shared" si="253"/>
        <v>4</v>
      </c>
      <c r="HC606" s="14">
        <f t="shared" si="254"/>
        <v>1.1359999999999999</v>
      </c>
      <c r="HD606" s="14">
        <f t="shared" si="255"/>
        <v>1606036</v>
      </c>
      <c r="HE606" s="14" t="str">
        <f t="shared" si="256"/>
        <v>神器6-8 : 9级</v>
      </c>
      <c r="HF606" s="14" t="s">
        <v>800</v>
      </c>
      <c r="HG606" s="14">
        <f t="shared" si="257"/>
        <v>9</v>
      </c>
      <c r="HH606" s="14" t="str">
        <f t="shared" si="258"/>
        <v>神器6-8</v>
      </c>
      <c r="HI606" s="14">
        <f t="shared" si="259"/>
        <v>3</v>
      </c>
      <c r="HJ606" s="14" t="s">
        <v>1595</v>
      </c>
      <c r="HK606" s="14">
        <f t="shared" si="260"/>
        <v>30600</v>
      </c>
    </row>
    <row r="607" spans="207:219" ht="16.5" x14ac:dyDescent="0.2">
      <c r="GY607" s="91">
        <v>601</v>
      </c>
      <c r="GZ607" s="14">
        <f t="shared" si="251"/>
        <v>34</v>
      </c>
      <c r="HA607" s="14">
        <f t="shared" si="252"/>
        <v>6</v>
      </c>
      <c r="HB607" s="14">
        <f t="shared" si="253"/>
        <v>4</v>
      </c>
      <c r="HC607" s="14">
        <f t="shared" si="254"/>
        <v>1.1619999999999999</v>
      </c>
      <c r="HD607" s="14">
        <f t="shared" si="255"/>
        <v>1606036</v>
      </c>
      <c r="HE607" s="14" t="str">
        <f t="shared" si="256"/>
        <v>神器6-8 : 10级</v>
      </c>
      <c r="HF607" s="14" t="s">
        <v>800</v>
      </c>
      <c r="HG607" s="14">
        <f t="shared" si="257"/>
        <v>10</v>
      </c>
      <c r="HH607" s="14" t="str">
        <f t="shared" si="258"/>
        <v>神器6-8</v>
      </c>
      <c r="HI607" s="14">
        <f t="shared" si="259"/>
        <v>5</v>
      </c>
      <c r="HJ607" s="14" t="s">
        <v>1595</v>
      </c>
      <c r="HK607" s="14">
        <f t="shared" si="260"/>
        <v>31300</v>
      </c>
    </row>
    <row r="608" spans="207:219" ht="16.5" x14ac:dyDescent="0.2">
      <c r="GY608" s="91">
        <v>602</v>
      </c>
      <c r="GZ608" s="14">
        <f t="shared" si="251"/>
        <v>34</v>
      </c>
      <c r="HA608" s="14">
        <f t="shared" si="252"/>
        <v>6</v>
      </c>
      <c r="HB608" s="14">
        <f t="shared" si="253"/>
        <v>4</v>
      </c>
      <c r="HC608" s="14">
        <f t="shared" si="254"/>
        <v>1.1870000000000001</v>
      </c>
      <c r="HD608" s="14">
        <f t="shared" si="255"/>
        <v>1606036</v>
      </c>
      <c r="HE608" s="14" t="str">
        <f t="shared" si="256"/>
        <v>神器6-8 : 11级</v>
      </c>
      <c r="HF608" s="14" t="s">
        <v>800</v>
      </c>
      <c r="HG608" s="14">
        <f t="shared" si="257"/>
        <v>11</v>
      </c>
      <c r="HH608" s="14" t="str">
        <f t="shared" si="258"/>
        <v>神器6-8</v>
      </c>
      <c r="HI608" s="14">
        <f t="shared" si="259"/>
        <v>5</v>
      </c>
      <c r="HJ608" s="14" t="s">
        <v>1595</v>
      </c>
      <c r="HK608" s="14">
        <f t="shared" si="260"/>
        <v>31950</v>
      </c>
    </row>
    <row r="609" spans="207:219" ht="16.5" x14ac:dyDescent="0.2">
      <c r="GY609" s="91">
        <v>603</v>
      </c>
      <c r="GZ609" s="14">
        <f t="shared" si="251"/>
        <v>34</v>
      </c>
      <c r="HA609" s="14">
        <f t="shared" si="252"/>
        <v>6</v>
      </c>
      <c r="HB609" s="14">
        <f t="shared" si="253"/>
        <v>4</v>
      </c>
      <c r="HC609" s="14">
        <f t="shared" si="254"/>
        <v>1.212</v>
      </c>
      <c r="HD609" s="14">
        <f t="shared" si="255"/>
        <v>1606036</v>
      </c>
      <c r="HE609" s="14" t="str">
        <f t="shared" si="256"/>
        <v>神器6-8 : 12级</v>
      </c>
      <c r="HF609" s="14" t="s">
        <v>800</v>
      </c>
      <c r="HG609" s="14">
        <f t="shared" si="257"/>
        <v>12</v>
      </c>
      <c r="HH609" s="14" t="str">
        <f t="shared" si="258"/>
        <v>神器6-8</v>
      </c>
      <c r="HI609" s="14">
        <f t="shared" si="259"/>
        <v>6</v>
      </c>
      <c r="HJ609" s="14" t="s">
        <v>1595</v>
      </c>
      <c r="HK609" s="14">
        <f t="shared" si="260"/>
        <v>32650</v>
      </c>
    </row>
    <row r="610" spans="207:219" ht="16.5" x14ac:dyDescent="0.2">
      <c r="GY610" s="91">
        <v>604</v>
      </c>
      <c r="GZ610" s="14">
        <f t="shared" si="251"/>
        <v>34</v>
      </c>
      <c r="HA610" s="14">
        <f t="shared" si="252"/>
        <v>6</v>
      </c>
      <c r="HB610" s="14">
        <f t="shared" si="253"/>
        <v>4</v>
      </c>
      <c r="HC610" s="14">
        <f t="shared" si="254"/>
        <v>1.2370000000000001</v>
      </c>
      <c r="HD610" s="14">
        <f t="shared" si="255"/>
        <v>1606036</v>
      </c>
      <c r="HE610" s="14" t="str">
        <f t="shared" si="256"/>
        <v>神器6-8 : 13级</v>
      </c>
      <c r="HF610" s="14" t="s">
        <v>800</v>
      </c>
      <c r="HG610" s="14">
        <f t="shared" si="257"/>
        <v>13</v>
      </c>
      <c r="HH610" s="14" t="str">
        <f t="shared" si="258"/>
        <v>神器6-8</v>
      </c>
      <c r="HI610" s="14">
        <f t="shared" si="259"/>
        <v>7</v>
      </c>
      <c r="HJ610" s="14" t="s">
        <v>1595</v>
      </c>
      <c r="HK610" s="14">
        <f t="shared" si="260"/>
        <v>33300</v>
      </c>
    </row>
    <row r="611" spans="207:219" ht="16.5" x14ac:dyDescent="0.2">
      <c r="GY611" s="91">
        <v>605</v>
      </c>
      <c r="GZ611" s="14">
        <f t="shared" si="251"/>
        <v>34</v>
      </c>
      <c r="HA611" s="14">
        <f t="shared" si="252"/>
        <v>6</v>
      </c>
      <c r="HB611" s="14">
        <f t="shared" si="253"/>
        <v>4</v>
      </c>
      <c r="HC611" s="14">
        <f t="shared" si="254"/>
        <v>1.2609999999999999</v>
      </c>
      <c r="HD611" s="14">
        <f t="shared" si="255"/>
        <v>1606036</v>
      </c>
      <c r="HE611" s="14" t="str">
        <f t="shared" si="256"/>
        <v>神器6-8 : 14级</v>
      </c>
      <c r="HF611" s="14" t="s">
        <v>800</v>
      </c>
      <c r="HG611" s="14">
        <f t="shared" si="257"/>
        <v>14</v>
      </c>
      <c r="HH611" s="14" t="str">
        <f t="shared" si="258"/>
        <v>神器6-8</v>
      </c>
      <c r="HI611" s="14">
        <f t="shared" si="259"/>
        <v>7</v>
      </c>
      <c r="HJ611" s="14" t="s">
        <v>1595</v>
      </c>
      <c r="HK611" s="14">
        <f t="shared" si="260"/>
        <v>33950</v>
      </c>
    </row>
    <row r="612" spans="207:219" ht="16.5" x14ac:dyDescent="0.2">
      <c r="GY612" s="91">
        <v>606</v>
      </c>
      <c r="GZ612" s="14">
        <f t="shared" si="251"/>
        <v>34</v>
      </c>
      <c r="HA612" s="14">
        <f t="shared" si="252"/>
        <v>6</v>
      </c>
      <c r="HB612" s="14">
        <f t="shared" si="253"/>
        <v>4</v>
      </c>
      <c r="HC612" s="14">
        <f t="shared" si="254"/>
        <v>1.2849999999999999</v>
      </c>
      <c r="HD612" s="14">
        <f t="shared" si="255"/>
        <v>1606036</v>
      </c>
      <c r="HE612" s="14" t="str">
        <f t="shared" si="256"/>
        <v>神器6-8 : 15级</v>
      </c>
      <c r="HF612" s="14" t="s">
        <v>800</v>
      </c>
      <c r="HG612" s="14">
        <f t="shared" si="257"/>
        <v>15</v>
      </c>
      <c r="HH612" s="14" t="str">
        <f t="shared" si="258"/>
        <v>神器6-8</v>
      </c>
      <c r="HI612" s="14">
        <f t="shared" si="259"/>
        <v>7</v>
      </c>
      <c r="HJ612" s="14" t="s">
        <v>1595</v>
      </c>
      <c r="HK612" s="14">
        <f t="shared" si="260"/>
        <v>34600</v>
      </c>
    </row>
    <row r="613" spans="207:219" ht="16.5" x14ac:dyDescent="0.2">
      <c r="GY613" s="91">
        <v>607</v>
      </c>
      <c r="GZ613" s="14">
        <f t="shared" si="251"/>
        <v>34</v>
      </c>
      <c r="HA613" s="14">
        <f t="shared" si="252"/>
        <v>6</v>
      </c>
      <c r="HB613" s="14">
        <f t="shared" si="253"/>
        <v>4</v>
      </c>
      <c r="HC613" s="14">
        <f t="shared" si="254"/>
        <v>1.3080000000000001</v>
      </c>
      <c r="HD613" s="14">
        <f t="shared" si="255"/>
        <v>1606036</v>
      </c>
      <c r="HE613" s="14" t="str">
        <f t="shared" si="256"/>
        <v>神器6-8 : 16级</v>
      </c>
      <c r="HF613" s="14" t="s">
        <v>800</v>
      </c>
      <c r="HG613" s="14">
        <f t="shared" si="257"/>
        <v>16</v>
      </c>
      <c r="HH613" s="14" t="str">
        <f t="shared" si="258"/>
        <v>神器6-8</v>
      </c>
      <c r="HI613" s="14">
        <f t="shared" si="259"/>
        <v>10</v>
      </c>
      <c r="HJ613" s="14" t="s">
        <v>1595</v>
      </c>
      <c r="HK613" s="14">
        <f t="shared" si="260"/>
        <v>35250</v>
      </c>
    </row>
    <row r="614" spans="207:219" ht="16.5" x14ac:dyDescent="0.2">
      <c r="GY614" s="91">
        <v>608</v>
      </c>
      <c r="GZ614" s="14">
        <f t="shared" si="251"/>
        <v>34</v>
      </c>
      <c r="HA614" s="14">
        <f t="shared" si="252"/>
        <v>6</v>
      </c>
      <c r="HB614" s="14">
        <f t="shared" si="253"/>
        <v>4</v>
      </c>
      <c r="HC614" s="14">
        <f t="shared" si="254"/>
        <v>1.33</v>
      </c>
      <c r="HD614" s="14">
        <f t="shared" si="255"/>
        <v>1606036</v>
      </c>
      <c r="HE614" s="14" t="str">
        <f t="shared" si="256"/>
        <v>神器6-8 : 17级</v>
      </c>
      <c r="HF614" s="14" t="s">
        <v>800</v>
      </c>
      <c r="HG614" s="14">
        <f t="shared" si="257"/>
        <v>17</v>
      </c>
      <c r="HH614" s="14" t="str">
        <f t="shared" si="258"/>
        <v>神器6-8</v>
      </c>
      <c r="HI614" s="14">
        <f t="shared" si="259"/>
        <v>10</v>
      </c>
      <c r="HJ614" s="14" t="s">
        <v>1595</v>
      </c>
      <c r="HK614" s="14">
        <f t="shared" si="260"/>
        <v>35800</v>
      </c>
    </row>
    <row r="615" spans="207:219" ht="16.5" x14ac:dyDescent="0.2">
      <c r="GY615" s="91">
        <v>609</v>
      </c>
      <c r="GZ615" s="14">
        <f t="shared" si="251"/>
        <v>34</v>
      </c>
      <c r="HA615" s="14">
        <f t="shared" si="252"/>
        <v>6</v>
      </c>
      <c r="HB615" s="14">
        <f t="shared" si="253"/>
        <v>4</v>
      </c>
      <c r="HC615" s="14">
        <f t="shared" si="254"/>
        <v>1.353</v>
      </c>
      <c r="HD615" s="14">
        <f t="shared" si="255"/>
        <v>1606036</v>
      </c>
      <c r="HE615" s="14" t="str">
        <f t="shared" si="256"/>
        <v>神器6-8 : 18级</v>
      </c>
      <c r="HF615" s="14" t="s">
        <v>800</v>
      </c>
      <c r="HG615" s="14">
        <f t="shared" si="257"/>
        <v>18</v>
      </c>
      <c r="HH615" s="14" t="str">
        <f t="shared" si="258"/>
        <v>神器6-8</v>
      </c>
      <c r="HI615" s="14">
        <f t="shared" si="259"/>
        <v>10</v>
      </c>
      <c r="HJ615" s="14" t="s">
        <v>1595</v>
      </c>
      <c r="HK615" s="14">
        <f t="shared" si="260"/>
        <v>36450</v>
      </c>
    </row>
    <row r="616" spans="207:219" ht="16.5" x14ac:dyDescent="0.2">
      <c r="GY616" s="91">
        <v>610</v>
      </c>
      <c r="GZ616" s="14">
        <f t="shared" si="251"/>
        <v>34</v>
      </c>
      <c r="HA616" s="14">
        <f t="shared" si="252"/>
        <v>6</v>
      </c>
      <c r="HB616" s="14">
        <f t="shared" si="253"/>
        <v>4</v>
      </c>
      <c r="HC616" s="14">
        <f t="shared" si="254"/>
        <v>1.375</v>
      </c>
      <c r="HD616" s="14">
        <f t="shared" si="255"/>
        <v>1606036</v>
      </c>
      <c r="HE616" s="14" t="str">
        <f t="shared" si="256"/>
        <v>神器6-8 : 19级</v>
      </c>
      <c r="HF616" s="14" t="s">
        <v>800</v>
      </c>
      <c r="HG616" s="14">
        <f t="shared" si="257"/>
        <v>19</v>
      </c>
      <c r="HH616" s="14" t="str">
        <f t="shared" si="258"/>
        <v>神器6-8</v>
      </c>
      <c r="HI616" s="14">
        <f t="shared" si="259"/>
        <v>15</v>
      </c>
      <c r="HJ616" s="14" t="s">
        <v>1595</v>
      </c>
      <c r="HK616" s="14">
        <f t="shared" si="260"/>
        <v>37050</v>
      </c>
    </row>
    <row r="617" spans="207:219" ht="16.5" x14ac:dyDescent="0.2">
      <c r="GY617" s="91">
        <v>611</v>
      </c>
      <c r="GZ617" s="14">
        <f t="shared" si="251"/>
        <v>34</v>
      </c>
      <c r="HA617" s="14">
        <f t="shared" si="252"/>
        <v>6</v>
      </c>
      <c r="HB617" s="14">
        <f t="shared" si="253"/>
        <v>4</v>
      </c>
      <c r="HC617" s="14">
        <f t="shared" si="254"/>
        <v>1.3959999999999999</v>
      </c>
      <c r="HD617" s="14">
        <f t="shared" si="255"/>
        <v>1606036</v>
      </c>
      <c r="HE617" s="14" t="str">
        <f t="shared" si="256"/>
        <v>神器6-8 : 20级</v>
      </c>
      <c r="HF617" s="14" t="s">
        <v>800</v>
      </c>
      <c r="HG617" s="14">
        <f t="shared" si="257"/>
        <v>20</v>
      </c>
      <c r="HH617" s="14" t="str">
        <f t="shared" si="258"/>
        <v>神器6-8</v>
      </c>
      <c r="HI617" s="14">
        <f t="shared" si="259"/>
        <v>15</v>
      </c>
      <c r="HJ617" s="14" t="s">
        <v>1595</v>
      </c>
      <c r="HK617" s="14">
        <f t="shared" si="260"/>
        <v>37600</v>
      </c>
    </row>
    <row r="618" spans="207:219" ht="16.5" x14ac:dyDescent="0.2">
      <c r="GY618" s="91">
        <v>612</v>
      </c>
      <c r="GZ618" s="14">
        <f t="shared" si="251"/>
        <v>34</v>
      </c>
      <c r="HA618" s="14">
        <f t="shared" si="252"/>
        <v>6</v>
      </c>
      <c r="HB618" s="14">
        <f t="shared" si="253"/>
        <v>4</v>
      </c>
      <c r="HC618" s="14">
        <f t="shared" si="254"/>
        <v>1.4179999999999999</v>
      </c>
      <c r="HD618" s="14">
        <f t="shared" si="255"/>
        <v>1606036</v>
      </c>
      <c r="HE618" s="14" t="str">
        <f t="shared" si="256"/>
        <v>神器6-8 : 21级</v>
      </c>
      <c r="HF618" s="14" t="s">
        <v>800</v>
      </c>
      <c r="HG618" s="14">
        <f t="shared" si="257"/>
        <v>21</v>
      </c>
      <c r="HH618" s="14" t="str">
        <f t="shared" si="258"/>
        <v>神器6-8</v>
      </c>
      <c r="HI618" s="14">
        <f t="shared" si="259"/>
        <v>15</v>
      </c>
      <c r="HJ618" s="14" t="s">
        <v>1595</v>
      </c>
      <c r="HK618" s="14">
        <f t="shared" si="260"/>
        <v>38200</v>
      </c>
    </row>
    <row r="619" spans="207:219" ht="16.5" x14ac:dyDescent="0.2">
      <c r="GY619" s="91">
        <v>613</v>
      </c>
      <c r="GZ619" s="14">
        <f t="shared" si="251"/>
        <v>35</v>
      </c>
      <c r="HA619" s="14">
        <f t="shared" si="252"/>
        <v>7</v>
      </c>
      <c r="HB619" s="14">
        <f t="shared" si="253"/>
        <v>2</v>
      </c>
      <c r="HC619" s="14">
        <f t="shared" si="254"/>
        <v>0.40200000000000002</v>
      </c>
      <c r="HD619" s="14">
        <f t="shared" si="255"/>
        <v>1606037</v>
      </c>
      <c r="HE619" s="14" t="str">
        <f t="shared" si="256"/>
        <v>神器7-1 : 1级</v>
      </c>
      <c r="HF619" s="14" t="s">
        <v>800</v>
      </c>
      <c r="HG619" s="14">
        <f t="shared" si="257"/>
        <v>1</v>
      </c>
      <c r="HH619" s="14" t="str">
        <f t="shared" si="258"/>
        <v>神器7-1</v>
      </c>
      <c r="HI619" s="14">
        <f t="shared" si="259"/>
        <v>1</v>
      </c>
      <c r="HJ619" s="14" t="s">
        <v>1595</v>
      </c>
      <c r="HK619" s="14">
        <f t="shared" si="260"/>
        <v>16700</v>
      </c>
    </row>
    <row r="620" spans="207:219" ht="16.5" x14ac:dyDescent="0.2">
      <c r="GY620" s="91">
        <v>614</v>
      </c>
      <c r="GZ620" s="14">
        <f t="shared" si="251"/>
        <v>35</v>
      </c>
      <c r="HA620" s="14">
        <f t="shared" si="252"/>
        <v>7</v>
      </c>
      <c r="HB620" s="14">
        <f t="shared" si="253"/>
        <v>2</v>
      </c>
      <c r="HC620" s="14">
        <f t="shared" si="254"/>
        <v>0.41699999999999998</v>
      </c>
      <c r="HD620" s="14">
        <f t="shared" si="255"/>
        <v>1606037</v>
      </c>
      <c r="HE620" s="14" t="str">
        <f t="shared" si="256"/>
        <v>神器7-1 : 2级</v>
      </c>
      <c r="HF620" s="14" t="s">
        <v>800</v>
      </c>
      <c r="HG620" s="14">
        <f t="shared" si="257"/>
        <v>2</v>
      </c>
      <c r="HH620" s="14" t="str">
        <f t="shared" si="258"/>
        <v>神器7-1</v>
      </c>
      <c r="HI620" s="14">
        <f t="shared" si="259"/>
        <v>1</v>
      </c>
      <c r="HJ620" s="14" t="s">
        <v>1595</v>
      </c>
      <c r="HK620" s="14">
        <f t="shared" si="260"/>
        <v>17350</v>
      </c>
    </row>
    <row r="621" spans="207:219" ht="16.5" x14ac:dyDescent="0.2">
      <c r="GY621" s="91">
        <v>615</v>
      </c>
      <c r="GZ621" s="14">
        <f t="shared" si="251"/>
        <v>35</v>
      </c>
      <c r="HA621" s="14">
        <f t="shared" si="252"/>
        <v>7</v>
      </c>
      <c r="HB621" s="14">
        <f t="shared" si="253"/>
        <v>2</v>
      </c>
      <c r="HC621" s="14">
        <f t="shared" si="254"/>
        <v>0.43099999999999999</v>
      </c>
      <c r="HD621" s="14">
        <f t="shared" si="255"/>
        <v>1606037</v>
      </c>
      <c r="HE621" s="14" t="str">
        <f t="shared" si="256"/>
        <v>神器7-1 : 3级</v>
      </c>
      <c r="HF621" s="14" t="s">
        <v>800</v>
      </c>
      <c r="HG621" s="14">
        <f t="shared" si="257"/>
        <v>3</v>
      </c>
      <c r="HH621" s="14" t="str">
        <f t="shared" si="258"/>
        <v>神器7-1</v>
      </c>
      <c r="HI621" s="14">
        <f t="shared" si="259"/>
        <v>1</v>
      </c>
      <c r="HJ621" s="14" t="s">
        <v>1595</v>
      </c>
      <c r="HK621" s="14">
        <f t="shared" si="260"/>
        <v>17900</v>
      </c>
    </row>
    <row r="622" spans="207:219" ht="16.5" x14ac:dyDescent="0.2">
      <c r="GY622" s="91">
        <v>616</v>
      </c>
      <c r="GZ622" s="14">
        <f t="shared" si="251"/>
        <v>35</v>
      </c>
      <c r="HA622" s="14">
        <f t="shared" si="252"/>
        <v>7</v>
      </c>
      <c r="HB622" s="14">
        <f t="shared" si="253"/>
        <v>2</v>
      </c>
      <c r="HC622" s="14">
        <f t="shared" si="254"/>
        <v>0.44500000000000001</v>
      </c>
      <c r="HD622" s="14">
        <f t="shared" si="255"/>
        <v>1606037</v>
      </c>
      <c r="HE622" s="14" t="str">
        <f t="shared" si="256"/>
        <v>神器7-1 : 4级</v>
      </c>
      <c r="HF622" s="14" t="s">
        <v>800</v>
      </c>
      <c r="HG622" s="14">
        <f t="shared" si="257"/>
        <v>4</v>
      </c>
      <c r="HH622" s="14" t="str">
        <f t="shared" si="258"/>
        <v>神器7-1</v>
      </c>
      <c r="HI622" s="14">
        <f t="shared" si="259"/>
        <v>2</v>
      </c>
      <c r="HJ622" s="14" t="s">
        <v>1595</v>
      </c>
      <c r="HK622" s="14">
        <f t="shared" si="260"/>
        <v>18500</v>
      </c>
    </row>
    <row r="623" spans="207:219" ht="16.5" x14ac:dyDescent="0.2">
      <c r="GY623" s="91">
        <v>617</v>
      </c>
      <c r="GZ623" s="14">
        <f t="shared" si="251"/>
        <v>35</v>
      </c>
      <c r="HA623" s="14">
        <f t="shared" si="252"/>
        <v>7</v>
      </c>
      <c r="HB623" s="14">
        <f t="shared" si="253"/>
        <v>2</v>
      </c>
      <c r="HC623" s="14">
        <f t="shared" si="254"/>
        <v>0.45800000000000002</v>
      </c>
      <c r="HD623" s="14">
        <f t="shared" si="255"/>
        <v>1606037</v>
      </c>
      <c r="HE623" s="14" t="str">
        <f t="shared" si="256"/>
        <v>神器7-1 : 5级</v>
      </c>
      <c r="HF623" s="14" t="s">
        <v>800</v>
      </c>
      <c r="HG623" s="14">
        <f t="shared" si="257"/>
        <v>5</v>
      </c>
      <c r="HH623" s="14" t="str">
        <f t="shared" si="258"/>
        <v>神器7-1</v>
      </c>
      <c r="HI623" s="14">
        <f t="shared" si="259"/>
        <v>2</v>
      </c>
      <c r="HJ623" s="14" t="s">
        <v>1595</v>
      </c>
      <c r="HK623" s="14">
        <f t="shared" si="260"/>
        <v>19050</v>
      </c>
    </row>
    <row r="624" spans="207:219" ht="16.5" x14ac:dyDescent="0.2">
      <c r="GY624" s="91">
        <v>618</v>
      </c>
      <c r="GZ624" s="14">
        <f t="shared" si="251"/>
        <v>35</v>
      </c>
      <c r="HA624" s="14">
        <f t="shared" si="252"/>
        <v>7</v>
      </c>
      <c r="HB624" s="14">
        <f t="shared" si="253"/>
        <v>2</v>
      </c>
      <c r="HC624" s="14">
        <f t="shared" si="254"/>
        <v>0.47099999999999997</v>
      </c>
      <c r="HD624" s="14">
        <f t="shared" si="255"/>
        <v>1606037</v>
      </c>
      <c r="HE624" s="14" t="str">
        <f t="shared" si="256"/>
        <v>神器7-1 : 6级</v>
      </c>
      <c r="HF624" s="14" t="s">
        <v>800</v>
      </c>
      <c r="HG624" s="14">
        <f t="shared" si="257"/>
        <v>6</v>
      </c>
      <c r="HH624" s="14" t="str">
        <f t="shared" si="258"/>
        <v>神器7-1</v>
      </c>
      <c r="HI624" s="14">
        <f t="shared" si="259"/>
        <v>2</v>
      </c>
      <c r="HJ624" s="14" t="s">
        <v>1595</v>
      </c>
      <c r="HK624" s="14">
        <f t="shared" si="260"/>
        <v>19600</v>
      </c>
    </row>
    <row r="625" spans="207:219" ht="16.5" x14ac:dyDescent="0.2">
      <c r="GY625" s="91">
        <v>619</v>
      </c>
      <c r="GZ625" s="14">
        <f t="shared" si="251"/>
        <v>35</v>
      </c>
      <c r="HA625" s="14">
        <f t="shared" si="252"/>
        <v>7</v>
      </c>
      <c r="HB625" s="14">
        <f t="shared" si="253"/>
        <v>2</v>
      </c>
      <c r="HC625" s="14">
        <f t="shared" si="254"/>
        <v>0.48399999999999999</v>
      </c>
      <c r="HD625" s="14">
        <f t="shared" si="255"/>
        <v>1606037</v>
      </c>
      <c r="HE625" s="14" t="str">
        <f t="shared" si="256"/>
        <v>神器7-1 : 7级</v>
      </c>
      <c r="HF625" s="14" t="s">
        <v>800</v>
      </c>
      <c r="HG625" s="14">
        <f t="shared" si="257"/>
        <v>7</v>
      </c>
      <c r="HH625" s="14" t="str">
        <f t="shared" si="258"/>
        <v>神器7-1</v>
      </c>
      <c r="HI625" s="14">
        <f t="shared" si="259"/>
        <v>3</v>
      </c>
      <c r="HJ625" s="14" t="s">
        <v>1595</v>
      </c>
      <c r="HK625" s="14">
        <f t="shared" si="260"/>
        <v>20100</v>
      </c>
    </row>
    <row r="626" spans="207:219" ht="16.5" x14ac:dyDescent="0.2">
      <c r="GY626" s="91">
        <v>620</v>
      </c>
      <c r="GZ626" s="14">
        <f t="shared" si="251"/>
        <v>35</v>
      </c>
      <c r="HA626" s="14">
        <f t="shared" si="252"/>
        <v>7</v>
      </c>
      <c r="HB626" s="14">
        <f t="shared" si="253"/>
        <v>2</v>
      </c>
      <c r="HC626" s="14">
        <f t="shared" si="254"/>
        <v>0.496</v>
      </c>
      <c r="HD626" s="14">
        <f t="shared" si="255"/>
        <v>1606037</v>
      </c>
      <c r="HE626" s="14" t="str">
        <f t="shared" si="256"/>
        <v>神器7-1 : 8级</v>
      </c>
      <c r="HF626" s="14" t="s">
        <v>800</v>
      </c>
      <c r="HG626" s="14">
        <f t="shared" si="257"/>
        <v>8</v>
      </c>
      <c r="HH626" s="14" t="str">
        <f t="shared" si="258"/>
        <v>神器7-1</v>
      </c>
      <c r="HI626" s="14">
        <f t="shared" si="259"/>
        <v>3</v>
      </c>
      <c r="HJ626" s="14" t="s">
        <v>1595</v>
      </c>
      <c r="HK626" s="14">
        <f t="shared" si="260"/>
        <v>20600</v>
      </c>
    </row>
    <row r="627" spans="207:219" ht="16.5" x14ac:dyDescent="0.2">
      <c r="GY627" s="91">
        <v>621</v>
      </c>
      <c r="GZ627" s="14">
        <f t="shared" si="251"/>
        <v>35</v>
      </c>
      <c r="HA627" s="14">
        <f t="shared" si="252"/>
        <v>7</v>
      </c>
      <c r="HB627" s="14">
        <f t="shared" si="253"/>
        <v>2</v>
      </c>
      <c r="HC627" s="14">
        <f t="shared" si="254"/>
        <v>0.50800000000000001</v>
      </c>
      <c r="HD627" s="14">
        <f t="shared" si="255"/>
        <v>1606037</v>
      </c>
      <c r="HE627" s="14" t="str">
        <f t="shared" si="256"/>
        <v>神器7-1 : 9级</v>
      </c>
      <c r="HF627" s="14" t="s">
        <v>800</v>
      </c>
      <c r="HG627" s="14">
        <f t="shared" si="257"/>
        <v>9</v>
      </c>
      <c r="HH627" s="14" t="str">
        <f t="shared" si="258"/>
        <v>神器7-1</v>
      </c>
      <c r="HI627" s="14">
        <f t="shared" si="259"/>
        <v>3</v>
      </c>
      <c r="HJ627" s="14" t="s">
        <v>1595</v>
      </c>
      <c r="HK627" s="14">
        <f t="shared" si="260"/>
        <v>21100</v>
      </c>
    </row>
    <row r="628" spans="207:219" ht="16.5" x14ac:dyDescent="0.2">
      <c r="GY628" s="91">
        <v>622</v>
      </c>
      <c r="GZ628" s="14">
        <f t="shared" si="251"/>
        <v>35</v>
      </c>
      <c r="HA628" s="14">
        <f t="shared" si="252"/>
        <v>7</v>
      </c>
      <c r="HB628" s="14">
        <f t="shared" si="253"/>
        <v>2</v>
      </c>
      <c r="HC628" s="14">
        <f t="shared" si="254"/>
        <v>0.52</v>
      </c>
      <c r="HD628" s="14">
        <f t="shared" si="255"/>
        <v>1606037</v>
      </c>
      <c r="HE628" s="14" t="str">
        <f t="shared" si="256"/>
        <v>神器7-1 : 10级</v>
      </c>
      <c r="HF628" s="14" t="s">
        <v>800</v>
      </c>
      <c r="HG628" s="14">
        <f t="shared" si="257"/>
        <v>10</v>
      </c>
      <c r="HH628" s="14" t="str">
        <f t="shared" si="258"/>
        <v>神器7-1</v>
      </c>
      <c r="HI628" s="14">
        <f t="shared" si="259"/>
        <v>5</v>
      </c>
      <c r="HJ628" s="14" t="s">
        <v>1595</v>
      </c>
      <c r="HK628" s="14">
        <f t="shared" si="260"/>
        <v>21600</v>
      </c>
    </row>
    <row r="629" spans="207:219" ht="16.5" x14ac:dyDescent="0.2">
      <c r="GY629" s="91">
        <v>623</v>
      </c>
      <c r="GZ629" s="14">
        <f t="shared" si="251"/>
        <v>35</v>
      </c>
      <c r="HA629" s="14">
        <f t="shared" si="252"/>
        <v>7</v>
      </c>
      <c r="HB629" s="14">
        <f t="shared" si="253"/>
        <v>2</v>
      </c>
      <c r="HC629" s="14">
        <f t="shared" si="254"/>
        <v>0.53100000000000003</v>
      </c>
      <c r="HD629" s="14">
        <f t="shared" si="255"/>
        <v>1606037</v>
      </c>
      <c r="HE629" s="14" t="str">
        <f t="shared" si="256"/>
        <v>神器7-1 : 11级</v>
      </c>
      <c r="HF629" s="14" t="s">
        <v>800</v>
      </c>
      <c r="HG629" s="14">
        <f t="shared" si="257"/>
        <v>11</v>
      </c>
      <c r="HH629" s="14" t="str">
        <f t="shared" si="258"/>
        <v>神器7-1</v>
      </c>
      <c r="HI629" s="14">
        <f t="shared" si="259"/>
        <v>5</v>
      </c>
      <c r="HJ629" s="14" t="s">
        <v>1595</v>
      </c>
      <c r="HK629" s="14">
        <f t="shared" si="260"/>
        <v>22050</v>
      </c>
    </row>
    <row r="630" spans="207:219" ht="16.5" x14ac:dyDescent="0.2">
      <c r="GY630" s="91">
        <v>624</v>
      </c>
      <c r="GZ630" s="14">
        <f t="shared" si="251"/>
        <v>35</v>
      </c>
      <c r="HA630" s="14">
        <f t="shared" si="252"/>
        <v>7</v>
      </c>
      <c r="HB630" s="14">
        <f t="shared" si="253"/>
        <v>2</v>
      </c>
      <c r="HC630" s="14">
        <f t="shared" si="254"/>
        <v>0.54200000000000004</v>
      </c>
      <c r="HD630" s="14">
        <f t="shared" si="255"/>
        <v>1606037</v>
      </c>
      <c r="HE630" s="14" t="str">
        <f t="shared" si="256"/>
        <v>神器7-1 : 12级</v>
      </c>
      <c r="HF630" s="14" t="s">
        <v>800</v>
      </c>
      <c r="HG630" s="14">
        <f t="shared" si="257"/>
        <v>12</v>
      </c>
      <c r="HH630" s="14" t="str">
        <f t="shared" si="258"/>
        <v>神器7-1</v>
      </c>
      <c r="HI630" s="14">
        <f t="shared" si="259"/>
        <v>6</v>
      </c>
      <c r="HJ630" s="14" t="s">
        <v>1595</v>
      </c>
      <c r="HK630" s="14">
        <f t="shared" si="260"/>
        <v>22550</v>
      </c>
    </row>
    <row r="631" spans="207:219" ht="16.5" x14ac:dyDescent="0.2">
      <c r="GY631" s="91">
        <v>625</v>
      </c>
      <c r="GZ631" s="14">
        <f t="shared" si="251"/>
        <v>35</v>
      </c>
      <c r="HA631" s="14">
        <f t="shared" si="252"/>
        <v>7</v>
      </c>
      <c r="HB631" s="14">
        <f t="shared" si="253"/>
        <v>2</v>
      </c>
      <c r="HC631" s="14">
        <f t="shared" si="254"/>
        <v>0.55300000000000005</v>
      </c>
      <c r="HD631" s="14">
        <f t="shared" si="255"/>
        <v>1606037</v>
      </c>
      <c r="HE631" s="14" t="str">
        <f t="shared" si="256"/>
        <v>神器7-1 : 13级</v>
      </c>
      <c r="HF631" s="14" t="s">
        <v>800</v>
      </c>
      <c r="HG631" s="14">
        <f t="shared" si="257"/>
        <v>13</v>
      </c>
      <c r="HH631" s="14" t="str">
        <f t="shared" si="258"/>
        <v>神器7-1</v>
      </c>
      <c r="HI631" s="14">
        <f t="shared" si="259"/>
        <v>7</v>
      </c>
      <c r="HJ631" s="14" t="s">
        <v>1595</v>
      </c>
      <c r="HK631" s="14">
        <f t="shared" si="260"/>
        <v>23000</v>
      </c>
    </row>
    <row r="632" spans="207:219" ht="16.5" x14ac:dyDescent="0.2">
      <c r="GY632" s="91">
        <v>626</v>
      </c>
      <c r="GZ632" s="14">
        <f t="shared" si="251"/>
        <v>35</v>
      </c>
      <c r="HA632" s="14">
        <f t="shared" si="252"/>
        <v>7</v>
      </c>
      <c r="HB632" s="14">
        <f t="shared" si="253"/>
        <v>2</v>
      </c>
      <c r="HC632" s="14">
        <f t="shared" si="254"/>
        <v>0.56399999999999995</v>
      </c>
      <c r="HD632" s="14">
        <f t="shared" si="255"/>
        <v>1606037</v>
      </c>
      <c r="HE632" s="14" t="str">
        <f t="shared" si="256"/>
        <v>神器7-1 : 14级</v>
      </c>
      <c r="HF632" s="14" t="s">
        <v>800</v>
      </c>
      <c r="HG632" s="14">
        <f t="shared" si="257"/>
        <v>14</v>
      </c>
      <c r="HH632" s="14" t="str">
        <f t="shared" si="258"/>
        <v>神器7-1</v>
      </c>
      <c r="HI632" s="14">
        <f t="shared" si="259"/>
        <v>7</v>
      </c>
      <c r="HJ632" s="14" t="s">
        <v>1595</v>
      </c>
      <c r="HK632" s="14">
        <f t="shared" si="260"/>
        <v>23450</v>
      </c>
    </row>
    <row r="633" spans="207:219" ht="16.5" x14ac:dyDescent="0.2">
      <c r="GY633" s="91">
        <v>627</v>
      </c>
      <c r="GZ633" s="14">
        <f t="shared" si="251"/>
        <v>35</v>
      </c>
      <c r="HA633" s="14">
        <f t="shared" si="252"/>
        <v>7</v>
      </c>
      <c r="HB633" s="14">
        <f t="shared" si="253"/>
        <v>2</v>
      </c>
      <c r="HC633" s="14">
        <f t="shared" si="254"/>
        <v>0.57399999999999995</v>
      </c>
      <c r="HD633" s="14">
        <f t="shared" si="255"/>
        <v>1606037</v>
      </c>
      <c r="HE633" s="14" t="str">
        <f t="shared" si="256"/>
        <v>神器7-1 : 15级</v>
      </c>
      <c r="HF633" s="14" t="s">
        <v>800</v>
      </c>
      <c r="HG633" s="14">
        <f t="shared" si="257"/>
        <v>15</v>
      </c>
      <c r="HH633" s="14" t="str">
        <f t="shared" si="258"/>
        <v>神器7-1</v>
      </c>
      <c r="HI633" s="14">
        <f t="shared" si="259"/>
        <v>7</v>
      </c>
      <c r="HJ633" s="14" t="s">
        <v>1595</v>
      </c>
      <c r="HK633" s="14">
        <f t="shared" si="260"/>
        <v>23850</v>
      </c>
    </row>
    <row r="634" spans="207:219" ht="16.5" x14ac:dyDescent="0.2">
      <c r="GY634" s="91">
        <v>628</v>
      </c>
      <c r="GZ634" s="14">
        <f t="shared" si="251"/>
        <v>35</v>
      </c>
      <c r="HA634" s="14">
        <f t="shared" si="252"/>
        <v>7</v>
      </c>
      <c r="HB634" s="14">
        <f t="shared" si="253"/>
        <v>2</v>
      </c>
      <c r="HC634" s="14">
        <f t="shared" si="254"/>
        <v>0.58499999999999996</v>
      </c>
      <c r="HD634" s="14">
        <f t="shared" si="255"/>
        <v>1606037</v>
      </c>
      <c r="HE634" s="14" t="str">
        <f t="shared" si="256"/>
        <v>神器7-1 : 16级</v>
      </c>
      <c r="HF634" s="14" t="s">
        <v>800</v>
      </c>
      <c r="HG634" s="14">
        <f t="shared" si="257"/>
        <v>16</v>
      </c>
      <c r="HH634" s="14" t="str">
        <f t="shared" si="258"/>
        <v>神器7-1</v>
      </c>
      <c r="HI634" s="14">
        <f t="shared" si="259"/>
        <v>10</v>
      </c>
      <c r="HJ634" s="14" t="s">
        <v>1595</v>
      </c>
      <c r="HK634" s="14">
        <f t="shared" si="260"/>
        <v>24300</v>
      </c>
    </row>
    <row r="635" spans="207:219" ht="16.5" x14ac:dyDescent="0.2">
      <c r="GY635" s="91">
        <v>629</v>
      </c>
      <c r="GZ635" s="14">
        <f t="shared" si="251"/>
        <v>35</v>
      </c>
      <c r="HA635" s="14">
        <f t="shared" si="252"/>
        <v>7</v>
      </c>
      <c r="HB635" s="14">
        <f t="shared" si="253"/>
        <v>2</v>
      </c>
      <c r="HC635" s="14">
        <f t="shared" si="254"/>
        <v>0.59499999999999997</v>
      </c>
      <c r="HD635" s="14">
        <f t="shared" si="255"/>
        <v>1606037</v>
      </c>
      <c r="HE635" s="14" t="str">
        <f t="shared" si="256"/>
        <v>神器7-1 : 17级</v>
      </c>
      <c r="HF635" s="14" t="s">
        <v>800</v>
      </c>
      <c r="HG635" s="14">
        <f t="shared" si="257"/>
        <v>17</v>
      </c>
      <c r="HH635" s="14" t="str">
        <f t="shared" si="258"/>
        <v>神器7-1</v>
      </c>
      <c r="HI635" s="14">
        <f t="shared" si="259"/>
        <v>10</v>
      </c>
      <c r="HJ635" s="14" t="s">
        <v>1595</v>
      </c>
      <c r="HK635" s="14">
        <f t="shared" si="260"/>
        <v>24750</v>
      </c>
    </row>
    <row r="636" spans="207:219" ht="16.5" x14ac:dyDescent="0.2">
      <c r="GY636" s="91">
        <v>630</v>
      </c>
      <c r="GZ636" s="14">
        <f t="shared" si="251"/>
        <v>35</v>
      </c>
      <c r="HA636" s="14">
        <f t="shared" si="252"/>
        <v>7</v>
      </c>
      <c r="HB636" s="14">
        <f t="shared" si="253"/>
        <v>2</v>
      </c>
      <c r="HC636" s="14">
        <f t="shared" si="254"/>
        <v>0.60499999999999998</v>
      </c>
      <c r="HD636" s="14">
        <f t="shared" si="255"/>
        <v>1606037</v>
      </c>
      <c r="HE636" s="14" t="str">
        <f t="shared" si="256"/>
        <v>神器7-1 : 18级</v>
      </c>
      <c r="HF636" s="14" t="s">
        <v>800</v>
      </c>
      <c r="HG636" s="14">
        <f t="shared" si="257"/>
        <v>18</v>
      </c>
      <c r="HH636" s="14" t="str">
        <f t="shared" si="258"/>
        <v>神器7-1</v>
      </c>
      <c r="HI636" s="14">
        <f t="shared" si="259"/>
        <v>10</v>
      </c>
      <c r="HJ636" s="14" t="s">
        <v>1595</v>
      </c>
      <c r="HK636" s="14">
        <f t="shared" si="260"/>
        <v>25150</v>
      </c>
    </row>
    <row r="637" spans="207:219" ht="16.5" x14ac:dyDescent="0.2">
      <c r="GY637" s="91">
        <v>631</v>
      </c>
      <c r="GZ637" s="14">
        <f t="shared" si="251"/>
        <v>35</v>
      </c>
      <c r="HA637" s="14">
        <f t="shared" si="252"/>
        <v>7</v>
      </c>
      <c r="HB637" s="14">
        <f t="shared" si="253"/>
        <v>2</v>
      </c>
      <c r="HC637" s="14">
        <f t="shared" si="254"/>
        <v>0.61499999999999999</v>
      </c>
      <c r="HD637" s="14">
        <f t="shared" si="255"/>
        <v>1606037</v>
      </c>
      <c r="HE637" s="14" t="str">
        <f t="shared" si="256"/>
        <v>神器7-1 : 19级</v>
      </c>
      <c r="HF637" s="14" t="s">
        <v>800</v>
      </c>
      <c r="HG637" s="14">
        <f t="shared" si="257"/>
        <v>19</v>
      </c>
      <c r="HH637" s="14" t="str">
        <f t="shared" si="258"/>
        <v>神器7-1</v>
      </c>
      <c r="HI637" s="14">
        <f t="shared" si="259"/>
        <v>15</v>
      </c>
      <c r="HJ637" s="14" t="s">
        <v>1595</v>
      </c>
      <c r="HK637" s="14">
        <f t="shared" si="260"/>
        <v>25550</v>
      </c>
    </row>
    <row r="638" spans="207:219" ht="16.5" x14ac:dyDescent="0.2">
      <c r="GY638" s="91">
        <v>632</v>
      </c>
      <c r="GZ638" s="14">
        <f t="shared" si="251"/>
        <v>35</v>
      </c>
      <c r="HA638" s="14">
        <f t="shared" si="252"/>
        <v>7</v>
      </c>
      <c r="HB638" s="14">
        <f t="shared" si="253"/>
        <v>2</v>
      </c>
      <c r="HC638" s="14">
        <f t="shared" si="254"/>
        <v>0.624</v>
      </c>
      <c r="HD638" s="14">
        <f t="shared" si="255"/>
        <v>1606037</v>
      </c>
      <c r="HE638" s="14" t="str">
        <f t="shared" si="256"/>
        <v>神器7-1 : 20级</v>
      </c>
      <c r="HF638" s="14" t="s">
        <v>800</v>
      </c>
      <c r="HG638" s="14">
        <f t="shared" si="257"/>
        <v>20</v>
      </c>
      <c r="HH638" s="14" t="str">
        <f t="shared" si="258"/>
        <v>神器7-1</v>
      </c>
      <c r="HI638" s="14">
        <f t="shared" si="259"/>
        <v>15</v>
      </c>
      <c r="HJ638" s="14" t="s">
        <v>1595</v>
      </c>
      <c r="HK638" s="14">
        <f t="shared" si="260"/>
        <v>25950</v>
      </c>
    </row>
    <row r="639" spans="207:219" ht="16.5" x14ac:dyDescent="0.2">
      <c r="GY639" s="91">
        <v>633</v>
      </c>
      <c r="GZ639" s="14">
        <f t="shared" si="251"/>
        <v>35</v>
      </c>
      <c r="HA639" s="14">
        <f t="shared" si="252"/>
        <v>7</v>
      </c>
      <c r="HB639" s="14">
        <f t="shared" si="253"/>
        <v>2</v>
      </c>
      <c r="HC639" s="14">
        <f t="shared" si="254"/>
        <v>0.63400000000000001</v>
      </c>
      <c r="HD639" s="14">
        <f t="shared" si="255"/>
        <v>1606037</v>
      </c>
      <c r="HE639" s="14" t="str">
        <f t="shared" si="256"/>
        <v>神器7-1 : 21级</v>
      </c>
      <c r="HF639" s="14" t="s">
        <v>800</v>
      </c>
      <c r="HG639" s="14">
        <f t="shared" si="257"/>
        <v>21</v>
      </c>
      <c r="HH639" s="14" t="str">
        <f t="shared" si="258"/>
        <v>神器7-1</v>
      </c>
      <c r="HI639" s="14">
        <f t="shared" si="259"/>
        <v>15</v>
      </c>
      <c r="HJ639" s="14" t="s">
        <v>1595</v>
      </c>
      <c r="HK639" s="14">
        <f t="shared" si="260"/>
        <v>26350</v>
      </c>
    </row>
    <row r="640" spans="207:219" ht="16.5" x14ac:dyDescent="0.2">
      <c r="GY640" s="91">
        <v>634</v>
      </c>
      <c r="GZ640" s="14">
        <f t="shared" si="251"/>
        <v>36</v>
      </c>
      <c r="HA640" s="14">
        <f t="shared" si="252"/>
        <v>7</v>
      </c>
      <c r="HB640" s="14">
        <f t="shared" si="253"/>
        <v>2</v>
      </c>
      <c r="HC640" s="14">
        <f t="shared" si="254"/>
        <v>0.40200000000000002</v>
      </c>
      <c r="HD640" s="14">
        <f t="shared" si="255"/>
        <v>1606038</v>
      </c>
      <c r="HE640" s="14" t="str">
        <f t="shared" si="256"/>
        <v>神器7-2 : 1级</v>
      </c>
      <c r="HF640" s="14" t="s">
        <v>800</v>
      </c>
      <c r="HG640" s="14">
        <f t="shared" si="257"/>
        <v>1</v>
      </c>
      <c r="HH640" s="14" t="str">
        <f t="shared" si="258"/>
        <v>神器7-2</v>
      </c>
      <c r="HI640" s="14">
        <f t="shared" si="259"/>
        <v>1</v>
      </c>
      <c r="HJ640" s="14" t="s">
        <v>1595</v>
      </c>
      <c r="HK640" s="14">
        <f t="shared" si="260"/>
        <v>16700</v>
      </c>
    </row>
    <row r="641" spans="207:219" ht="16.5" x14ac:dyDescent="0.2">
      <c r="GY641" s="91">
        <v>635</v>
      </c>
      <c r="GZ641" s="14">
        <f t="shared" si="251"/>
        <v>36</v>
      </c>
      <c r="HA641" s="14">
        <f t="shared" si="252"/>
        <v>7</v>
      </c>
      <c r="HB641" s="14">
        <f t="shared" si="253"/>
        <v>2</v>
      </c>
      <c r="HC641" s="14">
        <f t="shared" si="254"/>
        <v>0.41699999999999998</v>
      </c>
      <c r="HD641" s="14">
        <f t="shared" si="255"/>
        <v>1606038</v>
      </c>
      <c r="HE641" s="14" t="str">
        <f t="shared" si="256"/>
        <v>神器7-2 : 2级</v>
      </c>
      <c r="HF641" s="14" t="s">
        <v>800</v>
      </c>
      <c r="HG641" s="14">
        <f t="shared" si="257"/>
        <v>2</v>
      </c>
      <c r="HH641" s="14" t="str">
        <f t="shared" si="258"/>
        <v>神器7-2</v>
      </c>
      <c r="HI641" s="14">
        <f t="shared" si="259"/>
        <v>1</v>
      </c>
      <c r="HJ641" s="14" t="s">
        <v>1595</v>
      </c>
      <c r="HK641" s="14">
        <f t="shared" si="260"/>
        <v>17350</v>
      </c>
    </row>
    <row r="642" spans="207:219" ht="16.5" x14ac:dyDescent="0.2">
      <c r="GY642" s="91">
        <v>636</v>
      </c>
      <c r="GZ642" s="14">
        <f t="shared" si="251"/>
        <v>36</v>
      </c>
      <c r="HA642" s="14">
        <f t="shared" si="252"/>
        <v>7</v>
      </c>
      <c r="HB642" s="14">
        <f t="shared" si="253"/>
        <v>2</v>
      </c>
      <c r="HC642" s="14">
        <f t="shared" si="254"/>
        <v>0.43099999999999999</v>
      </c>
      <c r="HD642" s="14">
        <f t="shared" si="255"/>
        <v>1606038</v>
      </c>
      <c r="HE642" s="14" t="str">
        <f t="shared" si="256"/>
        <v>神器7-2 : 3级</v>
      </c>
      <c r="HF642" s="14" t="s">
        <v>800</v>
      </c>
      <c r="HG642" s="14">
        <f t="shared" si="257"/>
        <v>3</v>
      </c>
      <c r="HH642" s="14" t="str">
        <f t="shared" si="258"/>
        <v>神器7-2</v>
      </c>
      <c r="HI642" s="14">
        <f t="shared" si="259"/>
        <v>1</v>
      </c>
      <c r="HJ642" s="14" t="s">
        <v>1595</v>
      </c>
      <c r="HK642" s="14">
        <f t="shared" si="260"/>
        <v>17900</v>
      </c>
    </row>
    <row r="643" spans="207:219" ht="16.5" x14ac:dyDescent="0.2">
      <c r="GY643" s="91">
        <v>637</v>
      </c>
      <c r="GZ643" s="14">
        <f t="shared" si="251"/>
        <v>36</v>
      </c>
      <c r="HA643" s="14">
        <f t="shared" si="252"/>
        <v>7</v>
      </c>
      <c r="HB643" s="14">
        <f t="shared" si="253"/>
        <v>2</v>
      </c>
      <c r="HC643" s="14">
        <f t="shared" si="254"/>
        <v>0.44500000000000001</v>
      </c>
      <c r="HD643" s="14">
        <f t="shared" si="255"/>
        <v>1606038</v>
      </c>
      <c r="HE643" s="14" t="str">
        <f t="shared" si="256"/>
        <v>神器7-2 : 4级</v>
      </c>
      <c r="HF643" s="14" t="s">
        <v>800</v>
      </c>
      <c r="HG643" s="14">
        <f t="shared" si="257"/>
        <v>4</v>
      </c>
      <c r="HH643" s="14" t="str">
        <f t="shared" si="258"/>
        <v>神器7-2</v>
      </c>
      <c r="HI643" s="14">
        <f t="shared" si="259"/>
        <v>2</v>
      </c>
      <c r="HJ643" s="14" t="s">
        <v>1595</v>
      </c>
      <c r="HK643" s="14">
        <f t="shared" si="260"/>
        <v>18500</v>
      </c>
    </row>
    <row r="644" spans="207:219" ht="16.5" x14ac:dyDescent="0.2">
      <c r="GY644" s="91">
        <v>638</v>
      </c>
      <c r="GZ644" s="14">
        <f t="shared" si="251"/>
        <v>36</v>
      </c>
      <c r="HA644" s="14">
        <f t="shared" si="252"/>
        <v>7</v>
      </c>
      <c r="HB644" s="14">
        <f t="shared" si="253"/>
        <v>2</v>
      </c>
      <c r="HC644" s="14">
        <f t="shared" si="254"/>
        <v>0.45800000000000002</v>
      </c>
      <c r="HD644" s="14">
        <f t="shared" si="255"/>
        <v>1606038</v>
      </c>
      <c r="HE644" s="14" t="str">
        <f t="shared" si="256"/>
        <v>神器7-2 : 5级</v>
      </c>
      <c r="HF644" s="14" t="s">
        <v>800</v>
      </c>
      <c r="HG644" s="14">
        <f t="shared" si="257"/>
        <v>5</v>
      </c>
      <c r="HH644" s="14" t="str">
        <f t="shared" si="258"/>
        <v>神器7-2</v>
      </c>
      <c r="HI644" s="14">
        <f t="shared" si="259"/>
        <v>2</v>
      </c>
      <c r="HJ644" s="14" t="s">
        <v>1595</v>
      </c>
      <c r="HK644" s="14">
        <f t="shared" si="260"/>
        <v>19050</v>
      </c>
    </row>
    <row r="645" spans="207:219" ht="16.5" x14ac:dyDescent="0.2">
      <c r="GY645" s="91">
        <v>639</v>
      </c>
      <c r="GZ645" s="14">
        <f t="shared" si="251"/>
        <v>36</v>
      </c>
      <c r="HA645" s="14">
        <f t="shared" si="252"/>
        <v>7</v>
      </c>
      <c r="HB645" s="14">
        <f t="shared" si="253"/>
        <v>2</v>
      </c>
      <c r="HC645" s="14">
        <f t="shared" si="254"/>
        <v>0.47099999999999997</v>
      </c>
      <c r="HD645" s="14">
        <f t="shared" si="255"/>
        <v>1606038</v>
      </c>
      <c r="HE645" s="14" t="str">
        <f t="shared" si="256"/>
        <v>神器7-2 : 6级</v>
      </c>
      <c r="HF645" s="14" t="s">
        <v>800</v>
      </c>
      <c r="HG645" s="14">
        <f t="shared" si="257"/>
        <v>6</v>
      </c>
      <c r="HH645" s="14" t="str">
        <f t="shared" si="258"/>
        <v>神器7-2</v>
      </c>
      <c r="HI645" s="14">
        <f t="shared" si="259"/>
        <v>2</v>
      </c>
      <c r="HJ645" s="14" t="s">
        <v>1595</v>
      </c>
      <c r="HK645" s="14">
        <f t="shared" si="260"/>
        <v>19600</v>
      </c>
    </row>
    <row r="646" spans="207:219" ht="16.5" x14ac:dyDescent="0.2">
      <c r="GY646" s="91">
        <v>640</v>
      </c>
      <c r="GZ646" s="14">
        <f t="shared" si="251"/>
        <v>36</v>
      </c>
      <c r="HA646" s="14">
        <f t="shared" si="252"/>
        <v>7</v>
      </c>
      <c r="HB646" s="14">
        <f t="shared" si="253"/>
        <v>2</v>
      </c>
      <c r="HC646" s="14">
        <f t="shared" si="254"/>
        <v>0.48399999999999999</v>
      </c>
      <c r="HD646" s="14">
        <f t="shared" si="255"/>
        <v>1606038</v>
      </c>
      <c r="HE646" s="14" t="str">
        <f t="shared" si="256"/>
        <v>神器7-2 : 7级</v>
      </c>
      <c r="HF646" s="14" t="s">
        <v>800</v>
      </c>
      <c r="HG646" s="14">
        <f t="shared" si="257"/>
        <v>7</v>
      </c>
      <c r="HH646" s="14" t="str">
        <f t="shared" si="258"/>
        <v>神器7-2</v>
      </c>
      <c r="HI646" s="14">
        <f t="shared" si="259"/>
        <v>3</v>
      </c>
      <c r="HJ646" s="14" t="s">
        <v>1595</v>
      </c>
      <c r="HK646" s="14">
        <f t="shared" si="260"/>
        <v>20100</v>
      </c>
    </row>
    <row r="647" spans="207:219" ht="16.5" x14ac:dyDescent="0.2">
      <c r="GY647" s="91">
        <v>641</v>
      </c>
      <c r="GZ647" s="14">
        <f t="shared" si="251"/>
        <v>36</v>
      </c>
      <c r="HA647" s="14">
        <f t="shared" si="252"/>
        <v>7</v>
      </c>
      <c r="HB647" s="14">
        <f t="shared" si="253"/>
        <v>2</v>
      </c>
      <c r="HC647" s="14">
        <f t="shared" si="254"/>
        <v>0.496</v>
      </c>
      <c r="HD647" s="14">
        <f t="shared" si="255"/>
        <v>1606038</v>
      </c>
      <c r="HE647" s="14" t="str">
        <f t="shared" si="256"/>
        <v>神器7-2 : 8级</v>
      </c>
      <c r="HF647" s="14" t="s">
        <v>800</v>
      </c>
      <c r="HG647" s="14">
        <f t="shared" si="257"/>
        <v>8</v>
      </c>
      <c r="HH647" s="14" t="str">
        <f t="shared" si="258"/>
        <v>神器7-2</v>
      </c>
      <c r="HI647" s="14">
        <f t="shared" si="259"/>
        <v>3</v>
      </c>
      <c r="HJ647" s="14" t="s">
        <v>1595</v>
      </c>
      <c r="HK647" s="14">
        <f t="shared" si="260"/>
        <v>20600</v>
      </c>
    </row>
    <row r="648" spans="207:219" ht="16.5" x14ac:dyDescent="0.2">
      <c r="GY648" s="91">
        <v>642</v>
      </c>
      <c r="GZ648" s="14">
        <f t="shared" ref="GZ648:GZ711" si="261">MATCH(GY648-1,$R$7:$R$49,1)</f>
        <v>36</v>
      </c>
      <c r="HA648" s="14">
        <f t="shared" ref="HA648:HA711" si="262">INDEX($N$8:$N$49,GZ648)</f>
        <v>7</v>
      </c>
      <c r="HB648" s="14">
        <f t="shared" ref="HB648:HB711" si="263">INDEX($P$8:$P$49,GZ648)</f>
        <v>2</v>
      </c>
      <c r="HC648" s="14">
        <f t="shared" ref="HC648:HC711" si="264">ROUND(SQRT(INDEX($BJ$7:$BJ$27,HG648)*INDEX($H$7:$H$10,HB648)),3)</f>
        <v>0.50800000000000001</v>
      </c>
      <c r="HD648" s="14">
        <f t="shared" ref="HD648:HD711" si="265">INDEX($S$8:$S$49,GZ648)</f>
        <v>1606038</v>
      </c>
      <c r="HE648" s="14" t="str">
        <f t="shared" ref="HE648:HE711" si="266">INDEX($T$8:$T$49,GZ648)&amp;" : "&amp;HG648&amp;"级"</f>
        <v>神器7-2 : 9级</v>
      </c>
      <c r="HF648" s="14" t="s">
        <v>800</v>
      </c>
      <c r="HG648" s="14">
        <f t="shared" ref="HG648:HG711" si="267">GY648-INDEX($R$7:$R$49,GZ648)</f>
        <v>9</v>
      </c>
      <c r="HH648" s="14" t="str">
        <f t="shared" ref="HH648:HH711" si="268">INDEX($T$8:$T$49,GZ648)</f>
        <v>神器7-2</v>
      </c>
      <c r="HI648" s="14">
        <f t="shared" ref="HI648:HI711" si="269">INDEX($K$8:$K$28,HG648)</f>
        <v>3</v>
      </c>
      <c r="HJ648" s="14" t="s">
        <v>1595</v>
      </c>
      <c r="HK648" s="14">
        <f t="shared" ref="HK648:HK711" si="270">ROUND(INDEX($Y$8:$Y$14,HA648)/INDEX($Z$8:$Z$14,HA648)*HC648/50,0)*50</f>
        <v>21100</v>
      </c>
    </row>
    <row r="649" spans="207:219" ht="16.5" x14ac:dyDescent="0.2">
      <c r="GY649" s="91">
        <v>643</v>
      </c>
      <c r="GZ649" s="14">
        <f t="shared" si="261"/>
        <v>36</v>
      </c>
      <c r="HA649" s="14">
        <f t="shared" si="262"/>
        <v>7</v>
      </c>
      <c r="HB649" s="14">
        <f t="shared" si="263"/>
        <v>2</v>
      </c>
      <c r="HC649" s="14">
        <f t="shared" si="264"/>
        <v>0.52</v>
      </c>
      <c r="HD649" s="14">
        <f t="shared" si="265"/>
        <v>1606038</v>
      </c>
      <c r="HE649" s="14" t="str">
        <f t="shared" si="266"/>
        <v>神器7-2 : 10级</v>
      </c>
      <c r="HF649" s="14" t="s">
        <v>800</v>
      </c>
      <c r="HG649" s="14">
        <f t="shared" si="267"/>
        <v>10</v>
      </c>
      <c r="HH649" s="14" t="str">
        <f t="shared" si="268"/>
        <v>神器7-2</v>
      </c>
      <c r="HI649" s="14">
        <f t="shared" si="269"/>
        <v>5</v>
      </c>
      <c r="HJ649" s="14" t="s">
        <v>1595</v>
      </c>
      <c r="HK649" s="14">
        <f t="shared" si="270"/>
        <v>21600</v>
      </c>
    </row>
    <row r="650" spans="207:219" ht="16.5" x14ac:dyDescent="0.2">
      <c r="GY650" s="91">
        <v>644</v>
      </c>
      <c r="GZ650" s="14">
        <f t="shared" si="261"/>
        <v>36</v>
      </c>
      <c r="HA650" s="14">
        <f t="shared" si="262"/>
        <v>7</v>
      </c>
      <c r="HB650" s="14">
        <f t="shared" si="263"/>
        <v>2</v>
      </c>
      <c r="HC650" s="14">
        <f t="shared" si="264"/>
        <v>0.53100000000000003</v>
      </c>
      <c r="HD650" s="14">
        <f t="shared" si="265"/>
        <v>1606038</v>
      </c>
      <c r="HE650" s="14" t="str">
        <f t="shared" si="266"/>
        <v>神器7-2 : 11级</v>
      </c>
      <c r="HF650" s="14" t="s">
        <v>800</v>
      </c>
      <c r="HG650" s="14">
        <f t="shared" si="267"/>
        <v>11</v>
      </c>
      <c r="HH650" s="14" t="str">
        <f t="shared" si="268"/>
        <v>神器7-2</v>
      </c>
      <c r="HI650" s="14">
        <f t="shared" si="269"/>
        <v>5</v>
      </c>
      <c r="HJ650" s="14" t="s">
        <v>1595</v>
      </c>
      <c r="HK650" s="14">
        <f t="shared" si="270"/>
        <v>22050</v>
      </c>
    </row>
    <row r="651" spans="207:219" ht="16.5" x14ac:dyDescent="0.2">
      <c r="GY651" s="91">
        <v>645</v>
      </c>
      <c r="GZ651" s="14">
        <f t="shared" si="261"/>
        <v>36</v>
      </c>
      <c r="HA651" s="14">
        <f t="shared" si="262"/>
        <v>7</v>
      </c>
      <c r="HB651" s="14">
        <f t="shared" si="263"/>
        <v>2</v>
      </c>
      <c r="HC651" s="14">
        <f t="shared" si="264"/>
        <v>0.54200000000000004</v>
      </c>
      <c r="HD651" s="14">
        <f t="shared" si="265"/>
        <v>1606038</v>
      </c>
      <c r="HE651" s="14" t="str">
        <f t="shared" si="266"/>
        <v>神器7-2 : 12级</v>
      </c>
      <c r="HF651" s="14" t="s">
        <v>800</v>
      </c>
      <c r="HG651" s="14">
        <f t="shared" si="267"/>
        <v>12</v>
      </c>
      <c r="HH651" s="14" t="str">
        <f t="shared" si="268"/>
        <v>神器7-2</v>
      </c>
      <c r="HI651" s="14">
        <f t="shared" si="269"/>
        <v>6</v>
      </c>
      <c r="HJ651" s="14" t="s">
        <v>1595</v>
      </c>
      <c r="HK651" s="14">
        <f t="shared" si="270"/>
        <v>22550</v>
      </c>
    </row>
    <row r="652" spans="207:219" ht="16.5" x14ac:dyDescent="0.2">
      <c r="GY652" s="91">
        <v>646</v>
      </c>
      <c r="GZ652" s="14">
        <f t="shared" si="261"/>
        <v>36</v>
      </c>
      <c r="HA652" s="14">
        <f t="shared" si="262"/>
        <v>7</v>
      </c>
      <c r="HB652" s="14">
        <f t="shared" si="263"/>
        <v>2</v>
      </c>
      <c r="HC652" s="14">
        <f t="shared" si="264"/>
        <v>0.55300000000000005</v>
      </c>
      <c r="HD652" s="14">
        <f t="shared" si="265"/>
        <v>1606038</v>
      </c>
      <c r="HE652" s="14" t="str">
        <f t="shared" si="266"/>
        <v>神器7-2 : 13级</v>
      </c>
      <c r="HF652" s="14" t="s">
        <v>800</v>
      </c>
      <c r="HG652" s="14">
        <f t="shared" si="267"/>
        <v>13</v>
      </c>
      <c r="HH652" s="14" t="str">
        <f t="shared" si="268"/>
        <v>神器7-2</v>
      </c>
      <c r="HI652" s="14">
        <f t="shared" si="269"/>
        <v>7</v>
      </c>
      <c r="HJ652" s="14" t="s">
        <v>1595</v>
      </c>
      <c r="HK652" s="14">
        <f t="shared" si="270"/>
        <v>23000</v>
      </c>
    </row>
    <row r="653" spans="207:219" ht="16.5" x14ac:dyDescent="0.2">
      <c r="GY653" s="91">
        <v>647</v>
      </c>
      <c r="GZ653" s="14">
        <f t="shared" si="261"/>
        <v>36</v>
      </c>
      <c r="HA653" s="14">
        <f t="shared" si="262"/>
        <v>7</v>
      </c>
      <c r="HB653" s="14">
        <f t="shared" si="263"/>
        <v>2</v>
      </c>
      <c r="HC653" s="14">
        <f t="shared" si="264"/>
        <v>0.56399999999999995</v>
      </c>
      <c r="HD653" s="14">
        <f t="shared" si="265"/>
        <v>1606038</v>
      </c>
      <c r="HE653" s="14" t="str">
        <f t="shared" si="266"/>
        <v>神器7-2 : 14级</v>
      </c>
      <c r="HF653" s="14" t="s">
        <v>800</v>
      </c>
      <c r="HG653" s="14">
        <f t="shared" si="267"/>
        <v>14</v>
      </c>
      <c r="HH653" s="14" t="str">
        <f t="shared" si="268"/>
        <v>神器7-2</v>
      </c>
      <c r="HI653" s="14">
        <f t="shared" si="269"/>
        <v>7</v>
      </c>
      <c r="HJ653" s="14" t="s">
        <v>1595</v>
      </c>
      <c r="HK653" s="14">
        <f t="shared" si="270"/>
        <v>23450</v>
      </c>
    </row>
    <row r="654" spans="207:219" ht="16.5" x14ac:dyDescent="0.2">
      <c r="GY654" s="91">
        <v>648</v>
      </c>
      <c r="GZ654" s="14">
        <f t="shared" si="261"/>
        <v>36</v>
      </c>
      <c r="HA654" s="14">
        <f t="shared" si="262"/>
        <v>7</v>
      </c>
      <c r="HB654" s="14">
        <f t="shared" si="263"/>
        <v>2</v>
      </c>
      <c r="HC654" s="14">
        <f t="shared" si="264"/>
        <v>0.57399999999999995</v>
      </c>
      <c r="HD654" s="14">
        <f t="shared" si="265"/>
        <v>1606038</v>
      </c>
      <c r="HE654" s="14" t="str">
        <f t="shared" si="266"/>
        <v>神器7-2 : 15级</v>
      </c>
      <c r="HF654" s="14" t="s">
        <v>800</v>
      </c>
      <c r="HG654" s="14">
        <f t="shared" si="267"/>
        <v>15</v>
      </c>
      <c r="HH654" s="14" t="str">
        <f t="shared" si="268"/>
        <v>神器7-2</v>
      </c>
      <c r="HI654" s="14">
        <f t="shared" si="269"/>
        <v>7</v>
      </c>
      <c r="HJ654" s="14" t="s">
        <v>1595</v>
      </c>
      <c r="HK654" s="14">
        <f t="shared" si="270"/>
        <v>23850</v>
      </c>
    </row>
    <row r="655" spans="207:219" ht="16.5" x14ac:dyDescent="0.2">
      <c r="GY655" s="91">
        <v>649</v>
      </c>
      <c r="GZ655" s="14">
        <f t="shared" si="261"/>
        <v>36</v>
      </c>
      <c r="HA655" s="14">
        <f t="shared" si="262"/>
        <v>7</v>
      </c>
      <c r="HB655" s="14">
        <f t="shared" si="263"/>
        <v>2</v>
      </c>
      <c r="HC655" s="14">
        <f t="shared" si="264"/>
        <v>0.58499999999999996</v>
      </c>
      <c r="HD655" s="14">
        <f t="shared" si="265"/>
        <v>1606038</v>
      </c>
      <c r="HE655" s="14" t="str">
        <f t="shared" si="266"/>
        <v>神器7-2 : 16级</v>
      </c>
      <c r="HF655" s="14" t="s">
        <v>800</v>
      </c>
      <c r="HG655" s="14">
        <f t="shared" si="267"/>
        <v>16</v>
      </c>
      <c r="HH655" s="14" t="str">
        <f t="shared" si="268"/>
        <v>神器7-2</v>
      </c>
      <c r="HI655" s="14">
        <f t="shared" si="269"/>
        <v>10</v>
      </c>
      <c r="HJ655" s="14" t="s">
        <v>1595</v>
      </c>
      <c r="HK655" s="14">
        <f t="shared" si="270"/>
        <v>24300</v>
      </c>
    </row>
    <row r="656" spans="207:219" ht="16.5" x14ac:dyDescent="0.2">
      <c r="GY656" s="91">
        <v>650</v>
      </c>
      <c r="GZ656" s="14">
        <f t="shared" si="261"/>
        <v>36</v>
      </c>
      <c r="HA656" s="14">
        <f t="shared" si="262"/>
        <v>7</v>
      </c>
      <c r="HB656" s="14">
        <f t="shared" si="263"/>
        <v>2</v>
      </c>
      <c r="HC656" s="14">
        <f t="shared" si="264"/>
        <v>0.59499999999999997</v>
      </c>
      <c r="HD656" s="14">
        <f t="shared" si="265"/>
        <v>1606038</v>
      </c>
      <c r="HE656" s="14" t="str">
        <f t="shared" si="266"/>
        <v>神器7-2 : 17级</v>
      </c>
      <c r="HF656" s="14" t="s">
        <v>800</v>
      </c>
      <c r="HG656" s="14">
        <f t="shared" si="267"/>
        <v>17</v>
      </c>
      <c r="HH656" s="14" t="str">
        <f t="shared" si="268"/>
        <v>神器7-2</v>
      </c>
      <c r="HI656" s="14">
        <f t="shared" si="269"/>
        <v>10</v>
      </c>
      <c r="HJ656" s="14" t="s">
        <v>1595</v>
      </c>
      <c r="HK656" s="14">
        <f t="shared" si="270"/>
        <v>24750</v>
      </c>
    </row>
    <row r="657" spans="207:219" ht="16.5" x14ac:dyDescent="0.2">
      <c r="GY657" s="91">
        <v>651</v>
      </c>
      <c r="GZ657" s="14">
        <f t="shared" si="261"/>
        <v>36</v>
      </c>
      <c r="HA657" s="14">
        <f t="shared" si="262"/>
        <v>7</v>
      </c>
      <c r="HB657" s="14">
        <f t="shared" si="263"/>
        <v>2</v>
      </c>
      <c r="HC657" s="14">
        <f t="shared" si="264"/>
        <v>0.60499999999999998</v>
      </c>
      <c r="HD657" s="14">
        <f t="shared" si="265"/>
        <v>1606038</v>
      </c>
      <c r="HE657" s="14" t="str">
        <f t="shared" si="266"/>
        <v>神器7-2 : 18级</v>
      </c>
      <c r="HF657" s="14" t="s">
        <v>800</v>
      </c>
      <c r="HG657" s="14">
        <f t="shared" si="267"/>
        <v>18</v>
      </c>
      <c r="HH657" s="14" t="str">
        <f t="shared" si="268"/>
        <v>神器7-2</v>
      </c>
      <c r="HI657" s="14">
        <f t="shared" si="269"/>
        <v>10</v>
      </c>
      <c r="HJ657" s="14" t="s">
        <v>1595</v>
      </c>
      <c r="HK657" s="14">
        <f t="shared" si="270"/>
        <v>25150</v>
      </c>
    </row>
    <row r="658" spans="207:219" ht="16.5" x14ac:dyDescent="0.2">
      <c r="GY658" s="91">
        <v>652</v>
      </c>
      <c r="GZ658" s="14">
        <f t="shared" si="261"/>
        <v>36</v>
      </c>
      <c r="HA658" s="14">
        <f t="shared" si="262"/>
        <v>7</v>
      </c>
      <c r="HB658" s="14">
        <f t="shared" si="263"/>
        <v>2</v>
      </c>
      <c r="HC658" s="14">
        <f t="shared" si="264"/>
        <v>0.61499999999999999</v>
      </c>
      <c r="HD658" s="14">
        <f t="shared" si="265"/>
        <v>1606038</v>
      </c>
      <c r="HE658" s="14" t="str">
        <f t="shared" si="266"/>
        <v>神器7-2 : 19级</v>
      </c>
      <c r="HF658" s="14" t="s">
        <v>800</v>
      </c>
      <c r="HG658" s="14">
        <f t="shared" si="267"/>
        <v>19</v>
      </c>
      <c r="HH658" s="14" t="str">
        <f t="shared" si="268"/>
        <v>神器7-2</v>
      </c>
      <c r="HI658" s="14">
        <f t="shared" si="269"/>
        <v>15</v>
      </c>
      <c r="HJ658" s="14" t="s">
        <v>1595</v>
      </c>
      <c r="HK658" s="14">
        <f t="shared" si="270"/>
        <v>25550</v>
      </c>
    </row>
    <row r="659" spans="207:219" ht="16.5" x14ac:dyDescent="0.2">
      <c r="GY659" s="91">
        <v>653</v>
      </c>
      <c r="GZ659" s="14">
        <f t="shared" si="261"/>
        <v>36</v>
      </c>
      <c r="HA659" s="14">
        <f t="shared" si="262"/>
        <v>7</v>
      </c>
      <c r="HB659" s="14">
        <f t="shared" si="263"/>
        <v>2</v>
      </c>
      <c r="HC659" s="14">
        <f t="shared" si="264"/>
        <v>0.624</v>
      </c>
      <c r="HD659" s="14">
        <f t="shared" si="265"/>
        <v>1606038</v>
      </c>
      <c r="HE659" s="14" t="str">
        <f t="shared" si="266"/>
        <v>神器7-2 : 20级</v>
      </c>
      <c r="HF659" s="14" t="s">
        <v>800</v>
      </c>
      <c r="HG659" s="14">
        <f t="shared" si="267"/>
        <v>20</v>
      </c>
      <c r="HH659" s="14" t="str">
        <f t="shared" si="268"/>
        <v>神器7-2</v>
      </c>
      <c r="HI659" s="14">
        <f t="shared" si="269"/>
        <v>15</v>
      </c>
      <c r="HJ659" s="14" t="s">
        <v>1595</v>
      </c>
      <c r="HK659" s="14">
        <f t="shared" si="270"/>
        <v>25950</v>
      </c>
    </row>
    <row r="660" spans="207:219" ht="16.5" x14ac:dyDescent="0.2">
      <c r="GY660" s="91">
        <v>654</v>
      </c>
      <c r="GZ660" s="14">
        <f t="shared" si="261"/>
        <v>36</v>
      </c>
      <c r="HA660" s="14">
        <f t="shared" si="262"/>
        <v>7</v>
      </c>
      <c r="HB660" s="14">
        <f t="shared" si="263"/>
        <v>2</v>
      </c>
      <c r="HC660" s="14">
        <f t="shared" si="264"/>
        <v>0.63400000000000001</v>
      </c>
      <c r="HD660" s="14">
        <f t="shared" si="265"/>
        <v>1606038</v>
      </c>
      <c r="HE660" s="14" t="str">
        <f t="shared" si="266"/>
        <v>神器7-2 : 21级</v>
      </c>
      <c r="HF660" s="14" t="s">
        <v>800</v>
      </c>
      <c r="HG660" s="14">
        <f t="shared" si="267"/>
        <v>21</v>
      </c>
      <c r="HH660" s="14" t="str">
        <f t="shared" si="268"/>
        <v>神器7-2</v>
      </c>
      <c r="HI660" s="14">
        <f t="shared" si="269"/>
        <v>15</v>
      </c>
      <c r="HJ660" s="14" t="s">
        <v>1595</v>
      </c>
      <c r="HK660" s="14">
        <f t="shared" si="270"/>
        <v>26350</v>
      </c>
    </row>
    <row r="661" spans="207:219" ht="16.5" x14ac:dyDescent="0.2">
      <c r="GY661" s="91">
        <v>655</v>
      </c>
      <c r="GZ661" s="14">
        <f t="shared" si="261"/>
        <v>37</v>
      </c>
      <c r="HA661" s="14">
        <f t="shared" si="262"/>
        <v>7</v>
      </c>
      <c r="HB661" s="14">
        <f t="shared" si="263"/>
        <v>2</v>
      </c>
      <c r="HC661" s="14">
        <f t="shared" si="264"/>
        <v>0.40200000000000002</v>
      </c>
      <c r="HD661" s="14">
        <f t="shared" si="265"/>
        <v>1606039</v>
      </c>
      <c r="HE661" s="14" t="str">
        <f t="shared" si="266"/>
        <v>神器7-3 : 1级</v>
      </c>
      <c r="HF661" s="14" t="s">
        <v>800</v>
      </c>
      <c r="HG661" s="14">
        <f t="shared" si="267"/>
        <v>1</v>
      </c>
      <c r="HH661" s="14" t="str">
        <f t="shared" si="268"/>
        <v>神器7-3</v>
      </c>
      <c r="HI661" s="14">
        <f t="shared" si="269"/>
        <v>1</v>
      </c>
      <c r="HJ661" s="14" t="s">
        <v>1595</v>
      </c>
      <c r="HK661" s="14">
        <f t="shared" si="270"/>
        <v>16700</v>
      </c>
    </row>
    <row r="662" spans="207:219" ht="16.5" x14ac:dyDescent="0.2">
      <c r="GY662" s="91">
        <v>656</v>
      </c>
      <c r="GZ662" s="14">
        <f t="shared" si="261"/>
        <v>37</v>
      </c>
      <c r="HA662" s="14">
        <f t="shared" si="262"/>
        <v>7</v>
      </c>
      <c r="HB662" s="14">
        <f t="shared" si="263"/>
        <v>2</v>
      </c>
      <c r="HC662" s="14">
        <f t="shared" si="264"/>
        <v>0.41699999999999998</v>
      </c>
      <c r="HD662" s="14">
        <f t="shared" si="265"/>
        <v>1606039</v>
      </c>
      <c r="HE662" s="14" t="str">
        <f t="shared" si="266"/>
        <v>神器7-3 : 2级</v>
      </c>
      <c r="HF662" s="14" t="s">
        <v>800</v>
      </c>
      <c r="HG662" s="14">
        <f t="shared" si="267"/>
        <v>2</v>
      </c>
      <c r="HH662" s="14" t="str">
        <f t="shared" si="268"/>
        <v>神器7-3</v>
      </c>
      <c r="HI662" s="14">
        <f t="shared" si="269"/>
        <v>1</v>
      </c>
      <c r="HJ662" s="14" t="s">
        <v>1595</v>
      </c>
      <c r="HK662" s="14">
        <f t="shared" si="270"/>
        <v>17350</v>
      </c>
    </row>
    <row r="663" spans="207:219" ht="16.5" x14ac:dyDescent="0.2">
      <c r="GY663" s="91">
        <v>657</v>
      </c>
      <c r="GZ663" s="14">
        <f t="shared" si="261"/>
        <v>37</v>
      </c>
      <c r="HA663" s="14">
        <f t="shared" si="262"/>
        <v>7</v>
      </c>
      <c r="HB663" s="14">
        <f t="shared" si="263"/>
        <v>2</v>
      </c>
      <c r="HC663" s="14">
        <f t="shared" si="264"/>
        <v>0.43099999999999999</v>
      </c>
      <c r="HD663" s="14">
        <f t="shared" si="265"/>
        <v>1606039</v>
      </c>
      <c r="HE663" s="14" t="str">
        <f t="shared" si="266"/>
        <v>神器7-3 : 3级</v>
      </c>
      <c r="HF663" s="14" t="s">
        <v>800</v>
      </c>
      <c r="HG663" s="14">
        <f t="shared" si="267"/>
        <v>3</v>
      </c>
      <c r="HH663" s="14" t="str">
        <f t="shared" si="268"/>
        <v>神器7-3</v>
      </c>
      <c r="HI663" s="14">
        <f t="shared" si="269"/>
        <v>1</v>
      </c>
      <c r="HJ663" s="14" t="s">
        <v>1595</v>
      </c>
      <c r="HK663" s="14">
        <f t="shared" si="270"/>
        <v>17900</v>
      </c>
    </row>
    <row r="664" spans="207:219" ht="16.5" x14ac:dyDescent="0.2">
      <c r="GY664" s="91">
        <v>658</v>
      </c>
      <c r="GZ664" s="14">
        <f t="shared" si="261"/>
        <v>37</v>
      </c>
      <c r="HA664" s="14">
        <f t="shared" si="262"/>
        <v>7</v>
      </c>
      <c r="HB664" s="14">
        <f t="shared" si="263"/>
        <v>2</v>
      </c>
      <c r="HC664" s="14">
        <f t="shared" si="264"/>
        <v>0.44500000000000001</v>
      </c>
      <c r="HD664" s="14">
        <f t="shared" si="265"/>
        <v>1606039</v>
      </c>
      <c r="HE664" s="14" t="str">
        <f t="shared" si="266"/>
        <v>神器7-3 : 4级</v>
      </c>
      <c r="HF664" s="14" t="s">
        <v>800</v>
      </c>
      <c r="HG664" s="14">
        <f t="shared" si="267"/>
        <v>4</v>
      </c>
      <c r="HH664" s="14" t="str">
        <f t="shared" si="268"/>
        <v>神器7-3</v>
      </c>
      <c r="HI664" s="14">
        <f t="shared" si="269"/>
        <v>2</v>
      </c>
      <c r="HJ664" s="14" t="s">
        <v>1595</v>
      </c>
      <c r="HK664" s="14">
        <f t="shared" si="270"/>
        <v>18500</v>
      </c>
    </row>
    <row r="665" spans="207:219" ht="16.5" x14ac:dyDescent="0.2">
      <c r="GY665" s="91">
        <v>659</v>
      </c>
      <c r="GZ665" s="14">
        <f t="shared" si="261"/>
        <v>37</v>
      </c>
      <c r="HA665" s="14">
        <f t="shared" si="262"/>
        <v>7</v>
      </c>
      <c r="HB665" s="14">
        <f t="shared" si="263"/>
        <v>2</v>
      </c>
      <c r="HC665" s="14">
        <f t="shared" si="264"/>
        <v>0.45800000000000002</v>
      </c>
      <c r="HD665" s="14">
        <f t="shared" si="265"/>
        <v>1606039</v>
      </c>
      <c r="HE665" s="14" t="str">
        <f t="shared" si="266"/>
        <v>神器7-3 : 5级</v>
      </c>
      <c r="HF665" s="14" t="s">
        <v>800</v>
      </c>
      <c r="HG665" s="14">
        <f t="shared" si="267"/>
        <v>5</v>
      </c>
      <c r="HH665" s="14" t="str">
        <f t="shared" si="268"/>
        <v>神器7-3</v>
      </c>
      <c r="HI665" s="14">
        <f t="shared" si="269"/>
        <v>2</v>
      </c>
      <c r="HJ665" s="14" t="s">
        <v>1595</v>
      </c>
      <c r="HK665" s="14">
        <f t="shared" si="270"/>
        <v>19050</v>
      </c>
    </row>
    <row r="666" spans="207:219" ht="16.5" x14ac:dyDescent="0.2">
      <c r="GY666" s="91">
        <v>660</v>
      </c>
      <c r="GZ666" s="14">
        <f t="shared" si="261"/>
        <v>37</v>
      </c>
      <c r="HA666" s="14">
        <f t="shared" si="262"/>
        <v>7</v>
      </c>
      <c r="HB666" s="14">
        <f t="shared" si="263"/>
        <v>2</v>
      </c>
      <c r="HC666" s="14">
        <f t="shared" si="264"/>
        <v>0.47099999999999997</v>
      </c>
      <c r="HD666" s="14">
        <f t="shared" si="265"/>
        <v>1606039</v>
      </c>
      <c r="HE666" s="14" t="str">
        <f t="shared" si="266"/>
        <v>神器7-3 : 6级</v>
      </c>
      <c r="HF666" s="14" t="s">
        <v>800</v>
      </c>
      <c r="HG666" s="14">
        <f t="shared" si="267"/>
        <v>6</v>
      </c>
      <c r="HH666" s="14" t="str">
        <f t="shared" si="268"/>
        <v>神器7-3</v>
      </c>
      <c r="HI666" s="14">
        <f t="shared" si="269"/>
        <v>2</v>
      </c>
      <c r="HJ666" s="14" t="s">
        <v>1595</v>
      </c>
      <c r="HK666" s="14">
        <f t="shared" si="270"/>
        <v>19600</v>
      </c>
    </row>
    <row r="667" spans="207:219" ht="16.5" x14ac:dyDescent="0.2">
      <c r="GY667" s="91">
        <v>661</v>
      </c>
      <c r="GZ667" s="14">
        <f t="shared" si="261"/>
        <v>37</v>
      </c>
      <c r="HA667" s="14">
        <f t="shared" si="262"/>
        <v>7</v>
      </c>
      <c r="HB667" s="14">
        <f t="shared" si="263"/>
        <v>2</v>
      </c>
      <c r="HC667" s="14">
        <f t="shared" si="264"/>
        <v>0.48399999999999999</v>
      </c>
      <c r="HD667" s="14">
        <f t="shared" si="265"/>
        <v>1606039</v>
      </c>
      <c r="HE667" s="14" t="str">
        <f t="shared" si="266"/>
        <v>神器7-3 : 7级</v>
      </c>
      <c r="HF667" s="14" t="s">
        <v>800</v>
      </c>
      <c r="HG667" s="14">
        <f t="shared" si="267"/>
        <v>7</v>
      </c>
      <c r="HH667" s="14" t="str">
        <f t="shared" si="268"/>
        <v>神器7-3</v>
      </c>
      <c r="HI667" s="14">
        <f t="shared" si="269"/>
        <v>3</v>
      </c>
      <c r="HJ667" s="14" t="s">
        <v>1595</v>
      </c>
      <c r="HK667" s="14">
        <f t="shared" si="270"/>
        <v>20100</v>
      </c>
    </row>
    <row r="668" spans="207:219" ht="16.5" x14ac:dyDescent="0.2">
      <c r="GY668" s="91">
        <v>662</v>
      </c>
      <c r="GZ668" s="14">
        <f t="shared" si="261"/>
        <v>37</v>
      </c>
      <c r="HA668" s="14">
        <f t="shared" si="262"/>
        <v>7</v>
      </c>
      <c r="HB668" s="14">
        <f t="shared" si="263"/>
        <v>2</v>
      </c>
      <c r="HC668" s="14">
        <f t="shared" si="264"/>
        <v>0.496</v>
      </c>
      <c r="HD668" s="14">
        <f t="shared" si="265"/>
        <v>1606039</v>
      </c>
      <c r="HE668" s="14" t="str">
        <f t="shared" si="266"/>
        <v>神器7-3 : 8级</v>
      </c>
      <c r="HF668" s="14" t="s">
        <v>800</v>
      </c>
      <c r="HG668" s="14">
        <f t="shared" si="267"/>
        <v>8</v>
      </c>
      <c r="HH668" s="14" t="str">
        <f t="shared" si="268"/>
        <v>神器7-3</v>
      </c>
      <c r="HI668" s="14">
        <f t="shared" si="269"/>
        <v>3</v>
      </c>
      <c r="HJ668" s="14" t="s">
        <v>1595</v>
      </c>
      <c r="HK668" s="14">
        <f t="shared" si="270"/>
        <v>20600</v>
      </c>
    </row>
    <row r="669" spans="207:219" ht="16.5" x14ac:dyDescent="0.2">
      <c r="GY669" s="91">
        <v>663</v>
      </c>
      <c r="GZ669" s="14">
        <f t="shared" si="261"/>
        <v>37</v>
      </c>
      <c r="HA669" s="14">
        <f t="shared" si="262"/>
        <v>7</v>
      </c>
      <c r="HB669" s="14">
        <f t="shared" si="263"/>
        <v>2</v>
      </c>
      <c r="HC669" s="14">
        <f t="shared" si="264"/>
        <v>0.50800000000000001</v>
      </c>
      <c r="HD669" s="14">
        <f t="shared" si="265"/>
        <v>1606039</v>
      </c>
      <c r="HE669" s="14" t="str">
        <f t="shared" si="266"/>
        <v>神器7-3 : 9级</v>
      </c>
      <c r="HF669" s="14" t="s">
        <v>800</v>
      </c>
      <c r="HG669" s="14">
        <f t="shared" si="267"/>
        <v>9</v>
      </c>
      <c r="HH669" s="14" t="str">
        <f t="shared" si="268"/>
        <v>神器7-3</v>
      </c>
      <c r="HI669" s="14">
        <f t="shared" si="269"/>
        <v>3</v>
      </c>
      <c r="HJ669" s="14" t="s">
        <v>1595</v>
      </c>
      <c r="HK669" s="14">
        <f t="shared" si="270"/>
        <v>21100</v>
      </c>
    </row>
    <row r="670" spans="207:219" ht="16.5" x14ac:dyDescent="0.2">
      <c r="GY670" s="91">
        <v>664</v>
      </c>
      <c r="GZ670" s="14">
        <f t="shared" si="261"/>
        <v>37</v>
      </c>
      <c r="HA670" s="14">
        <f t="shared" si="262"/>
        <v>7</v>
      </c>
      <c r="HB670" s="14">
        <f t="shared" si="263"/>
        <v>2</v>
      </c>
      <c r="HC670" s="14">
        <f t="shared" si="264"/>
        <v>0.52</v>
      </c>
      <c r="HD670" s="14">
        <f t="shared" si="265"/>
        <v>1606039</v>
      </c>
      <c r="HE670" s="14" t="str">
        <f t="shared" si="266"/>
        <v>神器7-3 : 10级</v>
      </c>
      <c r="HF670" s="14" t="s">
        <v>800</v>
      </c>
      <c r="HG670" s="14">
        <f t="shared" si="267"/>
        <v>10</v>
      </c>
      <c r="HH670" s="14" t="str">
        <f t="shared" si="268"/>
        <v>神器7-3</v>
      </c>
      <c r="HI670" s="14">
        <f t="shared" si="269"/>
        <v>5</v>
      </c>
      <c r="HJ670" s="14" t="s">
        <v>1595</v>
      </c>
      <c r="HK670" s="14">
        <f t="shared" si="270"/>
        <v>21600</v>
      </c>
    </row>
    <row r="671" spans="207:219" ht="16.5" x14ac:dyDescent="0.2">
      <c r="GY671" s="91">
        <v>665</v>
      </c>
      <c r="GZ671" s="14">
        <f t="shared" si="261"/>
        <v>37</v>
      </c>
      <c r="HA671" s="14">
        <f t="shared" si="262"/>
        <v>7</v>
      </c>
      <c r="HB671" s="14">
        <f t="shared" si="263"/>
        <v>2</v>
      </c>
      <c r="HC671" s="14">
        <f t="shared" si="264"/>
        <v>0.53100000000000003</v>
      </c>
      <c r="HD671" s="14">
        <f t="shared" si="265"/>
        <v>1606039</v>
      </c>
      <c r="HE671" s="14" t="str">
        <f t="shared" si="266"/>
        <v>神器7-3 : 11级</v>
      </c>
      <c r="HF671" s="14" t="s">
        <v>800</v>
      </c>
      <c r="HG671" s="14">
        <f t="shared" si="267"/>
        <v>11</v>
      </c>
      <c r="HH671" s="14" t="str">
        <f t="shared" si="268"/>
        <v>神器7-3</v>
      </c>
      <c r="HI671" s="14">
        <f t="shared" si="269"/>
        <v>5</v>
      </c>
      <c r="HJ671" s="14" t="s">
        <v>1595</v>
      </c>
      <c r="HK671" s="14">
        <f t="shared" si="270"/>
        <v>22050</v>
      </c>
    </row>
    <row r="672" spans="207:219" ht="16.5" x14ac:dyDescent="0.2">
      <c r="GY672" s="91">
        <v>666</v>
      </c>
      <c r="GZ672" s="14">
        <f t="shared" si="261"/>
        <v>37</v>
      </c>
      <c r="HA672" s="14">
        <f t="shared" si="262"/>
        <v>7</v>
      </c>
      <c r="HB672" s="14">
        <f t="shared" si="263"/>
        <v>2</v>
      </c>
      <c r="HC672" s="14">
        <f t="shared" si="264"/>
        <v>0.54200000000000004</v>
      </c>
      <c r="HD672" s="14">
        <f t="shared" si="265"/>
        <v>1606039</v>
      </c>
      <c r="HE672" s="14" t="str">
        <f t="shared" si="266"/>
        <v>神器7-3 : 12级</v>
      </c>
      <c r="HF672" s="14" t="s">
        <v>800</v>
      </c>
      <c r="HG672" s="14">
        <f t="shared" si="267"/>
        <v>12</v>
      </c>
      <c r="HH672" s="14" t="str">
        <f t="shared" si="268"/>
        <v>神器7-3</v>
      </c>
      <c r="HI672" s="14">
        <f t="shared" si="269"/>
        <v>6</v>
      </c>
      <c r="HJ672" s="14" t="s">
        <v>1595</v>
      </c>
      <c r="HK672" s="14">
        <f t="shared" si="270"/>
        <v>22550</v>
      </c>
    </row>
    <row r="673" spans="207:219" ht="16.5" x14ac:dyDescent="0.2">
      <c r="GY673" s="91">
        <v>667</v>
      </c>
      <c r="GZ673" s="14">
        <f t="shared" si="261"/>
        <v>37</v>
      </c>
      <c r="HA673" s="14">
        <f t="shared" si="262"/>
        <v>7</v>
      </c>
      <c r="HB673" s="14">
        <f t="shared" si="263"/>
        <v>2</v>
      </c>
      <c r="HC673" s="14">
        <f t="shared" si="264"/>
        <v>0.55300000000000005</v>
      </c>
      <c r="HD673" s="14">
        <f t="shared" si="265"/>
        <v>1606039</v>
      </c>
      <c r="HE673" s="14" t="str">
        <f t="shared" si="266"/>
        <v>神器7-3 : 13级</v>
      </c>
      <c r="HF673" s="14" t="s">
        <v>800</v>
      </c>
      <c r="HG673" s="14">
        <f t="shared" si="267"/>
        <v>13</v>
      </c>
      <c r="HH673" s="14" t="str">
        <f t="shared" si="268"/>
        <v>神器7-3</v>
      </c>
      <c r="HI673" s="14">
        <f t="shared" si="269"/>
        <v>7</v>
      </c>
      <c r="HJ673" s="14" t="s">
        <v>1595</v>
      </c>
      <c r="HK673" s="14">
        <f t="shared" si="270"/>
        <v>23000</v>
      </c>
    </row>
    <row r="674" spans="207:219" ht="16.5" x14ac:dyDescent="0.2">
      <c r="GY674" s="91">
        <v>668</v>
      </c>
      <c r="GZ674" s="14">
        <f t="shared" si="261"/>
        <v>37</v>
      </c>
      <c r="HA674" s="14">
        <f t="shared" si="262"/>
        <v>7</v>
      </c>
      <c r="HB674" s="14">
        <f t="shared" si="263"/>
        <v>2</v>
      </c>
      <c r="HC674" s="14">
        <f t="shared" si="264"/>
        <v>0.56399999999999995</v>
      </c>
      <c r="HD674" s="14">
        <f t="shared" si="265"/>
        <v>1606039</v>
      </c>
      <c r="HE674" s="14" t="str">
        <f t="shared" si="266"/>
        <v>神器7-3 : 14级</v>
      </c>
      <c r="HF674" s="14" t="s">
        <v>800</v>
      </c>
      <c r="HG674" s="14">
        <f t="shared" si="267"/>
        <v>14</v>
      </c>
      <c r="HH674" s="14" t="str">
        <f t="shared" si="268"/>
        <v>神器7-3</v>
      </c>
      <c r="HI674" s="14">
        <f t="shared" si="269"/>
        <v>7</v>
      </c>
      <c r="HJ674" s="14" t="s">
        <v>1595</v>
      </c>
      <c r="HK674" s="14">
        <f t="shared" si="270"/>
        <v>23450</v>
      </c>
    </row>
    <row r="675" spans="207:219" ht="16.5" x14ac:dyDescent="0.2">
      <c r="GY675" s="91">
        <v>669</v>
      </c>
      <c r="GZ675" s="14">
        <f t="shared" si="261"/>
        <v>37</v>
      </c>
      <c r="HA675" s="14">
        <f t="shared" si="262"/>
        <v>7</v>
      </c>
      <c r="HB675" s="14">
        <f t="shared" si="263"/>
        <v>2</v>
      </c>
      <c r="HC675" s="14">
        <f t="shared" si="264"/>
        <v>0.57399999999999995</v>
      </c>
      <c r="HD675" s="14">
        <f t="shared" si="265"/>
        <v>1606039</v>
      </c>
      <c r="HE675" s="14" t="str">
        <f t="shared" si="266"/>
        <v>神器7-3 : 15级</v>
      </c>
      <c r="HF675" s="14" t="s">
        <v>800</v>
      </c>
      <c r="HG675" s="14">
        <f t="shared" si="267"/>
        <v>15</v>
      </c>
      <c r="HH675" s="14" t="str">
        <f t="shared" si="268"/>
        <v>神器7-3</v>
      </c>
      <c r="HI675" s="14">
        <f t="shared" si="269"/>
        <v>7</v>
      </c>
      <c r="HJ675" s="14" t="s">
        <v>1595</v>
      </c>
      <c r="HK675" s="14">
        <f t="shared" si="270"/>
        <v>23850</v>
      </c>
    </row>
    <row r="676" spans="207:219" ht="16.5" x14ac:dyDescent="0.2">
      <c r="GY676" s="91">
        <v>670</v>
      </c>
      <c r="GZ676" s="14">
        <f t="shared" si="261"/>
        <v>37</v>
      </c>
      <c r="HA676" s="14">
        <f t="shared" si="262"/>
        <v>7</v>
      </c>
      <c r="HB676" s="14">
        <f t="shared" si="263"/>
        <v>2</v>
      </c>
      <c r="HC676" s="14">
        <f t="shared" si="264"/>
        <v>0.58499999999999996</v>
      </c>
      <c r="HD676" s="14">
        <f t="shared" si="265"/>
        <v>1606039</v>
      </c>
      <c r="HE676" s="14" t="str">
        <f t="shared" si="266"/>
        <v>神器7-3 : 16级</v>
      </c>
      <c r="HF676" s="14" t="s">
        <v>800</v>
      </c>
      <c r="HG676" s="14">
        <f t="shared" si="267"/>
        <v>16</v>
      </c>
      <c r="HH676" s="14" t="str">
        <f t="shared" si="268"/>
        <v>神器7-3</v>
      </c>
      <c r="HI676" s="14">
        <f t="shared" si="269"/>
        <v>10</v>
      </c>
      <c r="HJ676" s="14" t="s">
        <v>1595</v>
      </c>
      <c r="HK676" s="14">
        <f t="shared" si="270"/>
        <v>24300</v>
      </c>
    </row>
    <row r="677" spans="207:219" ht="16.5" x14ac:dyDescent="0.2">
      <c r="GY677" s="91">
        <v>671</v>
      </c>
      <c r="GZ677" s="14">
        <f t="shared" si="261"/>
        <v>37</v>
      </c>
      <c r="HA677" s="14">
        <f t="shared" si="262"/>
        <v>7</v>
      </c>
      <c r="HB677" s="14">
        <f t="shared" si="263"/>
        <v>2</v>
      </c>
      <c r="HC677" s="14">
        <f t="shared" si="264"/>
        <v>0.59499999999999997</v>
      </c>
      <c r="HD677" s="14">
        <f t="shared" si="265"/>
        <v>1606039</v>
      </c>
      <c r="HE677" s="14" t="str">
        <f t="shared" si="266"/>
        <v>神器7-3 : 17级</v>
      </c>
      <c r="HF677" s="14" t="s">
        <v>800</v>
      </c>
      <c r="HG677" s="14">
        <f t="shared" si="267"/>
        <v>17</v>
      </c>
      <c r="HH677" s="14" t="str">
        <f t="shared" si="268"/>
        <v>神器7-3</v>
      </c>
      <c r="HI677" s="14">
        <f t="shared" si="269"/>
        <v>10</v>
      </c>
      <c r="HJ677" s="14" t="s">
        <v>1595</v>
      </c>
      <c r="HK677" s="14">
        <f t="shared" si="270"/>
        <v>24750</v>
      </c>
    </row>
    <row r="678" spans="207:219" ht="16.5" x14ac:dyDescent="0.2">
      <c r="GY678" s="91">
        <v>672</v>
      </c>
      <c r="GZ678" s="14">
        <f t="shared" si="261"/>
        <v>37</v>
      </c>
      <c r="HA678" s="14">
        <f t="shared" si="262"/>
        <v>7</v>
      </c>
      <c r="HB678" s="14">
        <f t="shared" si="263"/>
        <v>2</v>
      </c>
      <c r="HC678" s="14">
        <f t="shared" si="264"/>
        <v>0.60499999999999998</v>
      </c>
      <c r="HD678" s="14">
        <f t="shared" si="265"/>
        <v>1606039</v>
      </c>
      <c r="HE678" s="14" t="str">
        <f t="shared" si="266"/>
        <v>神器7-3 : 18级</v>
      </c>
      <c r="HF678" s="14" t="s">
        <v>800</v>
      </c>
      <c r="HG678" s="14">
        <f t="shared" si="267"/>
        <v>18</v>
      </c>
      <c r="HH678" s="14" t="str">
        <f t="shared" si="268"/>
        <v>神器7-3</v>
      </c>
      <c r="HI678" s="14">
        <f t="shared" si="269"/>
        <v>10</v>
      </c>
      <c r="HJ678" s="14" t="s">
        <v>1595</v>
      </c>
      <c r="HK678" s="14">
        <f t="shared" si="270"/>
        <v>25150</v>
      </c>
    </row>
    <row r="679" spans="207:219" ht="16.5" x14ac:dyDescent="0.2">
      <c r="GY679" s="91">
        <v>673</v>
      </c>
      <c r="GZ679" s="14">
        <f t="shared" si="261"/>
        <v>37</v>
      </c>
      <c r="HA679" s="14">
        <f t="shared" si="262"/>
        <v>7</v>
      </c>
      <c r="HB679" s="14">
        <f t="shared" si="263"/>
        <v>2</v>
      </c>
      <c r="HC679" s="14">
        <f t="shared" si="264"/>
        <v>0.61499999999999999</v>
      </c>
      <c r="HD679" s="14">
        <f t="shared" si="265"/>
        <v>1606039</v>
      </c>
      <c r="HE679" s="14" t="str">
        <f t="shared" si="266"/>
        <v>神器7-3 : 19级</v>
      </c>
      <c r="HF679" s="14" t="s">
        <v>800</v>
      </c>
      <c r="HG679" s="14">
        <f t="shared" si="267"/>
        <v>19</v>
      </c>
      <c r="HH679" s="14" t="str">
        <f t="shared" si="268"/>
        <v>神器7-3</v>
      </c>
      <c r="HI679" s="14">
        <f t="shared" si="269"/>
        <v>15</v>
      </c>
      <c r="HJ679" s="14" t="s">
        <v>1595</v>
      </c>
      <c r="HK679" s="14">
        <f t="shared" si="270"/>
        <v>25550</v>
      </c>
    </row>
    <row r="680" spans="207:219" ht="16.5" x14ac:dyDescent="0.2">
      <c r="GY680" s="91">
        <v>674</v>
      </c>
      <c r="GZ680" s="14">
        <f t="shared" si="261"/>
        <v>37</v>
      </c>
      <c r="HA680" s="14">
        <f t="shared" si="262"/>
        <v>7</v>
      </c>
      <c r="HB680" s="14">
        <f t="shared" si="263"/>
        <v>2</v>
      </c>
      <c r="HC680" s="14">
        <f t="shared" si="264"/>
        <v>0.624</v>
      </c>
      <c r="HD680" s="14">
        <f t="shared" si="265"/>
        <v>1606039</v>
      </c>
      <c r="HE680" s="14" t="str">
        <f t="shared" si="266"/>
        <v>神器7-3 : 20级</v>
      </c>
      <c r="HF680" s="14" t="s">
        <v>800</v>
      </c>
      <c r="HG680" s="14">
        <f t="shared" si="267"/>
        <v>20</v>
      </c>
      <c r="HH680" s="14" t="str">
        <f t="shared" si="268"/>
        <v>神器7-3</v>
      </c>
      <c r="HI680" s="14">
        <f t="shared" si="269"/>
        <v>15</v>
      </c>
      <c r="HJ680" s="14" t="s">
        <v>1595</v>
      </c>
      <c r="HK680" s="14">
        <f t="shared" si="270"/>
        <v>25950</v>
      </c>
    </row>
    <row r="681" spans="207:219" ht="16.5" x14ac:dyDescent="0.2">
      <c r="GY681" s="91">
        <v>675</v>
      </c>
      <c r="GZ681" s="14">
        <f t="shared" si="261"/>
        <v>37</v>
      </c>
      <c r="HA681" s="14">
        <f t="shared" si="262"/>
        <v>7</v>
      </c>
      <c r="HB681" s="14">
        <f t="shared" si="263"/>
        <v>2</v>
      </c>
      <c r="HC681" s="14">
        <f t="shared" si="264"/>
        <v>0.63400000000000001</v>
      </c>
      <c r="HD681" s="14">
        <f t="shared" si="265"/>
        <v>1606039</v>
      </c>
      <c r="HE681" s="14" t="str">
        <f t="shared" si="266"/>
        <v>神器7-3 : 21级</v>
      </c>
      <c r="HF681" s="14" t="s">
        <v>800</v>
      </c>
      <c r="HG681" s="14">
        <f t="shared" si="267"/>
        <v>21</v>
      </c>
      <c r="HH681" s="14" t="str">
        <f t="shared" si="268"/>
        <v>神器7-3</v>
      </c>
      <c r="HI681" s="14">
        <f t="shared" si="269"/>
        <v>15</v>
      </c>
      <c r="HJ681" s="14" t="s">
        <v>1595</v>
      </c>
      <c r="HK681" s="14">
        <f t="shared" si="270"/>
        <v>26350</v>
      </c>
    </row>
    <row r="682" spans="207:219" ht="16.5" x14ac:dyDescent="0.2">
      <c r="GY682" s="91">
        <v>676</v>
      </c>
      <c r="GZ682" s="14">
        <f t="shared" si="261"/>
        <v>38</v>
      </c>
      <c r="HA682" s="14">
        <f t="shared" si="262"/>
        <v>7</v>
      </c>
      <c r="HB682" s="14">
        <f t="shared" si="263"/>
        <v>3</v>
      </c>
      <c r="HC682" s="14">
        <f t="shared" si="264"/>
        <v>0.61499999999999999</v>
      </c>
      <c r="HD682" s="14">
        <f t="shared" si="265"/>
        <v>1606040</v>
      </c>
      <c r="HE682" s="14" t="str">
        <f t="shared" si="266"/>
        <v>神器7-4 : 1级</v>
      </c>
      <c r="HF682" s="14" t="s">
        <v>800</v>
      </c>
      <c r="HG682" s="14">
        <f t="shared" si="267"/>
        <v>1</v>
      </c>
      <c r="HH682" s="14" t="str">
        <f t="shared" si="268"/>
        <v>神器7-4</v>
      </c>
      <c r="HI682" s="14">
        <f t="shared" si="269"/>
        <v>1</v>
      </c>
      <c r="HJ682" s="14" t="s">
        <v>1595</v>
      </c>
      <c r="HK682" s="14">
        <f t="shared" si="270"/>
        <v>25550</v>
      </c>
    </row>
    <row r="683" spans="207:219" ht="16.5" x14ac:dyDescent="0.2">
      <c r="GY683" s="91">
        <v>677</v>
      </c>
      <c r="GZ683" s="14">
        <f t="shared" si="261"/>
        <v>38</v>
      </c>
      <c r="HA683" s="14">
        <f t="shared" si="262"/>
        <v>7</v>
      </c>
      <c r="HB683" s="14">
        <f t="shared" si="263"/>
        <v>3</v>
      </c>
      <c r="HC683" s="14">
        <f t="shared" si="264"/>
        <v>0.63700000000000001</v>
      </c>
      <c r="HD683" s="14">
        <f t="shared" si="265"/>
        <v>1606040</v>
      </c>
      <c r="HE683" s="14" t="str">
        <f t="shared" si="266"/>
        <v>神器7-4 : 2级</v>
      </c>
      <c r="HF683" s="14" t="s">
        <v>800</v>
      </c>
      <c r="HG683" s="14">
        <f t="shared" si="267"/>
        <v>2</v>
      </c>
      <c r="HH683" s="14" t="str">
        <f t="shared" si="268"/>
        <v>神器7-4</v>
      </c>
      <c r="HI683" s="14">
        <f t="shared" si="269"/>
        <v>1</v>
      </c>
      <c r="HJ683" s="14" t="s">
        <v>1595</v>
      </c>
      <c r="HK683" s="14">
        <f t="shared" si="270"/>
        <v>26500</v>
      </c>
    </row>
    <row r="684" spans="207:219" ht="16.5" x14ac:dyDescent="0.2">
      <c r="GY684" s="91">
        <v>678</v>
      </c>
      <c r="GZ684" s="14">
        <f t="shared" si="261"/>
        <v>38</v>
      </c>
      <c r="HA684" s="14">
        <f t="shared" si="262"/>
        <v>7</v>
      </c>
      <c r="HB684" s="14">
        <f t="shared" si="263"/>
        <v>3</v>
      </c>
      <c r="HC684" s="14">
        <f t="shared" si="264"/>
        <v>0.65900000000000003</v>
      </c>
      <c r="HD684" s="14">
        <f t="shared" si="265"/>
        <v>1606040</v>
      </c>
      <c r="HE684" s="14" t="str">
        <f t="shared" si="266"/>
        <v>神器7-4 : 3级</v>
      </c>
      <c r="HF684" s="14" t="s">
        <v>800</v>
      </c>
      <c r="HG684" s="14">
        <f t="shared" si="267"/>
        <v>3</v>
      </c>
      <c r="HH684" s="14" t="str">
        <f t="shared" si="268"/>
        <v>神器7-4</v>
      </c>
      <c r="HI684" s="14">
        <f t="shared" si="269"/>
        <v>1</v>
      </c>
      <c r="HJ684" s="14" t="s">
        <v>1595</v>
      </c>
      <c r="HK684" s="14">
        <f t="shared" si="270"/>
        <v>27400</v>
      </c>
    </row>
    <row r="685" spans="207:219" ht="16.5" x14ac:dyDescent="0.2">
      <c r="GY685" s="91">
        <v>679</v>
      </c>
      <c r="GZ685" s="14">
        <f t="shared" si="261"/>
        <v>38</v>
      </c>
      <c r="HA685" s="14">
        <f t="shared" si="262"/>
        <v>7</v>
      </c>
      <c r="HB685" s="14">
        <f t="shared" si="263"/>
        <v>3</v>
      </c>
      <c r="HC685" s="14">
        <f t="shared" si="264"/>
        <v>0.68</v>
      </c>
      <c r="HD685" s="14">
        <f t="shared" si="265"/>
        <v>1606040</v>
      </c>
      <c r="HE685" s="14" t="str">
        <f t="shared" si="266"/>
        <v>神器7-4 : 4级</v>
      </c>
      <c r="HF685" s="14" t="s">
        <v>800</v>
      </c>
      <c r="HG685" s="14">
        <f t="shared" si="267"/>
        <v>4</v>
      </c>
      <c r="HH685" s="14" t="str">
        <f t="shared" si="268"/>
        <v>神器7-4</v>
      </c>
      <c r="HI685" s="14">
        <f t="shared" si="269"/>
        <v>2</v>
      </c>
      <c r="HJ685" s="14" t="s">
        <v>1595</v>
      </c>
      <c r="HK685" s="14">
        <f t="shared" si="270"/>
        <v>28250</v>
      </c>
    </row>
    <row r="686" spans="207:219" ht="16.5" x14ac:dyDescent="0.2">
      <c r="GY686" s="91">
        <v>680</v>
      </c>
      <c r="GZ686" s="14">
        <f t="shared" si="261"/>
        <v>38</v>
      </c>
      <c r="HA686" s="14">
        <f t="shared" si="262"/>
        <v>7</v>
      </c>
      <c r="HB686" s="14">
        <f t="shared" si="263"/>
        <v>3</v>
      </c>
      <c r="HC686" s="14">
        <f t="shared" si="264"/>
        <v>0.7</v>
      </c>
      <c r="HD686" s="14">
        <f t="shared" si="265"/>
        <v>1606040</v>
      </c>
      <c r="HE686" s="14" t="str">
        <f t="shared" si="266"/>
        <v>神器7-4 : 5级</v>
      </c>
      <c r="HF686" s="14" t="s">
        <v>800</v>
      </c>
      <c r="HG686" s="14">
        <f t="shared" si="267"/>
        <v>5</v>
      </c>
      <c r="HH686" s="14" t="str">
        <f t="shared" si="268"/>
        <v>神器7-4</v>
      </c>
      <c r="HI686" s="14">
        <f t="shared" si="269"/>
        <v>2</v>
      </c>
      <c r="HJ686" s="14" t="s">
        <v>1595</v>
      </c>
      <c r="HK686" s="14">
        <f t="shared" si="270"/>
        <v>29100</v>
      </c>
    </row>
    <row r="687" spans="207:219" ht="16.5" x14ac:dyDescent="0.2">
      <c r="GY687" s="91">
        <v>681</v>
      </c>
      <c r="GZ687" s="14">
        <f t="shared" si="261"/>
        <v>38</v>
      </c>
      <c r="HA687" s="14">
        <f t="shared" si="262"/>
        <v>7</v>
      </c>
      <c r="HB687" s="14">
        <f t="shared" si="263"/>
        <v>3</v>
      </c>
      <c r="HC687" s="14">
        <f t="shared" si="264"/>
        <v>0.72</v>
      </c>
      <c r="HD687" s="14">
        <f t="shared" si="265"/>
        <v>1606040</v>
      </c>
      <c r="HE687" s="14" t="str">
        <f t="shared" si="266"/>
        <v>神器7-4 : 6级</v>
      </c>
      <c r="HF687" s="14" t="s">
        <v>800</v>
      </c>
      <c r="HG687" s="14">
        <f t="shared" si="267"/>
        <v>6</v>
      </c>
      <c r="HH687" s="14" t="str">
        <f t="shared" si="268"/>
        <v>神器7-4</v>
      </c>
      <c r="HI687" s="14">
        <f t="shared" si="269"/>
        <v>2</v>
      </c>
      <c r="HJ687" s="14" t="s">
        <v>1595</v>
      </c>
      <c r="HK687" s="14">
        <f t="shared" si="270"/>
        <v>29900</v>
      </c>
    </row>
    <row r="688" spans="207:219" ht="16.5" x14ac:dyDescent="0.2">
      <c r="GY688" s="91">
        <v>682</v>
      </c>
      <c r="GZ688" s="14">
        <f t="shared" si="261"/>
        <v>38</v>
      </c>
      <c r="HA688" s="14">
        <f t="shared" si="262"/>
        <v>7</v>
      </c>
      <c r="HB688" s="14">
        <f t="shared" si="263"/>
        <v>3</v>
      </c>
      <c r="HC688" s="14">
        <f t="shared" si="264"/>
        <v>0.73899999999999999</v>
      </c>
      <c r="HD688" s="14">
        <f t="shared" si="265"/>
        <v>1606040</v>
      </c>
      <c r="HE688" s="14" t="str">
        <f t="shared" si="266"/>
        <v>神器7-4 : 7级</v>
      </c>
      <c r="HF688" s="14" t="s">
        <v>800</v>
      </c>
      <c r="HG688" s="14">
        <f t="shared" si="267"/>
        <v>7</v>
      </c>
      <c r="HH688" s="14" t="str">
        <f t="shared" si="268"/>
        <v>神器7-4</v>
      </c>
      <c r="HI688" s="14">
        <f t="shared" si="269"/>
        <v>3</v>
      </c>
      <c r="HJ688" s="14" t="s">
        <v>1595</v>
      </c>
      <c r="HK688" s="14">
        <f t="shared" si="270"/>
        <v>30700</v>
      </c>
    </row>
    <row r="689" spans="207:219" ht="16.5" x14ac:dyDescent="0.2">
      <c r="GY689" s="91">
        <v>683</v>
      </c>
      <c r="GZ689" s="14">
        <f t="shared" si="261"/>
        <v>38</v>
      </c>
      <c r="HA689" s="14">
        <f t="shared" si="262"/>
        <v>7</v>
      </c>
      <c r="HB689" s="14">
        <f t="shared" si="263"/>
        <v>3</v>
      </c>
      <c r="HC689" s="14">
        <f t="shared" si="264"/>
        <v>0.75800000000000001</v>
      </c>
      <c r="HD689" s="14">
        <f t="shared" si="265"/>
        <v>1606040</v>
      </c>
      <c r="HE689" s="14" t="str">
        <f t="shared" si="266"/>
        <v>神器7-4 : 8级</v>
      </c>
      <c r="HF689" s="14" t="s">
        <v>800</v>
      </c>
      <c r="HG689" s="14">
        <f t="shared" si="267"/>
        <v>8</v>
      </c>
      <c r="HH689" s="14" t="str">
        <f t="shared" si="268"/>
        <v>神器7-4</v>
      </c>
      <c r="HI689" s="14">
        <f t="shared" si="269"/>
        <v>3</v>
      </c>
      <c r="HJ689" s="14" t="s">
        <v>1595</v>
      </c>
      <c r="HK689" s="14">
        <f t="shared" si="270"/>
        <v>31500</v>
      </c>
    </row>
    <row r="690" spans="207:219" ht="16.5" x14ac:dyDescent="0.2">
      <c r="GY690" s="91">
        <v>684</v>
      </c>
      <c r="GZ690" s="14">
        <f t="shared" si="261"/>
        <v>38</v>
      </c>
      <c r="HA690" s="14">
        <f t="shared" si="262"/>
        <v>7</v>
      </c>
      <c r="HB690" s="14">
        <f t="shared" si="263"/>
        <v>3</v>
      </c>
      <c r="HC690" s="14">
        <f t="shared" si="264"/>
        <v>0.77600000000000002</v>
      </c>
      <c r="HD690" s="14">
        <f t="shared" si="265"/>
        <v>1606040</v>
      </c>
      <c r="HE690" s="14" t="str">
        <f t="shared" si="266"/>
        <v>神器7-4 : 9级</v>
      </c>
      <c r="HF690" s="14" t="s">
        <v>800</v>
      </c>
      <c r="HG690" s="14">
        <f t="shared" si="267"/>
        <v>9</v>
      </c>
      <c r="HH690" s="14" t="str">
        <f t="shared" si="268"/>
        <v>神器7-4</v>
      </c>
      <c r="HI690" s="14">
        <f t="shared" si="269"/>
        <v>3</v>
      </c>
      <c r="HJ690" s="14" t="s">
        <v>1595</v>
      </c>
      <c r="HK690" s="14">
        <f t="shared" si="270"/>
        <v>32250</v>
      </c>
    </row>
    <row r="691" spans="207:219" ht="16.5" x14ac:dyDescent="0.2">
      <c r="GY691" s="91">
        <v>685</v>
      </c>
      <c r="GZ691" s="14">
        <f t="shared" si="261"/>
        <v>38</v>
      </c>
      <c r="HA691" s="14">
        <f t="shared" si="262"/>
        <v>7</v>
      </c>
      <c r="HB691" s="14">
        <f t="shared" si="263"/>
        <v>3</v>
      </c>
      <c r="HC691" s="14">
        <f t="shared" si="264"/>
        <v>0.79400000000000004</v>
      </c>
      <c r="HD691" s="14">
        <f t="shared" si="265"/>
        <v>1606040</v>
      </c>
      <c r="HE691" s="14" t="str">
        <f t="shared" si="266"/>
        <v>神器7-4 : 10级</v>
      </c>
      <c r="HF691" s="14" t="s">
        <v>800</v>
      </c>
      <c r="HG691" s="14">
        <f t="shared" si="267"/>
        <v>10</v>
      </c>
      <c r="HH691" s="14" t="str">
        <f t="shared" si="268"/>
        <v>神器7-4</v>
      </c>
      <c r="HI691" s="14">
        <f t="shared" si="269"/>
        <v>5</v>
      </c>
      <c r="HJ691" s="14" t="s">
        <v>1595</v>
      </c>
      <c r="HK691" s="14">
        <f t="shared" si="270"/>
        <v>33000</v>
      </c>
    </row>
    <row r="692" spans="207:219" ht="16.5" x14ac:dyDescent="0.2">
      <c r="GY692" s="91">
        <v>686</v>
      </c>
      <c r="GZ692" s="14">
        <f t="shared" si="261"/>
        <v>38</v>
      </c>
      <c r="HA692" s="14">
        <f t="shared" si="262"/>
        <v>7</v>
      </c>
      <c r="HB692" s="14">
        <f t="shared" si="263"/>
        <v>3</v>
      </c>
      <c r="HC692" s="14">
        <f t="shared" si="264"/>
        <v>0.81100000000000005</v>
      </c>
      <c r="HD692" s="14">
        <f t="shared" si="265"/>
        <v>1606040</v>
      </c>
      <c r="HE692" s="14" t="str">
        <f t="shared" si="266"/>
        <v>神器7-4 : 11级</v>
      </c>
      <c r="HF692" s="14" t="s">
        <v>800</v>
      </c>
      <c r="HG692" s="14">
        <f t="shared" si="267"/>
        <v>11</v>
      </c>
      <c r="HH692" s="14" t="str">
        <f t="shared" si="268"/>
        <v>神器7-4</v>
      </c>
      <c r="HI692" s="14">
        <f t="shared" si="269"/>
        <v>5</v>
      </c>
      <c r="HJ692" s="14" t="s">
        <v>1595</v>
      </c>
      <c r="HK692" s="14">
        <f t="shared" si="270"/>
        <v>33700</v>
      </c>
    </row>
    <row r="693" spans="207:219" ht="16.5" x14ac:dyDescent="0.2">
      <c r="GY693" s="91">
        <v>687</v>
      </c>
      <c r="GZ693" s="14">
        <f t="shared" si="261"/>
        <v>38</v>
      </c>
      <c r="HA693" s="14">
        <f t="shared" si="262"/>
        <v>7</v>
      </c>
      <c r="HB693" s="14">
        <f t="shared" si="263"/>
        <v>3</v>
      </c>
      <c r="HC693" s="14">
        <f t="shared" si="264"/>
        <v>0.82799999999999996</v>
      </c>
      <c r="HD693" s="14">
        <f t="shared" si="265"/>
        <v>1606040</v>
      </c>
      <c r="HE693" s="14" t="str">
        <f t="shared" si="266"/>
        <v>神器7-4 : 12级</v>
      </c>
      <c r="HF693" s="14" t="s">
        <v>800</v>
      </c>
      <c r="HG693" s="14">
        <f t="shared" si="267"/>
        <v>12</v>
      </c>
      <c r="HH693" s="14" t="str">
        <f t="shared" si="268"/>
        <v>神器7-4</v>
      </c>
      <c r="HI693" s="14">
        <f t="shared" si="269"/>
        <v>6</v>
      </c>
      <c r="HJ693" s="14" t="s">
        <v>1595</v>
      </c>
      <c r="HK693" s="14">
        <f t="shared" si="270"/>
        <v>34400</v>
      </c>
    </row>
    <row r="694" spans="207:219" ht="16.5" x14ac:dyDescent="0.2">
      <c r="GY694" s="91">
        <v>688</v>
      </c>
      <c r="GZ694" s="14">
        <f t="shared" si="261"/>
        <v>38</v>
      </c>
      <c r="HA694" s="14">
        <f t="shared" si="262"/>
        <v>7</v>
      </c>
      <c r="HB694" s="14">
        <f t="shared" si="263"/>
        <v>3</v>
      </c>
      <c r="HC694" s="14">
        <f t="shared" si="264"/>
        <v>0.84499999999999997</v>
      </c>
      <c r="HD694" s="14">
        <f t="shared" si="265"/>
        <v>1606040</v>
      </c>
      <c r="HE694" s="14" t="str">
        <f t="shared" si="266"/>
        <v>神器7-4 : 13级</v>
      </c>
      <c r="HF694" s="14" t="s">
        <v>800</v>
      </c>
      <c r="HG694" s="14">
        <f t="shared" si="267"/>
        <v>13</v>
      </c>
      <c r="HH694" s="14" t="str">
        <f t="shared" si="268"/>
        <v>神器7-4</v>
      </c>
      <c r="HI694" s="14">
        <f t="shared" si="269"/>
        <v>7</v>
      </c>
      <c r="HJ694" s="14" t="s">
        <v>1595</v>
      </c>
      <c r="HK694" s="14">
        <f t="shared" si="270"/>
        <v>35100</v>
      </c>
    </row>
    <row r="695" spans="207:219" ht="16.5" x14ac:dyDescent="0.2">
      <c r="GY695" s="91">
        <v>689</v>
      </c>
      <c r="GZ695" s="14">
        <f t="shared" si="261"/>
        <v>38</v>
      </c>
      <c r="HA695" s="14">
        <f t="shared" si="262"/>
        <v>7</v>
      </c>
      <c r="HB695" s="14">
        <f t="shared" si="263"/>
        <v>3</v>
      </c>
      <c r="HC695" s="14">
        <f t="shared" si="264"/>
        <v>0.86099999999999999</v>
      </c>
      <c r="HD695" s="14">
        <f t="shared" si="265"/>
        <v>1606040</v>
      </c>
      <c r="HE695" s="14" t="str">
        <f t="shared" si="266"/>
        <v>神器7-4 : 14级</v>
      </c>
      <c r="HF695" s="14" t="s">
        <v>800</v>
      </c>
      <c r="HG695" s="14">
        <f t="shared" si="267"/>
        <v>14</v>
      </c>
      <c r="HH695" s="14" t="str">
        <f t="shared" si="268"/>
        <v>神器7-4</v>
      </c>
      <c r="HI695" s="14">
        <f t="shared" si="269"/>
        <v>7</v>
      </c>
      <c r="HJ695" s="14" t="s">
        <v>1595</v>
      </c>
      <c r="HK695" s="14">
        <f t="shared" si="270"/>
        <v>35800</v>
      </c>
    </row>
    <row r="696" spans="207:219" ht="16.5" x14ac:dyDescent="0.2">
      <c r="GY696" s="91">
        <v>690</v>
      </c>
      <c r="GZ696" s="14">
        <f t="shared" si="261"/>
        <v>38</v>
      </c>
      <c r="HA696" s="14">
        <f t="shared" si="262"/>
        <v>7</v>
      </c>
      <c r="HB696" s="14">
        <f t="shared" si="263"/>
        <v>3</v>
      </c>
      <c r="HC696" s="14">
        <f t="shared" si="264"/>
        <v>0.877</v>
      </c>
      <c r="HD696" s="14">
        <f t="shared" si="265"/>
        <v>1606040</v>
      </c>
      <c r="HE696" s="14" t="str">
        <f t="shared" si="266"/>
        <v>神器7-4 : 15级</v>
      </c>
      <c r="HF696" s="14" t="s">
        <v>800</v>
      </c>
      <c r="HG696" s="14">
        <f t="shared" si="267"/>
        <v>15</v>
      </c>
      <c r="HH696" s="14" t="str">
        <f t="shared" si="268"/>
        <v>神器7-4</v>
      </c>
      <c r="HI696" s="14">
        <f t="shared" si="269"/>
        <v>7</v>
      </c>
      <c r="HJ696" s="14" t="s">
        <v>1595</v>
      </c>
      <c r="HK696" s="14">
        <f t="shared" si="270"/>
        <v>36450</v>
      </c>
    </row>
    <row r="697" spans="207:219" ht="16.5" x14ac:dyDescent="0.2">
      <c r="GY697" s="91">
        <v>691</v>
      </c>
      <c r="GZ697" s="14">
        <f t="shared" si="261"/>
        <v>38</v>
      </c>
      <c r="HA697" s="14">
        <f t="shared" si="262"/>
        <v>7</v>
      </c>
      <c r="HB697" s="14">
        <f t="shared" si="263"/>
        <v>3</v>
      </c>
      <c r="HC697" s="14">
        <f t="shared" si="264"/>
        <v>0.89300000000000002</v>
      </c>
      <c r="HD697" s="14">
        <f t="shared" si="265"/>
        <v>1606040</v>
      </c>
      <c r="HE697" s="14" t="str">
        <f t="shared" si="266"/>
        <v>神器7-4 : 16级</v>
      </c>
      <c r="HF697" s="14" t="s">
        <v>800</v>
      </c>
      <c r="HG697" s="14">
        <f t="shared" si="267"/>
        <v>16</v>
      </c>
      <c r="HH697" s="14" t="str">
        <f t="shared" si="268"/>
        <v>神器7-4</v>
      </c>
      <c r="HI697" s="14">
        <f t="shared" si="269"/>
        <v>10</v>
      </c>
      <c r="HJ697" s="14" t="s">
        <v>1595</v>
      </c>
      <c r="HK697" s="14">
        <f t="shared" si="270"/>
        <v>37100</v>
      </c>
    </row>
    <row r="698" spans="207:219" ht="16.5" x14ac:dyDescent="0.2">
      <c r="GY698" s="91">
        <v>692</v>
      </c>
      <c r="GZ698" s="14">
        <f t="shared" si="261"/>
        <v>38</v>
      </c>
      <c r="HA698" s="14">
        <f t="shared" si="262"/>
        <v>7</v>
      </c>
      <c r="HB698" s="14">
        <f t="shared" si="263"/>
        <v>3</v>
      </c>
      <c r="HC698" s="14">
        <f t="shared" si="264"/>
        <v>0.90900000000000003</v>
      </c>
      <c r="HD698" s="14">
        <f t="shared" si="265"/>
        <v>1606040</v>
      </c>
      <c r="HE698" s="14" t="str">
        <f t="shared" si="266"/>
        <v>神器7-4 : 17级</v>
      </c>
      <c r="HF698" s="14" t="s">
        <v>800</v>
      </c>
      <c r="HG698" s="14">
        <f t="shared" si="267"/>
        <v>17</v>
      </c>
      <c r="HH698" s="14" t="str">
        <f t="shared" si="268"/>
        <v>神器7-4</v>
      </c>
      <c r="HI698" s="14">
        <f t="shared" si="269"/>
        <v>10</v>
      </c>
      <c r="HJ698" s="14" t="s">
        <v>1595</v>
      </c>
      <c r="HK698" s="14">
        <f t="shared" si="270"/>
        <v>37800</v>
      </c>
    </row>
    <row r="699" spans="207:219" ht="16.5" x14ac:dyDescent="0.2">
      <c r="GY699" s="91">
        <v>693</v>
      </c>
      <c r="GZ699" s="14">
        <f t="shared" si="261"/>
        <v>38</v>
      </c>
      <c r="HA699" s="14">
        <f t="shared" si="262"/>
        <v>7</v>
      </c>
      <c r="HB699" s="14">
        <f t="shared" si="263"/>
        <v>3</v>
      </c>
      <c r="HC699" s="14">
        <f t="shared" si="264"/>
        <v>0.92400000000000004</v>
      </c>
      <c r="HD699" s="14">
        <f t="shared" si="265"/>
        <v>1606040</v>
      </c>
      <c r="HE699" s="14" t="str">
        <f t="shared" si="266"/>
        <v>神器7-4 : 18级</v>
      </c>
      <c r="HF699" s="14" t="s">
        <v>800</v>
      </c>
      <c r="HG699" s="14">
        <f t="shared" si="267"/>
        <v>18</v>
      </c>
      <c r="HH699" s="14" t="str">
        <f t="shared" si="268"/>
        <v>神器7-4</v>
      </c>
      <c r="HI699" s="14">
        <f t="shared" si="269"/>
        <v>10</v>
      </c>
      <c r="HJ699" s="14" t="s">
        <v>1595</v>
      </c>
      <c r="HK699" s="14">
        <f t="shared" si="270"/>
        <v>38400</v>
      </c>
    </row>
    <row r="700" spans="207:219" ht="16.5" x14ac:dyDescent="0.2">
      <c r="GY700" s="91">
        <v>694</v>
      </c>
      <c r="GZ700" s="14">
        <f t="shared" si="261"/>
        <v>38</v>
      </c>
      <c r="HA700" s="14">
        <f t="shared" si="262"/>
        <v>7</v>
      </c>
      <c r="HB700" s="14">
        <f t="shared" si="263"/>
        <v>3</v>
      </c>
      <c r="HC700" s="14">
        <f t="shared" si="264"/>
        <v>0.93899999999999995</v>
      </c>
      <c r="HD700" s="14">
        <f t="shared" si="265"/>
        <v>1606040</v>
      </c>
      <c r="HE700" s="14" t="str">
        <f t="shared" si="266"/>
        <v>神器7-4 : 19级</v>
      </c>
      <c r="HF700" s="14" t="s">
        <v>800</v>
      </c>
      <c r="HG700" s="14">
        <f t="shared" si="267"/>
        <v>19</v>
      </c>
      <c r="HH700" s="14" t="str">
        <f t="shared" si="268"/>
        <v>神器7-4</v>
      </c>
      <c r="HI700" s="14">
        <f t="shared" si="269"/>
        <v>15</v>
      </c>
      <c r="HJ700" s="14" t="s">
        <v>1595</v>
      </c>
      <c r="HK700" s="14">
        <f t="shared" si="270"/>
        <v>39050</v>
      </c>
    </row>
    <row r="701" spans="207:219" ht="16.5" x14ac:dyDescent="0.2">
      <c r="GY701" s="91">
        <v>695</v>
      </c>
      <c r="GZ701" s="14">
        <f t="shared" si="261"/>
        <v>38</v>
      </c>
      <c r="HA701" s="14">
        <f t="shared" si="262"/>
        <v>7</v>
      </c>
      <c r="HB701" s="14">
        <f t="shared" si="263"/>
        <v>3</v>
      </c>
      <c r="HC701" s="14">
        <f t="shared" si="264"/>
        <v>0.95399999999999996</v>
      </c>
      <c r="HD701" s="14">
        <f t="shared" si="265"/>
        <v>1606040</v>
      </c>
      <c r="HE701" s="14" t="str">
        <f t="shared" si="266"/>
        <v>神器7-4 : 20级</v>
      </c>
      <c r="HF701" s="14" t="s">
        <v>800</v>
      </c>
      <c r="HG701" s="14">
        <f t="shared" si="267"/>
        <v>20</v>
      </c>
      <c r="HH701" s="14" t="str">
        <f t="shared" si="268"/>
        <v>神器7-4</v>
      </c>
      <c r="HI701" s="14">
        <f t="shared" si="269"/>
        <v>15</v>
      </c>
      <c r="HJ701" s="14" t="s">
        <v>1595</v>
      </c>
      <c r="HK701" s="14">
        <f t="shared" si="270"/>
        <v>39650</v>
      </c>
    </row>
    <row r="702" spans="207:219" ht="16.5" x14ac:dyDescent="0.2">
      <c r="GY702" s="91">
        <v>696</v>
      </c>
      <c r="GZ702" s="14">
        <f t="shared" si="261"/>
        <v>38</v>
      </c>
      <c r="HA702" s="14">
        <f t="shared" si="262"/>
        <v>7</v>
      </c>
      <c r="HB702" s="14">
        <f t="shared" si="263"/>
        <v>3</v>
      </c>
      <c r="HC702" s="14">
        <f t="shared" si="264"/>
        <v>0.96899999999999997</v>
      </c>
      <c r="HD702" s="14">
        <f t="shared" si="265"/>
        <v>1606040</v>
      </c>
      <c r="HE702" s="14" t="str">
        <f t="shared" si="266"/>
        <v>神器7-4 : 21级</v>
      </c>
      <c r="HF702" s="14" t="s">
        <v>800</v>
      </c>
      <c r="HG702" s="14">
        <f t="shared" si="267"/>
        <v>21</v>
      </c>
      <c r="HH702" s="14" t="str">
        <f t="shared" si="268"/>
        <v>神器7-4</v>
      </c>
      <c r="HI702" s="14">
        <f t="shared" si="269"/>
        <v>15</v>
      </c>
      <c r="HJ702" s="14" t="s">
        <v>1595</v>
      </c>
      <c r="HK702" s="14">
        <f t="shared" si="270"/>
        <v>40250</v>
      </c>
    </row>
    <row r="703" spans="207:219" ht="16.5" x14ac:dyDescent="0.2">
      <c r="GY703" s="91">
        <v>697</v>
      </c>
      <c r="GZ703" s="14">
        <f t="shared" si="261"/>
        <v>39</v>
      </c>
      <c r="HA703" s="14">
        <f t="shared" si="262"/>
        <v>7</v>
      </c>
      <c r="HB703" s="14">
        <f t="shared" si="263"/>
        <v>3</v>
      </c>
      <c r="HC703" s="14">
        <f t="shared" si="264"/>
        <v>0.61499999999999999</v>
      </c>
      <c r="HD703" s="14">
        <f t="shared" si="265"/>
        <v>1606041</v>
      </c>
      <c r="HE703" s="14" t="str">
        <f t="shared" si="266"/>
        <v>神器7-5 : 1级</v>
      </c>
      <c r="HF703" s="14" t="s">
        <v>800</v>
      </c>
      <c r="HG703" s="14">
        <f t="shared" si="267"/>
        <v>1</v>
      </c>
      <c r="HH703" s="14" t="str">
        <f t="shared" si="268"/>
        <v>神器7-5</v>
      </c>
      <c r="HI703" s="14">
        <f t="shared" si="269"/>
        <v>1</v>
      </c>
      <c r="HJ703" s="14" t="s">
        <v>1595</v>
      </c>
      <c r="HK703" s="14">
        <f t="shared" si="270"/>
        <v>25550</v>
      </c>
    </row>
    <row r="704" spans="207:219" ht="16.5" x14ac:dyDescent="0.2">
      <c r="GY704" s="91">
        <v>698</v>
      </c>
      <c r="GZ704" s="14">
        <f t="shared" si="261"/>
        <v>39</v>
      </c>
      <c r="HA704" s="14">
        <f t="shared" si="262"/>
        <v>7</v>
      </c>
      <c r="HB704" s="14">
        <f t="shared" si="263"/>
        <v>3</v>
      </c>
      <c r="HC704" s="14">
        <f t="shared" si="264"/>
        <v>0.63700000000000001</v>
      </c>
      <c r="HD704" s="14">
        <f t="shared" si="265"/>
        <v>1606041</v>
      </c>
      <c r="HE704" s="14" t="str">
        <f t="shared" si="266"/>
        <v>神器7-5 : 2级</v>
      </c>
      <c r="HF704" s="14" t="s">
        <v>800</v>
      </c>
      <c r="HG704" s="14">
        <f t="shared" si="267"/>
        <v>2</v>
      </c>
      <c r="HH704" s="14" t="str">
        <f t="shared" si="268"/>
        <v>神器7-5</v>
      </c>
      <c r="HI704" s="14">
        <f t="shared" si="269"/>
        <v>1</v>
      </c>
      <c r="HJ704" s="14" t="s">
        <v>1595</v>
      </c>
      <c r="HK704" s="14">
        <f t="shared" si="270"/>
        <v>26500</v>
      </c>
    </row>
    <row r="705" spans="207:219" ht="16.5" x14ac:dyDescent="0.2">
      <c r="GY705" s="91">
        <v>699</v>
      </c>
      <c r="GZ705" s="14">
        <f t="shared" si="261"/>
        <v>39</v>
      </c>
      <c r="HA705" s="14">
        <f t="shared" si="262"/>
        <v>7</v>
      </c>
      <c r="HB705" s="14">
        <f t="shared" si="263"/>
        <v>3</v>
      </c>
      <c r="HC705" s="14">
        <f t="shared" si="264"/>
        <v>0.65900000000000003</v>
      </c>
      <c r="HD705" s="14">
        <f t="shared" si="265"/>
        <v>1606041</v>
      </c>
      <c r="HE705" s="14" t="str">
        <f t="shared" si="266"/>
        <v>神器7-5 : 3级</v>
      </c>
      <c r="HF705" s="14" t="s">
        <v>800</v>
      </c>
      <c r="HG705" s="14">
        <f t="shared" si="267"/>
        <v>3</v>
      </c>
      <c r="HH705" s="14" t="str">
        <f t="shared" si="268"/>
        <v>神器7-5</v>
      </c>
      <c r="HI705" s="14">
        <f t="shared" si="269"/>
        <v>1</v>
      </c>
      <c r="HJ705" s="14" t="s">
        <v>1595</v>
      </c>
      <c r="HK705" s="14">
        <f t="shared" si="270"/>
        <v>27400</v>
      </c>
    </row>
    <row r="706" spans="207:219" ht="16.5" x14ac:dyDescent="0.2">
      <c r="GY706" s="91">
        <v>700</v>
      </c>
      <c r="GZ706" s="14">
        <f t="shared" si="261"/>
        <v>39</v>
      </c>
      <c r="HA706" s="14">
        <f t="shared" si="262"/>
        <v>7</v>
      </c>
      <c r="HB706" s="14">
        <f t="shared" si="263"/>
        <v>3</v>
      </c>
      <c r="HC706" s="14">
        <f t="shared" si="264"/>
        <v>0.68</v>
      </c>
      <c r="HD706" s="14">
        <f t="shared" si="265"/>
        <v>1606041</v>
      </c>
      <c r="HE706" s="14" t="str">
        <f t="shared" si="266"/>
        <v>神器7-5 : 4级</v>
      </c>
      <c r="HF706" s="14" t="s">
        <v>800</v>
      </c>
      <c r="HG706" s="14">
        <f t="shared" si="267"/>
        <v>4</v>
      </c>
      <c r="HH706" s="14" t="str">
        <f t="shared" si="268"/>
        <v>神器7-5</v>
      </c>
      <c r="HI706" s="14">
        <f t="shared" si="269"/>
        <v>2</v>
      </c>
      <c r="HJ706" s="14" t="s">
        <v>1595</v>
      </c>
      <c r="HK706" s="14">
        <f t="shared" si="270"/>
        <v>28250</v>
      </c>
    </row>
    <row r="707" spans="207:219" ht="16.5" x14ac:dyDescent="0.2">
      <c r="GY707" s="91">
        <v>701</v>
      </c>
      <c r="GZ707" s="14">
        <f t="shared" si="261"/>
        <v>39</v>
      </c>
      <c r="HA707" s="14">
        <f t="shared" si="262"/>
        <v>7</v>
      </c>
      <c r="HB707" s="14">
        <f t="shared" si="263"/>
        <v>3</v>
      </c>
      <c r="HC707" s="14">
        <f t="shared" si="264"/>
        <v>0.7</v>
      </c>
      <c r="HD707" s="14">
        <f t="shared" si="265"/>
        <v>1606041</v>
      </c>
      <c r="HE707" s="14" t="str">
        <f t="shared" si="266"/>
        <v>神器7-5 : 5级</v>
      </c>
      <c r="HF707" s="14" t="s">
        <v>800</v>
      </c>
      <c r="HG707" s="14">
        <f t="shared" si="267"/>
        <v>5</v>
      </c>
      <c r="HH707" s="14" t="str">
        <f t="shared" si="268"/>
        <v>神器7-5</v>
      </c>
      <c r="HI707" s="14">
        <f t="shared" si="269"/>
        <v>2</v>
      </c>
      <c r="HJ707" s="14" t="s">
        <v>1595</v>
      </c>
      <c r="HK707" s="14">
        <f t="shared" si="270"/>
        <v>29100</v>
      </c>
    </row>
    <row r="708" spans="207:219" ht="16.5" x14ac:dyDescent="0.2">
      <c r="GY708" s="91">
        <v>702</v>
      </c>
      <c r="GZ708" s="14">
        <f t="shared" si="261"/>
        <v>39</v>
      </c>
      <c r="HA708" s="14">
        <f t="shared" si="262"/>
        <v>7</v>
      </c>
      <c r="HB708" s="14">
        <f t="shared" si="263"/>
        <v>3</v>
      </c>
      <c r="HC708" s="14">
        <f t="shared" si="264"/>
        <v>0.72</v>
      </c>
      <c r="HD708" s="14">
        <f t="shared" si="265"/>
        <v>1606041</v>
      </c>
      <c r="HE708" s="14" t="str">
        <f t="shared" si="266"/>
        <v>神器7-5 : 6级</v>
      </c>
      <c r="HF708" s="14" t="s">
        <v>800</v>
      </c>
      <c r="HG708" s="14">
        <f t="shared" si="267"/>
        <v>6</v>
      </c>
      <c r="HH708" s="14" t="str">
        <f t="shared" si="268"/>
        <v>神器7-5</v>
      </c>
      <c r="HI708" s="14">
        <f t="shared" si="269"/>
        <v>2</v>
      </c>
      <c r="HJ708" s="14" t="s">
        <v>1595</v>
      </c>
      <c r="HK708" s="14">
        <f t="shared" si="270"/>
        <v>29900</v>
      </c>
    </row>
    <row r="709" spans="207:219" ht="16.5" x14ac:dyDescent="0.2">
      <c r="GY709" s="91">
        <v>703</v>
      </c>
      <c r="GZ709" s="14">
        <f t="shared" si="261"/>
        <v>39</v>
      </c>
      <c r="HA709" s="14">
        <f t="shared" si="262"/>
        <v>7</v>
      </c>
      <c r="HB709" s="14">
        <f t="shared" si="263"/>
        <v>3</v>
      </c>
      <c r="HC709" s="14">
        <f t="shared" si="264"/>
        <v>0.73899999999999999</v>
      </c>
      <c r="HD709" s="14">
        <f t="shared" si="265"/>
        <v>1606041</v>
      </c>
      <c r="HE709" s="14" t="str">
        <f t="shared" si="266"/>
        <v>神器7-5 : 7级</v>
      </c>
      <c r="HF709" s="14" t="s">
        <v>800</v>
      </c>
      <c r="HG709" s="14">
        <f t="shared" si="267"/>
        <v>7</v>
      </c>
      <c r="HH709" s="14" t="str">
        <f t="shared" si="268"/>
        <v>神器7-5</v>
      </c>
      <c r="HI709" s="14">
        <f t="shared" si="269"/>
        <v>3</v>
      </c>
      <c r="HJ709" s="14" t="s">
        <v>1595</v>
      </c>
      <c r="HK709" s="14">
        <f t="shared" si="270"/>
        <v>30700</v>
      </c>
    </row>
    <row r="710" spans="207:219" ht="16.5" x14ac:dyDescent="0.2">
      <c r="GY710" s="91">
        <v>704</v>
      </c>
      <c r="GZ710" s="14">
        <f t="shared" si="261"/>
        <v>39</v>
      </c>
      <c r="HA710" s="14">
        <f t="shared" si="262"/>
        <v>7</v>
      </c>
      <c r="HB710" s="14">
        <f t="shared" si="263"/>
        <v>3</v>
      </c>
      <c r="HC710" s="14">
        <f t="shared" si="264"/>
        <v>0.75800000000000001</v>
      </c>
      <c r="HD710" s="14">
        <f t="shared" si="265"/>
        <v>1606041</v>
      </c>
      <c r="HE710" s="14" t="str">
        <f t="shared" si="266"/>
        <v>神器7-5 : 8级</v>
      </c>
      <c r="HF710" s="14" t="s">
        <v>800</v>
      </c>
      <c r="HG710" s="14">
        <f t="shared" si="267"/>
        <v>8</v>
      </c>
      <c r="HH710" s="14" t="str">
        <f t="shared" si="268"/>
        <v>神器7-5</v>
      </c>
      <c r="HI710" s="14">
        <f t="shared" si="269"/>
        <v>3</v>
      </c>
      <c r="HJ710" s="14" t="s">
        <v>1595</v>
      </c>
      <c r="HK710" s="14">
        <f t="shared" si="270"/>
        <v>31500</v>
      </c>
    </row>
    <row r="711" spans="207:219" ht="16.5" x14ac:dyDescent="0.2">
      <c r="GY711" s="91">
        <v>705</v>
      </c>
      <c r="GZ711" s="14">
        <f t="shared" si="261"/>
        <v>39</v>
      </c>
      <c r="HA711" s="14">
        <f t="shared" si="262"/>
        <v>7</v>
      </c>
      <c r="HB711" s="14">
        <f t="shared" si="263"/>
        <v>3</v>
      </c>
      <c r="HC711" s="14">
        <f t="shared" si="264"/>
        <v>0.77600000000000002</v>
      </c>
      <c r="HD711" s="14">
        <f t="shared" si="265"/>
        <v>1606041</v>
      </c>
      <c r="HE711" s="14" t="str">
        <f t="shared" si="266"/>
        <v>神器7-5 : 9级</v>
      </c>
      <c r="HF711" s="14" t="s">
        <v>800</v>
      </c>
      <c r="HG711" s="14">
        <f t="shared" si="267"/>
        <v>9</v>
      </c>
      <c r="HH711" s="14" t="str">
        <f t="shared" si="268"/>
        <v>神器7-5</v>
      </c>
      <c r="HI711" s="14">
        <f t="shared" si="269"/>
        <v>3</v>
      </c>
      <c r="HJ711" s="14" t="s">
        <v>1595</v>
      </c>
      <c r="HK711" s="14">
        <f t="shared" si="270"/>
        <v>32250</v>
      </c>
    </row>
    <row r="712" spans="207:219" ht="16.5" x14ac:dyDescent="0.2">
      <c r="GY712" s="91">
        <v>706</v>
      </c>
      <c r="GZ712" s="14">
        <f t="shared" ref="GZ712:GZ775" si="271">MATCH(GY712-1,$R$7:$R$49,1)</f>
        <v>39</v>
      </c>
      <c r="HA712" s="14">
        <f t="shared" ref="HA712:HA775" si="272">INDEX($N$8:$N$49,GZ712)</f>
        <v>7</v>
      </c>
      <c r="HB712" s="14">
        <f t="shared" ref="HB712:HB775" si="273">INDEX($P$8:$P$49,GZ712)</f>
        <v>3</v>
      </c>
      <c r="HC712" s="14">
        <f t="shared" ref="HC712:HC775" si="274">ROUND(SQRT(INDEX($BJ$7:$BJ$27,HG712)*INDEX($H$7:$H$10,HB712)),3)</f>
        <v>0.79400000000000004</v>
      </c>
      <c r="HD712" s="14">
        <f t="shared" ref="HD712:HD775" si="275">INDEX($S$8:$S$49,GZ712)</f>
        <v>1606041</v>
      </c>
      <c r="HE712" s="14" t="str">
        <f t="shared" ref="HE712:HE775" si="276">INDEX($T$8:$T$49,GZ712)&amp;" : "&amp;HG712&amp;"级"</f>
        <v>神器7-5 : 10级</v>
      </c>
      <c r="HF712" s="14" t="s">
        <v>800</v>
      </c>
      <c r="HG712" s="14">
        <f t="shared" ref="HG712:HG765" si="277">GY712-INDEX($R$7:$R$49,GZ712)</f>
        <v>10</v>
      </c>
      <c r="HH712" s="14" t="str">
        <f t="shared" ref="HH712:HH765" si="278">INDEX($T$8:$T$49,GZ712)</f>
        <v>神器7-5</v>
      </c>
      <c r="HI712" s="14">
        <f t="shared" ref="HI712:HI765" si="279">INDEX($K$8:$K$28,HG712)</f>
        <v>5</v>
      </c>
      <c r="HJ712" s="14" t="s">
        <v>1595</v>
      </c>
      <c r="HK712" s="14">
        <f t="shared" ref="HK712:HK775" si="280">ROUND(INDEX($Y$8:$Y$14,HA712)/INDEX($Z$8:$Z$14,HA712)*HC712/50,0)*50</f>
        <v>33000</v>
      </c>
    </row>
    <row r="713" spans="207:219" ht="16.5" x14ac:dyDescent="0.2">
      <c r="GY713" s="91">
        <v>707</v>
      </c>
      <c r="GZ713" s="14">
        <f t="shared" si="271"/>
        <v>39</v>
      </c>
      <c r="HA713" s="14">
        <f t="shared" si="272"/>
        <v>7</v>
      </c>
      <c r="HB713" s="14">
        <f t="shared" si="273"/>
        <v>3</v>
      </c>
      <c r="HC713" s="14">
        <f t="shared" si="274"/>
        <v>0.81100000000000005</v>
      </c>
      <c r="HD713" s="14">
        <f t="shared" si="275"/>
        <v>1606041</v>
      </c>
      <c r="HE713" s="14" t="str">
        <f t="shared" si="276"/>
        <v>神器7-5 : 11级</v>
      </c>
      <c r="HF713" s="14" t="s">
        <v>800</v>
      </c>
      <c r="HG713" s="14">
        <f t="shared" si="277"/>
        <v>11</v>
      </c>
      <c r="HH713" s="14" t="str">
        <f t="shared" si="278"/>
        <v>神器7-5</v>
      </c>
      <c r="HI713" s="14">
        <f t="shared" si="279"/>
        <v>5</v>
      </c>
      <c r="HJ713" s="14" t="s">
        <v>1595</v>
      </c>
      <c r="HK713" s="14">
        <f t="shared" si="280"/>
        <v>33700</v>
      </c>
    </row>
    <row r="714" spans="207:219" ht="16.5" x14ac:dyDescent="0.2">
      <c r="GY714" s="91">
        <v>708</v>
      </c>
      <c r="GZ714" s="14">
        <f t="shared" si="271"/>
        <v>39</v>
      </c>
      <c r="HA714" s="14">
        <f t="shared" si="272"/>
        <v>7</v>
      </c>
      <c r="HB714" s="14">
        <f t="shared" si="273"/>
        <v>3</v>
      </c>
      <c r="HC714" s="14">
        <f t="shared" si="274"/>
        <v>0.82799999999999996</v>
      </c>
      <c r="HD714" s="14">
        <f t="shared" si="275"/>
        <v>1606041</v>
      </c>
      <c r="HE714" s="14" t="str">
        <f t="shared" si="276"/>
        <v>神器7-5 : 12级</v>
      </c>
      <c r="HF714" s="14" t="s">
        <v>800</v>
      </c>
      <c r="HG714" s="14">
        <f t="shared" si="277"/>
        <v>12</v>
      </c>
      <c r="HH714" s="14" t="str">
        <f t="shared" si="278"/>
        <v>神器7-5</v>
      </c>
      <c r="HI714" s="14">
        <f t="shared" si="279"/>
        <v>6</v>
      </c>
      <c r="HJ714" s="14" t="s">
        <v>1595</v>
      </c>
      <c r="HK714" s="14">
        <f t="shared" si="280"/>
        <v>34400</v>
      </c>
    </row>
    <row r="715" spans="207:219" ht="16.5" x14ac:dyDescent="0.2">
      <c r="GY715" s="91">
        <v>709</v>
      </c>
      <c r="GZ715" s="14">
        <f t="shared" si="271"/>
        <v>39</v>
      </c>
      <c r="HA715" s="14">
        <f t="shared" si="272"/>
        <v>7</v>
      </c>
      <c r="HB715" s="14">
        <f t="shared" si="273"/>
        <v>3</v>
      </c>
      <c r="HC715" s="14">
        <f t="shared" si="274"/>
        <v>0.84499999999999997</v>
      </c>
      <c r="HD715" s="14">
        <f t="shared" si="275"/>
        <v>1606041</v>
      </c>
      <c r="HE715" s="14" t="str">
        <f t="shared" si="276"/>
        <v>神器7-5 : 13级</v>
      </c>
      <c r="HF715" s="14" t="s">
        <v>800</v>
      </c>
      <c r="HG715" s="14">
        <f t="shared" si="277"/>
        <v>13</v>
      </c>
      <c r="HH715" s="14" t="str">
        <f t="shared" si="278"/>
        <v>神器7-5</v>
      </c>
      <c r="HI715" s="14">
        <f t="shared" si="279"/>
        <v>7</v>
      </c>
      <c r="HJ715" s="14" t="s">
        <v>1595</v>
      </c>
      <c r="HK715" s="14">
        <f t="shared" si="280"/>
        <v>35100</v>
      </c>
    </row>
    <row r="716" spans="207:219" ht="16.5" x14ac:dyDescent="0.2">
      <c r="GY716" s="91">
        <v>710</v>
      </c>
      <c r="GZ716" s="14">
        <f t="shared" si="271"/>
        <v>39</v>
      </c>
      <c r="HA716" s="14">
        <f t="shared" si="272"/>
        <v>7</v>
      </c>
      <c r="HB716" s="14">
        <f t="shared" si="273"/>
        <v>3</v>
      </c>
      <c r="HC716" s="14">
        <f t="shared" si="274"/>
        <v>0.86099999999999999</v>
      </c>
      <c r="HD716" s="14">
        <f t="shared" si="275"/>
        <v>1606041</v>
      </c>
      <c r="HE716" s="14" t="str">
        <f t="shared" si="276"/>
        <v>神器7-5 : 14级</v>
      </c>
      <c r="HF716" s="14" t="s">
        <v>800</v>
      </c>
      <c r="HG716" s="14">
        <f t="shared" si="277"/>
        <v>14</v>
      </c>
      <c r="HH716" s="14" t="str">
        <f t="shared" si="278"/>
        <v>神器7-5</v>
      </c>
      <c r="HI716" s="14">
        <f t="shared" si="279"/>
        <v>7</v>
      </c>
      <c r="HJ716" s="14" t="s">
        <v>1595</v>
      </c>
      <c r="HK716" s="14">
        <f t="shared" si="280"/>
        <v>35800</v>
      </c>
    </row>
    <row r="717" spans="207:219" ht="16.5" x14ac:dyDescent="0.2">
      <c r="GY717" s="91">
        <v>711</v>
      </c>
      <c r="GZ717" s="14">
        <f t="shared" si="271"/>
        <v>39</v>
      </c>
      <c r="HA717" s="14">
        <f t="shared" si="272"/>
        <v>7</v>
      </c>
      <c r="HB717" s="14">
        <f t="shared" si="273"/>
        <v>3</v>
      </c>
      <c r="HC717" s="14">
        <f t="shared" si="274"/>
        <v>0.877</v>
      </c>
      <c r="HD717" s="14">
        <f t="shared" si="275"/>
        <v>1606041</v>
      </c>
      <c r="HE717" s="14" t="str">
        <f t="shared" si="276"/>
        <v>神器7-5 : 15级</v>
      </c>
      <c r="HF717" s="14" t="s">
        <v>800</v>
      </c>
      <c r="HG717" s="14">
        <f t="shared" si="277"/>
        <v>15</v>
      </c>
      <c r="HH717" s="14" t="str">
        <f t="shared" si="278"/>
        <v>神器7-5</v>
      </c>
      <c r="HI717" s="14">
        <f t="shared" si="279"/>
        <v>7</v>
      </c>
      <c r="HJ717" s="14" t="s">
        <v>1595</v>
      </c>
      <c r="HK717" s="14">
        <f t="shared" si="280"/>
        <v>36450</v>
      </c>
    </row>
    <row r="718" spans="207:219" ht="16.5" x14ac:dyDescent="0.2">
      <c r="GY718" s="91">
        <v>712</v>
      </c>
      <c r="GZ718" s="14">
        <f t="shared" si="271"/>
        <v>39</v>
      </c>
      <c r="HA718" s="14">
        <f t="shared" si="272"/>
        <v>7</v>
      </c>
      <c r="HB718" s="14">
        <f t="shared" si="273"/>
        <v>3</v>
      </c>
      <c r="HC718" s="14">
        <f t="shared" si="274"/>
        <v>0.89300000000000002</v>
      </c>
      <c r="HD718" s="14">
        <f t="shared" si="275"/>
        <v>1606041</v>
      </c>
      <c r="HE718" s="14" t="str">
        <f t="shared" si="276"/>
        <v>神器7-5 : 16级</v>
      </c>
      <c r="HF718" s="14" t="s">
        <v>800</v>
      </c>
      <c r="HG718" s="14">
        <f t="shared" si="277"/>
        <v>16</v>
      </c>
      <c r="HH718" s="14" t="str">
        <f t="shared" si="278"/>
        <v>神器7-5</v>
      </c>
      <c r="HI718" s="14">
        <f t="shared" si="279"/>
        <v>10</v>
      </c>
      <c r="HJ718" s="14" t="s">
        <v>1595</v>
      </c>
      <c r="HK718" s="14">
        <f t="shared" si="280"/>
        <v>37100</v>
      </c>
    </row>
    <row r="719" spans="207:219" ht="16.5" x14ac:dyDescent="0.2">
      <c r="GY719" s="91">
        <v>713</v>
      </c>
      <c r="GZ719" s="14">
        <f t="shared" si="271"/>
        <v>39</v>
      </c>
      <c r="HA719" s="14">
        <f t="shared" si="272"/>
        <v>7</v>
      </c>
      <c r="HB719" s="14">
        <f t="shared" si="273"/>
        <v>3</v>
      </c>
      <c r="HC719" s="14">
        <f t="shared" si="274"/>
        <v>0.90900000000000003</v>
      </c>
      <c r="HD719" s="14">
        <f t="shared" si="275"/>
        <v>1606041</v>
      </c>
      <c r="HE719" s="14" t="str">
        <f t="shared" si="276"/>
        <v>神器7-5 : 17级</v>
      </c>
      <c r="HF719" s="14" t="s">
        <v>800</v>
      </c>
      <c r="HG719" s="14">
        <f t="shared" si="277"/>
        <v>17</v>
      </c>
      <c r="HH719" s="14" t="str">
        <f t="shared" si="278"/>
        <v>神器7-5</v>
      </c>
      <c r="HI719" s="14">
        <f t="shared" si="279"/>
        <v>10</v>
      </c>
      <c r="HJ719" s="14" t="s">
        <v>1595</v>
      </c>
      <c r="HK719" s="14">
        <f t="shared" si="280"/>
        <v>37800</v>
      </c>
    </row>
    <row r="720" spans="207:219" ht="16.5" x14ac:dyDescent="0.2">
      <c r="GY720" s="91">
        <v>714</v>
      </c>
      <c r="GZ720" s="14">
        <f t="shared" si="271"/>
        <v>39</v>
      </c>
      <c r="HA720" s="14">
        <f t="shared" si="272"/>
        <v>7</v>
      </c>
      <c r="HB720" s="14">
        <f t="shared" si="273"/>
        <v>3</v>
      </c>
      <c r="HC720" s="14">
        <f t="shared" si="274"/>
        <v>0.92400000000000004</v>
      </c>
      <c r="HD720" s="14">
        <f t="shared" si="275"/>
        <v>1606041</v>
      </c>
      <c r="HE720" s="14" t="str">
        <f t="shared" si="276"/>
        <v>神器7-5 : 18级</v>
      </c>
      <c r="HF720" s="14" t="s">
        <v>800</v>
      </c>
      <c r="HG720" s="14">
        <f t="shared" si="277"/>
        <v>18</v>
      </c>
      <c r="HH720" s="14" t="str">
        <f t="shared" si="278"/>
        <v>神器7-5</v>
      </c>
      <c r="HI720" s="14">
        <f t="shared" si="279"/>
        <v>10</v>
      </c>
      <c r="HJ720" s="14" t="s">
        <v>1595</v>
      </c>
      <c r="HK720" s="14">
        <f t="shared" si="280"/>
        <v>38400</v>
      </c>
    </row>
    <row r="721" spans="207:219" ht="16.5" x14ac:dyDescent="0.2">
      <c r="GY721" s="91">
        <v>715</v>
      </c>
      <c r="GZ721" s="14">
        <f t="shared" si="271"/>
        <v>39</v>
      </c>
      <c r="HA721" s="14">
        <f t="shared" si="272"/>
        <v>7</v>
      </c>
      <c r="HB721" s="14">
        <f t="shared" si="273"/>
        <v>3</v>
      </c>
      <c r="HC721" s="14">
        <f t="shared" si="274"/>
        <v>0.93899999999999995</v>
      </c>
      <c r="HD721" s="14">
        <f t="shared" si="275"/>
        <v>1606041</v>
      </c>
      <c r="HE721" s="14" t="str">
        <f t="shared" si="276"/>
        <v>神器7-5 : 19级</v>
      </c>
      <c r="HF721" s="14" t="s">
        <v>800</v>
      </c>
      <c r="HG721" s="14">
        <f t="shared" si="277"/>
        <v>19</v>
      </c>
      <c r="HH721" s="14" t="str">
        <f t="shared" si="278"/>
        <v>神器7-5</v>
      </c>
      <c r="HI721" s="14">
        <f t="shared" si="279"/>
        <v>15</v>
      </c>
      <c r="HJ721" s="14" t="s">
        <v>1595</v>
      </c>
      <c r="HK721" s="14">
        <f t="shared" si="280"/>
        <v>39050</v>
      </c>
    </row>
    <row r="722" spans="207:219" ht="16.5" x14ac:dyDescent="0.2">
      <c r="GY722" s="91">
        <v>716</v>
      </c>
      <c r="GZ722" s="14">
        <f t="shared" si="271"/>
        <v>39</v>
      </c>
      <c r="HA722" s="14">
        <f t="shared" si="272"/>
        <v>7</v>
      </c>
      <c r="HB722" s="14">
        <f t="shared" si="273"/>
        <v>3</v>
      </c>
      <c r="HC722" s="14">
        <f t="shared" si="274"/>
        <v>0.95399999999999996</v>
      </c>
      <c r="HD722" s="14">
        <f t="shared" si="275"/>
        <v>1606041</v>
      </c>
      <c r="HE722" s="14" t="str">
        <f t="shared" si="276"/>
        <v>神器7-5 : 20级</v>
      </c>
      <c r="HF722" s="14" t="s">
        <v>800</v>
      </c>
      <c r="HG722" s="14">
        <f t="shared" si="277"/>
        <v>20</v>
      </c>
      <c r="HH722" s="14" t="str">
        <f t="shared" si="278"/>
        <v>神器7-5</v>
      </c>
      <c r="HI722" s="14">
        <f t="shared" si="279"/>
        <v>15</v>
      </c>
      <c r="HJ722" s="14" t="s">
        <v>1595</v>
      </c>
      <c r="HK722" s="14">
        <f t="shared" si="280"/>
        <v>39650</v>
      </c>
    </row>
    <row r="723" spans="207:219" ht="16.5" x14ac:dyDescent="0.2">
      <c r="GY723" s="91">
        <v>717</v>
      </c>
      <c r="GZ723" s="14">
        <f t="shared" si="271"/>
        <v>39</v>
      </c>
      <c r="HA723" s="14">
        <f t="shared" si="272"/>
        <v>7</v>
      </c>
      <c r="HB723" s="14">
        <f t="shared" si="273"/>
        <v>3</v>
      </c>
      <c r="HC723" s="14">
        <f t="shared" si="274"/>
        <v>0.96899999999999997</v>
      </c>
      <c r="HD723" s="14">
        <f t="shared" si="275"/>
        <v>1606041</v>
      </c>
      <c r="HE723" s="14" t="str">
        <f t="shared" si="276"/>
        <v>神器7-5 : 21级</v>
      </c>
      <c r="HF723" s="14" t="s">
        <v>800</v>
      </c>
      <c r="HG723" s="14">
        <f t="shared" si="277"/>
        <v>21</v>
      </c>
      <c r="HH723" s="14" t="str">
        <f t="shared" si="278"/>
        <v>神器7-5</v>
      </c>
      <c r="HI723" s="14">
        <f t="shared" si="279"/>
        <v>15</v>
      </c>
      <c r="HJ723" s="14" t="s">
        <v>1595</v>
      </c>
      <c r="HK723" s="14">
        <f t="shared" si="280"/>
        <v>40250</v>
      </c>
    </row>
    <row r="724" spans="207:219" ht="16.5" x14ac:dyDescent="0.2">
      <c r="GY724" s="91">
        <v>718</v>
      </c>
      <c r="GZ724" s="14">
        <f t="shared" si="271"/>
        <v>40</v>
      </c>
      <c r="HA724" s="14">
        <f t="shared" si="272"/>
        <v>7</v>
      </c>
      <c r="HB724" s="14">
        <f t="shared" si="273"/>
        <v>3</v>
      </c>
      <c r="HC724" s="14">
        <f t="shared" si="274"/>
        <v>0.61499999999999999</v>
      </c>
      <c r="HD724" s="14">
        <f t="shared" si="275"/>
        <v>1606042</v>
      </c>
      <c r="HE724" s="14" t="str">
        <f t="shared" si="276"/>
        <v>神器7-6 : 1级</v>
      </c>
      <c r="HF724" s="14" t="s">
        <v>800</v>
      </c>
      <c r="HG724" s="14">
        <f t="shared" si="277"/>
        <v>1</v>
      </c>
      <c r="HH724" s="14" t="str">
        <f t="shared" si="278"/>
        <v>神器7-6</v>
      </c>
      <c r="HI724" s="14">
        <f t="shared" si="279"/>
        <v>1</v>
      </c>
      <c r="HJ724" s="14" t="s">
        <v>1595</v>
      </c>
      <c r="HK724" s="14">
        <f t="shared" si="280"/>
        <v>25550</v>
      </c>
    </row>
    <row r="725" spans="207:219" ht="16.5" x14ac:dyDescent="0.2">
      <c r="GY725" s="91">
        <v>719</v>
      </c>
      <c r="GZ725" s="14">
        <f t="shared" si="271"/>
        <v>40</v>
      </c>
      <c r="HA725" s="14">
        <f t="shared" si="272"/>
        <v>7</v>
      </c>
      <c r="HB725" s="14">
        <f t="shared" si="273"/>
        <v>3</v>
      </c>
      <c r="HC725" s="14">
        <f t="shared" si="274"/>
        <v>0.63700000000000001</v>
      </c>
      <c r="HD725" s="14">
        <f t="shared" si="275"/>
        <v>1606042</v>
      </c>
      <c r="HE725" s="14" t="str">
        <f t="shared" si="276"/>
        <v>神器7-6 : 2级</v>
      </c>
      <c r="HF725" s="14" t="s">
        <v>800</v>
      </c>
      <c r="HG725" s="14">
        <f t="shared" si="277"/>
        <v>2</v>
      </c>
      <c r="HH725" s="14" t="str">
        <f t="shared" si="278"/>
        <v>神器7-6</v>
      </c>
      <c r="HI725" s="14">
        <f t="shared" si="279"/>
        <v>1</v>
      </c>
      <c r="HJ725" s="14" t="s">
        <v>1595</v>
      </c>
      <c r="HK725" s="14">
        <f t="shared" si="280"/>
        <v>26500</v>
      </c>
    </row>
    <row r="726" spans="207:219" ht="16.5" x14ac:dyDescent="0.2">
      <c r="GY726" s="91">
        <v>720</v>
      </c>
      <c r="GZ726" s="14">
        <f t="shared" si="271"/>
        <v>40</v>
      </c>
      <c r="HA726" s="14">
        <f t="shared" si="272"/>
        <v>7</v>
      </c>
      <c r="HB726" s="14">
        <f t="shared" si="273"/>
        <v>3</v>
      </c>
      <c r="HC726" s="14">
        <f t="shared" si="274"/>
        <v>0.65900000000000003</v>
      </c>
      <c r="HD726" s="14">
        <f t="shared" si="275"/>
        <v>1606042</v>
      </c>
      <c r="HE726" s="14" t="str">
        <f t="shared" si="276"/>
        <v>神器7-6 : 3级</v>
      </c>
      <c r="HF726" s="14" t="s">
        <v>800</v>
      </c>
      <c r="HG726" s="14">
        <f t="shared" si="277"/>
        <v>3</v>
      </c>
      <c r="HH726" s="14" t="str">
        <f t="shared" si="278"/>
        <v>神器7-6</v>
      </c>
      <c r="HI726" s="14">
        <f t="shared" si="279"/>
        <v>1</v>
      </c>
      <c r="HJ726" s="14" t="s">
        <v>1595</v>
      </c>
      <c r="HK726" s="14">
        <f t="shared" si="280"/>
        <v>27400</v>
      </c>
    </row>
    <row r="727" spans="207:219" ht="16.5" x14ac:dyDescent="0.2">
      <c r="GY727" s="91">
        <v>721</v>
      </c>
      <c r="GZ727" s="14">
        <f t="shared" si="271"/>
        <v>40</v>
      </c>
      <c r="HA727" s="14">
        <f t="shared" si="272"/>
        <v>7</v>
      </c>
      <c r="HB727" s="14">
        <f t="shared" si="273"/>
        <v>3</v>
      </c>
      <c r="HC727" s="14">
        <f t="shared" si="274"/>
        <v>0.68</v>
      </c>
      <c r="HD727" s="14">
        <f t="shared" si="275"/>
        <v>1606042</v>
      </c>
      <c r="HE727" s="14" t="str">
        <f t="shared" si="276"/>
        <v>神器7-6 : 4级</v>
      </c>
      <c r="HF727" s="14" t="s">
        <v>800</v>
      </c>
      <c r="HG727" s="14">
        <f t="shared" si="277"/>
        <v>4</v>
      </c>
      <c r="HH727" s="14" t="str">
        <f t="shared" si="278"/>
        <v>神器7-6</v>
      </c>
      <c r="HI727" s="14">
        <f t="shared" si="279"/>
        <v>2</v>
      </c>
      <c r="HJ727" s="14" t="s">
        <v>1595</v>
      </c>
      <c r="HK727" s="14">
        <f t="shared" si="280"/>
        <v>28250</v>
      </c>
    </row>
    <row r="728" spans="207:219" ht="16.5" x14ac:dyDescent="0.2">
      <c r="GY728" s="91">
        <v>722</v>
      </c>
      <c r="GZ728" s="14">
        <f t="shared" si="271"/>
        <v>40</v>
      </c>
      <c r="HA728" s="14">
        <f t="shared" si="272"/>
        <v>7</v>
      </c>
      <c r="HB728" s="14">
        <f t="shared" si="273"/>
        <v>3</v>
      </c>
      <c r="HC728" s="14">
        <f t="shared" si="274"/>
        <v>0.7</v>
      </c>
      <c r="HD728" s="14">
        <f t="shared" si="275"/>
        <v>1606042</v>
      </c>
      <c r="HE728" s="14" t="str">
        <f t="shared" si="276"/>
        <v>神器7-6 : 5级</v>
      </c>
      <c r="HF728" s="14" t="s">
        <v>800</v>
      </c>
      <c r="HG728" s="14">
        <f t="shared" si="277"/>
        <v>5</v>
      </c>
      <c r="HH728" s="14" t="str">
        <f t="shared" si="278"/>
        <v>神器7-6</v>
      </c>
      <c r="HI728" s="14">
        <f t="shared" si="279"/>
        <v>2</v>
      </c>
      <c r="HJ728" s="14" t="s">
        <v>1595</v>
      </c>
      <c r="HK728" s="14">
        <f t="shared" si="280"/>
        <v>29100</v>
      </c>
    </row>
    <row r="729" spans="207:219" ht="16.5" x14ac:dyDescent="0.2">
      <c r="GY729" s="91">
        <v>723</v>
      </c>
      <c r="GZ729" s="14">
        <f t="shared" si="271"/>
        <v>40</v>
      </c>
      <c r="HA729" s="14">
        <f t="shared" si="272"/>
        <v>7</v>
      </c>
      <c r="HB729" s="14">
        <f t="shared" si="273"/>
        <v>3</v>
      </c>
      <c r="HC729" s="14">
        <f t="shared" si="274"/>
        <v>0.72</v>
      </c>
      <c r="HD729" s="14">
        <f t="shared" si="275"/>
        <v>1606042</v>
      </c>
      <c r="HE729" s="14" t="str">
        <f t="shared" si="276"/>
        <v>神器7-6 : 6级</v>
      </c>
      <c r="HF729" s="14" t="s">
        <v>800</v>
      </c>
      <c r="HG729" s="14">
        <f t="shared" si="277"/>
        <v>6</v>
      </c>
      <c r="HH729" s="14" t="str">
        <f t="shared" si="278"/>
        <v>神器7-6</v>
      </c>
      <c r="HI729" s="14">
        <f t="shared" si="279"/>
        <v>2</v>
      </c>
      <c r="HJ729" s="14" t="s">
        <v>1595</v>
      </c>
      <c r="HK729" s="14">
        <f t="shared" si="280"/>
        <v>29900</v>
      </c>
    </row>
    <row r="730" spans="207:219" ht="16.5" x14ac:dyDescent="0.2">
      <c r="GY730" s="91">
        <v>724</v>
      </c>
      <c r="GZ730" s="14">
        <f t="shared" si="271"/>
        <v>40</v>
      </c>
      <c r="HA730" s="14">
        <f t="shared" si="272"/>
        <v>7</v>
      </c>
      <c r="HB730" s="14">
        <f t="shared" si="273"/>
        <v>3</v>
      </c>
      <c r="HC730" s="14">
        <f t="shared" si="274"/>
        <v>0.73899999999999999</v>
      </c>
      <c r="HD730" s="14">
        <f t="shared" si="275"/>
        <v>1606042</v>
      </c>
      <c r="HE730" s="14" t="str">
        <f t="shared" si="276"/>
        <v>神器7-6 : 7级</v>
      </c>
      <c r="HF730" s="14" t="s">
        <v>800</v>
      </c>
      <c r="HG730" s="14">
        <f t="shared" si="277"/>
        <v>7</v>
      </c>
      <c r="HH730" s="14" t="str">
        <f t="shared" si="278"/>
        <v>神器7-6</v>
      </c>
      <c r="HI730" s="14">
        <f t="shared" si="279"/>
        <v>3</v>
      </c>
      <c r="HJ730" s="14" t="s">
        <v>1595</v>
      </c>
      <c r="HK730" s="14">
        <f t="shared" si="280"/>
        <v>30700</v>
      </c>
    </row>
    <row r="731" spans="207:219" ht="16.5" x14ac:dyDescent="0.2">
      <c r="GY731" s="91">
        <v>725</v>
      </c>
      <c r="GZ731" s="14">
        <f t="shared" si="271"/>
        <v>40</v>
      </c>
      <c r="HA731" s="14">
        <f t="shared" si="272"/>
        <v>7</v>
      </c>
      <c r="HB731" s="14">
        <f t="shared" si="273"/>
        <v>3</v>
      </c>
      <c r="HC731" s="14">
        <f t="shared" si="274"/>
        <v>0.75800000000000001</v>
      </c>
      <c r="HD731" s="14">
        <f t="shared" si="275"/>
        <v>1606042</v>
      </c>
      <c r="HE731" s="14" t="str">
        <f t="shared" si="276"/>
        <v>神器7-6 : 8级</v>
      </c>
      <c r="HF731" s="14" t="s">
        <v>800</v>
      </c>
      <c r="HG731" s="14">
        <f t="shared" si="277"/>
        <v>8</v>
      </c>
      <c r="HH731" s="14" t="str">
        <f t="shared" si="278"/>
        <v>神器7-6</v>
      </c>
      <c r="HI731" s="14">
        <f t="shared" si="279"/>
        <v>3</v>
      </c>
      <c r="HJ731" s="14" t="s">
        <v>1595</v>
      </c>
      <c r="HK731" s="14">
        <f t="shared" si="280"/>
        <v>31500</v>
      </c>
    </row>
    <row r="732" spans="207:219" ht="16.5" x14ac:dyDescent="0.2">
      <c r="GY732" s="91">
        <v>726</v>
      </c>
      <c r="GZ732" s="14">
        <f t="shared" si="271"/>
        <v>40</v>
      </c>
      <c r="HA732" s="14">
        <f t="shared" si="272"/>
        <v>7</v>
      </c>
      <c r="HB732" s="14">
        <f t="shared" si="273"/>
        <v>3</v>
      </c>
      <c r="HC732" s="14">
        <f t="shared" si="274"/>
        <v>0.77600000000000002</v>
      </c>
      <c r="HD732" s="14">
        <f t="shared" si="275"/>
        <v>1606042</v>
      </c>
      <c r="HE732" s="14" t="str">
        <f t="shared" si="276"/>
        <v>神器7-6 : 9级</v>
      </c>
      <c r="HF732" s="14" t="s">
        <v>800</v>
      </c>
      <c r="HG732" s="14">
        <f t="shared" si="277"/>
        <v>9</v>
      </c>
      <c r="HH732" s="14" t="str">
        <f t="shared" si="278"/>
        <v>神器7-6</v>
      </c>
      <c r="HI732" s="14">
        <f t="shared" si="279"/>
        <v>3</v>
      </c>
      <c r="HJ732" s="14" t="s">
        <v>1595</v>
      </c>
      <c r="HK732" s="14">
        <f t="shared" si="280"/>
        <v>32250</v>
      </c>
    </row>
    <row r="733" spans="207:219" ht="16.5" x14ac:dyDescent="0.2">
      <c r="GY733" s="91">
        <v>727</v>
      </c>
      <c r="GZ733" s="14">
        <f t="shared" si="271"/>
        <v>40</v>
      </c>
      <c r="HA733" s="14">
        <f t="shared" si="272"/>
        <v>7</v>
      </c>
      <c r="HB733" s="14">
        <f t="shared" si="273"/>
        <v>3</v>
      </c>
      <c r="HC733" s="14">
        <f t="shared" si="274"/>
        <v>0.79400000000000004</v>
      </c>
      <c r="HD733" s="14">
        <f t="shared" si="275"/>
        <v>1606042</v>
      </c>
      <c r="HE733" s="14" t="str">
        <f t="shared" si="276"/>
        <v>神器7-6 : 10级</v>
      </c>
      <c r="HF733" s="14" t="s">
        <v>800</v>
      </c>
      <c r="HG733" s="14">
        <f t="shared" si="277"/>
        <v>10</v>
      </c>
      <c r="HH733" s="14" t="str">
        <f t="shared" si="278"/>
        <v>神器7-6</v>
      </c>
      <c r="HI733" s="14">
        <f t="shared" si="279"/>
        <v>5</v>
      </c>
      <c r="HJ733" s="14" t="s">
        <v>1595</v>
      </c>
      <c r="HK733" s="14">
        <f t="shared" si="280"/>
        <v>33000</v>
      </c>
    </row>
    <row r="734" spans="207:219" ht="16.5" x14ac:dyDescent="0.2">
      <c r="GY734" s="91">
        <v>728</v>
      </c>
      <c r="GZ734" s="14">
        <f t="shared" si="271"/>
        <v>40</v>
      </c>
      <c r="HA734" s="14">
        <f t="shared" si="272"/>
        <v>7</v>
      </c>
      <c r="HB734" s="14">
        <f t="shared" si="273"/>
        <v>3</v>
      </c>
      <c r="HC734" s="14">
        <f t="shared" si="274"/>
        <v>0.81100000000000005</v>
      </c>
      <c r="HD734" s="14">
        <f t="shared" si="275"/>
        <v>1606042</v>
      </c>
      <c r="HE734" s="14" t="str">
        <f t="shared" si="276"/>
        <v>神器7-6 : 11级</v>
      </c>
      <c r="HF734" s="14" t="s">
        <v>800</v>
      </c>
      <c r="HG734" s="14">
        <f t="shared" si="277"/>
        <v>11</v>
      </c>
      <c r="HH734" s="14" t="str">
        <f t="shared" si="278"/>
        <v>神器7-6</v>
      </c>
      <c r="HI734" s="14">
        <f t="shared" si="279"/>
        <v>5</v>
      </c>
      <c r="HJ734" s="14" t="s">
        <v>1595</v>
      </c>
      <c r="HK734" s="14">
        <f t="shared" si="280"/>
        <v>33700</v>
      </c>
    </row>
    <row r="735" spans="207:219" ht="16.5" x14ac:dyDescent="0.2">
      <c r="GY735" s="91">
        <v>729</v>
      </c>
      <c r="GZ735" s="14">
        <f t="shared" si="271"/>
        <v>40</v>
      </c>
      <c r="HA735" s="14">
        <f t="shared" si="272"/>
        <v>7</v>
      </c>
      <c r="HB735" s="14">
        <f t="shared" si="273"/>
        <v>3</v>
      </c>
      <c r="HC735" s="14">
        <f t="shared" si="274"/>
        <v>0.82799999999999996</v>
      </c>
      <c r="HD735" s="14">
        <f t="shared" si="275"/>
        <v>1606042</v>
      </c>
      <c r="HE735" s="14" t="str">
        <f t="shared" si="276"/>
        <v>神器7-6 : 12级</v>
      </c>
      <c r="HF735" s="14" t="s">
        <v>800</v>
      </c>
      <c r="HG735" s="14">
        <f t="shared" si="277"/>
        <v>12</v>
      </c>
      <c r="HH735" s="14" t="str">
        <f t="shared" si="278"/>
        <v>神器7-6</v>
      </c>
      <c r="HI735" s="14">
        <f t="shared" si="279"/>
        <v>6</v>
      </c>
      <c r="HJ735" s="14" t="s">
        <v>1595</v>
      </c>
      <c r="HK735" s="14">
        <f t="shared" si="280"/>
        <v>34400</v>
      </c>
    </row>
    <row r="736" spans="207:219" ht="16.5" x14ac:dyDescent="0.2">
      <c r="GY736" s="91">
        <v>730</v>
      </c>
      <c r="GZ736" s="14">
        <f t="shared" si="271"/>
        <v>40</v>
      </c>
      <c r="HA736" s="14">
        <f t="shared" si="272"/>
        <v>7</v>
      </c>
      <c r="HB736" s="14">
        <f t="shared" si="273"/>
        <v>3</v>
      </c>
      <c r="HC736" s="14">
        <f t="shared" si="274"/>
        <v>0.84499999999999997</v>
      </c>
      <c r="HD736" s="14">
        <f t="shared" si="275"/>
        <v>1606042</v>
      </c>
      <c r="HE736" s="14" t="str">
        <f t="shared" si="276"/>
        <v>神器7-6 : 13级</v>
      </c>
      <c r="HF736" s="14" t="s">
        <v>800</v>
      </c>
      <c r="HG736" s="14">
        <f t="shared" si="277"/>
        <v>13</v>
      </c>
      <c r="HH736" s="14" t="str">
        <f t="shared" si="278"/>
        <v>神器7-6</v>
      </c>
      <c r="HI736" s="14">
        <f t="shared" si="279"/>
        <v>7</v>
      </c>
      <c r="HJ736" s="14" t="s">
        <v>1595</v>
      </c>
      <c r="HK736" s="14">
        <f t="shared" si="280"/>
        <v>35100</v>
      </c>
    </row>
    <row r="737" spans="207:219" ht="16.5" x14ac:dyDescent="0.2">
      <c r="GY737" s="91">
        <v>731</v>
      </c>
      <c r="GZ737" s="14">
        <f t="shared" si="271"/>
        <v>40</v>
      </c>
      <c r="HA737" s="14">
        <f t="shared" si="272"/>
        <v>7</v>
      </c>
      <c r="HB737" s="14">
        <f t="shared" si="273"/>
        <v>3</v>
      </c>
      <c r="HC737" s="14">
        <f t="shared" si="274"/>
        <v>0.86099999999999999</v>
      </c>
      <c r="HD737" s="14">
        <f t="shared" si="275"/>
        <v>1606042</v>
      </c>
      <c r="HE737" s="14" t="str">
        <f t="shared" si="276"/>
        <v>神器7-6 : 14级</v>
      </c>
      <c r="HF737" s="14" t="s">
        <v>800</v>
      </c>
      <c r="HG737" s="14">
        <f t="shared" si="277"/>
        <v>14</v>
      </c>
      <c r="HH737" s="14" t="str">
        <f t="shared" si="278"/>
        <v>神器7-6</v>
      </c>
      <c r="HI737" s="14">
        <f t="shared" si="279"/>
        <v>7</v>
      </c>
      <c r="HJ737" s="14" t="s">
        <v>1595</v>
      </c>
      <c r="HK737" s="14">
        <f t="shared" si="280"/>
        <v>35800</v>
      </c>
    </row>
    <row r="738" spans="207:219" ht="16.5" x14ac:dyDescent="0.2">
      <c r="GY738" s="91">
        <v>732</v>
      </c>
      <c r="GZ738" s="14">
        <f t="shared" si="271"/>
        <v>40</v>
      </c>
      <c r="HA738" s="14">
        <f t="shared" si="272"/>
        <v>7</v>
      </c>
      <c r="HB738" s="14">
        <f t="shared" si="273"/>
        <v>3</v>
      </c>
      <c r="HC738" s="14">
        <f t="shared" si="274"/>
        <v>0.877</v>
      </c>
      <c r="HD738" s="14">
        <f t="shared" si="275"/>
        <v>1606042</v>
      </c>
      <c r="HE738" s="14" t="str">
        <f t="shared" si="276"/>
        <v>神器7-6 : 15级</v>
      </c>
      <c r="HF738" s="14" t="s">
        <v>800</v>
      </c>
      <c r="HG738" s="14">
        <f t="shared" si="277"/>
        <v>15</v>
      </c>
      <c r="HH738" s="14" t="str">
        <f t="shared" si="278"/>
        <v>神器7-6</v>
      </c>
      <c r="HI738" s="14">
        <f t="shared" si="279"/>
        <v>7</v>
      </c>
      <c r="HJ738" s="14" t="s">
        <v>1595</v>
      </c>
      <c r="HK738" s="14">
        <f t="shared" si="280"/>
        <v>36450</v>
      </c>
    </row>
    <row r="739" spans="207:219" ht="16.5" x14ac:dyDescent="0.2">
      <c r="GY739" s="91">
        <v>733</v>
      </c>
      <c r="GZ739" s="14">
        <f t="shared" si="271"/>
        <v>40</v>
      </c>
      <c r="HA739" s="14">
        <f t="shared" si="272"/>
        <v>7</v>
      </c>
      <c r="HB739" s="14">
        <f t="shared" si="273"/>
        <v>3</v>
      </c>
      <c r="HC739" s="14">
        <f t="shared" si="274"/>
        <v>0.89300000000000002</v>
      </c>
      <c r="HD739" s="14">
        <f t="shared" si="275"/>
        <v>1606042</v>
      </c>
      <c r="HE739" s="14" t="str">
        <f t="shared" si="276"/>
        <v>神器7-6 : 16级</v>
      </c>
      <c r="HF739" s="14" t="s">
        <v>800</v>
      </c>
      <c r="HG739" s="14">
        <f t="shared" si="277"/>
        <v>16</v>
      </c>
      <c r="HH739" s="14" t="str">
        <f t="shared" si="278"/>
        <v>神器7-6</v>
      </c>
      <c r="HI739" s="14">
        <f t="shared" si="279"/>
        <v>10</v>
      </c>
      <c r="HJ739" s="14" t="s">
        <v>1595</v>
      </c>
      <c r="HK739" s="14">
        <f t="shared" si="280"/>
        <v>37100</v>
      </c>
    </row>
    <row r="740" spans="207:219" ht="16.5" x14ac:dyDescent="0.2">
      <c r="GY740" s="91">
        <v>734</v>
      </c>
      <c r="GZ740" s="14">
        <f t="shared" si="271"/>
        <v>40</v>
      </c>
      <c r="HA740" s="14">
        <f t="shared" si="272"/>
        <v>7</v>
      </c>
      <c r="HB740" s="14">
        <f t="shared" si="273"/>
        <v>3</v>
      </c>
      <c r="HC740" s="14">
        <f t="shared" si="274"/>
        <v>0.90900000000000003</v>
      </c>
      <c r="HD740" s="14">
        <f t="shared" si="275"/>
        <v>1606042</v>
      </c>
      <c r="HE740" s="14" t="str">
        <f t="shared" si="276"/>
        <v>神器7-6 : 17级</v>
      </c>
      <c r="HF740" s="14" t="s">
        <v>800</v>
      </c>
      <c r="HG740" s="14">
        <f t="shared" si="277"/>
        <v>17</v>
      </c>
      <c r="HH740" s="14" t="str">
        <f t="shared" si="278"/>
        <v>神器7-6</v>
      </c>
      <c r="HI740" s="14">
        <f t="shared" si="279"/>
        <v>10</v>
      </c>
      <c r="HJ740" s="14" t="s">
        <v>1595</v>
      </c>
      <c r="HK740" s="14">
        <f t="shared" si="280"/>
        <v>37800</v>
      </c>
    </row>
    <row r="741" spans="207:219" ht="16.5" x14ac:dyDescent="0.2">
      <c r="GY741" s="91">
        <v>735</v>
      </c>
      <c r="GZ741" s="14">
        <f t="shared" si="271"/>
        <v>40</v>
      </c>
      <c r="HA741" s="14">
        <f t="shared" si="272"/>
        <v>7</v>
      </c>
      <c r="HB741" s="14">
        <f t="shared" si="273"/>
        <v>3</v>
      </c>
      <c r="HC741" s="14">
        <f t="shared" si="274"/>
        <v>0.92400000000000004</v>
      </c>
      <c r="HD741" s="14">
        <f t="shared" si="275"/>
        <v>1606042</v>
      </c>
      <c r="HE741" s="14" t="str">
        <f t="shared" si="276"/>
        <v>神器7-6 : 18级</v>
      </c>
      <c r="HF741" s="14" t="s">
        <v>800</v>
      </c>
      <c r="HG741" s="14">
        <f t="shared" si="277"/>
        <v>18</v>
      </c>
      <c r="HH741" s="14" t="str">
        <f t="shared" si="278"/>
        <v>神器7-6</v>
      </c>
      <c r="HI741" s="14">
        <f t="shared" si="279"/>
        <v>10</v>
      </c>
      <c r="HJ741" s="14" t="s">
        <v>1595</v>
      </c>
      <c r="HK741" s="14">
        <f t="shared" si="280"/>
        <v>38400</v>
      </c>
    </row>
    <row r="742" spans="207:219" ht="16.5" x14ac:dyDescent="0.2">
      <c r="GY742" s="91">
        <v>736</v>
      </c>
      <c r="GZ742" s="14">
        <f t="shared" si="271"/>
        <v>40</v>
      </c>
      <c r="HA742" s="14">
        <f t="shared" si="272"/>
        <v>7</v>
      </c>
      <c r="HB742" s="14">
        <f t="shared" si="273"/>
        <v>3</v>
      </c>
      <c r="HC742" s="14">
        <f t="shared" si="274"/>
        <v>0.93899999999999995</v>
      </c>
      <c r="HD742" s="14">
        <f t="shared" si="275"/>
        <v>1606042</v>
      </c>
      <c r="HE742" s="14" t="str">
        <f t="shared" si="276"/>
        <v>神器7-6 : 19级</v>
      </c>
      <c r="HF742" s="14" t="s">
        <v>800</v>
      </c>
      <c r="HG742" s="14">
        <f t="shared" si="277"/>
        <v>19</v>
      </c>
      <c r="HH742" s="14" t="str">
        <f t="shared" si="278"/>
        <v>神器7-6</v>
      </c>
      <c r="HI742" s="14">
        <f t="shared" si="279"/>
        <v>15</v>
      </c>
      <c r="HJ742" s="14" t="s">
        <v>1595</v>
      </c>
      <c r="HK742" s="14">
        <f t="shared" si="280"/>
        <v>39050</v>
      </c>
    </row>
    <row r="743" spans="207:219" ht="16.5" x14ac:dyDescent="0.2">
      <c r="GY743" s="91">
        <v>737</v>
      </c>
      <c r="GZ743" s="14">
        <f t="shared" si="271"/>
        <v>40</v>
      </c>
      <c r="HA743" s="14">
        <f t="shared" si="272"/>
        <v>7</v>
      </c>
      <c r="HB743" s="14">
        <f t="shared" si="273"/>
        <v>3</v>
      </c>
      <c r="HC743" s="14">
        <f t="shared" si="274"/>
        <v>0.95399999999999996</v>
      </c>
      <c r="HD743" s="14">
        <f t="shared" si="275"/>
        <v>1606042</v>
      </c>
      <c r="HE743" s="14" t="str">
        <f t="shared" si="276"/>
        <v>神器7-6 : 20级</v>
      </c>
      <c r="HF743" s="14" t="s">
        <v>800</v>
      </c>
      <c r="HG743" s="14">
        <f t="shared" si="277"/>
        <v>20</v>
      </c>
      <c r="HH743" s="14" t="str">
        <f t="shared" si="278"/>
        <v>神器7-6</v>
      </c>
      <c r="HI743" s="14">
        <f t="shared" si="279"/>
        <v>15</v>
      </c>
      <c r="HJ743" s="14" t="s">
        <v>1595</v>
      </c>
      <c r="HK743" s="14">
        <f t="shared" si="280"/>
        <v>39650</v>
      </c>
    </row>
    <row r="744" spans="207:219" ht="16.5" x14ac:dyDescent="0.2">
      <c r="GY744" s="91">
        <v>738</v>
      </c>
      <c r="GZ744" s="14">
        <f t="shared" si="271"/>
        <v>40</v>
      </c>
      <c r="HA744" s="14">
        <f t="shared" si="272"/>
        <v>7</v>
      </c>
      <c r="HB744" s="14">
        <f t="shared" si="273"/>
        <v>3</v>
      </c>
      <c r="HC744" s="14">
        <f t="shared" si="274"/>
        <v>0.96899999999999997</v>
      </c>
      <c r="HD744" s="14">
        <f t="shared" si="275"/>
        <v>1606042</v>
      </c>
      <c r="HE744" s="14" t="str">
        <f t="shared" si="276"/>
        <v>神器7-6 : 21级</v>
      </c>
      <c r="HF744" s="14" t="s">
        <v>800</v>
      </c>
      <c r="HG744" s="14">
        <f t="shared" si="277"/>
        <v>21</v>
      </c>
      <c r="HH744" s="14" t="str">
        <f t="shared" si="278"/>
        <v>神器7-6</v>
      </c>
      <c r="HI744" s="14">
        <f t="shared" si="279"/>
        <v>15</v>
      </c>
      <c r="HJ744" s="14" t="s">
        <v>1595</v>
      </c>
      <c r="HK744" s="14">
        <f t="shared" si="280"/>
        <v>40250</v>
      </c>
    </row>
    <row r="745" spans="207:219" ht="16.5" x14ac:dyDescent="0.2">
      <c r="GY745" s="91">
        <v>739</v>
      </c>
      <c r="GZ745" s="14">
        <f t="shared" si="271"/>
        <v>41</v>
      </c>
      <c r="HA745" s="14">
        <f t="shared" si="272"/>
        <v>7</v>
      </c>
      <c r="HB745" s="14">
        <f t="shared" si="273"/>
        <v>4</v>
      </c>
      <c r="HC745" s="14">
        <f t="shared" si="274"/>
        <v>0.9</v>
      </c>
      <c r="HD745" s="14">
        <f t="shared" si="275"/>
        <v>1606043</v>
      </c>
      <c r="HE745" s="14" t="str">
        <f t="shared" si="276"/>
        <v>神器7-7 : 1级</v>
      </c>
      <c r="HF745" s="14" t="s">
        <v>800</v>
      </c>
      <c r="HG745" s="14">
        <f t="shared" si="277"/>
        <v>1</v>
      </c>
      <c r="HH745" s="14" t="str">
        <f t="shared" si="278"/>
        <v>神器7-7</v>
      </c>
      <c r="HI745" s="14">
        <f t="shared" si="279"/>
        <v>1</v>
      </c>
      <c r="HJ745" s="14" t="s">
        <v>1595</v>
      </c>
      <c r="HK745" s="14">
        <f t="shared" si="280"/>
        <v>37400</v>
      </c>
    </row>
    <row r="746" spans="207:219" ht="16.5" x14ac:dyDescent="0.2">
      <c r="GY746" s="91">
        <v>740</v>
      </c>
      <c r="GZ746" s="14">
        <f t="shared" si="271"/>
        <v>41</v>
      </c>
      <c r="HA746" s="14">
        <f t="shared" si="272"/>
        <v>7</v>
      </c>
      <c r="HB746" s="14">
        <f t="shared" si="273"/>
        <v>4</v>
      </c>
      <c r="HC746" s="14">
        <f t="shared" si="274"/>
        <v>0.93300000000000005</v>
      </c>
      <c r="HD746" s="14">
        <f t="shared" si="275"/>
        <v>1606043</v>
      </c>
      <c r="HE746" s="14" t="str">
        <f t="shared" si="276"/>
        <v>神器7-7 : 2级</v>
      </c>
      <c r="HF746" s="14" t="s">
        <v>800</v>
      </c>
      <c r="HG746" s="14">
        <f t="shared" si="277"/>
        <v>2</v>
      </c>
      <c r="HH746" s="14" t="str">
        <f t="shared" si="278"/>
        <v>神器7-7</v>
      </c>
      <c r="HI746" s="14">
        <f t="shared" si="279"/>
        <v>1</v>
      </c>
      <c r="HJ746" s="14" t="s">
        <v>1595</v>
      </c>
      <c r="HK746" s="14">
        <f t="shared" si="280"/>
        <v>38800</v>
      </c>
    </row>
    <row r="747" spans="207:219" ht="16.5" x14ac:dyDescent="0.2">
      <c r="GY747" s="91">
        <v>741</v>
      </c>
      <c r="GZ747" s="14">
        <f t="shared" si="271"/>
        <v>41</v>
      </c>
      <c r="HA747" s="14">
        <f t="shared" si="272"/>
        <v>7</v>
      </c>
      <c r="HB747" s="14">
        <f t="shared" si="273"/>
        <v>4</v>
      </c>
      <c r="HC747" s="14">
        <f t="shared" si="274"/>
        <v>0.96399999999999997</v>
      </c>
      <c r="HD747" s="14">
        <f t="shared" si="275"/>
        <v>1606043</v>
      </c>
      <c r="HE747" s="14" t="str">
        <f t="shared" si="276"/>
        <v>神器7-7 : 3级</v>
      </c>
      <c r="HF747" s="14" t="s">
        <v>800</v>
      </c>
      <c r="HG747" s="14">
        <f t="shared" si="277"/>
        <v>3</v>
      </c>
      <c r="HH747" s="14" t="str">
        <f t="shared" si="278"/>
        <v>神器7-7</v>
      </c>
      <c r="HI747" s="14">
        <f t="shared" si="279"/>
        <v>1</v>
      </c>
      <c r="HJ747" s="14" t="s">
        <v>1595</v>
      </c>
      <c r="HK747" s="14">
        <f t="shared" si="280"/>
        <v>40050</v>
      </c>
    </row>
    <row r="748" spans="207:219" ht="16.5" x14ac:dyDescent="0.2">
      <c r="GY748" s="91">
        <v>742</v>
      </c>
      <c r="GZ748" s="14">
        <f t="shared" si="271"/>
        <v>41</v>
      </c>
      <c r="HA748" s="14">
        <f t="shared" si="272"/>
        <v>7</v>
      </c>
      <c r="HB748" s="14">
        <f t="shared" si="273"/>
        <v>4</v>
      </c>
      <c r="HC748" s="14">
        <f t="shared" si="274"/>
        <v>0.995</v>
      </c>
      <c r="HD748" s="14">
        <f t="shared" si="275"/>
        <v>1606043</v>
      </c>
      <c r="HE748" s="14" t="str">
        <f t="shared" si="276"/>
        <v>神器7-7 : 4级</v>
      </c>
      <c r="HF748" s="14" t="s">
        <v>800</v>
      </c>
      <c r="HG748" s="14">
        <f t="shared" si="277"/>
        <v>4</v>
      </c>
      <c r="HH748" s="14" t="str">
        <f t="shared" si="278"/>
        <v>神器7-7</v>
      </c>
      <c r="HI748" s="14">
        <f t="shared" si="279"/>
        <v>2</v>
      </c>
      <c r="HJ748" s="14" t="s">
        <v>1595</v>
      </c>
      <c r="HK748" s="14">
        <f t="shared" si="280"/>
        <v>41350</v>
      </c>
    </row>
    <row r="749" spans="207:219" ht="16.5" x14ac:dyDescent="0.2">
      <c r="GY749" s="91">
        <v>743</v>
      </c>
      <c r="GZ749" s="14">
        <f t="shared" si="271"/>
        <v>41</v>
      </c>
      <c r="HA749" s="14">
        <f t="shared" si="272"/>
        <v>7</v>
      </c>
      <c r="HB749" s="14">
        <f t="shared" si="273"/>
        <v>4</v>
      </c>
      <c r="HC749" s="14">
        <f t="shared" si="274"/>
        <v>1.0249999999999999</v>
      </c>
      <c r="HD749" s="14">
        <f t="shared" si="275"/>
        <v>1606043</v>
      </c>
      <c r="HE749" s="14" t="str">
        <f t="shared" si="276"/>
        <v>神器7-7 : 5级</v>
      </c>
      <c r="HF749" s="14" t="s">
        <v>800</v>
      </c>
      <c r="HG749" s="14">
        <f t="shared" si="277"/>
        <v>5</v>
      </c>
      <c r="HH749" s="14" t="str">
        <f t="shared" si="278"/>
        <v>神器7-7</v>
      </c>
      <c r="HI749" s="14">
        <f t="shared" si="279"/>
        <v>2</v>
      </c>
      <c r="HJ749" s="14" t="s">
        <v>1595</v>
      </c>
      <c r="HK749" s="14">
        <f t="shared" si="280"/>
        <v>42600</v>
      </c>
    </row>
    <row r="750" spans="207:219" ht="16.5" x14ac:dyDescent="0.2">
      <c r="GY750" s="91">
        <v>744</v>
      </c>
      <c r="GZ750" s="14">
        <f t="shared" si="271"/>
        <v>41</v>
      </c>
      <c r="HA750" s="14">
        <f t="shared" si="272"/>
        <v>7</v>
      </c>
      <c r="HB750" s="14">
        <f t="shared" si="273"/>
        <v>4</v>
      </c>
      <c r="HC750" s="14">
        <f t="shared" si="274"/>
        <v>1.054</v>
      </c>
      <c r="HD750" s="14">
        <f t="shared" si="275"/>
        <v>1606043</v>
      </c>
      <c r="HE750" s="14" t="str">
        <f t="shared" si="276"/>
        <v>神器7-7 : 6级</v>
      </c>
      <c r="HF750" s="14" t="s">
        <v>800</v>
      </c>
      <c r="HG750" s="14">
        <f t="shared" si="277"/>
        <v>6</v>
      </c>
      <c r="HH750" s="14" t="str">
        <f t="shared" si="278"/>
        <v>神器7-7</v>
      </c>
      <c r="HI750" s="14">
        <f t="shared" si="279"/>
        <v>2</v>
      </c>
      <c r="HJ750" s="14" t="s">
        <v>1595</v>
      </c>
      <c r="HK750" s="14">
        <f t="shared" si="280"/>
        <v>43800</v>
      </c>
    </row>
    <row r="751" spans="207:219" ht="16.5" x14ac:dyDescent="0.2">
      <c r="GY751" s="91">
        <v>745</v>
      </c>
      <c r="GZ751" s="14">
        <f t="shared" si="271"/>
        <v>41</v>
      </c>
      <c r="HA751" s="14">
        <f t="shared" si="272"/>
        <v>7</v>
      </c>
      <c r="HB751" s="14">
        <f t="shared" si="273"/>
        <v>4</v>
      </c>
      <c r="HC751" s="14">
        <f t="shared" si="274"/>
        <v>1.0820000000000001</v>
      </c>
      <c r="HD751" s="14">
        <f t="shared" si="275"/>
        <v>1606043</v>
      </c>
      <c r="HE751" s="14" t="str">
        <f t="shared" si="276"/>
        <v>神器7-7 : 7级</v>
      </c>
      <c r="HF751" s="14" t="s">
        <v>800</v>
      </c>
      <c r="HG751" s="14">
        <f t="shared" si="277"/>
        <v>7</v>
      </c>
      <c r="HH751" s="14" t="str">
        <f t="shared" si="278"/>
        <v>神器7-7</v>
      </c>
      <c r="HI751" s="14">
        <f t="shared" si="279"/>
        <v>3</v>
      </c>
      <c r="HJ751" s="14" t="s">
        <v>1595</v>
      </c>
      <c r="HK751" s="14">
        <f t="shared" si="280"/>
        <v>44950</v>
      </c>
    </row>
    <row r="752" spans="207:219" ht="16.5" x14ac:dyDescent="0.2">
      <c r="GY752" s="91">
        <v>746</v>
      </c>
      <c r="GZ752" s="14">
        <f t="shared" si="271"/>
        <v>41</v>
      </c>
      <c r="HA752" s="14">
        <f t="shared" si="272"/>
        <v>7</v>
      </c>
      <c r="HB752" s="14">
        <f t="shared" si="273"/>
        <v>4</v>
      </c>
      <c r="HC752" s="14">
        <f t="shared" si="274"/>
        <v>1.109</v>
      </c>
      <c r="HD752" s="14">
        <f t="shared" si="275"/>
        <v>1606043</v>
      </c>
      <c r="HE752" s="14" t="str">
        <f t="shared" si="276"/>
        <v>神器7-7 : 8级</v>
      </c>
      <c r="HF752" s="14" t="s">
        <v>800</v>
      </c>
      <c r="HG752" s="14">
        <f t="shared" si="277"/>
        <v>8</v>
      </c>
      <c r="HH752" s="14" t="str">
        <f t="shared" si="278"/>
        <v>神器7-7</v>
      </c>
      <c r="HI752" s="14">
        <f t="shared" si="279"/>
        <v>3</v>
      </c>
      <c r="HJ752" s="14" t="s">
        <v>1595</v>
      </c>
      <c r="HK752" s="14">
        <f t="shared" si="280"/>
        <v>46100</v>
      </c>
    </row>
    <row r="753" spans="207:219" ht="16.5" x14ac:dyDescent="0.2">
      <c r="GY753" s="91">
        <v>747</v>
      </c>
      <c r="GZ753" s="14">
        <f t="shared" si="271"/>
        <v>41</v>
      </c>
      <c r="HA753" s="14">
        <f t="shared" si="272"/>
        <v>7</v>
      </c>
      <c r="HB753" s="14">
        <f t="shared" si="273"/>
        <v>4</v>
      </c>
      <c r="HC753" s="14">
        <f t="shared" si="274"/>
        <v>1.1359999999999999</v>
      </c>
      <c r="HD753" s="14">
        <f t="shared" si="275"/>
        <v>1606043</v>
      </c>
      <c r="HE753" s="14" t="str">
        <f t="shared" si="276"/>
        <v>神器7-7 : 9级</v>
      </c>
      <c r="HF753" s="14" t="s">
        <v>800</v>
      </c>
      <c r="HG753" s="14">
        <f t="shared" si="277"/>
        <v>9</v>
      </c>
      <c r="HH753" s="14" t="str">
        <f t="shared" si="278"/>
        <v>神器7-7</v>
      </c>
      <c r="HI753" s="14">
        <f t="shared" si="279"/>
        <v>3</v>
      </c>
      <c r="HJ753" s="14" t="s">
        <v>1595</v>
      </c>
      <c r="HK753" s="14">
        <f t="shared" si="280"/>
        <v>47200</v>
      </c>
    </row>
    <row r="754" spans="207:219" ht="16.5" x14ac:dyDescent="0.2">
      <c r="GY754" s="91">
        <v>748</v>
      </c>
      <c r="GZ754" s="14">
        <f t="shared" si="271"/>
        <v>41</v>
      </c>
      <c r="HA754" s="14">
        <f t="shared" si="272"/>
        <v>7</v>
      </c>
      <c r="HB754" s="14">
        <f t="shared" si="273"/>
        <v>4</v>
      </c>
      <c r="HC754" s="14">
        <f t="shared" si="274"/>
        <v>1.1619999999999999</v>
      </c>
      <c r="HD754" s="14">
        <f t="shared" si="275"/>
        <v>1606043</v>
      </c>
      <c r="HE754" s="14" t="str">
        <f t="shared" si="276"/>
        <v>神器7-7 : 10级</v>
      </c>
      <c r="HF754" s="14" t="s">
        <v>800</v>
      </c>
      <c r="HG754" s="14">
        <f t="shared" si="277"/>
        <v>10</v>
      </c>
      <c r="HH754" s="14" t="str">
        <f t="shared" si="278"/>
        <v>神器7-7</v>
      </c>
      <c r="HI754" s="14">
        <f t="shared" si="279"/>
        <v>5</v>
      </c>
      <c r="HJ754" s="14" t="s">
        <v>1595</v>
      </c>
      <c r="HK754" s="14">
        <f t="shared" si="280"/>
        <v>48300</v>
      </c>
    </row>
    <row r="755" spans="207:219" ht="16.5" x14ac:dyDescent="0.2">
      <c r="GY755" s="91">
        <v>749</v>
      </c>
      <c r="GZ755" s="14">
        <f t="shared" si="271"/>
        <v>41</v>
      </c>
      <c r="HA755" s="14">
        <f t="shared" si="272"/>
        <v>7</v>
      </c>
      <c r="HB755" s="14">
        <f t="shared" si="273"/>
        <v>4</v>
      </c>
      <c r="HC755" s="14">
        <f t="shared" si="274"/>
        <v>1.1870000000000001</v>
      </c>
      <c r="HD755" s="14">
        <f t="shared" si="275"/>
        <v>1606043</v>
      </c>
      <c r="HE755" s="14" t="str">
        <f t="shared" si="276"/>
        <v>神器7-7 : 11级</v>
      </c>
      <c r="HF755" s="14" t="s">
        <v>800</v>
      </c>
      <c r="HG755" s="14">
        <f t="shared" si="277"/>
        <v>11</v>
      </c>
      <c r="HH755" s="14" t="str">
        <f t="shared" si="278"/>
        <v>神器7-7</v>
      </c>
      <c r="HI755" s="14">
        <f t="shared" si="279"/>
        <v>5</v>
      </c>
      <c r="HJ755" s="14" t="s">
        <v>1595</v>
      </c>
      <c r="HK755" s="14">
        <f t="shared" si="280"/>
        <v>49350</v>
      </c>
    </row>
    <row r="756" spans="207:219" ht="16.5" x14ac:dyDescent="0.2">
      <c r="GY756" s="91">
        <v>750</v>
      </c>
      <c r="GZ756" s="14">
        <f t="shared" si="271"/>
        <v>41</v>
      </c>
      <c r="HA756" s="14">
        <f t="shared" si="272"/>
        <v>7</v>
      </c>
      <c r="HB756" s="14">
        <f t="shared" si="273"/>
        <v>4</v>
      </c>
      <c r="HC756" s="14">
        <f t="shared" si="274"/>
        <v>1.212</v>
      </c>
      <c r="HD756" s="14">
        <f t="shared" si="275"/>
        <v>1606043</v>
      </c>
      <c r="HE756" s="14" t="str">
        <f t="shared" si="276"/>
        <v>神器7-7 : 12级</v>
      </c>
      <c r="HF756" s="14" t="s">
        <v>800</v>
      </c>
      <c r="HG756" s="14">
        <f t="shared" si="277"/>
        <v>12</v>
      </c>
      <c r="HH756" s="14" t="str">
        <f t="shared" si="278"/>
        <v>神器7-7</v>
      </c>
      <c r="HI756" s="14">
        <f t="shared" si="279"/>
        <v>6</v>
      </c>
      <c r="HJ756" s="14" t="s">
        <v>1595</v>
      </c>
      <c r="HK756" s="14">
        <f t="shared" si="280"/>
        <v>50350</v>
      </c>
    </row>
    <row r="757" spans="207:219" ht="16.5" x14ac:dyDescent="0.2">
      <c r="GY757" s="91">
        <v>751</v>
      </c>
      <c r="GZ757" s="14">
        <f t="shared" si="271"/>
        <v>41</v>
      </c>
      <c r="HA757" s="14">
        <f t="shared" si="272"/>
        <v>7</v>
      </c>
      <c r="HB757" s="14">
        <f t="shared" si="273"/>
        <v>4</v>
      </c>
      <c r="HC757" s="14">
        <f t="shared" si="274"/>
        <v>1.2370000000000001</v>
      </c>
      <c r="HD757" s="14">
        <f t="shared" si="275"/>
        <v>1606043</v>
      </c>
      <c r="HE757" s="14" t="str">
        <f t="shared" si="276"/>
        <v>神器7-7 : 13级</v>
      </c>
      <c r="HF757" s="14" t="s">
        <v>800</v>
      </c>
      <c r="HG757" s="14">
        <f t="shared" si="277"/>
        <v>13</v>
      </c>
      <c r="HH757" s="14" t="str">
        <f t="shared" si="278"/>
        <v>神器7-7</v>
      </c>
      <c r="HI757" s="14">
        <f t="shared" si="279"/>
        <v>7</v>
      </c>
      <c r="HJ757" s="14" t="s">
        <v>1595</v>
      </c>
      <c r="HK757" s="14">
        <f t="shared" si="280"/>
        <v>51400</v>
      </c>
    </row>
    <row r="758" spans="207:219" ht="16.5" x14ac:dyDescent="0.2">
      <c r="GY758" s="91">
        <v>752</v>
      </c>
      <c r="GZ758" s="14">
        <f t="shared" si="271"/>
        <v>41</v>
      </c>
      <c r="HA758" s="14">
        <f t="shared" si="272"/>
        <v>7</v>
      </c>
      <c r="HB758" s="14">
        <f t="shared" si="273"/>
        <v>4</v>
      </c>
      <c r="HC758" s="14">
        <f t="shared" si="274"/>
        <v>1.2609999999999999</v>
      </c>
      <c r="HD758" s="14">
        <f t="shared" si="275"/>
        <v>1606043</v>
      </c>
      <c r="HE758" s="14" t="str">
        <f t="shared" si="276"/>
        <v>神器7-7 : 14级</v>
      </c>
      <c r="HF758" s="14" t="s">
        <v>800</v>
      </c>
      <c r="HG758" s="14">
        <f t="shared" si="277"/>
        <v>14</v>
      </c>
      <c r="HH758" s="14" t="str">
        <f t="shared" si="278"/>
        <v>神器7-7</v>
      </c>
      <c r="HI758" s="14">
        <f t="shared" si="279"/>
        <v>7</v>
      </c>
      <c r="HJ758" s="14" t="s">
        <v>1595</v>
      </c>
      <c r="HK758" s="14">
        <f t="shared" si="280"/>
        <v>52400</v>
      </c>
    </row>
    <row r="759" spans="207:219" ht="16.5" x14ac:dyDescent="0.2">
      <c r="GY759" s="91">
        <v>753</v>
      </c>
      <c r="GZ759" s="14">
        <f t="shared" si="271"/>
        <v>41</v>
      </c>
      <c r="HA759" s="14">
        <f t="shared" si="272"/>
        <v>7</v>
      </c>
      <c r="HB759" s="14">
        <f t="shared" si="273"/>
        <v>4</v>
      </c>
      <c r="HC759" s="14">
        <f t="shared" si="274"/>
        <v>1.2849999999999999</v>
      </c>
      <c r="HD759" s="14">
        <f t="shared" si="275"/>
        <v>1606043</v>
      </c>
      <c r="HE759" s="14" t="str">
        <f t="shared" si="276"/>
        <v>神器7-7 : 15级</v>
      </c>
      <c r="HF759" s="14" t="s">
        <v>800</v>
      </c>
      <c r="HG759" s="14">
        <f t="shared" si="277"/>
        <v>15</v>
      </c>
      <c r="HH759" s="14" t="str">
        <f t="shared" si="278"/>
        <v>神器7-7</v>
      </c>
      <c r="HI759" s="14">
        <f t="shared" si="279"/>
        <v>7</v>
      </c>
      <c r="HJ759" s="14" t="s">
        <v>1595</v>
      </c>
      <c r="HK759" s="14">
        <f t="shared" si="280"/>
        <v>53400</v>
      </c>
    </row>
    <row r="760" spans="207:219" ht="16.5" x14ac:dyDescent="0.2">
      <c r="GY760" s="91">
        <v>754</v>
      </c>
      <c r="GZ760" s="14">
        <f t="shared" si="271"/>
        <v>41</v>
      </c>
      <c r="HA760" s="14">
        <f t="shared" si="272"/>
        <v>7</v>
      </c>
      <c r="HB760" s="14">
        <f t="shared" si="273"/>
        <v>4</v>
      </c>
      <c r="HC760" s="14">
        <f t="shared" si="274"/>
        <v>1.3080000000000001</v>
      </c>
      <c r="HD760" s="14">
        <f t="shared" si="275"/>
        <v>1606043</v>
      </c>
      <c r="HE760" s="14" t="str">
        <f t="shared" si="276"/>
        <v>神器7-7 : 16级</v>
      </c>
      <c r="HF760" s="14" t="s">
        <v>800</v>
      </c>
      <c r="HG760" s="14">
        <f t="shared" si="277"/>
        <v>16</v>
      </c>
      <c r="HH760" s="14" t="str">
        <f t="shared" si="278"/>
        <v>神器7-7</v>
      </c>
      <c r="HI760" s="14">
        <f t="shared" si="279"/>
        <v>10</v>
      </c>
      <c r="HJ760" s="14" t="s">
        <v>1595</v>
      </c>
      <c r="HK760" s="14">
        <f t="shared" si="280"/>
        <v>54350</v>
      </c>
    </row>
    <row r="761" spans="207:219" ht="16.5" x14ac:dyDescent="0.2">
      <c r="GY761" s="91">
        <v>755</v>
      </c>
      <c r="GZ761" s="14">
        <f t="shared" si="271"/>
        <v>41</v>
      </c>
      <c r="HA761" s="14">
        <f t="shared" si="272"/>
        <v>7</v>
      </c>
      <c r="HB761" s="14">
        <f t="shared" si="273"/>
        <v>4</v>
      </c>
      <c r="HC761" s="14">
        <f t="shared" si="274"/>
        <v>1.33</v>
      </c>
      <c r="HD761" s="14">
        <f t="shared" si="275"/>
        <v>1606043</v>
      </c>
      <c r="HE761" s="14" t="str">
        <f t="shared" si="276"/>
        <v>神器7-7 : 17级</v>
      </c>
      <c r="HF761" s="14" t="s">
        <v>800</v>
      </c>
      <c r="HG761" s="14">
        <f t="shared" si="277"/>
        <v>17</v>
      </c>
      <c r="HH761" s="14" t="str">
        <f t="shared" si="278"/>
        <v>神器7-7</v>
      </c>
      <c r="HI761" s="14">
        <f t="shared" si="279"/>
        <v>10</v>
      </c>
      <c r="HJ761" s="14" t="s">
        <v>1595</v>
      </c>
      <c r="HK761" s="14">
        <f t="shared" si="280"/>
        <v>55300</v>
      </c>
    </row>
    <row r="762" spans="207:219" ht="16.5" x14ac:dyDescent="0.2">
      <c r="GY762" s="91">
        <v>756</v>
      </c>
      <c r="GZ762" s="14">
        <f t="shared" si="271"/>
        <v>41</v>
      </c>
      <c r="HA762" s="14">
        <f t="shared" si="272"/>
        <v>7</v>
      </c>
      <c r="HB762" s="14">
        <f t="shared" si="273"/>
        <v>4</v>
      </c>
      <c r="HC762" s="14">
        <f t="shared" si="274"/>
        <v>1.353</v>
      </c>
      <c r="HD762" s="14">
        <f t="shared" si="275"/>
        <v>1606043</v>
      </c>
      <c r="HE762" s="14" t="str">
        <f t="shared" si="276"/>
        <v>神器7-7 : 18级</v>
      </c>
      <c r="HF762" s="14" t="s">
        <v>800</v>
      </c>
      <c r="HG762" s="14">
        <f t="shared" si="277"/>
        <v>18</v>
      </c>
      <c r="HH762" s="14" t="str">
        <f t="shared" si="278"/>
        <v>神器7-7</v>
      </c>
      <c r="HI762" s="14">
        <f t="shared" si="279"/>
        <v>10</v>
      </c>
      <c r="HJ762" s="14" t="s">
        <v>1595</v>
      </c>
      <c r="HK762" s="14">
        <f t="shared" si="280"/>
        <v>56250</v>
      </c>
    </row>
    <row r="763" spans="207:219" ht="16.5" x14ac:dyDescent="0.2">
      <c r="GY763" s="91">
        <v>757</v>
      </c>
      <c r="GZ763" s="14">
        <f t="shared" si="271"/>
        <v>41</v>
      </c>
      <c r="HA763" s="14">
        <f t="shared" si="272"/>
        <v>7</v>
      </c>
      <c r="HB763" s="14">
        <f t="shared" si="273"/>
        <v>4</v>
      </c>
      <c r="HC763" s="14">
        <f t="shared" si="274"/>
        <v>1.375</v>
      </c>
      <c r="HD763" s="14">
        <f t="shared" si="275"/>
        <v>1606043</v>
      </c>
      <c r="HE763" s="14" t="str">
        <f t="shared" si="276"/>
        <v>神器7-7 : 19级</v>
      </c>
      <c r="HF763" s="14" t="s">
        <v>800</v>
      </c>
      <c r="HG763" s="14">
        <f t="shared" si="277"/>
        <v>19</v>
      </c>
      <c r="HH763" s="14" t="str">
        <f t="shared" si="278"/>
        <v>神器7-7</v>
      </c>
      <c r="HI763" s="14">
        <f t="shared" si="279"/>
        <v>15</v>
      </c>
      <c r="HJ763" s="14" t="s">
        <v>1595</v>
      </c>
      <c r="HK763" s="14">
        <f t="shared" si="280"/>
        <v>57150</v>
      </c>
    </row>
    <row r="764" spans="207:219" ht="16.5" x14ac:dyDescent="0.2">
      <c r="GY764" s="91">
        <v>758</v>
      </c>
      <c r="GZ764" s="14">
        <f t="shared" si="271"/>
        <v>41</v>
      </c>
      <c r="HA764" s="14">
        <f t="shared" si="272"/>
        <v>7</v>
      </c>
      <c r="HB764" s="14">
        <f t="shared" si="273"/>
        <v>4</v>
      </c>
      <c r="HC764" s="14">
        <f t="shared" si="274"/>
        <v>1.3959999999999999</v>
      </c>
      <c r="HD764" s="14">
        <f t="shared" si="275"/>
        <v>1606043</v>
      </c>
      <c r="HE764" s="14" t="str">
        <f t="shared" si="276"/>
        <v>神器7-7 : 20级</v>
      </c>
      <c r="HF764" s="14" t="s">
        <v>800</v>
      </c>
      <c r="HG764" s="14">
        <f t="shared" si="277"/>
        <v>20</v>
      </c>
      <c r="HH764" s="14" t="str">
        <f t="shared" si="278"/>
        <v>神器7-7</v>
      </c>
      <c r="HI764" s="14">
        <f t="shared" si="279"/>
        <v>15</v>
      </c>
      <c r="HJ764" s="14" t="s">
        <v>1595</v>
      </c>
      <c r="HK764" s="14">
        <f t="shared" si="280"/>
        <v>58000</v>
      </c>
    </row>
    <row r="765" spans="207:219" ht="16.5" x14ac:dyDescent="0.2">
      <c r="GY765" s="91">
        <v>759</v>
      </c>
      <c r="GZ765" s="14">
        <f t="shared" si="271"/>
        <v>41</v>
      </c>
      <c r="HA765" s="14">
        <f t="shared" si="272"/>
        <v>7</v>
      </c>
      <c r="HB765" s="14">
        <f t="shared" si="273"/>
        <v>4</v>
      </c>
      <c r="HC765" s="14">
        <f t="shared" si="274"/>
        <v>1.4179999999999999</v>
      </c>
      <c r="HD765" s="14">
        <f t="shared" si="275"/>
        <v>1606043</v>
      </c>
      <c r="HE765" s="14" t="str">
        <f t="shared" si="276"/>
        <v>神器7-7 : 21级</v>
      </c>
      <c r="HF765" s="14" t="s">
        <v>800</v>
      </c>
      <c r="HG765" s="14">
        <f t="shared" si="277"/>
        <v>21</v>
      </c>
      <c r="HH765" s="14" t="str">
        <f t="shared" si="278"/>
        <v>神器7-7</v>
      </c>
      <c r="HI765" s="14">
        <f t="shared" si="279"/>
        <v>15</v>
      </c>
      <c r="HJ765" s="14" t="s">
        <v>1595</v>
      </c>
      <c r="HK765" s="14">
        <f t="shared" si="280"/>
        <v>58950</v>
      </c>
    </row>
    <row r="766" spans="207:219" ht="16.5" x14ac:dyDescent="0.2">
      <c r="GY766" s="91">
        <v>760</v>
      </c>
      <c r="GZ766" s="14">
        <f t="shared" si="271"/>
        <v>42</v>
      </c>
      <c r="HA766" s="14">
        <f t="shared" si="272"/>
        <v>7</v>
      </c>
      <c r="HB766" s="14">
        <f t="shared" si="273"/>
        <v>4</v>
      </c>
      <c r="HC766" s="14">
        <f t="shared" si="274"/>
        <v>0.9</v>
      </c>
      <c r="HD766" s="14">
        <f t="shared" si="275"/>
        <v>1606044</v>
      </c>
      <c r="HE766" s="14" t="str">
        <f t="shared" si="276"/>
        <v>神器7-8 : 1级</v>
      </c>
      <c r="HF766" s="14" t="s">
        <v>800</v>
      </c>
      <c r="HG766" s="14">
        <f t="shared" ref="HG766:HG786" si="281">GY766-INDEX($R$7:$R$49,GZ766)</f>
        <v>1</v>
      </c>
      <c r="HH766" s="14" t="str">
        <f t="shared" ref="HH766:HH786" si="282">INDEX($T$8:$T$49,GZ766)</f>
        <v>神器7-8</v>
      </c>
      <c r="HI766" s="14">
        <f t="shared" ref="HI766:HI786" si="283">INDEX($K$8:$K$28,HG766)</f>
        <v>1</v>
      </c>
      <c r="HJ766" s="14" t="s">
        <v>1595</v>
      </c>
      <c r="HK766" s="14">
        <f t="shared" si="280"/>
        <v>37400</v>
      </c>
    </row>
    <row r="767" spans="207:219" ht="16.5" x14ac:dyDescent="0.2">
      <c r="GY767" s="91">
        <v>761</v>
      </c>
      <c r="GZ767" s="14">
        <f t="shared" si="271"/>
        <v>42</v>
      </c>
      <c r="HA767" s="14">
        <f t="shared" si="272"/>
        <v>7</v>
      </c>
      <c r="HB767" s="14">
        <f t="shared" si="273"/>
        <v>4</v>
      </c>
      <c r="HC767" s="14">
        <f t="shared" si="274"/>
        <v>0.93300000000000005</v>
      </c>
      <c r="HD767" s="14">
        <f t="shared" si="275"/>
        <v>1606044</v>
      </c>
      <c r="HE767" s="14" t="str">
        <f t="shared" si="276"/>
        <v>神器7-8 : 2级</v>
      </c>
      <c r="HF767" s="14" t="s">
        <v>800</v>
      </c>
      <c r="HG767" s="14">
        <f t="shared" si="281"/>
        <v>2</v>
      </c>
      <c r="HH767" s="14" t="str">
        <f t="shared" si="282"/>
        <v>神器7-8</v>
      </c>
      <c r="HI767" s="14">
        <f t="shared" si="283"/>
        <v>1</v>
      </c>
      <c r="HJ767" s="14" t="s">
        <v>1595</v>
      </c>
      <c r="HK767" s="14">
        <f t="shared" si="280"/>
        <v>38800</v>
      </c>
    </row>
    <row r="768" spans="207:219" ht="16.5" x14ac:dyDescent="0.2">
      <c r="GY768" s="91">
        <v>762</v>
      </c>
      <c r="GZ768" s="14">
        <f t="shared" si="271"/>
        <v>42</v>
      </c>
      <c r="HA768" s="14">
        <f t="shared" si="272"/>
        <v>7</v>
      </c>
      <c r="HB768" s="14">
        <f t="shared" si="273"/>
        <v>4</v>
      </c>
      <c r="HC768" s="14">
        <f t="shared" si="274"/>
        <v>0.96399999999999997</v>
      </c>
      <c r="HD768" s="14">
        <f t="shared" si="275"/>
        <v>1606044</v>
      </c>
      <c r="HE768" s="14" t="str">
        <f t="shared" si="276"/>
        <v>神器7-8 : 3级</v>
      </c>
      <c r="HF768" s="14" t="s">
        <v>800</v>
      </c>
      <c r="HG768" s="14">
        <f t="shared" si="281"/>
        <v>3</v>
      </c>
      <c r="HH768" s="14" t="str">
        <f t="shared" si="282"/>
        <v>神器7-8</v>
      </c>
      <c r="HI768" s="14">
        <f t="shared" si="283"/>
        <v>1</v>
      </c>
      <c r="HJ768" s="14" t="s">
        <v>1595</v>
      </c>
      <c r="HK768" s="14">
        <f t="shared" si="280"/>
        <v>40050</v>
      </c>
    </row>
    <row r="769" spans="207:219" ht="16.5" x14ac:dyDescent="0.2">
      <c r="GY769" s="91">
        <v>763</v>
      </c>
      <c r="GZ769" s="14">
        <f t="shared" si="271"/>
        <v>42</v>
      </c>
      <c r="HA769" s="14">
        <f t="shared" si="272"/>
        <v>7</v>
      </c>
      <c r="HB769" s="14">
        <f t="shared" si="273"/>
        <v>4</v>
      </c>
      <c r="HC769" s="14">
        <f t="shared" si="274"/>
        <v>0.995</v>
      </c>
      <c r="HD769" s="14">
        <f t="shared" si="275"/>
        <v>1606044</v>
      </c>
      <c r="HE769" s="14" t="str">
        <f t="shared" si="276"/>
        <v>神器7-8 : 4级</v>
      </c>
      <c r="HF769" s="14" t="s">
        <v>800</v>
      </c>
      <c r="HG769" s="14">
        <f t="shared" si="281"/>
        <v>4</v>
      </c>
      <c r="HH769" s="14" t="str">
        <f t="shared" si="282"/>
        <v>神器7-8</v>
      </c>
      <c r="HI769" s="14">
        <f t="shared" si="283"/>
        <v>2</v>
      </c>
      <c r="HJ769" s="14" t="s">
        <v>1595</v>
      </c>
      <c r="HK769" s="14">
        <f t="shared" si="280"/>
        <v>41350</v>
      </c>
    </row>
    <row r="770" spans="207:219" ht="16.5" x14ac:dyDescent="0.2">
      <c r="GY770" s="91">
        <v>764</v>
      </c>
      <c r="GZ770" s="14">
        <f t="shared" si="271"/>
        <v>42</v>
      </c>
      <c r="HA770" s="14">
        <f t="shared" si="272"/>
        <v>7</v>
      </c>
      <c r="HB770" s="14">
        <f t="shared" si="273"/>
        <v>4</v>
      </c>
      <c r="HC770" s="14">
        <f t="shared" si="274"/>
        <v>1.0249999999999999</v>
      </c>
      <c r="HD770" s="14">
        <f t="shared" si="275"/>
        <v>1606044</v>
      </c>
      <c r="HE770" s="14" t="str">
        <f t="shared" si="276"/>
        <v>神器7-8 : 5级</v>
      </c>
      <c r="HF770" s="14" t="s">
        <v>800</v>
      </c>
      <c r="HG770" s="14">
        <f t="shared" si="281"/>
        <v>5</v>
      </c>
      <c r="HH770" s="14" t="str">
        <f t="shared" si="282"/>
        <v>神器7-8</v>
      </c>
      <c r="HI770" s="14">
        <f t="shared" si="283"/>
        <v>2</v>
      </c>
      <c r="HJ770" s="14" t="s">
        <v>1595</v>
      </c>
      <c r="HK770" s="14">
        <f t="shared" si="280"/>
        <v>42600</v>
      </c>
    </row>
    <row r="771" spans="207:219" ht="16.5" x14ac:dyDescent="0.2">
      <c r="GY771" s="91">
        <v>765</v>
      </c>
      <c r="GZ771" s="14">
        <f t="shared" si="271"/>
        <v>42</v>
      </c>
      <c r="HA771" s="14">
        <f t="shared" si="272"/>
        <v>7</v>
      </c>
      <c r="HB771" s="14">
        <f t="shared" si="273"/>
        <v>4</v>
      </c>
      <c r="HC771" s="14">
        <f t="shared" si="274"/>
        <v>1.054</v>
      </c>
      <c r="HD771" s="14">
        <f t="shared" si="275"/>
        <v>1606044</v>
      </c>
      <c r="HE771" s="14" t="str">
        <f t="shared" si="276"/>
        <v>神器7-8 : 6级</v>
      </c>
      <c r="HF771" s="14" t="s">
        <v>800</v>
      </c>
      <c r="HG771" s="14">
        <f t="shared" si="281"/>
        <v>6</v>
      </c>
      <c r="HH771" s="14" t="str">
        <f t="shared" si="282"/>
        <v>神器7-8</v>
      </c>
      <c r="HI771" s="14">
        <f t="shared" si="283"/>
        <v>2</v>
      </c>
      <c r="HJ771" s="14" t="s">
        <v>1595</v>
      </c>
      <c r="HK771" s="14">
        <f t="shared" si="280"/>
        <v>43800</v>
      </c>
    </row>
    <row r="772" spans="207:219" ht="16.5" x14ac:dyDescent="0.2">
      <c r="GY772" s="91">
        <v>766</v>
      </c>
      <c r="GZ772" s="14">
        <f t="shared" si="271"/>
        <v>42</v>
      </c>
      <c r="HA772" s="14">
        <f t="shared" si="272"/>
        <v>7</v>
      </c>
      <c r="HB772" s="14">
        <f t="shared" si="273"/>
        <v>4</v>
      </c>
      <c r="HC772" s="14">
        <f t="shared" si="274"/>
        <v>1.0820000000000001</v>
      </c>
      <c r="HD772" s="14">
        <f t="shared" si="275"/>
        <v>1606044</v>
      </c>
      <c r="HE772" s="14" t="str">
        <f t="shared" si="276"/>
        <v>神器7-8 : 7级</v>
      </c>
      <c r="HF772" s="14" t="s">
        <v>800</v>
      </c>
      <c r="HG772" s="14">
        <f t="shared" si="281"/>
        <v>7</v>
      </c>
      <c r="HH772" s="14" t="str">
        <f t="shared" si="282"/>
        <v>神器7-8</v>
      </c>
      <c r="HI772" s="14">
        <f t="shared" si="283"/>
        <v>3</v>
      </c>
      <c r="HJ772" s="14" t="s">
        <v>1595</v>
      </c>
      <c r="HK772" s="14">
        <f t="shared" si="280"/>
        <v>44950</v>
      </c>
    </row>
    <row r="773" spans="207:219" ht="16.5" x14ac:dyDescent="0.2">
      <c r="GY773" s="91">
        <v>767</v>
      </c>
      <c r="GZ773" s="14">
        <f t="shared" si="271"/>
        <v>42</v>
      </c>
      <c r="HA773" s="14">
        <f t="shared" si="272"/>
        <v>7</v>
      </c>
      <c r="HB773" s="14">
        <f t="shared" si="273"/>
        <v>4</v>
      </c>
      <c r="HC773" s="14">
        <f t="shared" si="274"/>
        <v>1.109</v>
      </c>
      <c r="HD773" s="14">
        <f t="shared" si="275"/>
        <v>1606044</v>
      </c>
      <c r="HE773" s="14" t="str">
        <f t="shared" si="276"/>
        <v>神器7-8 : 8级</v>
      </c>
      <c r="HF773" s="14" t="s">
        <v>800</v>
      </c>
      <c r="HG773" s="14">
        <f t="shared" si="281"/>
        <v>8</v>
      </c>
      <c r="HH773" s="14" t="str">
        <f t="shared" si="282"/>
        <v>神器7-8</v>
      </c>
      <c r="HI773" s="14">
        <f t="shared" si="283"/>
        <v>3</v>
      </c>
      <c r="HJ773" s="14" t="s">
        <v>1595</v>
      </c>
      <c r="HK773" s="14">
        <f t="shared" si="280"/>
        <v>46100</v>
      </c>
    </row>
    <row r="774" spans="207:219" ht="16.5" x14ac:dyDescent="0.2">
      <c r="GY774" s="91">
        <v>768</v>
      </c>
      <c r="GZ774" s="14">
        <f t="shared" si="271"/>
        <v>42</v>
      </c>
      <c r="HA774" s="14">
        <f t="shared" si="272"/>
        <v>7</v>
      </c>
      <c r="HB774" s="14">
        <f t="shared" si="273"/>
        <v>4</v>
      </c>
      <c r="HC774" s="14">
        <f t="shared" si="274"/>
        <v>1.1359999999999999</v>
      </c>
      <c r="HD774" s="14">
        <f t="shared" si="275"/>
        <v>1606044</v>
      </c>
      <c r="HE774" s="14" t="str">
        <f t="shared" si="276"/>
        <v>神器7-8 : 9级</v>
      </c>
      <c r="HF774" s="14" t="s">
        <v>800</v>
      </c>
      <c r="HG774" s="14">
        <f t="shared" si="281"/>
        <v>9</v>
      </c>
      <c r="HH774" s="14" t="str">
        <f t="shared" si="282"/>
        <v>神器7-8</v>
      </c>
      <c r="HI774" s="14">
        <f t="shared" si="283"/>
        <v>3</v>
      </c>
      <c r="HJ774" s="14" t="s">
        <v>1595</v>
      </c>
      <c r="HK774" s="14">
        <f t="shared" si="280"/>
        <v>47200</v>
      </c>
    </row>
    <row r="775" spans="207:219" ht="16.5" x14ac:dyDescent="0.2">
      <c r="GY775" s="91">
        <v>769</v>
      </c>
      <c r="GZ775" s="14">
        <f t="shared" si="271"/>
        <v>42</v>
      </c>
      <c r="HA775" s="14">
        <f t="shared" si="272"/>
        <v>7</v>
      </c>
      <c r="HB775" s="14">
        <f t="shared" si="273"/>
        <v>4</v>
      </c>
      <c r="HC775" s="14">
        <f t="shared" si="274"/>
        <v>1.1619999999999999</v>
      </c>
      <c r="HD775" s="14">
        <f t="shared" si="275"/>
        <v>1606044</v>
      </c>
      <c r="HE775" s="14" t="str">
        <f t="shared" si="276"/>
        <v>神器7-8 : 10级</v>
      </c>
      <c r="HF775" s="14" t="s">
        <v>800</v>
      </c>
      <c r="HG775" s="14">
        <f t="shared" si="281"/>
        <v>10</v>
      </c>
      <c r="HH775" s="14" t="str">
        <f t="shared" si="282"/>
        <v>神器7-8</v>
      </c>
      <c r="HI775" s="14">
        <f t="shared" si="283"/>
        <v>5</v>
      </c>
      <c r="HJ775" s="14" t="s">
        <v>1595</v>
      </c>
      <c r="HK775" s="14">
        <f t="shared" si="280"/>
        <v>48300</v>
      </c>
    </row>
    <row r="776" spans="207:219" ht="16.5" x14ac:dyDescent="0.2">
      <c r="GY776" s="91">
        <v>770</v>
      </c>
      <c r="GZ776" s="14">
        <f t="shared" ref="GZ776:GZ786" si="284">MATCH(GY776-1,$R$7:$R$49,1)</f>
        <v>42</v>
      </c>
      <c r="HA776" s="14">
        <f t="shared" ref="HA776:HA786" si="285">INDEX($N$8:$N$49,GZ776)</f>
        <v>7</v>
      </c>
      <c r="HB776" s="14">
        <f t="shared" ref="HB776:HB786" si="286">INDEX($P$8:$P$49,GZ776)</f>
        <v>4</v>
      </c>
      <c r="HC776" s="14">
        <f t="shared" ref="HC776:HC786" si="287">ROUND(SQRT(INDEX($BJ$7:$BJ$27,HG776)*INDEX($H$7:$H$10,HB776)),3)</f>
        <v>1.1870000000000001</v>
      </c>
      <c r="HD776" s="14">
        <f t="shared" ref="HD776:HD786" si="288">INDEX($S$8:$S$49,GZ776)</f>
        <v>1606044</v>
      </c>
      <c r="HE776" s="14" t="str">
        <f t="shared" ref="HE776:HE786" si="289">INDEX($T$8:$T$49,GZ776)&amp;" : "&amp;HG776&amp;"级"</f>
        <v>神器7-8 : 11级</v>
      </c>
      <c r="HF776" s="14" t="s">
        <v>800</v>
      </c>
      <c r="HG776" s="14">
        <f t="shared" si="281"/>
        <v>11</v>
      </c>
      <c r="HH776" s="14" t="str">
        <f t="shared" si="282"/>
        <v>神器7-8</v>
      </c>
      <c r="HI776" s="14">
        <f t="shared" si="283"/>
        <v>5</v>
      </c>
      <c r="HJ776" s="14" t="s">
        <v>1595</v>
      </c>
      <c r="HK776" s="14">
        <f t="shared" ref="HK776:HK786" si="290">ROUND(INDEX($Y$8:$Y$14,HA776)/INDEX($Z$8:$Z$14,HA776)*HC776/50,0)*50</f>
        <v>49350</v>
      </c>
    </row>
    <row r="777" spans="207:219" ht="16.5" x14ac:dyDescent="0.2">
      <c r="GY777" s="91">
        <v>771</v>
      </c>
      <c r="GZ777" s="14">
        <f t="shared" si="284"/>
        <v>42</v>
      </c>
      <c r="HA777" s="14">
        <f t="shared" si="285"/>
        <v>7</v>
      </c>
      <c r="HB777" s="14">
        <f t="shared" si="286"/>
        <v>4</v>
      </c>
      <c r="HC777" s="14">
        <f t="shared" si="287"/>
        <v>1.212</v>
      </c>
      <c r="HD777" s="14">
        <f t="shared" si="288"/>
        <v>1606044</v>
      </c>
      <c r="HE777" s="14" t="str">
        <f t="shared" si="289"/>
        <v>神器7-8 : 12级</v>
      </c>
      <c r="HF777" s="14" t="s">
        <v>800</v>
      </c>
      <c r="HG777" s="14">
        <f t="shared" si="281"/>
        <v>12</v>
      </c>
      <c r="HH777" s="14" t="str">
        <f t="shared" si="282"/>
        <v>神器7-8</v>
      </c>
      <c r="HI777" s="14">
        <f t="shared" si="283"/>
        <v>6</v>
      </c>
      <c r="HJ777" s="14" t="s">
        <v>1595</v>
      </c>
      <c r="HK777" s="14">
        <f t="shared" si="290"/>
        <v>50350</v>
      </c>
    </row>
    <row r="778" spans="207:219" ht="16.5" x14ac:dyDescent="0.2">
      <c r="GY778" s="91">
        <v>772</v>
      </c>
      <c r="GZ778" s="14">
        <f t="shared" si="284"/>
        <v>42</v>
      </c>
      <c r="HA778" s="14">
        <f t="shared" si="285"/>
        <v>7</v>
      </c>
      <c r="HB778" s="14">
        <f t="shared" si="286"/>
        <v>4</v>
      </c>
      <c r="HC778" s="14">
        <f t="shared" si="287"/>
        <v>1.2370000000000001</v>
      </c>
      <c r="HD778" s="14">
        <f t="shared" si="288"/>
        <v>1606044</v>
      </c>
      <c r="HE778" s="14" t="str">
        <f t="shared" si="289"/>
        <v>神器7-8 : 13级</v>
      </c>
      <c r="HF778" s="14" t="s">
        <v>800</v>
      </c>
      <c r="HG778" s="14">
        <f t="shared" si="281"/>
        <v>13</v>
      </c>
      <c r="HH778" s="14" t="str">
        <f t="shared" si="282"/>
        <v>神器7-8</v>
      </c>
      <c r="HI778" s="14">
        <f t="shared" si="283"/>
        <v>7</v>
      </c>
      <c r="HJ778" s="14" t="s">
        <v>1595</v>
      </c>
      <c r="HK778" s="14">
        <f t="shared" si="290"/>
        <v>51400</v>
      </c>
    </row>
    <row r="779" spans="207:219" ht="16.5" x14ac:dyDescent="0.2">
      <c r="GY779" s="91">
        <v>773</v>
      </c>
      <c r="GZ779" s="14">
        <f t="shared" si="284"/>
        <v>42</v>
      </c>
      <c r="HA779" s="14">
        <f t="shared" si="285"/>
        <v>7</v>
      </c>
      <c r="HB779" s="14">
        <f t="shared" si="286"/>
        <v>4</v>
      </c>
      <c r="HC779" s="14">
        <f t="shared" si="287"/>
        <v>1.2609999999999999</v>
      </c>
      <c r="HD779" s="14">
        <f t="shared" si="288"/>
        <v>1606044</v>
      </c>
      <c r="HE779" s="14" t="str">
        <f t="shared" si="289"/>
        <v>神器7-8 : 14级</v>
      </c>
      <c r="HF779" s="14" t="s">
        <v>800</v>
      </c>
      <c r="HG779" s="14">
        <f t="shared" si="281"/>
        <v>14</v>
      </c>
      <c r="HH779" s="14" t="str">
        <f t="shared" si="282"/>
        <v>神器7-8</v>
      </c>
      <c r="HI779" s="14">
        <f t="shared" si="283"/>
        <v>7</v>
      </c>
      <c r="HJ779" s="14" t="s">
        <v>1595</v>
      </c>
      <c r="HK779" s="14">
        <f t="shared" si="290"/>
        <v>52400</v>
      </c>
    </row>
    <row r="780" spans="207:219" ht="16.5" x14ac:dyDescent="0.2">
      <c r="GY780" s="91">
        <v>774</v>
      </c>
      <c r="GZ780" s="14">
        <f t="shared" si="284"/>
        <v>42</v>
      </c>
      <c r="HA780" s="14">
        <f t="shared" si="285"/>
        <v>7</v>
      </c>
      <c r="HB780" s="14">
        <f t="shared" si="286"/>
        <v>4</v>
      </c>
      <c r="HC780" s="14">
        <f t="shared" si="287"/>
        <v>1.2849999999999999</v>
      </c>
      <c r="HD780" s="14">
        <f t="shared" si="288"/>
        <v>1606044</v>
      </c>
      <c r="HE780" s="14" t="str">
        <f t="shared" si="289"/>
        <v>神器7-8 : 15级</v>
      </c>
      <c r="HF780" s="14" t="s">
        <v>800</v>
      </c>
      <c r="HG780" s="14">
        <f t="shared" si="281"/>
        <v>15</v>
      </c>
      <c r="HH780" s="14" t="str">
        <f t="shared" si="282"/>
        <v>神器7-8</v>
      </c>
      <c r="HI780" s="14">
        <f t="shared" si="283"/>
        <v>7</v>
      </c>
      <c r="HJ780" s="14" t="s">
        <v>1595</v>
      </c>
      <c r="HK780" s="14">
        <f t="shared" si="290"/>
        <v>53400</v>
      </c>
    </row>
    <row r="781" spans="207:219" ht="16.5" x14ac:dyDescent="0.2">
      <c r="GY781" s="91">
        <v>775</v>
      </c>
      <c r="GZ781" s="14">
        <f t="shared" si="284"/>
        <v>42</v>
      </c>
      <c r="HA781" s="14">
        <f t="shared" si="285"/>
        <v>7</v>
      </c>
      <c r="HB781" s="14">
        <f t="shared" si="286"/>
        <v>4</v>
      </c>
      <c r="HC781" s="14">
        <f t="shared" si="287"/>
        <v>1.3080000000000001</v>
      </c>
      <c r="HD781" s="14">
        <f t="shared" si="288"/>
        <v>1606044</v>
      </c>
      <c r="HE781" s="14" t="str">
        <f t="shared" si="289"/>
        <v>神器7-8 : 16级</v>
      </c>
      <c r="HF781" s="14" t="s">
        <v>800</v>
      </c>
      <c r="HG781" s="14">
        <f t="shared" si="281"/>
        <v>16</v>
      </c>
      <c r="HH781" s="14" t="str">
        <f t="shared" si="282"/>
        <v>神器7-8</v>
      </c>
      <c r="HI781" s="14">
        <f t="shared" si="283"/>
        <v>10</v>
      </c>
      <c r="HJ781" s="14" t="s">
        <v>1595</v>
      </c>
      <c r="HK781" s="14">
        <f t="shared" si="290"/>
        <v>54350</v>
      </c>
    </row>
    <row r="782" spans="207:219" ht="16.5" x14ac:dyDescent="0.2">
      <c r="GY782" s="91">
        <v>776</v>
      </c>
      <c r="GZ782" s="14">
        <f t="shared" si="284"/>
        <v>42</v>
      </c>
      <c r="HA782" s="14">
        <f t="shared" si="285"/>
        <v>7</v>
      </c>
      <c r="HB782" s="14">
        <f t="shared" si="286"/>
        <v>4</v>
      </c>
      <c r="HC782" s="14">
        <f t="shared" si="287"/>
        <v>1.33</v>
      </c>
      <c r="HD782" s="14">
        <f t="shared" si="288"/>
        <v>1606044</v>
      </c>
      <c r="HE782" s="14" t="str">
        <f t="shared" si="289"/>
        <v>神器7-8 : 17级</v>
      </c>
      <c r="HF782" s="14" t="s">
        <v>800</v>
      </c>
      <c r="HG782" s="14">
        <f t="shared" si="281"/>
        <v>17</v>
      </c>
      <c r="HH782" s="14" t="str">
        <f t="shared" si="282"/>
        <v>神器7-8</v>
      </c>
      <c r="HI782" s="14">
        <f t="shared" si="283"/>
        <v>10</v>
      </c>
      <c r="HJ782" s="14" t="s">
        <v>1595</v>
      </c>
      <c r="HK782" s="14">
        <f t="shared" si="290"/>
        <v>55300</v>
      </c>
    </row>
    <row r="783" spans="207:219" ht="16.5" x14ac:dyDescent="0.2">
      <c r="GY783" s="91">
        <v>777</v>
      </c>
      <c r="GZ783" s="14">
        <f t="shared" si="284"/>
        <v>42</v>
      </c>
      <c r="HA783" s="14">
        <f t="shared" si="285"/>
        <v>7</v>
      </c>
      <c r="HB783" s="14">
        <f t="shared" si="286"/>
        <v>4</v>
      </c>
      <c r="HC783" s="14">
        <f t="shared" si="287"/>
        <v>1.353</v>
      </c>
      <c r="HD783" s="14">
        <f t="shared" si="288"/>
        <v>1606044</v>
      </c>
      <c r="HE783" s="14" t="str">
        <f t="shared" si="289"/>
        <v>神器7-8 : 18级</v>
      </c>
      <c r="HF783" s="14" t="s">
        <v>800</v>
      </c>
      <c r="HG783" s="14">
        <f t="shared" si="281"/>
        <v>18</v>
      </c>
      <c r="HH783" s="14" t="str">
        <f t="shared" si="282"/>
        <v>神器7-8</v>
      </c>
      <c r="HI783" s="14">
        <f t="shared" si="283"/>
        <v>10</v>
      </c>
      <c r="HJ783" s="14" t="s">
        <v>1595</v>
      </c>
      <c r="HK783" s="14">
        <f t="shared" si="290"/>
        <v>56250</v>
      </c>
    </row>
    <row r="784" spans="207:219" ht="16.5" x14ac:dyDescent="0.2">
      <c r="GY784" s="91">
        <v>778</v>
      </c>
      <c r="GZ784" s="14">
        <f t="shared" si="284"/>
        <v>42</v>
      </c>
      <c r="HA784" s="14">
        <f t="shared" si="285"/>
        <v>7</v>
      </c>
      <c r="HB784" s="14">
        <f t="shared" si="286"/>
        <v>4</v>
      </c>
      <c r="HC784" s="14">
        <f t="shared" si="287"/>
        <v>1.375</v>
      </c>
      <c r="HD784" s="14">
        <f t="shared" si="288"/>
        <v>1606044</v>
      </c>
      <c r="HE784" s="14" t="str">
        <f t="shared" si="289"/>
        <v>神器7-8 : 19级</v>
      </c>
      <c r="HF784" s="14" t="s">
        <v>800</v>
      </c>
      <c r="HG784" s="14">
        <f t="shared" si="281"/>
        <v>19</v>
      </c>
      <c r="HH784" s="14" t="str">
        <f t="shared" si="282"/>
        <v>神器7-8</v>
      </c>
      <c r="HI784" s="14">
        <f t="shared" si="283"/>
        <v>15</v>
      </c>
      <c r="HJ784" s="14" t="s">
        <v>1595</v>
      </c>
      <c r="HK784" s="14">
        <f t="shared" si="290"/>
        <v>57150</v>
      </c>
    </row>
    <row r="785" spans="207:219" ht="16.5" x14ac:dyDescent="0.2">
      <c r="GY785" s="91">
        <v>779</v>
      </c>
      <c r="GZ785" s="14">
        <f t="shared" si="284"/>
        <v>42</v>
      </c>
      <c r="HA785" s="14">
        <f t="shared" si="285"/>
        <v>7</v>
      </c>
      <c r="HB785" s="14">
        <f t="shared" si="286"/>
        <v>4</v>
      </c>
      <c r="HC785" s="14">
        <f t="shared" si="287"/>
        <v>1.3959999999999999</v>
      </c>
      <c r="HD785" s="14">
        <f t="shared" si="288"/>
        <v>1606044</v>
      </c>
      <c r="HE785" s="14" t="str">
        <f t="shared" si="289"/>
        <v>神器7-8 : 20级</v>
      </c>
      <c r="HF785" s="14" t="s">
        <v>800</v>
      </c>
      <c r="HG785" s="14">
        <f t="shared" si="281"/>
        <v>20</v>
      </c>
      <c r="HH785" s="14" t="str">
        <f t="shared" si="282"/>
        <v>神器7-8</v>
      </c>
      <c r="HI785" s="14">
        <f t="shared" si="283"/>
        <v>15</v>
      </c>
      <c r="HJ785" s="14" t="s">
        <v>1595</v>
      </c>
      <c r="HK785" s="14">
        <f t="shared" si="290"/>
        <v>58000</v>
      </c>
    </row>
    <row r="786" spans="207:219" ht="16.5" x14ac:dyDescent="0.2">
      <c r="GY786" s="91">
        <v>780</v>
      </c>
      <c r="GZ786" s="14">
        <f t="shared" si="284"/>
        <v>42</v>
      </c>
      <c r="HA786" s="14">
        <f t="shared" si="285"/>
        <v>7</v>
      </c>
      <c r="HB786" s="14">
        <f t="shared" si="286"/>
        <v>4</v>
      </c>
      <c r="HC786" s="14">
        <f t="shared" si="287"/>
        <v>1.4179999999999999</v>
      </c>
      <c r="HD786" s="14">
        <f t="shared" si="288"/>
        <v>1606044</v>
      </c>
      <c r="HE786" s="14" t="str">
        <f t="shared" si="289"/>
        <v>神器7-8 : 21级</v>
      </c>
      <c r="HF786" s="14" t="s">
        <v>800</v>
      </c>
      <c r="HG786" s="14">
        <f t="shared" si="281"/>
        <v>21</v>
      </c>
      <c r="HH786" s="14" t="str">
        <f t="shared" si="282"/>
        <v>神器7-8</v>
      </c>
      <c r="HI786" s="14">
        <f t="shared" si="283"/>
        <v>15</v>
      </c>
      <c r="HJ786" s="14" t="s">
        <v>1595</v>
      </c>
      <c r="HK786" s="14">
        <f t="shared" si="290"/>
        <v>58950</v>
      </c>
    </row>
  </sheetData>
  <mergeCells count="18">
    <mergeCell ref="J4:L4"/>
    <mergeCell ref="N4:T4"/>
    <mergeCell ref="BL4:DF4"/>
    <mergeCell ref="DH4:EW4"/>
    <mergeCell ref="W4:AC4"/>
    <mergeCell ref="AF4:AL4"/>
    <mergeCell ref="AO4:BB4"/>
    <mergeCell ref="BE4:BG4"/>
    <mergeCell ref="BI4:BJ4"/>
    <mergeCell ref="GY4:HK4"/>
    <mergeCell ref="FQ5:FW5"/>
    <mergeCell ref="FX5:GD5"/>
    <mergeCell ref="GE5:GM5"/>
    <mergeCell ref="GN5:GV5"/>
    <mergeCell ref="EZ4:GV4"/>
    <mergeCell ref="EZ5:FC5"/>
    <mergeCell ref="FD5:FI5"/>
    <mergeCell ref="FJ5:FP5"/>
  </mergeCells>
  <phoneticPr fontId="2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E41"/>
  <sheetViews>
    <sheetView workbookViewId="0">
      <selection activeCell="T27" sqref="T27"/>
    </sheetView>
  </sheetViews>
  <sheetFormatPr defaultRowHeight="14.25" x14ac:dyDescent="0.2"/>
  <cols>
    <col min="1" max="1" width="10" customWidth="1"/>
    <col min="2" max="2" width="10.625" customWidth="1"/>
    <col min="3" max="3" width="9.75" style="132" customWidth="1"/>
    <col min="12" max="13" width="9" style="146"/>
    <col min="16" max="16" width="9" style="146"/>
    <col min="17" max="21" width="10.625" customWidth="1"/>
    <col min="25" max="31" width="9" style="146"/>
  </cols>
  <sheetData>
    <row r="3" spans="1:29" x14ac:dyDescent="0.2">
      <c r="H3">
        <v>0.8</v>
      </c>
      <c r="I3">
        <v>1</v>
      </c>
      <c r="J3">
        <v>1.2</v>
      </c>
    </row>
    <row r="4" spans="1:29" ht="20.25" x14ac:dyDescent="0.2">
      <c r="A4" s="233" t="s">
        <v>1064</v>
      </c>
      <c r="B4" s="233"/>
      <c r="C4" s="233"/>
      <c r="D4" s="233"/>
      <c r="E4" s="233"/>
      <c r="F4" s="233"/>
      <c r="H4" s="233" t="s">
        <v>1194</v>
      </c>
      <c r="I4" s="233"/>
      <c r="J4" s="233"/>
      <c r="O4" s="233" t="s">
        <v>1197</v>
      </c>
      <c r="P4" s="233"/>
      <c r="Q4" s="233"/>
      <c r="R4" s="233"/>
      <c r="S4" s="233"/>
      <c r="T4" s="233"/>
      <c r="U4" s="233"/>
      <c r="X4" s="233" t="s">
        <v>1198</v>
      </c>
      <c r="Y4" s="233"/>
      <c r="Z4" s="233"/>
      <c r="AA4" s="233"/>
      <c r="AB4" s="233"/>
      <c r="AC4" s="233"/>
    </row>
    <row r="5" spans="1:29" ht="17.25" x14ac:dyDescent="0.2">
      <c r="A5" s="12" t="s">
        <v>1065</v>
      </c>
      <c r="B5" s="12" t="s">
        <v>1066</v>
      </c>
      <c r="C5" s="12" t="s">
        <v>1027</v>
      </c>
      <c r="D5" s="12" t="s">
        <v>1067</v>
      </c>
      <c r="E5" s="12" t="s">
        <v>105</v>
      </c>
      <c r="F5" s="12" t="s">
        <v>1068</v>
      </c>
      <c r="H5" s="45" t="s">
        <v>1191</v>
      </c>
      <c r="I5" s="45" t="s">
        <v>1192</v>
      </c>
      <c r="J5" s="45" t="s">
        <v>1193</v>
      </c>
      <c r="L5" s="23" t="s">
        <v>1199</v>
      </c>
      <c r="M5" s="23" t="s">
        <v>1200</v>
      </c>
      <c r="O5" s="23" t="s">
        <v>1195</v>
      </c>
      <c r="P5" s="23" t="s">
        <v>1170</v>
      </c>
      <c r="Q5" s="12" t="s">
        <v>138</v>
      </c>
      <c r="R5" s="12" t="s">
        <v>139</v>
      </c>
      <c r="S5" s="12" t="s">
        <v>140</v>
      </c>
      <c r="T5" s="12" t="s">
        <v>141</v>
      </c>
      <c r="U5" s="12" t="s">
        <v>422</v>
      </c>
      <c r="X5" s="23" t="s">
        <v>1195</v>
      </c>
      <c r="Y5" s="23" t="s">
        <v>1170</v>
      </c>
      <c r="Z5" s="12" t="s">
        <v>415</v>
      </c>
      <c r="AA5" s="12" t="s">
        <v>416</v>
      </c>
      <c r="AB5" s="12" t="s">
        <v>417</v>
      </c>
      <c r="AC5" s="12" t="s">
        <v>1196</v>
      </c>
    </row>
    <row r="6" spans="1:29" ht="16.5" x14ac:dyDescent="0.2">
      <c r="A6" s="133">
        <v>0</v>
      </c>
      <c r="B6" s="133">
        <v>0</v>
      </c>
      <c r="C6" s="133">
        <v>0</v>
      </c>
      <c r="D6" s="133">
        <v>0</v>
      </c>
      <c r="E6" s="133">
        <v>0</v>
      </c>
      <c r="F6" s="133">
        <v>0</v>
      </c>
      <c r="G6" s="132"/>
      <c r="H6" s="144"/>
      <c r="I6" s="144"/>
      <c r="J6" s="144"/>
      <c r="L6" s="144">
        <v>1</v>
      </c>
      <c r="M6" s="144">
        <f>INDEX($H$7:$J$18,INT((L6-1)/3)+1,MOD(L6-1,3)+1)</f>
        <v>8000</v>
      </c>
      <c r="O6" s="144">
        <v>1</v>
      </c>
      <c r="P6" s="144">
        <v>15</v>
      </c>
      <c r="Q6" s="144">
        <v>100</v>
      </c>
      <c r="R6" s="144"/>
      <c r="S6" s="144"/>
      <c r="T6" s="144"/>
      <c r="U6" s="144"/>
      <c r="X6" s="144">
        <v>1</v>
      </c>
      <c r="Y6" s="144">
        <v>30</v>
      </c>
      <c r="Z6" s="144">
        <v>15</v>
      </c>
      <c r="AA6" s="144"/>
      <c r="AB6" s="144"/>
      <c r="AC6" s="144"/>
    </row>
    <row r="7" spans="1:29" ht="16.5" x14ac:dyDescent="0.2">
      <c r="A7" s="129">
        <v>1</v>
      </c>
      <c r="B7" s="129">
        <v>20</v>
      </c>
      <c r="C7" s="129">
        <f>MATCH(日常副本!B7,章节关卡!$B$5:$B$35,1)</f>
        <v>4</v>
      </c>
      <c r="D7" s="129">
        <f>INDEX(章节关卡!$I$6:$I$35,C7)</f>
        <v>25</v>
      </c>
      <c r="E7" s="129">
        <v>400</v>
      </c>
      <c r="F7" s="14">
        <f>D7*E7</f>
        <v>10000</v>
      </c>
      <c r="G7" s="132"/>
      <c r="H7" s="144">
        <f>$F7*H$3</f>
        <v>8000</v>
      </c>
      <c r="I7" s="144">
        <f t="shared" ref="I7:J18" si="0">$F7*I$3</f>
        <v>10000</v>
      </c>
      <c r="J7" s="144">
        <f t="shared" si="0"/>
        <v>12000</v>
      </c>
      <c r="L7" s="144">
        <v>2</v>
      </c>
      <c r="M7" s="144">
        <f t="shared" ref="M7:M41" si="1">INDEX($H$7:$J$18,INT((L7-1)/3)+1,MOD(L7-1,3)+1)</f>
        <v>10000</v>
      </c>
      <c r="O7" s="144">
        <v>2</v>
      </c>
      <c r="P7" s="144">
        <v>25</v>
      </c>
      <c r="Q7" s="144">
        <v>200</v>
      </c>
      <c r="R7" s="144"/>
      <c r="S7" s="144"/>
      <c r="T7" s="144"/>
      <c r="U7" s="144"/>
      <c r="X7" s="144">
        <v>2</v>
      </c>
      <c r="Y7" s="144">
        <v>40</v>
      </c>
      <c r="Z7" s="144">
        <v>30</v>
      </c>
      <c r="AA7" s="144"/>
      <c r="AB7" s="144"/>
      <c r="AC7" s="144"/>
    </row>
    <row r="8" spans="1:29" ht="16.5" x14ac:dyDescent="0.2">
      <c r="A8" s="129">
        <v>2</v>
      </c>
      <c r="B8" s="129">
        <v>30</v>
      </c>
      <c r="C8" s="129">
        <f>MATCH(日常副本!B8,章节关卡!$B$5:$B$35,1)</f>
        <v>6</v>
      </c>
      <c r="D8" s="129">
        <f>INDEX(章节关卡!$I$6:$I$35,C8)</f>
        <v>35</v>
      </c>
      <c r="E8" s="129">
        <v>400</v>
      </c>
      <c r="F8" s="14">
        <f t="shared" ref="F8:F18" si="2">D8*E8</f>
        <v>14000</v>
      </c>
      <c r="G8" s="132"/>
      <c r="H8" s="144">
        <f t="shared" ref="H8:H18" si="3">$F8*H$3</f>
        <v>11200</v>
      </c>
      <c r="I8" s="144">
        <f t="shared" si="0"/>
        <v>14000</v>
      </c>
      <c r="J8" s="144">
        <f t="shared" si="0"/>
        <v>16800</v>
      </c>
      <c r="L8" s="144">
        <v>3</v>
      </c>
      <c r="M8" s="144">
        <f t="shared" si="1"/>
        <v>12000</v>
      </c>
      <c r="O8" s="144">
        <v>3</v>
      </c>
      <c r="P8" s="144">
        <v>35</v>
      </c>
      <c r="Q8" s="144">
        <v>150</v>
      </c>
      <c r="R8" s="144">
        <v>50</v>
      </c>
      <c r="S8" s="144"/>
      <c r="T8" s="144"/>
      <c r="U8" s="144"/>
      <c r="X8" s="144">
        <v>3</v>
      </c>
      <c r="Y8" s="144">
        <v>50</v>
      </c>
      <c r="Z8" s="144">
        <v>50</v>
      </c>
      <c r="AA8" s="144"/>
      <c r="AB8" s="144"/>
      <c r="AC8" s="144"/>
    </row>
    <row r="9" spans="1:29" ht="16.5" x14ac:dyDescent="0.2">
      <c r="A9" s="129">
        <v>3</v>
      </c>
      <c r="B9" s="129">
        <v>40</v>
      </c>
      <c r="C9" s="129">
        <f>MATCH(日常副本!B9,章节关卡!$B$5:$B$35,1)</f>
        <v>8</v>
      </c>
      <c r="D9" s="129">
        <f>INDEX(章节关卡!$I$6:$I$35,C9)</f>
        <v>45</v>
      </c>
      <c r="E9" s="129">
        <v>400</v>
      </c>
      <c r="F9" s="14">
        <f t="shared" si="2"/>
        <v>18000</v>
      </c>
      <c r="G9" s="132"/>
      <c r="H9" s="144">
        <f t="shared" si="3"/>
        <v>14400</v>
      </c>
      <c r="I9" s="144">
        <f t="shared" si="0"/>
        <v>18000</v>
      </c>
      <c r="J9" s="144">
        <f t="shared" si="0"/>
        <v>21600</v>
      </c>
      <c r="L9" s="144">
        <v>4</v>
      </c>
      <c r="M9" s="144">
        <f t="shared" si="1"/>
        <v>11200</v>
      </c>
      <c r="O9" s="144">
        <v>4</v>
      </c>
      <c r="P9" s="144">
        <v>45</v>
      </c>
      <c r="Q9" s="144"/>
      <c r="R9" s="144">
        <v>80</v>
      </c>
      <c r="S9" s="144"/>
      <c r="T9" s="144"/>
      <c r="U9" s="144"/>
      <c r="X9" s="144">
        <v>4</v>
      </c>
      <c r="Y9" s="144">
        <v>60</v>
      </c>
      <c r="Z9" s="144">
        <v>35</v>
      </c>
      <c r="AA9" s="144">
        <v>8</v>
      </c>
      <c r="AB9" s="144"/>
      <c r="AC9" s="144"/>
    </row>
    <row r="10" spans="1:29" ht="16.5" x14ac:dyDescent="0.2">
      <c r="A10" s="129">
        <v>4</v>
      </c>
      <c r="B10" s="129">
        <v>55</v>
      </c>
      <c r="C10" s="129">
        <f>MATCH(日常副本!B10,章节关卡!$B$5:$B$35,1)</f>
        <v>11</v>
      </c>
      <c r="D10" s="129">
        <f>INDEX(章节关卡!$I$6:$I$35,C10)</f>
        <v>60</v>
      </c>
      <c r="E10" s="129">
        <v>400</v>
      </c>
      <c r="F10" s="14">
        <f t="shared" si="2"/>
        <v>24000</v>
      </c>
      <c r="G10" s="132"/>
      <c r="H10" s="144">
        <f t="shared" si="3"/>
        <v>19200</v>
      </c>
      <c r="I10" s="144">
        <f t="shared" si="0"/>
        <v>24000</v>
      </c>
      <c r="J10" s="144">
        <f t="shared" si="0"/>
        <v>28800</v>
      </c>
      <c r="L10" s="144">
        <v>5</v>
      </c>
      <c r="M10" s="144">
        <f t="shared" si="1"/>
        <v>14000</v>
      </c>
      <c r="O10" s="144">
        <v>5</v>
      </c>
      <c r="P10" s="144">
        <v>55</v>
      </c>
      <c r="Q10" s="144"/>
      <c r="R10" s="144">
        <v>120</v>
      </c>
      <c r="S10" s="144"/>
      <c r="T10" s="144"/>
      <c r="U10" s="144"/>
      <c r="X10" s="144">
        <v>5</v>
      </c>
      <c r="Y10" s="144">
        <v>70</v>
      </c>
      <c r="Z10" s="144">
        <v>20</v>
      </c>
      <c r="AA10" s="144">
        <v>15</v>
      </c>
      <c r="AB10" s="144"/>
      <c r="AC10" s="144"/>
    </row>
    <row r="11" spans="1:29" ht="16.5" x14ac:dyDescent="0.2">
      <c r="A11" s="129">
        <v>5</v>
      </c>
      <c r="B11" s="129">
        <v>70</v>
      </c>
      <c r="C11" s="129">
        <f>MATCH(日常副本!B11,章节关卡!$B$5:$B$35,1)</f>
        <v>14</v>
      </c>
      <c r="D11" s="129">
        <f>INDEX(章节关卡!$I$6:$I$35,C11)</f>
        <v>75</v>
      </c>
      <c r="E11" s="129">
        <v>400</v>
      </c>
      <c r="F11" s="14">
        <f t="shared" si="2"/>
        <v>30000</v>
      </c>
      <c r="G11" s="132"/>
      <c r="H11" s="144">
        <f t="shared" si="3"/>
        <v>24000</v>
      </c>
      <c r="I11" s="144">
        <f t="shared" si="0"/>
        <v>30000</v>
      </c>
      <c r="J11" s="144">
        <f t="shared" si="0"/>
        <v>36000</v>
      </c>
      <c r="L11" s="144">
        <v>6</v>
      </c>
      <c r="M11" s="144">
        <f t="shared" si="1"/>
        <v>16800</v>
      </c>
      <c r="O11" s="144">
        <v>6</v>
      </c>
      <c r="P11" s="144">
        <v>65</v>
      </c>
      <c r="Q11" s="144"/>
      <c r="R11" s="144">
        <v>75</v>
      </c>
      <c r="S11" s="144">
        <v>18</v>
      </c>
      <c r="T11" s="144"/>
      <c r="U11" s="144"/>
      <c r="X11" s="144">
        <v>6</v>
      </c>
      <c r="Y11" s="144">
        <v>80</v>
      </c>
      <c r="Z11" s="144"/>
      <c r="AA11" s="144">
        <v>21</v>
      </c>
      <c r="AB11" s="144"/>
      <c r="AC11" s="144"/>
    </row>
    <row r="12" spans="1:29" ht="16.5" x14ac:dyDescent="0.2">
      <c r="A12" s="129">
        <v>6</v>
      </c>
      <c r="B12" s="129">
        <v>80</v>
      </c>
      <c r="C12" s="129">
        <f>MATCH(日常副本!B12,章节关卡!$B$5:$B$35,1)</f>
        <v>16</v>
      </c>
      <c r="D12" s="129">
        <f>INDEX(章节关卡!$I$6:$I$35,C12)</f>
        <v>90</v>
      </c>
      <c r="E12" s="129">
        <v>400</v>
      </c>
      <c r="F12" s="14">
        <f t="shared" si="2"/>
        <v>36000</v>
      </c>
      <c r="G12" s="132"/>
      <c r="H12" s="144">
        <f t="shared" si="3"/>
        <v>28800</v>
      </c>
      <c r="I12" s="144">
        <f t="shared" si="0"/>
        <v>36000</v>
      </c>
      <c r="J12" s="144">
        <f t="shared" si="0"/>
        <v>43200</v>
      </c>
      <c r="L12" s="144">
        <v>7</v>
      </c>
      <c r="M12" s="144">
        <f t="shared" si="1"/>
        <v>14400</v>
      </c>
      <c r="O12" s="144">
        <v>7</v>
      </c>
      <c r="P12" s="144">
        <v>75</v>
      </c>
      <c r="Q12" s="144"/>
      <c r="R12" s="144">
        <v>40</v>
      </c>
      <c r="S12" s="144">
        <v>32</v>
      </c>
      <c r="T12" s="144"/>
      <c r="U12" s="144"/>
      <c r="X12" s="144">
        <v>7</v>
      </c>
      <c r="Y12" s="144">
        <v>90</v>
      </c>
      <c r="Z12" s="144"/>
      <c r="AA12" s="144">
        <v>13</v>
      </c>
      <c r="AB12" s="144">
        <v>4</v>
      </c>
      <c r="AC12" s="144"/>
    </row>
    <row r="13" spans="1:29" ht="16.5" x14ac:dyDescent="0.2">
      <c r="A13" s="129">
        <v>7</v>
      </c>
      <c r="B13" s="129">
        <v>90</v>
      </c>
      <c r="C13" s="129">
        <f>MATCH(日常副本!B13,章节关卡!$B$5:$B$35,1)</f>
        <v>18</v>
      </c>
      <c r="D13" s="129">
        <f>INDEX(章节关卡!$I$6:$I$35,C13)</f>
        <v>110</v>
      </c>
      <c r="E13" s="129">
        <v>400</v>
      </c>
      <c r="F13" s="14">
        <f t="shared" si="2"/>
        <v>44000</v>
      </c>
      <c r="G13" s="132"/>
      <c r="H13" s="144">
        <f t="shared" si="3"/>
        <v>35200</v>
      </c>
      <c r="I13" s="144">
        <f t="shared" si="0"/>
        <v>44000</v>
      </c>
      <c r="J13" s="144">
        <f t="shared" si="0"/>
        <v>52800</v>
      </c>
      <c r="L13" s="144">
        <v>8</v>
      </c>
      <c r="M13" s="144">
        <f t="shared" si="1"/>
        <v>18000</v>
      </c>
      <c r="O13" s="144">
        <v>8</v>
      </c>
      <c r="P13" s="144">
        <v>85</v>
      </c>
      <c r="Q13" s="144"/>
      <c r="R13" s="144"/>
      <c r="S13" s="144">
        <v>48</v>
      </c>
      <c r="T13" s="144"/>
      <c r="U13" s="144"/>
      <c r="X13" s="144">
        <v>8</v>
      </c>
      <c r="Y13" s="144">
        <v>100</v>
      </c>
      <c r="Z13" s="144"/>
      <c r="AA13" s="144">
        <v>8</v>
      </c>
      <c r="AB13" s="144">
        <v>7</v>
      </c>
      <c r="AC13" s="144"/>
    </row>
    <row r="14" spans="1:29" ht="16.5" x14ac:dyDescent="0.2">
      <c r="A14" s="129">
        <v>8</v>
      </c>
      <c r="B14" s="129">
        <v>105</v>
      </c>
      <c r="C14" s="129">
        <f>MATCH(日常副本!B14,章节关卡!$B$5:$B$35,1)</f>
        <v>21</v>
      </c>
      <c r="D14" s="129">
        <f>INDEX(章节关卡!$I$6:$I$35,C14)</f>
        <v>140</v>
      </c>
      <c r="E14" s="129">
        <v>400</v>
      </c>
      <c r="F14" s="14">
        <f t="shared" si="2"/>
        <v>56000</v>
      </c>
      <c r="G14" s="132"/>
      <c r="H14" s="144">
        <f t="shared" si="3"/>
        <v>44800</v>
      </c>
      <c r="I14" s="144">
        <f t="shared" si="0"/>
        <v>56000</v>
      </c>
      <c r="J14" s="144">
        <f t="shared" si="0"/>
        <v>67200</v>
      </c>
      <c r="L14" s="144">
        <v>9</v>
      </c>
      <c r="M14" s="144">
        <f t="shared" si="1"/>
        <v>21600</v>
      </c>
      <c r="O14" s="144">
        <v>9</v>
      </c>
      <c r="P14" s="144">
        <v>95</v>
      </c>
      <c r="Q14" s="144"/>
      <c r="R14" s="144"/>
      <c r="S14" s="144">
        <v>32</v>
      </c>
      <c r="T14" s="144">
        <v>8</v>
      </c>
      <c r="U14" s="144"/>
      <c r="X14" s="144">
        <v>9</v>
      </c>
      <c r="Y14" s="144">
        <v>110</v>
      </c>
      <c r="Z14" s="144"/>
      <c r="AA14" s="144"/>
      <c r="AB14" s="144">
        <v>11</v>
      </c>
      <c r="AC14" s="144"/>
    </row>
    <row r="15" spans="1:29" ht="16.5" x14ac:dyDescent="0.2">
      <c r="A15" s="129">
        <v>9</v>
      </c>
      <c r="B15" s="129">
        <v>120</v>
      </c>
      <c r="C15" s="129">
        <f>MATCH(日常副本!B15,章节关卡!$B$5:$B$35,1)</f>
        <v>24</v>
      </c>
      <c r="D15" s="129">
        <f>INDEX(章节关卡!$I$6:$I$35,C15)</f>
        <v>170</v>
      </c>
      <c r="E15" s="129">
        <v>400</v>
      </c>
      <c r="F15" s="14">
        <f t="shared" si="2"/>
        <v>68000</v>
      </c>
      <c r="G15" s="132"/>
      <c r="H15" s="144">
        <f t="shared" si="3"/>
        <v>54400</v>
      </c>
      <c r="I15" s="144">
        <f t="shared" si="0"/>
        <v>68000</v>
      </c>
      <c r="J15" s="144">
        <f t="shared" si="0"/>
        <v>81600</v>
      </c>
      <c r="L15" s="144">
        <v>10</v>
      </c>
      <c r="M15" s="144">
        <f t="shared" si="1"/>
        <v>19200</v>
      </c>
      <c r="O15" s="144">
        <v>10</v>
      </c>
      <c r="P15" s="144">
        <v>105</v>
      </c>
      <c r="Q15" s="144"/>
      <c r="R15" s="144"/>
      <c r="S15" s="144">
        <v>16</v>
      </c>
      <c r="T15" s="144">
        <v>15</v>
      </c>
      <c r="U15" s="144"/>
      <c r="X15" s="144">
        <v>10</v>
      </c>
      <c r="Y15" s="144">
        <v>120</v>
      </c>
      <c r="Z15" s="144"/>
      <c r="AA15" s="144"/>
      <c r="AB15" s="144">
        <v>7</v>
      </c>
      <c r="AC15" s="144">
        <v>2</v>
      </c>
    </row>
    <row r="16" spans="1:29" ht="16.5" x14ac:dyDescent="0.2">
      <c r="A16" s="129">
        <v>10</v>
      </c>
      <c r="B16" s="129">
        <v>130</v>
      </c>
      <c r="C16" s="129">
        <f>MATCH(日常副本!B16,章节关卡!$B$5:$B$35,1)</f>
        <v>26</v>
      </c>
      <c r="D16" s="129">
        <f>INDEX(章节关卡!$I$6:$I$35,C16)</f>
        <v>190</v>
      </c>
      <c r="E16" s="129">
        <v>400</v>
      </c>
      <c r="F16" s="14">
        <f t="shared" si="2"/>
        <v>76000</v>
      </c>
      <c r="G16" s="132"/>
      <c r="H16" s="144">
        <f t="shared" si="3"/>
        <v>60800</v>
      </c>
      <c r="I16" s="144">
        <f t="shared" si="0"/>
        <v>76000</v>
      </c>
      <c r="J16" s="144">
        <f t="shared" si="0"/>
        <v>91200</v>
      </c>
      <c r="L16" s="144">
        <v>11</v>
      </c>
      <c r="M16" s="144">
        <f t="shared" si="1"/>
        <v>24000</v>
      </c>
      <c r="O16" s="144">
        <v>11</v>
      </c>
      <c r="P16" s="144">
        <v>115</v>
      </c>
      <c r="Q16" s="144"/>
      <c r="R16" s="144"/>
      <c r="S16" s="144"/>
      <c r="T16" s="144">
        <v>24</v>
      </c>
      <c r="U16" s="144"/>
      <c r="X16" s="144">
        <v>11</v>
      </c>
      <c r="Y16" s="144">
        <v>130</v>
      </c>
      <c r="Z16" s="144"/>
      <c r="AA16" s="144"/>
      <c r="AB16" s="144">
        <v>4</v>
      </c>
      <c r="AC16" s="144">
        <v>4</v>
      </c>
    </row>
    <row r="17" spans="1:30" ht="16.5" x14ac:dyDescent="0.2">
      <c r="A17" s="129">
        <v>11</v>
      </c>
      <c r="B17" s="129">
        <v>140</v>
      </c>
      <c r="C17" s="129">
        <f>MATCH(日常副本!B17,章节关卡!$B$5:$B$35,1)</f>
        <v>28</v>
      </c>
      <c r="D17" s="129">
        <f>INDEX(章节关卡!$I$6:$I$35,C17)</f>
        <v>210</v>
      </c>
      <c r="E17" s="129">
        <v>400</v>
      </c>
      <c r="F17" s="14">
        <f t="shared" si="2"/>
        <v>84000</v>
      </c>
      <c r="G17" s="132"/>
      <c r="H17" s="144">
        <f t="shared" si="3"/>
        <v>67200</v>
      </c>
      <c r="I17" s="144">
        <f t="shared" si="0"/>
        <v>84000</v>
      </c>
      <c r="J17" s="144">
        <f t="shared" si="0"/>
        <v>100800</v>
      </c>
      <c r="L17" s="144">
        <v>12</v>
      </c>
      <c r="M17" s="144">
        <f t="shared" si="1"/>
        <v>28800</v>
      </c>
      <c r="O17" s="144">
        <v>12</v>
      </c>
      <c r="P17" s="144">
        <v>125</v>
      </c>
      <c r="Q17" s="144"/>
      <c r="R17" s="144"/>
      <c r="S17" s="144"/>
      <c r="T17" s="144">
        <v>15</v>
      </c>
      <c r="U17" s="144">
        <v>5</v>
      </c>
      <c r="X17" s="144">
        <v>12</v>
      </c>
      <c r="Y17" s="144">
        <v>140</v>
      </c>
      <c r="Z17" s="144"/>
      <c r="AA17" s="144"/>
      <c r="AB17" s="144"/>
      <c r="AC17" s="144">
        <v>6</v>
      </c>
    </row>
    <row r="18" spans="1:30" ht="16.5" x14ac:dyDescent="0.2">
      <c r="A18" s="129">
        <v>12</v>
      </c>
      <c r="B18" s="129">
        <v>150</v>
      </c>
      <c r="C18" s="129">
        <v>30</v>
      </c>
      <c r="D18" s="129">
        <f>INDEX(章节关卡!$I$6:$I$35,C18)</f>
        <v>220</v>
      </c>
      <c r="E18" s="129">
        <v>400</v>
      </c>
      <c r="F18" s="14">
        <f t="shared" si="2"/>
        <v>88000</v>
      </c>
      <c r="H18" s="144">
        <f t="shared" si="3"/>
        <v>70400</v>
      </c>
      <c r="I18" s="144">
        <f t="shared" si="0"/>
        <v>88000</v>
      </c>
      <c r="J18" s="144">
        <f t="shared" si="0"/>
        <v>105600</v>
      </c>
      <c r="L18" s="144">
        <v>13</v>
      </c>
      <c r="M18" s="144">
        <f t="shared" si="1"/>
        <v>24000</v>
      </c>
      <c r="O18" s="144">
        <v>13</v>
      </c>
      <c r="P18" s="144">
        <v>140</v>
      </c>
      <c r="Q18" s="144"/>
      <c r="R18" s="144"/>
      <c r="S18" s="144"/>
      <c r="T18" s="144"/>
      <c r="U18" s="144">
        <v>10</v>
      </c>
      <c r="X18" s="145"/>
      <c r="Y18" s="145"/>
      <c r="Z18" s="145"/>
      <c r="AA18" s="145"/>
      <c r="AB18" s="145"/>
      <c r="AC18" s="145"/>
      <c r="AD18" s="145"/>
    </row>
    <row r="19" spans="1:30" ht="16.5" x14ac:dyDescent="0.2">
      <c r="L19" s="144">
        <v>14</v>
      </c>
      <c r="M19" s="144">
        <f t="shared" si="1"/>
        <v>30000</v>
      </c>
      <c r="O19" s="145"/>
      <c r="P19" s="145"/>
      <c r="Q19" s="145"/>
      <c r="R19" s="145"/>
      <c r="S19" s="145"/>
      <c r="T19" s="145"/>
      <c r="U19" s="145"/>
    </row>
    <row r="20" spans="1:30" ht="16.5" x14ac:dyDescent="0.2">
      <c r="L20" s="144">
        <v>15</v>
      </c>
      <c r="M20" s="144">
        <f t="shared" si="1"/>
        <v>36000</v>
      </c>
      <c r="O20" s="145"/>
      <c r="P20" s="145"/>
      <c r="Q20" s="145"/>
      <c r="R20" s="145"/>
      <c r="S20" s="145"/>
      <c r="T20" s="145"/>
      <c r="U20" s="145"/>
    </row>
    <row r="21" spans="1:30" ht="16.5" x14ac:dyDescent="0.2">
      <c r="L21" s="144">
        <v>16</v>
      </c>
      <c r="M21" s="144">
        <f t="shared" si="1"/>
        <v>28800</v>
      </c>
    </row>
    <row r="22" spans="1:30" ht="16.5" x14ac:dyDescent="0.2">
      <c r="L22" s="144">
        <v>17</v>
      </c>
      <c r="M22" s="144">
        <f t="shared" si="1"/>
        <v>36000</v>
      </c>
    </row>
    <row r="23" spans="1:30" ht="16.5" x14ac:dyDescent="0.2">
      <c r="L23" s="144">
        <v>18</v>
      </c>
      <c r="M23" s="144">
        <f t="shared" si="1"/>
        <v>43200</v>
      </c>
    </row>
    <row r="24" spans="1:30" ht="16.5" x14ac:dyDescent="0.2">
      <c r="L24" s="144">
        <v>19</v>
      </c>
      <c r="M24" s="144">
        <f t="shared" si="1"/>
        <v>35200</v>
      </c>
    </row>
    <row r="25" spans="1:30" ht="16.5" x14ac:dyDescent="0.2">
      <c r="L25" s="144">
        <v>20</v>
      </c>
      <c r="M25" s="144">
        <f t="shared" si="1"/>
        <v>44000</v>
      </c>
    </row>
    <row r="26" spans="1:30" ht="16.5" x14ac:dyDescent="0.2">
      <c r="L26" s="144">
        <v>21</v>
      </c>
      <c r="M26" s="144">
        <f t="shared" si="1"/>
        <v>52800</v>
      </c>
    </row>
    <row r="27" spans="1:30" ht="16.5" x14ac:dyDescent="0.2">
      <c r="L27" s="144">
        <v>22</v>
      </c>
      <c r="M27" s="144">
        <f t="shared" si="1"/>
        <v>44800</v>
      </c>
    </row>
    <row r="28" spans="1:30" ht="16.5" x14ac:dyDescent="0.2">
      <c r="L28" s="144">
        <v>23</v>
      </c>
      <c r="M28" s="144">
        <f t="shared" si="1"/>
        <v>56000</v>
      </c>
    </row>
    <row r="29" spans="1:30" ht="16.5" x14ac:dyDescent="0.2">
      <c r="L29" s="144">
        <v>24</v>
      </c>
      <c r="M29" s="144">
        <f t="shared" si="1"/>
        <v>67200</v>
      </c>
    </row>
    <row r="30" spans="1:30" ht="16.5" x14ac:dyDescent="0.2">
      <c r="L30" s="144">
        <v>25</v>
      </c>
      <c r="M30" s="144">
        <f t="shared" si="1"/>
        <v>54400</v>
      </c>
    </row>
    <row r="31" spans="1:30" ht="16.5" x14ac:dyDescent="0.2">
      <c r="L31" s="144">
        <v>26</v>
      </c>
      <c r="M31" s="144">
        <f t="shared" si="1"/>
        <v>68000</v>
      </c>
    </row>
    <row r="32" spans="1:30" ht="16.5" x14ac:dyDescent="0.2">
      <c r="L32" s="144">
        <v>27</v>
      </c>
      <c r="M32" s="144">
        <f t="shared" si="1"/>
        <v>81600</v>
      </c>
    </row>
    <row r="33" spans="12:13" ht="16.5" x14ac:dyDescent="0.2">
      <c r="L33" s="144">
        <v>28</v>
      </c>
      <c r="M33" s="144">
        <f t="shared" si="1"/>
        <v>60800</v>
      </c>
    </row>
    <row r="34" spans="12:13" ht="16.5" x14ac:dyDescent="0.2">
      <c r="L34" s="144">
        <v>29</v>
      </c>
      <c r="M34" s="144">
        <f t="shared" si="1"/>
        <v>76000</v>
      </c>
    </row>
    <row r="35" spans="12:13" ht="16.5" x14ac:dyDescent="0.2">
      <c r="L35" s="144">
        <v>30</v>
      </c>
      <c r="M35" s="144">
        <f t="shared" si="1"/>
        <v>91200</v>
      </c>
    </row>
    <row r="36" spans="12:13" ht="16.5" x14ac:dyDescent="0.2">
      <c r="L36" s="144">
        <v>31</v>
      </c>
      <c r="M36" s="144">
        <f t="shared" si="1"/>
        <v>67200</v>
      </c>
    </row>
    <row r="37" spans="12:13" ht="16.5" x14ac:dyDescent="0.2">
      <c r="L37" s="144">
        <v>32</v>
      </c>
      <c r="M37" s="144">
        <f t="shared" si="1"/>
        <v>84000</v>
      </c>
    </row>
    <row r="38" spans="12:13" ht="16.5" x14ac:dyDescent="0.2">
      <c r="L38" s="144">
        <v>33</v>
      </c>
      <c r="M38" s="144">
        <f t="shared" si="1"/>
        <v>100800</v>
      </c>
    </row>
    <row r="39" spans="12:13" ht="16.5" x14ac:dyDescent="0.2">
      <c r="L39" s="144">
        <v>34</v>
      </c>
      <c r="M39" s="144">
        <f t="shared" si="1"/>
        <v>70400</v>
      </c>
    </row>
    <row r="40" spans="12:13" ht="16.5" x14ac:dyDescent="0.2">
      <c r="L40" s="144">
        <v>35</v>
      </c>
      <c r="M40" s="144">
        <f t="shared" si="1"/>
        <v>88000</v>
      </c>
    </row>
    <row r="41" spans="12:13" ht="16.5" x14ac:dyDescent="0.2">
      <c r="L41" s="144">
        <v>36</v>
      </c>
      <c r="M41" s="144">
        <f t="shared" si="1"/>
        <v>105600</v>
      </c>
    </row>
  </sheetData>
  <mergeCells count="4">
    <mergeCell ref="A4:F4"/>
    <mergeCell ref="H4:J4"/>
    <mergeCell ref="O4:U4"/>
    <mergeCell ref="X4:AC4"/>
  </mergeCells>
  <phoneticPr fontId="2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146"/>
  <sheetViews>
    <sheetView topLeftCell="A10" workbookViewId="0">
      <selection activeCell="J44" sqref="J44"/>
    </sheetView>
  </sheetViews>
  <sheetFormatPr defaultRowHeight="14.25" x14ac:dyDescent="0.2"/>
  <cols>
    <col min="1" max="1" width="9.625" bestFit="1" customWidth="1"/>
    <col min="2" max="2" width="10.625" customWidth="1"/>
    <col min="3" max="3" width="9.625" customWidth="1"/>
    <col min="4" max="4" width="12.625" style="150" customWidth="1"/>
    <col min="5" max="8" width="10.625" style="150" customWidth="1"/>
    <col min="9" max="9" width="10.625" style="154" customWidth="1"/>
    <col min="10" max="10" width="18.625" customWidth="1"/>
    <col min="11" max="11" width="10.625" customWidth="1"/>
    <col min="12" max="13" width="10.625" style="150" customWidth="1"/>
    <col min="14" max="14" width="8.625" customWidth="1"/>
    <col min="15" max="19" width="9.625" style="150" customWidth="1"/>
    <col min="20" max="21" width="10.625" customWidth="1"/>
    <col min="22" max="29" width="10.625" style="150" customWidth="1"/>
    <col min="30" max="30" width="11.875" customWidth="1"/>
    <col min="31" max="31" width="10.625" customWidth="1"/>
    <col min="32" max="34" width="11.625" style="150" customWidth="1"/>
    <col min="35" max="36" width="9" style="150"/>
    <col min="38" max="43" width="9" style="150"/>
    <col min="44" max="44" width="10.75" style="150" customWidth="1"/>
    <col min="45" max="51" width="9" style="150"/>
    <col min="52" max="52" width="9.25" customWidth="1"/>
    <col min="53" max="54" width="9.25" style="150" customWidth="1"/>
    <col min="55" max="55" width="20.625" customWidth="1"/>
    <col min="56" max="56" width="11.5" customWidth="1"/>
    <col min="58" max="58" width="25.625" style="150" customWidth="1"/>
    <col min="59" max="59" width="20" customWidth="1"/>
    <col min="60" max="60" width="17.625" customWidth="1"/>
    <col min="61" max="61" width="20.25" customWidth="1"/>
    <col min="62" max="62" width="13.25" customWidth="1"/>
    <col min="63" max="63" width="20.5" customWidth="1"/>
    <col min="64" max="64" width="16.625" customWidth="1"/>
  </cols>
  <sheetData>
    <row r="1" spans="1:64" x14ac:dyDescent="0.2">
      <c r="S1" s="150" t="s">
        <v>1366</v>
      </c>
    </row>
    <row r="2" spans="1:64" s="150" customFormat="1" x14ac:dyDescent="0.2">
      <c r="I2" s="154"/>
    </row>
    <row r="3" spans="1:64" s="150" customFormat="1" x14ac:dyDescent="0.2">
      <c r="I3" s="154">
        <v>0.5</v>
      </c>
      <c r="W3" s="150">
        <f>O6</f>
        <v>10</v>
      </c>
      <c r="X3" s="150">
        <f>O7</f>
        <v>20</v>
      </c>
      <c r="Y3" s="150">
        <f>O8</f>
        <v>50</v>
      </c>
      <c r="Z3" s="150">
        <f>O9</f>
        <v>50</v>
      </c>
      <c r="AA3" s="150">
        <f>O10</f>
        <v>100</v>
      </c>
      <c r="AB3" s="150">
        <f>O11</f>
        <v>250</v>
      </c>
    </row>
    <row r="4" spans="1:64" ht="20.25" x14ac:dyDescent="0.2">
      <c r="A4" s="233" t="s">
        <v>1335</v>
      </c>
      <c r="B4" s="233"/>
      <c r="C4" s="233"/>
      <c r="D4" s="233"/>
      <c r="E4" s="233"/>
      <c r="F4" s="233"/>
      <c r="G4" s="233"/>
      <c r="H4" s="233"/>
      <c r="I4" s="233"/>
      <c r="J4" s="233"/>
      <c r="L4" s="233" t="s">
        <v>1334</v>
      </c>
      <c r="M4" s="233"/>
      <c r="N4" s="233"/>
      <c r="O4" s="233"/>
      <c r="P4" s="233"/>
      <c r="Q4" s="233"/>
      <c r="S4" s="233" t="s">
        <v>1333</v>
      </c>
      <c r="T4" s="233"/>
      <c r="U4" s="233"/>
      <c r="V4" s="233"/>
      <c r="W4" s="233"/>
      <c r="X4" s="233"/>
      <c r="Y4" s="233"/>
      <c r="Z4" s="233"/>
      <c r="AA4" s="233"/>
      <c r="AB4" s="233"/>
      <c r="AC4" s="233"/>
      <c r="AD4" s="233"/>
      <c r="AE4" s="233"/>
      <c r="AF4" s="233"/>
      <c r="AG4" s="233"/>
      <c r="AH4" s="147"/>
      <c r="AS4" s="150">
        <v>0.5</v>
      </c>
      <c r="AT4" s="150">
        <v>0.6</v>
      </c>
      <c r="AU4" s="150">
        <v>0.7</v>
      </c>
      <c r="AV4" s="150">
        <v>0.8</v>
      </c>
      <c r="AW4" s="150">
        <v>1</v>
      </c>
    </row>
    <row r="5" spans="1:64" ht="17.25" x14ac:dyDescent="0.2">
      <c r="A5" s="12" t="s">
        <v>1329</v>
      </c>
      <c r="B5" s="12" t="s">
        <v>854</v>
      </c>
      <c r="C5" s="12" t="s">
        <v>304</v>
      </c>
      <c r="D5" s="12" t="s">
        <v>1327</v>
      </c>
      <c r="E5" s="12" t="s">
        <v>1330</v>
      </c>
      <c r="F5" s="12" t="s">
        <v>1336</v>
      </c>
      <c r="G5" s="12" t="s">
        <v>1365</v>
      </c>
      <c r="H5" s="12" t="s">
        <v>1364</v>
      </c>
      <c r="I5" s="12" t="s">
        <v>1367</v>
      </c>
      <c r="J5" s="12" t="s">
        <v>1268</v>
      </c>
      <c r="L5" s="12" t="s">
        <v>1320</v>
      </c>
      <c r="M5" s="12" t="s">
        <v>1310</v>
      </c>
      <c r="N5" s="12" t="s">
        <v>1308</v>
      </c>
      <c r="O5" s="12" t="s">
        <v>1309</v>
      </c>
      <c r="P5" s="12" t="s">
        <v>1317</v>
      </c>
      <c r="Q5" s="12" t="s">
        <v>67</v>
      </c>
      <c r="S5" s="12" t="s">
        <v>795</v>
      </c>
      <c r="T5" s="12" t="s">
        <v>1306</v>
      </c>
      <c r="U5" s="12" t="s">
        <v>1307</v>
      </c>
      <c r="V5" s="12" t="s">
        <v>1318</v>
      </c>
      <c r="W5" s="12" t="s">
        <v>1319</v>
      </c>
      <c r="X5" s="12" t="s">
        <v>1321</v>
      </c>
      <c r="Y5" s="12" t="s">
        <v>1322</v>
      </c>
      <c r="Z5" s="12" t="s">
        <v>1323</v>
      </c>
      <c r="AA5" s="12" t="s">
        <v>1324</v>
      </c>
      <c r="AB5" s="12" t="s">
        <v>1325</v>
      </c>
      <c r="AC5" s="12" t="s">
        <v>1326</v>
      </c>
      <c r="AD5" s="12" t="s">
        <v>1337</v>
      </c>
      <c r="AE5" s="12" t="s">
        <v>1338</v>
      </c>
      <c r="AF5" s="12" t="s">
        <v>1339</v>
      </c>
      <c r="AG5" s="12" t="s">
        <v>1340</v>
      </c>
      <c r="AH5" s="12" t="s">
        <v>1341</v>
      </c>
      <c r="AK5" s="12" t="s">
        <v>1346</v>
      </c>
      <c r="AL5" s="12" t="s">
        <v>1347</v>
      </c>
      <c r="AM5" s="12" t="s">
        <v>1348</v>
      </c>
      <c r="AN5" s="12" t="s">
        <v>1349</v>
      </c>
      <c r="AO5" s="12" t="s">
        <v>1350</v>
      </c>
      <c r="AP5" s="12" t="s">
        <v>1351</v>
      </c>
      <c r="AR5" s="12" t="s">
        <v>1362</v>
      </c>
      <c r="AS5" s="12" t="s">
        <v>1357</v>
      </c>
      <c r="AT5" s="12" t="s">
        <v>1358</v>
      </c>
      <c r="AU5" s="12" t="s">
        <v>1359</v>
      </c>
      <c r="AV5" s="12" t="s">
        <v>1360</v>
      </c>
      <c r="AW5" s="12" t="s">
        <v>1361</v>
      </c>
      <c r="AZ5" s="12" t="s">
        <v>1342</v>
      </c>
      <c r="BA5" s="12" t="s">
        <v>1352</v>
      </c>
      <c r="BB5" s="12" t="s">
        <v>1363</v>
      </c>
      <c r="BC5" s="12" t="s">
        <v>1343</v>
      </c>
      <c r="BD5" s="12" t="s">
        <v>797</v>
      </c>
      <c r="BE5" s="12" t="s">
        <v>305</v>
      </c>
      <c r="BF5" s="12" t="s">
        <v>1354</v>
      </c>
      <c r="BG5" s="12" t="s">
        <v>1344</v>
      </c>
      <c r="BH5" s="12" t="s">
        <v>1345</v>
      </c>
      <c r="BI5" s="12" t="s">
        <v>801</v>
      </c>
      <c r="BJ5" s="12" t="s">
        <v>1355</v>
      </c>
      <c r="BK5" s="12" t="s">
        <v>846</v>
      </c>
      <c r="BL5" s="12" t="s">
        <v>1356</v>
      </c>
    </row>
    <row r="6" spans="1:64" ht="16.5" x14ac:dyDescent="0.2">
      <c r="A6" s="148">
        <v>1102001</v>
      </c>
      <c r="B6" s="148" t="s">
        <v>172</v>
      </c>
      <c r="C6" s="148">
        <v>5</v>
      </c>
      <c r="D6" s="148">
        <v>6</v>
      </c>
      <c r="E6" s="148" t="str">
        <f>INDEX($N$6:$N$11,D6)</f>
        <v>UR</v>
      </c>
      <c r="F6" s="148">
        <f>INDEX($O$6:$O$11,D6)</f>
        <v>250</v>
      </c>
      <c r="G6" s="148">
        <f>F6/10</f>
        <v>25</v>
      </c>
      <c r="H6" s="148">
        <f>INDEX($Q$6:$Q$11,D6)</f>
        <v>5000</v>
      </c>
      <c r="I6" s="153">
        <f>F6*I$3</f>
        <v>125</v>
      </c>
      <c r="J6" s="148" t="s">
        <v>1269</v>
      </c>
      <c r="L6" s="148">
        <v>1</v>
      </c>
      <c r="M6" s="148">
        <v>2</v>
      </c>
      <c r="N6" s="148" t="s">
        <v>1311</v>
      </c>
      <c r="O6" s="148">
        <v>10</v>
      </c>
      <c r="P6" s="148">
        <v>20</v>
      </c>
      <c r="Q6" s="148">
        <f>ROUND(SUM($AW$7:$AW$11)/SUM($AP$7:$AP$11)/$O$10*O6/50,0)*50</f>
        <v>200</v>
      </c>
      <c r="S6" s="92">
        <v>0</v>
      </c>
      <c r="T6" s="92">
        <v>0</v>
      </c>
      <c r="U6" s="92">
        <v>0</v>
      </c>
      <c r="V6" s="92">
        <v>0</v>
      </c>
      <c r="W6" s="92">
        <v>0</v>
      </c>
      <c r="X6" s="92">
        <v>0</v>
      </c>
      <c r="Y6" s="92">
        <v>0</v>
      </c>
      <c r="Z6" s="92">
        <v>0</v>
      </c>
      <c r="AA6" s="92">
        <v>0</v>
      </c>
      <c r="AB6" s="92">
        <v>0</v>
      </c>
      <c r="AC6" s="92">
        <v>0</v>
      </c>
      <c r="AD6" s="92">
        <v>0</v>
      </c>
      <c r="AE6" s="92">
        <v>0</v>
      </c>
      <c r="AF6" s="92">
        <v>0</v>
      </c>
      <c r="AG6" s="92">
        <v>0</v>
      </c>
      <c r="AH6" s="92">
        <v>0</v>
      </c>
      <c r="AK6" s="148">
        <v>0</v>
      </c>
      <c r="AL6" s="148">
        <v>0</v>
      </c>
      <c r="AM6" s="148">
        <v>0</v>
      </c>
      <c r="AN6" s="148">
        <v>0</v>
      </c>
      <c r="AO6" s="148">
        <v>0</v>
      </c>
      <c r="AP6" s="148">
        <v>0</v>
      </c>
      <c r="AR6" s="148">
        <v>0</v>
      </c>
      <c r="AS6" s="148">
        <v>0</v>
      </c>
      <c r="AT6" s="148">
        <v>0</v>
      </c>
      <c r="AU6" s="148">
        <v>0</v>
      </c>
      <c r="AV6" s="148">
        <v>0</v>
      </c>
      <c r="AW6" s="148">
        <v>0</v>
      </c>
      <c r="AZ6" s="148">
        <v>1</v>
      </c>
      <c r="BA6" s="148">
        <f>INT((AZ6-1)/6)+1</f>
        <v>1</v>
      </c>
      <c r="BB6" s="148">
        <f>INDEX($D$6:$D$26,BA6)</f>
        <v>6</v>
      </c>
      <c r="BC6" s="148">
        <f>INDEX($A$6:$A$26,BA6)</f>
        <v>1102001</v>
      </c>
      <c r="BD6" s="148" t="s">
        <v>1353</v>
      </c>
      <c r="BE6" s="148">
        <f>AZ6-(BA6-1)*6-1</f>
        <v>0</v>
      </c>
      <c r="BF6" s="148" t="str">
        <f>INDEX($B$6:$B$26,BA6)&amp;"专属武器解封-"&amp;BE6</f>
        <v>关羽专属武器解封-0</v>
      </c>
      <c r="BG6" s="148" t="str">
        <f>IF(BE6&gt;0,INDEX($B$6:$B$26,BA6)&amp;"专属武器效果","")</f>
        <v/>
      </c>
      <c r="BH6" s="148" t="str">
        <f>IF(BE6&gt;0,BE6,"")</f>
        <v/>
      </c>
      <c r="BI6" s="148" t="str">
        <f>IF(BE6&gt;0,"金币","")</f>
        <v/>
      </c>
      <c r="BJ6" s="148" t="str">
        <f>IF(BE6&gt;0,INDEX($AS$7:$AW$11,BE6,BB6-1),"")</f>
        <v/>
      </c>
      <c r="BK6" s="148" t="str">
        <f>IF(BE6&gt;0,INDEX($B$6:$B$26,BA6)&amp;"专属武器碎片","")</f>
        <v/>
      </c>
      <c r="BL6" s="148" t="str">
        <f>IF(BE6&gt;0,INDEX($AL$7:$AP$11,BE6,INDEX($D$6:$D$26,BA6)-1),"")</f>
        <v/>
      </c>
    </row>
    <row r="7" spans="1:64" ht="16.5" x14ac:dyDescent="0.2">
      <c r="A7" s="148">
        <v>1102002</v>
      </c>
      <c r="B7" s="148" t="s">
        <v>173</v>
      </c>
      <c r="C7" s="148">
        <v>3</v>
      </c>
      <c r="D7" s="148">
        <v>2</v>
      </c>
      <c r="E7" s="148" t="str">
        <f t="shared" ref="E7:E26" si="0">INDEX($N$6:$N$11,D7)</f>
        <v>SR</v>
      </c>
      <c r="F7" s="148">
        <f t="shared" ref="F7:F26" si="1">INDEX($O$6:$O$11,D7)</f>
        <v>20</v>
      </c>
      <c r="G7" s="148">
        <f t="shared" ref="G7:G26" si="2">F7/10</f>
        <v>2</v>
      </c>
      <c r="H7" s="148">
        <f t="shared" ref="H7:H26" si="3">INDEX($Q$6:$Q$11,D7)</f>
        <v>500</v>
      </c>
      <c r="I7" s="153">
        <f t="shared" ref="I7:I26" si="4">F7*I$3</f>
        <v>10</v>
      </c>
      <c r="J7" s="148" t="s">
        <v>1270</v>
      </c>
      <c r="L7" s="148">
        <v>2</v>
      </c>
      <c r="M7" s="148">
        <v>3</v>
      </c>
      <c r="N7" s="148" t="s">
        <v>1312</v>
      </c>
      <c r="O7" s="148">
        <v>20</v>
      </c>
      <c r="P7" s="148">
        <v>40</v>
      </c>
      <c r="Q7" s="148">
        <f>ROUND(SUM($AW$7:$AW$11)/SUM($AP$7:$AP$11)/$O$10*O7/500,0)*500</f>
        <v>500</v>
      </c>
      <c r="S7" s="148">
        <v>1</v>
      </c>
      <c r="T7" s="148" t="s">
        <v>1290</v>
      </c>
      <c r="U7" s="148">
        <v>35</v>
      </c>
      <c r="V7" s="148">
        <v>50</v>
      </c>
      <c r="W7" s="148"/>
      <c r="X7" s="148">
        <v>2.5</v>
      </c>
      <c r="Y7" s="148"/>
      <c r="Z7" s="148"/>
      <c r="AA7" s="148"/>
      <c r="AB7" s="148"/>
      <c r="AC7" s="148">
        <f t="shared" ref="AC7:AC22" si="5">SUMPRODUCT(W$3:AB$3,W7:AB7)</f>
        <v>50</v>
      </c>
      <c r="AD7" s="148">
        <v>6</v>
      </c>
      <c r="AE7" s="148">
        <v>300</v>
      </c>
      <c r="AF7" s="148">
        <f>INDEX(章节关卡!$L$6:$L$35,'恶灵入侵-专属解封'!AD7)*'恶灵入侵-专属解封'!AE7</f>
        <v>15000</v>
      </c>
      <c r="AG7" s="148">
        <v>3</v>
      </c>
      <c r="AH7" s="148">
        <v>5</v>
      </c>
      <c r="AI7" s="150" t="str">
        <f>AG7&amp;"~"&amp;AH7</f>
        <v>3~5</v>
      </c>
      <c r="AK7" s="148">
        <v>1</v>
      </c>
      <c r="AL7" s="148">
        <v>40</v>
      </c>
      <c r="AM7" s="148">
        <v>40</v>
      </c>
      <c r="AN7" s="148">
        <v>80</v>
      </c>
      <c r="AO7" s="148">
        <v>80</v>
      </c>
      <c r="AP7" s="148">
        <v>80</v>
      </c>
      <c r="AR7" s="148">
        <f>ROUND(INDEX(金币总表!$AU$7:$AU$11,'恶灵入侵-专属解封'!AK7)/3,0)</f>
        <v>29670</v>
      </c>
      <c r="AS7" s="148">
        <f>ROUND($AR7*AS$4/500,0)*500</f>
        <v>15000</v>
      </c>
      <c r="AT7" s="148">
        <f t="shared" ref="AT7:AW11" si="6">ROUND($AR7*AT$4/500,0)*500</f>
        <v>18000</v>
      </c>
      <c r="AU7" s="148">
        <f t="shared" si="6"/>
        <v>21000</v>
      </c>
      <c r="AV7" s="148">
        <f t="shared" si="6"/>
        <v>23500</v>
      </c>
      <c r="AW7" s="148">
        <f t="shared" si="6"/>
        <v>29500</v>
      </c>
      <c r="AZ7" s="148">
        <v>2</v>
      </c>
      <c r="BA7" s="148">
        <f t="shared" ref="BA7:BA70" si="7">INT((AZ7-1)/6)+1</f>
        <v>1</v>
      </c>
      <c r="BB7" s="148">
        <f t="shared" ref="BB7:BB70" si="8">INDEX($D$6:$D$26,BA7)</f>
        <v>6</v>
      </c>
      <c r="BC7" s="148">
        <f t="shared" ref="BC7:BC70" si="9">INDEX($A$6:$A$26,BA7)</f>
        <v>1102001</v>
      </c>
      <c r="BD7" s="148" t="s">
        <v>1353</v>
      </c>
      <c r="BE7" s="148">
        <f t="shared" ref="BE7:BE33" si="10">AZ7-(BA7-1)*6-1</f>
        <v>1</v>
      </c>
      <c r="BF7" s="148" t="str">
        <f t="shared" ref="BF7:BF33" si="11">INDEX($B$6:$B$26,BA7)&amp;"专属武器解封-"&amp;BE7</f>
        <v>关羽专属武器解封-1</v>
      </c>
      <c r="BG7" s="148" t="str">
        <f t="shared" ref="BG7:BG70" si="12">IF(BE7&gt;0,INDEX($B$6:$B$26,BA7)&amp;"专属武器效果","")</f>
        <v>关羽专属武器效果</v>
      </c>
      <c r="BH7" s="148">
        <f t="shared" ref="BH7:BH70" si="13">IF(BE7&gt;0,BE7,"")</f>
        <v>1</v>
      </c>
      <c r="BI7" s="148" t="str">
        <f t="shared" ref="BI7:BI70" si="14">IF(BE7&gt;0,"金币","")</f>
        <v>金币</v>
      </c>
      <c r="BJ7" s="148">
        <f t="shared" ref="BJ7:BJ70" si="15">IF(BE7&gt;0,INDEX($AS$7:$AW$11,BE7,BB7-1),"")</f>
        <v>29500</v>
      </c>
      <c r="BK7" s="148" t="str">
        <f t="shared" ref="BK7:BK70" si="16">IF(BE7&gt;0,INDEX($B$6:$B$26,BA7)&amp;"专属武器碎片","")</f>
        <v>关羽专属武器碎片</v>
      </c>
      <c r="BL7" s="148">
        <f t="shared" ref="BL7:BL70" si="17">IF(BE7&gt;0,INDEX($AL$7:$AP$11,BE7,INDEX($D$6:$D$26,BA7)-1),"")</f>
        <v>80</v>
      </c>
    </row>
    <row r="8" spans="1:64" ht="16.5" x14ac:dyDescent="0.2">
      <c r="A8" s="148">
        <v>1102003</v>
      </c>
      <c r="B8" s="148" t="s">
        <v>174</v>
      </c>
      <c r="C8" s="148">
        <v>4</v>
      </c>
      <c r="D8" s="148">
        <v>4</v>
      </c>
      <c r="E8" s="148" t="str">
        <f t="shared" si="0"/>
        <v>SSR</v>
      </c>
      <c r="F8" s="148">
        <f t="shared" si="1"/>
        <v>50</v>
      </c>
      <c r="G8" s="148">
        <f t="shared" si="2"/>
        <v>5</v>
      </c>
      <c r="H8" s="148">
        <f t="shared" si="3"/>
        <v>1000</v>
      </c>
      <c r="I8" s="153">
        <f t="shared" si="4"/>
        <v>25</v>
      </c>
      <c r="J8" s="148" t="s">
        <v>1271</v>
      </c>
      <c r="L8" s="148">
        <v>3</v>
      </c>
      <c r="M8" s="148">
        <v>3</v>
      </c>
      <c r="N8" s="148" t="s">
        <v>1314</v>
      </c>
      <c r="O8" s="148">
        <v>50</v>
      </c>
      <c r="P8" s="148">
        <v>40</v>
      </c>
      <c r="Q8" s="148">
        <f t="shared" ref="Q8:Q9" si="18">ROUND(SUM($AW$7:$AW$11)/SUM($AP$7:$AP$11)/$O$10*O8/100,0)*100</f>
        <v>1000</v>
      </c>
      <c r="S8" s="148">
        <v>2</v>
      </c>
      <c r="T8" s="148" t="s">
        <v>1291</v>
      </c>
      <c r="U8" s="148">
        <v>40</v>
      </c>
      <c r="V8" s="148">
        <v>60</v>
      </c>
      <c r="W8" s="148"/>
      <c r="X8" s="148">
        <v>3</v>
      </c>
      <c r="Y8" s="148"/>
      <c r="Z8" s="148"/>
      <c r="AA8" s="148"/>
      <c r="AB8" s="148"/>
      <c r="AC8" s="148">
        <f t="shared" si="5"/>
        <v>60</v>
      </c>
      <c r="AD8" s="148">
        <v>7</v>
      </c>
      <c r="AE8" s="148">
        <v>300</v>
      </c>
      <c r="AF8" s="148">
        <f>INDEX(章节关卡!$L$6:$L$35,'恶灵入侵-专属解封'!AD8)*'恶灵入侵-专属解封'!AE8</f>
        <v>18000</v>
      </c>
      <c r="AG8" s="148">
        <v>3</v>
      </c>
      <c r="AH8" s="148">
        <v>6</v>
      </c>
      <c r="AI8" s="150" t="str">
        <f t="shared" ref="AI8:AI22" si="19">AG8&amp;"~"&amp;AH8</f>
        <v>3~6</v>
      </c>
      <c r="AK8" s="148">
        <v>2</v>
      </c>
      <c r="AL8" s="148">
        <v>40</v>
      </c>
      <c r="AM8" s="148">
        <v>40</v>
      </c>
      <c r="AN8" s="148">
        <v>80</v>
      </c>
      <c r="AO8" s="148">
        <v>80</v>
      </c>
      <c r="AP8" s="148">
        <v>80</v>
      </c>
      <c r="AR8" s="148">
        <f>ROUND(INDEX(金币总表!$AU$7:$AU$11,'恶灵入侵-专属解封'!AK8)/3,0)</f>
        <v>63662</v>
      </c>
      <c r="AS8" s="148">
        <f t="shared" ref="AS8:AS11" si="20">ROUND($AR8*AS$4/500,0)*500</f>
        <v>32000</v>
      </c>
      <c r="AT8" s="148">
        <f t="shared" si="6"/>
        <v>38000</v>
      </c>
      <c r="AU8" s="148">
        <f t="shared" si="6"/>
        <v>44500</v>
      </c>
      <c r="AV8" s="148">
        <f t="shared" si="6"/>
        <v>51000</v>
      </c>
      <c r="AW8" s="148">
        <f t="shared" si="6"/>
        <v>63500</v>
      </c>
      <c r="AZ8" s="148">
        <v>3</v>
      </c>
      <c r="BA8" s="148">
        <f t="shared" si="7"/>
        <v>1</v>
      </c>
      <c r="BB8" s="148">
        <f t="shared" si="8"/>
        <v>6</v>
      </c>
      <c r="BC8" s="148">
        <f t="shared" si="9"/>
        <v>1102001</v>
      </c>
      <c r="BD8" s="148" t="s">
        <v>1353</v>
      </c>
      <c r="BE8" s="148">
        <f t="shared" si="10"/>
        <v>2</v>
      </c>
      <c r="BF8" s="148" t="str">
        <f t="shared" si="11"/>
        <v>关羽专属武器解封-2</v>
      </c>
      <c r="BG8" s="148" t="str">
        <f t="shared" si="12"/>
        <v>关羽专属武器效果</v>
      </c>
      <c r="BH8" s="148">
        <f t="shared" si="13"/>
        <v>2</v>
      </c>
      <c r="BI8" s="148" t="str">
        <f t="shared" si="14"/>
        <v>金币</v>
      </c>
      <c r="BJ8" s="148">
        <f t="shared" si="15"/>
        <v>63500</v>
      </c>
      <c r="BK8" s="148" t="str">
        <f t="shared" si="16"/>
        <v>关羽专属武器碎片</v>
      </c>
      <c r="BL8" s="148">
        <f t="shared" si="17"/>
        <v>80</v>
      </c>
    </row>
    <row r="9" spans="1:64" ht="16.5" x14ac:dyDescent="0.2">
      <c r="A9" s="148">
        <v>1102005</v>
      </c>
      <c r="B9" s="148" t="s">
        <v>176</v>
      </c>
      <c r="C9" s="148">
        <v>3</v>
      </c>
      <c r="D9" s="148">
        <v>3</v>
      </c>
      <c r="E9" s="148" t="str">
        <f t="shared" si="0"/>
        <v>SR+</v>
      </c>
      <c r="F9" s="148">
        <f t="shared" si="1"/>
        <v>50</v>
      </c>
      <c r="G9" s="148">
        <f t="shared" si="2"/>
        <v>5</v>
      </c>
      <c r="H9" s="148">
        <f t="shared" si="3"/>
        <v>1000</v>
      </c>
      <c r="I9" s="153">
        <f t="shared" si="4"/>
        <v>25</v>
      </c>
      <c r="J9" s="148" t="s">
        <v>1272</v>
      </c>
      <c r="L9" s="148">
        <v>4</v>
      </c>
      <c r="M9" s="148">
        <v>4</v>
      </c>
      <c r="N9" s="148" t="s">
        <v>1313</v>
      </c>
      <c r="O9" s="148">
        <v>50</v>
      </c>
      <c r="P9" s="148">
        <v>80</v>
      </c>
      <c r="Q9" s="148">
        <f t="shared" si="18"/>
        <v>1000</v>
      </c>
      <c r="S9" s="148">
        <v>3</v>
      </c>
      <c r="T9" s="148" t="s">
        <v>1292</v>
      </c>
      <c r="U9" s="148">
        <v>45</v>
      </c>
      <c r="V9" s="148">
        <v>80</v>
      </c>
      <c r="W9" s="148"/>
      <c r="X9" s="148">
        <v>1.5</v>
      </c>
      <c r="Y9" s="148">
        <v>1</v>
      </c>
      <c r="Z9" s="148"/>
      <c r="AA9" s="148"/>
      <c r="AB9" s="148"/>
      <c r="AC9" s="148">
        <f t="shared" si="5"/>
        <v>80</v>
      </c>
      <c r="AD9" s="148">
        <v>8</v>
      </c>
      <c r="AE9" s="148">
        <v>300</v>
      </c>
      <c r="AF9" s="148">
        <f>INDEX(章节关卡!$L$6:$L$35,'恶灵入侵-专属解封'!AD9)*'恶灵入侵-专属解封'!AE9</f>
        <v>21000</v>
      </c>
      <c r="AG9" s="148">
        <v>4</v>
      </c>
      <c r="AH9" s="148">
        <v>6</v>
      </c>
      <c r="AI9" s="150" t="str">
        <f t="shared" si="19"/>
        <v>4~6</v>
      </c>
      <c r="AK9" s="148">
        <v>3</v>
      </c>
      <c r="AL9" s="148">
        <v>60</v>
      </c>
      <c r="AM9" s="148">
        <v>60</v>
      </c>
      <c r="AN9" s="148">
        <v>120</v>
      </c>
      <c r="AO9" s="148">
        <v>120</v>
      </c>
      <c r="AP9" s="148">
        <v>120</v>
      </c>
      <c r="AR9" s="148">
        <f>ROUND(INDEX(金币总表!$AU$7:$AU$11,'恶灵入侵-专属解封'!AK9)/3,0)</f>
        <v>146367</v>
      </c>
      <c r="AS9" s="148">
        <f t="shared" si="20"/>
        <v>73000</v>
      </c>
      <c r="AT9" s="148">
        <f t="shared" si="6"/>
        <v>88000</v>
      </c>
      <c r="AU9" s="148">
        <f t="shared" si="6"/>
        <v>102500</v>
      </c>
      <c r="AV9" s="148">
        <f t="shared" si="6"/>
        <v>117000</v>
      </c>
      <c r="AW9" s="148">
        <f t="shared" si="6"/>
        <v>146500</v>
      </c>
      <c r="AZ9" s="148">
        <v>4</v>
      </c>
      <c r="BA9" s="148">
        <f t="shared" si="7"/>
        <v>1</v>
      </c>
      <c r="BB9" s="148">
        <f t="shared" si="8"/>
        <v>6</v>
      </c>
      <c r="BC9" s="148">
        <f t="shared" si="9"/>
        <v>1102001</v>
      </c>
      <c r="BD9" s="148" t="s">
        <v>1353</v>
      </c>
      <c r="BE9" s="148">
        <f t="shared" si="10"/>
        <v>3</v>
      </c>
      <c r="BF9" s="148" t="str">
        <f t="shared" si="11"/>
        <v>关羽专属武器解封-3</v>
      </c>
      <c r="BG9" s="148" t="str">
        <f t="shared" si="12"/>
        <v>关羽专属武器效果</v>
      </c>
      <c r="BH9" s="148">
        <f t="shared" si="13"/>
        <v>3</v>
      </c>
      <c r="BI9" s="148" t="str">
        <f t="shared" si="14"/>
        <v>金币</v>
      </c>
      <c r="BJ9" s="148">
        <f t="shared" si="15"/>
        <v>146500</v>
      </c>
      <c r="BK9" s="148" t="str">
        <f t="shared" si="16"/>
        <v>关羽专属武器碎片</v>
      </c>
      <c r="BL9" s="148">
        <f t="shared" si="17"/>
        <v>120</v>
      </c>
    </row>
    <row r="10" spans="1:64" ht="16.5" x14ac:dyDescent="0.2">
      <c r="A10" s="148">
        <v>1102006</v>
      </c>
      <c r="B10" s="148" t="s">
        <v>177</v>
      </c>
      <c r="C10" s="148">
        <v>5</v>
      </c>
      <c r="D10" s="148">
        <v>6</v>
      </c>
      <c r="E10" s="148" t="str">
        <f t="shared" si="0"/>
        <v>UR</v>
      </c>
      <c r="F10" s="148">
        <f t="shared" si="1"/>
        <v>250</v>
      </c>
      <c r="G10" s="148">
        <f t="shared" si="2"/>
        <v>25</v>
      </c>
      <c r="H10" s="148">
        <f t="shared" si="3"/>
        <v>5000</v>
      </c>
      <c r="I10" s="153">
        <f t="shared" si="4"/>
        <v>125</v>
      </c>
      <c r="J10" s="148" t="s">
        <v>1273</v>
      </c>
      <c r="L10" s="148">
        <v>5</v>
      </c>
      <c r="M10" s="148">
        <v>4</v>
      </c>
      <c r="N10" s="148" t="s">
        <v>1315</v>
      </c>
      <c r="O10" s="148">
        <v>100</v>
      </c>
      <c r="P10" s="148">
        <v>80</v>
      </c>
      <c r="Q10" s="148">
        <f>ROUND(SUM($AW$7:$AW$11)/SUM($AP$7:$AP$11)/$O$10*O10/100,0)*100</f>
        <v>2000</v>
      </c>
      <c r="S10" s="148">
        <v>4</v>
      </c>
      <c r="T10" s="148" t="s">
        <v>1293</v>
      </c>
      <c r="U10" s="148">
        <v>50</v>
      </c>
      <c r="V10" s="148">
        <v>100</v>
      </c>
      <c r="W10" s="148"/>
      <c r="X10" s="148">
        <v>1</v>
      </c>
      <c r="Y10" s="148">
        <v>1.6</v>
      </c>
      <c r="Z10" s="148"/>
      <c r="AA10" s="148"/>
      <c r="AB10" s="148"/>
      <c r="AC10" s="148">
        <f t="shared" si="5"/>
        <v>100</v>
      </c>
      <c r="AD10" s="148">
        <v>9</v>
      </c>
      <c r="AE10" s="148">
        <v>300</v>
      </c>
      <c r="AF10" s="148">
        <f>INDEX(章节关卡!$L$6:$L$35,'恶灵入侵-专属解封'!AD10)*'恶灵入侵-专属解封'!AE10</f>
        <v>24000</v>
      </c>
      <c r="AG10" s="148">
        <v>4</v>
      </c>
      <c r="AH10" s="148">
        <v>7</v>
      </c>
      <c r="AI10" s="150" t="str">
        <f t="shared" si="19"/>
        <v>4~7</v>
      </c>
      <c r="AK10" s="148">
        <v>4</v>
      </c>
      <c r="AL10" s="148">
        <v>60</v>
      </c>
      <c r="AM10" s="148">
        <v>60</v>
      </c>
      <c r="AN10" s="148">
        <v>120</v>
      </c>
      <c r="AO10" s="148">
        <v>120</v>
      </c>
      <c r="AP10" s="148">
        <v>120</v>
      </c>
      <c r="AR10" s="148">
        <f>ROUND(INDEX(金币总表!$AU$7:$AU$11,'恶灵入侵-专属解封'!AK10)/3,0)</f>
        <v>259248</v>
      </c>
      <c r="AS10" s="148">
        <f t="shared" si="20"/>
        <v>129500</v>
      </c>
      <c r="AT10" s="148">
        <f t="shared" si="6"/>
        <v>155500</v>
      </c>
      <c r="AU10" s="148">
        <f t="shared" si="6"/>
        <v>181500</v>
      </c>
      <c r="AV10" s="148">
        <f t="shared" si="6"/>
        <v>207500</v>
      </c>
      <c r="AW10" s="148">
        <f t="shared" si="6"/>
        <v>259000</v>
      </c>
      <c r="AZ10" s="148">
        <v>5</v>
      </c>
      <c r="BA10" s="148">
        <f t="shared" si="7"/>
        <v>1</v>
      </c>
      <c r="BB10" s="148">
        <f t="shared" si="8"/>
        <v>6</v>
      </c>
      <c r="BC10" s="148">
        <f t="shared" si="9"/>
        <v>1102001</v>
      </c>
      <c r="BD10" s="148" t="s">
        <v>1353</v>
      </c>
      <c r="BE10" s="148">
        <f t="shared" si="10"/>
        <v>4</v>
      </c>
      <c r="BF10" s="148" t="str">
        <f t="shared" si="11"/>
        <v>关羽专属武器解封-4</v>
      </c>
      <c r="BG10" s="148" t="str">
        <f t="shared" si="12"/>
        <v>关羽专属武器效果</v>
      </c>
      <c r="BH10" s="148">
        <f t="shared" si="13"/>
        <v>4</v>
      </c>
      <c r="BI10" s="148" t="str">
        <f t="shared" si="14"/>
        <v>金币</v>
      </c>
      <c r="BJ10" s="148">
        <f t="shared" si="15"/>
        <v>259000</v>
      </c>
      <c r="BK10" s="148" t="str">
        <f t="shared" si="16"/>
        <v>关羽专属武器碎片</v>
      </c>
      <c r="BL10" s="148">
        <f t="shared" si="17"/>
        <v>120</v>
      </c>
    </row>
    <row r="11" spans="1:64" ht="16.5" x14ac:dyDescent="0.2">
      <c r="A11" s="148">
        <v>1102007</v>
      </c>
      <c r="B11" s="148" t="s">
        <v>178</v>
      </c>
      <c r="C11" s="148">
        <v>4</v>
      </c>
      <c r="D11" s="148">
        <v>4</v>
      </c>
      <c r="E11" s="148" t="str">
        <f t="shared" si="0"/>
        <v>SSR</v>
      </c>
      <c r="F11" s="148">
        <f t="shared" si="1"/>
        <v>50</v>
      </c>
      <c r="G11" s="148">
        <f t="shared" si="2"/>
        <v>5</v>
      </c>
      <c r="H11" s="148">
        <f t="shared" si="3"/>
        <v>1000</v>
      </c>
      <c r="I11" s="153">
        <f t="shared" si="4"/>
        <v>25</v>
      </c>
      <c r="J11" s="148" t="s">
        <v>1274</v>
      </c>
      <c r="L11" s="148">
        <v>6</v>
      </c>
      <c r="M11" s="148">
        <v>5</v>
      </c>
      <c r="N11" s="148" t="s">
        <v>1316</v>
      </c>
      <c r="O11" s="148">
        <v>250</v>
      </c>
      <c r="P11" s="148">
        <v>80</v>
      </c>
      <c r="Q11" s="148">
        <f>ROUND(SUM($AW$7:$AW$11)/SUM($AP$7:$AP$11)/$O$10*O11/500,0)*500</f>
        <v>5000</v>
      </c>
      <c r="S11" s="148">
        <v>5</v>
      </c>
      <c r="T11" s="148" t="s">
        <v>1294</v>
      </c>
      <c r="U11" s="148">
        <v>55</v>
      </c>
      <c r="V11" s="148">
        <v>110</v>
      </c>
      <c r="W11" s="148"/>
      <c r="X11" s="148">
        <v>1</v>
      </c>
      <c r="Y11" s="148">
        <v>0.9</v>
      </c>
      <c r="Z11" s="148">
        <v>0.9</v>
      </c>
      <c r="AA11" s="148"/>
      <c r="AB11" s="148"/>
      <c r="AC11" s="148">
        <f t="shared" si="5"/>
        <v>110</v>
      </c>
      <c r="AD11" s="148">
        <v>10</v>
      </c>
      <c r="AE11" s="148">
        <v>300</v>
      </c>
      <c r="AF11" s="148">
        <f>INDEX(章节关卡!$L$6:$L$35,'恶灵入侵-专属解封'!AD11)*'恶灵入侵-专属解封'!AE11</f>
        <v>27000</v>
      </c>
      <c r="AG11" s="148">
        <v>4</v>
      </c>
      <c r="AH11" s="148">
        <v>8</v>
      </c>
      <c r="AI11" s="150" t="str">
        <f t="shared" si="19"/>
        <v>4~8</v>
      </c>
      <c r="AK11" s="148">
        <v>5</v>
      </c>
      <c r="AL11" s="148">
        <v>80</v>
      </c>
      <c r="AM11" s="148">
        <v>80</v>
      </c>
      <c r="AN11" s="148">
        <v>160</v>
      </c>
      <c r="AO11" s="148">
        <v>160</v>
      </c>
      <c r="AP11" s="148">
        <v>160</v>
      </c>
      <c r="AR11" s="148">
        <f>ROUND(INDEX(金币总表!$AU$7:$AU$11,'恶灵入侵-专属解封'!AK11)/3,0)</f>
        <v>626744</v>
      </c>
      <c r="AS11" s="148">
        <f t="shared" si="20"/>
        <v>313500</v>
      </c>
      <c r="AT11" s="148">
        <f t="shared" si="6"/>
        <v>376000</v>
      </c>
      <c r="AU11" s="148">
        <f t="shared" si="6"/>
        <v>438500</v>
      </c>
      <c r="AV11" s="148">
        <f t="shared" si="6"/>
        <v>501500</v>
      </c>
      <c r="AW11" s="148">
        <f t="shared" si="6"/>
        <v>626500</v>
      </c>
      <c r="AZ11" s="148">
        <v>6</v>
      </c>
      <c r="BA11" s="148">
        <f t="shared" si="7"/>
        <v>1</v>
      </c>
      <c r="BB11" s="148">
        <f t="shared" si="8"/>
        <v>6</v>
      </c>
      <c r="BC11" s="148">
        <f t="shared" si="9"/>
        <v>1102001</v>
      </c>
      <c r="BD11" s="148" t="s">
        <v>1353</v>
      </c>
      <c r="BE11" s="148">
        <f t="shared" si="10"/>
        <v>5</v>
      </c>
      <c r="BF11" s="148" t="str">
        <f t="shared" si="11"/>
        <v>关羽专属武器解封-5</v>
      </c>
      <c r="BG11" s="148" t="str">
        <f t="shared" si="12"/>
        <v>关羽专属武器效果</v>
      </c>
      <c r="BH11" s="148">
        <f t="shared" si="13"/>
        <v>5</v>
      </c>
      <c r="BI11" s="148" t="str">
        <f t="shared" si="14"/>
        <v>金币</v>
      </c>
      <c r="BJ11" s="148">
        <f t="shared" si="15"/>
        <v>626500</v>
      </c>
      <c r="BK11" s="148" t="str">
        <f t="shared" si="16"/>
        <v>关羽专属武器碎片</v>
      </c>
      <c r="BL11" s="148">
        <f t="shared" si="17"/>
        <v>160</v>
      </c>
    </row>
    <row r="12" spans="1:64" ht="16.5" x14ac:dyDescent="0.2">
      <c r="A12" s="151">
        <v>1102008</v>
      </c>
      <c r="B12" s="151" t="s">
        <v>179</v>
      </c>
      <c r="C12" s="151">
        <v>4</v>
      </c>
      <c r="D12" s="151">
        <v>5</v>
      </c>
      <c r="E12" s="148" t="str">
        <f t="shared" si="0"/>
        <v>SSR+</v>
      </c>
      <c r="F12" s="148">
        <f t="shared" si="1"/>
        <v>100</v>
      </c>
      <c r="G12" s="148">
        <f t="shared" si="2"/>
        <v>10</v>
      </c>
      <c r="H12" s="148">
        <f t="shared" si="3"/>
        <v>2000</v>
      </c>
      <c r="I12" s="153">
        <f t="shared" si="4"/>
        <v>50</v>
      </c>
      <c r="J12" s="151" t="s">
        <v>1275</v>
      </c>
      <c r="M12" s="149"/>
      <c r="N12" s="149"/>
      <c r="O12" s="149"/>
      <c r="P12" s="149"/>
      <c r="Q12" s="149"/>
      <c r="S12" s="148">
        <v>6</v>
      </c>
      <c r="T12" s="148" t="s">
        <v>1295</v>
      </c>
      <c r="U12" s="148">
        <v>60</v>
      </c>
      <c r="V12" s="148">
        <v>120</v>
      </c>
      <c r="W12" s="148"/>
      <c r="X12" s="148">
        <v>1</v>
      </c>
      <c r="Y12" s="148">
        <v>1</v>
      </c>
      <c r="Z12" s="148">
        <v>1</v>
      </c>
      <c r="AA12" s="148"/>
      <c r="AB12" s="148"/>
      <c r="AC12" s="148">
        <f t="shared" si="5"/>
        <v>120</v>
      </c>
      <c r="AD12" s="148">
        <v>11</v>
      </c>
      <c r="AE12" s="148">
        <v>300</v>
      </c>
      <c r="AF12" s="148">
        <f>INDEX(章节关卡!$L$6:$L$35,'恶灵入侵-专属解封'!AD12)*'恶灵入侵-专属解封'!AE12</f>
        <v>30000</v>
      </c>
      <c r="AG12" s="148">
        <v>5</v>
      </c>
      <c r="AH12" s="148">
        <v>8</v>
      </c>
      <c r="AI12" s="150" t="str">
        <f t="shared" si="19"/>
        <v>5~8</v>
      </c>
      <c r="AZ12" s="148">
        <v>7</v>
      </c>
      <c r="BA12" s="148">
        <f t="shared" si="7"/>
        <v>2</v>
      </c>
      <c r="BB12" s="148">
        <f t="shared" si="8"/>
        <v>2</v>
      </c>
      <c r="BC12" s="148">
        <f t="shared" si="9"/>
        <v>1102002</v>
      </c>
      <c r="BD12" s="148" t="s">
        <v>1353</v>
      </c>
      <c r="BE12" s="148">
        <f t="shared" si="10"/>
        <v>0</v>
      </c>
      <c r="BF12" s="148" t="str">
        <f t="shared" si="11"/>
        <v>许褚专属武器解封-0</v>
      </c>
      <c r="BG12" s="148" t="str">
        <f t="shared" si="12"/>
        <v/>
      </c>
      <c r="BH12" s="148" t="str">
        <f t="shared" si="13"/>
        <v/>
      </c>
      <c r="BI12" s="148" t="str">
        <f t="shared" si="14"/>
        <v/>
      </c>
      <c r="BJ12" s="148" t="str">
        <f t="shared" si="15"/>
        <v/>
      </c>
      <c r="BK12" s="148" t="str">
        <f t="shared" si="16"/>
        <v/>
      </c>
      <c r="BL12" s="148" t="str">
        <f t="shared" si="17"/>
        <v/>
      </c>
    </row>
    <row r="13" spans="1:64" ht="16.5" x14ac:dyDescent="0.2">
      <c r="A13" s="148">
        <v>1102009</v>
      </c>
      <c r="B13" s="148" t="s">
        <v>180</v>
      </c>
      <c r="C13" s="148">
        <v>3</v>
      </c>
      <c r="D13" s="148">
        <v>3</v>
      </c>
      <c r="E13" s="148" t="str">
        <f t="shared" si="0"/>
        <v>SR+</v>
      </c>
      <c r="F13" s="148">
        <f t="shared" si="1"/>
        <v>50</v>
      </c>
      <c r="G13" s="148">
        <f t="shared" si="2"/>
        <v>5</v>
      </c>
      <c r="H13" s="148">
        <f t="shared" si="3"/>
        <v>1000</v>
      </c>
      <c r="I13" s="153">
        <f t="shared" si="4"/>
        <v>25</v>
      </c>
      <c r="J13" s="148" t="s">
        <v>1276</v>
      </c>
      <c r="M13" s="149"/>
      <c r="N13" s="149"/>
      <c r="O13" s="149"/>
      <c r="P13" s="149"/>
      <c r="Q13" s="149"/>
      <c r="S13" s="148">
        <v>7</v>
      </c>
      <c r="T13" s="148" t="s">
        <v>1296</v>
      </c>
      <c r="U13" s="148">
        <v>65</v>
      </c>
      <c r="V13" s="148">
        <v>130</v>
      </c>
      <c r="W13" s="148"/>
      <c r="X13" s="148">
        <v>1</v>
      </c>
      <c r="Y13" s="148">
        <v>1.1000000000000001</v>
      </c>
      <c r="Z13" s="148">
        <v>1.1000000000000001</v>
      </c>
      <c r="AA13" s="148"/>
      <c r="AB13" s="148"/>
      <c r="AC13" s="148">
        <f t="shared" si="5"/>
        <v>130</v>
      </c>
      <c r="AD13" s="148">
        <v>12</v>
      </c>
      <c r="AE13" s="148">
        <v>300</v>
      </c>
      <c r="AF13" s="148">
        <f>INDEX(章节关卡!$L$6:$L$35,'恶灵入侵-专属解封'!AD13)*'恶灵入侵-专属解封'!AE13</f>
        <v>33000</v>
      </c>
      <c r="AG13" s="148">
        <v>5</v>
      </c>
      <c r="AH13" s="148">
        <v>9</v>
      </c>
      <c r="AI13" s="150" t="str">
        <f t="shared" si="19"/>
        <v>5~9</v>
      </c>
      <c r="AZ13" s="148">
        <v>8</v>
      </c>
      <c r="BA13" s="148">
        <f t="shared" si="7"/>
        <v>2</v>
      </c>
      <c r="BB13" s="148">
        <f t="shared" si="8"/>
        <v>2</v>
      </c>
      <c r="BC13" s="148">
        <f t="shared" si="9"/>
        <v>1102002</v>
      </c>
      <c r="BD13" s="148" t="s">
        <v>1353</v>
      </c>
      <c r="BE13" s="148">
        <f t="shared" si="10"/>
        <v>1</v>
      </c>
      <c r="BF13" s="148" t="str">
        <f t="shared" si="11"/>
        <v>许褚专属武器解封-1</v>
      </c>
      <c r="BG13" s="148" t="str">
        <f t="shared" si="12"/>
        <v>许褚专属武器效果</v>
      </c>
      <c r="BH13" s="148">
        <f t="shared" si="13"/>
        <v>1</v>
      </c>
      <c r="BI13" s="148" t="str">
        <f t="shared" si="14"/>
        <v>金币</v>
      </c>
      <c r="BJ13" s="148">
        <f t="shared" si="15"/>
        <v>15000</v>
      </c>
      <c r="BK13" s="148" t="str">
        <f t="shared" si="16"/>
        <v>许褚专属武器碎片</v>
      </c>
      <c r="BL13" s="148">
        <f t="shared" si="17"/>
        <v>40</v>
      </c>
    </row>
    <row r="14" spans="1:64" ht="16.5" x14ac:dyDescent="0.2">
      <c r="A14" s="148">
        <v>1102010</v>
      </c>
      <c r="B14" s="148" t="s">
        <v>181</v>
      </c>
      <c r="C14" s="148">
        <v>4</v>
      </c>
      <c r="D14" s="148">
        <v>5</v>
      </c>
      <c r="E14" s="148" t="str">
        <f t="shared" si="0"/>
        <v>SSR+</v>
      </c>
      <c r="F14" s="148">
        <f t="shared" si="1"/>
        <v>100</v>
      </c>
      <c r="G14" s="148">
        <f t="shared" si="2"/>
        <v>10</v>
      </c>
      <c r="H14" s="148">
        <f t="shared" si="3"/>
        <v>2000</v>
      </c>
      <c r="I14" s="153">
        <f t="shared" si="4"/>
        <v>50</v>
      </c>
      <c r="J14" s="148" t="s">
        <v>1277</v>
      </c>
      <c r="S14" s="148">
        <v>8</v>
      </c>
      <c r="T14" s="148" t="s">
        <v>1297</v>
      </c>
      <c r="U14" s="148">
        <v>70</v>
      </c>
      <c r="V14" s="148">
        <v>150</v>
      </c>
      <c r="W14" s="148"/>
      <c r="X14" s="148">
        <v>1</v>
      </c>
      <c r="Y14" s="148">
        <v>1</v>
      </c>
      <c r="Z14" s="148">
        <v>1</v>
      </c>
      <c r="AA14" s="148">
        <v>0.3</v>
      </c>
      <c r="AB14" s="148"/>
      <c r="AC14" s="148">
        <f t="shared" si="5"/>
        <v>150</v>
      </c>
      <c r="AD14" s="148">
        <v>13</v>
      </c>
      <c r="AE14" s="148">
        <v>300</v>
      </c>
      <c r="AF14" s="148">
        <f>INDEX(章节关卡!$L$6:$L$35,'恶灵入侵-专属解封'!AD14)*'恶灵入侵-专属解封'!AE14</f>
        <v>37500</v>
      </c>
      <c r="AG14" s="148">
        <v>5</v>
      </c>
      <c r="AH14" s="148">
        <v>10</v>
      </c>
      <c r="AI14" s="150" t="str">
        <f t="shared" si="19"/>
        <v>5~10</v>
      </c>
      <c r="AZ14" s="148">
        <v>9</v>
      </c>
      <c r="BA14" s="148">
        <f t="shared" si="7"/>
        <v>2</v>
      </c>
      <c r="BB14" s="148">
        <f t="shared" si="8"/>
        <v>2</v>
      </c>
      <c r="BC14" s="148">
        <f t="shared" si="9"/>
        <v>1102002</v>
      </c>
      <c r="BD14" s="148" t="s">
        <v>1353</v>
      </c>
      <c r="BE14" s="148">
        <f t="shared" si="10"/>
        <v>2</v>
      </c>
      <c r="BF14" s="148" t="str">
        <f t="shared" si="11"/>
        <v>许褚专属武器解封-2</v>
      </c>
      <c r="BG14" s="148" t="str">
        <f t="shared" si="12"/>
        <v>许褚专属武器效果</v>
      </c>
      <c r="BH14" s="148">
        <f t="shared" si="13"/>
        <v>2</v>
      </c>
      <c r="BI14" s="148" t="str">
        <f t="shared" si="14"/>
        <v>金币</v>
      </c>
      <c r="BJ14" s="148">
        <f t="shared" si="15"/>
        <v>32000</v>
      </c>
      <c r="BK14" s="148" t="str">
        <f t="shared" si="16"/>
        <v>许褚专属武器碎片</v>
      </c>
      <c r="BL14" s="148">
        <f t="shared" si="17"/>
        <v>40</v>
      </c>
    </row>
    <row r="15" spans="1:64" ht="16.5" x14ac:dyDescent="0.2">
      <c r="A15" s="148">
        <v>1102011</v>
      </c>
      <c r="B15" s="148" t="s">
        <v>182</v>
      </c>
      <c r="C15" s="148">
        <v>4</v>
      </c>
      <c r="D15" s="148">
        <v>5</v>
      </c>
      <c r="E15" s="148" t="str">
        <f t="shared" si="0"/>
        <v>SSR+</v>
      </c>
      <c r="F15" s="148">
        <f t="shared" si="1"/>
        <v>100</v>
      </c>
      <c r="G15" s="148">
        <f t="shared" si="2"/>
        <v>10</v>
      </c>
      <c r="H15" s="148">
        <f t="shared" si="3"/>
        <v>2000</v>
      </c>
      <c r="I15" s="153">
        <f t="shared" si="4"/>
        <v>50</v>
      </c>
      <c r="J15" s="148" t="s">
        <v>1278</v>
      </c>
      <c r="S15" s="148">
        <v>9</v>
      </c>
      <c r="T15" s="148" t="s">
        <v>1298</v>
      </c>
      <c r="U15" s="148">
        <v>80</v>
      </c>
      <c r="V15" s="148">
        <v>160</v>
      </c>
      <c r="W15" s="148"/>
      <c r="X15" s="148">
        <v>1</v>
      </c>
      <c r="Y15" s="148">
        <v>1</v>
      </c>
      <c r="Z15" s="148">
        <v>1</v>
      </c>
      <c r="AA15" s="148">
        <v>0.4</v>
      </c>
      <c r="AB15" s="148"/>
      <c r="AC15" s="148">
        <f t="shared" si="5"/>
        <v>160</v>
      </c>
      <c r="AD15" s="148">
        <v>15</v>
      </c>
      <c r="AE15" s="148">
        <v>300</v>
      </c>
      <c r="AF15" s="148">
        <f>INDEX(章节关卡!$L$6:$L$35,'恶灵入侵-专属解封'!AD15)*'恶灵入侵-专属解封'!AE15</f>
        <v>45000</v>
      </c>
      <c r="AG15" s="148">
        <v>6</v>
      </c>
      <c r="AH15" s="148">
        <v>10</v>
      </c>
      <c r="AI15" s="150" t="str">
        <f t="shared" si="19"/>
        <v>6~10</v>
      </c>
      <c r="AZ15" s="148">
        <v>10</v>
      </c>
      <c r="BA15" s="148">
        <f t="shared" si="7"/>
        <v>2</v>
      </c>
      <c r="BB15" s="148">
        <f t="shared" si="8"/>
        <v>2</v>
      </c>
      <c r="BC15" s="148">
        <f t="shared" si="9"/>
        <v>1102002</v>
      </c>
      <c r="BD15" s="148" t="s">
        <v>1353</v>
      </c>
      <c r="BE15" s="148">
        <f t="shared" si="10"/>
        <v>3</v>
      </c>
      <c r="BF15" s="148" t="str">
        <f t="shared" si="11"/>
        <v>许褚专属武器解封-3</v>
      </c>
      <c r="BG15" s="148" t="str">
        <f t="shared" si="12"/>
        <v>许褚专属武器效果</v>
      </c>
      <c r="BH15" s="148">
        <f t="shared" si="13"/>
        <v>3</v>
      </c>
      <c r="BI15" s="148" t="str">
        <f t="shared" si="14"/>
        <v>金币</v>
      </c>
      <c r="BJ15" s="148">
        <f t="shared" si="15"/>
        <v>73000</v>
      </c>
      <c r="BK15" s="148" t="str">
        <f t="shared" si="16"/>
        <v>许褚专属武器碎片</v>
      </c>
      <c r="BL15" s="148">
        <f t="shared" si="17"/>
        <v>60</v>
      </c>
    </row>
    <row r="16" spans="1:64" ht="16.5" x14ac:dyDescent="0.2">
      <c r="A16" s="148">
        <v>1102012</v>
      </c>
      <c r="B16" s="148" t="s">
        <v>183</v>
      </c>
      <c r="C16" s="148">
        <v>5</v>
      </c>
      <c r="D16" s="148">
        <v>6</v>
      </c>
      <c r="E16" s="148" t="str">
        <f t="shared" si="0"/>
        <v>UR</v>
      </c>
      <c r="F16" s="148">
        <f t="shared" si="1"/>
        <v>250</v>
      </c>
      <c r="G16" s="148">
        <f t="shared" si="2"/>
        <v>25</v>
      </c>
      <c r="H16" s="148">
        <f t="shared" si="3"/>
        <v>5000</v>
      </c>
      <c r="I16" s="153">
        <f t="shared" si="4"/>
        <v>125</v>
      </c>
      <c r="J16" s="148" t="s">
        <v>1279</v>
      </c>
      <c r="S16" s="148">
        <v>10</v>
      </c>
      <c r="T16" s="148" t="s">
        <v>1299</v>
      </c>
      <c r="U16" s="148">
        <v>90</v>
      </c>
      <c r="V16" s="148">
        <v>180</v>
      </c>
      <c r="W16" s="148"/>
      <c r="X16" s="148">
        <v>1</v>
      </c>
      <c r="Y16" s="148">
        <v>1</v>
      </c>
      <c r="Z16" s="148">
        <v>1</v>
      </c>
      <c r="AA16" s="148">
        <v>0.6</v>
      </c>
      <c r="AB16" s="148"/>
      <c r="AC16" s="148">
        <f t="shared" si="5"/>
        <v>180</v>
      </c>
      <c r="AD16" s="148">
        <v>17</v>
      </c>
      <c r="AE16" s="148">
        <v>300</v>
      </c>
      <c r="AF16" s="148">
        <f>INDEX(章节关卡!$L$6:$L$35,'恶灵入侵-专属解封'!AD16)*'恶灵入侵-专属解封'!AE16</f>
        <v>52500</v>
      </c>
      <c r="AG16" s="148">
        <v>6</v>
      </c>
      <c r="AH16" s="148">
        <v>11</v>
      </c>
      <c r="AI16" s="150" t="str">
        <f t="shared" si="19"/>
        <v>6~11</v>
      </c>
      <c r="AZ16" s="148">
        <v>11</v>
      </c>
      <c r="BA16" s="148">
        <f t="shared" si="7"/>
        <v>2</v>
      </c>
      <c r="BB16" s="148">
        <f t="shared" si="8"/>
        <v>2</v>
      </c>
      <c r="BC16" s="148">
        <f t="shared" si="9"/>
        <v>1102002</v>
      </c>
      <c r="BD16" s="148" t="s">
        <v>1353</v>
      </c>
      <c r="BE16" s="148">
        <f t="shared" si="10"/>
        <v>4</v>
      </c>
      <c r="BF16" s="148" t="str">
        <f t="shared" si="11"/>
        <v>许褚专属武器解封-4</v>
      </c>
      <c r="BG16" s="148" t="str">
        <f t="shared" si="12"/>
        <v>许褚专属武器效果</v>
      </c>
      <c r="BH16" s="148">
        <f t="shared" si="13"/>
        <v>4</v>
      </c>
      <c r="BI16" s="148" t="str">
        <f t="shared" si="14"/>
        <v>金币</v>
      </c>
      <c r="BJ16" s="148">
        <f t="shared" si="15"/>
        <v>129500</v>
      </c>
      <c r="BK16" s="148" t="str">
        <f t="shared" si="16"/>
        <v>许褚专属武器碎片</v>
      </c>
      <c r="BL16" s="148">
        <f t="shared" si="17"/>
        <v>60</v>
      </c>
    </row>
    <row r="17" spans="1:64" ht="16.5" x14ac:dyDescent="0.2">
      <c r="A17" s="148">
        <v>1102014</v>
      </c>
      <c r="B17" s="148" t="s">
        <v>185</v>
      </c>
      <c r="C17" s="148">
        <v>3</v>
      </c>
      <c r="D17" s="148">
        <v>3</v>
      </c>
      <c r="E17" s="148" t="str">
        <f t="shared" si="0"/>
        <v>SR+</v>
      </c>
      <c r="F17" s="148">
        <f t="shared" si="1"/>
        <v>50</v>
      </c>
      <c r="G17" s="148">
        <f t="shared" si="2"/>
        <v>5</v>
      </c>
      <c r="H17" s="148">
        <f t="shared" si="3"/>
        <v>1000</v>
      </c>
      <c r="I17" s="153">
        <f t="shared" si="4"/>
        <v>25</v>
      </c>
      <c r="J17" s="148" t="s">
        <v>1280</v>
      </c>
      <c r="S17" s="148">
        <v>11</v>
      </c>
      <c r="T17" s="148" t="s">
        <v>1300</v>
      </c>
      <c r="U17" s="148">
        <v>95</v>
      </c>
      <c r="V17" s="148">
        <v>190</v>
      </c>
      <c r="W17" s="148"/>
      <c r="X17" s="148">
        <v>1</v>
      </c>
      <c r="Y17" s="148">
        <v>1</v>
      </c>
      <c r="Z17" s="148">
        <v>1</v>
      </c>
      <c r="AA17" s="148">
        <v>0.7</v>
      </c>
      <c r="AB17" s="148"/>
      <c r="AC17" s="148">
        <f t="shared" si="5"/>
        <v>190</v>
      </c>
      <c r="AD17" s="148">
        <v>18</v>
      </c>
      <c r="AE17" s="148">
        <v>300</v>
      </c>
      <c r="AF17" s="148">
        <f>INDEX(章节关卡!$L$6:$L$35,'恶灵入侵-专属解封'!AD17)*'恶灵入侵-专属解封'!AE17</f>
        <v>55500</v>
      </c>
      <c r="AG17" s="148">
        <v>6</v>
      </c>
      <c r="AH17" s="148">
        <v>12</v>
      </c>
      <c r="AI17" s="150" t="str">
        <f t="shared" si="19"/>
        <v>6~12</v>
      </c>
      <c r="AZ17" s="148">
        <v>12</v>
      </c>
      <c r="BA17" s="148">
        <f t="shared" si="7"/>
        <v>2</v>
      </c>
      <c r="BB17" s="148">
        <f t="shared" si="8"/>
        <v>2</v>
      </c>
      <c r="BC17" s="148">
        <f t="shared" si="9"/>
        <v>1102002</v>
      </c>
      <c r="BD17" s="148" t="s">
        <v>1353</v>
      </c>
      <c r="BE17" s="148">
        <f t="shared" si="10"/>
        <v>5</v>
      </c>
      <c r="BF17" s="148" t="str">
        <f t="shared" si="11"/>
        <v>许褚专属武器解封-5</v>
      </c>
      <c r="BG17" s="148" t="str">
        <f t="shared" si="12"/>
        <v>许褚专属武器效果</v>
      </c>
      <c r="BH17" s="148">
        <f t="shared" si="13"/>
        <v>5</v>
      </c>
      <c r="BI17" s="148" t="str">
        <f t="shared" si="14"/>
        <v>金币</v>
      </c>
      <c r="BJ17" s="148">
        <f t="shared" si="15"/>
        <v>313500</v>
      </c>
      <c r="BK17" s="148" t="str">
        <f t="shared" si="16"/>
        <v>许褚专属武器碎片</v>
      </c>
      <c r="BL17" s="148">
        <f t="shared" si="17"/>
        <v>80</v>
      </c>
    </row>
    <row r="18" spans="1:64" ht="16.5" x14ac:dyDescent="0.2">
      <c r="A18" s="148">
        <v>1102016</v>
      </c>
      <c r="B18" s="148" t="s">
        <v>187</v>
      </c>
      <c r="C18" s="148">
        <v>4</v>
      </c>
      <c r="D18" s="148">
        <v>4</v>
      </c>
      <c r="E18" s="148" t="str">
        <f t="shared" si="0"/>
        <v>SSR</v>
      </c>
      <c r="F18" s="148">
        <f t="shared" si="1"/>
        <v>50</v>
      </c>
      <c r="G18" s="148">
        <f t="shared" si="2"/>
        <v>5</v>
      </c>
      <c r="H18" s="148">
        <f t="shared" si="3"/>
        <v>1000</v>
      </c>
      <c r="I18" s="153">
        <f t="shared" si="4"/>
        <v>25</v>
      </c>
      <c r="J18" s="148" t="s">
        <v>1281</v>
      </c>
      <c r="S18" s="148">
        <v>12</v>
      </c>
      <c r="T18" s="148" t="s">
        <v>1301</v>
      </c>
      <c r="U18" s="148">
        <v>100</v>
      </c>
      <c r="V18" s="148">
        <v>200</v>
      </c>
      <c r="W18" s="148"/>
      <c r="X18" s="148">
        <v>1</v>
      </c>
      <c r="Y18" s="148">
        <v>1</v>
      </c>
      <c r="Z18" s="148">
        <v>1</v>
      </c>
      <c r="AA18" s="148">
        <v>0.8</v>
      </c>
      <c r="AB18" s="148"/>
      <c r="AC18" s="148">
        <f t="shared" si="5"/>
        <v>200</v>
      </c>
      <c r="AD18" s="148">
        <v>19</v>
      </c>
      <c r="AE18" s="148">
        <v>300</v>
      </c>
      <c r="AF18" s="148">
        <f>INDEX(章节关卡!$L$6:$L$35,'恶灵入侵-专属解封'!AD18)*'恶灵入侵-专属解封'!AE18</f>
        <v>60000</v>
      </c>
      <c r="AG18" s="148">
        <v>6</v>
      </c>
      <c r="AH18" s="148">
        <v>13</v>
      </c>
      <c r="AI18" s="150" t="str">
        <f t="shared" si="19"/>
        <v>6~13</v>
      </c>
      <c r="AZ18" s="148">
        <v>13</v>
      </c>
      <c r="BA18" s="148">
        <f t="shared" si="7"/>
        <v>3</v>
      </c>
      <c r="BB18" s="148">
        <f t="shared" si="8"/>
        <v>4</v>
      </c>
      <c r="BC18" s="148">
        <f t="shared" si="9"/>
        <v>1102003</v>
      </c>
      <c r="BD18" s="148" t="s">
        <v>1353</v>
      </c>
      <c r="BE18" s="148">
        <f t="shared" si="10"/>
        <v>0</v>
      </c>
      <c r="BF18" s="148" t="str">
        <f t="shared" si="11"/>
        <v>典韦专属武器解封-0</v>
      </c>
      <c r="BG18" s="148" t="str">
        <f t="shared" si="12"/>
        <v/>
      </c>
      <c r="BH18" s="148" t="str">
        <f t="shared" si="13"/>
        <v/>
      </c>
      <c r="BI18" s="148" t="str">
        <f t="shared" si="14"/>
        <v/>
      </c>
      <c r="BJ18" s="148" t="str">
        <f t="shared" si="15"/>
        <v/>
      </c>
      <c r="BK18" s="148" t="str">
        <f t="shared" si="16"/>
        <v/>
      </c>
      <c r="BL18" s="148" t="str">
        <f t="shared" si="17"/>
        <v/>
      </c>
    </row>
    <row r="19" spans="1:64" ht="16.5" x14ac:dyDescent="0.2">
      <c r="A19" s="148">
        <v>1102017</v>
      </c>
      <c r="B19" s="148" t="s">
        <v>188</v>
      </c>
      <c r="C19" s="148">
        <v>3</v>
      </c>
      <c r="D19" s="148">
        <v>2</v>
      </c>
      <c r="E19" s="148" t="str">
        <f t="shared" si="0"/>
        <v>SR</v>
      </c>
      <c r="F19" s="148">
        <f t="shared" si="1"/>
        <v>20</v>
      </c>
      <c r="G19" s="148">
        <f t="shared" si="2"/>
        <v>2</v>
      </c>
      <c r="H19" s="148">
        <f t="shared" si="3"/>
        <v>500</v>
      </c>
      <c r="I19" s="153">
        <f t="shared" si="4"/>
        <v>10</v>
      </c>
      <c r="J19" s="148" t="s">
        <v>1282</v>
      </c>
      <c r="S19" s="148">
        <v>13</v>
      </c>
      <c r="T19" s="148" t="s">
        <v>1302</v>
      </c>
      <c r="U19" s="148">
        <v>105</v>
      </c>
      <c r="V19" s="148">
        <v>225</v>
      </c>
      <c r="W19" s="148"/>
      <c r="X19" s="148">
        <v>1</v>
      </c>
      <c r="Y19" s="148">
        <v>1</v>
      </c>
      <c r="Z19" s="148">
        <v>1</v>
      </c>
      <c r="AA19" s="148">
        <v>1</v>
      </c>
      <c r="AB19" s="148">
        <v>0.02</v>
      </c>
      <c r="AC19" s="148">
        <f t="shared" si="5"/>
        <v>225</v>
      </c>
      <c r="AD19" s="148">
        <v>20</v>
      </c>
      <c r="AE19" s="148">
        <v>300</v>
      </c>
      <c r="AF19" s="148">
        <f>INDEX(章节关卡!$L$6:$L$35,'恶灵入侵-专属解封'!AD19)*'恶灵入侵-专属解封'!AE19</f>
        <v>63000</v>
      </c>
      <c r="AG19" s="148">
        <v>7</v>
      </c>
      <c r="AH19" s="148">
        <v>13</v>
      </c>
      <c r="AI19" s="150" t="str">
        <f t="shared" si="19"/>
        <v>7~13</v>
      </c>
      <c r="AZ19" s="148">
        <v>14</v>
      </c>
      <c r="BA19" s="148">
        <f t="shared" si="7"/>
        <v>3</v>
      </c>
      <c r="BB19" s="148">
        <f t="shared" si="8"/>
        <v>4</v>
      </c>
      <c r="BC19" s="148">
        <f t="shared" si="9"/>
        <v>1102003</v>
      </c>
      <c r="BD19" s="148" t="s">
        <v>1353</v>
      </c>
      <c r="BE19" s="148">
        <f t="shared" si="10"/>
        <v>1</v>
      </c>
      <c r="BF19" s="148" t="str">
        <f t="shared" si="11"/>
        <v>典韦专属武器解封-1</v>
      </c>
      <c r="BG19" s="148" t="str">
        <f t="shared" si="12"/>
        <v>典韦专属武器效果</v>
      </c>
      <c r="BH19" s="148">
        <f t="shared" si="13"/>
        <v>1</v>
      </c>
      <c r="BI19" s="148" t="str">
        <f t="shared" si="14"/>
        <v>金币</v>
      </c>
      <c r="BJ19" s="148">
        <f t="shared" si="15"/>
        <v>21000</v>
      </c>
      <c r="BK19" s="148" t="str">
        <f t="shared" si="16"/>
        <v>典韦专属武器碎片</v>
      </c>
      <c r="BL19" s="148">
        <f t="shared" si="17"/>
        <v>80</v>
      </c>
    </row>
    <row r="20" spans="1:64" ht="16.5" x14ac:dyDescent="0.2">
      <c r="A20" s="148">
        <v>1102020</v>
      </c>
      <c r="B20" s="148" t="s">
        <v>191</v>
      </c>
      <c r="C20" s="148">
        <v>3</v>
      </c>
      <c r="D20" s="148">
        <v>3</v>
      </c>
      <c r="E20" s="148" t="str">
        <f t="shared" si="0"/>
        <v>SR+</v>
      </c>
      <c r="F20" s="148">
        <f t="shared" si="1"/>
        <v>50</v>
      </c>
      <c r="G20" s="148">
        <f t="shared" si="2"/>
        <v>5</v>
      </c>
      <c r="H20" s="148">
        <f t="shared" si="3"/>
        <v>1000</v>
      </c>
      <c r="I20" s="153">
        <f t="shared" si="4"/>
        <v>25</v>
      </c>
      <c r="J20" s="148" t="s">
        <v>1283</v>
      </c>
      <c r="S20" s="148">
        <v>14</v>
      </c>
      <c r="T20" s="148" t="s">
        <v>1303</v>
      </c>
      <c r="U20" s="148">
        <v>110</v>
      </c>
      <c r="V20" s="148">
        <v>250</v>
      </c>
      <c r="W20" s="148"/>
      <c r="X20" s="148">
        <v>1</v>
      </c>
      <c r="Y20" s="148">
        <v>1</v>
      </c>
      <c r="Z20" s="148">
        <v>1</v>
      </c>
      <c r="AA20" s="148">
        <v>1</v>
      </c>
      <c r="AB20" s="148">
        <v>0.12</v>
      </c>
      <c r="AC20" s="148">
        <f t="shared" si="5"/>
        <v>250</v>
      </c>
      <c r="AD20" s="148">
        <v>21</v>
      </c>
      <c r="AE20" s="148">
        <v>300</v>
      </c>
      <c r="AF20" s="148">
        <f>INDEX(章节关卡!$L$6:$L$35,'恶灵入侵-专属解封'!AD20)*'恶灵入侵-专属解封'!AE20</f>
        <v>67500</v>
      </c>
      <c r="AG20" s="148">
        <v>8</v>
      </c>
      <c r="AH20" s="148">
        <v>13</v>
      </c>
      <c r="AI20" s="150" t="str">
        <f t="shared" si="19"/>
        <v>8~13</v>
      </c>
      <c r="AZ20" s="148">
        <v>15</v>
      </c>
      <c r="BA20" s="148">
        <f t="shared" si="7"/>
        <v>3</v>
      </c>
      <c r="BB20" s="148">
        <f t="shared" si="8"/>
        <v>4</v>
      </c>
      <c r="BC20" s="148">
        <f t="shared" si="9"/>
        <v>1102003</v>
      </c>
      <c r="BD20" s="148" t="s">
        <v>1353</v>
      </c>
      <c r="BE20" s="148">
        <f t="shared" si="10"/>
        <v>2</v>
      </c>
      <c r="BF20" s="148" t="str">
        <f t="shared" si="11"/>
        <v>典韦专属武器解封-2</v>
      </c>
      <c r="BG20" s="148" t="str">
        <f t="shared" si="12"/>
        <v>典韦专属武器效果</v>
      </c>
      <c r="BH20" s="148">
        <f t="shared" si="13"/>
        <v>2</v>
      </c>
      <c r="BI20" s="148" t="str">
        <f t="shared" si="14"/>
        <v>金币</v>
      </c>
      <c r="BJ20" s="148">
        <f t="shared" si="15"/>
        <v>44500</v>
      </c>
      <c r="BK20" s="148" t="str">
        <f t="shared" si="16"/>
        <v>典韦专属武器碎片</v>
      </c>
      <c r="BL20" s="148">
        <f t="shared" si="17"/>
        <v>80</v>
      </c>
    </row>
    <row r="21" spans="1:64" ht="16.5" x14ac:dyDescent="0.2">
      <c r="A21" s="148">
        <v>1102021</v>
      </c>
      <c r="B21" s="148" t="s">
        <v>192</v>
      </c>
      <c r="C21" s="148">
        <v>3</v>
      </c>
      <c r="D21" s="148">
        <v>2</v>
      </c>
      <c r="E21" s="148" t="str">
        <f t="shared" si="0"/>
        <v>SR</v>
      </c>
      <c r="F21" s="148">
        <f t="shared" si="1"/>
        <v>20</v>
      </c>
      <c r="G21" s="148">
        <f t="shared" si="2"/>
        <v>2</v>
      </c>
      <c r="H21" s="148">
        <f t="shared" si="3"/>
        <v>500</v>
      </c>
      <c r="I21" s="153">
        <f t="shared" si="4"/>
        <v>10</v>
      </c>
      <c r="J21" s="148" t="s">
        <v>1284</v>
      </c>
      <c r="S21" s="148">
        <v>15</v>
      </c>
      <c r="T21" s="148" t="s">
        <v>1304</v>
      </c>
      <c r="U21" s="148">
        <v>120</v>
      </c>
      <c r="V21" s="148">
        <v>275</v>
      </c>
      <c r="W21" s="148"/>
      <c r="X21" s="148">
        <v>1</v>
      </c>
      <c r="Y21" s="148">
        <v>1</v>
      </c>
      <c r="Z21" s="148">
        <v>1</v>
      </c>
      <c r="AA21" s="148">
        <v>1</v>
      </c>
      <c r="AB21" s="148">
        <v>0.22</v>
      </c>
      <c r="AC21" s="148">
        <f t="shared" si="5"/>
        <v>275</v>
      </c>
      <c r="AD21" s="148">
        <v>23</v>
      </c>
      <c r="AE21" s="148">
        <v>300</v>
      </c>
      <c r="AF21" s="148">
        <f>INDEX(章节关卡!$L$6:$L$35,'恶灵入侵-专属解封'!AD21)*'恶灵入侵-专属解封'!AE21</f>
        <v>75000</v>
      </c>
      <c r="AG21" s="148">
        <v>8</v>
      </c>
      <c r="AH21" s="148">
        <v>15</v>
      </c>
      <c r="AI21" s="150" t="str">
        <f t="shared" si="19"/>
        <v>8~15</v>
      </c>
      <c r="AZ21" s="148">
        <v>16</v>
      </c>
      <c r="BA21" s="148">
        <f t="shared" si="7"/>
        <v>3</v>
      </c>
      <c r="BB21" s="148">
        <f t="shared" si="8"/>
        <v>4</v>
      </c>
      <c r="BC21" s="148">
        <f t="shared" si="9"/>
        <v>1102003</v>
      </c>
      <c r="BD21" s="148" t="s">
        <v>1353</v>
      </c>
      <c r="BE21" s="148">
        <f t="shared" si="10"/>
        <v>3</v>
      </c>
      <c r="BF21" s="148" t="str">
        <f t="shared" si="11"/>
        <v>典韦专属武器解封-3</v>
      </c>
      <c r="BG21" s="148" t="str">
        <f t="shared" si="12"/>
        <v>典韦专属武器效果</v>
      </c>
      <c r="BH21" s="148">
        <f t="shared" si="13"/>
        <v>3</v>
      </c>
      <c r="BI21" s="148" t="str">
        <f t="shared" si="14"/>
        <v>金币</v>
      </c>
      <c r="BJ21" s="148">
        <f t="shared" si="15"/>
        <v>102500</v>
      </c>
      <c r="BK21" s="148" t="str">
        <f t="shared" si="16"/>
        <v>典韦专属武器碎片</v>
      </c>
      <c r="BL21" s="148">
        <f t="shared" si="17"/>
        <v>120</v>
      </c>
    </row>
    <row r="22" spans="1:64" ht="16.5" x14ac:dyDescent="0.2">
      <c r="A22" s="148">
        <v>1102024</v>
      </c>
      <c r="B22" s="148" t="s">
        <v>954</v>
      </c>
      <c r="C22" s="148">
        <v>3</v>
      </c>
      <c r="D22" s="148">
        <v>2</v>
      </c>
      <c r="E22" s="148" t="str">
        <f t="shared" si="0"/>
        <v>SR</v>
      </c>
      <c r="F22" s="148">
        <f t="shared" si="1"/>
        <v>20</v>
      </c>
      <c r="G22" s="148">
        <f t="shared" si="2"/>
        <v>2</v>
      </c>
      <c r="H22" s="148">
        <f t="shared" si="3"/>
        <v>500</v>
      </c>
      <c r="I22" s="153">
        <f t="shared" si="4"/>
        <v>10</v>
      </c>
      <c r="J22" s="148" t="s">
        <v>1285</v>
      </c>
      <c r="S22" s="148">
        <v>16</v>
      </c>
      <c r="T22" s="148" t="s">
        <v>1305</v>
      </c>
      <c r="U22" s="148">
        <v>130</v>
      </c>
      <c r="V22" s="148">
        <v>320</v>
      </c>
      <c r="W22" s="148"/>
      <c r="X22" s="148">
        <v>1</v>
      </c>
      <c r="Y22" s="148">
        <v>1</v>
      </c>
      <c r="Z22" s="148">
        <v>1</v>
      </c>
      <c r="AA22" s="148">
        <v>1</v>
      </c>
      <c r="AB22" s="148">
        <v>0.4</v>
      </c>
      <c r="AC22" s="148">
        <f t="shared" si="5"/>
        <v>320</v>
      </c>
      <c r="AD22" s="148">
        <v>25</v>
      </c>
      <c r="AE22" s="148">
        <v>300</v>
      </c>
      <c r="AF22" s="148">
        <f>INDEX(章节关卡!$L$6:$L$35,'恶灵入侵-专属解封'!AD22)*'恶灵入侵-专属解封'!AE22</f>
        <v>90000</v>
      </c>
      <c r="AG22" s="148">
        <v>10</v>
      </c>
      <c r="AH22" s="148">
        <v>20</v>
      </c>
      <c r="AI22" s="150" t="str">
        <f t="shared" si="19"/>
        <v>10~20</v>
      </c>
      <c r="AZ22" s="148">
        <v>17</v>
      </c>
      <c r="BA22" s="148">
        <f t="shared" si="7"/>
        <v>3</v>
      </c>
      <c r="BB22" s="148">
        <f t="shared" si="8"/>
        <v>4</v>
      </c>
      <c r="BC22" s="148">
        <f t="shared" si="9"/>
        <v>1102003</v>
      </c>
      <c r="BD22" s="148" t="s">
        <v>1353</v>
      </c>
      <c r="BE22" s="148">
        <f t="shared" si="10"/>
        <v>4</v>
      </c>
      <c r="BF22" s="148" t="str">
        <f t="shared" si="11"/>
        <v>典韦专属武器解封-4</v>
      </c>
      <c r="BG22" s="148" t="str">
        <f t="shared" si="12"/>
        <v>典韦专属武器效果</v>
      </c>
      <c r="BH22" s="148">
        <f t="shared" si="13"/>
        <v>4</v>
      </c>
      <c r="BI22" s="148" t="str">
        <f t="shared" si="14"/>
        <v>金币</v>
      </c>
      <c r="BJ22" s="148">
        <f t="shared" si="15"/>
        <v>181500</v>
      </c>
      <c r="BK22" s="148" t="str">
        <f t="shared" si="16"/>
        <v>典韦专属武器碎片</v>
      </c>
      <c r="BL22" s="148">
        <f t="shared" si="17"/>
        <v>120</v>
      </c>
    </row>
    <row r="23" spans="1:64" ht="16.5" x14ac:dyDescent="0.2">
      <c r="A23" s="148">
        <v>1102026</v>
      </c>
      <c r="B23" s="148" t="s">
        <v>955</v>
      </c>
      <c r="C23" s="148">
        <v>3</v>
      </c>
      <c r="D23" s="148">
        <v>2</v>
      </c>
      <c r="E23" s="148" t="str">
        <f t="shared" si="0"/>
        <v>SR</v>
      </c>
      <c r="F23" s="148">
        <f t="shared" si="1"/>
        <v>20</v>
      </c>
      <c r="G23" s="148">
        <f t="shared" si="2"/>
        <v>2</v>
      </c>
      <c r="H23" s="148">
        <f t="shared" si="3"/>
        <v>500</v>
      </c>
      <c r="I23" s="153">
        <f t="shared" si="4"/>
        <v>10</v>
      </c>
      <c r="J23" s="148" t="s">
        <v>1286</v>
      </c>
      <c r="AZ23" s="148">
        <v>18</v>
      </c>
      <c r="BA23" s="148">
        <f t="shared" si="7"/>
        <v>3</v>
      </c>
      <c r="BB23" s="148">
        <f t="shared" si="8"/>
        <v>4</v>
      </c>
      <c r="BC23" s="148">
        <f t="shared" si="9"/>
        <v>1102003</v>
      </c>
      <c r="BD23" s="148" t="s">
        <v>1353</v>
      </c>
      <c r="BE23" s="148">
        <f t="shared" si="10"/>
        <v>5</v>
      </c>
      <c r="BF23" s="148" t="str">
        <f t="shared" si="11"/>
        <v>典韦专属武器解封-5</v>
      </c>
      <c r="BG23" s="148" t="str">
        <f t="shared" si="12"/>
        <v>典韦专属武器效果</v>
      </c>
      <c r="BH23" s="148">
        <f t="shared" si="13"/>
        <v>5</v>
      </c>
      <c r="BI23" s="148" t="str">
        <f t="shared" si="14"/>
        <v>金币</v>
      </c>
      <c r="BJ23" s="148">
        <f t="shared" si="15"/>
        <v>438500</v>
      </c>
      <c r="BK23" s="148" t="str">
        <f t="shared" si="16"/>
        <v>典韦专属武器碎片</v>
      </c>
      <c r="BL23" s="148">
        <f t="shared" si="17"/>
        <v>160</v>
      </c>
    </row>
    <row r="24" spans="1:64" ht="16.5" x14ac:dyDescent="0.2">
      <c r="A24" s="148">
        <v>1102028</v>
      </c>
      <c r="B24" s="148" t="s">
        <v>956</v>
      </c>
      <c r="C24" s="148">
        <v>5</v>
      </c>
      <c r="D24" s="148">
        <v>6</v>
      </c>
      <c r="E24" s="148" t="str">
        <f t="shared" si="0"/>
        <v>UR</v>
      </c>
      <c r="F24" s="148">
        <f t="shared" si="1"/>
        <v>250</v>
      </c>
      <c r="G24" s="148">
        <f t="shared" si="2"/>
        <v>25</v>
      </c>
      <c r="H24" s="148">
        <f t="shared" si="3"/>
        <v>5000</v>
      </c>
      <c r="I24" s="153">
        <f t="shared" si="4"/>
        <v>125</v>
      </c>
      <c r="J24" s="148" t="s">
        <v>1287</v>
      </c>
      <c r="AZ24" s="148">
        <v>19</v>
      </c>
      <c r="BA24" s="148">
        <f t="shared" si="7"/>
        <v>4</v>
      </c>
      <c r="BB24" s="148">
        <f t="shared" si="8"/>
        <v>3</v>
      </c>
      <c r="BC24" s="148">
        <f t="shared" si="9"/>
        <v>1102005</v>
      </c>
      <c r="BD24" s="148" t="s">
        <v>1353</v>
      </c>
      <c r="BE24" s="148">
        <f t="shared" si="10"/>
        <v>0</v>
      </c>
      <c r="BF24" s="148" t="str">
        <f t="shared" si="11"/>
        <v>李轩辕专属武器解封-0</v>
      </c>
      <c r="BG24" s="148" t="str">
        <f t="shared" si="12"/>
        <v/>
      </c>
      <c r="BH24" s="148" t="str">
        <f t="shared" si="13"/>
        <v/>
      </c>
      <c r="BI24" s="148" t="str">
        <f t="shared" si="14"/>
        <v/>
      </c>
      <c r="BJ24" s="148" t="str">
        <f t="shared" si="15"/>
        <v/>
      </c>
      <c r="BK24" s="148" t="str">
        <f t="shared" si="16"/>
        <v/>
      </c>
      <c r="BL24" s="148" t="str">
        <f t="shared" si="17"/>
        <v/>
      </c>
    </row>
    <row r="25" spans="1:64" ht="16.5" x14ac:dyDescent="0.2">
      <c r="A25" s="148">
        <v>1102030</v>
      </c>
      <c r="B25" s="148" t="s">
        <v>957</v>
      </c>
      <c r="C25" s="148">
        <v>3</v>
      </c>
      <c r="D25" s="148">
        <v>3</v>
      </c>
      <c r="E25" s="148" t="str">
        <f t="shared" si="0"/>
        <v>SR+</v>
      </c>
      <c r="F25" s="148">
        <f t="shared" si="1"/>
        <v>50</v>
      </c>
      <c r="G25" s="148">
        <f t="shared" si="2"/>
        <v>5</v>
      </c>
      <c r="H25" s="148">
        <f t="shared" si="3"/>
        <v>1000</v>
      </c>
      <c r="I25" s="153">
        <f t="shared" si="4"/>
        <v>25</v>
      </c>
      <c r="J25" s="148" t="s">
        <v>1288</v>
      </c>
      <c r="AZ25" s="148">
        <v>20</v>
      </c>
      <c r="BA25" s="148">
        <f t="shared" si="7"/>
        <v>4</v>
      </c>
      <c r="BB25" s="148">
        <f t="shared" si="8"/>
        <v>3</v>
      </c>
      <c r="BC25" s="148">
        <f t="shared" si="9"/>
        <v>1102005</v>
      </c>
      <c r="BD25" s="148" t="s">
        <v>1353</v>
      </c>
      <c r="BE25" s="148">
        <f t="shared" si="10"/>
        <v>1</v>
      </c>
      <c r="BF25" s="148" t="str">
        <f t="shared" si="11"/>
        <v>李轩辕专属武器解封-1</v>
      </c>
      <c r="BG25" s="148" t="str">
        <f t="shared" si="12"/>
        <v>李轩辕专属武器效果</v>
      </c>
      <c r="BH25" s="148">
        <f t="shared" si="13"/>
        <v>1</v>
      </c>
      <c r="BI25" s="148" t="str">
        <f t="shared" si="14"/>
        <v>金币</v>
      </c>
      <c r="BJ25" s="148">
        <f t="shared" si="15"/>
        <v>18000</v>
      </c>
      <c r="BK25" s="148" t="str">
        <f t="shared" si="16"/>
        <v>李轩辕专属武器碎片</v>
      </c>
      <c r="BL25" s="148">
        <f t="shared" si="17"/>
        <v>40</v>
      </c>
    </row>
    <row r="26" spans="1:64" ht="16.5" x14ac:dyDescent="0.2">
      <c r="A26" s="148">
        <v>1102031</v>
      </c>
      <c r="B26" s="148" t="s">
        <v>958</v>
      </c>
      <c r="C26" s="148">
        <v>4</v>
      </c>
      <c r="D26" s="148">
        <v>5</v>
      </c>
      <c r="E26" s="148" t="str">
        <f t="shared" si="0"/>
        <v>SSR+</v>
      </c>
      <c r="F26" s="148">
        <f t="shared" si="1"/>
        <v>100</v>
      </c>
      <c r="G26" s="148">
        <f t="shared" si="2"/>
        <v>10</v>
      </c>
      <c r="H26" s="148">
        <f t="shared" si="3"/>
        <v>2000</v>
      </c>
      <c r="I26" s="153">
        <f t="shared" si="4"/>
        <v>50</v>
      </c>
      <c r="J26" s="148" t="s">
        <v>1289</v>
      </c>
      <c r="AZ26" s="148">
        <v>21</v>
      </c>
      <c r="BA26" s="148">
        <f t="shared" si="7"/>
        <v>4</v>
      </c>
      <c r="BB26" s="148">
        <f t="shared" si="8"/>
        <v>3</v>
      </c>
      <c r="BC26" s="148">
        <f t="shared" si="9"/>
        <v>1102005</v>
      </c>
      <c r="BD26" s="148" t="s">
        <v>1353</v>
      </c>
      <c r="BE26" s="148">
        <f t="shared" si="10"/>
        <v>2</v>
      </c>
      <c r="BF26" s="148" t="str">
        <f t="shared" si="11"/>
        <v>李轩辕专属武器解封-2</v>
      </c>
      <c r="BG26" s="148" t="str">
        <f t="shared" si="12"/>
        <v>李轩辕专属武器效果</v>
      </c>
      <c r="BH26" s="148">
        <f t="shared" si="13"/>
        <v>2</v>
      </c>
      <c r="BI26" s="148" t="str">
        <f t="shared" si="14"/>
        <v>金币</v>
      </c>
      <c r="BJ26" s="148">
        <f t="shared" si="15"/>
        <v>38000</v>
      </c>
      <c r="BK26" s="148" t="str">
        <f t="shared" si="16"/>
        <v>李轩辕专属武器碎片</v>
      </c>
      <c r="BL26" s="148">
        <f t="shared" si="17"/>
        <v>40</v>
      </c>
    </row>
    <row r="27" spans="1:64" ht="16.5" x14ac:dyDescent="0.2">
      <c r="AZ27" s="148">
        <v>22</v>
      </c>
      <c r="BA27" s="148">
        <f t="shared" si="7"/>
        <v>4</v>
      </c>
      <c r="BB27" s="148">
        <f t="shared" si="8"/>
        <v>3</v>
      </c>
      <c r="BC27" s="148">
        <f t="shared" si="9"/>
        <v>1102005</v>
      </c>
      <c r="BD27" s="148" t="s">
        <v>1353</v>
      </c>
      <c r="BE27" s="148">
        <f t="shared" si="10"/>
        <v>3</v>
      </c>
      <c r="BF27" s="148" t="str">
        <f t="shared" si="11"/>
        <v>李轩辕专属武器解封-3</v>
      </c>
      <c r="BG27" s="148" t="str">
        <f t="shared" si="12"/>
        <v>李轩辕专属武器效果</v>
      </c>
      <c r="BH27" s="148">
        <f t="shared" si="13"/>
        <v>3</v>
      </c>
      <c r="BI27" s="148" t="str">
        <f t="shared" si="14"/>
        <v>金币</v>
      </c>
      <c r="BJ27" s="148">
        <f t="shared" si="15"/>
        <v>88000</v>
      </c>
      <c r="BK27" s="148" t="str">
        <f t="shared" si="16"/>
        <v>李轩辕专属武器碎片</v>
      </c>
      <c r="BL27" s="148">
        <f t="shared" si="17"/>
        <v>60</v>
      </c>
    </row>
    <row r="28" spans="1:64" ht="16.5" x14ac:dyDescent="0.2">
      <c r="AZ28" s="148">
        <v>23</v>
      </c>
      <c r="BA28" s="148">
        <f t="shared" si="7"/>
        <v>4</v>
      </c>
      <c r="BB28" s="148">
        <f t="shared" si="8"/>
        <v>3</v>
      </c>
      <c r="BC28" s="148">
        <f t="shared" si="9"/>
        <v>1102005</v>
      </c>
      <c r="BD28" s="148" t="s">
        <v>1353</v>
      </c>
      <c r="BE28" s="148">
        <f t="shared" si="10"/>
        <v>4</v>
      </c>
      <c r="BF28" s="148" t="str">
        <f t="shared" si="11"/>
        <v>李轩辕专属武器解封-4</v>
      </c>
      <c r="BG28" s="148" t="str">
        <f t="shared" si="12"/>
        <v>李轩辕专属武器效果</v>
      </c>
      <c r="BH28" s="148">
        <f t="shared" si="13"/>
        <v>4</v>
      </c>
      <c r="BI28" s="148" t="str">
        <f t="shared" si="14"/>
        <v>金币</v>
      </c>
      <c r="BJ28" s="148">
        <f t="shared" si="15"/>
        <v>155500</v>
      </c>
      <c r="BK28" s="148" t="str">
        <f t="shared" si="16"/>
        <v>李轩辕专属武器碎片</v>
      </c>
      <c r="BL28" s="148">
        <f t="shared" si="17"/>
        <v>60</v>
      </c>
    </row>
    <row r="29" spans="1:64" ht="17.25" x14ac:dyDescent="0.2">
      <c r="A29" s="12" t="s">
        <v>1328</v>
      </c>
      <c r="B29" s="12" t="s">
        <v>854</v>
      </c>
      <c r="C29" s="12" t="s">
        <v>1329</v>
      </c>
      <c r="D29" s="12" t="s">
        <v>1331</v>
      </c>
      <c r="AZ29" s="148">
        <v>24</v>
      </c>
      <c r="BA29" s="148">
        <f t="shared" si="7"/>
        <v>4</v>
      </c>
      <c r="BB29" s="148">
        <f t="shared" si="8"/>
        <v>3</v>
      </c>
      <c r="BC29" s="148">
        <f t="shared" si="9"/>
        <v>1102005</v>
      </c>
      <c r="BD29" s="148" t="s">
        <v>1353</v>
      </c>
      <c r="BE29" s="148">
        <f t="shared" si="10"/>
        <v>5</v>
      </c>
      <c r="BF29" s="148" t="str">
        <f t="shared" si="11"/>
        <v>李轩辕专属武器解封-5</v>
      </c>
      <c r="BG29" s="148" t="str">
        <f t="shared" si="12"/>
        <v>李轩辕专属武器效果</v>
      </c>
      <c r="BH29" s="148">
        <f t="shared" si="13"/>
        <v>5</v>
      </c>
      <c r="BI29" s="148" t="str">
        <f t="shared" si="14"/>
        <v>金币</v>
      </c>
      <c r="BJ29" s="148">
        <f t="shared" si="15"/>
        <v>376000</v>
      </c>
      <c r="BK29" s="148" t="str">
        <f t="shared" si="16"/>
        <v>李轩辕专属武器碎片</v>
      </c>
      <c r="BL29" s="148">
        <f t="shared" si="17"/>
        <v>80</v>
      </c>
    </row>
    <row r="30" spans="1:64" ht="16.5" x14ac:dyDescent="0.2">
      <c r="A30" s="148">
        <v>2</v>
      </c>
      <c r="B30" s="148" t="s">
        <v>173</v>
      </c>
      <c r="C30" s="148">
        <v>1102002</v>
      </c>
      <c r="D30" s="148">
        <v>2000</v>
      </c>
      <c r="AZ30" s="148">
        <v>25</v>
      </c>
      <c r="BA30" s="148">
        <f t="shared" si="7"/>
        <v>5</v>
      </c>
      <c r="BB30" s="148">
        <f t="shared" si="8"/>
        <v>6</v>
      </c>
      <c r="BC30" s="148">
        <f t="shared" si="9"/>
        <v>1102006</v>
      </c>
      <c r="BD30" s="148" t="s">
        <v>1353</v>
      </c>
      <c r="BE30" s="148">
        <f t="shared" si="10"/>
        <v>0</v>
      </c>
      <c r="BF30" s="148" t="str">
        <f t="shared" si="11"/>
        <v>项羽专属武器解封-0</v>
      </c>
      <c r="BG30" s="148" t="str">
        <f t="shared" si="12"/>
        <v/>
      </c>
      <c r="BH30" s="148" t="str">
        <f t="shared" si="13"/>
        <v/>
      </c>
      <c r="BI30" s="148" t="str">
        <f t="shared" si="14"/>
        <v/>
      </c>
      <c r="BJ30" s="148" t="str">
        <f t="shared" si="15"/>
        <v/>
      </c>
      <c r="BK30" s="148" t="str">
        <f t="shared" si="16"/>
        <v/>
      </c>
      <c r="BL30" s="148" t="str">
        <f t="shared" si="17"/>
        <v/>
      </c>
    </row>
    <row r="31" spans="1:64" ht="16.5" x14ac:dyDescent="0.2">
      <c r="A31" s="148">
        <v>2</v>
      </c>
      <c r="B31" s="148" t="s">
        <v>192</v>
      </c>
      <c r="C31" s="148">
        <v>1102021</v>
      </c>
      <c r="D31" s="148">
        <v>2000</v>
      </c>
      <c r="AZ31" s="148">
        <v>26</v>
      </c>
      <c r="BA31" s="148">
        <f t="shared" si="7"/>
        <v>5</v>
      </c>
      <c r="BB31" s="148">
        <f t="shared" si="8"/>
        <v>6</v>
      </c>
      <c r="BC31" s="148">
        <f t="shared" si="9"/>
        <v>1102006</v>
      </c>
      <c r="BD31" s="148" t="s">
        <v>1353</v>
      </c>
      <c r="BE31" s="148">
        <f t="shared" si="10"/>
        <v>1</v>
      </c>
      <c r="BF31" s="148" t="str">
        <f t="shared" si="11"/>
        <v>项羽专属武器解封-1</v>
      </c>
      <c r="BG31" s="148" t="str">
        <f t="shared" si="12"/>
        <v>项羽专属武器效果</v>
      </c>
      <c r="BH31" s="148">
        <f t="shared" si="13"/>
        <v>1</v>
      </c>
      <c r="BI31" s="148" t="str">
        <f t="shared" si="14"/>
        <v>金币</v>
      </c>
      <c r="BJ31" s="148">
        <f t="shared" si="15"/>
        <v>29500</v>
      </c>
      <c r="BK31" s="148" t="str">
        <f t="shared" si="16"/>
        <v>项羽专属武器碎片</v>
      </c>
      <c r="BL31" s="148">
        <f t="shared" si="17"/>
        <v>80</v>
      </c>
    </row>
    <row r="32" spans="1:64" ht="16.5" x14ac:dyDescent="0.2">
      <c r="A32" s="148">
        <v>2</v>
      </c>
      <c r="B32" s="148" t="s">
        <v>954</v>
      </c>
      <c r="C32" s="148">
        <v>1102024</v>
      </c>
      <c r="D32" s="148">
        <v>2000</v>
      </c>
      <c r="AZ32" s="148">
        <v>27</v>
      </c>
      <c r="BA32" s="148">
        <f t="shared" si="7"/>
        <v>5</v>
      </c>
      <c r="BB32" s="148">
        <f t="shared" si="8"/>
        <v>6</v>
      </c>
      <c r="BC32" s="148">
        <f t="shared" si="9"/>
        <v>1102006</v>
      </c>
      <c r="BD32" s="148" t="s">
        <v>1353</v>
      </c>
      <c r="BE32" s="148">
        <f t="shared" si="10"/>
        <v>2</v>
      </c>
      <c r="BF32" s="148" t="str">
        <f t="shared" si="11"/>
        <v>项羽专属武器解封-2</v>
      </c>
      <c r="BG32" s="148" t="str">
        <f t="shared" si="12"/>
        <v>项羽专属武器效果</v>
      </c>
      <c r="BH32" s="148">
        <f t="shared" si="13"/>
        <v>2</v>
      </c>
      <c r="BI32" s="148" t="str">
        <f t="shared" si="14"/>
        <v>金币</v>
      </c>
      <c r="BJ32" s="148">
        <f t="shared" si="15"/>
        <v>63500</v>
      </c>
      <c r="BK32" s="148" t="str">
        <f t="shared" si="16"/>
        <v>项羽专属武器碎片</v>
      </c>
      <c r="BL32" s="148">
        <f t="shared" si="17"/>
        <v>80</v>
      </c>
    </row>
    <row r="33" spans="1:64" ht="16.5" x14ac:dyDescent="0.2">
      <c r="A33" s="148">
        <v>2</v>
      </c>
      <c r="B33" s="148" t="s">
        <v>955</v>
      </c>
      <c r="C33" s="148">
        <v>1102026</v>
      </c>
      <c r="D33" s="148">
        <v>2000</v>
      </c>
      <c r="AZ33" s="148">
        <v>28</v>
      </c>
      <c r="BA33" s="148">
        <f t="shared" si="7"/>
        <v>5</v>
      </c>
      <c r="BB33" s="148">
        <f t="shared" si="8"/>
        <v>6</v>
      </c>
      <c r="BC33" s="148">
        <f t="shared" si="9"/>
        <v>1102006</v>
      </c>
      <c r="BD33" s="148" t="s">
        <v>1353</v>
      </c>
      <c r="BE33" s="148">
        <f t="shared" si="10"/>
        <v>3</v>
      </c>
      <c r="BF33" s="148" t="str">
        <f t="shared" si="11"/>
        <v>项羽专属武器解封-3</v>
      </c>
      <c r="BG33" s="148" t="str">
        <f t="shared" si="12"/>
        <v>项羽专属武器效果</v>
      </c>
      <c r="BH33" s="148">
        <f t="shared" si="13"/>
        <v>3</v>
      </c>
      <c r="BI33" s="148" t="str">
        <f t="shared" si="14"/>
        <v>金币</v>
      </c>
      <c r="BJ33" s="148">
        <f t="shared" si="15"/>
        <v>146500</v>
      </c>
      <c r="BK33" s="148" t="str">
        <f t="shared" si="16"/>
        <v>项羽专属武器碎片</v>
      </c>
      <c r="BL33" s="148">
        <f t="shared" si="17"/>
        <v>120</v>
      </c>
    </row>
    <row r="34" spans="1:64" ht="16.5" x14ac:dyDescent="0.2">
      <c r="A34" s="148">
        <v>2</v>
      </c>
      <c r="B34" t="s">
        <v>188</v>
      </c>
      <c r="C34" s="148">
        <v>1102017</v>
      </c>
      <c r="D34" s="148">
        <v>2000</v>
      </c>
      <c r="AZ34" s="148">
        <v>29</v>
      </c>
      <c r="BA34" s="148">
        <f t="shared" si="7"/>
        <v>5</v>
      </c>
      <c r="BB34" s="148">
        <f t="shared" si="8"/>
        <v>6</v>
      </c>
      <c r="BC34" s="148">
        <f t="shared" si="9"/>
        <v>1102006</v>
      </c>
      <c r="BD34" s="148" t="s">
        <v>1353</v>
      </c>
      <c r="BE34" s="148">
        <f t="shared" ref="BE34:BE97" si="21">AZ34-(BA34-1)*6-1</f>
        <v>4</v>
      </c>
      <c r="BF34" s="148" t="str">
        <f t="shared" ref="BF34:BF97" si="22">INDEX($B$6:$B$26,BA34)&amp;"专属武器解封-"&amp;BE34</f>
        <v>项羽专属武器解封-4</v>
      </c>
      <c r="BG34" s="148" t="str">
        <f t="shared" si="12"/>
        <v>项羽专属武器效果</v>
      </c>
      <c r="BH34" s="148">
        <f t="shared" si="13"/>
        <v>4</v>
      </c>
      <c r="BI34" s="148" t="str">
        <f t="shared" si="14"/>
        <v>金币</v>
      </c>
      <c r="BJ34" s="148">
        <f t="shared" si="15"/>
        <v>259000</v>
      </c>
      <c r="BK34" s="148" t="str">
        <f t="shared" si="16"/>
        <v>项羽专属武器碎片</v>
      </c>
      <c r="BL34" s="148">
        <f t="shared" si="17"/>
        <v>120</v>
      </c>
    </row>
    <row r="35" spans="1:64" ht="16.5" x14ac:dyDescent="0.2">
      <c r="A35" s="148">
        <v>3</v>
      </c>
      <c r="B35" s="148" t="s">
        <v>176</v>
      </c>
      <c r="C35" s="148">
        <v>1102005</v>
      </c>
      <c r="D35" s="148">
        <v>2000</v>
      </c>
      <c r="AZ35" s="148">
        <v>30</v>
      </c>
      <c r="BA35" s="148">
        <f t="shared" si="7"/>
        <v>5</v>
      </c>
      <c r="BB35" s="148">
        <f t="shared" si="8"/>
        <v>6</v>
      </c>
      <c r="BC35" s="148">
        <f t="shared" si="9"/>
        <v>1102006</v>
      </c>
      <c r="BD35" s="148" t="s">
        <v>1353</v>
      </c>
      <c r="BE35" s="148">
        <f t="shared" si="21"/>
        <v>5</v>
      </c>
      <c r="BF35" s="148" t="str">
        <f t="shared" si="22"/>
        <v>项羽专属武器解封-5</v>
      </c>
      <c r="BG35" s="148" t="str">
        <f t="shared" si="12"/>
        <v>项羽专属武器效果</v>
      </c>
      <c r="BH35" s="148">
        <f t="shared" si="13"/>
        <v>5</v>
      </c>
      <c r="BI35" s="148" t="str">
        <f t="shared" si="14"/>
        <v>金币</v>
      </c>
      <c r="BJ35" s="148">
        <f t="shared" si="15"/>
        <v>626500</v>
      </c>
      <c r="BK35" s="148" t="str">
        <f t="shared" si="16"/>
        <v>项羽专属武器碎片</v>
      </c>
      <c r="BL35" s="148">
        <f t="shared" si="17"/>
        <v>160</v>
      </c>
    </row>
    <row r="36" spans="1:64" ht="16.5" x14ac:dyDescent="0.2">
      <c r="A36" s="148">
        <v>3</v>
      </c>
      <c r="B36" s="148" t="s">
        <v>180</v>
      </c>
      <c r="C36" s="148">
        <v>1102009</v>
      </c>
      <c r="D36" s="148">
        <v>2000</v>
      </c>
      <c r="AZ36" s="148">
        <v>31</v>
      </c>
      <c r="BA36" s="148">
        <f t="shared" si="7"/>
        <v>6</v>
      </c>
      <c r="BB36" s="148">
        <f t="shared" si="8"/>
        <v>4</v>
      </c>
      <c r="BC36" s="148">
        <f t="shared" si="9"/>
        <v>1102007</v>
      </c>
      <c r="BD36" s="148" t="s">
        <v>1353</v>
      </c>
      <c r="BE36" s="148">
        <f t="shared" si="21"/>
        <v>0</v>
      </c>
      <c r="BF36" s="148" t="str">
        <f t="shared" si="22"/>
        <v>天使缇娜专属武器解封-0</v>
      </c>
      <c r="BG36" s="148" t="str">
        <f t="shared" si="12"/>
        <v/>
      </c>
      <c r="BH36" s="148" t="str">
        <f t="shared" si="13"/>
        <v/>
      </c>
      <c r="BI36" s="148" t="str">
        <f t="shared" si="14"/>
        <v/>
      </c>
      <c r="BJ36" s="148" t="str">
        <f t="shared" si="15"/>
        <v/>
      </c>
      <c r="BK36" s="148" t="str">
        <f t="shared" si="16"/>
        <v/>
      </c>
      <c r="BL36" s="148" t="str">
        <f t="shared" si="17"/>
        <v/>
      </c>
    </row>
    <row r="37" spans="1:64" ht="16.5" x14ac:dyDescent="0.2">
      <c r="A37" s="148">
        <v>3</v>
      </c>
      <c r="B37" s="148" t="s">
        <v>185</v>
      </c>
      <c r="C37" s="148">
        <v>1102014</v>
      </c>
      <c r="D37" s="148">
        <v>2000</v>
      </c>
      <c r="AZ37" s="148">
        <v>32</v>
      </c>
      <c r="BA37" s="148">
        <f t="shared" si="7"/>
        <v>6</v>
      </c>
      <c r="BB37" s="148">
        <f t="shared" si="8"/>
        <v>4</v>
      </c>
      <c r="BC37" s="148">
        <f t="shared" si="9"/>
        <v>1102007</v>
      </c>
      <c r="BD37" s="148" t="s">
        <v>1353</v>
      </c>
      <c r="BE37" s="148">
        <f t="shared" si="21"/>
        <v>1</v>
      </c>
      <c r="BF37" s="148" t="str">
        <f t="shared" si="22"/>
        <v>天使缇娜专属武器解封-1</v>
      </c>
      <c r="BG37" s="148" t="str">
        <f t="shared" si="12"/>
        <v>天使缇娜专属武器效果</v>
      </c>
      <c r="BH37" s="148">
        <f t="shared" si="13"/>
        <v>1</v>
      </c>
      <c r="BI37" s="148" t="str">
        <f t="shared" si="14"/>
        <v>金币</v>
      </c>
      <c r="BJ37" s="148">
        <f t="shared" si="15"/>
        <v>21000</v>
      </c>
      <c r="BK37" s="148" t="str">
        <f t="shared" si="16"/>
        <v>天使缇娜专属武器碎片</v>
      </c>
      <c r="BL37" s="148">
        <f t="shared" si="17"/>
        <v>80</v>
      </c>
    </row>
    <row r="38" spans="1:64" ht="16.5" x14ac:dyDescent="0.2">
      <c r="A38" s="148">
        <v>3</v>
      </c>
      <c r="B38" s="148" t="s">
        <v>191</v>
      </c>
      <c r="C38" s="148">
        <v>1102020</v>
      </c>
      <c r="D38" s="148">
        <v>2000</v>
      </c>
      <c r="AZ38" s="148">
        <v>33</v>
      </c>
      <c r="BA38" s="148">
        <f t="shared" si="7"/>
        <v>6</v>
      </c>
      <c r="BB38" s="148">
        <f t="shared" si="8"/>
        <v>4</v>
      </c>
      <c r="BC38" s="148">
        <f t="shared" si="9"/>
        <v>1102007</v>
      </c>
      <c r="BD38" s="148" t="s">
        <v>1353</v>
      </c>
      <c r="BE38" s="148">
        <f t="shared" si="21"/>
        <v>2</v>
      </c>
      <c r="BF38" s="148" t="str">
        <f t="shared" si="22"/>
        <v>天使缇娜专属武器解封-2</v>
      </c>
      <c r="BG38" s="148" t="str">
        <f t="shared" si="12"/>
        <v>天使缇娜专属武器效果</v>
      </c>
      <c r="BH38" s="148">
        <f t="shared" si="13"/>
        <v>2</v>
      </c>
      <c r="BI38" s="148" t="str">
        <f t="shared" si="14"/>
        <v>金币</v>
      </c>
      <c r="BJ38" s="148">
        <f t="shared" si="15"/>
        <v>44500</v>
      </c>
      <c r="BK38" s="148" t="str">
        <f t="shared" si="16"/>
        <v>天使缇娜专属武器碎片</v>
      </c>
      <c r="BL38" s="148">
        <f t="shared" si="17"/>
        <v>80</v>
      </c>
    </row>
    <row r="39" spans="1:64" ht="16.5" x14ac:dyDescent="0.2">
      <c r="A39" s="148">
        <v>3</v>
      </c>
      <c r="B39" s="148" t="s">
        <v>957</v>
      </c>
      <c r="C39" s="148">
        <v>1102030</v>
      </c>
      <c r="D39" s="148">
        <v>2000</v>
      </c>
      <c r="AZ39" s="148">
        <v>34</v>
      </c>
      <c r="BA39" s="148">
        <f t="shared" si="7"/>
        <v>6</v>
      </c>
      <c r="BB39" s="148">
        <f t="shared" si="8"/>
        <v>4</v>
      </c>
      <c r="BC39" s="148">
        <f t="shared" si="9"/>
        <v>1102007</v>
      </c>
      <c r="BD39" s="148" t="s">
        <v>1353</v>
      </c>
      <c r="BE39" s="148">
        <f t="shared" si="21"/>
        <v>3</v>
      </c>
      <c r="BF39" s="148" t="str">
        <f t="shared" si="22"/>
        <v>天使缇娜专属武器解封-3</v>
      </c>
      <c r="BG39" s="148" t="str">
        <f t="shared" si="12"/>
        <v>天使缇娜专属武器效果</v>
      </c>
      <c r="BH39" s="148">
        <f t="shared" si="13"/>
        <v>3</v>
      </c>
      <c r="BI39" s="148" t="str">
        <f t="shared" si="14"/>
        <v>金币</v>
      </c>
      <c r="BJ39" s="148">
        <f t="shared" si="15"/>
        <v>102500</v>
      </c>
      <c r="BK39" s="148" t="str">
        <f t="shared" si="16"/>
        <v>天使缇娜专属武器碎片</v>
      </c>
      <c r="BL39" s="148">
        <f t="shared" si="17"/>
        <v>120</v>
      </c>
    </row>
    <row r="40" spans="1:64" ht="16.5" x14ac:dyDescent="0.2">
      <c r="A40" s="148">
        <v>4</v>
      </c>
      <c r="B40" s="148" t="s">
        <v>174</v>
      </c>
      <c r="C40" s="148">
        <v>1102003</v>
      </c>
      <c r="D40" s="148">
        <v>5000</v>
      </c>
      <c r="AZ40" s="148">
        <v>35</v>
      </c>
      <c r="BA40" s="148">
        <f t="shared" si="7"/>
        <v>6</v>
      </c>
      <c r="BB40" s="148">
        <f t="shared" si="8"/>
        <v>4</v>
      </c>
      <c r="BC40" s="148">
        <f t="shared" si="9"/>
        <v>1102007</v>
      </c>
      <c r="BD40" s="148" t="s">
        <v>1353</v>
      </c>
      <c r="BE40" s="148">
        <f t="shared" si="21"/>
        <v>4</v>
      </c>
      <c r="BF40" s="148" t="str">
        <f t="shared" si="22"/>
        <v>天使缇娜专属武器解封-4</v>
      </c>
      <c r="BG40" s="148" t="str">
        <f t="shared" si="12"/>
        <v>天使缇娜专属武器效果</v>
      </c>
      <c r="BH40" s="148">
        <f t="shared" si="13"/>
        <v>4</v>
      </c>
      <c r="BI40" s="148" t="str">
        <f t="shared" si="14"/>
        <v>金币</v>
      </c>
      <c r="BJ40" s="148">
        <f t="shared" si="15"/>
        <v>181500</v>
      </c>
      <c r="BK40" s="148" t="str">
        <f t="shared" si="16"/>
        <v>天使缇娜专属武器碎片</v>
      </c>
      <c r="BL40" s="148">
        <f t="shared" si="17"/>
        <v>120</v>
      </c>
    </row>
    <row r="41" spans="1:64" ht="16.5" x14ac:dyDescent="0.2">
      <c r="A41" s="148">
        <v>4</v>
      </c>
      <c r="B41" s="148" t="s">
        <v>187</v>
      </c>
      <c r="C41" s="148">
        <v>1102016</v>
      </c>
      <c r="D41" s="148">
        <v>5000</v>
      </c>
      <c r="AZ41" s="148">
        <v>36</v>
      </c>
      <c r="BA41" s="148">
        <f t="shared" si="7"/>
        <v>6</v>
      </c>
      <c r="BB41" s="148">
        <f t="shared" si="8"/>
        <v>4</v>
      </c>
      <c r="BC41" s="148">
        <f t="shared" si="9"/>
        <v>1102007</v>
      </c>
      <c r="BD41" s="148" t="s">
        <v>1353</v>
      </c>
      <c r="BE41" s="148">
        <f t="shared" si="21"/>
        <v>5</v>
      </c>
      <c r="BF41" s="148" t="str">
        <f t="shared" si="22"/>
        <v>天使缇娜专属武器解封-5</v>
      </c>
      <c r="BG41" s="148" t="str">
        <f t="shared" si="12"/>
        <v>天使缇娜专属武器效果</v>
      </c>
      <c r="BH41" s="148">
        <f t="shared" si="13"/>
        <v>5</v>
      </c>
      <c r="BI41" s="148" t="str">
        <f t="shared" si="14"/>
        <v>金币</v>
      </c>
      <c r="BJ41" s="148">
        <f t="shared" si="15"/>
        <v>438500</v>
      </c>
      <c r="BK41" s="148" t="str">
        <f t="shared" si="16"/>
        <v>天使缇娜专属武器碎片</v>
      </c>
      <c r="BL41" s="148">
        <f t="shared" si="17"/>
        <v>160</v>
      </c>
    </row>
    <row r="42" spans="1:64" ht="16.5" x14ac:dyDescent="0.2">
      <c r="A42" s="148">
        <v>5</v>
      </c>
      <c r="B42" s="148" t="s">
        <v>181</v>
      </c>
      <c r="C42" s="148">
        <v>1102010</v>
      </c>
      <c r="D42" s="148">
        <v>3000</v>
      </c>
      <c r="AZ42" s="148">
        <v>37</v>
      </c>
      <c r="BA42" s="148">
        <f t="shared" si="7"/>
        <v>7</v>
      </c>
      <c r="BB42" s="148">
        <f t="shared" si="8"/>
        <v>5</v>
      </c>
      <c r="BC42" s="148">
        <f t="shared" si="9"/>
        <v>1102008</v>
      </c>
      <c r="BD42" s="148" t="s">
        <v>1353</v>
      </c>
      <c r="BE42" s="148">
        <f t="shared" si="21"/>
        <v>0</v>
      </c>
      <c r="BF42" s="148" t="str">
        <f t="shared" si="22"/>
        <v>夏侯渊专属武器解封-0</v>
      </c>
      <c r="BG42" s="148" t="str">
        <f t="shared" si="12"/>
        <v/>
      </c>
      <c r="BH42" s="148" t="str">
        <f t="shared" si="13"/>
        <v/>
      </c>
      <c r="BI42" s="148" t="str">
        <f t="shared" si="14"/>
        <v/>
      </c>
      <c r="BJ42" s="148" t="str">
        <f t="shared" si="15"/>
        <v/>
      </c>
      <c r="BK42" s="148" t="str">
        <f t="shared" si="16"/>
        <v/>
      </c>
      <c r="BL42" s="148" t="str">
        <f t="shared" si="17"/>
        <v/>
      </c>
    </row>
    <row r="43" spans="1:64" ht="16.5" x14ac:dyDescent="0.2">
      <c r="A43" s="148">
        <v>5</v>
      </c>
      <c r="B43" s="148" t="s">
        <v>182</v>
      </c>
      <c r="C43" s="148">
        <v>1102011</v>
      </c>
      <c r="D43" s="148">
        <v>4000</v>
      </c>
      <c r="AZ43" s="148">
        <v>38</v>
      </c>
      <c r="BA43" s="148">
        <f t="shared" si="7"/>
        <v>7</v>
      </c>
      <c r="BB43" s="148">
        <f t="shared" si="8"/>
        <v>5</v>
      </c>
      <c r="BC43" s="148">
        <f t="shared" si="9"/>
        <v>1102008</v>
      </c>
      <c r="BD43" s="148" t="s">
        <v>1353</v>
      </c>
      <c r="BE43" s="148">
        <f t="shared" si="21"/>
        <v>1</v>
      </c>
      <c r="BF43" s="148" t="str">
        <f t="shared" si="22"/>
        <v>夏侯渊专属武器解封-1</v>
      </c>
      <c r="BG43" s="148" t="str">
        <f t="shared" si="12"/>
        <v>夏侯渊专属武器效果</v>
      </c>
      <c r="BH43" s="148">
        <f t="shared" si="13"/>
        <v>1</v>
      </c>
      <c r="BI43" s="148" t="str">
        <f t="shared" si="14"/>
        <v>金币</v>
      </c>
      <c r="BJ43" s="148">
        <f t="shared" si="15"/>
        <v>23500</v>
      </c>
      <c r="BK43" s="148" t="str">
        <f t="shared" si="16"/>
        <v>夏侯渊专属武器碎片</v>
      </c>
      <c r="BL43" s="148">
        <f t="shared" si="17"/>
        <v>80</v>
      </c>
    </row>
    <row r="44" spans="1:64" ht="16.5" x14ac:dyDescent="0.2">
      <c r="A44" s="148">
        <v>5</v>
      </c>
      <c r="B44" s="148" t="s">
        <v>958</v>
      </c>
      <c r="C44" s="148">
        <v>1102031</v>
      </c>
      <c r="D44" s="148">
        <v>3000</v>
      </c>
      <c r="AZ44" s="148">
        <v>39</v>
      </c>
      <c r="BA44" s="148">
        <f t="shared" si="7"/>
        <v>7</v>
      </c>
      <c r="BB44" s="148">
        <f t="shared" si="8"/>
        <v>5</v>
      </c>
      <c r="BC44" s="148">
        <f t="shared" si="9"/>
        <v>1102008</v>
      </c>
      <c r="BD44" s="148" t="s">
        <v>1353</v>
      </c>
      <c r="BE44" s="148">
        <f t="shared" si="21"/>
        <v>2</v>
      </c>
      <c r="BF44" s="148" t="str">
        <f t="shared" si="22"/>
        <v>夏侯渊专属武器解封-2</v>
      </c>
      <c r="BG44" s="148" t="str">
        <f t="shared" si="12"/>
        <v>夏侯渊专属武器效果</v>
      </c>
      <c r="BH44" s="148">
        <f t="shared" si="13"/>
        <v>2</v>
      </c>
      <c r="BI44" s="148" t="str">
        <f t="shared" si="14"/>
        <v>金币</v>
      </c>
      <c r="BJ44" s="148">
        <f t="shared" si="15"/>
        <v>51000</v>
      </c>
      <c r="BK44" s="148" t="str">
        <f t="shared" si="16"/>
        <v>夏侯渊专属武器碎片</v>
      </c>
      <c r="BL44" s="148">
        <f t="shared" si="17"/>
        <v>80</v>
      </c>
    </row>
    <row r="45" spans="1:64" ht="16.5" x14ac:dyDescent="0.2">
      <c r="A45" s="148">
        <v>6</v>
      </c>
      <c r="B45" s="148" t="s">
        <v>172</v>
      </c>
      <c r="C45" s="148">
        <v>1102001</v>
      </c>
      <c r="D45" s="148">
        <v>2500</v>
      </c>
      <c r="AZ45" s="148">
        <v>40</v>
      </c>
      <c r="BA45" s="148">
        <f t="shared" si="7"/>
        <v>7</v>
      </c>
      <c r="BB45" s="148">
        <f t="shared" si="8"/>
        <v>5</v>
      </c>
      <c r="BC45" s="148">
        <f t="shared" si="9"/>
        <v>1102008</v>
      </c>
      <c r="BD45" s="148" t="s">
        <v>1353</v>
      </c>
      <c r="BE45" s="148">
        <f t="shared" si="21"/>
        <v>3</v>
      </c>
      <c r="BF45" s="148" t="str">
        <f t="shared" si="22"/>
        <v>夏侯渊专属武器解封-3</v>
      </c>
      <c r="BG45" s="148" t="str">
        <f t="shared" si="12"/>
        <v>夏侯渊专属武器效果</v>
      </c>
      <c r="BH45" s="148">
        <f t="shared" si="13"/>
        <v>3</v>
      </c>
      <c r="BI45" s="148" t="str">
        <f t="shared" si="14"/>
        <v>金币</v>
      </c>
      <c r="BJ45" s="148">
        <f t="shared" si="15"/>
        <v>117000</v>
      </c>
      <c r="BK45" s="148" t="str">
        <f t="shared" si="16"/>
        <v>夏侯渊专属武器碎片</v>
      </c>
      <c r="BL45" s="148">
        <f t="shared" si="17"/>
        <v>120</v>
      </c>
    </row>
    <row r="46" spans="1:64" ht="16.5" x14ac:dyDescent="0.2">
      <c r="A46" s="148">
        <v>6</v>
      </c>
      <c r="B46" s="148" t="s">
        <v>183</v>
      </c>
      <c r="C46" s="148">
        <v>1102012</v>
      </c>
      <c r="D46" s="148">
        <v>2500</v>
      </c>
      <c r="AZ46" s="148">
        <v>41</v>
      </c>
      <c r="BA46" s="148">
        <f t="shared" si="7"/>
        <v>7</v>
      </c>
      <c r="BB46" s="148">
        <f t="shared" si="8"/>
        <v>5</v>
      </c>
      <c r="BC46" s="148">
        <f t="shared" si="9"/>
        <v>1102008</v>
      </c>
      <c r="BD46" s="148" t="s">
        <v>1353</v>
      </c>
      <c r="BE46" s="148">
        <f t="shared" si="21"/>
        <v>4</v>
      </c>
      <c r="BF46" s="148" t="str">
        <f t="shared" si="22"/>
        <v>夏侯渊专属武器解封-4</v>
      </c>
      <c r="BG46" s="148" t="str">
        <f t="shared" si="12"/>
        <v>夏侯渊专属武器效果</v>
      </c>
      <c r="BH46" s="148">
        <f t="shared" si="13"/>
        <v>4</v>
      </c>
      <c r="BI46" s="148" t="str">
        <f t="shared" si="14"/>
        <v>金币</v>
      </c>
      <c r="BJ46" s="148">
        <f t="shared" si="15"/>
        <v>207500</v>
      </c>
      <c r="BK46" s="148" t="str">
        <f t="shared" si="16"/>
        <v>夏侯渊专属武器碎片</v>
      </c>
      <c r="BL46" s="148">
        <f t="shared" si="17"/>
        <v>120</v>
      </c>
    </row>
    <row r="47" spans="1:64" ht="16.5" x14ac:dyDescent="0.2">
      <c r="A47" s="148">
        <v>6</v>
      </c>
      <c r="B47" s="148" t="s">
        <v>956</v>
      </c>
      <c r="C47" s="148">
        <v>1102028</v>
      </c>
      <c r="D47" s="148">
        <v>2500</v>
      </c>
      <c r="AZ47" s="148">
        <v>42</v>
      </c>
      <c r="BA47" s="148">
        <f t="shared" si="7"/>
        <v>7</v>
      </c>
      <c r="BB47" s="148">
        <f t="shared" si="8"/>
        <v>5</v>
      </c>
      <c r="BC47" s="148">
        <f t="shared" si="9"/>
        <v>1102008</v>
      </c>
      <c r="BD47" s="148" t="s">
        <v>1353</v>
      </c>
      <c r="BE47" s="148">
        <f t="shared" si="21"/>
        <v>5</v>
      </c>
      <c r="BF47" s="148" t="str">
        <f t="shared" si="22"/>
        <v>夏侯渊专属武器解封-5</v>
      </c>
      <c r="BG47" s="148" t="str">
        <f t="shared" si="12"/>
        <v>夏侯渊专属武器效果</v>
      </c>
      <c r="BH47" s="148">
        <f t="shared" si="13"/>
        <v>5</v>
      </c>
      <c r="BI47" s="148" t="str">
        <f t="shared" si="14"/>
        <v>金币</v>
      </c>
      <c r="BJ47" s="148">
        <f t="shared" si="15"/>
        <v>501500</v>
      </c>
      <c r="BK47" s="148" t="str">
        <f t="shared" si="16"/>
        <v>夏侯渊专属武器碎片</v>
      </c>
      <c r="BL47" s="148">
        <f t="shared" si="17"/>
        <v>160</v>
      </c>
    </row>
    <row r="48" spans="1:64" ht="16.5" x14ac:dyDescent="0.2">
      <c r="A48" s="148">
        <v>6</v>
      </c>
      <c r="B48" s="148" t="s">
        <v>1332</v>
      </c>
      <c r="C48" s="148">
        <v>1102006</v>
      </c>
      <c r="D48" s="148">
        <v>2500</v>
      </c>
      <c r="AZ48" s="148">
        <v>43</v>
      </c>
      <c r="BA48" s="148">
        <f t="shared" si="7"/>
        <v>8</v>
      </c>
      <c r="BB48" s="148">
        <f t="shared" si="8"/>
        <v>3</v>
      </c>
      <c r="BC48" s="148">
        <f t="shared" si="9"/>
        <v>1102009</v>
      </c>
      <c r="BD48" s="148" t="s">
        <v>1353</v>
      </c>
      <c r="BE48" s="148">
        <f t="shared" si="21"/>
        <v>0</v>
      </c>
      <c r="BF48" s="148" t="str">
        <f t="shared" si="22"/>
        <v>徐晃专属武器解封-0</v>
      </c>
      <c r="BG48" s="148" t="str">
        <f t="shared" si="12"/>
        <v/>
      </c>
      <c r="BH48" s="148" t="str">
        <f t="shared" si="13"/>
        <v/>
      </c>
      <c r="BI48" s="148" t="str">
        <f t="shared" si="14"/>
        <v/>
      </c>
      <c r="BJ48" s="148" t="str">
        <f t="shared" si="15"/>
        <v/>
      </c>
      <c r="BK48" s="148" t="str">
        <f t="shared" si="16"/>
        <v/>
      </c>
      <c r="BL48" s="148" t="str">
        <f t="shared" si="17"/>
        <v/>
      </c>
    </row>
    <row r="49" spans="52:64" ht="16.5" x14ac:dyDescent="0.2">
      <c r="AZ49" s="148">
        <v>44</v>
      </c>
      <c r="BA49" s="148">
        <f t="shared" si="7"/>
        <v>8</v>
      </c>
      <c r="BB49" s="148">
        <f t="shared" si="8"/>
        <v>3</v>
      </c>
      <c r="BC49" s="148">
        <f t="shared" si="9"/>
        <v>1102009</v>
      </c>
      <c r="BD49" s="148" t="s">
        <v>1353</v>
      </c>
      <c r="BE49" s="148">
        <f t="shared" si="21"/>
        <v>1</v>
      </c>
      <c r="BF49" s="148" t="str">
        <f t="shared" si="22"/>
        <v>徐晃专属武器解封-1</v>
      </c>
      <c r="BG49" s="148" t="str">
        <f t="shared" si="12"/>
        <v>徐晃专属武器效果</v>
      </c>
      <c r="BH49" s="148">
        <f t="shared" si="13"/>
        <v>1</v>
      </c>
      <c r="BI49" s="148" t="str">
        <f t="shared" si="14"/>
        <v>金币</v>
      </c>
      <c r="BJ49" s="148">
        <f t="shared" si="15"/>
        <v>18000</v>
      </c>
      <c r="BK49" s="148" t="str">
        <f t="shared" si="16"/>
        <v>徐晃专属武器碎片</v>
      </c>
      <c r="BL49" s="148">
        <f t="shared" si="17"/>
        <v>40</v>
      </c>
    </row>
    <row r="50" spans="52:64" ht="16.5" x14ac:dyDescent="0.2">
      <c r="AZ50" s="148">
        <v>45</v>
      </c>
      <c r="BA50" s="148">
        <f t="shared" si="7"/>
        <v>8</v>
      </c>
      <c r="BB50" s="148">
        <f t="shared" si="8"/>
        <v>3</v>
      </c>
      <c r="BC50" s="148">
        <f t="shared" si="9"/>
        <v>1102009</v>
      </c>
      <c r="BD50" s="148" t="s">
        <v>1353</v>
      </c>
      <c r="BE50" s="148">
        <f t="shared" si="21"/>
        <v>2</v>
      </c>
      <c r="BF50" s="148" t="str">
        <f t="shared" si="22"/>
        <v>徐晃专属武器解封-2</v>
      </c>
      <c r="BG50" s="148" t="str">
        <f t="shared" si="12"/>
        <v>徐晃专属武器效果</v>
      </c>
      <c r="BH50" s="148">
        <f t="shared" si="13"/>
        <v>2</v>
      </c>
      <c r="BI50" s="148" t="str">
        <f t="shared" si="14"/>
        <v>金币</v>
      </c>
      <c r="BJ50" s="148">
        <f t="shared" si="15"/>
        <v>38000</v>
      </c>
      <c r="BK50" s="148" t="str">
        <f t="shared" si="16"/>
        <v>徐晃专属武器碎片</v>
      </c>
      <c r="BL50" s="148">
        <f t="shared" si="17"/>
        <v>40</v>
      </c>
    </row>
    <row r="51" spans="52:64" ht="16.5" x14ac:dyDescent="0.2">
      <c r="AZ51" s="148">
        <v>46</v>
      </c>
      <c r="BA51" s="148">
        <f t="shared" si="7"/>
        <v>8</v>
      </c>
      <c r="BB51" s="148">
        <f t="shared" si="8"/>
        <v>3</v>
      </c>
      <c r="BC51" s="148">
        <f t="shared" si="9"/>
        <v>1102009</v>
      </c>
      <c r="BD51" s="148" t="s">
        <v>1353</v>
      </c>
      <c r="BE51" s="148">
        <f t="shared" si="21"/>
        <v>3</v>
      </c>
      <c r="BF51" s="148" t="str">
        <f t="shared" si="22"/>
        <v>徐晃专属武器解封-3</v>
      </c>
      <c r="BG51" s="148" t="str">
        <f t="shared" si="12"/>
        <v>徐晃专属武器效果</v>
      </c>
      <c r="BH51" s="148">
        <f t="shared" si="13"/>
        <v>3</v>
      </c>
      <c r="BI51" s="148" t="str">
        <f t="shared" si="14"/>
        <v>金币</v>
      </c>
      <c r="BJ51" s="148">
        <f t="shared" si="15"/>
        <v>88000</v>
      </c>
      <c r="BK51" s="148" t="str">
        <f t="shared" si="16"/>
        <v>徐晃专属武器碎片</v>
      </c>
      <c r="BL51" s="148">
        <f t="shared" si="17"/>
        <v>60</v>
      </c>
    </row>
    <row r="52" spans="52:64" ht="16.5" x14ac:dyDescent="0.2">
      <c r="AZ52" s="148">
        <v>47</v>
      </c>
      <c r="BA52" s="148">
        <f t="shared" si="7"/>
        <v>8</v>
      </c>
      <c r="BB52" s="148">
        <f t="shared" si="8"/>
        <v>3</v>
      </c>
      <c r="BC52" s="148">
        <f t="shared" si="9"/>
        <v>1102009</v>
      </c>
      <c r="BD52" s="148" t="s">
        <v>1353</v>
      </c>
      <c r="BE52" s="148">
        <f t="shared" si="21"/>
        <v>4</v>
      </c>
      <c r="BF52" s="148" t="str">
        <f t="shared" si="22"/>
        <v>徐晃专属武器解封-4</v>
      </c>
      <c r="BG52" s="148" t="str">
        <f t="shared" si="12"/>
        <v>徐晃专属武器效果</v>
      </c>
      <c r="BH52" s="148">
        <f t="shared" si="13"/>
        <v>4</v>
      </c>
      <c r="BI52" s="148" t="str">
        <f t="shared" si="14"/>
        <v>金币</v>
      </c>
      <c r="BJ52" s="148">
        <f t="shared" si="15"/>
        <v>155500</v>
      </c>
      <c r="BK52" s="148" t="str">
        <f t="shared" si="16"/>
        <v>徐晃专属武器碎片</v>
      </c>
      <c r="BL52" s="148">
        <f t="shared" si="17"/>
        <v>60</v>
      </c>
    </row>
    <row r="53" spans="52:64" ht="16.5" x14ac:dyDescent="0.2">
      <c r="AZ53" s="148">
        <v>48</v>
      </c>
      <c r="BA53" s="148">
        <f t="shared" si="7"/>
        <v>8</v>
      </c>
      <c r="BB53" s="148">
        <f t="shared" si="8"/>
        <v>3</v>
      </c>
      <c r="BC53" s="148">
        <f t="shared" si="9"/>
        <v>1102009</v>
      </c>
      <c r="BD53" s="148" t="s">
        <v>1353</v>
      </c>
      <c r="BE53" s="148">
        <f t="shared" si="21"/>
        <v>5</v>
      </c>
      <c r="BF53" s="148" t="str">
        <f t="shared" si="22"/>
        <v>徐晃专属武器解封-5</v>
      </c>
      <c r="BG53" s="148" t="str">
        <f t="shared" si="12"/>
        <v>徐晃专属武器效果</v>
      </c>
      <c r="BH53" s="148">
        <f t="shared" si="13"/>
        <v>5</v>
      </c>
      <c r="BI53" s="148" t="str">
        <f t="shared" si="14"/>
        <v>金币</v>
      </c>
      <c r="BJ53" s="148">
        <f t="shared" si="15"/>
        <v>376000</v>
      </c>
      <c r="BK53" s="148" t="str">
        <f t="shared" si="16"/>
        <v>徐晃专属武器碎片</v>
      </c>
      <c r="BL53" s="148">
        <f t="shared" si="17"/>
        <v>80</v>
      </c>
    </row>
    <row r="54" spans="52:64" ht="16.5" x14ac:dyDescent="0.2">
      <c r="AZ54" s="148">
        <v>49</v>
      </c>
      <c r="BA54" s="148">
        <f t="shared" si="7"/>
        <v>9</v>
      </c>
      <c r="BB54" s="148">
        <f t="shared" si="8"/>
        <v>5</v>
      </c>
      <c r="BC54" s="148">
        <f t="shared" si="9"/>
        <v>1102010</v>
      </c>
      <c r="BD54" s="148" t="s">
        <v>1353</v>
      </c>
      <c r="BE54" s="148">
        <f t="shared" si="21"/>
        <v>0</v>
      </c>
      <c r="BF54" s="148" t="str">
        <f t="shared" si="22"/>
        <v>张郃专属武器解封-0</v>
      </c>
      <c r="BG54" s="148" t="str">
        <f t="shared" si="12"/>
        <v/>
      </c>
      <c r="BH54" s="148" t="str">
        <f t="shared" si="13"/>
        <v/>
      </c>
      <c r="BI54" s="148" t="str">
        <f t="shared" si="14"/>
        <v/>
      </c>
      <c r="BJ54" s="148" t="str">
        <f t="shared" si="15"/>
        <v/>
      </c>
      <c r="BK54" s="148" t="str">
        <f t="shared" si="16"/>
        <v/>
      </c>
      <c r="BL54" s="148" t="str">
        <f t="shared" si="17"/>
        <v/>
      </c>
    </row>
    <row r="55" spans="52:64" ht="16.5" x14ac:dyDescent="0.2">
      <c r="AZ55" s="148">
        <v>50</v>
      </c>
      <c r="BA55" s="148">
        <f t="shared" si="7"/>
        <v>9</v>
      </c>
      <c r="BB55" s="148">
        <f t="shared" si="8"/>
        <v>5</v>
      </c>
      <c r="BC55" s="148">
        <f t="shared" si="9"/>
        <v>1102010</v>
      </c>
      <c r="BD55" s="148" t="s">
        <v>1353</v>
      </c>
      <c r="BE55" s="148">
        <f t="shared" si="21"/>
        <v>1</v>
      </c>
      <c r="BF55" s="148" t="str">
        <f t="shared" si="22"/>
        <v>张郃专属武器解封-1</v>
      </c>
      <c r="BG55" s="148" t="str">
        <f t="shared" si="12"/>
        <v>张郃专属武器效果</v>
      </c>
      <c r="BH55" s="148">
        <f t="shared" si="13"/>
        <v>1</v>
      </c>
      <c r="BI55" s="148" t="str">
        <f t="shared" si="14"/>
        <v>金币</v>
      </c>
      <c r="BJ55" s="148">
        <f t="shared" si="15"/>
        <v>23500</v>
      </c>
      <c r="BK55" s="148" t="str">
        <f t="shared" si="16"/>
        <v>张郃专属武器碎片</v>
      </c>
      <c r="BL55" s="148">
        <f t="shared" si="17"/>
        <v>80</v>
      </c>
    </row>
    <row r="56" spans="52:64" ht="16.5" x14ac:dyDescent="0.2">
      <c r="AZ56" s="148">
        <v>51</v>
      </c>
      <c r="BA56" s="148">
        <f t="shared" si="7"/>
        <v>9</v>
      </c>
      <c r="BB56" s="148">
        <f t="shared" si="8"/>
        <v>5</v>
      </c>
      <c r="BC56" s="148">
        <f t="shared" si="9"/>
        <v>1102010</v>
      </c>
      <c r="BD56" s="148" t="s">
        <v>1353</v>
      </c>
      <c r="BE56" s="148">
        <f t="shared" si="21"/>
        <v>2</v>
      </c>
      <c r="BF56" s="148" t="str">
        <f t="shared" si="22"/>
        <v>张郃专属武器解封-2</v>
      </c>
      <c r="BG56" s="148" t="str">
        <f t="shared" si="12"/>
        <v>张郃专属武器效果</v>
      </c>
      <c r="BH56" s="148">
        <f t="shared" si="13"/>
        <v>2</v>
      </c>
      <c r="BI56" s="148" t="str">
        <f t="shared" si="14"/>
        <v>金币</v>
      </c>
      <c r="BJ56" s="148">
        <f t="shared" si="15"/>
        <v>51000</v>
      </c>
      <c r="BK56" s="148" t="str">
        <f t="shared" si="16"/>
        <v>张郃专属武器碎片</v>
      </c>
      <c r="BL56" s="148">
        <f t="shared" si="17"/>
        <v>80</v>
      </c>
    </row>
    <row r="57" spans="52:64" ht="16.5" x14ac:dyDescent="0.2">
      <c r="AZ57" s="148">
        <v>52</v>
      </c>
      <c r="BA57" s="148">
        <f t="shared" si="7"/>
        <v>9</v>
      </c>
      <c r="BB57" s="148">
        <f t="shared" si="8"/>
        <v>5</v>
      </c>
      <c r="BC57" s="148">
        <f t="shared" si="9"/>
        <v>1102010</v>
      </c>
      <c r="BD57" s="148" t="s">
        <v>1353</v>
      </c>
      <c r="BE57" s="148">
        <f t="shared" si="21"/>
        <v>3</v>
      </c>
      <c r="BF57" s="148" t="str">
        <f t="shared" si="22"/>
        <v>张郃专属武器解封-3</v>
      </c>
      <c r="BG57" s="148" t="str">
        <f t="shared" si="12"/>
        <v>张郃专属武器效果</v>
      </c>
      <c r="BH57" s="148">
        <f t="shared" si="13"/>
        <v>3</v>
      </c>
      <c r="BI57" s="148" t="str">
        <f t="shared" si="14"/>
        <v>金币</v>
      </c>
      <c r="BJ57" s="148">
        <f t="shared" si="15"/>
        <v>117000</v>
      </c>
      <c r="BK57" s="148" t="str">
        <f t="shared" si="16"/>
        <v>张郃专属武器碎片</v>
      </c>
      <c r="BL57" s="148">
        <f t="shared" si="17"/>
        <v>120</v>
      </c>
    </row>
    <row r="58" spans="52:64" ht="16.5" x14ac:dyDescent="0.2">
      <c r="AZ58" s="148">
        <v>53</v>
      </c>
      <c r="BA58" s="148">
        <f t="shared" si="7"/>
        <v>9</v>
      </c>
      <c r="BB58" s="148">
        <f t="shared" si="8"/>
        <v>5</v>
      </c>
      <c r="BC58" s="148">
        <f t="shared" si="9"/>
        <v>1102010</v>
      </c>
      <c r="BD58" s="148" t="s">
        <v>1353</v>
      </c>
      <c r="BE58" s="148">
        <f t="shared" si="21"/>
        <v>4</v>
      </c>
      <c r="BF58" s="148" t="str">
        <f t="shared" si="22"/>
        <v>张郃专属武器解封-4</v>
      </c>
      <c r="BG58" s="148" t="str">
        <f t="shared" si="12"/>
        <v>张郃专属武器效果</v>
      </c>
      <c r="BH58" s="148">
        <f t="shared" si="13"/>
        <v>4</v>
      </c>
      <c r="BI58" s="148" t="str">
        <f t="shared" si="14"/>
        <v>金币</v>
      </c>
      <c r="BJ58" s="148">
        <f t="shared" si="15"/>
        <v>207500</v>
      </c>
      <c r="BK58" s="148" t="str">
        <f t="shared" si="16"/>
        <v>张郃专属武器碎片</v>
      </c>
      <c r="BL58" s="148">
        <f t="shared" si="17"/>
        <v>120</v>
      </c>
    </row>
    <row r="59" spans="52:64" ht="16.5" x14ac:dyDescent="0.2">
      <c r="AZ59" s="148">
        <v>54</v>
      </c>
      <c r="BA59" s="148">
        <f t="shared" si="7"/>
        <v>9</v>
      </c>
      <c r="BB59" s="148">
        <f t="shared" si="8"/>
        <v>5</v>
      </c>
      <c r="BC59" s="148">
        <f t="shared" si="9"/>
        <v>1102010</v>
      </c>
      <c r="BD59" s="148" t="s">
        <v>1353</v>
      </c>
      <c r="BE59" s="148">
        <f t="shared" si="21"/>
        <v>5</v>
      </c>
      <c r="BF59" s="148" t="str">
        <f t="shared" si="22"/>
        <v>张郃专属武器解封-5</v>
      </c>
      <c r="BG59" s="148" t="str">
        <f t="shared" si="12"/>
        <v>张郃专属武器效果</v>
      </c>
      <c r="BH59" s="148">
        <f t="shared" si="13"/>
        <v>5</v>
      </c>
      <c r="BI59" s="148" t="str">
        <f t="shared" si="14"/>
        <v>金币</v>
      </c>
      <c r="BJ59" s="148">
        <f t="shared" si="15"/>
        <v>501500</v>
      </c>
      <c r="BK59" s="148" t="str">
        <f t="shared" si="16"/>
        <v>张郃专属武器碎片</v>
      </c>
      <c r="BL59" s="148">
        <f t="shared" si="17"/>
        <v>160</v>
      </c>
    </row>
    <row r="60" spans="52:64" ht="16.5" x14ac:dyDescent="0.2">
      <c r="AZ60" s="148">
        <v>55</v>
      </c>
      <c r="BA60" s="148">
        <f t="shared" si="7"/>
        <v>10</v>
      </c>
      <c r="BB60" s="148">
        <f t="shared" si="8"/>
        <v>5</v>
      </c>
      <c r="BC60" s="148">
        <f t="shared" si="9"/>
        <v>1102011</v>
      </c>
      <c r="BD60" s="148" t="s">
        <v>1353</v>
      </c>
      <c r="BE60" s="148">
        <f t="shared" si="21"/>
        <v>0</v>
      </c>
      <c r="BF60" s="148" t="str">
        <f t="shared" si="22"/>
        <v>张飞专属武器解封-0</v>
      </c>
      <c r="BG60" s="148" t="str">
        <f t="shared" si="12"/>
        <v/>
      </c>
      <c r="BH60" s="148" t="str">
        <f t="shared" si="13"/>
        <v/>
      </c>
      <c r="BI60" s="148" t="str">
        <f t="shared" si="14"/>
        <v/>
      </c>
      <c r="BJ60" s="148" t="str">
        <f t="shared" si="15"/>
        <v/>
      </c>
      <c r="BK60" s="148" t="str">
        <f t="shared" si="16"/>
        <v/>
      </c>
      <c r="BL60" s="148" t="str">
        <f t="shared" si="17"/>
        <v/>
      </c>
    </row>
    <row r="61" spans="52:64" ht="16.5" x14ac:dyDescent="0.2">
      <c r="AZ61" s="148">
        <v>56</v>
      </c>
      <c r="BA61" s="148">
        <f t="shared" si="7"/>
        <v>10</v>
      </c>
      <c r="BB61" s="148">
        <f t="shared" si="8"/>
        <v>5</v>
      </c>
      <c r="BC61" s="148">
        <f t="shared" si="9"/>
        <v>1102011</v>
      </c>
      <c r="BD61" s="148" t="s">
        <v>1353</v>
      </c>
      <c r="BE61" s="148">
        <f t="shared" si="21"/>
        <v>1</v>
      </c>
      <c r="BF61" s="148" t="str">
        <f t="shared" si="22"/>
        <v>张飞专属武器解封-1</v>
      </c>
      <c r="BG61" s="148" t="str">
        <f t="shared" si="12"/>
        <v>张飞专属武器效果</v>
      </c>
      <c r="BH61" s="148">
        <f t="shared" si="13"/>
        <v>1</v>
      </c>
      <c r="BI61" s="148" t="str">
        <f t="shared" si="14"/>
        <v>金币</v>
      </c>
      <c r="BJ61" s="148">
        <f t="shared" si="15"/>
        <v>23500</v>
      </c>
      <c r="BK61" s="148" t="str">
        <f t="shared" si="16"/>
        <v>张飞专属武器碎片</v>
      </c>
      <c r="BL61" s="148">
        <f t="shared" si="17"/>
        <v>80</v>
      </c>
    </row>
    <row r="62" spans="52:64" ht="16.5" x14ac:dyDescent="0.2">
      <c r="AZ62" s="148">
        <v>57</v>
      </c>
      <c r="BA62" s="148">
        <f t="shared" si="7"/>
        <v>10</v>
      </c>
      <c r="BB62" s="148">
        <f t="shared" si="8"/>
        <v>5</v>
      </c>
      <c r="BC62" s="148">
        <f t="shared" si="9"/>
        <v>1102011</v>
      </c>
      <c r="BD62" s="148" t="s">
        <v>1353</v>
      </c>
      <c r="BE62" s="148">
        <f t="shared" si="21"/>
        <v>2</v>
      </c>
      <c r="BF62" s="148" t="str">
        <f t="shared" si="22"/>
        <v>张飞专属武器解封-2</v>
      </c>
      <c r="BG62" s="148" t="str">
        <f t="shared" si="12"/>
        <v>张飞专属武器效果</v>
      </c>
      <c r="BH62" s="148">
        <f t="shared" si="13"/>
        <v>2</v>
      </c>
      <c r="BI62" s="148" t="str">
        <f t="shared" si="14"/>
        <v>金币</v>
      </c>
      <c r="BJ62" s="148">
        <f t="shared" si="15"/>
        <v>51000</v>
      </c>
      <c r="BK62" s="148" t="str">
        <f t="shared" si="16"/>
        <v>张飞专属武器碎片</v>
      </c>
      <c r="BL62" s="148">
        <f t="shared" si="17"/>
        <v>80</v>
      </c>
    </row>
    <row r="63" spans="52:64" ht="16.5" x14ac:dyDescent="0.2">
      <c r="AZ63" s="148">
        <v>58</v>
      </c>
      <c r="BA63" s="148">
        <f t="shared" si="7"/>
        <v>10</v>
      </c>
      <c r="BB63" s="148">
        <f t="shared" si="8"/>
        <v>5</v>
      </c>
      <c r="BC63" s="148">
        <f t="shared" si="9"/>
        <v>1102011</v>
      </c>
      <c r="BD63" s="148" t="s">
        <v>1353</v>
      </c>
      <c r="BE63" s="148">
        <f t="shared" si="21"/>
        <v>3</v>
      </c>
      <c r="BF63" s="148" t="str">
        <f t="shared" si="22"/>
        <v>张飞专属武器解封-3</v>
      </c>
      <c r="BG63" s="148" t="str">
        <f t="shared" si="12"/>
        <v>张飞专属武器效果</v>
      </c>
      <c r="BH63" s="148">
        <f t="shared" si="13"/>
        <v>3</v>
      </c>
      <c r="BI63" s="148" t="str">
        <f t="shared" si="14"/>
        <v>金币</v>
      </c>
      <c r="BJ63" s="148">
        <f t="shared" si="15"/>
        <v>117000</v>
      </c>
      <c r="BK63" s="148" t="str">
        <f t="shared" si="16"/>
        <v>张飞专属武器碎片</v>
      </c>
      <c r="BL63" s="148">
        <f t="shared" si="17"/>
        <v>120</v>
      </c>
    </row>
    <row r="64" spans="52:64" ht="16.5" x14ac:dyDescent="0.2">
      <c r="AZ64" s="148">
        <v>59</v>
      </c>
      <c r="BA64" s="148">
        <f t="shared" si="7"/>
        <v>10</v>
      </c>
      <c r="BB64" s="148">
        <f t="shared" si="8"/>
        <v>5</v>
      </c>
      <c r="BC64" s="148">
        <f t="shared" si="9"/>
        <v>1102011</v>
      </c>
      <c r="BD64" s="148" t="s">
        <v>1353</v>
      </c>
      <c r="BE64" s="148">
        <f t="shared" si="21"/>
        <v>4</v>
      </c>
      <c r="BF64" s="148" t="str">
        <f t="shared" si="22"/>
        <v>张飞专属武器解封-4</v>
      </c>
      <c r="BG64" s="148" t="str">
        <f t="shared" si="12"/>
        <v>张飞专属武器效果</v>
      </c>
      <c r="BH64" s="148">
        <f t="shared" si="13"/>
        <v>4</v>
      </c>
      <c r="BI64" s="148" t="str">
        <f t="shared" si="14"/>
        <v>金币</v>
      </c>
      <c r="BJ64" s="148">
        <f t="shared" si="15"/>
        <v>207500</v>
      </c>
      <c r="BK64" s="148" t="str">
        <f t="shared" si="16"/>
        <v>张飞专属武器碎片</v>
      </c>
      <c r="BL64" s="148">
        <f t="shared" si="17"/>
        <v>120</v>
      </c>
    </row>
    <row r="65" spans="52:64" ht="16.5" x14ac:dyDescent="0.2">
      <c r="AZ65" s="148">
        <v>60</v>
      </c>
      <c r="BA65" s="148">
        <f t="shared" si="7"/>
        <v>10</v>
      </c>
      <c r="BB65" s="148">
        <f t="shared" si="8"/>
        <v>5</v>
      </c>
      <c r="BC65" s="148">
        <f t="shared" si="9"/>
        <v>1102011</v>
      </c>
      <c r="BD65" s="148" t="s">
        <v>1353</v>
      </c>
      <c r="BE65" s="148">
        <f t="shared" si="21"/>
        <v>5</v>
      </c>
      <c r="BF65" s="148" t="str">
        <f t="shared" si="22"/>
        <v>张飞专属武器解封-5</v>
      </c>
      <c r="BG65" s="148" t="str">
        <f t="shared" si="12"/>
        <v>张飞专属武器效果</v>
      </c>
      <c r="BH65" s="148">
        <f t="shared" si="13"/>
        <v>5</v>
      </c>
      <c r="BI65" s="148" t="str">
        <f t="shared" si="14"/>
        <v>金币</v>
      </c>
      <c r="BJ65" s="148">
        <f t="shared" si="15"/>
        <v>501500</v>
      </c>
      <c r="BK65" s="148" t="str">
        <f t="shared" si="16"/>
        <v>张飞专属武器碎片</v>
      </c>
      <c r="BL65" s="148">
        <f t="shared" si="17"/>
        <v>160</v>
      </c>
    </row>
    <row r="66" spans="52:64" ht="16.5" x14ac:dyDescent="0.2">
      <c r="AZ66" s="148">
        <v>61</v>
      </c>
      <c r="BA66" s="148">
        <f t="shared" si="7"/>
        <v>11</v>
      </c>
      <c r="BB66" s="148">
        <f t="shared" si="8"/>
        <v>6</v>
      </c>
      <c r="BC66" s="148">
        <f t="shared" si="9"/>
        <v>1102012</v>
      </c>
      <c r="BD66" s="148" t="s">
        <v>1353</v>
      </c>
      <c r="BE66" s="148">
        <f t="shared" si="21"/>
        <v>0</v>
      </c>
      <c r="BF66" s="148" t="str">
        <f t="shared" si="22"/>
        <v>夏侯惇专属武器解封-0</v>
      </c>
      <c r="BG66" s="148" t="str">
        <f t="shared" si="12"/>
        <v/>
      </c>
      <c r="BH66" s="148" t="str">
        <f t="shared" si="13"/>
        <v/>
      </c>
      <c r="BI66" s="148" t="str">
        <f t="shared" si="14"/>
        <v/>
      </c>
      <c r="BJ66" s="148" t="str">
        <f t="shared" si="15"/>
        <v/>
      </c>
      <c r="BK66" s="148" t="str">
        <f t="shared" si="16"/>
        <v/>
      </c>
      <c r="BL66" s="148" t="str">
        <f t="shared" si="17"/>
        <v/>
      </c>
    </row>
    <row r="67" spans="52:64" ht="16.5" x14ac:dyDescent="0.2">
      <c r="AZ67" s="148">
        <v>62</v>
      </c>
      <c r="BA67" s="148">
        <f t="shared" si="7"/>
        <v>11</v>
      </c>
      <c r="BB67" s="148">
        <f t="shared" si="8"/>
        <v>6</v>
      </c>
      <c r="BC67" s="148">
        <f t="shared" si="9"/>
        <v>1102012</v>
      </c>
      <c r="BD67" s="148" t="s">
        <v>1353</v>
      </c>
      <c r="BE67" s="148">
        <f t="shared" si="21"/>
        <v>1</v>
      </c>
      <c r="BF67" s="148" t="str">
        <f t="shared" si="22"/>
        <v>夏侯惇专属武器解封-1</v>
      </c>
      <c r="BG67" s="148" t="str">
        <f t="shared" si="12"/>
        <v>夏侯惇专属武器效果</v>
      </c>
      <c r="BH67" s="148">
        <f t="shared" si="13"/>
        <v>1</v>
      </c>
      <c r="BI67" s="148" t="str">
        <f t="shared" si="14"/>
        <v>金币</v>
      </c>
      <c r="BJ67" s="148">
        <f t="shared" si="15"/>
        <v>29500</v>
      </c>
      <c r="BK67" s="148" t="str">
        <f t="shared" si="16"/>
        <v>夏侯惇专属武器碎片</v>
      </c>
      <c r="BL67" s="148">
        <f t="shared" si="17"/>
        <v>80</v>
      </c>
    </row>
    <row r="68" spans="52:64" ht="16.5" x14ac:dyDescent="0.2">
      <c r="AZ68" s="148">
        <v>63</v>
      </c>
      <c r="BA68" s="148">
        <f t="shared" si="7"/>
        <v>11</v>
      </c>
      <c r="BB68" s="148">
        <f t="shared" si="8"/>
        <v>6</v>
      </c>
      <c r="BC68" s="148">
        <f t="shared" si="9"/>
        <v>1102012</v>
      </c>
      <c r="BD68" s="148" t="s">
        <v>1353</v>
      </c>
      <c r="BE68" s="148">
        <f t="shared" si="21"/>
        <v>2</v>
      </c>
      <c r="BF68" s="148" t="str">
        <f t="shared" si="22"/>
        <v>夏侯惇专属武器解封-2</v>
      </c>
      <c r="BG68" s="148" t="str">
        <f t="shared" si="12"/>
        <v>夏侯惇专属武器效果</v>
      </c>
      <c r="BH68" s="148">
        <f t="shared" si="13"/>
        <v>2</v>
      </c>
      <c r="BI68" s="148" t="str">
        <f t="shared" si="14"/>
        <v>金币</v>
      </c>
      <c r="BJ68" s="148">
        <f t="shared" si="15"/>
        <v>63500</v>
      </c>
      <c r="BK68" s="148" t="str">
        <f t="shared" si="16"/>
        <v>夏侯惇专属武器碎片</v>
      </c>
      <c r="BL68" s="148">
        <f t="shared" si="17"/>
        <v>80</v>
      </c>
    </row>
    <row r="69" spans="52:64" ht="16.5" x14ac:dyDescent="0.2">
      <c r="AZ69" s="148">
        <v>64</v>
      </c>
      <c r="BA69" s="148">
        <f t="shared" si="7"/>
        <v>11</v>
      </c>
      <c r="BB69" s="148">
        <f t="shared" si="8"/>
        <v>6</v>
      </c>
      <c r="BC69" s="148">
        <f t="shared" si="9"/>
        <v>1102012</v>
      </c>
      <c r="BD69" s="148" t="s">
        <v>1353</v>
      </c>
      <c r="BE69" s="148">
        <f t="shared" si="21"/>
        <v>3</v>
      </c>
      <c r="BF69" s="148" t="str">
        <f t="shared" si="22"/>
        <v>夏侯惇专属武器解封-3</v>
      </c>
      <c r="BG69" s="148" t="str">
        <f t="shared" si="12"/>
        <v>夏侯惇专属武器效果</v>
      </c>
      <c r="BH69" s="148">
        <f t="shared" si="13"/>
        <v>3</v>
      </c>
      <c r="BI69" s="148" t="str">
        <f t="shared" si="14"/>
        <v>金币</v>
      </c>
      <c r="BJ69" s="148">
        <f t="shared" si="15"/>
        <v>146500</v>
      </c>
      <c r="BK69" s="148" t="str">
        <f t="shared" si="16"/>
        <v>夏侯惇专属武器碎片</v>
      </c>
      <c r="BL69" s="148">
        <f t="shared" si="17"/>
        <v>120</v>
      </c>
    </row>
    <row r="70" spans="52:64" ht="16.5" x14ac:dyDescent="0.2">
      <c r="AZ70" s="148">
        <v>65</v>
      </c>
      <c r="BA70" s="148">
        <f t="shared" si="7"/>
        <v>11</v>
      </c>
      <c r="BB70" s="148">
        <f t="shared" si="8"/>
        <v>6</v>
      </c>
      <c r="BC70" s="148">
        <f t="shared" si="9"/>
        <v>1102012</v>
      </c>
      <c r="BD70" s="148" t="s">
        <v>1353</v>
      </c>
      <c r="BE70" s="148">
        <f t="shared" si="21"/>
        <v>4</v>
      </c>
      <c r="BF70" s="148" t="str">
        <f t="shared" si="22"/>
        <v>夏侯惇专属武器解封-4</v>
      </c>
      <c r="BG70" s="148" t="str">
        <f t="shared" si="12"/>
        <v>夏侯惇专属武器效果</v>
      </c>
      <c r="BH70" s="148">
        <f t="shared" si="13"/>
        <v>4</v>
      </c>
      <c r="BI70" s="148" t="str">
        <f t="shared" si="14"/>
        <v>金币</v>
      </c>
      <c r="BJ70" s="148">
        <f t="shared" si="15"/>
        <v>259000</v>
      </c>
      <c r="BK70" s="148" t="str">
        <f t="shared" si="16"/>
        <v>夏侯惇专属武器碎片</v>
      </c>
      <c r="BL70" s="148">
        <f t="shared" si="17"/>
        <v>120</v>
      </c>
    </row>
    <row r="71" spans="52:64" ht="16.5" x14ac:dyDescent="0.2">
      <c r="AZ71" s="148">
        <v>66</v>
      </c>
      <c r="BA71" s="148">
        <f t="shared" ref="BA71:BA131" si="23">INT((AZ71-1)/6)+1</f>
        <v>11</v>
      </c>
      <c r="BB71" s="148">
        <f t="shared" ref="BB71:BB131" si="24">INDEX($D$6:$D$26,BA71)</f>
        <v>6</v>
      </c>
      <c r="BC71" s="148">
        <f t="shared" ref="BC71:BC131" si="25">INDEX($A$6:$A$26,BA71)</f>
        <v>1102012</v>
      </c>
      <c r="BD71" s="148" t="s">
        <v>1353</v>
      </c>
      <c r="BE71" s="148">
        <f t="shared" si="21"/>
        <v>5</v>
      </c>
      <c r="BF71" s="148" t="str">
        <f t="shared" si="22"/>
        <v>夏侯惇专属武器解封-5</v>
      </c>
      <c r="BG71" s="148" t="str">
        <f t="shared" ref="BG71:BG131" si="26">IF(BE71&gt;0,INDEX($B$6:$B$26,BA71)&amp;"专属武器效果","")</f>
        <v>夏侯惇专属武器效果</v>
      </c>
      <c r="BH71" s="148">
        <f t="shared" ref="BH71:BH131" si="27">IF(BE71&gt;0,BE71,"")</f>
        <v>5</v>
      </c>
      <c r="BI71" s="148" t="str">
        <f t="shared" ref="BI71:BI131" si="28">IF(BE71&gt;0,"金币","")</f>
        <v>金币</v>
      </c>
      <c r="BJ71" s="148">
        <f t="shared" ref="BJ71:BJ131" si="29">IF(BE71&gt;0,INDEX($AS$7:$AW$11,BE71,BB71-1),"")</f>
        <v>626500</v>
      </c>
      <c r="BK71" s="148" t="str">
        <f t="shared" ref="BK71:BK131" si="30">IF(BE71&gt;0,INDEX($B$6:$B$26,BA71)&amp;"专属武器碎片","")</f>
        <v>夏侯惇专属武器碎片</v>
      </c>
      <c r="BL71" s="148">
        <f t="shared" ref="BL71:BL131" si="31">IF(BE71&gt;0,INDEX($AL$7:$AP$11,BE71,INDEX($D$6:$D$26,BA71)-1),"")</f>
        <v>160</v>
      </c>
    </row>
    <row r="72" spans="52:64" ht="16.5" x14ac:dyDescent="0.2">
      <c r="AZ72" s="148">
        <v>67</v>
      </c>
      <c r="BA72" s="148">
        <f t="shared" si="23"/>
        <v>12</v>
      </c>
      <c r="BB72" s="148">
        <f t="shared" si="24"/>
        <v>3</v>
      </c>
      <c r="BC72" s="148">
        <f t="shared" si="25"/>
        <v>1102014</v>
      </c>
      <c r="BD72" s="148" t="s">
        <v>1353</v>
      </c>
      <c r="BE72" s="148">
        <f t="shared" si="21"/>
        <v>0</v>
      </c>
      <c r="BF72" s="148" t="str">
        <f t="shared" si="22"/>
        <v>石灵明专属武器解封-0</v>
      </c>
      <c r="BG72" s="148" t="str">
        <f t="shared" si="26"/>
        <v/>
      </c>
      <c r="BH72" s="148" t="str">
        <f t="shared" si="27"/>
        <v/>
      </c>
      <c r="BI72" s="148" t="str">
        <f t="shared" si="28"/>
        <v/>
      </c>
      <c r="BJ72" s="148" t="str">
        <f t="shared" si="29"/>
        <v/>
      </c>
      <c r="BK72" s="148" t="str">
        <f t="shared" si="30"/>
        <v/>
      </c>
      <c r="BL72" s="148" t="str">
        <f t="shared" si="31"/>
        <v/>
      </c>
    </row>
    <row r="73" spans="52:64" ht="16.5" x14ac:dyDescent="0.2">
      <c r="AZ73" s="148">
        <v>68</v>
      </c>
      <c r="BA73" s="148">
        <f t="shared" si="23"/>
        <v>12</v>
      </c>
      <c r="BB73" s="148">
        <f t="shared" si="24"/>
        <v>3</v>
      </c>
      <c r="BC73" s="148">
        <f t="shared" si="25"/>
        <v>1102014</v>
      </c>
      <c r="BD73" s="148" t="s">
        <v>1353</v>
      </c>
      <c r="BE73" s="148">
        <f t="shared" si="21"/>
        <v>1</v>
      </c>
      <c r="BF73" s="148" t="str">
        <f t="shared" si="22"/>
        <v>石灵明专属武器解封-1</v>
      </c>
      <c r="BG73" s="148" t="str">
        <f t="shared" si="26"/>
        <v>石灵明专属武器效果</v>
      </c>
      <c r="BH73" s="148">
        <f t="shared" si="27"/>
        <v>1</v>
      </c>
      <c r="BI73" s="148" t="str">
        <f t="shared" si="28"/>
        <v>金币</v>
      </c>
      <c r="BJ73" s="148">
        <f t="shared" si="29"/>
        <v>18000</v>
      </c>
      <c r="BK73" s="148" t="str">
        <f t="shared" si="30"/>
        <v>石灵明专属武器碎片</v>
      </c>
      <c r="BL73" s="148">
        <f t="shared" si="31"/>
        <v>40</v>
      </c>
    </row>
    <row r="74" spans="52:64" ht="16.5" x14ac:dyDescent="0.2">
      <c r="AZ74" s="148">
        <v>69</v>
      </c>
      <c r="BA74" s="148">
        <f t="shared" si="23"/>
        <v>12</v>
      </c>
      <c r="BB74" s="148">
        <f t="shared" si="24"/>
        <v>3</v>
      </c>
      <c r="BC74" s="148">
        <f t="shared" si="25"/>
        <v>1102014</v>
      </c>
      <c r="BD74" s="148" t="s">
        <v>1353</v>
      </c>
      <c r="BE74" s="148">
        <f t="shared" si="21"/>
        <v>2</v>
      </c>
      <c r="BF74" s="148" t="str">
        <f t="shared" si="22"/>
        <v>石灵明专属武器解封-2</v>
      </c>
      <c r="BG74" s="148" t="str">
        <f t="shared" si="26"/>
        <v>石灵明专属武器效果</v>
      </c>
      <c r="BH74" s="148">
        <f t="shared" si="27"/>
        <v>2</v>
      </c>
      <c r="BI74" s="148" t="str">
        <f t="shared" si="28"/>
        <v>金币</v>
      </c>
      <c r="BJ74" s="148">
        <f t="shared" si="29"/>
        <v>38000</v>
      </c>
      <c r="BK74" s="148" t="str">
        <f t="shared" si="30"/>
        <v>石灵明专属武器碎片</v>
      </c>
      <c r="BL74" s="148">
        <f t="shared" si="31"/>
        <v>40</v>
      </c>
    </row>
    <row r="75" spans="52:64" ht="16.5" x14ac:dyDescent="0.2">
      <c r="AZ75" s="148">
        <v>70</v>
      </c>
      <c r="BA75" s="148">
        <f t="shared" si="23"/>
        <v>12</v>
      </c>
      <c r="BB75" s="148">
        <f t="shared" si="24"/>
        <v>3</v>
      </c>
      <c r="BC75" s="148">
        <f t="shared" si="25"/>
        <v>1102014</v>
      </c>
      <c r="BD75" s="148" t="s">
        <v>1353</v>
      </c>
      <c r="BE75" s="148">
        <f t="shared" si="21"/>
        <v>3</v>
      </c>
      <c r="BF75" s="148" t="str">
        <f t="shared" si="22"/>
        <v>石灵明专属武器解封-3</v>
      </c>
      <c r="BG75" s="148" t="str">
        <f t="shared" si="26"/>
        <v>石灵明专属武器效果</v>
      </c>
      <c r="BH75" s="148">
        <f t="shared" si="27"/>
        <v>3</v>
      </c>
      <c r="BI75" s="148" t="str">
        <f t="shared" si="28"/>
        <v>金币</v>
      </c>
      <c r="BJ75" s="148">
        <f t="shared" si="29"/>
        <v>88000</v>
      </c>
      <c r="BK75" s="148" t="str">
        <f t="shared" si="30"/>
        <v>石灵明专属武器碎片</v>
      </c>
      <c r="BL75" s="148">
        <f t="shared" si="31"/>
        <v>60</v>
      </c>
    </row>
    <row r="76" spans="52:64" ht="16.5" x14ac:dyDescent="0.2">
      <c r="AZ76" s="148">
        <v>71</v>
      </c>
      <c r="BA76" s="148">
        <f t="shared" si="23"/>
        <v>12</v>
      </c>
      <c r="BB76" s="148">
        <f t="shared" si="24"/>
        <v>3</v>
      </c>
      <c r="BC76" s="148">
        <f t="shared" si="25"/>
        <v>1102014</v>
      </c>
      <c r="BD76" s="148" t="s">
        <v>1353</v>
      </c>
      <c r="BE76" s="148">
        <f t="shared" si="21"/>
        <v>4</v>
      </c>
      <c r="BF76" s="148" t="str">
        <f t="shared" si="22"/>
        <v>石灵明专属武器解封-4</v>
      </c>
      <c r="BG76" s="148" t="str">
        <f t="shared" si="26"/>
        <v>石灵明专属武器效果</v>
      </c>
      <c r="BH76" s="148">
        <f t="shared" si="27"/>
        <v>4</v>
      </c>
      <c r="BI76" s="148" t="str">
        <f t="shared" si="28"/>
        <v>金币</v>
      </c>
      <c r="BJ76" s="148">
        <f t="shared" si="29"/>
        <v>155500</v>
      </c>
      <c r="BK76" s="148" t="str">
        <f t="shared" si="30"/>
        <v>石灵明专属武器碎片</v>
      </c>
      <c r="BL76" s="148">
        <f t="shared" si="31"/>
        <v>60</v>
      </c>
    </row>
    <row r="77" spans="52:64" ht="16.5" x14ac:dyDescent="0.2">
      <c r="AZ77" s="148">
        <v>72</v>
      </c>
      <c r="BA77" s="148">
        <f t="shared" si="23"/>
        <v>12</v>
      </c>
      <c r="BB77" s="148">
        <f t="shared" si="24"/>
        <v>3</v>
      </c>
      <c r="BC77" s="148">
        <f t="shared" si="25"/>
        <v>1102014</v>
      </c>
      <c r="BD77" s="148" t="s">
        <v>1353</v>
      </c>
      <c r="BE77" s="148">
        <f t="shared" si="21"/>
        <v>5</v>
      </c>
      <c r="BF77" s="148" t="str">
        <f t="shared" si="22"/>
        <v>石灵明专属武器解封-5</v>
      </c>
      <c r="BG77" s="148" t="str">
        <f t="shared" si="26"/>
        <v>石灵明专属武器效果</v>
      </c>
      <c r="BH77" s="148">
        <f t="shared" si="27"/>
        <v>5</v>
      </c>
      <c r="BI77" s="148" t="str">
        <f t="shared" si="28"/>
        <v>金币</v>
      </c>
      <c r="BJ77" s="148">
        <f t="shared" si="29"/>
        <v>376000</v>
      </c>
      <c r="BK77" s="148" t="str">
        <f t="shared" si="30"/>
        <v>石灵明专属武器碎片</v>
      </c>
      <c r="BL77" s="148">
        <f t="shared" si="31"/>
        <v>80</v>
      </c>
    </row>
    <row r="78" spans="52:64" ht="16.5" x14ac:dyDescent="0.2">
      <c r="AZ78" s="148">
        <v>73</v>
      </c>
      <c r="BA78" s="148">
        <f t="shared" si="23"/>
        <v>13</v>
      </c>
      <c r="BB78" s="148">
        <f t="shared" si="24"/>
        <v>4</v>
      </c>
      <c r="BC78" s="148">
        <f t="shared" si="25"/>
        <v>1102016</v>
      </c>
      <c r="BD78" s="148" t="s">
        <v>1353</v>
      </c>
      <c r="BE78" s="148">
        <f t="shared" si="21"/>
        <v>0</v>
      </c>
      <c r="BF78" s="148" t="str">
        <f t="shared" si="22"/>
        <v>西方龙专属武器解封-0</v>
      </c>
      <c r="BG78" s="148" t="str">
        <f t="shared" si="26"/>
        <v/>
      </c>
      <c r="BH78" s="148" t="str">
        <f t="shared" si="27"/>
        <v/>
      </c>
      <c r="BI78" s="148" t="str">
        <f t="shared" si="28"/>
        <v/>
      </c>
      <c r="BJ78" s="148" t="str">
        <f t="shared" si="29"/>
        <v/>
      </c>
      <c r="BK78" s="148" t="str">
        <f t="shared" si="30"/>
        <v/>
      </c>
      <c r="BL78" s="148" t="str">
        <f t="shared" si="31"/>
        <v/>
      </c>
    </row>
    <row r="79" spans="52:64" ht="16.5" x14ac:dyDescent="0.2">
      <c r="AZ79" s="148">
        <v>74</v>
      </c>
      <c r="BA79" s="148">
        <f t="shared" si="23"/>
        <v>13</v>
      </c>
      <c r="BB79" s="148">
        <f t="shared" si="24"/>
        <v>4</v>
      </c>
      <c r="BC79" s="148">
        <f t="shared" si="25"/>
        <v>1102016</v>
      </c>
      <c r="BD79" s="148" t="s">
        <v>1353</v>
      </c>
      <c r="BE79" s="148">
        <f t="shared" si="21"/>
        <v>1</v>
      </c>
      <c r="BF79" s="148" t="str">
        <f t="shared" si="22"/>
        <v>西方龙专属武器解封-1</v>
      </c>
      <c r="BG79" s="148" t="str">
        <f t="shared" si="26"/>
        <v>西方龙专属武器效果</v>
      </c>
      <c r="BH79" s="148">
        <f t="shared" si="27"/>
        <v>1</v>
      </c>
      <c r="BI79" s="148" t="str">
        <f t="shared" si="28"/>
        <v>金币</v>
      </c>
      <c r="BJ79" s="148">
        <f t="shared" si="29"/>
        <v>21000</v>
      </c>
      <c r="BK79" s="148" t="str">
        <f t="shared" si="30"/>
        <v>西方龙专属武器碎片</v>
      </c>
      <c r="BL79" s="148">
        <f t="shared" si="31"/>
        <v>80</v>
      </c>
    </row>
    <row r="80" spans="52:64" ht="16.5" x14ac:dyDescent="0.2">
      <c r="AZ80" s="148">
        <v>75</v>
      </c>
      <c r="BA80" s="148">
        <f t="shared" si="23"/>
        <v>13</v>
      </c>
      <c r="BB80" s="148">
        <f t="shared" si="24"/>
        <v>4</v>
      </c>
      <c r="BC80" s="148">
        <f t="shared" si="25"/>
        <v>1102016</v>
      </c>
      <c r="BD80" s="148" t="s">
        <v>1353</v>
      </c>
      <c r="BE80" s="148">
        <f t="shared" si="21"/>
        <v>2</v>
      </c>
      <c r="BF80" s="148" t="str">
        <f t="shared" si="22"/>
        <v>西方龙专属武器解封-2</v>
      </c>
      <c r="BG80" s="148" t="str">
        <f t="shared" si="26"/>
        <v>西方龙专属武器效果</v>
      </c>
      <c r="BH80" s="148">
        <f t="shared" si="27"/>
        <v>2</v>
      </c>
      <c r="BI80" s="148" t="str">
        <f t="shared" si="28"/>
        <v>金币</v>
      </c>
      <c r="BJ80" s="148">
        <f t="shared" si="29"/>
        <v>44500</v>
      </c>
      <c r="BK80" s="148" t="str">
        <f t="shared" si="30"/>
        <v>西方龙专属武器碎片</v>
      </c>
      <c r="BL80" s="148">
        <f t="shared" si="31"/>
        <v>80</v>
      </c>
    </row>
    <row r="81" spans="52:64" ht="16.5" x14ac:dyDescent="0.2">
      <c r="AZ81" s="148">
        <v>76</v>
      </c>
      <c r="BA81" s="148">
        <f t="shared" si="23"/>
        <v>13</v>
      </c>
      <c r="BB81" s="148">
        <f t="shared" si="24"/>
        <v>4</v>
      </c>
      <c r="BC81" s="148">
        <f t="shared" si="25"/>
        <v>1102016</v>
      </c>
      <c r="BD81" s="148" t="s">
        <v>1353</v>
      </c>
      <c r="BE81" s="148">
        <f t="shared" si="21"/>
        <v>3</v>
      </c>
      <c r="BF81" s="148" t="str">
        <f t="shared" si="22"/>
        <v>西方龙专属武器解封-3</v>
      </c>
      <c r="BG81" s="148" t="str">
        <f t="shared" si="26"/>
        <v>西方龙专属武器效果</v>
      </c>
      <c r="BH81" s="148">
        <f t="shared" si="27"/>
        <v>3</v>
      </c>
      <c r="BI81" s="148" t="str">
        <f t="shared" si="28"/>
        <v>金币</v>
      </c>
      <c r="BJ81" s="148">
        <f t="shared" si="29"/>
        <v>102500</v>
      </c>
      <c r="BK81" s="148" t="str">
        <f t="shared" si="30"/>
        <v>西方龙专属武器碎片</v>
      </c>
      <c r="BL81" s="148">
        <f t="shared" si="31"/>
        <v>120</v>
      </c>
    </row>
    <row r="82" spans="52:64" ht="16.5" x14ac:dyDescent="0.2">
      <c r="AZ82" s="148">
        <v>77</v>
      </c>
      <c r="BA82" s="148">
        <f t="shared" si="23"/>
        <v>13</v>
      </c>
      <c r="BB82" s="148">
        <f t="shared" si="24"/>
        <v>4</v>
      </c>
      <c r="BC82" s="148">
        <f t="shared" si="25"/>
        <v>1102016</v>
      </c>
      <c r="BD82" s="148" t="s">
        <v>1353</v>
      </c>
      <c r="BE82" s="148">
        <f t="shared" si="21"/>
        <v>4</v>
      </c>
      <c r="BF82" s="148" t="str">
        <f t="shared" si="22"/>
        <v>西方龙专属武器解封-4</v>
      </c>
      <c r="BG82" s="148" t="str">
        <f t="shared" si="26"/>
        <v>西方龙专属武器效果</v>
      </c>
      <c r="BH82" s="148">
        <f t="shared" si="27"/>
        <v>4</v>
      </c>
      <c r="BI82" s="148" t="str">
        <f t="shared" si="28"/>
        <v>金币</v>
      </c>
      <c r="BJ82" s="148">
        <f t="shared" si="29"/>
        <v>181500</v>
      </c>
      <c r="BK82" s="148" t="str">
        <f t="shared" si="30"/>
        <v>西方龙专属武器碎片</v>
      </c>
      <c r="BL82" s="148">
        <f t="shared" si="31"/>
        <v>120</v>
      </c>
    </row>
    <row r="83" spans="52:64" ht="16.5" x14ac:dyDescent="0.2">
      <c r="AZ83" s="148">
        <v>78</v>
      </c>
      <c r="BA83" s="148">
        <f t="shared" si="23"/>
        <v>13</v>
      </c>
      <c r="BB83" s="148">
        <f t="shared" si="24"/>
        <v>4</v>
      </c>
      <c r="BC83" s="148">
        <f t="shared" si="25"/>
        <v>1102016</v>
      </c>
      <c r="BD83" s="148" t="s">
        <v>1353</v>
      </c>
      <c r="BE83" s="148">
        <f t="shared" si="21"/>
        <v>5</v>
      </c>
      <c r="BF83" s="148" t="str">
        <f t="shared" si="22"/>
        <v>西方龙专属武器解封-5</v>
      </c>
      <c r="BG83" s="148" t="str">
        <f t="shared" si="26"/>
        <v>西方龙专属武器效果</v>
      </c>
      <c r="BH83" s="148">
        <f t="shared" si="27"/>
        <v>5</v>
      </c>
      <c r="BI83" s="148" t="str">
        <f t="shared" si="28"/>
        <v>金币</v>
      </c>
      <c r="BJ83" s="148">
        <f t="shared" si="29"/>
        <v>438500</v>
      </c>
      <c r="BK83" s="148" t="str">
        <f t="shared" si="30"/>
        <v>西方龙专属武器碎片</v>
      </c>
      <c r="BL83" s="148">
        <f t="shared" si="31"/>
        <v>160</v>
      </c>
    </row>
    <row r="84" spans="52:64" ht="16.5" x14ac:dyDescent="0.2">
      <c r="AZ84" s="148">
        <v>79</v>
      </c>
      <c r="BA84" s="148">
        <f t="shared" si="23"/>
        <v>14</v>
      </c>
      <c r="BB84" s="148">
        <f t="shared" si="24"/>
        <v>2</v>
      </c>
      <c r="BC84" s="148">
        <f t="shared" si="25"/>
        <v>1102017</v>
      </c>
      <c r="BD84" s="148" t="s">
        <v>1353</v>
      </c>
      <c r="BE84" s="148">
        <f t="shared" si="21"/>
        <v>0</v>
      </c>
      <c r="BF84" s="148" t="str">
        <f t="shared" si="22"/>
        <v>飞廉专属武器解封-0</v>
      </c>
      <c r="BG84" s="148" t="str">
        <f t="shared" si="26"/>
        <v/>
      </c>
      <c r="BH84" s="148" t="str">
        <f t="shared" si="27"/>
        <v/>
      </c>
      <c r="BI84" s="148" t="str">
        <f t="shared" si="28"/>
        <v/>
      </c>
      <c r="BJ84" s="148" t="str">
        <f t="shared" si="29"/>
        <v/>
      </c>
      <c r="BK84" s="148" t="str">
        <f t="shared" si="30"/>
        <v/>
      </c>
      <c r="BL84" s="148" t="str">
        <f t="shared" si="31"/>
        <v/>
      </c>
    </row>
    <row r="85" spans="52:64" ht="16.5" x14ac:dyDescent="0.2">
      <c r="AZ85" s="148">
        <v>80</v>
      </c>
      <c r="BA85" s="148">
        <f t="shared" si="23"/>
        <v>14</v>
      </c>
      <c r="BB85" s="148">
        <f t="shared" si="24"/>
        <v>2</v>
      </c>
      <c r="BC85" s="148">
        <f t="shared" si="25"/>
        <v>1102017</v>
      </c>
      <c r="BD85" s="148" t="s">
        <v>1353</v>
      </c>
      <c r="BE85" s="148">
        <f t="shared" si="21"/>
        <v>1</v>
      </c>
      <c r="BF85" s="148" t="str">
        <f t="shared" si="22"/>
        <v>飞廉专属武器解封-1</v>
      </c>
      <c r="BG85" s="148" t="str">
        <f t="shared" si="26"/>
        <v>飞廉专属武器效果</v>
      </c>
      <c r="BH85" s="148">
        <f t="shared" si="27"/>
        <v>1</v>
      </c>
      <c r="BI85" s="148" t="str">
        <f t="shared" si="28"/>
        <v>金币</v>
      </c>
      <c r="BJ85" s="148">
        <f t="shared" si="29"/>
        <v>15000</v>
      </c>
      <c r="BK85" s="148" t="str">
        <f t="shared" si="30"/>
        <v>飞廉专属武器碎片</v>
      </c>
      <c r="BL85" s="148">
        <f t="shared" si="31"/>
        <v>40</v>
      </c>
    </row>
    <row r="86" spans="52:64" ht="16.5" x14ac:dyDescent="0.2">
      <c r="AZ86" s="148">
        <v>81</v>
      </c>
      <c r="BA86" s="148">
        <f t="shared" si="23"/>
        <v>14</v>
      </c>
      <c r="BB86" s="148">
        <f t="shared" si="24"/>
        <v>2</v>
      </c>
      <c r="BC86" s="148">
        <f t="shared" si="25"/>
        <v>1102017</v>
      </c>
      <c r="BD86" s="148" t="s">
        <v>1353</v>
      </c>
      <c r="BE86" s="148">
        <f t="shared" si="21"/>
        <v>2</v>
      </c>
      <c r="BF86" s="148" t="str">
        <f t="shared" si="22"/>
        <v>飞廉专属武器解封-2</v>
      </c>
      <c r="BG86" s="148" t="str">
        <f t="shared" si="26"/>
        <v>飞廉专属武器效果</v>
      </c>
      <c r="BH86" s="148">
        <f t="shared" si="27"/>
        <v>2</v>
      </c>
      <c r="BI86" s="148" t="str">
        <f t="shared" si="28"/>
        <v>金币</v>
      </c>
      <c r="BJ86" s="148">
        <f t="shared" si="29"/>
        <v>32000</v>
      </c>
      <c r="BK86" s="148" t="str">
        <f t="shared" si="30"/>
        <v>飞廉专属武器碎片</v>
      </c>
      <c r="BL86" s="148">
        <f t="shared" si="31"/>
        <v>40</v>
      </c>
    </row>
    <row r="87" spans="52:64" ht="16.5" x14ac:dyDescent="0.2">
      <c r="AZ87" s="148">
        <v>82</v>
      </c>
      <c r="BA87" s="148">
        <f t="shared" si="23"/>
        <v>14</v>
      </c>
      <c r="BB87" s="148">
        <f t="shared" si="24"/>
        <v>2</v>
      </c>
      <c r="BC87" s="148">
        <f t="shared" si="25"/>
        <v>1102017</v>
      </c>
      <c r="BD87" s="148" t="s">
        <v>1353</v>
      </c>
      <c r="BE87" s="148">
        <f t="shared" si="21"/>
        <v>3</v>
      </c>
      <c r="BF87" s="148" t="str">
        <f t="shared" si="22"/>
        <v>飞廉专属武器解封-3</v>
      </c>
      <c r="BG87" s="148" t="str">
        <f t="shared" si="26"/>
        <v>飞廉专属武器效果</v>
      </c>
      <c r="BH87" s="148">
        <f t="shared" si="27"/>
        <v>3</v>
      </c>
      <c r="BI87" s="148" t="str">
        <f t="shared" si="28"/>
        <v>金币</v>
      </c>
      <c r="BJ87" s="148">
        <f t="shared" si="29"/>
        <v>73000</v>
      </c>
      <c r="BK87" s="148" t="str">
        <f t="shared" si="30"/>
        <v>飞廉专属武器碎片</v>
      </c>
      <c r="BL87" s="148">
        <f t="shared" si="31"/>
        <v>60</v>
      </c>
    </row>
    <row r="88" spans="52:64" ht="16.5" x14ac:dyDescent="0.2">
      <c r="AZ88" s="148">
        <v>83</v>
      </c>
      <c r="BA88" s="148">
        <f t="shared" si="23"/>
        <v>14</v>
      </c>
      <c r="BB88" s="148">
        <f t="shared" si="24"/>
        <v>2</v>
      </c>
      <c r="BC88" s="148">
        <f t="shared" si="25"/>
        <v>1102017</v>
      </c>
      <c r="BD88" s="148" t="s">
        <v>1353</v>
      </c>
      <c r="BE88" s="148">
        <f t="shared" si="21"/>
        <v>4</v>
      </c>
      <c r="BF88" s="148" t="str">
        <f t="shared" si="22"/>
        <v>飞廉专属武器解封-4</v>
      </c>
      <c r="BG88" s="148" t="str">
        <f t="shared" si="26"/>
        <v>飞廉专属武器效果</v>
      </c>
      <c r="BH88" s="148">
        <f t="shared" si="27"/>
        <v>4</v>
      </c>
      <c r="BI88" s="148" t="str">
        <f t="shared" si="28"/>
        <v>金币</v>
      </c>
      <c r="BJ88" s="148">
        <f t="shared" si="29"/>
        <v>129500</v>
      </c>
      <c r="BK88" s="148" t="str">
        <f t="shared" si="30"/>
        <v>飞廉专属武器碎片</v>
      </c>
      <c r="BL88" s="148">
        <f t="shared" si="31"/>
        <v>60</v>
      </c>
    </row>
    <row r="89" spans="52:64" ht="16.5" x14ac:dyDescent="0.2">
      <c r="AZ89" s="148">
        <v>84</v>
      </c>
      <c r="BA89" s="148">
        <f t="shared" si="23"/>
        <v>14</v>
      </c>
      <c r="BB89" s="148">
        <f t="shared" si="24"/>
        <v>2</v>
      </c>
      <c r="BC89" s="148">
        <f t="shared" si="25"/>
        <v>1102017</v>
      </c>
      <c r="BD89" s="148" t="s">
        <v>1353</v>
      </c>
      <c r="BE89" s="148">
        <f t="shared" si="21"/>
        <v>5</v>
      </c>
      <c r="BF89" s="148" t="str">
        <f t="shared" si="22"/>
        <v>飞廉专属武器解封-5</v>
      </c>
      <c r="BG89" s="148" t="str">
        <f t="shared" si="26"/>
        <v>飞廉专属武器效果</v>
      </c>
      <c r="BH89" s="148">
        <f t="shared" si="27"/>
        <v>5</v>
      </c>
      <c r="BI89" s="148" t="str">
        <f t="shared" si="28"/>
        <v>金币</v>
      </c>
      <c r="BJ89" s="148">
        <f t="shared" si="29"/>
        <v>313500</v>
      </c>
      <c r="BK89" s="148" t="str">
        <f t="shared" si="30"/>
        <v>飞廉专属武器碎片</v>
      </c>
      <c r="BL89" s="148">
        <f t="shared" si="31"/>
        <v>80</v>
      </c>
    </row>
    <row r="90" spans="52:64" ht="16.5" x14ac:dyDescent="0.2">
      <c r="AZ90" s="148">
        <v>85</v>
      </c>
      <c r="BA90" s="148">
        <f t="shared" si="23"/>
        <v>15</v>
      </c>
      <c r="BB90" s="148">
        <f t="shared" si="24"/>
        <v>3</v>
      </c>
      <c r="BC90" s="148">
        <f t="shared" si="25"/>
        <v>1102020</v>
      </c>
      <c r="BD90" s="148" t="s">
        <v>1353</v>
      </c>
      <c r="BE90" s="148">
        <f t="shared" si="21"/>
        <v>0</v>
      </c>
      <c r="BF90" s="148" t="str">
        <f t="shared" si="22"/>
        <v>高顺专属武器解封-0</v>
      </c>
      <c r="BG90" s="148" t="str">
        <f t="shared" si="26"/>
        <v/>
      </c>
      <c r="BH90" s="148" t="str">
        <f t="shared" si="27"/>
        <v/>
      </c>
      <c r="BI90" s="148" t="str">
        <f t="shared" si="28"/>
        <v/>
      </c>
      <c r="BJ90" s="148" t="str">
        <f t="shared" si="29"/>
        <v/>
      </c>
      <c r="BK90" s="148" t="str">
        <f t="shared" si="30"/>
        <v/>
      </c>
      <c r="BL90" s="148" t="str">
        <f t="shared" si="31"/>
        <v/>
      </c>
    </row>
    <row r="91" spans="52:64" ht="16.5" x14ac:dyDescent="0.2">
      <c r="AZ91" s="148">
        <v>86</v>
      </c>
      <c r="BA91" s="148">
        <f t="shared" si="23"/>
        <v>15</v>
      </c>
      <c r="BB91" s="148">
        <f t="shared" si="24"/>
        <v>3</v>
      </c>
      <c r="BC91" s="148">
        <f t="shared" si="25"/>
        <v>1102020</v>
      </c>
      <c r="BD91" s="148" t="s">
        <v>1353</v>
      </c>
      <c r="BE91" s="148">
        <f t="shared" si="21"/>
        <v>1</v>
      </c>
      <c r="BF91" s="148" t="str">
        <f t="shared" si="22"/>
        <v>高顺专属武器解封-1</v>
      </c>
      <c r="BG91" s="148" t="str">
        <f t="shared" si="26"/>
        <v>高顺专属武器效果</v>
      </c>
      <c r="BH91" s="148">
        <f t="shared" si="27"/>
        <v>1</v>
      </c>
      <c r="BI91" s="148" t="str">
        <f t="shared" si="28"/>
        <v>金币</v>
      </c>
      <c r="BJ91" s="148">
        <f t="shared" si="29"/>
        <v>18000</v>
      </c>
      <c r="BK91" s="148" t="str">
        <f t="shared" si="30"/>
        <v>高顺专属武器碎片</v>
      </c>
      <c r="BL91" s="148">
        <f t="shared" si="31"/>
        <v>40</v>
      </c>
    </row>
    <row r="92" spans="52:64" ht="16.5" x14ac:dyDescent="0.2">
      <c r="AZ92" s="148">
        <v>87</v>
      </c>
      <c r="BA92" s="148">
        <f t="shared" si="23"/>
        <v>15</v>
      </c>
      <c r="BB92" s="148">
        <f t="shared" si="24"/>
        <v>3</v>
      </c>
      <c r="BC92" s="148">
        <f t="shared" si="25"/>
        <v>1102020</v>
      </c>
      <c r="BD92" s="148" t="s">
        <v>1353</v>
      </c>
      <c r="BE92" s="148">
        <f t="shared" si="21"/>
        <v>2</v>
      </c>
      <c r="BF92" s="148" t="str">
        <f t="shared" si="22"/>
        <v>高顺专属武器解封-2</v>
      </c>
      <c r="BG92" s="148" t="str">
        <f t="shared" si="26"/>
        <v>高顺专属武器效果</v>
      </c>
      <c r="BH92" s="148">
        <f t="shared" si="27"/>
        <v>2</v>
      </c>
      <c r="BI92" s="148" t="str">
        <f t="shared" si="28"/>
        <v>金币</v>
      </c>
      <c r="BJ92" s="148">
        <f t="shared" si="29"/>
        <v>38000</v>
      </c>
      <c r="BK92" s="148" t="str">
        <f t="shared" si="30"/>
        <v>高顺专属武器碎片</v>
      </c>
      <c r="BL92" s="148">
        <f t="shared" si="31"/>
        <v>40</v>
      </c>
    </row>
    <row r="93" spans="52:64" ht="16.5" x14ac:dyDescent="0.2">
      <c r="AZ93" s="148">
        <v>88</v>
      </c>
      <c r="BA93" s="148">
        <f t="shared" si="23"/>
        <v>15</v>
      </c>
      <c r="BB93" s="148">
        <f t="shared" si="24"/>
        <v>3</v>
      </c>
      <c r="BC93" s="148">
        <f t="shared" si="25"/>
        <v>1102020</v>
      </c>
      <c r="BD93" s="148" t="s">
        <v>1353</v>
      </c>
      <c r="BE93" s="148">
        <f t="shared" si="21"/>
        <v>3</v>
      </c>
      <c r="BF93" s="148" t="str">
        <f t="shared" si="22"/>
        <v>高顺专属武器解封-3</v>
      </c>
      <c r="BG93" s="148" t="str">
        <f t="shared" si="26"/>
        <v>高顺专属武器效果</v>
      </c>
      <c r="BH93" s="148">
        <f t="shared" si="27"/>
        <v>3</v>
      </c>
      <c r="BI93" s="148" t="str">
        <f t="shared" si="28"/>
        <v>金币</v>
      </c>
      <c r="BJ93" s="148">
        <f t="shared" si="29"/>
        <v>88000</v>
      </c>
      <c r="BK93" s="148" t="str">
        <f t="shared" si="30"/>
        <v>高顺专属武器碎片</v>
      </c>
      <c r="BL93" s="148">
        <f t="shared" si="31"/>
        <v>60</v>
      </c>
    </row>
    <row r="94" spans="52:64" ht="16.5" x14ac:dyDescent="0.2">
      <c r="AZ94" s="148">
        <v>89</v>
      </c>
      <c r="BA94" s="148">
        <f t="shared" si="23"/>
        <v>15</v>
      </c>
      <c r="BB94" s="148">
        <f t="shared" si="24"/>
        <v>3</v>
      </c>
      <c r="BC94" s="148">
        <f t="shared" si="25"/>
        <v>1102020</v>
      </c>
      <c r="BD94" s="148" t="s">
        <v>1353</v>
      </c>
      <c r="BE94" s="148">
        <f t="shared" si="21"/>
        <v>4</v>
      </c>
      <c r="BF94" s="148" t="str">
        <f t="shared" si="22"/>
        <v>高顺专属武器解封-4</v>
      </c>
      <c r="BG94" s="148" t="str">
        <f t="shared" si="26"/>
        <v>高顺专属武器效果</v>
      </c>
      <c r="BH94" s="148">
        <f t="shared" si="27"/>
        <v>4</v>
      </c>
      <c r="BI94" s="148" t="str">
        <f t="shared" si="28"/>
        <v>金币</v>
      </c>
      <c r="BJ94" s="148">
        <f t="shared" si="29"/>
        <v>155500</v>
      </c>
      <c r="BK94" s="148" t="str">
        <f t="shared" si="30"/>
        <v>高顺专属武器碎片</v>
      </c>
      <c r="BL94" s="148">
        <f t="shared" si="31"/>
        <v>60</v>
      </c>
    </row>
    <row r="95" spans="52:64" ht="16.5" x14ac:dyDescent="0.2">
      <c r="AZ95" s="148">
        <v>90</v>
      </c>
      <c r="BA95" s="148">
        <f t="shared" si="23"/>
        <v>15</v>
      </c>
      <c r="BB95" s="148">
        <f t="shared" si="24"/>
        <v>3</v>
      </c>
      <c r="BC95" s="148">
        <f t="shared" si="25"/>
        <v>1102020</v>
      </c>
      <c r="BD95" s="148" t="s">
        <v>1353</v>
      </c>
      <c r="BE95" s="148">
        <f t="shared" si="21"/>
        <v>5</v>
      </c>
      <c r="BF95" s="148" t="str">
        <f t="shared" si="22"/>
        <v>高顺专属武器解封-5</v>
      </c>
      <c r="BG95" s="148" t="str">
        <f t="shared" si="26"/>
        <v>高顺专属武器效果</v>
      </c>
      <c r="BH95" s="148">
        <f t="shared" si="27"/>
        <v>5</v>
      </c>
      <c r="BI95" s="148" t="str">
        <f t="shared" si="28"/>
        <v>金币</v>
      </c>
      <c r="BJ95" s="148">
        <f t="shared" si="29"/>
        <v>376000</v>
      </c>
      <c r="BK95" s="148" t="str">
        <f t="shared" si="30"/>
        <v>高顺专属武器碎片</v>
      </c>
      <c r="BL95" s="148">
        <f t="shared" si="31"/>
        <v>80</v>
      </c>
    </row>
    <row r="96" spans="52:64" ht="16.5" x14ac:dyDescent="0.2">
      <c r="AZ96" s="148">
        <v>91</v>
      </c>
      <c r="BA96" s="148">
        <f t="shared" si="23"/>
        <v>16</v>
      </c>
      <c r="BB96" s="148">
        <f t="shared" si="24"/>
        <v>2</v>
      </c>
      <c r="BC96" s="148">
        <f t="shared" si="25"/>
        <v>1102021</v>
      </c>
      <c r="BD96" s="148" t="s">
        <v>1353</v>
      </c>
      <c r="BE96" s="148">
        <f t="shared" si="21"/>
        <v>0</v>
      </c>
      <c r="BF96" s="148" t="str">
        <f t="shared" si="22"/>
        <v>烈风螳螂专属武器解封-0</v>
      </c>
      <c r="BG96" s="148" t="str">
        <f t="shared" si="26"/>
        <v/>
      </c>
      <c r="BH96" s="148" t="str">
        <f t="shared" si="27"/>
        <v/>
      </c>
      <c r="BI96" s="148" t="str">
        <f t="shared" si="28"/>
        <v/>
      </c>
      <c r="BJ96" s="148" t="str">
        <f t="shared" si="29"/>
        <v/>
      </c>
      <c r="BK96" s="148" t="str">
        <f t="shared" si="30"/>
        <v/>
      </c>
      <c r="BL96" s="148" t="str">
        <f t="shared" si="31"/>
        <v/>
      </c>
    </row>
    <row r="97" spans="52:64" ht="16.5" x14ac:dyDescent="0.2">
      <c r="AZ97" s="148">
        <v>92</v>
      </c>
      <c r="BA97" s="148">
        <f t="shared" si="23"/>
        <v>16</v>
      </c>
      <c r="BB97" s="148">
        <f t="shared" si="24"/>
        <v>2</v>
      </c>
      <c r="BC97" s="148">
        <f t="shared" si="25"/>
        <v>1102021</v>
      </c>
      <c r="BD97" s="148" t="s">
        <v>1353</v>
      </c>
      <c r="BE97" s="148">
        <f t="shared" si="21"/>
        <v>1</v>
      </c>
      <c r="BF97" s="148" t="str">
        <f t="shared" si="22"/>
        <v>烈风螳螂专属武器解封-1</v>
      </c>
      <c r="BG97" s="148" t="str">
        <f t="shared" si="26"/>
        <v>烈风螳螂专属武器效果</v>
      </c>
      <c r="BH97" s="148">
        <f t="shared" si="27"/>
        <v>1</v>
      </c>
      <c r="BI97" s="148" t="str">
        <f t="shared" si="28"/>
        <v>金币</v>
      </c>
      <c r="BJ97" s="148">
        <f t="shared" si="29"/>
        <v>15000</v>
      </c>
      <c r="BK97" s="148" t="str">
        <f t="shared" si="30"/>
        <v>烈风螳螂专属武器碎片</v>
      </c>
      <c r="BL97" s="148">
        <f t="shared" si="31"/>
        <v>40</v>
      </c>
    </row>
    <row r="98" spans="52:64" ht="16.5" x14ac:dyDescent="0.2">
      <c r="AZ98" s="148">
        <v>93</v>
      </c>
      <c r="BA98" s="148">
        <f t="shared" si="23"/>
        <v>16</v>
      </c>
      <c r="BB98" s="148">
        <f t="shared" si="24"/>
        <v>2</v>
      </c>
      <c r="BC98" s="148">
        <f t="shared" si="25"/>
        <v>1102021</v>
      </c>
      <c r="BD98" s="148" t="s">
        <v>1353</v>
      </c>
      <c r="BE98" s="148">
        <f t="shared" ref="BE98:BE131" si="32">AZ98-(BA98-1)*6-1</f>
        <v>2</v>
      </c>
      <c r="BF98" s="148" t="str">
        <f t="shared" ref="BF98:BF131" si="33">INDEX($B$6:$B$26,BA98)&amp;"专属武器解封-"&amp;BE98</f>
        <v>烈风螳螂专属武器解封-2</v>
      </c>
      <c r="BG98" s="148" t="str">
        <f t="shared" si="26"/>
        <v>烈风螳螂专属武器效果</v>
      </c>
      <c r="BH98" s="148">
        <f t="shared" si="27"/>
        <v>2</v>
      </c>
      <c r="BI98" s="148" t="str">
        <f t="shared" si="28"/>
        <v>金币</v>
      </c>
      <c r="BJ98" s="148">
        <f t="shared" si="29"/>
        <v>32000</v>
      </c>
      <c r="BK98" s="148" t="str">
        <f t="shared" si="30"/>
        <v>烈风螳螂专属武器碎片</v>
      </c>
      <c r="BL98" s="148">
        <f t="shared" si="31"/>
        <v>40</v>
      </c>
    </row>
    <row r="99" spans="52:64" ht="16.5" x14ac:dyDescent="0.2">
      <c r="AZ99" s="148">
        <v>94</v>
      </c>
      <c r="BA99" s="148">
        <f t="shared" si="23"/>
        <v>16</v>
      </c>
      <c r="BB99" s="148">
        <f t="shared" si="24"/>
        <v>2</v>
      </c>
      <c r="BC99" s="148">
        <f t="shared" si="25"/>
        <v>1102021</v>
      </c>
      <c r="BD99" s="148" t="s">
        <v>1353</v>
      </c>
      <c r="BE99" s="148">
        <f t="shared" si="32"/>
        <v>3</v>
      </c>
      <c r="BF99" s="148" t="str">
        <f t="shared" si="33"/>
        <v>烈风螳螂专属武器解封-3</v>
      </c>
      <c r="BG99" s="148" t="str">
        <f t="shared" si="26"/>
        <v>烈风螳螂专属武器效果</v>
      </c>
      <c r="BH99" s="148">
        <f t="shared" si="27"/>
        <v>3</v>
      </c>
      <c r="BI99" s="148" t="str">
        <f t="shared" si="28"/>
        <v>金币</v>
      </c>
      <c r="BJ99" s="148">
        <f t="shared" si="29"/>
        <v>73000</v>
      </c>
      <c r="BK99" s="148" t="str">
        <f t="shared" si="30"/>
        <v>烈风螳螂专属武器碎片</v>
      </c>
      <c r="BL99" s="148">
        <f t="shared" si="31"/>
        <v>60</v>
      </c>
    </row>
    <row r="100" spans="52:64" ht="16.5" x14ac:dyDescent="0.2">
      <c r="AZ100" s="148">
        <v>95</v>
      </c>
      <c r="BA100" s="148">
        <f t="shared" si="23"/>
        <v>16</v>
      </c>
      <c r="BB100" s="148">
        <f t="shared" si="24"/>
        <v>2</v>
      </c>
      <c r="BC100" s="148">
        <f t="shared" si="25"/>
        <v>1102021</v>
      </c>
      <c r="BD100" s="148" t="s">
        <v>1353</v>
      </c>
      <c r="BE100" s="148">
        <f t="shared" si="32"/>
        <v>4</v>
      </c>
      <c r="BF100" s="148" t="str">
        <f t="shared" si="33"/>
        <v>烈风螳螂专属武器解封-4</v>
      </c>
      <c r="BG100" s="148" t="str">
        <f t="shared" si="26"/>
        <v>烈风螳螂专属武器效果</v>
      </c>
      <c r="BH100" s="148">
        <f t="shared" si="27"/>
        <v>4</v>
      </c>
      <c r="BI100" s="148" t="str">
        <f t="shared" si="28"/>
        <v>金币</v>
      </c>
      <c r="BJ100" s="148">
        <f t="shared" si="29"/>
        <v>129500</v>
      </c>
      <c r="BK100" s="148" t="str">
        <f t="shared" si="30"/>
        <v>烈风螳螂专属武器碎片</v>
      </c>
      <c r="BL100" s="148">
        <f t="shared" si="31"/>
        <v>60</v>
      </c>
    </row>
    <row r="101" spans="52:64" ht="16.5" x14ac:dyDescent="0.2">
      <c r="AZ101" s="148">
        <v>96</v>
      </c>
      <c r="BA101" s="148">
        <f t="shared" si="23"/>
        <v>16</v>
      </c>
      <c r="BB101" s="148">
        <f t="shared" si="24"/>
        <v>2</v>
      </c>
      <c r="BC101" s="148">
        <f t="shared" si="25"/>
        <v>1102021</v>
      </c>
      <c r="BD101" s="148" t="s">
        <v>1353</v>
      </c>
      <c r="BE101" s="148">
        <f t="shared" si="32"/>
        <v>5</v>
      </c>
      <c r="BF101" s="148" t="str">
        <f t="shared" si="33"/>
        <v>烈风螳螂专属武器解封-5</v>
      </c>
      <c r="BG101" s="148" t="str">
        <f t="shared" si="26"/>
        <v>烈风螳螂专属武器效果</v>
      </c>
      <c r="BH101" s="148">
        <f t="shared" si="27"/>
        <v>5</v>
      </c>
      <c r="BI101" s="148" t="str">
        <f t="shared" si="28"/>
        <v>金币</v>
      </c>
      <c r="BJ101" s="148">
        <f t="shared" si="29"/>
        <v>313500</v>
      </c>
      <c r="BK101" s="148" t="str">
        <f t="shared" si="30"/>
        <v>烈风螳螂专属武器碎片</v>
      </c>
      <c r="BL101" s="148">
        <f t="shared" si="31"/>
        <v>80</v>
      </c>
    </row>
    <row r="102" spans="52:64" ht="16.5" x14ac:dyDescent="0.2">
      <c r="AZ102" s="148">
        <v>97</v>
      </c>
      <c r="BA102" s="148">
        <f t="shared" si="23"/>
        <v>17</v>
      </c>
      <c r="BB102" s="148">
        <f t="shared" si="24"/>
        <v>2</v>
      </c>
      <c r="BC102" s="148">
        <f t="shared" si="25"/>
        <v>1102024</v>
      </c>
      <c r="BD102" s="148" t="s">
        <v>1353</v>
      </c>
      <c r="BE102" s="148">
        <f t="shared" si="32"/>
        <v>0</v>
      </c>
      <c r="BF102" s="148" t="str">
        <f t="shared" si="33"/>
        <v>朱仙专属武器解封-0</v>
      </c>
      <c r="BG102" s="148" t="str">
        <f t="shared" si="26"/>
        <v/>
      </c>
      <c r="BH102" s="148" t="str">
        <f t="shared" si="27"/>
        <v/>
      </c>
      <c r="BI102" s="148" t="str">
        <f t="shared" si="28"/>
        <v/>
      </c>
      <c r="BJ102" s="148" t="str">
        <f t="shared" si="29"/>
        <v/>
      </c>
      <c r="BK102" s="148" t="str">
        <f t="shared" si="30"/>
        <v/>
      </c>
      <c r="BL102" s="148" t="str">
        <f t="shared" si="31"/>
        <v/>
      </c>
    </row>
    <row r="103" spans="52:64" ht="16.5" x14ac:dyDescent="0.2">
      <c r="AZ103" s="148">
        <v>98</v>
      </c>
      <c r="BA103" s="148">
        <f t="shared" si="23"/>
        <v>17</v>
      </c>
      <c r="BB103" s="148">
        <f t="shared" si="24"/>
        <v>2</v>
      </c>
      <c r="BC103" s="148">
        <f t="shared" si="25"/>
        <v>1102024</v>
      </c>
      <c r="BD103" s="148" t="s">
        <v>1353</v>
      </c>
      <c r="BE103" s="148">
        <f t="shared" si="32"/>
        <v>1</v>
      </c>
      <c r="BF103" s="148" t="str">
        <f t="shared" si="33"/>
        <v>朱仙专属武器解封-1</v>
      </c>
      <c r="BG103" s="148" t="str">
        <f t="shared" si="26"/>
        <v>朱仙专属武器效果</v>
      </c>
      <c r="BH103" s="148">
        <f t="shared" si="27"/>
        <v>1</v>
      </c>
      <c r="BI103" s="148" t="str">
        <f t="shared" si="28"/>
        <v>金币</v>
      </c>
      <c r="BJ103" s="148">
        <f t="shared" si="29"/>
        <v>15000</v>
      </c>
      <c r="BK103" s="148" t="str">
        <f t="shared" si="30"/>
        <v>朱仙专属武器碎片</v>
      </c>
      <c r="BL103" s="148">
        <f t="shared" si="31"/>
        <v>40</v>
      </c>
    </row>
    <row r="104" spans="52:64" ht="16.5" x14ac:dyDescent="0.2">
      <c r="AZ104" s="148">
        <v>99</v>
      </c>
      <c r="BA104" s="148">
        <f t="shared" si="23"/>
        <v>17</v>
      </c>
      <c r="BB104" s="148">
        <f t="shared" si="24"/>
        <v>2</v>
      </c>
      <c r="BC104" s="148">
        <f t="shared" si="25"/>
        <v>1102024</v>
      </c>
      <c r="BD104" s="148" t="s">
        <v>1353</v>
      </c>
      <c r="BE104" s="148">
        <f t="shared" si="32"/>
        <v>2</v>
      </c>
      <c r="BF104" s="148" t="str">
        <f t="shared" si="33"/>
        <v>朱仙专属武器解封-2</v>
      </c>
      <c r="BG104" s="148" t="str">
        <f t="shared" si="26"/>
        <v>朱仙专属武器效果</v>
      </c>
      <c r="BH104" s="148">
        <f t="shared" si="27"/>
        <v>2</v>
      </c>
      <c r="BI104" s="148" t="str">
        <f t="shared" si="28"/>
        <v>金币</v>
      </c>
      <c r="BJ104" s="148">
        <f t="shared" si="29"/>
        <v>32000</v>
      </c>
      <c r="BK104" s="148" t="str">
        <f t="shared" si="30"/>
        <v>朱仙专属武器碎片</v>
      </c>
      <c r="BL104" s="148">
        <f t="shared" si="31"/>
        <v>40</v>
      </c>
    </row>
    <row r="105" spans="52:64" ht="16.5" x14ac:dyDescent="0.2">
      <c r="AZ105" s="148">
        <v>100</v>
      </c>
      <c r="BA105" s="148">
        <f t="shared" si="23"/>
        <v>17</v>
      </c>
      <c r="BB105" s="148">
        <f t="shared" si="24"/>
        <v>2</v>
      </c>
      <c r="BC105" s="148">
        <f t="shared" si="25"/>
        <v>1102024</v>
      </c>
      <c r="BD105" s="148" t="s">
        <v>1353</v>
      </c>
      <c r="BE105" s="148">
        <f t="shared" si="32"/>
        <v>3</v>
      </c>
      <c r="BF105" s="148" t="str">
        <f t="shared" si="33"/>
        <v>朱仙专属武器解封-3</v>
      </c>
      <c r="BG105" s="148" t="str">
        <f t="shared" si="26"/>
        <v>朱仙专属武器效果</v>
      </c>
      <c r="BH105" s="148">
        <f t="shared" si="27"/>
        <v>3</v>
      </c>
      <c r="BI105" s="148" t="str">
        <f t="shared" si="28"/>
        <v>金币</v>
      </c>
      <c r="BJ105" s="148">
        <f t="shared" si="29"/>
        <v>73000</v>
      </c>
      <c r="BK105" s="148" t="str">
        <f t="shared" si="30"/>
        <v>朱仙专属武器碎片</v>
      </c>
      <c r="BL105" s="148">
        <f t="shared" si="31"/>
        <v>60</v>
      </c>
    </row>
    <row r="106" spans="52:64" ht="16.5" x14ac:dyDescent="0.2">
      <c r="AZ106" s="148">
        <v>101</v>
      </c>
      <c r="BA106" s="148">
        <f t="shared" si="23"/>
        <v>17</v>
      </c>
      <c r="BB106" s="148">
        <f t="shared" si="24"/>
        <v>2</v>
      </c>
      <c r="BC106" s="148">
        <f t="shared" si="25"/>
        <v>1102024</v>
      </c>
      <c r="BD106" s="148" t="s">
        <v>1353</v>
      </c>
      <c r="BE106" s="148">
        <f t="shared" si="32"/>
        <v>4</v>
      </c>
      <c r="BF106" s="148" t="str">
        <f t="shared" si="33"/>
        <v>朱仙专属武器解封-4</v>
      </c>
      <c r="BG106" s="148" t="str">
        <f t="shared" si="26"/>
        <v>朱仙专属武器效果</v>
      </c>
      <c r="BH106" s="148">
        <f t="shared" si="27"/>
        <v>4</v>
      </c>
      <c r="BI106" s="148" t="str">
        <f t="shared" si="28"/>
        <v>金币</v>
      </c>
      <c r="BJ106" s="148">
        <f t="shared" si="29"/>
        <v>129500</v>
      </c>
      <c r="BK106" s="148" t="str">
        <f t="shared" si="30"/>
        <v>朱仙专属武器碎片</v>
      </c>
      <c r="BL106" s="148">
        <f t="shared" si="31"/>
        <v>60</v>
      </c>
    </row>
    <row r="107" spans="52:64" ht="16.5" x14ac:dyDescent="0.2">
      <c r="AZ107" s="148">
        <v>102</v>
      </c>
      <c r="BA107" s="148">
        <f t="shared" si="23"/>
        <v>17</v>
      </c>
      <c r="BB107" s="148">
        <f t="shared" si="24"/>
        <v>2</v>
      </c>
      <c r="BC107" s="148">
        <f t="shared" si="25"/>
        <v>1102024</v>
      </c>
      <c r="BD107" s="148" t="s">
        <v>1353</v>
      </c>
      <c r="BE107" s="148">
        <f t="shared" si="32"/>
        <v>5</v>
      </c>
      <c r="BF107" s="148" t="str">
        <f t="shared" si="33"/>
        <v>朱仙专属武器解封-5</v>
      </c>
      <c r="BG107" s="148" t="str">
        <f t="shared" si="26"/>
        <v>朱仙专属武器效果</v>
      </c>
      <c r="BH107" s="148">
        <f t="shared" si="27"/>
        <v>5</v>
      </c>
      <c r="BI107" s="148" t="str">
        <f t="shared" si="28"/>
        <v>金币</v>
      </c>
      <c r="BJ107" s="148">
        <f t="shared" si="29"/>
        <v>313500</v>
      </c>
      <c r="BK107" s="148" t="str">
        <f t="shared" si="30"/>
        <v>朱仙专属武器碎片</v>
      </c>
      <c r="BL107" s="148">
        <f t="shared" si="31"/>
        <v>80</v>
      </c>
    </row>
    <row r="108" spans="52:64" ht="16.5" x14ac:dyDescent="0.2">
      <c r="AZ108" s="148">
        <v>103</v>
      </c>
      <c r="BA108" s="148">
        <f t="shared" si="23"/>
        <v>18</v>
      </c>
      <c r="BB108" s="148">
        <f t="shared" si="24"/>
        <v>2</v>
      </c>
      <c r="BC108" s="148">
        <f t="shared" si="25"/>
        <v>1102026</v>
      </c>
      <c r="BD108" s="148" t="s">
        <v>1353</v>
      </c>
      <c r="BE108" s="148">
        <f t="shared" si="32"/>
        <v>0</v>
      </c>
      <c r="BF108" s="148" t="str">
        <f t="shared" si="33"/>
        <v>雷震子专属武器解封-0</v>
      </c>
      <c r="BG108" s="148" t="str">
        <f t="shared" si="26"/>
        <v/>
      </c>
      <c r="BH108" s="148" t="str">
        <f t="shared" si="27"/>
        <v/>
      </c>
      <c r="BI108" s="148" t="str">
        <f t="shared" si="28"/>
        <v/>
      </c>
      <c r="BJ108" s="148" t="str">
        <f t="shared" si="29"/>
        <v/>
      </c>
      <c r="BK108" s="148" t="str">
        <f t="shared" si="30"/>
        <v/>
      </c>
      <c r="BL108" s="148" t="str">
        <f t="shared" si="31"/>
        <v/>
      </c>
    </row>
    <row r="109" spans="52:64" ht="16.5" x14ac:dyDescent="0.2">
      <c r="AZ109" s="148">
        <v>104</v>
      </c>
      <c r="BA109" s="148">
        <f t="shared" si="23"/>
        <v>18</v>
      </c>
      <c r="BB109" s="148">
        <f t="shared" si="24"/>
        <v>2</v>
      </c>
      <c r="BC109" s="148">
        <f t="shared" si="25"/>
        <v>1102026</v>
      </c>
      <c r="BD109" s="148" t="s">
        <v>1353</v>
      </c>
      <c r="BE109" s="148">
        <f t="shared" si="32"/>
        <v>1</v>
      </c>
      <c r="BF109" s="148" t="str">
        <f t="shared" si="33"/>
        <v>雷震子专属武器解封-1</v>
      </c>
      <c r="BG109" s="148" t="str">
        <f t="shared" si="26"/>
        <v>雷震子专属武器效果</v>
      </c>
      <c r="BH109" s="148">
        <f t="shared" si="27"/>
        <v>1</v>
      </c>
      <c r="BI109" s="148" t="str">
        <f t="shared" si="28"/>
        <v>金币</v>
      </c>
      <c r="BJ109" s="148">
        <f t="shared" si="29"/>
        <v>15000</v>
      </c>
      <c r="BK109" s="148" t="str">
        <f t="shared" si="30"/>
        <v>雷震子专属武器碎片</v>
      </c>
      <c r="BL109" s="148">
        <f t="shared" si="31"/>
        <v>40</v>
      </c>
    </row>
    <row r="110" spans="52:64" ht="16.5" x14ac:dyDescent="0.2">
      <c r="AZ110" s="148">
        <v>105</v>
      </c>
      <c r="BA110" s="148">
        <f t="shared" si="23"/>
        <v>18</v>
      </c>
      <c r="BB110" s="148">
        <f t="shared" si="24"/>
        <v>2</v>
      </c>
      <c r="BC110" s="148">
        <f t="shared" si="25"/>
        <v>1102026</v>
      </c>
      <c r="BD110" s="148" t="s">
        <v>1353</v>
      </c>
      <c r="BE110" s="148">
        <f t="shared" si="32"/>
        <v>2</v>
      </c>
      <c r="BF110" s="148" t="str">
        <f t="shared" si="33"/>
        <v>雷震子专属武器解封-2</v>
      </c>
      <c r="BG110" s="148" t="str">
        <f t="shared" si="26"/>
        <v>雷震子专属武器效果</v>
      </c>
      <c r="BH110" s="148">
        <f t="shared" si="27"/>
        <v>2</v>
      </c>
      <c r="BI110" s="148" t="str">
        <f t="shared" si="28"/>
        <v>金币</v>
      </c>
      <c r="BJ110" s="148">
        <f t="shared" si="29"/>
        <v>32000</v>
      </c>
      <c r="BK110" s="148" t="str">
        <f t="shared" si="30"/>
        <v>雷震子专属武器碎片</v>
      </c>
      <c r="BL110" s="148">
        <f t="shared" si="31"/>
        <v>40</v>
      </c>
    </row>
    <row r="111" spans="52:64" ht="16.5" x14ac:dyDescent="0.2">
      <c r="AZ111" s="148">
        <v>106</v>
      </c>
      <c r="BA111" s="148">
        <f t="shared" si="23"/>
        <v>18</v>
      </c>
      <c r="BB111" s="148">
        <f t="shared" si="24"/>
        <v>2</v>
      </c>
      <c r="BC111" s="148">
        <f t="shared" si="25"/>
        <v>1102026</v>
      </c>
      <c r="BD111" s="148" t="s">
        <v>1353</v>
      </c>
      <c r="BE111" s="148">
        <f t="shared" si="32"/>
        <v>3</v>
      </c>
      <c r="BF111" s="148" t="str">
        <f t="shared" si="33"/>
        <v>雷震子专属武器解封-3</v>
      </c>
      <c r="BG111" s="148" t="str">
        <f t="shared" si="26"/>
        <v>雷震子专属武器效果</v>
      </c>
      <c r="BH111" s="148">
        <f t="shared" si="27"/>
        <v>3</v>
      </c>
      <c r="BI111" s="148" t="str">
        <f t="shared" si="28"/>
        <v>金币</v>
      </c>
      <c r="BJ111" s="148">
        <f t="shared" si="29"/>
        <v>73000</v>
      </c>
      <c r="BK111" s="148" t="str">
        <f t="shared" si="30"/>
        <v>雷震子专属武器碎片</v>
      </c>
      <c r="BL111" s="148">
        <f t="shared" si="31"/>
        <v>60</v>
      </c>
    </row>
    <row r="112" spans="52:64" ht="16.5" x14ac:dyDescent="0.2">
      <c r="AZ112" s="148">
        <v>107</v>
      </c>
      <c r="BA112" s="148">
        <f t="shared" si="23"/>
        <v>18</v>
      </c>
      <c r="BB112" s="148">
        <f t="shared" si="24"/>
        <v>2</v>
      </c>
      <c r="BC112" s="148">
        <f t="shared" si="25"/>
        <v>1102026</v>
      </c>
      <c r="BD112" s="148" t="s">
        <v>1353</v>
      </c>
      <c r="BE112" s="148">
        <f t="shared" si="32"/>
        <v>4</v>
      </c>
      <c r="BF112" s="148" t="str">
        <f t="shared" si="33"/>
        <v>雷震子专属武器解封-4</v>
      </c>
      <c r="BG112" s="148" t="str">
        <f t="shared" si="26"/>
        <v>雷震子专属武器效果</v>
      </c>
      <c r="BH112" s="148">
        <f t="shared" si="27"/>
        <v>4</v>
      </c>
      <c r="BI112" s="148" t="str">
        <f t="shared" si="28"/>
        <v>金币</v>
      </c>
      <c r="BJ112" s="148">
        <f t="shared" si="29"/>
        <v>129500</v>
      </c>
      <c r="BK112" s="148" t="str">
        <f t="shared" si="30"/>
        <v>雷震子专属武器碎片</v>
      </c>
      <c r="BL112" s="148">
        <f t="shared" si="31"/>
        <v>60</v>
      </c>
    </row>
    <row r="113" spans="52:64" ht="16.5" x14ac:dyDescent="0.2">
      <c r="AZ113" s="148">
        <v>108</v>
      </c>
      <c r="BA113" s="148">
        <f t="shared" si="23"/>
        <v>18</v>
      </c>
      <c r="BB113" s="148">
        <f t="shared" si="24"/>
        <v>2</v>
      </c>
      <c r="BC113" s="148">
        <f t="shared" si="25"/>
        <v>1102026</v>
      </c>
      <c r="BD113" s="148" t="s">
        <v>1353</v>
      </c>
      <c r="BE113" s="148">
        <f t="shared" si="32"/>
        <v>5</v>
      </c>
      <c r="BF113" s="148" t="str">
        <f t="shared" si="33"/>
        <v>雷震子专属武器解封-5</v>
      </c>
      <c r="BG113" s="148" t="str">
        <f t="shared" si="26"/>
        <v>雷震子专属武器效果</v>
      </c>
      <c r="BH113" s="148">
        <f t="shared" si="27"/>
        <v>5</v>
      </c>
      <c r="BI113" s="148" t="str">
        <f t="shared" si="28"/>
        <v>金币</v>
      </c>
      <c r="BJ113" s="148">
        <f t="shared" si="29"/>
        <v>313500</v>
      </c>
      <c r="BK113" s="148" t="str">
        <f t="shared" si="30"/>
        <v>雷震子专属武器碎片</v>
      </c>
      <c r="BL113" s="148">
        <f t="shared" si="31"/>
        <v>80</v>
      </c>
    </row>
    <row r="114" spans="52:64" ht="16.5" x14ac:dyDescent="0.2">
      <c r="AZ114" s="148">
        <v>109</v>
      </c>
      <c r="BA114" s="148">
        <f t="shared" si="23"/>
        <v>19</v>
      </c>
      <c r="BB114" s="148">
        <f t="shared" si="24"/>
        <v>6</v>
      </c>
      <c r="BC114" s="148">
        <f t="shared" si="25"/>
        <v>1102028</v>
      </c>
      <c r="BD114" s="148" t="s">
        <v>1353</v>
      </c>
      <c r="BE114" s="148">
        <f t="shared" si="32"/>
        <v>0</v>
      </c>
      <c r="BF114" s="148" t="str">
        <f t="shared" si="33"/>
        <v>吕布专属武器解封-0</v>
      </c>
      <c r="BG114" s="148" t="str">
        <f t="shared" si="26"/>
        <v/>
      </c>
      <c r="BH114" s="148" t="str">
        <f t="shared" si="27"/>
        <v/>
      </c>
      <c r="BI114" s="148" t="str">
        <f t="shared" si="28"/>
        <v/>
      </c>
      <c r="BJ114" s="148" t="str">
        <f t="shared" si="29"/>
        <v/>
      </c>
      <c r="BK114" s="148" t="str">
        <f t="shared" si="30"/>
        <v/>
      </c>
      <c r="BL114" s="148" t="str">
        <f t="shared" si="31"/>
        <v/>
      </c>
    </row>
    <row r="115" spans="52:64" ht="16.5" x14ac:dyDescent="0.2">
      <c r="AZ115" s="148">
        <v>110</v>
      </c>
      <c r="BA115" s="148">
        <f t="shared" si="23"/>
        <v>19</v>
      </c>
      <c r="BB115" s="148">
        <f t="shared" si="24"/>
        <v>6</v>
      </c>
      <c r="BC115" s="148">
        <f t="shared" si="25"/>
        <v>1102028</v>
      </c>
      <c r="BD115" s="148" t="s">
        <v>1353</v>
      </c>
      <c r="BE115" s="148">
        <f t="shared" si="32"/>
        <v>1</v>
      </c>
      <c r="BF115" s="148" t="str">
        <f t="shared" si="33"/>
        <v>吕布专属武器解封-1</v>
      </c>
      <c r="BG115" s="148" t="str">
        <f t="shared" si="26"/>
        <v>吕布专属武器效果</v>
      </c>
      <c r="BH115" s="148">
        <f t="shared" si="27"/>
        <v>1</v>
      </c>
      <c r="BI115" s="148" t="str">
        <f t="shared" si="28"/>
        <v>金币</v>
      </c>
      <c r="BJ115" s="148">
        <f t="shared" si="29"/>
        <v>29500</v>
      </c>
      <c r="BK115" s="148" t="str">
        <f t="shared" si="30"/>
        <v>吕布专属武器碎片</v>
      </c>
      <c r="BL115" s="148">
        <f t="shared" si="31"/>
        <v>80</v>
      </c>
    </row>
    <row r="116" spans="52:64" ht="16.5" x14ac:dyDescent="0.2">
      <c r="AZ116" s="148">
        <v>111</v>
      </c>
      <c r="BA116" s="148">
        <f t="shared" si="23"/>
        <v>19</v>
      </c>
      <c r="BB116" s="148">
        <f t="shared" si="24"/>
        <v>6</v>
      </c>
      <c r="BC116" s="148">
        <f t="shared" si="25"/>
        <v>1102028</v>
      </c>
      <c r="BD116" s="148" t="s">
        <v>1353</v>
      </c>
      <c r="BE116" s="148">
        <f t="shared" si="32"/>
        <v>2</v>
      </c>
      <c r="BF116" s="148" t="str">
        <f t="shared" si="33"/>
        <v>吕布专属武器解封-2</v>
      </c>
      <c r="BG116" s="148" t="str">
        <f t="shared" si="26"/>
        <v>吕布专属武器效果</v>
      </c>
      <c r="BH116" s="148">
        <f t="shared" si="27"/>
        <v>2</v>
      </c>
      <c r="BI116" s="148" t="str">
        <f t="shared" si="28"/>
        <v>金币</v>
      </c>
      <c r="BJ116" s="148">
        <f t="shared" si="29"/>
        <v>63500</v>
      </c>
      <c r="BK116" s="148" t="str">
        <f t="shared" si="30"/>
        <v>吕布专属武器碎片</v>
      </c>
      <c r="BL116" s="148">
        <f t="shared" si="31"/>
        <v>80</v>
      </c>
    </row>
    <row r="117" spans="52:64" ht="16.5" x14ac:dyDescent="0.2">
      <c r="AZ117" s="148">
        <v>112</v>
      </c>
      <c r="BA117" s="148">
        <f t="shared" si="23"/>
        <v>19</v>
      </c>
      <c r="BB117" s="148">
        <f t="shared" si="24"/>
        <v>6</v>
      </c>
      <c r="BC117" s="148">
        <f t="shared" si="25"/>
        <v>1102028</v>
      </c>
      <c r="BD117" s="148" t="s">
        <v>1353</v>
      </c>
      <c r="BE117" s="148">
        <f t="shared" si="32"/>
        <v>3</v>
      </c>
      <c r="BF117" s="148" t="str">
        <f t="shared" si="33"/>
        <v>吕布专属武器解封-3</v>
      </c>
      <c r="BG117" s="148" t="str">
        <f t="shared" si="26"/>
        <v>吕布专属武器效果</v>
      </c>
      <c r="BH117" s="148">
        <f t="shared" si="27"/>
        <v>3</v>
      </c>
      <c r="BI117" s="148" t="str">
        <f t="shared" si="28"/>
        <v>金币</v>
      </c>
      <c r="BJ117" s="148">
        <f t="shared" si="29"/>
        <v>146500</v>
      </c>
      <c r="BK117" s="148" t="str">
        <f t="shared" si="30"/>
        <v>吕布专属武器碎片</v>
      </c>
      <c r="BL117" s="148">
        <f t="shared" si="31"/>
        <v>120</v>
      </c>
    </row>
    <row r="118" spans="52:64" ht="16.5" x14ac:dyDescent="0.2">
      <c r="AZ118" s="148">
        <v>113</v>
      </c>
      <c r="BA118" s="148">
        <f t="shared" si="23"/>
        <v>19</v>
      </c>
      <c r="BB118" s="148">
        <f t="shared" si="24"/>
        <v>6</v>
      </c>
      <c r="BC118" s="148">
        <f t="shared" si="25"/>
        <v>1102028</v>
      </c>
      <c r="BD118" s="148" t="s">
        <v>1353</v>
      </c>
      <c r="BE118" s="148">
        <f t="shared" si="32"/>
        <v>4</v>
      </c>
      <c r="BF118" s="148" t="str">
        <f t="shared" si="33"/>
        <v>吕布专属武器解封-4</v>
      </c>
      <c r="BG118" s="148" t="str">
        <f t="shared" si="26"/>
        <v>吕布专属武器效果</v>
      </c>
      <c r="BH118" s="148">
        <f t="shared" si="27"/>
        <v>4</v>
      </c>
      <c r="BI118" s="148" t="str">
        <f t="shared" si="28"/>
        <v>金币</v>
      </c>
      <c r="BJ118" s="148">
        <f t="shared" si="29"/>
        <v>259000</v>
      </c>
      <c r="BK118" s="148" t="str">
        <f t="shared" si="30"/>
        <v>吕布专属武器碎片</v>
      </c>
      <c r="BL118" s="148">
        <f t="shared" si="31"/>
        <v>120</v>
      </c>
    </row>
    <row r="119" spans="52:64" ht="16.5" x14ac:dyDescent="0.2">
      <c r="AZ119" s="148">
        <v>114</v>
      </c>
      <c r="BA119" s="148">
        <f t="shared" si="23"/>
        <v>19</v>
      </c>
      <c r="BB119" s="148">
        <f t="shared" si="24"/>
        <v>6</v>
      </c>
      <c r="BC119" s="148">
        <f t="shared" si="25"/>
        <v>1102028</v>
      </c>
      <c r="BD119" s="148" t="s">
        <v>1353</v>
      </c>
      <c r="BE119" s="148">
        <f t="shared" si="32"/>
        <v>5</v>
      </c>
      <c r="BF119" s="148" t="str">
        <f t="shared" si="33"/>
        <v>吕布专属武器解封-5</v>
      </c>
      <c r="BG119" s="148" t="str">
        <f t="shared" si="26"/>
        <v>吕布专属武器效果</v>
      </c>
      <c r="BH119" s="148">
        <f t="shared" si="27"/>
        <v>5</v>
      </c>
      <c r="BI119" s="148" t="str">
        <f t="shared" si="28"/>
        <v>金币</v>
      </c>
      <c r="BJ119" s="148">
        <f t="shared" si="29"/>
        <v>626500</v>
      </c>
      <c r="BK119" s="148" t="str">
        <f t="shared" si="30"/>
        <v>吕布专属武器碎片</v>
      </c>
      <c r="BL119" s="148">
        <f t="shared" si="31"/>
        <v>160</v>
      </c>
    </row>
    <row r="120" spans="52:64" ht="16.5" x14ac:dyDescent="0.2">
      <c r="AZ120" s="148">
        <v>115</v>
      </c>
      <c r="BA120" s="148">
        <f t="shared" si="23"/>
        <v>20</v>
      </c>
      <c r="BB120" s="148">
        <f t="shared" si="24"/>
        <v>3</v>
      </c>
      <c r="BC120" s="148">
        <f t="shared" si="25"/>
        <v>1102030</v>
      </c>
      <c r="BD120" s="148" t="s">
        <v>1353</v>
      </c>
      <c r="BE120" s="148">
        <f t="shared" si="32"/>
        <v>0</v>
      </c>
      <c r="BF120" s="148" t="str">
        <f t="shared" si="33"/>
        <v>燕青专属武器解封-0</v>
      </c>
      <c r="BG120" s="148" t="str">
        <f t="shared" si="26"/>
        <v/>
      </c>
      <c r="BH120" s="148" t="str">
        <f t="shared" si="27"/>
        <v/>
      </c>
      <c r="BI120" s="148" t="str">
        <f t="shared" si="28"/>
        <v/>
      </c>
      <c r="BJ120" s="148" t="str">
        <f t="shared" si="29"/>
        <v/>
      </c>
      <c r="BK120" s="148" t="str">
        <f t="shared" si="30"/>
        <v/>
      </c>
      <c r="BL120" s="148" t="str">
        <f t="shared" si="31"/>
        <v/>
      </c>
    </row>
    <row r="121" spans="52:64" ht="16.5" x14ac:dyDescent="0.2">
      <c r="AZ121" s="148">
        <v>116</v>
      </c>
      <c r="BA121" s="148">
        <f t="shared" si="23"/>
        <v>20</v>
      </c>
      <c r="BB121" s="148">
        <f t="shared" si="24"/>
        <v>3</v>
      </c>
      <c r="BC121" s="148">
        <f t="shared" si="25"/>
        <v>1102030</v>
      </c>
      <c r="BD121" s="148" t="s">
        <v>1353</v>
      </c>
      <c r="BE121" s="148">
        <f t="shared" si="32"/>
        <v>1</v>
      </c>
      <c r="BF121" s="148" t="str">
        <f t="shared" si="33"/>
        <v>燕青专属武器解封-1</v>
      </c>
      <c r="BG121" s="148" t="str">
        <f t="shared" si="26"/>
        <v>燕青专属武器效果</v>
      </c>
      <c r="BH121" s="148">
        <f t="shared" si="27"/>
        <v>1</v>
      </c>
      <c r="BI121" s="148" t="str">
        <f t="shared" si="28"/>
        <v>金币</v>
      </c>
      <c r="BJ121" s="148">
        <f t="shared" si="29"/>
        <v>18000</v>
      </c>
      <c r="BK121" s="148" t="str">
        <f t="shared" si="30"/>
        <v>燕青专属武器碎片</v>
      </c>
      <c r="BL121" s="148">
        <f t="shared" si="31"/>
        <v>40</v>
      </c>
    </row>
    <row r="122" spans="52:64" ht="16.5" x14ac:dyDescent="0.2">
      <c r="AZ122" s="148">
        <v>117</v>
      </c>
      <c r="BA122" s="148">
        <f t="shared" si="23"/>
        <v>20</v>
      </c>
      <c r="BB122" s="148">
        <f t="shared" si="24"/>
        <v>3</v>
      </c>
      <c r="BC122" s="148">
        <f t="shared" si="25"/>
        <v>1102030</v>
      </c>
      <c r="BD122" s="148" t="s">
        <v>1353</v>
      </c>
      <c r="BE122" s="148">
        <f t="shared" si="32"/>
        <v>2</v>
      </c>
      <c r="BF122" s="148" t="str">
        <f t="shared" si="33"/>
        <v>燕青专属武器解封-2</v>
      </c>
      <c r="BG122" s="148" t="str">
        <f t="shared" si="26"/>
        <v>燕青专属武器效果</v>
      </c>
      <c r="BH122" s="148">
        <f t="shared" si="27"/>
        <v>2</v>
      </c>
      <c r="BI122" s="148" t="str">
        <f t="shared" si="28"/>
        <v>金币</v>
      </c>
      <c r="BJ122" s="148">
        <f t="shared" si="29"/>
        <v>38000</v>
      </c>
      <c r="BK122" s="148" t="str">
        <f t="shared" si="30"/>
        <v>燕青专属武器碎片</v>
      </c>
      <c r="BL122" s="148">
        <f t="shared" si="31"/>
        <v>40</v>
      </c>
    </row>
    <row r="123" spans="52:64" ht="16.5" x14ac:dyDescent="0.2">
      <c r="AZ123" s="148">
        <v>118</v>
      </c>
      <c r="BA123" s="148">
        <f t="shared" si="23"/>
        <v>20</v>
      </c>
      <c r="BB123" s="148">
        <f t="shared" si="24"/>
        <v>3</v>
      </c>
      <c r="BC123" s="148">
        <f t="shared" si="25"/>
        <v>1102030</v>
      </c>
      <c r="BD123" s="148" t="s">
        <v>1353</v>
      </c>
      <c r="BE123" s="148">
        <f t="shared" si="32"/>
        <v>3</v>
      </c>
      <c r="BF123" s="148" t="str">
        <f t="shared" si="33"/>
        <v>燕青专属武器解封-3</v>
      </c>
      <c r="BG123" s="148" t="str">
        <f t="shared" si="26"/>
        <v>燕青专属武器效果</v>
      </c>
      <c r="BH123" s="148">
        <f t="shared" si="27"/>
        <v>3</v>
      </c>
      <c r="BI123" s="148" t="str">
        <f t="shared" si="28"/>
        <v>金币</v>
      </c>
      <c r="BJ123" s="148">
        <f t="shared" si="29"/>
        <v>88000</v>
      </c>
      <c r="BK123" s="148" t="str">
        <f t="shared" si="30"/>
        <v>燕青专属武器碎片</v>
      </c>
      <c r="BL123" s="148">
        <f t="shared" si="31"/>
        <v>60</v>
      </c>
    </row>
    <row r="124" spans="52:64" ht="16.5" x14ac:dyDescent="0.2">
      <c r="AZ124" s="148">
        <v>119</v>
      </c>
      <c r="BA124" s="148">
        <f t="shared" si="23"/>
        <v>20</v>
      </c>
      <c r="BB124" s="148">
        <f t="shared" si="24"/>
        <v>3</v>
      </c>
      <c r="BC124" s="148">
        <f t="shared" si="25"/>
        <v>1102030</v>
      </c>
      <c r="BD124" s="148" t="s">
        <v>1353</v>
      </c>
      <c r="BE124" s="148">
        <f t="shared" si="32"/>
        <v>4</v>
      </c>
      <c r="BF124" s="148" t="str">
        <f t="shared" si="33"/>
        <v>燕青专属武器解封-4</v>
      </c>
      <c r="BG124" s="148" t="str">
        <f t="shared" si="26"/>
        <v>燕青专属武器效果</v>
      </c>
      <c r="BH124" s="148">
        <f t="shared" si="27"/>
        <v>4</v>
      </c>
      <c r="BI124" s="148" t="str">
        <f t="shared" si="28"/>
        <v>金币</v>
      </c>
      <c r="BJ124" s="148">
        <f t="shared" si="29"/>
        <v>155500</v>
      </c>
      <c r="BK124" s="148" t="str">
        <f t="shared" si="30"/>
        <v>燕青专属武器碎片</v>
      </c>
      <c r="BL124" s="148">
        <f t="shared" si="31"/>
        <v>60</v>
      </c>
    </row>
    <row r="125" spans="52:64" ht="16.5" x14ac:dyDescent="0.2">
      <c r="AZ125" s="148">
        <v>120</v>
      </c>
      <c r="BA125" s="148">
        <f t="shared" si="23"/>
        <v>20</v>
      </c>
      <c r="BB125" s="148">
        <f t="shared" si="24"/>
        <v>3</v>
      </c>
      <c r="BC125" s="148">
        <f t="shared" si="25"/>
        <v>1102030</v>
      </c>
      <c r="BD125" s="148" t="s">
        <v>1353</v>
      </c>
      <c r="BE125" s="148">
        <f t="shared" si="32"/>
        <v>5</v>
      </c>
      <c r="BF125" s="148" t="str">
        <f t="shared" si="33"/>
        <v>燕青专属武器解封-5</v>
      </c>
      <c r="BG125" s="148" t="str">
        <f t="shared" si="26"/>
        <v>燕青专属武器效果</v>
      </c>
      <c r="BH125" s="148">
        <f t="shared" si="27"/>
        <v>5</v>
      </c>
      <c r="BI125" s="148" t="str">
        <f t="shared" si="28"/>
        <v>金币</v>
      </c>
      <c r="BJ125" s="148">
        <f t="shared" si="29"/>
        <v>376000</v>
      </c>
      <c r="BK125" s="148" t="str">
        <f t="shared" si="30"/>
        <v>燕青专属武器碎片</v>
      </c>
      <c r="BL125" s="148">
        <f t="shared" si="31"/>
        <v>80</v>
      </c>
    </row>
    <row r="126" spans="52:64" ht="16.5" x14ac:dyDescent="0.2">
      <c r="AZ126" s="148">
        <v>121</v>
      </c>
      <c r="BA126" s="148">
        <f t="shared" si="23"/>
        <v>21</v>
      </c>
      <c r="BB126" s="148">
        <f t="shared" si="24"/>
        <v>5</v>
      </c>
      <c r="BC126" s="148">
        <f t="shared" si="25"/>
        <v>1102031</v>
      </c>
      <c r="BD126" s="148" t="s">
        <v>1353</v>
      </c>
      <c r="BE126" s="148">
        <f t="shared" si="32"/>
        <v>0</v>
      </c>
      <c r="BF126" s="148" t="str">
        <f t="shared" si="33"/>
        <v>秦琼专属武器解封-0</v>
      </c>
      <c r="BG126" s="148" t="str">
        <f t="shared" si="26"/>
        <v/>
      </c>
      <c r="BH126" s="148" t="str">
        <f t="shared" si="27"/>
        <v/>
      </c>
      <c r="BI126" s="148" t="str">
        <f t="shared" si="28"/>
        <v/>
      </c>
      <c r="BJ126" s="148" t="str">
        <f t="shared" si="29"/>
        <v/>
      </c>
      <c r="BK126" s="148" t="str">
        <f t="shared" si="30"/>
        <v/>
      </c>
      <c r="BL126" s="148" t="str">
        <f t="shared" si="31"/>
        <v/>
      </c>
    </row>
    <row r="127" spans="52:64" ht="16.5" x14ac:dyDescent="0.2">
      <c r="AZ127" s="148">
        <v>122</v>
      </c>
      <c r="BA127" s="148">
        <f t="shared" si="23"/>
        <v>21</v>
      </c>
      <c r="BB127" s="148">
        <f t="shared" si="24"/>
        <v>5</v>
      </c>
      <c r="BC127" s="148">
        <f t="shared" si="25"/>
        <v>1102031</v>
      </c>
      <c r="BD127" s="148" t="s">
        <v>1353</v>
      </c>
      <c r="BE127" s="148">
        <f t="shared" si="32"/>
        <v>1</v>
      </c>
      <c r="BF127" s="148" t="str">
        <f t="shared" si="33"/>
        <v>秦琼专属武器解封-1</v>
      </c>
      <c r="BG127" s="148" t="str">
        <f t="shared" si="26"/>
        <v>秦琼专属武器效果</v>
      </c>
      <c r="BH127" s="148">
        <f t="shared" si="27"/>
        <v>1</v>
      </c>
      <c r="BI127" s="148" t="str">
        <f t="shared" si="28"/>
        <v>金币</v>
      </c>
      <c r="BJ127" s="148">
        <f t="shared" si="29"/>
        <v>23500</v>
      </c>
      <c r="BK127" s="148" t="str">
        <f t="shared" si="30"/>
        <v>秦琼专属武器碎片</v>
      </c>
      <c r="BL127" s="148">
        <f t="shared" si="31"/>
        <v>80</v>
      </c>
    </row>
    <row r="128" spans="52:64" ht="16.5" x14ac:dyDescent="0.2">
      <c r="AZ128" s="148">
        <v>123</v>
      </c>
      <c r="BA128" s="148">
        <f t="shared" si="23"/>
        <v>21</v>
      </c>
      <c r="BB128" s="148">
        <f t="shared" si="24"/>
        <v>5</v>
      </c>
      <c r="BC128" s="148">
        <f t="shared" si="25"/>
        <v>1102031</v>
      </c>
      <c r="BD128" s="148" t="s">
        <v>1353</v>
      </c>
      <c r="BE128" s="148">
        <f t="shared" si="32"/>
        <v>2</v>
      </c>
      <c r="BF128" s="148" t="str">
        <f t="shared" si="33"/>
        <v>秦琼专属武器解封-2</v>
      </c>
      <c r="BG128" s="148" t="str">
        <f t="shared" si="26"/>
        <v>秦琼专属武器效果</v>
      </c>
      <c r="BH128" s="148">
        <f t="shared" si="27"/>
        <v>2</v>
      </c>
      <c r="BI128" s="148" t="str">
        <f t="shared" si="28"/>
        <v>金币</v>
      </c>
      <c r="BJ128" s="148">
        <f t="shared" si="29"/>
        <v>51000</v>
      </c>
      <c r="BK128" s="148" t="str">
        <f t="shared" si="30"/>
        <v>秦琼专属武器碎片</v>
      </c>
      <c r="BL128" s="148">
        <f t="shared" si="31"/>
        <v>80</v>
      </c>
    </row>
    <row r="129" spans="52:64" ht="16.5" x14ac:dyDescent="0.2">
      <c r="AZ129" s="148">
        <v>124</v>
      </c>
      <c r="BA129" s="148">
        <f t="shared" si="23"/>
        <v>21</v>
      </c>
      <c r="BB129" s="148">
        <f t="shared" si="24"/>
        <v>5</v>
      </c>
      <c r="BC129" s="148">
        <f t="shared" si="25"/>
        <v>1102031</v>
      </c>
      <c r="BD129" s="148" t="s">
        <v>1353</v>
      </c>
      <c r="BE129" s="148">
        <f t="shared" si="32"/>
        <v>3</v>
      </c>
      <c r="BF129" s="148" t="str">
        <f t="shared" si="33"/>
        <v>秦琼专属武器解封-3</v>
      </c>
      <c r="BG129" s="148" t="str">
        <f t="shared" si="26"/>
        <v>秦琼专属武器效果</v>
      </c>
      <c r="BH129" s="148">
        <f t="shared" si="27"/>
        <v>3</v>
      </c>
      <c r="BI129" s="148" t="str">
        <f t="shared" si="28"/>
        <v>金币</v>
      </c>
      <c r="BJ129" s="148">
        <f t="shared" si="29"/>
        <v>117000</v>
      </c>
      <c r="BK129" s="148" t="str">
        <f t="shared" si="30"/>
        <v>秦琼专属武器碎片</v>
      </c>
      <c r="BL129" s="148">
        <f t="shared" si="31"/>
        <v>120</v>
      </c>
    </row>
    <row r="130" spans="52:64" ht="16.5" x14ac:dyDescent="0.2">
      <c r="AZ130" s="148">
        <v>125</v>
      </c>
      <c r="BA130" s="148">
        <f t="shared" si="23"/>
        <v>21</v>
      </c>
      <c r="BB130" s="148">
        <f t="shared" si="24"/>
        <v>5</v>
      </c>
      <c r="BC130" s="148">
        <f t="shared" si="25"/>
        <v>1102031</v>
      </c>
      <c r="BD130" s="148" t="s">
        <v>1353</v>
      </c>
      <c r="BE130" s="148">
        <f t="shared" si="32"/>
        <v>4</v>
      </c>
      <c r="BF130" s="148" t="str">
        <f t="shared" si="33"/>
        <v>秦琼专属武器解封-4</v>
      </c>
      <c r="BG130" s="148" t="str">
        <f t="shared" si="26"/>
        <v>秦琼专属武器效果</v>
      </c>
      <c r="BH130" s="148">
        <f t="shared" si="27"/>
        <v>4</v>
      </c>
      <c r="BI130" s="148" t="str">
        <f t="shared" si="28"/>
        <v>金币</v>
      </c>
      <c r="BJ130" s="148">
        <f t="shared" si="29"/>
        <v>207500</v>
      </c>
      <c r="BK130" s="148" t="str">
        <f t="shared" si="30"/>
        <v>秦琼专属武器碎片</v>
      </c>
      <c r="BL130" s="148">
        <f t="shared" si="31"/>
        <v>120</v>
      </c>
    </row>
    <row r="131" spans="52:64" ht="16.5" x14ac:dyDescent="0.2">
      <c r="AZ131" s="148">
        <v>126</v>
      </c>
      <c r="BA131" s="148">
        <f t="shared" si="23"/>
        <v>21</v>
      </c>
      <c r="BB131" s="148">
        <f t="shared" si="24"/>
        <v>5</v>
      </c>
      <c r="BC131" s="148">
        <f t="shared" si="25"/>
        <v>1102031</v>
      </c>
      <c r="BD131" s="148" t="s">
        <v>1353</v>
      </c>
      <c r="BE131" s="148">
        <f t="shared" si="32"/>
        <v>5</v>
      </c>
      <c r="BF131" s="148" t="str">
        <f t="shared" si="33"/>
        <v>秦琼专属武器解封-5</v>
      </c>
      <c r="BG131" s="148" t="str">
        <f t="shared" si="26"/>
        <v>秦琼专属武器效果</v>
      </c>
      <c r="BH131" s="148">
        <f t="shared" si="27"/>
        <v>5</v>
      </c>
      <c r="BI131" s="148" t="str">
        <f t="shared" si="28"/>
        <v>金币</v>
      </c>
      <c r="BJ131" s="148">
        <f t="shared" si="29"/>
        <v>501500</v>
      </c>
      <c r="BK131" s="148" t="str">
        <f t="shared" si="30"/>
        <v>秦琼专属武器碎片</v>
      </c>
      <c r="BL131" s="148">
        <f t="shared" si="31"/>
        <v>160</v>
      </c>
    </row>
    <row r="132" spans="52:64" x14ac:dyDescent="0.2">
      <c r="AZ132" s="149"/>
    </row>
    <row r="133" spans="52:64" x14ac:dyDescent="0.2">
      <c r="AZ133" s="149"/>
    </row>
    <row r="134" spans="52:64" x14ac:dyDescent="0.2">
      <c r="AZ134" s="149"/>
      <c r="BA134" s="149"/>
      <c r="BB134" s="149"/>
    </row>
    <row r="135" spans="52:64" x14ac:dyDescent="0.2">
      <c r="AZ135" s="149"/>
      <c r="BA135" s="149"/>
      <c r="BB135" s="149"/>
    </row>
    <row r="136" spans="52:64" x14ac:dyDescent="0.2">
      <c r="AZ136" s="149"/>
      <c r="BA136" s="149"/>
      <c r="BB136" s="149"/>
    </row>
    <row r="137" spans="52:64" x14ac:dyDescent="0.2">
      <c r="AZ137" s="149"/>
      <c r="BA137" s="149"/>
      <c r="BB137" s="149"/>
    </row>
    <row r="138" spans="52:64" x14ac:dyDescent="0.2">
      <c r="AZ138" s="149"/>
      <c r="BA138" s="149"/>
      <c r="BB138" s="149"/>
    </row>
    <row r="139" spans="52:64" x14ac:dyDescent="0.2">
      <c r="AZ139" s="149"/>
      <c r="BA139" s="149"/>
      <c r="BB139" s="149"/>
    </row>
    <row r="140" spans="52:64" x14ac:dyDescent="0.2">
      <c r="AZ140" s="149"/>
      <c r="BA140" s="149"/>
      <c r="BB140" s="149"/>
    </row>
    <row r="141" spans="52:64" x14ac:dyDescent="0.2">
      <c r="AZ141" s="149"/>
      <c r="BA141" s="149"/>
      <c r="BB141" s="149"/>
    </row>
    <row r="142" spans="52:64" x14ac:dyDescent="0.2">
      <c r="AZ142" s="149"/>
      <c r="BA142" s="149"/>
      <c r="BB142" s="149"/>
    </row>
    <row r="143" spans="52:64" x14ac:dyDescent="0.2">
      <c r="AZ143" s="149"/>
      <c r="BA143" s="149"/>
      <c r="BB143" s="149"/>
    </row>
    <row r="144" spans="52:64" x14ac:dyDescent="0.2">
      <c r="AZ144" s="149"/>
      <c r="BA144" s="149"/>
      <c r="BB144" s="149"/>
    </row>
    <row r="145" spans="52:54" x14ac:dyDescent="0.2">
      <c r="AZ145" s="149"/>
      <c r="BA145" s="149"/>
      <c r="BB145" s="149"/>
    </row>
    <row r="146" spans="52:54" x14ac:dyDescent="0.2">
      <c r="AZ146" s="149"/>
      <c r="BA146" s="149"/>
      <c r="BB146" s="149"/>
    </row>
  </sheetData>
  <mergeCells count="3">
    <mergeCell ref="A4:J4"/>
    <mergeCell ref="S4:AG4"/>
    <mergeCell ref="L4:Q4"/>
  </mergeCells>
  <phoneticPr fontId="2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I16"/>
  <sheetViews>
    <sheetView workbookViewId="0">
      <selection activeCell="E21" sqref="E21"/>
    </sheetView>
  </sheetViews>
  <sheetFormatPr defaultRowHeight="14.25" x14ac:dyDescent="0.2"/>
  <cols>
    <col min="2" max="2" width="11.125" customWidth="1"/>
    <col min="3" max="3" width="8.875" customWidth="1"/>
    <col min="4" max="4" width="10.375" customWidth="1"/>
    <col min="5" max="5" width="11.125" customWidth="1"/>
    <col min="6" max="6" width="10.5" customWidth="1"/>
    <col min="7" max="7" width="11.125" customWidth="1"/>
    <col min="8" max="9" width="10.25" customWidth="1"/>
  </cols>
  <sheetData>
    <row r="3" spans="1:9" ht="17.25" x14ac:dyDescent="0.2">
      <c r="B3" s="12" t="s">
        <v>403</v>
      </c>
      <c r="C3" s="12" t="s">
        <v>402</v>
      </c>
      <c r="D3" s="12" t="s">
        <v>401</v>
      </c>
      <c r="E3" s="12" t="s">
        <v>400</v>
      </c>
      <c r="F3" s="12" t="s">
        <v>399</v>
      </c>
      <c r="G3" s="12" t="s">
        <v>398</v>
      </c>
      <c r="H3" s="12" t="s">
        <v>397</v>
      </c>
      <c r="I3" s="12" t="s">
        <v>396</v>
      </c>
    </row>
    <row r="4" spans="1:9" ht="16.5" x14ac:dyDescent="0.2">
      <c r="A4" s="15"/>
      <c r="B4" s="59"/>
      <c r="C4" s="59"/>
      <c r="D4" s="21">
        <v>0.4</v>
      </c>
      <c r="E4" s="21">
        <v>0.6</v>
      </c>
      <c r="F4" s="21"/>
      <c r="G4" s="21"/>
      <c r="H4" s="58"/>
      <c r="I4" s="58"/>
    </row>
    <row r="5" spans="1:9" ht="16.5" x14ac:dyDescent="0.2">
      <c r="A5" s="36" t="s">
        <v>395</v>
      </c>
      <c r="B5" s="58">
        <f>金币总表!S41</f>
        <v>0</v>
      </c>
      <c r="C5" s="58">
        <f>SUM(节奏总表!AC7:AC11)</f>
        <v>2.75</v>
      </c>
      <c r="D5" s="14">
        <f t="shared" ref="D5:E8" si="0">INT($B5*D$4)</f>
        <v>0</v>
      </c>
      <c r="E5" s="14">
        <f t="shared" si="0"/>
        <v>0</v>
      </c>
      <c r="F5" s="58"/>
      <c r="G5" s="58"/>
      <c r="H5" s="58">
        <v>10</v>
      </c>
      <c r="I5" s="58" t="s">
        <v>394</v>
      </c>
    </row>
    <row r="6" spans="1:9" ht="16.5" x14ac:dyDescent="0.2">
      <c r="A6" s="36" t="s">
        <v>207</v>
      </c>
      <c r="B6" s="58">
        <f>金币总表!S42</f>
        <v>0</v>
      </c>
      <c r="C6" s="58">
        <f>SUM(节奏总表!AC12:AC13)</f>
        <v>1.3399999999999999</v>
      </c>
      <c r="D6" s="14">
        <f t="shared" si="0"/>
        <v>0</v>
      </c>
      <c r="E6" s="14">
        <f t="shared" si="0"/>
        <v>0</v>
      </c>
      <c r="F6" s="58"/>
      <c r="G6" s="58"/>
      <c r="H6" s="58">
        <v>10</v>
      </c>
      <c r="I6" s="58" t="s">
        <v>393</v>
      </c>
    </row>
    <row r="7" spans="1:9" ht="16.5" x14ac:dyDescent="0.2">
      <c r="A7" s="36" t="s">
        <v>208</v>
      </c>
      <c r="B7" s="58">
        <f>金币总表!S43</f>
        <v>0</v>
      </c>
      <c r="C7" s="58">
        <f>SUM(节奏总表!AC14:AC15)</f>
        <v>1.7700000000000005</v>
      </c>
      <c r="D7" s="14">
        <f t="shared" si="0"/>
        <v>0</v>
      </c>
      <c r="E7" s="14">
        <f t="shared" si="0"/>
        <v>0</v>
      </c>
      <c r="F7" s="58"/>
      <c r="G7" s="58"/>
      <c r="H7" s="58">
        <v>15</v>
      </c>
      <c r="I7" s="58" t="s">
        <v>392</v>
      </c>
    </row>
    <row r="8" spans="1:9" ht="16.5" x14ac:dyDescent="0.2">
      <c r="A8" s="36" t="s">
        <v>209</v>
      </c>
      <c r="B8" s="58">
        <f>金币总表!S44</f>
        <v>0</v>
      </c>
      <c r="C8" s="58">
        <f>SUM(节奏总表!AC16:AC18)</f>
        <v>3.9999999999999991</v>
      </c>
      <c r="D8" s="14">
        <f t="shared" si="0"/>
        <v>0</v>
      </c>
      <c r="E8" s="14">
        <f t="shared" si="0"/>
        <v>0</v>
      </c>
      <c r="F8" s="58"/>
      <c r="G8" s="58"/>
      <c r="H8" s="58">
        <v>15</v>
      </c>
      <c r="I8" s="58" t="s">
        <v>391</v>
      </c>
    </row>
    <row r="9" spans="1:9" x14ac:dyDescent="0.2">
      <c r="A9" s="15"/>
      <c r="B9" s="15"/>
      <c r="C9" s="15"/>
      <c r="D9" s="15"/>
      <c r="E9" s="15"/>
      <c r="F9" s="15"/>
      <c r="G9" s="15"/>
    </row>
    <row r="10" spans="1:9" x14ac:dyDescent="0.2">
      <c r="A10" s="15"/>
      <c r="B10" s="15"/>
      <c r="C10" s="15"/>
      <c r="D10" s="15"/>
      <c r="E10" s="15"/>
      <c r="F10" s="15"/>
      <c r="G10" s="15"/>
    </row>
    <row r="11" spans="1:9" x14ac:dyDescent="0.2">
      <c r="A11" s="15"/>
      <c r="B11" s="15"/>
      <c r="C11" s="15"/>
      <c r="D11" s="15"/>
      <c r="E11" s="15"/>
      <c r="F11" s="15"/>
      <c r="G11" s="15"/>
    </row>
    <row r="12" spans="1:9" x14ac:dyDescent="0.2">
      <c r="A12" s="15"/>
      <c r="B12" s="15"/>
      <c r="C12" s="15"/>
      <c r="D12" s="15"/>
      <c r="E12" s="15"/>
      <c r="F12" s="15"/>
      <c r="G12" s="15"/>
    </row>
    <row r="13" spans="1:9" x14ac:dyDescent="0.2">
      <c r="A13" s="15"/>
      <c r="B13" s="15"/>
      <c r="C13" s="15"/>
      <c r="D13" s="15"/>
      <c r="E13" s="15"/>
      <c r="F13" s="15"/>
      <c r="G13" s="15"/>
    </row>
    <row r="14" spans="1:9" x14ac:dyDescent="0.2">
      <c r="A14" s="15"/>
      <c r="B14" s="15"/>
      <c r="C14" s="15"/>
      <c r="D14" s="15"/>
      <c r="E14" s="15"/>
      <c r="F14" s="15"/>
      <c r="G14" s="15"/>
    </row>
    <row r="15" spans="1:9" x14ac:dyDescent="0.2">
      <c r="A15" s="15"/>
      <c r="B15" s="15"/>
      <c r="C15" s="15"/>
      <c r="D15" s="15"/>
      <c r="E15" s="15"/>
      <c r="F15" s="15"/>
      <c r="G15" s="15"/>
    </row>
    <row r="16" spans="1:9" x14ac:dyDescent="0.2">
      <c r="A16" s="15"/>
      <c r="B16" s="15"/>
      <c r="C16" s="15"/>
      <c r="D16" s="15"/>
      <c r="E16" s="15"/>
      <c r="F16" s="15"/>
      <c r="G16" s="15"/>
    </row>
  </sheetData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18</vt:i4>
      </vt:variant>
    </vt:vector>
  </HeadingPairs>
  <TitlesOfParts>
    <vt:vector size="18" baseType="lpstr">
      <vt:lpstr>文档说明</vt:lpstr>
      <vt:lpstr>价值概述</vt:lpstr>
      <vt:lpstr>节奏总表</vt:lpstr>
      <vt:lpstr>章节关卡</vt:lpstr>
      <vt:lpstr>经验计算</vt:lpstr>
      <vt:lpstr>芦花古楼</vt:lpstr>
      <vt:lpstr>金币总表</vt:lpstr>
      <vt:lpstr>日常任务</vt:lpstr>
      <vt:lpstr>挂机升级突破</vt:lpstr>
      <vt:lpstr>卡牌消耗</vt:lpstr>
      <vt:lpstr>专属武器强化</vt:lpstr>
      <vt:lpstr>羁绊副本</vt:lpstr>
      <vt:lpstr>神器</vt:lpstr>
      <vt:lpstr>装备</vt:lpstr>
      <vt:lpstr>新神器</vt:lpstr>
      <vt:lpstr>日常副本</vt:lpstr>
      <vt:lpstr>恶灵入侵-专属解封</vt:lpstr>
      <vt:lpstr>专属武器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2019-11-02T17:54:02Z</dcterms:modified>
</cp:coreProperties>
</file>